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ustomProperty9.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
    </mc:Choice>
  </mc:AlternateContent>
  <xr:revisionPtr revIDLastSave="0" documentId="8_{BC3FFFAB-FA16-448F-954E-4E6D1EB54492}" xr6:coauthVersionLast="47" xr6:coauthVersionMax="47" xr10:uidLastSave="{00000000-0000-0000-0000-000000000000}"/>
  <bookViews>
    <workbookView xWindow="-110" yWindow="-110" windowWidth="19420" windowHeight="10420" tabRatio="704" firstSheet="5" activeTab="6" xr2:uid="{00000000-000D-0000-FFFF-FFFF00000000}"/>
  </bookViews>
  <sheets>
    <sheet name="Cover Sheet" sheetId="13" r:id="rId1"/>
    <sheet name="Navigation" sheetId="42" r:id="rId2"/>
    <sheet name="Changes Log" sheetId="41" r:id="rId3"/>
    <sheet name="NARM1 - Risk Index Weightings" sheetId="38" r:id="rId4"/>
    <sheet name="NARM4 - ED2 NARW Risk Movements" sheetId="39" r:id="rId5"/>
    <sheet name="NARM5 – ED2 actuals" sheetId="33" r:id="rId6"/>
    <sheet name="NARM6 - Risk Summary" sheetId="34" r:id="rId7"/>
    <sheet name="NARM7 - Dashboard" sheetId="36" r:id="rId8"/>
    <sheet name="NARM8 - Variance Analysis" sheetId="37" r:id="rId9"/>
    <sheet name="Data assurance" sheetId="4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hom1" localSheetId="2"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localSheetId="1" hidden="1">{#N/A,#N/A,FALSE,"Assessment";#N/A,#N/A,FALSE,"Staffing";#N/A,#N/A,FALSE,"Hires";#N/A,#N/A,FALSE,"Assumptions"}</definedName>
    <definedName name="________hom1" hidden="1">{#N/A,#N/A,FALSE,"Assessment";#N/A,#N/A,FALSE,"Staffing";#N/A,#N/A,FALSE,"Hires";#N/A,#N/A,FALSE,"Assumptions"}</definedName>
    <definedName name="________hom1_1" localSheetId="1" hidden="1">{#N/A,#N/A,FALSE,"Assessment";#N/A,#N/A,FALSE,"Staffing";#N/A,#N/A,FALSE,"Hires";#N/A,#N/A,FALSE,"Assumptions"}</definedName>
    <definedName name="________hom1_1" hidden="1">{#N/A,#N/A,FALSE,"Assessment";#N/A,#N/A,FALSE,"Staffing";#N/A,#N/A,FALSE,"Hires";#N/A,#N/A,FALSE,"Assumptions"}</definedName>
    <definedName name="________hom1_2" localSheetId="1" hidden="1">{#N/A,#N/A,FALSE,"Assessment";#N/A,#N/A,FALSE,"Staffing";#N/A,#N/A,FALSE,"Hires";#N/A,#N/A,FALSE,"Assumptions"}</definedName>
    <definedName name="________hom1_2" hidden="1">{#N/A,#N/A,FALSE,"Assessment";#N/A,#N/A,FALSE,"Staffing";#N/A,#N/A,FALSE,"Hires";#N/A,#N/A,FALSE,"Assumptions"}</definedName>
    <definedName name="________hom1_3" localSheetId="1" hidden="1">{#N/A,#N/A,FALSE,"Assessment";#N/A,#N/A,FALSE,"Staffing";#N/A,#N/A,FALSE,"Hires";#N/A,#N/A,FALSE,"Assumptions"}</definedName>
    <definedName name="________hom1_3" hidden="1">{#N/A,#N/A,FALSE,"Assessment";#N/A,#N/A,FALSE,"Staffing";#N/A,#N/A,FALSE,"Hires";#N/A,#N/A,FALSE,"Assumptions"}</definedName>
    <definedName name="________hom1_4" localSheetId="1" hidden="1">{#N/A,#N/A,FALSE,"Assessment";#N/A,#N/A,FALSE,"Staffing";#N/A,#N/A,FALSE,"Hires";#N/A,#N/A,FALSE,"Assumptions"}</definedName>
    <definedName name="________hom1_4" hidden="1">{#N/A,#N/A,FALSE,"Assessment";#N/A,#N/A,FALSE,"Staffing";#N/A,#N/A,FALSE,"Hires";#N/A,#N/A,FALSE,"Assumptions"}</definedName>
    <definedName name="________k1" localSheetId="2"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localSheetId="1" hidden="1">{#N/A,#N/A,FALSE,"Assessment";#N/A,#N/A,FALSE,"Staffing";#N/A,#N/A,FALSE,"Hires";#N/A,#N/A,FALSE,"Assumptions"}</definedName>
    <definedName name="________k1" hidden="1">{#N/A,#N/A,FALSE,"Assessment";#N/A,#N/A,FALSE,"Staffing";#N/A,#N/A,FALSE,"Hires";#N/A,#N/A,FALSE,"Assumptions"}</definedName>
    <definedName name="________k1_1" localSheetId="1" hidden="1">{#N/A,#N/A,FALSE,"Assessment";#N/A,#N/A,FALSE,"Staffing";#N/A,#N/A,FALSE,"Hires";#N/A,#N/A,FALSE,"Assumptions"}</definedName>
    <definedName name="________k1_1" hidden="1">{#N/A,#N/A,FALSE,"Assessment";#N/A,#N/A,FALSE,"Staffing";#N/A,#N/A,FALSE,"Hires";#N/A,#N/A,FALSE,"Assumptions"}</definedName>
    <definedName name="________k1_2" localSheetId="1" hidden="1">{#N/A,#N/A,FALSE,"Assessment";#N/A,#N/A,FALSE,"Staffing";#N/A,#N/A,FALSE,"Hires";#N/A,#N/A,FALSE,"Assumptions"}</definedName>
    <definedName name="________k1_2" hidden="1">{#N/A,#N/A,FALSE,"Assessment";#N/A,#N/A,FALSE,"Staffing";#N/A,#N/A,FALSE,"Hires";#N/A,#N/A,FALSE,"Assumptions"}</definedName>
    <definedName name="________k1_3" localSheetId="1" hidden="1">{#N/A,#N/A,FALSE,"Assessment";#N/A,#N/A,FALSE,"Staffing";#N/A,#N/A,FALSE,"Hires";#N/A,#N/A,FALSE,"Assumptions"}</definedName>
    <definedName name="________k1_3" hidden="1">{#N/A,#N/A,FALSE,"Assessment";#N/A,#N/A,FALSE,"Staffing";#N/A,#N/A,FALSE,"Hires";#N/A,#N/A,FALSE,"Assumptions"}</definedName>
    <definedName name="________k1_4" localSheetId="1" hidden="1">{#N/A,#N/A,FALSE,"Assessment";#N/A,#N/A,FALSE,"Staffing";#N/A,#N/A,FALSE,"Hires";#N/A,#N/A,FALSE,"Assumptions"}</definedName>
    <definedName name="________k1_4" hidden="1">{#N/A,#N/A,FALSE,"Assessment";#N/A,#N/A,FALSE,"Staffing";#N/A,#N/A,FALSE,"Hires";#N/A,#N/A,FALSE,"Assumptions"}</definedName>
    <definedName name="________kk1" localSheetId="2"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localSheetId="1" hidden="1">{#N/A,#N/A,FALSE,"Assessment";#N/A,#N/A,FALSE,"Staffing";#N/A,#N/A,FALSE,"Hires";#N/A,#N/A,FALSE,"Assumptions"}</definedName>
    <definedName name="________kk1" hidden="1">{#N/A,#N/A,FALSE,"Assessment";#N/A,#N/A,FALSE,"Staffing";#N/A,#N/A,FALSE,"Hires";#N/A,#N/A,FALSE,"Assumptions"}</definedName>
    <definedName name="________kk1_1" localSheetId="1" hidden="1">{#N/A,#N/A,FALSE,"Assessment";#N/A,#N/A,FALSE,"Staffing";#N/A,#N/A,FALSE,"Hires";#N/A,#N/A,FALSE,"Assumptions"}</definedName>
    <definedName name="________kk1_1" hidden="1">{#N/A,#N/A,FALSE,"Assessment";#N/A,#N/A,FALSE,"Staffing";#N/A,#N/A,FALSE,"Hires";#N/A,#N/A,FALSE,"Assumptions"}</definedName>
    <definedName name="________kk1_2" localSheetId="1" hidden="1">{#N/A,#N/A,FALSE,"Assessment";#N/A,#N/A,FALSE,"Staffing";#N/A,#N/A,FALSE,"Hires";#N/A,#N/A,FALSE,"Assumptions"}</definedName>
    <definedName name="________kk1_2" hidden="1">{#N/A,#N/A,FALSE,"Assessment";#N/A,#N/A,FALSE,"Staffing";#N/A,#N/A,FALSE,"Hires";#N/A,#N/A,FALSE,"Assumptions"}</definedName>
    <definedName name="________kk1_3" localSheetId="1" hidden="1">{#N/A,#N/A,FALSE,"Assessment";#N/A,#N/A,FALSE,"Staffing";#N/A,#N/A,FALSE,"Hires";#N/A,#N/A,FALSE,"Assumptions"}</definedName>
    <definedName name="________kk1_3" hidden="1">{#N/A,#N/A,FALSE,"Assessment";#N/A,#N/A,FALSE,"Staffing";#N/A,#N/A,FALSE,"Hires";#N/A,#N/A,FALSE,"Assumptions"}</definedName>
    <definedName name="________kk1_4" localSheetId="1" hidden="1">{#N/A,#N/A,FALSE,"Assessment";#N/A,#N/A,FALSE,"Staffing";#N/A,#N/A,FALSE,"Hires";#N/A,#N/A,FALSE,"Assumptions"}</definedName>
    <definedName name="________kk1_4" hidden="1">{#N/A,#N/A,FALSE,"Assessment";#N/A,#N/A,FALSE,"Staffing";#N/A,#N/A,FALSE,"Hires";#N/A,#N/A,FALSE,"Assumptions"}</definedName>
    <definedName name="________KKK1" localSheetId="2"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localSheetId="1" hidden="1">{#N/A,#N/A,FALSE,"Assessment";#N/A,#N/A,FALSE,"Staffing";#N/A,#N/A,FALSE,"Hires";#N/A,#N/A,FALSE,"Assumptions"}</definedName>
    <definedName name="________KKK1" hidden="1">{#N/A,#N/A,FALSE,"Assessment";#N/A,#N/A,FALSE,"Staffing";#N/A,#N/A,FALSE,"Hires";#N/A,#N/A,FALSE,"Assumptions"}</definedName>
    <definedName name="________KKK1_1" localSheetId="1" hidden="1">{#N/A,#N/A,FALSE,"Assessment";#N/A,#N/A,FALSE,"Staffing";#N/A,#N/A,FALSE,"Hires";#N/A,#N/A,FALSE,"Assumptions"}</definedName>
    <definedName name="________KKK1_1" hidden="1">{#N/A,#N/A,FALSE,"Assessment";#N/A,#N/A,FALSE,"Staffing";#N/A,#N/A,FALSE,"Hires";#N/A,#N/A,FALSE,"Assumptions"}</definedName>
    <definedName name="________KKK1_2" localSheetId="1" hidden="1">{#N/A,#N/A,FALSE,"Assessment";#N/A,#N/A,FALSE,"Staffing";#N/A,#N/A,FALSE,"Hires";#N/A,#N/A,FALSE,"Assumptions"}</definedName>
    <definedName name="________KKK1_2" hidden="1">{#N/A,#N/A,FALSE,"Assessment";#N/A,#N/A,FALSE,"Staffing";#N/A,#N/A,FALSE,"Hires";#N/A,#N/A,FALSE,"Assumptions"}</definedName>
    <definedName name="________KKK1_3" localSheetId="1" hidden="1">{#N/A,#N/A,FALSE,"Assessment";#N/A,#N/A,FALSE,"Staffing";#N/A,#N/A,FALSE,"Hires";#N/A,#N/A,FALSE,"Assumptions"}</definedName>
    <definedName name="________KKK1_3" hidden="1">{#N/A,#N/A,FALSE,"Assessment";#N/A,#N/A,FALSE,"Staffing";#N/A,#N/A,FALSE,"Hires";#N/A,#N/A,FALSE,"Assumptions"}</definedName>
    <definedName name="________KKK1_4" localSheetId="1" hidden="1">{#N/A,#N/A,FALSE,"Assessment";#N/A,#N/A,FALSE,"Staffing";#N/A,#N/A,FALSE,"Hires";#N/A,#N/A,FALSE,"Assumptions"}</definedName>
    <definedName name="________KKK1_4" hidden="1">{#N/A,#N/A,FALSE,"Assessment";#N/A,#N/A,FALSE,"Staffing";#N/A,#N/A,FALSE,"Hires";#N/A,#N/A,FALSE,"Assumptions"}</definedName>
    <definedName name="________w2" localSheetId="2"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localSheetId="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localSheetId="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localSheetId="1" hidden="1">{"holdco",#N/A,FALSE,"Summary Financials";"holdco",#N/A,FALSE,"Summary Financials"}</definedName>
    <definedName name="________wr9" hidden="1">{"holdco",#N/A,FALSE,"Summary Financials";"holdco",#N/A,FALSE,"Summary Financials"}</definedName>
    <definedName name="________wr9_1" localSheetId="1" hidden="1">{"holdco",#N/A,FALSE,"Summary Financials";"holdco",#N/A,FALSE,"Summary Financials"}</definedName>
    <definedName name="________wr9_1" hidden="1">{"holdco",#N/A,FALSE,"Summary Financials";"holdco",#N/A,FALSE,"Summary Financials"}</definedName>
    <definedName name="________wr9_2" localSheetId="1" hidden="1">{"holdco",#N/A,FALSE,"Summary Financials";"holdco",#N/A,FALSE,"Summary Financials"}</definedName>
    <definedName name="________wr9_2" hidden="1">{"holdco",#N/A,FALSE,"Summary Financials";"holdco",#N/A,FALSE,"Summary Financials"}</definedName>
    <definedName name="________wr9_3" localSheetId="1" hidden="1">{"holdco",#N/A,FALSE,"Summary Financials";"holdco",#N/A,FALSE,"Summary Financials"}</definedName>
    <definedName name="________wr9_3" hidden="1">{"holdco",#N/A,FALSE,"Summary Financials";"holdco",#N/A,FALSE,"Summary Financials"}</definedName>
    <definedName name="________wr9_4" localSheetId="1" hidden="1">{"holdco",#N/A,FALSE,"Summary Financials";"holdco",#N/A,FALSE,"Summary Financials"}</definedName>
    <definedName name="________wr9_4" hidden="1">{"holdco",#N/A,FALSE,"Summary Financials";"holdco",#N/A,FALSE,"Summary Financials"}</definedName>
    <definedName name="________wrn1" localSheetId="2"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localSheetId="1" hidden="1">{"holdco",#N/A,FALSE,"Summary Financials";"holdco",#N/A,FALSE,"Summary Financials"}</definedName>
    <definedName name="________wrn1" hidden="1">{"holdco",#N/A,FALSE,"Summary Financials";"holdco",#N/A,FALSE,"Summary Financials"}</definedName>
    <definedName name="________wrn1_1" localSheetId="1" hidden="1">{"holdco",#N/A,FALSE,"Summary Financials";"holdco",#N/A,FALSE,"Summary Financials"}</definedName>
    <definedName name="________wrn1_1" hidden="1">{"holdco",#N/A,FALSE,"Summary Financials";"holdco",#N/A,FALSE,"Summary Financials"}</definedName>
    <definedName name="________wrn1_2" localSheetId="1" hidden="1">{"holdco",#N/A,FALSE,"Summary Financials";"holdco",#N/A,FALSE,"Summary Financials"}</definedName>
    <definedName name="________wrn1_2" hidden="1">{"holdco",#N/A,FALSE,"Summary Financials";"holdco",#N/A,FALSE,"Summary Financials"}</definedName>
    <definedName name="________wrn1_3" localSheetId="1" hidden="1">{"holdco",#N/A,FALSE,"Summary Financials";"holdco",#N/A,FALSE,"Summary Financials"}</definedName>
    <definedName name="________wrn1_3" hidden="1">{"holdco",#N/A,FALSE,"Summary Financials";"holdco",#N/A,FALSE,"Summary Financials"}</definedName>
    <definedName name="________wrn1_4" localSheetId="1" hidden="1">{"holdco",#N/A,FALSE,"Summary Financials";"holdco",#N/A,FALSE,"Summary Financials"}</definedName>
    <definedName name="________wrn1_4" hidden="1">{"holdco",#N/A,FALSE,"Summary Financials";"holdco",#N/A,FALSE,"Summary Financials"}</definedName>
    <definedName name="________wrn2" localSheetId="2"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localSheetId="1" hidden="1">{"holdco",#N/A,FALSE,"Summary Financials";"holdco",#N/A,FALSE,"Summary Financials"}</definedName>
    <definedName name="________wrn2" hidden="1">{"holdco",#N/A,FALSE,"Summary Financials";"holdco",#N/A,FALSE,"Summary Financials"}</definedName>
    <definedName name="________wrn2_1" localSheetId="1" hidden="1">{"holdco",#N/A,FALSE,"Summary Financials";"holdco",#N/A,FALSE,"Summary Financials"}</definedName>
    <definedName name="________wrn2_1" hidden="1">{"holdco",#N/A,FALSE,"Summary Financials";"holdco",#N/A,FALSE,"Summary Financials"}</definedName>
    <definedName name="________wrn2_2" localSheetId="1" hidden="1">{"holdco",#N/A,FALSE,"Summary Financials";"holdco",#N/A,FALSE,"Summary Financials"}</definedName>
    <definedName name="________wrn2_2" hidden="1">{"holdco",#N/A,FALSE,"Summary Financials";"holdco",#N/A,FALSE,"Summary Financials"}</definedName>
    <definedName name="________wrn2_3" localSheetId="1" hidden="1">{"holdco",#N/A,FALSE,"Summary Financials";"holdco",#N/A,FALSE,"Summary Financials"}</definedName>
    <definedName name="________wrn2_3" hidden="1">{"holdco",#N/A,FALSE,"Summary Financials";"holdco",#N/A,FALSE,"Summary Financials"}</definedName>
    <definedName name="________wrn2_4" localSheetId="1" hidden="1">{"holdco",#N/A,FALSE,"Summary Financials";"holdco",#N/A,FALSE,"Summary Financials"}</definedName>
    <definedName name="________wrn2_4" hidden="1">{"holdco",#N/A,FALSE,"Summary Financials";"holdco",#N/A,FALSE,"Summary Financials"}</definedName>
    <definedName name="________wrn3" localSheetId="2"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localSheetId="1" hidden="1">{"holdco",#N/A,FALSE,"Summary Financials";"holdco",#N/A,FALSE,"Summary Financials"}</definedName>
    <definedName name="________wrn3" hidden="1">{"holdco",#N/A,FALSE,"Summary Financials";"holdco",#N/A,FALSE,"Summary Financials"}</definedName>
    <definedName name="________wrn3_1" localSheetId="1" hidden="1">{"holdco",#N/A,FALSE,"Summary Financials";"holdco",#N/A,FALSE,"Summary Financials"}</definedName>
    <definedName name="________wrn3_1" hidden="1">{"holdco",#N/A,FALSE,"Summary Financials";"holdco",#N/A,FALSE,"Summary Financials"}</definedName>
    <definedName name="________wrn3_2" localSheetId="1" hidden="1">{"holdco",#N/A,FALSE,"Summary Financials";"holdco",#N/A,FALSE,"Summary Financials"}</definedName>
    <definedName name="________wrn3_2" hidden="1">{"holdco",#N/A,FALSE,"Summary Financials";"holdco",#N/A,FALSE,"Summary Financials"}</definedName>
    <definedName name="________wrn3_3" localSheetId="1" hidden="1">{"holdco",#N/A,FALSE,"Summary Financials";"holdco",#N/A,FALSE,"Summary Financials"}</definedName>
    <definedName name="________wrn3_3" hidden="1">{"holdco",#N/A,FALSE,"Summary Financials";"holdco",#N/A,FALSE,"Summary Financials"}</definedName>
    <definedName name="________wrn3_4" localSheetId="1" hidden="1">{"holdco",#N/A,FALSE,"Summary Financials";"holdco",#N/A,FALSE,"Summary Financials"}</definedName>
    <definedName name="________wrn3_4" hidden="1">{"holdco",#N/A,FALSE,"Summary Financials";"holdco",#N/A,FALSE,"Summary Financials"}</definedName>
    <definedName name="________wrn7" localSheetId="2"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localSheetId="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localSheetId="1" hidden="1">{"holdco",#N/A,FALSE,"Summary Financials";"holdco",#N/A,FALSE,"Summary Financials"}</definedName>
    <definedName name="________wrn8" hidden="1">{"holdco",#N/A,FALSE,"Summary Financials";"holdco",#N/A,FALSE,"Summary Financials"}</definedName>
    <definedName name="________wrn8_1" localSheetId="1" hidden="1">{"holdco",#N/A,FALSE,"Summary Financials";"holdco",#N/A,FALSE,"Summary Financials"}</definedName>
    <definedName name="________wrn8_1" hidden="1">{"holdco",#N/A,FALSE,"Summary Financials";"holdco",#N/A,FALSE,"Summary Financials"}</definedName>
    <definedName name="________wrn8_2" localSheetId="1" hidden="1">{"holdco",#N/A,FALSE,"Summary Financials";"holdco",#N/A,FALSE,"Summary Financials"}</definedName>
    <definedName name="________wrn8_2" hidden="1">{"holdco",#N/A,FALSE,"Summary Financials";"holdco",#N/A,FALSE,"Summary Financials"}</definedName>
    <definedName name="________wrn8_3" localSheetId="1" hidden="1">{"holdco",#N/A,FALSE,"Summary Financials";"holdco",#N/A,FALSE,"Summary Financials"}</definedName>
    <definedName name="________wrn8_3" hidden="1">{"holdco",#N/A,FALSE,"Summary Financials";"holdco",#N/A,FALSE,"Summary Financials"}</definedName>
    <definedName name="________wrn8_4" localSheetId="1" hidden="1">{"holdco",#N/A,FALSE,"Summary Financials";"holdco",#N/A,FALSE,"Summary Financials"}</definedName>
    <definedName name="________wrn8_4" hidden="1">{"holdco",#N/A,FALSE,"Summary Financials";"holdco",#N/A,FALSE,"Summary Financials"}</definedName>
    <definedName name="_______bb2" localSheetId="2" hidden="1">{#N/A,#N/A,FALSE,"PRJCTED MNTHLY QTY's"}</definedName>
    <definedName name="_______bb2" localSheetId="3" hidden="1">{#N/A,#N/A,FALSE,"PRJCTED MNTHLY QTY's"}</definedName>
    <definedName name="_______bb2" localSheetId="4" hidden="1">{#N/A,#N/A,FALSE,"PRJCTED MNTHLY QTY's"}</definedName>
    <definedName name="_______bb2" localSheetId="1" hidden="1">{#N/A,#N/A,FALSE,"PRJCTED MNTHLY QTY's"}</definedName>
    <definedName name="_______bb2" hidden="1">{#N/A,#N/A,FALSE,"PRJCTED MNTHLY QTY's"}</definedName>
    <definedName name="_______bb2_1" localSheetId="1" hidden="1">{#N/A,#N/A,FALSE,"PRJCTED MNTHLY QTY's"}</definedName>
    <definedName name="_______bb2_1" hidden="1">{#N/A,#N/A,FALSE,"PRJCTED MNTHLY QTY's"}</definedName>
    <definedName name="_______bb2_2" localSheetId="1" hidden="1">{#N/A,#N/A,FALSE,"PRJCTED MNTHLY QTY's"}</definedName>
    <definedName name="_______bb2_2" hidden="1">{#N/A,#N/A,FALSE,"PRJCTED MNTHLY QTY's"}</definedName>
    <definedName name="_______bb2_3" localSheetId="1" hidden="1">{#N/A,#N/A,FALSE,"PRJCTED MNTHLY QTY's"}</definedName>
    <definedName name="_______bb2_3" hidden="1">{#N/A,#N/A,FALSE,"PRJCTED MNTHLY QTY's"}</definedName>
    <definedName name="_______bb2_4" localSheetId="1" hidden="1">{#N/A,#N/A,FALSE,"PRJCTED MNTHLY QTY's"}</definedName>
    <definedName name="_______bb2_4" hidden="1">{#N/A,#N/A,FALSE,"PRJCTED MNTHLY QTY's"}</definedName>
    <definedName name="_______Lee5" localSheetId="2" hidden="1">{#VALUE!,#N/A,FALSE,0}</definedName>
    <definedName name="_______Lee5" localSheetId="3" hidden="1">{#VALUE!,#N/A,FALSE,0}</definedName>
    <definedName name="_______Lee5" localSheetId="4" hidden="1">{#VALUE!,#N/A,FALSE,0}</definedName>
    <definedName name="_______Lee5" localSheetId="1" hidden="1">{#VALUE!,#N/A,FALSE,0}</definedName>
    <definedName name="_______Lee5" hidden="1">{#VALUE!,#N/A,FALSE,0}</definedName>
    <definedName name="_______Lee5_1" localSheetId="1" hidden="1">{#VALUE!,#N/A,FALSE,0}</definedName>
    <definedName name="_______Lee5_1" hidden="1">{#VALUE!,#N/A,FALSE,0}</definedName>
    <definedName name="_______Lee5_2" localSheetId="1" hidden="1">{#VALUE!,#N/A,FALSE,0}</definedName>
    <definedName name="_______Lee5_2" hidden="1">{#VALUE!,#N/A,FALSE,0}</definedName>
    <definedName name="_______Lee5_3" localSheetId="1" hidden="1">{#VALUE!,#N/A,FALSE,0}</definedName>
    <definedName name="_______Lee5_3" hidden="1">{#VALUE!,#N/A,FALSE,0}</definedName>
    <definedName name="_______Lee5_4" localSheetId="1" hidden="1">{#VALUE!,#N/A,FALSE,0}</definedName>
    <definedName name="_______Lee5_4" hidden="1">{#VALUE!,#N/A,FALSE,0}</definedName>
    <definedName name="______hom1" localSheetId="2"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localSheetId="1" hidden="1">{#N/A,#N/A,FALSE,"Assessment";#N/A,#N/A,FALSE,"Staffing";#N/A,#N/A,FALSE,"Hires";#N/A,#N/A,FALSE,"Assumptions"}</definedName>
    <definedName name="______hom1" hidden="1">{#N/A,#N/A,FALSE,"Assessment";#N/A,#N/A,FALSE,"Staffing";#N/A,#N/A,FALSE,"Hires";#N/A,#N/A,FALSE,"Assumptions"}</definedName>
    <definedName name="______hom1_1" localSheetId="1" hidden="1">{#N/A,#N/A,FALSE,"Assessment";#N/A,#N/A,FALSE,"Staffing";#N/A,#N/A,FALSE,"Hires";#N/A,#N/A,FALSE,"Assumptions"}</definedName>
    <definedName name="______hom1_1" hidden="1">{#N/A,#N/A,FALSE,"Assessment";#N/A,#N/A,FALSE,"Staffing";#N/A,#N/A,FALSE,"Hires";#N/A,#N/A,FALSE,"Assumptions"}</definedName>
    <definedName name="______hom1_2" localSheetId="1" hidden="1">{#N/A,#N/A,FALSE,"Assessment";#N/A,#N/A,FALSE,"Staffing";#N/A,#N/A,FALSE,"Hires";#N/A,#N/A,FALSE,"Assumptions"}</definedName>
    <definedName name="______hom1_2" hidden="1">{#N/A,#N/A,FALSE,"Assessment";#N/A,#N/A,FALSE,"Staffing";#N/A,#N/A,FALSE,"Hires";#N/A,#N/A,FALSE,"Assumptions"}</definedName>
    <definedName name="______hom1_3" localSheetId="1" hidden="1">{#N/A,#N/A,FALSE,"Assessment";#N/A,#N/A,FALSE,"Staffing";#N/A,#N/A,FALSE,"Hires";#N/A,#N/A,FALSE,"Assumptions"}</definedName>
    <definedName name="______hom1_3" hidden="1">{#N/A,#N/A,FALSE,"Assessment";#N/A,#N/A,FALSE,"Staffing";#N/A,#N/A,FALSE,"Hires";#N/A,#N/A,FALSE,"Assumptions"}</definedName>
    <definedName name="______hom1_4" localSheetId="1" hidden="1">{#N/A,#N/A,FALSE,"Assessment";#N/A,#N/A,FALSE,"Staffing";#N/A,#N/A,FALSE,"Hires";#N/A,#N/A,FALSE,"Assumptions"}</definedName>
    <definedName name="______hom1_4" hidden="1">{#N/A,#N/A,FALSE,"Assessment";#N/A,#N/A,FALSE,"Staffing";#N/A,#N/A,FALSE,"Hires";#N/A,#N/A,FALSE,"Assumptions"}</definedName>
    <definedName name="______k1" localSheetId="2"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localSheetId="1" hidden="1">{#N/A,#N/A,FALSE,"Assessment";#N/A,#N/A,FALSE,"Staffing";#N/A,#N/A,FALSE,"Hires";#N/A,#N/A,FALSE,"Assumptions"}</definedName>
    <definedName name="______k1" hidden="1">{#N/A,#N/A,FALSE,"Assessment";#N/A,#N/A,FALSE,"Staffing";#N/A,#N/A,FALSE,"Hires";#N/A,#N/A,FALSE,"Assumptions"}</definedName>
    <definedName name="______k1_1" localSheetId="1" hidden="1">{#N/A,#N/A,FALSE,"Assessment";#N/A,#N/A,FALSE,"Staffing";#N/A,#N/A,FALSE,"Hires";#N/A,#N/A,FALSE,"Assumptions"}</definedName>
    <definedName name="______k1_1" hidden="1">{#N/A,#N/A,FALSE,"Assessment";#N/A,#N/A,FALSE,"Staffing";#N/A,#N/A,FALSE,"Hires";#N/A,#N/A,FALSE,"Assumptions"}</definedName>
    <definedName name="______k1_2" localSheetId="1" hidden="1">{#N/A,#N/A,FALSE,"Assessment";#N/A,#N/A,FALSE,"Staffing";#N/A,#N/A,FALSE,"Hires";#N/A,#N/A,FALSE,"Assumptions"}</definedName>
    <definedName name="______k1_2" hidden="1">{#N/A,#N/A,FALSE,"Assessment";#N/A,#N/A,FALSE,"Staffing";#N/A,#N/A,FALSE,"Hires";#N/A,#N/A,FALSE,"Assumptions"}</definedName>
    <definedName name="______k1_3" localSheetId="1" hidden="1">{#N/A,#N/A,FALSE,"Assessment";#N/A,#N/A,FALSE,"Staffing";#N/A,#N/A,FALSE,"Hires";#N/A,#N/A,FALSE,"Assumptions"}</definedName>
    <definedName name="______k1_3" hidden="1">{#N/A,#N/A,FALSE,"Assessment";#N/A,#N/A,FALSE,"Staffing";#N/A,#N/A,FALSE,"Hires";#N/A,#N/A,FALSE,"Assumptions"}</definedName>
    <definedName name="______k1_4" localSheetId="1" hidden="1">{#N/A,#N/A,FALSE,"Assessment";#N/A,#N/A,FALSE,"Staffing";#N/A,#N/A,FALSE,"Hires";#N/A,#N/A,FALSE,"Assumptions"}</definedName>
    <definedName name="______k1_4" hidden="1">{#N/A,#N/A,FALSE,"Assessment";#N/A,#N/A,FALSE,"Staffing";#N/A,#N/A,FALSE,"Hires";#N/A,#N/A,FALSE,"Assumptions"}</definedName>
    <definedName name="______kk1" localSheetId="2"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localSheetId="1" hidden="1">{#N/A,#N/A,FALSE,"Assessment";#N/A,#N/A,FALSE,"Staffing";#N/A,#N/A,FALSE,"Hires";#N/A,#N/A,FALSE,"Assumptions"}</definedName>
    <definedName name="______kk1" hidden="1">{#N/A,#N/A,FALSE,"Assessment";#N/A,#N/A,FALSE,"Staffing";#N/A,#N/A,FALSE,"Hires";#N/A,#N/A,FALSE,"Assumptions"}</definedName>
    <definedName name="______kk1_1" localSheetId="1" hidden="1">{#N/A,#N/A,FALSE,"Assessment";#N/A,#N/A,FALSE,"Staffing";#N/A,#N/A,FALSE,"Hires";#N/A,#N/A,FALSE,"Assumptions"}</definedName>
    <definedName name="______kk1_1" hidden="1">{#N/A,#N/A,FALSE,"Assessment";#N/A,#N/A,FALSE,"Staffing";#N/A,#N/A,FALSE,"Hires";#N/A,#N/A,FALSE,"Assumptions"}</definedName>
    <definedName name="______kk1_2" localSheetId="1" hidden="1">{#N/A,#N/A,FALSE,"Assessment";#N/A,#N/A,FALSE,"Staffing";#N/A,#N/A,FALSE,"Hires";#N/A,#N/A,FALSE,"Assumptions"}</definedName>
    <definedName name="______kk1_2" hidden="1">{#N/A,#N/A,FALSE,"Assessment";#N/A,#N/A,FALSE,"Staffing";#N/A,#N/A,FALSE,"Hires";#N/A,#N/A,FALSE,"Assumptions"}</definedName>
    <definedName name="______kk1_3" localSheetId="1" hidden="1">{#N/A,#N/A,FALSE,"Assessment";#N/A,#N/A,FALSE,"Staffing";#N/A,#N/A,FALSE,"Hires";#N/A,#N/A,FALSE,"Assumptions"}</definedName>
    <definedName name="______kk1_3" hidden="1">{#N/A,#N/A,FALSE,"Assessment";#N/A,#N/A,FALSE,"Staffing";#N/A,#N/A,FALSE,"Hires";#N/A,#N/A,FALSE,"Assumptions"}</definedName>
    <definedName name="______kk1_4" localSheetId="1" hidden="1">{#N/A,#N/A,FALSE,"Assessment";#N/A,#N/A,FALSE,"Staffing";#N/A,#N/A,FALSE,"Hires";#N/A,#N/A,FALSE,"Assumptions"}</definedName>
    <definedName name="______kk1_4" hidden="1">{#N/A,#N/A,FALSE,"Assessment";#N/A,#N/A,FALSE,"Staffing";#N/A,#N/A,FALSE,"Hires";#N/A,#N/A,FALSE,"Assumptions"}</definedName>
    <definedName name="______KKK1" localSheetId="2"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localSheetId="1" hidden="1">{#N/A,#N/A,FALSE,"Assessment";#N/A,#N/A,FALSE,"Staffing";#N/A,#N/A,FALSE,"Hires";#N/A,#N/A,FALSE,"Assumptions"}</definedName>
    <definedName name="______KKK1" hidden="1">{#N/A,#N/A,FALSE,"Assessment";#N/A,#N/A,FALSE,"Staffing";#N/A,#N/A,FALSE,"Hires";#N/A,#N/A,FALSE,"Assumptions"}</definedName>
    <definedName name="______KKK1_1" localSheetId="1" hidden="1">{#N/A,#N/A,FALSE,"Assessment";#N/A,#N/A,FALSE,"Staffing";#N/A,#N/A,FALSE,"Hires";#N/A,#N/A,FALSE,"Assumptions"}</definedName>
    <definedName name="______KKK1_1" hidden="1">{#N/A,#N/A,FALSE,"Assessment";#N/A,#N/A,FALSE,"Staffing";#N/A,#N/A,FALSE,"Hires";#N/A,#N/A,FALSE,"Assumptions"}</definedName>
    <definedName name="______KKK1_2" localSheetId="1" hidden="1">{#N/A,#N/A,FALSE,"Assessment";#N/A,#N/A,FALSE,"Staffing";#N/A,#N/A,FALSE,"Hires";#N/A,#N/A,FALSE,"Assumptions"}</definedName>
    <definedName name="______KKK1_2" hidden="1">{#N/A,#N/A,FALSE,"Assessment";#N/A,#N/A,FALSE,"Staffing";#N/A,#N/A,FALSE,"Hires";#N/A,#N/A,FALSE,"Assumptions"}</definedName>
    <definedName name="______KKK1_3" localSheetId="1" hidden="1">{#N/A,#N/A,FALSE,"Assessment";#N/A,#N/A,FALSE,"Staffing";#N/A,#N/A,FALSE,"Hires";#N/A,#N/A,FALSE,"Assumptions"}</definedName>
    <definedName name="______KKK1_3" hidden="1">{#N/A,#N/A,FALSE,"Assessment";#N/A,#N/A,FALSE,"Staffing";#N/A,#N/A,FALSE,"Hires";#N/A,#N/A,FALSE,"Assumptions"}</definedName>
    <definedName name="______KKK1_4" localSheetId="1" hidden="1">{#N/A,#N/A,FALSE,"Assessment";#N/A,#N/A,FALSE,"Staffing";#N/A,#N/A,FALSE,"Hires";#N/A,#N/A,FALSE,"Assumptions"}</definedName>
    <definedName name="______KKK1_4" hidden="1">{#N/A,#N/A,FALSE,"Assessment";#N/A,#N/A,FALSE,"Staffing";#N/A,#N/A,FALSE,"Hires";#N/A,#N/A,FALSE,"Assumptions"}</definedName>
    <definedName name="______w2" localSheetId="2"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localSheetId="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localSheetId="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localSheetId="1" hidden="1">{"holdco",#N/A,FALSE,"Summary Financials";"holdco",#N/A,FALSE,"Summary Financials"}</definedName>
    <definedName name="______wr9" hidden="1">{"holdco",#N/A,FALSE,"Summary Financials";"holdco",#N/A,FALSE,"Summary Financials"}</definedName>
    <definedName name="______wr9_1" localSheetId="1" hidden="1">{"holdco",#N/A,FALSE,"Summary Financials";"holdco",#N/A,FALSE,"Summary Financials"}</definedName>
    <definedName name="______wr9_1" hidden="1">{"holdco",#N/A,FALSE,"Summary Financials";"holdco",#N/A,FALSE,"Summary Financials"}</definedName>
    <definedName name="______wr9_2" localSheetId="1" hidden="1">{"holdco",#N/A,FALSE,"Summary Financials";"holdco",#N/A,FALSE,"Summary Financials"}</definedName>
    <definedName name="______wr9_2" hidden="1">{"holdco",#N/A,FALSE,"Summary Financials";"holdco",#N/A,FALSE,"Summary Financials"}</definedName>
    <definedName name="______wr9_3" localSheetId="1" hidden="1">{"holdco",#N/A,FALSE,"Summary Financials";"holdco",#N/A,FALSE,"Summary Financials"}</definedName>
    <definedName name="______wr9_3" hidden="1">{"holdco",#N/A,FALSE,"Summary Financials";"holdco",#N/A,FALSE,"Summary Financials"}</definedName>
    <definedName name="______wr9_4" localSheetId="1" hidden="1">{"holdco",#N/A,FALSE,"Summary Financials";"holdco",#N/A,FALSE,"Summary Financials"}</definedName>
    <definedName name="______wr9_4" hidden="1">{"holdco",#N/A,FALSE,"Summary Financials";"holdco",#N/A,FALSE,"Summary Financials"}</definedName>
    <definedName name="______wrn1" localSheetId="2"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localSheetId="1" hidden="1">{"holdco",#N/A,FALSE,"Summary Financials";"holdco",#N/A,FALSE,"Summary Financials"}</definedName>
    <definedName name="______wrn1" hidden="1">{"holdco",#N/A,FALSE,"Summary Financials";"holdco",#N/A,FALSE,"Summary Financials"}</definedName>
    <definedName name="______wrn1_1" localSheetId="1" hidden="1">{"holdco",#N/A,FALSE,"Summary Financials";"holdco",#N/A,FALSE,"Summary Financials"}</definedName>
    <definedName name="______wrn1_1" hidden="1">{"holdco",#N/A,FALSE,"Summary Financials";"holdco",#N/A,FALSE,"Summary Financials"}</definedName>
    <definedName name="______wrn1_2" localSheetId="1" hidden="1">{"holdco",#N/A,FALSE,"Summary Financials";"holdco",#N/A,FALSE,"Summary Financials"}</definedName>
    <definedName name="______wrn1_2" hidden="1">{"holdco",#N/A,FALSE,"Summary Financials";"holdco",#N/A,FALSE,"Summary Financials"}</definedName>
    <definedName name="______wrn1_3" localSheetId="1" hidden="1">{"holdco",#N/A,FALSE,"Summary Financials";"holdco",#N/A,FALSE,"Summary Financials"}</definedName>
    <definedName name="______wrn1_3" hidden="1">{"holdco",#N/A,FALSE,"Summary Financials";"holdco",#N/A,FALSE,"Summary Financials"}</definedName>
    <definedName name="______wrn1_4" localSheetId="1" hidden="1">{"holdco",#N/A,FALSE,"Summary Financials";"holdco",#N/A,FALSE,"Summary Financials"}</definedName>
    <definedName name="______wrn1_4" hidden="1">{"holdco",#N/A,FALSE,"Summary Financials";"holdco",#N/A,FALSE,"Summary Financials"}</definedName>
    <definedName name="______wrn2" localSheetId="2"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localSheetId="1" hidden="1">{"holdco",#N/A,FALSE,"Summary Financials";"holdco",#N/A,FALSE,"Summary Financials"}</definedName>
    <definedName name="______wrn2" hidden="1">{"holdco",#N/A,FALSE,"Summary Financials";"holdco",#N/A,FALSE,"Summary Financials"}</definedName>
    <definedName name="______wrn2_1" localSheetId="1" hidden="1">{"holdco",#N/A,FALSE,"Summary Financials";"holdco",#N/A,FALSE,"Summary Financials"}</definedName>
    <definedName name="______wrn2_1" hidden="1">{"holdco",#N/A,FALSE,"Summary Financials";"holdco",#N/A,FALSE,"Summary Financials"}</definedName>
    <definedName name="______wrn2_2" localSheetId="1" hidden="1">{"holdco",#N/A,FALSE,"Summary Financials";"holdco",#N/A,FALSE,"Summary Financials"}</definedName>
    <definedName name="______wrn2_2" hidden="1">{"holdco",#N/A,FALSE,"Summary Financials";"holdco",#N/A,FALSE,"Summary Financials"}</definedName>
    <definedName name="______wrn2_3" localSheetId="1" hidden="1">{"holdco",#N/A,FALSE,"Summary Financials";"holdco",#N/A,FALSE,"Summary Financials"}</definedName>
    <definedName name="______wrn2_3" hidden="1">{"holdco",#N/A,FALSE,"Summary Financials";"holdco",#N/A,FALSE,"Summary Financials"}</definedName>
    <definedName name="______wrn2_4" localSheetId="1" hidden="1">{"holdco",#N/A,FALSE,"Summary Financials";"holdco",#N/A,FALSE,"Summary Financials"}</definedName>
    <definedName name="______wrn2_4" hidden="1">{"holdco",#N/A,FALSE,"Summary Financials";"holdco",#N/A,FALSE,"Summary Financials"}</definedName>
    <definedName name="______wrn3" localSheetId="2"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localSheetId="1" hidden="1">{"holdco",#N/A,FALSE,"Summary Financials";"holdco",#N/A,FALSE,"Summary Financials"}</definedName>
    <definedName name="______wrn3" hidden="1">{"holdco",#N/A,FALSE,"Summary Financials";"holdco",#N/A,FALSE,"Summary Financials"}</definedName>
    <definedName name="______wrn3_1" localSheetId="1" hidden="1">{"holdco",#N/A,FALSE,"Summary Financials";"holdco",#N/A,FALSE,"Summary Financials"}</definedName>
    <definedName name="______wrn3_1" hidden="1">{"holdco",#N/A,FALSE,"Summary Financials";"holdco",#N/A,FALSE,"Summary Financials"}</definedName>
    <definedName name="______wrn3_2" localSheetId="1" hidden="1">{"holdco",#N/A,FALSE,"Summary Financials";"holdco",#N/A,FALSE,"Summary Financials"}</definedName>
    <definedName name="______wrn3_2" hidden="1">{"holdco",#N/A,FALSE,"Summary Financials";"holdco",#N/A,FALSE,"Summary Financials"}</definedName>
    <definedName name="______wrn3_3" localSheetId="1" hidden="1">{"holdco",#N/A,FALSE,"Summary Financials";"holdco",#N/A,FALSE,"Summary Financials"}</definedName>
    <definedName name="______wrn3_3" hidden="1">{"holdco",#N/A,FALSE,"Summary Financials";"holdco",#N/A,FALSE,"Summary Financials"}</definedName>
    <definedName name="______wrn3_4" localSheetId="1" hidden="1">{"holdco",#N/A,FALSE,"Summary Financials";"holdco",#N/A,FALSE,"Summary Financials"}</definedName>
    <definedName name="______wrn3_4" hidden="1">{"holdco",#N/A,FALSE,"Summary Financials";"holdco",#N/A,FALSE,"Summary Financials"}</definedName>
    <definedName name="______wrn7" localSheetId="2"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localSheetId="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localSheetId="1" hidden="1">{"holdco",#N/A,FALSE,"Summary Financials";"holdco",#N/A,FALSE,"Summary Financials"}</definedName>
    <definedName name="______wrn8" hidden="1">{"holdco",#N/A,FALSE,"Summary Financials";"holdco",#N/A,FALSE,"Summary Financials"}</definedName>
    <definedName name="______wrn8_1" localSheetId="1" hidden="1">{"holdco",#N/A,FALSE,"Summary Financials";"holdco",#N/A,FALSE,"Summary Financials"}</definedName>
    <definedName name="______wrn8_1" hidden="1">{"holdco",#N/A,FALSE,"Summary Financials";"holdco",#N/A,FALSE,"Summary Financials"}</definedName>
    <definedName name="______wrn8_2" localSheetId="1" hidden="1">{"holdco",#N/A,FALSE,"Summary Financials";"holdco",#N/A,FALSE,"Summary Financials"}</definedName>
    <definedName name="______wrn8_2" hidden="1">{"holdco",#N/A,FALSE,"Summary Financials";"holdco",#N/A,FALSE,"Summary Financials"}</definedName>
    <definedName name="______wrn8_3" localSheetId="1" hidden="1">{"holdco",#N/A,FALSE,"Summary Financials";"holdco",#N/A,FALSE,"Summary Financials"}</definedName>
    <definedName name="______wrn8_3" hidden="1">{"holdco",#N/A,FALSE,"Summary Financials";"holdco",#N/A,FALSE,"Summary Financials"}</definedName>
    <definedName name="______wrn8_4" localSheetId="1" hidden="1">{"holdco",#N/A,FALSE,"Summary Financials";"holdco",#N/A,FALSE,"Summary Financials"}</definedName>
    <definedName name="______wrn8_4" hidden="1">{"holdco",#N/A,FALSE,"Summary Financials";"holdco",#N/A,FALSE,"Summary Financials"}</definedName>
    <definedName name="_____KKK1" localSheetId="2"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localSheetId="1" hidden="1">{#N/A,#N/A,FALSE,"Assessment";#N/A,#N/A,FALSE,"Staffing";#N/A,#N/A,FALSE,"Hires";#N/A,#N/A,FALSE,"Assumptions"}</definedName>
    <definedName name="_____KKK1" hidden="1">{#N/A,#N/A,FALSE,"Assessment";#N/A,#N/A,FALSE,"Staffing";#N/A,#N/A,FALSE,"Hires";#N/A,#N/A,FALSE,"Assumptions"}</definedName>
    <definedName name="_____KKK1_1" localSheetId="1" hidden="1">{#N/A,#N/A,FALSE,"Assessment";#N/A,#N/A,FALSE,"Staffing";#N/A,#N/A,FALSE,"Hires";#N/A,#N/A,FALSE,"Assumptions"}</definedName>
    <definedName name="_____KKK1_1" hidden="1">{#N/A,#N/A,FALSE,"Assessment";#N/A,#N/A,FALSE,"Staffing";#N/A,#N/A,FALSE,"Hires";#N/A,#N/A,FALSE,"Assumptions"}</definedName>
    <definedName name="_____KKK1_2" localSheetId="1" hidden="1">{#N/A,#N/A,FALSE,"Assessment";#N/A,#N/A,FALSE,"Staffing";#N/A,#N/A,FALSE,"Hires";#N/A,#N/A,FALSE,"Assumptions"}</definedName>
    <definedName name="_____KKK1_2" hidden="1">{#N/A,#N/A,FALSE,"Assessment";#N/A,#N/A,FALSE,"Staffing";#N/A,#N/A,FALSE,"Hires";#N/A,#N/A,FALSE,"Assumptions"}</definedName>
    <definedName name="_____KKK1_3" localSheetId="1" hidden="1">{#N/A,#N/A,FALSE,"Assessment";#N/A,#N/A,FALSE,"Staffing";#N/A,#N/A,FALSE,"Hires";#N/A,#N/A,FALSE,"Assumptions"}</definedName>
    <definedName name="_____KKK1_3" hidden="1">{#N/A,#N/A,FALSE,"Assessment";#N/A,#N/A,FALSE,"Staffing";#N/A,#N/A,FALSE,"Hires";#N/A,#N/A,FALSE,"Assumptions"}</definedName>
    <definedName name="_____KKK1_4" localSheetId="1" hidden="1">{#N/A,#N/A,FALSE,"Assessment";#N/A,#N/A,FALSE,"Staffing";#N/A,#N/A,FALSE,"Hires";#N/A,#N/A,FALSE,"Assumptions"}</definedName>
    <definedName name="_____KKK1_4" hidden="1">{#N/A,#N/A,FALSE,"Assessment";#N/A,#N/A,FALSE,"Staffing";#N/A,#N/A,FALSE,"Hires";#N/A,#N/A,FALSE,"Assumptions"}</definedName>
    <definedName name="_____wrn1" localSheetId="2"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localSheetId="1" hidden="1">{"holdco",#N/A,FALSE,"Summary Financials";"holdco",#N/A,FALSE,"Summary Financials"}</definedName>
    <definedName name="_____wrn1" hidden="1">{"holdco",#N/A,FALSE,"Summary Financials";"holdco",#N/A,FALSE,"Summary Financials"}</definedName>
    <definedName name="_____wrn1_1" localSheetId="1" hidden="1">{"holdco",#N/A,FALSE,"Summary Financials";"holdco",#N/A,FALSE,"Summary Financials"}</definedName>
    <definedName name="_____wrn1_1" hidden="1">{"holdco",#N/A,FALSE,"Summary Financials";"holdco",#N/A,FALSE,"Summary Financials"}</definedName>
    <definedName name="_____wrn1_2" localSheetId="1" hidden="1">{"holdco",#N/A,FALSE,"Summary Financials";"holdco",#N/A,FALSE,"Summary Financials"}</definedName>
    <definedName name="_____wrn1_2" hidden="1">{"holdco",#N/A,FALSE,"Summary Financials";"holdco",#N/A,FALSE,"Summary Financials"}</definedName>
    <definedName name="_____wrn1_3" localSheetId="1" hidden="1">{"holdco",#N/A,FALSE,"Summary Financials";"holdco",#N/A,FALSE,"Summary Financials"}</definedName>
    <definedName name="_____wrn1_3" hidden="1">{"holdco",#N/A,FALSE,"Summary Financials";"holdco",#N/A,FALSE,"Summary Financials"}</definedName>
    <definedName name="_____wrn1_4" localSheetId="1" hidden="1">{"holdco",#N/A,FALSE,"Summary Financials";"holdco",#N/A,FALSE,"Summary Financials"}</definedName>
    <definedName name="_____wrn1_4" hidden="1">{"holdco",#N/A,FALSE,"Summary Financials";"holdco",#N/A,FALSE,"Summary Financials"}</definedName>
    <definedName name="_____wrn2" localSheetId="2"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localSheetId="1" hidden="1">{"holdco",#N/A,FALSE,"Summary Financials";"holdco",#N/A,FALSE,"Summary Financials"}</definedName>
    <definedName name="_____wrn2" hidden="1">{"holdco",#N/A,FALSE,"Summary Financials";"holdco",#N/A,FALSE,"Summary Financials"}</definedName>
    <definedName name="_____wrn2_1" localSheetId="1" hidden="1">{"holdco",#N/A,FALSE,"Summary Financials";"holdco",#N/A,FALSE,"Summary Financials"}</definedName>
    <definedName name="_____wrn2_1" hidden="1">{"holdco",#N/A,FALSE,"Summary Financials";"holdco",#N/A,FALSE,"Summary Financials"}</definedName>
    <definedName name="_____wrn2_2" localSheetId="1" hidden="1">{"holdco",#N/A,FALSE,"Summary Financials";"holdco",#N/A,FALSE,"Summary Financials"}</definedName>
    <definedName name="_____wrn2_2" hidden="1">{"holdco",#N/A,FALSE,"Summary Financials";"holdco",#N/A,FALSE,"Summary Financials"}</definedName>
    <definedName name="_____wrn2_3" localSheetId="1" hidden="1">{"holdco",#N/A,FALSE,"Summary Financials";"holdco",#N/A,FALSE,"Summary Financials"}</definedName>
    <definedName name="_____wrn2_3" hidden="1">{"holdco",#N/A,FALSE,"Summary Financials";"holdco",#N/A,FALSE,"Summary Financials"}</definedName>
    <definedName name="_____wrn2_4" localSheetId="1" hidden="1">{"holdco",#N/A,FALSE,"Summary Financials";"holdco",#N/A,FALSE,"Summary Financials"}</definedName>
    <definedName name="_____wrn2_4" hidden="1">{"holdco",#N/A,FALSE,"Summary Financials";"holdco",#N/A,FALSE,"Summary Financials"}</definedName>
    <definedName name="_____wrn3" localSheetId="2"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localSheetId="1" hidden="1">{"holdco",#N/A,FALSE,"Summary Financials";"holdco",#N/A,FALSE,"Summary Financials"}</definedName>
    <definedName name="_____wrn3" hidden="1">{"holdco",#N/A,FALSE,"Summary Financials";"holdco",#N/A,FALSE,"Summary Financials"}</definedName>
    <definedName name="_____wrn3_1" localSheetId="1" hidden="1">{"holdco",#N/A,FALSE,"Summary Financials";"holdco",#N/A,FALSE,"Summary Financials"}</definedName>
    <definedName name="_____wrn3_1" hidden="1">{"holdco",#N/A,FALSE,"Summary Financials";"holdco",#N/A,FALSE,"Summary Financials"}</definedName>
    <definedName name="_____wrn3_2" localSheetId="1" hidden="1">{"holdco",#N/A,FALSE,"Summary Financials";"holdco",#N/A,FALSE,"Summary Financials"}</definedName>
    <definedName name="_____wrn3_2" hidden="1">{"holdco",#N/A,FALSE,"Summary Financials";"holdco",#N/A,FALSE,"Summary Financials"}</definedName>
    <definedName name="_____wrn3_3" localSheetId="1" hidden="1">{"holdco",#N/A,FALSE,"Summary Financials";"holdco",#N/A,FALSE,"Summary Financials"}</definedName>
    <definedName name="_____wrn3_3" hidden="1">{"holdco",#N/A,FALSE,"Summary Financials";"holdco",#N/A,FALSE,"Summary Financials"}</definedName>
    <definedName name="_____wrn3_4" localSheetId="1" hidden="1">{"holdco",#N/A,FALSE,"Summary Financials";"holdco",#N/A,FALSE,"Summary Financials"}</definedName>
    <definedName name="_____wrn3_4" hidden="1">{"holdco",#N/A,FALSE,"Summary Financials";"holdco",#N/A,FALSE,"Summary Financials"}</definedName>
    <definedName name="_____wrn7" localSheetId="2"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localSheetId="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localSheetId="1" hidden="1">{"holdco",#N/A,FALSE,"Summary Financials";"holdco",#N/A,FALSE,"Summary Financials"}</definedName>
    <definedName name="_____wrn8" hidden="1">{"holdco",#N/A,FALSE,"Summary Financials";"holdco",#N/A,FALSE,"Summary Financials"}</definedName>
    <definedName name="_____wrn8_1" localSheetId="1" hidden="1">{"holdco",#N/A,FALSE,"Summary Financials";"holdco",#N/A,FALSE,"Summary Financials"}</definedName>
    <definedName name="_____wrn8_1" hidden="1">{"holdco",#N/A,FALSE,"Summary Financials";"holdco",#N/A,FALSE,"Summary Financials"}</definedName>
    <definedName name="_____wrn8_2" localSheetId="1" hidden="1">{"holdco",#N/A,FALSE,"Summary Financials";"holdco",#N/A,FALSE,"Summary Financials"}</definedName>
    <definedName name="_____wrn8_2" hidden="1">{"holdco",#N/A,FALSE,"Summary Financials";"holdco",#N/A,FALSE,"Summary Financials"}</definedName>
    <definedName name="_____wrn8_3" localSheetId="1" hidden="1">{"holdco",#N/A,FALSE,"Summary Financials";"holdco",#N/A,FALSE,"Summary Financials"}</definedName>
    <definedName name="_____wrn8_3" hidden="1">{"holdco",#N/A,FALSE,"Summary Financials";"holdco",#N/A,FALSE,"Summary Financials"}</definedName>
    <definedName name="_____wrn8_4" localSheetId="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localSheetId="1" hidden="1">{#N/A,#N/A,FALSE,"Assessment";#N/A,#N/A,FALSE,"Staffing";#N/A,#N/A,FALSE,"Hires";#N/A,#N/A,FALSE,"Assumptions"}</definedName>
    <definedName name="__hom1" hidden="1">{#N/A,#N/A,FALSE,"Assessment";#N/A,#N/A,FALSE,"Staffing";#N/A,#N/A,FALSE,"Hires";#N/A,#N/A,FALSE,"Assumptions"}</definedName>
    <definedName name="__hom1_1" localSheetId="1" hidden="1">{#N/A,#N/A,FALSE,"Assessment";#N/A,#N/A,FALSE,"Staffing";#N/A,#N/A,FALSE,"Hires";#N/A,#N/A,FALSE,"Assumptions"}</definedName>
    <definedName name="__hom1_1" hidden="1">{#N/A,#N/A,FALSE,"Assessment";#N/A,#N/A,FALSE,"Staffing";#N/A,#N/A,FALSE,"Hires";#N/A,#N/A,FALSE,"Assumptions"}</definedName>
    <definedName name="__hom1_2" localSheetId="1" hidden="1">{#N/A,#N/A,FALSE,"Assessment";#N/A,#N/A,FALSE,"Staffing";#N/A,#N/A,FALSE,"Hires";#N/A,#N/A,FALSE,"Assumptions"}</definedName>
    <definedName name="__hom1_2" hidden="1">{#N/A,#N/A,FALSE,"Assessment";#N/A,#N/A,FALSE,"Staffing";#N/A,#N/A,FALSE,"Hires";#N/A,#N/A,FALSE,"Assumptions"}</definedName>
    <definedName name="__hom1_3" localSheetId="1" hidden="1">{#N/A,#N/A,FALSE,"Assessment";#N/A,#N/A,FALSE,"Staffing";#N/A,#N/A,FALSE,"Hires";#N/A,#N/A,FALSE,"Assumptions"}</definedName>
    <definedName name="__hom1_3" hidden="1">{#N/A,#N/A,FALSE,"Assessment";#N/A,#N/A,FALSE,"Staffing";#N/A,#N/A,FALSE,"Hires";#N/A,#N/A,FALSE,"Assumptions"}</definedName>
    <definedName name="__hom1_4" localSheetId="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localSheetId="1" hidden="1">{#N/A,#N/A,FALSE,"Assessment";#N/A,#N/A,FALSE,"Staffing";#N/A,#N/A,FALSE,"Hires";#N/A,#N/A,FALSE,"Assumptions"}</definedName>
    <definedName name="__kk1" hidden="1">{#N/A,#N/A,FALSE,"Assessment";#N/A,#N/A,FALSE,"Staffing";#N/A,#N/A,FALSE,"Hires";#N/A,#N/A,FALSE,"Assumptions"}</definedName>
    <definedName name="__kk1_1" localSheetId="1" hidden="1">{#N/A,#N/A,FALSE,"Assessment";#N/A,#N/A,FALSE,"Staffing";#N/A,#N/A,FALSE,"Hires";#N/A,#N/A,FALSE,"Assumptions"}</definedName>
    <definedName name="__kk1_1" hidden="1">{#N/A,#N/A,FALSE,"Assessment";#N/A,#N/A,FALSE,"Staffing";#N/A,#N/A,FALSE,"Hires";#N/A,#N/A,FALSE,"Assumptions"}</definedName>
    <definedName name="__kk1_2" localSheetId="1" hidden="1">{#N/A,#N/A,FALSE,"Assessment";#N/A,#N/A,FALSE,"Staffing";#N/A,#N/A,FALSE,"Hires";#N/A,#N/A,FALSE,"Assumptions"}</definedName>
    <definedName name="__kk1_2" hidden="1">{#N/A,#N/A,FALSE,"Assessment";#N/A,#N/A,FALSE,"Staffing";#N/A,#N/A,FALSE,"Hires";#N/A,#N/A,FALSE,"Assumptions"}</definedName>
    <definedName name="__kk1_3" localSheetId="1" hidden="1">{#N/A,#N/A,FALSE,"Assessment";#N/A,#N/A,FALSE,"Staffing";#N/A,#N/A,FALSE,"Hires";#N/A,#N/A,FALSE,"Assumptions"}</definedName>
    <definedName name="__kk1_3" hidden="1">{#N/A,#N/A,FALSE,"Assessment";#N/A,#N/A,FALSE,"Staffing";#N/A,#N/A,FALSE,"Hires";#N/A,#N/A,FALSE,"Assumptions"}</definedName>
    <definedName name="__kk1_4" localSheetId="1" hidden="1">{#N/A,#N/A,FALSE,"Assessment";#N/A,#N/A,FALSE,"Staffing";#N/A,#N/A,FALSE,"Hires";#N/A,#N/A,FALSE,"Assumptions"}</definedName>
    <definedName name="__kk1_4" hidden="1">{#N/A,#N/A,FALSE,"Assessment";#N/A,#N/A,FALSE,"Staffing";#N/A,#N/A,FALSE,"Hires";#N/A,#N/A,FALSE,"Assumptions"}</definedName>
    <definedName name="__KKK1" localSheetId="2"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localSheetId="1" hidden="1">{#N/A,#N/A,FALSE,"Assessment";#N/A,#N/A,FALSE,"Staffing";#N/A,#N/A,FALSE,"Hires";#N/A,#N/A,FALSE,"Assumptions"}</definedName>
    <definedName name="__KKK1" hidden="1">{#N/A,#N/A,FALSE,"Assessment";#N/A,#N/A,FALSE,"Staffing";#N/A,#N/A,FALSE,"Hires";#N/A,#N/A,FALSE,"Assumptions"}</definedName>
    <definedName name="__KKK1_1" localSheetId="1" hidden="1">{#N/A,#N/A,FALSE,"Assessment";#N/A,#N/A,FALSE,"Staffing";#N/A,#N/A,FALSE,"Hires";#N/A,#N/A,FALSE,"Assumptions"}</definedName>
    <definedName name="__KKK1_1" hidden="1">{#N/A,#N/A,FALSE,"Assessment";#N/A,#N/A,FALSE,"Staffing";#N/A,#N/A,FALSE,"Hires";#N/A,#N/A,FALSE,"Assumptions"}</definedName>
    <definedName name="__KKK1_2" localSheetId="1" hidden="1">{#N/A,#N/A,FALSE,"Assessment";#N/A,#N/A,FALSE,"Staffing";#N/A,#N/A,FALSE,"Hires";#N/A,#N/A,FALSE,"Assumptions"}</definedName>
    <definedName name="__KKK1_2" hidden="1">{#N/A,#N/A,FALSE,"Assessment";#N/A,#N/A,FALSE,"Staffing";#N/A,#N/A,FALSE,"Hires";#N/A,#N/A,FALSE,"Assumptions"}</definedName>
    <definedName name="__KKK1_3" localSheetId="1" hidden="1">{#N/A,#N/A,FALSE,"Assessment";#N/A,#N/A,FALSE,"Staffing";#N/A,#N/A,FALSE,"Hires";#N/A,#N/A,FALSE,"Assumptions"}</definedName>
    <definedName name="__KKK1_3" hidden="1">{#N/A,#N/A,FALSE,"Assessment";#N/A,#N/A,FALSE,"Staffing";#N/A,#N/A,FALSE,"Hires";#N/A,#N/A,FALSE,"Assumptions"}</definedName>
    <definedName name="__KKK1_4" localSheetId="1" hidden="1">{#N/A,#N/A,FALSE,"Assessment";#N/A,#N/A,FALSE,"Staffing";#N/A,#N/A,FALSE,"Hires";#N/A,#N/A,FALSE,"Assumptions"}</definedName>
    <definedName name="__KKK1_4" hidden="1">{#N/A,#N/A,FALSE,"Assessment";#N/A,#N/A,FALSE,"Staffing";#N/A,#N/A,FALSE,"Hires";#N/A,#N/A,FALSE,"Assumptions"}</definedName>
    <definedName name="__wrn1" localSheetId="2"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localSheetId="1" hidden="1">{"holdco",#N/A,FALSE,"Summary Financials";"holdco",#N/A,FALSE,"Summary Financials"}</definedName>
    <definedName name="__wrn1" hidden="1">{"holdco",#N/A,FALSE,"Summary Financials";"holdco",#N/A,FALSE,"Summary Financials"}</definedName>
    <definedName name="__wrn1_1" localSheetId="1" hidden="1">{"holdco",#N/A,FALSE,"Summary Financials";"holdco",#N/A,FALSE,"Summary Financials"}</definedName>
    <definedName name="__wrn1_1" hidden="1">{"holdco",#N/A,FALSE,"Summary Financials";"holdco",#N/A,FALSE,"Summary Financials"}</definedName>
    <definedName name="__wrn1_2" localSheetId="1" hidden="1">{"holdco",#N/A,FALSE,"Summary Financials";"holdco",#N/A,FALSE,"Summary Financials"}</definedName>
    <definedName name="__wrn1_2" hidden="1">{"holdco",#N/A,FALSE,"Summary Financials";"holdco",#N/A,FALSE,"Summary Financials"}</definedName>
    <definedName name="__wrn1_3" localSheetId="1" hidden="1">{"holdco",#N/A,FALSE,"Summary Financials";"holdco",#N/A,FALSE,"Summary Financials"}</definedName>
    <definedName name="__wrn1_3" hidden="1">{"holdco",#N/A,FALSE,"Summary Financials";"holdco",#N/A,FALSE,"Summary Financials"}</definedName>
    <definedName name="__wrn1_4" localSheetId="1" hidden="1">{"holdco",#N/A,FALSE,"Summary Financials";"holdco",#N/A,FALSE,"Summary Financials"}</definedName>
    <definedName name="__wrn1_4" hidden="1">{"holdco",#N/A,FALSE,"Summary Financials";"holdco",#N/A,FALSE,"Summary Financials"}</definedName>
    <definedName name="__wrn2" localSheetId="2"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localSheetId="1" hidden="1">{"holdco",#N/A,FALSE,"Summary Financials";"holdco",#N/A,FALSE,"Summary Financials"}</definedName>
    <definedName name="__wrn2" hidden="1">{"holdco",#N/A,FALSE,"Summary Financials";"holdco",#N/A,FALSE,"Summary Financials"}</definedName>
    <definedName name="__wrn2_1" localSheetId="1" hidden="1">{"holdco",#N/A,FALSE,"Summary Financials";"holdco",#N/A,FALSE,"Summary Financials"}</definedName>
    <definedName name="__wrn2_1" hidden="1">{"holdco",#N/A,FALSE,"Summary Financials";"holdco",#N/A,FALSE,"Summary Financials"}</definedName>
    <definedName name="__wrn2_2" localSheetId="1" hidden="1">{"holdco",#N/A,FALSE,"Summary Financials";"holdco",#N/A,FALSE,"Summary Financials"}</definedName>
    <definedName name="__wrn2_2" hidden="1">{"holdco",#N/A,FALSE,"Summary Financials";"holdco",#N/A,FALSE,"Summary Financials"}</definedName>
    <definedName name="__wrn2_3" localSheetId="1" hidden="1">{"holdco",#N/A,FALSE,"Summary Financials";"holdco",#N/A,FALSE,"Summary Financials"}</definedName>
    <definedName name="__wrn2_3" hidden="1">{"holdco",#N/A,FALSE,"Summary Financials";"holdco",#N/A,FALSE,"Summary Financials"}</definedName>
    <definedName name="__wrn2_4" localSheetId="1" hidden="1">{"holdco",#N/A,FALSE,"Summary Financials";"holdco",#N/A,FALSE,"Summary Financials"}</definedName>
    <definedName name="__wrn2_4" hidden="1">{"holdco",#N/A,FALSE,"Summary Financials";"holdco",#N/A,FALSE,"Summary Financials"}</definedName>
    <definedName name="__wrn3" localSheetId="2"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localSheetId="1" hidden="1">{"holdco",#N/A,FALSE,"Summary Financials";"holdco",#N/A,FALSE,"Summary Financials"}</definedName>
    <definedName name="__wrn3" hidden="1">{"holdco",#N/A,FALSE,"Summary Financials";"holdco",#N/A,FALSE,"Summary Financials"}</definedName>
    <definedName name="__wrn3_1" localSheetId="1" hidden="1">{"holdco",#N/A,FALSE,"Summary Financials";"holdco",#N/A,FALSE,"Summary Financials"}</definedName>
    <definedName name="__wrn3_1" hidden="1">{"holdco",#N/A,FALSE,"Summary Financials";"holdco",#N/A,FALSE,"Summary Financials"}</definedName>
    <definedName name="__wrn3_2" localSheetId="1" hidden="1">{"holdco",#N/A,FALSE,"Summary Financials";"holdco",#N/A,FALSE,"Summary Financials"}</definedName>
    <definedName name="__wrn3_2" hidden="1">{"holdco",#N/A,FALSE,"Summary Financials";"holdco",#N/A,FALSE,"Summary Financials"}</definedName>
    <definedName name="__wrn3_3" localSheetId="1" hidden="1">{"holdco",#N/A,FALSE,"Summary Financials";"holdco",#N/A,FALSE,"Summary Financials"}</definedName>
    <definedName name="__wrn3_3" hidden="1">{"holdco",#N/A,FALSE,"Summary Financials";"holdco",#N/A,FALSE,"Summary Financials"}</definedName>
    <definedName name="__wrn3_4" localSheetId="1" hidden="1">{"holdco",#N/A,FALSE,"Summary Financials";"holdco",#N/A,FALSE,"Summary Financials"}</definedName>
    <definedName name="__wrn3_4" hidden="1">{"holdco",#N/A,FALSE,"Summary Financials";"holdco",#N/A,FALSE,"Summary Financials"}</definedName>
    <definedName name="__wrn7" localSheetId="2"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localSheetId="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localSheetId="1" hidden="1">{"holdco",#N/A,FALSE,"Summary Financials";"holdco",#N/A,FALSE,"Summary Financials"}</definedName>
    <definedName name="__wrn8" hidden="1">{"holdco",#N/A,FALSE,"Summary Financials";"holdco",#N/A,FALSE,"Summary Financials"}</definedName>
    <definedName name="__wrn8_1" localSheetId="1" hidden="1">{"holdco",#N/A,FALSE,"Summary Financials";"holdco",#N/A,FALSE,"Summary Financials"}</definedName>
    <definedName name="__wrn8_1" hidden="1">{"holdco",#N/A,FALSE,"Summary Financials";"holdco",#N/A,FALSE,"Summary Financials"}</definedName>
    <definedName name="__wrn8_2" localSheetId="1" hidden="1">{"holdco",#N/A,FALSE,"Summary Financials";"holdco",#N/A,FALSE,"Summary Financials"}</definedName>
    <definedName name="__wrn8_2" hidden="1">{"holdco",#N/A,FALSE,"Summary Financials";"holdco",#N/A,FALSE,"Summary Financials"}</definedName>
    <definedName name="__wrn8_3" localSheetId="1" hidden="1">{"holdco",#N/A,FALSE,"Summary Financials";"holdco",#N/A,FALSE,"Summary Financials"}</definedName>
    <definedName name="__wrn8_3" hidden="1">{"holdco",#N/A,FALSE,"Summary Financials";"holdco",#N/A,FALSE,"Summary Financials"}</definedName>
    <definedName name="__wrn8_4" localSheetId="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localSheetId="2" hidden="1">#REF!</definedName>
    <definedName name="_Fill" hidden="1">#REF!</definedName>
    <definedName name="_xlnm._FilterDatabase" localSheetId="3" hidden="1">'NARM1 - Risk Index Weightings'!$A$5:$K$10</definedName>
    <definedName name="_xlnm._FilterDatabase" localSheetId="6" hidden="1">'NARM6 - Risk Summary'!$B$15:$O$381</definedName>
    <definedName name="_xlnm._FilterDatabase" localSheetId="7" hidden="1">'NARM7 - Dashboard'!$A$2:$AK$68</definedName>
    <definedName name="_xlnm._FilterDatabase" localSheetId="8" hidden="1">'NARM8 - Variance Analysis'!$B$63:$AA$114</definedName>
    <definedName name="_Key1" localSheetId="2" hidden="1">#REF!</definedName>
    <definedName name="_Key1" localSheetId="1" hidden="1">#REF!</definedName>
    <definedName name="_Key1" hidden="1">#REF!</definedName>
    <definedName name="_Key2" localSheetId="2" hidden="1">#REF!</definedName>
    <definedName name="_Key2" hidden="1">#REF!</definedName>
    <definedName name="_Order1" hidden="1">255</definedName>
    <definedName name="_Order2" hidden="1">0</definedName>
    <definedName name="_Sort" localSheetId="2" hidden="1">#REF!</definedName>
    <definedName name="_Sort" hidden="1">#REF!</definedName>
    <definedName name="a" localSheetId="2" hidden="1">#REF!</definedName>
    <definedName name="a" localSheetId="3" hidden="1">{"staff",#N/A,FALSE,"Current Month"}</definedName>
    <definedName name="a" localSheetId="4" hidden="1">{"staff",#N/A,FALSE,"Current Month"}</definedName>
    <definedName name="a" localSheetId="1"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localSheetId="2" hidden="1">[4]Sheet1!#REF!</definedName>
    <definedName name="ACwvu.CapersView." hidden="1">[4]Sheet1!#REF!</definedName>
    <definedName name="ACwvu.Japan_Capers_Ed_Pub." localSheetId="2" hidden="1">#REF!</definedName>
    <definedName name="ACwvu.Japan_Capers_Ed_Pub." localSheetId="1" hidden="1">#REF!</definedName>
    <definedName name="ACwvu.Japan_Capers_Ed_Pub." hidden="1">#REF!</definedName>
    <definedName name="ACwvu.KJP_CC." localSheetId="2" hidden="1">#REF!</definedName>
    <definedName name="ACwvu.KJP_CC." hidden="1">#REF!</definedName>
    <definedName name="All_Other_Yr1_1">'NARM5 – ED2 actuals'!$BX$7:$CB$10</definedName>
    <definedName name="All_Other_Yr1_10">'NARM5 – ED2 actuals'!$BX$295:$CB$298</definedName>
    <definedName name="All_Other_Yr1_11">'NARM5 – ED2 actuals'!$BX$327:$CB$330</definedName>
    <definedName name="All_Other_Yr1_12">'NARM5 – ED2 actuals'!$BX$359:$CB$362</definedName>
    <definedName name="All_Other_Yr1_13">'NARM5 – ED2 actuals'!$BX$391:$CB$394</definedName>
    <definedName name="All_Other_Yr1_14">'NARM5 – ED2 actuals'!$BX$423:$CB$426</definedName>
    <definedName name="All_Other_Yr1_15">'NARM5 – ED2 actuals'!$BX$455:$CB$458</definedName>
    <definedName name="All_Other_Yr1_16">'NARM5 – ED2 actuals'!$BX$487:$CB$490</definedName>
    <definedName name="All_Other_Yr1_17">'NARM5 – ED2 actuals'!$BX$519:$CB$522</definedName>
    <definedName name="All_Other_Yr1_18">'NARM5 – ED2 actuals'!$BX$551:$CB$554</definedName>
    <definedName name="All_Other_Yr1_19">'NARM5 – ED2 actuals'!$BX$583:$CB$586</definedName>
    <definedName name="All_Other_Yr1_2">'NARM5 – ED2 actuals'!$BX$39:$CB$42</definedName>
    <definedName name="All_Other_Yr1_20">'NARM5 – ED2 actuals'!$BX$615:$CB$618</definedName>
    <definedName name="All_Other_Yr1_21">'NARM5 – ED2 actuals'!$BX$647:$CB$650</definedName>
    <definedName name="All_Other_Yr1_22">'NARM5 – ED2 actuals'!$BX$679:$CB$682</definedName>
    <definedName name="All_Other_Yr1_23">'NARM5 – ED2 actuals'!$BX$711:$CB$714</definedName>
    <definedName name="All_Other_Yr1_24">'NARM5 – ED2 actuals'!$BX$743:$CB$746</definedName>
    <definedName name="All_Other_Yr1_25">'NARM5 – ED2 actuals'!$BX$775:$CB$778</definedName>
    <definedName name="All_Other_Yr1_26">'NARM5 – ED2 actuals'!$BX$807:$CB$810</definedName>
    <definedName name="All_Other_Yr1_27">'NARM5 – ED2 actuals'!$BX$839:$CB$842</definedName>
    <definedName name="All_Other_Yr1_28">'NARM5 – ED2 actuals'!$BX$871:$CB$874</definedName>
    <definedName name="All_Other_Yr1_29">'NARM5 – ED2 actuals'!$BX$903:$CB$906</definedName>
    <definedName name="All_Other_Yr1_3">'NARM5 – ED2 actuals'!$BX$71:$CB$74</definedName>
    <definedName name="All_Other_Yr1_30">'NARM5 – ED2 actuals'!$BX$935:$CB$938</definedName>
    <definedName name="All_Other_Yr1_31">'NARM5 – ED2 actuals'!$BX$967:$CB$970</definedName>
    <definedName name="All_Other_Yr1_32">'NARM5 – ED2 actuals'!$BX$999:$CB$1002</definedName>
    <definedName name="All_Other_Yr1_33">'NARM5 – ED2 actuals'!$BX$1031:$CB$1034</definedName>
    <definedName name="All_Other_Yr1_34">'NARM5 – ED2 actuals'!$BX$1063:$CB$1066</definedName>
    <definedName name="All_Other_Yr1_35">'NARM5 – ED2 actuals'!$BX$1095:$CB$1098</definedName>
    <definedName name="All_Other_Yr1_36">'NARM5 – ED2 actuals'!$BX$1127:$CB$1130</definedName>
    <definedName name="All_Other_Yr1_37">'NARM5 – ED2 actuals'!$BX$1159:$CB$1162</definedName>
    <definedName name="All_Other_Yr1_38">'NARM5 – ED2 actuals'!$BX$1191:$CB$1194</definedName>
    <definedName name="All_Other_Yr1_39">'NARM5 – ED2 actuals'!$BX$1223:$CB$1226</definedName>
    <definedName name="All_Other_Yr1_4">'NARM5 – ED2 actuals'!$BX$103:$CB$106</definedName>
    <definedName name="All_Other_Yr1_40">'NARM5 – ED2 actuals'!$BX$1255:$CB$1258</definedName>
    <definedName name="All_Other_Yr1_41">'NARM5 – ED2 actuals'!$BX$1287:$CB$1290</definedName>
    <definedName name="All_Other_Yr1_42">'NARM5 – ED2 actuals'!$BX$1319:$CB$1322</definedName>
    <definedName name="All_Other_Yr1_43">'NARM5 – ED2 actuals'!$BX$1351:$CB$1354</definedName>
    <definedName name="All_Other_Yr1_44">'NARM5 – ED2 actuals'!$BX$1383:$CB$1386</definedName>
    <definedName name="All_Other_Yr1_45">'NARM5 – ED2 actuals'!$BX$1415:$CB$1418</definedName>
    <definedName name="All_Other_Yr1_46">'NARM5 – ED2 actuals'!$BX$1447:$CB$1450</definedName>
    <definedName name="All_Other_Yr1_47">'NARM5 – ED2 actuals'!$BX$1479:$CB$1482</definedName>
    <definedName name="All_Other_Yr1_48">'NARM5 – ED2 actuals'!$BX$1511:$CB$1514</definedName>
    <definedName name="All_Other_Yr1_49">'NARM5 – ED2 actuals'!$BX$1543:$CB$1546</definedName>
    <definedName name="All_Other_Yr1_5">'NARM5 – ED2 actuals'!$BX$135:$CB$138</definedName>
    <definedName name="All_Other_Yr1_50">'NARM5 – ED2 actuals'!$BX$1575:$CB$1578</definedName>
    <definedName name="All_Other_Yr1_51">'NARM5 – ED2 actuals'!$BX$1607:$CB$1610</definedName>
    <definedName name="All_Other_Yr1_52">'NARM5 – ED2 actuals'!$BX$1639:$CB$1642</definedName>
    <definedName name="All_Other_Yr1_53">'NARM5 – ED2 actuals'!$BX$1671:$CB$1674</definedName>
    <definedName name="All_Other_Yr1_54">'NARM5 – ED2 actuals'!$BX$1703:$CB$1706</definedName>
    <definedName name="All_Other_Yr1_55">'NARM5 – ED2 actuals'!$BX$1735:$CB$1738</definedName>
    <definedName name="All_Other_Yr1_56">'NARM5 – ED2 actuals'!$BX$1767:$CB$1770</definedName>
    <definedName name="All_Other_Yr1_57">'NARM5 – ED2 actuals'!$BX$1799:$CB$1802</definedName>
    <definedName name="All_Other_Yr1_58">'NARM5 – ED2 actuals'!$BX$1831:$CB$1834</definedName>
    <definedName name="All_Other_Yr1_59">'NARM5 – ED2 actuals'!$BX$1863:$CB$1866</definedName>
    <definedName name="All_Other_Yr1_6">'NARM5 – ED2 actuals'!$BX$167:$CB$170</definedName>
    <definedName name="All_Other_Yr1_60">'NARM5 – ED2 actuals'!$BX$1895:$CB$1898</definedName>
    <definedName name="All_Other_Yr1_61">'NARM5 – ED2 actuals'!$BX$1927:$CB$1930</definedName>
    <definedName name="All_Other_Yr1_7">'NARM5 – ED2 actuals'!$BX$199:$CB$202</definedName>
    <definedName name="All_Other_Yr1_8">'NARM5 – ED2 actuals'!$BX$231:$CB$234</definedName>
    <definedName name="All_Other_Yr1_9">'NARM5 – ED2 actuals'!$BX$263:$CB$266</definedName>
    <definedName name="All_Other_Yr2_1">'NARM5 – ED2 actuals'!$BX$13:$CB$16</definedName>
    <definedName name="All_Other_Yr2_10">'NARM5 – ED2 actuals'!$BX$301:$CB$304</definedName>
    <definedName name="All_Other_Yr2_11">'NARM5 – ED2 actuals'!$BX$333:$CB$336</definedName>
    <definedName name="All_Other_Yr2_12">'NARM5 – ED2 actuals'!$BX$365:$CB$368</definedName>
    <definedName name="All_Other_Yr2_13">'NARM5 – ED2 actuals'!$BX$397:$CB$400</definedName>
    <definedName name="All_Other_Yr2_14">'NARM5 – ED2 actuals'!$BX$429:$CB$432</definedName>
    <definedName name="All_Other_Yr2_15">'NARM5 – ED2 actuals'!$BX$461:$CB$464</definedName>
    <definedName name="All_Other_Yr2_16">'NARM5 – ED2 actuals'!$BX$493:$CB$496</definedName>
    <definedName name="All_Other_Yr2_17">'NARM5 – ED2 actuals'!$BX$525:$CB$528</definedName>
    <definedName name="All_Other_Yr2_18">'NARM5 – ED2 actuals'!$BX$557:$CB$560</definedName>
    <definedName name="All_Other_Yr2_19">'NARM5 – ED2 actuals'!$BX$589:$CB$592</definedName>
    <definedName name="All_Other_Yr2_2">'NARM5 – ED2 actuals'!$BX$45:$CB$48</definedName>
    <definedName name="All_Other_Yr2_20">'NARM5 – ED2 actuals'!$BX$621:$CB$624</definedName>
    <definedName name="All_Other_Yr2_21">'NARM5 – ED2 actuals'!$BX$653:$CB$656</definedName>
    <definedName name="All_Other_Yr2_22">'NARM5 – ED2 actuals'!$BX$685:$CB$688</definedName>
    <definedName name="All_Other_Yr2_23">'NARM5 – ED2 actuals'!$BX$717:$CB$720</definedName>
    <definedName name="All_Other_Yr2_24">'NARM5 – ED2 actuals'!$BX$749:$CB$752</definedName>
    <definedName name="All_Other_Yr2_25">'NARM5 – ED2 actuals'!$BX$781:$CB$784</definedName>
    <definedName name="All_Other_Yr2_26">'NARM5 – ED2 actuals'!$BX$813:$CB$816</definedName>
    <definedName name="All_Other_Yr2_27">'NARM5 – ED2 actuals'!$BX$845:$CB$848</definedName>
    <definedName name="All_Other_Yr2_28">'NARM5 – ED2 actuals'!$BX$877:$CB$880</definedName>
    <definedName name="All_Other_Yr2_29">'NARM5 – ED2 actuals'!$BX$909:$CB$912</definedName>
    <definedName name="All_Other_Yr2_3">'NARM5 – ED2 actuals'!$BX$77:$CB$80</definedName>
    <definedName name="All_Other_Yr2_30">'NARM5 – ED2 actuals'!$BX$941:$CB$944</definedName>
    <definedName name="All_Other_Yr2_31">'NARM5 – ED2 actuals'!$BX$973:$CB$976</definedName>
    <definedName name="All_Other_Yr2_32">'NARM5 – ED2 actuals'!$BX$1005:$CB$1008</definedName>
    <definedName name="All_Other_Yr2_33">'NARM5 – ED2 actuals'!$BX$1037:$CB$1040</definedName>
    <definedName name="All_Other_Yr2_34">'NARM5 – ED2 actuals'!$BX$1069:$CB$1072</definedName>
    <definedName name="All_Other_Yr2_35">'NARM5 – ED2 actuals'!$BX$1101:$CB$1104</definedName>
    <definedName name="All_Other_Yr2_36">'NARM5 – ED2 actuals'!$BX$1133:$CB$1136</definedName>
    <definedName name="All_Other_Yr2_37">'NARM5 – ED2 actuals'!$BX$1165:$CB$1168</definedName>
    <definedName name="All_Other_Yr2_38">'NARM5 – ED2 actuals'!$BX$1197:$CB$1200</definedName>
    <definedName name="All_Other_Yr2_39">'NARM5 – ED2 actuals'!$BX$1229:$CB$1232</definedName>
    <definedName name="All_Other_Yr2_4">'NARM5 – ED2 actuals'!$BX$109:$CB$112</definedName>
    <definedName name="All_Other_Yr2_40">'NARM5 – ED2 actuals'!$BX$1261:$CB$1264</definedName>
    <definedName name="All_Other_Yr2_41">'NARM5 – ED2 actuals'!$BX$1293:$CB$1296</definedName>
    <definedName name="All_Other_Yr2_42">'NARM5 – ED2 actuals'!$BX$1325:$CB$1328</definedName>
    <definedName name="All_Other_Yr2_43">'NARM5 – ED2 actuals'!$BX$1357:$CB$1360</definedName>
    <definedName name="All_Other_Yr2_44">'NARM5 – ED2 actuals'!$BX$1389:$CB$1392</definedName>
    <definedName name="All_Other_Yr2_45">'NARM5 – ED2 actuals'!$BX$1421:$CB$1424</definedName>
    <definedName name="All_Other_Yr2_46">'NARM5 – ED2 actuals'!$BX$1453:$CB$1456</definedName>
    <definedName name="All_Other_Yr2_47">'NARM5 – ED2 actuals'!$BX$1485:$CB$1488</definedName>
    <definedName name="All_Other_Yr2_48">'NARM5 – ED2 actuals'!$BX$1517:$CB$1520</definedName>
    <definedName name="All_Other_Yr2_49">'NARM5 – ED2 actuals'!$BX$1549:$CB$1552</definedName>
    <definedName name="All_Other_Yr2_5">'NARM5 – ED2 actuals'!$BX$141:$CB$144</definedName>
    <definedName name="All_Other_Yr2_50">'NARM5 – ED2 actuals'!$BX$1581:$CB$1584</definedName>
    <definedName name="All_Other_Yr2_51">'NARM5 – ED2 actuals'!$BX$1613:$CB$1616</definedName>
    <definedName name="All_Other_Yr2_52">'NARM5 – ED2 actuals'!$BX$1645:$CB$1648</definedName>
    <definedName name="All_Other_Yr2_53">'NARM5 – ED2 actuals'!$BX$1677:$CB$1680</definedName>
    <definedName name="All_Other_Yr2_54">'NARM5 – ED2 actuals'!$BX$1709:$CB$1712</definedName>
    <definedName name="All_Other_Yr2_55">'NARM5 – ED2 actuals'!$BX$1741:$CB$1744</definedName>
    <definedName name="All_Other_Yr2_56">'NARM5 – ED2 actuals'!$BX$1773:$CB$1776</definedName>
    <definedName name="All_Other_Yr2_57">'NARM5 – ED2 actuals'!$BX$1805:$CB$1808</definedName>
    <definedName name="All_Other_Yr2_58">'NARM5 – ED2 actuals'!$BX$1837:$CB$1840</definedName>
    <definedName name="All_Other_Yr2_59">'NARM5 – ED2 actuals'!$BX$1869:$CB$1872</definedName>
    <definedName name="All_Other_Yr2_6">'NARM5 – ED2 actuals'!$BX$173:$CB$176</definedName>
    <definedName name="All_Other_Yr2_60">'NARM5 – ED2 actuals'!$BX$1901:$CB$1904</definedName>
    <definedName name="All_Other_Yr2_61">'NARM5 – ED2 actuals'!$BX$1933:$CB$1936</definedName>
    <definedName name="All_Other_Yr2_7">'NARM5 – ED2 actuals'!$BX$205:$CB$208</definedName>
    <definedName name="All_Other_Yr2_8">'NARM5 – ED2 actuals'!$BX$237:$CB$240</definedName>
    <definedName name="All_Other_Yr2_9">'NARM5 – ED2 actuals'!$BX$269:$CB$272</definedName>
    <definedName name="All_Other_Yr3_1">'NARM5 – ED2 actuals'!$BX$19:$CB$22</definedName>
    <definedName name="All_Other_Yr3_10">'NARM5 – ED2 actuals'!$BX$307:$CB$310</definedName>
    <definedName name="All_Other_Yr3_11">'NARM5 – ED2 actuals'!$BX$339:$CB$342</definedName>
    <definedName name="All_Other_Yr3_12">'NARM5 – ED2 actuals'!$BX$371:$CB$374</definedName>
    <definedName name="All_Other_Yr3_13">'NARM5 – ED2 actuals'!$BX$403:$CB$406</definedName>
    <definedName name="All_Other_Yr3_14">'NARM5 – ED2 actuals'!$BX$435:$CB$438</definedName>
    <definedName name="All_Other_Yr3_15">'NARM5 – ED2 actuals'!$BX$467:$CB$470</definedName>
    <definedName name="All_Other_Yr3_16">'NARM5 – ED2 actuals'!$BX$499:$CB$502</definedName>
    <definedName name="All_Other_Yr3_17">'NARM5 – ED2 actuals'!$BX$531:$CB$534</definedName>
    <definedName name="All_Other_Yr3_18">'NARM5 – ED2 actuals'!$BX$563:$CB$566</definedName>
    <definedName name="All_Other_Yr3_19">'NARM5 – ED2 actuals'!$BX$595:$CB$598</definedName>
    <definedName name="All_Other_Yr3_2">'NARM5 – ED2 actuals'!$BX$51:$CB$54</definedName>
    <definedName name="All_Other_Yr3_20">'NARM5 – ED2 actuals'!$BX$627:$CB$630</definedName>
    <definedName name="All_Other_Yr3_21">'NARM5 – ED2 actuals'!$BX$659:$CB$662</definedName>
    <definedName name="All_Other_Yr3_22">'NARM5 – ED2 actuals'!$BX$691:$CB$694</definedName>
    <definedName name="All_Other_Yr3_23">'NARM5 – ED2 actuals'!$BX$723:$CB$726</definedName>
    <definedName name="All_Other_Yr3_24">'NARM5 – ED2 actuals'!$BX$755:$CB$758</definedName>
    <definedName name="All_Other_Yr3_25">'NARM5 – ED2 actuals'!$BX$787:$CB$790</definedName>
    <definedName name="All_Other_Yr3_26">'NARM5 – ED2 actuals'!$BX$819:$CB$822</definedName>
    <definedName name="All_Other_Yr3_27">'NARM5 – ED2 actuals'!$BX$851:$CB$854</definedName>
    <definedName name="All_Other_Yr3_28">'NARM5 – ED2 actuals'!$BX$883:$CB$886</definedName>
    <definedName name="All_Other_Yr3_29">'NARM5 – ED2 actuals'!$BX$915:$CB$918</definedName>
    <definedName name="All_Other_Yr3_3">'NARM5 – ED2 actuals'!$BX$83:$CB$86</definedName>
    <definedName name="All_Other_Yr3_30">'NARM5 – ED2 actuals'!$BX$947:$CB$950</definedName>
    <definedName name="All_Other_Yr3_31">'NARM5 – ED2 actuals'!$BX$979:$CB$982</definedName>
    <definedName name="All_Other_Yr3_32">'NARM5 – ED2 actuals'!$BX$1011:$CB$1014</definedName>
    <definedName name="All_Other_Yr3_33">'NARM5 – ED2 actuals'!$BX$1043:$CB$1046</definedName>
    <definedName name="All_Other_Yr3_34">'NARM5 – ED2 actuals'!$BX$1075:$CB$1078</definedName>
    <definedName name="All_Other_Yr3_35">'NARM5 – ED2 actuals'!$BX$1107:$CB$1110</definedName>
    <definedName name="All_Other_Yr3_36">'NARM5 – ED2 actuals'!$BX$1139:$CB$1142</definedName>
    <definedName name="All_Other_Yr3_37">'NARM5 – ED2 actuals'!$BX$1171:$CB$1174</definedName>
    <definedName name="All_Other_Yr3_38">'NARM5 – ED2 actuals'!$BX$1203:$CB$1206</definedName>
    <definedName name="All_Other_Yr3_39">'NARM5 – ED2 actuals'!$BX$1235:$CB$1238</definedName>
    <definedName name="All_Other_Yr3_4">'NARM5 – ED2 actuals'!$BX$115:$CB$118</definedName>
    <definedName name="All_Other_Yr3_40">'NARM5 – ED2 actuals'!$BX$1267:$CB$1270</definedName>
    <definedName name="All_Other_Yr3_41">'NARM5 – ED2 actuals'!$BX$1299:$CB$1302</definedName>
    <definedName name="All_Other_Yr3_42">'NARM5 – ED2 actuals'!$BX$1331:$CB$1334</definedName>
    <definedName name="All_Other_Yr3_43">'NARM5 – ED2 actuals'!$BX$1363:$CB$1366</definedName>
    <definedName name="All_Other_Yr3_44">'NARM5 – ED2 actuals'!$BX$1395:$CB$1398</definedName>
    <definedName name="All_Other_Yr3_45">'NARM5 – ED2 actuals'!$BX$1427:$CB$1430</definedName>
    <definedName name="All_Other_Yr3_46">'NARM5 – ED2 actuals'!$BX$1459:$CB$1462</definedName>
    <definedName name="All_Other_Yr3_47">'NARM5 – ED2 actuals'!$BX$1491:$CB$1494</definedName>
    <definedName name="All_Other_Yr3_48">'NARM5 – ED2 actuals'!$BX$1523:$CB$1526</definedName>
    <definedName name="All_Other_Yr3_49">'NARM5 – ED2 actuals'!$BX$1555:$CB$1558</definedName>
    <definedName name="All_Other_Yr3_5">'NARM5 – ED2 actuals'!$BX$147:$CB$150</definedName>
    <definedName name="All_Other_Yr3_50">'NARM5 – ED2 actuals'!$BX$1587:$CB$1590</definedName>
    <definedName name="All_Other_Yr3_51">'NARM5 – ED2 actuals'!$BX$1619:$CB$1622</definedName>
    <definedName name="All_Other_Yr3_52">'NARM5 – ED2 actuals'!$BX$1651:$CB$1654</definedName>
    <definedName name="All_Other_Yr3_53">'NARM5 – ED2 actuals'!$BX$1683:$CB$1686</definedName>
    <definedName name="All_Other_Yr3_54">'NARM5 – ED2 actuals'!$BX$1715:$CB$1718</definedName>
    <definedName name="All_Other_Yr3_55">'NARM5 – ED2 actuals'!$BX$1747:$CB$1750</definedName>
    <definedName name="All_Other_Yr3_56">'NARM5 – ED2 actuals'!$BX$1779:$CB$1782</definedName>
    <definedName name="All_Other_Yr3_57">'NARM5 – ED2 actuals'!$BX$1811:$CB$1814</definedName>
    <definedName name="All_Other_Yr3_58">'NARM5 – ED2 actuals'!$BX$1843:$CB$1846</definedName>
    <definedName name="All_Other_Yr3_59">'NARM5 – ED2 actuals'!$BX$1875:$CB$1878</definedName>
    <definedName name="All_Other_Yr3_6">'NARM5 – ED2 actuals'!$BX$179:$CB$182</definedName>
    <definedName name="All_Other_Yr3_60">'NARM5 – ED2 actuals'!$BX$1907:$CB$1910</definedName>
    <definedName name="All_Other_Yr3_61">'NARM5 – ED2 actuals'!$BX$1939:$CB$1942</definedName>
    <definedName name="All_Other_Yr3_7">'NARM5 – ED2 actuals'!$BX$211:$CB$214</definedName>
    <definedName name="All_Other_Yr3_8">'NARM5 – ED2 actuals'!$BX$243:$CB$246</definedName>
    <definedName name="All_Other_Yr3_9">'NARM5 – ED2 actuals'!$BX$275:$CB$278</definedName>
    <definedName name="All_Other_Yr4_1">'NARM5 – ED2 actuals'!$BX$25:$CB$28</definedName>
    <definedName name="All_Other_Yr4_10">'NARM5 – ED2 actuals'!$BX$313:$CB$316</definedName>
    <definedName name="All_Other_Yr4_11">'NARM5 – ED2 actuals'!$BX$345:$CB$348</definedName>
    <definedName name="All_Other_Yr4_12">'NARM5 – ED2 actuals'!$BX$377:$CB$380</definedName>
    <definedName name="All_Other_Yr4_13">'NARM5 – ED2 actuals'!$BX$409:$CB$412</definedName>
    <definedName name="All_Other_Yr4_14">'NARM5 – ED2 actuals'!$BX$441:$CB$444</definedName>
    <definedName name="All_Other_Yr4_15">'NARM5 – ED2 actuals'!$BX$473:$CB$476</definedName>
    <definedName name="All_Other_Yr4_16">'NARM5 – ED2 actuals'!$BX$505:$CB$508</definedName>
    <definedName name="All_Other_Yr4_17">'NARM5 – ED2 actuals'!$BX$537:$CB$540</definedName>
    <definedName name="All_Other_Yr4_18">'NARM5 – ED2 actuals'!$BX$569:$CB$572</definedName>
    <definedName name="All_Other_Yr4_19">'NARM5 – ED2 actuals'!$BX$601:$CB$604</definedName>
    <definedName name="All_Other_Yr4_2">'NARM5 – ED2 actuals'!$BX$57:$CB$60</definedName>
    <definedName name="All_Other_Yr4_20">'NARM5 – ED2 actuals'!$BX$633:$CB$636</definedName>
    <definedName name="All_Other_Yr4_21">'NARM5 – ED2 actuals'!$BX$665:$CB$668</definedName>
    <definedName name="All_Other_Yr4_22">'NARM5 – ED2 actuals'!$BX$697:$CB$700</definedName>
    <definedName name="All_Other_Yr4_23">'NARM5 – ED2 actuals'!$BX$729:$CB$732</definedName>
    <definedName name="All_Other_Yr4_24">'NARM5 – ED2 actuals'!$BX$761:$CB$764</definedName>
    <definedName name="All_Other_Yr4_25">'NARM5 – ED2 actuals'!$BX$793:$CB$796</definedName>
    <definedName name="All_Other_Yr4_26">'NARM5 – ED2 actuals'!$BX$825:$CB$828</definedName>
    <definedName name="All_Other_Yr4_27">'NARM5 – ED2 actuals'!$BX$857:$CB$860</definedName>
    <definedName name="All_Other_Yr4_28">'NARM5 – ED2 actuals'!$BX$889:$CB$892</definedName>
    <definedName name="All_Other_Yr4_29">'NARM5 – ED2 actuals'!$BX$921:$CB$924</definedName>
    <definedName name="All_Other_Yr4_3">'NARM5 – ED2 actuals'!$BX$89:$CB$92</definedName>
    <definedName name="All_Other_Yr4_30">'NARM5 – ED2 actuals'!$BX$953:$CB$956</definedName>
    <definedName name="All_Other_Yr4_31">'NARM5 – ED2 actuals'!$BX$985:$CB$988</definedName>
    <definedName name="All_Other_Yr4_32">'NARM5 – ED2 actuals'!$BX$1017:$CB$1020</definedName>
    <definedName name="All_Other_Yr4_33">'NARM5 – ED2 actuals'!$BX$1049:$CB$1052</definedName>
    <definedName name="All_Other_Yr4_34">'NARM5 – ED2 actuals'!$BX$1081:$CB$1084</definedName>
    <definedName name="All_Other_Yr4_35">'NARM5 – ED2 actuals'!$BX$1113:$CB$1116</definedName>
    <definedName name="All_Other_Yr4_36">'NARM5 – ED2 actuals'!$BX$1145:$CB$1148</definedName>
    <definedName name="All_Other_Yr4_37">'NARM5 – ED2 actuals'!$BX$1177:$CB$1180</definedName>
    <definedName name="All_Other_Yr4_38">'NARM5 – ED2 actuals'!$BX$1209:$CB$1212</definedName>
    <definedName name="All_Other_Yr4_39">'NARM5 – ED2 actuals'!$BX$1241:$CB$1244</definedName>
    <definedName name="All_Other_Yr4_4">'NARM5 – ED2 actuals'!$BX$121:$CB$124</definedName>
    <definedName name="All_Other_Yr4_40">'NARM5 – ED2 actuals'!$BX$1273:$CB$1276</definedName>
    <definedName name="All_Other_Yr4_41">'NARM5 – ED2 actuals'!$BX$1305:$CB$1308</definedName>
    <definedName name="All_Other_Yr4_42">'NARM5 – ED2 actuals'!$BX$1337:$CB$1340</definedName>
    <definedName name="All_Other_Yr4_43">'NARM5 – ED2 actuals'!$BX$1369:$CB$1372</definedName>
    <definedName name="All_Other_Yr4_44">'NARM5 – ED2 actuals'!$BX$1401:$CB$1404</definedName>
    <definedName name="All_Other_Yr4_45">'NARM5 – ED2 actuals'!$BX$1433:$CB$1436</definedName>
    <definedName name="All_Other_Yr4_46">'NARM5 – ED2 actuals'!$BX$1465:$CB$1468</definedName>
    <definedName name="All_Other_Yr4_47">'NARM5 – ED2 actuals'!$BX$1497:$CB$1500</definedName>
    <definedName name="All_Other_Yr4_48">'NARM5 – ED2 actuals'!$BX$1529:$CB$1532</definedName>
    <definedName name="All_Other_Yr4_49">'NARM5 – ED2 actuals'!$BX$1561:$CB$1564</definedName>
    <definedName name="All_Other_Yr4_5">'NARM5 – ED2 actuals'!$BX$153:$CB$156</definedName>
    <definedName name="All_Other_Yr4_50">'NARM5 – ED2 actuals'!$BX$1593:$CB$1596</definedName>
    <definedName name="All_Other_Yr4_51">'NARM5 – ED2 actuals'!$BX$1625:$CB$1628</definedName>
    <definedName name="All_Other_Yr4_52">'NARM5 – ED2 actuals'!$BX$1657:$CB$1660</definedName>
    <definedName name="All_Other_Yr4_53">'NARM5 – ED2 actuals'!$BX$1689:$CB$1692</definedName>
    <definedName name="All_Other_Yr4_54">'NARM5 – ED2 actuals'!$BX$1721:$CB$1724</definedName>
    <definedName name="All_Other_Yr4_55">'NARM5 – ED2 actuals'!$BX$1753:$CB$1756</definedName>
    <definedName name="All_Other_Yr4_56">'NARM5 – ED2 actuals'!$BX$1785:$CB$1788</definedName>
    <definedName name="All_Other_Yr4_57">'NARM5 – ED2 actuals'!$BX$1817:$CB$1820</definedName>
    <definedName name="All_Other_Yr4_58">'NARM5 – ED2 actuals'!$BX$1849:$CB$1852</definedName>
    <definedName name="All_Other_Yr4_59">'NARM5 – ED2 actuals'!$BX$1881:$CB$1884</definedName>
    <definedName name="All_Other_Yr4_6">'NARM5 – ED2 actuals'!$BX$185:$CB$188</definedName>
    <definedName name="All_Other_Yr4_60">'NARM5 – ED2 actuals'!$BX$1913:$CB$1916</definedName>
    <definedName name="All_Other_Yr4_61">'NARM5 – ED2 actuals'!$BX$1945:$CB$1948</definedName>
    <definedName name="All_Other_Yr4_7">'NARM5 – ED2 actuals'!$BX$217:$CB$220</definedName>
    <definedName name="All_Other_Yr4_8">'NARM5 – ED2 actuals'!$BX$249:$CB$252</definedName>
    <definedName name="All_Other_Yr4_9">'NARM5 – ED2 actuals'!$BX$281:$CB$284</definedName>
    <definedName name="All_Other_Yr5_1">'NARM5 – ED2 actuals'!$BX$31:$CB$34</definedName>
    <definedName name="All_Other_Yr5_10">'NARM5 – ED2 actuals'!$BX$319:$CB$322</definedName>
    <definedName name="All_Other_Yr5_11">'NARM5 – ED2 actuals'!$BX$351:$CB$354</definedName>
    <definedName name="All_Other_Yr5_12">'NARM5 – ED2 actuals'!$BX$383:$CB$386</definedName>
    <definedName name="All_Other_Yr5_13">'NARM5 – ED2 actuals'!$BX$415:$CB$418</definedName>
    <definedName name="All_Other_Yr5_14">'NARM5 – ED2 actuals'!$BX$447:$CB$450</definedName>
    <definedName name="All_Other_Yr5_15">'NARM5 – ED2 actuals'!$BX$479:$CB$482</definedName>
    <definedName name="All_Other_Yr5_16">'NARM5 – ED2 actuals'!$BX$511:$CB$514</definedName>
    <definedName name="All_Other_Yr5_17">'NARM5 – ED2 actuals'!$BX$543:$CB$546</definedName>
    <definedName name="All_Other_Yr5_18">'NARM5 – ED2 actuals'!$BX$575:$CB$578</definedName>
    <definedName name="All_Other_Yr5_19">'NARM5 – ED2 actuals'!$BX$607:$CB$610</definedName>
    <definedName name="All_Other_Yr5_2">'NARM5 – ED2 actuals'!$BX$63:$CB$66</definedName>
    <definedName name="All_Other_Yr5_20">'NARM5 – ED2 actuals'!$BX$639:$CB$642</definedName>
    <definedName name="All_Other_Yr5_21">'NARM5 – ED2 actuals'!$BX$671:$CB$674</definedName>
    <definedName name="All_Other_Yr5_22">'NARM5 – ED2 actuals'!$BX$703:$CB$706</definedName>
    <definedName name="All_Other_Yr5_23">'NARM5 – ED2 actuals'!$BX$735:$CB$738</definedName>
    <definedName name="All_Other_Yr5_24">'NARM5 – ED2 actuals'!$BX$767:$CB$770</definedName>
    <definedName name="All_Other_Yr5_25">'NARM5 – ED2 actuals'!$BX$799:$CB$802</definedName>
    <definedName name="All_Other_Yr5_26">'NARM5 – ED2 actuals'!$BX$831:$CB$834</definedName>
    <definedName name="All_Other_Yr5_27">'NARM5 – ED2 actuals'!$BX$863:$CB$866</definedName>
    <definedName name="All_Other_Yr5_28">'NARM5 – ED2 actuals'!$BX$895:$CB$898</definedName>
    <definedName name="All_Other_Yr5_29">'NARM5 – ED2 actuals'!$BX$927:$CB$930</definedName>
    <definedName name="All_Other_Yr5_3">'NARM5 – ED2 actuals'!$BX$95:$CB$98</definedName>
    <definedName name="All_Other_Yr5_30">'NARM5 – ED2 actuals'!$BX$959:$CB$962</definedName>
    <definedName name="All_Other_Yr5_31">'NARM5 – ED2 actuals'!$BX$991:$CB$994</definedName>
    <definedName name="All_Other_Yr5_32">'NARM5 – ED2 actuals'!$BX$1023:$CB$1026</definedName>
    <definedName name="All_Other_Yr5_33">'NARM5 – ED2 actuals'!$BX$1055:$CB$1058</definedName>
    <definedName name="All_Other_Yr5_34">'NARM5 – ED2 actuals'!$BX$1087:$CB$1090</definedName>
    <definedName name="All_Other_Yr5_35">'NARM5 – ED2 actuals'!$BX$1119:$CB$1122</definedName>
    <definedName name="All_Other_Yr5_36">'NARM5 – ED2 actuals'!$BX$1151:$CB$1154</definedName>
    <definedName name="All_Other_Yr5_37">'NARM5 – ED2 actuals'!$BX$1183:$CB$1186</definedName>
    <definedName name="All_Other_Yr5_38">'NARM5 – ED2 actuals'!$BX$1215:$CB$1218</definedName>
    <definedName name="All_Other_Yr5_39">'NARM5 – ED2 actuals'!$BX$1247:$CB$1250</definedName>
    <definedName name="All_Other_Yr5_4">'NARM5 – ED2 actuals'!$BX$127:$CB$130</definedName>
    <definedName name="All_Other_Yr5_40">'NARM5 – ED2 actuals'!$BX$1279:$CB$1282</definedName>
    <definedName name="All_Other_Yr5_41">'NARM5 – ED2 actuals'!$BX$1311:$CB$1314</definedName>
    <definedName name="All_Other_Yr5_42">'NARM5 – ED2 actuals'!$BX$1343:$CB$1346</definedName>
    <definedName name="All_Other_Yr5_43">'NARM5 – ED2 actuals'!$BX$1375:$CB$1378</definedName>
    <definedName name="All_Other_Yr5_44">'NARM5 – ED2 actuals'!$BX$1407:$CB$1410</definedName>
    <definedName name="All_Other_Yr5_45">'NARM5 – ED2 actuals'!$BX$1439:$CB$1442</definedName>
    <definedName name="All_Other_Yr5_46">'NARM5 – ED2 actuals'!$BX$1471:$CB$1474</definedName>
    <definedName name="All_Other_Yr5_47">'NARM5 – ED2 actuals'!$BX$1503:$CB$1506</definedName>
    <definedName name="All_Other_Yr5_48">'NARM5 – ED2 actuals'!$BX$1535:$CB$1538</definedName>
    <definedName name="All_Other_Yr5_49">'NARM5 – ED2 actuals'!$BX$1567:$CB$1570</definedName>
    <definedName name="All_Other_Yr5_5">'NARM5 – ED2 actuals'!$BX$159:$CB$162</definedName>
    <definedName name="All_Other_Yr5_50">'NARM5 – ED2 actuals'!$BX$1599:$CB$1602</definedName>
    <definedName name="All_Other_Yr5_51">'NARM5 – ED2 actuals'!$BX$1631:$CB$1634</definedName>
    <definedName name="All_Other_Yr5_52">'NARM5 – ED2 actuals'!$BX$1663:$CB$1666</definedName>
    <definedName name="All_Other_Yr5_53">'NARM5 – ED2 actuals'!$BX$1695:$CB$1698</definedName>
    <definedName name="All_Other_Yr5_54">'NARM5 – ED2 actuals'!$BX$1727:$CB$1730</definedName>
    <definedName name="All_Other_Yr5_55">'NARM5 – ED2 actuals'!$BX$1759:$CB$1762</definedName>
    <definedName name="All_Other_Yr5_56">'NARM5 – ED2 actuals'!$BX$1791:$CB$1794</definedName>
    <definedName name="All_Other_Yr5_57">'NARM5 – ED2 actuals'!$BX$1823:$CB$1826</definedName>
    <definedName name="All_Other_Yr5_58">'NARM5 – ED2 actuals'!$BX$1855:$CB$1858</definedName>
    <definedName name="All_Other_Yr5_59">'NARM5 – ED2 actuals'!$BX$1887:$CB$1890</definedName>
    <definedName name="All_Other_Yr5_6">'NARM5 – ED2 actuals'!$BX$191:$CB$194</definedName>
    <definedName name="All_Other_Yr5_60">'NARM5 – ED2 actuals'!$BX$1919:$CB$1922</definedName>
    <definedName name="All_Other_Yr5_61">'NARM5 – ED2 actuals'!$BX$1951:$CB$1954</definedName>
    <definedName name="All_Other_Yr5_7">'NARM5 – ED2 actuals'!$BX$223:$CB$226</definedName>
    <definedName name="All_Other_Yr5_8">'NARM5 – ED2 actuals'!$BX$255:$CB$258</definedName>
    <definedName name="All_Other_Yr5_9">'NARM5 – ED2 actuals'!$BX$287:$CB$290</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set_Refurbishment_2028_Yr1_1">'NARM5 – ED2 actuals'!$CS$7:$CW$10</definedName>
    <definedName name="Asset_Refurbishment_2028_Yr1_10">'NARM5 – ED2 actuals'!$CS$295:$CW$298</definedName>
    <definedName name="Asset_Refurbishment_2028_Yr1_11">'NARM5 – ED2 actuals'!$CS$327:$CW$330</definedName>
    <definedName name="Asset_Refurbishment_2028_Yr1_12">'NARM5 – ED2 actuals'!$CS$359:$CW$362</definedName>
    <definedName name="Asset_Refurbishment_2028_Yr1_13">'NARM5 – ED2 actuals'!$CS$391:$CW$394</definedName>
    <definedName name="Asset_Refurbishment_2028_Yr1_14">'NARM5 – ED2 actuals'!$CS$423:$CW$426</definedName>
    <definedName name="Asset_Refurbishment_2028_Yr1_15">'NARM5 – ED2 actuals'!$CS$455:$CW$458</definedName>
    <definedName name="Asset_Refurbishment_2028_Yr1_16">'NARM5 – ED2 actuals'!$CS$487:$CW$490</definedName>
    <definedName name="Asset_Refurbishment_2028_Yr1_17">'NARM5 – ED2 actuals'!$CS$519:$CW$522</definedName>
    <definedName name="Asset_Refurbishment_2028_Yr1_18">'NARM5 – ED2 actuals'!$CS$551:$CW$554</definedName>
    <definedName name="Asset_Refurbishment_2028_Yr1_19">'NARM5 – ED2 actuals'!$CS$583:$CW$586</definedName>
    <definedName name="Asset_Refurbishment_2028_Yr1_2">'NARM5 – ED2 actuals'!$CS$39:$CW$42</definedName>
    <definedName name="Asset_Refurbishment_2028_Yr1_20">'NARM5 – ED2 actuals'!$CS$615:$CW$618</definedName>
    <definedName name="Asset_Refurbishment_2028_Yr1_21">'NARM5 – ED2 actuals'!$CS$647:$CW$650</definedName>
    <definedName name="Asset_Refurbishment_2028_Yr1_22">'NARM5 – ED2 actuals'!$CS$679:$CW$682</definedName>
    <definedName name="Asset_Refurbishment_2028_Yr1_23">'NARM5 – ED2 actuals'!$CS$711:$CW$714</definedName>
    <definedName name="Asset_Refurbishment_2028_Yr1_24">'NARM5 – ED2 actuals'!$CS$743:$CW$746</definedName>
    <definedName name="Asset_Refurbishment_2028_Yr1_25">'NARM5 – ED2 actuals'!$CS$775:$CW$778</definedName>
    <definedName name="Asset_Refurbishment_2028_Yr1_26">'NARM5 – ED2 actuals'!$CS$807:$CW$810</definedName>
    <definedName name="Asset_Refurbishment_2028_Yr1_27">'NARM5 – ED2 actuals'!$CS$839:$CW$842</definedName>
    <definedName name="Asset_Refurbishment_2028_Yr1_28">'NARM5 – ED2 actuals'!$CS$871:$CW$874</definedName>
    <definedName name="Asset_Refurbishment_2028_Yr1_29">'NARM5 – ED2 actuals'!$CS$903:$CW$906</definedName>
    <definedName name="Asset_Refurbishment_2028_Yr1_3">'NARM5 – ED2 actuals'!$CS$71:$CW$74</definedName>
    <definedName name="Asset_Refurbishment_2028_Yr1_30">'NARM5 – ED2 actuals'!$CS$935:$CW$938</definedName>
    <definedName name="Asset_Refurbishment_2028_Yr1_31">'NARM5 – ED2 actuals'!$CS$967:$CW$970</definedName>
    <definedName name="Asset_Refurbishment_2028_Yr1_32">'NARM5 – ED2 actuals'!$CS$999:$CW$1002</definedName>
    <definedName name="Asset_Refurbishment_2028_Yr1_33">'NARM5 – ED2 actuals'!$CS$1031:$CW$1034</definedName>
    <definedName name="Asset_Refurbishment_2028_Yr1_34">'NARM5 – ED2 actuals'!$CS$1063:$CW$1066</definedName>
    <definedName name="Asset_Refurbishment_2028_Yr1_35">'NARM5 – ED2 actuals'!$CS$1095:$CW$1098</definedName>
    <definedName name="Asset_Refurbishment_2028_Yr1_36">'NARM5 – ED2 actuals'!$CS$1127:$CW$1130</definedName>
    <definedName name="Asset_Refurbishment_2028_Yr1_37">'NARM5 – ED2 actuals'!$CS$1159:$CW$1162</definedName>
    <definedName name="Asset_Refurbishment_2028_Yr1_38">'NARM5 – ED2 actuals'!$CS$1191:$CW$1194</definedName>
    <definedName name="Asset_Refurbishment_2028_Yr1_39">'NARM5 – ED2 actuals'!$CS$1223:$CW$1226</definedName>
    <definedName name="Asset_Refurbishment_2028_Yr1_4">'NARM5 – ED2 actuals'!$CS$103:$CW$106</definedName>
    <definedName name="Asset_Refurbishment_2028_Yr1_40">'NARM5 – ED2 actuals'!$CS$1255:$CW$1258</definedName>
    <definedName name="Asset_Refurbishment_2028_Yr1_41">'NARM5 – ED2 actuals'!$CS$1287:$CW$1290</definedName>
    <definedName name="Asset_Refurbishment_2028_Yr1_42">'NARM5 – ED2 actuals'!$CS$1319:$CW$1322</definedName>
    <definedName name="Asset_Refurbishment_2028_Yr1_43">'NARM5 – ED2 actuals'!$CS$1351:$CW$1354</definedName>
    <definedName name="Asset_Refurbishment_2028_Yr1_44">'NARM5 – ED2 actuals'!$CS$1383:$CW$1386</definedName>
    <definedName name="Asset_Refurbishment_2028_Yr1_45">'NARM5 – ED2 actuals'!$CS$1415:$CW$1418</definedName>
    <definedName name="Asset_Refurbishment_2028_Yr1_46">'NARM5 – ED2 actuals'!$CS$1447:$CW$1450</definedName>
    <definedName name="Asset_Refurbishment_2028_Yr1_47">'NARM5 – ED2 actuals'!$CS$1479:$CW$1482</definedName>
    <definedName name="Asset_Refurbishment_2028_Yr1_48">'NARM5 – ED2 actuals'!$CS$1511:$CW$1514</definedName>
    <definedName name="Asset_Refurbishment_2028_Yr1_49">'NARM5 – ED2 actuals'!$CS$1543:$CW$1546</definedName>
    <definedName name="Asset_Refurbishment_2028_Yr1_5">'NARM5 – ED2 actuals'!$CS$135:$CW$138</definedName>
    <definedName name="Asset_Refurbishment_2028_Yr1_50">'NARM5 – ED2 actuals'!$CS$1575:$CW$1578</definedName>
    <definedName name="Asset_Refurbishment_2028_Yr1_51">'NARM5 – ED2 actuals'!$CS$1607:$CW$1610</definedName>
    <definedName name="Asset_Refurbishment_2028_Yr1_52">'NARM5 – ED2 actuals'!$CS$1639:$CW$1642</definedName>
    <definedName name="Asset_Refurbishment_2028_Yr1_53">'NARM5 – ED2 actuals'!$CS$1671:$CW$1674</definedName>
    <definedName name="Asset_Refurbishment_2028_Yr1_54">'NARM5 – ED2 actuals'!$CS$1703:$CW$1706</definedName>
    <definedName name="Asset_Refurbishment_2028_Yr1_55">'NARM5 – ED2 actuals'!$CS$1735:$CW$1738</definedName>
    <definedName name="Asset_Refurbishment_2028_Yr1_56">'NARM5 – ED2 actuals'!$CS$1767:$CW$1770</definedName>
    <definedName name="Asset_Refurbishment_2028_Yr1_57">'NARM5 – ED2 actuals'!$CS$1799:$CW$1802</definedName>
    <definedName name="Asset_Refurbishment_2028_Yr1_58">'NARM5 – ED2 actuals'!$CS$1831:$CW$1834</definedName>
    <definedName name="Asset_Refurbishment_2028_Yr1_59">'NARM5 – ED2 actuals'!$CS$1863:$CW$1866</definedName>
    <definedName name="Asset_Refurbishment_2028_Yr1_6">'NARM5 – ED2 actuals'!$CS$167:$CW$170</definedName>
    <definedName name="Asset_Refurbishment_2028_Yr1_60">'NARM5 – ED2 actuals'!$CS$1895:$CW$1898</definedName>
    <definedName name="Asset_Refurbishment_2028_Yr1_61">'NARM5 – ED2 actuals'!$CS$1927:$CW$1930</definedName>
    <definedName name="Asset_Refurbishment_2028_Yr1_7">'NARM5 – ED2 actuals'!$CS$199:$CW$202</definedName>
    <definedName name="Asset_Refurbishment_2028_Yr1_8">'NARM5 – ED2 actuals'!$CS$231:$CW$234</definedName>
    <definedName name="Asset_Refurbishment_2028_Yr1_9">'NARM5 – ED2 actuals'!$CS$263:$CW$266</definedName>
    <definedName name="Asset_Refurbishment_2028_Yr2_1">'NARM5 – ED2 actuals'!$CS$13:$CW$16</definedName>
    <definedName name="Asset_Refurbishment_2028_Yr2_10">'NARM5 – ED2 actuals'!$CS$301:$CW$304</definedName>
    <definedName name="Asset_Refurbishment_2028_Yr2_11">'NARM5 – ED2 actuals'!$CS$333:$CW$336</definedName>
    <definedName name="Asset_Refurbishment_2028_Yr2_12">'NARM5 – ED2 actuals'!$CS$365:$CW$368</definedName>
    <definedName name="Asset_Refurbishment_2028_Yr2_13">'NARM5 – ED2 actuals'!$CS$397:$CW$400</definedName>
    <definedName name="Asset_Refurbishment_2028_Yr2_14">'NARM5 – ED2 actuals'!$CS$429:$CW$432</definedName>
    <definedName name="Asset_Refurbishment_2028_Yr2_15">'NARM5 – ED2 actuals'!$CS$461:$CW$464</definedName>
    <definedName name="Asset_Refurbishment_2028_Yr2_16">'NARM5 – ED2 actuals'!$CS$493:$CW$496</definedName>
    <definedName name="Asset_Refurbishment_2028_Yr2_17">'NARM5 – ED2 actuals'!$CS$525:$CW$528</definedName>
    <definedName name="Asset_Refurbishment_2028_Yr2_18">'NARM5 – ED2 actuals'!$CS$557:$CW$560</definedName>
    <definedName name="Asset_Refurbishment_2028_Yr2_19">'NARM5 – ED2 actuals'!$CS$589:$CW$592</definedName>
    <definedName name="Asset_Refurbishment_2028_Yr2_2">'NARM5 – ED2 actuals'!$CS$45:$CW$48</definedName>
    <definedName name="Asset_Refurbishment_2028_Yr2_20">'NARM5 – ED2 actuals'!$CS$621:$CW$624</definedName>
    <definedName name="Asset_Refurbishment_2028_Yr2_21">'NARM5 – ED2 actuals'!$CS$653:$CW$656</definedName>
    <definedName name="Asset_Refurbishment_2028_Yr2_22">'NARM5 – ED2 actuals'!$CS$685:$CW$688</definedName>
    <definedName name="Asset_Refurbishment_2028_Yr2_23">'NARM5 – ED2 actuals'!$CS$717:$CW$720</definedName>
    <definedName name="Asset_Refurbishment_2028_Yr2_24">'NARM5 – ED2 actuals'!$CS$749:$CW$752</definedName>
    <definedName name="Asset_Refurbishment_2028_Yr2_25">'NARM5 – ED2 actuals'!$CS$781:$CW$784</definedName>
    <definedName name="Asset_Refurbishment_2028_Yr2_26">'NARM5 – ED2 actuals'!$CS$813:$CW$816</definedName>
    <definedName name="Asset_Refurbishment_2028_Yr2_27">'NARM5 – ED2 actuals'!$CS$845:$CW$848</definedName>
    <definedName name="Asset_Refurbishment_2028_Yr2_28">'NARM5 – ED2 actuals'!$CS$877:$CW$880</definedName>
    <definedName name="Asset_Refurbishment_2028_Yr2_29">'NARM5 – ED2 actuals'!$CS$909:$CW$912</definedName>
    <definedName name="Asset_Refurbishment_2028_Yr2_3">'NARM5 – ED2 actuals'!$CS$77:$CW$80</definedName>
    <definedName name="Asset_Refurbishment_2028_Yr2_30">'NARM5 – ED2 actuals'!$CS$941:$CW$944</definedName>
    <definedName name="Asset_Refurbishment_2028_Yr2_31">'NARM5 – ED2 actuals'!$CS$973:$CW$976</definedName>
    <definedName name="Asset_Refurbishment_2028_Yr2_32">'NARM5 – ED2 actuals'!$CS$1005:$CW$1008</definedName>
    <definedName name="Asset_Refurbishment_2028_Yr2_33">'NARM5 – ED2 actuals'!$CS$1037:$CW$1040</definedName>
    <definedName name="Asset_Refurbishment_2028_Yr2_34">'NARM5 – ED2 actuals'!$CS$1069:$CW$1072</definedName>
    <definedName name="Asset_Refurbishment_2028_Yr2_35">'NARM5 – ED2 actuals'!$CS$1101:$CW$1104</definedName>
    <definedName name="Asset_Refurbishment_2028_Yr2_36">'NARM5 – ED2 actuals'!$CS$1133:$CW$1136</definedName>
    <definedName name="Asset_Refurbishment_2028_Yr2_37">'NARM5 – ED2 actuals'!$CS$1165:$CW$1168</definedName>
    <definedName name="Asset_Refurbishment_2028_Yr2_38">'NARM5 – ED2 actuals'!$CS$1197:$CW$1200</definedName>
    <definedName name="Asset_Refurbishment_2028_Yr2_39">'NARM5 – ED2 actuals'!$CS$1229:$CW$1232</definedName>
    <definedName name="Asset_Refurbishment_2028_Yr2_4">'NARM5 – ED2 actuals'!$CS$109:$CW$112</definedName>
    <definedName name="Asset_Refurbishment_2028_Yr2_40">'NARM5 – ED2 actuals'!$CS$1261:$CW$1264</definedName>
    <definedName name="Asset_Refurbishment_2028_Yr2_41">'NARM5 – ED2 actuals'!$CS$1293:$CW$1296</definedName>
    <definedName name="Asset_Refurbishment_2028_Yr2_42">'NARM5 – ED2 actuals'!$CS$1325:$CW$1328</definedName>
    <definedName name="Asset_Refurbishment_2028_Yr2_43">'NARM5 – ED2 actuals'!$CS$1357:$CW$1360</definedName>
    <definedName name="Asset_Refurbishment_2028_Yr2_44">'NARM5 – ED2 actuals'!$CS$1389:$CW$1392</definedName>
    <definedName name="Asset_Refurbishment_2028_Yr2_45">'NARM5 – ED2 actuals'!$CS$1421:$CW$1424</definedName>
    <definedName name="Asset_Refurbishment_2028_Yr2_46">'NARM5 – ED2 actuals'!$CS$1453:$CW$1456</definedName>
    <definedName name="Asset_Refurbishment_2028_Yr2_47">'NARM5 – ED2 actuals'!$CS$1485:$CW$1488</definedName>
    <definedName name="Asset_Refurbishment_2028_Yr2_48">'NARM5 – ED2 actuals'!$CS$1517:$CW$1520</definedName>
    <definedName name="Asset_Refurbishment_2028_Yr2_49">'NARM5 – ED2 actuals'!$CS$1549:$CW$1552</definedName>
    <definedName name="Asset_Refurbishment_2028_Yr2_5">'NARM5 – ED2 actuals'!$CS$141:$CW$144</definedName>
    <definedName name="Asset_Refurbishment_2028_Yr2_50">'NARM5 – ED2 actuals'!$CS$1581:$CW$1584</definedName>
    <definedName name="Asset_Refurbishment_2028_Yr2_51">'NARM5 – ED2 actuals'!$CS$1613:$CW$1616</definedName>
    <definedName name="Asset_Refurbishment_2028_Yr2_52">'NARM5 – ED2 actuals'!$CS$1645:$CW$1648</definedName>
    <definedName name="Asset_Refurbishment_2028_Yr2_53">'NARM5 – ED2 actuals'!$CS$1677:$CW$1680</definedName>
    <definedName name="Asset_Refurbishment_2028_Yr2_54">'NARM5 – ED2 actuals'!$CS$1709:$CW$1712</definedName>
    <definedName name="Asset_Refurbishment_2028_Yr2_55">'NARM5 – ED2 actuals'!$CS$1741:$CW$1744</definedName>
    <definedName name="Asset_Refurbishment_2028_Yr2_56">'NARM5 – ED2 actuals'!$CS$1773:$CW$1776</definedName>
    <definedName name="Asset_Refurbishment_2028_Yr2_57">'NARM5 – ED2 actuals'!$CS$1805:$CW$1808</definedName>
    <definedName name="Asset_Refurbishment_2028_Yr2_58">'NARM5 – ED2 actuals'!$CS$1837:$CW$1840</definedName>
    <definedName name="Asset_Refurbishment_2028_Yr2_59">'NARM5 – ED2 actuals'!$CS$1869:$CW$1872</definedName>
    <definedName name="Asset_Refurbishment_2028_Yr2_6">'NARM5 – ED2 actuals'!$CS$173:$CW$176</definedName>
    <definedName name="Asset_Refurbishment_2028_Yr2_60">'NARM5 – ED2 actuals'!$CS$1901:$CW$1904</definedName>
    <definedName name="Asset_Refurbishment_2028_Yr2_61">'NARM5 – ED2 actuals'!$CS$1933:$CW$1936</definedName>
    <definedName name="Asset_Refurbishment_2028_Yr2_7">'NARM5 – ED2 actuals'!$CS$205:$CW$208</definedName>
    <definedName name="Asset_Refurbishment_2028_Yr2_8">'NARM5 – ED2 actuals'!$CS$237:$CW$240</definedName>
    <definedName name="Asset_Refurbishment_2028_Yr2_9">'NARM5 – ED2 actuals'!$CS$269:$CW$272</definedName>
    <definedName name="Asset_Refurbishment_2028_Yr3_1">'NARM5 – ED2 actuals'!$CS$19:$CW$22</definedName>
    <definedName name="Asset_Refurbishment_2028_Yr3_10">'NARM5 – ED2 actuals'!$CS$307:$CW$310</definedName>
    <definedName name="Asset_Refurbishment_2028_Yr3_11">'NARM5 – ED2 actuals'!$CS$339:$CW$342</definedName>
    <definedName name="Asset_Refurbishment_2028_Yr3_12">'NARM5 – ED2 actuals'!$CS$371:$CW$374</definedName>
    <definedName name="Asset_Refurbishment_2028_Yr3_13">'NARM5 – ED2 actuals'!$CS$403:$CW$406</definedName>
    <definedName name="Asset_Refurbishment_2028_Yr3_14">'NARM5 – ED2 actuals'!$CS$435:$CW$438</definedName>
    <definedName name="Asset_Refurbishment_2028_Yr3_15">'NARM5 – ED2 actuals'!$CS$467:$CW$470</definedName>
    <definedName name="Asset_Refurbishment_2028_Yr3_16">'NARM5 – ED2 actuals'!$CS$499:$CW$502</definedName>
    <definedName name="Asset_Refurbishment_2028_Yr3_17">'NARM5 – ED2 actuals'!$CS$531:$CW$534</definedName>
    <definedName name="Asset_Refurbishment_2028_Yr3_18">'NARM5 – ED2 actuals'!$CS$563:$CW$566</definedName>
    <definedName name="Asset_Refurbishment_2028_Yr3_19">'NARM5 – ED2 actuals'!$CS$595:$CW$598</definedName>
    <definedName name="Asset_Refurbishment_2028_Yr3_2">'NARM5 – ED2 actuals'!$CS$51:$CW$54</definedName>
    <definedName name="Asset_Refurbishment_2028_Yr3_20">'NARM5 – ED2 actuals'!$CS$627:$CW$630</definedName>
    <definedName name="Asset_Refurbishment_2028_Yr3_21">'NARM5 – ED2 actuals'!$CS$659:$CW$662</definedName>
    <definedName name="Asset_Refurbishment_2028_Yr3_22">'NARM5 – ED2 actuals'!$CS$691:$CW$694</definedName>
    <definedName name="Asset_Refurbishment_2028_Yr3_23">'NARM5 – ED2 actuals'!$CS$723:$CW$726</definedName>
    <definedName name="Asset_Refurbishment_2028_Yr3_24">'NARM5 – ED2 actuals'!$CS$755:$CW$758</definedName>
    <definedName name="Asset_Refurbishment_2028_Yr3_25">'NARM5 – ED2 actuals'!$CS$787:$CW$790</definedName>
    <definedName name="Asset_Refurbishment_2028_Yr3_26">'NARM5 – ED2 actuals'!$CS$819:$CW$822</definedName>
    <definedName name="Asset_Refurbishment_2028_Yr3_27">'NARM5 – ED2 actuals'!$CS$851:$CW$854</definedName>
    <definedName name="Asset_Refurbishment_2028_Yr3_28">'NARM5 – ED2 actuals'!$CS$883:$CW$886</definedName>
    <definedName name="Asset_Refurbishment_2028_Yr3_29">'NARM5 – ED2 actuals'!$CS$915:$CW$918</definedName>
    <definedName name="Asset_Refurbishment_2028_Yr3_3">'NARM5 – ED2 actuals'!$CS$83:$CW$86</definedName>
    <definedName name="Asset_Refurbishment_2028_Yr3_30">'NARM5 – ED2 actuals'!$CS$947:$CW$950</definedName>
    <definedName name="Asset_Refurbishment_2028_Yr3_31">'NARM5 – ED2 actuals'!$CS$979:$CW$982</definedName>
    <definedName name="Asset_Refurbishment_2028_Yr3_32">'NARM5 – ED2 actuals'!$CS$1011:$CW$1014</definedName>
    <definedName name="Asset_Refurbishment_2028_Yr3_33">'NARM5 – ED2 actuals'!$CS$1043:$CW$1046</definedName>
    <definedName name="Asset_Refurbishment_2028_Yr3_34">'NARM5 – ED2 actuals'!$CS$1075:$CW$1078</definedName>
    <definedName name="Asset_Refurbishment_2028_Yr3_35">'NARM5 – ED2 actuals'!$CS$1107:$CW$1110</definedName>
    <definedName name="Asset_Refurbishment_2028_Yr3_36">'NARM5 – ED2 actuals'!$CS$1139:$CW$1142</definedName>
    <definedName name="Asset_Refurbishment_2028_Yr3_37">'NARM5 – ED2 actuals'!$CS$1171:$CW$1174</definedName>
    <definedName name="Asset_Refurbishment_2028_Yr3_38">'NARM5 – ED2 actuals'!$CS$1203:$CW$1206</definedName>
    <definedName name="Asset_Refurbishment_2028_Yr3_39">'NARM5 – ED2 actuals'!$CS$1235:$CW$1238</definedName>
    <definedName name="Asset_Refurbishment_2028_Yr3_4">'NARM5 – ED2 actuals'!$CS$115:$CW$118</definedName>
    <definedName name="Asset_Refurbishment_2028_Yr3_40">'NARM5 – ED2 actuals'!$CS$1267:$CW$1270</definedName>
    <definedName name="Asset_Refurbishment_2028_Yr3_41">'NARM5 – ED2 actuals'!$CS$1299:$CW$1302</definedName>
    <definedName name="Asset_Refurbishment_2028_Yr3_42">'NARM5 – ED2 actuals'!$CS$1331:$CW$1334</definedName>
    <definedName name="Asset_Refurbishment_2028_Yr3_43">'NARM5 – ED2 actuals'!$CS$1363:$CW$1366</definedName>
    <definedName name="Asset_Refurbishment_2028_Yr3_44">'NARM5 – ED2 actuals'!$CS$1395:$CW$1398</definedName>
    <definedName name="Asset_Refurbishment_2028_Yr3_45">'NARM5 – ED2 actuals'!$CS$1427:$CW$1430</definedName>
    <definedName name="Asset_Refurbishment_2028_Yr3_46">'NARM5 – ED2 actuals'!$CS$1459:$CW$1462</definedName>
    <definedName name="Asset_Refurbishment_2028_Yr3_47">'NARM5 – ED2 actuals'!$CS$1491:$CW$1494</definedName>
    <definedName name="Asset_Refurbishment_2028_Yr3_48">'NARM5 – ED2 actuals'!$CS$1523:$CW$1526</definedName>
    <definedName name="Asset_Refurbishment_2028_Yr3_49">'NARM5 – ED2 actuals'!$CS$1555:$CW$1558</definedName>
    <definedName name="Asset_Refurbishment_2028_Yr3_5">'NARM5 – ED2 actuals'!$CS$147:$CW$150</definedName>
    <definedName name="Asset_Refurbishment_2028_Yr3_50">'NARM5 – ED2 actuals'!$CS$1587:$CW$1590</definedName>
    <definedName name="Asset_Refurbishment_2028_Yr3_51">'NARM5 – ED2 actuals'!$CS$1619:$CW$1622</definedName>
    <definedName name="Asset_Refurbishment_2028_Yr3_52">'NARM5 – ED2 actuals'!$CS$1651:$CW$1654</definedName>
    <definedName name="Asset_Refurbishment_2028_Yr3_53">'NARM5 – ED2 actuals'!$CS$1683:$CW$1686</definedName>
    <definedName name="Asset_Refurbishment_2028_Yr3_54">'NARM5 – ED2 actuals'!$CS$1715:$CW$1718</definedName>
    <definedName name="Asset_Refurbishment_2028_Yr3_55">'NARM5 – ED2 actuals'!$CS$1747:$CW$1750</definedName>
    <definedName name="Asset_Refurbishment_2028_Yr3_56">'NARM5 – ED2 actuals'!$CS$1779:$CW$1782</definedName>
    <definedName name="Asset_Refurbishment_2028_Yr3_57">'NARM5 – ED2 actuals'!$CS$1811:$CW$1814</definedName>
    <definedName name="Asset_Refurbishment_2028_Yr3_58">'NARM5 – ED2 actuals'!$CS$1843:$CW$1846</definedName>
    <definedName name="Asset_Refurbishment_2028_Yr3_59">'NARM5 – ED2 actuals'!$CS$1875:$CW$1878</definedName>
    <definedName name="Asset_Refurbishment_2028_Yr3_6">'NARM5 – ED2 actuals'!$CS$179:$CW$182</definedName>
    <definedName name="Asset_Refurbishment_2028_Yr3_60">'NARM5 – ED2 actuals'!$CS$1907:$CW$1910</definedName>
    <definedName name="Asset_Refurbishment_2028_Yr3_61">'NARM5 – ED2 actuals'!$CS$1939:$CW$1942</definedName>
    <definedName name="Asset_Refurbishment_2028_Yr3_7">'NARM5 – ED2 actuals'!$CS$211:$CW$214</definedName>
    <definedName name="Asset_Refurbishment_2028_Yr3_8">'NARM5 – ED2 actuals'!$CS$243:$CW$246</definedName>
    <definedName name="Asset_Refurbishment_2028_Yr3_9">'NARM5 – ED2 actuals'!$CS$275:$CW$278</definedName>
    <definedName name="Asset_Refurbishment_2028_Yr4_1">'NARM5 – ED2 actuals'!$CS$25:$CW$28</definedName>
    <definedName name="Asset_Refurbishment_2028_Yr4_10">'NARM5 – ED2 actuals'!$CS$313:$CW$316</definedName>
    <definedName name="Asset_Refurbishment_2028_Yr4_11">'NARM5 – ED2 actuals'!$CS$345:$CW$348</definedName>
    <definedName name="Asset_Refurbishment_2028_Yr4_12">'NARM5 – ED2 actuals'!$CS$377:$CW$380</definedName>
    <definedName name="Asset_Refurbishment_2028_Yr4_13">'NARM5 – ED2 actuals'!$CS$409:$CW$412</definedName>
    <definedName name="Asset_Refurbishment_2028_Yr4_14">'NARM5 – ED2 actuals'!$CS$441:$CW$444</definedName>
    <definedName name="Asset_Refurbishment_2028_Yr4_15">'NARM5 – ED2 actuals'!$CS$473:$CW$476</definedName>
    <definedName name="Asset_Refurbishment_2028_Yr4_16">'NARM5 – ED2 actuals'!$CS$505:$CW$508</definedName>
    <definedName name="Asset_Refurbishment_2028_Yr4_17">'NARM5 – ED2 actuals'!$CS$537:$CW$540</definedName>
    <definedName name="Asset_Refurbishment_2028_Yr4_18">'NARM5 – ED2 actuals'!$CS$569:$CW$572</definedName>
    <definedName name="Asset_Refurbishment_2028_Yr4_19">'NARM5 – ED2 actuals'!$CS$601:$CW$604</definedName>
    <definedName name="Asset_Refurbishment_2028_Yr4_2">'NARM5 – ED2 actuals'!$CS$57:$CW$60</definedName>
    <definedName name="Asset_Refurbishment_2028_Yr4_20">'NARM5 – ED2 actuals'!$CS$633:$CW$636</definedName>
    <definedName name="Asset_Refurbishment_2028_Yr4_21">'NARM5 – ED2 actuals'!$CS$665:$CW$668</definedName>
    <definedName name="Asset_Refurbishment_2028_Yr4_22">'NARM5 – ED2 actuals'!$CS$697:$CW$700</definedName>
    <definedName name="Asset_Refurbishment_2028_Yr4_23">'NARM5 – ED2 actuals'!$CS$729:$CW$732</definedName>
    <definedName name="Asset_Refurbishment_2028_Yr4_24">'NARM5 – ED2 actuals'!$CS$761:$CW$764</definedName>
    <definedName name="Asset_Refurbishment_2028_Yr4_25">'NARM5 – ED2 actuals'!$CS$793:$CW$796</definedName>
    <definedName name="Asset_Refurbishment_2028_Yr4_26">'NARM5 – ED2 actuals'!$CS$825:$CW$828</definedName>
    <definedName name="Asset_Refurbishment_2028_Yr4_27">'NARM5 – ED2 actuals'!$CS$857:$CW$860</definedName>
    <definedName name="Asset_Refurbishment_2028_Yr4_28">'NARM5 – ED2 actuals'!$CS$889:$CW$892</definedName>
    <definedName name="Asset_Refurbishment_2028_Yr4_29">'NARM5 – ED2 actuals'!$CS$921:$CW$924</definedName>
    <definedName name="Asset_Refurbishment_2028_Yr4_3">'NARM5 – ED2 actuals'!$CS$89:$CW$92</definedName>
    <definedName name="Asset_Refurbishment_2028_Yr4_30">'NARM5 – ED2 actuals'!$CS$953:$CW$956</definedName>
    <definedName name="Asset_Refurbishment_2028_Yr4_31">'NARM5 – ED2 actuals'!$CS$985:$CW$988</definedName>
    <definedName name="Asset_Refurbishment_2028_Yr4_32">'NARM5 – ED2 actuals'!$CS$1017:$CW$1020</definedName>
    <definedName name="Asset_Refurbishment_2028_Yr4_33">'NARM5 – ED2 actuals'!$CS$1049:$CW$1052</definedName>
    <definedName name="Asset_Refurbishment_2028_Yr4_34">'NARM5 – ED2 actuals'!$CS$1081:$CW$1084</definedName>
    <definedName name="Asset_Refurbishment_2028_Yr4_35">'NARM5 – ED2 actuals'!$CS$1113:$CW$1116</definedName>
    <definedName name="Asset_Refurbishment_2028_Yr4_36">'NARM5 – ED2 actuals'!$CS$1145:$CW$1148</definedName>
    <definedName name="Asset_Refurbishment_2028_Yr4_37">'NARM5 – ED2 actuals'!$CS$1177:$CW$1180</definedName>
    <definedName name="Asset_Refurbishment_2028_Yr4_38">'NARM5 – ED2 actuals'!$CS$1209:$CW$1212</definedName>
    <definedName name="Asset_Refurbishment_2028_Yr4_39">'NARM5 – ED2 actuals'!$CS$1241:$CW$1244</definedName>
    <definedName name="Asset_Refurbishment_2028_Yr4_4">'NARM5 – ED2 actuals'!$CS$121:$CW$124</definedName>
    <definedName name="Asset_Refurbishment_2028_Yr4_40">'NARM5 – ED2 actuals'!$CS$1273:$CW$1276</definedName>
    <definedName name="Asset_Refurbishment_2028_Yr4_41">'NARM5 – ED2 actuals'!$CS$1305:$CW$1308</definedName>
    <definedName name="Asset_Refurbishment_2028_Yr4_42">'NARM5 – ED2 actuals'!$CS$1337:$CW$1340</definedName>
    <definedName name="Asset_Refurbishment_2028_Yr4_43">'NARM5 – ED2 actuals'!$CS$1369:$CW$1372</definedName>
    <definedName name="Asset_Refurbishment_2028_Yr4_44">'NARM5 – ED2 actuals'!$CS$1401:$CW$1404</definedName>
    <definedName name="Asset_Refurbishment_2028_Yr4_45">'NARM5 – ED2 actuals'!$CS$1433:$CW$1436</definedName>
    <definedName name="Asset_Refurbishment_2028_Yr4_46">'NARM5 – ED2 actuals'!$CS$1465:$CW$1468</definedName>
    <definedName name="Asset_Refurbishment_2028_Yr4_47">'NARM5 – ED2 actuals'!$CS$1497:$CW$1500</definedName>
    <definedName name="Asset_Refurbishment_2028_Yr4_48">'NARM5 – ED2 actuals'!$CS$1529:$CW$1532</definedName>
    <definedName name="Asset_Refurbishment_2028_Yr4_49">'NARM5 – ED2 actuals'!$CS$1561:$CW$1564</definedName>
    <definedName name="Asset_Refurbishment_2028_Yr4_5">'NARM5 – ED2 actuals'!$CS$153:$CW$156</definedName>
    <definedName name="Asset_Refurbishment_2028_Yr4_50">'NARM5 – ED2 actuals'!$CS$1593:$CW$1596</definedName>
    <definedName name="Asset_Refurbishment_2028_Yr4_51">'NARM5 – ED2 actuals'!$CS$1625:$CW$1628</definedName>
    <definedName name="Asset_Refurbishment_2028_Yr4_52">'NARM5 – ED2 actuals'!$CS$1657:$CW$1660</definedName>
    <definedName name="Asset_Refurbishment_2028_Yr4_53">'NARM5 – ED2 actuals'!$CS$1689:$CW$1692</definedName>
    <definedName name="Asset_Refurbishment_2028_Yr4_54">'NARM5 – ED2 actuals'!$CS$1721:$CW$1724</definedName>
    <definedName name="Asset_Refurbishment_2028_Yr4_55">'NARM5 – ED2 actuals'!$CS$1753:$CW$1756</definedName>
    <definedName name="Asset_Refurbishment_2028_Yr4_56">'NARM5 – ED2 actuals'!$CS$1785:$CW$1788</definedName>
    <definedName name="Asset_Refurbishment_2028_Yr4_57">'NARM5 – ED2 actuals'!$CS$1817:$CW$1820</definedName>
    <definedName name="Asset_Refurbishment_2028_Yr4_58">'NARM5 – ED2 actuals'!$CS$1849:$CW$1852</definedName>
    <definedName name="Asset_Refurbishment_2028_Yr4_59">'NARM5 – ED2 actuals'!$CS$1881:$CW$1884</definedName>
    <definedName name="Asset_Refurbishment_2028_Yr4_6">'NARM5 – ED2 actuals'!$CS$185:$CW$188</definedName>
    <definedName name="Asset_Refurbishment_2028_Yr4_60">'NARM5 – ED2 actuals'!$CS$1913:$CW$1916</definedName>
    <definedName name="Asset_Refurbishment_2028_Yr4_61">'NARM5 – ED2 actuals'!$CS$1945:$CW$1948</definedName>
    <definedName name="Asset_Refurbishment_2028_Yr4_7">'NARM5 – ED2 actuals'!$CS$217:$CW$220</definedName>
    <definedName name="Asset_Refurbishment_2028_Yr4_8">'NARM5 – ED2 actuals'!$CS$249:$CW$252</definedName>
    <definedName name="Asset_Refurbishment_2028_Yr4_9">'NARM5 – ED2 actuals'!$CS$281:$CW$284</definedName>
    <definedName name="Asset_Refurbishment_2028_Yr5_1">'NARM5 – ED2 actuals'!$CS$31:$CW$34</definedName>
    <definedName name="Asset_Refurbishment_2028_Yr5_10">'NARM5 – ED2 actuals'!$CS$319:$CW$322</definedName>
    <definedName name="Asset_Refurbishment_2028_Yr5_11">'NARM5 – ED2 actuals'!$CS$351:$CW$354</definedName>
    <definedName name="Asset_Refurbishment_2028_Yr5_12">'NARM5 – ED2 actuals'!$CS$383:$CW$386</definedName>
    <definedName name="Asset_Refurbishment_2028_Yr5_13">'NARM5 – ED2 actuals'!$CS$415:$CW$418</definedName>
    <definedName name="Asset_Refurbishment_2028_Yr5_14">'NARM5 – ED2 actuals'!$CS$447:$CW$450</definedName>
    <definedName name="Asset_Refurbishment_2028_Yr5_15">'NARM5 – ED2 actuals'!$CS$479:$CW$482</definedName>
    <definedName name="Asset_Refurbishment_2028_Yr5_16">'NARM5 – ED2 actuals'!$CS$511:$CW$514</definedName>
    <definedName name="Asset_Refurbishment_2028_Yr5_17">'NARM5 – ED2 actuals'!$CS$543:$CW$546</definedName>
    <definedName name="Asset_Refurbishment_2028_Yr5_18">'NARM5 – ED2 actuals'!$CS$575:$CW$578</definedName>
    <definedName name="Asset_Refurbishment_2028_Yr5_19">'NARM5 – ED2 actuals'!$CS$607:$CW$610</definedName>
    <definedName name="Asset_Refurbishment_2028_Yr5_2">'NARM5 – ED2 actuals'!$CS$63:$CW$66</definedName>
    <definedName name="Asset_Refurbishment_2028_Yr5_20">'NARM5 – ED2 actuals'!$CS$639:$CW$642</definedName>
    <definedName name="Asset_Refurbishment_2028_Yr5_21">'NARM5 – ED2 actuals'!$CS$671:$CW$674</definedName>
    <definedName name="Asset_Refurbishment_2028_Yr5_22">'NARM5 – ED2 actuals'!$CS$703:$CW$706</definedName>
    <definedName name="Asset_Refurbishment_2028_Yr5_23">'NARM5 – ED2 actuals'!$CS$735:$CW$738</definedName>
    <definedName name="Asset_Refurbishment_2028_Yr5_24">'NARM5 – ED2 actuals'!$CS$767:$CW$770</definedName>
    <definedName name="Asset_Refurbishment_2028_Yr5_25">'NARM5 – ED2 actuals'!$CS$799:$CW$802</definedName>
    <definedName name="Asset_Refurbishment_2028_Yr5_26">'NARM5 – ED2 actuals'!$CS$831:$CW$834</definedName>
    <definedName name="Asset_Refurbishment_2028_Yr5_27">'NARM5 – ED2 actuals'!$CS$863:$CW$866</definedName>
    <definedName name="Asset_Refurbishment_2028_Yr5_28">'NARM5 – ED2 actuals'!$CS$895:$CW$898</definedName>
    <definedName name="Asset_Refurbishment_2028_Yr5_29">'NARM5 – ED2 actuals'!$CS$927:$CW$930</definedName>
    <definedName name="Asset_Refurbishment_2028_Yr5_3">'NARM5 – ED2 actuals'!$CS$95:$CW$98</definedName>
    <definedName name="Asset_Refurbishment_2028_Yr5_30">'NARM5 – ED2 actuals'!$CS$959:$CW$962</definedName>
    <definedName name="Asset_Refurbishment_2028_Yr5_31">'NARM5 – ED2 actuals'!$CS$991:$CW$994</definedName>
    <definedName name="Asset_Refurbishment_2028_Yr5_32">'NARM5 – ED2 actuals'!$CS$1023:$CW$1026</definedName>
    <definedName name="Asset_Refurbishment_2028_Yr5_33">'NARM5 – ED2 actuals'!$CS$1055:$CW$1058</definedName>
    <definedName name="Asset_Refurbishment_2028_Yr5_34">'NARM5 – ED2 actuals'!$CS$1087:$CW$1090</definedName>
    <definedName name="Asset_Refurbishment_2028_Yr5_35">'NARM5 – ED2 actuals'!$CS$1119:$CW$1122</definedName>
    <definedName name="Asset_Refurbishment_2028_Yr5_36">'NARM5 – ED2 actuals'!$CS$1151:$CW$1154</definedName>
    <definedName name="Asset_Refurbishment_2028_Yr5_37">'NARM5 – ED2 actuals'!$CS$1183:$CW$1186</definedName>
    <definedName name="Asset_Refurbishment_2028_Yr5_38">'NARM5 – ED2 actuals'!$CS$1215:$CW$1218</definedName>
    <definedName name="Asset_Refurbishment_2028_Yr5_39">'NARM5 – ED2 actuals'!$CS$1247:$CW$1250</definedName>
    <definedName name="Asset_Refurbishment_2028_Yr5_4">'NARM5 – ED2 actuals'!$CS$127:$CW$130</definedName>
    <definedName name="Asset_Refurbishment_2028_Yr5_40">'NARM5 – ED2 actuals'!$CS$1279:$CW$1282</definedName>
    <definedName name="Asset_Refurbishment_2028_Yr5_41">'NARM5 – ED2 actuals'!$CS$1311:$CW$1314</definedName>
    <definedName name="Asset_Refurbishment_2028_Yr5_42">'NARM5 – ED2 actuals'!$CS$1343:$CW$1346</definedName>
    <definedName name="Asset_Refurbishment_2028_Yr5_43">'NARM5 – ED2 actuals'!$CS$1375:$CW$1378</definedName>
    <definedName name="Asset_Refurbishment_2028_Yr5_44">'NARM5 – ED2 actuals'!$CS$1407:$CW$1410</definedName>
    <definedName name="Asset_Refurbishment_2028_Yr5_45">'NARM5 – ED2 actuals'!$CS$1439:$CW$1442</definedName>
    <definedName name="Asset_Refurbishment_2028_Yr5_46">'NARM5 – ED2 actuals'!$CS$1471:$CW$1474</definedName>
    <definedName name="Asset_Refurbishment_2028_Yr5_47">'NARM5 – ED2 actuals'!$CS$1503:$CW$1506</definedName>
    <definedName name="Asset_Refurbishment_2028_Yr5_48">'NARM5 – ED2 actuals'!$CS$1535:$CW$1538</definedName>
    <definedName name="Asset_Refurbishment_2028_Yr5_49">'NARM5 – ED2 actuals'!$CS$1567:$CW$1570</definedName>
    <definedName name="Asset_Refurbishment_2028_Yr5_5">'NARM5 – ED2 actuals'!$CS$159:$CW$162</definedName>
    <definedName name="Asset_Refurbishment_2028_Yr5_50">'NARM5 – ED2 actuals'!$CS$1599:$CW$1602</definedName>
    <definedName name="Asset_Refurbishment_2028_Yr5_51">'NARM5 – ED2 actuals'!$CS$1631:$CW$1634</definedName>
    <definedName name="Asset_Refurbishment_2028_Yr5_52">'NARM5 – ED2 actuals'!$CS$1663:$CW$1666</definedName>
    <definedName name="Asset_Refurbishment_2028_Yr5_53">'NARM5 – ED2 actuals'!$CS$1695:$CW$1698</definedName>
    <definedName name="Asset_Refurbishment_2028_Yr5_54">'NARM5 – ED2 actuals'!$CS$1727:$CW$1730</definedName>
    <definedName name="Asset_Refurbishment_2028_Yr5_55">'NARM5 – ED2 actuals'!$CS$1759:$CW$1762</definedName>
    <definedName name="Asset_Refurbishment_2028_Yr5_56">'NARM5 – ED2 actuals'!$CS$1791:$CW$1794</definedName>
    <definedName name="Asset_Refurbishment_2028_Yr5_57">'NARM5 – ED2 actuals'!$CS$1823:$CW$1826</definedName>
    <definedName name="Asset_Refurbishment_2028_Yr5_58">'NARM5 – ED2 actuals'!$CS$1855:$CW$1858</definedName>
    <definedName name="Asset_Refurbishment_2028_Yr5_59">'NARM5 – ED2 actuals'!$CS$1887:$CW$1890</definedName>
    <definedName name="Asset_Refurbishment_2028_Yr5_6">'NARM5 – ED2 actuals'!$CS$191:$CW$194</definedName>
    <definedName name="Asset_Refurbishment_2028_Yr5_60">'NARM5 – ED2 actuals'!$CS$1919:$CW$1922</definedName>
    <definedName name="Asset_Refurbishment_2028_Yr5_61">'NARM5 – ED2 actuals'!$CS$1951:$CW$1954</definedName>
    <definedName name="Asset_Refurbishment_2028_Yr5_7">'NARM5 – ED2 actuals'!$CS$223:$CW$226</definedName>
    <definedName name="Asset_Refurbishment_2028_Yr5_8">'NARM5 – ED2 actuals'!$CS$255:$CW$258</definedName>
    <definedName name="Asset_Refurbishment_2028_Yr5_9">'NARM5 – ED2 actuals'!$CS$287:$CW$290</definedName>
    <definedName name="Asset_Refurbishment_Yr1_1">'NARM5 – ED2 actuals'!$AO$7:$AS$10</definedName>
    <definedName name="Asset_Refurbishment_Yr1_10">'NARM5 – ED2 actuals'!$AO$295:$AS$298</definedName>
    <definedName name="Asset_Refurbishment_Yr1_11">'NARM5 – ED2 actuals'!$AO$327:$AS$330</definedName>
    <definedName name="Asset_Refurbishment_Yr1_12">'NARM5 – ED2 actuals'!$AO$359:$AS$362</definedName>
    <definedName name="Asset_Refurbishment_Yr1_13">'NARM5 – ED2 actuals'!$AO$391:$AS$394</definedName>
    <definedName name="Asset_Refurbishment_Yr1_14">'NARM5 – ED2 actuals'!$AO$423:$AS$426</definedName>
    <definedName name="Asset_Refurbishment_Yr1_15">'NARM5 – ED2 actuals'!$AO$455:$AS$458</definedName>
    <definedName name="Asset_Refurbishment_Yr1_16">'NARM5 – ED2 actuals'!$AO$487:$AS$490</definedName>
    <definedName name="Asset_Refurbishment_Yr1_17">'NARM5 – ED2 actuals'!$AO$519:$AS$522</definedName>
    <definedName name="Asset_Refurbishment_Yr1_18">'NARM5 – ED2 actuals'!$AO$551:$AS$554</definedName>
    <definedName name="Asset_Refurbishment_Yr1_19">'NARM5 – ED2 actuals'!$AO$583:$AS$586</definedName>
    <definedName name="Asset_Refurbishment_Yr1_2">'NARM5 – ED2 actuals'!$AO$39:$AS$42</definedName>
    <definedName name="Asset_Refurbishment_Yr1_20">'NARM5 – ED2 actuals'!$AO$615:$AS$618</definedName>
    <definedName name="Asset_Refurbishment_Yr1_21">'NARM5 – ED2 actuals'!$AO$647:$AS$650</definedName>
    <definedName name="Asset_Refurbishment_Yr1_22">'NARM5 – ED2 actuals'!$AO$679:$AS$682</definedName>
    <definedName name="Asset_Refurbishment_Yr1_23">'NARM5 – ED2 actuals'!$AO$711:$AS$714</definedName>
    <definedName name="Asset_Refurbishment_Yr1_24">'NARM5 – ED2 actuals'!$AO$743:$AS$746</definedName>
    <definedName name="Asset_Refurbishment_Yr1_25">'NARM5 – ED2 actuals'!$AO$775:$AS$778</definedName>
    <definedName name="Asset_Refurbishment_Yr1_26">'NARM5 – ED2 actuals'!$AO$807:$AS$810</definedName>
    <definedName name="Asset_Refurbishment_Yr1_27">'NARM5 – ED2 actuals'!$AO$839:$AS$842</definedName>
    <definedName name="Asset_Refurbishment_Yr1_28">'NARM5 – ED2 actuals'!$AO$871:$AS$874</definedName>
    <definedName name="Asset_Refurbishment_Yr1_29">'NARM5 – ED2 actuals'!$AO$903:$AS$906</definedName>
    <definedName name="Asset_Refurbishment_Yr1_3">'NARM5 – ED2 actuals'!$AO$71:$AS$74</definedName>
    <definedName name="Asset_Refurbishment_Yr1_30">'NARM5 – ED2 actuals'!$AO$935:$AS$938</definedName>
    <definedName name="Asset_Refurbishment_Yr1_31">'NARM5 – ED2 actuals'!$AO$967:$AS$970</definedName>
    <definedName name="Asset_Refurbishment_Yr1_32">'NARM5 – ED2 actuals'!$AO$999:$AS$1002</definedName>
    <definedName name="Asset_Refurbishment_Yr1_33">'NARM5 – ED2 actuals'!$AO$1031:$AS$1034</definedName>
    <definedName name="Asset_Refurbishment_Yr1_34">'NARM5 – ED2 actuals'!$AO$1063:$AS$1066</definedName>
    <definedName name="Asset_Refurbishment_Yr1_35">'NARM5 – ED2 actuals'!$AO$1095:$AS$1098</definedName>
    <definedName name="Asset_Refurbishment_Yr1_36">'NARM5 – ED2 actuals'!$AO$1127:$AS$1130</definedName>
    <definedName name="Asset_Refurbishment_Yr1_37">'NARM5 – ED2 actuals'!$AO$1159:$AS$1162</definedName>
    <definedName name="Asset_Refurbishment_Yr1_38">'NARM5 – ED2 actuals'!$AO$1191:$AS$1194</definedName>
    <definedName name="Asset_Refurbishment_Yr1_39">'NARM5 – ED2 actuals'!$AO$1223:$AS$1226</definedName>
    <definedName name="Asset_Refurbishment_Yr1_4">'NARM5 – ED2 actuals'!$AO$103:$AS$106</definedName>
    <definedName name="Asset_Refurbishment_Yr1_40">'NARM5 – ED2 actuals'!$AO$1255:$AS$1258</definedName>
    <definedName name="Asset_Refurbishment_Yr1_41">'NARM5 – ED2 actuals'!$AO$1287:$AS$1290</definedName>
    <definedName name="Asset_Refurbishment_Yr1_42">'NARM5 – ED2 actuals'!$AO$1319:$AS$1322</definedName>
    <definedName name="Asset_Refurbishment_Yr1_43">'NARM5 – ED2 actuals'!$AO$1351:$AS$1354</definedName>
    <definedName name="Asset_Refurbishment_Yr1_44">'NARM5 – ED2 actuals'!$AO$1383:$AS$1386</definedName>
    <definedName name="Asset_Refurbishment_Yr1_45">'NARM5 – ED2 actuals'!$AO$1415:$AS$1418</definedName>
    <definedName name="Asset_Refurbishment_Yr1_46">'NARM5 – ED2 actuals'!$AO$1447:$AS$1450</definedName>
    <definedName name="Asset_Refurbishment_Yr1_47">'NARM5 – ED2 actuals'!$AO$1479:$AS$1482</definedName>
    <definedName name="Asset_Refurbishment_Yr1_48">'NARM5 – ED2 actuals'!$AO$1511:$AS$1514</definedName>
    <definedName name="Asset_Refurbishment_Yr1_49">'NARM5 – ED2 actuals'!$AO$1543:$AS$1546</definedName>
    <definedName name="Asset_Refurbishment_Yr1_5">'NARM5 – ED2 actuals'!$AO$135:$AS$138</definedName>
    <definedName name="Asset_Refurbishment_Yr1_50">'NARM5 – ED2 actuals'!$AO$1575:$AS$1578</definedName>
    <definedName name="Asset_Refurbishment_Yr1_51">'NARM5 – ED2 actuals'!$AO$1607:$AS$1610</definedName>
    <definedName name="Asset_Refurbishment_Yr1_52">'NARM5 – ED2 actuals'!$AO$1639:$AS$1642</definedName>
    <definedName name="Asset_Refurbishment_Yr1_53">'NARM5 – ED2 actuals'!$AO$1671:$AS$1674</definedName>
    <definedName name="Asset_Refurbishment_Yr1_54">'NARM5 – ED2 actuals'!$AO$1703:$AS$1706</definedName>
    <definedName name="Asset_Refurbishment_Yr1_55">'NARM5 – ED2 actuals'!$AO$1735:$AS$1738</definedName>
    <definedName name="Asset_Refurbishment_Yr1_56">'NARM5 – ED2 actuals'!$AO$1767:$AS$1770</definedName>
    <definedName name="Asset_Refurbishment_Yr1_57">'NARM5 – ED2 actuals'!$AO$1799:$AS$1802</definedName>
    <definedName name="Asset_Refurbishment_Yr1_58">'NARM5 – ED2 actuals'!$AO$1831:$AS$1834</definedName>
    <definedName name="Asset_Refurbishment_Yr1_59">'NARM5 – ED2 actuals'!$AO$1863:$AS$1866</definedName>
    <definedName name="Asset_Refurbishment_Yr1_6">'NARM5 – ED2 actuals'!$AO$167:$AS$170</definedName>
    <definedName name="Asset_Refurbishment_Yr1_60">'NARM5 – ED2 actuals'!$AO$1895:$AS$1898</definedName>
    <definedName name="Asset_Refurbishment_Yr1_61">'NARM5 – ED2 actuals'!$AO$1927:$AS$1930</definedName>
    <definedName name="Asset_Refurbishment_Yr1_7">'NARM5 – ED2 actuals'!$AO$199:$AS$202</definedName>
    <definedName name="Asset_Refurbishment_Yr1_8">'NARM5 – ED2 actuals'!$AO$231:$AS$234</definedName>
    <definedName name="Asset_Refurbishment_Yr1_9">'NARM5 – ED2 actuals'!$AO$263:$AS$266</definedName>
    <definedName name="Asset_Refurbishment_Yr2_1">'NARM5 – ED2 actuals'!$AO$13:$AS$16</definedName>
    <definedName name="Asset_Refurbishment_Yr2_10">'NARM5 – ED2 actuals'!$AO$301:$AS$304</definedName>
    <definedName name="Asset_Refurbishment_Yr2_11">'NARM5 – ED2 actuals'!$AO$333:$AS$336</definedName>
    <definedName name="Asset_Refurbishment_Yr2_12">'NARM5 – ED2 actuals'!$AO$365:$AS$368</definedName>
    <definedName name="Asset_Refurbishment_Yr2_13">'NARM5 – ED2 actuals'!$AO$397:$AS$400</definedName>
    <definedName name="Asset_Refurbishment_Yr2_14">'NARM5 – ED2 actuals'!$AO$429:$AS$432</definedName>
    <definedName name="Asset_Refurbishment_Yr2_15">'NARM5 – ED2 actuals'!$AO$461:$AS$464</definedName>
    <definedName name="Asset_Refurbishment_Yr2_16">'NARM5 – ED2 actuals'!$AO$493:$AS$496</definedName>
    <definedName name="Asset_Refurbishment_Yr2_17">'NARM5 – ED2 actuals'!$AO$525:$AS$528</definedName>
    <definedName name="Asset_Refurbishment_Yr2_18">'NARM5 – ED2 actuals'!$AO$557:$AS$560</definedName>
    <definedName name="Asset_Refurbishment_Yr2_19">'NARM5 – ED2 actuals'!$AO$589:$AS$592</definedName>
    <definedName name="Asset_Refurbishment_Yr2_2">'NARM5 – ED2 actuals'!$AO$45:$AS$48</definedName>
    <definedName name="Asset_Refurbishment_Yr2_20">'NARM5 – ED2 actuals'!$AO$621:$AS$624</definedName>
    <definedName name="Asset_Refurbishment_Yr2_21">'NARM5 – ED2 actuals'!$AO$653:$AS$656</definedName>
    <definedName name="Asset_Refurbishment_Yr2_22">'NARM5 – ED2 actuals'!$AO$685:$AS$688</definedName>
    <definedName name="Asset_Refurbishment_Yr2_23">'NARM5 – ED2 actuals'!$AO$717:$AS$720</definedName>
    <definedName name="Asset_Refurbishment_Yr2_24">'NARM5 – ED2 actuals'!$AO$749:$AS$752</definedName>
    <definedName name="Asset_Refurbishment_Yr2_25">'NARM5 – ED2 actuals'!$AO$781:$AS$784</definedName>
    <definedName name="Asset_Refurbishment_Yr2_26">'NARM5 – ED2 actuals'!$AO$813:$AS$816</definedName>
    <definedName name="Asset_Refurbishment_Yr2_27">'NARM5 – ED2 actuals'!$AO$845:$AS$848</definedName>
    <definedName name="Asset_Refurbishment_Yr2_28">'NARM5 – ED2 actuals'!$AO$877:$AS$880</definedName>
    <definedName name="Asset_Refurbishment_Yr2_29">'NARM5 – ED2 actuals'!$AO$909:$AS$912</definedName>
    <definedName name="Asset_Refurbishment_Yr2_3">'NARM5 – ED2 actuals'!$AO$77:$AS$80</definedName>
    <definedName name="Asset_Refurbishment_Yr2_30">'NARM5 – ED2 actuals'!$AO$941:$AS$944</definedName>
    <definedName name="Asset_Refurbishment_Yr2_31">'NARM5 – ED2 actuals'!$AO$973:$AS$976</definedName>
    <definedName name="Asset_Refurbishment_Yr2_32">'NARM5 – ED2 actuals'!$AO$1005:$AS$1008</definedName>
    <definedName name="Asset_Refurbishment_Yr2_33">'NARM5 – ED2 actuals'!$AO$1037:$AS$1040</definedName>
    <definedName name="Asset_Refurbishment_Yr2_34">'NARM5 – ED2 actuals'!$AO$1069:$AS$1072</definedName>
    <definedName name="Asset_Refurbishment_Yr2_35">'NARM5 – ED2 actuals'!$AO$1101:$AS$1104</definedName>
    <definedName name="Asset_Refurbishment_Yr2_36">'NARM5 – ED2 actuals'!$AO$1133:$AS$1136</definedName>
    <definedName name="Asset_Refurbishment_Yr2_37">'NARM5 – ED2 actuals'!$AO$1165:$AS$1168</definedName>
    <definedName name="Asset_Refurbishment_Yr2_38">'NARM5 – ED2 actuals'!$AO$1197:$AS$1200</definedName>
    <definedName name="Asset_Refurbishment_Yr2_39">'NARM5 – ED2 actuals'!$AO$1229:$AS$1232</definedName>
    <definedName name="Asset_Refurbishment_Yr2_4">'NARM5 – ED2 actuals'!$AO$109:$AS$112</definedName>
    <definedName name="Asset_Refurbishment_Yr2_40">'NARM5 – ED2 actuals'!$AO$1261:$AS$1264</definedName>
    <definedName name="Asset_Refurbishment_Yr2_41">'NARM5 – ED2 actuals'!$AO$1293:$AS$1296</definedName>
    <definedName name="Asset_Refurbishment_Yr2_42">'NARM5 – ED2 actuals'!$AO$1325:$AS$1328</definedName>
    <definedName name="Asset_Refurbishment_Yr2_43">'NARM5 – ED2 actuals'!$AO$1357:$AS$1360</definedName>
    <definedName name="Asset_Refurbishment_Yr2_44">'NARM5 – ED2 actuals'!$AO$1389:$AS$1392</definedName>
    <definedName name="Asset_Refurbishment_Yr2_45">'NARM5 – ED2 actuals'!$AO$1421:$AS$1424</definedName>
    <definedName name="Asset_Refurbishment_Yr2_46">'NARM5 – ED2 actuals'!$AO$1453:$AS$1456</definedName>
    <definedName name="Asset_Refurbishment_Yr2_47">'NARM5 – ED2 actuals'!$AO$1485:$AS$1488</definedName>
    <definedName name="Asset_Refurbishment_Yr2_48">'NARM5 – ED2 actuals'!$AO$1517:$AS$1520</definedName>
    <definedName name="Asset_Refurbishment_Yr2_49">'NARM5 – ED2 actuals'!$AO$1549:$AS$1552</definedName>
    <definedName name="Asset_Refurbishment_Yr2_5">'NARM5 – ED2 actuals'!$AO$141:$AS$144</definedName>
    <definedName name="Asset_Refurbishment_Yr2_50">'NARM5 – ED2 actuals'!$AO$1581:$AS$1584</definedName>
    <definedName name="Asset_Refurbishment_Yr2_51">'NARM5 – ED2 actuals'!$AO$1613:$AS$1616</definedName>
    <definedName name="Asset_Refurbishment_Yr2_52">'NARM5 – ED2 actuals'!$AO$1645:$AS$1648</definedName>
    <definedName name="Asset_Refurbishment_Yr2_53">'NARM5 – ED2 actuals'!$AO$1677:$AS$1680</definedName>
    <definedName name="Asset_Refurbishment_Yr2_54">'NARM5 – ED2 actuals'!$AO$1709:$AS$1712</definedName>
    <definedName name="Asset_Refurbishment_Yr2_55">'NARM5 – ED2 actuals'!$AO$1741:$AS$1744</definedName>
    <definedName name="Asset_Refurbishment_Yr2_56">'NARM5 – ED2 actuals'!$AO$1773:$AS$1776</definedName>
    <definedName name="Asset_Refurbishment_Yr2_57">'NARM5 – ED2 actuals'!$AO$1805:$AS$1808</definedName>
    <definedName name="Asset_Refurbishment_Yr2_58">'NARM5 – ED2 actuals'!$AO$1837:$AS$1840</definedName>
    <definedName name="Asset_Refurbishment_Yr2_59">'NARM5 – ED2 actuals'!$AO$1869:$AS$1872</definedName>
    <definedName name="Asset_Refurbishment_Yr2_6">'NARM5 – ED2 actuals'!$AO$173:$AS$176</definedName>
    <definedName name="Asset_Refurbishment_Yr2_60">'NARM5 – ED2 actuals'!$AO$1901:$AS$1904</definedName>
    <definedName name="Asset_Refurbishment_Yr2_61">'NARM5 – ED2 actuals'!$AO$1933:$AS$1936</definedName>
    <definedName name="Asset_Refurbishment_Yr2_7">'NARM5 – ED2 actuals'!$AO$205:$AS$208</definedName>
    <definedName name="Asset_Refurbishment_Yr2_8">'NARM5 – ED2 actuals'!$AO$237:$AS$240</definedName>
    <definedName name="Asset_Refurbishment_Yr2_9">'NARM5 – ED2 actuals'!$AO$269:$AS$272</definedName>
    <definedName name="Asset_Refurbishment_Yr3_1">'NARM5 – ED2 actuals'!$AO$19:$AS$22</definedName>
    <definedName name="Asset_Refurbishment_Yr3_10">'NARM5 – ED2 actuals'!$AO$307:$AS$310</definedName>
    <definedName name="Asset_Refurbishment_Yr3_11">'NARM5 – ED2 actuals'!$AO$339:$AS$342</definedName>
    <definedName name="Asset_Refurbishment_Yr3_12">'NARM5 – ED2 actuals'!$AO$371:$AS$374</definedName>
    <definedName name="Asset_Refurbishment_Yr3_13">'NARM5 – ED2 actuals'!$AO$403:$AS$406</definedName>
    <definedName name="Asset_Refurbishment_Yr3_14">'NARM5 – ED2 actuals'!$AO$435:$AS$438</definedName>
    <definedName name="Asset_Refurbishment_Yr3_15">'NARM5 – ED2 actuals'!$AO$467:$AS$470</definedName>
    <definedName name="Asset_Refurbishment_Yr3_16">'NARM5 – ED2 actuals'!$AO$499:$AS$502</definedName>
    <definedName name="Asset_Refurbishment_Yr3_17">'NARM5 – ED2 actuals'!$AO$531:$AS$534</definedName>
    <definedName name="Asset_Refurbishment_Yr3_18">'NARM5 – ED2 actuals'!$AO$563:$AS$566</definedName>
    <definedName name="Asset_Refurbishment_Yr3_19">'NARM5 – ED2 actuals'!$AO$595:$AS$598</definedName>
    <definedName name="Asset_Refurbishment_Yr3_2">'NARM5 – ED2 actuals'!$AO$51:$AS$54</definedName>
    <definedName name="Asset_Refurbishment_Yr3_20">'NARM5 – ED2 actuals'!$AO$627:$AS$630</definedName>
    <definedName name="Asset_Refurbishment_Yr3_21">'NARM5 – ED2 actuals'!$AO$659:$AS$662</definedName>
    <definedName name="Asset_Refurbishment_Yr3_22">'NARM5 – ED2 actuals'!$AO$691:$AS$694</definedName>
    <definedName name="Asset_Refurbishment_Yr3_23">'NARM5 – ED2 actuals'!$AO$723:$AS$726</definedName>
    <definedName name="Asset_Refurbishment_Yr3_24">'NARM5 – ED2 actuals'!$AO$755:$AS$758</definedName>
    <definedName name="Asset_Refurbishment_Yr3_25">'NARM5 – ED2 actuals'!$AO$787:$AS$790</definedName>
    <definedName name="Asset_Refurbishment_Yr3_26">'NARM5 – ED2 actuals'!$AO$819:$AS$822</definedName>
    <definedName name="Asset_Refurbishment_Yr3_27">'NARM5 – ED2 actuals'!$AO$851:$AS$854</definedName>
    <definedName name="Asset_Refurbishment_Yr3_28">'NARM5 – ED2 actuals'!$AO$883:$AS$886</definedName>
    <definedName name="Asset_Refurbishment_Yr3_29">'NARM5 – ED2 actuals'!$AO$915:$AS$918</definedName>
    <definedName name="Asset_Refurbishment_Yr3_3">'NARM5 – ED2 actuals'!$AO$83:$AS$86</definedName>
    <definedName name="Asset_Refurbishment_Yr3_30">'NARM5 – ED2 actuals'!$AO$947:$AS$950</definedName>
    <definedName name="Asset_Refurbishment_Yr3_31">'NARM5 – ED2 actuals'!$AO$979:$AS$982</definedName>
    <definedName name="Asset_Refurbishment_Yr3_32">'NARM5 – ED2 actuals'!$AO$1011:$AS$1014</definedName>
    <definedName name="Asset_Refurbishment_Yr3_33">'NARM5 – ED2 actuals'!$AO$1043:$AS$1046</definedName>
    <definedName name="Asset_Refurbishment_Yr3_34">'NARM5 – ED2 actuals'!$AO$1075:$AS$1078</definedName>
    <definedName name="Asset_Refurbishment_Yr3_35">'NARM5 – ED2 actuals'!$AO$1107:$AS$1110</definedName>
    <definedName name="Asset_Refurbishment_Yr3_36">'NARM5 – ED2 actuals'!$AO$1139:$AS$1142</definedName>
    <definedName name="Asset_Refurbishment_Yr3_37">'NARM5 – ED2 actuals'!$AO$1171:$AS$1174</definedName>
    <definedName name="Asset_Refurbishment_Yr3_38">'NARM5 – ED2 actuals'!$AO$1203:$AS$1206</definedName>
    <definedName name="Asset_Refurbishment_Yr3_39">'NARM5 – ED2 actuals'!$AO$1235:$AS$1238</definedName>
    <definedName name="Asset_Refurbishment_Yr3_4">'NARM5 – ED2 actuals'!$AO$115:$AS$118</definedName>
    <definedName name="Asset_Refurbishment_Yr3_40">'NARM5 – ED2 actuals'!$AO$1267:$AS$1270</definedName>
    <definedName name="Asset_Refurbishment_Yr3_41">'NARM5 – ED2 actuals'!$AO$1299:$AS$1302</definedName>
    <definedName name="Asset_Refurbishment_Yr3_42">'NARM5 – ED2 actuals'!$AO$1331:$AS$1334</definedName>
    <definedName name="Asset_Refurbishment_Yr3_43">'NARM5 – ED2 actuals'!$AO$1363:$AS$1366</definedName>
    <definedName name="Asset_Refurbishment_Yr3_44">'NARM5 – ED2 actuals'!$AO$1395:$AS$1398</definedName>
    <definedName name="Asset_Refurbishment_Yr3_45">'NARM5 – ED2 actuals'!$AO$1427:$AS$1430</definedName>
    <definedName name="Asset_Refurbishment_Yr3_46">'NARM5 – ED2 actuals'!$AO$1459:$AS$1462</definedName>
    <definedName name="Asset_Refurbishment_Yr3_47">'NARM5 – ED2 actuals'!$AO$1491:$AS$1494</definedName>
    <definedName name="Asset_Refurbishment_Yr3_48">'NARM5 – ED2 actuals'!$AO$1523:$AS$1526</definedName>
    <definedName name="Asset_Refurbishment_Yr3_49">'NARM5 – ED2 actuals'!$AO$1555:$AS$1558</definedName>
    <definedName name="Asset_Refurbishment_Yr3_5">'NARM5 – ED2 actuals'!$AO$147:$AS$150</definedName>
    <definedName name="Asset_Refurbishment_Yr3_50">'NARM5 – ED2 actuals'!$AO$1587:$AS$1590</definedName>
    <definedName name="Asset_Refurbishment_Yr3_51">'NARM5 – ED2 actuals'!$AO$1619:$AS$1622</definedName>
    <definedName name="Asset_Refurbishment_Yr3_52">'NARM5 – ED2 actuals'!$AO$1651:$AS$1654</definedName>
    <definedName name="Asset_Refurbishment_Yr3_53">'NARM5 – ED2 actuals'!$AO$1683:$AS$1686</definedName>
    <definedName name="Asset_Refurbishment_Yr3_54">'NARM5 – ED2 actuals'!$AO$1715:$AS$1718</definedName>
    <definedName name="Asset_Refurbishment_Yr3_55">'NARM5 – ED2 actuals'!$AO$1747:$AS$1750</definedName>
    <definedName name="Asset_Refurbishment_Yr3_56">'NARM5 – ED2 actuals'!$AO$1779:$AS$1782</definedName>
    <definedName name="Asset_Refurbishment_Yr3_57">'NARM5 – ED2 actuals'!$AO$1811:$AS$1814</definedName>
    <definedName name="Asset_Refurbishment_Yr3_58">'NARM5 – ED2 actuals'!$AO$1843:$AS$1846</definedName>
    <definedName name="Asset_Refurbishment_Yr3_59">'NARM5 – ED2 actuals'!$AO$1875:$AS$1878</definedName>
    <definedName name="Asset_Refurbishment_Yr3_6">'NARM5 – ED2 actuals'!$AO$179:$AS$182</definedName>
    <definedName name="Asset_Refurbishment_Yr3_60">'NARM5 – ED2 actuals'!$AO$1907:$AS$1910</definedName>
    <definedName name="Asset_Refurbishment_Yr3_61">'NARM5 – ED2 actuals'!$AO$1939:$AS$1942</definedName>
    <definedName name="Asset_Refurbishment_Yr3_7">'NARM5 – ED2 actuals'!$AO$211:$AS$214</definedName>
    <definedName name="Asset_Refurbishment_Yr3_8">'NARM5 – ED2 actuals'!$AO$243:$AS$246</definedName>
    <definedName name="Asset_Refurbishment_Yr3_9">'NARM5 – ED2 actuals'!$AO$275:$AS$278</definedName>
    <definedName name="Asset_Refurbishment_Yr4_1">'NARM5 – ED2 actuals'!$AO$25:$AS$28</definedName>
    <definedName name="Asset_Refurbishment_Yr4_10">'NARM5 – ED2 actuals'!$AO$313:$AS$316</definedName>
    <definedName name="Asset_Refurbishment_Yr4_11">'NARM5 – ED2 actuals'!$AO$345:$AS$348</definedName>
    <definedName name="Asset_Refurbishment_Yr4_12">'NARM5 – ED2 actuals'!$AO$377:$AS$380</definedName>
    <definedName name="Asset_Refurbishment_Yr4_13">'NARM5 – ED2 actuals'!$AO$409:$AS$412</definedName>
    <definedName name="Asset_Refurbishment_Yr4_14">'NARM5 – ED2 actuals'!$AO$441:$AS$444</definedName>
    <definedName name="Asset_Refurbishment_Yr4_15">'NARM5 – ED2 actuals'!$AO$473:$AS$476</definedName>
    <definedName name="Asset_Refurbishment_Yr4_16">'NARM5 – ED2 actuals'!$AO$505:$AS$508</definedName>
    <definedName name="Asset_Refurbishment_Yr4_17">'NARM5 – ED2 actuals'!$AO$537:$AS$540</definedName>
    <definedName name="Asset_Refurbishment_Yr4_18">'NARM5 – ED2 actuals'!$AO$569:$AS$572</definedName>
    <definedName name="Asset_Refurbishment_Yr4_19">'NARM5 – ED2 actuals'!$AO$601:$AS$604</definedName>
    <definedName name="Asset_Refurbishment_Yr4_2">'NARM5 – ED2 actuals'!$AO$57:$AS$60</definedName>
    <definedName name="Asset_Refurbishment_Yr4_20">'NARM5 – ED2 actuals'!$AO$633:$AS$636</definedName>
    <definedName name="Asset_Refurbishment_Yr4_21">'NARM5 – ED2 actuals'!$AO$665:$AS$668</definedName>
    <definedName name="Asset_Refurbishment_Yr4_22">'NARM5 – ED2 actuals'!$AO$697:$AS$700</definedName>
    <definedName name="Asset_Refurbishment_Yr4_23">'NARM5 – ED2 actuals'!$AO$729:$AS$732</definedName>
    <definedName name="Asset_Refurbishment_Yr4_24">'NARM5 – ED2 actuals'!$AO$761:$AS$764</definedName>
    <definedName name="Asset_Refurbishment_Yr4_25">'NARM5 – ED2 actuals'!$AO$793:$AS$796</definedName>
    <definedName name="Asset_Refurbishment_Yr4_26">'NARM5 – ED2 actuals'!$AO$825:$AS$828</definedName>
    <definedName name="Asset_Refurbishment_Yr4_27">'NARM5 – ED2 actuals'!$AO$857:$AS$860</definedName>
    <definedName name="Asset_Refurbishment_Yr4_28">'NARM5 – ED2 actuals'!$AO$889:$AS$892</definedName>
    <definedName name="Asset_Refurbishment_Yr4_29">'NARM5 – ED2 actuals'!$AO$921:$AS$924</definedName>
    <definedName name="Asset_Refurbishment_Yr4_3">'NARM5 – ED2 actuals'!$AO$89:$AS$92</definedName>
    <definedName name="Asset_Refurbishment_Yr4_30">'NARM5 – ED2 actuals'!$AO$953:$AS$956</definedName>
    <definedName name="Asset_Refurbishment_Yr4_31">'NARM5 – ED2 actuals'!$AO$985:$AS$988</definedName>
    <definedName name="Asset_Refurbishment_Yr4_32">'NARM5 – ED2 actuals'!$AO$1017:$AS$1020</definedName>
    <definedName name="Asset_Refurbishment_Yr4_33">'NARM5 – ED2 actuals'!$AO$1049:$AS$1052</definedName>
    <definedName name="Asset_Refurbishment_Yr4_34">'NARM5 – ED2 actuals'!$AO$1081:$AS$1084</definedName>
    <definedName name="Asset_Refurbishment_Yr4_35">'NARM5 – ED2 actuals'!$AO$1113:$AS$1116</definedName>
    <definedName name="Asset_Refurbishment_Yr4_36">'NARM5 – ED2 actuals'!$AO$1145:$AS$1148</definedName>
    <definedName name="Asset_Refurbishment_Yr4_37">'NARM5 – ED2 actuals'!$AO$1177:$AS$1180</definedName>
    <definedName name="Asset_Refurbishment_Yr4_38">'NARM5 – ED2 actuals'!$AO$1209:$AS$1212</definedName>
    <definedName name="Asset_Refurbishment_Yr4_39">'NARM5 – ED2 actuals'!$AO$1241:$AS$1244</definedName>
    <definedName name="Asset_Refurbishment_Yr4_4">'NARM5 – ED2 actuals'!$AO$121:$AS$124</definedName>
    <definedName name="Asset_Refurbishment_Yr4_40">'NARM5 – ED2 actuals'!$AO$1273:$AS$1276</definedName>
    <definedName name="Asset_Refurbishment_Yr4_41">'NARM5 – ED2 actuals'!$AO$1305:$AS$1308</definedName>
    <definedName name="Asset_Refurbishment_Yr4_42">'NARM5 – ED2 actuals'!$AO$1337:$AS$1340</definedName>
    <definedName name="Asset_Refurbishment_Yr4_43">'NARM5 – ED2 actuals'!$AO$1369:$AS$1372</definedName>
    <definedName name="Asset_Refurbishment_Yr4_44">'NARM5 – ED2 actuals'!$AO$1401:$AS$1404</definedName>
    <definedName name="Asset_Refurbishment_Yr4_45">'NARM5 – ED2 actuals'!$AO$1433:$AS$1436</definedName>
    <definedName name="Asset_Refurbishment_Yr4_46">'NARM5 – ED2 actuals'!$AO$1465:$AS$1468</definedName>
    <definedName name="Asset_Refurbishment_Yr4_47">'NARM5 – ED2 actuals'!$AO$1497:$AS$1500</definedName>
    <definedName name="Asset_Refurbishment_Yr4_48">'NARM5 – ED2 actuals'!$AO$1529:$AS$1532</definedName>
    <definedName name="Asset_Refurbishment_Yr4_49">'NARM5 – ED2 actuals'!$AO$1561:$AS$1564</definedName>
    <definedName name="Asset_Refurbishment_Yr4_5">'NARM5 – ED2 actuals'!$AO$153:$AS$156</definedName>
    <definedName name="Asset_Refurbishment_Yr4_50">'NARM5 – ED2 actuals'!$AO$1593:$AS$1596</definedName>
    <definedName name="Asset_Refurbishment_Yr4_51">'NARM5 – ED2 actuals'!$AO$1625:$AS$1628</definedName>
    <definedName name="Asset_Refurbishment_Yr4_52">'NARM5 – ED2 actuals'!$AO$1657:$AS$1660</definedName>
    <definedName name="Asset_Refurbishment_Yr4_53">'NARM5 – ED2 actuals'!$AO$1689:$AS$1692</definedName>
    <definedName name="Asset_Refurbishment_Yr4_54">'NARM5 – ED2 actuals'!$AO$1721:$AS$1724</definedName>
    <definedName name="Asset_Refurbishment_Yr4_55">'NARM5 – ED2 actuals'!$AO$1753:$AS$1756</definedName>
    <definedName name="Asset_Refurbishment_Yr4_56">'NARM5 – ED2 actuals'!$AO$1785:$AS$1788</definedName>
    <definedName name="Asset_Refurbishment_Yr4_57">'NARM5 – ED2 actuals'!$AO$1817:$AS$1820</definedName>
    <definedName name="Asset_Refurbishment_Yr4_58">'NARM5 – ED2 actuals'!$AO$1849:$AS$1852</definedName>
    <definedName name="Asset_Refurbishment_Yr4_59">'NARM5 – ED2 actuals'!$AO$1881:$AS$1884</definedName>
    <definedName name="Asset_Refurbishment_Yr4_6">'NARM5 – ED2 actuals'!$AO$185:$AS$188</definedName>
    <definedName name="Asset_Refurbishment_Yr4_60">'NARM5 – ED2 actuals'!$AO$1913:$AS$1916</definedName>
    <definedName name="Asset_Refurbishment_Yr4_61">'NARM5 – ED2 actuals'!$AO$1945:$AS$1948</definedName>
    <definedName name="Asset_Refurbishment_Yr4_7">'NARM5 – ED2 actuals'!$AO$217:$AS$220</definedName>
    <definedName name="Asset_Refurbishment_Yr4_8">'NARM5 – ED2 actuals'!$AO$249:$AS$252</definedName>
    <definedName name="Asset_Refurbishment_Yr4_9">'NARM5 – ED2 actuals'!$AO$281:$AS$284</definedName>
    <definedName name="Asset_Refurbishment_Yr5_1">'NARM5 – ED2 actuals'!$AO$31:$AS$34</definedName>
    <definedName name="Asset_Refurbishment_Yr5_10">'NARM5 – ED2 actuals'!$AO$319:$AS$322</definedName>
    <definedName name="Asset_Refurbishment_Yr5_11">'NARM5 – ED2 actuals'!$AO$351:$AS$354</definedName>
    <definedName name="Asset_Refurbishment_Yr5_12">'NARM5 – ED2 actuals'!$AO$383:$AS$386</definedName>
    <definedName name="Asset_Refurbishment_Yr5_13">'NARM5 – ED2 actuals'!$AO$415:$AS$418</definedName>
    <definedName name="Asset_Refurbishment_Yr5_14">'NARM5 – ED2 actuals'!$AO$447:$AS$450</definedName>
    <definedName name="Asset_Refurbishment_Yr5_15">'NARM5 – ED2 actuals'!$AO$479:$AS$482</definedName>
    <definedName name="Asset_Refurbishment_Yr5_16">'NARM5 – ED2 actuals'!$AO$511:$AS$514</definedName>
    <definedName name="Asset_Refurbishment_Yr5_17">'NARM5 – ED2 actuals'!$AO$543:$AS$546</definedName>
    <definedName name="Asset_Refurbishment_Yr5_18">'NARM5 – ED2 actuals'!$AO$575:$AS$578</definedName>
    <definedName name="Asset_Refurbishment_Yr5_19">'NARM5 – ED2 actuals'!$AO$607:$AS$610</definedName>
    <definedName name="Asset_Refurbishment_Yr5_2">'NARM5 – ED2 actuals'!$AO$63:$AS$66</definedName>
    <definedName name="Asset_Refurbishment_Yr5_20">'NARM5 – ED2 actuals'!$AO$639:$AS$642</definedName>
    <definedName name="Asset_Refurbishment_Yr5_21">'NARM5 – ED2 actuals'!$AO$671:$AS$674</definedName>
    <definedName name="Asset_Refurbishment_Yr5_22">'NARM5 – ED2 actuals'!$AO$703:$AS$706</definedName>
    <definedName name="Asset_Refurbishment_Yr5_23">'NARM5 – ED2 actuals'!$AO$735:$AS$738</definedName>
    <definedName name="Asset_Refurbishment_Yr5_24">'NARM5 – ED2 actuals'!$AO$767:$AS$770</definedName>
    <definedName name="Asset_Refurbishment_Yr5_25">'NARM5 – ED2 actuals'!$AO$799:$AS$802</definedName>
    <definedName name="Asset_Refurbishment_Yr5_26">'NARM5 – ED2 actuals'!$AO$831:$AS$834</definedName>
    <definedName name="Asset_Refurbishment_Yr5_27">'NARM5 – ED2 actuals'!$AO$863:$AS$866</definedName>
    <definedName name="Asset_Refurbishment_Yr5_28">'NARM5 – ED2 actuals'!$AO$895:$AS$898</definedName>
    <definedName name="Asset_Refurbishment_Yr5_29">'NARM5 – ED2 actuals'!$AO$927:$AS$930</definedName>
    <definedName name="Asset_Refurbishment_Yr5_3">'NARM5 – ED2 actuals'!$AO$95:$AS$98</definedName>
    <definedName name="Asset_Refurbishment_Yr5_30">'NARM5 – ED2 actuals'!$AO$959:$AS$962</definedName>
    <definedName name="Asset_Refurbishment_Yr5_31">'NARM5 – ED2 actuals'!$AO$991:$AS$994</definedName>
    <definedName name="Asset_Refurbishment_Yr5_32">'NARM5 – ED2 actuals'!$AO$1023:$AS$1026</definedName>
    <definedName name="Asset_Refurbishment_Yr5_33">'NARM5 – ED2 actuals'!$AO$1055:$AS$1058</definedName>
    <definedName name="Asset_Refurbishment_Yr5_34">'NARM5 – ED2 actuals'!$AO$1087:$AS$1090</definedName>
    <definedName name="Asset_Refurbishment_Yr5_35">'NARM5 – ED2 actuals'!$AO$1119:$AS$1122</definedName>
    <definedName name="Asset_Refurbishment_Yr5_36">'NARM5 – ED2 actuals'!$AO$1151:$AS$1154</definedName>
    <definedName name="Asset_Refurbishment_Yr5_37">'NARM5 – ED2 actuals'!$AO$1183:$AS$1186</definedName>
    <definedName name="Asset_Refurbishment_Yr5_38">'NARM5 – ED2 actuals'!$AO$1215:$AS$1218</definedName>
    <definedName name="Asset_Refurbishment_Yr5_39">'NARM5 – ED2 actuals'!$AO$1247:$AS$1250</definedName>
    <definedName name="Asset_Refurbishment_Yr5_4">'NARM5 – ED2 actuals'!$AO$127:$AS$130</definedName>
    <definedName name="Asset_Refurbishment_Yr5_40">'NARM5 – ED2 actuals'!$AO$1279:$AS$1282</definedName>
    <definedName name="Asset_Refurbishment_Yr5_41">'NARM5 – ED2 actuals'!$AO$1311:$AS$1314</definedName>
    <definedName name="Asset_Refurbishment_Yr5_42">'NARM5 – ED2 actuals'!$AO$1343:$AS$1346</definedName>
    <definedName name="Asset_Refurbishment_Yr5_43">'NARM5 – ED2 actuals'!$AO$1375:$AS$1378</definedName>
    <definedName name="Asset_Refurbishment_Yr5_44">'NARM5 – ED2 actuals'!$AO$1407:$AS$1410</definedName>
    <definedName name="Asset_Refurbishment_Yr5_45">'NARM5 – ED2 actuals'!$AO$1439:$AS$1442</definedName>
    <definedName name="Asset_Refurbishment_Yr5_46">'NARM5 – ED2 actuals'!$AO$1471:$AS$1474</definedName>
    <definedName name="Asset_Refurbishment_Yr5_47">'NARM5 – ED2 actuals'!$AO$1503:$AS$1506</definedName>
    <definedName name="Asset_Refurbishment_Yr5_48">'NARM5 – ED2 actuals'!$AO$1535:$AS$1538</definedName>
    <definedName name="Asset_Refurbishment_Yr5_49">'NARM5 – ED2 actuals'!$AO$1567:$AS$1570</definedName>
    <definedName name="Asset_Refurbishment_Yr5_5">'NARM5 – ED2 actuals'!$AO$159:$AS$162</definedName>
    <definedName name="Asset_Refurbishment_Yr5_50">'NARM5 – ED2 actuals'!$AO$1599:$AS$1602</definedName>
    <definedName name="Asset_Refurbishment_Yr5_51">'NARM5 – ED2 actuals'!$AO$1631:$AS$1634</definedName>
    <definedName name="Asset_Refurbishment_Yr5_52">'NARM5 – ED2 actuals'!$AO$1663:$AS$1666</definedName>
    <definedName name="Asset_Refurbishment_Yr5_53">'NARM5 – ED2 actuals'!$AO$1695:$AS$1698</definedName>
    <definedName name="Asset_Refurbishment_Yr5_54">'NARM5 – ED2 actuals'!$AO$1727:$AS$1730</definedName>
    <definedName name="Asset_Refurbishment_Yr5_55">'NARM5 – ED2 actuals'!$AO$1759:$AS$1762</definedName>
    <definedName name="Asset_Refurbishment_Yr5_56">'NARM5 – ED2 actuals'!$AO$1791:$AS$1794</definedName>
    <definedName name="Asset_Refurbishment_Yr5_57">'NARM5 – ED2 actuals'!$AO$1823:$AS$1826</definedName>
    <definedName name="Asset_Refurbishment_Yr5_58">'NARM5 – ED2 actuals'!$AO$1855:$AS$1858</definedName>
    <definedName name="Asset_Refurbishment_Yr5_59">'NARM5 – ED2 actuals'!$AO$1887:$AS$1890</definedName>
    <definedName name="Asset_Refurbishment_Yr5_6">'NARM5 – ED2 actuals'!$AO$191:$AS$194</definedName>
    <definedName name="Asset_Refurbishment_Yr5_60">'NARM5 – ED2 actuals'!$AO$1919:$AS$1922</definedName>
    <definedName name="Asset_Refurbishment_Yr5_61">'NARM5 – ED2 actuals'!$AO$1951:$AS$1954</definedName>
    <definedName name="Asset_Refurbishment_Yr5_7">'NARM5 – ED2 actuals'!$AO$223:$AS$226</definedName>
    <definedName name="Asset_Refurbishment_Yr5_8">'NARM5 – ED2 actuals'!$AO$255:$AS$258</definedName>
    <definedName name="Asset_Refurbishment_Yr5_9">'NARM5 – ED2 actuals'!$AO$287:$AS$290</definedName>
    <definedName name="Asset_Replacement_2028_Yr1_1">'NARM5 – ED2 actuals'!$CL$7:$CP$10</definedName>
    <definedName name="Asset_Replacement_2028_Yr1_10">'NARM5 – ED2 actuals'!$CL$295:$CP$298</definedName>
    <definedName name="Asset_Replacement_2028_Yr1_11">'NARM5 – ED2 actuals'!$CL$327:$CP$330</definedName>
    <definedName name="Asset_Replacement_2028_Yr1_12">'NARM5 – ED2 actuals'!$CL$359:$CP$362</definedName>
    <definedName name="Asset_Replacement_2028_Yr1_13">'NARM5 – ED2 actuals'!$CL$391:$CP$394</definedName>
    <definedName name="Asset_Replacement_2028_Yr1_14">'NARM5 – ED2 actuals'!$CL$423:$CP$426</definedName>
    <definedName name="Asset_Replacement_2028_Yr1_15">'NARM5 – ED2 actuals'!$CL$455:$CP$458</definedName>
    <definedName name="Asset_Replacement_2028_Yr1_16">'NARM5 – ED2 actuals'!$CL$487:$CP$490</definedName>
    <definedName name="Asset_Replacement_2028_Yr1_17">'NARM5 – ED2 actuals'!$CL$519:$CP$522</definedName>
    <definedName name="Asset_Replacement_2028_Yr1_18">'NARM5 – ED2 actuals'!$CL$551:$CP$554</definedName>
    <definedName name="Asset_Replacement_2028_Yr1_19">'NARM5 – ED2 actuals'!$CL$583:$CP$586</definedName>
    <definedName name="Asset_Replacement_2028_Yr1_2">'NARM5 – ED2 actuals'!$CL$39:$CP$42</definedName>
    <definedName name="Asset_Replacement_2028_Yr1_20">'NARM5 – ED2 actuals'!$CL$615:$CP$618</definedName>
    <definedName name="Asset_Replacement_2028_Yr1_21">'NARM5 – ED2 actuals'!$CL$647:$CP$650</definedName>
    <definedName name="Asset_Replacement_2028_Yr1_22">'NARM5 – ED2 actuals'!$CL$679:$CP$682</definedName>
    <definedName name="Asset_Replacement_2028_Yr1_23">'NARM5 – ED2 actuals'!$CL$711:$CP$714</definedName>
    <definedName name="Asset_Replacement_2028_Yr1_24">'NARM5 – ED2 actuals'!$CL$743:$CP$746</definedName>
    <definedName name="Asset_Replacement_2028_Yr1_25">'NARM5 – ED2 actuals'!$CL$775:$CP$778</definedName>
    <definedName name="Asset_Replacement_2028_Yr1_26">'NARM5 – ED2 actuals'!$CL$807:$CP$810</definedName>
    <definedName name="Asset_Replacement_2028_Yr1_27">'NARM5 – ED2 actuals'!$CL$839:$CP$842</definedName>
    <definedName name="Asset_Replacement_2028_Yr1_28">'NARM5 – ED2 actuals'!$CL$871:$CP$874</definedName>
    <definedName name="Asset_Replacement_2028_Yr1_29">'NARM5 – ED2 actuals'!$CL$903:$CP$906</definedName>
    <definedName name="Asset_Replacement_2028_Yr1_3">'NARM5 – ED2 actuals'!$CL$71:$CP$74</definedName>
    <definedName name="Asset_Replacement_2028_Yr1_30">'NARM5 – ED2 actuals'!$CL$935:$CP$938</definedName>
    <definedName name="Asset_Replacement_2028_Yr1_31">'NARM5 – ED2 actuals'!$CL$967:$CP$970</definedName>
    <definedName name="Asset_Replacement_2028_Yr1_32">'NARM5 – ED2 actuals'!$CL$999:$CP$1002</definedName>
    <definedName name="Asset_Replacement_2028_Yr1_33">'NARM5 – ED2 actuals'!$CL$1031:$CP$1034</definedName>
    <definedName name="Asset_Replacement_2028_Yr1_34">'NARM5 – ED2 actuals'!$CL$1063:$CP$1066</definedName>
    <definedName name="Asset_Replacement_2028_Yr1_35">'NARM5 – ED2 actuals'!$CL$1095:$CP$1098</definedName>
    <definedName name="Asset_Replacement_2028_Yr1_36">'NARM5 – ED2 actuals'!$CL$1127:$CP$1130</definedName>
    <definedName name="Asset_Replacement_2028_Yr1_37">'NARM5 – ED2 actuals'!$CL$1159:$CP$1162</definedName>
    <definedName name="Asset_Replacement_2028_Yr1_38">'NARM5 – ED2 actuals'!$CL$1191:$CP$1194</definedName>
    <definedName name="Asset_Replacement_2028_Yr1_39">'NARM5 – ED2 actuals'!$CL$1223:$CP$1226</definedName>
    <definedName name="Asset_Replacement_2028_Yr1_4">'NARM5 – ED2 actuals'!$CL$103:$CP$106</definedName>
    <definedName name="Asset_Replacement_2028_Yr1_40">'NARM5 – ED2 actuals'!$CL$1255:$CP$1258</definedName>
    <definedName name="Asset_Replacement_2028_Yr1_41">'NARM5 – ED2 actuals'!$CL$1287:$CP$1290</definedName>
    <definedName name="Asset_Replacement_2028_Yr1_42">'NARM5 – ED2 actuals'!$CL$1319:$CP$1322</definedName>
    <definedName name="Asset_Replacement_2028_Yr1_43">'NARM5 – ED2 actuals'!$CL$1351:$CP$1354</definedName>
    <definedName name="Asset_Replacement_2028_Yr1_44">'NARM5 – ED2 actuals'!$CL$1383:$CP$1386</definedName>
    <definedName name="Asset_Replacement_2028_Yr1_45">'NARM5 – ED2 actuals'!$CL$1415:$CP$1418</definedName>
    <definedName name="Asset_Replacement_2028_Yr1_46">'NARM5 – ED2 actuals'!$CL$1447:$CP$1450</definedName>
    <definedName name="Asset_Replacement_2028_Yr1_47">'NARM5 – ED2 actuals'!$CL$1479:$CP$1482</definedName>
    <definedName name="Asset_Replacement_2028_Yr1_48">'NARM5 – ED2 actuals'!$CL$1511:$CP$1514</definedName>
    <definedName name="Asset_Replacement_2028_Yr1_49">'NARM5 – ED2 actuals'!$CL$1543:$CP$1546</definedName>
    <definedName name="Asset_Replacement_2028_Yr1_5">'NARM5 – ED2 actuals'!$CL$135:$CP$138</definedName>
    <definedName name="Asset_Replacement_2028_Yr1_50">'NARM5 – ED2 actuals'!$CL$1575:$CP$1578</definedName>
    <definedName name="Asset_Replacement_2028_Yr1_51">'NARM5 – ED2 actuals'!$CL$1607:$CP$1610</definedName>
    <definedName name="Asset_Replacement_2028_Yr1_52">'NARM5 – ED2 actuals'!$CL$1639:$CP$1642</definedName>
    <definedName name="Asset_Replacement_2028_Yr1_53">'NARM5 – ED2 actuals'!$CL$1671:$CP$1674</definedName>
    <definedName name="Asset_Replacement_2028_Yr1_54">'NARM5 – ED2 actuals'!$CL$1703:$CP$1706</definedName>
    <definedName name="Asset_Replacement_2028_Yr1_55">'NARM5 – ED2 actuals'!$CL$1735:$CP$1738</definedName>
    <definedName name="Asset_Replacement_2028_Yr1_56">'NARM5 – ED2 actuals'!$CL$1767:$CP$1770</definedName>
    <definedName name="Asset_Replacement_2028_Yr1_57">'NARM5 – ED2 actuals'!$CL$1799:$CP$1802</definedName>
    <definedName name="Asset_Replacement_2028_Yr1_58">'NARM5 – ED2 actuals'!$CL$1831:$CP$1834</definedName>
    <definedName name="Asset_Replacement_2028_Yr1_59">'NARM5 – ED2 actuals'!$CL$1863:$CP$1866</definedName>
    <definedName name="Asset_Replacement_2028_Yr1_6">'NARM5 – ED2 actuals'!$CL$167:$CP$170</definedName>
    <definedName name="Asset_Replacement_2028_Yr1_60">'NARM5 – ED2 actuals'!$CL$1895:$CP$1898</definedName>
    <definedName name="Asset_Replacement_2028_Yr1_61">'NARM5 – ED2 actuals'!$CL$1927:$CP$1930</definedName>
    <definedName name="Asset_Replacement_2028_Yr1_7">'NARM5 – ED2 actuals'!$CL$199:$CP$202</definedName>
    <definedName name="Asset_Replacement_2028_Yr1_8">'NARM5 – ED2 actuals'!$CL$231:$CP$234</definedName>
    <definedName name="Asset_Replacement_2028_Yr1_9">'NARM5 – ED2 actuals'!$CL$263:$CP$266</definedName>
    <definedName name="Asset_Replacement_2028_Yr2_1">'NARM5 – ED2 actuals'!$CL$13:$CP$16</definedName>
    <definedName name="Asset_Replacement_2028_Yr2_10">'NARM5 – ED2 actuals'!$CL$301:$CP$304</definedName>
    <definedName name="Asset_Replacement_2028_Yr2_11">'NARM5 – ED2 actuals'!$CL$333:$CP$336</definedName>
    <definedName name="Asset_Replacement_2028_Yr2_12">'NARM5 – ED2 actuals'!$CL$365:$CP$368</definedName>
    <definedName name="Asset_Replacement_2028_Yr2_13">'NARM5 – ED2 actuals'!$CL$397:$CP$400</definedName>
    <definedName name="Asset_Replacement_2028_Yr2_14">'NARM5 – ED2 actuals'!$CL$429:$CP$432</definedName>
    <definedName name="Asset_Replacement_2028_Yr2_15">'NARM5 – ED2 actuals'!$CL$461:$CP$464</definedName>
    <definedName name="Asset_Replacement_2028_Yr2_16">'NARM5 – ED2 actuals'!$CL$493:$CP$496</definedName>
    <definedName name="Asset_Replacement_2028_Yr2_17">'NARM5 – ED2 actuals'!$CL$525:$CP$528</definedName>
    <definedName name="Asset_Replacement_2028_Yr2_18">'NARM5 – ED2 actuals'!$CL$557:$CP$560</definedName>
    <definedName name="Asset_Replacement_2028_Yr2_19">'NARM5 – ED2 actuals'!$CL$589:$CP$592</definedName>
    <definedName name="Asset_Replacement_2028_Yr2_2">'NARM5 – ED2 actuals'!$CL$45:$CP$48</definedName>
    <definedName name="Asset_Replacement_2028_Yr2_20">'NARM5 – ED2 actuals'!$CL$621:$CP$624</definedName>
    <definedName name="Asset_Replacement_2028_Yr2_21">'NARM5 – ED2 actuals'!$CL$653:$CP$656</definedName>
    <definedName name="Asset_Replacement_2028_Yr2_22">'NARM5 – ED2 actuals'!$CL$685:$CP$688</definedName>
    <definedName name="Asset_Replacement_2028_Yr2_23">'NARM5 – ED2 actuals'!$CL$717:$CP$720</definedName>
    <definedName name="Asset_Replacement_2028_Yr2_24">'NARM5 – ED2 actuals'!$CL$749:$CP$752</definedName>
    <definedName name="Asset_Replacement_2028_Yr2_25">'NARM5 – ED2 actuals'!$CL$781:$CP$784</definedName>
    <definedName name="Asset_Replacement_2028_Yr2_26">'NARM5 – ED2 actuals'!$CL$813:$CP$816</definedName>
    <definedName name="Asset_Replacement_2028_Yr2_27">'NARM5 – ED2 actuals'!$CL$845:$CP$848</definedName>
    <definedName name="Asset_Replacement_2028_Yr2_28">'NARM5 – ED2 actuals'!$CL$877:$CP$880</definedName>
    <definedName name="Asset_Replacement_2028_Yr2_29">'NARM5 – ED2 actuals'!$CL$909:$CP$912</definedName>
    <definedName name="Asset_Replacement_2028_Yr2_3">'NARM5 – ED2 actuals'!$CL$77:$CP$80</definedName>
    <definedName name="Asset_Replacement_2028_Yr2_30">'NARM5 – ED2 actuals'!$CL$941:$CP$944</definedName>
    <definedName name="Asset_Replacement_2028_Yr2_31">'NARM5 – ED2 actuals'!$CL$973:$CP$976</definedName>
    <definedName name="Asset_Replacement_2028_Yr2_32">'NARM5 – ED2 actuals'!$CL$1005:$CP$1008</definedName>
    <definedName name="Asset_Replacement_2028_Yr2_33">'NARM5 – ED2 actuals'!$CL$1037:$CP$1040</definedName>
    <definedName name="Asset_Replacement_2028_Yr2_34">'NARM5 – ED2 actuals'!$CL$1069:$CP$1072</definedName>
    <definedName name="Asset_Replacement_2028_Yr2_35">'NARM5 – ED2 actuals'!$CL$1101:$CP$1104</definedName>
    <definedName name="Asset_Replacement_2028_Yr2_36">'NARM5 – ED2 actuals'!$CL$1133:$CP$1136</definedName>
    <definedName name="Asset_Replacement_2028_Yr2_37">'NARM5 – ED2 actuals'!$CL$1165:$CP$1168</definedName>
    <definedName name="Asset_Replacement_2028_Yr2_38">'NARM5 – ED2 actuals'!$CL$1197:$CP$1200</definedName>
    <definedName name="Asset_Replacement_2028_Yr2_39">'NARM5 – ED2 actuals'!$CL$1229:$CP$1232</definedName>
    <definedName name="Asset_Replacement_2028_Yr2_4">'NARM5 – ED2 actuals'!$CL$109:$CP$112</definedName>
    <definedName name="Asset_Replacement_2028_Yr2_40">'NARM5 – ED2 actuals'!$CL$1261:$CP$1264</definedName>
    <definedName name="Asset_Replacement_2028_Yr2_41">'NARM5 – ED2 actuals'!$CL$1293:$CP$1296</definedName>
    <definedName name="Asset_Replacement_2028_Yr2_42">'NARM5 – ED2 actuals'!$CL$1325:$CP$1328</definedName>
    <definedName name="Asset_Replacement_2028_Yr2_43">'NARM5 – ED2 actuals'!$CL$1357:$CP$1360</definedName>
    <definedName name="Asset_Replacement_2028_Yr2_44">'NARM5 – ED2 actuals'!$CL$1389:$CP$1392</definedName>
    <definedName name="Asset_Replacement_2028_Yr2_45">'NARM5 – ED2 actuals'!$CL$1421:$CP$1424</definedName>
    <definedName name="Asset_Replacement_2028_Yr2_46">'NARM5 – ED2 actuals'!$CL$1453:$CP$1456</definedName>
    <definedName name="Asset_Replacement_2028_Yr2_47">'NARM5 – ED2 actuals'!$CL$1485:$CP$1488</definedName>
    <definedName name="Asset_Replacement_2028_Yr2_48">'NARM5 – ED2 actuals'!$CL$1517:$CP$1520</definedName>
    <definedName name="Asset_Replacement_2028_Yr2_49">'NARM5 – ED2 actuals'!$CL$1549:$CP$1552</definedName>
    <definedName name="Asset_Replacement_2028_Yr2_5">'NARM5 – ED2 actuals'!$CL$141:$CP$144</definedName>
    <definedName name="Asset_Replacement_2028_Yr2_50">'NARM5 – ED2 actuals'!$CL$1581:$CP$1584</definedName>
    <definedName name="Asset_Replacement_2028_Yr2_51">'NARM5 – ED2 actuals'!$CL$1613:$CP$1616</definedName>
    <definedName name="Asset_Replacement_2028_Yr2_52">'NARM5 – ED2 actuals'!$CL$1645:$CP$1648</definedName>
    <definedName name="Asset_Replacement_2028_Yr2_53">'NARM5 – ED2 actuals'!$CL$1677:$CP$1680</definedName>
    <definedName name="Asset_Replacement_2028_Yr2_54">'NARM5 – ED2 actuals'!$CL$1709:$CP$1712</definedName>
    <definedName name="Asset_Replacement_2028_Yr2_55">'NARM5 – ED2 actuals'!$CL$1741:$CP$1744</definedName>
    <definedName name="Asset_Replacement_2028_Yr2_56">'NARM5 – ED2 actuals'!$CL$1773:$CP$1776</definedName>
    <definedName name="Asset_Replacement_2028_Yr2_57">'NARM5 – ED2 actuals'!$CL$1805:$CP$1808</definedName>
    <definedName name="Asset_Replacement_2028_Yr2_58">'NARM5 – ED2 actuals'!$CL$1837:$CP$1840</definedName>
    <definedName name="Asset_Replacement_2028_Yr2_59">'NARM5 – ED2 actuals'!$CL$1869:$CP$1872</definedName>
    <definedName name="Asset_Replacement_2028_Yr2_6">'NARM5 – ED2 actuals'!$CL$173:$CP$176</definedName>
    <definedName name="Asset_Replacement_2028_Yr2_60">'NARM5 – ED2 actuals'!$CL$1901:$CP$1904</definedName>
    <definedName name="Asset_Replacement_2028_Yr2_61">'NARM5 – ED2 actuals'!$CL$1933:$CP$1936</definedName>
    <definedName name="Asset_Replacement_2028_Yr2_7">'NARM5 – ED2 actuals'!$CL$205:$CP$208</definedName>
    <definedName name="Asset_Replacement_2028_Yr2_8">'NARM5 – ED2 actuals'!$CL$237:$CP$240</definedName>
    <definedName name="Asset_Replacement_2028_Yr2_9">'NARM5 – ED2 actuals'!$CL$269:$CP$272</definedName>
    <definedName name="Asset_Replacement_2028_Yr3_1">'NARM5 – ED2 actuals'!$CL$19:$CP$22</definedName>
    <definedName name="Asset_Replacement_2028_Yr3_10">'NARM5 – ED2 actuals'!$CL$307:$CP$310</definedName>
    <definedName name="Asset_Replacement_2028_Yr3_11">'NARM5 – ED2 actuals'!$CL$339:$CP$342</definedName>
    <definedName name="Asset_Replacement_2028_Yr3_12">'NARM5 – ED2 actuals'!$CL$371:$CP$374</definedName>
    <definedName name="Asset_Replacement_2028_Yr3_13">'NARM5 – ED2 actuals'!$CL$403:$CP$406</definedName>
    <definedName name="Asset_Replacement_2028_Yr3_14">'NARM5 – ED2 actuals'!$CL$435:$CP$438</definedName>
    <definedName name="Asset_Replacement_2028_Yr3_15">'NARM5 – ED2 actuals'!$CL$467:$CP$470</definedName>
    <definedName name="Asset_Replacement_2028_Yr3_16">'NARM5 – ED2 actuals'!$CL$499:$CP$502</definedName>
    <definedName name="Asset_Replacement_2028_Yr3_17">'NARM5 – ED2 actuals'!$CL$531:$CP$534</definedName>
    <definedName name="Asset_Replacement_2028_Yr3_18">'NARM5 – ED2 actuals'!$CL$563:$CP$566</definedName>
    <definedName name="Asset_Replacement_2028_Yr3_19">'NARM5 – ED2 actuals'!$CL$595:$CP$598</definedName>
    <definedName name="Asset_Replacement_2028_Yr3_2">'NARM5 – ED2 actuals'!$CL$51:$CP$54</definedName>
    <definedName name="Asset_Replacement_2028_Yr3_20">'NARM5 – ED2 actuals'!$CL$627:$CP$630</definedName>
    <definedName name="Asset_Replacement_2028_Yr3_21">'NARM5 – ED2 actuals'!$CL$659:$CP$662</definedName>
    <definedName name="Asset_Replacement_2028_Yr3_22">'NARM5 – ED2 actuals'!$CL$691:$CP$694</definedName>
    <definedName name="Asset_Replacement_2028_Yr3_23">'NARM5 – ED2 actuals'!$CL$723:$CP$726</definedName>
    <definedName name="Asset_Replacement_2028_Yr3_24">'NARM5 – ED2 actuals'!$CL$755:$CP$758</definedName>
    <definedName name="Asset_Replacement_2028_Yr3_25">'NARM5 – ED2 actuals'!$CL$787:$CP$790</definedName>
    <definedName name="Asset_Replacement_2028_Yr3_26">'NARM5 – ED2 actuals'!$CL$819:$CP$822</definedName>
    <definedName name="Asset_Replacement_2028_Yr3_27">'NARM5 – ED2 actuals'!$CL$851:$CP$854</definedName>
    <definedName name="Asset_Replacement_2028_Yr3_28">'NARM5 – ED2 actuals'!$CL$883:$CP$886</definedName>
    <definedName name="Asset_Replacement_2028_Yr3_29">'NARM5 – ED2 actuals'!$CL$915:$CP$918</definedName>
    <definedName name="Asset_Replacement_2028_Yr3_3">'NARM5 – ED2 actuals'!$CL$83:$CP$86</definedName>
    <definedName name="Asset_Replacement_2028_Yr3_30">'NARM5 – ED2 actuals'!$CL$947:$CP$950</definedName>
    <definedName name="Asset_Replacement_2028_Yr3_31">'NARM5 – ED2 actuals'!$CL$979:$CP$982</definedName>
    <definedName name="Asset_Replacement_2028_Yr3_32">'NARM5 – ED2 actuals'!$CL$1011:$CP$1014</definedName>
    <definedName name="Asset_Replacement_2028_Yr3_33">'NARM5 – ED2 actuals'!$CL$1043:$CP$1046</definedName>
    <definedName name="Asset_Replacement_2028_Yr3_34">'NARM5 – ED2 actuals'!$CL$1075:$CP$1078</definedName>
    <definedName name="Asset_Replacement_2028_Yr3_35">'NARM5 – ED2 actuals'!$CL$1107:$CP$1110</definedName>
    <definedName name="Asset_Replacement_2028_Yr3_36">'NARM5 – ED2 actuals'!$CL$1139:$CP$1142</definedName>
    <definedName name="Asset_Replacement_2028_Yr3_37">'NARM5 – ED2 actuals'!$CL$1171:$CP$1174</definedName>
    <definedName name="Asset_Replacement_2028_Yr3_38">'NARM5 – ED2 actuals'!$CL$1203:$CP$1206</definedName>
    <definedName name="Asset_Replacement_2028_Yr3_39">'NARM5 – ED2 actuals'!$CL$1235:$CP$1238</definedName>
    <definedName name="Asset_Replacement_2028_Yr3_4">'NARM5 – ED2 actuals'!$CL$115:$CP$118</definedName>
    <definedName name="Asset_Replacement_2028_Yr3_40">'NARM5 – ED2 actuals'!$CL$1267:$CP$1270</definedName>
    <definedName name="Asset_Replacement_2028_Yr3_41">'NARM5 – ED2 actuals'!$CL$1299:$CP$1302</definedName>
    <definedName name="Asset_Replacement_2028_Yr3_42">'NARM5 – ED2 actuals'!$CL$1331:$CP$1334</definedName>
    <definedName name="Asset_Replacement_2028_Yr3_43">'NARM5 – ED2 actuals'!$CL$1363:$CP$1366</definedName>
    <definedName name="Asset_Replacement_2028_Yr3_44">'NARM5 – ED2 actuals'!$CL$1395:$CP$1398</definedName>
    <definedName name="Asset_Replacement_2028_Yr3_45">'NARM5 – ED2 actuals'!$CL$1427:$CP$1430</definedName>
    <definedName name="Asset_Replacement_2028_Yr3_46">'NARM5 – ED2 actuals'!$CL$1459:$CP$1462</definedName>
    <definedName name="Asset_Replacement_2028_Yr3_47">'NARM5 – ED2 actuals'!$CL$1491:$CP$1494</definedName>
    <definedName name="Asset_Replacement_2028_Yr3_48">'NARM5 – ED2 actuals'!$CL$1523:$CP$1526</definedName>
    <definedName name="Asset_Replacement_2028_Yr3_49">'NARM5 – ED2 actuals'!$CL$1555:$CP$1558</definedName>
    <definedName name="Asset_Replacement_2028_Yr3_5">'NARM5 – ED2 actuals'!$CL$147:$CP$150</definedName>
    <definedName name="Asset_Replacement_2028_Yr3_50">'NARM5 – ED2 actuals'!$CL$1587:$CP$1590</definedName>
    <definedName name="Asset_Replacement_2028_Yr3_51">'NARM5 – ED2 actuals'!$CL$1619:$CP$1622</definedName>
    <definedName name="Asset_Replacement_2028_Yr3_52">'NARM5 – ED2 actuals'!$CL$1651:$CP$1654</definedName>
    <definedName name="Asset_Replacement_2028_Yr3_53">'NARM5 – ED2 actuals'!$CL$1683:$CP$1686</definedName>
    <definedName name="Asset_Replacement_2028_Yr3_54">'NARM5 – ED2 actuals'!$CL$1715:$CP$1718</definedName>
    <definedName name="Asset_Replacement_2028_Yr3_55">'NARM5 – ED2 actuals'!$CL$1747:$CP$1750</definedName>
    <definedName name="Asset_Replacement_2028_Yr3_56">'NARM5 – ED2 actuals'!$CL$1779:$CP$1782</definedName>
    <definedName name="Asset_Replacement_2028_Yr3_57">'NARM5 – ED2 actuals'!$CL$1811:$CP$1814</definedName>
    <definedName name="Asset_Replacement_2028_Yr3_58">'NARM5 – ED2 actuals'!$CL$1843:$CP$1846</definedName>
    <definedName name="Asset_Replacement_2028_Yr3_59">'NARM5 – ED2 actuals'!$CL$1875:$CP$1878</definedName>
    <definedName name="Asset_Replacement_2028_Yr3_6">'NARM5 – ED2 actuals'!$CL$179:$CP$182</definedName>
    <definedName name="Asset_Replacement_2028_Yr3_60">'NARM5 – ED2 actuals'!$CL$1907:$CP$1910</definedName>
    <definedName name="Asset_Replacement_2028_Yr3_61">'NARM5 – ED2 actuals'!$CL$1939:$CP$1942</definedName>
    <definedName name="Asset_Replacement_2028_Yr3_7">'NARM5 – ED2 actuals'!$CL$211:$CP$214</definedName>
    <definedName name="Asset_Replacement_2028_Yr3_8">'NARM5 – ED2 actuals'!$CL$243:$CP$246</definedName>
    <definedName name="Asset_Replacement_2028_Yr3_9">'NARM5 – ED2 actuals'!$CL$275:$CP$278</definedName>
    <definedName name="Asset_Replacement_2028_Yr4_1">'NARM5 – ED2 actuals'!$CL$25:$CP$28</definedName>
    <definedName name="Asset_Replacement_2028_Yr4_10">'NARM5 – ED2 actuals'!$CL$313:$CP$316</definedName>
    <definedName name="Asset_Replacement_2028_Yr4_11">'NARM5 – ED2 actuals'!$CL$345:$CP$348</definedName>
    <definedName name="Asset_Replacement_2028_Yr4_12">'NARM5 – ED2 actuals'!$CL$377:$CP$380</definedName>
    <definedName name="Asset_Replacement_2028_Yr4_13">'NARM5 – ED2 actuals'!$CL$409:$CP$412</definedName>
    <definedName name="Asset_Replacement_2028_Yr4_14">'NARM5 – ED2 actuals'!$CL$441:$CP$444</definedName>
    <definedName name="Asset_Replacement_2028_Yr4_15">'NARM5 – ED2 actuals'!$CL$473:$CP$476</definedName>
    <definedName name="Asset_Replacement_2028_Yr4_16">'NARM5 – ED2 actuals'!$CL$505:$CP$508</definedName>
    <definedName name="Asset_Replacement_2028_Yr4_17">'NARM5 – ED2 actuals'!$CL$537:$CP$540</definedName>
    <definedName name="Asset_Replacement_2028_Yr4_18">'NARM5 – ED2 actuals'!$CL$569:$CP$572</definedName>
    <definedName name="Asset_Replacement_2028_Yr4_19">'NARM5 – ED2 actuals'!$CL$601:$CP$604</definedName>
    <definedName name="Asset_Replacement_2028_Yr4_2">'NARM5 – ED2 actuals'!$CL$57:$CP$60</definedName>
    <definedName name="Asset_Replacement_2028_Yr4_20">'NARM5 – ED2 actuals'!$CL$633:$CP$636</definedName>
    <definedName name="Asset_Replacement_2028_Yr4_21">'NARM5 – ED2 actuals'!$CL$665:$CP$668</definedName>
    <definedName name="Asset_Replacement_2028_Yr4_22">'NARM5 – ED2 actuals'!$CL$697:$CP$700</definedName>
    <definedName name="Asset_Replacement_2028_Yr4_23">'NARM5 – ED2 actuals'!$CL$729:$CP$732</definedName>
    <definedName name="Asset_Replacement_2028_Yr4_24">'NARM5 – ED2 actuals'!$CL$761:$CP$764</definedName>
    <definedName name="Asset_Replacement_2028_Yr4_25">'NARM5 – ED2 actuals'!$CL$793:$CP$796</definedName>
    <definedName name="Asset_Replacement_2028_Yr4_26">'NARM5 – ED2 actuals'!$CL$825:$CP$828</definedName>
    <definedName name="Asset_Replacement_2028_Yr4_27">'NARM5 – ED2 actuals'!$CL$857:$CP$860</definedName>
    <definedName name="Asset_Replacement_2028_Yr4_28">'NARM5 – ED2 actuals'!$CL$889:$CP$892</definedName>
    <definedName name="Asset_Replacement_2028_Yr4_29">'NARM5 – ED2 actuals'!$CL$921:$CP$924</definedName>
    <definedName name="Asset_Replacement_2028_Yr4_3">'NARM5 – ED2 actuals'!$CL$89:$CP$92</definedName>
    <definedName name="Asset_Replacement_2028_Yr4_30">'NARM5 – ED2 actuals'!$CL$953:$CP$956</definedName>
    <definedName name="Asset_Replacement_2028_Yr4_31">'NARM5 – ED2 actuals'!$CL$985:$CP$988</definedName>
    <definedName name="Asset_Replacement_2028_Yr4_32">'NARM5 – ED2 actuals'!$CL$1017:$CP$1020</definedName>
    <definedName name="Asset_Replacement_2028_Yr4_33">'NARM5 – ED2 actuals'!$CL$1049:$CP$1052</definedName>
    <definedName name="Asset_Replacement_2028_Yr4_34">'NARM5 – ED2 actuals'!$CL$1081:$CP$1084</definedName>
    <definedName name="Asset_Replacement_2028_Yr4_35">'NARM5 – ED2 actuals'!$CL$1113:$CP$1116</definedName>
    <definedName name="Asset_Replacement_2028_Yr4_36">'NARM5 – ED2 actuals'!$CL$1145:$CP$1148</definedName>
    <definedName name="Asset_Replacement_2028_Yr4_37">'NARM5 – ED2 actuals'!$CL$1177:$CP$1180</definedName>
    <definedName name="Asset_Replacement_2028_Yr4_38">'NARM5 – ED2 actuals'!$CL$1209:$CP$1212</definedName>
    <definedName name="Asset_Replacement_2028_Yr4_39">'NARM5 – ED2 actuals'!$CL$1241:$CP$1244</definedName>
    <definedName name="Asset_Replacement_2028_Yr4_4">'NARM5 – ED2 actuals'!$CL$121:$CP$124</definedName>
    <definedName name="Asset_Replacement_2028_Yr4_40">'NARM5 – ED2 actuals'!$CL$1273:$CP$1276</definedName>
    <definedName name="Asset_Replacement_2028_Yr4_41">'NARM5 – ED2 actuals'!$CL$1305:$CP$1308</definedName>
    <definedName name="Asset_Replacement_2028_Yr4_42">'NARM5 – ED2 actuals'!$CL$1337:$CP$1340</definedName>
    <definedName name="Asset_Replacement_2028_Yr4_43">'NARM5 – ED2 actuals'!$CL$1369:$CP$1372</definedName>
    <definedName name="Asset_Replacement_2028_Yr4_44">'NARM5 – ED2 actuals'!$CL$1401:$CP$1404</definedName>
    <definedName name="Asset_Replacement_2028_Yr4_45">'NARM5 – ED2 actuals'!$CL$1433:$CP$1436</definedName>
    <definedName name="Asset_Replacement_2028_Yr4_46">'NARM5 – ED2 actuals'!$CL$1465:$CP$1468</definedName>
    <definedName name="Asset_Replacement_2028_Yr4_47">'NARM5 – ED2 actuals'!$CL$1497:$CP$1500</definedName>
    <definedName name="Asset_Replacement_2028_Yr4_48">'NARM5 – ED2 actuals'!$CL$1529:$CP$1532</definedName>
    <definedName name="Asset_Replacement_2028_Yr4_49">'NARM5 – ED2 actuals'!$CL$1561:$CP$1564</definedName>
    <definedName name="Asset_Replacement_2028_Yr4_5">'NARM5 – ED2 actuals'!$CL$153:$CP$156</definedName>
    <definedName name="Asset_Replacement_2028_Yr4_50">'NARM5 – ED2 actuals'!$CL$1593:$CP$1596</definedName>
    <definedName name="Asset_Replacement_2028_Yr4_51">'NARM5 – ED2 actuals'!$CL$1625:$CP$1628</definedName>
    <definedName name="Asset_Replacement_2028_Yr4_52">'NARM5 – ED2 actuals'!$CL$1657:$CP$1660</definedName>
    <definedName name="Asset_Replacement_2028_Yr4_53">'NARM5 – ED2 actuals'!$CL$1689:$CP$1692</definedName>
    <definedName name="Asset_Replacement_2028_Yr4_54">'NARM5 – ED2 actuals'!$CL$1721:$CP$1724</definedName>
    <definedName name="Asset_Replacement_2028_Yr4_55">'NARM5 – ED2 actuals'!$CL$1753:$CP$1756</definedName>
    <definedName name="Asset_Replacement_2028_Yr4_56">'NARM5 – ED2 actuals'!$CL$1785:$CP$1788</definedName>
    <definedName name="Asset_Replacement_2028_Yr4_57">'NARM5 – ED2 actuals'!$CL$1817:$CP$1820</definedName>
    <definedName name="Asset_Replacement_2028_Yr4_58">'NARM5 – ED2 actuals'!$CL$1849:$CP$1852</definedName>
    <definedName name="Asset_Replacement_2028_Yr4_59">'NARM5 – ED2 actuals'!$CL$1881:$CP$1884</definedName>
    <definedName name="Asset_Replacement_2028_Yr4_6">'NARM5 – ED2 actuals'!$CL$185:$CP$188</definedName>
    <definedName name="Asset_Replacement_2028_Yr4_60">'NARM5 – ED2 actuals'!$CL$1913:$CP$1916</definedName>
    <definedName name="Asset_Replacement_2028_Yr4_61">'NARM5 – ED2 actuals'!$CL$1945:$CP$1948</definedName>
    <definedName name="Asset_Replacement_2028_Yr4_7">'NARM5 – ED2 actuals'!$CL$217:$CP$220</definedName>
    <definedName name="Asset_Replacement_2028_Yr4_8">'NARM5 – ED2 actuals'!$CL$249:$CP$252</definedName>
    <definedName name="Asset_Replacement_2028_Yr4_9">'NARM5 – ED2 actuals'!$CL$281:$CP$284</definedName>
    <definedName name="Asset_Replacement_2028_Yr5_1">'NARM5 – ED2 actuals'!$CL$31:$CP$34</definedName>
    <definedName name="Asset_Replacement_2028_Yr5_10">'NARM5 – ED2 actuals'!$CL$319:$CP$322</definedName>
    <definedName name="Asset_Replacement_2028_Yr5_11">'NARM5 – ED2 actuals'!$CL$351:$CP$354</definedName>
    <definedName name="Asset_Replacement_2028_Yr5_12">'NARM5 – ED2 actuals'!$CL$383:$CP$386</definedName>
    <definedName name="Asset_Replacement_2028_Yr5_13">'NARM5 – ED2 actuals'!$CL$415:$CP$418</definedName>
    <definedName name="Asset_Replacement_2028_Yr5_14">'NARM5 – ED2 actuals'!$CL$447:$CP$450</definedName>
    <definedName name="Asset_Replacement_2028_Yr5_15">'NARM5 – ED2 actuals'!$CL$479:$CP$482</definedName>
    <definedName name="Asset_Replacement_2028_Yr5_16">'NARM5 – ED2 actuals'!$CL$511:$CP$514</definedName>
    <definedName name="Asset_Replacement_2028_Yr5_17">'NARM5 – ED2 actuals'!$CL$543:$CP$546</definedName>
    <definedName name="Asset_Replacement_2028_Yr5_18">'NARM5 – ED2 actuals'!$CL$575:$CP$578</definedName>
    <definedName name="Asset_Replacement_2028_Yr5_19">'NARM5 – ED2 actuals'!$CL$607:$CP$610</definedName>
    <definedName name="Asset_Replacement_2028_Yr5_2">'NARM5 – ED2 actuals'!$CL$63:$CP$66</definedName>
    <definedName name="Asset_Replacement_2028_Yr5_20">'NARM5 – ED2 actuals'!$CL$639:$CP$642</definedName>
    <definedName name="Asset_Replacement_2028_Yr5_21">'NARM5 – ED2 actuals'!$CL$671:$CP$674</definedName>
    <definedName name="Asset_Replacement_2028_Yr5_22">'NARM5 – ED2 actuals'!$CL$703:$CP$706</definedName>
    <definedName name="Asset_Replacement_2028_Yr5_23">'NARM5 – ED2 actuals'!$CL$735:$CP$738</definedName>
    <definedName name="Asset_Replacement_2028_Yr5_24">'NARM5 – ED2 actuals'!$CL$767:$CP$770</definedName>
    <definedName name="Asset_Replacement_2028_Yr5_25">'NARM5 – ED2 actuals'!$CL$799:$CP$802</definedName>
    <definedName name="Asset_Replacement_2028_Yr5_26">'NARM5 – ED2 actuals'!$CL$831:$CP$834</definedName>
    <definedName name="Asset_Replacement_2028_Yr5_27">'NARM5 – ED2 actuals'!$CL$863:$CP$866</definedName>
    <definedName name="Asset_Replacement_2028_Yr5_28">'NARM5 – ED2 actuals'!$CL$895:$CP$898</definedName>
    <definedName name="Asset_Replacement_2028_Yr5_29">'NARM5 – ED2 actuals'!$CL$927:$CP$930</definedName>
    <definedName name="Asset_Replacement_2028_Yr5_3">'NARM5 – ED2 actuals'!$CL$95:$CP$98</definedName>
    <definedName name="Asset_Replacement_2028_Yr5_30">'NARM5 – ED2 actuals'!$CL$959:$CP$962</definedName>
    <definedName name="Asset_Replacement_2028_Yr5_31">'NARM5 – ED2 actuals'!$CL$991:$CP$994</definedName>
    <definedName name="Asset_Replacement_2028_Yr5_32">'NARM5 – ED2 actuals'!$CL$1023:$CP$1026</definedName>
    <definedName name="Asset_Replacement_2028_Yr5_33">'NARM5 – ED2 actuals'!$CL$1055:$CP$1058</definedName>
    <definedName name="Asset_Replacement_2028_Yr5_34">'NARM5 – ED2 actuals'!$CL$1087:$CP$1090</definedName>
    <definedName name="Asset_Replacement_2028_Yr5_35">'NARM5 – ED2 actuals'!$CL$1119:$CP$1122</definedName>
    <definedName name="Asset_Replacement_2028_Yr5_36">'NARM5 – ED2 actuals'!$CL$1151:$CP$1154</definedName>
    <definedName name="Asset_Replacement_2028_Yr5_37">'NARM5 – ED2 actuals'!$CL$1183:$CP$1186</definedName>
    <definedName name="Asset_Replacement_2028_Yr5_38">'NARM5 – ED2 actuals'!$CL$1215:$CP$1218</definedName>
    <definedName name="Asset_Replacement_2028_Yr5_39">'NARM5 – ED2 actuals'!$CL$1247:$CP$1250</definedName>
    <definedName name="Asset_Replacement_2028_Yr5_4">'NARM5 – ED2 actuals'!$CL$127:$CP$130</definedName>
    <definedName name="Asset_Replacement_2028_Yr5_40">'NARM5 – ED2 actuals'!$CL$1279:$CP$1282</definedName>
    <definedName name="Asset_Replacement_2028_Yr5_41">'NARM5 – ED2 actuals'!$CL$1311:$CP$1314</definedName>
    <definedName name="Asset_Replacement_2028_Yr5_42">'NARM5 – ED2 actuals'!$CL$1343:$CP$1346</definedName>
    <definedName name="Asset_Replacement_2028_Yr5_43">'NARM5 – ED2 actuals'!$CL$1375:$CP$1378</definedName>
    <definedName name="Asset_Replacement_2028_Yr5_44">'NARM5 – ED2 actuals'!$CL$1407:$CP$1410</definedName>
    <definedName name="Asset_Replacement_2028_Yr5_45">'NARM5 – ED2 actuals'!$CL$1439:$CP$1442</definedName>
    <definedName name="Asset_Replacement_2028_Yr5_46">'NARM5 – ED2 actuals'!$CL$1471:$CP$1474</definedName>
    <definedName name="Asset_Replacement_2028_Yr5_47">'NARM5 – ED2 actuals'!$CL$1503:$CP$1506</definedName>
    <definedName name="Asset_Replacement_2028_Yr5_48">'NARM5 – ED2 actuals'!$CL$1535:$CP$1538</definedName>
    <definedName name="Asset_Replacement_2028_Yr5_49">'NARM5 – ED2 actuals'!$CL$1567:$CP$1570</definedName>
    <definedName name="Asset_Replacement_2028_Yr5_5">'NARM5 – ED2 actuals'!$CL$159:$CP$162</definedName>
    <definedName name="Asset_Replacement_2028_Yr5_50">'NARM5 – ED2 actuals'!$CL$1599:$CP$1602</definedName>
    <definedName name="Asset_Replacement_2028_Yr5_51">'NARM5 – ED2 actuals'!$CL$1631:$CP$1634</definedName>
    <definedName name="Asset_Replacement_2028_Yr5_52">'NARM5 – ED2 actuals'!$CL$1663:$CP$1666</definedName>
    <definedName name="Asset_Replacement_2028_Yr5_53">'NARM5 – ED2 actuals'!$CL$1695:$CP$1698</definedName>
    <definedName name="Asset_Replacement_2028_Yr5_54">'NARM5 – ED2 actuals'!$CL$1727:$CP$1730</definedName>
    <definedName name="Asset_Replacement_2028_Yr5_55">'NARM5 – ED2 actuals'!$CL$1759:$CP$1762</definedName>
    <definedName name="Asset_Replacement_2028_Yr5_56">'NARM5 – ED2 actuals'!$CL$1791:$CP$1794</definedName>
    <definedName name="Asset_Replacement_2028_Yr5_57">'NARM5 – ED2 actuals'!$CL$1823:$CP$1826</definedName>
    <definedName name="Asset_Replacement_2028_Yr5_58">'NARM5 – ED2 actuals'!$CL$1855:$CP$1858</definedName>
    <definedName name="Asset_Replacement_2028_Yr5_59">'NARM5 – ED2 actuals'!$CL$1887:$CP$1890</definedName>
    <definedName name="Asset_Replacement_2028_Yr5_6">'NARM5 – ED2 actuals'!$CL$191:$CP$194</definedName>
    <definedName name="Asset_Replacement_2028_Yr5_60">'NARM5 – ED2 actuals'!$CL$1919:$CP$1922</definedName>
    <definedName name="Asset_Replacement_2028_Yr5_61">'NARM5 – ED2 actuals'!$CL$1951:$CP$1954</definedName>
    <definedName name="Asset_Replacement_2028_Yr5_7">'NARM5 – ED2 actuals'!$CL$223:$CP$226</definedName>
    <definedName name="Asset_Replacement_2028_Yr5_8">'NARM5 – ED2 actuals'!$CL$255:$CP$258</definedName>
    <definedName name="Asset_Replacement_2028_Yr5_9">'NARM5 – ED2 actuals'!$CL$287:$CP$290</definedName>
    <definedName name="Asset_Replacement_Yr1_1">'NARM5 – ED2 actuals'!$AH$7:$AL$10</definedName>
    <definedName name="Asset_Replacement_Yr1_10">'NARM5 – ED2 actuals'!$AH$295:$AL$298</definedName>
    <definedName name="Asset_Replacement_Yr1_11">'NARM5 – ED2 actuals'!$AH$327:$AL$330</definedName>
    <definedName name="Asset_Replacement_Yr1_12">'NARM5 – ED2 actuals'!$AH$359:$AL$362</definedName>
    <definedName name="Asset_Replacement_Yr1_13">'NARM5 – ED2 actuals'!$AH$391:$AL$394</definedName>
    <definedName name="Asset_Replacement_Yr1_14">'NARM5 – ED2 actuals'!$AH$423:$AL$426</definedName>
    <definedName name="Asset_Replacement_Yr1_15">'NARM5 – ED2 actuals'!$AH$455:$AL$458</definedName>
    <definedName name="Asset_Replacement_Yr1_16">'NARM5 – ED2 actuals'!$AH$487:$AL$490</definedName>
    <definedName name="Asset_Replacement_Yr1_17">'NARM5 – ED2 actuals'!$AH$519:$AL$522</definedName>
    <definedName name="Asset_Replacement_Yr1_18">'NARM5 – ED2 actuals'!$AH$551:$AL$554</definedName>
    <definedName name="Asset_Replacement_Yr1_19">'NARM5 – ED2 actuals'!$AH$583:$AL$586</definedName>
    <definedName name="Asset_Replacement_Yr1_2">'NARM5 – ED2 actuals'!$AH$39:$AL$42</definedName>
    <definedName name="Asset_Replacement_Yr1_20">'NARM5 – ED2 actuals'!$AH$615:$AL$618</definedName>
    <definedName name="Asset_Replacement_Yr1_21">'NARM5 – ED2 actuals'!$AH$647:$AL$650</definedName>
    <definedName name="Asset_Replacement_Yr1_22">'NARM5 – ED2 actuals'!$AH$679:$AL$682</definedName>
    <definedName name="Asset_Replacement_Yr1_23">'NARM5 – ED2 actuals'!$AH$711:$AL$714</definedName>
    <definedName name="Asset_Replacement_Yr1_24">'NARM5 – ED2 actuals'!$AH$743:$AL$746</definedName>
    <definedName name="Asset_Replacement_Yr1_25">'NARM5 – ED2 actuals'!$AH$775:$AL$778</definedName>
    <definedName name="Asset_Replacement_Yr1_26">'NARM5 – ED2 actuals'!$AH$807:$AL$810</definedName>
    <definedName name="Asset_Replacement_Yr1_27">'NARM5 – ED2 actuals'!$AH$839:$AL$842</definedName>
    <definedName name="Asset_Replacement_Yr1_28">'NARM5 – ED2 actuals'!$AH$871:$AL$874</definedName>
    <definedName name="Asset_Replacement_Yr1_29">'NARM5 – ED2 actuals'!$AH$903:$AL$906</definedName>
    <definedName name="Asset_Replacement_Yr1_3">'NARM5 – ED2 actuals'!$AH$71:$AL$74</definedName>
    <definedName name="Asset_Replacement_Yr1_30">'NARM5 – ED2 actuals'!$AH$935:$AL$938</definedName>
    <definedName name="Asset_Replacement_Yr1_31">'NARM5 – ED2 actuals'!$AH$967:$AL$970</definedName>
    <definedName name="Asset_Replacement_Yr1_32">'NARM5 – ED2 actuals'!$AH$999:$AL$1002</definedName>
    <definedName name="Asset_Replacement_Yr1_33">'NARM5 – ED2 actuals'!$AH$1031:$AL$1034</definedName>
    <definedName name="Asset_Replacement_Yr1_34">'NARM5 – ED2 actuals'!$AH$1063:$AL$1066</definedName>
    <definedName name="Asset_Replacement_Yr1_35">'NARM5 – ED2 actuals'!$AH$1095:$AL$1098</definedName>
    <definedName name="Asset_Replacement_Yr1_36">'NARM5 – ED2 actuals'!$AH$1127:$AL$1130</definedName>
    <definedName name="Asset_Replacement_Yr1_37">'NARM5 – ED2 actuals'!$AH$1159:$AL$1162</definedName>
    <definedName name="Asset_Replacement_Yr1_38">'NARM5 – ED2 actuals'!$AH$1191:$AL$1194</definedName>
    <definedName name="Asset_Replacement_Yr1_39">'NARM5 – ED2 actuals'!$AH$1223:$AL$1226</definedName>
    <definedName name="Asset_Replacement_Yr1_4">'NARM5 – ED2 actuals'!$AH$103:$AL$106</definedName>
    <definedName name="Asset_Replacement_Yr1_40">'NARM5 – ED2 actuals'!$AH$1255:$AL$1258</definedName>
    <definedName name="Asset_Replacement_Yr1_41">'NARM5 – ED2 actuals'!$AH$1287:$AL$1290</definedName>
    <definedName name="Asset_Replacement_Yr1_42">'NARM5 – ED2 actuals'!$AH$1319:$AL$1322</definedName>
    <definedName name="Asset_Replacement_Yr1_43">'NARM5 – ED2 actuals'!$AH$1351:$AL$1354</definedName>
    <definedName name="Asset_Replacement_Yr1_44">'NARM5 – ED2 actuals'!$AH$1383:$AL$1386</definedName>
    <definedName name="Asset_Replacement_Yr1_45">'NARM5 – ED2 actuals'!$AH$1415:$AL$1418</definedName>
    <definedName name="Asset_Replacement_Yr1_46">'NARM5 – ED2 actuals'!$AH$1447:$AL$1450</definedName>
    <definedName name="Asset_Replacement_Yr1_47">'NARM5 – ED2 actuals'!$AH$1479:$AL$1482</definedName>
    <definedName name="Asset_Replacement_Yr1_48">'NARM5 – ED2 actuals'!$AH$1511:$AL$1514</definedName>
    <definedName name="Asset_Replacement_Yr1_49">'NARM5 – ED2 actuals'!$AH$1543:$AL$1546</definedName>
    <definedName name="Asset_Replacement_Yr1_5">'NARM5 – ED2 actuals'!$AH$135:$AL$138</definedName>
    <definedName name="Asset_Replacement_Yr1_50">'NARM5 – ED2 actuals'!$AH$1575:$AL$1578</definedName>
    <definedName name="Asset_Replacement_Yr1_51">'NARM5 – ED2 actuals'!$AH$1607:$AL$1610</definedName>
    <definedName name="Asset_Replacement_Yr1_52">'NARM5 – ED2 actuals'!$AH$1639:$AL$1642</definedName>
    <definedName name="Asset_Replacement_Yr1_53">'NARM5 – ED2 actuals'!$AH$1671:$AL$1674</definedName>
    <definedName name="Asset_Replacement_Yr1_54">'NARM5 – ED2 actuals'!$AH$1703:$AL$1706</definedName>
    <definedName name="Asset_Replacement_Yr1_55">'NARM5 – ED2 actuals'!$AH$1735:$AL$1738</definedName>
    <definedName name="Asset_Replacement_Yr1_56">'NARM5 – ED2 actuals'!$AH$1767:$AL$1770</definedName>
    <definedName name="Asset_Replacement_Yr1_57">'NARM5 – ED2 actuals'!$AH$1799:$AL$1802</definedName>
    <definedName name="Asset_Replacement_Yr1_58">'NARM5 – ED2 actuals'!$AH$1831:$AL$1834</definedName>
    <definedName name="Asset_Replacement_Yr1_59">'NARM5 – ED2 actuals'!$AH$1863:$AL$1866</definedName>
    <definedName name="Asset_Replacement_Yr1_6">'NARM5 – ED2 actuals'!$AH$167:$AL$170</definedName>
    <definedName name="Asset_Replacement_Yr1_60">'NARM5 – ED2 actuals'!$AH$1895:$AL$1898</definedName>
    <definedName name="Asset_Replacement_Yr1_61">'NARM5 – ED2 actuals'!$AH$1927:$AL$1930</definedName>
    <definedName name="Asset_Replacement_Yr1_7">'NARM5 – ED2 actuals'!$AH$199:$AL$202</definedName>
    <definedName name="Asset_Replacement_Yr1_8">'NARM5 – ED2 actuals'!$AH$231:$AL$234</definedName>
    <definedName name="Asset_Replacement_Yr1_9">'NARM5 – ED2 actuals'!$AH$263:$AL$266</definedName>
    <definedName name="Asset_Replacement_Yr2_1">'NARM5 – ED2 actuals'!$AH$13:$AL$16</definedName>
    <definedName name="Asset_Replacement_Yr2_10">'NARM5 – ED2 actuals'!$AH$301:$AL$304</definedName>
    <definedName name="Asset_Replacement_Yr2_11">'NARM5 – ED2 actuals'!$AH$333:$AL$336</definedName>
    <definedName name="Asset_Replacement_Yr2_12">'NARM5 – ED2 actuals'!$AH$365:$AL$368</definedName>
    <definedName name="Asset_Replacement_Yr2_13">'NARM5 – ED2 actuals'!$AH$397:$AL$400</definedName>
    <definedName name="Asset_Replacement_Yr2_14">'NARM5 – ED2 actuals'!$AH$429:$AL$432</definedName>
    <definedName name="Asset_Replacement_Yr2_15">'NARM5 – ED2 actuals'!$AH$461:$AL$464</definedName>
    <definedName name="Asset_Replacement_Yr2_16">'NARM5 – ED2 actuals'!$AH$493:$AL$496</definedName>
    <definedName name="Asset_Replacement_Yr2_17">'NARM5 – ED2 actuals'!$AH$525:$AL$528</definedName>
    <definedName name="Asset_Replacement_Yr2_18">'NARM5 – ED2 actuals'!$AH$557:$AL$560</definedName>
    <definedName name="Asset_Replacement_Yr2_19">'NARM5 – ED2 actuals'!$AH$589:$AL$592</definedName>
    <definedName name="Asset_Replacement_Yr2_2">'NARM5 – ED2 actuals'!$AH$45:$AL$48</definedName>
    <definedName name="Asset_Replacement_Yr2_20">'NARM5 – ED2 actuals'!$AH$621:$AL$624</definedName>
    <definedName name="Asset_Replacement_Yr2_21">'NARM5 – ED2 actuals'!$AH$653:$AL$656</definedName>
    <definedName name="Asset_Replacement_Yr2_22">'NARM5 – ED2 actuals'!$AH$685:$AL$688</definedName>
    <definedName name="Asset_Replacement_Yr2_23">'NARM5 – ED2 actuals'!$AH$717:$AL$720</definedName>
    <definedName name="Asset_Replacement_Yr2_24">'NARM5 – ED2 actuals'!$AH$749:$AL$752</definedName>
    <definedName name="Asset_Replacement_Yr2_25">'NARM5 – ED2 actuals'!$AH$781:$AL$784</definedName>
    <definedName name="Asset_Replacement_Yr2_26">'NARM5 – ED2 actuals'!$AH$813:$AL$816</definedName>
    <definedName name="Asset_Replacement_Yr2_27">'NARM5 – ED2 actuals'!$AH$845:$AL$848</definedName>
    <definedName name="Asset_Replacement_Yr2_28">'NARM5 – ED2 actuals'!$AH$877:$AL$880</definedName>
    <definedName name="Asset_Replacement_Yr2_29">'NARM5 – ED2 actuals'!$AH$909:$AL$912</definedName>
    <definedName name="Asset_Replacement_Yr2_3">'NARM5 – ED2 actuals'!$AH$77:$AL$80</definedName>
    <definedName name="Asset_Replacement_Yr2_30">'NARM5 – ED2 actuals'!$AH$941:$AL$944</definedName>
    <definedName name="Asset_Replacement_Yr2_31">'NARM5 – ED2 actuals'!$AH$973:$AL$976</definedName>
    <definedName name="Asset_Replacement_Yr2_32">'NARM5 – ED2 actuals'!$AH$1005:$AL$1008</definedName>
    <definedName name="Asset_Replacement_Yr2_33">'NARM5 – ED2 actuals'!$AH$1037:$AL$1040</definedName>
    <definedName name="Asset_Replacement_Yr2_34">'NARM5 – ED2 actuals'!$AH$1069:$AL$1072</definedName>
    <definedName name="Asset_Replacement_Yr2_35">'NARM5 – ED2 actuals'!$AH$1101:$AL$1104</definedName>
    <definedName name="Asset_Replacement_Yr2_36">'NARM5 – ED2 actuals'!$AH$1133:$AL$1136</definedName>
    <definedName name="Asset_Replacement_Yr2_37">'NARM5 – ED2 actuals'!$AH$1165:$AL$1168</definedName>
    <definedName name="Asset_Replacement_Yr2_38">'NARM5 – ED2 actuals'!$AH$1197:$AL$1200</definedName>
    <definedName name="Asset_Replacement_Yr2_39">'NARM5 – ED2 actuals'!$AH$1229:$AL$1232</definedName>
    <definedName name="Asset_Replacement_Yr2_4">'NARM5 – ED2 actuals'!$AH$109:$AL$112</definedName>
    <definedName name="Asset_Replacement_Yr2_40">'NARM5 – ED2 actuals'!$AH$1261:$AL$1264</definedName>
    <definedName name="Asset_Replacement_Yr2_41">'NARM5 – ED2 actuals'!$AH$1293:$AL$1296</definedName>
    <definedName name="Asset_Replacement_Yr2_42">'NARM5 – ED2 actuals'!$AH$1325:$AL$1328</definedName>
    <definedName name="Asset_Replacement_Yr2_43">'NARM5 – ED2 actuals'!$AH$1357:$AL$1360</definedName>
    <definedName name="Asset_Replacement_Yr2_44">'NARM5 – ED2 actuals'!$AH$1389:$AL$1392</definedName>
    <definedName name="Asset_Replacement_Yr2_45">'NARM5 – ED2 actuals'!$AH$1421:$AL$1424</definedName>
    <definedName name="Asset_Replacement_Yr2_46">'NARM5 – ED2 actuals'!$AH$1453:$AL$1456</definedName>
    <definedName name="Asset_Replacement_Yr2_47">'NARM5 – ED2 actuals'!$AH$1485:$AL$1488</definedName>
    <definedName name="Asset_Replacement_Yr2_48">'NARM5 – ED2 actuals'!$AH$1517:$AL$1520</definedName>
    <definedName name="Asset_Replacement_Yr2_49">'NARM5 – ED2 actuals'!$AH$1549:$AL$1552</definedName>
    <definedName name="Asset_Replacement_Yr2_5">'NARM5 – ED2 actuals'!$AH$141:$AL$144</definedName>
    <definedName name="Asset_Replacement_Yr2_50">'NARM5 – ED2 actuals'!$AH$1581:$AL$1584</definedName>
    <definedName name="Asset_Replacement_Yr2_51">'NARM5 – ED2 actuals'!$AH$1613:$AL$1616</definedName>
    <definedName name="Asset_Replacement_Yr2_52">'NARM5 – ED2 actuals'!$AH$1645:$AL$1648</definedName>
    <definedName name="Asset_Replacement_Yr2_53">'NARM5 – ED2 actuals'!$AH$1677:$AL$1680</definedName>
    <definedName name="Asset_Replacement_Yr2_54">'NARM5 – ED2 actuals'!$AH$1709:$AL$1712</definedName>
    <definedName name="Asset_Replacement_Yr2_55">'NARM5 – ED2 actuals'!$AH$1741:$AL$1744</definedName>
    <definedName name="Asset_Replacement_Yr2_56">'NARM5 – ED2 actuals'!$AH$1773:$AL$1776</definedName>
    <definedName name="Asset_Replacement_Yr2_57">'NARM5 – ED2 actuals'!$AH$1805:$AL$1808</definedName>
    <definedName name="Asset_Replacement_Yr2_58">'NARM5 – ED2 actuals'!$AH$1837:$AL$1840</definedName>
    <definedName name="Asset_Replacement_Yr2_59">'NARM5 – ED2 actuals'!$AH$1869:$AL$1872</definedName>
    <definedName name="Asset_Replacement_Yr2_6">'NARM5 – ED2 actuals'!$AH$173:$AL$176</definedName>
    <definedName name="Asset_Replacement_Yr2_60">'NARM5 – ED2 actuals'!$AH$1901:$AL$1904</definedName>
    <definedName name="Asset_Replacement_Yr2_61">'NARM5 – ED2 actuals'!$AH$1933:$AL$1936</definedName>
    <definedName name="Asset_Replacement_Yr2_7">'NARM5 – ED2 actuals'!$AH$205:$AL$208</definedName>
    <definedName name="Asset_Replacement_Yr2_8">'NARM5 – ED2 actuals'!$AH$237:$AL$240</definedName>
    <definedName name="Asset_Replacement_Yr2_9">'NARM5 – ED2 actuals'!$AH$269:$AL$272</definedName>
    <definedName name="Asset_Replacement_Yr3_1">'NARM5 – ED2 actuals'!$AH$19:$AL$22</definedName>
    <definedName name="Asset_Replacement_Yr3_10">'NARM5 – ED2 actuals'!$AH$307:$AL$310</definedName>
    <definedName name="Asset_Replacement_Yr3_11">'NARM5 – ED2 actuals'!$AH$339:$AL$342</definedName>
    <definedName name="Asset_Replacement_Yr3_12">'NARM5 – ED2 actuals'!$AH$371:$AL$374</definedName>
    <definedName name="Asset_Replacement_Yr3_13">'NARM5 – ED2 actuals'!$AH$403:$AL$406</definedName>
    <definedName name="Asset_Replacement_Yr3_14">'NARM5 – ED2 actuals'!$AH$435:$AL$438</definedName>
    <definedName name="Asset_Replacement_Yr3_15">'NARM5 – ED2 actuals'!$AH$467:$AL$470</definedName>
    <definedName name="Asset_Replacement_Yr3_16">'NARM5 – ED2 actuals'!$AH$499:$AL$502</definedName>
    <definedName name="Asset_Replacement_Yr3_17">'NARM5 – ED2 actuals'!$AH$531:$AL$534</definedName>
    <definedName name="Asset_Replacement_Yr3_18">'NARM5 – ED2 actuals'!$AH$563:$AL$566</definedName>
    <definedName name="Asset_Replacement_Yr3_19">'NARM5 – ED2 actuals'!$AH$595:$AL$598</definedName>
    <definedName name="Asset_Replacement_Yr3_2">'NARM5 – ED2 actuals'!$AH$51:$AL$54</definedName>
    <definedName name="Asset_Replacement_Yr3_20">'NARM5 – ED2 actuals'!$AH$627:$AL$630</definedName>
    <definedName name="Asset_Replacement_Yr3_21">'NARM5 – ED2 actuals'!$AH$659:$AL$662</definedName>
    <definedName name="Asset_Replacement_Yr3_22">'NARM5 – ED2 actuals'!$AH$691:$AL$694</definedName>
    <definedName name="Asset_Replacement_Yr3_23">'NARM5 – ED2 actuals'!$AH$723:$AL$726</definedName>
    <definedName name="Asset_Replacement_Yr3_24">'NARM5 – ED2 actuals'!$AH$755:$AL$758</definedName>
    <definedName name="Asset_Replacement_Yr3_25">'NARM5 – ED2 actuals'!$AH$787:$AL$790</definedName>
    <definedName name="Asset_Replacement_Yr3_26">'NARM5 – ED2 actuals'!$AH$819:$AL$822</definedName>
    <definedName name="Asset_Replacement_Yr3_27">'NARM5 – ED2 actuals'!$AH$851:$AL$854</definedName>
    <definedName name="Asset_Replacement_Yr3_28">'NARM5 – ED2 actuals'!$AH$883:$AL$886</definedName>
    <definedName name="Asset_Replacement_Yr3_29">'NARM5 – ED2 actuals'!$AH$915:$AL$918</definedName>
    <definedName name="Asset_Replacement_Yr3_3">'NARM5 – ED2 actuals'!$AH$83:$AL$86</definedName>
    <definedName name="Asset_Replacement_Yr3_30">'NARM5 – ED2 actuals'!$AH$947:$AL$950</definedName>
    <definedName name="Asset_Replacement_Yr3_31">'NARM5 – ED2 actuals'!$AH$979:$AL$982</definedName>
    <definedName name="Asset_Replacement_Yr3_32">'NARM5 – ED2 actuals'!$AH$1011:$AL$1014</definedName>
    <definedName name="Asset_Replacement_Yr3_33">'NARM5 – ED2 actuals'!$AH$1043:$AL$1046</definedName>
    <definedName name="Asset_Replacement_Yr3_34">'NARM5 – ED2 actuals'!$AH$1075:$AL$1078</definedName>
    <definedName name="Asset_Replacement_Yr3_35">'NARM5 – ED2 actuals'!$AH$1107:$AL$1110</definedName>
    <definedName name="Asset_Replacement_Yr3_36">'NARM5 – ED2 actuals'!$AH$1139:$AL$1142</definedName>
    <definedName name="Asset_Replacement_Yr3_37">'NARM5 – ED2 actuals'!$AH$1171:$AL$1174</definedName>
    <definedName name="Asset_Replacement_Yr3_38">'NARM5 – ED2 actuals'!$AH$1203:$AL$1206</definedName>
    <definedName name="Asset_Replacement_Yr3_39">'NARM5 – ED2 actuals'!$AH$1235:$AL$1238</definedName>
    <definedName name="Asset_Replacement_Yr3_4">'NARM5 – ED2 actuals'!$AH$115:$AL$118</definedName>
    <definedName name="Asset_Replacement_Yr3_40">'NARM5 – ED2 actuals'!$AH$1267:$AL$1270</definedName>
    <definedName name="Asset_Replacement_Yr3_41">'NARM5 – ED2 actuals'!$AH$1299:$AL$1302</definedName>
    <definedName name="Asset_Replacement_Yr3_42">'NARM5 – ED2 actuals'!$AH$1331:$AL$1334</definedName>
    <definedName name="Asset_Replacement_Yr3_43">'NARM5 – ED2 actuals'!$AH$1363:$AL$1366</definedName>
    <definedName name="Asset_Replacement_Yr3_44">'NARM5 – ED2 actuals'!$AH$1395:$AL$1398</definedName>
    <definedName name="Asset_Replacement_Yr3_45">'NARM5 – ED2 actuals'!$AH$1427:$AL$1430</definedName>
    <definedName name="Asset_Replacement_Yr3_46">'NARM5 – ED2 actuals'!$AH$1459:$AL$1462</definedName>
    <definedName name="Asset_Replacement_Yr3_47">'NARM5 – ED2 actuals'!$AH$1491:$AL$1494</definedName>
    <definedName name="Asset_Replacement_Yr3_48">'NARM5 – ED2 actuals'!$AH$1523:$AL$1526</definedName>
    <definedName name="Asset_Replacement_Yr3_49">'NARM5 – ED2 actuals'!$AH$1555:$AL$1558</definedName>
    <definedName name="Asset_Replacement_Yr3_5">'NARM5 – ED2 actuals'!$AH$147:$AL$150</definedName>
    <definedName name="Asset_Replacement_Yr3_50">'NARM5 – ED2 actuals'!$AH$1587:$AL$1590</definedName>
    <definedName name="Asset_Replacement_Yr3_51">'NARM5 – ED2 actuals'!$AH$1619:$AL$1622</definedName>
    <definedName name="Asset_Replacement_Yr3_52">'NARM5 – ED2 actuals'!$AH$1651:$AL$1654</definedName>
    <definedName name="Asset_Replacement_Yr3_53">'NARM5 – ED2 actuals'!$AH$1683:$AL$1686</definedName>
    <definedName name="Asset_Replacement_Yr3_54">'NARM5 – ED2 actuals'!$AH$1715:$AL$1718</definedName>
    <definedName name="Asset_Replacement_Yr3_55">'NARM5 – ED2 actuals'!$AH$1747:$AL$1750</definedName>
    <definedName name="Asset_Replacement_Yr3_56">'NARM5 – ED2 actuals'!$AH$1779:$AL$1782</definedName>
    <definedName name="Asset_Replacement_Yr3_57">'NARM5 – ED2 actuals'!$AH$1811:$AL$1814</definedName>
    <definedName name="Asset_Replacement_Yr3_58">'NARM5 – ED2 actuals'!$AH$1843:$AL$1846</definedName>
    <definedName name="Asset_Replacement_Yr3_59">'NARM5 – ED2 actuals'!$AH$1875:$AL$1878</definedName>
    <definedName name="Asset_Replacement_Yr3_6">'NARM5 – ED2 actuals'!$AH$179:$AL$182</definedName>
    <definedName name="Asset_Replacement_Yr3_60">'NARM5 – ED2 actuals'!$AH$1907:$AL$1910</definedName>
    <definedName name="Asset_Replacement_Yr3_61">'NARM5 – ED2 actuals'!$AH$1939:$AL$1942</definedName>
    <definedName name="Asset_Replacement_Yr3_7">'NARM5 – ED2 actuals'!$AH$211:$AL$214</definedName>
    <definedName name="Asset_Replacement_Yr3_8">'NARM5 – ED2 actuals'!$AH$243:$AL$246</definedName>
    <definedName name="Asset_Replacement_Yr3_9">'NARM5 – ED2 actuals'!$AH$275:$AL$278</definedName>
    <definedName name="Asset_Replacement_Yr4_1">'NARM5 – ED2 actuals'!$AH$25:$AL$28</definedName>
    <definedName name="Asset_Replacement_Yr4_10">'NARM5 – ED2 actuals'!$AH$313:$AL$316</definedName>
    <definedName name="Asset_Replacement_Yr4_11">'NARM5 – ED2 actuals'!$AH$345:$AL$348</definedName>
    <definedName name="Asset_Replacement_Yr4_12">'NARM5 – ED2 actuals'!$AH$377:$AL$380</definedName>
    <definedName name="Asset_Replacement_Yr4_13">'NARM5 – ED2 actuals'!$AH$409:$AL$412</definedName>
    <definedName name="Asset_Replacement_Yr4_14">'NARM5 – ED2 actuals'!$AH$441:$AL$444</definedName>
    <definedName name="Asset_Replacement_Yr4_15">'NARM5 – ED2 actuals'!$AH$473:$AL$476</definedName>
    <definedName name="Asset_Replacement_Yr4_16">'NARM5 – ED2 actuals'!$AH$505:$AL$508</definedName>
    <definedName name="Asset_Replacement_Yr4_17">'NARM5 – ED2 actuals'!$AH$537:$AL$540</definedName>
    <definedName name="Asset_Replacement_Yr4_18">'NARM5 – ED2 actuals'!$AH$569:$AL$572</definedName>
    <definedName name="Asset_Replacement_Yr4_19">'NARM5 – ED2 actuals'!$AH$601:$AL$604</definedName>
    <definedName name="Asset_Replacement_Yr4_2">'NARM5 – ED2 actuals'!$AH$57:$AL$60</definedName>
    <definedName name="Asset_Replacement_Yr4_20">'NARM5 – ED2 actuals'!$AH$633:$AL$636</definedName>
    <definedName name="Asset_Replacement_Yr4_21">'NARM5 – ED2 actuals'!$AH$665:$AL$668</definedName>
    <definedName name="Asset_Replacement_Yr4_22">'NARM5 – ED2 actuals'!$AH$697:$AL$700</definedName>
    <definedName name="Asset_Replacement_Yr4_23">'NARM5 – ED2 actuals'!$AH$729:$AL$732</definedName>
    <definedName name="Asset_Replacement_Yr4_24">'NARM5 – ED2 actuals'!$AH$761:$AL$764</definedName>
    <definedName name="Asset_Replacement_Yr4_25">'NARM5 – ED2 actuals'!$AH$793:$AL$796</definedName>
    <definedName name="Asset_Replacement_Yr4_26">'NARM5 – ED2 actuals'!$AH$825:$AL$828</definedName>
    <definedName name="Asset_Replacement_Yr4_27">'NARM5 – ED2 actuals'!$AH$857:$AL$860</definedName>
    <definedName name="Asset_Replacement_Yr4_28">'NARM5 – ED2 actuals'!$AH$889:$AL$892</definedName>
    <definedName name="Asset_Replacement_Yr4_29">'NARM5 – ED2 actuals'!$AH$921:$AL$924</definedName>
    <definedName name="Asset_Replacement_Yr4_3">'NARM5 – ED2 actuals'!$AH$89:$AL$92</definedName>
    <definedName name="Asset_Replacement_Yr4_30">'NARM5 – ED2 actuals'!$AH$953:$AL$956</definedName>
    <definedName name="Asset_Replacement_Yr4_31">'NARM5 – ED2 actuals'!$AH$985:$AL$988</definedName>
    <definedName name="Asset_Replacement_Yr4_32">'NARM5 – ED2 actuals'!$AH$1017:$AL$1020</definedName>
    <definedName name="Asset_Replacement_Yr4_33">'NARM5 – ED2 actuals'!$AH$1049:$AL$1052</definedName>
    <definedName name="Asset_Replacement_Yr4_34">'NARM5 – ED2 actuals'!$AH$1081:$AL$1084</definedName>
    <definedName name="Asset_Replacement_Yr4_35">'NARM5 – ED2 actuals'!$AH$1113:$AL$1116</definedName>
    <definedName name="Asset_Replacement_Yr4_36">'NARM5 – ED2 actuals'!$AH$1145:$AL$1148</definedName>
    <definedName name="Asset_Replacement_Yr4_37">'NARM5 – ED2 actuals'!$AH$1177:$AL$1180</definedName>
    <definedName name="Asset_Replacement_Yr4_38">'NARM5 – ED2 actuals'!$AH$1209:$AL$1212</definedName>
    <definedName name="Asset_Replacement_Yr4_39">'NARM5 – ED2 actuals'!$AH$1241:$AL$1244</definedName>
    <definedName name="Asset_Replacement_Yr4_4">'NARM5 – ED2 actuals'!$AH$121:$AL$124</definedName>
    <definedName name="Asset_Replacement_Yr4_40">'NARM5 – ED2 actuals'!$AH$1273:$AL$1276</definedName>
    <definedName name="Asset_Replacement_Yr4_41">'NARM5 – ED2 actuals'!$AH$1305:$AL$1308</definedName>
    <definedName name="Asset_Replacement_Yr4_42">'NARM5 – ED2 actuals'!$AH$1337:$AL$1340</definedName>
    <definedName name="Asset_Replacement_Yr4_43">'NARM5 – ED2 actuals'!$AH$1369:$AL$1372</definedName>
    <definedName name="Asset_Replacement_Yr4_44">'NARM5 – ED2 actuals'!$AH$1401:$AL$1404</definedName>
    <definedName name="Asset_Replacement_Yr4_45">'NARM5 – ED2 actuals'!$AH$1433:$AL$1436</definedName>
    <definedName name="Asset_Replacement_Yr4_46">'NARM5 – ED2 actuals'!$AH$1465:$AL$1468</definedName>
    <definedName name="Asset_Replacement_Yr4_47">'NARM5 – ED2 actuals'!$AH$1497:$AL$1500</definedName>
    <definedName name="Asset_Replacement_Yr4_48">'NARM5 – ED2 actuals'!$AH$1529:$AL$1532</definedName>
    <definedName name="Asset_Replacement_Yr4_49">'NARM5 – ED2 actuals'!$AH$1561:$AL$1564</definedName>
    <definedName name="Asset_Replacement_Yr4_5">'NARM5 – ED2 actuals'!$AH$153:$AL$156</definedName>
    <definedName name="Asset_Replacement_Yr4_50">'NARM5 – ED2 actuals'!$AH$1593:$AL$1596</definedName>
    <definedName name="Asset_Replacement_Yr4_51">'NARM5 – ED2 actuals'!$AH$1625:$AL$1628</definedName>
    <definedName name="Asset_Replacement_Yr4_52">'NARM5 – ED2 actuals'!$AH$1657:$AL$1660</definedName>
    <definedName name="Asset_Replacement_Yr4_53">'NARM5 – ED2 actuals'!$AH$1689:$AL$1692</definedName>
    <definedName name="Asset_Replacement_Yr4_54">'NARM5 – ED2 actuals'!$AH$1721:$AL$1724</definedName>
    <definedName name="Asset_Replacement_Yr4_55">'NARM5 – ED2 actuals'!$AH$1753:$AL$1756</definedName>
    <definedName name="Asset_Replacement_Yr4_56">'NARM5 – ED2 actuals'!$AH$1785:$AL$1788</definedName>
    <definedName name="Asset_Replacement_Yr4_57">'NARM5 – ED2 actuals'!$AH$1817:$AL$1820</definedName>
    <definedName name="Asset_Replacement_Yr4_58">'NARM5 – ED2 actuals'!$AH$1849:$AL$1852</definedName>
    <definedName name="Asset_Replacement_Yr4_59">'NARM5 – ED2 actuals'!$AH$1881:$AL$1884</definedName>
    <definedName name="Asset_Replacement_Yr4_6">'NARM5 – ED2 actuals'!$AH$185:$AL$188</definedName>
    <definedName name="Asset_Replacement_Yr4_60">'NARM5 – ED2 actuals'!$AH$1913:$AL$1916</definedName>
    <definedName name="Asset_Replacement_Yr4_61">'NARM5 – ED2 actuals'!$AH$1945:$AL$1948</definedName>
    <definedName name="Asset_Replacement_Yr4_7">'NARM5 – ED2 actuals'!$AH$217:$AL$220</definedName>
    <definedName name="Asset_Replacement_Yr4_8">'NARM5 – ED2 actuals'!$AH$249:$AL$252</definedName>
    <definedName name="Asset_Replacement_Yr4_9">'NARM5 – ED2 actuals'!$AH$281:$AL$284</definedName>
    <definedName name="Asset_Replacement_Yr5_1">'NARM5 – ED2 actuals'!$AH$31:$AL$34</definedName>
    <definedName name="Asset_Replacement_Yr5_10">'NARM5 – ED2 actuals'!$AH$319:$AL$322</definedName>
    <definedName name="Asset_Replacement_Yr5_11">'NARM5 – ED2 actuals'!$AH$351:$AL$354</definedName>
    <definedName name="Asset_Replacement_Yr5_12">'NARM5 – ED2 actuals'!$AH$383:$AL$386</definedName>
    <definedName name="Asset_Replacement_Yr5_13">'NARM5 – ED2 actuals'!$AH$415:$AL$418</definedName>
    <definedName name="Asset_Replacement_Yr5_14">'NARM5 – ED2 actuals'!$AH$447:$AL$450</definedName>
    <definedName name="Asset_Replacement_Yr5_15">'NARM5 – ED2 actuals'!$AH$479:$AL$482</definedName>
    <definedName name="Asset_Replacement_Yr5_16">'NARM5 – ED2 actuals'!$AH$511:$AL$514</definedName>
    <definedName name="Asset_Replacement_Yr5_17">'NARM5 – ED2 actuals'!$AH$543:$AL$546</definedName>
    <definedName name="Asset_Replacement_Yr5_18">'NARM5 – ED2 actuals'!$AH$575:$AL$578</definedName>
    <definedName name="Asset_Replacement_Yr5_19">'NARM5 – ED2 actuals'!$AH$607:$AL$610</definedName>
    <definedName name="Asset_Replacement_Yr5_2">'NARM5 – ED2 actuals'!$AH$63:$AL$66</definedName>
    <definedName name="Asset_Replacement_Yr5_20">'NARM5 – ED2 actuals'!$AH$639:$AL$642</definedName>
    <definedName name="Asset_Replacement_Yr5_21">'NARM5 – ED2 actuals'!$AH$671:$AL$674</definedName>
    <definedName name="Asset_Replacement_Yr5_22">'NARM5 – ED2 actuals'!$AH$703:$AL$706</definedName>
    <definedName name="Asset_Replacement_Yr5_23">'NARM5 – ED2 actuals'!$AH$735:$AL$738</definedName>
    <definedName name="Asset_Replacement_Yr5_24">'NARM5 – ED2 actuals'!$AH$767:$AL$770</definedName>
    <definedName name="Asset_Replacement_Yr5_25">'NARM5 – ED2 actuals'!$AH$799:$AL$802</definedName>
    <definedName name="Asset_Replacement_Yr5_26">'NARM5 – ED2 actuals'!$AH$831:$AL$834</definedName>
    <definedName name="Asset_Replacement_Yr5_27">'NARM5 – ED2 actuals'!$AH$863:$AL$866</definedName>
    <definedName name="Asset_Replacement_Yr5_28">'NARM5 – ED2 actuals'!$AH$895:$AL$898</definedName>
    <definedName name="Asset_Replacement_Yr5_29">'NARM5 – ED2 actuals'!$AH$927:$AL$930</definedName>
    <definedName name="Asset_Replacement_Yr5_3">'NARM5 – ED2 actuals'!$AH$95:$AL$98</definedName>
    <definedName name="Asset_Replacement_Yr5_30">'NARM5 – ED2 actuals'!$AH$959:$AL$962</definedName>
    <definedName name="Asset_Replacement_Yr5_31">'NARM5 – ED2 actuals'!$AH$991:$AL$994</definedName>
    <definedName name="Asset_Replacement_Yr5_32">'NARM5 – ED2 actuals'!$AH$1023:$AL$1026</definedName>
    <definedName name="Asset_Replacement_Yr5_33">'NARM5 – ED2 actuals'!$AH$1055:$AL$1058</definedName>
    <definedName name="Asset_Replacement_Yr5_34">'NARM5 – ED2 actuals'!$AH$1087:$AL$1090</definedName>
    <definedName name="Asset_Replacement_Yr5_35">'NARM5 – ED2 actuals'!$AH$1119:$AL$1122</definedName>
    <definedName name="Asset_Replacement_Yr5_36">'NARM5 – ED2 actuals'!$AH$1151:$AL$1154</definedName>
    <definedName name="Asset_Replacement_Yr5_37">'NARM5 – ED2 actuals'!$AH$1183:$AL$1186</definedName>
    <definedName name="Asset_Replacement_Yr5_38">'NARM5 – ED2 actuals'!$AH$1215:$AL$1218</definedName>
    <definedName name="Asset_Replacement_Yr5_39">'NARM5 – ED2 actuals'!$AH$1247:$AL$1250</definedName>
    <definedName name="Asset_Replacement_Yr5_4">'NARM5 – ED2 actuals'!$AH$127:$AL$130</definedName>
    <definedName name="Asset_Replacement_Yr5_40">'NARM5 – ED2 actuals'!$AH$1279:$AL$1282</definedName>
    <definedName name="Asset_Replacement_Yr5_41">'NARM5 – ED2 actuals'!$AH$1311:$AL$1314</definedName>
    <definedName name="Asset_Replacement_Yr5_42">'NARM5 – ED2 actuals'!$AH$1343:$AL$1346</definedName>
    <definedName name="Asset_Replacement_Yr5_43">'NARM5 – ED2 actuals'!$AH$1375:$AL$1378</definedName>
    <definedName name="Asset_Replacement_Yr5_44">'NARM5 – ED2 actuals'!$AH$1407:$AL$1410</definedName>
    <definedName name="Asset_Replacement_Yr5_45">'NARM5 – ED2 actuals'!$AH$1439:$AL$1442</definedName>
    <definedName name="Asset_Replacement_Yr5_46">'NARM5 – ED2 actuals'!$AH$1471:$AL$1474</definedName>
    <definedName name="Asset_Replacement_Yr5_47">'NARM5 – ED2 actuals'!$AH$1503:$AL$1506</definedName>
    <definedName name="Asset_Replacement_Yr5_48">'NARM5 – ED2 actuals'!$AH$1535:$AL$1538</definedName>
    <definedName name="Asset_Replacement_Yr5_49">'NARM5 – ED2 actuals'!$AH$1567:$AL$1570</definedName>
    <definedName name="Asset_Replacement_Yr5_5">'NARM5 – ED2 actuals'!$AH$159:$AL$162</definedName>
    <definedName name="Asset_Replacement_Yr5_50">'NARM5 – ED2 actuals'!$AH$1599:$AL$1602</definedName>
    <definedName name="Asset_Replacement_Yr5_51">'NARM5 – ED2 actuals'!$AH$1631:$AL$1634</definedName>
    <definedName name="Asset_Replacement_Yr5_52">'NARM5 – ED2 actuals'!$AH$1663:$AL$1666</definedName>
    <definedName name="Asset_Replacement_Yr5_53">'NARM5 – ED2 actuals'!$AH$1695:$AL$1698</definedName>
    <definedName name="Asset_Replacement_Yr5_54">'NARM5 – ED2 actuals'!$AH$1727:$AL$1730</definedName>
    <definedName name="Asset_Replacement_Yr5_55">'NARM5 – ED2 actuals'!$AH$1759:$AL$1762</definedName>
    <definedName name="Asset_Replacement_Yr5_56">'NARM5 – ED2 actuals'!$AH$1791:$AL$1794</definedName>
    <definedName name="Asset_Replacement_Yr5_57">'NARM5 – ED2 actuals'!$AH$1823:$AL$1826</definedName>
    <definedName name="Asset_Replacement_Yr5_58">'NARM5 – ED2 actuals'!$AH$1855:$AL$1858</definedName>
    <definedName name="Asset_Replacement_Yr5_59">'NARM5 – ED2 actuals'!$AH$1887:$AL$1890</definedName>
    <definedName name="Asset_Replacement_Yr5_6">'NARM5 – ED2 actuals'!$AH$191:$AL$194</definedName>
    <definedName name="Asset_Replacement_Yr5_60">'NARM5 – ED2 actuals'!$AH$1919:$AL$1922</definedName>
    <definedName name="Asset_Replacement_Yr5_61">'NARM5 – ED2 actuals'!$AH$1951:$AL$1954</definedName>
    <definedName name="Asset_Replacement_Yr5_7">'NARM5 – ED2 actuals'!$AH$223:$AL$226</definedName>
    <definedName name="Asset_Replacement_Yr5_8">'NARM5 – ED2 actuals'!$AH$255:$AL$258</definedName>
    <definedName name="Asset_Replacement_Yr5_9">'NARM5 – ED2 actuals'!$AH$287:$AL$290</definedName>
    <definedName name="AssetClass" hidden="1">'[5]A0.5_Data_Constants'!$A$71:$A$76</definedName>
    <definedName name="AssetDesc" hidden="1">'[5]A0.5_Data_Constants'!$B$55:$B$103</definedName>
    <definedName name="AssetReplacement_CurrentYear_yr1_1">'NARM5 – ED2 actuals'!$AM$7:$AM$10</definedName>
    <definedName name="AssetReplacement_CurrentYear_yr1_10">'NARM5 – ED2 actuals'!$AM$295:$AM$298</definedName>
    <definedName name="AssetReplacement_CurrentYear_yr1_11">'NARM5 – ED2 actuals'!$AM$327:$AM$330</definedName>
    <definedName name="AssetReplacement_CurrentYear_yr1_12">'NARM5 – ED2 actuals'!$AM$359:$AM$362</definedName>
    <definedName name="AssetReplacement_CurrentYear_yr1_13">'NARM5 – ED2 actuals'!$AM$391:$AM$394</definedName>
    <definedName name="AssetReplacement_CurrentYear_yr1_14">'NARM5 – ED2 actuals'!$AM$423:$AM$426</definedName>
    <definedName name="AssetReplacement_CurrentYear_yr1_15">'NARM5 – ED2 actuals'!$AM$455:$AM$458</definedName>
    <definedName name="AssetReplacement_CurrentYear_yr1_16">'NARM5 – ED2 actuals'!$AM$487:$AM$490</definedName>
    <definedName name="AssetReplacement_CurrentYear_yr1_17">'NARM5 – ED2 actuals'!$AM$519:$AM$522</definedName>
    <definedName name="AssetReplacement_CurrentYear_yr1_18">'NARM5 – ED2 actuals'!$AM$551:$AM$554</definedName>
    <definedName name="AssetReplacement_CurrentYear_yr1_19">'NARM5 – ED2 actuals'!$AM$583:$AM$586</definedName>
    <definedName name="AssetReplacement_CurrentYear_yr1_2">'NARM5 – ED2 actuals'!$AM$39:$AM$42</definedName>
    <definedName name="AssetReplacement_CurrentYear_yr1_20">'NARM5 – ED2 actuals'!$AM$615:$AM$618</definedName>
    <definedName name="AssetReplacement_CurrentYear_yr1_21">'NARM5 – ED2 actuals'!$AM$647:$AM$650</definedName>
    <definedName name="AssetReplacement_CurrentYear_yr1_22">'NARM5 – ED2 actuals'!$AM$679:$AM$682</definedName>
    <definedName name="AssetReplacement_CurrentYear_yr1_23">'NARM5 – ED2 actuals'!$AM$711:$AM$714</definedName>
    <definedName name="AssetReplacement_CurrentYear_yr1_24">'NARM5 – ED2 actuals'!$AM$743:$AM$746</definedName>
    <definedName name="AssetReplacement_CurrentYear_yr1_25">'NARM5 – ED2 actuals'!$AM$775:$AM$778</definedName>
    <definedName name="AssetReplacement_CurrentYear_yr1_26">'NARM5 – ED2 actuals'!$AM$807:$AM$810</definedName>
    <definedName name="AssetReplacement_CurrentYear_yr1_27">'NARM5 – ED2 actuals'!$AM$839:$AM$842</definedName>
    <definedName name="AssetReplacement_CurrentYear_yr1_28">'NARM5 – ED2 actuals'!$AM$871:$AM$874</definedName>
    <definedName name="AssetReplacement_CurrentYear_yr1_29">'NARM5 – ED2 actuals'!$AM$903:$AM$906</definedName>
    <definedName name="AssetReplacement_CurrentYear_yr1_3">'NARM5 – ED2 actuals'!$AM$71:$AM$74</definedName>
    <definedName name="AssetReplacement_CurrentYear_yr1_30">'NARM5 – ED2 actuals'!$AM$935:$AM$938</definedName>
    <definedName name="AssetReplacement_CurrentYear_yr1_31">'NARM5 – ED2 actuals'!$AM$967:$AM$970</definedName>
    <definedName name="AssetReplacement_CurrentYear_yr1_32">'NARM5 – ED2 actuals'!$AM$999:$AM$1002</definedName>
    <definedName name="AssetReplacement_CurrentYear_yr1_33">'NARM5 – ED2 actuals'!$AM$1031:$AM$1034</definedName>
    <definedName name="AssetReplacement_CurrentYear_yr1_34">'NARM5 – ED2 actuals'!$AM$1063:$AM$1066</definedName>
    <definedName name="AssetReplacement_CurrentYear_yr1_35">'NARM5 – ED2 actuals'!$AM$1095:$AM$1098</definedName>
    <definedName name="AssetReplacement_CurrentYear_yr1_36">'NARM5 – ED2 actuals'!$AM$1127:$AM$1130</definedName>
    <definedName name="AssetReplacement_CurrentYear_yr1_37">'NARM5 – ED2 actuals'!$AM$1159:$AM$1162</definedName>
    <definedName name="AssetReplacement_CurrentYear_yr1_38">'NARM5 – ED2 actuals'!$AM$1191:$AM$1194</definedName>
    <definedName name="AssetReplacement_CurrentYear_yr1_39">'NARM5 – ED2 actuals'!$AM$1223:$AM$1226</definedName>
    <definedName name="AssetReplacement_CurrentYear_yr1_4">'NARM5 – ED2 actuals'!$AM$103:$AM$106</definedName>
    <definedName name="AssetReplacement_CurrentYear_yr1_40">'NARM5 – ED2 actuals'!$AM$1255:$AM$1258</definedName>
    <definedName name="AssetReplacement_CurrentYear_yr1_41">'NARM5 – ED2 actuals'!$AM$1287:$AM$1290</definedName>
    <definedName name="AssetReplacement_CurrentYear_yr1_42">'NARM5 – ED2 actuals'!$AM$1319:$AM$1322</definedName>
    <definedName name="AssetReplacement_CurrentYear_yr1_43">'NARM5 – ED2 actuals'!$AM$1351:$AM$1354</definedName>
    <definedName name="AssetReplacement_CurrentYear_yr1_44">'NARM5 – ED2 actuals'!$AM$1383:$AM$1386</definedName>
    <definedName name="AssetReplacement_CurrentYear_yr1_45">'NARM5 – ED2 actuals'!$AM$1415:$AM$1418</definedName>
    <definedName name="AssetReplacement_CurrentYear_yr1_46">'NARM5 – ED2 actuals'!$AM$1447:$AM$1450</definedName>
    <definedName name="AssetReplacement_CurrentYear_yr1_47">'NARM5 – ED2 actuals'!$AM$1479:$AM$1482</definedName>
    <definedName name="AssetReplacement_CurrentYear_yr1_48">'NARM5 – ED2 actuals'!$AM$1511:$AM$1514</definedName>
    <definedName name="AssetReplacement_CurrentYear_yr1_49">'NARM5 – ED2 actuals'!$AM$1543:$AM$1546</definedName>
    <definedName name="AssetReplacement_CurrentYear_yr1_5">'NARM5 – ED2 actuals'!$AM$135:$AM$138</definedName>
    <definedName name="AssetReplacement_CurrentYear_yr1_50">'NARM5 – ED2 actuals'!$AM$1575:$AM$1578</definedName>
    <definedName name="AssetReplacement_CurrentYear_yr1_51">'NARM5 – ED2 actuals'!$AM$1607:$AM$1610</definedName>
    <definedName name="AssetReplacement_CurrentYear_yr1_52">'NARM5 – ED2 actuals'!$AM$1639:$AM$1642</definedName>
    <definedName name="AssetReplacement_CurrentYear_yr1_53">'NARM5 – ED2 actuals'!$AM$1671:$AM$1674</definedName>
    <definedName name="AssetReplacement_CurrentYear_yr1_54">'NARM5 – ED2 actuals'!$AM$1703:$AM$1706</definedName>
    <definedName name="AssetReplacement_CurrentYear_yr1_55">'NARM5 – ED2 actuals'!$AM$1735:$AM$1738</definedName>
    <definedName name="AssetReplacement_CurrentYear_yr1_56">'NARM5 – ED2 actuals'!$AM$1767:$AM$1770</definedName>
    <definedName name="AssetReplacement_CurrentYear_yr1_57">'NARM5 – ED2 actuals'!$AM$1799:$AM$1802</definedName>
    <definedName name="AssetReplacement_CurrentYear_yr1_58">'NARM5 – ED2 actuals'!$AM$1831:$AM$1834</definedName>
    <definedName name="AssetReplacement_CurrentYear_yr1_59">'NARM5 – ED2 actuals'!$AM$1863:$AM$1866</definedName>
    <definedName name="AssetReplacement_CurrentYear_yr1_6">'NARM5 – ED2 actuals'!$AM$167:$AM$170</definedName>
    <definedName name="AssetReplacement_CurrentYear_yr1_60">'NARM5 – ED2 actuals'!$AM$1895:$AM$1898</definedName>
    <definedName name="AssetReplacement_CurrentYear_yr1_61">'NARM5 – ED2 actuals'!$AM$1927:$AM$1930</definedName>
    <definedName name="AssetReplacement_CurrentYear_yr1_7">'NARM5 – ED2 actuals'!$AM$199:$AM$202</definedName>
    <definedName name="AssetReplacement_CurrentYear_yr1_8">'NARM5 – ED2 actuals'!$AM$231:$AM$234</definedName>
    <definedName name="AssetReplacement_CurrentYear_yr1_9">'NARM5 – ED2 actuals'!$AM$263:$AM$266</definedName>
    <definedName name="AssetReplacement_CurrentYear_yr2_1">'NARM5 – ED2 actuals'!$AM$13:$AM$16</definedName>
    <definedName name="AssetReplacement_CurrentYear_yr2_10">'NARM5 – ED2 actuals'!$AM$301:$AM$304</definedName>
    <definedName name="AssetReplacement_CurrentYear_yr2_11">'NARM5 – ED2 actuals'!$AM$333:$AM$336</definedName>
    <definedName name="AssetReplacement_CurrentYear_yr2_12">'NARM5 – ED2 actuals'!$AM$365:$AM$368</definedName>
    <definedName name="AssetReplacement_CurrentYear_yr2_13">'NARM5 – ED2 actuals'!$AM$397:$AM$400</definedName>
    <definedName name="AssetReplacement_CurrentYear_yr2_14">'NARM5 – ED2 actuals'!$AM$429:$AM$432</definedName>
    <definedName name="AssetReplacement_CurrentYear_yr2_15">'NARM5 – ED2 actuals'!$AM$461:$AM$464</definedName>
    <definedName name="AssetReplacement_CurrentYear_yr2_16">'NARM5 – ED2 actuals'!$AM$493:$AM$496</definedName>
    <definedName name="AssetReplacement_CurrentYear_yr2_17">'NARM5 – ED2 actuals'!$AM$525:$AM$528</definedName>
    <definedName name="AssetReplacement_CurrentYear_yr2_18">'NARM5 – ED2 actuals'!$AM$557:$AM$560</definedName>
    <definedName name="AssetReplacement_CurrentYear_yr2_19">'NARM5 – ED2 actuals'!$AM$589:$AM$592</definedName>
    <definedName name="AssetReplacement_CurrentYear_yr2_2">'NARM5 – ED2 actuals'!$AM$45:$AM$48</definedName>
    <definedName name="AssetReplacement_CurrentYear_yr2_20">'NARM5 – ED2 actuals'!$AM$621:$AM$624</definedName>
    <definedName name="AssetReplacement_CurrentYear_yr2_21">'NARM5 – ED2 actuals'!$AM$653:$AM$656</definedName>
    <definedName name="AssetReplacement_CurrentYear_yr2_22">'NARM5 – ED2 actuals'!$AM$685:$AM$688</definedName>
    <definedName name="AssetReplacement_CurrentYear_yr2_23">'NARM5 – ED2 actuals'!$AM$717:$AM$720</definedName>
    <definedName name="AssetReplacement_CurrentYear_yr2_24">'NARM5 – ED2 actuals'!$AM$749:$AM$752</definedName>
    <definedName name="AssetReplacement_CurrentYear_yr2_25">'NARM5 – ED2 actuals'!$AM$781:$AM$784</definedName>
    <definedName name="AssetReplacement_CurrentYear_yr2_26">'NARM5 – ED2 actuals'!$AM$813:$AM$816</definedName>
    <definedName name="AssetReplacement_CurrentYear_yr2_27">'NARM5 – ED2 actuals'!$AM$845:$AM$848</definedName>
    <definedName name="AssetReplacement_CurrentYear_yr2_28">'NARM5 – ED2 actuals'!$AM$877:$AM$880</definedName>
    <definedName name="AssetReplacement_CurrentYear_yr2_29">'NARM5 – ED2 actuals'!$AM$909:$AM$912</definedName>
    <definedName name="AssetReplacement_CurrentYear_yr2_3">'NARM5 – ED2 actuals'!$AM$77:$AM$80</definedName>
    <definedName name="AssetReplacement_CurrentYear_yr2_30">'NARM5 – ED2 actuals'!$AM$941:$AM$944</definedName>
    <definedName name="AssetReplacement_CurrentYear_yr2_31">'NARM5 – ED2 actuals'!$AM$973:$AM$976</definedName>
    <definedName name="AssetReplacement_CurrentYear_yr2_32">'NARM5 – ED2 actuals'!$AM$1005:$AM$1008</definedName>
    <definedName name="AssetReplacement_CurrentYear_yr2_33">'NARM5 – ED2 actuals'!$AM$1037:$AM$1040</definedName>
    <definedName name="AssetReplacement_CurrentYear_yr2_34">'NARM5 – ED2 actuals'!$AM$1069:$AM$1072</definedName>
    <definedName name="AssetReplacement_CurrentYear_yr2_35">'NARM5 – ED2 actuals'!$AM$1101:$AM$1104</definedName>
    <definedName name="AssetReplacement_CurrentYear_yr2_36">'NARM5 – ED2 actuals'!$AM$1133:$AM$1136</definedName>
    <definedName name="AssetReplacement_CurrentYear_yr2_37">'NARM5 – ED2 actuals'!$AM$1165:$AM$1168</definedName>
    <definedName name="AssetReplacement_CurrentYear_yr2_38">'NARM5 – ED2 actuals'!$AM$1197:$AM$1200</definedName>
    <definedName name="AssetReplacement_CurrentYear_yr2_39">'NARM5 – ED2 actuals'!$AM$1229:$AM$1232</definedName>
    <definedName name="AssetReplacement_CurrentYear_yr2_4">'NARM5 – ED2 actuals'!$AM$109:$AM$112</definedName>
    <definedName name="AssetReplacement_CurrentYear_yr2_40">'NARM5 – ED2 actuals'!$AM$1261:$AM$1264</definedName>
    <definedName name="AssetReplacement_CurrentYear_yr2_41">'NARM5 – ED2 actuals'!$AM$1293:$AM$1296</definedName>
    <definedName name="AssetReplacement_CurrentYear_yr2_42">'NARM5 – ED2 actuals'!$AM$1325:$AM$1328</definedName>
    <definedName name="AssetReplacement_CurrentYear_yr2_43">'NARM5 – ED2 actuals'!$AM$1357:$AM$1360</definedName>
    <definedName name="AssetReplacement_CurrentYear_yr2_44">'NARM5 – ED2 actuals'!$AM$1389:$AM$1392</definedName>
    <definedName name="AssetReplacement_CurrentYear_yr2_45">'NARM5 – ED2 actuals'!$AM$1421:$AM$1424</definedName>
    <definedName name="AssetReplacement_CurrentYear_yr2_46">'NARM5 – ED2 actuals'!$AM$1453:$AM$1456</definedName>
    <definedName name="AssetReplacement_CurrentYear_yr2_47">'NARM5 – ED2 actuals'!$AM$1485:$AM$1488</definedName>
    <definedName name="AssetReplacement_CurrentYear_yr2_48">'NARM5 – ED2 actuals'!$AM$1517:$AM$1520</definedName>
    <definedName name="AssetReplacement_CurrentYear_yr2_49">'NARM5 – ED2 actuals'!$AM$1549:$AM$1552</definedName>
    <definedName name="AssetReplacement_CurrentYear_yr2_5">'NARM5 – ED2 actuals'!$AM$141:$AM$144</definedName>
    <definedName name="AssetReplacement_CurrentYear_yr2_50">'NARM5 – ED2 actuals'!$AM$1581:$AM$1584</definedName>
    <definedName name="AssetReplacement_CurrentYear_yr2_51">'NARM5 – ED2 actuals'!$AM$1613:$AM$1616</definedName>
    <definedName name="AssetReplacement_CurrentYear_yr2_52">'NARM5 – ED2 actuals'!$AM$1645:$AM$1648</definedName>
    <definedName name="AssetReplacement_CurrentYear_yr2_53">'NARM5 – ED2 actuals'!$AM$1677:$AM$1680</definedName>
    <definedName name="AssetReplacement_CurrentYear_yr2_54">'NARM5 – ED2 actuals'!$AM$1709:$AM$1712</definedName>
    <definedName name="AssetReplacement_CurrentYear_yr2_55">'NARM5 – ED2 actuals'!$AM$1741:$AM$1744</definedName>
    <definedName name="AssetReplacement_CurrentYear_yr2_56">'NARM5 – ED2 actuals'!$AM$1773:$AM$1776</definedName>
    <definedName name="AssetReplacement_CurrentYear_yr2_57">'NARM5 – ED2 actuals'!$AM$1805:$AM$1808</definedName>
    <definedName name="AssetReplacement_CurrentYear_yr2_58">'NARM5 – ED2 actuals'!$AM$1837:$AM$1840</definedName>
    <definedName name="AssetReplacement_CurrentYear_yr2_59">'NARM5 – ED2 actuals'!$AM$1869:$AM$1872</definedName>
    <definedName name="AssetReplacement_CurrentYear_yr2_6">'NARM5 – ED2 actuals'!$AM$173:$AM$176</definedName>
    <definedName name="AssetReplacement_CurrentYear_yr2_60">'NARM5 – ED2 actuals'!$AM$1901:$AM$1904</definedName>
    <definedName name="AssetReplacement_CurrentYear_yr2_61">'NARM5 – ED2 actuals'!$AM$1933:$AM$1936</definedName>
    <definedName name="AssetReplacement_CurrentYear_yr2_7">'NARM5 – ED2 actuals'!$AM$205:$AM$208</definedName>
    <definedName name="AssetReplacement_CurrentYear_yr2_8">'NARM5 – ED2 actuals'!$AM$237:$AM$240</definedName>
    <definedName name="AssetReplacement_CurrentYear_yr2_9">'NARM5 – ED2 actuals'!$AM$269:$AM$272</definedName>
    <definedName name="AssetReplacement_CurrentYear_yr3_1">'NARM5 – ED2 actuals'!$AM$19:$AM$22</definedName>
    <definedName name="AssetReplacement_CurrentYear_yr3_10">'NARM5 – ED2 actuals'!$AM$307:$AM$310</definedName>
    <definedName name="AssetReplacement_CurrentYear_yr3_11">'NARM5 – ED2 actuals'!$AM$339:$AM$342</definedName>
    <definedName name="AssetReplacement_CurrentYear_yr3_12">'NARM5 – ED2 actuals'!$AM$371:$AM$374</definedName>
    <definedName name="AssetReplacement_CurrentYear_yr3_13">'NARM5 – ED2 actuals'!$AM$403:$AM$406</definedName>
    <definedName name="AssetReplacement_CurrentYear_yr3_14">'NARM5 – ED2 actuals'!$AM$435:$AM$438</definedName>
    <definedName name="AssetReplacement_CurrentYear_yr3_15">'NARM5 – ED2 actuals'!$AM$467:$AM$470</definedName>
    <definedName name="AssetReplacement_CurrentYear_yr3_16">'NARM5 – ED2 actuals'!$AM$499:$AM$502</definedName>
    <definedName name="AssetReplacement_CurrentYear_yr3_17">'NARM5 – ED2 actuals'!$AM$531:$AM$534</definedName>
    <definedName name="AssetReplacement_CurrentYear_yr3_18">'NARM5 – ED2 actuals'!$AM$563:$AM$566</definedName>
    <definedName name="AssetReplacement_CurrentYear_yr3_19">'NARM5 – ED2 actuals'!$AM$595:$AM$598</definedName>
    <definedName name="AssetReplacement_CurrentYear_yr3_2">'NARM5 – ED2 actuals'!$AM$51:$AM$54</definedName>
    <definedName name="AssetReplacement_CurrentYear_yr3_20">'NARM5 – ED2 actuals'!$AM$627:$AM$630</definedName>
    <definedName name="AssetReplacement_CurrentYear_yr3_21">'NARM5 – ED2 actuals'!$AM$659:$AM$662</definedName>
    <definedName name="AssetReplacement_CurrentYear_yr3_22">'NARM5 – ED2 actuals'!$AM$691:$AM$694</definedName>
    <definedName name="AssetReplacement_CurrentYear_yr3_23">'NARM5 – ED2 actuals'!$AM$723:$AM$726</definedName>
    <definedName name="AssetReplacement_CurrentYear_yr3_24">'NARM5 – ED2 actuals'!$AM$755:$AM$758</definedName>
    <definedName name="AssetReplacement_CurrentYear_yr3_25">'NARM5 – ED2 actuals'!$AM$787:$AM$790</definedName>
    <definedName name="AssetReplacement_CurrentYear_yr3_26">'NARM5 – ED2 actuals'!$AM$819:$AM$822</definedName>
    <definedName name="AssetReplacement_CurrentYear_yr3_27">'NARM5 – ED2 actuals'!$AM$851:$AM$854</definedName>
    <definedName name="AssetReplacement_CurrentYear_yr3_28">'NARM5 – ED2 actuals'!$AM$883:$AM$886</definedName>
    <definedName name="AssetReplacement_CurrentYear_yr3_29">'NARM5 – ED2 actuals'!$AM$915:$AM$918</definedName>
    <definedName name="AssetReplacement_CurrentYear_yr3_3">'NARM5 – ED2 actuals'!$AM$83:$AM$86</definedName>
    <definedName name="AssetReplacement_CurrentYear_yr3_30">'NARM5 – ED2 actuals'!$AM$947:$AM$950</definedName>
    <definedName name="AssetReplacement_CurrentYear_yr3_31">'NARM5 – ED2 actuals'!$AM$979:$AM$982</definedName>
    <definedName name="AssetReplacement_CurrentYear_yr3_32">'NARM5 – ED2 actuals'!$AM$1011:$AM$1014</definedName>
    <definedName name="AssetReplacement_CurrentYear_yr3_33">'NARM5 – ED2 actuals'!$AM$1043:$AM$1046</definedName>
    <definedName name="AssetReplacement_CurrentYear_yr3_34">'NARM5 – ED2 actuals'!$AM$1075:$AM$1078</definedName>
    <definedName name="AssetReplacement_CurrentYear_yr3_35">'NARM5 – ED2 actuals'!$AM$1107:$AM$1110</definedName>
    <definedName name="AssetReplacement_CurrentYear_yr3_36">'NARM5 – ED2 actuals'!$AM$1139:$AM$1142</definedName>
    <definedName name="AssetReplacement_CurrentYear_yr3_37">'NARM5 – ED2 actuals'!$AM$1171:$AM$1174</definedName>
    <definedName name="AssetReplacement_CurrentYear_yr3_38">'NARM5 – ED2 actuals'!$AM$1203:$AM$1206</definedName>
    <definedName name="AssetReplacement_CurrentYear_yr3_39">'NARM5 – ED2 actuals'!$AM$1235:$AM$1238</definedName>
    <definedName name="AssetReplacement_CurrentYear_yr3_4">'NARM5 – ED2 actuals'!$AM$115:$AM$118</definedName>
    <definedName name="AssetReplacement_CurrentYear_yr3_40">'NARM5 – ED2 actuals'!$AM$1267:$AM$1270</definedName>
    <definedName name="AssetReplacement_CurrentYear_yr3_41">'NARM5 – ED2 actuals'!$AM$1299:$AM$1302</definedName>
    <definedName name="AssetReplacement_CurrentYear_yr3_42">'NARM5 – ED2 actuals'!$AM$1331:$AM$1334</definedName>
    <definedName name="AssetReplacement_CurrentYear_yr3_43">'NARM5 – ED2 actuals'!$AM$1363:$AM$1366</definedName>
    <definedName name="AssetReplacement_CurrentYear_yr3_44">'NARM5 – ED2 actuals'!$AM$1395:$AM$1398</definedName>
    <definedName name="AssetReplacement_CurrentYear_yr3_45">'NARM5 – ED2 actuals'!$AM$1427:$AM$1430</definedName>
    <definedName name="AssetReplacement_CurrentYear_yr3_46">'NARM5 – ED2 actuals'!$AM$1459:$AM$1462</definedName>
    <definedName name="AssetReplacement_CurrentYear_yr3_47">'NARM5 – ED2 actuals'!$AM$1491:$AM$1494</definedName>
    <definedName name="AssetReplacement_CurrentYear_yr3_48">'NARM5 – ED2 actuals'!$AM$1523:$AM$1526</definedName>
    <definedName name="AssetReplacement_CurrentYear_yr3_49">'NARM5 – ED2 actuals'!$AM$1555:$AM$1558</definedName>
    <definedName name="AssetReplacement_CurrentYear_yr3_5">'NARM5 – ED2 actuals'!$AM$147:$AM$150</definedName>
    <definedName name="AssetReplacement_CurrentYear_yr3_50">'NARM5 – ED2 actuals'!$AM$1587:$AM$1590</definedName>
    <definedName name="AssetReplacement_CurrentYear_yr3_51">'NARM5 – ED2 actuals'!$AM$1619:$AM$1622</definedName>
    <definedName name="AssetReplacement_CurrentYear_yr3_52">'NARM5 – ED2 actuals'!$AM$1651:$AM$1654</definedName>
    <definedName name="AssetReplacement_CurrentYear_yr3_53">'NARM5 – ED2 actuals'!$AM$1683:$AM$1686</definedName>
    <definedName name="AssetReplacement_CurrentYear_yr3_54">'NARM5 – ED2 actuals'!$AM$1715:$AM$1718</definedName>
    <definedName name="AssetReplacement_CurrentYear_yr3_55">'NARM5 – ED2 actuals'!$AM$1747:$AM$1750</definedName>
    <definedName name="AssetReplacement_CurrentYear_yr3_56">'NARM5 – ED2 actuals'!$AM$1779:$AM$1782</definedName>
    <definedName name="AssetReplacement_CurrentYear_yr3_57">'NARM5 – ED2 actuals'!$AM$1811:$AM$1814</definedName>
    <definedName name="AssetReplacement_CurrentYear_yr3_58">'NARM5 – ED2 actuals'!$AM$1843:$AM$1846</definedName>
    <definedName name="AssetReplacement_CurrentYear_yr3_59">'NARM5 – ED2 actuals'!$AM$1875:$AM$1878</definedName>
    <definedName name="AssetReplacement_CurrentYear_yr3_6">'NARM5 – ED2 actuals'!$AM$179:$AM$182</definedName>
    <definedName name="AssetReplacement_CurrentYear_yr3_60">'NARM5 – ED2 actuals'!$AM$1907:$AM$1910</definedName>
    <definedName name="AssetReplacement_CurrentYear_yr3_61">'NARM5 – ED2 actuals'!$AM$1939:$AM$1942</definedName>
    <definedName name="AssetReplacement_CurrentYear_yr3_7">'NARM5 – ED2 actuals'!$AM$211:$AM$214</definedName>
    <definedName name="AssetReplacement_CurrentYear_yr3_8">'NARM5 – ED2 actuals'!$AM$243:$AM$246</definedName>
    <definedName name="AssetReplacement_CurrentYear_yr3_9">'NARM5 – ED2 actuals'!$AM$275:$AM$278</definedName>
    <definedName name="AssetReplacement_CurrentYear_yr4_1">'NARM5 – ED2 actuals'!$AM$25:$AM$28</definedName>
    <definedName name="AssetReplacement_CurrentYear_yr4_10">'NARM5 – ED2 actuals'!$AM$313:$AM$316</definedName>
    <definedName name="AssetReplacement_CurrentYear_yr4_11">'NARM5 – ED2 actuals'!$AM$345:$AM$348</definedName>
    <definedName name="AssetReplacement_CurrentYear_yr4_12">'NARM5 – ED2 actuals'!$AM$377:$AM$380</definedName>
    <definedName name="AssetReplacement_CurrentYear_yr4_13">'NARM5 – ED2 actuals'!$AM$409:$AM$412</definedName>
    <definedName name="AssetReplacement_CurrentYear_yr4_14">'NARM5 – ED2 actuals'!$AM$441:$AM$444</definedName>
    <definedName name="AssetReplacement_CurrentYear_yr4_15">'NARM5 – ED2 actuals'!$AM$473:$AM$476</definedName>
    <definedName name="AssetReplacement_CurrentYear_yr4_16">'NARM5 – ED2 actuals'!$AM$505:$AM$508</definedName>
    <definedName name="AssetReplacement_CurrentYear_yr4_17">'NARM5 – ED2 actuals'!$AM$537:$AM$540</definedName>
    <definedName name="AssetReplacement_CurrentYear_yr4_18">'NARM5 – ED2 actuals'!$AM$569:$AM$572</definedName>
    <definedName name="AssetReplacement_CurrentYear_yr4_19">'NARM5 – ED2 actuals'!$AM$601:$AM$604</definedName>
    <definedName name="AssetReplacement_CurrentYear_yr4_2">'NARM5 – ED2 actuals'!$AM$57:$AM$60</definedName>
    <definedName name="AssetReplacement_CurrentYear_yr4_20">'NARM5 – ED2 actuals'!$AM$633:$AM$636</definedName>
    <definedName name="AssetReplacement_CurrentYear_yr4_21">'NARM5 – ED2 actuals'!$AM$665:$AM$668</definedName>
    <definedName name="AssetReplacement_CurrentYear_yr4_22">'NARM5 – ED2 actuals'!$AM$697:$AM$700</definedName>
    <definedName name="AssetReplacement_CurrentYear_yr4_23">'NARM5 – ED2 actuals'!$AM$729:$AM$732</definedName>
    <definedName name="AssetReplacement_CurrentYear_yr4_24">'NARM5 – ED2 actuals'!$AM$761:$AM$764</definedName>
    <definedName name="AssetReplacement_CurrentYear_yr4_25">'NARM5 – ED2 actuals'!$AM$793:$AM$796</definedName>
    <definedName name="AssetReplacement_CurrentYear_yr4_26">'NARM5 – ED2 actuals'!$AM$825:$AM$828</definedName>
    <definedName name="AssetReplacement_CurrentYear_yr4_27">'NARM5 – ED2 actuals'!$AM$857:$AM$860</definedName>
    <definedName name="AssetReplacement_CurrentYear_yr4_28">'NARM5 – ED2 actuals'!$AM$889:$AM$892</definedName>
    <definedName name="AssetReplacement_CurrentYear_yr4_29">'NARM5 – ED2 actuals'!$AM$921:$AM$924</definedName>
    <definedName name="AssetReplacement_CurrentYear_yr4_3">'NARM5 – ED2 actuals'!$AM$89:$AM$92</definedName>
    <definedName name="AssetReplacement_CurrentYear_yr4_30">'NARM5 – ED2 actuals'!$AM$953:$AM$956</definedName>
    <definedName name="AssetReplacement_CurrentYear_yr4_31">'NARM5 – ED2 actuals'!$AM$985:$AM$988</definedName>
    <definedName name="AssetReplacement_CurrentYear_yr4_32">'NARM5 – ED2 actuals'!$AM$1017:$AM$1020</definedName>
    <definedName name="AssetReplacement_CurrentYear_yr4_33">'NARM5 – ED2 actuals'!$AM$1049:$AM$1052</definedName>
    <definedName name="AssetReplacement_CurrentYear_yr4_34">'NARM5 – ED2 actuals'!$AM$1081:$AM$1084</definedName>
    <definedName name="AssetReplacement_CurrentYear_yr4_35">'NARM5 – ED2 actuals'!$AM$1113:$AM$1116</definedName>
    <definedName name="AssetReplacement_CurrentYear_yr4_36">'NARM5 – ED2 actuals'!$AM$1145:$AM$1148</definedName>
    <definedName name="AssetReplacement_CurrentYear_yr4_37">'NARM5 – ED2 actuals'!$AM$1177:$AM$1180</definedName>
    <definedName name="AssetReplacement_CurrentYear_yr4_38">'NARM5 – ED2 actuals'!$AM$1209:$AM$1212</definedName>
    <definedName name="AssetReplacement_CurrentYear_yr4_39">'NARM5 – ED2 actuals'!$AM$1241:$AM$1244</definedName>
    <definedName name="AssetReplacement_CurrentYear_yr4_4">'NARM5 – ED2 actuals'!$AM$121:$AM$124</definedName>
    <definedName name="AssetReplacement_CurrentYear_yr4_40">'NARM5 – ED2 actuals'!$AM$1273:$AM$1276</definedName>
    <definedName name="AssetReplacement_CurrentYear_yr4_41">'NARM5 – ED2 actuals'!$AM$1305:$AM$1308</definedName>
    <definedName name="AssetReplacement_CurrentYear_yr4_42">'NARM5 – ED2 actuals'!$AM$1337:$AM$1340</definedName>
    <definedName name="AssetReplacement_CurrentYear_yr4_43">'NARM5 – ED2 actuals'!$AM$1369:$AM$1372</definedName>
    <definedName name="AssetReplacement_CurrentYear_yr4_44">'NARM5 – ED2 actuals'!$AM$1401:$AM$1404</definedName>
    <definedName name="AssetReplacement_CurrentYear_yr4_45">'NARM5 – ED2 actuals'!$AM$1433:$AM$1436</definedName>
    <definedName name="AssetReplacement_CurrentYear_yr4_46">'NARM5 – ED2 actuals'!$AM$1465:$AM$1468</definedName>
    <definedName name="AssetReplacement_CurrentYear_yr4_47">'NARM5 – ED2 actuals'!$AM$1497:$AM$1500</definedName>
    <definedName name="AssetReplacement_CurrentYear_yr4_48">'NARM5 – ED2 actuals'!$AM$1529:$AM$1532</definedName>
    <definedName name="AssetReplacement_CurrentYear_yr4_49">'NARM5 – ED2 actuals'!$AM$1561:$AM$1564</definedName>
    <definedName name="AssetReplacement_CurrentYear_yr4_5">'NARM5 – ED2 actuals'!$AM$153:$AM$156</definedName>
    <definedName name="AssetReplacement_CurrentYear_yr4_50">'NARM5 – ED2 actuals'!$AM$1593:$AM$1596</definedName>
    <definedName name="AssetReplacement_CurrentYear_yr4_51">'NARM5 – ED2 actuals'!$AM$1625:$AM$1628</definedName>
    <definedName name="AssetReplacement_CurrentYear_yr4_52">'NARM5 – ED2 actuals'!$AM$1657:$AM$1660</definedName>
    <definedName name="AssetReplacement_CurrentYear_yr4_53">'NARM5 – ED2 actuals'!$AM$1689:$AM$1692</definedName>
    <definedName name="AssetReplacement_CurrentYear_yr4_54">'NARM5 – ED2 actuals'!$AM$1721:$AM$1724</definedName>
    <definedName name="AssetReplacement_CurrentYear_yr4_55">'NARM5 – ED2 actuals'!$AM$1753:$AM$1756</definedName>
    <definedName name="AssetReplacement_CurrentYear_yr4_56">'NARM5 – ED2 actuals'!$AM$1785:$AM$1788</definedName>
    <definedName name="AssetReplacement_CurrentYear_yr4_57">'NARM5 – ED2 actuals'!$AM$1817:$AM$1820</definedName>
    <definedName name="AssetReplacement_CurrentYear_yr4_58">'NARM5 – ED2 actuals'!$AM$1849:$AM$1852</definedName>
    <definedName name="AssetReplacement_CurrentYear_yr4_59">'NARM5 – ED2 actuals'!$AM$1881:$AM$1884</definedName>
    <definedName name="AssetReplacement_CurrentYear_yr4_6">'NARM5 – ED2 actuals'!$AM$185:$AM$188</definedName>
    <definedName name="AssetReplacement_CurrentYear_yr4_60">'NARM5 – ED2 actuals'!$AM$1913:$AM$1916</definedName>
    <definedName name="AssetReplacement_CurrentYear_yr4_61">'NARM5 – ED2 actuals'!$AM$1945:$AM$1948</definedName>
    <definedName name="AssetReplacement_CurrentYear_yr4_7">'NARM5 – ED2 actuals'!$AM$217:$AM$220</definedName>
    <definedName name="AssetReplacement_CurrentYear_yr4_8">'NARM5 – ED2 actuals'!$AM$249:$AM$252</definedName>
    <definedName name="AssetReplacement_CurrentYear_yr4_9">'NARM5 – ED2 actuals'!$AM$281:$AM$284</definedName>
    <definedName name="AssetReplacement_CurrentYear_yr5_1">'NARM5 – ED2 actuals'!$AM$31:$AM$34</definedName>
    <definedName name="AssetReplacement_CurrentYear_yr5_10">'NARM5 – ED2 actuals'!$AM$319:$AM$322</definedName>
    <definedName name="AssetReplacement_CurrentYear_yr5_11">'NARM5 – ED2 actuals'!$AM$351:$AM$354</definedName>
    <definedName name="AssetReplacement_CurrentYear_yr5_12">'NARM5 – ED2 actuals'!$AM$383:$AM$386</definedName>
    <definedName name="AssetReplacement_CurrentYear_yr5_13">'NARM5 – ED2 actuals'!$AM$415:$AM$418</definedName>
    <definedName name="AssetReplacement_CurrentYear_yr5_14">'NARM5 – ED2 actuals'!$AM$447:$AM$450</definedName>
    <definedName name="AssetReplacement_CurrentYear_yr5_15">'NARM5 – ED2 actuals'!$AM$479:$AM$482</definedName>
    <definedName name="AssetReplacement_CurrentYear_yr5_16">'NARM5 – ED2 actuals'!$AM$511:$AM$514</definedName>
    <definedName name="AssetReplacement_CurrentYear_yr5_17">'NARM5 – ED2 actuals'!$AM$543:$AM$546</definedName>
    <definedName name="AssetReplacement_CurrentYear_yr5_18">'NARM5 – ED2 actuals'!$AM$575:$AM$578</definedName>
    <definedName name="AssetReplacement_CurrentYear_yr5_19">'NARM5 – ED2 actuals'!$AM$607:$AM$610</definedName>
    <definedName name="AssetReplacement_CurrentYear_yr5_2">'NARM5 – ED2 actuals'!$AM$63:$AM$66</definedName>
    <definedName name="AssetReplacement_CurrentYear_yr5_20">'NARM5 – ED2 actuals'!$AM$639:$AM$642</definedName>
    <definedName name="AssetReplacement_CurrentYear_yr5_21">'NARM5 – ED2 actuals'!$AM$671:$AM$674</definedName>
    <definedName name="AssetReplacement_CurrentYear_yr5_22">'NARM5 – ED2 actuals'!$AM$703:$AM$706</definedName>
    <definedName name="AssetReplacement_CurrentYear_yr5_23">'NARM5 – ED2 actuals'!$AM$735:$AM$738</definedName>
    <definedName name="AssetReplacement_CurrentYear_yr5_24">'NARM5 – ED2 actuals'!$AM$767:$AM$770</definedName>
    <definedName name="AssetReplacement_CurrentYear_yr5_25">'NARM5 – ED2 actuals'!$AM$799:$AM$802</definedName>
    <definedName name="AssetReplacement_CurrentYear_yr5_26">'NARM5 – ED2 actuals'!$AM$831:$AM$834</definedName>
    <definedName name="AssetReplacement_CurrentYear_yr5_27">'NARM5 – ED2 actuals'!$AM$863:$AM$866</definedName>
    <definedName name="AssetReplacement_CurrentYear_yr5_28">'NARM5 – ED2 actuals'!$AM$895:$AM$898</definedName>
    <definedName name="AssetReplacement_CurrentYear_yr5_29">'NARM5 – ED2 actuals'!$AM$927:$AM$930</definedName>
    <definedName name="AssetReplacement_CurrentYear_yr5_3">'NARM5 – ED2 actuals'!$AM$95:$AM$98</definedName>
    <definedName name="AssetReplacement_CurrentYear_yr5_30">'NARM5 – ED2 actuals'!$AM$959:$AM$962</definedName>
    <definedName name="AssetReplacement_CurrentYear_yr5_31">'NARM5 – ED2 actuals'!$AM$991:$AM$994</definedName>
    <definedName name="AssetReplacement_CurrentYear_yr5_32">'NARM5 – ED2 actuals'!$AM$1023:$AM$1026</definedName>
    <definedName name="AssetReplacement_CurrentYear_yr5_33">'NARM5 – ED2 actuals'!$AM$1055:$AM$1058</definedName>
    <definedName name="AssetReplacement_CurrentYear_yr5_34">'NARM5 – ED2 actuals'!$AM$1087:$AM$1090</definedName>
    <definedName name="AssetReplacement_CurrentYear_yr5_35">'NARM5 – ED2 actuals'!$AM$1119:$AM$1122</definedName>
    <definedName name="AssetReplacement_CurrentYear_yr5_36">'NARM5 – ED2 actuals'!$AM$1151:$AM$1154</definedName>
    <definedName name="AssetReplacement_CurrentYear_yr5_37">'NARM5 – ED2 actuals'!$AM$1183:$AM$1186</definedName>
    <definedName name="AssetReplacement_CurrentYear_yr5_38">'NARM5 – ED2 actuals'!$AM$1215:$AM$1218</definedName>
    <definedName name="AssetReplacement_CurrentYear_yr5_39">'NARM5 – ED2 actuals'!$AM$1247:$AM$1250</definedName>
    <definedName name="AssetReplacement_CurrentYear_yr5_4">'NARM5 – ED2 actuals'!$AM$127:$AM$130</definedName>
    <definedName name="AssetReplacement_CurrentYear_yr5_40">'NARM5 – ED2 actuals'!$AM$1279:$AM$1282</definedName>
    <definedName name="AssetReplacement_CurrentYear_yr5_41">'NARM5 – ED2 actuals'!$AM$1311:$AM$1314</definedName>
    <definedName name="AssetReplacement_CurrentYear_yr5_42">'NARM5 – ED2 actuals'!$AM$1343:$AM$1346</definedName>
    <definedName name="AssetReplacement_CurrentYear_yr5_43">'NARM5 – ED2 actuals'!$AM$1375:$AM$1378</definedName>
    <definedName name="AssetReplacement_CurrentYear_yr5_44">'NARM5 – ED2 actuals'!$AM$1407:$AM$1410</definedName>
    <definedName name="AssetReplacement_CurrentYear_yr5_45">'NARM5 – ED2 actuals'!$AM$1439:$AM$1442</definedName>
    <definedName name="AssetReplacement_CurrentYear_yr5_46">'NARM5 – ED2 actuals'!$AM$1471:$AM$1474</definedName>
    <definedName name="AssetReplacement_CurrentYear_yr5_47">'NARM5 – ED2 actuals'!$AM$1503:$AM$1506</definedName>
    <definedName name="AssetReplacement_CurrentYear_yr5_48">'NARM5 – ED2 actuals'!$AM$1535:$AM$1538</definedName>
    <definedName name="AssetReplacement_CurrentYear_yr5_49">'NARM5 – ED2 actuals'!$AM$1567:$AM$1570</definedName>
    <definedName name="AssetReplacement_CurrentYear_yr5_5">'NARM5 – ED2 actuals'!$AM$159:$AM$162</definedName>
    <definedName name="AssetReplacement_CurrentYear_yr5_50">'NARM5 – ED2 actuals'!$AM$1599:$AM$1602</definedName>
    <definedName name="AssetReplacement_CurrentYear_yr5_51">'NARM5 – ED2 actuals'!$AM$1631:$AM$1634</definedName>
    <definedName name="AssetReplacement_CurrentYear_yr5_52">'NARM5 – ED2 actuals'!$AM$1663:$AM$1666</definedName>
    <definedName name="AssetReplacement_CurrentYear_yr5_53">'NARM5 – ED2 actuals'!$AM$1695:$AM$1698</definedName>
    <definedName name="AssetReplacement_CurrentYear_yr5_54">'NARM5 – ED2 actuals'!$AM$1727:$AM$1730</definedName>
    <definedName name="AssetReplacement_CurrentYear_yr5_55">'NARM5 – ED2 actuals'!$AM$1759:$AM$1762</definedName>
    <definedName name="AssetReplacement_CurrentYear_yr5_56">'NARM5 – ED2 actuals'!$AM$1791:$AM$1794</definedName>
    <definedName name="AssetReplacement_CurrentYear_yr5_57">'NARM5 – ED2 actuals'!$AM$1823:$AM$1826</definedName>
    <definedName name="AssetReplacement_CurrentYear_yr5_58">'NARM5 – ED2 actuals'!$AM$1855:$AM$1858</definedName>
    <definedName name="AssetReplacement_CurrentYear_yr5_59">'NARM5 – ED2 actuals'!$AM$1887:$AM$1890</definedName>
    <definedName name="AssetReplacement_CurrentYear_yr5_6">'NARM5 – ED2 actuals'!$AM$191:$AM$194</definedName>
    <definedName name="AssetReplacement_CurrentYear_yr5_60">'NARM5 – ED2 actuals'!$AM$1919:$AM$1922</definedName>
    <definedName name="AssetReplacement_CurrentYear_yr5_61">'NARM5 – ED2 actuals'!$AM$1951:$AM$1954</definedName>
    <definedName name="AssetReplacement_CurrentYear_yr5_7">'NARM5 – ED2 actuals'!$AM$223:$AM$226</definedName>
    <definedName name="AssetReplacement_CurrentYear_yr5_8">'NARM5 – ED2 actuals'!$AM$255:$AM$258</definedName>
    <definedName name="AssetReplacement_CurrentYear_yr5_9">'NARM5 – ED2 actuals'!$AM$287:$AM$290</definedName>
    <definedName name="AssetReplacement_FutureYear_yr1_1">'NARM5 – ED2 actuals'!$CQ$7:$CQ$10</definedName>
    <definedName name="AssetReplacement_FutureYear_yr1_10">'NARM5 – ED2 actuals'!$CQ$295:$CQ$298</definedName>
    <definedName name="AssetReplacement_FutureYear_yr1_11">'NARM5 – ED2 actuals'!$CQ$327:$CQ$330</definedName>
    <definedName name="AssetReplacement_FutureYear_yr1_12">'NARM5 – ED2 actuals'!$CQ$359:$CQ$362</definedName>
    <definedName name="AssetReplacement_FutureYear_yr1_13">'NARM5 – ED2 actuals'!$CQ$391:$CQ$394</definedName>
    <definedName name="AssetReplacement_FutureYear_yr1_14">'NARM5 – ED2 actuals'!$CQ$423:$CQ$426</definedName>
    <definedName name="AssetReplacement_FutureYear_yr1_15">'NARM5 – ED2 actuals'!$CQ$455:$CQ$458</definedName>
    <definedName name="AssetReplacement_FutureYear_yr1_16">'NARM5 – ED2 actuals'!$CQ$487:$CQ$490</definedName>
    <definedName name="AssetReplacement_FutureYear_yr1_17">'NARM5 – ED2 actuals'!$CQ$519:$CQ$522</definedName>
    <definedName name="AssetReplacement_FutureYear_yr1_18">'NARM5 – ED2 actuals'!$CQ$551:$CQ$554</definedName>
    <definedName name="AssetReplacement_FutureYear_yr1_19">'NARM5 – ED2 actuals'!$CQ$583:$CQ$586</definedName>
    <definedName name="AssetReplacement_FutureYear_yr1_2">'NARM5 – ED2 actuals'!$CQ$39:$CQ$42</definedName>
    <definedName name="AssetReplacement_FutureYear_yr1_20">'NARM5 – ED2 actuals'!$CQ$615:$CQ$618</definedName>
    <definedName name="AssetReplacement_FutureYear_yr1_21">'NARM5 – ED2 actuals'!$CQ$647:$CQ$650</definedName>
    <definedName name="AssetReplacement_FutureYear_yr1_22">'NARM5 – ED2 actuals'!$CQ$679:$CQ$682</definedName>
    <definedName name="AssetReplacement_FutureYear_yr1_23">'NARM5 – ED2 actuals'!$CQ$711:$CQ$714</definedName>
    <definedName name="AssetReplacement_FutureYear_yr1_24">'NARM5 – ED2 actuals'!$CQ$743:$CQ$746</definedName>
    <definedName name="AssetReplacement_FutureYear_yr1_25">'NARM5 – ED2 actuals'!$CQ$775:$CQ$778</definedName>
    <definedName name="AssetReplacement_FutureYear_yr1_26">'NARM5 – ED2 actuals'!$CQ$807:$CQ$810</definedName>
    <definedName name="AssetReplacement_FutureYear_yr1_27">'NARM5 – ED2 actuals'!$CQ$839:$CQ$842</definedName>
    <definedName name="AssetReplacement_FutureYear_yr1_28">'NARM5 – ED2 actuals'!$CQ$871:$CQ$874</definedName>
    <definedName name="AssetReplacement_FutureYear_yr1_29">'NARM5 – ED2 actuals'!$CQ$903:$CQ$906</definedName>
    <definedName name="AssetReplacement_FutureYear_yr1_3">'NARM5 – ED2 actuals'!$CQ$71:$CQ$74</definedName>
    <definedName name="AssetReplacement_FutureYear_yr1_30">'NARM5 – ED2 actuals'!$CQ$935:$CQ$938</definedName>
    <definedName name="AssetReplacement_FutureYear_yr1_31">'NARM5 – ED2 actuals'!$CQ$967:$CQ$970</definedName>
    <definedName name="AssetReplacement_FutureYear_yr1_32">'NARM5 – ED2 actuals'!$CQ$999:$CQ$1002</definedName>
    <definedName name="AssetReplacement_FutureYear_yr1_33">'NARM5 – ED2 actuals'!$CQ$1031:$CQ$1034</definedName>
    <definedName name="AssetReplacement_FutureYear_yr1_34">'NARM5 – ED2 actuals'!$CQ$1063:$CQ$1066</definedName>
    <definedName name="AssetReplacement_FutureYear_yr1_35">'NARM5 – ED2 actuals'!$CQ$1095:$CQ$1098</definedName>
    <definedName name="AssetReplacement_FutureYear_yr1_36">'NARM5 – ED2 actuals'!$CQ$1127:$CQ$1130</definedName>
    <definedName name="AssetReplacement_FutureYear_yr1_37">'NARM5 – ED2 actuals'!$CQ$1159:$CQ$1162</definedName>
    <definedName name="AssetReplacement_FutureYear_yr1_38">'NARM5 – ED2 actuals'!$CQ$1191:$CQ$1194</definedName>
    <definedName name="AssetReplacement_FutureYear_yr1_39">'NARM5 – ED2 actuals'!$CQ$1223:$CQ$1226</definedName>
    <definedName name="AssetReplacement_FutureYear_yr1_4">'NARM5 – ED2 actuals'!$CQ$103:$CQ$106</definedName>
    <definedName name="AssetReplacement_FutureYear_yr1_40">'NARM5 – ED2 actuals'!$CQ$1255:$CQ$1258</definedName>
    <definedName name="AssetReplacement_FutureYear_yr1_41">'NARM5 – ED2 actuals'!$CQ$1287:$CQ$1290</definedName>
    <definedName name="AssetReplacement_FutureYear_yr1_42">'NARM5 – ED2 actuals'!$CQ$1319:$CQ$1322</definedName>
    <definedName name="AssetReplacement_FutureYear_yr1_43">'NARM5 – ED2 actuals'!$CQ$1351:$CQ$1354</definedName>
    <definedName name="AssetReplacement_FutureYear_yr1_44">'NARM5 – ED2 actuals'!$CQ$1383:$CQ$1386</definedName>
    <definedName name="AssetReplacement_FutureYear_yr1_45">'NARM5 – ED2 actuals'!$CQ$1415:$CQ$1418</definedName>
    <definedName name="AssetReplacement_FutureYear_yr1_46">'NARM5 – ED2 actuals'!$CQ$1447:$CQ$1450</definedName>
    <definedName name="AssetReplacement_FutureYear_yr1_47">'NARM5 – ED2 actuals'!$CQ$1479:$CQ$1482</definedName>
    <definedName name="AssetReplacement_FutureYear_yr1_48">'NARM5 – ED2 actuals'!$CQ$1511:$CQ$1514</definedName>
    <definedName name="AssetReplacement_FutureYear_yr1_49">'NARM5 – ED2 actuals'!$CQ$1543:$CQ$1546</definedName>
    <definedName name="AssetReplacement_FutureYear_yr1_5">'NARM5 – ED2 actuals'!$CQ$135:$CQ$138</definedName>
    <definedName name="AssetReplacement_FutureYear_yr1_50">'NARM5 – ED2 actuals'!$CQ$1575:$CQ$1578</definedName>
    <definedName name="AssetReplacement_FutureYear_yr1_51">'NARM5 – ED2 actuals'!$CQ$1607:$CQ$1610</definedName>
    <definedName name="AssetReplacement_FutureYear_yr1_52">'NARM5 – ED2 actuals'!$CQ$1639:$CQ$1642</definedName>
    <definedName name="AssetReplacement_FutureYear_yr1_53">'NARM5 – ED2 actuals'!$CQ$1671:$CQ$1674</definedName>
    <definedName name="AssetReplacement_FutureYear_yr1_54">'NARM5 – ED2 actuals'!$CQ$1703:$CQ$1706</definedName>
    <definedName name="AssetReplacement_FutureYear_yr1_55">'NARM5 – ED2 actuals'!$CQ$1735:$CQ$1738</definedName>
    <definedName name="AssetReplacement_FutureYear_yr1_56">'NARM5 – ED2 actuals'!$CQ$1767:$CQ$1770</definedName>
    <definedName name="AssetReplacement_FutureYear_yr1_57">'NARM5 – ED2 actuals'!$CQ$1799:$CQ$1802</definedName>
    <definedName name="AssetReplacement_FutureYear_yr1_58">'NARM5 – ED2 actuals'!$CQ$1831:$CQ$1834</definedName>
    <definedName name="AssetReplacement_FutureYear_yr1_59">'NARM5 – ED2 actuals'!$CQ$1863:$CQ$1866</definedName>
    <definedName name="AssetReplacement_FutureYear_yr1_6">'NARM5 – ED2 actuals'!$CQ$167:$CQ$170</definedName>
    <definedName name="AssetReplacement_FutureYear_yr1_60">'NARM5 – ED2 actuals'!$CQ$1895:$CQ$1898</definedName>
    <definedName name="AssetReplacement_FutureYear_yr1_61">'NARM5 – ED2 actuals'!$CQ$1927:$CQ$1930</definedName>
    <definedName name="AssetReplacement_FutureYear_yr1_7">'NARM5 – ED2 actuals'!$CQ$199:$CQ$202</definedName>
    <definedName name="AssetReplacement_FutureYear_yr1_8">'NARM5 – ED2 actuals'!$CQ$231:$CQ$234</definedName>
    <definedName name="AssetReplacement_FutureYear_yr1_9">'NARM5 – ED2 actuals'!$CQ$263:$CQ$266</definedName>
    <definedName name="AssetReplacement_FutureYear_yr2_1">'NARM5 – ED2 actuals'!$CQ$13:$CQ$16</definedName>
    <definedName name="AssetReplacement_FutureYear_yr2_10">'NARM5 – ED2 actuals'!$CQ$301:$CQ$304</definedName>
    <definedName name="AssetReplacement_FutureYear_yr2_11">'NARM5 – ED2 actuals'!$CQ$333:$CQ$336</definedName>
    <definedName name="AssetReplacement_FutureYear_yr2_12">'NARM5 – ED2 actuals'!$CQ$365:$CQ$368</definedName>
    <definedName name="AssetReplacement_FutureYear_yr2_13">'NARM5 – ED2 actuals'!$CQ$397:$CQ$400</definedName>
    <definedName name="AssetReplacement_FutureYear_yr2_14">'NARM5 – ED2 actuals'!$CQ$429:$CQ$432</definedName>
    <definedName name="AssetReplacement_FutureYear_yr2_15">'NARM5 – ED2 actuals'!$CQ$461:$CQ$464</definedName>
    <definedName name="AssetReplacement_FutureYear_yr2_16">'NARM5 – ED2 actuals'!$CQ$493:$CQ$496</definedName>
    <definedName name="AssetReplacement_FutureYear_yr2_17">'NARM5 – ED2 actuals'!$CQ$525:$CQ$528</definedName>
    <definedName name="AssetReplacement_FutureYear_yr2_18">'NARM5 – ED2 actuals'!$CQ$557:$CQ$560</definedName>
    <definedName name="AssetReplacement_FutureYear_yr2_19">'NARM5 – ED2 actuals'!$CQ$589:$CQ$592</definedName>
    <definedName name="AssetReplacement_FutureYear_yr2_2">'NARM5 – ED2 actuals'!$CQ$45:$CQ$48</definedName>
    <definedName name="AssetReplacement_FutureYear_yr2_20">'NARM5 – ED2 actuals'!$CQ$621:$CQ$624</definedName>
    <definedName name="AssetReplacement_FutureYear_yr2_21">'NARM5 – ED2 actuals'!$CQ$653:$CQ$656</definedName>
    <definedName name="AssetReplacement_FutureYear_yr2_22">'NARM5 – ED2 actuals'!$CQ$685:$CQ$688</definedName>
    <definedName name="AssetReplacement_FutureYear_yr2_23">'NARM5 – ED2 actuals'!$CQ$717:$CQ$720</definedName>
    <definedName name="AssetReplacement_FutureYear_yr2_24">'NARM5 – ED2 actuals'!$CQ$749:$CQ$752</definedName>
    <definedName name="AssetReplacement_FutureYear_yr2_25">'NARM5 – ED2 actuals'!$CQ$781:$CQ$784</definedName>
    <definedName name="AssetReplacement_FutureYear_yr2_26">'NARM5 – ED2 actuals'!$CQ$813:$CQ$816</definedName>
    <definedName name="AssetReplacement_FutureYear_yr2_27">'NARM5 – ED2 actuals'!$CQ$845:$CQ$848</definedName>
    <definedName name="AssetReplacement_FutureYear_yr2_28">'NARM5 – ED2 actuals'!$CQ$877:$CQ$880</definedName>
    <definedName name="AssetReplacement_FutureYear_yr2_29">'NARM5 – ED2 actuals'!$CQ$909:$CQ$912</definedName>
    <definedName name="AssetReplacement_FutureYear_yr2_3">'NARM5 – ED2 actuals'!$CQ$77:$CQ$80</definedName>
    <definedName name="AssetReplacement_FutureYear_yr2_30">'NARM5 – ED2 actuals'!$CQ$941:$CQ$944</definedName>
    <definedName name="AssetReplacement_FutureYear_yr2_31">'NARM5 – ED2 actuals'!$CQ$973:$CQ$976</definedName>
    <definedName name="AssetReplacement_FutureYear_yr2_32">'NARM5 – ED2 actuals'!$CQ$1005:$CQ$1008</definedName>
    <definedName name="AssetReplacement_FutureYear_yr2_33">'NARM5 – ED2 actuals'!$CQ$1037:$CQ$1040</definedName>
    <definedName name="AssetReplacement_FutureYear_yr2_34">'NARM5 – ED2 actuals'!$CQ$1069:$CQ$1072</definedName>
    <definedName name="AssetReplacement_FutureYear_yr2_35">'NARM5 – ED2 actuals'!$CQ$1101:$CQ$1104</definedName>
    <definedName name="AssetReplacement_FutureYear_yr2_36">'NARM5 – ED2 actuals'!$CQ$1133:$CQ$1136</definedName>
    <definedName name="AssetReplacement_FutureYear_yr2_37">'NARM5 – ED2 actuals'!$CQ$1165:$CQ$1168</definedName>
    <definedName name="AssetReplacement_FutureYear_yr2_38">'NARM5 – ED2 actuals'!$CQ$1197:$CQ$1200</definedName>
    <definedName name="AssetReplacement_FutureYear_yr2_39">'NARM5 – ED2 actuals'!$CQ$1229:$CQ$1232</definedName>
    <definedName name="AssetReplacement_FutureYear_yr2_4">'NARM5 – ED2 actuals'!$CQ$109:$CQ$112</definedName>
    <definedName name="AssetReplacement_FutureYear_yr2_40">'NARM5 – ED2 actuals'!$CQ$1261:$CQ$1264</definedName>
    <definedName name="AssetReplacement_FutureYear_yr2_41">'NARM5 – ED2 actuals'!$CQ$1293:$CQ$1296</definedName>
    <definedName name="AssetReplacement_FutureYear_yr2_42">'NARM5 – ED2 actuals'!$CQ$1325:$CQ$1328</definedName>
    <definedName name="AssetReplacement_FutureYear_yr2_43">'NARM5 – ED2 actuals'!$CQ$1357:$CQ$1360</definedName>
    <definedName name="AssetReplacement_FutureYear_yr2_44">'NARM5 – ED2 actuals'!$CQ$1389:$CQ$1392</definedName>
    <definedName name="AssetReplacement_FutureYear_yr2_45">'NARM5 – ED2 actuals'!$CQ$1421:$CQ$1424</definedName>
    <definedName name="AssetReplacement_FutureYear_yr2_46">'NARM5 – ED2 actuals'!$CQ$1453:$CQ$1456</definedName>
    <definedName name="AssetReplacement_FutureYear_yr2_47">'NARM5 – ED2 actuals'!$CQ$1485:$CQ$1488</definedName>
    <definedName name="AssetReplacement_FutureYear_yr2_48">'NARM5 – ED2 actuals'!$CQ$1517:$CQ$1520</definedName>
    <definedName name="AssetReplacement_FutureYear_yr2_49">'NARM5 – ED2 actuals'!$CQ$1549:$CQ$1552</definedName>
    <definedName name="AssetReplacement_FutureYear_yr2_5">'NARM5 – ED2 actuals'!$CQ$141:$CQ$144</definedName>
    <definedName name="AssetReplacement_FutureYear_yr2_50">'NARM5 – ED2 actuals'!$CQ$1581:$CQ$1584</definedName>
    <definedName name="AssetReplacement_FutureYear_yr2_51">'NARM5 – ED2 actuals'!$CQ$1613:$CQ$1616</definedName>
    <definedName name="AssetReplacement_FutureYear_yr2_52">'NARM5 – ED2 actuals'!$CQ$1645:$CQ$1648</definedName>
    <definedName name="AssetReplacement_FutureYear_yr2_53">'NARM5 – ED2 actuals'!$CQ$1677:$CQ$1680</definedName>
    <definedName name="AssetReplacement_FutureYear_yr2_54">'NARM5 – ED2 actuals'!$CQ$1709:$CQ$1712</definedName>
    <definedName name="AssetReplacement_FutureYear_yr2_55">'NARM5 – ED2 actuals'!$CQ$1741:$CQ$1744</definedName>
    <definedName name="AssetReplacement_FutureYear_yr2_56">'NARM5 – ED2 actuals'!$CQ$1773:$CQ$1776</definedName>
    <definedName name="AssetReplacement_FutureYear_yr2_57">'NARM5 – ED2 actuals'!$CQ$1805:$CQ$1808</definedName>
    <definedName name="AssetReplacement_FutureYear_yr2_58">'NARM5 – ED2 actuals'!$CQ$1837:$CQ$1840</definedName>
    <definedName name="AssetReplacement_FutureYear_yr2_59">'NARM5 – ED2 actuals'!$CQ$1869:$CQ$1872</definedName>
    <definedName name="AssetReplacement_FutureYear_yr2_6">'NARM5 – ED2 actuals'!$CQ$173:$CQ$176</definedName>
    <definedName name="AssetReplacement_FutureYear_yr2_60">'NARM5 – ED2 actuals'!$CQ$1901:$CQ$1904</definedName>
    <definedName name="AssetReplacement_FutureYear_yr2_61">'NARM5 – ED2 actuals'!$CQ$1933:$CQ$1936</definedName>
    <definedName name="AssetReplacement_FutureYear_yr2_7">'NARM5 – ED2 actuals'!$CQ$205:$CQ$208</definedName>
    <definedName name="AssetReplacement_FutureYear_yr2_8">'NARM5 – ED2 actuals'!$CQ$237:$CQ$240</definedName>
    <definedName name="AssetReplacement_FutureYear_yr2_9">'NARM5 – ED2 actuals'!$CQ$269:$CQ$272</definedName>
    <definedName name="AssetReplacement_FutureYear_yr3_1">'NARM5 – ED2 actuals'!$CQ$19:$CQ$22</definedName>
    <definedName name="AssetReplacement_FutureYear_yr3_10">'NARM5 – ED2 actuals'!$CQ$307:$CQ$310</definedName>
    <definedName name="AssetReplacement_FutureYear_yr3_11">'NARM5 – ED2 actuals'!$CQ$339:$CQ$342</definedName>
    <definedName name="AssetReplacement_FutureYear_yr3_12">'NARM5 – ED2 actuals'!$CQ$371:$CQ$374</definedName>
    <definedName name="AssetReplacement_FutureYear_yr3_13">'NARM5 – ED2 actuals'!$CQ$403:$CQ$406</definedName>
    <definedName name="AssetReplacement_FutureYear_yr3_14">'NARM5 – ED2 actuals'!$CQ$435:$CQ$438</definedName>
    <definedName name="AssetReplacement_FutureYear_yr3_15">'NARM5 – ED2 actuals'!$CQ$467:$CQ$470</definedName>
    <definedName name="AssetReplacement_FutureYear_yr3_16">'NARM5 – ED2 actuals'!$CQ$499:$CQ$502</definedName>
    <definedName name="AssetReplacement_FutureYear_yr3_17">'NARM5 – ED2 actuals'!$CQ$531:$CQ$534</definedName>
    <definedName name="AssetReplacement_FutureYear_yr3_18">'NARM5 – ED2 actuals'!$CQ$563:$CQ$566</definedName>
    <definedName name="AssetReplacement_FutureYear_yr3_19">'NARM5 – ED2 actuals'!$CQ$595:$CQ$598</definedName>
    <definedName name="AssetReplacement_FutureYear_yr3_2">'NARM5 – ED2 actuals'!$CQ$51:$CQ$54</definedName>
    <definedName name="AssetReplacement_FutureYear_yr3_20">'NARM5 – ED2 actuals'!$CQ$627:$CQ$630</definedName>
    <definedName name="AssetReplacement_FutureYear_yr3_21">'NARM5 – ED2 actuals'!$CQ$659:$CQ$662</definedName>
    <definedName name="AssetReplacement_FutureYear_yr3_22">'NARM5 – ED2 actuals'!$CQ$691:$CQ$694</definedName>
    <definedName name="AssetReplacement_FutureYear_yr3_23">'NARM5 – ED2 actuals'!$CQ$723:$CQ$726</definedName>
    <definedName name="AssetReplacement_FutureYear_yr3_24">'NARM5 – ED2 actuals'!$CQ$755:$CQ$758</definedName>
    <definedName name="AssetReplacement_FutureYear_yr3_25">'NARM5 – ED2 actuals'!$CQ$787:$CQ$790</definedName>
    <definedName name="AssetReplacement_FutureYear_yr3_26">'NARM5 – ED2 actuals'!$CQ$819:$CQ$822</definedName>
    <definedName name="AssetReplacement_FutureYear_yr3_27">'NARM5 – ED2 actuals'!$CQ$851:$CQ$854</definedName>
    <definedName name="AssetReplacement_FutureYear_yr3_28">'NARM5 – ED2 actuals'!$CQ$883:$CQ$886</definedName>
    <definedName name="AssetReplacement_FutureYear_yr3_29">'NARM5 – ED2 actuals'!$CQ$915:$CQ$918</definedName>
    <definedName name="AssetReplacement_FutureYear_yr3_3">'NARM5 – ED2 actuals'!$CQ$83:$CQ$86</definedName>
    <definedName name="AssetReplacement_FutureYear_yr3_30">'NARM5 – ED2 actuals'!$CQ$947:$CQ$950</definedName>
    <definedName name="AssetReplacement_FutureYear_yr3_31">'NARM5 – ED2 actuals'!$CQ$979:$CQ$982</definedName>
    <definedName name="AssetReplacement_FutureYear_yr3_32">'NARM5 – ED2 actuals'!$CQ$1011:$CQ$1014</definedName>
    <definedName name="AssetReplacement_FutureYear_yr3_33">'NARM5 – ED2 actuals'!$CQ$1043:$CQ$1046</definedName>
    <definedName name="AssetReplacement_FutureYear_yr3_34">'NARM5 – ED2 actuals'!$CQ$1075:$CQ$1078</definedName>
    <definedName name="AssetReplacement_FutureYear_yr3_35">'NARM5 – ED2 actuals'!$CQ$1107:$CQ$1110</definedName>
    <definedName name="AssetReplacement_FutureYear_yr3_36">'NARM5 – ED2 actuals'!$CQ$1139:$CQ$1142</definedName>
    <definedName name="AssetReplacement_FutureYear_yr3_37">'NARM5 – ED2 actuals'!$CQ$1171:$CQ$1174</definedName>
    <definedName name="AssetReplacement_FutureYear_yr3_38">'NARM5 – ED2 actuals'!$CQ$1203:$CQ$1206</definedName>
    <definedName name="AssetReplacement_FutureYear_yr3_39">'NARM5 – ED2 actuals'!$CQ$1235:$CQ$1238</definedName>
    <definedName name="AssetReplacement_FutureYear_yr3_4">'NARM5 – ED2 actuals'!$CQ$115:$CQ$118</definedName>
    <definedName name="AssetReplacement_FutureYear_yr3_40">'NARM5 – ED2 actuals'!$CQ$1267:$CQ$1270</definedName>
    <definedName name="AssetReplacement_FutureYear_yr3_41">'NARM5 – ED2 actuals'!$CQ$1299:$CQ$1302</definedName>
    <definedName name="AssetReplacement_FutureYear_yr3_42">'NARM5 – ED2 actuals'!$CQ$1331:$CQ$1334</definedName>
    <definedName name="AssetReplacement_FutureYear_yr3_43">'NARM5 – ED2 actuals'!$CQ$1363:$CQ$1366</definedName>
    <definedName name="AssetReplacement_FutureYear_yr3_44">'NARM5 – ED2 actuals'!$CQ$1395:$CQ$1398</definedName>
    <definedName name="AssetReplacement_FutureYear_yr3_45">'NARM5 – ED2 actuals'!$CQ$1427:$CQ$1430</definedName>
    <definedName name="AssetReplacement_FutureYear_yr3_46">'NARM5 – ED2 actuals'!$CQ$1459:$CQ$1462</definedName>
    <definedName name="AssetReplacement_FutureYear_yr3_47">'NARM5 – ED2 actuals'!$CQ$1491:$CQ$1494</definedName>
    <definedName name="AssetReplacement_FutureYear_yr3_48">'NARM5 – ED2 actuals'!$CQ$1523:$CQ$1526</definedName>
    <definedName name="AssetReplacement_FutureYear_yr3_49">'NARM5 – ED2 actuals'!$CQ$1555:$CQ$1558</definedName>
    <definedName name="AssetReplacement_FutureYear_yr3_5">'NARM5 – ED2 actuals'!$CQ$147:$CQ$150</definedName>
    <definedName name="AssetReplacement_FutureYear_yr3_50">'NARM5 – ED2 actuals'!$CQ$1587:$CQ$1590</definedName>
    <definedName name="AssetReplacement_FutureYear_yr3_51">'NARM5 – ED2 actuals'!$CQ$1619:$CQ$1622</definedName>
    <definedName name="AssetReplacement_FutureYear_yr3_52">'NARM5 – ED2 actuals'!$CQ$1651:$CQ$1654</definedName>
    <definedName name="AssetReplacement_FutureYear_yr3_53">'NARM5 – ED2 actuals'!$CQ$1683:$CQ$1686</definedName>
    <definedName name="AssetReplacement_FutureYear_yr3_54">'NARM5 – ED2 actuals'!$CQ$1715:$CQ$1718</definedName>
    <definedName name="AssetReplacement_FutureYear_yr3_55">'NARM5 – ED2 actuals'!$CQ$1747:$CQ$1750</definedName>
    <definedName name="AssetReplacement_FutureYear_yr3_56">'NARM5 – ED2 actuals'!$CQ$1779:$CQ$1782</definedName>
    <definedName name="AssetReplacement_FutureYear_yr3_57">'NARM5 – ED2 actuals'!$CQ$1811:$CQ$1814</definedName>
    <definedName name="AssetReplacement_FutureYear_yr3_58">'NARM5 – ED2 actuals'!$CQ$1843:$CQ$1846</definedName>
    <definedName name="AssetReplacement_FutureYear_yr3_59">'NARM5 – ED2 actuals'!$CQ$1875:$CQ$1878</definedName>
    <definedName name="AssetReplacement_FutureYear_yr3_6">'NARM5 – ED2 actuals'!$CQ$179:$CQ$182</definedName>
    <definedName name="AssetReplacement_FutureYear_yr3_60">'NARM5 – ED2 actuals'!$CQ$1907:$CQ$1910</definedName>
    <definedName name="AssetReplacement_FutureYear_yr3_61">'NARM5 – ED2 actuals'!$CQ$1939:$CQ$1942</definedName>
    <definedName name="AssetReplacement_FutureYear_yr3_7">'NARM5 – ED2 actuals'!$CQ$211:$CQ$214</definedName>
    <definedName name="AssetReplacement_FutureYear_yr3_8">'NARM5 – ED2 actuals'!$CQ$243:$CQ$246</definedName>
    <definedName name="AssetReplacement_FutureYear_yr3_9">'NARM5 – ED2 actuals'!$CQ$275:$CQ$278</definedName>
    <definedName name="AssetReplacement_FutureYear_yr4_1">'NARM5 – ED2 actuals'!$CQ$25:$CQ$28</definedName>
    <definedName name="AssetReplacement_FutureYear_yr4_10">'NARM5 – ED2 actuals'!$CQ$313:$CQ$316</definedName>
    <definedName name="AssetReplacement_FutureYear_yr4_11">'NARM5 – ED2 actuals'!$CQ$345:$CQ$348</definedName>
    <definedName name="AssetReplacement_FutureYear_yr4_12">'NARM5 – ED2 actuals'!$CQ$377:$CQ$380</definedName>
    <definedName name="AssetReplacement_FutureYear_yr4_13">'NARM5 – ED2 actuals'!$CQ$409:$CQ$412</definedName>
    <definedName name="AssetReplacement_FutureYear_yr4_14">'NARM5 – ED2 actuals'!$CQ$441:$CQ$444</definedName>
    <definedName name="AssetReplacement_FutureYear_yr4_15">'NARM5 – ED2 actuals'!$CQ$473:$CQ$476</definedName>
    <definedName name="AssetReplacement_FutureYear_yr4_16">'NARM5 – ED2 actuals'!$CQ$505:$CQ$508</definedName>
    <definedName name="AssetReplacement_FutureYear_yr4_17">'NARM5 – ED2 actuals'!$CQ$537:$CQ$540</definedName>
    <definedName name="AssetReplacement_FutureYear_yr4_18">'NARM5 – ED2 actuals'!$CQ$569:$CQ$572</definedName>
    <definedName name="AssetReplacement_FutureYear_yr4_19">'NARM5 – ED2 actuals'!$CQ$601:$CQ$604</definedName>
    <definedName name="AssetReplacement_FutureYear_yr4_2">'NARM5 – ED2 actuals'!$CQ$57:$CQ$60</definedName>
    <definedName name="AssetReplacement_FutureYear_yr4_20">'NARM5 – ED2 actuals'!$CQ$633:$CQ$636</definedName>
    <definedName name="AssetReplacement_FutureYear_yr4_21">'NARM5 – ED2 actuals'!$CQ$665:$CQ$668</definedName>
    <definedName name="AssetReplacement_FutureYear_yr4_22">'NARM5 – ED2 actuals'!$CQ$697:$CQ$700</definedName>
    <definedName name="AssetReplacement_FutureYear_yr4_23">'NARM5 – ED2 actuals'!$CQ$729:$CQ$732</definedName>
    <definedName name="AssetReplacement_FutureYear_yr4_24">'NARM5 – ED2 actuals'!$CQ$761:$CQ$764</definedName>
    <definedName name="AssetReplacement_FutureYear_yr4_25">'NARM5 – ED2 actuals'!$CQ$793:$CQ$796</definedName>
    <definedName name="AssetReplacement_FutureYear_yr4_26">'NARM5 – ED2 actuals'!$CQ$825:$CQ$828</definedName>
    <definedName name="AssetReplacement_FutureYear_yr4_27">'NARM5 – ED2 actuals'!$CQ$857:$CQ$860</definedName>
    <definedName name="AssetReplacement_FutureYear_yr4_28">'NARM5 – ED2 actuals'!$CQ$889:$CQ$892</definedName>
    <definedName name="AssetReplacement_FutureYear_yr4_29">'NARM5 – ED2 actuals'!$CQ$921:$CQ$924</definedName>
    <definedName name="AssetReplacement_FutureYear_yr4_3">'NARM5 – ED2 actuals'!$CQ$89:$CQ$92</definedName>
    <definedName name="AssetReplacement_FutureYear_yr4_30">'NARM5 – ED2 actuals'!$CQ$953:$CQ$956</definedName>
    <definedName name="AssetReplacement_FutureYear_yr4_31">'NARM5 – ED2 actuals'!$CQ$985:$CQ$988</definedName>
    <definedName name="AssetReplacement_FutureYear_yr4_32">'NARM5 – ED2 actuals'!$CQ$1017:$CQ$1020</definedName>
    <definedName name="AssetReplacement_FutureYear_yr4_33">'NARM5 – ED2 actuals'!$CQ$1049:$CQ$1052</definedName>
    <definedName name="AssetReplacement_FutureYear_yr4_34">'NARM5 – ED2 actuals'!$CQ$1081:$CQ$1084</definedName>
    <definedName name="AssetReplacement_FutureYear_yr4_35">'NARM5 – ED2 actuals'!$CQ$1113:$CQ$1116</definedName>
    <definedName name="AssetReplacement_FutureYear_yr4_36">'NARM5 – ED2 actuals'!$CQ$1145:$CQ$1148</definedName>
    <definedName name="AssetReplacement_FutureYear_yr4_37">'NARM5 – ED2 actuals'!$CQ$1177:$CQ$1180</definedName>
    <definedName name="AssetReplacement_FutureYear_yr4_38">'NARM5 – ED2 actuals'!$CQ$1209:$CQ$1212</definedName>
    <definedName name="AssetReplacement_FutureYear_yr4_39">'NARM5 – ED2 actuals'!$CQ$1241:$CQ$1244</definedName>
    <definedName name="AssetReplacement_FutureYear_yr4_4">'NARM5 – ED2 actuals'!$CQ$121:$CQ$124</definedName>
    <definedName name="AssetReplacement_FutureYear_yr4_40">'NARM5 – ED2 actuals'!$CQ$1273:$CQ$1276</definedName>
    <definedName name="AssetReplacement_FutureYear_yr4_41">'NARM5 – ED2 actuals'!$CQ$1305:$CQ$1308</definedName>
    <definedName name="AssetReplacement_FutureYear_yr4_42">'NARM5 – ED2 actuals'!$CQ$1337:$CQ$1340</definedName>
    <definedName name="AssetReplacement_FutureYear_yr4_43">'NARM5 – ED2 actuals'!$CQ$1369:$CQ$1372</definedName>
    <definedName name="AssetReplacement_FutureYear_yr4_44">'NARM5 – ED2 actuals'!$CQ$1401:$CQ$1404</definedName>
    <definedName name="AssetReplacement_FutureYear_yr4_45">'NARM5 – ED2 actuals'!$CQ$1433:$CQ$1436</definedName>
    <definedName name="AssetReplacement_FutureYear_yr4_46">'NARM5 – ED2 actuals'!$CQ$1465:$CQ$1468</definedName>
    <definedName name="AssetReplacement_FutureYear_yr4_47">'NARM5 – ED2 actuals'!$CQ$1497:$CQ$1500</definedName>
    <definedName name="AssetReplacement_FutureYear_yr4_48">'NARM5 – ED2 actuals'!$CQ$1529:$CQ$1532</definedName>
    <definedName name="AssetReplacement_FutureYear_yr4_49">'NARM5 – ED2 actuals'!$CQ$1561:$CQ$1564</definedName>
    <definedName name="AssetReplacement_FutureYear_yr4_5">'NARM5 – ED2 actuals'!$CQ$153:$CQ$156</definedName>
    <definedName name="AssetReplacement_FutureYear_yr4_50">'NARM5 – ED2 actuals'!$CQ$1593:$CQ$1596</definedName>
    <definedName name="AssetReplacement_FutureYear_yr4_51">'NARM5 – ED2 actuals'!$CQ$1625:$CQ$1628</definedName>
    <definedName name="AssetReplacement_FutureYear_yr4_52">'NARM5 – ED2 actuals'!$CQ$1657:$CQ$1660</definedName>
    <definedName name="AssetReplacement_FutureYear_yr4_53">'NARM5 – ED2 actuals'!$CQ$1689:$CQ$1692</definedName>
    <definedName name="AssetReplacement_FutureYear_yr4_54">'NARM5 – ED2 actuals'!$CQ$1721:$CQ$1724</definedName>
    <definedName name="AssetReplacement_FutureYear_yr4_55">'NARM5 – ED2 actuals'!$CQ$1753:$CQ$1756</definedName>
    <definedName name="AssetReplacement_FutureYear_yr4_56">'NARM5 – ED2 actuals'!$CQ$1785:$CQ$1788</definedName>
    <definedName name="AssetReplacement_FutureYear_yr4_57">'NARM5 – ED2 actuals'!$CQ$1817:$CQ$1820</definedName>
    <definedName name="AssetReplacement_FutureYear_yr4_58">'NARM5 – ED2 actuals'!$CQ$1849:$CQ$1852</definedName>
    <definedName name="AssetReplacement_FutureYear_yr4_59">'NARM5 – ED2 actuals'!$CQ$1881:$CQ$1884</definedName>
    <definedName name="AssetReplacement_FutureYear_yr4_6">'NARM5 – ED2 actuals'!$CQ$185:$CQ$188</definedName>
    <definedName name="AssetReplacement_FutureYear_yr4_60">'NARM5 – ED2 actuals'!$CQ$1913:$CQ$1916</definedName>
    <definedName name="AssetReplacement_FutureYear_yr4_61">'NARM5 – ED2 actuals'!$CQ$1945:$CQ$1948</definedName>
    <definedName name="AssetReplacement_FutureYear_yr4_7">'NARM5 – ED2 actuals'!$CQ$217:$CQ$220</definedName>
    <definedName name="AssetReplacement_FutureYear_yr4_8">'NARM5 – ED2 actuals'!$CQ$249:$CQ$252</definedName>
    <definedName name="AssetReplacement_FutureYear_yr4_9">'NARM5 – ED2 actuals'!$CQ$281:$CQ$284</definedName>
    <definedName name="AssetReplacement_FutureYear_yr5_1">'NARM5 – ED2 actuals'!$CQ$31:$CQ$34</definedName>
    <definedName name="AssetReplacement_FutureYear_yr5_10">'NARM5 – ED2 actuals'!$CQ$319:$CQ$322</definedName>
    <definedName name="AssetReplacement_FutureYear_yr5_11">'NARM5 – ED2 actuals'!$CQ$351:$CQ$354</definedName>
    <definedName name="AssetReplacement_FutureYear_yr5_12">'NARM5 – ED2 actuals'!$CQ$383:$CQ$386</definedName>
    <definedName name="AssetReplacement_FutureYear_yr5_13">'NARM5 – ED2 actuals'!$CQ$415:$CQ$418</definedName>
    <definedName name="AssetReplacement_FutureYear_yr5_14">'NARM5 – ED2 actuals'!$CQ$447:$CQ$450</definedName>
    <definedName name="AssetReplacement_FutureYear_yr5_15">'NARM5 – ED2 actuals'!$CQ$479:$CQ$482</definedName>
    <definedName name="AssetReplacement_FutureYear_yr5_16">'NARM5 – ED2 actuals'!$CQ$511:$CQ$514</definedName>
    <definedName name="AssetReplacement_FutureYear_yr5_17">'NARM5 – ED2 actuals'!$CQ$543:$CQ$546</definedName>
    <definedName name="AssetReplacement_FutureYear_yr5_18">'NARM5 – ED2 actuals'!$CQ$575:$CQ$578</definedName>
    <definedName name="AssetReplacement_FutureYear_yr5_19">'NARM5 – ED2 actuals'!$CQ$607:$CQ$610</definedName>
    <definedName name="AssetReplacement_FutureYear_yr5_2">'NARM5 – ED2 actuals'!$CQ$63:$CQ$66</definedName>
    <definedName name="AssetReplacement_FutureYear_yr5_20">'NARM5 – ED2 actuals'!$CQ$639:$CQ$642</definedName>
    <definedName name="AssetReplacement_FutureYear_yr5_21">'NARM5 – ED2 actuals'!$CQ$671:$CQ$674</definedName>
    <definedName name="AssetReplacement_FutureYear_yr5_22">'NARM5 – ED2 actuals'!$CQ$703:$CQ$706</definedName>
    <definedName name="AssetReplacement_FutureYear_yr5_23">'NARM5 – ED2 actuals'!$CQ$735:$CQ$738</definedName>
    <definedName name="AssetReplacement_FutureYear_yr5_24">'NARM5 – ED2 actuals'!$CQ$767:$CQ$770</definedName>
    <definedName name="AssetReplacement_FutureYear_yr5_25">'NARM5 – ED2 actuals'!$CQ$799:$CQ$802</definedName>
    <definedName name="AssetReplacement_FutureYear_yr5_26">'NARM5 – ED2 actuals'!$CQ$831:$CQ$834</definedName>
    <definedName name="AssetReplacement_FutureYear_yr5_27">'NARM5 – ED2 actuals'!$CQ$863:$CQ$866</definedName>
    <definedName name="AssetReplacement_FutureYear_yr5_28">'NARM5 – ED2 actuals'!$CQ$895:$CQ$898</definedName>
    <definedName name="AssetReplacement_FutureYear_yr5_29">'NARM5 – ED2 actuals'!$CQ$927:$CQ$930</definedName>
    <definedName name="AssetReplacement_FutureYear_yr5_3">'NARM5 – ED2 actuals'!$CQ$95:$CQ$98</definedName>
    <definedName name="AssetReplacement_FutureYear_yr5_30">'NARM5 – ED2 actuals'!$CQ$959:$CQ$962</definedName>
    <definedName name="AssetReplacement_FutureYear_yr5_31">'NARM5 – ED2 actuals'!$CQ$991:$CQ$994</definedName>
    <definedName name="AssetReplacement_FutureYear_yr5_32">'NARM5 – ED2 actuals'!$CQ$1023:$CQ$1026</definedName>
    <definedName name="AssetReplacement_FutureYear_yr5_33">'NARM5 – ED2 actuals'!$CQ$1055:$CQ$1058</definedName>
    <definedName name="AssetReplacement_FutureYear_yr5_34">'NARM5 – ED2 actuals'!$CQ$1087:$CQ$1090</definedName>
    <definedName name="AssetReplacement_FutureYear_yr5_35">'NARM5 – ED2 actuals'!$CQ$1119:$CQ$1122</definedName>
    <definedName name="AssetReplacement_FutureYear_yr5_36">'NARM5 – ED2 actuals'!$CQ$1151:$CQ$1154</definedName>
    <definedName name="AssetReplacement_FutureYear_yr5_37">'NARM5 – ED2 actuals'!$CQ$1183:$CQ$1186</definedName>
    <definedName name="AssetReplacement_FutureYear_yr5_38">'NARM5 – ED2 actuals'!$CQ$1215:$CQ$1218</definedName>
    <definedName name="AssetReplacement_FutureYear_yr5_39">'NARM5 – ED2 actuals'!$CQ$1247:$CQ$1250</definedName>
    <definedName name="AssetReplacement_FutureYear_yr5_4">'NARM5 – ED2 actuals'!$CQ$127:$CQ$130</definedName>
    <definedName name="AssetReplacement_FutureYear_yr5_40">'NARM5 – ED2 actuals'!$CQ$1279:$CQ$1282</definedName>
    <definedName name="AssetReplacement_FutureYear_yr5_41">'NARM5 – ED2 actuals'!$CQ$1311:$CQ$1314</definedName>
    <definedName name="AssetReplacement_FutureYear_yr5_42">'NARM5 – ED2 actuals'!$CQ$1343:$CQ$1346</definedName>
    <definedName name="AssetReplacement_FutureYear_yr5_43">'NARM5 – ED2 actuals'!$CQ$1375:$CQ$1378</definedName>
    <definedName name="AssetReplacement_FutureYear_yr5_44">'NARM5 – ED2 actuals'!$CQ$1407:$CQ$1410</definedName>
    <definedName name="AssetReplacement_FutureYear_yr5_45">'NARM5 – ED2 actuals'!$CQ$1439:$CQ$1442</definedName>
    <definedName name="AssetReplacement_FutureYear_yr5_46">'NARM5 – ED2 actuals'!$CQ$1471:$CQ$1474</definedName>
    <definedName name="AssetReplacement_FutureYear_yr5_47">'NARM5 – ED2 actuals'!$CQ$1503:$CQ$1506</definedName>
    <definedName name="AssetReplacement_FutureYear_yr5_48">'NARM5 – ED2 actuals'!$CQ$1535:$CQ$1538</definedName>
    <definedName name="AssetReplacement_FutureYear_yr5_49">'NARM5 – ED2 actuals'!$CQ$1567:$CQ$1570</definedName>
    <definedName name="AssetReplacement_FutureYear_yr5_5">'NARM5 – ED2 actuals'!$CQ$159:$CQ$162</definedName>
    <definedName name="AssetReplacement_FutureYear_yr5_50">'NARM5 – ED2 actuals'!$CQ$1599:$CQ$1602</definedName>
    <definedName name="AssetReplacement_FutureYear_yr5_51">'NARM5 – ED2 actuals'!$CQ$1631:$CQ$1634</definedName>
    <definedName name="AssetReplacement_FutureYear_yr5_52">'NARM5 – ED2 actuals'!$CQ$1663:$CQ$1666</definedName>
    <definedName name="AssetReplacement_FutureYear_yr5_53">'NARM5 – ED2 actuals'!$CQ$1695:$CQ$1698</definedName>
    <definedName name="AssetReplacement_FutureYear_yr5_54">'NARM5 – ED2 actuals'!$CQ$1727:$CQ$1730</definedName>
    <definedName name="AssetReplacement_FutureYear_yr5_55">'NARM5 – ED2 actuals'!$CQ$1759:$CQ$1762</definedName>
    <definedName name="AssetReplacement_FutureYear_yr5_56">'NARM5 – ED2 actuals'!$CQ$1791:$CQ$1794</definedName>
    <definedName name="AssetReplacement_FutureYear_yr5_57">'NARM5 – ED2 actuals'!$CQ$1823:$CQ$1826</definedName>
    <definedName name="AssetReplacement_FutureYear_yr5_58">'NARM5 – ED2 actuals'!$CQ$1855:$CQ$1858</definedName>
    <definedName name="AssetReplacement_FutureYear_yr5_59">'NARM5 – ED2 actuals'!$CQ$1887:$CQ$1890</definedName>
    <definedName name="AssetReplacement_FutureYear_yr5_6">'NARM5 – ED2 actuals'!$CQ$191:$CQ$194</definedName>
    <definedName name="AssetReplacement_FutureYear_yr5_60">'NARM5 – ED2 actuals'!$CQ$1919:$CQ$1922</definedName>
    <definedName name="AssetReplacement_FutureYear_yr5_61">'NARM5 – ED2 actuals'!$CQ$1951:$CQ$1954</definedName>
    <definedName name="AssetReplacement_FutureYear_yr5_7">'NARM5 – ED2 actuals'!$CQ$223:$CQ$226</definedName>
    <definedName name="AssetReplacement_FutureYear_yr5_8">'NARM5 – ED2 actuals'!$CQ$255:$CQ$258</definedName>
    <definedName name="AssetReplacement_FutureYear_yr5_9">'NARM5 – ED2 actuals'!$CQ$287:$CQ$290</definedName>
    <definedName name="b" localSheetId="2" hidden="1">{#N/A,#N/A,FALSE,"DI 2 YEAR MASTER SCHEDULE"}</definedName>
    <definedName name="b" localSheetId="3" hidden="1">{"staff",#N/A,FALSE,"Current Month"}</definedName>
    <definedName name="b" localSheetId="4" hidden="1">{"staff",#N/A,FALSE,"Current Month"}</definedName>
    <definedName name="b" localSheetId="1" hidden="1">{#N/A,#N/A,FALSE,"DI 2 YEAR MASTER SCHEDULE"}</definedName>
    <definedName name="b" hidden="1">{"staff",#N/A,FALSE,"Current Month"}</definedName>
    <definedName name="bb" localSheetId="2" hidden="1">{#N/A,#N/A,FALSE,"PRJCTED MNTHLY QTY's"}</definedName>
    <definedName name="bb" localSheetId="3" hidden="1">{#N/A,#N/A,FALSE,"PRJCTED MNTHLY QTY's"}</definedName>
    <definedName name="bb" localSheetId="1" hidden="1">{#N/A,#N/A,FALSE,"PRJCTED MNTHLY QTY's"}</definedName>
    <definedName name="bbbb" localSheetId="2" hidden="1">{#N/A,#N/A,FALSE,"PRJCTED QTRLY QTY's"}</definedName>
    <definedName name="bbbb" localSheetId="3" hidden="1">{#N/A,#N/A,FALSE,"PRJCTED QTRLY QTY's"}</definedName>
    <definedName name="bbbb" localSheetId="4" hidden="1">{#N/A,#N/A,FALSE,"PRJCTED QTRLY QTY's"}</definedName>
    <definedName name="bbbb" localSheetId="1" hidden="1">{#N/A,#N/A,FALSE,"PRJCTED QTRLY QTY's"}</definedName>
    <definedName name="bbbb" hidden="1">{#N/A,#N/A,FALSE,"PRJCTED QTRLY QTY's"}</definedName>
    <definedName name="bbbbbb" localSheetId="2" hidden="1">{#N/A,#N/A,FALSE,"PRJCTED QTRLY QTY's"}</definedName>
    <definedName name="bbbbbb" localSheetId="3" hidden="1">{#N/A,#N/A,FALSE,"PRJCTED QTRLY QTY's"}</definedName>
    <definedName name="bbbbbb" localSheetId="4" hidden="1">{#N/A,#N/A,FALSE,"PRJCTED QTRLY QTY's"}</definedName>
    <definedName name="bbbbbb" localSheetId="1" hidden="1">{#N/A,#N/A,FALSE,"PRJCTED QTRLY QTY's"}</definedName>
    <definedName name="bbbbbb" hidden="1">{#N/A,#N/A,FALSE,"PRJCTED QTRLY QTY's"}</definedName>
    <definedName name="BExEZ4HBCC06708765M8A06KCR7P" hidden="1">#N/A</definedName>
    <definedName name="BLPH1" hidden="1">[6]Sheet2!#REF!</definedName>
    <definedName name="BLPH10" localSheetId="2" hidden="1">#REF!</definedName>
    <definedName name="BLPH10" localSheetId="1"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[6]Sheet2!#REF!</definedName>
    <definedName name="BLPH2" hidden="1">[6]Sheet2!#REF!</definedName>
    <definedName name="BLPH20" localSheetId="2" hidden="1">#REF!</definedName>
    <definedName name="BLPH20" localSheetId="1"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'[7]Risk-Free Rate'!$AQ$15</definedName>
    <definedName name="BLPH210" localSheetId="2" hidden="1">#REF!</definedName>
    <definedName name="BLPH210" localSheetId="1"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'[7]Risk-Free Rate'!$AN$15</definedName>
    <definedName name="BLPH220" localSheetId="2" hidden="1">#REF!</definedName>
    <definedName name="BLPH220" localSheetId="1"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'[7]Risk-Free Rate'!$AK$15</definedName>
    <definedName name="BLPH230" localSheetId="2" hidden="1">#REF!</definedName>
    <definedName name="BLPH230" localSheetId="1"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'[7]Risk-Free Rate'!$AH$15</definedName>
    <definedName name="BLPH240" localSheetId="2" hidden="1">#REF!</definedName>
    <definedName name="BLPH240" localSheetId="1"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'[7]Risk-Free Rate'!$AE$15</definedName>
    <definedName name="BLPH250" localSheetId="2" hidden="1">#REF!</definedName>
    <definedName name="BLPH250" localSheetId="1"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'[7]Risk-Free Rate'!$AB$15</definedName>
    <definedName name="BLPH260" localSheetId="2" hidden="1">#REF!</definedName>
    <definedName name="BLPH260" localSheetId="1"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'[7]Risk-Free Rate'!$Y$15</definedName>
    <definedName name="BLPH270" localSheetId="2" hidden="1">#REF!</definedName>
    <definedName name="BLPH270" localSheetId="1"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'[7]Risk-Free Rate'!$V$15</definedName>
    <definedName name="BLPH280" localSheetId="2" hidden="1">#REF!</definedName>
    <definedName name="BLPH280" localSheetId="1"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'[7]Risk-Free Rate'!$S$15</definedName>
    <definedName name="BLPH290" localSheetId="2" hidden="1">#REF!</definedName>
    <definedName name="BLPH290" localSheetId="1"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'[7]Risk-Free Rate'!$P$15</definedName>
    <definedName name="BLPH300" localSheetId="2" hidden="1">#REF!</definedName>
    <definedName name="BLPH300" localSheetId="1"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'[7]Risk-Free Rate'!$M$15</definedName>
    <definedName name="BLPH310" localSheetId="2" hidden="1">#REF!</definedName>
    <definedName name="BLPH310" localSheetId="1"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'[7]Risk-Free Rate'!$J$15</definedName>
    <definedName name="BLPH320" localSheetId="2" hidden="1">#REF!</definedName>
    <definedName name="BLPH320" localSheetId="1"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'[7]Risk-Free Rate'!$G$15</definedName>
    <definedName name="BLPH330" localSheetId="2" hidden="1">#REF!</definedName>
    <definedName name="BLPH330" localSheetId="1"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'[7]Risk-Free Rate'!$D$15</definedName>
    <definedName name="BLPH340" localSheetId="2" hidden="1">#REF!</definedName>
    <definedName name="BLPH340" localSheetId="1"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'[7]Risk-Free Rate'!$A$15</definedName>
    <definedName name="BLPH350" localSheetId="2" hidden="1">#REF!</definedName>
    <definedName name="BLPH350" localSheetId="1"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[6]Sheet2!#REF!</definedName>
    <definedName name="BLPH5" hidden="1">[6]Sheet2!#REF!</definedName>
    <definedName name="BLPH50" localSheetId="2" hidden="1">#REF!</definedName>
    <definedName name="BLPH50" localSheetId="1"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hidden="1">#REF!</definedName>
    <definedName name="BLPR1020040129204514642_1_5" hidden="1">#REF!</definedName>
    <definedName name="BLPR1020040129204514642_2_5" hidden="1">#REF!</definedName>
    <definedName name="BLPR1020040129204514642_3_5" hidden="1">#REF!</definedName>
    <definedName name="BLPR1020040129204514642_4_5" hidden="1">#REF!</definedName>
    <definedName name="BLPR1020040129204514642_5_5" hidden="1">#REF!</definedName>
    <definedName name="BLPR1120040129204514642" hidden="1">#REF!</definedName>
    <definedName name="BLPR1120040129204514642_1_5" hidden="1">#REF!</definedName>
    <definedName name="BLPR1120040129204514642_2_5" hidden="1">#REF!</definedName>
    <definedName name="BLPR1120040129204514642_3_5" hidden="1">#REF!</definedName>
    <definedName name="BLPR1120040129204514642_4_5" hidden="1">#REF!</definedName>
    <definedName name="BLPR1120040129204514642_5_5" hidden="1">#REF!</definedName>
    <definedName name="BLPR120040129203645421" hidden="1">#REF!</definedName>
    <definedName name="BLPR120040129203645421_1_4" hidden="1">#REF!</definedName>
    <definedName name="BLPR120040129203645421_2_4" hidden="1">#REF!</definedName>
    <definedName name="BLPR120040129203645421_3_4" hidden="1">#REF!</definedName>
    <definedName name="BLPR120040129203645421_4_4" hidden="1">#REF!</definedName>
    <definedName name="BLPR1220040129204514642" hidden="1">#REF!</definedName>
    <definedName name="BLPR1220040129204514642_1_5" hidden="1">#REF!</definedName>
    <definedName name="BLPR1220040129204514642_2_5" hidden="1">#REF!</definedName>
    <definedName name="BLPR1220040129204514642_3_5" hidden="1">#REF!</definedName>
    <definedName name="BLPR1220040129204514642_4_5" hidden="1">#REF!</definedName>
    <definedName name="BLPR1220040129204514642_5_5" hidden="1">#REF!</definedName>
    <definedName name="BLPR1320040129204514642" hidden="1">#REF!</definedName>
    <definedName name="BLPR1320040129204514642_1_5" hidden="1">#REF!</definedName>
    <definedName name="BLPR1320040129204514642_2_5" hidden="1">#REF!</definedName>
    <definedName name="BLPR1320040129204514642_3_5" hidden="1">#REF!</definedName>
    <definedName name="BLPR1320040129204514642_4_5" hidden="1">#REF!</definedName>
    <definedName name="BLPR1320040129204514642_5_5" hidden="1">#REF!</definedName>
    <definedName name="BLPR1420040129204514642" hidden="1">#REF!</definedName>
    <definedName name="BLPR1420040129204514642_1_5" hidden="1">#REF!</definedName>
    <definedName name="BLPR1420040129204514642_2_5" hidden="1">#REF!</definedName>
    <definedName name="BLPR1420040129204514642_3_5" hidden="1">#REF!</definedName>
    <definedName name="BLPR1420040129204514642_4_5" hidden="1">#REF!</definedName>
    <definedName name="BLPR1420040129204514642_5_5" hidden="1">#REF!</definedName>
    <definedName name="BLPR1520040129204514652" hidden="1">#REF!</definedName>
    <definedName name="BLPR1520040129204514652_1_5" hidden="1">#REF!</definedName>
    <definedName name="BLPR1520040129204514652_2_5" hidden="1">#REF!</definedName>
    <definedName name="BLPR1520040129204514652_3_5" hidden="1">#REF!</definedName>
    <definedName name="BLPR1520040129204514652_4_5" hidden="1">#REF!</definedName>
    <definedName name="BLPR1520040129204514652_5_5" hidden="1">#REF!</definedName>
    <definedName name="BLPR1620040129204514652" hidden="1">#REF!</definedName>
    <definedName name="BLPR1620040129204514652_1_5" hidden="1">#REF!</definedName>
    <definedName name="BLPR1620040129204514652_2_5" hidden="1">#REF!</definedName>
    <definedName name="BLPR1620040129204514652_3_5" hidden="1">#REF!</definedName>
    <definedName name="BLPR1620040129204514652_4_5" hidden="1">#REF!</definedName>
    <definedName name="BLPR1620040129204514652_5_5" hidden="1">#REF!</definedName>
    <definedName name="BLPR1720040129204514652" hidden="1">#REF!</definedName>
    <definedName name="BLPR1720040129204514652_1_5" hidden="1">#REF!</definedName>
    <definedName name="BLPR1720040129204514652_2_5" hidden="1">#REF!</definedName>
    <definedName name="BLPR1720040129204514652_3_5" hidden="1">#REF!</definedName>
    <definedName name="BLPR1720040129204514652_4_5" hidden="1">#REF!</definedName>
    <definedName name="BLPR1720040129204514652_5_5" hidden="1">#REF!</definedName>
    <definedName name="BLPR1820040129204514652" hidden="1">#REF!</definedName>
    <definedName name="BLPR1820040129204514652_1_5" hidden="1">#REF!</definedName>
    <definedName name="BLPR1820040129204514652_2_5" hidden="1">#REF!</definedName>
    <definedName name="BLPR1820040129204514652_3_5" hidden="1">#REF!</definedName>
    <definedName name="BLPR1820040129204514652_4_5" hidden="1">#REF!</definedName>
    <definedName name="BLPR1820040129204514652_5_5" hidden="1">#REF!</definedName>
    <definedName name="BLPR1920040129204514652" hidden="1">#REF!</definedName>
    <definedName name="BLPR1920040129204514652_1_5" hidden="1">#REF!</definedName>
    <definedName name="BLPR1920040129204514652_2_5" hidden="1">#REF!</definedName>
    <definedName name="BLPR1920040129204514652_3_5" hidden="1">#REF!</definedName>
    <definedName name="BLPR1920040129204514652_4_5" hidden="1">#REF!</definedName>
    <definedName name="BLPR1920040129204514652_5_5" hidden="1">#REF!</definedName>
    <definedName name="BLPR2020040129204514652" hidden="1">#REF!</definedName>
    <definedName name="BLPR2020040129204514652_1_5" hidden="1">#REF!</definedName>
    <definedName name="BLPR2020040129204514652_2_5" hidden="1">#REF!</definedName>
    <definedName name="BLPR2020040129204514652_3_5" hidden="1">#REF!</definedName>
    <definedName name="BLPR2020040129204514652_4_5" hidden="1">#REF!</definedName>
    <definedName name="BLPR2020040129204514652_5_5" hidden="1">#REF!</definedName>
    <definedName name="BLPR2120040129204514652" hidden="1">#REF!</definedName>
    <definedName name="BLPR2120040129204514652_1_5" hidden="1">#REF!</definedName>
    <definedName name="BLPR2120040129204514652_2_5" hidden="1">#REF!</definedName>
    <definedName name="BLPR2120040129204514652_3_5" hidden="1">#REF!</definedName>
    <definedName name="BLPR2120040129204514652_4_5" hidden="1">#REF!</definedName>
    <definedName name="BLPR2120040129204514652_5_5" hidden="1">#REF!</definedName>
    <definedName name="BLPR220040129203645421" hidden="1">#REF!</definedName>
    <definedName name="BLPR220040129203645421_1_4" hidden="1">#REF!</definedName>
    <definedName name="BLPR220040129203645421_2_4" hidden="1">#REF!</definedName>
    <definedName name="BLPR220040129203645421_3_4" hidden="1">#REF!</definedName>
    <definedName name="BLPR220040129203645421_4_4" hidden="1">#REF!</definedName>
    <definedName name="BLPR2220040129204514652" hidden="1">#REF!</definedName>
    <definedName name="BLPR2220040129204514652_1_5" hidden="1">#REF!</definedName>
    <definedName name="BLPR2220040129204514652_2_5" hidden="1">#REF!</definedName>
    <definedName name="BLPR2220040129204514652_3_5" hidden="1">#REF!</definedName>
    <definedName name="BLPR2220040129204514652_4_5" hidden="1">#REF!</definedName>
    <definedName name="BLPR2220040129204514652_5_5" hidden="1">#REF!</definedName>
    <definedName name="BLPR2320040129204514662" hidden="1">#REF!</definedName>
    <definedName name="BLPR2320040129204514662_1_5" hidden="1">#REF!</definedName>
    <definedName name="BLPR2320040129204514662_2_5" hidden="1">#REF!</definedName>
    <definedName name="BLPR2320040129204514662_3_5" hidden="1">#REF!</definedName>
    <definedName name="BLPR2320040129204514662_4_5" hidden="1">#REF!</definedName>
    <definedName name="BLPR2320040129204514662_5_5" hidden="1">#REF!</definedName>
    <definedName name="BLPR2420040129204514662" hidden="1">#REF!</definedName>
    <definedName name="BLPR2420040129204514662_1_5" hidden="1">#REF!</definedName>
    <definedName name="BLPR2420040129204514662_2_5" hidden="1">#REF!</definedName>
    <definedName name="BLPR2420040129204514662_3_5" hidden="1">#REF!</definedName>
    <definedName name="BLPR2420040129204514662_4_5" hidden="1">#REF!</definedName>
    <definedName name="BLPR2420040129204514662_5_5" hidden="1">#REF!</definedName>
    <definedName name="BLPR2520040129204514662" hidden="1">#REF!</definedName>
    <definedName name="BLPR2520040129204514662_1_5" hidden="1">#REF!</definedName>
    <definedName name="BLPR2520040129204514662_2_5" hidden="1">#REF!</definedName>
    <definedName name="BLPR2520040129204514662_3_5" hidden="1">#REF!</definedName>
    <definedName name="BLPR2520040129204514662_4_5" hidden="1">#REF!</definedName>
    <definedName name="BLPR2520040129204514662_5_5" hidden="1">#REF!</definedName>
    <definedName name="BLPR2620040129204514662" hidden="1">#REF!</definedName>
    <definedName name="BLPR2620040129204514662_1_5" hidden="1">#REF!</definedName>
    <definedName name="BLPR2620040129204514662_2_5" hidden="1">#REF!</definedName>
    <definedName name="BLPR2620040129204514662_3_5" hidden="1">#REF!</definedName>
    <definedName name="BLPR2620040129204514662_4_5" hidden="1">#REF!</definedName>
    <definedName name="BLPR2620040129204514662_5_5" hidden="1">#REF!</definedName>
    <definedName name="BLPR2720040129204514662" hidden="1">#REF!</definedName>
    <definedName name="BLPR2720040129204514662_1_5" hidden="1">#REF!</definedName>
    <definedName name="BLPR2720040129204514662_2_5" hidden="1">#REF!</definedName>
    <definedName name="BLPR2720040129204514662_3_5" hidden="1">#REF!</definedName>
    <definedName name="BLPR2720040129204514662_4_5" hidden="1">#REF!</definedName>
    <definedName name="BLPR2720040129204514662_5_5" hidden="1">#REF!</definedName>
    <definedName name="BLPR2820040129204514662" hidden="1">#REF!</definedName>
    <definedName name="BLPR2820040129204514662_1_5" hidden="1">#REF!</definedName>
    <definedName name="BLPR2820040129204514662_2_5" hidden="1">#REF!</definedName>
    <definedName name="BLPR2820040129204514662_3_5" hidden="1">#REF!</definedName>
    <definedName name="BLPR2820040129204514662_4_5" hidden="1">#REF!</definedName>
    <definedName name="BLPR2820040129204514662_5_5" hidden="1">#REF!</definedName>
    <definedName name="BLPR2920040129204514662" hidden="1">#REF!</definedName>
    <definedName name="BLPR2920040129204514662_1_5" hidden="1">#REF!</definedName>
    <definedName name="BLPR2920040129204514662_2_5" hidden="1">#REF!</definedName>
    <definedName name="BLPR2920040129204514662_3_5" hidden="1">#REF!</definedName>
    <definedName name="BLPR2920040129204514662_4_5" hidden="1">#REF!</definedName>
    <definedName name="BLPR2920040129204514662_5_5" hidden="1">#REF!</definedName>
    <definedName name="BLPR3020040129204514672" hidden="1">#REF!</definedName>
    <definedName name="BLPR3020040129204514672_1_5" hidden="1">#REF!</definedName>
    <definedName name="BLPR3020040129204514672_2_5" hidden="1">#REF!</definedName>
    <definedName name="BLPR3020040129204514672_3_5" hidden="1">#REF!</definedName>
    <definedName name="BLPR3020040129204514672_4_5" hidden="1">#REF!</definedName>
    <definedName name="BLPR3020040129204514672_5_5" hidden="1">#REF!</definedName>
    <definedName name="BLPR3120040129204514692" hidden="1">#REF!</definedName>
    <definedName name="BLPR3120040129204514692_1_1" hidden="1">#REF!</definedName>
    <definedName name="BLPR320040129203645431" hidden="1">#REF!</definedName>
    <definedName name="BLPR320040129203645431_1_4" hidden="1">#REF!</definedName>
    <definedName name="BLPR320040129203645431_2_4" hidden="1">#REF!</definedName>
    <definedName name="BLPR320040129203645431_3_4" hidden="1">#REF!</definedName>
    <definedName name="BLPR320040129203645431_4_4" hidden="1">#REF!</definedName>
    <definedName name="BLPR3220040129204514692" hidden="1">#REF!</definedName>
    <definedName name="BLPR3220040129204514692_1_1" hidden="1">#REF!</definedName>
    <definedName name="BLPR3320040129204514702" hidden="1">#REF!</definedName>
    <definedName name="BLPR3320040129204514702_1_1" hidden="1">#REF!</definedName>
    <definedName name="BLPR3420040129204514702" hidden="1">#REF!</definedName>
    <definedName name="BLPR3420040129204514702_1_1" hidden="1">#REF!</definedName>
    <definedName name="BLPR3520040129204514702" hidden="1">#REF!</definedName>
    <definedName name="BLPR3520040129204514702_1_1" hidden="1">#REF!</definedName>
    <definedName name="BLPR420040129203645431" hidden="1">#REF!</definedName>
    <definedName name="BLPR420040129203645431_1_4" hidden="1">#REF!</definedName>
    <definedName name="BLPR420040129203645431_2_4" hidden="1">#REF!</definedName>
    <definedName name="BLPR420040129203645431_3_4" hidden="1">#REF!</definedName>
    <definedName name="BLPR420040129203645431_4_4" hidden="1">#REF!</definedName>
    <definedName name="BLPR520040129203645441" hidden="1">#REF!</definedName>
    <definedName name="BLPR520040129203645441_1_4" hidden="1">#REF!</definedName>
    <definedName name="BLPR520040129203645441_2_4" hidden="1">#REF!</definedName>
    <definedName name="BLPR520040129203645441_3_4" hidden="1">#REF!</definedName>
    <definedName name="BLPR520040129203645441_4_4" hidden="1">#REF!</definedName>
    <definedName name="BLPR620040129204149993" hidden="1">#REF!</definedName>
    <definedName name="BLPR620040129204149993_1_5" hidden="1">#REF!</definedName>
    <definedName name="BLPR620040129204149993_2_5" hidden="1">#REF!</definedName>
    <definedName name="BLPR620040129204149993_3_5" hidden="1">#REF!</definedName>
    <definedName name="BLPR620040129204149993_4_5" hidden="1">#REF!</definedName>
    <definedName name="BLPR620040129204149993_5_5" hidden="1">#REF!</definedName>
    <definedName name="BLPR720040129204514631" hidden="1">#REF!</definedName>
    <definedName name="BLPR720040129204514631_1_5" hidden="1">#REF!</definedName>
    <definedName name="BLPR720040129204514631_2_5" hidden="1">#REF!</definedName>
    <definedName name="BLPR720040129204514631_3_5" hidden="1">#REF!</definedName>
    <definedName name="BLPR720040129204514631_4_5" hidden="1">#REF!</definedName>
    <definedName name="BLPR720040129204514631_5_5" hidden="1">#REF!</definedName>
    <definedName name="BLPR820040129204514642" hidden="1">#REF!</definedName>
    <definedName name="BLPR820040129204514642_1_5" hidden="1">#REF!</definedName>
    <definedName name="BLPR820040129204514642_2_5" hidden="1">#REF!</definedName>
    <definedName name="BLPR820040129204514642_3_5" hidden="1">#REF!</definedName>
    <definedName name="BLPR820040129204514642_4_5" hidden="1">#REF!</definedName>
    <definedName name="BLPR820040129204514642_5_5" hidden="1">#REF!</definedName>
    <definedName name="BLPR920040129204514642" hidden="1">#REF!</definedName>
    <definedName name="BLPR920040129204514642_1_5" hidden="1">#REF!</definedName>
    <definedName name="BLPR920040129204514642_2_5" hidden="1">#REF!</definedName>
    <definedName name="BLPR920040129204514642_3_5" hidden="1">#REF!</definedName>
    <definedName name="BLPR920040129204514642_4_5" hidden="1">#REF!</definedName>
    <definedName name="BLPR920040129204514642_5_5" hidden="1">#REF!</definedName>
    <definedName name="Cwvu.CapersView." localSheetId="2" hidden="1">[4]Sheet1!#REF!</definedName>
    <definedName name="Cwvu.CapersView." hidden="1">[4]Sheet1!#REF!</definedName>
    <definedName name="Cwvu.Japan_Capers_Ed_Pub." localSheetId="2" hidden="1">[4]Sheet1!#REF!</definedName>
    <definedName name="Cwvu.Japan_Capers_Ed_Pub." hidden="1">[4]Sheet1!#REF!</definedName>
    <definedName name="Data_Cleansing_Yr1_1">'NARM5 – ED2 actuals'!$M$7:$Q$10</definedName>
    <definedName name="Data_Cleansing_Yr1_10">'NARM5 – ED2 actuals'!$M$295:$Q$298</definedName>
    <definedName name="Data_Cleansing_Yr1_11">'NARM5 – ED2 actuals'!$M$327:$Q$330</definedName>
    <definedName name="Data_Cleansing_Yr1_12">'NARM5 – ED2 actuals'!$M$359:$Q$362</definedName>
    <definedName name="Data_Cleansing_Yr1_13">'NARM5 – ED2 actuals'!$M$391:$Q$394</definedName>
    <definedName name="Data_Cleansing_Yr1_14">'NARM5 – ED2 actuals'!$M$423:$Q$426</definedName>
    <definedName name="Data_Cleansing_Yr1_15">'NARM5 – ED2 actuals'!$M$455:$Q$458</definedName>
    <definedName name="Data_Cleansing_Yr1_16">'NARM5 – ED2 actuals'!$M$487:$Q$490</definedName>
    <definedName name="Data_Cleansing_Yr1_17">'NARM5 – ED2 actuals'!$M$519:$Q$522</definedName>
    <definedName name="Data_Cleansing_Yr1_18">'NARM5 – ED2 actuals'!$M$551:$Q$554</definedName>
    <definedName name="Data_Cleansing_Yr1_19">'NARM5 – ED2 actuals'!$M$583:$Q$586</definedName>
    <definedName name="Data_Cleansing_Yr1_2">'NARM5 – ED2 actuals'!$M$39:$Q$42</definedName>
    <definedName name="Data_Cleansing_Yr1_20">'NARM5 – ED2 actuals'!$M$615:$Q$618</definedName>
    <definedName name="Data_Cleansing_Yr1_21">'NARM5 – ED2 actuals'!$M$647:$Q$650</definedName>
    <definedName name="Data_Cleansing_Yr1_22">'NARM5 – ED2 actuals'!$M$679:$Q$682</definedName>
    <definedName name="Data_Cleansing_Yr1_23">'NARM5 – ED2 actuals'!$M$711:$Q$714</definedName>
    <definedName name="Data_Cleansing_Yr1_24">'NARM5 – ED2 actuals'!$M$743:$Q$746</definedName>
    <definedName name="Data_Cleansing_Yr1_25">'NARM5 – ED2 actuals'!$M$775:$Q$778</definedName>
    <definedName name="Data_Cleansing_Yr1_26">'NARM5 – ED2 actuals'!$M$807:$Q$810</definedName>
    <definedName name="Data_Cleansing_Yr1_27">'NARM5 – ED2 actuals'!$M$839:$Q$842</definedName>
    <definedName name="Data_Cleansing_Yr1_28">'NARM5 – ED2 actuals'!$M$871:$Q$874</definedName>
    <definedName name="Data_Cleansing_Yr1_29">'NARM5 – ED2 actuals'!$M$903:$Q$906</definedName>
    <definedName name="Data_Cleansing_Yr1_3">'NARM5 – ED2 actuals'!$M$71:$Q$74</definedName>
    <definedName name="Data_Cleansing_Yr1_30">'NARM5 – ED2 actuals'!$M$935:$Q$938</definedName>
    <definedName name="Data_Cleansing_Yr1_31">'NARM5 – ED2 actuals'!$M$967:$Q$970</definedName>
    <definedName name="Data_Cleansing_Yr1_32">'NARM5 – ED2 actuals'!$M$999:$Q$1002</definedName>
    <definedName name="Data_Cleansing_Yr1_33">'NARM5 – ED2 actuals'!$M$1031:$Q$1034</definedName>
    <definedName name="Data_Cleansing_Yr1_34">'NARM5 – ED2 actuals'!$M$1063:$Q$1066</definedName>
    <definedName name="Data_Cleansing_Yr1_35">'NARM5 – ED2 actuals'!$M$1095:$Q$1098</definedName>
    <definedName name="Data_Cleansing_Yr1_36">'NARM5 – ED2 actuals'!$M$1127:$Q$1130</definedName>
    <definedName name="Data_Cleansing_Yr1_37">'NARM5 – ED2 actuals'!$M$1159:$Q$1162</definedName>
    <definedName name="Data_Cleansing_Yr1_38">'NARM5 – ED2 actuals'!$M$1191:$Q$1194</definedName>
    <definedName name="Data_Cleansing_Yr1_39">'NARM5 – ED2 actuals'!$M$1223:$Q$1226</definedName>
    <definedName name="Data_Cleansing_Yr1_4">'NARM5 – ED2 actuals'!$M$103:$Q$106</definedName>
    <definedName name="Data_Cleansing_Yr1_40">'NARM5 – ED2 actuals'!$M$1255:$Q$1258</definedName>
    <definedName name="Data_Cleansing_Yr1_41">'NARM5 – ED2 actuals'!$M$1287:$Q$1290</definedName>
    <definedName name="Data_Cleansing_Yr1_42">'NARM5 – ED2 actuals'!$M$1319:$Q$1322</definedName>
    <definedName name="Data_Cleansing_Yr1_43">'NARM5 – ED2 actuals'!$M$1351:$Q$1354</definedName>
    <definedName name="Data_Cleansing_Yr1_44">'NARM5 – ED2 actuals'!$M$1383:$Q$1386</definedName>
    <definedName name="Data_Cleansing_Yr1_45">'NARM5 – ED2 actuals'!$M$1415:$Q$1418</definedName>
    <definedName name="Data_Cleansing_Yr1_46">'NARM5 – ED2 actuals'!$M$1447:$Q$1450</definedName>
    <definedName name="Data_Cleansing_Yr1_47">'NARM5 – ED2 actuals'!$M$1479:$Q$1482</definedName>
    <definedName name="Data_Cleansing_Yr1_48">'NARM5 – ED2 actuals'!$M$1511:$Q$1514</definedName>
    <definedName name="Data_Cleansing_Yr1_49">'NARM5 – ED2 actuals'!$M$1543:$Q$1546</definedName>
    <definedName name="Data_Cleansing_Yr1_5">'NARM5 – ED2 actuals'!$M$135:$Q$138</definedName>
    <definedName name="Data_Cleansing_Yr1_50">'NARM5 – ED2 actuals'!$M$1575:$Q$1578</definedName>
    <definedName name="Data_Cleansing_Yr1_51">'NARM5 – ED2 actuals'!$M$1607:$Q$1610</definedName>
    <definedName name="Data_Cleansing_Yr1_52">'NARM5 – ED2 actuals'!$M$1639:$Q$1642</definedName>
    <definedName name="Data_Cleansing_Yr1_53">'NARM5 – ED2 actuals'!$M$1671:$Q$1674</definedName>
    <definedName name="Data_Cleansing_Yr1_54">'NARM5 – ED2 actuals'!$M$1703:$Q$1706</definedName>
    <definedName name="Data_Cleansing_Yr1_55">'NARM5 – ED2 actuals'!$M$1735:$Q$1738</definedName>
    <definedName name="Data_Cleansing_Yr1_56">'NARM5 – ED2 actuals'!$M$1767:$Q$1770</definedName>
    <definedName name="Data_Cleansing_Yr1_57">'NARM5 – ED2 actuals'!$M$1799:$Q$1802</definedName>
    <definedName name="Data_Cleansing_Yr1_58">'NARM5 – ED2 actuals'!$M$1831:$Q$1834</definedName>
    <definedName name="Data_Cleansing_Yr1_59">'NARM5 – ED2 actuals'!$M$1863:$Q$1866</definedName>
    <definedName name="Data_Cleansing_Yr1_6">'NARM5 – ED2 actuals'!$M$167:$Q$170</definedName>
    <definedName name="Data_Cleansing_Yr1_60">'NARM5 – ED2 actuals'!$M$1895:$Q$1898</definedName>
    <definedName name="Data_Cleansing_Yr1_61">'NARM5 – ED2 actuals'!$M$1927:$Q$1930</definedName>
    <definedName name="Data_Cleansing_Yr1_7">'NARM5 – ED2 actuals'!$M$199:$Q$202</definedName>
    <definedName name="Data_Cleansing_Yr1_8">'NARM5 – ED2 actuals'!$M$231:$Q$234</definedName>
    <definedName name="Data_Cleansing_Yr1_9">'NARM5 – ED2 actuals'!$M$263:$Q$266</definedName>
    <definedName name="Data_Cleansing_Yr2_1">'NARM5 – ED2 actuals'!$M$13:$Q$16</definedName>
    <definedName name="Data_Cleansing_Yr2_10">'NARM5 – ED2 actuals'!$M$301:$Q$304</definedName>
    <definedName name="Data_Cleansing_Yr2_11">'NARM5 – ED2 actuals'!$M$333:$Q$336</definedName>
    <definedName name="Data_Cleansing_Yr2_12">'NARM5 – ED2 actuals'!$M$365:$Q$368</definedName>
    <definedName name="Data_Cleansing_Yr2_13">'NARM5 – ED2 actuals'!$M$397:$Q$400</definedName>
    <definedName name="Data_Cleansing_Yr2_14">'NARM5 – ED2 actuals'!$M$429:$Q$432</definedName>
    <definedName name="Data_Cleansing_Yr2_15">'NARM5 – ED2 actuals'!$M$461:$Q$464</definedName>
    <definedName name="Data_Cleansing_Yr2_16">'NARM5 – ED2 actuals'!$M$493:$Q$496</definedName>
    <definedName name="Data_Cleansing_Yr2_17">'NARM5 – ED2 actuals'!$M$525:$Q$528</definedName>
    <definedName name="Data_Cleansing_Yr2_18">'NARM5 – ED2 actuals'!$M$557:$Q$560</definedName>
    <definedName name="Data_Cleansing_Yr2_19">'NARM5 – ED2 actuals'!$M$589:$Q$592</definedName>
    <definedName name="Data_Cleansing_Yr2_2">'NARM5 – ED2 actuals'!$M$45:$Q$48</definedName>
    <definedName name="Data_Cleansing_Yr2_20">'NARM5 – ED2 actuals'!$M$621:$Q$624</definedName>
    <definedName name="Data_Cleansing_Yr2_21">'NARM5 – ED2 actuals'!$M$653:$Q$656</definedName>
    <definedName name="Data_Cleansing_Yr2_22">'NARM5 – ED2 actuals'!$M$685:$Q$688</definedName>
    <definedName name="Data_Cleansing_Yr2_23">'NARM5 – ED2 actuals'!$M$717:$Q$720</definedName>
    <definedName name="Data_Cleansing_Yr2_24">'NARM5 – ED2 actuals'!$M$749:$Q$752</definedName>
    <definedName name="Data_Cleansing_Yr2_25">'NARM5 – ED2 actuals'!$M$781:$Q$784</definedName>
    <definedName name="Data_Cleansing_Yr2_26">'NARM5 – ED2 actuals'!$M$813:$Q$816</definedName>
    <definedName name="Data_Cleansing_Yr2_27">'NARM5 – ED2 actuals'!$M$845:$Q$848</definedName>
    <definedName name="Data_Cleansing_Yr2_28">'NARM5 – ED2 actuals'!$M$877:$Q$880</definedName>
    <definedName name="Data_Cleansing_Yr2_29">'NARM5 – ED2 actuals'!$M$909:$Q$912</definedName>
    <definedName name="Data_Cleansing_Yr2_3">'NARM5 – ED2 actuals'!$M$77:$Q$80</definedName>
    <definedName name="Data_Cleansing_Yr2_30">'NARM5 – ED2 actuals'!$M$941:$Q$944</definedName>
    <definedName name="Data_Cleansing_Yr2_31">'NARM5 – ED2 actuals'!$M$973:$Q$976</definedName>
    <definedName name="Data_Cleansing_Yr2_32">'NARM5 – ED2 actuals'!$M$1005:$Q$1008</definedName>
    <definedName name="Data_Cleansing_Yr2_33">'NARM5 – ED2 actuals'!$M$1037:$Q$1040</definedName>
    <definedName name="Data_Cleansing_Yr2_34">'NARM5 – ED2 actuals'!$M$1069:$Q$1072</definedName>
    <definedName name="Data_Cleansing_Yr2_35">'NARM5 – ED2 actuals'!$M$1101:$Q$1104</definedName>
    <definedName name="Data_Cleansing_Yr2_36">'NARM5 – ED2 actuals'!$M$1133:$Q$1136</definedName>
    <definedName name="Data_Cleansing_Yr2_37">'NARM5 – ED2 actuals'!$M$1165:$Q$1168</definedName>
    <definedName name="Data_Cleansing_Yr2_38">'NARM5 – ED2 actuals'!$M$1197:$Q$1200</definedName>
    <definedName name="Data_Cleansing_Yr2_39">'NARM5 – ED2 actuals'!$M$1229:$Q$1232</definedName>
    <definedName name="Data_Cleansing_Yr2_4">'NARM5 – ED2 actuals'!$M$109:$Q$112</definedName>
    <definedName name="Data_Cleansing_Yr2_40">'NARM5 – ED2 actuals'!$M$1261:$Q$1264</definedName>
    <definedName name="Data_Cleansing_Yr2_41">'NARM5 – ED2 actuals'!$M$1293:$Q$1296</definedName>
    <definedName name="Data_Cleansing_Yr2_42">'NARM5 – ED2 actuals'!$M$1325:$Q$1328</definedName>
    <definedName name="Data_Cleansing_Yr2_43">'NARM5 – ED2 actuals'!$M$1357:$Q$1360</definedName>
    <definedName name="Data_Cleansing_Yr2_44">'NARM5 – ED2 actuals'!$M$1389:$Q$1392</definedName>
    <definedName name="Data_Cleansing_Yr2_45">'NARM5 – ED2 actuals'!$M$1421:$Q$1424</definedName>
    <definedName name="Data_Cleansing_Yr2_46">'NARM5 – ED2 actuals'!$M$1453:$Q$1456</definedName>
    <definedName name="Data_Cleansing_Yr2_47">'NARM5 – ED2 actuals'!$M$1485:$Q$1488</definedName>
    <definedName name="Data_Cleansing_Yr2_48">'NARM5 – ED2 actuals'!$M$1517:$Q$1520</definedName>
    <definedName name="Data_Cleansing_Yr2_49">'NARM5 – ED2 actuals'!$M$1549:$Q$1552</definedName>
    <definedName name="Data_Cleansing_Yr2_5">'NARM5 – ED2 actuals'!$M$141:$Q$144</definedName>
    <definedName name="Data_Cleansing_Yr2_50">'NARM5 – ED2 actuals'!$M$1581:$Q$1584</definedName>
    <definedName name="Data_Cleansing_Yr2_51">'NARM5 – ED2 actuals'!$M$1613:$Q$1616</definedName>
    <definedName name="Data_Cleansing_Yr2_52">'NARM5 – ED2 actuals'!$M$1645:$Q$1648</definedName>
    <definedName name="Data_Cleansing_Yr2_53">'NARM5 – ED2 actuals'!$M$1677:$Q$1680</definedName>
    <definedName name="Data_Cleansing_Yr2_54">'NARM5 – ED2 actuals'!$M$1709:$Q$1712</definedName>
    <definedName name="Data_Cleansing_Yr2_55">'NARM5 – ED2 actuals'!$M$1741:$Q$1744</definedName>
    <definedName name="Data_Cleansing_Yr2_56">'NARM5 – ED2 actuals'!$M$1773:$Q$1776</definedName>
    <definedName name="Data_Cleansing_Yr2_57">'NARM5 – ED2 actuals'!$M$1805:$Q$1808</definedName>
    <definedName name="Data_Cleansing_Yr2_58">'NARM5 – ED2 actuals'!$M$1837:$Q$1840</definedName>
    <definedName name="Data_Cleansing_Yr2_59">'NARM5 – ED2 actuals'!$M$1869:$Q$1872</definedName>
    <definedName name="Data_Cleansing_Yr2_6">'NARM5 – ED2 actuals'!$M$173:$Q$176</definedName>
    <definedName name="Data_Cleansing_Yr2_60">'NARM5 – ED2 actuals'!$M$1901:$Q$1904</definedName>
    <definedName name="Data_Cleansing_Yr2_61">'NARM5 – ED2 actuals'!$M$1933:$Q$1936</definedName>
    <definedName name="Data_Cleansing_Yr2_7">'NARM5 – ED2 actuals'!$M$205:$Q$208</definedName>
    <definedName name="Data_Cleansing_Yr2_8">'NARM5 – ED2 actuals'!$M$237:$Q$240</definedName>
    <definedName name="Data_Cleansing_Yr2_9">'NARM5 – ED2 actuals'!$M$269:$Q$272</definedName>
    <definedName name="Data_Cleansing_Yr3_1">'NARM5 – ED2 actuals'!$M$19:$Q$22</definedName>
    <definedName name="Data_Cleansing_Yr3_10">'NARM5 – ED2 actuals'!$M$307:$Q$310</definedName>
    <definedName name="Data_Cleansing_Yr3_11">'NARM5 – ED2 actuals'!$M$339:$Q$342</definedName>
    <definedName name="Data_Cleansing_Yr3_12">'NARM5 – ED2 actuals'!$M$371:$Q$374</definedName>
    <definedName name="Data_Cleansing_Yr3_13">'NARM5 – ED2 actuals'!$M$403:$Q$406</definedName>
    <definedName name="Data_Cleansing_Yr3_14">'NARM5 – ED2 actuals'!$M$435:$Q$438</definedName>
    <definedName name="Data_Cleansing_Yr3_15">'NARM5 – ED2 actuals'!$M$467:$Q$470</definedName>
    <definedName name="Data_Cleansing_Yr3_16">'NARM5 – ED2 actuals'!$M$499:$Q$502</definedName>
    <definedName name="Data_Cleansing_Yr3_17">'NARM5 – ED2 actuals'!$M$531:$Q$534</definedName>
    <definedName name="Data_Cleansing_Yr3_18">'NARM5 – ED2 actuals'!$M$563:$Q$566</definedName>
    <definedName name="Data_Cleansing_Yr3_19">'NARM5 – ED2 actuals'!$M$595:$Q$598</definedName>
    <definedName name="Data_Cleansing_Yr3_2">'NARM5 – ED2 actuals'!$M$51:$Q$54</definedName>
    <definedName name="Data_Cleansing_Yr3_20">'NARM5 – ED2 actuals'!$M$627:$Q$630</definedName>
    <definedName name="Data_Cleansing_Yr3_21">'NARM5 – ED2 actuals'!$M$659:$Q$662</definedName>
    <definedName name="Data_Cleansing_Yr3_22">'NARM5 – ED2 actuals'!$M$691:$Q$694</definedName>
    <definedName name="Data_Cleansing_Yr3_23">'NARM5 – ED2 actuals'!$M$723:$Q$726</definedName>
    <definedName name="Data_Cleansing_Yr3_24">'NARM5 – ED2 actuals'!$M$755:$Q$758</definedName>
    <definedName name="Data_Cleansing_Yr3_25">'NARM5 – ED2 actuals'!$M$787:$Q$790</definedName>
    <definedName name="Data_Cleansing_Yr3_26">'NARM5 – ED2 actuals'!$M$819:$Q$822</definedName>
    <definedName name="Data_Cleansing_Yr3_27">'NARM5 – ED2 actuals'!$M$851:$Q$854</definedName>
    <definedName name="Data_Cleansing_Yr3_28">'NARM5 – ED2 actuals'!$M$883:$Q$886</definedName>
    <definedName name="Data_Cleansing_Yr3_29">'NARM5 – ED2 actuals'!$M$915:$Q$918</definedName>
    <definedName name="Data_Cleansing_Yr3_3">'NARM5 – ED2 actuals'!$M$83:$Q$86</definedName>
    <definedName name="Data_Cleansing_Yr3_30">'NARM5 – ED2 actuals'!$M$947:$Q$950</definedName>
    <definedName name="Data_Cleansing_Yr3_31">'NARM5 – ED2 actuals'!$M$979:$Q$982</definedName>
    <definedName name="Data_Cleansing_Yr3_32">'NARM5 – ED2 actuals'!$M$1011:$Q$1014</definedName>
    <definedName name="Data_Cleansing_Yr3_33">'NARM5 – ED2 actuals'!$M$1043:$Q$1046</definedName>
    <definedName name="Data_Cleansing_Yr3_34">'NARM5 – ED2 actuals'!$M$1075:$Q$1078</definedName>
    <definedName name="Data_Cleansing_Yr3_35">'NARM5 – ED2 actuals'!$M$1107:$Q$1110</definedName>
    <definedName name="Data_Cleansing_Yr3_36">'NARM5 – ED2 actuals'!$M$1139:$Q$1142</definedName>
    <definedName name="Data_Cleansing_Yr3_37">'NARM5 – ED2 actuals'!$M$1171:$Q$1174</definedName>
    <definedName name="Data_Cleansing_Yr3_38">'NARM5 – ED2 actuals'!$M$1203:$Q$1206</definedName>
    <definedName name="Data_Cleansing_Yr3_39">'NARM5 – ED2 actuals'!$M$1235:$Q$1238</definedName>
    <definedName name="Data_Cleansing_Yr3_4">'NARM5 – ED2 actuals'!$M$115:$Q$118</definedName>
    <definedName name="Data_Cleansing_Yr3_40">'NARM5 – ED2 actuals'!$M$1267:$Q$1270</definedName>
    <definedName name="Data_Cleansing_Yr3_41">'NARM5 – ED2 actuals'!$M$1299:$Q$1302</definedName>
    <definedName name="Data_Cleansing_Yr3_42">'NARM5 – ED2 actuals'!$M$1331:$Q$1334</definedName>
    <definedName name="Data_Cleansing_Yr3_43">'NARM5 – ED2 actuals'!$M$1363:$Q$1366</definedName>
    <definedName name="Data_Cleansing_Yr3_44">'NARM5 – ED2 actuals'!$M$1395:$Q$1398</definedName>
    <definedName name="Data_Cleansing_Yr3_45">'NARM5 – ED2 actuals'!$M$1427:$Q$1430</definedName>
    <definedName name="Data_Cleansing_Yr3_46">'NARM5 – ED2 actuals'!$M$1459:$Q$1462</definedName>
    <definedName name="Data_Cleansing_Yr3_47">'NARM5 – ED2 actuals'!$M$1491:$Q$1494</definedName>
    <definedName name="Data_Cleansing_Yr3_48">'NARM5 – ED2 actuals'!$M$1523:$Q$1526</definedName>
    <definedName name="Data_Cleansing_Yr3_49">'NARM5 – ED2 actuals'!$M$1555:$Q$1558</definedName>
    <definedName name="Data_Cleansing_Yr3_5">'NARM5 – ED2 actuals'!$M$147:$Q$150</definedName>
    <definedName name="Data_Cleansing_Yr3_50">'NARM5 – ED2 actuals'!$M$1587:$Q$1590</definedName>
    <definedName name="Data_Cleansing_Yr3_51">'NARM5 – ED2 actuals'!$M$1619:$Q$1622</definedName>
    <definedName name="Data_Cleansing_Yr3_52">'NARM5 – ED2 actuals'!$M$1651:$Q$1654</definedName>
    <definedName name="Data_Cleansing_Yr3_53">'NARM5 – ED2 actuals'!$M$1683:$Q$1686</definedName>
    <definedName name="Data_Cleansing_Yr3_54">'NARM5 – ED2 actuals'!$M$1715:$Q$1718</definedName>
    <definedName name="Data_Cleansing_Yr3_55">'NARM5 – ED2 actuals'!$M$1747:$Q$1750</definedName>
    <definedName name="Data_Cleansing_Yr3_56">'NARM5 – ED2 actuals'!$M$1779:$Q$1782</definedName>
    <definedName name="Data_Cleansing_Yr3_57">'NARM5 – ED2 actuals'!$M$1811:$Q$1814</definedName>
    <definedName name="Data_Cleansing_Yr3_58">'NARM5 – ED2 actuals'!$M$1843:$Q$1846</definedName>
    <definedName name="Data_Cleansing_Yr3_59">'NARM5 – ED2 actuals'!$M$1875:$Q$1878</definedName>
    <definedName name="Data_Cleansing_Yr3_6">'NARM5 – ED2 actuals'!$M$179:$Q$182</definedName>
    <definedName name="Data_Cleansing_Yr3_60">'NARM5 – ED2 actuals'!$M$1907:$Q$1910</definedName>
    <definedName name="Data_Cleansing_Yr3_61">'NARM5 – ED2 actuals'!$M$1939:$Q$1942</definedName>
    <definedName name="Data_Cleansing_Yr3_7">'NARM5 – ED2 actuals'!$M$211:$Q$214</definedName>
    <definedName name="Data_Cleansing_Yr3_8">'NARM5 – ED2 actuals'!$M$243:$Q$246</definedName>
    <definedName name="Data_Cleansing_Yr3_9">'NARM5 – ED2 actuals'!$M$275:$Q$278</definedName>
    <definedName name="Data_Cleansing_Yr4_1">'NARM5 – ED2 actuals'!$M$25:$Q$28</definedName>
    <definedName name="Data_Cleansing_Yr4_10">'NARM5 – ED2 actuals'!$M$313:$Q$316</definedName>
    <definedName name="Data_Cleansing_Yr4_11">'NARM5 – ED2 actuals'!$M$345:$Q$348</definedName>
    <definedName name="Data_Cleansing_Yr4_12">'NARM5 – ED2 actuals'!$M$377:$Q$380</definedName>
    <definedName name="Data_Cleansing_Yr4_13">'NARM5 – ED2 actuals'!$M$409:$Q$412</definedName>
    <definedName name="Data_Cleansing_Yr4_14">'NARM5 – ED2 actuals'!$M$441:$Q$444</definedName>
    <definedName name="Data_Cleansing_Yr4_15">'NARM5 – ED2 actuals'!$M$473:$Q$476</definedName>
    <definedName name="Data_Cleansing_Yr4_16">'NARM5 – ED2 actuals'!$M$505:$Q$508</definedName>
    <definedName name="Data_Cleansing_Yr4_17">'NARM5 – ED2 actuals'!$M$537:$Q$540</definedName>
    <definedName name="Data_Cleansing_Yr4_18">'NARM5 – ED2 actuals'!$M$569:$Q$572</definedName>
    <definedName name="Data_Cleansing_Yr4_19">'NARM5 – ED2 actuals'!$M$601:$Q$604</definedName>
    <definedName name="Data_Cleansing_Yr4_2">'NARM5 – ED2 actuals'!$M$57:$Q$60</definedName>
    <definedName name="Data_Cleansing_Yr4_20">'NARM5 – ED2 actuals'!$M$633:$Q$636</definedName>
    <definedName name="Data_Cleansing_Yr4_21">'NARM5 – ED2 actuals'!$M$665:$Q$668</definedName>
    <definedName name="Data_Cleansing_Yr4_22">'NARM5 – ED2 actuals'!$M$697:$Q$700</definedName>
    <definedName name="Data_Cleansing_Yr4_23">'NARM5 – ED2 actuals'!$M$729:$Q$732</definedName>
    <definedName name="Data_Cleansing_Yr4_24">'NARM5 – ED2 actuals'!$M$761:$Q$764</definedName>
    <definedName name="Data_Cleansing_Yr4_25">'NARM5 – ED2 actuals'!$M$793:$Q$796</definedName>
    <definedName name="Data_Cleansing_Yr4_26">'NARM5 – ED2 actuals'!$M$825:$Q$828</definedName>
    <definedName name="Data_Cleansing_Yr4_27">'NARM5 – ED2 actuals'!$M$857:$Q$860</definedName>
    <definedName name="Data_Cleansing_Yr4_28">'NARM5 – ED2 actuals'!$M$889:$Q$892</definedName>
    <definedName name="Data_Cleansing_Yr4_29">'NARM5 – ED2 actuals'!$M$921:$Q$924</definedName>
    <definedName name="Data_Cleansing_Yr4_3">'NARM5 – ED2 actuals'!$M$89:$Q$92</definedName>
    <definedName name="Data_Cleansing_Yr4_30">'NARM5 – ED2 actuals'!$M$953:$Q$956</definedName>
    <definedName name="Data_Cleansing_Yr4_31">'NARM5 – ED2 actuals'!$M$985:$Q$988</definedName>
    <definedName name="Data_Cleansing_Yr4_32">'NARM5 – ED2 actuals'!$M$1017:$Q$1020</definedName>
    <definedName name="Data_Cleansing_Yr4_33">'NARM5 – ED2 actuals'!$M$1049:$Q$1052</definedName>
    <definedName name="Data_Cleansing_Yr4_34">'NARM5 – ED2 actuals'!$M$1081:$Q$1084</definedName>
    <definedName name="Data_Cleansing_Yr4_35">'NARM5 – ED2 actuals'!$M$1113:$Q$1116</definedName>
    <definedName name="Data_Cleansing_Yr4_36">'NARM5 – ED2 actuals'!$M$1145:$Q$1148</definedName>
    <definedName name="Data_Cleansing_Yr4_37">'NARM5 – ED2 actuals'!$M$1177:$Q$1180</definedName>
    <definedName name="Data_Cleansing_Yr4_38">'NARM5 – ED2 actuals'!$M$1209:$Q$1212</definedName>
    <definedName name="Data_Cleansing_Yr4_39">'NARM5 – ED2 actuals'!$M$1241:$Q$1244</definedName>
    <definedName name="Data_Cleansing_Yr4_4">'NARM5 – ED2 actuals'!$M$121:$Q$124</definedName>
    <definedName name="Data_Cleansing_Yr4_40">'NARM5 – ED2 actuals'!$M$1273:$Q$1276</definedName>
    <definedName name="Data_Cleansing_Yr4_41">'NARM5 – ED2 actuals'!$M$1305:$Q$1308</definedName>
    <definedName name="Data_Cleansing_Yr4_42">'NARM5 – ED2 actuals'!$M$1337:$Q$1340</definedName>
    <definedName name="Data_Cleansing_Yr4_43">'NARM5 – ED2 actuals'!$M$1369:$Q$1372</definedName>
    <definedName name="Data_Cleansing_Yr4_44">'NARM5 – ED2 actuals'!$M$1401:$Q$1404</definedName>
    <definedName name="Data_Cleansing_Yr4_45">'NARM5 – ED2 actuals'!$M$1433:$Q$1436</definedName>
    <definedName name="Data_Cleansing_Yr4_46">'NARM5 – ED2 actuals'!$M$1465:$Q$1468</definedName>
    <definedName name="Data_Cleansing_Yr4_47">'NARM5 – ED2 actuals'!$M$1497:$Q$1500</definedName>
    <definedName name="Data_Cleansing_Yr4_48">'NARM5 – ED2 actuals'!$M$1529:$Q$1532</definedName>
    <definedName name="Data_Cleansing_Yr4_49">'NARM5 – ED2 actuals'!$M$1561:$Q$1564</definedName>
    <definedName name="Data_Cleansing_Yr4_5">'NARM5 – ED2 actuals'!$M$153:$Q$156</definedName>
    <definedName name="Data_Cleansing_Yr4_50">'NARM5 – ED2 actuals'!$M$1593:$Q$1596</definedName>
    <definedName name="Data_Cleansing_Yr4_51">'NARM5 – ED2 actuals'!$M$1625:$Q$1628</definedName>
    <definedName name="Data_Cleansing_Yr4_52">'NARM5 – ED2 actuals'!$M$1657:$Q$1660</definedName>
    <definedName name="Data_Cleansing_Yr4_53">'NARM5 – ED2 actuals'!$M$1689:$Q$1692</definedName>
    <definedName name="Data_Cleansing_Yr4_54">'NARM5 – ED2 actuals'!$M$1721:$Q$1724</definedName>
    <definedName name="Data_Cleansing_Yr4_55">'NARM5 – ED2 actuals'!$M$1753:$Q$1756</definedName>
    <definedName name="Data_Cleansing_Yr4_56">'NARM5 – ED2 actuals'!$M$1785:$Q$1788</definedName>
    <definedName name="Data_Cleansing_Yr4_57">'NARM5 – ED2 actuals'!$M$1817:$Q$1820</definedName>
    <definedName name="Data_Cleansing_Yr4_58">'NARM5 – ED2 actuals'!$M$1849:$Q$1852</definedName>
    <definedName name="Data_Cleansing_Yr4_59">'NARM5 – ED2 actuals'!$M$1881:$Q$1884</definedName>
    <definedName name="Data_Cleansing_Yr4_6">'NARM5 – ED2 actuals'!$M$185:$Q$188</definedName>
    <definedName name="Data_Cleansing_Yr4_60">'NARM5 – ED2 actuals'!$M$1913:$Q$1916</definedName>
    <definedName name="Data_Cleansing_Yr4_61">'NARM5 – ED2 actuals'!$M$1945:$Q$1948</definedName>
    <definedName name="Data_Cleansing_Yr4_7">'NARM5 – ED2 actuals'!$M$217:$Q$220</definedName>
    <definedName name="Data_Cleansing_Yr4_8">'NARM5 – ED2 actuals'!$M$249:$Q$252</definedName>
    <definedName name="Data_Cleansing_Yr4_9">'NARM5 – ED2 actuals'!$M$281:$Q$284</definedName>
    <definedName name="Data_Cleansing_Yr5_1">'NARM5 – ED2 actuals'!$M$31:$Q$34</definedName>
    <definedName name="Data_Cleansing_Yr5_10">'NARM5 – ED2 actuals'!$M$319:$Q$322</definedName>
    <definedName name="Data_Cleansing_Yr5_11">'NARM5 – ED2 actuals'!$M$351:$Q$354</definedName>
    <definedName name="Data_Cleansing_Yr5_12">'NARM5 – ED2 actuals'!$M$383:$Q$386</definedName>
    <definedName name="Data_Cleansing_Yr5_13">'NARM5 – ED2 actuals'!$M$415:$Q$418</definedName>
    <definedName name="Data_Cleansing_Yr5_14">'NARM5 – ED2 actuals'!$M$447:$Q$450</definedName>
    <definedName name="Data_Cleansing_Yr5_15">'NARM5 – ED2 actuals'!$M$479:$Q$482</definedName>
    <definedName name="Data_Cleansing_Yr5_16">'NARM5 – ED2 actuals'!$M$511:$Q$514</definedName>
    <definedName name="Data_Cleansing_Yr5_17">'NARM5 – ED2 actuals'!$M$543:$Q$546</definedName>
    <definedName name="Data_Cleansing_Yr5_18">'NARM5 – ED2 actuals'!$M$575:$Q$578</definedName>
    <definedName name="Data_Cleansing_Yr5_19">'NARM5 – ED2 actuals'!$M$607:$Q$610</definedName>
    <definedName name="Data_Cleansing_Yr5_2">'NARM5 – ED2 actuals'!$M$63:$Q$66</definedName>
    <definedName name="Data_Cleansing_Yr5_20">'NARM5 – ED2 actuals'!$M$639:$Q$642</definedName>
    <definedName name="Data_Cleansing_Yr5_21">'NARM5 – ED2 actuals'!$M$671:$Q$674</definedName>
    <definedName name="Data_Cleansing_Yr5_22">'NARM5 – ED2 actuals'!$M$703:$Q$706</definedName>
    <definedName name="Data_Cleansing_Yr5_23">'NARM5 – ED2 actuals'!$M$735:$Q$738</definedName>
    <definedName name="Data_Cleansing_Yr5_24">'NARM5 – ED2 actuals'!$M$767:$Q$770</definedName>
    <definedName name="Data_Cleansing_Yr5_25">'NARM5 – ED2 actuals'!$M$799:$Q$802</definedName>
    <definedName name="Data_Cleansing_Yr5_26">'NARM5 – ED2 actuals'!$M$831:$Q$834</definedName>
    <definedName name="Data_Cleansing_Yr5_27">'NARM5 – ED2 actuals'!$M$863:$Q$866</definedName>
    <definedName name="Data_Cleansing_Yr5_28">'NARM5 – ED2 actuals'!$M$895:$Q$898</definedName>
    <definedName name="Data_Cleansing_Yr5_29">'NARM5 – ED2 actuals'!$M$927:$Q$930</definedName>
    <definedName name="Data_Cleansing_Yr5_3">'NARM5 – ED2 actuals'!$M$95:$Q$98</definedName>
    <definedName name="Data_Cleansing_Yr5_30">'NARM5 – ED2 actuals'!$M$959:$Q$962</definedName>
    <definedName name="Data_Cleansing_Yr5_31">'NARM5 – ED2 actuals'!$M$991:$Q$994</definedName>
    <definedName name="Data_Cleansing_Yr5_32">'NARM5 – ED2 actuals'!$M$1023:$Q$1026</definedName>
    <definedName name="Data_Cleansing_Yr5_33">'NARM5 – ED2 actuals'!$M$1055:$Q$1058</definedName>
    <definedName name="Data_Cleansing_Yr5_34">'NARM5 – ED2 actuals'!$M$1087:$Q$1090</definedName>
    <definedName name="Data_Cleansing_Yr5_35">'NARM5 – ED2 actuals'!$M$1119:$Q$1122</definedName>
    <definedName name="Data_Cleansing_Yr5_36">'NARM5 – ED2 actuals'!$M$1151:$Q$1154</definedName>
    <definedName name="Data_Cleansing_Yr5_37">'NARM5 – ED2 actuals'!$M$1183:$Q$1186</definedName>
    <definedName name="Data_Cleansing_Yr5_38">'NARM5 – ED2 actuals'!$M$1215:$Q$1218</definedName>
    <definedName name="Data_Cleansing_Yr5_39">'NARM5 – ED2 actuals'!$M$1247:$Q$1250</definedName>
    <definedName name="Data_Cleansing_Yr5_4">'NARM5 – ED2 actuals'!$M$127:$Q$130</definedName>
    <definedName name="Data_Cleansing_Yr5_40">'NARM5 – ED2 actuals'!$M$1279:$Q$1282</definedName>
    <definedName name="Data_Cleansing_Yr5_41">'NARM5 – ED2 actuals'!$M$1311:$Q$1314</definedName>
    <definedName name="Data_Cleansing_Yr5_42">'NARM5 – ED2 actuals'!$M$1343:$Q$1346</definedName>
    <definedName name="Data_Cleansing_Yr5_43">'NARM5 – ED2 actuals'!$M$1375:$Q$1378</definedName>
    <definedName name="Data_Cleansing_Yr5_44">'NARM5 – ED2 actuals'!$M$1407:$Q$1410</definedName>
    <definedName name="Data_Cleansing_Yr5_45">'NARM5 – ED2 actuals'!$M$1439:$Q$1442</definedName>
    <definedName name="Data_Cleansing_Yr5_46">'NARM5 – ED2 actuals'!$M$1471:$Q$1474</definedName>
    <definedName name="Data_Cleansing_Yr5_47">'NARM5 – ED2 actuals'!$M$1503:$Q$1506</definedName>
    <definedName name="Data_Cleansing_Yr5_48">'NARM5 – ED2 actuals'!$M$1535:$Q$1538</definedName>
    <definedName name="Data_Cleansing_Yr5_49">'NARM5 – ED2 actuals'!$M$1567:$Q$1570</definedName>
    <definedName name="Data_Cleansing_Yr5_5">'NARM5 – ED2 actuals'!$M$159:$Q$162</definedName>
    <definedName name="Data_Cleansing_Yr5_50">'NARM5 – ED2 actuals'!$M$1599:$Q$1602</definedName>
    <definedName name="Data_Cleansing_Yr5_51">'NARM5 – ED2 actuals'!$M$1631:$Q$1634</definedName>
    <definedName name="Data_Cleansing_Yr5_52">'NARM5 – ED2 actuals'!$M$1663:$Q$1666</definedName>
    <definedName name="Data_Cleansing_Yr5_53">'NARM5 – ED2 actuals'!$M$1695:$Q$1698</definedName>
    <definedName name="Data_Cleansing_Yr5_54">'NARM5 – ED2 actuals'!$M$1727:$Q$1730</definedName>
    <definedName name="Data_Cleansing_Yr5_55">'NARM5 – ED2 actuals'!$M$1759:$Q$1762</definedName>
    <definedName name="Data_Cleansing_Yr5_56">'NARM5 – ED2 actuals'!$M$1791:$Q$1794</definedName>
    <definedName name="Data_Cleansing_Yr5_57">'NARM5 – ED2 actuals'!$M$1823:$Q$1826</definedName>
    <definedName name="Data_Cleansing_Yr5_58">'NARM5 – ED2 actuals'!$M$1855:$Q$1858</definedName>
    <definedName name="Data_Cleansing_Yr5_59">'NARM5 – ED2 actuals'!$M$1887:$Q$1890</definedName>
    <definedName name="Data_Cleansing_Yr5_6">'NARM5 – ED2 actuals'!$M$191:$Q$194</definedName>
    <definedName name="Data_Cleansing_Yr5_60">'NARM5 – ED2 actuals'!$M$1919:$Q$1922</definedName>
    <definedName name="Data_Cleansing_Yr5_61">'NARM5 – ED2 actuals'!$M$1951:$Q$1954</definedName>
    <definedName name="Data_Cleansing_Yr5_7">'NARM5 – ED2 actuals'!$M$223:$Q$226</definedName>
    <definedName name="Data_Cleansing_Yr5_8">'NARM5 – ED2 actuals'!$M$255:$Q$258</definedName>
    <definedName name="Data_Cleansing_Yr5_9">'NARM5 – ED2 actuals'!$M$287:$Q$290</definedName>
    <definedName name="DataCleansingYr1">'NARM5 – ED2 actuals'!$M$7:$Q$10</definedName>
    <definedName name="Deterioration_total_Yr1_1">'NARM5 – ED2 actuals'!$T$7:$X$10</definedName>
    <definedName name="Deterioration_total_Yr1_10">'NARM5 – ED2 actuals'!$T$295:$X$298</definedName>
    <definedName name="Deterioration_total_Yr1_11">'NARM5 – ED2 actuals'!$T$327:$X$330</definedName>
    <definedName name="Deterioration_total_Yr1_12">'NARM5 – ED2 actuals'!$T$359:$X$362</definedName>
    <definedName name="Deterioration_total_Yr1_13">'NARM5 – ED2 actuals'!$T$391:$X$394</definedName>
    <definedName name="Deterioration_total_Yr1_14">'NARM5 – ED2 actuals'!$T$423:$X$426</definedName>
    <definedName name="Deterioration_total_Yr1_15">'NARM5 – ED2 actuals'!$T$455:$X$458</definedName>
    <definedName name="Deterioration_total_Yr1_16">'NARM5 – ED2 actuals'!$T$487:$X$490</definedName>
    <definedName name="Deterioration_total_Yr1_17">'NARM5 – ED2 actuals'!$T$519:$X$522</definedName>
    <definedName name="Deterioration_total_Yr1_18">'NARM5 – ED2 actuals'!$T$551:$X$554</definedName>
    <definedName name="Deterioration_total_Yr1_19">'NARM5 – ED2 actuals'!$T$583:$X$586</definedName>
    <definedName name="Deterioration_total_Yr1_2">'NARM5 – ED2 actuals'!$T$39:$X$42</definedName>
    <definedName name="Deterioration_total_Yr1_20">'NARM5 – ED2 actuals'!$T$615:$X$618</definedName>
    <definedName name="Deterioration_total_Yr1_21">'NARM5 – ED2 actuals'!$T$647:$X$650</definedName>
    <definedName name="Deterioration_total_Yr1_22">'NARM5 – ED2 actuals'!$T$679:$X$682</definedName>
    <definedName name="Deterioration_total_Yr1_23">'NARM5 – ED2 actuals'!$T$711:$X$714</definedName>
    <definedName name="Deterioration_total_Yr1_24">'NARM5 – ED2 actuals'!$T$743:$X$746</definedName>
    <definedName name="Deterioration_total_Yr1_25">'NARM5 – ED2 actuals'!$T$775:$X$778</definedName>
    <definedName name="Deterioration_total_Yr1_26">'NARM5 – ED2 actuals'!$T$807:$X$810</definedName>
    <definedName name="Deterioration_total_Yr1_27">'NARM5 – ED2 actuals'!$T$839:$X$842</definedName>
    <definedName name="Deterioration_total_Yr1_28">'NARM5 – ED2 actuals'!$T$871:$X$874</definedName>
    <definedName name="Deterioration_total_Yr1_29">'NARM5 – ED2 actuals'!$T$903:$X$906</definedName>
    <definedName name="Deterioration_total_Yr1_3">'NARM5 – ED2 actuals'!$T$71:$X$74</definedName>
    <definedName name="Deterioration_total_Yr1_30">'NARM5 – ED2 actuals'!$T$935:$X$938</definedName>
    <definedName name="Deterioration_total_Yr1_31">'NARM5 – ED2 actuals'!$T$967:$X$970</definedName>
    <definedName name="Deterioration_total_Yr1_32">'NARM5 – ED2 actuals'!$T$999:$X$1002</definedName>
    <definedName name="Deterioration_total_Yr1_33">'NARM5 – ED2 actuals'!$T$1031:$X$1034</definedName>
    <definedName name="Deterioration_total_Yr1_34">'NARM5 – ED2 actuals'!$T$1063:$X$1066</definedName>
    <definedName name="Deterioration_total_Yr1_35">'NARM5 – ED2 actuals'!$T$1095:$X$1098</definedName>
    <definedName name="Deterioration_total_Yr1_36">'NARM5 – ED2 actuals'!$T$1127:$X$1130</definedName>
    <definedName name="Deterioration_total_Yr1_37">'NARM5 – ED2 actuals'!$T$1159:$X$1162</definedName>
    <definedName name="Deterioration_total_Yr1_38">'NARM5 – ED2 actuals'!$T$1191:$X$1194</definedName>
    <definedName name="Deterioration_total_Yr1_39">'NARM5 – ED2 actuals'!$T$1223:$X$1226</definedName>
    <definedName name="Deterioration_total_Yr1_4">'NARM5 – ED2 actuals'!$T$103:$X$106</definedName>
    <definedName name="Deterioration_total_Yr1_40">'NARM5 – ED2 actuals'!$T$1255:$X$1258</definedName>
    <definedName name="Deterioration_total_Yr1_41">'NARM5 – ED2 actuals'!$T$1287:$X$1290</definedName>
    <definedName name="Deterioration_total_Yr1_42">'NARM5 – ED2 actuals'!$T$1319:$X$1322</definedName>
    <definedName name="Deterioration_total_Yr1_43">'NARM5 – ED2 actuals'!$T$1351:$X$1354</definedName>
    <definedName name="Deterioration_total_Yr1_44">'NARM5 – ED2 actuals'!$T$1383:$X$1386</definedName>
    <definedName name="Deterioration_total_Yr1_45">'NARM5 – ED2 actuals'!$T$1415:$X$1418</definedName>
    <definedName name="Deterioration_total_Yr1_46">'NARM5 – ED2 actuals'!$T$1447:$X$1450</definedName>
    <definedName name="Deterioration_total_Yr1_47">'NARM5 – ED2 actuals'!$T$1479:$X$1482</definedName>
    <definedName name="Deterioration_total_Yr1_48">'NARM5 – ED2 actuals'!$T$1511:$X$1514</definedName>
    <definedName name="Deterioration_total_Yr1_49">'NARM5 – ED2 actuals'!$T$1543:$X$1546</definedName>
    <definedName name="Deterioration_total_Yr1_5">'NARM5 – ED2 actuals'!$T$135:$X$138</definedName>
    <definedName name="Deterioration_total_Yr1_50">'NARM5 – ED2 actuals'!$T$1575:$X$1578</definedName>
    <definedName name="Deterioration_total_Yr1_51">'NARM5 – ED2 actuals'!$T$1607:$X$1610</definedName>
    <definedName name="Deterioration_total_Yr1_52">'NARM5 – ED2 actuals'!$T$1639:$X$1642</definedName>
    <definedName name="Deterioration_total_Yr1_53">'NARM5 – ED2 actuals'!$T$1671:$X$1674</definedName>
    <definedName name="Deterioration_total_Yr1_54">'NARM5 – ED2 actuals'!$T$1703:$X$1706</definedName>
    <definedName name="Deterioration_total_Yr1_55">'NARM5 – ED2 actuals'!$T$1735:$X$1738</definedName>
    <definedName name="Deterioration_total_Yr1_56">'NARM5 – ED2 actuals'!$T$1767:$X$1770</definedName>
    <definedName name="Deterioration_total_Yr1_57">'NARM5 – ED2 actuals'!$T$1799:$X$1802</definedName>
    <definedName name="Deterioration_total_Yr1_58">'NARM5 – ED2 actuals'!$T$1831:$X$1834</definedName>
    <definedName name="Deterioration_total_Yr1_59">'NARM5 – ED2 actuals'!$T$1863:$X$1866</definedName>
    <definedName name="Deterioration_total_Yr1_6">'NARM5 – ED2 actuals'!$T$167:$X$170</definedName>
    <definedName name="Deterioration_total_Yr1_60">'NARM5 – ED2 actuals'!$T$1895:$X$1898</definedName>
    <definedName name="Deterioration_total_Yr1_61">'NARM5 – ED2 actuals'!$T$1927:$X$1930</definedName>
    <definedName name="Deterioration_total_Yr1_7">'NARM5 – ED2 actuals'!$T$199:$X$202</definedName>
    <definedName name="Deterioration_total_Yr1_8">'NARM5 – ED2 actuals'!$T$231:$X$234</definedName>
    <definedName name="Deterioration_total_Yr1_9">'NARM5 – ED2 actuals'!$T$263:$X$266</definedName>
    <definedName name="Deterioration_total_Yr2_1">'NARM5 – ED2 actuals'!$T$13:$X$16</definedName>
    <definedName name="Deterioration_total_Yr2_10">'NARM5 – ED2 actuals'!$T$301:$X$304</definedName>
    <definedName name="Deterioration_total_Yr2_11">'NARM5 – ED2 actuals'!$T$333:$X$336</definedName>
    <definedName name="Deterioration_total_Yr2_12">'NARM5 – ED2 actuals'!$T$365:$X$368</definedName>
    <definedName name="Deterioration_total_Yr2_13">'NARM5 – ED2 actuals'!$T$397:$X$400</definedName>
    <definedName name="Deterioration_total_Yr2_14">'NARM5 – ED2 actuals'!$T$429:$X$432</definedName>
    <definedName name="Deterioration_total_Yr2_15">'NARM5 – ED2 actuals'!$T$461:$X$464</definedName>
    <definedName name="Deterioration_total_Yr2_16">'NARM5 – ED2 actuals'!$T$493:$X$496</definedName>
    <definedName name="Deterioration_total_Yr2_17">'NARM5 – ED2 actuals'!$T$525:$X$528</definedName>
    <definedName name="Deterioration_total_Yr2_18">'NARM5 – ED2 actuals'!$T$557:$X$560</definedName>
    <definedName name="Deterioration_total_Yr2_19">'NARM5 – ED2 actuals'!$T$589:$X$592</definedName>
    <definedName name="Deterioration_total_Yr2_2">'NARM5 – ED2 actuals'!$T$45:$X$48</definedName>
    <definedName name="Deterioration_total_Yr2_20">'NARM5 – ED2 actuals'!$T$621:$X$624</definedName>
    <definedName name="Deterioration_total_Yr2_21">'NARM5 – ED2 actuals'!$T$653:$X$656</definedName>
    <definedName name="Deterioration_total_Yr2_22">'NARM5 – ED2 actuals'!$T$685:$X$688</definedName>
    <definedName name="Deterioration_total_Yr2_23">'NARM5 – ED2 actuals'!$T$717:$X$720</definedName>
    <definedName name="Deterioration_total_Yr2_24">'NARM5 – ED2 actuals'!$T$749:$X$752</definedName>
    <definedName name="Deterioration_total_Yr2_25">'NARM5 – ED2 actuals'!$T$781:$X$784</definedName>
    <definedName name="Deterioration_total_Yr2_26">'NARM5 – ED2 actuals'!$T$813:$X$816</definedName>
    <definedName name="Deterioration_total_Yr2_27">'NARM5 – ED2 actuals'!$T$845:$X$848</definedName>
    <definedName name="Deterioration_total_Yr2_28">'NARM5 – ED2 actuals'!$T$877:$X$880</definedName>
    <definedName name="Deterioration_total_Yr2_29">'NARM5 – ED2 actuals'!$T$909:$X$912</definedName>
    <definedName name="Deterioration_total_Yr2_3">'NARM5 – ED2 actuals'!$T$77:$X$80</definedName>
    <definedName name="Deterioration_total_Yr2_30">'NARM5 – ED2 actuals'!$T$941:$X$944</definedName>
    <definedName name="Deterioration_total_Yr2_31">'NARM5 – ED2 actuals'!$T$973:$X$976</definedName>
    <definedName name="Deterioration_total_Yr2_32">'NARM5 – ED2 actuals'!$T$1005:$X$1008</definedName>
    <definedName name="Deterioration_total_Yr2_33">'NARM5 – ED2 actuals'!$T$1037:$X$1040</definedName>
    <definedName name="Deterioration_total_Yr2_34">'NARM5 – ED2 actuals'!$T$1069:$X$1072</definedName>
    <definedName name="Deterioration_total_Yr2_35">'NARM5 – ED2 actuals'!$T$1101:$X$1104</definedName>
    <definedName name="Deterioration_total_Yr2_36">'NARM5 – ED2 actuals'!$T$1133:$X$1136</definedName>
    <definedName name="Deterioration_total_Yr2_37">'NARM5 – ED2 actuals'!$T$1165:$X$1168</definedName>
    <definedName name="Deterioration_total_Yr2_38">'NARM5 – ED2 actuals'!$T$1197:$X$1200</definedName>
    <definedName name="Deterioration_total_Yr2_39">'NARM5 – ED2 actuals'!$T$1229:$X$1232</definedName>
    <definedName name="Deterioration_total_Yr2_4">'NARM5 – ED2 actuals'!$T$109:$X$112</definedName>
    <definedName name="Deterioration_total_Yr2_40">'NARM5 – ED2 actuals'!$T$1261:$X$1264</definedName>
    <definedName name="Deterioration_total_Yr2_41">'NARM5 – ED2 actuals'!$T$1293:$X$1296</definedName>
    <definedName name="Deterioration_total_Yr2_42">'NARM5 – ED2 actuals'!$T$1325:$X$1328</definedName>
    <definedName name="Deterioration_total_Yr2_43">'NARM5 – ED2 actuals'!$T$1357:$X$1360</definedName>
    <definedName name="Deterioration_total_Yr2_44">'NARM5 – ED2 actuals'!$T$1389:$X$1392</definedName>
    <definedName name="Deterioration_total_Yr2_45">'NARM5 – ED2 actuals'!$T$1421:$X$1424</definedName>
    <definedName name="Deterioration_total_Yr2_46">'NARM5 – ED2 actuals'!$T$1453:$X$1456</definedName>
    <definedName name="Deterioration_total_Yr2_47">'NARM5 – ED2 actuals'!$T$1485:$X$1488</definedName>
    <definedName name="Deterioration_total_Yr2_48">'NARM5 – ED2 actuals'!$T$1517:$X$1520</definedName>
    <definedName name="Deterioration_total_Yr2_49">'NARM5 – ED2 actuals'!$T$1549:$X$1552</definedName>
    <definedName name="Deterioration_total_Yr2_5">'NARM5 – ED2 actuals'!$T$141:$X$144</definedName>
    <definedName name="Deterioration_total_Yr2_50">'NARM5 – ED2 actuals'!$T$1581:$X$1584</definedName>
    <definedName name="Deterioration_total_Yr2_51">'NARM5 – ED2 actuals'!$T$1613:$X$1616</definedName>
    <definedName name="Deterioration_total_Yr2_52">'NARM5 – ED2 actuals'!$T$1645:$X$1648</definedName>
    <definedName name="Deterioration_total_Yr2_53">'NARM5 – ED2 actuals'!$T$1677:$X$1680</definedName>
    <definedName name="Deterioration_total_Yr2_54">'NARM5 – ED2 actuals'!$T$1709:$X$1712</definedName>
    <definedName name="Deterioration_total_Yr2_55">'NARM5 – ED2 actuals'!$T$1741:$X$1744</definedName>
    <definedName name="Deterioration_total_Yr2_56">'NARM5 – ED2 actuals'!$T$1773:$X$1776</definedName>
    <definedName name="Deterioration_total_Yr2_57">'NARM5 – ED2 actuals'!$T$1805:$X$1808</definedName>
    <definedName name="Deterioration_total_Yr2_58">'NARM5 – ED2 actuals'!$T$1837:$X$1840</definedName>
    <definedName name="Deterioration_total_Yr2_59">'NARM5 – ED2 actuals'!$T$1869:$X$1872</definedName>
    <definedName name="Deterioration_total_Yr2_6">'NARM5 – ED2 actuals'!$T$173:$X$176</definedName>
    <definedName name="Deterioration_total_Yr2_60">'NARM5 – ED2 actuals'!$T$1901:$X$1904</definedName>
    <definedName name="Deterioration_total_Yr2_61">'NARM5 – ED2 actuals'!$T$1933:$X$1936</definedName>
    <definedName name="Deterioration_total_Yr2_7">'NARM5 – ED2 actuals'!$T$205:$X$208</definedName>
    <definedName name="Deterioration_total_Yr2_8">'NARM5 – ED2 actuals'!$T$237:$X$240</definedName>
    <definedName name="Deterioration_total_Yr2_9">'NARM5 – ED2 actuals'!$T$269:$X$272</definedName>
    <definedName name="Deterioration_total_Yr3_1">'NARM5 – ED2 actuals'!$T$19:$X$22</definedName>
    <definedName name="Deterioration_total_Yr3_10">'NARM5 – ED2 actuals'!$T$307:$X$310</definedName>
    <definedName name="Deterioration_total_Yr3_11">'NARM5 – ED2 actuals'!$T$339:$X$342</definedName>
    <definedName name="Deterioration_total_Yr3_12">'NARM5 – ED2 actuals'!$T$371:$X$374</definedName>
    <definedName name="Deterioration_total_Yr3_13">'NARM5 – ED2 actuals'!$T$403:$X$406</definedName>
    <definedName name="Deterioration_total_Yr3_14">'NARM5 – ED2 actuals'!$T$435:$X$438</definedName>
    <definedName name="Deterioration_total_Yr3_15">'NARM5 – ED2 actuals'!$T$467:$X$470</definedName>
    <definedName name="Deterioration_total_Yr3_16">'NARM5 – ED2 actuals'!$T$499:$X$502</definedName>
    <definedName name="Deterioration_total_Yr3_17">'NARM5 – ED2 actuals'!$T$531:$X$534</definedName>
    <definedName name="Deterioration_total_Yr3_18">'NARM5 – ED2 actuals'!$T$563:$X$566</definedName>
    <definedName name="Deterioration_total_Yr3_19">'NARM5 – ED2 actuals'!$T$595:$X$598</definedName>
    <definedName name="Deterioration_total_Yr3_2">'NARM5 – ED2 actuals'!$T$51:$X$54</definedName>
    <definedName name="Deterioration_total_Yr3_20">'NARM5 – ED2 actuals'!$T$627:$X$630</definedName>
    <definedName name="Deterioration_total_Yr3_21">'NARM5 – ED2 actuals'!$T$659:$X$662</definedName>
    <definedName name="Deterioration_total_Yr3_22">'NARM5 – ED2 actuals'!$T$691:$X$694</definedName>
    <definedName name="Deterioration_total_Yr3_23">'NARM5 – ED2 actuals'!$T$723:$X$726</definedName>
    <definedName name="Deterioration_total_Yr3_24">'NARM5 – ED2 actuals'!$T$755:$X$758</definedName>
    <definedName name="Deterioration_total_Yr3_25">'NARM5 – ED2 actuals'!$T$787:$X$790</definedName>
    <definedName name="Deterioration_total_Yr3_26">'NARM5 – ED2 actuals'!$T$819:$X$822</definedName>
    <definedName name="Deterioration_total_Yr3_27">'NARM5 – ED2 actuals'!$T$851:$X$854</definedName>
    <definedName name="Deterioration_total_Yr3_28">'NARM5 – ED2 actuals'!$T$883:$X$886</definedName>
    <definedName name="Deterioration_total_Yr3_29">'NARM5 – ED2 actuals'!$T$915:$X$918</definedName>
    <definedName name="Deterioration_total_Yr3_3">'NARM5 – ED2 actuals'!$T$83:$X$86</definedName>
    <definedName name="Deterioration_total_Yr3_30">'NARM5 – ED2 actuals'!$T$947:$X$950</definedName>
    <definedName name="Deterioration_total_Yr3_31">'NARM5 – ED2 actuals'!$T$979:$X$982</definedName>
    <definedName name="Deterioration_total_Yr3_32">'NARM5 – ED2 actuals'!$T$1011:$X$1014</definedName>
    <definedName name="Deterioration_total_Yr3_33">'NARM5 – ED2 actuals'!$T$1043:$X$1046</definedName>
    <definedName name="Deterioration_total_Yr3_34">'NARM5 – ED2 actuals'!$T$1075:$X$1078</definedName>
    <definedName name="Deterioration_total_Yr3_35">'NARM5 – ED2 actuals'!$T$1107:$X$1110</definedName>
    <definedName name="Deterioration_total_Yr3_36">'NARM5 – ED2 actuals'!$T$1139:$X$1142</definedName>
    <definedName name="Deterioration_total_Yr3_37">'NARM5 – ED2 actuals'!$T$1171:$X$1174</definedName>
    <definedName name="Deterioration_total_Yr3_38">'NARM5 – ED2 actuals'!$T$1203:$X$1206</definedName>
    <definedName name="Deterioration_total_Yr3_39">'NARM5 – ED2 actuals'!$T$1235:$X$1238</definedName>
    <definedName name="Deterioration_total_Yr3_4">'NARM5 – ED2 actuals'!$T$115:$X$118</definedName>
    <definedName name="Deterioration_total_Yr3_40">'NARM5 – ED2 actuals'!$T$1267:$X$1270</definedName>
    <definedName name="Deterioration_total_Yr3_41">'NARM5 – ED2 actuals'!$T$1299:$X$1302</definedName>
    <definedName name="Deterioration_total_Yr3_42">'NARM5 – ED2 actuals'!$T$1331:$X$1334</definedName>
    <definedName name="Deterioration_total_Yr3_43">'NARM5 – ED2 actuals'!$T$1363:$X$1366</definedName>
    <definedName name="Deterioration_total_Yr3_44">'NARM5 – ED2 actuals'!$T$1395:$X$1398</definedName>
    <definedName name="Deterioration_total_Yr3_45">'NARM5 – ED2 actuals'!$T$1427:$X$1430</definedName>
    <definedName name="Deterioration_total_Yr3_46">'NARM5 – ED2 actuals'!$T$1459:$X$1462</definedName>
    <definedName name="Deterioration_total_Yr3_47">'NARM5 – ED2 actuals'!$T$1491:$X$1494</definedName>
    <definedName name="Deterioration_total_Yr3_48">'NARM5 – ED2 actuals'!$T$1523:$X$1526</definedName>
    <definedName name="Deterioration_total_Yr3_49">'NARM5 – ED2 actuals'!$T$1555:$X$1558</definedName>
    <definedName name="Deterioration_total_Yr3_5">'NARM5 – ED2 actuals'!$T$147:$X$150</definedName>
    <definedName name="Deterioration_total_Yr3_50">'NARM5 – ED2 actuals'!$T$1587:$X$1590</definedName>
    <definedName name="Deterioration_total_Yr3_51">'NARM5 – ED2 actuals'!$T$1619:$X$1622</definedName>
    <definedName name="Deterioration_total_Yr3_52">'NARM5 – ED2 actuals'!$T$1651:$X$1654</definedName>
    <definedName name="Deterioration_total_Yr3_53">'NARM5 – ED2 actuals'!$T$1683:$X$1686</definedName>
    <definedName name="Deterioration_total_Yr3_54">'NARM5 – ED2 actuals'!$T$1715:$X$1718</definedName>
    <definedName name="Deterioration_total_Yr3_55">'NARM5 – ED2 actuals'!$T$1747:$X$1750</definedName>
    <definedName name="Deterioration_total_Yr3_56">'NARM5 – ED2 actuals'!$T$1779:$X$1782</definedName>
    <definedName name="Deterioration_total_Yr3_57">'NARM5 – ED2 actuals'!$T$1811:$X$1814</definedName>
    <definedName name="Deterioration_total_Yr3_58">'NARM5 – ED2 actuals'!$T$1843:$X$1846</definedName>
    <definedName name="Deterioration_total_Yr3_59">'NARM5 – ED2 actuals'!$T$1875:$X$1878</definedName>
    <definedName name="Deterioration_total_Yr3_6">'NARM5 – ED2 actuals'!$T$179:$X$182</definedName>
    <definedName name="Deterioration_total_Yr3_60">'NARM5 – ED2 actuals'!$T$1907:$X$1910</definedName>
    <definedName name="Deterioration_total_Yr3_61">'NARM5 – ED2 actuals'!$T$1939:$X$1942</definedName>
    <definedName name="Deterioration_total_Yr3_7">'NARM5 – ED2 actuals'!$T$211:$X$214</definedName>
    <definedName name="Deterioration_total_Yr3_8">'NARM5 – ED2 actuals'!$T$243:$X$246</definedName>
    <definedName name="Deterioration_total_Yr3_9">'NARM5 – ED2 actuals'!$T$275:$X$278</definedName>
    <definedName name="Deterioration_total_Yr4_1">'NARM5 – ED2 actuals'!$T$25:$X$28</definedName>
    <definedName name="Deterioration_total_Yr4_10">'NARM5 – ED2 actuals'!$T$313:$X$316</definedName>
    <definedName name="Deterioration_total_Yr4_11">'NARM5 – ED2 actuals'!$T$345:$X$348</definedName>
    <definedName name="Deterioration_total_Yr4_12">'NARM5 – ED2 actuals'!$T$377:$X$380</definedName>
    <definedName name="Deterioration_total_Yr4_13">'NARM5 – ED2 actuals'!$T$409:$X$412</definedName>
    <definedName name="Deterioration_total_Yr4_14">'NARM5 – ED2 actuals'!$T$441:$X$444</definedName>
    <definedName name="Deterioration_total_Yr4_15">'NARM5 – ED2 actuals'!$T$473:$X$476</definedName>
    <definedName name="Deterioration_total_Yr4_16">'NARM5 – ED2 actuals'!$T$505:$X$508</definedName>
    <definedName name="Deterioration_total_Yr4_17">'NARM5 – ED2 actuals'!$T$537:$X$540</definedName>
    <definedName name="Deterioration_total_Yr4_18">'NARM5 – ED2 actuals'!$T$569:$X$572</definedName>
    <definedName name="Deterioration_total_Yr4_19">'NARM5 – ED2 actuals'!$T$601:$X$604</definedName>
    <definedName name="Deterioration_total_Yr4_2">'NARM5 – ED2 actuals'!$T$57:$X$60</definedName>
    <definedName name="Deterioration_total_Yr4_20">'NARM5 – ED2 actuals'!$T$633:$X$636</definedName>
    <definedName name="Deterioration_total_Yr4_21">'NARM5 – ED2 actuals'!$T$665:$X$668</definedName>
    <definedName name="Deterioration_total_Yr4_22">'NARM5 – ED2 actuals'!$T$697:$X$700</definedName>
    <definedName name="Deterioration_total_Yr4_23">'NARM5 – ED2 actuals'!$T$729:$X$732</definedName>
    <definedName name="Deterioration_total_Yr4_24">'NARM5 – ED2 actuals'!$T$761:$X$764</definedName>
    <definedName name="Deterioration_total_Yr4_25">'NARM5 – ED2 actuals'!$T$793:$X$796</definedName>
    <definedName name="Deterioration_total_Yr4_26">'NARM5 – ED2 actuals'!$T$825:$X$828</definedName>
    <definedName name="Deterioration_total_Yr4_27">'NARM5 – ED2 actuals'!$T$857:$X$860</definedName>
    <definedName name="Deterioration_total_Yr4_28">'NARM5 – ED2 actuals'!$T$889:$X$892</definedName>
    <definedName name="Deterioration_total_Yr4_29">'NARM5 – ED2 actuals'!$T$921:$X$924</definedName>
    <definedName name="Deterioration_total_Yr4_3">'NARM5 – ED2 actuals'!$T$89:$X$92</definedName>
    <definedName name="Deterioration_total_Yr4_30">'NARM5 – ED2 actuals'!$T$953:$X$956</definedName>
    <definedName name="Deterioration_total_Yr4_31">'NARM5 – ED2 actuals'!$T$985:$X$988</definedName>
    <definedName name="Deterioration_total_Yr4_32">'NARM5 – ED2 actuals'!$T$1017:$X$1020</definedName>
    <definedName name="Deterioration_total_Yr4_33">'NARM5 – ED2 actuals'!$T$1049:$X$1052</definedName>
    <definedName name="Deterioration_total_Yr4_34">'NARM5 – ED2 actuals'!$T$1081:$X$1084</definedName>
    <definedName name="Deterioration_total_Yr4_35">'NARM5 – ED2 actuals'!$T$1113:$X$1116</definedName>
    <definedName name="Deterioration_total_Yr4_36">'NARM5 – ED2 actuals'!$T$1145:$X$1148</definedName>
    <definedName name="Deterioration_total_Yr4_37">'NARM5 – ED2 actuals'!$T$1177:$X$1180</definedName>
    <definedName name="Deterioration_total_Yr4_38">'NARM5 – ED2 actuals'!$T$1209:$X$1212</definedName>
    <definedName name="Deterioration_total_Yr4_39">'NARM5 – ED2 actuals'!$T$1241:$X$1244</definedName>
    <definedName name="Deterioration_total_Yr4_4">'NARM5 – ED2 actuals'!$T$121:$X$124</definedName>
    <definedName name="Deterioration_total_Yr4_40">'NARM5 – ED2 actuals'!$T$1273:$X$1276</definedName>
    <definedName name="Deterioration_total_Yr4_41">'NARM5 – ED2 actuals'!$T$1305:$X$1308</definedName>
    <definedName name="Deterioration_total_Yr4_42">'NARM5 – ED2 actuals'!$T$1337:$X$1340</definedName>
    <definedName name="Deterioration_total_Yr4_43">'NARM5 – ED2 actuals'!$T$1369:$X$1372</definedName>
    <definedName name="Deterioration_total_Yr4_44">'NARM5 – ED2 actuals'!$T$1401:$X$1404</definedName>
    <definedName name="Deterioration_total_Yr4_45">'NARM5 – ED2 actuals'!$T$1433:$X$1436</definedName>
    <definedName name="Deterioration_total_Yr4_46">'NARM5 – ED2 actuals'!$T$1465:$X$1468</definedName>
    <definedName name="Deterioration_total_Yr4_47">'NARM5 – ED2 actuals'!$T$1497:$X$1500</definedName>
    <definedName name="Deterioration_total_Yr4_48">'NARM5 – ED2 actuals'!$T$1529:$X$1532</definedName>
    <definedName name="Deterioration_total_Yr4_49">'NARM5 – ED2 actuals'!$T$1561:$X$1564</definedName>
    <definedName name="Deterioration_total_Yr4_5">'NARM5 – ED2 actuals'!$T$153:$X$156</definedName>
    <definedName name="Deterioration_total_Yr4_50">'NARM5 – ED2 actuals'!$T$1593:$X$1596</definedName>
    <definedName name="Deterioration_total_Yr4_51">'NARM5 – ED2 actuals'!$T$1625:$X$1628</definedName>
    <definedName name="Deterioration_total_Yr4_52">'NARM5 – ED2 actuals'!$T$1657:$X$1660</definedName>
    <definedName name="Deterioration_total_Yr4_53">'NARM5 – ED2 actuals'!$T$1689:$X$1692</definedName>
    <definedName name="Deterioration_total_Yr4_54">'NARM5 – ED2 actuals'!$T$1721:$X$1724</definedName>
    <definedName name="Deterioration_total_Yr4_55">'NARM5 – ED2 actuals'!$T$1753:$X$1756</definedName>
    <definedName name="Deterioration_total_Yr4_56">'NARM5 – ED2 actuals'!$T$1785:$X$1788</definedName>
    <definedName name="Deterioration_total_Yr4_57">'NARM5 – ED2 actuals'!$T$1817:$X$1820</definedName>
    <definedName name="Deterioration_total_Yr4_58">'NARM5 – ED2 actuals'!$T$1849:$X$1852</definedName>
    <definedName name="Deterioration_total_Yr4_59">'NARM5 – ED2 actuals'!$T$1881:$X$1884</definedName>
    <definedName name="Deterioration_total_Yr4_6">'NARM5 – ED2 actuals'!$T$185:$X$188</definedName>
    <definedName name="Deterioration_total_Yr4_60">'NARM5 – ED2 actuals'!$T$1913:$X$1916</definedName>
    <definedName name="Deterioration_total_Yr4_61">'NARM5 – ED2 actuals'!$T$1945:$X$1948</definedName>
    <definedName name="Deterioration_total_Yr4_7">'NARM5 – ED2 actuals'!$T$217:$X$220</definedName>
    <definedName name="Deterioration_total_Yr4_8">'NARM5 – ED2 actuals'!$T$249:$X$252</definedName>
    <definedName name="Deterioration_total_Yr4_9">'NARM5 – ED2 actuals'!$T$281:$X$284</definedName>
    <definedName name="Deterioration_total_Yr5_1">'NARM5 – ED2 actuals'!$T$31:$X$34</definedName>
    <definedName name="Deterioration_total_Yr5_10">'NARM5 – ED2 actuals'!$T$319:$X$322</definedName>
    <definedName name="Deterioration_total_Yr5_11">'NARM5 – ED2 actuals'!$T$351:$X$354</definedName>
    <definedName name="Deterioration_total_Yr5_12">'NARM5 – ED2 actuals'!$T$383:$X$386</definedName>
    <definedName name="Deterioration_total_Yr5_13">'NARM5 – ED2 actuals'!$T$415:$X$418</definedName>
    <definedName name="Deterioration_total_Yr5_14">'NARM5 – ED2 actuals'!$T$447:$X$450</definedName>
    <definedName name="Deterioration_total_Yr5_15">'NARM5 – ED2 actuals'!$T$479:$X$482</definedName>
    <definedName name="Deterioration_total_Yr5_16">'NARM5 – ED2 actuals'!$T$511:$X$514</definedName>
    <definedName name="Deterioration_total_Yr5_17">'NARM5 – ED2 actuals'!$T$543:$X$546</definedName>
    <definedName name="Deterioration_total_Yr5_18">'NARM5 – ED2 actuals'!$T$575:$X$578</definedName>
    <definedName name="Deterioration_total_Yr5_19">'NARM5 – ED2 actuals'!$T$607:$X$610</definedName>
    <definedName name="Deterioration_total_Yr5_2">'NARM5 – ED2 actuals'!$T$63:$X$66</definedName>
    <definedName name="Deterioration_total_Yr5_20">'NARM5 – ED2 actuals'!$T$639:$X$642</definedName>
    <definedName name="Deterioration_total_Yr5_21">'NARM5 – ED2 actuals'!$T$671:$X$674</definedName>
    <definedName name="Deterioration_total_Yr5_22">'NARM5 – ED2 actuals'!$T$703:$X$706</definedName>
    <definedName name="Deterioration_total_Yr5_23">'NARM5 – ED2 actuals'!$T$735:$X$738</definedName>
    <definedName name="Deterioration_total_Yr5_24">'NARM5 – ED2 actuals'!$T$767:$X$770</definedName>
    <definedName name="Deterioration_total_Yr5_25">'NARM5 – ED2 actuals'!$T$799:$X$802</definedName>
    <definedName name="Deterioration_total_Yr5_26">'NARM5 – ED2 actuals'!$T$831:$X$834</definedName>
    <definedName name="Deterioration_total_Yr5_27">'NARM5 – ED2 actuals'!$T$863:$X$866</definedName>
    <definedName name="Deterioration_total_Yr5_28">'NARM5 – ED2 actuals'!$T$895:$X$898</definedName>
    <definedName name="Deterioration_total_Yr5_29">'NARM5 – ED2 actuals'!$T$927:$X$930</definedName>
    <definedName name="Deterioration_total_Yr5_3">'NARM5 – ED2 actuals'!$T$95:$X$98</definedName>
    <definedName name="Deterioration_total_Yr5_30">'NARM5 – ED2 actuals'!$T$959:$X$962</definedName>
    <definedName name="Deterioration_total_Yr5_31">'NARM5 – ED2 actuals'!$T$991:$X$994</definedName>
    <definedName name="Deterioration_total_Yr5_32">'NARM5 – ED2 actuals'!$T$1023:$X$1026</definedName>
    <definedName name="Deterioration_total_Yr5_33">'NARM5 – ED2 actuals'!$T$1055:$X$1058</definedName>
    <definedName name="Deterioration_total_Yr5_34">'NARM5 – ED2 actuals'!$T$1087:$X$1090</definedName>
    <definedName name="Deterioration_total_Yr5_35">'NARM5 – ED2 actuals'!$T$1119:$X$1122</definedName>
    <definedName name="Deterioration_total_Yr5_36">'NARM5 – ED2 actuals'!$T$1151:$X$1154</definedName>
    <definedName name="Deterioration_total_Yr5_37">'NARM5 – ED2 actuals'!$T$1183:$X$1186</definedName>
    <definedName name="Deterioration_total_Yr5_38">'NARM5 – ED2 actuals'!$T$1215:$X$1218</definedName>
    <definedName name="Deterioration_total_Yr5_39">'NARM5 – ED2 actuals'!$T$1247:$X$1250</definedName>
    <definedName name="Deterioration_total_Yr5_4">'NARM5 – ED2 actuals'!$T$127:$X$130</definedName>
    <definedName name="Deterioration_total_Yr5_40">'NARM5 – ED2 actuals'!$T$1279:$X$1282</definedName>
    <definedName name="Deterioration_total_Yr5_41">'NARM5 – ED2 actuals'!$T$1311:$X$1314</definedName>
    <definedName name="Deterioration_total_Yr5_42">'NARM5 – ED2 actuals'!$T$1343:$X$1346</definedName>
    <definedName name="Deterioration_total_Yr5_43">'NARM5 – ED2 actuals'!$T$1375:$X$1378</definedName>
    <definedName name="Deterioration_total_Yr5_44">'NARM5 – ED2 actuals'!$T$1407:$X$1410</definedName>
    <definedName name="Deterioration_total_Yr5_45">'NARM5 – ED2 actuals'!$T$1439:$X$1442</definedName>
    <definedName name="Deterioration_total_Yr5_46">'NARM5 – ED2 actuals'!$T$1471:$X$1474</definedName>
    <definedName name="Deterioration_total_Yr5_47">'NARM5 – ED2 actuals'!$T$1503:$X$1506</definedName>
    <definedName name="Deterioration_total_Yr5_48">'NARM5 – ED2 actuals'!$T$1535:$X$1538</definedName>
    <definedName name="Deterioration_total_Yr5_49">'NARM5 – ED2 actuals'!$T$1567:$X$1570</definedName>
    <definedName name="Deterioration_total_Yr5_5">'NARM5 – ED2 actuals'!$T$159:$X$162</definedName>
    <definedName name="Deterioration_total_Yr5_50">'NARM5 – ED2 actuals'!$T$1599:$X$1602</definedName>
    <definedName name="Deterioration_total_Yr5_51">'NARM5 – ED2 actuals'!$T$1631:$X$1634</definedName>
    <definedName name="Deterioration_total_Yr5_52">'NARM5 – ED2 actuals'!$T$1663:$X$1666</definedName>
    <definedName name="Deterioration_total_Yr5_53">'NARM5 – ED2 actuals'!$T$1695:$X$1698</definedName>
    <definedName name="Deterioration_total_Yr5_54">'NARM5 – ED2 actuals'!$T$1727:$X$1730</definedName>
    <definedName name="Deterioration_total_Yr5_55">'NARM5 – ED2 actuals'!$T$1759:$X$1762</definedName>
    <definedName name="Deterioration_total_Yr5_56">'NARM5 – ED2 actuals'!$T$1791:$X$1794</definedName>
    <definedName name="Deterioration_total_Yr5_57">'NARM5 – ED2 actuals'!$T$1823:$X$1826</definedName>
    <definedName name="Deterioration_total_Yr5_58">'NARM5 – ED2 actuals'!$T$1855:$X$1858</definedName>
    <definedName name="Deterioration_total_Yr5_59">'NARM5 – ED2 actuals'!$T$1887:$X$1890</definedName>
    <definedName name="Deterioration_total_Yr5_6">'NARM5 – ED2 actuals'!$T$191:$X$194</definedName>
    <definedName name="Deterioration_total_Yr5_60">'NARM5 – ED2 actuals'!$T$1919:$X$1922</definedName>
    <definedName name="Deterioration_total_Yr5_61">'NARM5 – ED2 actuals'!$T$1951:$X$1954</definedName>
    <definedName name="Deterioration_total_Yr5_7">'NARM5 – ED2 actuals'!$T$223:$X$226</definedName>
    <definedName name="Deterioration_total_Yr5_8">'NARM5 – ED2 actuals'!$T$255:$X$258</definedName>
    <definedName name="Deterioration_total_Yr5_9">'NARM5 – ED2 actuals'!$T$287:$X$290</definedName>
    <definedName name="Deterioration_yr1_1">'NARM5 – ED2 actuals'!$Y$7:$Y$10</definedName>
    <definedName name="Deterioration_yr1_10">'NARM5 – ED2 actuals'!$Y$295:$Y$298</definedName>
    <definedName name="Deterioration_yr1_11">'NARM5 – ED2 actuals'!$Y$327:$Y$330</definedName>
    <definedName name="Deterioration_yr1_12">'NARM5 – ED2 actuals'!$Y$359:$Y$362</definedName>
    <definedName name="Deterioration_yr1_13">'NARM5 – ED2 actuals'!$Y$391:$Y$394</definedName>
    <definedName name="Deterioration_yr1_14">'NARM5 – ED2 actuals'!$Y$423:$Y$426</definedName>
    <definedName name="Deterioration_yr1_15">'NARM5 – ED2 actuals'!$Y$455:$Y$458</definedName>
    <definedName name="Deterioration_yr1_16">'NARM5 – ED2 actuals'!$Y$487:$Y$490</definedName>
    <definedName name="Deterioration_yr1_17">'NARM5 – ED2 actuals'!$Y$519:$Y$522</definedName>
    <definedName name="Deterioration_yr1_18">'NARM5 – ED2 actuals'!$Y$551:$Y$554</definedName>
    <definedName name="Deterioration_yr1_19">'NARM5 – ED2 actuals'!$Y$583:$Y$586</definedName>
    <definedName name="Deterioration_yr1_2">'NARM5 – ED2 actuals'!$Y$39:$Y$42</definedName>
    <definedName name="Deterioration_yr1_20">'NARM5 – ED2 actuals'!$Y$615:$Y$618</definedName>
    <definedName name="Deterioration_yr1_21">'NARM5 – ED2 actuals'!$Y$647:$Y$650</definedName>
    <definedName name="Deterioration_yr1_22">'NARM5 – ED2 actuals'!$Y$679:$Y$682</definedName>
    <definedName name="Deterioration_yr1_23">'NARM5 – ED2 actuals'!$Y$711:$Y$714</definedName>
    <definedName name="Deterioration_yr1_24">'NARM5 – ED2 actuals'!$Y$743:$Y$746</definedName>
    <definedName name="Deterioration_yr1_25">'NARM5 – ED2 actuals'!$Y$775:$Y$778</definedName>
    <definedName name="Deterioration_yr1_26">'NARM5 – ED2 actuals'!$Y$807:$Y$810</definedName>
    <definedName name="Deterioration_yr1_27">'NARM5 – ED2 actuals'!$Y$839:$Y$842</definedName>
    <definedName name="Deterioration_yr1_28">'NARM5 – ED2 actuals'!$Y$871:$Y$874</definedName>
    <definedName name="Deterioration_yr1_29">'NARM5 – ED2 actuals'!$Y$903:$Y$906</definedName>
    <definedName name="Deterioration_yr1_3">'NARM5 – ED2 actuals'!$Y$71:$Y$74</definedName>
    <definedName name="Deterioration_yr1_30">'NARM5 – ED2 actuals'!$Y$935:$Y$938</definedName>
    <definedName name="Deterioration_yr1_31">'NARM5 – ED2 actuals'!$Y$967:$Y$970</definedName>
    <definedName name="Deterioration_yr1_32">'NARM5 – ED2 actuals'!$Y$999:$Y$1002</definedName>
    <definedName name="Deterioration_yr1_33">'NARM5 – ED2 actuals'!$Y$1031:$Y$1034</definedName>
    <definedName name="Deterioration_yr1_34">'NARM5 – ED2 actuals'!$Y$1063:$Y$1066</definedName>
    <definedName name="Deterioration_yr1_35">'NARM5 – ED2 actuals'!$Y$1095:$Y$1098</definedName>
    <definedName name="Deterioration_yr1_36">'NARM5 – ED2 actuals'!$Y$1127:$Y$1130</definedName>
    <definedName name="Deterioration_yr1_37">'NARM5 – ED2 actuals'!$Y$1159:$Y$1162</definedName>
    <definedName name="Deterioration_yr1_38">'NARM5 – ED2 actuals'!$Y$1191:$Y$1194</definedName>
    <definedName name="Deterioration_yr1_39">'NARM5 – ED2 actuals'!$Y$1223:$Y$1226</definedName>
    <definedName name="Deterioration_yr1_4">'NARM5 – ED2 actuals'!$Y$103:$Y$106</definedName>
    <definedName name="Deterioration_yr1_40">'NARM5 – ED2 actuals'!$Y$1255:$Y$1258</definedName>
    <definedName name="Deterioration_yr1_41">'NARM5 – ED2 actuals'!$Y$1287:$Y$1290</definedName>
    <definedName name="Deterioration_yr1_42">'NARM5 – ED2 actuals'!$Y$1319:$Y$1322</definedName>
    <definedName name="Deterioration_yr1_43">'NARM5 – ED2 actuals'!$Y$1351:$Y$1354</definedName>
    <definedName name="Deterioration_yr1_44">'NARM5 – ED2 actuals'!$Y$1383:$Y$1386</definedName>
    <definedName name="Deterioration_yr1_45">'NARM5 – ED2 actuals'!$Y$1415:$Y$1418</definedName>
    <definedName name="Deterioration_yr1_46">'NARM5 – ED2 actuals'!$Y$1447:$Y$1450</definedName>
    <definedName name="Deterioration_yr1_47">'NARM5 – ED2 actuals'!$Y$1479:$Y$1482</definedName>
    <definedName name="Deterioration_yr1_48">'NARM5 – ED2 actuals'!$Y$1511:$Y$1514</definedName>
    <definedName name="Deterioration_yr1_49">'NARM5 – ED2 actuals'!$Y$1543:$Y$1546</definedName>
    <definedName name="Deterioration_yr1_5">'NARM5 – ED2 actuals'!$Y$135:$Y$138</definedName>
    <definedName name="Deterioration_yr1_50">'NARM5 – ED2 actuals'!$Y$1575:$Y$1578</definedName>
    <definedName name="Deterioration_yr1_51">'NARM5 – ED2 actuals'!$Y$1607:$Y$1610</definedName>
    <definedName name="Deterioration_yr1_52">'NARM5 – ED2 actuals'!$Y$1639:$Y$1642</definedName>
    <definedName name="Deterioration_yr1_53">'NARM5 – ED2 actuals'!$Y$1671:$Y$1674</definedName>
    <definedName name="Deterioration_yr1_54">'NARM5 – ED2 actuals'!$Y$1703:$Y$1706</definedName>
    <definedName name="Deterioration_yr1_55">'NARM5 – ED2 actuals'!$Y$1735:$Y$1738</definedName>
    <definedName name="Deterioration_yr1_56">'NARM5 – ED2 actuals'!$Y$1767:$Y$1770</definedName>
    <definedName name="Deterioration_yr1_57">'NARM5 – ED2 actuals'!$Y$1799:$Y$1802</definedName>
    <definedName name="Deterioration_yr1_58">'NARM5 – ED2 actuals'!$Y$1831:$Y$1834</definedName>
    <definedName name="Deterioration_yr1_59">'NARM5 – ED2 actuals'!$Y$1863:$Y$1866</definedName>
    <definedName name="Deterioration_yr1_6">'NARM5 – ED2 actuals'!$Y$167:$Y$170</definedName>
    <definedName name="Deterioration_yr1_60">'NARM5 – ED2 actuals'!$Y$1895:$Y$1898</definedName>
    <definedName name="Deterioration_yr1_61">'NARM5 – ED2 actuals'!$Y$1927:$Y$1930</definedName>
    <definedName name="Deterioration_yr1_7">'NARM5 – ED2 actuals'!$Y$199:$Y$202</definedName>
    <definedName name="Deterioration_yr1_8">'NARM5 – ED2 actuals'!$Y$231:$Y$234</definedName>
    <definedName name="Deterioration_yr1_9">'NARM5 – ED2 actuals'!$Y$263:$Y$266</definedName>
    <definedName name="Deterioration_yr2_1">'NARM5 – ED2 actuals'!$Y$13:$Y$16</definedName>
    <definedName name="Deterioration_yr2_10">'NARM5 – ED2 actuals'!$Y$301:$Y$304</definedName>
    <definedName name="Deterioration_yr2_11">'NARM5 – ED2 actuals'!$Y$333:$Y$336</definedName>
    <definedName name="Deterioration_yr2_12">'NARM5 – ED2 actuals'!$Y$365:$Y$368</definedName>
    <definedName name="Deterioration_yr2_13">'NARM5 – ED2 actuals'!$Y$397:$Y$400</definedName>
    <definedName name="Deterioration_yr2_14">'NARM5 – ED2 actuals'!$Y$429:$Y$432</definedName>
    <definedName name="Deterioration_yr2_15">'NARM5 – ED2 actuals'!$Y$461:$Y$464</definedName>
    <definedName name="Deterioration_yr2_16">'NARM5 – ED2 actuals'!$Y$493:$Y$496</definedName>
    <definedName name="Deterioration_yr2_17">'NARM5 – ED2 actuals'!$Y$525:$Y$528</definedName>
    <definedName name="Deterioration_yr2_18">'NARM5 – ED2 actuals'!$Y$557:$Y$560</definedName>
    <definedName name="Deterioration_yr2_19">'NARM5 – ED2 actuals'!$Y$589:$Y$592</definedName>
    <definedName name="Deterioration_yr2_2">'NARM5 – ED2 actuals'!$Y$45:$Y$48</definedName>
    <definedName name="Deterioration_yr2_20">'NARM5 – ED2 actuals'!$Y$621:$Y$624</definedName>
    <definedName name="Deterioration_yr2_21">'NARM5 – ED2 actuals'!$Y$653:$Y$656</definedName>
    <definedName name="Deterioration_yr2_22">'NARM5 – ED2 actuals'!$Y$685:$Y$688</definedName>
    <definedName name="Deterioration_yr2_23">'NARM5 – ED2 actuals'!$Y$717:$Y$720</definedName>
    <definedName name="Deterioration_yr2_24">'NARM5 – ED2 actuals'!$Y$749:$Y$752</definedName>
    <definedName name="Deterioration_yr2_25">'NARM5 – ED2 actuals'!$Y$781:$Y$784</definedName>
    <definedName name="Deterioration_yr2_26">'NARM5 – ED2 actuals'!$Y$813:$Y$816</definedName>
    <definedName name="Deterioration_yr2_27">'NARM5 – ED2 actuals'!$Y$845:$Y$848</definedName>
    <definedName name="Deterioration_yr2_28">'NARM5 – ED2 actuals'!$Y$877:$Y$880</definedName>
    <definedName name="Deterioration_yr2_29">'NARM5 – ED2 actuals'!$Y$909:$Y$912</definedName>
    <definedName name="Deterioration_yr2_3">'NARM5 – ED2 actuals'!$Y$77:$Y$80</definedName>
    <definedName name="Deterioration_yr2_30">'NARM5 – ED2 actuals'!$Y$941:$Y$944</definedName>
    <definedName name="Deterioration_yr2_31">'NARM5 – ED2 actuals'!$Y$973:$Y$976</definedName>
    <definedName name="Deterioration_yr2_32">'NARM5 – ED2 actuals'!$Y$1005:$Y$1008</definedName>
    <definedName name="Deterioration_yr2_33">'NARM5 – ED2 actuals'!$Y$1037:$Y$1040</definedName>
    <definedName name="Deterioration_yr2_34">'NARM5 – ED2 actuals'!$Y$1069:$Y$1072</definedName>
    <definedName name="Deterioration_yr2_35">'NARM5 – ED2 actuals'!$Y$1101:$Y$1104</definedName>
    <definedName name="Deterioration_yr2_36">'NARM5 – ED2 actuals'!$Y$1133:$Y$1136</definedName>
    <definedName name="Deterioration_yr2_37">'NARM5 – ED2 actuals'!$Y$1165:$Y$1168</definedName>
    <definedName name="Deterioration_yr2_38">'NARM5 – ED2 actuals'!$Y$1197:$Y$1200</definedName>
    <definedName name="Deterioration_yr2_39">'NARM5 – ED2 actuals'!$Y$1229:$Y$1232</definedName>
    <definedName name="Deterioration_yr2_4">'NARM5 – ED2 actuals'!$Y$109:$Y$112</definedName>
    <definedName name="Deterioration_yr2_40">'NARM5 – ED2 actuals'!$Y$1261:$Y$1264</definedName>
    <definedName name="Deterioration_yr2_41">'NARM5 – ED2 actuals'!$Y$1293:$Y$1296</definedName>
    <definedName name="Deterioration_yr2_42">'NARM5 – ED2 actuals'!$Y$1325:$Y$1328</definedName>
    <definedName name="Deterioration_yr2_43">'NARM5 – ED2 actuals'!$Y$1357:$Y$1360</definedName>
    <definedName name="Deterioration_yr2_44">'NARM5 – ED2 actuals'!$Y$1389:$Y$1392</definedName>
    <definedName name="Deterioration_yr2_45">'NARM5 – ED2 actuals'!$Y$1421:$Y$1424</definedName>
    <definedName name="Deterioration_yr2_46">'NARM5 – ED2 actuals'!$Y$1453:$Y$1456</definedName>
    <definedName name="Deterioration_yr2_47">'NARM5 – ED2 actuals'!$Y$1485:$Y$1488</definedName>
    <definedName name="Deterioration_yr2_48">'NARM5 – ED2 actuals'!$Y$1517:$Y$1520</definedName>
    <definedName name="Deterioration_yr2_49">'NARM5 – ED2 actuals'!$Y$1549:$Y$1552</definedName>
    <definedName name="Deterioration_yr2_5">'NARM5 – ED2 actuals'!$Y$141:$Y$144</definedName>
    <definedName name="Deterioration_yr2_50">'NARM5 – ED2 actuals'!$Y$1581:$Y$1584</definedName>
    <definedName name="Deterioration_yr2_51">'NARM5 – ED2 actuals'!$Y$1613:$Y$1616</definedName>
    <definedName name="Deterioration_yr2_52">'NARM5 – ED2 actuals'!$Y$1645:$Y$1648</definedName>
    <definedName name="Deterioration_yr2_53">'NARM5 – ED2 actuals'!$Y$1677:$Y$1680</definedName>
    <definedName name="Deterioration_yr2_54">'NARM5 – ED2 actuals'!$Y$1709:$Y$1712</definedName>
    <definedName name="Deterioration_yr2_55">'NARM5 – ED2 actuals'!$Y$1741:$Y$1744</definedName>
    <definedName name="Deterioration_yr2_56">'NARM5 – ED2 actuals'!$Y$1773:$Y$1776</definedName>
    <definedName name="Deterioration_yr2_57">'NARM5 – ED2 actuals'!$Y$1805:$Y$1808</definedName>
    <definedName name="Deterioration_yr2_58">'NARM5 – ED2 actuals'!$Y$1837:$Y$1840</definedName>
    <definedName name="Deterioration_yr2_59">'NARM5 – ED2 actuals'!$Y$1869:$Y$1872</definedName>
    <definedName name="Deterioration_yr2_6">'NARM5 – ED2 actuals'!$Y$173:$Y$176</definedName>
    <definedName name="Deterioration_yr2_60">'NARM5 – ED2 actuals'!$Y$1901:$Y$1904</definedName>
    <definedName name="Deterioration_yr2_61">'NARM5 – ED2 actuals'!$Y$1933:$Y$1936</definedName>
    <definedName name="Deterioration_yr2_7">'NARM5 – ED2 actuals'!$Y$205:$Y$208</definedName>
    <definedName name="Deterioration_yr2_8">'NARM5 – ED2 actuals'!$Y$237:$Y$240</definedName>
    <definedName name="Deterioration_yr2_9">'NARM5 – ED2 actuals'!$Y$269:$Y$272</definedName>
    <definedName name="Deterioration_yr3_1">'NARM5 – ED2 actuals'!$Y$19:$Y$22</definedName>
    <definedName name="Deterioration_yr3_10">'NARM5 – ED2 actuals'!$Y$307:$Y$310</definedName>
    <definedName name="Deterioration_yr3_11">'NARM5 – ED2 actuals'!$Y$339:$Y$342</definedName>
    <definedName name="Deterioration_yr3_12">'NARM5 – ED2 actuals'!$Y$371:$Y$374</definedName>
    <definedName name="Deterioration_yr3_13">'NARM5 – ED2 actuals'!$Y$403:$Y$406</definedName>
    <definedName name="Deterioration_yr3_14">'NARM5 – ED2 actuals'!$Y$435:$Y$438</definedName>
    <definedName name="Deterioration_yr3_15">'NARM5 – ED2 actuals'!$Y$467:$Y$470</definedName>
    <definedName name="Deterioration_yr3_16">'NARM5 – ED2 actuals'!$Y$499:$Y$502</definedName>
    <definedName name="Deterioration_yr3_17">'NARM5 – ED2 actuals'!$Y$531:$Y$534</definedName>
    <definedName name="Deterioration_yr3_18">'NARM5 – ED2 actuals'!$Y$563:$Y$566</definedName>
    <definedName name="Deterioration_yr3_19">'NARM5 – ED2 actuals'!$Y$595:$Y$598</definedName>
    <definedName name="Deterioration_yr3_2">'NARM5 – ED2 actuals'!$Y$51:$Y$54</definedName>
    <definedName name="Deterioration_yr3_20">'NARM5 – ED2 actuals'!$Y$627:$Y$630</definedName>
    <definedName name="Deterioration_yr3_21">'NARM5 – ED2 actuals'!$Y$659:$Y$662</definedName>
    <definedName name="Deterioration_yr3_22">'NARM5 – ED2 actuals'!$Y$691:$Y$694</definedName>
    <definedName name="Deterioration_yr3_23">'NARM5 – ED2 actuals'!$Y$723:$Y$726</definedName>
    <definedName name="Deterioration_yr3_24">'NARM5 – ED2 actuals'!$Y$755:$Y$758</definedName>
    <definedName name="Deterioration_yr3_25">'NARM5 – ED2 actuals'!$Y$787:$Y$790</definedName>
    <definedName name="Deterioration_yr3_26">'NARM5 – ED2 actuals'!$Y$819:$Y$822</definedName>
    <definedName name="Deterioration_yr3_27">'NARM5 – ED2 actuals'!$Y$851:$Y$854</definedName>
    <definedName name="Deterioration_yr3_28">'NARM5 – ED2 actuals'!$Y$883:$Y$886</definedName>
    <definedName name="Deterioration_yr3_29">'NARM5 – ED2 actuals'!$Y$915:$Y$918</definedName>
    <definedName name="Deterioration_yr3_3">'NARM5 – ED2 actuals'!$Y$83:$Y$86</definedName>
    <definedName name="Deterioration_yr3_30">'NARM5 – ED2 actuals'!$Y$947:$Y$950</definedName>
    <definedName name="Deterioration_yr3_31">'NARM5 – ED2 actuals'!$Y$979:$Y$982</definedName>
    <definedName name="Deterioration_yr3_32">'NARM5 – ED2 actuals'!$Y$1011:$Y$1014</definedName>
    <definedName name="Deterioration_yr3_33">'NARM5 – ED2 actuals'!$Y$1043:$Y$1046</definedName>
    <definedName name="Deterioration_yr3_34">'NARM5 – ED2 actuals'!$Y$1075:$Y$1078</definedName>
    <definedName name="Deterioration_yr3_35">'NARM5 – ED2 actuals'!$Y$1107:$Y$1110</definedName>
    <definedName name="Deterioration_yr3_36">'NARM5 – ED2 actuals'!$Y$1139:$Y$1142</definedName>
    <definedName name="Deterioration_yr3_37">'NARM5 – ED2 actuals'!$Y$1171:$Y$1174</definedName>
    <definedName name="Deterioration_yr3_38">'NARM5 – ED2 actuals'!$Y$1203:$Y$1206</definedName>
    <definedName name="Deterioration_yr3_39">'NARM5 – ED2 actuals'!$Y$1235:$Y$1238</definedName>
    <definedName name="Deterioration_yr3_4">'NARM5 – ED2 actuals'!$Y$115:$Y$118</definedName>
    <definedName name="Deterioration_yr3_40">'NARM5 – ED2 actuals'!$Y$1267:$Y$1270</definedName>
    <definedName name="Deterioration_yr3_41">'NARM5 – ED2 actuals'!$Y$1299:$Y$1302</definedName>
    <definedName name="Deterioration_yr3_42">'NARM5 – ED2 actuals'!$Y$1331:$Y$1334</definedName>
    <definedName name="Deterioration_yr3_43">'NARM5 – ED2 actuals'!$Y$1363:$Y$1366</definedName>
    <definedName name="Deterioration_yr3_44">'NARM5 – ED2 actuals'!$Y$1395:$Y$1398</definedName>
    <definedName name="Deterioration_yr3_45">'NARM5 – ED2 actuals'!$Y$1427:$Y$1430</definedName>
    <definedName name="Deterioration_yr3_46">'NARM5 – ED2 actuals'!$Y$1459:$Y$1462</definedName>
    <definedName name="Deterioration_yr3_47">'NARM5 – ED2 actuals'!$Y$1491:$Y$1494</definedName>
    <definedName name="Deterioration_yr3_48">'NARM5 – ED2 actuals'!$Y$1523:$Y$1526</definedName>
    <definedName name="Deterioration_yr3_49">'NARM5 – ED2 actuals'!$Y$1555:$Y$1558</definedName>
    <definedName name="Deterioration_yr3_5">'NARM5 – ED2 actuals'!$Y$147:$Y$150</definedName>
    <definedName name="Deterioration_yr3_50">'NARM5 – ED2 actuals'!$Y$1587:$Y$1590</definedName>
    <definedName name="Deterioration_yr3_51">'NARM5 – ED2 actuals'!$Y$1619:$Y$1622</definedName>
    <definedName name="Deterioration_yr3_52">'NARM5 – ED2 actuals'!$Y$1651:$Y$1654</definedName>
    <definedName name="Deterioration_yr3_53">'NARM5 – ED2 actuals'!$Y$1683:$Y$1686</definedName>
    <definedName name="Deterioration_yr3_54">'NARM5 – ED2 actuals'!$Y$1715:$Y$1718</definedName>
    <definedName name="Deterioration_yr3_55">'NARM5 – ED2 actuals'!$Y$1747:$Y$1750</definedName>
    <definedName name="Deterioration_yr3_56">'NARM5 – ED2 actuals'!$Y$1779:$Y$1782</definedName>
    <definedName name="Deterioration_yr3_57">'NARM5 – ED2 actuals'!$Y$1811:$Y$1814</definedName>
    <definedName name="Deterioration_yr3_58">'NARM5 – ED2 actuals'!$Y$1843:$Y$1846</definedName>
    <definedName name="Deterioration_yr3_59">'NARM5 – ED2 actuals'!$Y$1875:$Y$1878</definedName>
    <definedName name="Deterioration_yr3_6">'NARM5 – ED2 actuals'!$Y$179:$Y$182</definedName>
    <definedName name="Deterioration_yr3_60">'NARM5 – ED2 actuals'!$Y$1907:$Y$1910</definedName>
    <definedName name="Deterioration_yr3_61">'NARM5 – ED2 actuals'!$Y$1939:$Y$1942</definedName>
    <definedName name="Deterioration_yr3_7">'NARM5 – ED2 actuals'!$Y$211:$Y$214</definedName>
    <definedName name="Deterioration_yr3_8">'NARM5 – ED2 actuals'!$Y$243:$Y$246</definedName>
    <definedName name="Deterioration_yr3_9">'NARM5 – ED2 actuals'!$Y$275:$Y$278</definedName>
    <definedName name="Deterioration_yr4_1">'NARM5 – ED2 actuals'!$Y$25:$Y$28</definedName>
    <definedName name="Deterioration_yr4_10">'NARM5 – ED2 actuals'!$Y$313:$Y$316</definedName>
    <definedName name="Deterioration_yr4_11">'NARM5 – ED2 actuals'!$Y$345:$Y$348</definedName>
    <definedName name="Deterioration_yr4_12">'NARM5 – ED2 actuals'!$Y$377:$Y$380</definedName>
    <definedName name="Deterioration_yr4_13">'NARM5 – ED2 actuals'!$Y$409:$Y$412</definedName>
    <definedName name="Deterioration_yr4_14">'NARM5 – ED2 actuals'!$Y$441:$Y$444</definedName>
    <definedName name="Deterioration_yr4_15">'NARM5 – ED2 actuals'!$Y$473:$Y$476</definedName>
    <definedName name="Deterioration_yr4_16">'NARM5 – ED2 actuals'!$Y$505:$Y$508</definedName>
    <definedName name="Deterioration_yr4_17">'NARM5 – ED2 actuals'!$Y$537:$Y$540</definedName>
    <definedName name="Deterioration_yr4_18">'NARM5 – ED2 actuals'!$Y$569:$Y$572</definedName>
    <definedName name="Deterioration_yr4_19">'NARM5 – ED2 actuals'!$Y$601:$Y$604</definedName>
    <definedName name="Deterioration_yr4_2">'NARM5 – ED2 actuals'!$Y$57:$Y$60</definedName>
    <definedName name="Deterioration_yr4_20">'NARM5 – ED2 actuals'!$Y$633:$Y$636</definedName>
    <definedName name="Deterioration_yr4_21">'NARM5 – ED2 actuals'!$Y$665:$Y$668</definedName>
    <definedName name="Deterioration_yr4_22">'NARM5 – ED2 actuals'!$Y$697:$Y$700</definedName>
    <definedName name="Deterioration_yr4_23">'NARM5 – ED2 actuals'!$Y$729:$Y$732</definedName>
    <definedName name="Deterioration_yr4_24">'NARM5 – ED2 actuals'!$Y$761:$Y$764</definedName>
    <definedName name="Deterioration_yr4_25">'NARM5 – ED2 actuals'!$Y$793:$Y$796</definedName>
    <definedName name="Deterioration_yr4_26">'NARM5 – ED2 actuals'!$Y$825:$Y$828</definedName>
    <definedName name="Deterioration_yr4_27">'NARM5 – ED2 actuals'!$Y$857:$Y$860</definedName>
    <definedName name="Deterioration_yr4_28">'NARM5 – ED2 actuals'!$Y$889:$Y$892</definedName>
    <definedName name="Deterioration_yr4_29">'NARM5 – ED2 actuals'!$Y$921:$Y$924</definedName>
    <definedName name="Deterioration_yr4_3">'NARM5 – ED2 actuals'!$Y$89:$Y$92</definedName>
    <definedName name="Deterioration_yr4_30">'NARM5 – ED2 actuals'!$Y$953:$Y$956</definedName>
    <definedName name="Deterioration_yr4_31">'NARM5 – ED2 actuals'!$Y$985:$Y$988</definedName>
    <definedName name="Deterioration_yr4_32">'NARM5 – ED2 actuals'!$Y$1017:$Y$1020</definedName>
    <definedName name="Deterioration_yr4_33">'NARM5 – ED2 actuals'!$Y$1049:$Y$1052</definedName>
    <definedName name="Deterioration_yr4_34">'NARM5 – ED2 actuals'!$Y$1081:$Y$1084</definedName>
    <definedName name="Deterioration_yr4_35">'NARM5 – ED2 actuals'!$Y$1113:$Y$1116</definedName>
    <definedName name="Deterioration_yr4_36">'NARM5 – ED2 actuals'!$Y$1145:$Y$1148</definedName>
    <definedName name="Deterioration_yr4_37">'NARM5 – ED2 actuals'!$Y$1177:$Y$1180</definedName>
    <definedName name="Deterioration_yr4_38">'NARM5 – ED2 actuals'!$Y$1209:$Y$1212</definedName>
    <definedName name="Deterioration_yr4_39">'NARM5 – ED2 actuals'!$Y$1241:$Y$1244</definedName>
    <definedName name="Deterioration_yr4_4">'NARM5 – ED2 actuals'!$Y$121:$Y$124</definedName>
    <definedName name="Deterioration_yr4_40">'NARM5 – ED2 actuals'!$Y$1273:$Y$1276</definedName>
    <definedName name="Deterioration_yr4_41">'NARM5 – ED2 actuals'!$Y$1305:$Y$1308</definedName>
    <definedName name="Deterioration_yr4_42">'NARM5 – ED2 actuals'!$Y$1337:$Y$1340</definedName>
    <definedName name="Deterioration_yr4_43">'NARM5 – ED2 actuals'!$Y$1369:$Y$1372</definedName>
    <definedName name="Deterioration_yr4_44">'NARM5 – ED2 actuals'!$Y$1401:$Y$1404</definedName>
    <definedName name="Deterioration_yr4_45">'NARM5 – ED2 actuals'!$Y$1433:$Y$1436</definedName>
    <definedName name="Deterioration_yr4_46">'NARM5 – ED2 actuals'!$Y$1465:$Y$1468</definedName>
    <definedName name="Deterioration_yr4_47">'NARM5 – ED2 actuals'!$Y$1497:$Y$1500</definedName>
    <definedName name="Deterioration_yr4_48">'NARM5 – ED2 actuals'!$Y$1529:$Y$1532</definedName>
    <definedName name="Deterioration_yr4_49">'NARM5 – ED2 actuals'!$Y$1561:$Y$1564</definedName>
    <definedName name="Deterioration_yr4_5">'NARM5 – ED2 actuals'!$Y$153:$Y$156</definedName>
    <definedName name="Deterioration_yr4_50">'NARM5 – ED2 actuals'!$Y$1593:$Y$1596</definedName>
    <definedName name="Deterioration_yr4_51">'NARM5 – ED2 actuals'!$Y$1625:$Y$1628</definedName>
    <definedName name="Deterioration_yr4_52">'NARM5 – ED2 actuals'!$Y$1657:$Y$1660</definedName>
    <definedName name="Deterioration_yr4_53">'NARM5 – ED2 actuals'!$Y$1689:$Y$1692</definedName>
    <definedName name="Deterioration_yr4_54">'NARM5 – ED2 actuals'!$Y$1721:$Y$1724</definedName>
    <definedName name="Deterioration_yr4_55">'NARM5 – ED2 actuals'!$Y$1753:$Y$1756</definedName>
    <definedName name="Deterioration_yr4_56">'NARM5 – ED2 actuals'!$Y$1785:$Y$1788</definedName>
    <definedName name="Deterioration_yr4_57">'NARM5 – ED2 actuals'!$Y$1817:$Y$1820</definedName>
    <definedName name="Deterioration_yr4_58">'NARM5 – ED2 actuals'!$Y$1849:$Y$1852</definedName>
    <definedName name="Deterioration_yr4_59">'NARM5 – ED2 actuals'!$Y$1881:$Y$1884</definedName>
    <definedName name="Deterioration_yr4_6">'NARM5 – ED2 actuals'!$Y$185:$Y$188</definedName>
    <definedName name="Deterioration_yr4_60">'NARM5 – ED2 actuals'!$Y$1913:$Y$1916</definedName>
    <definedName name="Deterioration_yr4_61">'NARM5 – ED2 actuals'!$Y$1945:$Y$1948</definedName>
    <definedName name="Deterioration_yr4_7">'NARM5 – ED2 actuals'!$Y$217:$Y$220</definedName>
    <definedName name="Deterioration_yr4_8">'NARM5 – ED2 actuals'!$Y$249:$Y$252</definedName>
    <definedName name="Deterioration_yr4_9">'NARM5 – ED2 actuals'!$Y$281:$Y$284</definedName>
    <definedName name="Deterioration_yr5_1">'NARM5 – ED2 actuals'!$Y$31:$Y$34</definedName>
    <definedName name="Deterioration_yr5_10">'NARM5 – ED2 actuals'!$Y$319:$Y$322</definedName>
    <definedName name="Deterioration_yr5_11">'NARM5 – ED2 actuals'!$Y$351:$Y$354</definedName>
    <definedName name="Deterioration_yr5_12">'NARM5 – ED2 actuals'!$Y$383:$Y$386</definedName>
    <definedName name="Deterioration_yr5_13">'NARM5 – ED2 actuals'!$Y$415:$Y$418</definedName>
    <definedName name="Deterioration_yr5_14">'NARM5 – ED2 actuals'!$Y$447:$Y$450</definedName>
    <definedName name="Deterioration_yr5_15">'NARM5 – ED2 actuals'!$Y$479:$Y$482</definedName>
    <definedName name="Deterioration_yr5_16">'NARM5 – ED2 actuals'!$Y$511:$Y$514</definedName>
    <definedName name="Deterioration_yr5_17">'NARM5 – ED2 actuals'!$Y$543:$Y$546</definedName>
    <definedName name="Deterioration_yr5_18">'NARM5 – ED2 actuals'!$Y$575:$Y$578</definedName>
    <definedName name="Deterioration_yr5_19">'NARM5 – ED2 actuals'!$Y$607:$Y$610</definedName>
    <definedName name="Deterioration_yr5_2">'NARM5 – ED2 actuals'!$Y$63:$Y$66</definedName>
    <definedName name="Deterioration_yr5_20">'NARM5 – ED2 actuals'!$Y$639:$Y$642</definedName>
    <definedName name="Deterioration_yr5_21">'NARM5 – ED2 actuals'!$Y$671:$Y$674</definedName>
    <definedName name="Deterioration_yr5_22">'NARM5 – ED2 actuals'!$Y$703:$Y$706</definedName>
    <definedName name="Deterioration_yr5_23">'NARM5 – ED2 actuals'!$Y$735:$Y$738</definedName>
    <definedName name="Deterioration_yr5_24">'NARM5 – ED2 actuals'!$Y$767:$Y$770</definedName>
    <definedName name="Deterioration_yr5_25">'NARM5 – ED2 actuals'!$Y$799:$Y$802</definedName>
    <definedName name="Deterioration_yr5_26">'NARM5 – ED2 actuals'!$Y$831:$Y$834</definedName>
    <definedName name="Deterioration_yr5_27">'NARM5 – ED2 actuals'!$Y$863:$Y$866</definedName>
    <definedName name="Deterioration_yr5_28">'NARM5 – ED2 actuals'!$Y$895:$Y$898</definedName>
    <definedName name="Deterioration_yr5_29">'NARM5 – ED2 actuals'!$Y$927:$Y$930</definedName>
    <definedName name="Deterioration_yr5_3">'NARM5 – ED2 actuals'!$Y$95:$Y$98</definedName>
    <definedName name="Deterioration_yr5_30">'NARM5 – ED2 actuals'!$Y$959:$Y$962</definedName>
    <definedName name="Deterioration_yr5_31">'NARM5 – ED2 actuals'!$Y$991:$Y$994</definedName>
    <definedName name="Deterioration_yr5_32">'NARM5 – ED2 actuals'!$Y$1023:$Y$1026</definedName>
    <definedName name="Deterioration_yr5_33">'NARM5 – ED2 actuals'!$Y$1055:$Y$1058</definedName>
    <definedName name="Deterioration_yr5_34">'NARM5 – ED2 actuals'!$Y$1087:$Y$1090</definedName>
    <definedName name="Deterioration_yr5_35">'NARM5 – ED2 actuals'!$Y$1119:$Y$1122</definedName>
    <definedName name="Deterioration_yr5_36">'NARM5 – ED2 actuals'!$Y$1151:$Y$1154</definedName>
    <definedName name="Deterioration_yr5_37">'NARM5 – ED2 actuals'!$Y$1183:$Y$1186</definedName>
    <definedName name="Deterioration_yr5_38">'NARM5 – ED2 actuals'!$Y$1215:$Y$1218</definedName>
    <definedName name="Deterioration_yr5_39">'NARM5 – ED2 actuals'!$Y$1247:$Y$1250</definedName>
    <definedName name="Deterioration_yr5_4">'NARM5 – ED2 actuals'!$Y$127:$Y$130</definedName>
    <definedName name="Deterioration_yr5_40">'NARM5 – ED2 actuals'!$Y$1279:$Y$1282</definedName>
    <definedName name="Deterioration_yr5_41">'NARM5 – ED2 actuals'!$Y$1311:$Y$1314</definedName>
    <definedName name="Deterioration_yr5_42">'NARM5 – ED2 actuals'!$Y$1343:$Y$1346</definedName>
    <definedName name="Deterioration_yr5_43">'NARM5 – ED2 actuals'!$Y$1375:$Y$1378</definedName>
    <definedName name="Deterioration_yr5_44">'NARM5 – ED2 actuals'!$Y$1407:$Y$1410</definedName>
    <definedName name="Deterioration_yr5_45">'NARM5 – ED2 actuals'!$Y$1439:$Y$1442</definedName>
    <definedName name="Deterioration_yr5_46">'NARM5 – ED2 actuals'!$Y$1471:$Y$1474</definedName>
    <definedName name="Deterioration_yr5_47">'NARM5 – ED2 actuals'!$Y$1503:$Y$1506</definedName>
    <definedName name="Deterioration_yr5_48">'NARM5 – ED2 actuals'!$Y$1535:$Y$1538</definedName>
    <definedName name="Deterioration_yr5_49">'NARM5 – ED2 actuals'!$Y$1567:$Y$1570</definedName>
    <definedName name="Deterioration_yr5_5">'NARM5 – ED2 actuals'!$Y$159:$Y$162</definedName>
    <definedName name="Deterioration_yr5_50">'NARM5 – ED2 actuals'!$Y$1599:$Y$1602</definedName>
    <definedName name="Deterioration_yr5_51">'NARM5 – ED2 actuals'!$Y$1631:$Y$1634</definedName>
    <definedName name="Deterioration_yr5_52">'NARM5 – ED2 actuals'!$Y$1663:$Y$1666</definedName>
    <definedName name="Deterioration_yr5_53">'NARM5 – ED2 actuals'!$Y$1695:$Y$1698</definedName>
    <definedName name="Deterioration_yr5_54">'NARM5 – ED2 actuals'!$Y$1727:$Y$1730</definedName>
    <definedName name="Deterioration_yr5_55">'NARM5 – ED2 actuals'!$Y$1759:$Y$1762</definedName>
    <definedName name="Deterioration_yr5_56">'NARM5 – ED2 actuals'!$Y$1791:$Y$1794</definedName>
    <definedName name="Deterioration_yr5_57">'NARM5 – ED2 actuals'!$Y$1823:$Y$1826</definedName>
    <definedName name="Deterioration_yr5_58">'NARM5 – ED2 actuals'!$Y$1855:$Y$1858</definedName>
    <definedName name="Deterioration_yr5_59">'NARM5 – ED2 actuals'!$Y$1887:$Y$1890</definedName>
    <definedName name="Deterioration_yr5_6">'NARM5 – ED2 actuals'!$Y$191:$Y$194</definedName>
    <definedName name="Deterioration_yr5_60">'NARM5 – ED2 actuals'!$Y$1919:$Y$1922</definedName>
    <definedName name="Deterioration_yr5_61">'NARM5 – ED2 actuals'!$Y$1951:$Y$1954</definedName>
    <definedName name="Deterioration_yr5_7">'NARM5 – ED2 actuals'!$Y$223:$Y$226</definedName>
    <definedName name="Deterioration_yr5_8">'NARM5 – ED2 actuals'!$Y$255:$Y$258</definedName>
    <definedName name="Deterioration_yr5_9">'NARM5 – ED2 actuals'!$Y$287:$Y$290</definedName>
    <definedName name="DeteriorationYr1">'NARM5 – ED2 actuals'!$T$7:$X$10</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 hidden="1">#REF!</definedName>
    <definedName name="Distribution" hidden="1">#REF!</definedName>
    <definedName name="End_Of_Year_Yr1_1">'NARM5 – ED2 actuals'!$CE$7:$CI$10</definedName>
    <definedName name="End_Of_Year_Yr1_10">'NARM5 – ED2 actuals'!$CE$295:$CI$298</definedName>
    <definedName name="End_Of_Year_Yr1_11">'NARM5 – ED2 actuals'!$CE$327:$CI$330</definedName>
    <definedName name="End_Of_Year_Yr1_12">'NARM5 – ED2 actuals'!$CE$359:$CI$362</definedName>
    <definedName name="End_Of_Year_Yr1_13">'NARM5 – ED2 actuals'!$CE$391:$CI$394</definedName>
    <definedName name="End_Of_Year_Yr1_14">'NARM5 – ED2 actuals'!$CE$423:$CI$426</definedName>
    <definedName name="End_Of_Year_Yr1_15">'NARM5 – ED2 actuals'!$CE$455:$CI$458</definedName>
    <definedName name="End_Of_Year_Yr1_16">'NARM5 – ED2 actuals'!$CE$487:$CI$490</definedName>
    <definedName name="End_Of_Year_Yr1_17">'NARM5 – ED2 actuals'!$CE$519:$CI$522</definedName>
    <definedName name="End_Of_Year_Yr1_18">'NARM5 – ED2 actuals'!$CE$551:$CI$554</definedName>
    <definedName name="End_Of_Year_Yr1_19">'NARM5 – ED2 actuals'!$CE$583:$CI$586</definedName>
    <definedName name="End_Of_Year_Yr1_2">'NARM5 – ED2 actuals'!$CE$39:$CI$42</definedName>
    <definedName name="End_Of_Year_Yr1_20">'NARM5 – ED2 actuals'!$CE$615:$CI$618</definedName>
    <definedName name="End_Of_Year_Yr1_21">'NARM5 – ED2 actuals'!$CE$647:$CI$650</definedName>
    <definedName name="End_Of_Year_Yr1_22">'NARM5 – ED2 actuals'!$CE$679:$CI$682</definedName>
    <definedName name="End_Of_Year_Yr1_23">'NARM5 – ED2 actuals'!$CE$711:$CI$714</definedName>
    <definedName name="End_Of_Year_Yr1_24">'NARM5 – ED2 actuals'!$CE$743:$CI$746</definedName>
    <definedName name="End_Of_Year_Yr1_25">'NARM5 – ED2 actuals'!$CE$775:$CI$778</definedName>
    <definedName name="End_Of_Year_Yr1_26">'NARM5 – ED2 actuals'!$CE$807:$CI$810</definedName>
    <definedName name="End_Of_Year_Yr1_27">'NARM5 – ED2 actuals'!$CE$839:$CI$842</definedName>
    <definedName name="End_Of_Year_Yr1_28">'NARM5 – ED2 actuals'!$CE$871:$CI$874</definedName>
    <definedName name="End_Of_Year_Yr1_29">'NARM5 – ED2 actuals'!$CE$903:$CI$906</definedName>
    <definedName name="End_Of_Year_Yr1_3">'NARM5 – ED2 actuals'!$CE$71:$CI$74</definedName>
    <definedName name="End_Of_Year_Yr1_30">'NARM5 – ED2 actuals'!$CE$935:$CI$938</definedName>
    <definedName name="End_Of_Year_Yr1_31">'NARM5 – ED2 actuals'!$CE$967:$CI$970</definedName>
    <definedName name="End_Of_Year_Yr1_32">'NARM5 – ED2 actuals'!$CE$999:$CI$1002</definedName>
    <definedName name="End_Of_Year_Yr1_33">'NARM5 – ED2 actuals'!$CE$1031:$CI$1034</definedName>
    <definedName name="End_Of_Year_Yr1_34">'NARM5 – ED2 actuals'!$CE$1063:$CI$1066</definedName>
    <definedName name="End_Of_Year_Yr1_35">'NARM5 – ED2 actuals'!$CE$1095:$CI$1098</definedName>
    <definedName name="End_Of_Year_Yr1_36">'NARM5 – ED2 actuals'!$CE$1127:$CI$1130</definedName>
    <definedName name="End_Of_Year_Yr1_37">'NARM5 – ED2 actuals'!$CE$1159:$CI$1162</definedName>
    <definedName name="End_Of_Year_Yr1_38">'NARM5 – ED2 actuals'!$CE$1191:$CI$1194</definedName>
    <definedName name="End_Of_Year_Yr1_39">'NARM5 – ED2 actuals'!$CE$1223:$CI$1226</definedName>
    <definedName name="End_Of_Year_Yr1_4">'NARM5 – ED2 actuals'!$CE$103:$CI$106</definedName>
    <definedName name="End_Of_Year_Yr1_40">'NARM5 – ED2 actuals'!$CE$1255:$CI$1258</definedName>
    <definedName name="End_Of_Year_Yr1_41">'NARM5 – ED2 actuals'!$CE$1287:$CI$1290</definedName>
    <definedName name="End_Of_Year_Yr1_42">'NARM5 – ED2 actuals'!$CE$1319:$CI$1322</definedName>
    <definedName name="End_Of_Year_Yr1_43">'NARM5 – ED2 actuals'!$CE$1351:$CI$1354</definedName>
    <definedName name="End_Of_Year_Yr1_44">'NARM5 – ED2 actuals'!$CE$1383:$CI$1386</definedName>
    <definedName name="End_Of_Year_Yr1_45">'NARM5 – ED2 actuals'!$CE$1415:$CI$1418</definedName>
    <definedName name="End_Of_Year_Yr1_46">'NARM5 – ED2 actuals'!$CE$1447:$CI$1450</definedName>
    <definedName name="End_Of_Year_Yr1_47">'NARM5 – ED2 actuals'!$CE$1479:$CI$1482</definedName>
    <definedName name="End_Of_Year_Yr1_48">'NARM5 – ED2 actuals'!$CE$1511:$CI$1514</definedName>
    <definedName name="End_Of_Year_Yr1_49">'NARM5 – ED2 actuals'!$CE$1543:$CI$1546</definedName>
    <definedName name="End_Of_Year_Yr1_5">'NARM5 – ED2 actuals'!$CE$135:$CI$138</definedName>
    <definedName name="End_Of_Year_Yr1_50">'NARM5 – ED2 actuals'!$CE$1575:$CI$1578</definedName>
    <definedName name="End_Of_Year_Yr1_51">'NARM5 – ED2 actuals'!$CE$1607:$CI$1610</definedName>
    <definedName name="End_Of_Year_Yr1_52">'NARM5 – ED2 actuals'!$CE$1639:$CI$1642</definedName>
    <definedName name="End_Of_Year_Yr1_53">'NARM5 – ED2 actuals'!$CE$1671:$CI$1674</definedName>
    <definedName name="End_Of_Year_Yr1_54">'NARM5 – ED2 actuals'!$CE$1703:$CI$1706</definedName>
    <definedName name="End_Of_Year_Yr1_55">'NARM5 – ED2 actuals'!$CE$1735:$CI$1738</definedName>
    <definedName name="End_Of_Year_Yr1_56">'NARM5 – ED2 actuals'!$CE$1767:$CI$1770</definedName>
    <definedName name="End_Of_Year_Yr1_57">'NARM5 – ED2 actuals'!$CE$1799:$CI$1802</definedName>
    <definedName name="End_Of_Year_Yr1_58">'NARM5 – ED2 actuals'!$CE$1831:$CI$1834</definedName>
    <definedName name="End_Of_Year_Yr1_59">'NARM5 – ED2 actuals'!$CE$1863:$CI$1866</definedName>
    <definedName name="End_Of_Year_Yr1_6">'NARM5 – ED2 actuals'!$CE$167:$CI$170</definedName>
    <definedName name="End_Of_Year_Yr1_60">'NARM5 – ED2 actuals'!$CE$1895:$CI$1898</definedName>
    <definedName name="End_Of_Year_Yr1_61">'NARM5 – ED2 actuals'!$CE$1927:$CI$1930</definedName>
    <definedName name="End_Of_Year_Yr1_7">'NARM5 – ED2 actuals'!$CE$199:$CI$202</definedName>
    <definedName name="End_Of_Year_Yr1_8">'NARM5 – ED2 actuals'!$CE$231:$CI$234</definedName>
    <definedName name="End_Of_Year_Yr1_9">'NARM5 – ED2 actuals'!$CE$263:$CI$266</definedName>
    <definedName name="End_Of_Year_Yr2_1">'NARM5 – ED2 actuals'!$CE$13:$CI$16</definedName>
    <definedName name="End_Of_Year_Yr2_10">'NARM5 – ED2 actuals'!$CE$301:$CI$304</definedName>
    <definedName name="End_Of_Year_Yr2_11">'NARM5 – ED2 actuals'!$CE$333:$CI$336</definedName>
    <definedName name="End_Of_Year_Yr2_12">'NARM5 – ED2 actuals'!$CE$365:$CI$368</definedName>
    <definedName name="End_Of_Year_Yr2_13">'NARM5 – ED2 actuals'!$CE$397:$CI$400</definedName>
    <definedName name="End_Of_Year_Yr2_14">'NARM5 – ED2 actuals'!$CE$429:$CI$432</definedName>
    <definedName name="End_Of_Year_Yr2_15">'NARM5 – ED2 actuals'!$CE$461:$CI$464</definedName>
    <definedName name="End_Of_Year_Yr2_16">'NARM5 – ED2 actuals'!$CE$493:$CI$496</definedName>
    <definedName name="End_Of_Year_Yr2_17">'NARM5 – ED2 actuals'!$CE$525:$CI$528</definedName>
    <definedName name="End_Of_Year_Yr2_18">'NARM5 – ED2 actuals'!$CE$557:$CI$560</definedName>
    <definedName name="End_Of_Year_Yr2_19">'NARM5 – ED2 actuals'!$CE$589:$CI$592</definedName>
    <definedName name="End_Of_Year_Yr2_2">'NARM5 – ED2 actuals'!$CE$45:$CI$48</definedName>
    <definedName name="End_Of_Year_Yr2_20">'NARM5 – ED2 actuals'!$CE$621:$CI$624</definedName>
    <definedName name="End_Of_Year_Yr2_21">'NARM5 – ED2 actuals'!$CE$653:$CI$656</definedName>
    <definedName name="End_Of_Year_Yr2_22">'NARM5 – ED2 actuals'!$CE$685:$CI$688</definedName>
    <definedName name="End_Of_Year_Yr2_23">'NARM5 – ED2 actuals'!$CE$717:$CI$720</definedName>
    <definedName name="End_Of_Year_Yr2_24">'NARM5 – ED2 actuals'!$CE$749:$CI$752</definedName>
    <definedName name="End_Of_Year_Yr2_25">'NARM5 – ED2 actuals'!$CE$781:$CI$784</definedName>
    <definedName name="End_Of_Year_Yr2_26">'NARM5 – ED2 actuals'!$CE$813:$CI$816</definedName>
    <definedName name="End_Of_Year_Yr2_27">'NARM5 – ED2 actuals'!$CE$845:$CI$848</definedName>
    <definedName name="End_Of_Year_Yr2_28">'NARM5 – ED2 actuals'!$CE$877:$CI$880</definedName>
    <definedName name="End_Of_Year_Yr2_29">'NARM5 – ED2 actuals'!$CE$909:$CI$912</definedName>
    <definedName name="End_Of_Year_Yr2_3">'NARM5 – ED2 actuals'!$CE$77:$CI$80</definedName>
    <definedName name="End_Of_Year_Yr2_30">'NARM5 – ED2 actuals'!$CE$941:$CI$944</definedName>
    <definedName name="End_Of_Year_Yr2_31">'NARM5 – ED2 actuals'!$CE$973:$CI$976</definedName>
    <definedName name="End_Of_Year_Yr2_32">'NARM5 – ED2 actuals'!$CE$1005:$CI$1008</definedName>
    <definedName name="End_Of_Year_Yr2_33">'NARM5 – ED2 actuals'!$CE$1037:$CI$1040</definedName>
    <definedName name="End_Of_Year_Yr2_34">'NARM5 – ED2 actuals'!$CE$1069:$CI$1072</definedName>
    <definedName name="End_Of_Year_Yr2_35">'NARM5 – ED2 actuals'!$CE$1101:$CI$1104</definedName>
    <definedName name="End_Of_Year_Yr2_36">'NARM5 – ED2 actuals'!$CE$1133:$CI$1136</definedName>
    <definedName name="End_Of_Year_Yr2_37">'NARM5 – ED2 actuals'!$CE$1165:$CI$1168</definedName>
    <definedName name="End_Of_Year_Yr2_38">'NARM5 – ED2 actuals'!$CE$1197:$CI$1200</definedName>
    <definedName name="End_Of_Year_Yr2_39">'NARM5 – ED2 actuals'!$CE$1229:$CI$1232</definedName>
    <definedName name="End_Of_Year_Yr2_4">'NARM5 – ED2 actuals'!$CE$109:$CI$112</definedName>
    <definedName name="End_Of_Year_Yr2_40">'NARM5 – ED2 actuals'!$CE$1261:$CI$1264</definedName>
    <definedName name="End_Of_Year_Yr2_41">'NARM5 – ED2 actuals'!$CE$1293:$CI$1296</definedName>
    <definedName name="End_Of_Year_Yr2_42">'NARM5 – ED2 actuals'!$CE$1325:$CI$1328</definedName>
    <definedName name="End_Of_Year_Yr2_43">'NARM5 – ED2 actuals'!$CE$1357:$CI$1360</definedName>
    <definedName name="End_Of_Year_Yr2_44">'NARM5 – ED2 actuals'!$CE$1389:$CI$1392</definedName>
    <definedName name="End_Of_Year_Yr2_45">'NARM5 – ED2 actuals'!$CE$1421:$CI$1424</definedName>
    <definedName name="End_Of_Year_Yr2_46">'NARM5 – ED2 actuals'!$CE$1453:$CI$1456</definedName>
    <definedName name="End_Of_Year_Yr2_47">'NARM5 – ED2 actuals'!$CE$1485:$CI$1488</definedName>
    <definedName name="End_Of_Year_Yr2_48">'NARM5 – ED2 actuals'!$CE$1517:$CI$1520</definedName>
    <definedName name="End_Of_Year_Yr2_49">'NARM5 – ED2 actuals'!$CE$1549:$CI$1552</definedName>
    <definedName name="End_Of_Year_Yr2_5">'NARM5 – ED2 actuals'!$CE$141:$CI$144</definedName>
    <definedName name="End_Of_Year_Yr2_50">'NARM5 – ED2 actuals'!$CE$1581:$CI$1584</definedName>
    <definedName name="End_Of_Year_Yr2_51">'NARM5 – ED2 actuals'!$CE$1613:$CI$1616</definedName>
    <definedName name="End_Of_Year_Yr2_52">'NARM5 – ED2 actuals'!$CE$1645:$CI$1648</definedName>
    <definedName name="End_Of_Year_Yr2_53">'NARM5 – ED2 actuals'!$CE$1677:$CI$1680</definedName>
    <definedName name="End_Of_Year_Yr2_54">'NARM5 – ED2 actuals'!$CE$1709:$CI$1712</definedName>
    <definedName name="End_Of_Year_Yr2_55">'NARM5 – ED2 actuals'!$CE$1741:$CI$1744</definedName>
    <definedName name="End_Of_Year_Yr2_56">'NARM5 – ED2 actuals'!$CE$1773:$CI$1776</definedName>
    <definedName name="End_Of_Year_Yr2_57">'NARM5 – ED2 actuals'!$CE$1805:$CI$1808</definedName>
    <definedName name="End_Of_Year_Yr2_58">'NARM5 – ED2 actuals'!$CE$1837:$CI$1840</definedName>
    <definedName name="End_Of_Year_Yr2_59">'NARM5 – ED2 actuals'!$CE$1869:$CI$1872</definedName>
    <definedName name="End_Of_Year_Yr2_6">'NARM5 – ED2 actuals'!$CE$173:$CI$176</definedName>
    <definedName name="End_Of_Year_Yr2_60">'NARM5 – ED2 actuals'!$CE$1901:$CI$1904</definedName>
    <definedName name="End_Of_Year_Yr2_61">'NARM5 – ED2 actuals'!$CE$1933:$CI$1936</definedName>
    <definedName name="End_Of_Year_Yr2_7">'NARM5 – ED2 actuals'!$CE$205:$CI$208</definedName>
    <definedName name="End_Of_Year_Yr2_8">'NARM5 – ED2 actuals'!$CE$237:$CI$240</definedName>
    <definedName name="End_Of_Year_Yr2_9">'NARM5 – ED2 actuals'!$CE$269:$CI$272</definedName>
    <definedName name="End_Of_Year_Yr3_1">'NARM5 – ED2 actuals'!$CE$19:$CI$22</definedName>
    <definedName name="End_Of_Year_Yr3_10">'NARM5 – ED2 actuals'!$CE$307:$CI$310</definedName>
    <definedName name="End_Of_Year_Yr3_11">'NARM5 – ED2 actuals'!$CE$339:$CI$342</definedName>
    <definedName name="End_Of_Year_Yr3_12">'NARM5 – ED2 actuals'!$CE$371:$CI$374</definedName>
    <definedName name="End_Of_Year_Yr3_13">'NARM5 – ED2 actuals'!$CE$403:$CI$406</definedName>
    <definedName name="End_Of_Year_Yr3_14">'NARM5 – ED2 actuals'!$CE$435:$CI$438</definedName>
    <definedName name="End_Of_Year_Yr3_15">'NARM5 – ED2 actuals'!$CE$467:$CI$470</definedName>
    <definedName name="End_Of_Year_Yr3_16">'NARM5 – ED2 actuals'!$CE$499:$CI$502</definedName>
    <definedName name="End_Of_Year_Yr3_17">'NARM5 – ED2 actuals'!$CE$531:$CI$534</definedName>
    <definedName name="End_Of_Year_Yr3_18">'NARM5 – ED2 actuals'!$CE$563:$CI$566</definedName>
    <definedName name="End_Of_Year_Yr3_19">'NARM5 – ED2 actuals'!$CE$595:$CI$598</definedName>
    <definedName name="End_Of_Year_Yr3_2">'NARM5 – ED2 actuals'!$CE$51:$CI$54</definedName>
    <definedName name="End_Of_Year_Yr3_20">'NARM5 – ED2 actuals'!$CE$627:$CI$630</definedName>
    <definedName name="End_Of_Year_Yr3_21">'NARM5 – ED2 actuals'!$CE$659:$CI$662</definedName>
    <definedName name="End_Of_Year_Yr3_22">'NARM5 – ED2 actuals'!$CE$691:$CI$694</definedName>
    <definedName name="End_Of_Year_Yr3_23">'NARM5 – ED2 actuals'!$CE$723:$CI$726</definedName>
    <definedName name="End_Of_Year_Yr3_24">'NARM5 – ED2 actuals'!$CE$755:$CI$758</definedName>
    <definedName name="End_Of_Year_Yr3_25">'NARM5 – ED2 actuals'!$CE$787:$CI$790</definedName>
    <definedName name="End_Of_Year_Yr3_26">'NARM5 – ED2 actuals'!$CE$819:$CI$822</definedName>
    <definedName name="End_Of_Year_Yr3_27">'NARM5 – ED2 actuals'!$CE$851:$CI$854</definedName>
    <definedName name="End_Of_Year_Yr3_28">'NARM5 – ED2 actuals'!$CE$883:$CI$886</definedName>
    <definedName name="End_Of_Year_Yr3_29">'NARM5 – ED2 actuals'!$CE$915:$CI$918</definedName>
    <definedName name="End_Of_Year_Yr3_3">'NARM5 – ED2 actuals'!$CE$83:$CI$86</definedName>
    <definedName name="End_Of_Year_Yr3_30">'NARM5 – ED2 actuals'!$CE$947:$CI$950</definedName>
    <definedName name="End_Of_Year_Yr3_31">'NARM5 – ED2 actuals'!$CE$979:$CI$982</definedName>
    <definedName name="End_Of_Year_Yr3_32">'NARM5 – ED2 actuals'!$CE$1011:$CI$1014</definedName>
    <definedName name="End_Of_Year_Yr3_33">'NARM5 – ED2 actuals'!$CE$1043:$CI$1046</definedName>
    <definedName name="End_Of_Year_Yr3_34">'NARM5 – ED2 actuals'!$CE$1075:$CI$1078</definedName>
    <definedName name="End_Of_Year_Yr3_35">'NARM5 – ED2 actuals'!$CE$1107:$CI$1110</definedName>
    <definedName name="End_Of_Year_Yr3_36">'NARM5 – ED2 actuals'!$CE$1139:$CI$1142</definedName>
    <definedName name="End_Of_Year_Yr3_37">'NARM5 – ED2 actuals'!$CE$1171:$CI$1174</definedName>
    <definedName name="End_Of_Year_Yr3_38">'NARM5 – ED2 actuals'!$CE$1203:$CI$1206</definedName>
    <definedName name="End_Of_Year_Yr3_39">'NARM5 – ED2 actuals'!$CE$1235:$CI$1238</definedName>
    <definedName name="End_Of_Year_Yr3_4">'NARM5 – ED2 actuals'!$CE$115:$CI$118</definedName>
    <definedName name="End_Of_Year_Yr3_40">'NARM5 – ED2 actuals'!$CE$1267:$CI$1270</definedName>
    <definedName name="End_Of_Year_Yr3_41">'NARM5 – ED2 actuals'!$CE$1299:$CI$1302</definedName>
    <definedName name="End_Of_Year_Yr3_42">'NARM5 – ED2 actuals'!$CE$1331:$CI$1334</definedName>
    <definedName name="End_Of_Year_Yr3_43">'NARM5 – ED2 actuals'!$CE$1363:$CI$1366</definedName>
    <definedName name="End_Of_Year_Yr3_44">'NARM5 – ED2 actuals'!$CE$1395:$CI$1398</definedName>
    <definedName name="End_Of_Year_Yr3_45">'NARM5 – ED2 actuals'!$CE$1427:$CI$1430</definedName>
    <definedName name="End_Of_Year_Yr3_46">'NARM5 – ED2 actuals'!$CE$1459:$CI$1462</definedName>
    <definedName name="End_Of_Year_Yr3_47">'NARM5 – ED2 actuals'!$CE$1491:$CI$1494</definedName>
    <definedName name="End_Of_Year_Yr3_48">'NARM5 – ED2 actuals'!$CE$1523:$CI$1526</definedName>
    <definedName name="End_Of_Year_Yr3_49">'NARM5 – ED2 actuals'!$CE$1555:$CI$1558</definedName>
    <definedName name="End_Of_Year_Yr3_5">'NARM5 – ED2 actuals'!$CE$147:$CI$150</definedName>
    <definedName name="End_Of_Year_Yr3_50">'NARM5 – ED2 actuals'!$CE$1587:$CI$1590</definedName>
    <definedName name="End_Of_Year_Yr3_51">'NARM5 – ED2 actuals'!$CE$1619:$CI$1622</definedName>
    <definedName name="End_Of_Year_Yr3_52">'NARM5 – ED2 actuals'!$CE$1651:$CI$1654</definedName>
    <definedName name="End_Of_Year_Yr3_53">'NARM5 – ED2 actuals'!$CE$1683:$CI$1686</definedName>
    <definedName name="End_Of_Year_Yr3_54">'NARM5 – ED2 actuals'!$CE$1715:$CI$1718</definedName>
    <definedName name="End_Of_Year_Yr3_55">'NARM5 – ED2 actuals'!$CE$1747:$CI$1750</definedName>
    <definedName name="End_Of_Year_Yr3_56">'NARM5 – ED2 actuals'!$CE$1779:$CI$1782</definedName>
    <definedName name="End_Of_Year_Yr3_57">'NARM5 – ED2 actuals'!$CE$1811:$CI$1814</definedName>
    <definedName name="End_Of_Year_Yr3_58">'NARM5 – ED2 actuals'!$CE$1843:$CI$1846</definedName>
    <definedName name="End_Of_Year_Yr3_59">'NARM5 – ED2 actuals'!$CE$1875:$CI$1878</definedName>
    <definedName name="End_Of_Year_Yr3_6">'NARM5 – ED2 actuals'!$CE$179:$CI$182</definedName>
    <definedName name="End_Of_Year_Yr3_60">'NARM5 – ED2 actuals'!$CE$1907:$CI$1910</definedName>
    <definedName name="End_Of_Year_Yr3_61">'NARM5 – ED2 actuals'!$CE$1939:$CI$1942</definedName>
    <definedName name="End_Of_Year_Yr3_7">'NARM5 – ED2 actuals'!$CE$211:$CI$214</definedName>
    <definedName name="End_Of_Year_Yr3_8">'NARM5 – ED2 actuals'!$CE$243:$CI$246</definedName>
    <definedName name="End_Of_Year_Yr3_9">'NARM5 – ED2 actuals'!$CE$275:$CI$278</definedName>
    <definedName name="End_Of_Year_Yr4_1">'NARM5 – ED2 actuals'!$CE$25:$CI$28</definedName>
    <definedName name="End_Of_Year_Yr4_10">'NARM5 – ED2 actuals'!$CE$313:$CI$316</definedName>
    <definedName name="End_Of_Year_Yr4_11">'NARM5 – ED2 actuals'!$CE$345:$CI$348</definedName>
    <definedName name="End_Of_Year_Yr4_12">'NARM5 – ED2 actuals'!$CE$377:$CI$380</definedName>
    <definedName name="End_Of_Year_Yr4_13">'NARM5 – ED2 actuals'!$CE$409:$CI$412</definedName>
    <definedName name="End_Of_Year_Yr4_14">'NARM5 – ED2 actuals'!$CE$441:$CI$444</definedName>
    <definedName name="End_Of_Year_Yr4_15">'NARM5 – ED2 actuals'!$CE$473:$CI$476</definedName>
    <definedName name="End_Of_Year_Yr4_16">'NARM5 – ED2 actuals'!$CE$505:$CI$508</definedName>
    <definedName name="End_Of_Year_Yr4_17">'NARM5 – ED2 actuals'!$CE$537:$CI$540</definedName>
    <definedName name="End_Of_Year_Yr4_18">'NARM5 – ED2 actuals'!$CE$569:$CI$572</definedName>
    <definedName name="End_Of_Year_Yr4_19">'NARM5 – ED2 actuals'!$CE$601:$CI$604</definedName>
    <definedName name="End_Of_Year_Yr4_2">'NARM5 – ED2 actuals'!$CE$57:$CI$60</definedName>
    <definedName name="End_Of_Year_Yr4_20">'NARM5 – ED2 actuals'!$CE$633:$CI$636</definedName>
    <definedName name="End_Of_Year_Yr4_21">'NARM5 – ED2 actuals'!$CE$665:$CI$668</definedName>
    <definedName name="End_Of_Year_Yr4_22">'NARM5 – ED2 actuals'!$CE$697:$CI$700</definedName>
    <definedName name="End_Of_Year_Yr4_23">'NARM5 – ED2 actuals'!$CE$729:$CI$732</definedName>
    <definedName name="End_Of_Year_Yr4_24">'NARM5 – ED2 actuals'!$CE$761:$CI$764</definedName>
    <definedName name="End_Of_Year_Yr4_25">'NARM5 – ED2 actuals'!$CE$793:$CI$796</definedName>
    <definedName name="End_Of_Year_Yr4_26">'NARM5 – ED2 actuals'!$CE$825:$CI$828</definedName>
    <definedName name="End_Of_Year_Yr4_27">'NARM5 – ED2 actuals'!$CE$857:$CI$860</definedName>
    <definedName name="End_Of_Year_Yr4_28">'NARM5 – ED2 actuals'!$CE$889:$CI$892</definedName>
    <definedName name="End_Of_Year_Yr4_29">'NARM5 – ED2 actuals'!$CE$921:$CI$924</definedName>
    <definedName name="End_Of_Year_Yr4_3">'NARM5 – ED2 actuals'!$CE$89:$CI$92</definedName>
    <definedName name="End_Of_Year_Yr4_30">'NARM5 – ED2 actuals'!$CE$953:$CI$956</definedName>
    <definedName name="End_Of_Year_Yr4_31">'NARM5 – ED2 actuals'!$CE$985:$CI$988</definedName>
    <definedName name="End_Of_Year_Yr4_32">'NARM5 – ED2 actuals'!$CE$1017:$CI$1020</definedName>
    <definedName name="End_Of_Year_Yr4_33">'NARM5 – ED2 actuals'!$CE$1049:$CI$1052</definedName>
    <definedName name="End_Of_Year_Yr4_34">'NARM5 – ED2 actuals'!$CE$1081:$CI$1084</definedName>
    <definedName name="End_Of_Year_Yr4_35">'NARM5 – ED2 actuals'!$CE$1113:$CI$1116</definedName>
    <definedName name="End_Of_Year_Yr4_36">'NARM5 – ED2 actuals'!$CE$1145:$CI$1148</definedName>
    <definedName name="End_Of_Year_Yr4_37">'NARM5 – ED2 actuals'!$CE$1177:$CI$1180</definedName>
    <definedName name="End_Of_Year_Yr4_38">'NARM5 – ED2 actuals'!$CE$1209:$CI$1212</definedName>
    <definedName name="End_Of_Year_Yr4_39">'NARM5 – ED2 actuals'!$CE$1241:$CI$1244</definedName>
    <definedName name="End_Of_Year_Yr4_4">'NARM5 – ED2 actuals'!$CE$121:$CI$124</definedName>
    <definedName name="End_Of_Year_Yr4_40">'NARM5 – ED2 actuals'!$CE$1273:$CI$1276</definedName>
    <definedName name="End_Of_Year_Yr4_41">'NARM5 – ED2 actuals'!$CE$1305:$CI$1308</definedName>
    <definedName name="End_Of_Year_Yr4_42">'NARM5 – ED2 actuals'!$CE$1337:$CI$1340</definedName>
    <definedName name="End_Of_Year_Yr4_43">'NARM5 – ED2 actuals'!$CE$1369:$CI$1372</definedName>
    <definedName name="End_Of_Year_Yr4_44">'NARM5 – ED2 actuals'!$CE$1401:$CI$1404</definedName>
    <definedName name="End_Of_Year_Yr4_45">'NARM5 – ED2 actuals'!$CE$1433:$CI$1436</definedName>
    <definedName name="End_Of_Year_Yr4_46">'NARM5 – ED2 actuals'!$CE$1465:$CI$1468</definedName>
    <definedName name="End_Of_Year_Yr4_47">'NARM5 – ED2 actuals'!$CE$1497:$CI$1500</definedName>
    <definedName name="End_Of_Year_Yr4_48">'NARM5 – ED2 actuals'!$CE$1529:$CI$1532</definedName>
    <definedName name="End_Of_Year_Yr4_49">'NARM5 – ED2 actuals'!$CE$1561:$CI$1564</definedName>
    <definedName name="End_Of_Year_Yr4_5">'NARM5 – ED2 actuals'!$CE$153:$CI$156</definedName>
    <definedName name="End_Of_Year_Yr4_50">'NARM5 – ED2 actuals'!$CE$1593:$CI$1596</definedName>
    <definedName name="End_Of_Year_Yr4_51">'NARM5 – ED2 actuals'!$CE$1625:$CI$1628</definedName>
    <definedName name="End_Of_Year_Yr4_52">'NARM5 – ED2 actuals'!$CE$1657:$CI$1660</definedName>
    <definedName name="End_Of_Year_Yr4_53">'NARM5 – ED2 actuals'!$CE$1689:$CI$1692</definedName>
    <definedName name="End_Of_Year_Yr4_54">'NARM5 – ED2 actuals'!$CE$1721:$CI$1724</definedName>
    <definedName name="End_Of_Year_Yr4_55">'NARM5 – ED2 actuals'!$CE$1753:$CI$1756</definedName>
    <definedName name="End_Of_Year_Yr4_56">'NARM5 – ED2 actuals'!$CE$1785:$CI$1788</definedName>
    <definedName name="End_Of_Year_Yr4_57">'NARM5 – ED2 actuals'!$CE$1817:$CI$1820</definedName>
    <definedName name="End_Of_Year_Yr4_58">'NARM5 – ED2 actuals'!$CE$1849:$CI$1852</definedName>
    <definedName name="End_Of_Year_Yr4_59">'NARM5 – ED2 actuals'!$CE$1881:$CI$1884</definedName>
    <definedName name="End_Of_Year_Yr4_6">'NARM5 – ED2 actuals'!$CE$185:$CI$188</definedName>
    <definedName name="End_Of_Year_Yr4_60">'NARM5 – ED2 actuals'!$CE$1913:$CI$1916</definedName>
    <definedName name="End_Of_Year_Yr4_61">'NARM5 – ED2 actuals'!$CE$1945:$CI$1948</definedName>
    <definedName name="End_Of_Year_Yr4_7">'NARM5 – ED2 actuals'!$CE$217:$CI$220</definedName>
    <definedName name="End_Of_Year_Yr4_8">'NARM5 – ED2 actuals'!$CE$249:$CI$252</definedName>
    <definedName name="End_Of_Year_Yr4_9">'NARM5 – ED2 actuals'!$CE$281:$CI$284</definedName>
    <definedName name="End_Of_Year_Yr5_1">'NARM5 – ED2 actuals'!$CE$31:$CI$34</definedName>
    <definedName name="End_Of_Year_Yr5_10">'NARM5 – ED2 actuals'!$CE$319:$CI$322</definedName>
    <definedName name="End_Of_Year_Yr5_11">'NARM5 – ED2 actuals'!$CE$351:$CI$354</definedName>
    <definedName name="End_Of_Year_Yr5_12">'NARM5 – ED2 actuals'!$CE$383:$CI$386</definedName>
    <definedName name="End_Of_Year_Yr5_13">'NARM5 – ED2 actuals'!$CE$415:$CI$418</definedName>
    <definedName name="End_Of_Year_Yr5_14">'NARM5 – ED2 actuals'!$CE$447:$CI$450</definedName>
    <definedName name="End_Of_Year_Yr5_15">'NARM5 – ED2 actuals'!$CE$479:$CI$482</definedName>
    <definedName name="End_Of_Year_Yr5_16">'NARM5 – ED2 actuals'!$CE$511:$CI$514</definedName>
    <definedName name="End_Of_Year_Yr5_17">'NARM5 – ED2 actuals'!$CE$543:$CI$546</definedName>
    <definedName name="End_Of_Year_Yr5_18">'NARM5 – ED2 actuals'!$CE$575:$CI$578</definedName>
    <definedName name="End_Of_Year_Yr5_19">'NARM5 – ED2 actuals'!$CE$607:$CI$610</definedName>
    <definedName name="End_Of_Year_Yr5_2">'NARM5 – ED2 actuals'!$CE$63:$CI$66</definedName>
    <definedName name="End_Of_Year_Yr5_20">'NARM5 – ED2 actuals'!$CE$639:$CI$642</definedName>
    <definedName name="End_Of_Year_Yr5_21">'NARM5 – ED2 actuals'!$CE$671:$CI$674</definedName>
    <definedName name="End_Of_Year_Yr5_22">'NARM5 – ED2 actuals'!$CE$703:$CI$706</definedName>
    <definedName name="End_Of_Year_Yr5_23">'NARM5 – ED2 actuals'!$CE$735:$CI$738</definedName>
    <definedName name="End_Of_Year_Yr5_24">'NARM5 – ED2 actuals'!$CE$767:$CI$770</definedName>
    <definedName name="End_Of_Year_Yr5_25">'NARM5 – ED2 actuals'!$CE$799:$CI$802</definedName>
    <definedName name="End_Of_Year_Yr5_26">'NARM5 – ED2 actuals'!$CE$831:$CI$834</definedName>
    <definedName name="End_Of_Year_Yr5_27">'NARM5 – ED2 actuals'!$CE$863:$CI$866</definedName>
    <definedName name="End_Of_Year_Yr5_28">'NARM5 – ED2 actuals'!$CE$895:$CI$898</definedName>
    <definedName name="End_Of_Year_Yr5_29">'NARM5 – ED2 actuals'!$CE$927:$CI$930</definedName>
    <definedName name="End_Of_Year_Yr5_3">'NARM5 – ED2 actuals'!$CE$95:$CI$98</definedName>
    <definedName name="End_Of_Year_Yr5_30">'NARM5 – ED2 actuals'!$CE$959:$CI$962</definedName>
    <definedName name="End_Of_Year_Yr5_31">'NARM5 – ED2 actuals'!$CE$991:$CI$994</definedName>
    <definedName name="End_Of_Year_Yr5_32">'NARM5 – ED2 actuals'!$CE$1023:$CI$1026</definedName>
    <definedName name="End_Of_Year_Yr5_33">'NARM5 – ED2 actuals'!$CE$1055:$CI$1058</definedName>
    <definedName name="End_Of_Year_Yr5_34">'NARM5 – ED2 actuals'!$CE$1087:$CI$1090</definedName>
    <definedName name="End_Of_Year_Yr5_35">'NARM5 – ED2 actuals'!$CE$1119:$CI$1122</definedName>
    <definedName name="End_Of_Year_Yr5_36">'NARM5 – ED2 actuals'!$CE$1151:$CI$1154</definedName>
    <definedName name="End_Of_Year_Yr5_37">'NARM5 – ED2 actuals'!$CE$1183:$CI$1186</definedName>
    <definedName name="End_Of_Year_Yr5_38">'NARM5 – ED2 actuals'!$CE$1215:$CI$1218</definedName>
    <definedName name="End_Of_Year_Yr5_39">'NARM5 – ED2 actuals'!$CE$1247:$CI$1250</definedName>
    <definedName name="End_Of_Year_Yr5_4">'NARM5 – ED2 actuals'!$CE$127:$CI$130</definedName>
    <definedName name="End_Of_Year_Yr5_40">'NARM5 – ED2 actuals'!$CE$1279:$CI$1282</definedName>
    <definedName name="End_Of_Year_Yr5_41">'NARM5 – ED2 actuals'!$CE$1311:$CI$1314</definedName>
    <definedName name="End_Of_Year_Yr5_42">'NARM5 – ED2 actuals'!$CE$1343:$CI$1346</definedName>
    <definedName name="End_Of_Year_Yr5_43">'NARM5 – ED2 actuals'!$CE$1375:$CI$1378</definedName>
    <definedName name="End_Of_Year_Yr5_44">'NARM5 – ED2 actuals'!$CE$1407:$CI$1410</definedName>
    <definedName name="End_Of_Year_Yr5_45">'NARM5 – ED2 actuals'!$CE$1439:$CI$1442</definedName>
    <definedName name="End_Of_Year_Yr5_46">'NARM5 – ED2 actuals'!$CE$1471:$CI$1474</definedName>
    <definedName name="End_Of_Year_Yr5_47">'NARM5 – ED2 actuals'!$CE$1503:$CI$1506</definedName>
    <definedName name="End_Of_Year_Yr5_48">'NARM5 – ED2 actuals'!$CE$1535:$CI$1538</definedName>
    <definedName name="End_Of_Year_Yr5_49">'NARM5 – ED2 actuals'!$CE$1567:$CI$1570</definedName>
    <definedName name="End_Of_Year_Yr5_5">'NARM5 – ED2 actuals'!$CE$159:$CI$162</definedName>
    <definedName name="End_Of_Year_Yr5_50">'NARM5 – ED2 actuals'!$CE$1599:$CI$1602</definedName>
    <definedName name="End_Of_Year_Yr5_51">'NARM5 – ED2 actuals'!$CE$1631:$CI$1634</definedName>
    <definedName name="End_Of_Year_Yr5_52">'NARM5 – ED2 actuals'!$CE$1663:$CI$1666</definedName>
    <definedName name="End_Of_Year_Yr5_53">'NARM5 – ED2 actuals'!$CE$1695:$CI$1698</definedName>
    <definedName name="End_Of_Year_Yr5_54">'NARM5 – ED2 actuals'!$CE$1727:$CI$1730</definedName>
    <definedName name="End_Of_Year_Yr5_55">'NARM5 – ED2 actuals'!$CE$1759:$CI$1762</definedName>
    <definedName name="End_Of_Year_Yr5_56">'NARM5 – ED2 actuals'!$CE$1791:$CI$1794</definedName>
    <definedName name="End_Of_Year_Yr5_57">'NARM5 – ED2 actuals'!$CE$1823:$CI$1826</definedName>
    <definedName name="End_Of_Year_Yr5_58">'NARM5 – ED2 actuals'!$CE$1855:$CI$1858</definedName>
    <definedName name="End_Of_Year_Yr5_59">'NARM5 – ED2 actuals'!$CE$1887:$CI$1890</definedName>
    <definedName name="End_Of_Year_Yr5_6">'NARM5 – ED2 actuals'!$CE$191:$CI$194</definedName>
    <definedName name="End_Of_Year_Yr5_60">'NARM5 – ED2 actuals'!$CE$1919:$CI$1922</definedName>
    <definedName name="End_Of_Year_Yr5_61">'NARM5 – ED2 actuals'!$CE$1951:$CI$1954</definedName>
    <definedName name="End_Of_Year_Yr5_7">'NARM5 – ED2 actuals'!$CE$223:$CI$226</definedName>
    <definedName name="End_Of_Year_Yr5_8">'NARM5 – ED2 actuals'!$CE$255:$CI$258</definedName>
    <definedName name="End_Of_Year_Yr5_9">'NARM5 – ED2 actuals'!$CE$287:$CI$290</definedName>
    <definedName name="ExtraProfiles" localSheetId="1" hidden="1">#REF!</definedName>
    <definedName name="ExtraProfiles" hidden="1">#REF!</definedName>
    <definedName name="f" localSheetId="2" hidden="1">{"'PRODUCTIONCOST SHEET'!$B$3:$G$48"}</definedName>
    <definedName name="f" localSheetId="3" hidden="1">{"'PRODUCTIONCOST SHEET'!$B$3:$G$48"}</definedName>
    <definedName name="f" localSheetId="4" hidden="1">{"'PRODUCTIONCOST SHEET'!$B$3:$G$48"}</definedName>
    <definedName name="f" localSheetId="1" hidden="1">{"'PRODUCTIONCOST SHEET'!$B$3:$G$48"}</definedName>
    <definedName name="f" hidden="1">{"'PRODUCTIONCOST SHEET'!$B$3:$G$48"}</definedName>
    <definedName name="Faults_Yr1_1">'NARM5 – ED2 actuals'!$BC$7:$BG$10</definedName>
    <definedName name="Faults_Yr1_10">'NARM5 – ED2 actuals'!$BC$295:$BG$298</definedName>
    <definedName name="Faults_Yr1_11">'NARM5 – ED2 actuals'!$BC$327:$BG$330</definedName>
    <definedName name="Faults_Yr1_12">'NARM5 – ED2 actuals'!$BC$359:$BG$362</definedName>
    <definedName name="Faults_Yr1_13">'NARM5 – ED2 actuals'!$BC$391:$BG$394</definedName>
    <definedName name="Faults_Yr1_14">'NARM5 – ED2 actuals'!$BC$423:$BG$426</definedName>
    <definedName name="Faults_Yr1_15">'NARM5 – ED2 actuals'!$BC$455:$BG$458</definedName>
    <definedName name="Faults_Yr1_16">'NARM5 – ED2 actuals'!$BC$487:$BG$490</definedName>
    <definedName name="Faults_Yr1_17">'NARM5 – ED2 actuals'!$BC$519:$BG$522</definedName>
    <definedName name="Faults_Yr1_18">'NARM5 – ED2 actuals'!$BC$551:$BG$554</definedName>
    <definedName name="Faults_Yr1_19">'NARM5 – ED2 actuals'!$BC$583:$BG$586</definedName>
    <definedName name="Faults_Yr1_2">'NARM5 – ED2 actuals'!$BC$39:$BG$42</definedName>
    <definedName name="Faults_Yr1_20">'NARM5 – ED2 actuals'!$BC$615:$BG$618</definedName>
    <definedName name="Faults_Yr1_21">'NARM5 – ED2 actuals'!$BC$647:$BG$650</definedName>
    <definedName name="Faults_Yr1_22">'NARM5 – ED2 actuals'!$BC$679:$BG$682</definedName>
    <definedName name="Faults_Yr1_23">'NARM5 – ED2 actuals'!$BC$711:$BG$714</definedName>
    <definedName name="Faults_Yr1_24">'NARM5 – ED2 actuals'!$BC$743:$BG$746</definedName>
    <definedName name="Faults_Yr1_25">'NARM5 – ED2 actuals'!$BC$775:$BG$778</definedName>
    <definedName name="Faults_Yr1_26">'NARM5 – ED2 actuals'!$BC$807:$BG$810</definedName>
    <definedName name="Faults_Yr1_27">'NARM5 – ED2 actuals'!$BC$839:$BG$842</definedName>
    <definedName name="Faults_Yr1_28">'NARM5 – ED2 actuals'!$BC$871:$BG$874</definedName>
    <definedName name="Faults_Yr1_29">'NARM5 – ED2 actuals'!$BC$903:$BG$906</definedName>
    <definedName name="Faults_Yr1_3">'NARM5 – ED2 actuals'!$BC$71:$BG$74</definedName>
    <definedName name="Faults_Yr1_30">'NARM5 – ED2 actuals'!$BC$935:$BG$938</definedName>
    <definedName name="Faults_Yr1_31">'NARM5 – ED2 actuals'!$BC$967:$BG$970</definedName>
    <definedName name="Faults_Yr1_32">'NARM5 – ED2 actuals'!$BC$999:$BG$1002</definedName>
    <definedName name="Faults_Yr1_33">'NARM5 – ED2 actuals'!$BC$1031:$BG$1034</definedName>
    <definedName name="Faults_Yr1_34">'NARM5 – ED2 actuals'!$BC$1063:$BG$1066</definedName>
    <definedName name="Faults_Yr1_35">'NARM5 – ED2 actuals'!$BC$1095:$BG$1098</definedName>
    <definedName name="Faults_Yr1_36">'NARM5 – ED2 actuals'!$BC$1127:$BG$1130</definedName>
    <definedName name="Faults_Yr1_37">'NARM5 – ED2 actuals'!$BC$1159:$BG$1162</definedName>
    <definedName name="Faults_Yr1_38">'NARM5 – ED2 actuals'!$BC$1191:$BG$1194</definedName>
    <definedName name="Faults_Yr1_39">'NARM5 – ED2 actuals'!$BC$1223:$BG$1226</definedName>
    <definedName name="Faults_Yr1_4">'NARM5 – ED2 actuals'!$BC$103:$BG$106</definedName>
    <definedName name="Faults_Yr1_40">'NARM5 – ED2 actuals'!$BC$1255:$BG$1258</definedName>
    <definedName name="Faults_Yr1_41">'NARM5 – ED2 actuals'!$BC$1287:$BG$1290</definedName>
    <definedName name="Faults_Yr1_42">'NARM5 – ED2 actuals'!$BC$1319:$BG$1322</definedName>
    <definedName name="Faults_Yr1_43">'NARM5 – ED2 actuals'!$BC$1351:$BG$1354</definedName>
    <definedName name="Faults_Yr1_44">'NARM5 – ED2 actuals'!$BC$1383:$BG$1386</definedName>
    <definedName name="Faults_Yr1_45">'NARM5 – ED2 actuals'!$BC$1415:$BG$1418</definedName>
    <definedName name="Faults_Yr1_46">'NARM5 – ED2 actuals'!$BC$1447:$BG$1450</definedName>
    <definedName name="Faults_Yr1_47">'NARM5 – ED2 actuals'!$BC$1479:$BG$1482</definedName>
    <definedName name="Faults_Yr1_48">'NARM5 – ED2 actuals'!$BC$1511:$BG$1514</definedName>
    <definedName name="Faults_Yr1_49">'NARM5 – ED2 actuals'!$BC$1543:$BG$1546</definedName>
    <definedName name="Faults_Yr1_5">'NARM5 – ED2 actuals'!$BC$135:$BG$138</definedName>
    <definedName name="Faults_Yr1_50">'NARM5 – ED2 actuals'!$BC$1575:$BG$1578</definedName>
    <definedName name="Faults_Yr1_51">'NARM5 – ED2 actuals'!$BC$1607:$BG$1610</definedName>
    <definedName name="Faults_Yr1_52">'NARM5 – ED2 actuals'!$BC$1639:$BG$1642</definedName>
    <definedName name="Faults_Yr1_53">'NARM5 – ED2 actuals'!$BC$1671:$BG$1674</definedName>
    <definedName name="Faults_Yr1_54">'NARM5 – ED2 actuals'!$BC$1703:$BG$1706</definedName>
    <definedName name="Faults_Yr1_55">'NARM5 – ED2 actuals'!$BC$1735:$BG$1738</definedName>
    <definedName name="Faults_Yr1_56">'NARM5 – ED2 actuals'!$BC$1767:$BG$1770</definedName>
    <definedName name="Faults_Yr1_57">'NARM5 – ED2 actuals'!$BC$1799:$BG$1802</definedName>
    <definedName name="Faults_Yr1_58">'NARM5 – ED2 actuals'!$BC$1831:$BG$1834</definedName>
    <definedName name="Faults_Yr1_59">'NARM5 – ED2 actuals'!$BC$1863:$BG$1866</definedName>
    <definedName name="Faults_Yr1_6">'NARM5 – ED2 actuals'!$BC$167:$BG$170</definedName>
    <definedName name="Faults_Yr1_60">'NARM5 – ED2 actuals'!$BC$1895:$BG$1898</definedName>
    <definedName name="Faults_Yr1_61">'NARM5 – ED2 actuals'!$BC$1927:$BG$1930</definedName>
    <definedName name="Faults_Yr1_7">'NARM5 – ED2 actuals'!$BC$199:$BG$202</definedName>
    <definedName name="Faults_Yr1_8">'NARM5 – ED2 actuals'!$BC$231:$BG$234</definedName>
    <definedName name="Faults_Yr1_9">'NARM5 – ED2 actuals'!$BC$263:$BG$266</definedName>
    <definedName name="Faults_Yr2_1">'NARM5 – ED2 actuals'!$BC$13:$BG$16</definedName>
    <definedName name="Faults_Yr2_10">'NARM5 – ED2 actuals'!$BC$301:$BG$304</definedName>
    <definedName name="Faults_Yr2_11">'NARM5 – ED2 actuals'!$BC$333:$BG$336</definedName>
    <definedName name="Faults_Yr2_12">'NARM5 – ED2 actuals'!$BC$365:$BG$368</definedName>
    <definedName name="Faults_Yr2_13">'NARM5 – ED2 actuals'!$BC$397:$BG$400</definedName>
    <definedName name="Faults_Yr2_14">'NARM5 – ED2 actuals'!$BC$429:$BG$432</definedName>
    <definedName name="Faults_Yr2_15">'NARM5 – ED2 actuals'!$BC$461:$BG$464</definedName>
    <definedName name="Faults_Yr2_16">'NARM5 – ED2 actuals'!$BC$493:$BG$496</definedName>
    <definedName name="Faults_Yr2_17">'NARM5 – ED2 actuals'!$BC$525:$BG$528</definedName>
    <definedName name="Faults_Yr2_18">'NARM5 – ED2 actuals'!$BC$557:$BG$560</definedName>
    <definedName name="Faults_Yr2_19">'NARM5 – ED2 actuals'!$BC$589:$BG$592</definedName>
    <definedName name="Faults_Yr2_2">'NARM5 – ED2 actuals'!$BC$45:$BG$48</definedName>
    <definedName name="Faults_Yr2_20">'NARM5 – ED2 actuals'!$BC$621:$BG$624</definedName>
    <definedName name="Faults_Yr2_21">'NARM5 – ED2 actuals'!$BC$653:$BG$656</definedName>
    <definedName name="Faults_Yr2_22">'NARM5 – ED2 actuals'!$BC$685:$BG$688</definedName>
    <definedName name="Faults_Yr2_23">'NARM5 – ED2 actuals'!$BC$717:$BG$720</definedName>
    <definedName name="Faults_Yr2_24">'NARM5 – ED2 actuals'!$BC$749:$BG$752</definedName>
    <definedName name="Faults_Yr2_25">'NARM5 – ED2 actuals'!$BC$781:$BG$784</definedName>
    <definedName name="Faults_Yr2_26">'NARM5 – ED2 actuals'!$BC$813:$BG$816</definedName>
    <definedName name="Faults_Yr2_27">'NARM5 – ED2 actuals'!$BC$845:$BG$848</definedName>
    <definedName name="Faults_Yr2_28">'NARM5 – ED2 actuals'!$BC$877:$BG$880</definedName>
    <definedName name="Faults_Yr2_29">'NARM5 – ED2 actuals'!$BC$909:$BG$912</definedName>
    <definedName name="Faults_Yr2_3">'NARM5 – ED2 actuals'!$BC$77:$BG$80</definedName>
    <definedName name="Faults_Yr2_30">'NARM5 – ED2 actuals'!$BC$941:$BG$944</definedName>
    <definedName name="Faults_Yr2_31">'NARM5 – ED2 actuals'!$BC$973:$BG$976</definedName>
    <definedName name="Faults_Yr2_32">'NARM5 – ED2 actuals'!$BC$1005:$BG$1008</definedName>
    <definedName name="Faults_Yr2_33">'NARM5 – ED2 actuals'!$BC$1037:$BG$1040</definedName>
    <definedName name="Faults_Yr2_34">'NARM5 – ED2 actuals'!$BC$1069:$BG$1072</definedName>
    <definedName name="Faults_Yr2_35">'NARM5 – ED2 actuals'!$BC$1101:$BG$1104</definedName>
    <definedName name="Faults_Yr2_36">'NARM5 – ED2 actuals'!$BC$1133:$BG$1136</definedName>
    <definedName name="Faults_Yr2_37">'NARM5 – ED2 actuals'!$BC$1165:$BG$1168</definedName>
    <definedName name="Faults_Yr2_38">'NARM5 – ED2 actuals'!$BC$1197:$BG$1200</definedName>
    <definedName name="Faults_Yr2_39">'NARM5 – ED2 actuals'!$BC$1229:$BG$1232</definedName>
    <definedName name="Faults_Yr2_4">'NARM5 – ED2 actuals'!$BC$109:$BG$112</definedName>
    <definedName name="Faults_Yr2_40">'NARM5 – ED2 actuals'!$BC$1261:$BG$1264</definedName>
    <definedName name="Faults_Yr2_41">'NARM5 – ED2 actuals'!$BC$1293:$BG$1296</definedName>
    <definedName name="Faults_Yr2_42">'NARM5 – ED2 actuals'!$BC$1325:$BG$1328</definedName>
    <definedName name="Faults_Yr2_43">'NARM5 – ED2 actuals'!$BC$1357:$BG$1360</definedName>
    <definedName name="Faults_Yr2_44">'NARM5 – ED2 actuals'!$BC$1389:$BG$1392</definedName>
    <definedName name="Faults_Yr2_45">'NARM5 – ED2 actuals'!$BC$1421:$BG$1424</definedName>
    <definedName name="Faults_Yr2_46">'NARM5 – ED2 actuals'!$BC$1453:$BG$1456</definedName>
    <definedName name="Faults_Yr2_47">'NARM5 – ED2 actuals'!$BC$1485:$BG$1488</definedName>
    <definedName name="Faults_Yr2_48">'NARM5 – ED2 actuals'!$BC$1517:$BG$1520</definedName>
    <definedName name="Faults_Yr2_49">'NARM5 – ED2 actuals'!$BC$1549:$BG$1552</definedName>
    <definedName name="Faults_Yr2_5">'NARM5 – ED2 actuals'!$BC$141:$BG$144</definedName>
    <definedName name="Faults_Yr2_50">'NARM5 – ED2 actuals'!$BC$1581:$BG$1584</definedName>
    <definedName name="Faults_Yr2_51">'NARM5 – ED2 actuals'!$BC$1613:$BG$1616</definedName>
    <definedName name="Faults_Yr2_52">'NARM5 – ED2 actuals'!$BC$1645:$BG$1648</definedName>
    <definedName name="Faults_Yr2_53">'NARM5 – ED2 actuals'!$BC$1677:$BG$1680</definedName>
    <definedName name="Faults_Yr2_54">'NARM5 – ED2 actuals'!$BC$1709:$BG$1712</definedName>
    <definedName name="Faults_Yr2_55">'NARM5 – ED2 actuals'!$BC$1741:$BG$1744</definedName>
    <definedName name="Faults_Yr2_56">'NARM5 – ED2 actuals'!$BC$1773:$BG$1776</definedName>
    <definedName name="Faults_Yr2_57">'NARM5 – ED2 actuals'!$BC$1805:$BG$1808</definedName>
    <definedName name="Faults_Yr2_58">'NARM5 – ED2 actuals'!$BC$1837:$BG$1840</definedName>
    <definedName name="Faults_Yr2_59">'NARM5 – ED2 actuals'!$BC$1869:$BG$1872</definedName>
    <definedName name="Faults_Yr2_6">'NARM5 – ED2 actuals'!$BC$173:$BG$176</definedName>
    <definedName name="Faults_Yr2_60">'NARM5 – ED2 actuals'!$BC$1901:$BG$1904</definedName>
    <definedName name="Faults_Yr2_61">'NARM5 – ED2 actuals'!$BC$1933:$BG$1936</definedName>
    <definedName name="Faults_Yr2_7">'NARM5 – ED2 actuals'!$BC$205:$BG$208</definedName>
    <definedName name="Faults_Yr2_8">'NARM5 – ED2 actuals'!$BC$237:$BG$240</definedName>
    <definedName name="Faults_Yr2_9">'NARM5 – ED2 actuals'!$BC$269:$BG$272</definedName>
    <definedName name="Faults_Yr3_1">'NARM5 – ED2 actuals'!$BC$19:$BG$22</definedName>
    <definedName name="Faults_Yr3_10">'NARM5 – ED2 actuals'!$BC$307:$BG$310</definedName>
    <definedName name="Faults_Yr3_11">'NARM5 – ED2 actuals'!$BC$339:$BG$342</definedName>
    <definedName name="Faults_Yr3_12">'NARM5 – ED2 actuals'!$BC$371:$BG$374</definedName>
    <definedName name="Faults_Yr3_13">'NARM5 – ED2 actuals'!$BC$403:$BG$406</definedName>
    <definedName name="Faults_Yr3_14">'NARM5 – ED2 actuals'!$BC$435:$BG$438</definedName>
    <definedName name="Faults_Yr3_15">'NARM5 – ED2 actuals'!$BC$467:$BG$470</definedName>
    <definedName name="Faults_Yr3_16">'NARM5 – ED2 actuals'!$BC$499:$BG$502</definedName>
    <definedName name="Faults_Yr3_17">'NARM5 – ED2 actuals'!$BC$531:$BG$534</definedName>
    <definedName name="Faults_Yr3_18">'NARM5 – ED2 actuals'!$BC$563:$BG$566</definedName>
    <definedName name="Faults_Yr3_19">'NARM5 – ED2 actuals'!$BC$595:$BG$598</definedName>
    <definedName name="Faults_Yr3_2">'NARM5 – ED2 actuals'!$BC$51:$BG$54</definedName>
    <definedName name="Faults_Yr3_20">'NARM5 – ED2 actuals'!$BC$627:$BG$630</definedName>
    <definedName name="Faults_Yr3_21">'NARM5 – ED2 actuals'!$BC$659:$BG$662</definedName>
    <definedName name="Faults_Yr3_22">'NARM5 – ED2 actuals'!$BC$691:$BG$694</definedName>
    <definedName name="Faults_Yr3_23">'NARM5 – ED2 actuals'!$BC$723:$BG$726</definedName>
    <definedName name="Faults_Yr3_24">'NARM5 – ED2 actuals'!$BC$755:$BG$758</definedName>
    <definedName name="Faults_Yr3_25">'NARM5 – ED2 actuals'!$BC$787:$BG$790</definedName>
    <definedName name="Faults_Yr3_26">'NARM5 – ED2 actuals'!$BC$819:$BG$822</definedName>
    <definedName name="Faults_Yr3_27">'NARM5 – ED2 actuals'!$BC$851:$BG$854</definedName>
    <definedName name="Faults_Yr3_28">'NARM5 – ED2 actuals'!$BC$883:$BG$886</definedName>
    <definedName name="Faults_Yr3_29">'NARM5 – ED2 actuals'!$BC$915:$BG$918</definedName>
    <definedName name="Faults_Yr3_3">'NARM5 – ED2 actuals'!$BC$83:$BG$86</definedName>
    <definedName name="Faults_Yr3_30">'NARM5 – ED2 actuals'!$BC$947:$BG$950</definedName>
    <definedName name="Faults_Yr3_31">'NARM5 – ED2 actuals'!$BC$979:$BG$982</definedName>
    <definedName name="Faults_Yr3_32">'NARM5 – ED2 actuals'!$BC$1011:$BG$1014</definedName>
    <definedName name="Faults_Yr3_33">'NARM5 – ED2 actuals'!$BC$1043:$BG$1046</definedName>
    <definedName name="Faults_Yr3_34">'NARM5 – ED2 actuals'!$BC$1075:$BG$1078</definedName>
    <definedName name="Faults_Yr3_35">'NARM5 – ED2 actuals'!$BC$1107:$BG$1110</definedName>
    <definedName name="Faults_Yr3_36">'NARM5 – ED2 actuals'!$BC$1139:$BG$1142</definedName>
    <definedName name="Faults_Yr3_37">'NARM5 – ED2 actuals'!$BC$1171:$BG$1174</definedName>
    <definedName name="Faults_Yr3_38">'NARM5 – ED2 actuals'!$BC$1203:$BG$1206</definedName>
    <definedName name="Faults_Yr3_39">'NARM5 – ED2 actuals'!$BC$1235:$BG$1238</definedName>
    <definedName name="Faults_Yr3_4">'NARM5 – ED2 actuals'!$BC$115:$BG$118</definedName>
    <definedName name="Faults_Yr3_40">'NARM5 – ED2 actuals'!$BC$1267:$BG$1270</definedName>
    <definedName name="Faults_Yr3_41">'NARM5 – ED2 actuals'!$BC$1299:$BG$1302</definedName>
    <definedName name="Faults_Yr3_42">'NARM5 – ED2 actuals'!$BC$1331:$BG$1334</definedName>
    <definedName name="Faults_Yr3_43">'NARM5 – ED2 actuals'!$BC$1363:$BG$1366</definedName>
    <definedName name="Faults_Yr3_44">'NARM5 – ED2 actuals'!$BC$1395:$BG$1398</definedName>
    <definedName name="Faults_Yr3_45">'NARM5 – ED2 actuals'!$BC$1427:$BG$1430</definedName>
    <definedName name="Faults_Yr3_46">'NARM5 – ED2 actuals'!$BC$1459:$BG$1462</definedName>
    <definedName name="Faults_Yr3_47">'NARM5 – ED2 actuals'!$BC$1491:$BG$1494</definedName>
    <definedName name="Faults_Yr3_48">'NARM5 – ED2 actuals'!$BC$1523:$BG$1526</definedName>
    <definedName name="Faults_Yr3_49">'NARM5 – ED2 actuals'!$BC$1555:$BG$1558</definedName>
    <definedName name="Faults_Yr3_5">'NARM5 – ED2 actuals'!$BC$147:$BG$150</definedName>
    <definedName name="Faults_Yr3_50">'NARM5 – ED2 actuals'!$BC$1587:$BG$1590</definedName>
    <definedName name="Faults_Yr3_51">'NARM5 – ED2 actuals'!$BC$1619:$BG$1622</definedName>
    <definedName name="Faults_Yr3_52">'NARM5 – ED2 actuals'!$BC$1651:$BG$1654</definedName>
    <definedName name="Faults_Yr3_53">'NARM5 – ED2 actuals'!$BC$1683:$BG$1686</definedName>
    <definedName name="Faults_Yr3_54">'NARM5 – ED2 actuals'!$BC$1715:$BG$1718</definedName>
    <definedName name="Faults_Yr3_55">'NARM5 – ED2 actuals'!$BC$1747:$BG$1750</definedName>
    <definedName name="Faults_Yr3_56">'NARM5 – ED2 actuals'!$BC$1779:$BG$1782</definedName>
    <definedName name="Faults_Yr3_57">'NARM5 – ED2 actuals'!$BC$1811:$BG$1814</definedName>
    <definedName name="Faults_Yr3_58">'NARM5 – ED2 actuals'!$BC$1843:$BG$1846</definedName>
    <definedName name="Faults_Yr3_59">'NARM5 – ED2 actuals'!$BC$1875:$BG$1878</definedName>
    <definedName name="Faults_Yr3_6">'NARM5 – ED2 actuals'!$BC$179:$BG$182</definedName>
    <definedName name="Faults_Yr3_60">'NARM5 – ED2 actuals'!$BC$1907:$BG$1910</definedName>
    <definedName name="Faults_Yr3_61">'NARM5 – ED2 actuals'!$BC$1939:$BG$1942</definedName>
    <definedName name="Faults_Yr3_7">'NARM5 – ED2 actuals'!$BC$211:$BG$214</definedName>
    <definedName name="Faults_Yr3_8">'NARM5 – ED2 actuals'!$BC$243:$BG$246</definedName>
    <definedName name="Faults_Yr3_9">'NARM5 – ED2 actuals'!$BC$275:$BG$278</definedName>
    <definedName name="Faults_Yr4_1">'NARM5 – ED2 actuals'!$BC$25:$BG$28</definedName>
    <definedName name="Faults_Yr4_10">'NARM5 – ED2 actuals'!$BC$313:$BG$316</definedName>
    <definedName name="Faults_Yr4_11">'NARM5 – ED2 actuals'!$BC$345:$BG$348</definedName>
    <definedName name="Faults_Yr4_12">'NARM5 – ED2 actuals'!$BC$377:$BG$380</definedName>
    <definedName name="Faults_Yr4_13">'NARM5 – ED2 actuals'!$BC$409:$BG$412</definedName>
    <definedName name="Faults_Yr4_14">'NARM5 – ED2 actuals'!$BC$441:$BG$444</definedName>
    <definedName name="Faults_Yr4_15">'NARM5 – ED2 actuals'!$BC$473:$BG$476</definedName>
    <definedName name="Faults_Yr4_16">'NARM5 – ED2 actuals'!$BC$505:$BG$508</definedName>
    <definedName name="Faults_Yr4_17">'NARM5 – ED2 actuals'!$BC$537:$BG$540</definedName>
    <definedName name="Faults_Yr4_18">'NARM5 – ED2 actuals'!$BC$569:$BG$572</definedName>
    <definedName name="Faults_Yr4_19">'NARM5 – ED2 actuals'!$BC$601:$BG$604</definedName>
    <definedName name="Faults_Yr4_2">'NARM5 – ED2 actuals'!$BC$57:$BG$60</definedName>
    <definedName name="Faults_Yr4_20">'NARM5 – ED2 actuals'!$BC$633:$BG$636</definedName>
    <definedName name="Faults_Yr4_21">'NARM5 – ED2 actuals'!$BC$665:$BG$668</definedName>
    <definedName name="Faults_Yr4_22">'NARM5 – ED2 actuals'!$BC$697:$BG$700</definedName>
    <definedName name="Faults_Yr4_23">'NARM5 – ED2 actuals'!$BC$729:$BG$732</definedName>
    <definedName name="Faults_Yr4_24">'NARM5 – ED2 actuals'!$BC$761:$BG$764</definedName>
    <definedName name="Faults_Yr4_25">'NARM5 – ED2 actuals'!$BC$793:$BG$796</definedName>
    <definedName name="Faults_Yr4_26">'NARM5 – ED2 actuals'!$BC$825:$BG$828</definedName>
    <definedName name="Faults_Yr4_27">'NARM5 – ED2 actuals'!$BC$857:$BG$860</definedName>
    <definedName name="Faults_Yr4_28">'NARM5 – ED2 actuals'!$BC$889:$BG$892</definedName>
    <definedName name="Faults_Yr4_29">'NARM5 – ED2 actuals'!$BC$921:$BG$924</definedName>
    <definedName name="Faults_Yr4_3">'NARM5 – ED2 actuals'!$BC$89:$BG$92</definedName>
    <definedName name="Faults_Yr4_30">'NARM5 – ED2 actuals'!$BC$953:$BG$956</definedName>
    <definedName name="Faults_Yr4_31">'NARM5 – ED2 actuals'!$BC$985:$BG$988</definedName>
    <definedName name="Faults_Yr4_32">'NARM5 – ED2 actuals'!$BC$1017:$BG$1020</definedName>
    <definedName name="Faults_Yr4_33">'NARM5 – ED2 actuals'!$BC$1049:$BG$1052</definedName>
    <definedName name="Faults_Yr4_34">'NARM5 – ED2 actuals'!$BC$1081:$BG$1084</definedName>
    <definedName name="Faults_Yr4_35">'NARM5 – ED2 actuals'!$BC$1113:$BG$1116</definedName>
    <definedName name="Faults_Yr4_36">'NARM5 – ED2 actuals'!$BC$1145:$BG$1148</definedName>
    <definedName name="Faults_Yr4_37">'NARM5 – ED2 actuals'!$BC$1177:$BG$1180</definedName>
    <definedName name="Faults_Yr4_38">'NARM5 – ED2 actuals'!$BC$1209:$BG$1212</definedName>
    <definedName name="Faults_Yr4_39">'NARM5 – ED2 actuals'!$BC$1241:$BG$1244</definedName>
    <definedName name="Faults_Yr4_4">'NARM5 – ED2 actuals'!$BC$121:$BG$124</definedName>
    <definedName name="Faults_Yr4_40">'NARM5 – ED2 actuals'!$BC$1273:$BG$1276</definedName>
    <definedName name="Faults_Yr4_41">'NARM5 – ED2 actuals'!$BC$1305:$BG$1308</definedName>
    <definedName name="Faults_Yr4_42">'NARM5 – ED2 actuals'!$BC$1337:$BG$1340</definedName>
    <definedName name="Faults_Yr4_43">'NARM5 – ED2 actuals'!$BC$1369:$BG$1372</definedName>
    <definedName name="Faults_Yr4_44">'NARM5 – ED2 actuals'!$BC$1401:$BG$1404</definedName>
    <definedName name="Faults_Yr4_45">'NARM5 – ED2 actuals'!$BC$1433:$BG$1436</definedName>
    <definedName name="Faults_Yr4_46">'NARM5 – ED2 actuals'!$BC$1465:$BG$1468</definedName>
    <definedName name="Faults_Yr4_47">'NARM5 – ED2 actuals'!$BC$1497:$BG$1500</definedName>
    <definedName name="Faults_Yr4_48">'NARM5 – ED2 actuals'!$BC$1529:$BG$1532</definedName>
    <definedName name="Faults_Yr4_49">'NARM5 – ED2 actuals'!$BC$1561:$BG$1564</definedName>
    <definedName name="Faults_Yr4_5">'NARM5 – ED2 actuals'!$BC$153:$BG$156</definedName>
    <definedName name="Faults_Yr4_50">'NARM5 – ED2 actuals'!$BC$1593:$BG$1596</definedName>
    <definedName name="Faults_Yr4_51">'NARM5 – ED2 actuals'!$BC$1625:$BG$1628</definedName>
    <definedName name="Faults_Yr4_52">'NARM5 – ED2 actuals'!$BC$1657:$BG$1660</definedName>
    <definedName name="Faults_Yr4_53">'NARM5 – ED2 actuals'!$BC$1689:$BG$1692</definedName>
    <definedName name="Faults_Yr4_54">'NARM5 – ED2 actuals'!$BC$1721:$BG$1724</definedName>
    <definedName name="Faults_Yr4_55">'NARM5 – ED2 actuals'!$BC$1753:$BG$1756</definedName>
    <definedName name="Faults_Yr4_56">'NARM5 – ED2 actuals'!$BC$1785:$BG$1788</definedName>
    <definedName name="Faults_Yr4_57">'NARM5 – ED2 actuals'!$BC$1817:$BG$1820</definedName>
    <definedName name="Faults_Yr4_58">'NARM5 – ED2 actuals'!$BC$1849:$BG$1852</definedName>
    <definedName name="Faults_Yr4_59">'NARM5 – ED2 actuals'!$BC$1881:$BG$1884</definedName>
    <definedName name="Faults_Yr4_6">'NARM5 – ED2 actuals'!$BC$185:$BG$188</definedName>
    <definedName name="Faults_Yr4_60">'NARM5 – ED2 actuals'!$BC$1913:$BG$1916</definedName>
    <definedName name="Faults_Yr4_61">'NARM5 – ED2 actuals'!$BC$1945:$BG$1948</definedName>
    <definedName name="Faults_Yr4_7">'NARM5 – ED2 actuals'!$BC$217:$BG$220</definedName>
    <definedName name="Faults_Yr4_8">'NARM5 – ED2 actuals'!$BC$249:$BG$252</definedName>
    <definedName name="Faults_Yr4_9">'NARM5 – ED2 actuals'!$BC$281:$BG$284</definedName>
    <definedName name="Faults_Yr5_1">'NARM5 – ED2 actuals'!$BC$31:$BG$34</definedName>
    <definedName name="Faults_Yr5_10">'NARM5 – ED2 actuals'!$BC$319:$BG$322</definedName>
    <definedName name="Faults_Yr5_11">'NARM5 – ED2 actuals'!$BC$351:$BG$354</definedName>
    <definedName name="Faults_Yr5_12">'NARM5 – ED2 actuals'!$BC$383:$BG$386</definedName>
    <definedName name="Faults_Yr5_13">'NARM5 – ED2 actuals'!$BC$415:$BG$418</definedName>
    <definedName name="Faults_Yr5_14">'NARM5 – ED2 actuals'!$BC$447:$BG$450</definedName>
    <definedName name="Faults_Yr5_15">'NARM5 – ED2 actuals'!$BC$479:$BG$482</definedName>
    <definedName name="Faults_Yr5_16">'NARM5 – ED2 actuals'!$BC$511:$BG$514</definedName>
    <definedName name="Faults_Yr5_17">'NARM5 – ED2 actuals'!$BC$543:$BG$546</definedName>
    <definedName name="Faults_Yr5_18">'NARM5 – ED2 actuals'!$BC$575:$BG$578</definedName>
    <definedName name="Faults_Yr5_19">'NARM5 – ED2 actuals'!$BC$607:$BG$610</definedName>
    <definedName name="Faults_Yr5_2">'NARM5 – ED2 actuals'!$BC$63:$BG$66</definedName>
    <definedName name="Faults_Yr5_20">'NARM5 – ED2 actuals'!$BC$639:$BG$642</definedName>
    <definedName name="Faults_Yr5_21">'NARM5 – ED2 actuals'!$BC$671:$BG$674</definedName>
    <definedName name="Faults_Yr5_22">'NARM5 – ED2 actuals'!$BC$703:$BG$706</definedName>
    <definedName name="Faults_Yr5_23">'NARM5 – ED2 actuals'!$BC$735:$BG$738</definedName>
    <definedName name="Faults_Yr5_24">'NARM5 – ED2 actuals'!$BC$767:$BG$770</definedName>
    <definedName name="Faults_Yr5_25">'NARM5 – ED2 actuals'!$BC$799:$BG$802</definedName>
    <definedName name="Faults_Yr5_26">'NARM5 – ED2 actuals'!$BC$831:$BG$834</definedName>
    <definedName name="Faults_Yr5_27">'NARM5 – ED2 actuals'!$BC$863:$BG$866</definedName>
    <definedName name="Faults_Yr5_28">'NARM5 – ED2 actuals'!$BC$895:$BG$898</definedName>
    <definedName name="Faults_Yr5_29">'NARM5 – ED2 actuals'!$BC$927:$BG$930</definedName>
    <definedName name="Faults_Yr5_3">'NARM5 – ED2 actuals'!$BC$95:$BG$98</definedName>
    <definedName name="Faults_Yr5_30">'NARM5 – ED2 actuals'!$BC$959:$BG$962</definedName>
    <definedName name="Faults_Yr5_31">'NARM5 – ED2 actuals'!$BC$991:$BG$994</definedName>
    <definedName name="Faults_Yr5_32">'NARM5 – ED2 actuals'!$BC$1023:$BG$1026</definedName>
    <definedName name="Faults_Yr5_33">'NARM5 – ED2 actuals'!$BC$1055:$BG$1058</definedName>
    <definedName name="Faults_Yr5_34">'NARM5 – ED2 actuals'!$BC$1087:$BG$1090</definedName>
    <definedName name="Faults_Yr5_35">'NARM5 – ED2 actuals'!$BC$1119:$BG$1122</definedName>
    <definedName name="Faults_Yr5_36">'NARM5 – ED2 actuals'!$BC$1151:$BG$1154</definedName>
    <definedName name="Faults_Yr5_37">'NARM5 – ED2 actuals'!$BC$1183:$BG$1186</definedName>
    <definedName name="Faults_Yr5_38">'NARM5 – ED2 actuals'!$BC$1215:$BG$1218</definedName>
    <definedName name="Faults_Yr5_39">'NARM5 – ED2 actuals'!$BC$1247:$BG$1250</definedName>
    <definedName name="Faults_Yr5_4">'NARM5 – ED2 actuals'!$BC$127:$BG$130</definedName>
    <definedName name="Faults_Yr5_40">'NARM5 – ED2 actuals'!$BC$1279:$BG$1282</definedName>
    <definedName name="Faults_Yr5_41">'NARM5 – ED2 actuals'!$BC$1311:$BG$1314</definedName>
    <definedName name="Faults_Yr5_42">'NARM5 – ED2 actuals'!$BC$1343:$BG$1346</definedName>
    <definedName name="Faults_Yr5_43">'NARM5 – ED2 actuals'!$BC$1375:$BG$1378</definedName>
    <definedName name="Faults_Yr5_44">'NARM5 – ED2 actuals'!$BC$1407:$BG$1410</definedName>
    <definedName name="Faults_Yr5_45">'NARM5 – ED2 actuals'!$BC$1439:$BG$1442</definedName>
    <definedName name="Faults_Yr5_46">'NARM5 – ED2 actuals'!$BC$1471:$BG$1474</definedName>
    <definedName name="Faults_Yr5_47">'NARM5 – ED2 actuals'!$BC$1503:$BG$1506</definedName>
    <definedName name="Faults_Yr5_48">'NARM5 – ED2 actuals'!$BC$1535:$BG$1538</definedName>
    <definedName name="Faults_Yr5_49">'NARM5 – ED2 actuals'!$BC$1567:$BG$1570</definedName>
    <definedName name="Faults_Yr5_5">'NARM5 – ED2 actuals'!$BC$159:$BG$162</definedName>
    <definedName name="Faults_Yr5_50">'NARM5 – ED2 actuals'!$BC$1599:$BG$1602</definedName>
    <definedName name="Faults_Yr5_51">'NARM5 – ED2 actuals'!$BC$1631:$BG$1634</definedName>
    <definedName name="Faults_Yr5_52">'NARM5 – ED2 actuals'!$BC$1663:$BG$1666</definedName>
    <definedName name="Faults_Yr5_53">'NARM5 – ED2 actuals'!$BC$1695:$BG$1698</definedName>
    <definedName name="Faults_Yr5_54">'NARM5 – ED2 actuals'!$BC$1727:$BG$1730</definedName>
    <definedName name="Faults_Yr5_55">'NARM5 – ED2 actuals'!$BC$1759:$BG$1762</definedName>
    <definedName name="Faults_Yr5_56">'NARM5 – ED2 actuals'!$BC$1791:$BG$1794</definedName>
    <definedName name="Faults_Yr5_57">'NARM5 – ED2 actuals'!$BC$1823:$BG$1826</definedName>
    <definedName name="Faults_Yr5_58">'NARM5 – ED2 actuals'!$BC$1855:$BG$1858</definedName>
    <definedName name="Faults_Yr5_59">'NARM5 – ED2 actuals'!$BC$1887:$BG$1890</definedName>
    <definedName name="Faults_Yr5_6">'NARM5 – ED2 actuals'!$BC$191:$BG$194</definedName>
    <definedName name="Faults_Yr5_60">'NARM5 – ED2 actuals'!$BC$1919:$BG$1922</definedName>
    <definedName name="Faults_Yr5_61">'NARM5 – ED2 actuals'!$BC$1951:$BG$1954</definedName>
    <definedName name="Faults_Yr5_7">'NARM5 – ED2 actuals'!$BC$223:$BG$226</definedName>
    <definedName name="Faults_Yr5_8">'NARM5 – ED2 actuals'!$BC$255:$BG$258</definedName>
    <definedName name="Faults_Yr5_9">'NARM5 – ED2 actuals'!$BC$287:$BG$290</definedName>
    <definedName name="ff" localSheetId="2" hidden="1">{#N/A,#N/A,FALSE,"PRJCTED MNTHLY QTY's"}</definedName>
    <definedName name="ff" localSheetId="3" hidden="1">{#N/A,#N/A,FALSE,"PRJCTED MNTHLY QTY's"}</definedName>
    <definedName name="ff" localSheetId="4" hidden="1">{#N/A,#N/A,FALSE,"PRJCTED MNTHLY QTY's"}</definedName>
    <definedName name="ff" localSheetId="1" hidden="1">{#N/A,#N/A,FALSE,"PRJCTED MNTHLY QTY's"}</definedName>
    <definedName name="ff" hidden="1">{#N/A,#N/A,FALSE,"PRJCTED MNTHLY QTY's"}</definedName>
    <definedName name="fffff" localSheetId="2" hidden="1">{#N/A,#N/A,FALSE,"PRJCTED QTRLY QTY's"}</definedName>
    <definedName name="fffff" localSheetId="3" hidden="1">{#N/A,#N/A,FALSE,"PRJCTED QTRLY QTY's"}</definedName>
    <definedName name="fffff" localSheetId="4" hidden="1">{#N/A,#N/A,FALSE,"PRJCTED QTRLY QTY's"}</definedName>
    <definedName name="fffff" localSheetId="1" hidden="1">{#N/A,#N/A,FALSE,"PRJCTED QTRLY QTY's"}</definedName>
    <definedName name="fffff" hidden="1">{#N/A,#N/A,FALSE,"PRJCTED QTRLY QTY's"}</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localSheetId="3" hidden="1">{#N/A,#N/A,FALSE,"DI 2 YEAR MASTER SCHEDULE"}</definedName>
    <definedName name="gjk" localSheetId="4" hidden="1">{#N/A,#N/A,FALSE,"DI 2 YEAR MASTER SCHEDULE"}</definedName>
    <definedName name="gjk" localSheetId="1" hidden="1">{#N/A,#N/A,FALSE,"DI 2 YEAR MASTER SCHEDULE"}</definedName>
    <definedName name="gjk" hidden="1">{#N/A,#N/A,FALSE,"DI 2 YEAR MASTER SCHEDULE"}</definedName>
    <definedName name="gwge" localSheetId="2" hidden="1">#REF!</definedName>
    <definedName name="gwge" localSheetId="1"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localSheetId="3" hidden="1">{"'PRODUCTIONCOST SHEET'!$B$3:$G$48"}</definedName>
    <definedName name="HTML_Control" localSheetId="4" hidden="1">{"'PRODUCTIONCOST SHEET'!$B$3:$G$48"}</definedName>
    <definedName name="HTML_Control" localSheetId="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VP_2028_Yr1_1">'NARM5 – ED2 actuals'!$CZ$7:$DD$10</definedName>
    <definedName name="HVP_2028_Yr1_10">'NARM5 – ED2 actuals'!$CZ$295:$DD$298</definedName>
    <definedName name="HVP_2028_Yr1_11">'NARM5 – ED2 actuals'!$CZ$327:$DD$330</definedName>
    <definedName name="HVP_2028_Yr1_12">'NARM5 – ED2 actuals'!$CZ$359:$DD$362</definedName>
    <definedName name="HVP_2028_Yr1_13">'NARM5 – ED2 actuals'!$CZ$391:$DD$394</definedName>
    <definedName name="HVP_2028_Yr1_14">'NARM5 – ED2 actuals'!$CZ$423:$DD$426</definedName>
    <definedName name="HVP_2028_Yr1_15">'NARM5 – ED2 actuals'!$CZ$455:$DD$458</definedName>
    <definedName name="HVP_2028_Yr1_16">'NARM5 – ED2 actuals'!$CZ$487:$DD$490</definedName>
    <definedName name="HVP_2028_Yr1_17">'NARM5 – ED2 actuals'!$CZ$519:$DD$522</definedName>
    <definedName name="HVP_2028_Yr1_18">'NARM5 – ED2 actuals'!$CZ$551:$DD$554</definedName>
    <definedName name="HVP_2028_Yr1_19">'NARM5 – ED2 actuals'!$CZ$583:$DD$586</definedName>
    <definedName name="HVP_2028_Yr1_2">'NARM5 – ED2 actuals'!$CZ$39:$DD$42</definedName>
    <definedName name="HVP_2028_Yr1_20">'NARM5 – ED2 actuals'!$CZ$615:$DD$618</definedName>
    <definedName name="HVP_2028_Yr1_21">'NARM5 – ED2 actuals'!$CZ$647:$DD$650</definedName>
    <definedName name="HVP_2028_Yr1_22">'NARM5 – ED2 actuals'!$CZ$679:$DD$682</definedName>
    <definedName name="HVP_2028_Yr1_23">'NARM5 – ED2 actuals'!$CZ$711:$DD$714</definedName>
    <definedName name="HVP_2028_Yr1_24">'NARM5 – ED2 actuals'!$CZ$743:$DD$746</definedName>
    <definedName name="HVP_2028_Yr1_25">'NARM5 – ED2 actuals'!$CZ$775:$DD$778</definedName>
    <definedName name="HVP_2028_Yr1_26">'NARM5 – ED2 actuals'!$CZ$807:$DD$810</definedName>
    <definedName name="HVP_2028_Yr1_27">'NARM5 – ED2 actuals'!$CZ$839:$DD$842</definedName>
    <definedName name="HVP_2028_Yr1_28">'NARM5 – ED2 actuals'!$CZ$871:$DD$874</definedName>
    <definedName name="HVP_2028_Yr1_29">'NARM5 – ED2 actuals'!$CZ$903:$DD$906</definedName>
    <definedName name="HVP_2028_Yr1_3">'NARM5 – ED2 actuals'!$CZ$71:$DD$74</definedName>
    <definedName name="HVP_2028_Yr1_30">'NARM5 – ED2 actuals'!$CZ$935:$DD$938</definedName>
    <definedName name="HVP_2028_Yr1_31">'NARM5 – ED2 actuals'!$CZ$967:$DD$970</definedName>
    <definedName name="HVP_2028_Yr1_32">'NARM5 – ED2 actuals'!$CZ$999:$DD$1002</definedName>
    <definedName name="HVP_2028_Yr1_33">'NARM5 – ED2 actuals'!$CZ$1031:$DD$1034</definedName>
    <definedName name="HVP_2028_Yr1_34">'NARM5 – ED2 actuals'!$CZ$1063:$DD$1066</definedName>
    <definedName name="HVP_2028_Yr1_35">'NARM5 – ED2 actuals'!$CZ$1095:$DD$1098</definedName>
    <definedName name="HVP_2028_Yr1_36">'NARM5 – ED2 actuals'!$CZ$1127:$DD$1130</definedName>
    <definedName name="HVP_2028_Yr1_37">'NARM5 – ED2 actuals'!$CZ$1159:$DD$1162</definedName>
    <definedName name="HVP_2028_Yr1_38">'NARM5 – ED2 actuals'!$CZ$1191:$DD$1194</definedName>
    <definedName name="HVP_2028_Yr1_39">'NARM5 – ED2 actuals'!$CZ$1223:$DD$1226</definedName>
    <definedName name="HVP_2028_Yr1_4">'NARM5 – ED2 actuals'!$CZ$103:$DD$106</definedName>
    <definedName name="HVP_2028_Yr1_40">'NARM5 – ED2 actuals'!$CZ$1255:$DD$1258</definedName>
    <definedName name="HVP_2028_Yr1_41">'NARM5 – ED2 actuals'!$CZ$1287:$DD$1290</definedName>
    <definedName name="HVP_2028_Yr1_42">'NARM5 – ED2 actuals'!$CZ$1319:$DD$1322</definedName>
    <definedName name="HVP_2028_Yr1_43">'NARM5 – ED2 actuals'!$CZ$1351:$DD$1354</definedName>
    <definedName name="HVP_2028_Yr1_44">'NARM5 – ED2 actuals'!$CZ$1383:$DD$1386</definedName>
    <definedName name="HVP_2028_Yr1_45">'NARM5 – ED2 actuals'!$CZ$1415:$DD$1418</definedName>
    <definedName name="HVP_2028_Yr1_46">'NARM5 – ED2 actuals'!$CZ$1447:$DD$1450</definedName>
    <definedName name="HVP_2028_Yr1_47">'NARM5 – ED2 actuals'!$CZ$1479:$DD$1482</definedName>
    <definedName name="HVP_2028_Yr1_48">'NARM5 – ED2 actuals'!$CZ$1511:$DD$1514</definedName>
    <definedName name="HVP_2028_Yr1_49">'NARM5 – ED2 actuals'!$CZ$1543:$DD$1546</definedName>
    <definedName name="HVP_2028_Yr1_5">'NARM5 – ED2 actuals'!$CZ$135:$DD$138</definedName>
    <definedName name="HVP_2028_Yr1_50">'NARM5 – ED2 actuals'!$CZ$1575:$DD$1578</definedName>
    <definedName name="HVP_2028_Yr1_51">'NARM5 – ED2 actuals'!$CZ$1607:$DD$1610</definedName>
    <definedName name="HVP_2028_Yr1_52">'NARM5 – ED2 actuals'!$CZ$1639:$DD$1642</definedName>
    <definedName name="HVP_2028_Yr1_53">'NARM5 – ED2 actuals'!$CZ$1671:$DD$1674</definedName>
    <definedName name="HVP_2028_Yr1_54">'NARM5 – ED2 actuals'!$CZ$1703:$DD$1706</definedName>
    <definedName name="HVP_2028_Yr1_55">'NARM5 – ED2 actuals'!$CZ$1735:$DD$1738</definedName>
    <definedName name="HVP_2028_Yr1_56">'NARM5 – ED2 actuals'!$CZ$1767:$DD$1770</definedName>
    <definedName name="HVP_2028_Yr1_57">'NARM5 – ED2 actuals'!$CZ$1799:$DD$1802</definedName>
    <definedName name="HVP_2028_Yr1_58">'NARM5 – ED2 actuals'!$CZ$1831:$DD$1834</definedName>
    <definedName name="HVP_2028_Yr1_59">'NARM5 – ED2 actuals'!$CZ$1863:$DD$1866</definedName>
    <definedName name="HVP_2028_Yr1_6">'NARM5 – ED2 actuals'!$CZ$167:$DD$170</definedName>
    <definedName name="HVP_2028_Yr1_60">'NARM5 – ED2 actuals'!$CZ$1895:$DD$1898</definedName>
    <definedName name="HVP_2028_Yr1_61">'NARM5 – ED2 actuals'!$CZ$1927:$DD$1930</definedName>
    <definedName name="HVP_2028_Yr1_7">'NARM5 – ED2 actuals'!$CZ$199:$DD$202</definedName>
    <definedName name="HVP_2028_Yr1_8">'NARM5 – ED2 actuals'!$CZ$231:$DD$234</definedName>
    <definedName name="HVP_2028_Yr1_9">'NARM5 – ED2 actuals'!$CZ$263:$DD$266</definedName>
    <definedName name="HVP_2028_Yr2_1">'NARM5 – ED2 actuals'!$CZ$13:$DD$16</definedName>
    <definedName name="HVP_2028_Yr2_10">'NARM5 – ED2 actuals'!$CZ$301:$DD$304</definedName>
    <definedName name="HVP_2028_Yr2_11">'NARM5 – ED2 actuals'!$CZ$333:$DD$336</definedName>
    <definedName name="HVP_2028_Yr2_12">'NARM5 – ED2 actuals'!$CZ$365:$DD$368</definedName>
    <definedName name="HVP_2028_Yr2_13">'NARM5 – ED2 actuals'!$CZ$397:$DD$400</definedName>
    <definedName name="HVP_2028_Yr2_14">'NARM5 – ED2 actuals'!$CZ$429:$DD$432</definedName>
    <definedName name="HVP_2028_Yr2_15">'NARM5 – ED2 actuals'!$CZ$461:$DD$464</definedName>
    <definedName name="HVP_2028_Yr2_16">'NARM5 – ED2 actuals'!$CZ$493:$DD$496</definedName>
    <definedName name="HVP_2028_Yr2_17">'NARM5 – ED2 actuals'!$CZ$525:$DD$528</definedName>
    <definedName name="HVP_2028_Yr2_18">'NARM5 – ED2 actuals'!$CZ$557:$DD$560</definedName>
    <definedName name="HVP_2028_Yr2_19">'NARM5 – ED2 actuals'!$CZ$589:$DD$592</definedName>
    <definedName name="HVP_2028_Yr2_2">'NARM5 – ED2 actuals'!$CZ$45:$DD$48</definedName>
    <definedName name="HVP_2028_Yr2_20">'NARM5 – ED2 actuals'!$CZ$621:$DD$624</definedName>
    <definedName name="HVP_2028_Yr2_21">'NARM5 – ED2 actuals'!$CZ$653:$DD$656</definedName>
    <definedName name="HVP_2028_Yr2_22">'NARM5 – ED2 actuals'!$CZ$685:$DD$688</definedName>
    <definedName name="HVP_2028_Yr2_23">'NARM5 – ED2 actuals'!$CZ$717:$DD$720</definedName>
    <definedName name="HVP_2028_Yr2_24">'NARM5 – ED2 actuals'!$CZ$749:$DD$752</definedName>
    <definedName name="HVP_2028_Yr2_25">'NARM5 – ED2 actuals'!$CZ$781:$DD$784</definedName>
    <definedName name="HVP_2028_Yr2_26">'NARM5 – ED2 actuals'!$CZ$813:$DD$816</definedName>
    <definedName name="HVP_2028_Yr2_27">'NARM5 – ED2 actuals'!$CZ$845:$DD$848</definedName>
    <definedName name="HVP_2028_Yr2_28">'NARM5 – ED2 actuals'!$CZ$877:$DD$880</definedName>
    <definedName name="HVP_2028_Yr2_29">'NARM5 – ED2 actuals'!$CZ$909:$DD$912</definedName>
    <definedName name="HVP_2028_Yr2_3">'NARM5 – ED2 actuals'!$CZ$77:$DD$80</definedName>
    <definedName name="HVP_2028_Yr2_30">'NARM5 – ED2 actuals'!$CZ$941:$DD$944</definedName>
    <definedName name="HVP_2028_Yr2_31">'NARM5 – ED2 actuals'!$CZ$973:$DD$976</definedName>
    <definedName name="HVP_2028_Yr2_32">'NARM5 – ED2 actuals'!$CZ$1005:$DD$1008</definedName>
    <definedName name="HVP_2028_Yr2_33">'NARM5 – ED2 actuals'!$CZ$1037:$DD$1040</definedName>
    <definedName name="HVP_2028_Yr2_34">'NARM5 – ED2 actuals'!$CZ$1069:$DD$1072</definedName>
    <definedName name="HVP_2028_Yr2_35">'NARM5 – ED2 actuals'!$CZ$1101:$DD$1104</definedName>
    <definedName name="HVP_2028_Yr2_36">'NARM5 – ED2 actuals'!$CZ$1133:$DD$1136</definedName>
    <definedName name="HVP_2028_Yr2_37">'NARM5 – ED2 actuals'!$CZ$1165:$DD$1168</definedName>
    <definedName name="HVP_2028_Yr2_38">'NARM5 – ED2 actuals'!$CZ$1197:$DD$1200</definedName>
    <definedName name="HVP_2028_Yr2_39">'NARM5 – ED2 actuals'!$CZ$1229:$DD$1232</definedName>
    <definedName name="HVP_2028_Yr2_4">'NARM5 – ED2 actuals'!$CZ$109:$DD$112</definedName>
    <definedName name="HVP_2028_Yr2_40">'NARM5 – ED2 actuals'!$CZ$1261:$DD$1264</definedName>
    <definedName name="HVP_2028_Yr2_41">'NARM5 – ED2 actuals'!$CZ$1293:$DD$1296</definedName>
    <definedName name="HVP_2028_Yr2_42">'NARM5 – ED2 actuals'!$CZ$1325:$DD$1328</definedName>
    <definedName name="HVP_2028_Yr2_43">'NARM5 – ED2 actuals'!$CZ$1357:$DD$1360</definedName>
    <definedName name="HVP_2028_Yr2_44">'NARM5 – ED2 actuals'!$CZ$1389:$DD$1392</definedName>
    <definedName name="HVP_2028_Yr2_45">'NARM5 – ED2 actuals'!$CZ$1421:$DD$1424</definedName>
    <definedName name="HVP_2028_Yr2_46">'NARM5 – ED2 actuals'!$CZ$1453:$DD$1456</definedName>
    <definedName name="HVP_2028_Yr2_47">'NARM5 – ED2 actuals'!$CZ$1485:$DD$1488</definedName>
    <definedName name="HVP_2028_Yr2_48">'NARM5 – ED2 actuals'!$CZ$1517:$DD$1520</definedName>
    <definedName name="HVP_2028_Yr2_49">'NARM5 – ED2 actuals'!$CZ$1549:$DD$1552</definedName>
    <definedName name="HVP_2028_Yr2_5">'NARM5 – ED2 actuals'!$CZ$141:$DD$144</definedName>
    <definedName name="HVP_2028_Yr2_50">'NARM5 – ED2 actuals'!$CZ$1581:$DD$1584</definedName>
    <definedName name="HVP_2028_Yr2_51">'NARM5 – ED2 actuals'!$CZ$1613:$DD$1616</definedName>
    <definedName name="HVP_2028_Yr2_52">'NARM5 – ED2 actuals'!$CZ$1645:$DD$1648</definedName>
    <definedName name="HVP_2028_Yr2_53">'NARM5 – ED2 actuals'!$CZ$1677:$DD$1680</definedName>
    <definedName name="HVP_2028_Yr2_54">'NARM5 – ED2 actuals'!$CZ$1709:$DD$1712</definedName>
    <definedName name="HVP_2028_Yr2_55">'NARM5 – ED2 actuals'!$CZ$1741:$DD$1744</definedName>
    <definedName name="HVP_2028_Yr2_56">'NARM5 – ED2 actuals'!$CZ$1773:$DD$1776</definedName>
    <definedName name="HVP_2028_Yr2_57">'NARM5 – ED2 actuals'!$CZ$1805:$DD$1808</definedName>
    <definedName name="HVP_2028_Yr2_58">'NARM5 – ED2 actuals'!$CZ$1837:$DD$1840</definedName>
    <definedName name="HVP_2028_Yr2_59">'NARM5 – ED2 actuals'!$CZ$1869:$DD$1872</definedName>
    <definedName name="HVP_2028_Yr2_6">'NARM5 – ED2 actuals'!$CZ$173:$DD$176</definedName>
    <definedName name="HVP_2028_Yr2_60">'NARM5 – ED2 actuals'!$CZ$1901:$DD$1904</definedName>
    <definedName name="HVP_2028_Yr2_61">'NARM5 – ED2 actuals'!$CZ$1933:$DD$1936</definedName>
    <definedName name="HVP_2028_Yr2_7">'NARM5 – ED2 actuals'!$CZ$205:$DD$208</definedName>
    <definedName name="HVP_2028_Yr2_8">'NARM5 – ED2 actuals'!$CZ$237:$DD$240</definedName>
    <definedName name="HVP_2028_Yr2_9">'NARM5 – ED2 actuals'!$CZ$269:$DD$272</definedName>
    <definedName name="HVP_2028_Yr3_1">'NARM5 – ED2 actuals'!$CZ$19:$DD$22</definedName>
    <definedName name="HVP_2028_Yr3_10">'NARM5 – ED2 actuals'!$CZ$307:$DD$310</definedName>
    <definedName name="HVP_2028_Yr3_11">'NARM5 – ED2 actuals'!$CZ$339:$DD$342</definedName>
    <definedName name="HVP_2028_Yr3_12">'NARM5 – ED2 actuals'!$CZ$371:$DD$374</definedName>
    <definedName name="HVP_2028_Yr3_13">'NARM5 – ED2 actuals'!$CZ$403:$DD$406</definedName>
    <definedName name="HVP_2028_Yr3_14">'NARM5 – ED2 actuals'!$CZ$435:$DD$438</definedName>
    <definedName name="HVP_2028_Yr3_15">'NARM5 – ED2 actuals'!$CZ$467:$DD$470</definedName>
    <definedName name="HVP_2028_Yr3_16">'NARM5 – ED2 actuals'!$CZ$499:$DD$502</definedName>
    <definedName name="HVP_2028_Yr3_17">'NARM5 – ED2 actuals'!$CZ$531:$DD$534</definedName>
    <definedName name="HVP_2028_Yr3_18">'NARM5 – ED2 actuals'!$CZ$563:$DD$566</definedName>
    <definedName name="HVP_2028_Yr3_19">'NARM5 – ED2 actuals'!$CZ$595:$DD$598</definedName>
    <definedName name="HVP_2028_Yr3_2">'NARM5 – ED2 actuals'!$CZ$51:$DD$54</definedName>
    <definedName name="HVP_2028_Yr3_20">'NARM5 – ED2 actuals'!$CZ$627:$DD$630</definedName>
    <definedName name="HVP_2028_Yr3_21">'NARM5 – ED2 actuals'!$CZ$659:$DD$662</definedName>
    <definedName name="HVP_2028_Yr3_22">'NARM5 – ED2 actuals'!$CZ$691:$DD$694</definedName>
    <definedName name="HVP_2028_Yr3_23">'NARM5 – ED2 actuals'!$CZ$723:$DD$726</definedName>
    <definedName name="HVP_2028_Yr3_24">'NARM5 – ED2 actuals'!$CZ$755:$DD$758</definedName>
    <definedName name="HVP_2028_Yr3_25">'NARM5 – ED2 actuals'!$CZ$787:$DD$790</definedName>
    <definedName name="HVP_2028_Yr3_26">'NARM5 – ED2 actuals'!$CZ$819:$DD$822</definedName>
    <definedName name="HVP_2028_Yr3_27">'NARM5 – ED2 actuals'!$CZ$851:$DD$854</definedName>
    <definedName name="HVP_2028_Yr3_28">'NARM5 – ED2 actuals'!$CZ$883:$DD$886</definedName>
    <definedName name="HVP_2028_Yr3_29">'NARM5 – ED2 actuals'!$CZ$915:$DD$918</definedName>
    <definedName name="HVP_2028_Yr3_3">'NARM5 – ED2 actuals'!$CZ$83:$DD$86</definedName>
    <definedName name="HVP_2028_Yr3_30">'NARM5 – ED2 actuals'!$CZ$947:$DD$950</definedName>
    <definedName name="HVP_2028_Yr3_31">'NARM5 – ED2 actuals'!$CZ$979:$DD$982</definedName>
    <definedName name="HVP_2028_Yr3_32">'NARM5 – ED2 actuals'!$CZ$1011:$DD$1014</definedName>
    <definedName name="HVP_2028_Yr3_33">'NARM5 – ED2 actuals'!$CZ$1043:$DD$1046</definedName>
    <definedName name="HVP_2028_Yr3_34">'NARM5 – ED2 actuals'!$CZ$1075:$DD$1078</definedName>
    <definedName name="HVP_2028_Yr3_35">'NARM5 – ED2 actuals'!$CZ$1107:$DD$1110</definedName>
    <definedName name="HVP_2028_Yr3_36">'NARM5 – ED2 actuals'!$CZ$1139:$DD$1142</definedName>
    <definedName name="HVP_2028_Yr3_37">'NARM5 – ED2 actuals'!$CZ$1171:$DD$1174</definedName>
    <definedName name="HVP_2028_Yr3_38">'NARM5 – ED2 actuals'!$CZ$1203:$DD$1206</definedName>
    <definedName name="HVP_2028_Yr3_39">'NARM5 – ED2 actuals'!$CZ$1235:$DD$1238</definedName>
    <definedName name="HVP_2028_Yr3_4">'NARM5 – ED2 actuals'!$CZ$115:$DD$118</definedName>
    <definedName name="HVP_2028_Yr3_40">'NARM5 – ED2 actuals'!$CZ$1267:$DD$1270</definedName>
    <definedName name="HVP_2028_Yr3_41">'NARM5 – ED2 actuals'!$CZ$1299:$DD$1302</definedName>
    <definedName name="HVP_2028_Yr3_42">'NARM5 – ED2 actuals'!$CZ$1331:$DD$1334</definedName>
    <definedName name="HVP_2028_Yr3_43">'NARM5 – ED2 actuals'!$CZ$1363:$DD$1366</definedName>
    <definedName name="HVP_2028_Yr3_44">'NARM5 – ED2 actuals'!$CZ$1395:$DD$1398</definedName>
    <definedName name="HVP_2028_Yr3_45">'NARM5 – ED2 actuals'!$CZ$1427:$DD$1430</definedName>
    <definedName name="HVP_2028_Yr3_46">'NARM5 – ED2 actuals'!$CZ$1459:$DD$1462</definedName>
    <definedName name="HVP_2028_Yr3_47">'NARM5 – ED2 actuals'!$CZ$1491:$DD$1494</definedName>
    <definedName name="HVP_2028_Yr3_48">'NARM5 – ED2 actuals'!$CZ$1523:$DD$1526</definedName>
    <definedName name="HVP_2028_Yr3_49">'NARM5 – ED2 actuals'!$CZ$1555:$DD$1558</definedName>
    <definedName name="HVP_2028_Yr3_5">'NARM5 – ED2 actuals'!$CZ$147:$DD$150</definedName>
    <definedName name="HVP_2028_Yr3_50">'NARM5 – ED2 actuals'!$CZ$1587:$DD$1590</definedName>
    <definedName name="HVP_2028_Yr3_51">'NARM5 – ED2 actuals'!$CZ$1619:$DD$1622</definedName>
    <definedName name="HVP_2028_Yr3_52">'NARM5 – ED2 actuals'!$CZ$1651:$DD$1654</definedName>
    <definedName name="HVP_2028_Yr3_53">'NARM5 – ED2 actuals'!$CZ$1683:$DD$1686</definedName>
    <definedName name="HVP_2028_Yr3_54">'NARM5 – ED2 actuals'!$CZ$1715:$DD$1718</definedName>
    <definedName name="HVP_2028_Yr3_55">'NARM5 – ED2 actuals'!$CZ$1747:$DD$1750</definedName>
    <definedName name="HVP_2028_Yr3_56">'NARM5 – ED2 actuals'!$CZ$1779:$DD$1782</definedName>
    <definedName name="HVP_2028_Yr3_57">'NARM5 – ED2 actuals'!$CZ$1811:$DD$1814</definedName>
    <definedName name="HVP_2028_Yr3_58">'NARM5 – ED2 actuals'!$CZ$1843:$DD$1846</definedName>
    <definedName name="HVP_2028_Yr3_59">'NARM5 – ED2 actuals'!$CZ$1875:$DD$1878</definedName>
    <definedName name="HVP_2028_Yr3_6">'NARM5 – ED2 actuals'!$CZ$179:$DD$182</definedName>
    <definedName name="HVP_2028_Yr3_60">'NARM5 – ED2 actuals'!$CZ$1907:$DD$1910</definedName>
    <definedName name="HVP_2028_Yr3_61">'NARM5 – ED2 actuals'!$CZ$1939:$DD$1942</definedName>
    <definedName name="HVP_2028_Yr3_7">'NARM5 – ED2 actuals'!$CZ$211:$DD$214</definedName>
    <definedName name="HVP_2028_Yr3_8">'NARM5 – ED2 actuals'!$CZ$243:$DD$246</definedName>
    <definedName name="HVP_2028_Yr3_9">'NARM5 – ED2 actuals'!$CZ$275:$DD$278</definedName>
    <definedName name="HVP_2028_Yr4_1">'NARM5 – ED2 actuals'!$CZ$25:$DD$28</definedName>
    <definedName name="HVP_2028_Yr4_10">'NARM5 – ED2 actuals'!$CZ$313:$DD$316</definedName>
    <definedName name="HVP_2028_Yr4_11">'NARM5 – ED2 actuals'!$CZ$345:$DD$348</definedName>
    <definedName name="HVP_2028_Yr4_12">'NARM5 – ED2 actuals'!$CZ$377:$DD$380</definedName>
    <definedName name="HVP_2028_Yr4_13">'NARM5 – ED2 actuals'!$CZ$409:$DD$412</definedName>
    <definedName name="HVP_2028_Yr4_14">'NARM5 – ED2 actuals'!$CZ$441:$DD$444</definedName>
    <definedName name="HVP_2028_Yr4_15">'NARM5 – ED2 actuals'!$CZ$473:$DD$476</definedName>
    <definedName name="HVP_2028_Yr4_16">'NARM5 – ED2 actuals'!$CZ$505:$DD$508</definedName>
    <definedName name="HVP_2028_Yr4_17">'NARM5 – ED2 actuals'!$CZ$537:$DD$540</definedName>
    <definedName name="HVP_2028_Yr4_18">'NARM5 – ED2 actuals'!$CZ$569:$DD$572</definedName>
    <definedName name="HVP_2028_Yr4_19">'NARM5 – ED2 actuals'!$CZ$601:$DD$604</definedName>
    <definedName name="HVP_2028_Yr4_2">'NARM5 – ED2 actuals'!$CZ$57:$DD$60</definedName>
    <definedName name="HVP_2028_Yr4_20">'NARM5 – ED2 actuals'!$CZ$633:$DD$636</definedName>
    <definedName name="HVP_2028_Yr4_21">'NARM5 – ED2 actuals'!$CZ$665:$DD$668</definedName>
    <definedName name="HVP_2028_Yr4_22">'NARM5 – ED2 actuals'!$CZ$697:$DD$700</definedName>
    <definedName name="HVP_2028_Yr4_23">'NARM5 – ED2 actuals'!$CZ$729:$DD$732</definedName>
    <definedName name="HVP_2028_Yr4_24">'NARM5 – ED2 actuals'!$CZ$761:$DD$764</definedName>
    <definedName name="HVP_2028_Yr4_25">'NARM5 – ED2 actuals'!$CZ$793:$DD$796</definedName>
    <definedName name="HVP_2028_Yr4_26">'NARM5 – ED2 actuals'!$CZ$825:$DD$828</definedName>
    <definedName name="HVP_2028_Yr4_27">'NARM5 – ED2 actuals'!$CZ$857:$DD$860</definedName>
    <definedName name="HVP_2028_Yr4_28">'NARM5 – ED2 actuals'!$CZ$889:$DD$892</definedName>
    <definedName name="HVP_2028_Yr4_29">'NARM5 – ED2 actuals'!$CZ$921:$DD$924</definedName>
    <definedName name="HVP_2028_Yr4_3">'NARM5 – ED2 actuals'!$CZ$89:$DD$92</definedName>
    <definedName name="HVP_2028_Yr4_30">'NARM5 – ED2 actuals'!$CZ$953:$DD$956</definedName>
    <definedName name="HVP_2028_Yr4_31">'NARM5 – ED2 actuals'!$CZ$985:$DD$988</definedName>
    <definedName name="HVP_2028_Yr4_32">'NARM5 – ED2 actuals'!$CZ$1017:$DD$1020</definedName>
    <definedName name="HVP_2028_Yr4_33">'NARM5 – ED2 actuals'!$CZ$1049:$DD$1052</definedName>
    <definedName name="HVP_2028_Yr4_34">'NARM5 – ED2 actuals'!$CZ$1081:$DD$1084</definedName>
    <definedName name="HVP_2028_Yr4_35">'NARM5 – ED2 actuals'!$CZ$1113:$DD$1116</definedName>
    <definedName name="HVP_2028_Yr4_36">'NARM5 – ED2 actuals'!$CZ$1145:$DD$1148</definedName>
    <definedName name="HVP_2028_Yr4_37">'NARM5 – ED2 actuals'!$CZ$1177:$DD$1180</definedName>
    <definedName name="HVP_2028_Yr4_38">'NARM5 – ED2 actuals'!$CZ$1209:$DD$1212</definedName>
    <definedName name="HVP_2028_Yr4_39">'NARM5 – ED2 actuals'!$CZ$1241:$DD$1244</definedName>
    <definedName name="HVP_2028_Yr4_4">'NARM5 – ED2 actuals'!$CZ$121:$DD$124</definedName>
    <definedName name="HVP_2028_Yr4_40">'NARM5 – ED2 actuals'!$CZ$1273:$DD$1276</definedName>
    <definedName name="HVP_2028_Yr4_41">'NARM5 – ED2 actuals'!$CZ$1305:$DD$1308</definedName>
    <definedName name="HVP_2028_Yr4_42">'NARM5 – ED2 actuals'!$CZ$1337:$DD$1340</definedName>
    <definedName name="HVP_2028_Yr4_43">'NARM5 – ED2 actuals'!$CZ$1369:$DD$1372</definedName>
    <definedName name="HVP_2028_Yr4_44">'NARM5 – ED2 actuals'!$CZ$1401:$DD$1404</definedName>
    <definedName name="HVP_2028_Yr4_45">'NARM5 – ED2 actuals'!$CZ$1433:$DD$1436</definedName>
    <definedName name="HVP_2028_Yr4_46">'NARM5 – ED2 actuals'!$CZ$1465:$DD$1468</definedName>
    <definedName name="HVP_2028_Yr4_47">'NARM5 – ED2 actuals'!$CZ$1497:$DD$1500</definedName>
    <definedName name="HVP_2028_Yr4_48">'NARM5 – ED2 actuals'!$CZ$1529:$DD$1532</definedName>
    <definedName name="HVP_2028_Yr4_49">'NARM5 – ED2 actuals'!$CZ$1561:$DD$1564</definedName>
    <definedName name="HVP_2028_Yr4_5">'NARM5 – ED2 actuals'!$CZ$153:$DD$156</definedName>
    <definedName name="HVP_2028_Yr4_50">'NARM5 – ED2 actuals'!$CZ$1593:$DD$1596</definedName>
    <definedName name="HVP_2028_Yr4_51">'NARM5 – ED2 actuals'!$CZ$1625:$DD$1628</definedName>
    <definedName name="HVP_2028_Yr4_52">'NARM5 – ED2 actuals'!$CZ$1657:$DD$1660</definedName>
    <definedName name="HVP_2028_Yr4_53">'NARM5 – ED2 actuals'!$CZ$1689:$DD$1692</definedName>
    <definedName name="HVP_2028_Yr4_54">'NARM5 – ED2 actuals'!$CZ$1721:$DD$1724</definedName>
    <definedName name="HVP_2028_Yr4_55">'NARM5 – ED2 actuals'!$CZ$1753:$DD$1756</definedName>
    <definedName name="HVP_2028_Yr4_56">'NARM5 – ED2 actuals'!$CZ$1785:$DD$1788</definedName>
    <definedName name="HVP_2028_Yr4_57">'NARM5 – ED2 actuals'!$CZ$1817:$DD$1820</definedName>
    <definedName name="HVP_2028_Yr4_58">'NARM5 – ED2 actuals'!$CZ$1849:$DD$1852</definedName>
    <definedName name="HVP_2028_Yr4_59">'NARM5 – ED2 actuals'!$CZ$1881:$DD$1884</definedName>
    <definedName name="HVP_2028_Yr4_6">'NARM5 – ED2 actuals'!$CZ$185:$DD$188</definedName>
    <definedName name="HVP_2028_Yr4_60">'NARM5 – ED2 actuals'!$CZ$1913:$DD$1916</definedName>
    <definedName name="HVP_2028_Yr4_61">'NARM5 – ED2 actuals'!$CZ$1945:$DD$1948</definedName>
    <definedName name="HVP_2028_Yr4_7">'NARM5 – ED2 actuals'!$CZ$217:$DD$220</definedName>
    <definedName name="HVP_2028_Yr4_8">'NARM5 – ED2 actuals'!$CZ$249:$DD$252</definedName>
    <definedName name="HVP_2028_Yr4_9">'NARM5 – ED2 actuals'!$CZ$281:$DD$284</definedName>
    <definedName name="HVP_2028_Yr5_1">'NARM5 – ED2 actuals'!$CZ$31:$DD$34</definedName>
    <definedName name="HVP_2028_Yr5_10">'NARM5 – ED2 actuals'!$CZ$319:$DD$322</definedName>
    <definedName name="HVP_2028_Yr5_11">'NARM5 – ED2 actuals'!$CZ$351:$DD$354</definedName>
    <definedName name="HVP_2028_Yr5_12">'NARM5 – ED2 actuals'!$CZ$383:$DD$386</definedName>
    <definedName name="HVP_2028_Yr5_13">'NARM5 – ED2 actuals'!$CZ$415:$DD$418</definedName>
    <definedName name="HVP_2028_Yr5_14">'NARM5 – ED2 actuals'!$CZ$447:$DD$450</definedName>
    <definedName name="HVP_2028_Yr5_15">'NARM5 – ED2 actuals'!$CZ$479:$DD$482</definedName>
    <definedName name="HVP_2028_Yr5_16">'NARM5 – ED2 actuals'!$CZ$511:$DD$514</definedName>
    <definedName name="HVP_2028_Yr5_17">'NARM5 – ED2 actuals'!$CZ$543:$DD$546</definedName>
    <definedName name="HVP_2028_Yr5_18">'NARM5 – ED2 actuals'!$CZ$575:$DD$578</definedName>
    <definedName name="HVP_2028_Yr5_19">'NARM5 – ED2 actuals'!$CZ$607:$DD$610</definedName>
    <definedName name="HVP_2028_Yr5_2">'NARM5 – ED2 actuals'!$CZ$63:$DD$66</definedName>
    <definedName name="HVP_2028_Yr5_20">'NARM5 – ED2 actuals'!$CZ$639:$DD$642</definedName>
    <definedName name="HVP_2028_Yr5_21">'NARM5 – ED2 actuals'!$CZ$671:$DD$674</definedName>
    <definedName name="HVP_2028_Yr5_22">'NARM5 – ED2 actuals'!$CZ$703:$DD$706</definedName>
    <definedName name="HVP_2028_Yr5_23">'NARM5 – ED2 actuals'!$CZ$735:$DD$738</definedName>
    <definedName name="HVP_2028_Yr5_24">'NARM5 – ED2 actuals'!$CZ$767:$DD$770</definedName>
    <definedName name="HVP_2028_Yr5_25">'NARM5 – ED2 actuals'!$CZ$799:$DD$802</definedName>
    <definedName name="HVP_2028_Yr5_26">'NARM5 – ED2 actuals'!$CZ$831:$DD$834</definedName>
    <definedName name="HVP_2028_Yr5_27">'NARM5 – ED2 actuals'!$CZ$863:$DD$866</definedName>
    <definedName name="HVP_2028_Yr5_28">'NARM5 – ED2 actuals'!$CZ$895:$DD$898</definedName>
    <definedName name="HVP_2028_Yr5_29">'NARM5 – ED2 actuals'!$CZ$927:$DD$930</definedName>
    <definedName name="HVP_2028_Yr5_3">'NARM5 – ED2 actuals'!$CZ$95:$DD$98</definedName>
    <definedName name="HVP_2028_Yr5_30">'NARM5 – ED2 actuals'!$CZ$959:$DD$962</definedName>
    <definedName name="HVP_2028_Yr5_31">'NARM5 – ED2 actuals'!$CZ$991:$DD$994</definedName>
    <definedName name="HVP_2028_Yr5_32">'NARM5 – ED2 actuals'!$CZ$1023:$DD$1026</definedName>
    <definedName name="HVP_2028_Yr5_33">'NARM5 – ED2 actuals'!$CZ$1055:$DD$1058</definedName>
    <definedName name="HVP_2028_Yr5_34">'NARM5 – ED2 actuals'!$CZ$1087:$DD$1090</definedName>
    <definedName name="HVP_2028_Yr5_35">'NARM5 – ED2 actuals'!$CZ$1119:$DD$1122</definedName>
    <definedName name="HVP_2028_Yr5_36">'NARM5 – ED2 actuals'!$CZ$1151:$DD$1154</definedName>
    <definedName name="HVP_2028_Yr5_37">'NARM5 – ED2 actuals'!$CZ$1183:$DD$1186</definedName>
    <definedName name="HVP_2028_Yr5_38">'NARM5 – ED2 actuals'!$CZ$1215:$DD$1218</definedName>
    <definedName name="HVP_2028_Yr5_39">'NARM5 – ED2 actuals'!$CZ$1247:$DD$1250</definedName>
    <definedName name="HVP_2028_Yr5_4">'NARM5 – ED2 actuals'!$CZ$127:$DD$130</definedName>
    <definedName name="HVP_2028_Yr5_40">'NARM5 – ED2 actuals'!$CZ$1279:$DD$1282</definedName>
    <definedName name="HVP_2028_Yr5_41">'NARM5 – ED2 actuals'!$CZ$1311:$DD$1314</definedName>
    <definedName name="HVP_2028_Yr5_42">'NARM5 – ED2 actuals'!$CZ$1343:$DD$1346</definedName>
    <definedName name="HVP_2028_Yr5_43">'NARM5 – ED2 actuals'!$CZ$1375:$DD$1378</definedName>
    <definedName name="HVP_2028_Yr5_44">'NARM5 – ED2 actuals'!$CZ$1407:$DD$1410</definedName>
    <definedName name="HVP_2028_Yr5_45">'NARM5 – ED2 actuals'!$CZ$1439:$DD$1442</definedName>
    <definedName name="HVP_2028_Yr5_46">'NARM5 – ED2 actuals'!$CZ$1471:$DD$1474</definedName>
    <definedName name="HVP_2028_Yr5_47">'NARM5 – ED2 actuals'!$CZ$1503:$DD$1506</definedName>
    <definedName name="HVP_2028_Yr5_48">'NARM5 – ED2 actuals'!$CZ$1535:$DD$1538</definedName>
    <definedName name="HVP_2028_Yr5_49">'NARM5 – ED2 actuals'!$CZ$1567:$DD$1570</definedName>
    <definedName name="HVP_2028_Yr5_5">'NARM5 – ED2 actuals'!$CZ$159:$DD$162</definedName>
    <definedName name="HVP_2028_Yr5_50">'NARM5 – ED2 actuals'!$CZ$1599:$DD$1602</definedName>
    <definedName name="HVP_2028_Yr5_51">'NARM5 – ED2 actuals'!$CZ$1631:$DD$1634</definedName>
    <definedName name="HVP_2028_Yr5_52">'NARM5 – ED2 actuals'!$CZ$1663:$DD$1666</definedName>
    <definedName name="HVP_2028_Yr5_53">'NARM5 – ED2 actuals'!$CZ$1695:$DD$1698</definedName>
    <definedName name="HVP_2028_Yr5_54">'NARM5 – ED2 actuals'!$CZ$1727:$DD$1730</definedName>
    <definedName name="HVP_2028_Yr5_55">'NARM5 – ED2 actuals'!$CZ$1759:$DD$1762</definedName>
    <definedName name="HVP_2028_Yr5_56">'NARM5 – ED2 actuals'!$CZ$1791:$DD$1794</definedName>
    <definedName name="HVP_2028_Yr5_57">'NARM5 – ED2 actuals'!$CZ$1823:$DD$1826</definedName>
    <definedName name="HVP_2028_Yr5_58">'NARM5 – ED2 actuals'!$CZ$1855:$DD$1858</definedName>
    <definedName name="HVP_2028_Yr5_59">'NARM5 – ED2 actuals'!$CZ$1887:$DD$1890</definedName>
    <definedName name="HVP_2028_Yr5_6">'NARM5 – ED2 actuals'!$CZ$191:$DD$194</definedName>
    <definedName name="HVP_2028_Yr5_60">'NARM5 – ED2 actuals'!$CZ$1919:$DD$1922</definedName>
    <definedName name="HVP_2028_Yr5_61">'NARM5 – ED2 actuals'!$CZ$1951:$DD$1954</definedName>
    <definedName name="HVP_2028_Yr5_7">'NARM5 – ED2 actuals'!$CZ$223:$DD$226</definedName>
    <definedName name="HVP_2028_Yr5_8">'NARM5 – ED2 actuals'!$CZ$255:$DD$258</definedName>
    <definedName name="HVP_2028_Yr5_9">'NARM5 – ED2 actuals'!$CZ$287:$DD$290</definedName>
    <definedName name="HVP_Asset_Replacement_Refurbishment_Yr1_1">'NARM5 – ED2 actuals'!$BJ$7:$BN$10</definedName>
    <definedName name="HVP_Asset_Replacement_Refurbishment_Yr1_10">'NARM5 – ED2 actuals'!$BJ$295:$BN$298</definedName>
    <definedName name="HVP_Asset_Replacement_Refurbishment_Yr1_11">'NARM5 – ED2 actuals'!$BJ$327:$BN$330</definedName>
    <definedName name="HVP_Asset_Replacement_Refurbishment_Yr1_12">'NARM5 – ED2 actuals'!$BJ$359:$BN$362</definedName>
    <definedName name="HVP_Asset_Replacement_Refurbishment_Yr1_13">'NARM5 – ED2 actuals'!$BJ$391:$BN$394</definedName>
    <definedName name="HVP_Asset_Replacement_Refurbishment_Yr1_14">'NARM5 – ED2 actuals'!$BJ$423:$BN$426</definedName>
    <definedName name="HVP_Asset_Replacement_Refurbishment_Yr1_15">'NARM5 – ED2 actuals'!$BJ$455:$BN$458</definedName>
    <definedName name="HVP_Asset_Replacement_Refurbishment_Yr1_16">'NARM5 – ED2 actuals'!$BJ$487:$BN$490</definedName>
    <definedName name="HVP_Asset_Replacement_Refurbishment_Yr1_17">'NARM5 – ED2 actuals'!$BJ$519:$BN$522</definedName>
    <definedName name="HVP_Asset_Replacement_Refurbishment_Yr1_18">'NARM5 – ED2 actuals'!$BJ$551:$BN$554</definedName>
    <definedName name="HVP_Asset_Replacement_Refurbishment_Yr1_19">'NARM5 – ED2 actuals'!$BJ$583:$BN$586</definedName>
    <definedName name="HVP_Asset_Replacement_Refurbishment_Yr1_2">'NARM5 – ED2 actuals'!$BJ$39:$BN$42</definedName>
    <definedName name="HVP_Asset_Replacement_Refurbishment_Yr1_20">'NARM5 – ED2 actuals'!$BJ$615:$BN$618</definedName>
    <definedName name="HVP_Asset_Replacement_Refurbishment_Yr1_21">'NARM5 – ED2 actuals'!$BJ$647:$BN$650</definedName>
    <definedName name="HVP_Asset_Replacement_Refurbishment_Yr1_22">'NARM5 – ED2 actuals'!$BJ$679:$BN$682</definedName>
    <definedName name="HVP_Asset_Replacement_Refurbishment_Yr1_23">'NARM5 – ED2 actuals'!$BJ$711:$BN$714</definedName>
    <definedName name="HVP_Asset_Replacement_Refurbishment_Yr1_24">'NARM5 – ED2 actuals'!$BJ$743:$BN$746</definedName>
    <definedName name="HVP_Asset_Replacement_Refurbishment_Yr1_25">'NARM5 – ED2 actuals'!$BJ$775:$BN$778</definedName>
    <definedName name="HVP_Asset_Replacement_Refurbishment_Yr1_26">'NARM5 – ED2 actuals'!$BJ$807:$BN$810</definedName>
    <definedName name="HVP_Asset_Replacement_Refurbishment_Yr1_27">'NARM5 – ED2 actuals'!$BJ$839:$BN$842</definedName>
    <definedName name="HVP_Asset_Replacement_Refurbishment_Yr1_28">'NARM5 – ED2 actuals'!$BJ$871:$BN$874</definedName>
    <definedName name="HVP_Asset_Replacement_Refurbishment_Yr1_29">'NARM5 – ED2 actuals'!$BJ$903:$BN$906</definedName>
    <definedName name="HVP_Asset_Replacement_Refurbishment_Yr1_3">'NARM5 – ED2 actuals'!$BJ$71:$BN$74</definedName>
    <definedName name="HVP_Asset_Replacement_Refurbishment_Yr1_30">'NARM5 – ED2 actuals'!$BJ$935:$BN$938</definedName>
    <definedName name="HVP_Asset_Replacement_Refurbishment_Yr1_31">'NARM5 – ED2 actuals'!$BJ$967:$BN$970</definedName>
    <definedName name="HVP_Asset_Replacement_Refurbishment_Yr1_32">'NARM5 – ED2 actuals'!$BJ$999:$BN$1002</definedName>
    <definedName name="HVP_Asset_Replacement_Refurbishment_Yr1_33">'NARM5 – ED2 actuals'!$BJ$1031:$BN$1034</definedName>
    <definedName name="HVP_Asset_Replacement_Refurbishment_Yr1_34">'NARM5 – ED2 actuals'!$BJ$1063:$BN$1066</definedName>
    <definedName name="HVP_Asset_Replacement_Refurbishment_Yr1_35">'NARM5 – ED2 actuals'!$BJ$1095:$BN$1098</definedName>
    <definedName name="HVP_Asset_Replacement_Refurbishment_Yr1_36">'NARM5 – ED2 actuals'!$BJ$1127:$BN$1130</definedName>
    <definedName name="HVP_Asset_Replacement_Refurbishment_Yr1_37">'NARM5 – ED2 actuals'!$BJ$1159:$BN$1162</definedName>
    <definedName name="HVP_Asset_Replacement_Refurbishment_Yr1_38">'NARM5 – ED2 actuals'!$BJ$1191:$BN$1194</definedName>
    <definedName name="HVP_Asset_Replacement_Refurbishment_Yr1_39">'NARM5 – ED2 actuals'!$BJ$1223:$BN$1226</definedName>
    <definedName name="HVP_Asset_Replacement_Refurbishment_Yr1_4">'NARM5 – ED2 actuals'!$BJ$103:$BN$106</definedName>
    <definedName name="HVP_Asset_Replacement_Refurbishment_Yr1_40">'NARM5 – ED2 actuals'!$BJ$1255:$BN$1258</definedName>
    <definedName name="HVP_Asset_Replacement_Refurbishment_Yr1_41">'NARM5 – ED2 actuals'!$BJ$1287:$BN$1290</definedName>
    <definedName name="HVP_Asset_Replacement_Refurbishment_Yr1_42">'NARM5 – ED2 actuals'!$BJ$1319:$BN$1322</definedName>
    <definedName name="HVP_Asset_Replacement_Refurbishment_Yr1_43">'NARM5 – ED2 actuals'!$BJ$1351:$BN$1354</definedName>
    <definedName name="HVP_Asset_Replacement_Refurbishment_Yr1_44">'NARM5 – ED2 actuals'!$BJ$1383:$BN$1386</definedName>
    <definedName name="HVP_Asset_Replacement_Refurbishment_Yr1_45">'NARM5 – ED2 actuals'!$BJ$1415:$BN$1418</definedName>
    <definedName name="HVP_Asset_Replacement_Refurbishment_Yr1_46">'NARM5 – ED2 actuals'!$BJ$1447:$BN$1450</definedName>
    <definedName name="HVP_Asset_Replacement_Refurbishment_Yr1_47">'NARM5 – ED2 actuals'!$BJ$1479:$BN$1482</definedName>
    <definedName name="HVP_Asset_Replacement_Refurbishment_Yr1_48">'NARM5 – ED2 actuals'!$BJ$1511:$BN$1514</definedName>
    <definedName name="HVP_Asset_Replacement_Refurbishment_Yr1_49">'NARM5 – ED2 actuals'!$BJ$1543:$BN$1546</definedName>
    <definedName name="HVP_Asset_Replacement_Refurbishment_Yr1_5">'NARM5 – ED2 actuals'!$BJ$135:$BN$138</definedName>
    <definedName name="HVP_Asset_Replacement_Refurbishment_Yr1_50">'NARM5 – ED2 actuals'!$BJ$1575:$BN$1578</definedName>
    <definedName name="HVP_Asset_Replacement_Refurbishment_Yr1_51">'NARM5 – ED2 actuals'!$BJ$1607:$BN$1610</definedName>
    <definedName name="HVP_Asset_Replacement_Refurbishment_Yr1_52">'NARM5 – ED2 actuals'!$BJ$1639:$BN$1642</definedName>
    <definedName name="HVP_Asset_Replacement_Refurbishment_Yr1_53">'NARM5 – ED2 actuals'!$BJ$1671:$BN$1674</definedName>
    <definedName name="HVP_Asset_Replacement_Refurbishment_Yr1_54">'NARM5 – ED2 actuals'!$BJ$1703:$BN$1706</definedName>
    <definedName name="HVP_Asset_Replacement_Refurbishment_Yr1_55">'NARM5 – ED2 actuals'!$BJ$1735:$BN$1738</definedName>
    <definedName name="HVP_Asset_Replacement_Refurbishment_Yr1_56">'NARM5 – ED2 actuals'!$BJ$1767:$BN$1770</definedName>
    <definedName name="HVP_Asset_Replacement_Refurbishment_Yr1_57">'NARM5 – ED2 actuals'!$BJ$1799:$BN$1802</definedName>
    <definedName name="HVP_Asset_Replacement_Refurbishment_Yr1_58">'NARM5 – ED2 actuals'!$BJ$1831:$BN$1834</definedName>
    <definedName name="HVP_Asset_Replacement_Refurbishment_Yr1_59">'NARM5 – ED2 actuals'!$BJ$1863:$BN$1866</definedName>
    <definedName name="HVP_Asset_Replacement_Refurbishment_Yr1_6">'NARM5 – ED2 actuals'!$BJ$167:$BN$170</definedName>
    <definedName name="HVP_Asset_Replacement_Refurbishment_Yr1_60">'NARM5 – ED2 actuals'!$BJ$1895:$BN$1898</definedName>
    <definedName name="HVP_Asset_Replacement_Refurbishment_Yr1_61">'NARM5 – ED2 actuals'!$BJ$1927:$BN$1930</definedName>
    <definedName name="HVP_Asset_Replacement_Refurbishment_Yr1_7">'NARM5 – ED2 actuals'!$BJ$199:$BN$202</definedName>
    <definedName name="HVP_Asset_Replacement_Refurbishment_Yr1_8">'NARM5 – ED2 actuals'!$BJ$231:$BN$234</definedName>
    <definedName name="HVP_Asset_Replacement_Refurbishment_Yr1_9">'NARM5 – ED2 actuals'!$BJ$263:$BN$266</definedName>
    <definedName name="HVP_Asset_Replacement_Refurbishment_Yr2_1">'NARM5 – ED2 actuals'!$BJ$13:$BN$16</definedName>
    <definedName name="HVP_Asset_Replacement_Refurbishment_Yr2_10">'NARM5 – ED2 actuals'!$BJ$301:$BN$304</definedName>
    <definedName name="HVP_Asset_Replacement_Refurbishment_Yr2_11">'NARM5 – ED2 actuals'!$BJ$333:$BN$336</definedName>
    <definedName name="HVP_Asset_Replacement_Refurbishment_Yr2_12">'NARM5 – ED2 actuals'!$BJ$365:$BN$368</definedName>
    <definedName name="HVP_Asset_Replacement_Refurbishment_Yr2_13">'NARM5 – ED2 actuals'!$BJ$397:$BN$400</definedName>
    <definedName name="HVP_Asset_Replacement_Refurbishment_Yr2_14">'NARM5 – ED2 actuals'!$BJ$429:$BN$432</definedName>
    <definedName name="HVP_Asset_Replacement_Refurbishment_Yr2_15">'NARM5 – ED2 actuals'!$BJ$461:$BN$464</definedName>
    <definedName name="HVP_Asset_Replacement_Refurbishment_Yr2_16">'NARM5 – ED2 actuals'!$BJ$493:$BN$496</definedName>
    <definedName name="HVP_Asset_Replacement_Refurbishment_Yr2_17">'NARM5 – ED2 actuals'!$BJ$525:$BN$528</definedName>
    <definedName name="HVP_Asset_Replacement_Refurbishment_Yr2_18">'NARM5 – ED2 actuals'!$BJ$557:$BN$560</definedName>
    <definedName name="HVP_Asset_Replacement_Refurbishment_Yr2_19">'NARM5 – ED2 actuals'!$BJ$589:$BN$592</definedName>
    <definedName name="HVP_Asset_Replacement_Refurbishment_Yr2_2">'NARM5 – ED2 actuals'!$BJ$45:$BN$48</definedName>
    <definedName name="HVP_Asset_Replacement_Refurbishment_Yr2_20">'NARM5 – ED2 actuals'!$BJ$621:$BN$624</definedName>
    <definedName name="HVP_Asset_Replacement_Refurbishment_Yr2_21">'NARM5 – ED2 actuals'!$BJ$653:$BN$656</definedName>
    <definedName name="HVP_Asset_Replacement_Refurbishment_Yr2_22">'NARM5 – ED2 actuals'!$BJ$685:$BN$688</definedName>
    <definedName name="HVP_Asset_Replacement_Refurbishment_Yr2_23">'NARM5 – ED2 actuals'!$BJ$717:$BN$720</definedName>
    <definedName name="HVP_Asset_Replacement_Refurbishment_Yr2_24">'NARM5 – ED2 actuals'!$BJ$749:$BN$752</definedName>
    <definedName name="HVP_Asset_Replacement_Refurbishment_Yr2_25">'NARM5 – ED2 actuals'!$BJ$781:$BN$784</definedName>
    <definedName name="HVP_Asset_Replacement_Refurbishment_Yr2_26">'NARM5 – ED2 actuals'!$BJ$813:$BN$816</definedName>
    <definedName name="HVP_Asset_Replacement_Refurbishment_Yr2_27">'NARM5 – ED2 actuals'!$BJ$845:$BN$848</definedName>
    <definedName name="HVP_Asset_Replacement_Refurbishment_Yr2_28">'NARM5 – ED2 actuals'!$BJ$877:$BN$880</definedName>
    <definedName name="HVP_Asset_Replacement_Refurbishment_Yr2_29">'NARM5 – ED2 actuals'!$BJ$909:$BN$912</definedName>
    <definedName name="HVP_Asset_Replacement_Refurbishment_Yr2_3">'NARM5 – ED2 actuals'!$BJ$77:$BN$80</definedName>
    <definedName name="HVP_Asset_Replacement_Refurbishment_Yr2_30">'NARM5 – ED2 actuals'!$BJ$941:$BN$944</definedName>
    <definedName name="HVP_Asset_Replacement_Refurbishment_Yr2_31">'NARM5 – ED2 actuals'!$BJ$973:$BN$976</definedName>
    <definedName name="HVP_Asset_Replacement_Refurbishment_Yr2_32">'NARM5 – ED2 actuals'!$BJ$1005:$BN$1008</definedName>
    <definedName name="HVP_Asset_Replacement_Refurbishment_Yr2_33">'NARM5 – ED2 actuals'!$BJ$1037:$BN$1040</definedName>
    <definedName name="HVP_Asset_Replacement_Refurbishment_Yr2_34">'NARM5 – ED2 actuals'!$BJ$1069:$BN$1072</definedName>
    <definedName name="HVP_Asset_Replacement_Refurbishment_Yr2_35">'NARM5 – ED2 actuals'!$BJ$1101:$BN$1104</definedName>
    <definedName name="HVP_Asset_Replacement_Refurbishment_Yr2_36">'NARM5 – ED2 actuals'!$BJ$1133:$BN$1136</definedName>
    <definedName name="HVP_Asset_Replacement_Refurbishment_Yr2_37">'NARM5 – ED2 actuals'!$BJ$1165:$BN$1168</definedName>
    <definedName name="HVP_Asset_Replacement_Refurbishment_Yr2_38">'NARM5 – ED2 actuals'!$BJ$1197:$BN$1200</definedName>
    <definedName name="HVP_Asset_Replacement_Refurbishment_Yr2_39">'NARM5 – ED2 actuals'!$BJ$1229:$BN$1232</definedName>
    <definedName name="HVP_Asset_Replacement_Refurbishment_Yr2_4">'NARM5 – ED2 actuals'!$BJ$109:$BN$112</definedName>
    <definedName name="HVP_Asset_Replacement_Refurbishment_Yr2_40">'NARM5 – ED2 actuals'!$BJ$1261:$BN$1264</definedName>
    <definedName name="HVP_Asset_Replacement_Refurbishment_Yr2_41">'NARM5 – ED2 actuals'!$BJ$1293:$BN$1296</definedName>
    <definedName name="HVP_Asset_Replacement_Refurbishment_Yr2_42">'NARM5 – ED2 actuals'!$BJ$1325:$BN$1328</definedName>
    <definedName name="HVP_Asset_Replacement_Refurbishment_Yr2_43">'NARM5 – ED2 actuals'!$BJ$1357:$BN$1360</definedName>
    <definedName name="HVP_Asset_Replacement_Refurbishment_Yr2_44">'NARM5 – ED2 actuals'!$BJ$1389:$BN$1392</definedName>
    <definedName name="HVP_Asset_Replacement_Refurbishment_Yr2_45">'NARM5 – ED2 actuals'!$BJ$1421:$BN$1424</definedName>
    <definedName name="HVP_Asset_Replacement_Refurbishment_Yr2_46">'NARM5 – ED2 actuals'!$BJ$1453:$BN$1456</definedName>
    <definedName name="HVP_Asset_Replacement_Refurbishment_Yr2_47">'NARM5 – ED2 actuals'!$BJ$1485:$BN$1488</definedName>
    <definedName name="HVP_Asset_Replacement_Refurbishment_Yr2_48">'NARM5 – ED2 actuals'!$BJ$1517:$BN$1520</definedName>
    <definedName name="HVP_Asset_Replacement_Refurbishment_Yr2_49">'NARM5 – ED2 actuals'!$BJ$1549:$BN$1552</definedName>
    <definedName name="HVP_Asset_Replacement_Refurbishment_Yr2_5">'NARM5 – ED2 actuals'!$BJ$141:$BN$144</definedName>
    <definedName name="HVP_Asset_Replacement_Refurbishment_Yr2_50">'NARM5 – ED2 actuals'!$BJ$1581:$BN$1584</definedName>
    <definedName name="HVP_Asset_Replacement_Refurbishment_Yr2_51">'NARM5 – ED2 actuals'!$BJ$1613:$BN$1616</definedName>
    <definedName name="HVP_Asset_Replacement_Refurbishment_Yr2_52">'NARM5 – ED2 actuals'!$BJ$1645:$BN$1648</definedName>
    <definedName name="HVP_Asset_Replacement_Refurbishment_Yr2_53">'NARM5 – ED2 actuals'!$BJ$1677:$BN$1680</definedName>
    <definedName name="HVP_Asset_Replacement_Refurbishment_Yr2_54">'NARM5 – ED2 actuals'!$BJ$1709:$BN$1712</definedName>
    <definedName name="HVP_Asset_Replacement_Refurbishment_Yr2_55">'NARM5 – ED2 actuals'!$BJ$1741:$BN$1744</definedName>
    <definedName name="HVP_Asset_Replacement_Refurbishment_Yr2_56">'NARM5 – ED2 actuals'!$BJ$1773:$BN$1776</definedName>
    <definedName name="HVP_Asset_Replacement_Refurbishment_Yr2_57">'NARM5 – ED2 actuals'!$BJ$1805:$BN$1808</definedName>
    <definedName name="HVP_Asset_Replacement_Refurbishment_Yr2_58">'NARM5 – ED2 actuals'!$BJ$1837:$BN$1840</definedName>
    <definedName name="HVP_Asset_Replacement_Refurbishment_Yr2_59">'NARM5 – ED2 actuals'!$BJ$1869:$BN$1872</definedName>
    <definedName name="HVP_Asset_Replacement_Refurbishment_Yr2_6">'NARM5 – ED2 actuals'!$BJ$173:$BN$176</definedName>
    <definedName name="HVP_Asset_Replacement_Refurbishment_Yr2_60">'NARM5 – ED2 actuals'!$BJ$1901:$BN$1904</definedName>
    <definedName name="HVP_Asset_Replacement_Refurbishment_Yr2_61">'NARM5 – ED2 actuals'!$BJ$1933:$BN$1936</definedName>
    <definedName name="HVP_Asset_Replacement_Refurbishment_Yr2_7">'NARM5 – ED2 actuals'!$BJ$205:$BN$208</definedName>
    <definedName name="HVP_Asset_Replacement_Refurbishment_Yr2_8">'NARM5 – ED2 actuals'!$BJ$237:$BN$240</definedName>
    <definedName name="HVP_Asset_Replacement_Refurbishment_Yr2_9">'NARM5 – ED2 actuals'!$BJ$269:$BN$272</definedName>
    <definedName name="HVP_Asset_Replacement_Refurbishment_Yr3_1">'NARM5 – ED2 actuals'!$BJ$19:$BN$22</definedName>
    <definedName name="HVP_Asset_Replacement_Refurbishment_Yr3_10">'NARM5 – ED2 actuals'!$BJ$307:$BN$310</definedName>
    <definedName name="HVP_Asset_Replacement_Refurbishment_Yr3_11">'NARM5 – ED2 actuals'!$BJ$339:$BN$342</definedName>
    <definedName name="HVP_Asset_Replacement_Refurbishment_Yr3_12">'NARM5 – ED2 actuals'!$BJ$371:$BN$374</definedName>
    <definedName name="HVP_Asset_Replacement_Refurbishment_Yr3_13">'NARM5 – ED2 actuals'!$BJ$403:$BN$406</definedName>
    <definedName name="HVP_Asset_Replacement_Refurbishment_Yr3_14">'NARM5 – ED2 actuals'!$BJ$435:$BN$438</definedName>
    <definedName name="HVP_Asset_Replacement_Refurbishment_Yr3_15">'NARM5 – ED2 actuals'!$BJ$467:$BN$470</definedName>
    <definedName name="HVP_Asset_Replacement_Refurbishment_Yr3_16">'NARM5 – ED2 actuals'!$BJ$499:$BN$502</definedName>
    <definedName name="HVP_Asset_Replacement_Refurbishment_Yr3_17">'NARM5 – ED2 actuals'!$BJ$531:$BN$534</definedName>
    <definedName name="HVP_Asset_Replacement_Refurbishment_Yr3_18">'NARM5 – ED2 actuals'!$BJ$563:$BN$566</definedName>
    <definedName name="HVP_Asset_Replacement_Refurbishment_Yr3_19">'NARM5 – ED2 actuals'!$BJ$595:$BN$598</definedName>
    <definedName name="HVP_Asset_Replacement_Refurbishment_Yr3_2">'NARM5 – ED2 actuals'!$BJ$51:$BN$54</definedName>
    <definedName name="HVP_Asset_Replacement_Refurbishment_Yr3_20">'NARM5 – ED2 actuals'!$BJ$627:$BN$630</definedName>
    <definedName name="HVP_Asset_Replacement_Refurbishment_Yr3_21">'NARM5 – ED2 actuals'!$BJ$659:$BN$662</definedName>
    <definedName name="HVP_Asset_Replacement_Refurbishment_Yr3_22">'NARM5 – ED2 actuals'!$BJ$691:$BN$694</definedName>
    <definedName name="HVP_Asset_Replacement_Refurbishment_Yr3_23">'NARM5 – ED2 actuals'!$BJ$723:$BN$726</definedName>
    <definedName name="HVP_Asset_Replacement_Refurbishment_Yr3_24">'NARM5 – ED2 actuals'!$BJ$755:$BN$758</definedName>
    <definedName name="HVP_Asset_Replacement_Refurbishment_Yr3_25">'NARM5 – ED2 actuals'!$BJ$787:$BN$790</definedName>
    <definedName name="HVP_Asset_Replacement_Refurbishment_Yr3_26">'NARM5 – ED2 actuals'!$BJ$819:$BN$822</definedName>
    <definedName name="HVP_Asset_Replacement_Refurbishment_Yr3_27">'NARM5 – ED2 actuals'!$BJ$851:$BN$854</definedName>
    <definedName name="HVP_Asset_Replacement_Refurbishment_Yr3_28">'NARM5 – ED2 actuals'!$BJ$883:$BN$886</definedName>
    <definedName name="HVP_Asset_Replacement_Refurbishment_Yr3_29">'NARM5 – ED2 actuals'!$BJ$915:$BN$918</definedName>
    <definedName name="HVP_Asset_Replacement_Refurbishment_Yr3_3">'NARM5 – ED2 actuals'!$BJ$83:$BN$86</definedName>
    <definedName name="HVP_Asset_Replacement_Refurbishment_Yr3_30">'NARM5 – ED2 actuals'!$BJ$947:$BN$950</definedName>
    <definedName name="HVP_Asset_Replacement_Refurbishment_Yr3_31">'NARM5 – ED2 actuals'!$BJ$979:$BN$982</definedName>
    <definedName name="HVP_Asset_Replacement_Refurbishment_Yr3_32">'NARM5 – ED2 actuals'!$BJ$1011:$BN$1014</definedName>
    <definedName name="HVP_Asset_Replacement_Refurbishment_Yr3_33">'NARM5 – ED2 actuals'!$BJ$1043:$BN$1046</definedName>
    <definedName name="HVP_Asset_Replacement_Refurbishment_Yr3_34">'NARM5 – ED2 actuals'!$BJ$1075:$BN$1078</definedName>
    <definedName name="HVP_Asset_Replacement_Refurbishment_Yr3_35">'NARM5 – ED2 actuals'!$BJ$1107:$BN$1110</definedName>
    <definedName name="HVP_Asset_Replacement_Refurbishment_Yr3_36">'NARM5 – ED2 actuals'!$BJ$1139:$BN$1142</definedName>
    <definedName name="HVP_Asset_Replacement_Refurbishment_Yr3_37">'NARM5 – ED2 actuals'!$BJ$1171:$BN$1174</definedName>
    <definedName name="HVP_Asset_Replacement_Refurbishment_Yr3_38">'NARM5 – ED2 actuals'!$BJ$1203:$BN$1206</definedName>
    <definedName name="HVP_Asset_Replacement_Refurbishment_Yr3_39">'NARM5 – ED2 actuals'!$BJ$1235:$BN$1238</definedName>
    <definedName name="HVP_Asset_Replacement_Refurbishment_Yr3_4">'NARM5 – ED2 actuals'!$BJ$115:$BN$118</definedName>
    <definedName name="HVP_Asset_Replacement_Refurbishment_Yr3_40">'NARM5 – ED2 actuals'!$BJ$1267:$BN$1270</definedName>
    <definedName name="HVP_Asset_Replacement_Refurbishment_Yr3_41">'NARM5 – ED2 actuals'!$BJ$1299:$BN$1302</definedName>
    <definedName name="HVP_Asset_Replacement_Refurbishment_Yr3_42">'NARM5 – ED2 actuals'!$BJ$1331:$BN$1334</definedName>
    <definedName name="HVP_Asset_Replacement_Refurbishment_Yr3_43">'NARM5 – ED2 actuals'!$BJ$1363:$BN$1366</definedName>
    <definedName name="HVP_Asset_Replacement_Refurbishment_Yr3_44">'NARM5 – ED2 actuals'!$BJ$1395:$BN$1398</definedName>
    <definedName name="HVP_Asset_Replacement_Refurbishment_Yr3_45">'NARM5 – ED2 actuals'!$BJ$1427:$BN$1430</definedName>
    <definedName name="HVP_Asset_Replacement_Refurbishment_Yr3_46">'NARM5 – ED2 actuals'!$BJ$1459:$BN$1462</definedName>
    <definedName name="HVP_Asset_Replacement_Refurbishment_Yr3_47">'NARM5 – ED2 actuals'!$BJ$1491:$BN$1494</definedName>
    <definedName name="HVP_Asset_Replacement_Refurbishment_Yr3_48">'NARM5 – ED2 actuals'!$BJ$1523:$BN$1526</definedName>
    <definedName name="HVP_Asset_Replacement_Refurbishment_Yr3_49">'NARM5 – ED2 actuals'!$BJ$1555:$BN$1558</definedName>
    <definedName name="HVP_Asset_Replacement_Refurbishment_Yr3_5">'NARM5 – ED2 actuals'!$BJ$147:$BN$150</definedName>
    <definedName name="HVP_Asset_Replacement_Refurbishment_Yr3_50">'NARM5 – ED2 actuals'!$BJ$1587:$BN$1590</definedName>
    <definedName name="HVP_Asset_Replacement_Refurbishment_Yr3_51">'NARM5 – ED2 actuals'!$BJ$1619:$BN$1622</definedName>
    <definedName name="HVP_Asset_Replacement_Refurbishment_Yr3_52">'NARM5 – ED2 actuals'!$BJ$1651:$BN$1654</definedName>
    <definedName name="HVP_Asset_Replacement_Refurbishment_Yr3_53">'NARM5 – ED2 actuals'!$BJ$1683:$BN$1686</definedName>
    <definedName name="HVP_Asset_Replacement_Refurbishment_Yr3_54">'NARM5 – ED2 actuals'!$BJ$1715:$BN$1718</definedName>
    <definedName name="HVP_Asset_Replacement_Refurbishment_Yr3_55">'NARM5 – ED2 actuals'!$BJ$1747:$BN$1750</definedName>
    <definedName name="HVP_Asset_Replacement_Refurbishment_Yr3_56">'NARM5 – ED2 actuals'!$BJ$1779:$BN$1782</definedName>
    <definedName name="HVP_Asset_Replacement_Refurbishment_Yr3_57">'NARM5 – ED2 actuals'!$BJ$1811:$BN$1814</definedName>
    <definedName name="HVP_Asset_Replacement_Refurbishment_Yr3_58">'NARM5 – ED2 actuals'!$BJ$1843:$BN$1846</definedName>
    <definedName name="HVP_Asset_Replacement_Refurbishment_Yr3_59">'NARM5 – ED2 actuals'!$BJ$1875:$BN$1878</definedName>
    <definedName name="HVP_Asset_Replacement_Refurbishment_Yr3_6">'NARM5 – ED2 actuals'!$BJ$179:$BN$182</definedName>
    <definedName name="HVP_Asset_Replacement_Refurbishment_Yr3_60">'NARM5 – ED2 actuals'!$BJ$1907:$BN$1910</definedName>
    <definedName name="HVP_Asset_Replacement_Refurbishment_Yr3_61">'NARM5 – ED2 actuals'!$BJ$1939:$BN$1942</definedName>
    <definedName name="HVP_Asset_Replacement_Refurbishment_Yr3_7">'NARM5 – ED2 actuals'!$BJ$211:$BN$214</definedName>
    <definedName name="HVP_Asset_Replacement_Refurbishment_Yr3_8">'NARM5 – ED2 actuals'!$BJ$243:$BN$246</definedName>
    <definedName name="HVP_Asset_Replacement_Refurbishment_Yr3_9">'NARM5 – ED2 actuals'!$BJ$275:$BN$278</definedName>
    <definedName name="HVP_Asset_Replacement_Refurbishment_Yr4_1">'NARM5 – ED2 actuals'!$BJ$25:$BN$28</definedName>
    <definedName name="HVP_Asset_Replacement_Refurbishment_Yr4_10">'NARM5 – ED2 actuals'!$BJ$313:$BN$316</definedName>
    <definedName name="HVP_Asset_Replacement_Refurbishment_Yr4_11">'NARM5 – ED2 actuals'!$BJ$345:$BN$348</definedName>
    <definedName name="HVP_Asset_Replacement_Refurbishment_Yr4_12">'NARM5 – ED2 actuals'!$BJ$377:$BN$380</definedName>
    <definedName name="HVP_Asset_Replacement_Refurbishment_Yr4_13">'NARM5 – ED2 actuals'!$BJ$409:$BN$412</definedName>
    <definedName name="HVP_Asset_Replacement_Refurbishment_Yr4_14">'NARM5 – ED2 actuals'!$BJ$441:$BN$444</definedName>
    <definedName name="HVP_Asset_Replacement_Refurbishment_Yr4_15">'NARM5 – ED2 actuals'!$BJ$473:$BN$476</definedName>
    <definedName name="HVP_Asset_Replacement_Refurbishment_Yr4_16">'NARM5 – ED2 actuals'!$BJ$505:$BN$508</definedName>
    <definedName name="HVP_Asset_Replacement_Refurbishment_Yr4_17">'NARM5 – ED2 actuals'!$BJ$537:$BN$540</definedName>
    <definedName name="HVP_Asset_Replacement_Refurbishment_Yr4_18">'NARM5 – ED2 actuals'!$BJ$569:$BN$572</definedName>
    <definedName name="HVP_Asset_Replacement_Refurbishment_Yr4_19">'NARM5 – ED2 actuals'!$BJ$601:$BN$604</definedName>
    <definedName name="HVP_Asset_Replacement_Refurbishment_Yr4_2">'NARM5 – ED2 actuals'!$BJ$57:$BN$60</definedName>
    <definedName name="HVP_Asset_Replacement_Refurbishment_Yr4_20">'NARM5 – ED2 actuals'!$BJ$633:$BN$636</definedName>
    <definedName name="HVP_Asset_Replacement_Refurbishment_Yr4_21">'NARM5 – ED2 actuals'!$BJ$665:$BN$668</definedName>
    <definedName name="HVP_Asset_Replacement_Refurbishment_Yr4_22">'NARM5 – ED2 actuals'!$BJ$697:$BN$700</definedName>
    <definedName name="HVP_Asset_Replacement_Refurbishment_Yr4_23">'NARM5 – ED2 actuals'!$BJ$729:$BN$732</definedName>
    <definedName name="HVP_Asset_Replacement_Refurbishment_Yr4_24">'NARM5 – ED2 actuals'!$BJ$761:$BN$764</definedName>
    <definedName name="HVP_Asset_Replacement_Refurbishment_Yr4_25">'NARM5 – ED2 actuals'!$BJ$793:$BN$796</definedName>
    <definedName name="HVP_Asset_Replacement_Refurbishment_Yr4_26">'NARM5 – ED2 actuals'!$BJ$825:$BN$828</definedName>
    <definedName name="HVP_Asset_Replacement_Refurbishment_Yr4_27">'NARM5 – ED2 actuals'!$BJ$857:$BN$860</definedName>
    <definedName name="HVP_Asset_Replacement_Refurbishment_Yr4_28">'NARM5 – ED2 actuals'!$BJ$889:$BN$892</definedName>
    <definedName name="HVP_Asset_Replacement_Refurbishment_Yr4_29">'NARM5 – ED2 actuals'!$BJ$921:$BN$924</definedName>
    <definedName name="HVP_Asset_Replacement_Refurbishment_Yr4_3">'NARM5 – ED2 actuals'!$BJ$89:$BN$92</definedName>
    <definedName name="HVP_Asset_Replacement_Refurbishment_Yr4_30">'NARM5 – ED2 actuals'!$BJ$953:$BN$956</definedName>
    <definedName name="HVP_Asset_Replacement_Refurbishment_Yr4_31">'NARM5 – ED2 actuals'!$BJ$985:$BN$988</definedName>
    <definedName name="HVP_Asset_Replacement_Refurbishment_Yr4_32">'NARM5 – ED2 actuals'!$BJ$1017:$BN$1020</definedName>
    <definedName name="HVP_Asset_Replacement_Refurbishment_Yr4_33">'NARM5 – ED2 actuals'!$BJ$1049:$BN$1052</definedName>
    <definedName name="HVP_Asset_Replacement_Refurbishment_Yr4_34">'NARM5 – ED2 actuals'!$BJ$1081:$BN$1084</definedName>
    <definedName name="HVP_Asset_Replacement_Refurbishment_Yr4_35">'NARM5 – ED2 actuals'!$BJ$1113:$BN$1116</definedName>
    <definedName name="HVP_Asset_Replacement_Refurbishment_Yr4_36">'NARM5 – ED2 actuals'!$BJ$1145:$BN$1148</definedName>
    <definedName name="HVP_Asset_Replacement_Refurbishment_Yr4_37">'NARM5 – ED2 actuals'!$BJ$1177:$BN$1180</definedName>
    <definedName name="HVP_Asset_Replacement_Refurbishment_Yr4_38">'NARM5 – ED2 actuals'!$BJ$1209:$BN$1212</definedName>
    <definedName name="HVP_Asset_Replacement_Refurbishment_Yr4_39">'NARM5 – ED2 actuals'!$BJ$1241:$BN$1244</definedName>
    <definedName name="HVP_Asset_Replacement_Refurbishment_Yr4_4">'NARM5 – ED2 actuals'!$BJ$121:$BN$124</definedName>
    <definedName name="HVP_Asset_Replacement_Refurbishment_Yr4_40">'NARM5 – ED2 actuals'!$BJ$1273:$BN$1276</definedName>
    <definedName name="HVP_Asset_Replacement_Refurbishment_Yr4_41">'NARM5 – ED2 actuals'!$BJ$1305:$BN$1308</definedName>
    <definedName name="HVP_Asset_Replacement_Refurbishment_Yr4_42">'NARM5 – ED2 actuals'!$BJ$1337:$BN$1340</definedName>
    <definedName name="HVP_Asset_Replacement_Refurbishment_Yr4_43">'NARM5 – ED2 actuals'!$BJ$1369:$BN$1372</definedName>
    <definedName name="HVP_Asset_Replacement_Refurbishment_Yr4_44">'NARM5 – ED2 actuals'!$BJ$1401:$BN$1404</definedName>
    <definedName name="HVP_Asset_Replacement_Refurbishment_Yr4_45">'NARM5 – ED2 actuals'!$BJ$1433:$BN$1436</definedName>
    <definedName name="HVP_Asset_Replacement_Refurbishment_Yr4_46">'NARM5 – ED2 actuals'!$BJ$1465:$BN$1468</definedName>
    <definedName name="HVP_Asset_Replacement_Refurbishment_Yr4_47">'NARM5 – ED2 actuals'!$BJ$1497:$BN$1500</definedName>
    <definedName name="HVP_Asset_Replacement_Refurbishment_Yr4_48">'NARM5 – ED2 actuals'!$BJ$1529:$BN$1532</definedName>
    <definedName name="HVP_Asset_Replacement_Refurbishment_Yr4_49">'NARM5 – ED2 actuals'!$BJ$1561:$BN$1564</definedName>
    <definedName name="HVP_Asset_Replacement_Refurbishment_Yr4_5">'NARM5 – ED2 actuals'!$BJ$153:$BN$156</definedName>
    <definedName name="HVP_Asset_Replacement_Refurbishment_Yr4_50">'NARM5 – ED2 actuals'!$BJ$1593:$BN$1596</definedName>
    <definedName name="HVP_Asset_Replacement_Refurbishment_Yr4_51">'NARM5 – ED2 actuals'!$BJ$1625:$BN$1628</definedName>
    <definedName name="HVP_Asset_Replacement_Refurbishment_Yr4_52">'NARM5 – ED2 actuals'!$BJ$1657:$BN$1660</definedName>
    <definedName name="HVP_Asset_Replacement_Refurbishment_Yr4_53">'NARM5 – ED2 actuals'!$BJ$1689:$BN$1692</definedName>
    <definedName name="HVP_Asset_Replacement_Refurbishment_Yr4_54">'NARM5 – ED2 actuals'!$BJ$1721:$BN$1724</definedName>
    <definedName name="HVP_Asset_Replacement_Refurbishment_Yr4_55">'NARM5 – ED2 actuals'!$BJ$1753:$BN$1756</definedName>
    <definedName name="HVP_Asset_Replacement_Refurbishment_Yr4_56">'NARM5 – ED2 actuals'!$BJ$1785:$BN$1788</definedName>
    <definedName name="HVP_Asset_Replacement_Refurbishment_Yr4_57">'NARM5 – ED2 actuals'!$BJ$1817:$BN$1820</definedName>
    <definedName name="HVP_Asset_Replacement_Refurbishment_Yr4_58">'NARM5 – ED2 actuals'!$BJ$1849:$BN$1852</definedName>
    <definedName name="HVP_Asset_Replacement_Refurbishment_Yr4_59">'NARM5 – ED2 actuals'!$BJ$1881:$BN$1884</definedName>
    <definedName name="HVP_Asset_Replacement_Refurbishment_Yr4_6">'NARM5 – ED2 actuals'!$BJ$185:$BN$188</definedName>
    <definedName name="HVP_Asset_Replacement_Refurbishment_Yr4_60">'NARM5 – ED2 actuals'!$BJ$1913:$BN$1916</definedName>
    <definedName name="HVP_Asset_Replacement_Refurbishment_Yr4_61">'NARM5 – ED2 actuals'!$BJ$1945:$BN$1948</definedName>
    <definedName name="HVP_Asset_Replacement_Refurbishment_Yr4_7">'NARM5 – ED2 actuals'!$BJ$217:$BN$220</definedName>
    <definedName name="HVP_Asset_Replacement_Refurbishment_Yr4_8">'NARM5 – ED2 actuals'!$BJ$249:$BN$252</definedName>
    <definedName name="HVP_Asset_Replacement_Refurbishment_Yr4_9">'NARM5 – ED2 actuals'!$BJ$281:$BN$284</definedName>
    <definedName name="HVP_Asset_Replacement_Refurbishment_Yr5_1">'NARM5 – ED2 actuals'!$BJ$31:$BN$34</definedName>
    <definedName name="HVP_Asset_Replacement_Refurbishment_Yr5_10">'NARM5 – ED2 actuals'!$BJ$319:$BN$322</definedName>
    <definedName name="HVP_Asset_Replacement_Refurbishment_Yr5_11">'NARM5 – ED2 actuals'!$BJ$351:$BN$354</definedName>
    <definedName name="HVP_Asset_Replacement_Refurbishment_Yr5_12">'NARM5 – ED2 actuals'!$BJ$383:$BN$386</definedName>
    <definedName name="HVP_Asset_Replacement_Refurbishment_Yr5_13">'NARM5 – ED2 actuals'!$BJ$415:$BN$418</definedName>
    <definedName name="HVP_Asset_Replacement_Refurbishment_Yr5_14">'NARM5 – ED2 actuals'!$BJ$447:$BN$450</definedName>
    <definedName name="HVP_Asset_Replacement_Refurbishment_Yr5_15">'NARM5 – ED2 actuals'!$BJ$479:$BN$482</definedName>
    <definedName name="HVP_Asset_Replacement_Refurbishment_Yr5_16">'NARM5 – ED2 actuals'!$BJ$511:$BN$514</definedName>
    <definedName name="HVP_Asset_Replacement_Refurbishment_Yr5_17">'NARM5 – ED2 actuals'!$BJ$543:$BN$546</definedName>
    <definedName name="HVP_Asset_Replacement_Refurbishment_Yr5_18">'NARM5 – ED2 actuals'!$BJ$575:$BN$578</definedName>
    <definedName name="HVP_Asset_Replacement_Refurbishment_Yr5_19">'NARM5 – ED2 actuals'!$BJ$607:$BN$610</definedName>
    <definedName name="HVP_Asset_Replacement_Refurbishment_Yr5_2">'NARM5 – ED2 actuals'!$BJ$63:$BN$66</definedName>
    <definedName name="HVP_Asset_Replacement_Refurbishment_Yr5_20">'NARM5 – ED2 actuals'!$BJ$639:$BN$642</definedName>
    <definedName name="HVP_Asset_Replacement_Refurbishment_Yr5_21">'NARM5 – ED2 actuals'!$BJ$671:$BN$674</definedName>
    <definedName name="HVP_Asset_Replacement_Refurbishment_Yr5_22">'NARM5 – ED2 actuals'!$BJ$703:$BN$706</definedName>
    <definedName name="HVP_Asset_Replacement_Refurbishment_Yr5_23">'NARM5 – ED2 actuals'!$BJ$735:$BN$738</definedName>
    <definedName name="HVP_Asset_Replacement_Refurbishment_Yr5_24">'NARM5 – ED2 actuals'!$BJ$767:$BN$770</definedName>
    <definedName name="HVP_Asset_Replacement_Refurbishment_Yr5_25">'NARM5 – ED2 actuals'!$BJ$799:$BN$802</definedName>
    <definedName name="HVP_Asset_Replacement_Refurbishment_Yr5_26">'NARM5 – ED2 actuals'!$BJ$831:$BN$834</definedName>
    <definedName name="HVP_Asset_Replacement_Refurbishment_Yr5_27">'NARM5 – ED2 actuals'!$BJ$863:$BN$866</definedName>
    <definedName name="HVP_Asset_Replacement_Refurbishment_Yr5_28">'NARM5 – ED2 actuals'!$BJ$895:$BN$898</definedName>
    <definedName name="HVP_Asset_Replacement_Refurbishment_Yr5_29">'NARM5 – ED2 actuals'!$BJ$927:$BN$930</definedName>
    <definedName name="HVP_Asset_Replacement_Refurbishment_Yr5_3">'NARM5 – ED2 actuals'!$BJ$95:$BN$98</definedName>
    <definedName name="HVP_Asset_Replacement_Refurbishment_Yr5_30">'NARM5 – ED2 actuals'!$BJ$959:$BN$962</definedName>
    <definedName name="HVP_Asset_Replacement_Refurbishment_Yr5_31">'NARM5 – ED2 actuals'!$BJ$991:$BN$994</definedName>
    <definedName name="HVP_Asset_Replacement_Refurbishment_Yr5_32">'NARM5 – ED2 actuals'!$BJ$1023:$BN$1026</definedName>
    <definedName name="HVP_Asset_Replacement_Refurbishment_Yr5_33">'NARM5 – ED2 actuals'!$BJ$1055:$BN$1058</definedName>
    <definedName name="HVP_Asset_Replacement_Refurbishment_Yr5_34">'NARM5 – ED2 actuals'!$BJ$1087:$BN$1090</definedName>
    <definedName name="HVP_Asset_Replacement_Refurbishment_Yr5_35">'NARM5 – ED2 actuals'!$BJ$1119:$BN$1122</definedName>
    <definedName name="HVP_Asset_Replacement_Refurbishment_Yr5_36">'NARM5 – ED2 actuals'!$BJ$1151:$BN$1154</definedName>
    <definedName name="HVP_Asset_Replacement_Refurbishment_Yr5_37">'NARM5 – ED2 actuals'!$BJ$1183:$BN$1186</definedName>
    <definedName name="HVP_Asset_Replacement_Refurbishment_Yr5_38">'NARM5 – ED2 actuals'!$BJ$1215:$BN$1218</definedName>
    <definedName name="HVP_Asset_Replacement_Refurbishment_Yr5_39">'NARM5 – ED2 actuals'!$BJ$1247:$BN$1250</definedName>
    <definedName name="HVP_Asset_Replacement_Refurbishment_Yr5_4">'NARM5 – ED2 actuals'!$BJ$127:$BN$130</definedName>
    <definedName name="HVP_Asset_Replacement_Refurbishment_Yr5_40">'NARM5 – ED2 actuals'!$BJ$1279:$BN$1282</definedName>
    <definedName name="HVP_Asset_Replacement_Refurbishment_Yr5_41">'NARM5 – ED2 actuals'!$BJ$1311:$BN$1314</definedName>
    <definedName name="HVP_Asset_Replacement_Refurbishment_Yr5_42">'NARM5 – ED2 actuals'!$BJ$1343:$BN$1346</definedName>
    <definedName name="HVP_Asset_Replacement_Refurbishment_Yr5_43">'NARM5 – ED2 actuals'!$BJ$1375:$BN$1378</definedName>
    <definedName name="HVP_Asset_Replacement_Refurbishment_Yr5_44">'NARM5 – ED2 actuals'!$BJ$1407:$BN$1410</definedName>
    <definedName name="HVP_Asset_Replacement_Refurbishment_Yr5_45">'NARM5 – ED2 actuals'!$BJ$1439:$BN$1442</definedName>
    <definedName name="HVP_Asset_Replacement_Refurbishment_Yr5_46">'NARM5 – ED2 actuals'!$BJ$1471:$BN$1474</definedName>
    <definedName name="HVP_Asset_Replacement_Refurbishment_Yr5_47">'NARM5 – ED2 actuals'!$BJ$1503:$BN$1506</definedName>
    <definedName name="HVP_Asset_Replacement_Refurbishment_Yr5_48">'NARM5 – ED2 actuals'!$BJ$1535:$BN$1538</definedName>
    <definedName name="HVP_Asset_Replacement_Refurbishment_Yr5_49">'NARM5 – ED2 actuals'!$BJ$1567:$BN$1570</definedName>
    <definedName name="HVP_Asset_Replacement_Refurbishment_Yr5_5">'NARM5 – ED2 actuals'!$BJ$159:$BN$162</definedName>
    <definedName name="HVP_Asset_Replacement_Refurbishment_Yr5_50">'NARM5 – ED2 actuals'!$BJ$1599:$BN$1602</definedName>
    <definedName name="HVP_Asset_Replacement_Refurbishment_Yr5_51">'NARM5 – ED2 actuals'!$BJ$1631:$BN$1634</definedName>
    <definedName name="HVP_Asset_Replacement_Refurbishment_Yr5_52">'NARM5 – ED2 actuals'!$BJ$1663:$BN$1666</definedName>
    <definedName name="HVP_Asset_Replacement_Refurbishment_Yr5_53">'NARM5 – ED2 actuals'!$BJ$1695:$BN$1698</definedName>
    <definedName name="HVP_Asset_Replacement_Refurbishment_Yr5_54">'NARM5 – ED2 actuals'!$BJ$1727:$BN$1730</definedName>
    <definedName name="HVP_Asset_Replacement_Refurbishment_Yr5_55">'NARM5 – ED2 actuals'!$BJ$1759:$BN$1762</definedName>
    <definedName name="HVP_Asset_Replacement_Refurbishment_Yr5_56">'NARM5 – ED2 actuals'!$BJ$1791:$BN$1794</definedName>
    <definedName name="HVP_Asset_Replacement_Refurbishment_Yr5_57">'NARM5 – ED2 actuals'!$BJ$1823:$BN$1826</definedName>
    <definedName name="HVP_Asset_Replacement_Refurbishment_Yr5_58">'NARM5 – ED2 actuals'!$BJ$1855:$BN$1858</definedName>
    <definedName name="HVP_Asset_Replacement_Refurbishment_Yr5_59">'NARM5 – ED2 actuals'!$BJ$1887:$BN$1890</definedName>
    <definedName name="HVP_Asset_Replacement_Refurbishment_Yr5_6">'NARM5 – ED2 actuals'!$BJ$191:$BN$194</definedName>
    <definedName name="HVP_Asset_Replacement_Refurbishment_Yr5_60">'NARM5 – ED2 actuals'!$BJ$1919:$BN$1922</definedName>
    <definedName name="HVP_Asset_Replacement_Refurbishment_Yr5_61">'NARM5 – ED2 actuals'!$BJ$1951:$BN$1954</definedName>
    <definedName name="HVP_Asset_Replacement_Refurbishment_Yr5_7">'NARM5 – ED2 actuals'!$BJ$223:$BN$226</definedName>
    <definedName name="HVP_Asset_Replacement_Refurbishment_Yr5_8">'NARM5 – ED2 actuals'!$BJ$255:$BN$258</definedName>
    <definedName name="HVP_Asset_Replacement_Refurbishment_Yr5_9">'NARM5 – ED2 actuals'!$BJ$287:$BN$290</definedName>
    <definedName name="HVP_Other_Yr1_1">'NARM5 – ED2 actuals'!$BQ$7:$BU$10</definedName>
    <definedName name="HVP_Other_Yr1_10">'NARM5 – ED2 actuals'!$BQ$295:$BU$298</definedName>
    <definedName name="HVP_Other_Yr1_11">'NARM5 – ED2 actuals'!$BQ$327:$BU$330</definedName>
    <definedName name="HVP_Other_Yr1_12">'NARM5 – ED2 actuals'!$BQ$359:$BU$362</definedName>
    <definedName name="HVP_Other_Yr1_13">'NARM5 – ED2 actuals'!$BQ$391:$BU$394</definedName>
    <definedName name="HVP_Other_Yr1_14">'NARM5 – ED2 actuals'!$BQ$423:$BU$426</definedName>
    <definedName name="HVP_Other_Yr1_15">'NARM5 – ED2 actuals'!$BQ$455:$BU$458</definedName>
    <definedName name="HVP_Other_Yr1_16">'NARM5 – ED2 actuals'!$BQ$487:$BU$490</definedName>
    <definedName name="HVP_Other_Yr1_17">'NARM5 – ED2 actuals'!$BQ$519:$BU$522</definedName>
    <definedName name="HVP_Other_Yr1_18">'NARM5 – ED2 actuals'!$BQ$551:$BU$554</definedName>
    <definedName name="HVP_Other_Yr1_19">'NARM5 – ED2 actuals'!$BQ$583:$BU$586</definedName>
    <definedName name="HVP_Other_Yr1_2">'NARM5 – ED2 actuals'!$BQ$39:$BU$42</definedName>
    <definedName name="HVP_Other_Yr1_20">'NARM5 – ED2 actuals'!$BQ$615:$BU$618</definedName>
    <definedName name="HVP_Other_Yr1_21">'NARM5 – ED2 actuals'!$BQ$647:$BU$650</definedName>
    <definedName name="HVP_Other_Yr1_22">'NARM5 – ED2 actuals'!$BQ$679:$BU$682</definedName>
    <definedName name="HVP_Other_Yr1_23">'NARM5 – ED2 actuals'!$BQ$711:$BU$714</definedName>
    <definedName name="HVP_Other_Yr1_24">'NARM5 – ED2 actuals'!$BQ$743:$BU$746</definedName>
    <definedName name="HVP_Other_Yr1_25">'NARM5 – ED2 actuals'!$BQ$775:$BU$778</definedName>
    <definedName name="HVP_Other_Yr1_26">'NARM5 – ED2 actuals'!$BQ$807:$BU$810</definedName>
    <definedName name="HVP_Other_Yr1_27">'NARM5 – ED2 actuals'!$BQ$839:$BU$842</definedName>
    <definedName name="HVP_Other_Yr1_28">'NARM5 – ED2 actuals'!$BQ$871:$BU$874</definedName>
    <definedName name="HVP_Other_Yr1_29">'NARM5 – ED2 actuals'!$BQ$903:$BU$906</definedName>
    <definedName name="HVP_Other_Yr1_3">'NARM5 – ED2 actuals'!$BQ$71:$BU$74</definedName>
    <definedName name="HVP_Other_Yr1_30">'NARM5 – ED2 actuals'!$BQ$935:$BU$938</definedName>
    <definedName name="HVP_Other_Yr1_31">'NARM5 – ED2 actuals'!$BQ$967:$BU$970</definedName>
    <definedName name="HVP_Other_Yr1_32">'NARM5 – ED2 actuals'!$BQ$999:$BU$1002</definedName>
    <definedName name="HVP_Other_Yr1_33">'NARM5 – ED2 actuals'!$BQ$1031:$BU$1034</definedName>
    <definedName name="HVP_Other_Yr1_34">'NARM5 – ED2 actuals'!$BQ$1063:$BU$1066</definedName>
    <definedName name="HVP_Other_Yr1_35">'NARM5 – ED2 actuals'!$BQ$1095:$BU$1098</definedName>
    <definedName name="HVP_Other_Yr1_36">'NARM5 – ED2 actuals'!$BQ$1127:$BU$1130</definedName>
    <definedName name="HVP_Other_Yr1_37">'NARM5 – ED2 actuals'!$BQ$1159:$BU$1162</definedName>
    <definedName name="HVP_Other_Yr1_38">'NARM5 – ED2 actuals'!$BQ$1191:$BU$1194</definedName>
    <definedName name="HVP_Other_Yr1_39">'NARM5 – ED2 actuals'!$BQ$1223:$BU$1226</definedName>
    <definedName name="HVP_Other_Yr1_4">'NARM5 – ED2 actuals'!$BQ$103:$BU$106</definedName>
    <definedName name="HVP_Other_Yr1_40">'NARM5 – ED2 actuals'!$BQ$1255:$BU$1258</definedName>
    <definedName name="HVP_Other_Yr1_41">'NARM5 – ED2 actuals'!$BQ$1287:$BU$1290</definedName>
    <definedName name="HVP_Other_Yr1_42">'NARM5 – ED2 actuals'!$BQ$1319:$BU$1322</definedName>
    <definedName name="HVP_Other_Yr1_43">'NARM5 – ED2 actuals'!$BQ$1351:$BU$1354</definedName>
    <definedName name="HVP_Other_Yr1_44">'NARM5 – ED2 actuals'!$BQ$1383:$BU$1386</definedName>
    <definedName name="HVP_Other_Yr1_45">'NARM5 – ED2 actuals'!$BQ$1415:$BU$1418</definedName>
    <definedName name="HVP_Other_Yr1_46">'NARM5 – ED2 actuals'!$BQ$1447:$BU$1450</definedName>
    <definedName name="HVP_Other_Yr1_47">'NARM5 – ED2 actuals'!$BQ$1479:$BU$1482</definedName>
    <definedName name="HVP_Other_Yr1_48">'NARM5 – ED2 actuals'!$BQ$1511:$BU$1514</definedName>
    <definedName name="HVP_Other_Yr1_49">'NARM5 – ED2 actuals'!$BQ$1543:$BU$1546</definedName>
    <definedName name="HVP_Other_Yr1_5">'NARM5 – ED2 actuals'!$BQ$135:$BU$138</definedName>
    <definedName name="HVP_Other_Yr1_50">'NARM5 – ED2 actuals'!$BQ$1575:$BU$1578</definedName>
    <definedName name="HVP_Other_Yr1_51">'NARM5 – ED2 actuals'!$BQ$1607:$BU$1610</definedName>
    <definedName name="HVP_Other_Yr1_52">'NARM5 – ED2 actuals'!$BQ$1639:$BU$1642</definedName>
    <definedName name="HVP_Other_Yr1_53">'NARM5 – ED2 actuals'!$BQ$1671:$BU$1674</definedName>
    <definedName name="HVP_Other_Yr1_54">'NARM5 – ED2 actuals'!$BQ$1703:$BU$1706</definedName>
    <definedName name="HVP_Other_Yr1_55">'NARM5 – ED2 actuals'!$BQ$1735:$BU$1738</definedName>
    <definedName name="HVP_Other_Yr1_56">'NARM5 – ED2 actuals'!$BQ$1767:$BU$1770</definedName>
    <definedName name="HVP_Other_Yr1_57">'NARM5 – ED2 actuals'!$BQ$1799:$BU$1802</definedName>
    <definedName name="HVP_Other_Yr1_58">'NARM5 – ED2 actuals'!$BQ$1831:$BU$1834</definedName>
    <definedName name="HVP_Other_Yr1_59">'NARM5 – ED2 actuals'!$BQ$1863:$BU$1866</definedName>
    <definedName name="HVP_Other_Yr1_6">'NARM5 – ED2 actuals'!$BQ$167:$BU$170</definedName>
    <definedName name="HVP_Other_Yr1_60">'NARM5 – ED2 actuals'!$BQ$1895:$BU$1898</definedName>
    <definedName name="HVP_Other_Yr1_61">'NARM5 – ED2 actuals'!$BQ$1927:$BU$1930</definedName>
    <definedName name="HVP_Other_Yr1_7">'NARM5 – ED2 actuals'!$BQ$199:$BU$202</definedName>
    <definedName name="HVP_Other_Yr1_8">'NARM5 – ED2 actuals'!$BQ$231:$BU$234</definedName>
    <definedName name="HVP_Other_Yr1_9">'NARM5 – ED2 actuals'!$BQ$263:$BU$266</definedName>
    <definedName name="HVP_Other_Yr2_1">'NARM5 – ED2 actuals'!$BQ$13:$BU$16</definedName>
    <definedName name="HVP_Other_Yr2_10">'NARM5 – ED2 actuals'!$BQ$301:$BU$304</definedName>
    <definedName name="HVP_Other_Yr2_11">'NARM5 – ED2 actuals'!$BQ$333:$BU$336</definedName>
    <definedName name="HVP_Other_Yr2_12">'NARM5 – ED2 actuals'!$BQ$365:$BU$368</definedName>
    <definedName name="HVP_Other_Yr2_13">'NARM5 – ED2 actuals'!$BQ$397:$BU$400</definedName>
    <definedName name="HVP_Other_Yr2_14">'NARM5 – ED2 actuals'!$BQ$429:$BU$432</definedName>
    <definedName name="HVP_Other_Yr2_15">'NARM5 – ED2 actuals'!$BQ$461:$BU$464</definedName>
    <definedName name="HVP_Other_Yr2_16">'NARM5 – ED2 actuals'!$BQ$493:$BU$496</definedName>
    <definedName name="HVP_Other_Yr2_17">'NARM5 – ED2 actuals'!$BQ$525:$BU$528</definedName>
    <definedName name="HVP_Other_Yr2_18">'NARM5 – ED2 actuals'!$BQ$557:$BU$560</definedName>
    <definedName name="HVP_Other_Yr2_19">'NARM5 – ED2 actuals'!$BQ$589:$BU$592</definedName>
    <definedName name="HVP_Other_Yr2_2">'NARM5 – ED2 actuals'!$BQ$45:$BU$48</definedName>
    <definedName name="HVP_Other_Yr2_20">'NARM5 – ED2 actuals'!$BQ$621:$BU$624</definedName>
    <definedName name="HVP_Other_Yr2_21">'NARM5 – ED2 actuals'!$BQ$653:$BU$656</definedName>
    <definedName name="HVP_Other_Yr2_22">'NARM5 – ED2 actuals'!$BQ$685:$BU$688</definedName>
    <definedName name="HVP_Other_Yr2_23">'NARM5 – ED2 actuals'!$BQ$717:$BU$720</definedName>
    <definedName name="HVP_Other_Yr2_24">'NARM5 – ED2 actuals'!$BQ$749:$BU$752</definedName>
    <definedName name="HVP_Other_Yr2_25">'NARM5 – ED2 actuals'!$BQ$781:$BU$784</definedName>
    <definedName name="HVP_Other_Yr2_26">'NARM5 – ED2 actuals'!$BQ$813:$BU$816</definedName>
    <definedName name="HVP_Other_Yr2_27">'NARM5 – ED2 actuals'!$BQ$845:$BU$848</definedName>
    <definedName name="HVP_Other_Yr2_28">'NARM5 – ED2 actuals'!$BQ$877:$BU$880</definedName>
    <definedName name="HVP_Other_Yr2_29">'NARM5 – ED2 actuals'!$BQ$909:$BU$912</definedName>
    <definedName name="HVP_Other_Yr2_3">'NARM5 – ED2 actuals'!$BQ$77:$BU$80</definedName>
    <definedName name="HVP_Other_Yr2_30">'NARM5 – ED2 actuals'!$BQ$941:$BU$944</definedName>
    <definedName name="HVP_Other_Yr2_31">'NARM5 – ED2 actuals'!$BQ$973:$BU$976</definedName>
    <definedName name="HVP_Other_Yr2_32">'NARM5 – ED2 actuals'!$BQ$1005:$BU$1008</definedName>
    <definedName name="HVP_Other_Yr2_33">'NARM5 – ED2 actuals'!$BQ$1037:$BU$1040</definedName>
    <definedName name="HVP_Other_Yr2_34">'NARM5 – ED2 actuals'!$BQ$1069:$BU$1072</definedName>
    <definedName name="HVP_Other_Yr2_35">'NARM5 – ED2 actuals'!$BQ$1101:$BU$1104</definedName>
    <definedName name="HVP_Other_Yr2_36">'NARM5 – ED2 actuals'!$BQ$1133:$BU$1136</definedName>
    <definedName name="HVP_Other_Yr2_37">'NARM5 – ED2 actuals'!$BQ$1165:$BU$1168</definedName>
    <definedName name="HVP_Other_Yr2_38">'NARM5 – ED2 actuals'!$BQ$1197:$BU$1200</definedName>
    <definedName name="HVP_Other_Yr2_39">'NARM5 – ED2 actuals'!$BQ$1229:$BU$1232</definedName>
    <definedName name="HVP_Other_Yr2_4">'NARM5 – ED2 actuals'!$BQ$109:$BU$112</definedName>
    <definedName name="HVP_Other_Yr2_40">'NARM5 – ED2 actuals'!$BQ$1261:$BU$1264</definedName>
    <definedName name="HVP_Other_Yr2_41">'NARM5 – ED2 actuals'!$BQ$1293:$BU$1296</definedName>
    <definedName name="HVP_Other_Yr2_42">'NARM5 – ED2 actuals'!$BQ$1325:$BU$1328</definedName>
    <definedName name="HVP_Other_Yr2_43">'NARM5 – ED2 actuals'!$BQ$1357:$BU$1360</definedName>
    <definedName name="HVP_Other_Yr2_44">'NARM5 – ED2 actuals'!$BQ$1389:$BU$1392</definedName>
    <definedName name="HVP_Other_Yr2_45">'NARM5 – ED2 actuals'!$BQ$1421:$BU$1424</definedName>
    <definedName name="HVP_Other_Yr2_46">'NARM5 – ED2 actuals'!$BQ$1453:$BU$1456</definedName>
    <definedName name="HVP_Other_Yr2_47">'NARM5 – ED2 actuals'!$BQ$1485:$BU$1488</definedName>
    <definedName name="HVP_Other_Yr2_48">'NARM5 – ED2 actuals'!$BQ$1517:$BU$1520</definedName>
    <definedName name="HVP_Other_Yr2_49">'NARM5 – ED2 actuals'!$BQ$1549:$BU$1552</definedName>
    <definedName name="HVP_Other_Yr2_5">'NARM5 – ED2 actuals'!$BQ$141:$BU$144</definedName>
    <definedName name="HVP_Other_Yr2_50">'NARM5 – ED2 actuals'!$BQ$1581:$BU$1584</definedName>
    <definedName name="HVP_Other_Yr2_51">'NARM5 – ED2 actuals'!$BQ$1613:$BU$1616</definedName>
    <definedName name="HVP_Other_Yr2_52">'NARM5 – ED2 actuals'!$BQ$1645:$BU$1648</definedName>
    <definedName name="HVP_Other_Yr2_53">'NARM5 – ED2 actuals'!$BQ$1677:$BU$1680</definedName>
    <definedName name="HVP_Other_Yr2_54">'NARM5 – ED2 actuals'!$BQ$1709:$BU$1712</definedName>
    <definedName name="HVP_Other_Yr2_55">'NARM5 – ED2 actuals'!$BQ$1741:$BU$1744</definedName>
    <definedName name="HVP_Other_Yr2_56">'NARM5 – ED2 actuals'!$BQ$1773:$BU$1776</definedName>
    <definedName name="HVP_Other_Yr2_57">'NARM5 – ED2 actuals'!$BQ$1805:$BU$1808</definedName>
    <definedName name="HVP_Other_Yr2_58">'NARM5 – ED2 actuals'!$BQ$1837:$BU$1840</definedName>
    <definedName name="HVP_Other_Yr2_59">'NARM5 – ED2 actuals'!$BQ$1869:$BU$1872</definedName>
    <definedName name="HVP_Other_Yr2_6">'NARM5 – ED2 actuals'!$BQ$173:$BU$176</definedName>
    <definedName name="HVP_Other_Yr2_60">'NARM5 – ED2 actuals'!$BQ$1901:$BU$1904</definedName>
    <definedName name="HVP_Other_Yr2_61">'NARM5 – ED2 actuals'!$BQ$1933:$BU$1936</definedName>
    <definedName name="HVP_Other_Yr2_7">'NARM5 – ED2 actuals'!$BQ$205:$BU$208</definedName>
    <definedName name="HVP_Other_Yr2_8">'NARM5 – ED2 actuals'!$BQ$237:$BU$240</definedName>
    <definedName name="HVP_Other_Yr2_9">'NARM5 – ED2 actuals'!$BQ$269:$BU$272</definedName>
    <definedName name="HVP_Other_Yr3_1">'NARM5 – ED2 actuals'!$BQ$19:$BU$22</definedName>
    <definedName name="HVP_Other_Yr3_10">'NARM5 – ED2 actuals'!$BQ$307:$BU$310</definedName>
    <definedName name="HVP_Other_Yr3_11">'NARM5 – ED2 actuals'!$BQ$339:$BU$342</definedName>
    <definedName name="HVP_Other_Yr3_12">'NARM5 – ED2 actuals'!$BQ$371:$BU$374</definedName>
    <definedName name="HVP_Other_Yr3_13">'NARM5 – ED2 actuals'!$BQ$403:$BU$406</definedName>
    <definedName name="HVP_Other_Yr3_14">'NARM5 – ED2 actuals'!$BQ$435:$BU$438</definedName>
    <definedName name="HVP_Other_Yr3_15">'NARM5 – ED2 actuals'!$BQ$467:$BU$470</definedName>
    <definedName name="HVP_Other_Yr3_16">'NARM5 – ED2 actuals'!$BQ$499:$BU$502</definedName>
    <definedName name="HVP_Other_Yr3_17">'NARM5 – ED2 actuals'!$BQ$531:$BU$534</definedName>
    <definedName name="HVP_Other_Yr3_18">'NARM5 – ED2 actuals'!$BQ$563:$BU$566</definedName>
    <definedName name="HVP_Other_Yr3_19">'NARM5 – ED2 actuals'!$BQ$595:$BU$598</definedName>
    <definedName name="HVP_Other_Yr3_2">'NARM5 – ED2 actuals'!$BQ$51:$BU$54</definedName>
    <definedName name="HVP_Other_Yr3_20">'NARM5 – ED2 actuals'!$BQ$627:$BU$630</definedName>
    <definedName name="HVP_Other_Yr3_21">'NARM5 – ED2 actuals'!$BQ$659:$BU$662</definedName>
    <definedName name="HVP_Other_Yr3_22">'NARM5 – ED2 actuals'!$BQ$691:$BU$694</definedName>
    <definedName name="HVP_Other_Yr3_23">'NARM5 – ED2 actuals'!$BQ$723:$BU$726</definedName>
    <definedName name="HVP_Other_Yr3_24">'NARM5 – ED2 actuals'!$BQ$755:$BU$758</definedName>
    <definedName name="HVP_Other_Yr3_25">'NARM5 – ED2 actuals'!$BQ$787:$BU$790</definedName>
    <definedName name="HVP_Other_Yr3_26">'NARM5 – ED2 actuals'!$BQ$819:$BU$822</definedName>
    <definedName name="HVP_Other_Yr3_27">'NARM5 – ED2 actuals'!$BQ$851:$BU$854</definedName>
    <definedName name="HVP_Other_Yr3_28">'NARM5 – ED2 actuals'!$BQ$883:$BU$886</definedName>
    <definedName name="HVP_Other_Yr3_29">'NARM5 – ED2 actuals'!$BQ$915:$BU$918</definedName>
    <definedName name="HVP_Other_Yr3_3">'NARM5 – ED2 actuals'!$BQ$83:$BU$86</definedName>
    <definedName name="HVP_Other_Yr3_30">'NARM5 – ED2 actuals'!$BQ$947:$BU$950</definedName>
    <definedName name="HVP_Other_Yr3_31">'NARM5 – ED2 actuals'!$BQ$979:$BU$982</definedName>
    <definedName name="HVP_Other_Yr3_32">'NARM5 – ED2 actuals'!$BQ$1011:$BU$1014</definedName>
    <definedName name="HVP_Other_Yr3_33">'NARM5 – ED2 actuals'!$BQ$1043:$BU$1046</definedName>
    <definedName name="HVP_Other_Yr3_34">'NARM5 – ED2 actuals'!$BQ$1075:$BU$1078</definedName>
    <definedName name="HVP_Other_Yr3_35">'NARM5 – ED2 actuals'!$BQ$1107:$BU$1110</definedName>
    <definedName name="HVP_Other_Yr3_36">'NARM5 – ED2 actuals'!$BQ$1139:$BU$1142</definedName>
    <definedName name="HVP_Other_Yr3_37">'NARM5 – ED2 actuals'!$BQ$1171:$BU$1174</definedName>
    <definedName name="HVP_Other_Yr3_38">'NARM5 – ED2 actuals'!$BQ$1203:$BU$1206</definedName>
    <definedName name="HVP_Other_Yr3_39">'NARM5 – ED2 actuals'!$BQ$1235:$BU$1238</definedName>
    <definedName name="HVP_Other_Yr3_4">'NARM5 – ED2 actuals'!$BQ$115:$BU$118</definedName>
    <definedName name="HVP_Other_Yr3_40">'NARM5 – ED2 actuals'!$BQ$1267:$BU$1270</definedName>
    <definedName name="HVP_Other_Yr3_41">'NARM5 – ED2 actuals'!$BQ$1299:$BU$1302</definedName>
    <definedName name="HVP_Other_Yr3_42">'NARM5 – ED2 actuals'!$BQ$1331:$BU$1334</definedName>
    <definedName name="HVP_Other_Yr3_43">'NARM5 – ED2 actuals'!$BQ$1363:$BU$1366</definedName>
    <definedName name="HVP_Other_Yr3_44">'NARM5 – ED2 actuals'!$BQ$1395:$BU$1398</definedName>
    <definedName name="HVP_Other_Yr3_45">'NARM5 – ED2 actuals'!$BQ$1427:$BU$1430</definedName>
    <definedName name="HVP_Other_Yr3_46">'NARM5 – ED2 actuals'!$BQ$1459:$BU$1462</definedName>
    <definedName name="HVP_Other_Yr3_47">'NARM5 – ED2 actuals'!$BQ$1491:$BU$1494</definedName>
    <definedName name="HVP_Other_Yr3_48">'NARM5 – ED2 actuals'!$BQ$1523:$BU$1526</definedName>
    <definedName name="HVP_Other_Yr3_49">'NARM5 – ED2 actuals'!$BQ$1555:$BU$1558</definedName>
    <definedName name="HVP_Other_Yr3_5">'NARM5 – ED2 actuals'!$BQ$147:$BU$150</definedName>
    <definedName name="HVP_Other_Yr3_50">'NARM5 – ED2 actuals'!$BQ$1587:$BU$1590</definedName>
    <definedName name="HVP_Other_Yr3_51">'NARM5 – ED2 actuals'!$BQ$1619:$BU$1622</definedName>
    <definedName name="HVP_Other_Yr3_52">'NARM5 – ED2 actuals'!$BQ$1651:$BU$1654</definedName>
    <definedName name="HVP_Other_Yr3_53">'NARM5 – ED2 actuals'!$BQ$1683:$BU$1686</definedName>
    <definedName name="HVP_Other_Yr3_54">'NARM5 – ED2 actuals'!$BQ$1715:$BU$1718</definedName>
    <definedName name="HVP_Other_Yr3_55">'NARM5 – ED2 actuals'!$BQ$1747:$BU$1750</definedName>
    <definedName name="HVP_Other_Yr3_56">'NARM5 – ED2 actuals'!$BQ$1779:$BU$1782</definedName>
    <definedName name="HVP_Other_Yr3_57">'NARM5 – ED2 actuals'!$BQ$1811:$BU$1814</definedName>
    <definedName name="HVP_Other_Yr3_58">'NARM5 – ED2 actuals'!$BQ$1843:$BU$1846</definedName>
    <definedName name="HVP_Other_Yr3_59">'NARM5 – ED2 actuals'!$BQ$1875:$BU$1878</definedName>
    <definedName name="HVP_Other_Yr3_6">'NARM5 – ED2 actuals'!$BQ$179:$BU$182</definedName>
    <definedName name="HVP_Other_Yr3_60">'NARM5 – ED2 actuals'!$BQ$1907:$BU$1910</definedName>
    <definedName name="HVP_Other_Yr3_61">'NARM5 – ED2 actuals'!$BQ$1939:$BU$1942</definedName>
    <definedName name="HVP_Other_Yr3_7">'NARM5 – ED2 actuals'!$BQ$211:$BU$214</definedName>
    <definedName name="HVP_Other_Yr3_8">'NARM5 – ED2 actuals'!$BQ$243:$BU$246</definedName>
    <definedName name="HVP_Other_Yr3_9">'NARM5 – ED2 actuals'!$BQ$275:$BU$278</definedName>
    <definedName name="HVP_Other_Yr4_1">'NARM5 – ED2 actuals'!$BQ$25:$BU$28</definedName>
    <definedName name="HVP_Other_Yr4_10">'NARM5 – ED2 actuals'!$BQ$313:$BU$316</definedName>
    <definedName name="HVP_Other_Yr4_11">'NARM5 – ED2 actuals'!$BQ$345:$BU$348</definedName>
    <definedName name="HVP_Other_Yr4_12">'NARM5 – ED2 actuals'!$BQ$377:$BU$380</definedName>
    <definedName name="HVP_Other_Yr4_13">'NARM5 – ED2 actuals'!$BQ$409:$BU$412</definedName>
    <definedName name="HVP_Other_Yr4_14">'NARM5 – ED2 actuals'!$BQ$441:$BU$444</definedName>
    <definedName name="HVP_Other_Yr4_15">'NARM5 – ED2 actuals'!$BQ$473:$BU$476</definedName>
    <definedName name="HVP_Other_Yr4_16">'NARM5 – ED2 actuals'!$BQ$505:$BU$508</definedName>
    <definedName name="HVP_Other_Yr4_17">'NARM5 – ED2 actuals'!$BQ$537:$BU$540</definedName>
    <definedName name="HVP_Other_Yr4_18">'NARM5 – ED2 actuals'!$BQ$569:$BU$572</definedName>
    <definedName name="HVP_Other_Yr4_19">'NARM5 – ED2 actuals'!$BQ$601:$BU$604</definedName>
    <definedName name="HVP_Other_Yr4_2">'NARM5 – ED2 actuals'!$BQ$57:$BU$60</definedName>
    <definedName name="HVP_Other_Yr4_20">'NARM5 – ED2 actuals'!$BQ$633:$BU$636</definedName>
    <definedName name="HVP_Other_Yr4_21">'NARM5 – ED2 actuals'!$BQ$665:$BU$668</definedName>
    <definedName name="HVP_Other_Yr4_22">'NARM5 – ED2 actuals'!$BQ$697:$BU$700</definedName>
    <definedName name="HVP_Other_Yr4_23">'NARM5 – ED2 actuals'!$BQ$729:$BU$732</definedName>
    <definedName name="HVP_Other_Yr4_24">'NARM5 – ED2 actuals'!$BQ$761:$BU$764</definedName>
    <definedName name="HVP_Other_Yr4_25">'NARM5 – ED2 actuals'!$BQ$793:$BU$796</definedName>
    <definedName name="HVP_Other_Yr4_26">'NARM5 – ED2 actuals'!$BQ$825:$BU$828</definedName>
    <definedName name="HVP_Other_Yr4_27">'NARM5 – ED2 actuals'!$BQ$857:$BU$860</definedName>
    <definedName name="HVP_Other_Yr4_28">'NARM5 – ED2 actuals'!$BQ$889:$BU$892</definedName>
    <definedName name="HVP_Other_Yr4_29">'NARM5 – ED2 actuals'!$BQ$921:$BU$924</definedName>
    <definedName name="HVP_Other_Yr4_3">'NARM5 – ED2 actuals'!$BQ$89:$BU$92</definedName>
    <definedName name="HVP_Other_Yr4_30">'NARM5 – ED2 actuals'!$BQ$953:$BU$956</definedName>
    <definedName name="HVP_Other_Yr4_31">'NARM5 – ED2 actuals'!$BQ$985:$BU$988</definedName>
    <definedName name="HVP_Other_Yr4_32">'NARM5 – ED2 actuals'!$BQ$1017:$BU$1020</definedName>
    <definedName name="HVP_Other_Yr4_33">'NARM5 – ED2 actuals'!$BQ$1049:$BU$1052</definedName>
    <definedName name="HVP_Other_Yr4_34">'NARM5 – ED2 actuals'!$BQ$1081:$BU$1084</definedName>
    <definedName name="HVP_Other_Yr4_35">'NARM5 – ED2 actuals'!$BQ$1113:$BU$1116</definedName>
    <definedName name="HVP_Other_Yr4_36">'NARM5 – ED2 actuals'!$BQ$1145:$BU$1148</definedName>
    <definedName name="HVP_Other_Yr4_37">'NARM5 – ED2 actuals'!$BQ$1177:$BU$1180</definedName>
    <definedName name="HVP_Other_Yr4_38">'NARM5 – ED2 actuals'!$BQ$1209:$BU$1212</definedName>
    <definedName name="HVP_Other_Yr4_39">'NARM5 – ED2 actuals'!$BQ$1241:$BU$1244</definedName>
    <definedName name="HVP_Other_Yr4_4">'NARM5 – ED2 actuals'!$BQ$121:$BU$124</definedName>
    <definedName name="HVP_Other_Yr4_40">'NARM5 – ED2 actuals'!$BQ$1273:$BU$1276</definedName>
    <definedName name="HVP_Other_Yr4_41">'NARM5 – ED2 actuals'!$BQ$1305:$BU$1308</definedName>
    <definedName name="HVP_Other_Yr4_42">'NARM5 – ED2 actuals'!$BQ$1337:$BU$1340</definedName>
    <definedName name="HVP_Other_Yr4_43">'NARM5 – ED2 actuals'!$BQ$1369:$BU$1372</definedName>
    <definedName name="HVP_Other_Yr4_44">'NARM5 – ED2 actuals'!$BQ$1401:$BU$1404</definedName>
    <definedName name="HVP_Other_Yr4_45">'NARM5 – ED2 actuals'!$BQ$1433:$BU$1436</definedName>
    <definedName name="HVP_Other_Yr4_46">'NARM5 – ED2 actuals'!$BQ$1465:$BU$1468</definedName>
    <definedName name="HVP_Other_Yr4_47">'NARM5 – ED2 actuals'!$BQ$1497:$BU$1500</definedName>
    <definedName name="HVP_Other_Yr4_48">'NARM5 – ED2 actuals'!$BQ$1529:$BU$1532</definedName>
    <definedName name="HVP_Other_Yr4_49">'NARM5 – ED2 actuals'!$BQ$1561:$BU$1564</definedName>
    <definedName name="HVP_Other_Yr4_5">'NARM5 – ED2 actuals'!$BQ$153:$BU$156</definedName>
    <definedName name="HVP_Other_Yr4_50">'NARM5 – ED2 actuals'!$BQ$1593:$BU$1596</definedName>
    <definedName name="HVP_Other_Yr4_51">'NARM5 – ED2 actuals'!$BQ$1625:$BU$1628</definedName>
    <definedName name="HVP_Other_Yr4_52">'NARM5 – ED2 actuals'!$BQ$1657:$BU$1660</definedName>
    <definedName name="HVP_Other_Yr4_53">'NARM5 – ED2 actuals'!$BQ$1689:$BU$1692</definedName>
    <definedName name="HVP_Other_Yr4_54">'NARM5 – ED2 actuals'!$BQ$1721:$BU$1724</definedName>
    <definedName name="HVP_Other_Yr4_55">'NARM5 – ED2 actuals'!$BQ$1753:$BU$1756</definedName>
    <definedName name="HVP_Other_Yr4_56">'NARM5 – ED2 actuals'!$BQ$1785:$BU$1788</definedName>
    <definedName name="HVP_Other_Yr4_57">'NARM5 – ED2 actuals'!$BQ$1817:$BU$1820</definedName>
    <definedName name="HVP_Other_Yr4_58">'NARM5 – ED2 actuals'!$BQ$1849:$BU$1852</definedName>
    <definedName name="HVP_Other_Yr4_59">'NARM5 – ED2 actuals'!$BQ$1881:$BU$1884</definedName>
    <definedName name="HVP_Other_Yr4_6">'NARM5 – ED2 actuals'!$BQ$185:$BU$188</definedName>
    <definedName name="HVP_Other_Yr4_60">'NARM5 – ED2 actuals'!$BQ$1913:$BU$1916</definedName>
    <definedName name="HVP_Other_Yr4_61">'NARM5 – ED2 actuals'!$BQ$1945:$BU$1948</definedName>
    <definedName name="HVP_Other_Yr4_7">'NARM5 – ED2 actuals'!$BQ$217:$BU$220</definedName>
    <definedName name="HVP_Other_Yr4_8">'NARM5 – ED2 actuals'!$BQ$249:$BU$252</definedName>
    <definedName name="HVP_Other_Yr4_9">'NARM5 – ED2 actuals'!$BQ$281:$BU$284</definedName>
    <definedName name="HVP_Other_Yr5_1">'NARM5 – ED2 actuals'!$BQ$31:$BU$34</definedName>
    <definedName name="HVP_Other_Yr5_10">'NARM5 – ED2 actuals'!$BQ$319:$BU$322</definedName>
    <definedName name="HVP_Other_Yr5_11">'NARM5 – ED2 actuals'!$BQ$351:$BU$354</definedName>
    <definedName name="HVP_Other_Yr5_12">'NARM5 – ED2 actuals'!$BQ$383:$BU$386</definedName>
    <definedName name="HVP_Other_Yr5_13">'NARM5 – ED2 actuals'!$BQ$415:$BU$418</definedName>
    <definedName name="HVP_Other_Yr5_14">'NARM5 – ED2 actuals'!$BQ$447:$BU$450</definedName>
    <definedName name="HVP_Other_Yr5_15">'NARM5 – ED2 actuals'!$BQ$479:$BU$482</definedName>
    <definedName name="HVP_Other_Yr5_16">'NARM5 – ED2 actuals'!$BQ$511:$BU$514</definedName>
    <definedName name="HVP_Other_Yr5_17">'NARM5 – ED2 actuals'!$BQ$543:$BU$546</definedName>
    <definedName name="HVP_Other_Yr5_18">'NARM5 – ED2 actuals'!$BQ$575:$BU$578</definedName>
    <definedName name="HVP_Other_Yr5_19">'NARM5 – ED2 actuals'!$BQ$607:$BU$610</definedName>
    <definedName name="HVP_Other_Yr5_2">'NARM5 – ED2 actuals'!$BQ$63:$BU$66</definedName>
    <definedName name="HVP_Other_Yr5_20">'NARM5 – ED2 actuals'!$BQ$639:$BU$642</definedName>
    <definedName name="HVP_Other_Yr5_21">'NARM5 – ED2 actuals'!$BQ$671:$BU$674</definedName>
    <definedName name="HVP_Other_Yr5_22">'NARM5 – ED2 actuals'!$BQ$703:$BU$706</definedName>
    <definedName name="HVP_Other_Yr5_23">'NARM5 – ED2 actuals'!$BQ$735:$BU$738</definedName>
    <definedName name="HVP_Other_Yr5_24">'NARM5 – ED2 actuals'!$BQ$767:$BU$770</definedName>
    <definedName name="HVP_Other_Yr5_25">'NARM5 – ED2 actuals'!$BQ$799:$BU$802</definedName>
    <definedName name="HVP_Other_Yr5_26">'NARM5 – ED2 actuals'!$BQ$831:$BU$834</definedName>
    <definedName name="HVP_Other_Yr5_27">'NARM5 – ED2 actuals'!$BQ$863:$BU$866</definedName>
    <definedName name="HVP_Other_Yr5_28">'NARM5 – ED2 actuals'!$BQ$895:$BU$898</definedName>
    <definedName name="HVP_Other_Yr5_29">'NARM5 – ED2 actuals'!$BQ$927:$BU$930</definedName>
    <definedName name="HVP_Other_Yr5_3">'NARM5 – ED2 actuals'!$BQ$95:$BU$98</definedName>
    <definedName name="HVP_Other_Yr5_30">'NARM5 – ED2 actuals'!$BQ$959:$BU$962</definedName>
    <definedName name="HVP_Other_Yr5_31">'NARM5 – ED2 actuals'!$BQ$991:$BU$994</definedName>
    <definedName name="HVP_Other_Yr5_32">'NARM5 – ED2 actuals'!$BQ$1023:$BU$1026</definedName>
    <definedName name="HVP_Other_Yr5_33">'NARM5 – ED2 actuals'!$BQ$1055:$BU$1058</definedName>
    <definedName name="HVP_Other_Yr5_34">'NARM5 – ED2 actuals'!$BQ$1087:$BU$1090</definedName>
    <definedName name="HVP_Other_Yr5_35">'NARM5 – ED2 actuals'!$BQ$1119:$BU$1122</definedName>
    <definedName name="HVP_Other_Yr5_36">'NARM5 – ED2 actuals'!$BQ$1151:$BU$1154</definedName>
    <definedName name="HVP_Other_Yr5_37">'NARM5 – ED2 actuals'!$BQ$1183:$BU$1186</definedName>
    <definedName name="HVP_Other_Yr5_38">'NARM5 – ED2 actuals'!$BQ$1215:$BU$1218</definedName>
    <definedName name="HVP_Other_Yr5_39">'NARM5 – ED2 actuals'!$BQ$1247:$BU$1250</definedName>
    <definedName name="HVP_Other_Yr5_4">'NARM5 – ED2 actuals'!$BQ$127:$BU$130</definedName>
    <definedName name="HVP_Other_Yr5_40">'NARM5 – ED2 actuals'!$BQ$1279:$BU$1282</definedName>
    <definedName name="HVP_Other_Yr5_41">'NARM5 – ED2 actuals'!$BQ$1311:$BU$1314</definedName>
    <definedName name="HVP_Other_Yr5_42">'NARM5 – ED2 actuals'!$BQ$1343:$BU$1346</definedName>
    <definedName name="HVP_Other_Yr5_43">'NARM5 – ED2 actuals'!$BQ$1375:$BU$1378</definedName>
    <definedName name="HVP_Other_Yr5_44">'NARM5 – ED2 actuals'!$BQ$1407:$BU$1410</definedName>
    <definedName name="HVP_Other_Yr5_45">'NARM5 – ED2 actuals'!$BQ$1439:$BU$1442</definedName>
    <definedName name="HVP_Other_Yr5_46">'NARM5 – ED2 actuals'!$BQ$1471:$BU$1474</definedName>
    <definedName name="HVP_Other_Yr5_47">'NARM5 – ED2 actuals'!$BQ$1503:$BU$1506</definedName>
    <definedName name="HVP_Other_Yr5_48">'NARM5 – ED2 actuals'!$BQ$1535:$BU$1538</definedName>
    <definedName name="HVP_Other_Yr5_49">'NARM5 – ED2 actuals'!$BQ$1567:$BU$1570</definedName>
    <definedName name="HVP_Other_Yr5_5">'NARM5 – ED2 actuals'!$BQ$159:$BU$162</definedName>
    <definedName name="HVP_Other_Yr5_50">'NARM5 – ED2 actuals'!$BQ$1599:$BU$1602</definedName>
    <definedName name="HVP_Other_Yr5_51">'NARM5 – ED2 actuals'!$BQ$1631:$BU$1634</definedName>
    <definedName name="HVP_Other_Yr5_52">'NARM5 – ED2 actuals'!$BQ$1663:$BU$1666</definedName>
    <definedName name="HVP_Other_Yr5_53">'NARM5 – ED2 actuals'!$BQ$1695:$BU$1698</definedName>
    <definedName name="HVP_Other_Yr5_54">'NARM5 – ED2 actuals'!$BQ$1727:$BU$1730</definedName>
    <definedName name="HVP_Other_Yr5_55">'NARM5 – ED2 actuals'!$BQ$1759:$BU$1762</definedName>
    <definedName name="HVP_Other_Yr5_56">'NARM5 – ED2 actuals'!$BQ$1791:$BU$1794</definedName>
    <definedName name="HVP_Other_Yr5_57">'NARM5 – ED2 actuals'!$BQ$1823:$BU$1826</definedName>
    <definedName name="HVP_Other_Yr5_58">'NARM5 – ED2 actuals'!$BQ$1855:$BU$1858</definedName>
    <definedName name="HVP_Other_Yr5_59">'NARM5 – ED2 actuals'!$BQ$1887:$BU$1890</definedName>
    <definedName name="HVP_Other_Yr5_6">'NARM5 – ED2 actuals'!$BQ$191:$BU$194</definedName>
    <definedName name="HVP_Other_Yr5_60">'NARM5 – ED2 actuals'!$BQ$1919:$BU$1922</definedName>
    <definedName name="HVP_Other_Yr5_61">'NARM5 – ED2 actuals'!$BQ$1951:$BU$1954</definedName>
    <definedName name="HVP_Other_Yr5_7">'NARM5 – ED2 actuals'!$BQ$223:$BU$226</definedName>
    <definedName name="HVP_Other_Yr5_8">'NARM5 – ED2 actuals'!$BQ$255:$BU$258</definedName>
    <definedName name="HVP_Other_Yr5_9">'NARM5 – ED2 actuals'!$BQ$287:$BU$290</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localSheetId="3" hidden="1">{"staff",#N/A,FALSE,"Current Month"}</definedName>
    <definedName name="khkjk" localSheetId="4" hidden="1">{"staff",#N/A,FALSE,"Current Month"}</definedName>
    <definedName name="khkjk" localSheetId="1" hidden="1">{"staff",#N/A,FALSE,"Current Month"}</definedName>
    <definedName name="khkjk" hidden="1">{"staff",#N/A,FALSE,"Current Month"}</definedName>
    <definedName name="l" localSheetId="2" hidden="1">{#N/A,#N/A,FALSE,"DI 2 YEAR MASTER SCHEDULE"}</definedName>
    <definedName name="l" localSheetId="3" hidden="1">{#N/A,#N/A,FALSE,"DI 2 YEAR MASTER SCHEDULE"}</definedName>
    <definedName name="l" localSheetId="4" hidden="1">{#N/A,#N/A,FALSE,"DI 2 YEAR MASTER SCHEDULE"}</definedName>
    <definedName name="l" localSheetId="1" hidden="1">{#N/A,#N/A,FALSE,"DI 2 YEAR MASTER SCHEDULE"}</definedName>
    <definedName name="l" hidden="1">{#N/A,#N/A,FALSE,"DI 2 YEAR MASTER SCHEDULE"}</definedName>
    <definedName name="ListOffset" hidden="1">1</definedName>
    <definedName name="lkl" localSheetId="2" hidden="1">{#N/A,#N/A,FALSE,"DI 2 YEAR MASTER SCHEDULE"}</definedName>
    <definedName name="lkl" localSheetId="3" hidden="1">{#N/A,#N/A,FALSE,"DI 2 YEAR MASTER SCHEDULE"}</definedName>
    <definedName name="lkl" localSheetId="4" hidden="1">{#N/A,#N/A,FALSE,"DI 2 YEAR MASTER SCHEDULE"}</definedName>
    <definedName name="lkl" localSheetId="1" hidden="1">{#N/A,#N/A,FALSE,"DI 2 YEAR MASTER SCHEDULE"}</definedName>
    <definedName name="lkl" hidden="1">{#N/A,#N/A,FALSE,"DI 2 YEAR MASTER SCHEDULE"}</definedName>
    <definedName name="Long_Term_Monetised_Risk_1">'NARM1 - Risk Index Weightings'!$F$7:$J$10</definedName>
    <definedName name="Long_Term_Monetised_Risk_10">'NARM1 - Risk Index Weightings'!$F$61:$J$64</definedName>
    <definedName name="Long_Term_Monetised_Risk_11">'NARM1 - Risk Index Weightings'!$F$67:$J$70</definedName>
    <definedName name="Long_Term_Monetised_Risk_12">'NARM1 - Risk Index Weightings'!$F$73:$J$76</definedName>
    <definedName name="Long_Term_Monetised_Risk_13">'NARM1 - Risk Index Weightings'!$F$79:$J$82</definedName>
    <definedName name="Long_Term_Monetised_Risk_14">'NARM1 - Risk Index Weightings'!$F$85:$J$88</definedName>
    <definedName name="Long_Term_Monetised_Risk_15">'NARM1 - Risk Index Weightings'!$F$91:$J$94</definedName>
    <definedName name="Long_Term_Monetised_Risk_16">'NARM1 - Risk Index Weightings'!$F$97:$J$100</definedName>
    <definedName name="Long_Term_Monetised_Risk_17">'NARM1 - Risk Index Weightings'!$F$103:$J$106</definedName>
    <definedName name="Long_Term_Monetised_Risk_18">'NARM1 - Risk Index Weightings'!$F$109:$J$112</definedName>
    <definedName name="Long_Term_Monetised_Risk_19">'NARM1 - Risk Index Weightings'!$F$115:$J$118</definedName>
    <definedName name="Long_Term_Monetised_Risk_2">'NARM1 - Risk Index Weightings'!$F$13:$J$16</definedName>
    <definedName name="Long_Term_Monetised_Risk_20">'NARM1 - Risk Index Weightings'!$F$121:$J$124</definedName>
    <definedName name="Long_Term_Monetised_Risk_21">'NARM1 - Risk Index Weightings'!$F$127:$J$130</definedName>
    <definedName name="Long_Term_Monetised_Risk_22">'NARM1 - Risk Index Weightings'!$F$133:$J$136</definedName>
    <definedName name="Long_Term_Monetised_Risk_23">'NARM1 - Risk Index Weightings'!$F$139:$J$142</definedName>
    <definedName name="Long_Term_Monetised_Risk_24">'NARM1 - Risk Index Weightings'!$F$145:$J$148</definedName>
    <definedName name="Long_Term_Monetised_Risk_25">'NARM1 - Risk Index Weightings'!$F$151:$J$154</definedName>
    <definedName name="Long_Term_Monetised_Risk_26">'NARM1 - Risk Index Weightings'!$F$157:$J$160</definedName>
    <definedName name="Long_Term_Monetised_Risk_27">'NARM1 - Risk Index Weightings'!$F$163:$J$166</definedName>
    <definedName name="Long_Term_Monetised_Risk_28">'NARM1 - Risk Index Weightings'!$F$169:$J$172</definedName>
    <definedName name="Long_Term_Monetised_Risk_29">'NARM1 - Risk Index Weightings'!$F$175:$J$178</definedName>
    <definedName name="Long_Term_Monetised_Risk_3">'NARM1 - Risk Index Weightings'!$F$19:$J$22</definedName>
    <definedName name="Long_Term_Monetised_Risk_30">'NARM1 - Risk Index Weightings'!$F$181:$J$184</definedName>
    <definedName name="Long_Term_Monetised_Risk_31">'NARM1 - Risk Index Weightings'!$F$187:$J$190</definedName>
    <definedName name="Long_Term_Monetised_Risk_32">'NARM1 - Risk Index Weightings'!$F$193:$J$196</definedName>
    <definedName name="Long_Term_Monetised_Risk_33">'NARM1 - Risk Index Weightings'!$F$199:$J$202</definedName>
    <definedName name="Long_Term_Monetised_Risk_34">'NARM1 - Risk Index Weightings'!$F$205:$J$208</definedName>
    <definedName name="Long_Term_Monetised_Risk_35">'NARM1 - Risk Index Weightings'!$F$211:$J$214</definedName>
    <definedName name="Long_Term_Monetised_Risk_36">'NARM1 - Risk Index Weightings'!$F$217:$J$220</definedName>
    <definedName name="Long_Term_Monetised_Risk_37">'NARM1 - Risk Index Weightings'!$F$223:$J$226</definedName>
    <definedName name="Long_Term_Monetised_Risk_38">'NARM1 - Risk Index Weightings'!$F$229:$J$232</definedName>
    <definedName name="Long_Term_Monetised_Risk_39">'NARM1 - Risk Index Weightings'!$F$235:$J$238</definedName>
    <definedName name="Long_Term_Monetised_Risk_4">'NARM1 - Risk Index Weightings'!$F$25:$J$28</definedName>
    <definedName name="Long_Term_Monetised_Risk_40">'NARM1 - Risk Index Weightings'!$F$241:$J$244</definedName>
    <definedName name="Long_Term_Monetised_Risk_41">'NARM1 - Risk Index Weightings'!$F$247:$J$250</definedName>
    <definedName name="Long_Term_Monetised_Risk_42">'NARM1 - Risk Index Weightings'!$F$253:$J$256</definedName>
    <definedName name="Long_Term_Monetised_Risk_43">'NARM1 - Risk Index Weightings'!$F$259:$J$262</definedName>
    <definedName name="Long_Term_Monetised_Risk_44">'NARM1 - Risk Index Weightings'!$F$265:$J$268</definedName>
    <definedName name="Long_Term_Monetised_Risk_45">'NARM1 - Risk Index Weightings'!$F$271:$J$274</definedName>
    <definedName name="Long_Term_Monetised_Risk_46">'NARM1 - Risk Index Weightings'!$F$277:$J$280</definedName>
    <definedName name="Long_Term_Monetised_Risk_47">'NARM1 - Risk Index Weightings'!$F$283:$J$286</definedName>
    <definedName name="Long_Term_Monetised_Risk_48">'NARM1 - Risk Index Weightings'!$F$289:$J$292</definedName>
    <definedName name="Long_Term_Monetised_Risk_49">'NARM1 - Risk Index Weightings'!$F$295:$J$298</definedName>
    <definedName name="Long_Term_Monetised_Risk_5">'NARM1 - Risk Index Weightings'!$F$31:$J$34</definedName>
    <definedName name="Long_Term_Monetised_Risk_50">'NARM1 - Risk Index Weightings'!$F$301:$J$304</definedName>
    <definedName name="Long_Term_Monetised_Risk_51">'NARM1 - Risk Index Weightings'!$F$307:$J$310</definedName>
    <definedName name="Long_Term_Monetised_Risk_52">'NARM1 - Risk Index Weightings'!$F$313:$J$316</definedName>
    <definedName name="Long_Term_Monetised_Risk_53">'NARM1 - Risk Index Weightings'!$F$319:$J$322</definedName>
    <definedName name="Long_Term_Monetised_Risk_54">'NARM1 - Risk Index Weightings'!$F$325:$J$328</definedName>
    <definedName name="Long_Term_Monetised_Risk_55">'NARM1 - Risk Index Weightings'!$F$331:$J$334</definedName>
    <definedName name="Long_Term_Monetised_Risk_56">'NARM1 - Risk Index Weightings'!$F$337:$J$340</definedName>
    <definedName name="Long_Term_Monetised_Risk_57">'NARM1 - Risk Index Weightings'!$F$343:$J$346</definedName>
    <definedName name="Long_Term_Monetised_Risk_58">'NARM1 - Risk Index Weightings'!$F$349:$J$352</definedName>
    <definedName name="Long_Term_Monetised_Risk_59">'NARM1 - Risk Index Weightings'!$F$355:$J$358</definedName>
    <definedName name="Long_Term_Monetised_Risk_6">'NARM1 - Risk Index Weightings'!$F$37:$J$40</definedName>
    <definedName name="Long_Term_Monetised_Risk_60">'NARM1 - Risk Index Weightings'!$F$361:$J$364</definedName>
    <definedName name="Long_Term_Monetised_Risk_61">'NARM1 - Risk Index Weightings'!$F$367:$J$370</definedName>
    <definedName name="Long_Term_Monetised_Risk_7">'NARM1 - Risk Index Weightings'!$F$43:$J$46</definedName>
    <definedName name="Long_Term_Monetised_Risk_8">'NARM1 - Risk Index Weightings'!$F$49:$J$52</definedName>
    <definedName name="Long_Term_Monetised_Risk_9">'NARM1 - Risk Index Weightings'!$F$55:$J$58</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2" hidden="1">{#N/A,#N/A,FALSE,"PRJCTED QTRLY $'s"}</definedName>
    <definedName name="nn" localSheetId="3" hidden="1">{#N/A,#N/A,FALSE,"PRJCTED QTRLY $'s"}</definedName>
    <definedName name="nn" localSheetId="4" hidden="1">{#N/A,#N/A,FALSE,"PRJCTED QTRLY $'s"}</definedName>
    <definedName name="nn" localSheetId="1" hidden="1">{#N/A,#N/A,FALSE,"PRJCTED QTRLY $'s"}</definedName>
    <definedName name="nn" hidden="1">{#N/A,#N/A,FALSE,"PRJCTED QTRLY $'s"}</definedName>
    <definedName name="odd" localSheetId="2" hidden="1">{"staff",#N/A,FALSE,"Current Month"}</definedName>
    <definedName name="odd" localSheetId="3" hidden="1">{"staff",#N/A,FALSE,"Current Month"}</definedName>
    <definedName name="odd" localSheetId="4" hidden="1">{"staff",#N/A,FALSE,"Current Month"}</definedName>
    <definedName name="odd" localSheetId="1" hidden="1">{"staff",#N/A,FALSE,"Current Month"}</definedName>
    <definedName name="odd" hidden="1">{"staff",#N/A,FALSE,"Current Month"}</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her_Risk_Movements_Yr1_1">'NARM5 – ED2 actuals'!$AA$7:$AE$10</definedName>
    <definedName name="Other_Risk_Movements_Yr1_10">'NARM5 – ED2 actuals'!$AA$295:$AE$298</definedName>
    <definedName name="Other_Risk_Movements_Yr1_11">'NARM5 – ED2 actuals'!$AA$327:$AE$330</definedName>
    <definedName name="Other_Risk_Movements_Yr1_12">'NARM5 – ED2 actuals'!$AA$359:$AE$362</definedName>
    <definedName name="Other_Risk_Movements_Yr1_13">'NARM5 – ED2 actuals'!$AA$391:$AE$394</definedName>
    <definedName name="Other_Risk_Movements_Yr1_14">'NARM5 – ED2 actuals'!$AA$423:$AE$426</definedName>
    <definedName name="Other_Risk_Movements_Yr1_15">'NARM5 – ED2 actuals'!$AA$455:$AE$458</definedName>
    <definedName name="Other_Risk_Movements_Yr1_16">'NARM5 – ED2 actuals'!$AA$487:$AE$490</definedName>
    <definedName name="Other_Risk_Movements_Yr1_17">'NARM5 – ED2 actuals'!$AA$519:$AE$522</definedName>
    <definedName name="Other_Risk_Movements_Yr1_18">'NARM5 – ED2 actuals'!$AA$551:$AE$554</definedName>
    <definedName name="Other_Risk_Movements_Yr1_19">'NARM5 – ED2 actuals'!$AA$583:$AE$586</definedName>
    <definedName name="Other_Risk_Movements_Yr1_2">'NARM5 – ED2 actuals'!$AA$39:$AE$42</definedName>
    <definedName name="Other_Risk_Movements_Yr1_20">'NARM5 – ED2 actuals'!$AA$615:$AE$618</definedName>
    <definedName name="Other_Risk_Movements_Yr1_21">'NARM5 – ED2 actuals'!$AA$647:$AE$650</definedName>
    <definedName name="Other_Risk_Movements_Yr1_22">'NARM5 – ED2 actuals'!$AA$679:$AE$682</definedName>
    <definedName name="Other_Risk_Movements_Yr1_23">'NARM5 – ED2 actuals'!$AA$711:$AE$714</definedName>
    <definedName name="Other_Risk_Movements_Yr1_24">'NARM5 – ED2 actuals'!$AA$743:$AE$746</definedName>
    <definedName name="Other_Risk_Movements_Yr1_25">'NARM5 – ED2 actuals'!$AA$775:$AE$778</definedName>
    <definedName name="Other_Risk_Movements_Yr1_26">'NARM5 – ED2 actuals'!$AA$807:$AE$810</definedName>
    <definedName name="Other_Risk_Movements_Yr1_27">'NARM5 – ED2 actuals'!$AA$839:$AE$842</definedName>
    <definedName name="Other_Risk_Movements_Yr1_28">'NARM5 – ED2 actuals'!$AA$871:$AE$874</definedName>
    <definedName name="Other_Risk_Movements_Yr1_29">'NARM5 – ED2 actuals'!$AA$903:$AE$906</definedName>
    <definedName name="Other_Risk_Movements_Yr1_3">'NARM5 – ED2 actuals'!$AA$71:$AE$74</definedName>
    <definedName name="Other_Risk_Movements_Yr1_30">'NARM5 – ED2 actuals'!$AA$935:$AE$938</definedName>
    <definedName name="Other_Risk_Movements_Yr1_31">'NARM5 – ED2 actuals'!$AA$967:$AE$970</definedName>
    <definedName name="Other_Risk_Movements_Yr1_32">'NARM5 – ED2 actuals'!$AA$999:$AE$1002</definedName>
    <definedName name="Other_Risk_Movements_Yr1_33">'NARM5 – ED2 actuals'!$AA$1031:$AE$1034</definedName>
    <definedName name="Other_Risk_Movements_Yr1_34">'NARM5 – ED2 actuals'!$AA$1063:$AE$1066</definedName>
    <definedName name="Other_Risk_Movements_Yr1_35">'NARM5 – ED2 actuals'!$AA$1095:$AE$1098</definedName>
    <definedName name="Other_Risk_Movements_Yr1_36">'NARM5 – ED2 actuals'!$AA$1127:$AE$1130</definedName>
    <definedName name="Other_Risk_Movements_Yr1_37">'NARM5 – ED2 actuals'!$AA$1159:$AE$1162</definedName>
    <definedName name="Other_Risk_Movements_Yr1_38">'NARM5 – ED2 actuals'!$AA$1191:$AE$1194</definedName>
    <definedName name="Other_Risk_Movements_Yr1_39">'NARM5 – ED2 actuals'!$AA$1223:$AE$1226</definedName>
    <definedName name="Other_Risk_Movements_Yr1_4">'NARM5 – ED2 actuals'!$AA$103:$AE$106</definedName>
    <definedName name="Other_Risk_Movements_Yr1_40">'NARM5 – ED2 actuals'!$AA$1255:$AE$1258</definedName>
    <definedName name="Other_Risk_Movements_Yr1_41">'NARM5 – ED2 actuals'!$AA$1287:$AE$1290</definedName>
    <definedName name="Other_Risk_Movements_Yr1_42">'NARM5 – ED2 actuals'!$AA$1319:$AE$1322</definedName>
    <definedName name="Other_Risk_Movements_Yr1_43">'NARM5 – ED2 actuals'!$AA$1351:$AE$1354</definedName>
    <definedName name="Other_Risk_Movements_Yr1_44">'NARM5 – ED2 actuals'!$AA$1383:$AE$1386</definedName>
    <definedName name="Other_Risk_Movements_Yr1_45">'NARM5 – ED2 actuals'!$AA$1415:$AE$1418</definedName>
    <definedName name="Other_Risk_Movements_Yr1_46">'NARM5 – ED2 actuals'!$AA$1447:$AE$1450</definedName>
    <definedName name="Other_Risk_Movements_Yr1_47">'NARM5 – ED2 actuals'!$AA$1479:$AE$1482</definedName>
    <definedName name="Other_Risk_Movements_Yr1_48">'NARM5 – ED2 actuals'!$AA$1511:$AE$1514</definedName>
    <definedName name="Other_Risk_Movements_Yr1_49">'NARM5 – ED2 actuals'!$AA$1543:$AE$1546</definedName>
    <definedName name="Other_Risk_Movements_Yr1_5">'NARM5 – ED2 actuals'!$AA$135:$AE$138</definedName>
    <definedName name="Other_Risk_Movements_Yr1_50">'NARM5 – ED2 actuals'!$AA$1575:$AE$1578</definedName>
    <definedName name="Other_Risk_Movements_Yr1_51">'NARM5 – ED2 actuals'!$AA$1607:$AE$1610</definedName>
    <definedName name="Other_Risk_Movements_Yr1_52">'NARM5 – ED2 actuals'!$AA$1639:$AE$1642</definedName>
    <definedName name="Other_Risk_Movements_Yr1_53">'NARM5 – ED2 actuals'!$AA$1671:$AE$1674</definedName>
    <definedName name="Other_Risk_Movements_Yr1_54">'NARM5 – ED2 actuals'!$AA$1703:$AE$1706</definedName>
    <definedName name="Other_Risk_Movements_Yr1_55">'NARM5 – ED2 actuals'!$AA$1735:$AE$1738</definedName>
    <definedName name="Other_Risk_Movements_Yr1_56">'NARM5 – ED2 actuals'!$AA$1767:$AE$1770</definedName>
    <definedName name="Other_Risk_Movements_Yr1_57">'NARM5 – ED2 actuals'!$AA$1799:$AE$1802</definedName>
    <definedName name="Other_Risk_Movements_Yr1_58">'NARM5 – ED2 actuals'!$AA$1831:$AE$1834</definedName>
    <definedName name="Other_Risk_Movements_Yr1_59">'NARM5 – ED2 actuals'!$AA$1863:$AE$1866</definedName>
    <definedName name="Other_Risk_Movements_Yr1_6">'NARM5 – ED2 actuals'!$AA$167:$AE$170</definedName>
    <definedName name="Other_Risk_Movements_Yr1_60">'NARM5 – ED2 actuals'!$AA$1895:$AE$1898</definedName>
    <definedName name="Other_Risk_Movements_Yr1_61">'NARM5 – ED2 actuals'!$AA$1927:$AE$1930</definedName>
    <definedName name="Other_Risk_Movements_Yr1_7">'NARM5 – ED2 actuals'!$AA$199:$AE$202</definedName>
    <definedName name="Other_Risk_Movements_Yr1_8">'NARM5 – ED2 actuals'!$AA$231:$AE$234</definedName>
    <definedName name="Other_Risk_Movements_Yr1_9">'NARM5 – ED2 actuals'!$AA$263:$AE$266</definedName>
    <definedName name="Other_Risk_Movements_Yr2_1">'NARM5 – ED2 actuals'!$AA$13:$AE$16</definedName>
    <definedName name="Other_Risk_Movements_Yr2_10">'NARM5 – ED2 actuals'!$AA$301:$AE$304</definedName>
    <definedName name="Other_Risk_Movements_Yr2_11">'NARM5 – ED2 actuals'!$AA$333:$AE$336</definedName>
    <definedName name="Other_Risk_Movements_Yr2_12">'NARM5 – ED2 actuals'!$AA$365:$AE$368</definedName>
    <definedName name="Other_Risk_Movements_Yr2_13">'NARM5 – ED2 actuals'!$AA$397:$AE$400</definedName>
    <definedName name="Other_Risk_Movements_Yr2_14">'NARM5 – ED2 actuals'!$AA$429:$AE$432</definedName>
    <definedName name="Other_Risk_Movements_Yr2_15">'NARM5 – ED2 actuals'!$AA$461:$AE$464</definedName>
    <definedName name="Other_Risk_Movements_Yr2_16">'NARM5 – ED2 actuals'!$AA$493:$AE$496</definedName>
    <definedName name="Other_Risk_Movements_Yr2_17">'NARM5 – ED2 actuals'!$AA$525:$AE$528</definedName>
    <definedName name="Other_Risk_Movements_Yr2_18">'NARM5 – ED2 actuals'!$AA$557:$AE$560</definedName>
    <definedName name="Other_Risk_Movements_Yr2_19">'NARM5 – ED2 actuals'!$AA$589:$AE$592</definedName>
    <definedName name="Other_Risk_Movements_Yr2_2">'NARM5 – ED2 actuals'!$AA$45:$AE$48</definedName>
    <definedName name="Other_Risk_Movements_Yr2_20">'NARM5 – ED2 actuals'!$AA$621:$AE$624</definedName>
    <definedName name="Other_Risk_Movements_Yr2_21">'NARM5 – ED2 actuals'!$AA$653:$AE$656</definedName>
    <definedName name="Other_Risk_Movements_Yr2_22">'NARM5 – ED2 actuals'!$AA$685:$AE$688</definedName>
    <definedName name="Other_Risk_Movements_Yr2_23">'NARM5 – ED2 actuals'!$AA$717:$AE$720</definedName>
    <definedName name="Other_Risk_Movements_Yr2_24">'NARM5 – ED2 actuals'!$AA$749:$AE$752</definedName>
    <definedName name="Other_Risk_Movements_Yr2_25">'NARM5 – ED2 actuals'!$AA$781:$AE$784</definedName>
    <definedName name="Other_Risk_Movements_Yr2_26">'NARM5 – ED2 actuals'!$AA$813:$AE$816</definedName>
    <definedName name="Other_Risk_Movements_Yr2_27">'NARM5 – ED2 actuals'!$AA$845:$AE$848</definedName>
    <definedName name="Other_Risk_Movements_Yr2_28">'NARM5 – ED2 actuals'!$AA$877:$AE$880</definedName>
    <definedName name="Other_Risk_Movements_Yr2_29">'NARM5 – ED2 actuals'!$AA$909:$AE$912</definedName>
    <definedName name="Other_Risk_Movements_Yr2_3">'NARM5 – ED2 actuals'!$AA$77:$AE$80</definedName>
    <definedName name="Other_Risk_Movements_Yr2_30">'NARM5 – ED2 actuals'!$AA$941:$AE$944</definedName>
    <definedName name="Other_Risk_Movements_Yr2_31">'NARM5 – ED2 actuals'!$AA$973:$AE$976</definedName>
    <definedName name="Other_Risk_Movements_Yr2_32">'NARM5 – ED2 actuals'!$AA$1005:$AE$1008</definedName>
    <definedName name="Other_Risk_Movements_Yr2_33">'NARM5 – ED2 actuals'!$AA$1037:$AE$1040</definedName>
    <definedName name="Other_Risk_Movements_Yr2_34">'NARM5 – ED2 actuals'!$AA$1069:$AE$1072</definedName>
    <definedName name="Other_Risk_Movements_Yr2_35">'NARM5 – ED2 actuals'!$AA$1101:$AE$1104</definedName>
    <definedName name="Other_Risk_Movements_Yr2_36">'NARM5 – ED2 actuals'!$AA$1133:$AE$1136</definedName>
    <definedName name="Other_Risk_Movements_Yr2_37">'NARM5 – ED2 actuals'!$AA$1165:$AE$1168</definedName>
    <definedName name="Other_Risk_Movements_Yr2_38">'NARM5 – ED2 actuals'!$AA$1197:$AE$1200</definedName>
    <definedName name="Other_Risk_Movements_Yr2_39">'NARM5 – ED2 actuals'!$AA$1229:$AE$1232</definedName>
    <definedName name="Other_Risk_Movements_Yr2_4">'NARM5 – ED2 actuals'!$AA$109:$AE$112</definedName>
    <definedName name="Other_Risk_Movements_Yr2_40">'NARM5 – ED2 actuals'!$AA$1261:$AE$1264</definedName>
    <definedName name="Other_Risk_Movements_Yr2_41">'NARM5 – ED2 actuals'!$AA$1293:$AE$1296</definedName>
    <definedName name="Other_Risk_Movements_Yr2_42">'NARM5 – ED2 actuals'!$AA$1325:$AE$1328</definedName>
    <definedName name="Other_Risk_Movements_Yr2_43">'NARM5 – ED2 actuals'!$AA$1357:$AE$1360</definedName>
    <definedName name="Other_Risk_Movements_Yr2_44">'NARM5 – ED2 actuals'!$AA$1389:$AE$1392</definedName>
    <definedName name="Other_Risk_Movements_Yr2_45">'NARM5 – ED2 actuals'!$AA$1421:$AE$1424</definedName>
    <definedName name="Other_Risk_Movements_Yr2_46">'NARM5 – ED2 actuals'!$AA$1453:$AE$1456</definedName>
    <definedName name="Other_Risk_Movements_Yr2_47">'NARM5 – ED2 actuals'!$AA$1485:$AE$1488</definedName>
    <definedName name="Other_Risk_Movements_Yr2_48">'NARM5 – ED2 actuals'!$AA$1517:$AE$1520</definedName>
    <definedName name="Other_Risk_Movements_Yr2_49">'NARM5 – ED2 actuals'!$AA$1549:$AE$1552</definedName>
    <definedName name="Other_Risk_Movements_Yr2_5">'NARM5 – ED2 actuals'!$AA$141:$AE$144</definedName>
    <definedName name="Other_Risk_Movements_Yr2_50">'NARM5 – ED2 actuals'!$AA$1581:$AE$1584</definedName>
    <definedName name="Other_Risk_Movements_Yr2_51">'NARM5 – ED2 actuals'!$AA$1613:$AE$1616</definedName>
    <definedName name="Other_Risk_Movements_Yr2_52">'NARM5 – ED2 actuals'!$AA$1645:$AE$1648</definedName>
    <definedName name="Other_Risk_Movements_Yr2_53">'NARM5 – ED2 actuals'!$AA$1677:$AE$1680</definedName>
    <definedName name="Other_Risk_Movements_Yr2_54">'NARM5 – ED2 actuals'!$AA$1709:$AE$1712</definedName>
    <definedName name="Other_Risk_Movements_Yr2_55">'NARM5 – ED2 actuals'!$AA$1741:$AE$1744</definedName>
    <definedName name="Other_Risk_Movements_Yr2_56">'NARM5 – ED2 actuals'!$AA$1773:$AE$1776</definedName>
    <definedName name="Other_Risk_Movements_Yr2_57">'NARM5 – ED2 actuals'!$AA$1805:$AE$1808</definedName>
    <definedName name="Other_Risk_Movements_Yr2_58">'NARM5 – ED2 actuals'!$AA$1837:$AE$1840</definedName>
    <definedName name="Other_Risk_Movements_Yr2_59">'NARM5 – ED2 actuals'!$AA$1869:$AE$1872</definedName>
    <definedName name="Other_Risk_Movements_Yr2_6">'NARM5 – ED2 actuals'!$AA$173:$AE$176</definedName>
    <definedName name="Other_Risk_Movements_Yr2_60">'NARM5 – ED2 actuals'!$AA$1901:$AE$1904</definedName>
    <definedName name="Other_Risk_Movements_Yr2_61">'NARM5 – ED2 actuals'!$AA$1933:$AE$1936</definedName>
    <definedName name="Other_Risk_Movements_Yr2_7">'NARM5 – ED2 actuals'!$AA$205:$AE$208</definedName>
    <definedName name="Other_Risk_Movements_Yr2_8">'NARM5 – ED2 actuals'!$AA$237:$AE$240</definedName>
    <definedName name="Other_Risk_Movements_Yr2_9">'NARM5 – ED2 actuals'!$AA$269:$AE$272</definedName>
    <definedName name="Other_Risk_Movements_Yr3_1">'NARM5 – ED2 actuals'!$AA$19:$AE$22</definedName>
    <definedName name="Other_Risk_Movements_Yr3_10">'NARM5 – ED2 actuals'!$AA$307:$AE$310</definedName>
    <definedName name="Other_Risk_Movements_Yr3_11">'NARM5 – ED2 actuals'!$AA$339:$AE$342</definedName>
    <definedName name="Other_Risk_Movements_Yr3_12">'NARM5 – ED2 actuals'!$AA$371:$AE$374</definedName>
    <definedName name="Other_Risk_Movements_Yr3_13">'NARM5 – ED2 actuals'!$AA$403:$AE$406</definedName>
    <definedName name="Other_Risk_Movements_Yr3_14">'NARM5 – ED2 actuals'!$AA$435:$AE$438</definedName>
    <definedName name="Other_Risk_Movements_Yr3_15">'NARM5 – ED2 actuals'!$AA$467:$AE$470</definedName>
    <definedName name="Other_Risk_Movements_Yr3_16">'NARM5 – ED2 actuals'!$AA$499:$AE$502</definedName>
    <definedName name="Other_Risk_Movements_Yr3_17">'NARM5 – ED2 actuals'!$AA$531:$AE$534</definedName>
    <definedName name="Other_Risk_Movements_Yr3_18">'NARM5 – ED2 actuals'!$AA$563:$AE$566</definedName>
    <definedName name="Other_Risk_Movements_Yr3_19">'NARM5 – ED2 actuals'!$AA$595:$AE$598</definedName>
    <definedName name="Other_Risk_Movements_Yr3_2">'NARM5 – ED2 actuals'!$AA$51:$AE$54</definedName>
    <definedName name="Other_Risk_Movements_Yr3_20">'NARM5 – ED2 actuals'!$AA$627:$AE$630</definedName>
    <definedName name="Other_Risk_Movements_Yr3_21">'NARM5 – ED2 actuals'!$AA$659:$AE$662</definedName>
    <definedName name="Other_Risk_Movements_Yr3_22">'NARM5 – ED2 actuals'!$AA$691:$AE$694</definedName>
    <definedName name="Other_Risk_Movements_Yr3_23">'NARM5 – ED2 actuals'!$AA$723:$AE$726</definedName>
    <definedName name="Other_Risk_Movements_Yr3_24">'NARM5 – ED2 actuals'!$AA$755:$AE$758</definedName>
    <definedName name="Other_Risk_Movements_Yr3_25">'NARM5 – ED2 actuals'!$AA$787:$AE$790</definedName>
    <definedName name="Other_Risk_Movements_Yr3_26">'NARM5 – ED2 actuals'!$AA$819:$AE$822</definedName>
    <definedName name="Other_Risk_Movements_Yr3_27">'NARM5 – ED2 actuals'!$AA$851:$AE$854</definedName>
    <definedName name="Other_Risk_Movements_Yr3_28">'NARM5 – ED2 actuals'!$AA$883:$AE$886</definedName>
    <definedName name="Other_Risk_Movements_Yr3_29">'NARM5 – ED2 actuals'!$AA$915:$AE$918</definedName>
    <definedName name="Other_Risk_Movements_Yr3_3">'NARM5 – ED2 actuals'!$AA$83:$AE$86</definedName>
    <definedName name="Other_Risk_Movements_Yr3_30">'NARM5 – ED2 actuals'!$AA$947:$AE$950</definedName>
    <definedName name="Other_Risk_Movements_Yr3_31">'NARM5 – ED2 actuals'!$AA$979:$AE$982</definedName>
    <definedName name="Other_Risk_Movements_Yr3_32">'NARM5 – ED2 actuals'!$AA$1011:$AE$1014</definedName>
    <definedName name="Other_Risk_Movements_Yr3_33">'NARM5 – ED2 actuals'!$AA$1043:$AE$1046</definedName>
    <definedName name="Other_Risk_Movements_Yr3_34">'NARM5 – ED2 actuals'!$AA$1075:$AE$1078</definedName>
    <definedName name="Other_Risk_Movements_Yr3_35">'NARM5 – ED2 actuals'!$AA$1107:$AE$1110</definedName>
    <definedName name="Other_Risk_Movements_Yr3_36">'NARM5 – ED2 actuals'!$AA$1139:$AE$1142</definedName>
    <definedName name="Other_Risk_Movements_Yr3_37">'NARM5 – ED2 actuals'!$AA$1171:$AE$1174</definedName>
    <definedName name="Other_Risk_Movements_Yr3_38">'NARM5 – ED2 actuals'!$AA$1203:$AE$1206</definedName>
    <definedName name="Other_Risk_Movements_Yr3_39">'NARM5 – ED2 actuals'!$AA$1235:$AE$1238</definedName>
    <definedName name="Other_Risk_Movements_Yr3_4">'NARM5 – ED2 actuals'!$AA$115:$AE$118</definedName>
    <definedName name="Other_Risk_Movements_Yr3_40">'NARM5 – ED2 actuals'!$AA$1267:$AE$1270</definedName>
    <definedName name="Other_Risk_Movements_Yr3_41">'NARM5 – ED2 actuals'!$AA$1299:$AE$1302</definedName>
    <definedName name="Other_Risk_Movements_Yr3_42">'NARM5 – ED2 actuals'!$AA$1331:$AE$1334</definedName>
    <definedName name="Other_Risk_Movements_Yr3_43">'NARM5 – ED2 actuals'!$AA$1363:$AE$1366</definedName>
    <definedName name="Other_Risk_Movements_Yr3_44">'NARM5 – ED2 actuals'!$AA$1395:$AE$1398</definedName>
    <definedName name="Other_Risk_Movements_Yr3_45">'NARM5 – ED2 actuals'!$AA$1427:$AE$1430</definedName>
    <definedName name="Other_Risk_Movements_Yr3_46">'NARM5 – ED2 actuals'!$AA$1459:$AE$1462</definedName>
    <definedName name="Other_Risk_Movements_Yr3_47">'NARM5 – ED2 actuals'!$AA$1491:$AE$1494</definedName>
    <definedName name="Other_Risk_Movements_Yr3_48">'NARM5 – ED2 actuals'!$AA$1523:$AE$1526</definedName>
    <definedName name="Other_Risk_Movements_Yr3_49">'NARM5 – ED2 actuals'!$AA$1555:$AE$1558</definedName>
    <definedName name="Other_Risk_Movements_Yr3_5">'NARM5 – ED2 actuals'!$AA$147:$AE$150</definedName>
    <definedName name="Other_Risk_Movements_Yr3_50">'NARM5 – ED2 actuals'!$AA$1587:$AE$1590</definedName>
    <definedName name="Other_Risk_Movements_Yr3_51">'NARM5 – ED2 actuals'!$AA$1619:$AE$1622</definedName>
    <definedName name="Other_Risk_Movements_Yr3_52">'NARM5 – ED2 actuals'!$AA$1651:$AE$1654</definedName>
    <definedName name="Other_Risk_Movements_Yr3_53">'NARM5 – ED2 actuals'!$AA$1683:$AE$1686</definedName>
    <definedName name="Other_Risk_Movements_Yr3_54">'NARM5 – ED2 actuals'!$AA$1715:$AE$1718</definedName>
    <definedName name="Other_Risk_Movements_Yr3_55">'NARM5 – ED2 actuals'!$AA$1747:$AE$1750</definedName>
    <definedName name="Other_Risk_Movements_Yr3_56">'NARM5 – ED2 actuals'!$AA$1779:$AE$1782</definedName>
    <definedName name="Other_Risk_Movements_Yr3_57">'NARM5 – ED2 actuals'!$AA$1811:$AE$1814</definedName>
    <definedName name="Other_Risk_Movements_Yr3_58">'NARM5 – ED2 actuals'!$AA$1843:$AE$1846</definedName>
    <definedName name="Other_Risk_Movements_Yr3_59">'NARM5 – ED2 actuals'!$AA$1875:$AE$1878</definedName>
    <definedName name="Other_Risk_Movements_Yr3_6">'NARM5 – ED2 actuals'!$AA$179:$AE$182</definedName>
    <definedName name="Other_Risk_Movements_Yr3_60">'NARM5 – ED2 actuals'!$AA$1907:$AE$1910</definedName>
    <definedName name="Other_Risk_Movements_Yr3_61">'NARM5 – ED2 actuals'!$AA$1939:$AE$1942</definedName>
    <definedName name="Other_Risk_Movements_Yr3_7">'NARM5 – ED2 actuals'!$AA$211:$AE$214</definedName>
    <definedName name="Other_Risk_Movements_Yr3_8">'NARM5 – ED2 actuals'!$AA$243:$AE$246</definedName>
    <definedName name="Other_Risk_Movements_Yr3_9">'NARM5 – ED2 actuals'!$AA$275:$AE$278</definedName>
    <definedName name="Other_Risk_Movements_Yr4_1">'NARM5 – ED2 actuals'!$AA$25:$AE$28</definedName>
    <definedName name="Other_Risk_Movements_Yr4_10">'NARM5 – ED2 actuals'!$AA$313:$AE$316</definedName>
    <definedName name="Other_Risk_Movements_Yr4_11">'NARM5 – ED2 actuals'!$AA$345:$AE$348</definedName>
    <definedName name="Other_Risk_Movements_Yr4_12">'NARM5 – ED2 actuals'!$AA$377:$AE$380</definedName>
    <definedName name="Other_Risk_Movements_Yr4_13">'NARM5 – ED2 actuals'!$AA$409:$AE$412</definedName>
    <definedName name="Other_Risk_Movements_Yr4_14">'NARM5 – ED2 actuals'!$AA$441:$AE$444</definedName>
    <definedName name="Other_Risk_Movements_Yr4_15">'NARM5 – ED2 actuals'!$AA$473:$AE$476</definedName>
    <definedName name="Other_Risk_Movements_Yr4_16">'NARM5 – ED2 actuals'!$AA$505:$AE$508</definedName>
    <definedName name="Other_Risk_Movements_Yr4_17">'NARM5 – ED2 actuals'!$AA$537:$AE$540</definedName>
    <definedName name="Other_Risk_Movements_Yr4_18">'NARM5 – ED2 actuals'!$AA$569:$AE$572</definedName>
    <definedName name="Other_Risk_Movements_Yr4_19">'NARM5 – ED2 actuals'!$AA$601:$AE$604</definedName>
    <definedName name="Other_Risk_Movements_Yr4_2">'NARM5 – ED2 actuals'!$AA$57:$AE$60</definedName>
    <definedName name="Other_Risk_Movements_Yr4_20">'NARM5 – ED2 actuals'!$AA$633:$AE$636</definedName>
    <definedName name="Other_Risk_Movements_Yr4_21">'NARM5 – ED2 actuals'!$AA$665:$AE$668</definedName>
    <definedName name="Other_Risk_Movements_Yr4_22">'NARM5 – ED2 actuals'!$AA$697:$AE$700</definedName>
    <definedName name="Other_Risk_Movements_Yr4_23">'NARM5 – ED2 actuals'!$AA$729:$AE$732</definedName>
    <definedName name="Other_Risk_Movements_Yr4_24">'NARM5 – ED2 actuals'!$AA$761:$AE$764</definedName>
    <definedName name="Other_Risk_Movements_Yr4_25">'NARM5 – ED2 actuals'!$AA$793:$AE$796</definedName>
    <definedName name="Other_Risk_Movements_Yr4_26">'NARM5 – ED2 actuals'!$AA$825:$AE$828</definedName>
    <definedName name="Other_Risk_Movements_Yr4_27">'NARM5 – ED2 actuals'!$AA$857:$AE$860</definedName>
    <definedName name="Other_Risk_Movements_Yr4_28">'NARM5 – ED2 actuals'!$AA$889:$AE$892</definedName>
    <definedName name="Other_Risk_Movements_Yr4_29">'NARM5 – ED2 actuals'!$AA$921:$AE$924</definedName>
    <definedName name="Other_Risk_Movements_Yr4_3">'NARM5 – ED2 actuals'!$AA$89:$AE$92</definedName>
    <definedName name="Other_Risk_Movements_Yr4_30">'NARM5 – ED2 actuals'!$AA$953:$AE$956</definedName>
    <definedName name="Other_Risk_Movements_Yr4_31">'NARM5 – ED2 actuals'!$AA$985:$AE$988</definedName>
    <definedName name="Other_Risk_Movements_Yr4_32">'NARM5 – ED2 actuals'!$AA$1017:$AE$1020</definedName>
    <definedName name="Other_Risk_Movements_Yr4_33">'NARM5 – ED2 actuals'!$AA$1049:$AE$1052</definedName>
    <definedName name="Other_Risk_Movements_Yr4_34">'NARM5 – ED2 actuals'!$AA$1081:$AE$1084</definedName>
    <definedName name="Other_Risk_Movements_Yr4_35">'NARM5 – ED2 actuals'!$AA$1113:$AE$1116</definedName>
    <definedName name="Other_Risk_Movements_Yr4_36">'NARM5 – ED2 actuals'!$AA$1145:$AE$1148</definedName>
    <definedName name="Other_Risk_Movements_Yr4_37">'NARM5 – ED2 actuals'!$AA$1177:$AE$1180</definedName>
    <definedName name="Other_Risk_Movements_Yr4_38">'NARM5 – ED2 actuals'!$AA$1209:$AE$1212</definedName>
    <definedName name="Other_Risk_Movements_Yr4_39">'NARM5 – ED2 actuals'!$AA$1241:$AE$1244</definedName>
    <definedName name="Other_Risk_Movements_Yr4_4">'NARM5 – ED2 actuals'!$AA$121:$AE$124</definedName>
    <definedName name="Other_Risk_Movements_Yr4_40">'NARM5 – ED2 actuals'!$AA$1273:$AE$1276</definedName>
    <definedName name="Other_Risk_Movements_Yr4_41">'NARM5 – ED2 actuals'!$AA$1305:$AE$1308</definedName>
    <definedName name="Other_Risk_Movements_Yr4_42">'NARM5 – ED2 actuals'!$AA$1337:$AE$1340</definedName>
    <definedName name="Other_Risk_Movements_Yr4_43">'NARM5 – ED2 actuals'!$AA$1369:$AE$1372</definedName>
    <definedName name="Other_Risk_Movements_Yr4_44">'NARM5 – ED2 actuals'!$AA$1401:$AE$1404</definedName>
    <definedName name="Other_Risk_Movements_Yr4_45">'NARM5 – ED2 actuals'!$AA$1433:$AE$1436</definedName>
    <definedName name="Other_Risk_Movements_Yr4_46">'NARM5 – ED2 actuals'!$AA$1465:$AE$1468</definedName>
    <definedName name="Other_Risk_Movements_Yr4_47">'NARM5 – ED2 actuals'!$AA$1497:$AE$1500</definedName>
    <definedName name="Other_Risk_Movements_Yr4_48">'NARM5 – ED2 actuals'!$AA$1529:$AE$1532</definedName>
    <definedName name="Other_Risk_Movements_Yr4_49">'NARM5 – ED2 actuals'!$AA$1561:$AE$1564</definedName>
    <definedName name="Other_Risk_Movements_Yr4_5">'NARM5 – ED2 actuals'!$AA$153:$AE$156</definedName>
    <definedName name="Other_Risk_Movements_Yr4_50">'NARM5 – ED2 actuals'!$AA$1593:$AE$1596</definedName>
    <definedName name="Other_Risk_Movements_Yr4_51">'NARM5 – ED2 actuals'!$AA$1625:$AE$1628</definedName>
    <definedName name="Other_Risk_Movements_Yr4_52">'NARM5 – ED2 actuals'!$AA$1657:$AE$1660</definedName>
    <definedName name="Other_Risk_Movements_Yr4_53">'NARM5 – ED2 actuals'!$AA$1689:$AE$1692</definedName>
    <definedName name="Other_Risk_Movements_Yr4_54">'NARM5 – ED2 actuals'!$AA$1721:$AE$1724</definedName>
    <definedName name="Other_Risk_Movements_Yr4_55">'NARM5 – ED2 actuals'!$AA$1753:$AE$1756</definedName>
    <definedName name="Other_Risk_Movements_Yr4_56">'NARM5 – ED2 actuals'!$AA$1785:$AE$1788</definedName>
    <definedName name="Other_Risk_Movements_Yr4_57">'NARM5 – ED2 actuals'!$AA$1817:$AE$1820</definedName>
    <definedName name="Other_Risk_Movements_Yr4_58">'NARM5 – ED2 actuals'!$AA$1849:$AE$1852</definedName>
    <definedName name="Other_Risk_Movements_Yr4_59">'NARM5 – ED2 actuals'!$AA$1881:$AE$1884</definedName>
    <definedName name="Other_Risk_Movements_Yr4_6">'NARM5 – ED2 actuals'!$AA$185:$AE$188</definedName>
    <definedName name="Other_Risk_Movements_Yr4_60">'NARM5 – ED2 actuals'!$AA$1913:$AE$1916</definedName>
    <definedName name="Other_Risk_Movements_Yr4_61">'NARM5 – ED2 actuals'!$AA$1945:$AE$1948</definedName>
    <definedName name="Other_Risk_Movements_Yr4_7">'NARM5 – ED2 actuals'!$AA$217:$AE$220</definedName>
    <definedName name="Other_Risk_Movements_Yr4_8">'NARM5 – ED2 actuals'!$AA$249:$AE$252</definedName>
    <definedName name="Other_Risk_Movements_Yr4_9">'NARM5 – ED2 actuals'!$AA$281:$AE$284</definedName>
    <definedName name="Other_Risk_Movements_Yr5_1">'NARM5 – ED2 actuals'!$AA$31:$AE$34</definedName>
    <definedName name="Other_Risk_Movements_Yr5_10">'NARM5 – ED2 actuals'!$AA$319:$AE$322</definedName>
    <definedName name="Other_Risk_Movements_Yr5_11">'NARM5 – ED2 actuals'!$AA$351:$AE$354</definedName>
    <definedName name="Other_Risk_Movements_Yr5_12">'NARM5 – ED2 actuals'!$AA$383:$AE$386</definedName>
    <definedName name="Other_Risk_Movements_Yr5_13">'NARM5 – ED2 actuals'!$AA$415:$AE$418</definedName>
    <definedName name="Other_Risk_Movements_Yr5_14">'NARM5 – ED2 actuals'!$AA$447:$AE$450</definedName>
    <definedName name="Other_Risk_Movements_Yr5_15">'NARM5 – ED2 actuals'!$AA$479:$AE$482</definedName>
    <definedName name="Other_Risk_Movements_Yr5_16">'NARM5 – ED2 actuals'!$AA$511:$AE$514</definedName>
    <definedName name="Other_Risk_Movements_Yr5_17">'NARM5 – ED2 actuals'!$AA$543:$AE$546</definedName>
    <definedName name="Other_Risk_Movements_Yr5_18">'NARM5 – ED2 actuals'!$AA$575:$AE$578</definedName>
    <definedName name="Other_Risk_Movements_Yr5_19">'NARM5 – ED2 actuals'!$AA$607:$AE$610</definedName>
    <definedName name="Other_Risk_Movements_Yr5_2">'NARM5 – ED2 actuals'!$AA$63:$AE$66</definedName>
    <definedName name="Other_Risk_Movements_Yr5_20">'NARM5 – ED2 actuals'!$AA$639:$AE$642</definedName>
    <definedName name="Other_Risk_Movements_Yr5_21">'NARM5 – ED2 actuals'!$AA$671:$AE$674</definedName>
    <definedName name="Other_Risk_Movements_Yr5_22">'NARM5 – ED2 actuals'!$AA$703:$AE$706</definedName>
    <definedName name="Other_Risk_Movements_Yr5_23">'NARM5 – ED2 actuals'!$AA$735:$AE$738</definedName>
    <definedName name="Other_Risk_Movements_Yr5_24">'NARM5 – ED2 actuals'!$AA$767:$AE$770</definedName>
    <definedName name="Other_Risk_Movements_Yr5_25">'NARM5 – ED2 actuals'!$AA$799:$AE$802</definedName>
    <definedName name="Other_Risk_Movements_Yr5_26">'NARM5 – ED2 actuals'!$AA$831:$AE$834</definedName>
    <definedName name="Other_Risk_Movements_Yr5_27">'NARM5 – ED2 actuals'!$AA$863:$AE$866</definedName>
    <definedName name="Other_Risk_Movements_Yr5_28">'NARM5 – ED2 actuals'!$AA$895:$AE$898</definedName>
    <definedName name="Other_Risk_Movements_Yr5_29">'NARM5 – ED2 actuals'!$AA$927:$AE$930</definedName>
    <definedName name="Other_Risk_Movements_Yr5_3">'NARM5 – ED2 actuals'!$AA$95:$AE$98</definedName>
    <definedName name="Other_Risk_Movements_Yr5_30">'NARM5 – ED2 actuals'!$AA$959:$AE$962</definedName>
    <definedName name="Other_Risk_Movements_Yr5_31">'NARM5 – ED2 actuals'!$AA$991:$AE$994</definedName>
    <definedName name="Other_Risk_Movements_Yr5_32">'NARM5 – ED2 actuals'!$AA$1023:$AE$1026</definedName>
    <definedName name="Other_Risk_Movements_Yr5_33">'NARM5 – ED2 actuals'!$AA$1055:$AE$1058</definedName>
    <definedName name="Other_Risk_Movements_Yr5_34">'NARM5 – ED2 actuals'!$AA$1087:$AE$1090</definedName>
    <definedName name="Other_Risk_Movements_Yr5_35">'NARM5 – ED2 actuals'!$AA$1119:$AE$1122</definedName>
    <definedName name="Other_Risk_Movements_Yr5_36">'NARM5 – ED2 actuals'!$AA$1151:$AE$1154</definedName>
    <definedName name="Other_Risk_Movements_Yr5_37">'NARM5 – ED2 actuals'!$AA$1183:$AE$1186</definedName>
    <definedName name="Other_Risk_Movements_Yr5_38">'NARM5 – ED2 actuals'!$AA$1215:$AE$1218</definedName>
    <definedName name="Other_Risk_Movements_Yr5_39">'NARM5 – ED2 actuals'!$AA$1247:$AE$1250</definedName>
    <definedName name="Other_Risk_Movements_Yr5_4">'NARM5 – ED2 actuals'!$AA$127:$AE$130</definedName>
    <definedName name="Other_Risk_Movements_Yr5_40">'NARM5 – ED2 actuals'!$AA$1279:$AE$1282</definedName>
    <definedName name="Other_Risk_Movements_Yr5_41">'NARM5 – ED2 actuals'!$AA$1311:$AE$1314</definedName>
    <definedName name="Other_Risk_Movements_Yr5_42">'NARM5 – ED2 actuals'!$AA$1343:$AE$1346</definedName>
    <definedName name="Other_Risk_Movements_Yr5_43">'NARM5 – ED2 actuals'!$AA$1375:$AE$1378</definedName>
    <definedName name="Other_Risk_Movements_Yr5_44">'NARM5 – ED2 actuals'!$AA$1407:$AE$1410</definedName>
    <definedName name="Other_Risk_Movements_Yr5_45">'NARM5 – ED2 actuals'!$AA$1439:$AE$1442</definedName>
    <definedName name="Other_Risk_Movements_Yr5_46">'NARM5 – ED2 actuals'!$AA$1471:$AE$1474</definedName>
    <definedName name="Other_Risk_Movements_Yr5_47">'NARM5 – ED2 actuals'!$AA$1503:$AE$1506</definedName>
    <definedName name="Other_Risk_Movements_Yr5_48">'NARM5 – ED2 actuals'!$AA$1535:$AE$1538</definedName>
    <definedName name="Other_Risk_Movements_Yr5_49">'NARM5 – ED2 actuals'!$AA$1567:$AE$1570</definedName>
    <definedName name="Other_Risk_Movements_Yr5_5">'NARM5 – ED2 actuals'!$AA$159:$AE$162</definedName>
    <definedName name="Other_Risk_Movements_Yr5_50">'NARM5 – ED2 actuals'!$AA$1599:$AE$1602</definedName>
    <definedName name="Other_Risk_Movements_Yr5_51">'NARM5 – ED2 actuals'!$AA$1631:$AE$1634</definedName>
    <definedName name="Other_Risk_Movements_Yr5_52">'NARM5 – ED2 actuals'!$AA$1663:$AE$1666</definedName>
    <definedName name="Other_Risk_Movements_Yr5_53">'NARM5 – ED2 actuals'!$AA$1695:$AE$1698</definedName>
    <definedName name="Other_Risk_Movements_Yr5_54">'NARM5 – ED2 actuals'!$AA$1727:$AE$1730</definedName>
    <definedName name="Other_Risk_Movements_Yr5_55">'NARM5 – ED2 actuals'!$AA$1759:$AE$1762</definedName>
    <definedName name="Other_Risk_Movements_Yr5_56">'NARM5 – ED2 actuals'!$AA$1791:$AE$1794</definedName>
    <definedName name="Other_Risk_Movements_Yr5_57">'NARM5 – ED2 actuals'!$AA$1823:$AE$1826</definedName>
    <definedName name="Other_Risk_Movements_Yr5_58">'NARM5 – ED2 actuals'!$AA$1855:$AE$1858</definedName>
    <definedName name="Other_Risk_Movements_Yr5_59">'NARM5 – ED2 actuals'!$AA$1887:$AE$1890</definedName>
    <definedName name="Other_Risk_Movements_Yr5_6">'NARM5 – ED2 actuals'!$AA$191:$AE$194</definedName>
    <definedName name="Other_Risk_Movements_Yr5_60">'NARM5 – ED2 actuals'!$AA$1919:$AE$1922</definedName>
    <definedName name="Other_Risk_Movements_Yr5_61">'NARM5 – ED2 actuals'!$AA$1951:$AE$1954</definedName>
    <definedName name="Other_Risk_Movements_Yr5_7">'NARM5 – ED2 actuals'!$AA$223:$AE$226</definedName>
    <definedName name="Other_Risk_Movements_Yr5_8">'NARM5 – ED2 actuals'!$AA$255:$AE$258</definedName>
    <definedName name="Other_Risk_Movements_Yr5_9">'NARM5 – ED2 actuals'!$AA$287:$AE$290</definedName>
    <definedName name="OtherRiskMovementsYr1">'NARM5 – ED2 actuals'!$AA$7:$AE$10</definedName>
    <definedName name="Pal_Workbook_GUID" localSheetId="2" hidden="1">"LJ9YVKRJVQ1A1KNUG7XIT5A9"</definedName>
    <definedName name="Pal_Workbook_GUID" localSheetId="3" hidden="1">"LJ9YVKRJVQ1A1KNUG7XIT5A9"</definedName>
    <definedName name="Pal_Workbook_GUID" localSheetId="4" hidden="1">"LJ9YVKRJVQ1A1KNUG7XIT5A9"</definedName>
    <definedName name="Pal_Workbook_GUID" localSheetId="1" hidden="1">"LJ9YVKRJVQ1A1KNUG7XIT5A9"</definedName>
    <definedName name="Pal_Workbook_GUID" hidden="1">"59T1UVKV2D22EPU7RCGZGNW9"</definedName>
    <definedName name="Pop" hidden="1">[8]Population!#REF!</definedName>
    <definedName name="Population" localSheetId="3" hidden="1">#REF!</definedName>
    <definedName name="Population" localSheetId="4" hidden="1">#REF!</definedName>
    <definedName name="Profiles" localSheetId="1" hidden="1">#REF!</definedName>
    <definedName name="Profiles" hidden="1">#REF!</definedName>
    <definedName name="Projections" hidden="1">#REF!</definedName>
    <definedName name="qs" localSheetId="2" hidden="1">{#N/A,#N/A,FALSE,"PRJCTED MNTHLY QTY's"}</definedName>
    <definedName name="qs" localSheetId="3" hidden="1">{#N/A,#N/A,FALSE,"PRJCTED MNTHLY QTY's"}</definedName>
    <definedName name="qs" localSheetId="4" hidden="1">{#N/A,#N/A,FALSE,"PRJCTED MNTHLY QTY's"}</definedName>
    <definedName name="qs" localSheetId="1" hidden="1">{#N/A,#N/A,FALSE,"PRJCTED MNTHLY QTY's"}</definedName>
    <definedName name="qs" hidden="1">{#N/A,#N/A,FALSE,"PRJCTED MNTHLY QTY's"}</definedName>
    <definedName name="Reinforcement_Yr1_1">'NARM5 – ED2 actuals'!$AV$7:$AZ$10</definedName>
    <definedName name="Reinforcement_Yr1_10">'NARM5 – ED2 actuals'!$AV$295:$AZ$298</definedName>
    <definedName name="Reinforcement_Yr1_11">'NARM5 – ED2 actuals'!$AV$327:$AZ$330</definedName>
    <definedName name="Reinforcement_Yr1_12">'NARM5 – ED2 actuals'!$AV$359:$AZ$362</definedName>
    <definedName name="Reinforcement_Yr1_13">'NARM5 – ED2 actuals'!$AV$391:$AZ$394</definedName>
    <definedName name="Reinforcement_Yr1_14">'NARM5 – ED2 actuals'!$AV$423:$AZ$426</definedName>
    <definedName name="Reinforcement_Yr1_15">'NARM5 – ED2 actuals'!$AV$455:$AZ$458</definedName>
    <definedName name="Reinforcement_Yr1_16">'NARM5 – ED2 actuals'!$AV$487:$AZ$490</definedName>
    <definedName name="Reinforcement_Yr1_17">'NARM5 – ED2 actuals'!$AV$519:$AZ$522</definedName>
    <definedName name="Reinforcement_Yr1_18">'NARM5 – ED2 actuals'!$AV$551:$AZ$554</definedName>
    <definedName name="Reinforcement_Yr1_19">'NARM5 – ED2 actuals'!$AV$583:$AZ$586</definedName>
    <definedName name="Reinforcement_Yr1_2">'NARM5 – ED2 actuals'!$AV$39:$AZ$42</definedName>
    <definedName name="Reinforcement_Yr1_20">'NARM5 – ED2 actuals'!$AV$615:$AZ$618</definedName>
    <definedName name="Reinforcement_Yr1_21">'NARM5 – ED2 actuals'!$AV$647:$AZ$650</definedName>
    <definedName name="Reinforcement_Yr1_22">'NARM5 – ED2 actuals'!$AV$679:$AZ$682</definedName>
    <definedName name="Reinforcement_Yr1_23">'NARM5 – ED2 actuals'!$AV$711:$AZ$714</definedName>
    <definedName name="Reinforcement_Yr1_24">'NARM5 – ED2 actuals'!$AV$743:$AZ$746</definedName>
    <definedName name="Reinforcement_Yr1_25">'NARM5 – ED2 actuals'!$AV$775:$AZ$778</definedName>
    <definedName name="Reinforcement_Yr1_26">'NARM5 – ED2 actuals'!$AV$807:$AZ$810</definedName>
    <definedName name="Reinforcement_Yr1_27">'NARM5 – ED2 actuals'!$AV$839:$AZ$842</definedName>
    <definedName name="Reinforcement_Yr1_28">'NARM5 – ED2 actuals'!$AV$871:$AZ$874</definedName>
    <definedName name="Reinforcement_Yr1_29">'NARM5 – ED2 actuals'!$AV$903:$AZ$906</definedName>
    <definedName name="Reinforcement_Yr1_3">'NARM5 – ED2 actuals'!$AV$71:$AZ$74</definedName>
    <definedName name="Reinforcement_Yr1_30">'NARM5 – ED2 actuals'!$AV$935:$AZ$938</definedName>
    <definedName name="Reinforcement_Yr1_31">'NARM5 – ED2 actuals'!$AV$967:$AZ$970</definedName>
    <definedName name="Reinforcement_Yr1_32">'NARM5 – ED2 actuals'!$AV$999:$AZ$1002</definedName>
    <definedName name="Reinforcement_Yr1_33">'NARM5 – ED2 actuals'!$AV$1031:$AZ$1034</definedName>
    <definedName name="Reinforcement_Yr1_34">'NARM5 – ED2 actuals'!$AV$1063:$AZ$1066</definedName>
    <definedName name="Reinforcement_Yr1_35">'NARM5 – ED2 actuals'!$AV$1095:$AZ$1098</definedName>
    <definedName name="Reinforcement_Yr1_36">'NARM5 – ED2 actuals'!$AV$1127:$AZ$1130</definedName>
    <definedName name="Reinforcement_Yr1_37">'NARM5 – ED2 actuals'!$AV$1159:$AZ$1162</definedName>
    <definedName name="Reinforcement_Yr1_38">'NARM5 – ED2 actuals'!$AV$1191:$AZ$1194</definedName>
    <definedName name="Reinforcement_Yr1_39">'NARM5 – ED2 actuals'!$AV$1223:$AZ$1226</definedName>
    <definedName name="Reinforcement_Yr1_4">'NARM5 – ED2 actuals'!$AV$103:$AZ$106</definedName>
    <definedName name="Reinforcement_Yr1_40">'NARM5 – ED2 actuals'!$AV$1255:$AZ$1258</definedName>
    <definedName name="Reinforcement_Yr1_41">'NARM5 – ED2 actuals'!$AV$1287:$AZ$1290</definedName>
    <definedName name="Reinforcement_Yr1_42">'NARM5 – ED2 actuals'!$AV$1319:$AZ$1322</definedName>
    <definedName name="Reinforcement_Yr1_43">'NARM5 – ED2 actuals'!$AV$1351:$AZ$1354</definedName>
    <definedName name="Reinforcement_Yr1_44">'NARM5 – ED2 actuals'!$AV$1383:$AZ$1386</definedName>
    <definedName name="Reinforcement_Yr1_45">'NARM5 – ED2 actuals'!$AV$1415:$AZ$1418</definedName>
    <definedName name="Reinforcement_Yr1_46">'NARM5 – ED2 actuals'!$AV$1447:$AZ$1450</definedName>
    <definedName name="Reinforcement_Yr1_47">'NARM5 – ED2 actuals'!$AV$1479:$AZ$1482</definedName>
    <definedName name="Reinforcement_Yr1_48">'NARM5 – ED2 actuals'!$AV$1511:$AZ$1514</definedName>
    <definedName name="Reinforcement_Yr1_49">'NARM5 – ED2 actuals'!$AV$1543:$AZ$1546</definedName>
    <definedName name="Reinforcement_Yr1_5">'NARM5 – ED2 actuals'!$AV$135:$AZ$138</definedName>
    <definedName name="Reinforcement_Yr1_50">'NARM5 – ED2 actuals'!$AV$1575:$AZ$1578</definedName>
    <definedName name="Reinforcement_Yr1_51">'NARM5 – ED2 actuals'!$AV$1607:$AZ$1610</definedName>
    <definedName name="Reinforcement_Yr1_52">'NARM5 – ED2 actuals'!$AV$1639:$AZ$1642</definedName>
    <definedName name="Reinforcement_Yr1_53">'NARM5 – ED2 actuals'!$AV$1671:$AZ$1674</definedName>
    <definedName name="Reinforcement_Yr1_54">'NARM5 – ED2 actuals'!$AV$1703:$AZ$1706</definedName>
    <definedName name="Reinforcement_Yr1_55">'NARM5 – ED2 actuals'!$AV$1735:$AZ$1738</definedName>
    <definedName name="Reinforcement_Yr1_56">'NARM5 – ED2 actuals'!$AV$1767:$AZ$1770</definedName>
    <definedName name="Reinforcement_Yr1_57">'NARM5 – ED2 actuals'!$AV$1799:$AZ$1802</definedName>
    <definedName name="Reinforcement_Yr1_58">'NARM5 – ED2 actuals'!$AV$1831:$AZ$1834</definedName>
    <definedName name="Reinforcement_Yr1_59">'NARM5 – ED2 actuals'!$AV$1863:$AZ$1866</definedName>
    <definedName name="Reinforcement_Yr1_6">'NARM5 – ED2 actuals'!$AV$167:$AZ$170</definedName>
    <definedName name="Reinforcement_Yr1_60">'NARM5 – ED2 actuals'!$AV$1895:$AZ$1898</definedName>
    <definedName name="Reinforcement_Yr1_61">'NARM5 – ED2 actuals'!$AV$1927:$AZ$1930</definedName>
    <definedName name="Reinforcement_Yr1_7">'NARM5 – ED2 actuals'!$AV$199:$AZ$202</definedName>
    <definedName name="Reinforcement_Yr1_8">'NARM5 – ED2 actuals'!$AV$231:$AZ$234</definedName>
    <definedName name="Reinforcement_Yr1_9">'NARM5 – ED2 actuals'!$AV$263:$AZ$266</definedName>
    <definedName name="Reinforcement_Yr2_1">'NARM5 – ED2 actuals'!$AV$13:$AZ$16</definedName>
    <definedName name="Reinforcement_Yr2_10">'NARM5 – ED2 actuals'!$AV$301:$AZ$304</definedName>
    <definedName name="Reinforcement_Yr2_11">'NARM5 – ED2 actuals'!$AV$333:$AZ$336</definedName>
    <definedName name="Reinforcement_Yr2_12">'NARM5 – ED2 actuals'!$AV$365:$AZ$368</definedName>
    <definedName name="Reinforcement_Yr2_13">'NARM5 – ED2 actuals'!$AV$397:$AZ$400</definedName>
    <definedName name="Reinforcement_Yr2_14">'NARM5 – ED2 actuals'!$AV$429:$AZ$432</definedName>
    <definedName name="Reinforcement_Yr2_15">'NARM5 – ED2 actuals'!$AV$461:$AZ$464</definedName>
    <definedName name="Reinforcement_Yr2_16">'NARM5 – ED2 actuals'!$AV$493:$AZ$496</definedName>
    <definedName name="Reinforcement_Yr2_17">'NARM5 – ED2 actuals'!$AV$525:$AZ$528</definedName>
    <definedName name="Reinforcement_Yr2_18">'NARM5 – ED2 actuals'!$AV$557:$AZ$560</definedName>
    <definedName name="Reinforcement_Yr2_19">'NARM5 – ED2 actuals'!$AV$589:$AZ$592</definedName>
    <definedName name="Reinforcement_Yr2_2">'NARM5 – ED2 actuals'!$AV$45:$AZ$48</definedName>
    <definedName name="Reinforcement_Yr2_20">'NARM5 – ED2 actuals'!$AV$621:$AZ$624</definedName>
    <definedName name="Reinforcement_Yr2_21">'NARM5 – ED2 actuals'!$AV$653:$AZ$656</definedName>
    <definedName name="Reinforcement_Yr2_22">'NARM5 – ED2 actuals'!$AV$685:$AZ$688</definedName>
    <definedName name="Reinforcement_Yr2_23">'NARM5 – ED2 actuals'!$AV$717:$AZ$720</definedName>
    <definedName name="Reinforcement_Yr2_24">'NARM5 – ED2 actuals'!$AV$749:$AZ$752</definedName>
    <definedName name="Reinforcement_Yr2_25">'NARM5 – ED2 actuals'!$AV$781:$AZ$784</definedName>
    <definedName name="Reinforcement_Yr2_26">'NARM5 – ED2 actuals'!$AV$813:$AZ$816</definedName>
    <definedName name="Reinforcement_Yr2_27">'NARM5 – ED2 actuals'!$AV$845:$AZ$848</definedName>
    <definedName name="Reinforcement_Yr2_28">'NARM5 – ED2 actuals'!$AV$877:$AZ$880</definedName>
    <definedName name="Reinforcement_Yr2_29">'NARM5 – ED2 actuals'!$AV$909:$AZ$912</definedName>
    <definedName name="Reinforcement_Yr2_3">'NARM5 – ED2 actuals'!$AV$77:$AZ$80</definedName>
    <definedName name="Reinforcement_Yr2_30">'NARM5 – ED2 actuals'!$AV$941:$AZ$944</definedName>
    <definedName name="Reinforcement_Yr2_31">'NARM5 – ED2 actuals'!$AV$973:$AZ$976</definedName>
    <definedName name="Reinforcement_Yr2_32">'NARM5 – ED2 actuals'!$AV$1005:$AZ$1008</definedName>
    <definedName name="Reinforcement_Yr2_33">'NARM5 – ED2 actuals'!$AV$1037:$AZ$1040</definedName>
    <definedName name="Reinforcement_Yr2_34">'NARM5 – ED2 actuals'!$AV$1069:$AZ$1072</definedName>
    <definedName name="Reinforcement_Yr2_35">'NARM5 – ED2 actuals'!$AV$1101:$AZ$1104</definedName>
    <definedName name="Reinforcement_Yr2_36">'NARM5 – ED2 actuals'!$AV$1133:$AZ$1136</definedName>
    <definedName name="Reinforcement_Yr2_37">'NARM5 – ED2 actuals'!$AV$1165:$AZ$1168</definedName>
    <definedName name="Reinforcement_Yr2_38">'NARM5 – ED2 actuals'!$AV$1197:$AZ$1200</definedName>
    <definedName name="Reinforcement_Yr2_39">'NARM5 – ED2 actuals'!$AV$1229:$AZ$1232</definedName>
    <definedName name="Reinforcement_Yr2_4">'NARM5 – ED2 actuals'!$AV$109:$AZ$112</definedName>
    <definedName name="Reinforcement_Yr2_40">'NARM5 – ED2 actuals'!$AV$1261:$AZ$1264</definedName>
    <definedName name="Reinforcement_Yr2_41">'NARM5 – ED2 actuals'!$AV$1293:$AZ$1296</definedName>
    <definedName name="Reinforcement_Yr2_42">'NARM5 – ED2 actuals'!$AV$1325:$AZ$1328</definedName>
    <definedName name="Reinforcement_Yr2_43">'NARM5 – ED2 actuals'!$AV$1357:$AZ$1360</definedName>
    <definedName name="Reinforcement_Yr2_44">'NARM5 – ED2 actuals'!$AV$1389:$AZ$1392</definedName>
    <definedName name="Reinforcement_Yr2_45">'NARM5 – ED2 actuals'!$AV$1421:$AZ$1424</definedName>
    <definedName name="Reinforcement_Yr2_46">'NARM5 – ED2 actuals'!$AV$1453:$AZ$1456</definedName>
    <definedName name="Reinforcement_Yr2_47">'NARM5 – ED2 actuals'!$AV$1485:$AZ$1488</definedName>
    <definedName name="Reinforcement_Yr2_48">'NARM5 – ED2 actuals'!$AV$1517:$AZ$1520</definedName>
    <definedName name="Reinforcement_Yr2_49">'NARM5 – ED2 actuals'!$AV$1549:$AZ$1552</definedName>
    <definedName name="Reinforcement_Yr2_5">'NARM5 – ED2 actuals'!$AV$141:$AZ$144</definedName>
    <definedName name="Reinforcement_Yr2_50">'NARM5 – ED2 actuals'!$AV$1581:$AZ$1584</definedName>
    <definedName name="Reinforcement_Yr2_51">'NARM5 – ED2 actuals'!$AV$1613:$AZ$1616</definedName>
    <definedName name="Reinforcement_Yr2_52">'NARM5 – ED2 actuals'!$AV$1645:$AZ$1648</definedName>
    <definedName name="Reinforcement_Yr2_53">'NARM5 – ED2 actuals'!$AV$1677:$AZ$1680</definedName>
    <definedName name="Reinforcement_Yr2_54">'NARM5 – ED2 actuals'!$AV$1709:$AZ$1712</definedName>
    <definedName name="Reinforcement_Yr2_55">'NARM5 – ED2 actuals'!$AV$1741:$AZ$1744</definedName>
    <definedName name="Reinforcement_Yr2_56">'NARM5 – ED2 actuals'!$AV$1773:$AZ$1776</definedName>
    <definedName name="Reinforcement_Yr2_57">'NARM5 – ED2 actuals'!$AV$1805:$AZ$1808</definedName>
    <definedName name="Reinforcement_Yr2_58">'NARM5 – ED2 actuals'!$AV$1837:$AZ$1840</definedName>
    <definedName name="Reinforcement_Yr2_59">'NARM5 – ED2 actuals'!$AV$1869:$AZ$1872</definedName>
    <definedName name="Reinforcement_Yr2_6">'NARM5 – ED2 actuals'!$AV$173:$AZ$176</definedName>
    <definedName name="Reinforcement_Yr2_60">'NARM5 – ED2 actuals'!$AV$1901:$AZ$1904</definedName>
    <definedName name="Reinforcement_Yr2_61">'NARM5 – ED2 actuals'!$AV$1933:$AZ$1936</definedName>
    <definedName name="Reinforcement_Yr2_7">'NARM5 – ED2 actuals'!$AV$205:$AZ$208</definedName>
    <definedName name="Reinforcement_Yr2_8">'NARM5 – ED2 actuals'!$AV$237:$AZ$240</definedName>
    <definedName name="Reinforcement_Yr2_9">'NARM5 – ED2 actuals'!$AV$269:$AZ$272</definedName>
    <definedName name="Reinforcement_Yr3_1">'NARM5 – ED2 actuals'!$AV$19:$AZ$22</definedName>
    <definedName name="Reinforcement_Yr3_10">'NARM5 – ED2 actuals'!$AV$307:$AZ$310</definedName>
    <definedName name="Reinforcement_Yr3_11">'NARM5 – ED2 actuals'!$AV$339:$AZ$342</definedName>
    <definedName name="Reinforcement_Yr3_12">'NARM5 – ED2 actuals'!$AV$371:$AZ$374</definedName>
    <definedName name="Reinforcement_Yr3_13">'NARM5 – ED2 actuals'!$AV$403:$AZ$406</definedName>
    <definedName name="Reinforcement_Yr3_14">'NARM5 – ED2 actuals'!$AV$435:$AZ$438</definedName>
    <definedName name="Reinforcement_Yr3_15">'NARM5 – ED2 actuals'!$AV$467:$AZ$470</definedName>
    <definedName name="Reinforcement_Yr3_16">'NARM5 – ED2 actuals'!$AV$499:$AZ$502</definedName>
    <definedName name="Reinforcement_Yr3_17">'NARM5 – ED2 actuals'!$AV$531:$AZ$534</definedName>
    <definedName name="Reinforcement_Yr3_18">'NARM5 – ED2 actuals'!$AV$563:$AZ$566</definedName>
    <definedName name="Reinforcement_Yr3_19">'NARM5 – ED2 actuals'!$AV$595:$AZ$598</definedName>
    <definedName name="Reinforcement_Yr3_2">'NARM5 – ED2 actuals'!$AV$51:$AZ$54</definedName>
    <definedName name="Reinforcement_Yr3_20">'NARM5 – ED2 actuals'!$AV$627:$AZ$630</definedName>
    <definedName name="Reinforcement_Yr3_21">'NARM5 – ED2 actuals'!$AV$659:$AZ$662</definedName>
    <definedName name="Reinforcement_Yr3_22">'NARM5 – ED2 actuals'!$AV$691:$AZ$694</definedName>
    <definedName name="Reinforcement_Yr3_23">'NARM5 – ED2 actuals'!$AV$723:$AZ$726</definedName>
    <definedName name="Reinforcement_Yr3_24">'NARM5 – ED2 actuals'!$AV$755:$AZ$758</definedName>
    <definedName name="Reinforcement_Yr3_25">'NARM5 – ED2 actuals'!$AV$787:$AZ$790</definedName>
    <definedName name="Reinforcement_Yr3_26">'NARM5 – ED2 actuals'!$AV$819:$AZ$822</definedName>
    <definedName name="Reinforcement_Yr3_27">'NARM5 – ED2 actuals'!$AV$851:$AZ$854</definedName>
    <definedName name="Reinforcement_Yr3_28">'NARM5 – ED2 actuals'!$AV$883:$AZ$886</definedName>
    <definedName name="Reinforcement_Yr3_29">'NARM5 – ED2 actuals'!$AV$915:$AZ$918</definedName>
    <definedName name="Reinforcement_Yr3_3">'NARM5 – ED2 actuals'!$AV$83:$AZ$86</definedName>
    <definedName name="Reinforcement_Yr3_30">'NARM5 – ED2 actuals'!$AV$947:$AZ$950</definedName>
    <definedName name="Reinforcement_Yr3_31">'NARM5 – ED2 actuals'!$AV$979:$AZ$982</definedName>
    <definedName name="Reinforcement_Yr3_32">'NARM5 – ED2 actuals'!$AV$1011:$AZ$1014</definedName>
    <definedName name="Reinforcement_Yr3_33">'NARM5 – ED2 actuals'!$AV$1043:$AZ$1046</definedName>
    <definedName name="Reinforcement_Yr3_34">'NARM5 – ED2 actuals'!$AV$1075:$AZ$1078</definedName>
    <definedName name="Reinforcement_Yr3_35">'NARM5 – ED2 actuals'!$AV$1107:$AZ$1110</definedName>
    <definedName name="Reinforcement_Yr3_36">'NARM5 – ED2 actuals'!$AV$1139:$AZ$1142</definedName>
    <definedName name="Reinforcement_Yr3_37">'NARM5 – ED2 actuals'!$AV$1171:$AZ$1174</definedName>
    <definedName name="Reinforcement_Yr3_38">'NARM5 – ED2 actuals'!$AV$1203:$AZ$1206</definedName>
    <definedName name="Reinforcement_Yr3_39">'NARM5 – ED2 actuals'!$AV$1235:$AZ$1238</definedName>
    <definedName name="Reinforcement_Yr3_4">'NARM5 – ED2 actuals'!$AV$115:$AZ$118</definedName>
    <definedName name="Reinforcement_Yr3_40">'NARM5 – ED2 actuals'!$AV$1267:$AZ$1270</definedName>
    <definedName name="Reinforcement_Yr3_41">'NARM5 – ED2 actuals'!$AV$1299:$AZ$1302</definedName>
    <definedName name="Reinforcement_Yr3_42">'NARM5 – ED2 actuals'!$AV$1331:$AZ$1334</definedName>
    <definedName name="Reinforcement_Yr3_43">'NARM5 – ED2 actuals'!$AV$1363:$AZ$1366</definedName>
    <definedName name="Reinforcement_Yr3_44">'NARM5 – ED2 actuals'!$AV$1395:$AZ$1398</definedName>
    <definedName name="Reinforcement_Yr3_45">'NARM5 – ED2 actuals'!$AV$1427:$AZ$1430</definedName>
    <definedName name="Reinforcement_Yr3_46">'NARM5 – ED2 actuals'!$AV$1459:$AZ$1462</definedName>
    <definedName name="Reinforcement_Yr3_47">'NARM5 – ED2 actuals'!$AV$1491:$AZ$1494</definedName>
    <definedName name="Reinforcement_Yr3_48">'NARM5 – ED2 actuals'!$AV$1523:$AZ$1526</definedName>
    <definedName name="Reinforcement_Yr3_49">'NARM5 – ED2 actuals'!$AV$1555:$AZ$1558</definedName>
    <definedName name="Reinforcement_Yr3_5">'NARM5 – ED2 actuals'!$AV$147:$AZ$150</definedName>
    <definedName name="Reinforcement_Yr3_50">'NARM5 – ED2 actuals'!$AV$1587:$AZ$1590</definedName>
    <definedName name="Reinforcement_Yr3_51">'NARM5 – ED2 actuals'!$AV$1619:$AZ$1622</definedName>
    <definedName name="Reinforcement_Yr3_52">'NARM5 – ED2 actuals'!$AV$1651:$AZ$1654</definedName>
    <definedName name="Reinforcement_Yr3_53">'NARM5 – ED2 actuals'!$AV$1683:$AZ$1686</definedName>
    <definedName name="Reinforcement_Yr3_54">'NARM5 – ED2 actuals'!$AV$1715:$AZ$1718</definedName>
    <definedName name="Reinforcement_Yr3_55">'NARM5 – ED2 actuals'!$AV$1747:$AZ$1750</definedName>
    <definedName name="Reinforcement_Yr3_56">'NARM5 – ED2 actuals'!$AV$1779:$AZ$1782</definedName>
    <definedName name="Reinforcement_Yr3_57">'NARM5 – ED2 actuals'!$AV$1811:$AZ$1814</definedName>
    <definedName name="Reinforcement_Yr3_58">'NARM5 – ED2 actuals'!$AV$1843:$AZ$1846</definedName>
    <definedName name="Reinforcement_Yr3_59">'NARM5 – ED2 actuals'!$AV$1875:$AZ$1878</definedName>
    <definedName name="Reinforcement_Yr3_6">'NARM5 – ED2 actuals'!$AV$179:$AZ$182</definedName>
    <definedName name="Reinforcement_Yr3_60">'NARM5 – ED2 actuals'!$AV$1907:$AZ$1910</definedName>
    <definedName name="Reinforcement_Yr3_61">'NARM5 – ED2 actuals'!$AV$1939:$AZ$1942</definedName>
    <definedName name="Reinforcement_Yr3_7">'NARM5 – ED2 actuals'!$AV$211:$AZ$214</definedName>
    <definedName name="Reinforcement_Yr3_8">'NARM5 – ED2 actuals'!$AV$243:$AZ$246</definedName>
    <definedName name="Reinforcement_Yr3_9">'NARM5 – ED2 actuals'!$AV$275:$AZ$278</definedName>
    <definedName name="Reinforcement_Yr4_1">'NARM5 – ED2 actuals'!$AV$25:$AZ$28</definedName>
    <definedName name="Reinforcement_Yr4_10">'NARM5 – ED2 actuals'!$AV$313:$AZ$316</definedName>
    <definedName name="Reinforcement_Yr4_11">'NARM5 – ED2 actuals'!$AV$345:$AZ$348</definedName>
    <definedName name="Reinforcement_Yr4_12">'NARM5 – ED2 actuals'!$AV$377:$AZ$380</definedName>
    <definedName name="Reinforcement_Yr4_13">'NARM5 – ED2 actuals'!$AV$409:$AZ$412</definedName>
    <definedName name="Reinforcement_Yr4_14">'NARM5 – ED2 actuals'!$AV$441:$AZ$444</definedName>
    <definedName name="Reinforcement_Yr4_15">'NARM5 – ED2 actuals'!$AV$473:$AZ$476</definedName>
    <definedName name="Reinforcement_Yr4_16">'NARM5 – ED2 actuals'!$AV$505:$AZ$508</definedName>
    <definedName name="Reinforcement_Yr4_17">'NARM5 – ED2 actuals'!$AV$537:$AZ$540</definedName>
    <definedName name="Reinforcement_Yr4_18">'NARM5 – ED2 actuals'!$AV$569:$AZ$572</definedName>
    <definedName name="Reinforcement_Yr4_19">'NARM5 – ED2 actuals'!$AV$601:$AZ$604</definedName>
    <definedName name="Reinforcement_Yr4_2">'NARM5 – ED2 actuals'!$AV$57:$AZ$60</definedName>
    <definedName name="Reinforcement_Yr4_20">'NARM5 – ED2 actuals'!$AV$633:$AZ$636</definedName>
    <definedName name="Reinforcement_Yr4_21">'NARM5 – ED2 actuals'!$AV$665:$AZ$668</definedName>
    <definedName name="Reinforcement_Yr4_22">'NARM5 – ED2 actuals'!$AV$697:$AZ$700</definedName>
    <definedName name="Reinforcement_Yr4_23">'NARM5 – ED2 actuals'!$AV$729:$AZ$732</definedName>
    <definedName name="Reinforcement_Yr4_24">'NARM5 – ED2 actuals'!$AV$761:$AZ$764</definedName>
    <definedName name="Reinforcement_Yr4_25">'NARM5 – ED2 actuals'!$AV$793:$AZ$796</definedName>
    <definedName name="Reinforcement_Yr4_26">'NARM5 – ED2 actuals'!$AV$825:$AZ$828</definedName>
    <definedName name="Reinforcement_Yr4_27">'NARM5 – ED2 actuals'!$AV$857:$AZ$860</definedName>
    <definedName name="Reinforcement_Yr4_28">'NARM5 – ED2 actuals'!$AV$889:$AZ$892</definedName>
    <definedName name="Reinforcement_Yr4_29">'NARM5 – ED2 actuals'!$AV$921:$AZ$924</definedName>
    <definedName name="Reinforcement_Yr4_3">'NARM5 – ED2 actuals'!$AV$89:$AZ$92</definedName>
    <definedName name="Reinforcement_Yr4_30">'NARM5 – ED2 actuals'!$AV$953:$AZ$956</definedName>
    <definedName name="Reinforcement_Yr4_31">'NARM5 – ED2 actuals'!$AV$985:$AZ$988</definedName>
    <definedName name="Reinforcement_Yr4_32">'NARM5 – ED2 actuals'!$AV$1017:$AZ$1020</definedName>
    <definedName name="Reinforcement_Yr4_33">'NARM5 – ED2 actuals'!$AV$1049:$AZ$1052</definedName>
    <definedName name="Reinforcement_Yr4_34">'NARM5 – ED2 actuals'!$AV$1081:$AZ$1084</definedName>
    <definedName name="Reinforcement_Yr4_35">'NARM5 – ED2 actuals'!$AV$1113:$AZ$1116</definedName>
    <definedName name="Reinforcement_Yr4_36">'NARM5 – ED2 actuals'!$AV$1145:$AZ$1148</definedName>
    <definedName name="Reinforcement_Yr4_37">'NARM5 – ED2 actuals'!$AV$1177:$AZ$1180</definedName>
    <definedName name="Reinforcement_Yr4_38">'NARM5 – ED2 actuals'!$AV$1209:$AZ$1212</definedName>
    <definedName name="Reinforcement_Yr4_39">'NARM5 – ED2 actuals'!$AV$1241:$AZ$1244</definedName>
    <definedName name="Reinforcement_Yr4_4">'NARM5 – ED2 actuals'!$AV$121:$AZ$124</definedName>
    <definedName name="Reinforcement_Yr4_40">'NARM5 – ED2 actuals'!$AV$1273:$AZ$1276</definedName>
    <definedName name="Reinforcement_Yr4_41">'NARM5 – ED2 actuals'!$AV$1305:$AZ$1308</definedName>
    <definedName name="Reinforcement_Yr4_42">'NARM5 – ED2 actuals'!$AV$1337:$AZ$1340</definedName>
    <definedName name="Reinforcement_Yr4_43">'NARM5 – ED2 actuals'!$AV$1369:$AZ$1372</definedName>
    <definedName name="Reinforcement_Yr4_44">'NARM5 – ED2 actuals'!$AV$1401:$AZ$1404</definedName>
    <definedName name="Reinforcement_Yr4_45">'NARM5 – ED2 actuals'!$AV$1433:$AZ$1436</definedName>
    <definedName name="Reinforcement_Yr4_46">'NARM5 – ED2 actuals'!$AV$1465:$AZ$1468</definedName>
    <definedName name="Reinforcement_Yr4_47">'NARM5 – ED2 actuals'!$AV$1497:$AZ$1500</definedName>
    <definedName name="Reinforcement_Yr4_48">'NARM5 – ED2 actuals'!$AV$1529:$AZ$1532</definedName>
    <definedName name="Reinforcement_Yr4_49">'NARM5 – ED2 actuals'!$AV$1561:$AZ$1564</definedName>
    <definedName name="Reinforcement_Yr4_5">'NARM5 – ED2 actuals'!$AV$153:$AZ$156</definedName>
    <definedName name="Reinforcement_Yr4_50">'NARM5 – ED2 actuals'!$AV$1593:$AZ$1596</definedName>
    <definedName name="Reinforcement_Yr4_51">'NARM5 – ED2 actuals'!$AV$1625:$AZ$1628</definedName>
    <definedName name="Reinforcement_Yr4_52">'NARM5 – ED2 actuals'!$AV$1657:$AZ$1660</definedName>
    <definedName name="Reinforcement_Yr4_53">'NARM5 – ED2 actuals'!$AV$1689:$AZ$1692</definedName>
    <definedName name="Reinforcement_Yr4_54">'NARM5 – ED2 actuals'!$AV$1721:$AZ$1724</definedName>
    <definedName name="Reinforcement_Yr4_55">'NARM5 – ED2 actuals'!$AV$1753:$AZ$1756</definedName>
    <definedName name="Reinforcement_Yr4_56">'NARM5 – ED2 actuals'!$AV$1785:$AZ$1788</definedName>
    <definedName name="Reinforcement_Yr4_57">'NARM5 – ED2 actuals'!$AV$1817:$AZ$1820</definedName>
    <definedName name="Reinforcement_Yr4_58">'NARM5 – ED2 actuals'!$AV$1849:$AZ$1852</definedName>
    <definedName name="Reinforcement_Yr4_59">'NARM5 – ED2 actuals'!$AV$1881:$AZ$1884</definedName>
    <definedName name="Reinforcement_Yr4_6">'NARM5 – ED2 actuals'!$AV$185:$AZ$188</definedName>
    <definedName name="Reinforcement_Yr4_60">'NARM5 – ED2 actuals'!$AV$1913:$AZ$1916</definedName>
    <definedName name="Reinforcement_Yr4_61">'NARM5 – ED2 actuals'!$AV$1945:$AZ$1948</definedName>
    <definedName name="Reinforcement_Yr4_7">'NARM5 – ED2 actuals'!$AV$217:$AZ$220</definedName>
    <definedName name="Reinforcement_Yr4_8">'NARM5 – ED2 actuals'!$AV$249:$AZ$252</definedName>
    <definedName name="Reinforcement_Yr4_9">'NARM5 – ED2 actuals'!$AV$281:$AZ$284</definedName>
    <definedName name="Reinforcement_Yr5_1">'NARM5 – ED2 actuals'!$AV$31:$AZ$34</definedName>
    <definedName name="Reinforcement_Yr5_10">'NARM5 – ED2 actuals'!$AV$319:$AZ$322</definedName>
    <definedName name="Reinforcement_Yr5_11">'NARM5 – ED2 actuals'!$AV$351:$AZ$354</definedName>
    <definedName name="Reinforcement_Yr5_12">'NARM5 – ED2 actuals'!$AV$383:$AZ$386</definedName>
    <definedName name="Reinforcement_Yr5_13">'NARM5 – ED2 actuals'!$AV$415:$AZ$418</definedName>
    <definedName name="Reinforcement_Yr5_14">'NARM5 – ED2 actuals'!$AV$447:$AZ$450</definedName>
    <definedName name="Reinforcement_Yr5_15">'NARM5 – ED2 actuals'!$AV$479:$AZ$482</definedName>
    <definedName name="Reinforcement_Yr5_16">'NARM5 – ED2 actuals'!$AV$511:$AZ$514</definedName>
    <definedName name="Reinforcement_Yr5_17">'NARM5 – ED2 actuals'!$AV$543:$AZ$546</definedName>
    <definedName name="Reinforcement_Yr5_18">'NARM5 – ED2 actuals'!$AV$575:$AZ$578</definedName>
    <definedName name="Reinforcement_Yr5_19">'NARM5 – ED2 actuals'!$AV$607:$AZ$610</definedName>
    <definedName name="Reinforcement_Yr5_2">'NARM5 – ED2 actuals'!$AV$63:$AZ$66</definedName>
    <definedName name="Reinforcement_Yr5_20">'NARM5 – ED2 actuals'!$AV$639:$AZ$642</definedName>
    <definedName name="Reinforcement_Yr5_21">'NARM5 – ED2 actuals'!$AV$671:$AZ$674</definedName>
    <definedName name="Reinforcement_Yr5_22">'NARM5 – ED2 actuals'!$AV$703:$AZ$706</definedName>
    <definedName name="Reinforcement_Yr5_23">'NARM5 – ED2 actuals'!$AV$735:$AZ$738</definedName>
    <definedName name="Reinforcement_Yr5_24">'NARM5 – ED2 actuals'!$AV$767:$AZ$770</definedName>
    <definedName name="Reinforcement_Yr5_25">'NARM5 – ED2 actuals'!$AV$799:$AZ$802</definedName>
    <definedName name="Reinforcement_Yr5_26">'NARM5 – ED2 actuals'!$AV$831:$AZ$834</definedName>
    <definedName name="Reinforcement_Yr5_27">'NARM5 – ED2 actuals'!$AV$863:$AZ$866</definedName>
    <definedName name="Reinforcement_Yr5_28">'NARM5 – ED2 actuals'!$AV$895:$AZ$898</definedName>
    <definedName name="Reinforcement_Yr5_29">'NARM5 – ED2 actuals'!$AV$927:$AZ$930</definedName>
    <definedName name="Reinforcement_Yr5_3">'NARM5 – ED2 actuals'!$AV$95:$AZ$98</definedName>
    <definedName name="Reinforcement_Yr5_30">'NARM5 – ED2 actuals'!$AV$959:$AZ$962</definedName>
    <definedName name="Reinforcement_Yr5_31">'NARM5 – ED2 actuals'!$AV$991:$AZ$994</definedName>
    <definedName name="Reinforcement_Yr5_32">'NARM5 – ED2 actuals'!$AV$1023:$AZ$1026</definedName>
    <definedName name="Reinforcement_Yr5_33">'NARM5 – ED2 actuals'!$AV$1055:$AZ$1058</definedName>
    <definedName name="Reinforcement_Yr5_34">'NARM5 – ED2 actuals'!$AV$1087:$AZ$1090</definedName>
    <definedName name="Reinforcement_Yr5_35">'NARM5 – ED2 actuals'!$AV$1119:$AZ$1122</definedName>
    <definedName name="Reinforcement_Yr5_36">'NARM5 – ED2 actuals'!$AV$1151:$AZ$1154</definedName>
    <definedName name="Reinforcement_Yr5_37">'NARM5 – ED2 actuals'!$AV$1183:$AZ$1186</definedName>
    <definedName name="Reinforcement_Yr5_38">'NARM5 – ED2 actuals'!$AV$1215:$AZ$1218</definedName>
    <definedName name="Reinforcement_Yr5_39">'NARM5 – ED2 actuals'!$AV$1247:$AZ$1250</definedName>
    <definedName name="Reinforcement_Yr5_4">'NARM5 – ED2 actuals'!$AV$127:$AZ$130</definedName>
    <definedName name="Reinforcement_Yr5_40">'NARM5 – ED2 actuals'!$AV$1279:$AZ$1282</definedName>
    <definedName name="Reinforcement_Yr5_41">'NARM5 – ED2 actuals'!$AV$1311:$AZ$1314</definedName>
    <definedName name="Reinforcement_Yr5_42">'NARM5 – ED2 actuals'!$AV$1343:$AZ$1346</definedName>
    <definedName name="Reinforcement_Yr5_43">'NARM5 – ED2 actuals'!$AV$1375:$AZ$1378</definedName>
    <definedName name="Reinforcement_Yr5_44">'NARM5 – ED2 actuals'!$AV$1407:$AZ$1410</definedName>
    <definedName name="Reinforcement_Yr5_45">'NARM5 – ED2 actuals'!$AV$1439:$AZ$1442</definedName>
    <definedName name="Reinforcement_Yr5_46">'NARM5 – ED2 actuals'!$AV$1471:$AZ$1474</definedName>
    <definedName name="Reinforcement_Yr5_47">'NARM5 – ED2 actuals'!$AV$1503:$AZ$1506</definedName>
    <definedName name="Reinforcement_Yr5_48">'NARM5 – ED2 actuals'!$AV$1535:$AZ$1538</definedName>
    <definedName name="Reinforcement_Yr5_49">'NARM5 – ED2 actuals'!$AV$1567:$AZ$1570</definedName>
    <definedName name="Reinforcement_Yr5_5">'NARM5 – ED2 actuals'!$AV$159:$AZ$162</definedName>
    <definedName name="Reinforcement_Yr5_50">'NARM5 – ED2 actuals'!$AV$1599:$AZ$1602</definedName>
    <definedName name="Reinforcement_Yr5_51">'NARM5 – ED2 actuals'!$AV$1631:$AZ$1634</definedName>
    <definedName name="Reinforcement_Yr5_52">'NARM5 – ED2 actuals'!$AV$1663:$AZ$1666</definedName>
    <definedName name="Reinforcement_Yr5_53">'NARM5 – ED2 actuals'!$AV$1695:$AZ$1698</definedName>
    <definedName name="Reinforcement_Yr5_54">'NARM5 – ED2 actuals'!$AV$1727:$AZ$1730</definedName>
    <definedName name="Reinforcement_Yr5_55">'NARM5 – ED2 actuals'!$AV$1759:$AZ$1762</definedName>
    <definedName name="Reinforcement_Yr5_56">'NARM5 – ED2 actuals'!$AV$1791:$AZ$1794</definedName>
    <definedName name="Reinforcement_Yr5_57">'NARM5 – ED2 actuals'!$AV$1823:$AZ$1826</definedName>
    <definedName name="Reinforcement_Yr5_58">'NARM5 – ED2 actuals'!$AV$1855:$AZ$1858</definedName>
    <definedName name="Reinforcement_Yr5_59">'NARM5 – ED2 actuals'!$AV$1887:$AZ$1890</definedName>
    <definedName name="Reinforcement_Yr5_6">'NARM5 – ED2 actuals'!$AV$191:$AZ$194</definedName>
    <definedName name="Reinforcement_Yr5_60">'NARM5 – ED2 actuals'!$AV$1919:$AZ$1922</definedName>
    <definedName name="Reinforcement_Yr5_61">'NARM5 – ED2 actuals'!$AV$1951:$AZ$1954</definedName>
    <definedName name="Reinforcement_Yr5_7">'NARM5 – ED2 actuals'!$AV$223:$AZ$226</definedName>
    <definedName name="Reinforcement_Yr5_8">'NARM5 – ED2 actuals'!$AV$255:$AZ$258</definedName>
    <definedName name="Reinforcement_Yr5_9">'NARM5 – ED2 actuals'!$AV$287:$AZ$290</definedName>
    <definedName name="Results" hidden="1">[9]UK99!$A$1:$A$1</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tart_of_Year_Yr1_1">'NARM5 – ED2 actuals'!$F$7:$J$10</definedName>
    <definedName name="Start_of_Year_Yr1_10">'NARM5 – ED2 actuals'!$F$295:$J$298</definedName>
    <definedName name="Start_of_Year_Yr1_11">'NARM5 – ED2 actuals'!$F$327:$J$330</definedName>
    <definedName name="Start_of_Year_Yr1_12">'NARM5 – ED2 actuals'!$F$359:$J$362</definedName>
    <definedName name="Start_of_Year_Yr1_13">'NARM5 – ED2 actuals'!$F$391:$J$394</definedName>
    <definedName name="Start_of_Year_Yr1_14">'NARM5 – ED2 actuals'!$F$423:$J$426</definedName>
    <definedName name="Start_of_Year_Yr1_15">'NARM5 – ED2 actuals'!$F$455:$J$458</definedName>
    <definedName name="Start_of_Year_Yr1_16">'NARM5 – ED2 actuals'!$F$487:$J$490</definedName>
    <definedName name="Start_of_Year_Yr1_17">'NARM5 – ED2 actuals'!$F$519:$J$522</definedName>
    <definedName name="Start_of_Year_Yr1_18">'NARM5 – ED2 actuals'!$F$551:$J$554</definedName>
    <definedName name="Start_of_Year_Yr1_19">'NARM5 – ED2 actuals'!$F$583:$J$586</definedName>
    <definedName name="Start_of_Year_Yr1_2">'NARM5 – ED2 actuals'!$F$39:$J$42</definedName>
    <definedName name="Start_of_Year_Yr1_20">'NARM5 – ED2 actuals'!$F$615:$J$618</definedName>
    <definedName name="Start_of_Year_Yr1_21">'NARM5 – ED2 actuals'!$F$647:$J$650</definedName>
    <definedName name="Start_of_Year_Yr1_22">'NARM5 – ED2 actuals'!$F$679:$J$682</definedName>
    <definedName name="Start_of_Year_Yr1_23">'NARM5 – ED2 actuals'!$F$711:$J$714</definedName>
    <definedName name="Start_of_Year_Yr1_24">'NARM5 – ED2 actuals'!$F$743:$J$746</definedName>
    <definedName name="Start_of_Year_Yr1_25">'NARM5 – ED2 actuals'!$F$775:$J$778</definedName>
    <definedName name="Start_of_Year_Yr1_26">'NARM5 – ED2 actuals'!$F$807:$J$810</definedName>
    <definedName name="Start_of_Year_Yr1_27">'NARM5 – ED2 actuals'!$F$839:$J$842</definedName>
    <definedName name="Start_of_Year_Yr1_28">'NARM5 – ED2 actuals'!$F$871:$J$874</definedName>
    <definedName name="Start_of_Year_Yr1_29">'NARM5 – ED2 actuals'!$F$903:$J$906</definedName>
    <definedName name="Start_of_Year_Yr1_3">'NARM5 – ED2 actuals'!$F$71:$J$74</definedName>
    <definedName name="Start_of_Year_Yr1_30">'NARM5 – ED2 actuals'!$F$935:$J$938</definedName>
    <definedName name="Start_of_Year_Yr1_31">'NARM5 – ED2 actuals'!$F$967:$J$970</definedName>
    <definedName name="Start_of_Year_Yr1_32">'NARM5 – ED2 actuals'!$F$999:$J$1002</definedName>
    <definedName name="Start_of_Year_Yr1_33">'NARM5 – ED2 actuals'!$F$1031:$J$1034</definedName>
    <definedName name="Start_of_Year_Yr1_34">'NARM5 – ED2 actuals'!$F$1063:$J$1066</definedName>
    <definedName name="Start_of_Year_Yr1_35">'NARM5 – ED2 actuals'!$F$1095:$J$1098</definedName>
    <definedName name="Start_of_Year_Yr1_36">'NARM5 – ED2 actuals'!$F$1127:$J$1130</definedName>
    <definedName name="Start_of_Year_Yr1_37">'NARM5 – ED2 actuals'!$F$1159:$J$1162</definedName>
    <definedName name="Start_of_Year_Yr1_38">'NARM5 – ED2 actuals'!$F$1191:$J$1194</definedName>
    <definedName name="Start_of_Year_Yr1_39">'NARM5 – ED2 actuals'!$F$1223:$J$1226</definedName>
    <definedName name="Start_of_Year_Yr1_4">'NARM5 – ED2 actuals'!$F$103:$J$106</definedName>
    <definedName name="Start_of_Year_Yr1_40">'NARM5 – ED2 actuals'!$F$1255:$J$1258</definedName>
    <definedName name="Start_of_Year_Yr1_41">'NARM5 – ED2 actuals'!$F$1287:$J$1290</definedName>
    <definedName name="Start_of_Year_Yr1_42">'NARM5 – ED2 actuals'!$F$1319:$J$1322</definedName>
    <definedName name="Start_of_Year_Yr1_43">'NARM5 – ED2 actuals'!$F$1351:$J$1354</definedName>
    <definedName name="Start_of_Year_Yr1_44">'NARM5 – ED2 actuals'!$F$1383:$J$1386</definedName>
    <definedName name="Start_of_Year_Yr1_45">'NARM5 – ED2 actuals'!$F$1415:$J$1418</definedName>
    <definedName name="Start_of_Year_Yr1_46">'NARM5 – ED2 actuals'!$F$1447:$J$1450</definedName>
    <definedName name="Start_of_Year_Yr1_47">'NARM5 – ED2 actuals'!$F$1479:$J$1482</definedName>
    <definedName name="Start_of_Year_Yr1_48">'NARM5 – ED2 actuals'!$F$1511:$J$1514</definedName>
    <definedName name="Start_of_Year_Yr1_49">'NARM5 – ED2 actuals'!$F$1543:$J$1546</definedName>
    <definedName name="Start_of_Year_Yr1_5">'NARM5 – ED2 actuals'!$F$135:$J$138</definedName>
    <definedName name="Start_of_Year_Yr1_50">'NARM5 – ED2 actuals'!$F$1575:$J$1578</definedName>
    <definedName name="Start_of_Year_Yr1_51">'NARM5 – ED2 actuals'!$F$1607:$J$1610</definedName>
    <definedName name="Start_of_Year_Yr1_52">'NARM5 – ED2 actuals'!$F$1639:$J$1642</definedName>
    <definedName name="Start_of_Year_Yr1_53">'NARM5 – ED2 actuals'!$F$1671:$J$1674</definedName>
    <definedName name="Start_of_Year_Yr1_54">'NARM5 – ED2 actuals'!$F$1703:$J$1706</definedName>
    <definedName name="Start_of_Year_Yr1_55">'NARM5 – ED2 actuals'!$F$1735:$J$1738</definedName>
    <definedName name="Start_of_Year_Yr1_56">'NARM5 – ED2 actuals'!$F$1767:$J$1770</definedName>
    <definedName name="Start_of_Year_Yr1_57">'NARM5 – ED2 actuals'!$F$1799:$J$1802</definedName>
    <definedName name="Start_of_Year_Yr1_58">'NARM5 – ED2 actuals'!$F$1831:$J$1834</definedName>
    <definedName name="Start_of_Year_Yr1_59">'NARM5 – ED2 actuals'!$F$1863:$J$1866</definedName>
    <definedName name="Start_of_Year_Yr1_6">'NARM5 – ED2 actuals'!$F$167:$J$170</definedName>
    <definedName name="Start_of_Year_Yr1_60">'NARM5 – ED2 actuals'!$F$1895:$J$1898</definedName>
    <definedName name="Start_of_Year_Yr1_61">'NARM5 – ED2 actuals'!$F$1927:$J$1930</definedName>
    <definedName name="Start_of_Year_Yr1_7">'NARM5 – ED2 actuals'!$F$199:$J$202</definedName>
    <definedName name="Start_of_Year_Yr1_8">'NARM5 – ED2 actuals'!$F$231:$J$234</definedName>
    <definedName name="Start_of_Year_Yr1_9">'NARM5 – ED2 actuals'!$F$263:$J$266</definedName>
    <definedName name="Start_of_Year_Yr2_1">'NARM5 – ED2 actuals'!$F$13:$J$16</definedName>
    <definedName name="Start_of_Year_Yr2_10">'NARM5 – ED2 actuals'!$F$301:$J$304</definedName>
    <definedName name="Start_of_Year_Yr2_11">'NARM5 – ED2 actuals'!$F$333:$J$336</definedName>
    <definedName name="Start_of_Year_Yr2_12">'NARM5 – ED2 actuals'!$F$365:$J$368</definedName>
    <definedName name="Start_of_Year_Yr2_13">'NARM5 – ED2 actuals'!$F$397:$J$400</definedName>
    <definedName name="Start_of_Year_Yr2_14">'NARM5 – ED2 actuals'!$F$429:$J$432</definedName>
    <definedName name="Start_of_Year_Yr2_15">'NARM5 – ED2 actuals'!$F$461:$J$464</definedName>
    <definedName name="Start_of_Year_Yr2_16">'NARM5 – ED2 actuals'!$F$493:$J$496</definedName>
    <definedName name="Start_of_Year_Yr2_17">'NARM5 – ED2 actuals'!$F$525:$J$528</definedName>
    <definedName name="Start_of_Year_Yr2_18">'NARM5 – ED2 actuals'!$F$557:$J$560</definedName>
    <definedName name="Start_of_Year_Yr2_19">'NARM5 – ED2 actuals'!$F$589:$J$592</definedName>
    <definedName name="Start_of_Year_Yr2_2">'NARM5 – ED2 actuals'!$F$45:$J$48</definedName>
    <definedName name="Start_of_Year_Yr2_20">'NARM5 – ED2 actuals'!$F$621:$J$624</definedName>
    <definedName name="Start_of_Year_Yr2_21">'NARM5 – ED2 actuals'!$F$653:$J$656</definedName>
    <definedName name="Start_of_Year_Yr2_22">'NARM5 – ED2 actuals'!$F$685:$J$688</definedName>
    <definedName name="Start_of_Year_Yr2_23">'NARM5 – ED2 actuals'!$F$717:$J$720</definedName>
    <definedName name="Start_of_Year_Yr2_24">'NARM5 – ED2 actuals'!$F$749:$J$752</definedName>
    <definedName name="Start_of_Year_Yr2_25">'NARM5 – ED2 actuals'!$F$781:$J$784</definedName>
    <definedName name="Start_of_Year_Yr2_26">'NARM5 – ED2 actuals'!$F$813:$J$816</definedName>
    <definedName name="Start_of_Year_Yr2_27">'NARM5 – ED2 actuals'!$F$845:$J$848</definedName>
    <definedName name="Start_of_Year_Yr2_28">'NARM5 – ED2 actuals'!$F$877:$J$880</definedName>
    <definedName name="Start_of_Year_Yr2_29">'NARM5 – ED2 actuals'!$F$909:$J$912</definedName>
    <definedName name="Start_of_Year_Yr2_3">'NARM5 – ED2 actuals'!$F$77:$J$80</definedName>
    <definedName name="Start_of_Year_Yr2_30">'NARM5 – ED2 actuals'!$F$941:$J$944</definedName>
    <definedName name="Start_of_Year_Yr2_31">'NARM5 – ED2 actuals'!$F$973:$J$976</definedName>
    <definedName name="Start_of_Year_Yr2_32">'NARM5 – ED2 actuals'!$F$1005:$J$1008</definedName>
    <definedName name="Start_of_Year_Yr2_33">'NARM5 – ED2 actuals'!$F$1037:$J$1040</definedName>
    <definedName name="Start_of_Year_Yr2_34">'NARM5 – ED2 actuals'!$F$1069:$J$1072</definedName>
    <definedName name="Start_of_Year_Yr2_35">'NARM5 – ED2 actuals'!$F$1101:$J$1104</definedName>
    <definedName name="Start_of_Year_Yr2_36">'NARM5 – ED2 actuals'!$F$1133:$J$1136</definedName>
    <definedName name="Start_of_Year_Yr2_37">'NARM5 – ED2 actuals'!$F$1165:$J$1168</definedName>
    <definedName name="Start_of_Year_Yr2_38">'NARM5 – ED2 actuals'!$F$1197:$J$1200</definedName>
    <definedName name="Start_of_Year_Yr2_39">'NARM5 – ED2 actuals'!$F$1229:$J$1232</definedName>
    <definedName name="Start_of_Year_Yr2_4">'NARM5 – ED2 actuals'!$F$109:$J$112</definedName>
    <definedName name="Start_of_Year_Yr2_40">'NARM5 – ED2 actuals'!$F$1261:$J$1264</definedName>
    <definedName name="Start_of_Year_Yr2_41">'NARM5 – ED2 actuals'!$F$1293:$J$1296</definedName>
    <definedName name="Start_of_Year_Yr2_42">'NARM5 – ED2 actuals'!$F$1325:$J$1328</definedName>
    <definedName name="Start_of_Year_Yr2_43">'NARM5 – ED2 actuals'!$F$1357:$J$1360</definedName>
    <definedName name="Start_of_Year_Yr2_44">'NARM5 – ED2 actuals'!$F$1389:$J$1392</definedName>
    <definedName name="Start_of_Year_Yr2_45">'NARM5 – ED2 actuals'!$F$1421:$J$1424</definedName>
    <definedName name="Start_of_Year_Yr2_46">'NARM5 – ED2 actuals'!$F$1453:$J$1456</definedName>
    <definedName name="Start_of_Year_Yr2_47">'NARM5 – ED2 actuals'!$F$1485:$J$1488</definedName>
    <definedName name="Start_of_Year_Yr2_48">'NARM5 – ED2 actuals'!$F$1517:$J$1520</definedName>
    <definedName name="Start_of_Year_Yr2_49">'NARM5 – ED2 actuals'!$F$1549:$J$1552</definedName>
    <definedName name="Start_of_Year_Yr2_5">'NARM5 – ED2 actuals'!$F$141:$J$144</definedName>
    <definedName name="Start_of_Year_Yr2_50">'NARM5 – ED2 actuals'!$F$1581:$J$1584</definedName>
    <definedName name="Start_of_Year_Yr2_51">'NARM5 – ED2 actuals'!$F$1613:$J$1616</definedName>
    <definedName name="Start_of_Year_Yr2_52">'NARM5 – ED2 actuals'!$F$1645:$J$1648</definedName>
    <definedName name="Start_of_Year_Yr2_53">'NARM5 – ED2 actuals'!$F$1677:$J$1680</definedName>
    <definedName name="Start_of_Year_Yr2_54">'NARM5 – ED2 actuals'!$F$1709:$J$1712</definedName>
    <definedName name="Start_of_Year_Yr2_55">'NARM5 – ED2 actuals'!$F$1741:$J$1744</definedName>
    <definedName name="Start_of_Year_Yr2_56">'NARM5 – ED2 actuals'!$F$1773:$J$1776</definedName>
    <definedName name="Start_of_Year_Yr2_57">'NARM5 – ED2 actuals'!$F$1805:$J$1808</definedName>
    <definedName name="Start_of_Year_Yr2_58">'NARM5 – ED2 actuals'!$F$1837:$J$1840</definedName>
    <definedName name="Start_of_Year_Yr2_59">'NARM5 – ED2 actuals'!$F$1869:$J$1872</definedName>
    <definedName name="Start_of_Year_Yr2_6">'NARM5 – ED2 actuals'!$F$173:$J$176</definedName>
    <definedName name="Start_of_Year_Yr2_60">'NARM5 – ED2 actuals'!$F$1901:$J$1904</definedName>
    <definedName name="Start_of_Year_Yr2_61">'NARM5 – ED2 actuals'!$F$1933:$J$1936</definedName>
    <definedName name="Start_of_Year_Yr2_7">'NARM5 – ED2 actuals'!$F$205:$J$208</definedName>
    <definedName name="Start_of_Year_Yr2_8">'NARM5 – ED2 actuals'!$F$237:$J$240</definedName>
    <definedName name="Start_of_Year_Yr2_9">'NARM5 – ED2 actuals'!$F$269:$J$272</definedName>
    <definedName name="Start_of_Year_Yr3_1">'NARM5 – ED2 actuals'!$F$19:$J$22</definedName>
    <definedName name="Start_of_Year_Yr3_10">'NARM5 – ED2 actuals'!$F$307:$J$310</definedName>
    <definedName name="Start_of_Year_Yr3_11">'NARM5 – ED2 actuals'!$F$339:$J$342</definedName>
    <definedName name="Start_of_Year_Yr3_12">'NARM5 – ED2 actuals'!$F$371:$J$374</definedName>
    <definedName name="Start_of_Year_Yr3_13">'NARM5 – ED2 actuals'!$F$403:$J$406</definedName>
    <definedName name="Start_of_Year_Yr3_14">'NARM5 – ED2 actuals'!$F$435:$J$438</definedName>
    <definedName name="Start_of_Year_Yr3_15">'NARM5 – ED2 actuals'!$F$467:$J$470</definedName>
    <definedName name="Start_of_Year_Yr3_16">'NARM5 – ED2 actuals'!$F$499:$J$502</definedName>
    <definedName name="Start_of_Year_Yr3_17">'NARM5 – ED2 actuals'!$F$531:$J$534</definedName>
    <definedName name="Start_of_Year_Yr3_18">'NARM5 – ED2 actuals'!$F$563:$J$566</definedName>
    <definedName name="Start_of_Year_Yr3_19">'NARM5 – ED2 actuals'!$F$595:$J$598</definedName>
    <definedName name="Start_of_Year_Yr3_2">'NARM5 – ED2 actuals'!$F$51:$J$54</definedName>
    <definedName name="Start_of_Year_Yr3_20">'NARM5 – ED2 actuals'!$F$627:$J$630</definedName>
    <definedName name="Start_of_Year_Yr3_21">'NARM5 – ED2 actuals'!$F$659:$J$662</definedName>
    <definedName name="Start_of_Year_Yr3_22">'NARM5 – ED2 actuals'!$F$691:$J$694</definedName>
    <definedName name="Start_of_Year_Yr3_23">'NARM5 – ED2 actuals'!$F$723:$J$726</definedName>
    <definedName name="Start_of_Year_Yr3_24">'NARM5 – ED2 actuals'!$F$755:$J$758</definedName>
    <definedName name="Start_of_Year_Yr3_25">'NARM5 – ED2 actuals'!$F$787:$J$790</definedName>
    <definedName name="Start_of_Year_Yr3_26">'NARM5 – ED2 actuals'!$F$819:$J$822</definedName>
    <definedName name="Start_of_Year_Yr3_27">'NARM5 – ED2 actuals'!$F$851:$J$854</definedName>
    <definedName name="Start_of_Year_Yr3_28">'NARM5 – ED2 actuals'!$F$883:$J$886</definedName>
    <definedName name="Start_of_Year_Yr3_29">'NARM5 – ED2 actuals'!$F$915:$J$918</definedName>
    <definedName name="Start_of_Year_Yr3_3">'NARM5 – ED2 actuals'!$F$83:$J$86</definedName>
    <definedName name="Start_of_Year_Yr3_30">'NARM5 – ED2 actuals'!$F$947:$J$950</definedName>
    <definedName name="Start_of_Year_Yr3_31">'NARM5 – ED2 actuals'!$F$979:$J$982</definedName>
    <definedName name="Start_of_Year_Yr3_32">'NARM5 – ED2 actuals'!$F$1011:$J$1014</definedName>
    <definedName name="Start_of_Year_Yr3_33">'NARM5 – ED2 actuals'!$F$1043:$J$1046</definedName>
    <definedName name="Start_of_Year_Yr3_34">'NARM5 – ED2 actuals'!$F$1075:$J$1078</definedName>
    <definedName name="Start_of_Year_Yr3_35">'NARM5 – ED2 actuals'!$F$1107:$J$1110</definedName>
    <definedName name="Start_of_Year_Yr3_36">'NARM5 – ED2 actuals'!$F$1139:$J$1142</definedName>
    <definedName name="Start_of_Year_Yr3_37">'NARM5 – ED2 actuals'!$F$1171:$J$1174</definedName>
    <definedName name="Start_of_Year_Yr3_38">'NARM5 – ED2 actuals'!$F$1203:$J$1206</definedName>
    <definedName name="Start_of_Year_Yr3_39">'NARM5 – ED2 actuals'!$F$1235:$J$1238</definedName>
    <definedName name="Start_of_Year_Yr3_4">'NARM5 – ED2 actuals'!$F$115:$J$118</definedName>
    <definedName name="Start_of_Year_Yr3_40">'NARM5 – ED2 actuals'!$F$1267:$J$1270</definedName>
    <definedName name="Start_of_Year_Yr3_41">'NARM5 – ED2 actuals'!$F$1299:$J$1302</definedName>
    <definedName name="Start_of_Year_Yr3_42">'NARM5 – ED2 actuals'!$F$1331:$J$1334</definedName>
    <definedName name="Start_of_Year_Yr3_43">'NARM5 – ED2 actuals'!$F$1363:$J$1366</definedName>
    <definedName name="Start_of_Year_Yr3_44">'NARM5 – ED2 actuals'!$F$1395:$J$1398</definedName>
    <definedName name="Start_of_Year_Yr3_45">'NARM5 – ED2 actuals'!$F$1427:$J$1430</definedName>
    <definedName name="Start_of_Year_Yr3_46">'NARM5 – ED2 actuals'!$F$1459:$J$1462</definedName>
    <definedName name="Start_of_Year_Yr3_47">'NARM5 – ED2 actuals'!$F$1491:$J$1494</definedName>
    <definedName name="Start_of_Year_Yr3_48">'NARM5 – ED2 actuals'!$F$1523:$J$1526</definedName>
    <definedName name="Start_of_Year_Yr3_49">'NARM5 – ED2 actuals'!$F$1555:$J$1558</definedName>
    <definedName name="Start_of_Year_Yr3_5">'NARM5 – ED2 actuals'!$F$147:$J$150</definedName>
    <definedName name="Start_of_Year_Yr3_50">'NARM5 – ED2 actuals'!$F$1587:$J$1590</definedName>
    <definedName name="Start_of_Year_Yr3_51">'NARM5 – ED2 actuals'!$F$1619:$J$1622</definedName>
    <definedName name="Start_of_Year_Yr3_52">'NARM5 – ED2 actuals'!$F$1651:$J$1654</definedName>
    <definedName name="Start_of_Year_Yr3_53">'NARM5 – ED2 actuals'!$F$1683:$J$1686</definedName>
    <definedName name="Start_of_Year_Yr3_54">'NARM5 – ED2 actuals'!$F$1715:$J$1718</definedName>
    <definedName name="Start_of_Year_Yr3_55">'NARM5 – ED2 actuals'!$F$1747:$J$1750</definedName>
    <definedName name="Start_of_Year_Yr3_56">'NARM5 – ED2 actuals'!$F$1779:$J$1782</definedName>
    <definedName name="Start_of_Year_Yr3_57">'NARM5 – ED2 actuals'!$F$1811:$J$1814</definedName>
    <definedName name="Start_of_Year_Yr3_58">'NARM5 – ED2 actuals'!$F$1843:$J$1846</definedName>
    <definedName name="Start_of_Year_Yr3_59">'NARM5 – ED2 actuals'!$F$1875:$J$1878</definedName>
    <definedName name="Start_of_Year_Yr3_6">'NARM5 – ED2 actuals'!$F$179:$J$182</definedName>
    <definedName name="Start_of_Year_Yr3_60">'NARM5 – ED2 actuals'!$F$1907:$J$1910</definedName>
    <definedName name="Start_of_Year_Yr3_61">'NARM5 – ED2 actuals'!$F$1939:$J$1942</definedName>
    <definedName name="Start_of_Year_Yr3_7">'NARM5 – ED2 actuals'!$F$211:$J$214</definedName>
    <definedName name="Start_of_Year_Yr3_8">'NARM5 – ED2 actuals'!$F$243:$J$246</definedName>
    <definedName name="Start_of_Year_Yr3_9">'NARM5 – ED2 actuals'!$F$275:$J$278</definedName>
    <definedName name="Start_of_Year_Yr4_1">'NARM5 – ED2 actuals'!$F$25:$J$28</definedName>
    <definedName name="Start_of_Year_Yr4_10">'NARM5 – ED2 actuals'!$F$313:$J$316</definedName>
    <definedName name="Start_of_Year_Yr4_11">'NARM5 – ED2 actuals'!$F$345:$J$348</definedName>
    <definedName name="Start_of_Year_Yr4_12">'NARM5 – ED2 actuals'!$F$377:$J$380</definedName>
    <definedName name="Start_of_Year_Yr4_13">'NARM5 – ED2 actuals'!$F$409:$J$412</definedName>
    <definedName name="Start_of_Year_Yr4_14">'NARM5 – ED2 actuals'!$F$441:$J$444</definedName>
    <definedName name="Start_of_Year_Yr4_15">'NARM5 – ED2 actuals'!$F$473:$J$476</definedName>
    <definedName name="Start_of_Year_Yr4_16">'NARM5 – ED2 actuals'!$F$505:$J$508</definedName>
    <definedName name="Start_of_Year_Yr4_17">'NARM5 – ED2 actuals'!$F$537:$J$540</definedName>
    <definedName name="Start_of_Year_Yr4_18">'NARM5 – ED2 actuals'!$F$569:$J$572</definedName>
    <definedName name="Start_of_Year_Yr4_19">'NARM5 – ED2 actuals'!$F$601:$J$604</definedName>
    <definedName name="Start_of_Year_Yr4_2">'NARM5 – ED2 actuals'!$F$57:$J$60</definedName>
    <definedName name="Start_of_Year_Yr4_20">'NARM5 – ED2 actuals'!$F$633:$J$636</definedName>
    <definedName name="Start_of_Year_Yr4_21">'NARM5 – ED2 actuals'!$F$665:$J$668</definedName>
    <definedName name="Start_of_Year_Yr4_22">'NARM5 – ED2 actuals'!$F$697:$J$700</definedName>
    <definedName name="Start_of_Year_Yr4_23">'NARM5 – ED2 actuals'!$F$729:$J$732</definedName>
    <definedName name="Start_of_Year_Yr4_24">'NARM5 – ED2 actuals'!$F$761:$J$764</definedName>
    <definedName name="Start_of_Year_Yr4_25">'NARM5 – ED2 actuals'!$F$793:$J$796</definedName>
    <definedName name="Start_of_Year_Yr4_26">'NARM5 – ED2 actuals'!$F$825:$J$828</definedName>
    <definedName name="Start_of_Year_Yr4_27">'NARM5 – ED2 actuals'!$F$857:$J$860</definedName>
    <definedName name="Start_of_Year_Yr4_28">'NARM5 – ED2 actuals'!$F$889:$J$892</definedName>
    <definedName name="Start_of_Year_Yr4_29">'NARM5 – ED2 actuals'!$F$921:$J$924</definedName>
    <definedName name="Start_of_Year_Yr4_3">'NARM5 – ED2 actuals'!$F$89:$J$92</definedName>
    <definedName name="Start_of_Year_Yr4_30">'NARM5 – ED2 actuals'!$F$953:$J$956</definedName>
    <definedName name="Start_of_Year_Yr4_31">'NARM5 – ED2 actuals'!$F$985:$J$988</definedName>
    <definedName name="Start_of_Year_Yr4_32">'NARM5 – ED2 actuals'!$F$1017:$J$1020</definedName>
    <definedName name="Start_of_Year_Yr4_33">'NARM5 – ED2 actuals'!$F$1049:$J$1052</definedName>
    <definedName name="Start_of_Year_Yr4_34">'NARM5 – ED2 actuals'!$F$1081:$J$1084</definedName>
    <definedName name="Start_of_Year_Yr4_35">'NARM5 – ED2 actuals'!$F$1113:$J$1116</definedName>
    <definedName name="Start_of_Year_Yr4_36">'NARM5 – ED2 actuals'!$F$1145:$J$1148</definedName>
    <definedName name="Start_of_Year_Yr4_37">'NARM5 – ED2 actuals'!$F$1177:$J$1180</definedName>
    <definedName name="Start_of_Year_Yr4_38">'NARM5 – ED2 actuals'!$F$1209:$J$1212</definedName>
    <definedName name="Start_of_Year_Yr4_39">'NARM5 – ED2 actuals'!$F$1241:$J$1244</definedName>
    <definedName name="Start_of_Year_Yr4_4">'NARM5 – ED2 actuals'!$F$121:$J$124</definedName>
    <definedName name="Start_of_Year_Yr4_40">'NARM5 – ED2 actuals'!$F$1273:$J$1276</definedName>
    <definedName name="Start_of_Year_Yr4_41">'NARM5 – ED2 actuals'!$F$1305:$J$1308</definedName>
    <definedName name="Start_of_Year_Yr4_42">'NARM5 – ED2 actuals'!$F$1337:$J$1340</definedName>
    <definedName name="Start_of_Year_Yr4_43">'NARM5 – ED2 actuals'!$F$1369:$J$1372</definedName>
    <definedName name="Start_of_Year_Yr4_44">'NARM5 – ED2 actuals'!$F$1401:$J$1404</definedName>
    <definedName name="Start_of_Year_Yr4_45">'NARM5 – ED2 actuals'!$F$1433:$J$1436</definedName>
    <definedName name="Start_of_Year_Yr4_46">'NARM5 – ED2 actuals'!$F$1465:$J$1468</definedName>
    <definedName name="Start_of_Year_Yr4_47">'NARM5 – ED2 actuals'!$F$1497:$J$1500</definedName>
    <definedName name="Start_of_Year_Yr4_48">'NARM5 – ED2 actuals'!$F$1529:$J$1532</definedName>
    <definedName name="Start_of_Year_Yr4_49">'NARM5 – ED2 actuals'!$F$1561:$J$1564</definedName>
    <definedName name="Start_of_Year_Yr4_5">'NARM5 – ED2 actuals'!$F$153:$J$156</definedName>
    <definedName name="Start_of_Year_Yr4_50">'NARM5 – ED2 actuals'!$F$1593:$J$1596</definedName>
    <definedName name="Start_of_Year_Yr4_51">'NARM5 – ED2 actuals'!$F$1625:$J$1628</definedName>
    <definedName name="Start_of_Year_Yr4_52">'NARM5 – ED2 actuals'!$F$1657:$J$1660</definedName>
    <definedName name="Start_of_Year_Yr4_53">'NARM5 – ED2 actuals'!$F$1689:$J$1692</definedName>
    <definedName name="Start_of_Year_Yr4_54">'NARM5 – ED2 actuals'!$F$1721:$J$1724</definedName>
    <definedName name="Start_of_Year_Yr4_55">'NARM5 – ED2 actuals'!$F$1753:$J$1756</definedName>
    <definedName name="Start_of_Year_Yr4_56">'NARM5 – ED2 actuals'!$F$1785:$J$1788</definedName>
    <definedName name="Start_of_Year_Yr4_57">'NARM5 – ED2 actuals'!$F$1817:$J$1820</definedName>
    <definedName name="Start_of_Year_Yr4_58">'NARM5 – ED2 actuals'!$F$1849:$J$1852</definedName>
    <definedName name="Start_of_Year_Yr4_59">'NARM5 – ED2 actuals'!$F$1881:$J$1884</definedName>
    <definedName name="Start_of_Year_Yr4_6">'NARM5 – ED2 actuals'!$F$185:$J$188</definedName>
    <definedName name="Start_of_Year_Yr4_60">'NARM5 – ED2 actuals'!$F$1913:$J$1916</definedName>
    <definedName name="Start_of_Year_Yr4_61">'NARM5 – ED2 actuals'!$F$1945:$J$1948</definedName>
    <definedName name="Start_of_Year_Yr4_7">'NARM5 – ED2 actuals'!$F$217:$J$220</definedName>
    <definedName name="Start_of_Year_Yr4_8">'NARM5 – ED2 actuals'!$F$249:$J$252</definedName>
    <definedName name="Start_of_Year_Yr4_9">'NARM5 – ED2 actuals'!$F$281:$J$284</definedName>
    <definedName name="Start_of_Year_Yr5_1">'NARM5 – ED2 actuals'!$F$31:$J$34</definedName>
    <definedName name="Start_of_Year_Yr5_10">'NARM5 – ED2 actuals'!$F$319:$J$322</definedName>
    <definedName name="Start_of_Year_Yr5_11">'NARM5 – ED2 actuals'!$F$351:$J$354</definedName>
    <definedName name="Start_of_Year_Yr5_12">'NARM5 – ED2 actuals'!$F$383:$J$386</definedName>
    <definedName name="Start_of_Year_Yr5_13">'NARM5 – ED2 actuals'!$F$415:$J$418</definedName>
    <definedName name="Start_of_Year_Yr5_14">'NARM5 – ED2 actuals'!$F$447:$J$450</definedName>
    <definedName name="Start_of_Year_Yr5_15">'NARM5 – ED2 actuals'!$F$479:$J$482</definedName>
    <definedName name="Start_of_Year_Yr5_16">'NARM5 – ED2 actuals'!$F$511:$J$514</definedName>
    <definedName name="Start_of_Year_Yr5_17">'NARM5 – ED2 actuals'!$F$543:$J$546</definedName>
    <definedName name="Start_of_Year_Yr5_18">'NARM5 – ED2 actuals'!$F$575:$J$578</definedName>
    <definedName name="Start_of_Year_Yr5_19">'NARM5 – ED2 actuals'!$F$607:$J$610</definedName>
    <definedName name="Start_of_Year_Yr5_2">'NARM5 – ED2 actuals'!$F$63:$J$66</definedName>
    <definedName name="Start_of_Year_Yr5_20">'NARM5 – ED2 actuals'!$F$639:$J$642</definedName>
    <definedName name="Start_of_Year_Yr5_21">'NARM5 – ED2 actuals'!$F$671:$J$674</definedName>
    <definedName name="Start_of_Year_Yr5_22">'NARM5 – ED2 actuals'!$F$703:$J$706</definedName>
    <definedName name="Start_of_Year_Yr5_23">'NARM5 – ED2 actuals'!$F$735:$J$738</definedName>
    <definedName name="Start_of_Year_Yr5_24">'NARM5 – ED2 actuals'!$F$767:$J$770</definedName>
    <definedName name="Start_of_Year_Yr5_25">'NARM5 – ED2 actuals'!$F$799:$J$802</definedName>
    <definedName name="Start_of_Year_Yr5_26">'NARM5 – ED2 actuals'!$F$831:$J$834</definedName>
    <definedName name="Start_of_Year_Yr5_27">'NARM5 – ED2 actuals'!$F$863:$J$866</definedName>
    <definedName name="Start_of_Year_Yr5_28">'NARM5 – ED2 actuals'!$F$895:$J$898</definedName>
    <definedName name="Start_of_Year_Yr5_29">'NARM5 – ED2 actuals'!$F$927:$J$930</definedName>
    <definedName name="Start_of_Year_Yr5_3">'NARM5 – ED2 actuals'!$F$95:$J$98</definedName>
    <definedName name="Start_of_Year_Yr5_30">'NARM5 – ED2 actuals'!$F$959:$J$962</definedName>
    <definedName name="Start_of_Year_Yr5_31">'NARM5 – ED2 actuals'!$F$991:$J$994</definedName>
    <definedName name="Start_of_Year_Yr5_32">'NARM5 – ED2 actuals'!$F$1023:$J$1026</definedName>
    <definedName name="Start_of_Year_Yr5_33">'NARM5 – ED2 actuals'!$F$1055:$J$1058</definedName>
    <definedName name="Start_of_Year_Yr5_34">'NARM5 – ED2 actuals'!$F$1087:$J$1090</definedName>
    <definedName name="Start_of_Year_Yr5_35">'NARM5 – ED2 actuals'!$F$1119:$J$1122</definedName>
    <definedName name="Start_of_Year_Yr5_36">'NARM5 – ED2 actuals'!$F$1151:$J$1154</definedName>
    <definedName name="Start_of_Year_Yr5_37">'NARM5 – ED2 actuals'!$F$1183:$J$1186</definedName>
    <definedName name="Start_of_Year_Yr5_38">'NARM5 – ED2 actuals'!$F$1215:$J$1218</definedName>
    <definedName name="Start_of_Year_Yr5_39">'NARM5 – ED2 actuals'!$F$1247:$J$1250</definedName>
    <definedName name="Start_of_Year_Yr5_4">'NARM5 – ED2 actuals'!$F$127:$J$130</definedName>
    <definedName name="Start_of_Year_Yr5_40">'NARM5 – ED2 actuals'!$F$1279:$J$1282</definedName>
    <definedName name="Start_of_Year_Yr5_41">'NARM5 – ED2 actuals'!$F$1311:$J$1314</definedName>
    <definedName name="Start_of_Year_Yr5_42">'NARM5 – ED2 actuals'!$F$1343:$J$1346</definedName>
    <definedName name="Start_of_Year_Yr5_43">'NARM5 – ED2 actuals'!$F$1375:$J$1378</definedName>
    <definedName name="Start_of_Year_Yr5_44">'NARM5 – ED2 actuals'!$F$1407:$J$1410</definedName>
    <definedName name="Start_of_Year_Yr5_45">'NARM5 – ED2 actuals'!$F$1439:$J$1442</definedName>
    <definedName name="Start_of_Year_Yr5_46">'NARM5 – ED2 actuals'!$F$1471:$J$1474</definedName>
    <definedName name="Start_of_Year_Yr5_47">'NARM5 – ED2 actuals'!$F$1503:$J$1506</definedName>
    <definedName name="Start_of_Year_Yr5_48">'NARM5 – ED2 actuals'!$F$1535:$J$1538</definedName>
    <definedName name="Start_of_Year_Yr5_49">'NARM5 – ED2 actuals'!$F$1567:$J$1570</definedName>
    <definedName name="Start_of_Year_Yr5_5">'NARM5 – ED2 actuals'!$F$159:$J$162</definedName>
    <definedName name="Start_of_Year_Yr5_50">'NARM5 – ED2 actuals'!$F$1599:$J$1602</definedName>
    <definedName name="Start_of_Year_Yr5_51">'NARM5 – ED2 actuals'!$F$1631:$J$1634</definedName>
    <definedName name="Start_of_Year_Yr5_52">'NARM5 – ED2 actuals'!$F$1663:$J$1666</definedName>
    <definedName name="Start_of_Year_Yr5_53">'NARM5 – ED2 actuals'!$F$1695:$J$1698</definedName>
    <definedName name="Start_of_Year_Yr5_54">'NARM5 – ED2 actuals'!$F$1727:$J$1730</definedName>
    <definedName name="Start_of_Year_Yr5_55">'NARM5 – ED2 actuals'!$F$1759:$J$1762</definedName>
    <definedName name="Start_of_Year_Yr5_56">'NARM5 – ED2 actuals'!$F$1791:$J$1794</definedName>
    <definedName name="Start_of_Year_Yr5_57">'NARM5 – ED2 actuals'!$F$1823:$J$1826</definedName>
    <definedName name="Start_of_Year_Yr5_58">'NARM5 – ED2 actuals'!$F$1855:$J$1858</definedName>
    <definedName name="Start_of_Year_Yr5_59">'NARM5 – ED2 actuals'!$F$1887:$J$1890</definedName>
    <definedName name="Start_of_Year_Yr5_6">'NARM5 – ED2 actuals'!$F$191:$J$194</definedName>
    <definedName name="Start_of_Year_Yr5_60">'NARM5 – ED2 actuals'!$F$1919:$J$1922</definedName>
    <definedName name="Start_of_Year_Yr5_61">'NARM5 – ED2 actuals'!$F$1951:$J$1954</definedName>
    <definedName name="Start_of_Year_Yr5_7">'NARM5 – ED2 actuals'!$F$223:$J$226</definedName>
    <definedName name="Start_of_Year_Yr5_8">'NARM5 – ED2 actuals'!$F$255:$J$258</definedName>
    <definedName name="Start_of_Year_Yr5_9">'NARM5 – ED2 actuals'!$F$287:$J$290</definedName>
    <definedName name="Swvu.CapersView." localSheetId="2" hidden="1">[4]Sheet1!#REF!</definedName>
    <definedName name="Swvu.CapersView." hidden="1">[4]Sheet1!#REF!</definedName>
    <definedName name="Swvu.Japan_Capers_Ed_Pub." localSheetId="2" hidden="1">#REF!</definedName>
    <definedName name="Swvu.Japan_Capers_Ed_Pub." localSheetId="1"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 localSheetId="2" hidden="1">{#VALUE!,#N/A,FALSE,0}</definedName>
    <definedName name="u" localSheetId="3" hidden="1">{#VALUE!,#N/A,FALSE,0}</definedName>
    <definedName name="u" localSheetId="4" hidden="1">{#VALUE!,#N/A,FALSE,0}</definedName>
    <definedName name="u" localSheetId="1" hidden="1">{#VALUE!,#N/A,FALSE,0}</definedName>
    <definedName name="u" hidden="1">{#VALUE!,#N/A,FALSE,0}</definedName>
    <definedName name="UAG" localSheetId="2" hidden="1">{#N/A,#N/A,FALSE,"DI 2 YEAR MASTER SCHEDULE"}</definedName>
    <definedName name="UAG" localSheetId="3" hidden="1">{#N/A,#N/A,FALSE,"DI 2 YEAR MASTER SCHEDULE"}</definedName>
    <definedName name="UAG" localSheetId="4" hidden="1">{#N/A,#N/A,FALSE,"DI 2 YEAR MASTER SCHEDULE"}</definedName>
    <definedName name="UAG" localSheetId="1"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2" hidden="1">{"Japan_Capers_Ed_Pub",#N/A,FALSE,"DI 2 YEAR MASTER SCHEDULE"}</definedName>
    <definedName name="v" localSheetId="3" hidden="1">{"Japan_Capers_Ed_Pub",#N/A,FALSE,"DI 2 YEAR MASTER SCHEDULE"}</definedName>
    <definedName name="v" localSheetId="4" hidden="1">{"Japan_Capers_Ed_Pub",#N/A,FALSE,"DI 2 YEAR MASTER SCHEDULE"}</definedName>
    <definedName name="v" localSheetId="1" hidden="1">{"Japan_Capers_Ed_Pub",#N/A,FALSE,"DI 2 YEAR MASTER SCHEDULE"}</definedName>
    <definedName name="v" hidden="1">{"Japan_Capers_Ed_Pub",#N/A,FALSE,"DI 2 YEAR MASTER SCHEDULE"}</definedName>
    <definedName name="VHP_Yr1_1">'NARM5 – ED2 actuals'!$BJ$7:$BN$10</definedName>
    <definedName name="wrn.CapersPlotter." localSheetId="2" hidden="1">{#N/A,#N/A,FALSE,"DI 2 YEAR MASTER SCHEDULE"}</definedName>
    <definedName name="wrn.CapersPlotter." localSheetId="3" hidden="1">{#N/A,#N/A,FALSE,"DI 2 YEAR MASTER SCHEDULE"}</definedName>
    <definedName name="wrn.CapersPlotter." localSheetId="4" hidden="1">{#N/A,#N/A,FALSE,"DI 2 YEAR MASTER SCHEDULE"}</definedName>
    <definedName name="wrn.CapersPlotter." localSheetId="1"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localSheetId="3" hidden="1">{#N/A,#N/A,FALSE,"DI 2 YEAR MASTER SCHEDULE"}</definedName>
    <definedName name="wrn.Edutainment._.Priority._.List." localSheetId="4" hidden="1">{#N/A,#N/A,FALSE,"DI 2 YEAR MASTER SCHEDULE"}</definedName>
    <definedName name="wrn.Edutainment._.Priority._.List." localSheetId="1"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localSheetId="3" hidden="1">{"Japan_Capers_Ed_Pub",#N/A,FALSE,"DI 2 YEAR MASTER SCHEDULE"}</definedName>
    <definedName name="wrn.Japan_Capers_Ed._.Pub." localSheetId="4" hidden="1">{"Japan_Capers_Ed_Pub",#N/A,FALSE,"DI 2 YEAR MASTER SCHEDULE"}</definedName>
    <definedName name="wrn.Japan_Capers_Ed._.Pub." localSheetId="1"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localSheetId="3" hidden="1">{"staff",#N/A,FALSE,"Current Month"}</definedName>
    <definedName name="wrn.Mat." localSheetId="4" hidden="1">{"staff",#N/A,FALSE,"Current Month"}</definedName>
    <definedName name="wrn.Mat." localSheetId="1" hidden="1">{"staff",#N/A,FALSE,"Current Month"}</definedName>
    <definedName name="wrn.Mat." hidden="1">{"staff",#N/A,FALSE,"Current Month"}</definedName>
    <definedName name="wrn.Priority._.list." localSheetId="2" hidden="1">{#N/A,#N/A,FALSE,"DI 2 YEAR MASTER SCHEDULE"}</definedName>
    <definedName name="wrn.Priority._.list." localSheetId="3" hidden="1">{#N/A,#N/A,FALSE,"DI 2 YEAR MASTER SCHEDULE"}</definedName>
    <definedName name="wrn.Priority._.list." localSheetId="4" hidden="1">{#N/A,#N/A,FALSE,"DI 2 YEAR MASTER SCHEDULE"}</definedName>
    <definedName name="wrn.Priority._.list." localSheetId="1" hidden="1">{#N/A,#N/A,FALSE,"DI 2 YEAR MASTER SCHEDULE"}</definedName>
    <definedName name="wrn.Priority._.list." hidden="1">{#N/A,#N/A,FALSE,"DI 2 YEAR MASTER SCHEDULE"}</definedName>
    <definedName name="wrn.Prjcted._.Mnthly._.Qtys." localSheetId="2" hidden="1">{#N/A,#N/A,FALSE,"PRJCTED MNTHLY QTY's"}</definedName>
    <definedName name="wrn.Prjcted._.Mnthly._.Qtys." localSheetId="3" hidden="1">{#N/A,#N/A,FALSE,"PRJCTED MNTHLY QTY's"}</definedName>
    <definedName name="wrn.Prjcted._.Mnthly._.Qtys." localSheetId="4" hidden="1">{#N/A,#N/A,FALSE,"PRJCTED MNTHLY QTY's"}</definedName>
    <definedName name="wrn.Prjcted._.Mnthly._.Qtys." localSheetId="1" hidden="1">{#N/A,#N/A,FALSE,"PRJCTED MNTHLY QTY's"}</definedName>
    <definedName name="wrn.Prjcted._.Mnthly._.Qtys." hidden="1">{#N/A,#N/A,FALSE,"PRJCTED MNTHLY QTY's"}</definedName>
    <definedName name="wrn.Prjcted._.Qtrly._.Dollars." localSheetId="2" hidden="1">{#N/A,#N/A,FALSE,"PRJCTED QTRLY $'s"}</definedName>
    <definedName name="wrn.Prjcted._.Qtrly._.Dollars." localSheetId="3" hidden="1">{#N/A,#N/A,FALSE,"PRJCTED QTRLY $'s"}</definedName>
    <definedName name="wrn.Prjcted._.Qtrly._.Dollars." localSheetId="4" hidden="1">{#N/A,#N/A,FALSE,"PRJCTED QTRLY $'s"}</definedName>
    <definedName name="wrn.Prjcted._.Qtrly._.Dollars." localSheetId="1" hidden="1">{#N/A,#N/A,FALSE,"PRJCTED QTRLY $'s"}</definedName>
    <definedName name="wrn.Prjcted._.Qtrly._.Dollars." hidden="1">{#N/A,#N/A,FALSE,"PRJCTED QTRLY $'s"}</definedName>
    <definedName name="wrn.Prjcted._.Qtrly._.Qtys." localSheetId="2" hidden="1">{#N/A,#N/A,FALSE,"PRJCTED QTRLY QTY's"}</definedName>
    <definedName name="wrn.Prjcted._.Qtrly._.Qtys." localSheetId="3" hidden="1">{#N/A,#N/A,FALSE,"PRJCTED QTRLY QTY's"}</definedName>
    <definedName name="wrn.Prjcted._.Qtrly._.Qtys." localSheetId="4" hidden="1">{#N/A,#N/A,FALSE,"PRJCTED QTRLY QTY's"}</definedName>
    <definedName name="wrn.Prjcted._.Qtrly._.Qtys." localSheetId="1" hidden="1">{#N/A,#N/A,FALSE,"PRJCTED QTRLY QTY's"}</definedName>
    <definedName name="wrn.Prjcted._.Qtrly._.Qtys." hidden="1">{#N/A,#N/A,FALSE,"PRJCTED QTRLY QTY's"}</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localSheetId="3" hidden="1">{#N/A,#N/A,FALSE,"DI 2 YEAR MASTER SCHEDULE"}</definedName>
    <definedName name="x" localSheetId="4" hidden="1">{#N/A,#N/A,FALSE,"DI 2 YEAR MASTER SCHEDULE"}</definedName>
    <definedName name="x" localSheetId="1"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 hidden="1">{#N/A,#N/A,FALSE,"DI 2 YEAR MASTER SCHEDULE"}</definedName>
    <definedName name="z" localSheetId="3" hidden="1">{#N/A,#N/A,FALSE,"DI 2 YEAR MASTER SCHEDULE"}</definedName>
    <definedName name="z" localSheetId="4" hidden="1">{#N/A,#N/A,FALSE,"DI 2 YEAR MASTER SCHEDULE"}</definedName>
    <definedName name="z" localSheetId="1"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 hidden="1">#REF!</definedName>
    <definedName name="Z_9A428CE1_B4D9_11D0_A8AA_0000C071AEE7_.wvu.PrintArea" localSheetId="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251" i="33" l="1"/>
  <c r="AE1251" i="33"/>
  <c r="AD1251" i="33"/>
  <c r="AC1251" i="33"/>
  <c r="AB1251" i="33"/>
  <c r="AA1251" i="33"/>
  <c r="Y1251" i="33"/>
  <c r="X1251" i="33"/>
  <c r="W1251" i="33"/>
  <c r="V1251" i="33"/>
  <c r="U1251" i="33"/>
  <c r="T1251" i="33"/>
  <c r="R1251" i="33"/>
  <c r="Q1251" i="33"/>
  <c r="P1251" i="33"/>
  <c r="O1251" i="33"/>
  <c r="N1251" i="33"/>
  <c r="M1251" i="33"/>
  <c r="AF1245" i="33"/>
  <c r="AE1245" i="33"/>
  <c r="AD1245" i="33"/>
  <c r="AC1245" i="33"/>
  <c r="AB1245" i="33"/>
  <c r="AA1245" i="33"/>
  <c r="Y1245" i="33"/>
  <c r="X1245" i="33"/>
  <c r="W1245" i="33"/>
  <c r="V1245" i="33"/>
  <c r="U1245" i="33"/>
  <c r="T1245" i="33"/>
  <c r="R1245" i="33"/>
  <c r="Q1245" i="33"/>
  <c r="P1245" i="33"/>
  <c r="O1245" i="33"/>
  <c r="N1245" i="33"/>
  <c r="M1245" i="33"/>
  <c r="AF1239" i="33"/>
  <c r="AE1239" i="33"/>
  <c r="AD1239" i="33"/>
  <c r="AC1239" i="33"/>
  <c r="AB1239" i="33"/>
  <c r="AA1239" i="33"/>
  <c r="Y1239" i="33"/>
  <c r="X1239" i="33"/>
  <c r="W1239" i="33"/>
  <c r="V1239" i="33"/>
  <c r="U1239" i="33"/>
  <c r="T1239" i="33"/>
  <c r="R1239" i="33"/>
  <c r="Q1239" i="33"/>
  <c r="P1239" i="33"/>
  <c r="O1239" i="33"/>
  <c r="N1239" i="33"/>
  <c r="M1239" i="33"/>
  <c r="AF1233" i="33"/>
  <c r="AE1233" i="33"/>
  <c r="AD1233" i="33"/>
  <c r="AC1233" i="33"/>
  <c r="AB1233" i="33"/>
  <c r="AA1233" i="33"/>
  <c r="Y1233" i="33"/>
  <c r="X1233" i="33"/>
  <c r="W1233" i="33"/>
  <c r="V1233" i="33"/>
  <c r="U1233" i="33"/>
  <c r="T1233" i="33"/>
  <c r="R1233" i="33"/>
  <c r="Q1233" i="33"/>
  <c r="P1233" i="33"/>
  <c r="O1233" i="33"/>
  <c r="N1233" i="33"/>
  <c r="M1233" i="33"/>
  <c r="AF1227" i="33"/>
  <c r="AE1227" i="33"/>
  <c r="AD1227" i="33"/>
  <c r="AC1227" i="33"/>
  <c r="AB1227" i="33"/>
  <c r="AA1227" i="33"/>
  <c r="Y1227" i="33"/>
  <c r="X1227" i="33"/>
  <c r="W1227" i="33"/>
  <c r="V1227" i="33"/>
  <c r="U1227" i="33"/>
  <c r="T1227" i="33"/>
  <c r="R1227" i="33"/>
  <c r="Q1227" i="33"/>
  <c r="P1227" i="33"/>
  <c r="O1227" i="33"/>
  <c r="N1227" i="33"/>
  <c r="M1227" i="33"/>
  <c r="AF1219" i="33"/>
  <c r="AE1219" i="33"/>
  <c r="AD1219" i="33"/>
  <c r="AC1219" i="33"/>
  <c r="AB1219" i="33"/>
  <c r="AA1219" i="33"/>
  <c r="Y1219" i="33"/>
  <c r="X1219" i="33"/>
  <c r="W1219" i="33"/>
  <c r="V1219" i="33"/>
  <c r="U1219" i="33"/>
  <c r="T1219" i="33"/>
  <c r="R1219" i="33"/>
  <c r="Q1219" i="33"/>
  <c r="P1219" i="33"/>
  <c r="O1219" i="33"/>
  <c r="N1219" i="33"/>
  <c r="M1219" i="33"/>
  <c r="AF1213" i="33"/>
  <c r="AE1213" i="33"/>
  <c r="AD1213" i="33"/>
  <c r="AC1213" i="33"/>
  <c r="AB1213" i="33"/>
  <c r="AA1213" i="33"/>
  <c r="Y1213" i="33"/>
  <c r="X1213" i="33"/>
  <c r="W1213" i="33"/>
  <c r="V1213" i="33"/>
  <c r="U1213" i="33"/>
  <c r="T1213" i="33"/>
  <c r="R1213" i="33"/>
  <c r="Q1213" i="33"/>
  <c r="P1213" i="33"/>
  <c r="O1213" i="33"/>
  <c r="N1213" i="33"/>
  <c r="M1213" i="33"/>
  <c r="AF1207" i="33"/>
  <c r="AE1207" i="33"/>
  <c r="AD1207" i="33"/>
  <c r="AC1207" i="33"/>
  <c r="AB1207" i="33"/>
  <c r="AA1207" i="33"/>
  <c r="Y1207" i="33"/>
  <c r="X1207" i="33"/>
  <c r="W1207" i="33"/>
  <c r="V1207" i="33"/>
  <c r="U1207" i="33"/>
  <c r="T1207" i="33"/>
  <c r="R1207" i="33"/>
  <c r="Q1207" i="33"/>
  <c r="P1207" i="33"/>
  <c r="O1207" i="33"/>
  <c r="N1207" i="33"/>
  <c r="M1207" i="33"/>
  <c r="AF1201" i="33"/>
  <c r="AE1201" i="33"/>
  <c r="AD1201" i="33"/>
  <c r="AC1201" i="33"/>
  <c r="AB1201" i="33"/>
  <c r="AA1201" i="33"/>
  <c r="Y1201" i="33"/>
  <c r="X1201" i="33"/>
  <c r="W1201" i="33"/>
  <c r="V1201" i="33"/>
  <c r="U1201" i="33"/>
  <c r="T1201" i="33"/>
  <c r="R1201" i="33"/>
  <c r="Q1201" i="33"/>
  <c r="P1201" i="33"/>
  <c r="O1201" i="33"/>
  <c r="N1201" i="33"/>
  <c r="M1201" i="33"/>
  <c r="AF1195" i="33"/>
  <c r="AE1195" i="33"/>
  <c r="AD1195" i="33"/>
  <c r="AC1195" i="33"/>
  <c r="AB1195" i="33"/>
  <c r="AA1195" i="33"/>
  <c r="Y1195" i="33"/>
  <c r="X1195" i="33"/>
  <c r="W1195" i="33"/>
  <c r="V1195" i="33"/>
  <c r="U1195" i="33"/>
  <c r="T1195" i="33"/>
  <c r="R1195" i="33"/>
  <c r="Q1195" i="33"/>
  <c r="P1195" i="33"/>
  <c r="O1195" i="33"/>
  <c r="N1195" i="33"/>
  <c r="M1195" i="33"/>
  <c r="AF1187" i="33"/>
  <c r="AE1187" i="33"/>
  <c r="AD1187" i="33"/>
  <c r="AC1187" i="33"/>
  <c r="AB1187" i="33"/>
  <c r="AA1187" i="33"/>
  <c r="Y1187" i="33"/>
  <c r="X1187" i="33"/>
  <c r="W1187" i="33"/>
  <c r="V1187" i="33"/>
  <c r="U1187" i="33"/>
  <c r="T1187" i="33"/>
  <c r="R1187" i="33"/>
  <c r="Q1187" i="33"/>
  <c r="P1187" i="33"/>
  <c r="O1187" i="33"/>
  <c r="N1187" i="33"/>
  <c r="M1187" i="33"/>
  <c r="AF1181" i="33"/>
  <c r="AE1181" i="33"/>
  <c r="AD1181" i="33"/>
  <c r="AC1181" i="33"/>
  <c r="AB1181" i="33"/>
  <c r="AA1181" i="33"/>
  <c r="Y1181" i="33"/>
  <c r="X1181" i="33"/>
  <c r="W1181" i="33"/>
  <c r="V1181" i="33"/>
  <c r="U1181" i="33"/>
  <c r="T1181" i="33"/>
  <c r="R1181" i="33"/>
  <c r="Q1181" i="33"/>
  <c r="P1181" i="33"/>
  <c r="O1181" i="33"/>
  <c r="N1181" i="33"/>
  <c r="M1181" i="33"/>
  <c r="AF1175" i="33"/>
  <c r="AE1175" i="33"/>
  <c r="AD1175" i="33"/>
  <c r="AC1175" i="33"/>
  <c r="AB1175" i="33"/>
  <c r="AA1175" i="33"/>
  <c r="Y1175" i="33"/>
  <c r="X1175" i="33"/>
  <c r="W1175" i="33"/>
  <c r="V1175" i="33"/>
  <c r="U1175" i="33"/>
  <c r="T1175" i="33"/>
  <c r="R1175" i="33"/>
  <c r="Q1175" i="33"/>
  <c r="P1175" i="33"/>
  <c r="O1175" i="33"/>
  <c r="N1175" i="33"/>
  <c r="M1175" i="33"/>
  <c r="AF1169" i="33"/>
  <c r="AE1169" i="33"/>
  <c r="AD1169" i="33"/>
  <c r="AC1169" i="33"/>
  <c r="AB1169" i="33"/>
  <c r="AA1169" i="33"/>
  <c r="Y1169" i="33"/>
  <c r="X1169" i="33"/>
  <c r="W1169" i="33"/>
  <c r="V1169" i="33"/>
  <c r="U1169" i="33"/>
  <c r="T1169" i="33"/>
  <c r="R1169" i="33"/>
  <c r="Q1169" i="33"/>
  <c r="P1169" i="33"/>
  <c r="O1169" i="33"/>
  <c r="N1169" i="33"/>
  <c r="M1169" i="33"/>
  <c r="AF1163" i="33"/>
  <c r="AE1163" i="33"/>
  <c r="AD1163" i="33"/>
  <c r="AC1163" i="33"/>
  <c r="AB1163" i="33"/>
  <c r="AA1163" i="33"/>
  <c r="Y1163" i="33"/>
  <c r="X1163" i="33"/>
  <c r="W1163" i="33"/>
  <c r="V1163" i="33"/>
  <c r="U1163" i="33"/>
  <c r="T1163" i="33"/>
  <c r="R1163" i="33"/>
  <c r="Q1163" i="33"/>
  <c r="P1163" i="33"/>
  <c r="O1163" i="33"/>
  <c r="N1163" i="33"/>
  <c r="M1163" i="33"/>
  <c r="AF1155" i="33"/>
  <c r="AE1155" i="33"/>
  <c r="AD1155" i="33"/>
  <c r="AC1155" i="33"/>
  <c r="AB1155" i="33"/>
  <c r="AA1155" i="33"/>
  <c r="Y1155" i="33"/>
  <c r="X1155" i="33"/>
  <c r="W1155" i="33"/>
  <c r="V1155" i="33"/>
  <c r="U1155" i="33"/>
  <c r="T1155" i="33"/>
  <c r="R1155" i="33"/>
  <c r="Q1155" i="33"/>
  <c r="P1155" i="33"/>
  <c r="O1155" i="33"/>
  <c r="N1155" i="33"/>
  <c r="M1155" i="33"/>
  <c r="AF1149" i="33"/>
  <c r="AE1149" i="33"/>
  <c r="AD1149" i="33"/>
  <c r="AC1149" i="33"/>
  <c r="AB1149" i="33"/>
  <c r="AA1149" i="33"/>
  <c r="Y1149" i="33"/>
  <c r="X1149" i="33"/>
  <c r="W1149" i="33"/>
  <c r="V1149" i="33"/>
  <c r="U1149" i="33"/>
  <c r="T1149" i="33"/>
  <c r="R1149" i="33"/>
  <c r="Q1149" i="33"/>
  <c r="P1149" i="33"/>
  <c r="O1149" i="33"/>
  <c r="N1149" i="33"/>
  <c r="M1149" i="33"/>
  <c r="AF1143" i="33"/>
  <c r="AE1143" i="33"/>
  <c r="AD1143" i="33"/>
  <c r="AC1143" i="33"/>
  <c r="AB1143" i="33"/>
  <c r="AA1143" i="33"/>
  <c r="Y1143" i="33"/>
  <c r="X1143" i="33"/>
  <c r="W1143" i="33"/>
  <c r="V1143" i="33"/>
  <c r="U1143" i="33"/>
  <c r="T1143" i="33"/>
  <c r="R1143" i="33"/>
  <c r="Q1143" i="33"/>
  <c r="P1143" i="33"/>
  <c r="O1143" i="33"/>
  <c r="N1143" i="33"/>
  <c r="M1143" i="33"/>
  <c r="AF1137" i="33"/>
  <c r="AE1137" i="33"/>
  <c r="AD1137" i="33"/>
  <c r="AC1137" i="33"/>
  <c r="AB1137" i="33"/>
  <c r="AA1137" i="33"/>
  <c r="Y1137" i="33"/>
  <c r="X1137" i="33"/>
  <c r="W1137" i="33"/>
  <c r="V1137" i="33"/>
  <c r="U1137" i="33"/>
  <c r="T1137" i="33"/>
  <c r="R1137" i="33"/>
  <c r="Q1137" i="33"/>
  <c r="P1137" i="33"/>
  <c r="O1137" i="33"/>
  <c r="N1137" i="33"/>
  <c r="M1137" i="33"/>
  <c r="AF1131" i="33"/>
  <c r="AE1131" i="33"/>
  <c r="AD1131" i="33"/>
  <c r="AC1131" i="33"/>
  <c r="AB1131" i="33"/>
  <c r="AA1131" i="33"/>
  <c r="Y1131" i="33"/>
  <c r="X1131" i="33"/>
  <c r="W1131" i="33"/>
  <c r="V1131" i="33"/>
  <c r="U1131" i="33"/>
  <c r="T1131" i="33"/>
  <c r="R1131" i="33"/>
  <c r="Q1131" i="33"/>
  <c r="P1131" i="33"/>
  <c r="O1131" i="33"/>
  <c r="N1131" i="33"/>
  <c r="M1131" i="33"/>
  <c r="AF1123" i="33"/>
  <c r="AE1123" i="33"/>
  <c r="AD1123" i="33"/>
  <c r="AC1123" i="33"/>
  <c r="AB1123" i="33"/>
  <c r="AA1123" i="33"/>
  <c r="Y1123" i="33"/>
  <c r="X1123" i="33"/>
  <c r="W1123" i="33"/>
  <c r="V1123" i="33"/>
  <c r="U1123" i="33"/>
  <c r="T1123" i="33"/>
  <c r="R1123" i="33"/>
  <c r="Q1123" i="33"/>
  <c r="P1123" i="33"/>
  <c r="O1123" i="33"/>
  <c r="N1123" i="33"/>
  <c r="M1123" i="33"/>
  <c r="AF1117" i="33"/>
  <c r="AE1117" i="33"/>
  <c r="AD1117" i="33"/>
  <c r="AC1117" i="33"/>
  <c r="AB1117" i="33"/>
  <c r="AA1117" i="33"/>
  <c r="Y1117" i="33"/>
  <c r="X1117" i="33"/>
  <c r="W1117" i="33"/>
  <c r="V1117" i="33"/>
  <c r="U1117" i="33"/>
  <c r="T1117" i="33"/>
  <c r="R1117" i="33"/>
  <c r="Q1117" i="33"/>
  <c r="P1117" i="33"/>
  <c r="O1117" i="33"/>
  <c r="N1117" i="33"/>
  <c r="M1117" i="33"/>
  <c r="AF1111" i="33"/>
  <c r="AE1111" i="33"/>
  <c r="AD1111" i="33"/>
  <c r="AC1111" i="33"/>
  <c r="AB1111" i="33"/>
  <c r="AA1111" i="33"/>
  <c r="Y1111" i="33"/>
  <c r="X1111" i="33"/>
  <c r="W1111" i="33"/>
  <c r="V1111" i="33"/>
  <c r="U1111" i="33"/>
  <c r="T1111" i="33"/>
  <c r="R1111" i="33"/>
  <c r="Q1111" i="33"/>
  <c r="P1111" i="33"/>
  <c r="O1111" i="33"/>
  <c r="N1111" i="33"/>
  <c r="M1111" i="33"/>
  <c r="AF1105" i="33"/>
  <c r="AE1105" i="33"/>
  <c r="AD1105" i="33"/>
  <c r="AC1105" i="33"/>
  <c r="AB1105" i="33"/>
  <c r="AA1105" i="33"/>
  <c r="Y1105" i="33"/>
  <c r="X1105" i="33"/>
  <c r="W1105" i="33"/>
  <c r="V1105" i="33"/>
  <c r="U1105" i="33"/>
  <c r="T1105" i="33"/>
  <c r="R1105" i="33"/>
  <c r="Q1105" i="33"/>
  <c r="P1105" i="33"/>
  <c r="O1105" i="33"/>
  <c r="N1105" i="33"/>
  <c r="M1105" i="33"/>
  <c r="AF1099" i="33"/>
  <c r="AE1099" i="33"/>
  <c r="AD1099" i="33"/>
  <c r="AC1099" i="33"/>
  <c r="AB1099" i="33"/>
  <c r="AA1099" i="33"/>
  <c r="Y1099" i="33"/>
  <c r="M40" i="40" s="1" a="1"/>
  <c r="M40" i="40" s="1"/>
  <c r="X1099" i="33"/>
  <c r="W1099" i="33"/>
  <c r="V1099" i="33"/>
  <c r="U1099" i="33"/>
  <c r="T1099" i="33"/>
  <c r="R1099" i="33"/>
  <c r="Q1099" i="33"/>
  <c r="P1099" i="33"/>
  <c r="O1099" i="33"/>
  <c r="N1099" i="33"/>
  <c r="M1099" i="33"/>
  <c r="AF1091" i="33"/>
  <c r="AE1091" i="33"/>
  <c r="AD1091" i="33"/>
  <c r="AC1091" i="33"/>
  <c r="AB1091" i="33"/>
  <c r="AA1091" i="33"/>
  <c r="Y1091" i="33"/>
  <c r="X1091" i="33"/>
  <c r="W1091" i="33"/>
  <c r="V1091" i="33"/>
  <c r="U1091" i="33"/>
  <c r="T1091" i="33"/>
  <c r="R1091" i="33"/>
  <c r="Q1091" i="33"/>
  <c r="P1091" i="33"/>
  <c r="O1091" i="33"/>
  <c r="N1091" i="33"/>
  <c r="M1091" i="33"/>
  <c r="AF1085" i="33"/>
  <c r="AE1085" i="33"/>
  <c r="AD1085" i="33"/>
  <c r="AC1085" i="33"/>
  <c r="AB1085" i="33"/>
  <c r="AA1085" i="33"/>
  <c r="Y1085" i="33"/>
  <c r="X1085" i="33"/>
  <c r="W1085" i="33"/>
  <c r="V1085" i="33"/>
  <c r="U1085" i="33"/>
  <c r="T1085" i="33"/>
  <c r="R1085" i="33"/>
  <c r="Q1085" i="33"/>
  <c r="P1085" i="33"/>
  <c r="O1085" i="33"/>
  <c r="N1085" i="33"/>
  <c r="M1085" i="33"/>
  <c r="AF1079" i="33"/>
  <c r="AE1079" i="33"/>
  <c r="AD1079" i="33"/>
  <c r="AC1079" i="33"/>
  <c r="AB1079" i="33"/>
  <c r="AA1079" i="33"/>
  <c r="Y1079" i="33"/>
  <c r="X1079" i="33"/>
  <c r="W1079" i="33"/>
  <c r="V1079" i="33"/>
  <c r="U1079" i="33"/>
  <c r="T1079" i="33"/>
  <c r="R1079" i="33"/>
  <c r="Q1079" i="33"/>
  <c r="P1079" i="33"/>
  <c r="O1079" i="33"/>
  <c r="N1079" i="33"/>
  <c r="M1079" i="33"/>
  <c r="AF1073" i="33"/>
  <c r="AE1073" i="33"/>
  <c r="AD1073" i="33"/>
  <c r="AC1073" i="33"/>
  <c r="AB1073" i="33"/>
  <c r="AA1073" i="33"/>
  <c r="Y1073" i="33"/>
  <c r="X1073" i="33"/>
  <c r="W1073" i="33"/>
  <c r="V1073" i="33"/>
  <c r="U1073" i="33"/>
  <c r="T1073" i="33"/>
  <c r="R1073" i="33"/>
  <c r="Q1073" i="33"/>
  <c r="P1073" i="33"/>
  <c r="O1073" i="33"/>
  <c r="N1073" i="33"/>
  <c r="M1073" i="33"/>
  <c r="AF1067" i="33"/>
  <c r="AE1067" i="33"/>
  <c r="AD1067" i="33"/>
  <c r="AC1067" i="33"/>
  <c r="AB1067" i="33"/>
  <c r="AA1067" i="33"/>
  <c r="Y1067" i="33"/>
  <c r="X1067" i="33"/>
  <c r="W1067" i="33"/>
  <c r="V1067" i="33"/>
  <c r="U1067" i="33"/>
  <c r="T1067" i="33"/>
  <c r="R1067" i="33"/>
  <c r="Q1067" i="33"/>
  <c r="P1067" i="33"/>
  <c r="O1067" i="33"/>
  <c r="N1067" i="33"/>
  <c r="M1067" i="33"/>
  <c r="AF1059" i="33"/>
  <c r="AE1059" i="33"/>
  <c r="AD1059" i="33"/>
  <c r="AC1059" i="33"/>
  <c r="AB1059" i="33"/>
  <c r="AA1059" i="33"/>
  <c r="Y1059" i="33"/>
  <c r="X1059" i="33"/>
  <c r="W1059" i="33"/>
  <c r="V1059" i="33"/>
  <c r="U1059" i="33"/>
  <c r="T1059" i="33"/>
  <c r="R1059" i="33"/>
  <c r="Q1059" i="33"/>
  <c r="P1059" i="33"/>
  <c r="O1059" i="33"/>
  <c r="N1059" i="33"/>
  <c r="M1059" i="33"/>
  <c r="AF1053" i="33"/>
  <c r="AE1053" i="33"/>
  <c r="AD1053" i="33"/>
  <c r="AC1053" i="33"/>
  <c r="AB1053" i="33"/>
  <c r="AA1053" i="33"/>
  <c r="Y1053" i="33"/>
  <c r="X1053" i="33"/>
  <c r="W1053" i="33"/>
  <c r="V1053" i="33"/>
  <c r="U1053" i="33"/>
  <c r="T1053" i="33"/>
  <c r="R1053" i="33"/>
  <c r="Q1053" i="33"/>
  <c r="P1053" i="33"/>
  <c r="O1053" i="33"/>
  <c r="N1053" i="33"/>
  <c r="M1053" i="33"/>
  <c r="AF1047" i="33"/>
  <c r="AE1047" i="33"/>
  <c r="AD1047" i="33"/>
  <c r="AC1047" i="33"/>
  <c r="AB1047" i="33"/>
  <c r="AA1047" i="33"/>
  <c r="Y1047" i="33"/>
  <c r="X1047" i="33"/>
  <c r="W1047" i="33"/>
  <c r="V1047" i="33"/>
  <c r="U1047" i="33"/>
  <c r="T1047" i="33"/>
  <c r="R1047" i="33"/>
  <c r="Q1047" i="33"/>
  <c r="P1047" i="33"/>
  <c r="O1047" i="33"/>
  <c r="N1047" i="33"/>
  <c r="M1047" i="33"/>
  <c r="AF1041" i="33"/>
  <c r="AE1041" i="33"/>
  <c r="AD1041" i="33"/>
  <c r="AC1041" i="33"/>
  <c r="AB1041" i="33"/>
  <c r="AA1041" i="33"/>
  <c r="Y1041" i="33"/>
  <c r="X1041" i="33"/>
  <c r="W1041" i="33"/>
  <c r="V1041" i="33"/>
  <c r="U1041" i="33"/>
  <c r="T1041" i="33"/>
  <c r="R1041" i="33"/>
  <c r="Q1041" i="33"/>
  <c r="P1041" i="33"/>
  <c r="O1041" i="33"/>
  <c r="N1041" i="33"/>
  <c r="M1041" i="33"/>
  <c r="AF1035" i="33"/>
  <c r="AE1035" i="33"/>
  <c r="AD1035" i="33"/>
  <c r="AC1035" i="33"/>
  <c r="AB1035" i="33"/>
  <c r="AA1035" i="33"/>
  <c r="Y1035" i="33"/>
  <c r="X1035" i="33"/>
  <c r="W1035" i="33"/>
  <c r="V1035" i="33"/>
  <c r="U1035" i="33"/>
  <c r="T1035" i="33"/>
  <c r="R1035" i="33"/>
  <c r="Q1035" i="33"/>
  <c r="P1035" i="33"/>
  <c r="O1035" i="33"/>
  <c r="N1035" i="33"/>
  <c r="M1035" i="33"/>
  <c r="AF1027" i="33"/>
  <c r="AE1027" i="33"/>
  <c r="AD1027" i="33"/>
  <c r="AC1027" i="33"/>
  <c r="AB1027" i="33"/>
  <c r="AA1027" i="33"/>
  <c r="Y1027" i="33"/>
  <c r="X1027" i="33"/>
  <c r="W1027" i="33"/>
  <c r="V1027" i="33"/>
  <c r="U1027" i="33"/>
  <c r="T1027" i="33"/>
  <c r="R1027" i="33"/>
  <c r="Q1027" i="33"/>
  <c r="P1027" i="33"/>
  <c r="O1027" i="33"/>
  <c r="N1027" i="33"/>
  <c r="M1027" i="33"/>
  <c r="AF1021" i="33"/>
  <c r="AE1021" i="33"/>
  <c r="AD1021" i="33"/>
  <c r="AC1021" i="33"/>
  <c r="AB1021" i="33"/>
  <c r="AA1021" i="33"/>
  <c r="Y1021" i="33"/>
  <c r="X1021" i="33"/>
  <c r="W1021" i="33"/>
  <c r="V1021" i="33"/>
  <c r="U1021" i="33"/>
  <c r="T1021" i="33"/>
  <c r="R1021" i="33"/>
  <c r="Q1021" i="33"/>
  <c r="P1021" i="33"/>
  <c r="O1021" i="33"/>
  <c r="N1021" i="33"/>
  <c r="M1021" i="33"/>
  <c r="AF1015" i="33"/>
  <c r="AE1015" i="33"/>
  <c r="AD1015" i="33"/>
  <c r="AC1015" i="33"/>
  <c r="AB1015" i="33"/>
  <c r="AA1015" i="33"/>
  <c r="Y1015" i="33"/>
  <c r="X1015" i="33"/>
  <c r="W1015" i="33"/>
  <c r="V1015" i="33"/>
  <c r="U1015" i="33"/>
  <c r="T1015" i="33"/>
  <c r="R1015" i="33"/>
  <c r="Q1015" i="33"/>
  <c r="P1015" i="33"/>
  <c r="O1015" i="33"/>
  <c r="N1015" i="33"/>
  <c r="M1015" i="33"/>
  <c r="AF1009" i="33"/>
  <c r="AE1009" i="33"/>
  <c r="AD1009" i="33"/>
  <c r="AC1009" i="33"/>
  <c r="AB1009" i="33"/>
  <c r="AA1009" i="33"/>
  <c r="Y1009" i="33"/>
  <c r="X1009" i="33"/>
  <c r="W1009" i="33"/>
  <c r="V1009" i="33"/>
  <c r="U1009" i="33"/>
  <c r="T1009" i="33"/>
  <c r="R1009" i="33"/>
  <c r="Q1009" i="33"/>
  <c r="P1009" i="33"/>
  <c r="O1009" i="33"/>
  <c r="N1009" i="33"/>
  <c r="M1009" i="33"/>
  <c r="AF1003" i="33"/>
  <c r="AE1003" i="33"/>
  <c r="AD1003" i="33"/>
  <c r="AC1003" i="33"/>
  <c r="AB1003" i="33"/>
  <c r="AA1003" i="33"/>
  <c r="Y1003" i="33"/>
  <c r="X1003" i="33"/>
  <c r="W1003" i="33"/>
  <c r="V1003" i="33"/>
  <c r="U1003" i="33"/>
  <c r="T1003" i="33"/>
  <c r="R1003" i="33"/>
  <c r="Q1003" i="33"/>
  <c r="P1003" i="33"/>
  <c r="O1003" i="33"/>
  <c r="N1003" i="33"/>
  <c r="M1003" i="33"/>
  <c r="AF835" i="33"/>
  <c r="AE835" i="33"/>
  <c r="AD835" i="33"/>
  <c r="AC835" i="33"/>
  <c r="AB835" i="33"/>
  <c r="AA835" i="33"/>
  <c r="Y835" i="33"/>
  <c r="X835" i="33"/>
  <c r="W835" i="33"/>
  <c r="V835" i="33"/>
  <c r="U835" i="33"/>
  <c r="T835" i="33"/>
  <c r="R835" i="33"/>
  <c r="Q835" i="33"/>
  <c r="P835" i="33"/>
  <c r="O835" i="33"/>
  <c r="N835" i="33"/>
  <c r="M835" i="33"/>
  <c r="AF829" i="33"/>
  <c r="AE829" i="33"/>
  <c r="AD829" i="33"/>
  <c r="AC829" i="33"/>
  <c r="AB829" i="33"/>
  <c r="AA829" i="33"/>
  <c r="Y829" i="33"/>
  <c r="X829" i="33"/>
  <c r="W829" i="33"/>
  <c r="V829" i="33"/>
  <c r="U829" i="33"/>
  <c r="T829" i="33"/>
  <c r="R829" i="33"/>
  <c r="Q829" i="33"/>
  <c r="P829" i="33"/>
  <c r="O829" i="33"/>
  <c r="N829" i="33"/>
  <c r="M829" i="33"/>
  <c r="AF823" i="33"/>
  <c r="AE823" i="33"/>
  <c r="AD823" i="33"/>
  <c r="AC823" i="33"/>
  <c r="AB823" i="33"/>
  <c r="AA823" i="33"/>
  <c r="Y823" i="33"/>
  <c r="X823" i="33"/>
  <c r="W823" i="33"/>
  <c r="V823" i="33"/>
  <c r="U823" i="33"/>
  <c r="T823" i="33"/>
  <c r="R823" i="33"/>
  <c r="Q823" i="33"/>
  <c r="P823" i="33"/>
  <c r="O823" i="33"/>
  <c r="N823" i="33"/>
  <c r="M823" i="33"/>
  <c r="AF817" i="33"/>
  <c r="AE817" i="33"/>
  <c r="AD817" i="33"/>
  <c r="AC817" i="33"/>
  <c r="AB817" i="33"/>
  <c r="AA817" i="33"/>
  <c r="Y817" i="33"/>
  <c r="X817" i="33"/>
  <c r="W817" i="33"/>
  <c r="V817" i="33"/>
  <c r="U817" i="33"/>
  <c r="T817" i="33"/>
  <c r="R817" i="33"/>
  <c r="Q817" i="33"/>
  <c r="P817" i="33"/>
  <c r="O817" i="33"/>
  <c r="N817" i="33"/>
  <c r="M817" i="33"/>
  <c r="AF811" i="33"/>
  <c r="AE811" i="33"/>
  <c r="AD811" i="33"/>
  <c r="AC811" i="33"/>
  <c r="AB811" i="33"/>
  <c r="AA811" i="33"/>
  <c r="Y811" i="33"/>
  <c r="X811" i="33"/>
  <c r="W811" i="33"/>
  <c r="V811" i="33"/>
  <c r="U811" i="33"/>
  <c r="T811" i="33"/>
  <c r="R811" i="33"/>
  <c r="Q811" i="33"/>
  <c r="P811" i="33"/>
  <c r="O811" i="33"/>
  <c r="N811" i="33"/>
  <c r="M811" i="33"/>
  <c r="AF803" i="33"/>
  <c r="AE803" i="33"/>
  <c r="AD803" i="33"/>
  <c r="AC803" i="33"/>
  <c r="AB803" i="33"/>
  <c r="AA803" i="33"/>
  <c r="Y803" i="33"/>
  <c r="X803" i="33"/>
  <c r="W803" i="33"/>
  <c r="V803" i="33"/>
  <c r="U803" i="33"/>
  <c r="T803" i="33"/>
  <c r="R803" i="33"/>
  <c r="Q803" i="33"/>
  <c r="P803" i="33"/>
  <c r="O803" i="33"/>
  <c r="N803" i="33"/>
  <c r="M803" i="33"/>
  <c r="AF797" i="33"/>
  <c r="AE797" i="33"/>
  <c r="AD797" i="33"/>
  <c r="AC797" i="33"/>
  <c r="AB797" i="33"/>
  <c r="AA797" i="33"/>
  <c r="Y797" i="33"/>
  <c r="X797" i="33"/>
  <c r="W797" i="33"/>
  <c r="V797" i="33"/>
  <c r="U797" i="33"/>
  <c r="T797" i="33"/>
  <c r="R797" i="33"/>
  <c r="Q797" i="33"/>
  <c r="P797" i="33"/>
  <c r="O797" i="33"/>
  <c r="N797" i="33"/>
  <c r="M797" i="33"/>
  <c r="AF791" i="33"/>
  <c r="AE791" i="33"/>
  <c r="AD791" i="33"/>
  <c r="AC791" i="33"/>
  <c r="AB791" i="33"/>
  <c r="AA791" i="33"/>
  <c r="Y791" i="33"/>
  <c r="X791" i="33"/>
  <c r="W791" i="33"/>
  <c r="V791" i="33"/>
  <c r="U791" i="33"/>
  <c r="T791" i="33"/>
  <c r="R791" i="33"/>
  <c r="Q791" i="33"/>
  <c r="P791" i="33"/>
  <c r="O791" i="33"/>
  <c r="N791" i="33"/>
  <c r="M791" i="33"/>
  <c r="AF785" i="33"/>
  <c r="AE785" i="33"/>
  <c r="AD785" i="33"/>
  <c r="AC785" i="33"/>
  <c r="AB785" i="33"/>
  <c r="AA785" i="33"/>
  <c r="Y785" i="33"/>
  <c r="X785" i="33"/>
  <c r="W785" i="33"/>
  <c r="V785" i="33"/>
  <c r="U785" i="33"/>
  <c r="T785" i="33"/>
  <c r="R785" i="33"/>
  <c r="Q785" i="33"/>
  <c r="P785" i="33"/>
  <c r="O785" i="33"/>
  <c r="N785" i="33"/>
  <c r="M785" i="33"/>
  <c r="AF779" i="33"/>
  <c r="AE779" i="33"/>
  <c r="AD779" i="33"/>
  <c r="AC779" i="33"/>
  <c r="AB779" i="33"/>
  <c r="AA779" i="33"/>
  <c r="Y779" i="33"/>
  <c r="X779" i="33"/>
  <c r="W779" i="33"/>
  <c r="V779" i="33"/>
  <c r="U779" i="33"/>
  <c r="T779" i="33"/>
  <c r="R779" i="33"/>
  <c r="Q779" i="33"/>
  <c r="P779" i="33"/>
  <c r="O779" i="33"/>
  <c r="N779" i="33"/>
  <c r="M779" i="33"/>
  <c r="AF771" i="33"/>
  <c r="AE771" i="33"/>
  <c r="AD771" i="33"/>
  <c r="AC771" i="33"/>
  <c r="AB771" i="33"/>
  <c r="AA771" i="33"/>
  <c r="Y771" i="33"/>
  <c r="X771" i="33"/>
  <c r="W771" i="33"/>
  <c r="V771" i="33"/>
  <c r="U771" i="33"/>
  <c r="T771" i="33"/>
  <c r="R771" i="33"/>
  <c r="Q771" i="33"/>
  <c r="P771" i="33"/>
  <c r="O771" i="33"/>
  <c r="N771" i="33"/>
  <c r="M771" i="33"/>
  <c r="AF765" i="33"/>
  <c r="AE765" i="33"/>
  <c r="AD765" i="33"/>
  <c r="AC765" i="33"/>
  <c r="AB765" i="33"/>
  <c r="AA765" i="33"/>
  <c r="Y765" i="33"/>
  <c r="X765" i="33"/>
  <c r="W765" i="33"/>
  <c r="V765" i="33"/>
  <c r="U765" i="33"/>
  <c r="T765" i="33"/>
  <c r="R765" i="33"/>
  <c r="Q765" i="33"/>
  <c r="P765" i="33"/>
  <c r="O765" i="33"/>
  <c r="N765" i="33"/>
  <c r="M765" i="33"/>
  <c r="AF759" i="33"/>
  <c r="AE759" i="33"/>
  <c r="AD759" i="33"/>
  <c r="AC759" i="33"/>
  <c r="AB759" i="33"/>
  <c r="AA759" i="33"/>
  <c r="Y759" i="33"/>
  <c r="X759" i="33"/>
  <c r="W759" i="33"/>
  <c r="V759" i="33"/>
  <c r="U759" i="33"/>
  <c r="T759" i="33"/>
  <c r="R759" i="33"/>
  <c r="Q759" i="33"/>
  <c r="P759" i="33"/>
  <c r="O759" i="33"/>
  <c r="N759" i="33"/>
  <c r="M759" i="33"/>
  <c r="AF753" i="33"/>
  <c r="AE753" i="33"/>
  <c r="AD753" i="33"/>
  <c r="AC753" i="33"/>
  <c r="AB753" i="33"/>
  <c r="AA753" i="33"/>
  <c r="Y753" i="33"/>
  <c r="X753" i="33"/>
  <c r="W753" i="33"/>
  <c r="V753" i="33"/>
  <c r="U753" i="33"/>
  <c r="T753" i="33"/>
  <c r="R753" i="33"/>
  <c r="Q753" i="33"/>
  <c r="P753" i="33"/>
  <c r="O753" i="33"/>
  <c r="N753" i="33"/>
  <c r="M753" i="33"/>
  <c r="AF747" i="33"/>
  <c r="AE747" i="33"/>
  <c r="AD747" i="33"/>
  <c r="AC747" i="33"/>
  <c r="AB747" i="33"/>
  <c r="AA747" i="33"/>
  <c r="Y747" i="33"/>
  <c r="X747" i="33"/>
  <c r="W747" i="33"/>
  <c r="V747" i="33"/>
  <c r="U747" i="33"/>
  <c r="T747" i="33"/>
  <c r="R747" i="33"/>
  <c r="Q747" i="33"/>
  <c r="P747" i="33"/>
  <c r="O747" i="33"/>
  <c r="N747" i="33"/>
  <c r="M747" i="33"/>
  <c r="AF739" i="33"/>
  <c r="AE739" i="33"/>
  <c r="AD739" i="33"/>
  <c r="AC739" i="33"/>
  <c r="AB739" i="33"/>
  <c r="AA739" i="33"/>
  <c r="Y739" i="33"/>
  <c r="X739" i="33"/>
  <c r="W739" i="33"/>
  <c r="V739" i="33"/>
  <c r="U739" i="33"/>
  <c r="T739" i="33"/>
  <c r="R739" i="33"/>
  <c r="Q739" i="33"/>
  <c r="P739" i="33"/>
  <c r="O739" i="33"/>
  <c r="N739" i="33"/>
  <c r="M739" i="33"/>
  <c r="AF733" i="33"/>
  <c r="AE733" i="33"/>
  <c r="AD733" i="33"/>
  <c r="AC733" i="33"/>
  <c r="AB733" i="33"/>
  <c r="AA733" i="33"/>
  <c r="Y733" i="33"/>
  <c r="X733" i="33"/>
  <c r="W733" i="33"/>
  <c r="V733" i="33"/>
  <c r="U733" i="33"/>
  <c r="T733" i="33"/>
  <c r="R733" i="33"/>
  <c r="Q733" i="33"/>
  <c r="P733" i="33"/>
  <c r="O733" i="33"/>
  <c r="N733" i="33"/>
  <c r="M733" i="33"/>
  <c r="AF727" i="33"/>
  <c r="AE727" i="33"/>
  <c r="AD727" i="33"/>
  <c r="AC727" i="33"/>
  <c r="AB727" i="33"/>
  <c r="AA727" i="33"/>
  <c r="Y727" i="33"/>
  <c r="X727" i="33"/>
  <c r="W727" i="33"/>
  <c r="V727" i="33"/>
  <c r="U727" i="33"/>
  <c r="T727" i="33"/>
  <c r="R727" i="33"/>
  <c r="Q727" i="33"/>
  <c r="P727" i="33"/>
  <c r="O727" i="33"/>
  <c r="N727" i="33"/>
  <c r="M727" i="33"/>
  <c r="AF721" i="33"/>
  <c r="AE721" i="33"/>
  <c r="AD721" i="33"/>
  <c r="AC721" i="33"/>
  <c r="AB721" i="33"/>
  <c r="AA721" i="33"/>
  <c r="Y721" i="33"/>
  <c r="X721" i="33"/>
  <c r="W721" i="33"/>
  <c r="V721" i="33"/>
  <c r="U721" i="33"/>
  <c r="T721" i="33"/>
  <c r="R721" i="33"/>
  <c r="Q721" i="33"/>
  <c r="P721" i="33"/>
  <c r="O721" i="33"/>
  <c r="N721" i="33"/>
  <c r="M721" i="33"/>
  <c r="AF715" i="33"/>
  <c r="AE715" i="33"/>
  <c r="AD715" i="33"/>
  <c r="AC715" i="33"/>
  <c r="AB715" i="33"/>
  <c r="AA715" i="33"/>
  <c r="Y715" i="33"/>
  <c r="X715" i="33"/>
  <c r="W715" i="33"/>
  <c r="V715" i="33"/>
  <c r="U715" i="33"/>
  <c r="T715" i="33"/>
  <c r="R715" i="33"/>
  <c r="Q715" i="33"/>
  <c r="P715" i="33"/>
  <c r="O715" i="33"/>
  <c r="N715" i="33"/>
  <c r="M715" i="33"/>
  <c r="AF707" i="33"/>
  <c r="AE707" i="33"/>
  <c r="AD707" i="33"/>
  <c r="AC707" i="33"/>
  <c r="AB707" i="33"/>
  <c r="AA707" i="33"/>
  <c r="Y707" i="33"/>
  <c r="X707" i="33"/>
  <c r="W707" i="33"/>
  <c r="V707" i="33"/>
  <c r="U707" i="33"/>
  <c r="T707" i="33"/>
  <c r="R707" i="33"/>
  <c r="Q707" i="33"/>
  <c r="P707" i="33"/>
  <c r="O707" i="33"/>
  <c r="N707" i="33"/>
  <c r="M707" i="33"/>
  <c r="AF701" i="33"/>
  <c r="AE701" i="33"/>
  <c r="AD701" i="33"/>
  <c r="AC701" i="33"/>
  <c r="AB701" i="33"/>
  <c r="AA701" i="33"/>
  <c r="Y701" i="33"/>
  <c r="X701" i="33"/>
  <c r="W701" i="33"/>
  <c r="V701" i="33"/>
  <c r="U701" i="33"/>
  <c r="T701" i="33"/>
  <c r="R701" i="33"/>
  <c r="Q701" i="33"/>
  <c r="P701" i="33"/>
  <c r="O701" i="33"/>
  <c r="N701" i="33"/>
  <c r="M701" i="33"/>
  <c r="AF695" i="33"/>
  <c r="AE695" i="33"/>
  <c r="AD695" i="33"/>
  <c r="AC695" i="33"/>
  <c r="AB695" i="33"/>
  <c r="AA695" i="33"/>
  <c r="Y695" i="33"/>
  <c r="X695" i="33"/>
  <c r="W695" i="33"/>
  <c r="V695" i="33"/>
  <c r="U695" i="33"/>
  <c r="T695" i="33"/>
  <c r="R695" i="33"/>
  <c r="Q695" i="33"/>
  <c r="P695" i="33"/>
  <c r="O695" i="33"/>
  <c r="N695" i="33"/>
  <c r="M695" i="33"/>
  <c r="AF689" i="33"/>
  <c r="AE689" i="33"/>
  <c r="AD689" i="33"/>
  <c r="AC689" i="33"/>
  <c r="AB689" i="33"/>
  <c r="AA689" i="33"/>
  <c r="Y689" i="33"/>
  <c r="X689" i="33"/>
  <c r="W689" i="33"/>
  <c r="V689" i="33"/>
  <c r="U689" i="33"/>
  <c r="T689" i="33"/>
  <c r="R689" i="33"/>
  <c r="Q689" i="33"/>
  <c r="P689" i="33"/>
  <c r="O689" i="33"/>
  <c r="N689" i="33"/>
  <c r="M689" i="33"/>
  <c r="AF683" i="33"/>
  <c r="AE683" i="33"/>
  <c r="AD683" i="33"/>
  <c r="AC683" i="33"/>
  <c r="AB683" i="33"/>
  <c r="AA683" i="33"/>
  <c r="Y683" i="33"/>
  <c r="X683" i="33"/>
  <c r="W683" i="33"/>
  <c r="V683" i="33"/>
  <c r="U683" i="33"/>
  <c r="T683" i="33"/>
  <c r="R683" i="33"/>
  <c r="Q683" i="33"/>
  <c r="P683" i="33"/>
  <c r="O683" i="33"/>
  <c r="N683" i="33"/>
  <c r="M683" i="33"/>
  <c r="AF675" i="33"/>
  <c r="AE675" i="33"/>
  <c r="AD675" i="33"/>
  <c r="AC675" i="33"/>
  <c r="AB675" i="33"/>
  <c r="AA675" i="33"/>
  <c r="Y675" i="33"/>
  <c r="X675" i="33"/>
  <c r="W675" i="33"/>
  <c r="V675" i="33"/>
  <c r="U675" i="33"/>
  <c r="T675" i="33"/>
  <c r="R675" i="33"/>
  <c r="Q675" i="33"/>
  <c r="P675" i="33"/>
  <c r="O675" i="33"/>
  <c r="N675" i="33"/>
  <c r="M675" i="33"/>
  <c r="AF669" i="33"/>
  <c r="AE669" i="33"/>
  <c r="AD669" i="33"/>
  <c r="AC669" i="33"/>
  <c r="AB669" i="33"/>
  <c r="AA669" i="33"/>
  <c r="Y669" i="33"/>
  <c r="X669" i="33"/>
  <c r="W669" i="33"/>
  <c r="V669" i="33"/>
  <c r="U669" i="33"/>
  <c r="T669" i="33"/>
  <c r="R669" i="33"/>
  <c r="Q669" i="33"/>
  <c r="P669" i="33"/>
  <c r="O669" i="33"/>
  <c r="N669" i="33"/>
  <c r="M669" i="33"/>
  <c r="AF663" i="33"/>
  <c r="AE663" i="33"/>
  <c r="AD663" i="33"/>
  <c r="AC663" i="33"/>
  <c r="AB663" i="33"/>
  <c r="AA663" i="33"/>
  <c r="Y663" i="33"/>
  <c r="X663" i="33"/>
  <c r="W663" i="33"/>
  <c r="V663" i="33"/>
  <c r="U663" i="33"/>
  <c r="T663" i="33"/>
  <c r="R663" i="33"/>
  <c r="Q663" i="33"/>
  <c r="P663" i="33"/>
  <c r="O663" i="33"/>
  <c r="N663" i="33"/>
  <c r="M663" i="33"/>
  <c r="AF657" i="33"/>
  <c r="AE657" i="33"/>
  <c r="AD657" i="33"/>
  <c r="AC657" i="33"/>
  <c r="AB657" i="33"/>
  <c r="AA657" i="33"/>
  <c r="Y657" i="33"/>
  <c r="X657" i="33"/>
  <c r="W657" i="33"/>
  <c r="V657" i="33"/>
  <c r="U657" i="33"/>
  <c r="T657" i="33"/>
  <c r="R657" i="33"/>
  <c r="Q657" i="33"/>
  <c r="P657" i="33"/>
  <c r="O657" i="33"/>
  <c r="N657" i="33"/>
  <c r="M657" i="33"/>
  <c r="AF651" i="33"/>
  <c r="AE651" i="33"/>
  <c r="AD651" i="33"/>
  <c r="AC651" i="33"/>
  <c r="AB651" i="33"/>
  <c r="AA651" i="33"/>
  <c r="Y651" i="33"/>
  <c r="X651" i="33"/>
  <c r="W651" i="33"/>
  <c r="V651" i="33"/>
  <c r="U651" i="33"/>
  <c r="T651" i="33"/>
  <c r="R651" i="33"/>
  <c r="Q651" i="33"/>
  <c r="P651" i="33"/>
  <c r="O651" i="33"/>
  <c r="N651" i="33"/>
  <c r="M651" i="33"/>
  <c r="AF643" i="33"/>
  <c r="AE643" i="33"/>
  <c r="AD643" i="33"/>
  <c r="AC643" i="33"/>
  <c r="AB643" i="33"/>
  <c r="AA643" i="33"/>
  <c r="Y643" i="33"/>
  <c r="X643" i="33"/>
  <c r="W643" i="33"/>
  <c r="V643" i="33"/>
  <c r="U643" i="33"/>
  <c r="T643" i="33"/>
  <c r="R643" i="33"/>
  <c r="Q643" i="33"/>
  <c r="P643" i="33"/>
  <c r="O643" i="33"/>
  <c r="N643" i="33"/>
  <c r="M643" i="33"/>
  <c r="AF637" i="33"/>
  <c r="AE637" i="33"/>
  <c r="AD637" i="33"/>
  <c r="AC637" i="33"/>
  <c r="AB637" i="33"/>
  <c r="AA637" i="33"/>
  <c r="Y637" i="33"/>
  <c r="X637" i="33"/>
  <c r="W637" i="33"/>
  <c r="V637" i="33"/>
  <c r="U637" i="33"/>
  <c r="T637" i="33"/>
  <c r="R637" i="33"/>
  <c r="Q637" i="33"/>
  <c r="P637" i="33"/>
  <c r="O637" i="33"/>
  <c r="N637" i="33"/>
  <c r="M637" i="33"/>
  <c r="AF631" i="33"/>
  <c r="AE631" i="33"/>
  <c r="AD631" i="33"/>
  <c r="AC631" i="33"/>
  <c r="AB631" i="33"/>
  <c r="AA631" i="33"/>
  <c r="Y631" i="33"/>
  <c r="X631" i="33"/>
  <c r="W631" i="33"/>
  <c r="V631" i="33"/>
  <c r="U631" i="33"/>
  <c r="T631" i="33"/>
  <c r="R631" i="33"/>
  <c r="Q631" i="33"/>
  <c r="P631" i="33"/>
  <c r="O631" i="33"/>
  <c r="N631" i="33"/>
  <c r="M631" i="33"/>
  <c r="AF625" i="33"/>
  <c r="AE625" i="33"/>
  <c r="AD625" i="33"/>
  <c r="AC625" i="33"/>
  <c r="AB625" i="33"/>
  <c r="AA625" i="33"/>
  <c r="Y625" i="33"/>
  <c r="X625" i="33"/>
  <c r="W625" i="33"/>
  <c r="V625" i="33"/>
  <c r="U625" i="33"/>
  <c r="T625" i="33"/>
  <c r="R625" i="33"/>
  <c r="Q625" i="33"/>
  <c r="P625" i="33"/>
  <c r="O625" i="33"/>
  <c r="N625" i="33"/>
  <c r="M625" i="33"/>
  <c r="AF619" i="33"/>
  <c r="AE619" i="33"/>
  <c r="AD619" i="33"/>
  <c r="AC619" i="33"/>
  <c r="AB619" i="33"/>
  <c r="AA619" i="33"/>
  <c r="Y619" i="33"/>
  <c r="X619" i="33"/>
  <c r="W619" i="33"/>
  <c r="V619" i="33"/>
  <c r="U619" i="33"/>
  <c r="T619" i="33"/>
  <c r="R619" i="33"/>
  <c r="Q619" i="33"/>
  <c r="P619" i="33"/>
  <c r="O619" i="33"/>
  <c r="N619" i="33"/>
  <c r="M619" i="33"/>
  <c r="AF611" i="33"/>
  <c r="AE611" i="33"/>
  <c r="AD611" i="33"/>
  <c r="AC611" i="33"/>
  <c r="AB611" i="33"/>
  <c r="AA611" i="33"/>
  <c r="Y611" i="33"/>
  <c r="X611" i="33"/>
  <c r="W611" i="33"/>
  <c r="V611" i="33"/>
  <c r="U611" i="33"/>
  <c r="T611" i="33"/>
  <c r="R611" i="33"/>
  <c r="Q611" i="33"/>
  <c r="P611" i="33"/>
  <c r="O611" i="33"/>
  <c r="N611" i="33"/>
  <c r="M611" i="33"/>
  <c r="AF605" i="33"/>
  <c r="AE605" i="33"/>
  <c r="AD605" i="33"/>
  <c r="AC605" i="33"/>
  <c r="AB605" i="33"/>
  <c r="AA605" i="33"/>
  <c r="Y605" i="33"/>
  <c r="X605" i="33"/>
  <c r="W605" i="33"/>
  <c r="V605" i="33"/>
  <c r="U605" i="33"/>
  <c r="T605" i="33"/>
  <c r="R605" i="33"/>
  <c r="Q605" i="33"/>
  <c r="P605" i="33"/>
  <c r="O605" i="33"/>
  <c r="N605" i="33"/>
  <c r="M605" i="33"/>
  <c r="AF599" i="33"/>
  <c r="AE599" i="33"/>
  <c r="AD599" i="33"/>
  <c r="AC599" i="33"/>
  <c r="AB599" i="33"/>
  <c r="AA599" i="33"/>
  <c r="Y599" i="33"/>
  <c r="X599" i="33"/>
  <c r="W599" i="33"/>
  <c r="V599" i="33"/>
  <c r="U599" i="33"/>
  <c r="T599" i="33"/>
  <c r="R599" i="33"/>
  <c r="Q599" i="33"/>
  <c r="P599" i="33"/>
  <c r="O599" i="33"/>
  <c r="N599" i="33"/>
  <c r="M599" i="33"/>
  <c r="AF593" i="33"/>
  <c r="AE593" i="33"/>
  <c r="AD593" i="33"/>
  <c r="AC593" i="33"/>
  <c r="AB593" i="33"/>
  <c r="AA593" i="33"/>
  <c r="Y593" i="33"/>
  <c r="X593" i="33"/>
  <c r="W593" i="33"/>
  <c r="V593" i="33"/>
  <c r="U593" i="33"/>
  <c r="T593" i="33"/>
  <c r="R593" i="33"/>
  <c r="Q593" i="33"/>
  <c r="P593" i="33"/>
  <c r="O593" i="33"/>
  <c r="N593" i="33"/>
  <c r="M593" i="33"/>
  <c r="AF587" i="33"/>
  <c r="AE587" i="33"/>
  <c r="AD587" i="33"/>
  <c r="AC587" i="33"/>
  <c r="AB587" i="33"/>
  <c r="AA587" i="33"/>
  <c r="Y587" i="33"/>
  <c r="X587" i="33"/>
  <c r="W587" i="33"/>
  <c r="V587" i="33"/>
  <c r="U587" i="33"/>
  <c r="T587" i="33"/>
  <c r="R587" i="33"/>
  <c r="Q587" i="33"/>
  <c r="P587" i="33"/>
  <c r="O587" i="33"/>
  <c r="N587" i="33"/>
  <c r="M587" i="33"/>
  <c r="AF419" i="33"/>
  <c r="AE419" i="33"/>
  <c r="AD419" i="33"/>
  <c r="AC419" i="33"/>
  <c r="AB419" i="33"/>
  <c r="AA419" i="33"/>
  <c r="Y419" i="33"/>
  <c r="X419" i="33"/>
  <c r="W419" i="33"/>
  <c r="V419" i="33"/>
  <c r="U419" i="33"/>
  <c r="T419" i="33"/>
  <c r="R419" i="33"/>
  <c r="Q419" i="33"/>
  <c r="P419" i="33"/>
  <c r="O419" i="33"/>
  <c r="N419" i="33"/>
  <c r="M419" i="33"/>
  <c r="AF413" i="33"/>
  <c r="AE413" i="33"/>
  <c r="AD413" i="33"/>
  <c r="AC413" i="33"/>
  <c r="AB413" i="33"/>
  <c r="AA413" i="33"/>
  <c r="Y413" i="33"/>
  <c r="X413" i="33"/>
  <c r="W413" i="33"/>
  <c r="V413" i="33"/>
  <c r="U413" i="33"/>
  <c r="T413" i="33"/>
  <c r="R413" i="33"/>
  <c r="Q413" i="33"/>
  <c r="P413" i="33"/>
  <c r="O413" i="33"/>
  <c r="N413" i="33"/>
  <c r="M413" i="33"/>
  <c r="AF407" i="33"/>
  <c r="AE407" i="33"/>
  <c r="AD407" i="33"/>
  <c r="AC407" i="33"/>
  <c r="AB407" i="33"/>
  <c r="AA407" i="33"/>
  <c r="Y407" i="33"/>
  <c r="X407" i="33"/>
  <c r="W407" i="33"/>
  <c r="V407" i="33"/>
  <c r="U407" i="33"/>
  <c r="T407" i="33"/>
  <c r="R407" i="33"/>
  <c r="Q407" i="33"/>
  <c r="P407" i="33"/>
  <c r="O407" i="33"/>
  <c r="N407" i="33"/>
  <c r="M407" i="33"/>
  <c r="AF401" i="33"/>
  <c r="AE401" i="33"/>
  <c r="AD401" i="33"/>
  <c r="AC401" i="33"/>
  <c r="AB401" i="33"/>
  <c r="AA401" i="33"/>
  <c r="Y401" i="33"/>
  <c r="X401" i="33"/>
  <c r="W401" i="33"/>
  <c r="V401" i="33"/>
  <c r="U401" i="33"/>
  <c r="T401" i="33"/>
  <c r="R401" i="33"/>
  <c r="Q401" i="33"/>
  <c r="P401" i="33"/>
  <c r="O401" i="33"/>
  <c r="N401" i="33"/>
  <c r="M401" i="33"/>
  <c r="AF395" i="33"/>
  <c r="AE395" i="33"/>
  <c r="AD395" i="33"/>
  <c r="AC395" i="33"/>
  <c r="AB395" i="33"/>
  <c r="AA395" i="33"/>
  <c r="Y395" i="33"/>
  <c r="X395" i="33"/>
  <c r="W395" i="33"/>
  <c r="V395" i="33"/>
  <c r="U395" i="33"/>
  <c r="T395" i="33"/>
  <c r="R395" i="33"/>
  <c r="Q395" i="33"/>
  <c r="P395" i="33"/>
  <c r="O395" i="33"/>
  <c r="N395" i="33"/>
  <c r="M395" i="33"/>
  <c r="AF387" i="33"/>
  <c r="AE387" i="33"/>
  <c r="AD387" i="33"/>
  <c r="AC387" i="33"/>
  <c r="AB387" i="33"/>
  <c r="AA387" i="33"/>
  <c r="Y387" i="33"/>
  <c r="X387" i="33"/>
  <c r="W387" i="33"/>
  <c r="V387" i="33"/>
  <c r="U387" i="33"/>
  <c r="T387" i="33"/>
  <c r="R387" i="33"/>
  <c r="Q387" i="33"/>
  <c r="P387" i="33"/>
  <c r="O387" i="33"/>
  <c r="N387" i="33"/>
  <c r="M387" i="33"/>
  <c r="AF381" i="33"/>
  <c r="AE381" i="33"/>
  <c r="AD381" i="33"/>
  <c r="AC381" i="33"/>
  <c r="AB381" i="33"/>
  <c r="AA381" i="33"/>
  <c r="Y381" i="33"/>
  <c r="X381" i="33"/>
  <c r="W381" i="33"/>
  <c r="V381" i="33"/>
  <c r="U381" i="33"/>
  <c r="T381" i="33"/>
  <c r="R381" i="33"/>
  <c r="Q381" i="33"/>
  <c r="P381" i="33"/>
  <c r="O381" i="33"/>
  <c r="N381" i="33"/>
  <c r="M381" i="33"/>
  <c r="AF375" i="33"/>
  <c r="AE375" i="33"/>
  <c r="AD375" i="33"/>
  <c r="AC375" i="33"/>
  <c r="AB375" i="33"/>
  <c r="AA375" i="33"/>
  <c r="Y375" i="33"/>
  <c r="X375" i="33"/>
  <c r="W375" i="33"/>
  <c r="V375" i="33"/>
  <c r="U375" i="33"/>
  <c r="T375" i="33"/>
  <c r="R375" i="33"/>
  <c r="Q375" i="33"/>
  <c r="P375" i="33"/>
  <c r="O375" i="33"/>
  <c r="N375" i="33"/>
  <c r="M375" i="33"/>
  <c r="AF369" i="33"/>
  <c r="AE369" i="33"/>
  <c r="AD369" i="33"/>
  <c r="AC369" i="33"/>
  <c r="AB369" i="33"/>
  <c r="AA369" i="33"/>
  <c r="Y369" i="33"/>
  <c r="X369" i="33"/>
  <c r="W369" i="33"/>
  <c r="V369" i="33"/>
  <c r="U369" i="33"/>
  <c r="T369" i="33"/>
  <c r="R369" i="33"/>
  <c r="Q369" i="33"/>
  <c r="P369" i="33"/>
  <c r="O369" i="33"/>
  <c r="N369" i="33"/>
  <c r="M369" i="33"/>
  <c r="AF363" i="33"/>
  <c r="AE363" i="33"/>
  <c r="AD363" i="33"/>
  <c r="AC363" i="33"/>
  <c r="AB363" i="33"/>
  <c r="AA363" i="33"/>
  <c r="Y363" i="33"/>
  <c r="X363" i="33"/>
  <c r="W363" i="33"/>
  <c r="V363" i="33"/>
  <c r="U363" i="33"/>
  <c r="T363" i="33"/>
  <c r="R363" i="33"/>
  <c r="Q363" i="33"/>
  <c r="P363" i="33"/>
  <c r="O363" i="33"/>
  <c r="N363" i="33"/>
  <c r="M363" i="33"/>
  <c r="AF355" i="33"/>
  <c r="AE355" i="33"/>
  <c r="AD355" i="33"/>
  <c r="AC355" i="33"/>
  <c r="AB355" i="33"/>
  <c r="AA355" i="33"/>
  <c r="Y355" i="33"/>
  <c r="X355" i="33"/>
  <c r="W355" i="33"/>
  <c r="V355" i="33"/>
  <c r="U355" i="33"/>
  <c r="T355" i="33"/>
  <c r="R355" i="33"/>
  <c r="Q355" i="33"/>
  <c r="P355" i="33"/>
  <c r="O355" i="33"/>
  <c r="N355" i="33"/>
  <c r="M355" i="33"/>
  <c r="AF349" i="33"/>
  <c r="AE349" i="33"/>
  <c r="AD349" i="33"/>
  <c r="AC349" i="33"/>
  <c r="AB349" i="33"/>
  <c r="AA349" i="33"/>
  <c r="Y349" i="33"/>
  <c r="X349" i="33"/>
  <c r="W349" i="33"/>
  <c r="V349" i="33"/>
  <c r="U349" i="33"/>
  <c r="T349" i="33"/>
  <c r="R349" i="33"/>
  <c r="Q349" i="33"/>
  <c r="P349" i="33"/>
  <c r="O349" i="33"/>
  <c r="N349" i="33"/>
  <c r="M349" i="33"/>
  <c r="AF343" i="33"/>
  <c r="AE343" i="33"/>
  <c r="AD343" i="33"/>
  <c r="AC343" i="33"/>
  <c r="AB343" i="33"/>
  <c r="AA343" i="33"/>
  <c r="Y343" i="33"/>
  <c r="X343" i="33"/>
  <c r="W343" i="33"/>
  <c r="V343" i="33"/>
  <c r="U343" i="33"/>
  <c r="T343" i="33"/>
  <c r="R343" i="33"/>
  <c r="Q343" i="33"/>
  <c r="P343" i="33"/>
  <c r="O343" i="33"/>
  <c r="N343" i="33"/>
  <c r="M343" i="33"/>
  <c r="AF337" i="33"/>
  <c r="AE337" i="33"/>
  <c r="AD337" i="33"/>
  <c r="AC337" i="33"/>
  <c r="AB337" i="33"/>
  <c r="AA337" i="33"/>
  <c r="Y337" i="33"/>
  <c r="X337" i="33"/>
  <c r="W337" i="33"/>
  <c r="V337" i="33"/>
  <c r="U337" i="33"/>
  <c r="T337" i="33"/>
  <c r="R337" i="33"/>
  <c r="Q337" i="33"/>
  <c r="P337" i="33"/>
  <c r="O337" i="33"/>
  <c r="N337" i="33"/>
  <c r="M337" i="33"/>
  <c r="AF331" i="33"/>
  <c r="AE331" i="33"/>
  <c r="AD331" i="33"/>
  <c r="AC331" i="33"/>
  <c r="AB331" i="33"/>
  <c r="AA331" i="33"/>
  <c r="Y331" i="33"/>
  <c r="X331" i="33"/>
  <c r="W331" i="33"/>
  <c r="V331" i="33"/>
  <c r="U331" i="33"/>
  <c r="T331" i="33"/>
  <c r="R331" i="33"/>
  <c r="Q331" i="33"/>
  <c r="P331" i="33"/>
  <c r="O331" i="33"/>
  <c r="N331" i="33"/>
  <c r="M331" i="33"/>
  <c r="AF323" i="33"/>
  <c r="AE323" i="33"/>
  <c r="AD323" i="33"/>
  <c r="AC323" i="33"/>
  <c r="AB323" i="33"/>
  <c r="AA323" i="33"/>
  <c r="Y323" i="33"/>
  <c r="X323" i="33"/>
  <c r="W323" i="33"/>
  <c r="V323" i="33"/>
  <c r="U323" i="33"/>
  <c r="T323" i="33"/>
  <c r="R323" i="33"/>
  <c r="Q323" i="33"/>
  <c r="P323" i="33"/>
  <c r="O323" i="33"/>
  <c r="N323" i="33"/>
  <c r="M323" i="33"/>
  <c r="AF317" i="33"/>
  <c r="AE317" i="33"/>
  <c r="AD317" i="33"/>
  <c r="AC317" i="33"/>
  <c r="AB317" i="33"/>
  <c r="AA317" i="33"/>
  <c r="Y317" i="33"/>
  <c r="X317" i="33"/>
  <c r="W317" i="33"/>
  <c r="V317" i="33"/>
  <c r="U317" i="33"/>
  <c r="T317" i="33"/>
  <c r="R317" i="33"/>
  <c r="Q317" i="33"/>
  <c r="P317" i="33"/>
  <c r="O317" i="33"/>
  <c r="N317" i="33"/>
  <c r="M317" i="33"/>
  <c r="AF311" i="33"/>
  <c r="AE311" i="33"/>
  <c r="AD311" i="33"/>
  <c r="AC311" i="33"/>
  <c r="AB311" i="33"/>
  <c r="AA311" i="33"/>
  <c r="Y311" i="33"/>
  <c r="X311" i="33"/>
  <c r="W311" i="33"/>
  <c r="V311" i="33"/>
  <c r="U311" i="33"/>
  <c r="T311" i="33"/>
  <c r="R311" i="33"/>
  <c r="Q311" i="33"/>
  <c r="P311" i="33"/>
  <c r="O311" i="33"/>
  <c r="N311" i="33"/>
  <c r="M311" i="33"/>
  <c r="AF305" i="33"/>
  <c r="AE305" i="33"/>
  <c r="AD305" i="33"/>
  <c r="AC305" i="33"/>
  <c r="AB305" i="33"/>
  <c r="AA305" i="33"/>
  <c r="Y305" i="33"/>
  <c r="X305" i="33"/>
  <c r="W305" i="33"/>
  <c r="V305" i="33"/>
  <c r="U305" i="33"/>
  <c r="T305" i="33"/>
  <c r="R305" i="33"/>
  <c r="Q305" i="33"/>
  <c r="P305" i="33"/>
  <c r="O305" i="33"/>
  <c r="N305" i="33"/>
  <c r="M305" i="33"/>
  <c r="AF299" i="33"/>
  <c r="AE299" i="33"/>
  <c r="AD299" i="33"/>
  <c r="AC299" i="33"/>
  <c r="AB299" i="33"/>
  <c r="AA299" i="33"/>
  <c r="Y299" i="33"/>
  <c r="X299" i="33"/>
  <c r="W299" i="33"/>
  <c r="V299" i="33"/>
  <c r="U299" i="33"/>
  <c r="T299" i="33"/>
  <c r="R299" i="33"/>
  <c r="Q299" i="33"/>
  <c r="P299" i="33"/>
  <c r="O299" i="33"/>
  <c r="N299" i="33"/>
  <c r="M299" i="33"/>
  <c r="AF291" i="33"/>
  <c r="AE291" i="33"/>
  <c r="AD291" i="33"/>
  <c r="AC291" i="33"/>
  <c r="AB291" i="33"/>
  <c r="AA291" i="33"/>
  <c r="Y291" i="33"/>
  <c r="X291" i="33"/>
  <c r="W291" i="33"/>
  <c r="V291" i="33"/>
  <c r="U291" i="33"/>
  <c r="T291" i="33"/>
  <c r="R291" i="33"/>
  <c r="Q291" i="33"/>
  <c r="P291" i="33"/>
  <c r="O291" i="33"/>
  <c r="N291" i="33"/>
  <c r="M291" i="33"/>
  <c r="AF285" i="33"/>
  <c r="AE285" i="33"/>
  <c r="AD285" i="33"/>
  <c r="AC285" i="33"/>
  <c r="AB285" i="33"/>
  <c r="AA285" i="33"/>
  <c r="Y285" i="33"/>
  <c r="X285" i="33"/>
  <c r="W285" i="33"/>
  <c r="V285" i="33"/>
  <c r="U285" i="33"/>
  <c r="T285" i="33"/>
  <c r="R285" i="33"/>
  <c r="Q285" i="33"/>
  <c r="P285" i="33"/>
  <c r="O285" i="33"/>
  <c r="N285" i="33"/>
  <c r="M285" i="33"/>
  <c r="AF279" i="33"/>
  <c r="AE279" i="33"/>
  <c r="AD279" i="33"/>
  <c r="AC279" i="33"/>
  <c r="AB279" i="33"/>
  <c r="AA279" i="33"/>
  <c r="Y279" i="33"/>
  <c r="X279" i="33"/>
  <c r="W279" i="33"/>
  <c r="V279" i="33"/>
  <c r="U279" i="33"/>
  <c r="T279" i="33"/>
  <c r="R279" i="33"/>
  <c r="Q279" i="33"/>
  <c r="P279" i="33"/>
  <c r="O279" i="33"/>
  <c r="N279" i="33"/>
  <c r="M279" i="33"/>
  <c r="AF273" i="33"/>
  <c r="AE273" i="33"/>
  <c r="AD273" i="33"/>
  <c r="AC273" i="33"/>
  <c r="AB273" i="33"/>
  <c r="AA273" i="33"/>
  <c r="Y273" i="33"/>
  <c r="X273" i="33"/>
  <c r="W273" i="33"/>
  <c r="V273" i="33"/>
  <c r="U273" i="33"/>
  <c r="T273" i="33"/>
  <c r="R273" i="33"/>
  <c r="Q273" i="33"/>
  <c r="P273" i="33"/>
  <c r="O273" i="33"/>
  <c r="N273" i="33"/>
  <c r="M273" i="33"/>
  <c r="AF267" i="33"/>
  <c r="AE267" i="33"/>
  <c r="AD267" i="33"/>
  <c r="AC267" i="33"/>
  <c r="AB267" i="33"/>
  <c r="AA267" i="33"/>
  <c r="Y267" i="33"/>
  <c r="X267" i="33"/>
  <c r="W267" i="33"/>
  <c r="V267" i="33"/>
  <c r="U267" i="33"/>
  <c r="T267" i="33"/>
  <c r="R267" i="33"/>
  <c r="Q267" i="33"/>
  <c r="P267" i="33"/>
  <c r="O267" i="33"/>
  <c r="N267" i="33"/>
  <c r="M267" i="33"/>
  <c r="AF259" i="33"/>
  <c r="AE259" i="33"/>
  <c r="AD259" i="33"/>
  <c r="AC259" i="33"/>
  <c r="AB259" i="33"/>
  <c r="AA259" i="33"/>
  <c r="Y259" i="33"/>
  <c r="X259" i="33"/>
  <c r="W259" i="33"/>
  <c r="V259" i="33"/>
  <c r="U259" i="33"/>
  <c r="T259" i="33"/>
  <c r="R259" i="33"/>
  <c r="Q259" i="33"/>
  <c r="P259" i="33"/>
  <c r="O259" i="33"/>
  <c r="N259" i="33"/>
  <c r="M259" i="33"/>
  <c r="AF253" i="33"/>
  <c r="AE253" i="33"/>
  <c r="AD253" i="33"/>
  <c r="AC253" i="33"/>
  <c r="AB253" i="33"/>
  <c r="AA253" i="33"/>
  <c r="Y253" i="33"/>
  <c r="X253" i="33"/>
  <c r="W253" i="33"/>
  <c r="V253" i="33"/>
  <c r="U253" i="33"/>
  <c r="T253" i="33"/>
  <c r="R253" i="33"/>
  <c r="Q253" i="33"/>
  <c r="P253" i="33"/>
  <c r="O253" i="33"/>
  <c r="N253" i="33"/>
  <c r="M253" i="33"/>
  <c r="AF247" i="33"/>
  <c r="AE247" i="33"/>
  <c r="AD247" i="33"/>
  <c r="AC247" i="33"/>
  <c r="AB247" i="33"/>
  <c r="AA247" i="33"/>
  <c r="Y247" i="33"/>
  <c r="X247" i="33"/>
  <c r="W247" i="33"/>
  <c r="V247" i="33"/>
  <c r="U247" i="33"/>
  <c r="T247" i="33"/>
  <c r="R247" i="33"/>
  <c r="Q247" i="33"/>
  <c r="P247" i="33"/>
  <c r="O247" i="33"/>
  <c r="N247" i="33"/>
  <c r="M247" i="33"/>
  <c r="AF241" i="33"/>
  <c r="AE241" i="33"/>
  <c r="AD241" i="33"/>
  <c r="AC241" i="33"/>
  <c r="AB241" i="33"/>
  <c r="AA241" i="33"/>
  <c r="Y241" i="33"/>
  <c r="X241" i="33"/>
  <c r="W241" i="33"/>
  <c r="V241" i="33"/>
  <c r="U241" i="33"/>
  <c r="T241" i="33"/>
  <c r="R241" i="33"/>
  <c r="Q241" i="33"/>
  <c r="P241" i="33"/>
  <c r="O241" i="33"/>
  <c r="N241" i="33"/>
  <c r="M241" i="33"/>
  <c r="AF235" i="33"/>
  <c r="AE235" i="33"/>
  <c r="AD235" i="33"/>
  <c r="AC235" i="33"/>
  <c r="AB235" i="33"/>
  <c r="AA235" i="33"/>
  <c r="Y235" i="33"/>
  <c r="X235" i="33"/>
  <c r="W235" i="33"/>
  <c r="V235" i="33"/>
  <c r="U235" i="33"/>
  <c r="T235" i="33"/>
  <c r="R235" i="33"/>
  <c r="Q235" i="33"/>
  <c r="P235" i="33"/>
  <c r="O235" i="33"/>
  <c r="N235" i="33"/>
  <c r="M235" i="33"/>
  <c r="AF227" i="33"/>
  <c r="AE227" i="33"/>
  <c r="AD227" i="33"/>
  <c r="AC227" i="33"/>
  <c r="AB227" i="33"/>
  <c r="AA227" i="33"/>
  <c r="Y227" i="33"/>
  <c r="X227" i="33"/>
  <c r="W227" i="33"/>
  <c r="V227" i="33"/>
  <c r="U227" i="33"/>
  <c r="T227" i="33"/>
  <c r="R227" i="33"/>
  <c r="Q227" i="33"/>
  <c r="P227" i="33"/>
  <c r="O227" i="33"/>
  <c r="N227" i="33"/>
  <c r="M227" i="33"/>
  <c r="AF221" i="33"/>
  <c r="AE221" i="33"/>
  <c r="AD221" i="33"/>
  <c r="AC221" i="33"/>
  <c r="AB221" i="33"/>
  <c r="AA221" i="33"/>
  <c r="Y221" i="33"/>
  <c r="X221" i="33"/>
  <c r="W221" i="33"/>
  <c r="V221" i="33"/>
  <c r="U221" i="33"/>
  <c r="T221" i="33"/>
  <c r="R221" i="33"/>
  <c r="Q221" i="33"/>
  <c r="P221" i="33"/>
  <c r="O221" i="33"/>
  <c r="N221" i="33"/>
  <c r="M221" i="33"/>
  <c r="AF215" i="33"/>
  <c r="AE215" i="33"/>
  <c r="AD215" i="33"/>
  <c r="AC215" i="33"/>
  <c r="AB215" i="33"/>
  <c r="AA215" i="33"/>
  <c r="Y215" i="33"/>
  <c r="X215" i="33"/>
  <c r="W215" i="33"/>
  <c r="V215" i="33"/>
  <c r="U215" i="33"/>
  <c r="T215" i="33"/>
  <c r="R215" i="33"/>
  <c r="Q215" i="33"/>
  <c r="P215" i="33"/>
  <c r="O215" i="33"/>
  <c r="N215" i="33"/>
  <c r="M215" i="33"/>
  <c r="AF209" i="33"/>
  <c r="AE209" i="33"/>
  <c r="AD209" i="33"/>
  <c r="AC209" i="33"/>
  <c r="AB209" i="33"/>
  <c r="AA209" i="33"/>
  <c r="Y209" i="33"/>
  <c r="X209" i="33"/>
  <c r="W209" i="33"/>
  <c r="V209" i="33"/>
  <c r="U209" i="33"/>
  <c r="T209" i="33"/>
  <c r="R209" i="33"/>
  <c r="Q209" i="33"/>
  <c r="P209" i="33"/>
  <c r="O209" i="33"/>
  <c r="N209" i="33"/>
  <c r="M209" i="33"/>
  <c r="AF203" i="33"/>
  <c r="AE203" i="33"/>
  <c r="AD203" i="33"/>
  <c r="AC203" i="33"/>
  <c r="AB203" i="33"/>
  <c r="AA203" i="33"/>
  <c r="Y203" i="33"/>
  <c r="X203" i="33"/>
  <c r="W203" i="33"/>
  <c r="V203" i="33"/>
  <c r="U203" i="33"/>
  <c r="T203" i="33"/>
  <c r="R203" i="33"/>
  <c r="Q203" i="33"/>
  <c r="P203" i="33"/>
  <c r="O203" i="33"/>
  <c r="N203" i="33"/>
  <c r="M203" i="33"/>
  <c r="AF195" i="33"/>
  <c r="AE195" i="33"/>
  <c r="AD195" i="33"/>
  <c r="AC195" i="33"/>
  <c r="AB195" i="33"/>
  <c r="AA195" i="33"/>
  <c r="Y195" i="33"/>
  <c r="X195" i="33"/>
  <c r="W195" i="33"/>
  <c r="V195" i="33"/>
  <c r="U195" i="33"/>
  <c r="T195" i="33"/>
  <c r="R195" i="33"/>
  <c r="Q195" i="33"/>
  <c r="P195" i="33"/>
  <c r="O195" i="33"/>
  <c r="N195" i="33"/>
  <c r="M195" i="33"/>
  <c r="AF189" i="33"/>
  <c r="AE189" i="33"/>
  <c r="AD189" i="33"/>
  <c r="AC189" i="33"/>
  <c r="AB189" i="33"/>
  <c r="AA189" i="33"/>
  <c r="Y189" i="33"/>
  <c r="X189" i="33"/>
  <c r="W189" i="33"/>
  <c r="V189" i="33"/>
  <c r="U189" i="33"/>
  <c r="T189" i="33"/>
  <c r="R189" i="33"/>
  <c r="Q189" i="33"/>
  <c r="P189" i="33"/>
  <c r="O189" i="33"/>
  <c r="N189" i="33"/>
  <c r="M189" i="33"/>
  <c r="AF183" i="33"/>
  <c r="AE183" i="33"/>
  <c r="AD183" i="33"/>
  <c r="AC183" i="33"/>
  <c r="AB183" i="33"/>
  <c r="AA183" i="33"/>
  <c r="Y183" i="33"/>
  <c r="X183" i="33"/>
  <c r="W183" i="33"/>
  <c r="V183" i="33"/>
  <c r="U183" i="33"/>
  <c r="T183" i="33"/>
  <c r="R183" i="33"/>
  <c r="Q183" i="33"/>
  <c r="P183" i="33"/>
  <c r="O183" i="33"/>
  <c r="N183" i="33"/>
  <c r="M183" i="33"/>
  <c r="AF177" i="33"/>
  <c r="AE177" i="33"/>
  <c r="AD177" i="33"/>
  <c r="AC177" i="33"/>
  <c r="AB177" i="33"/>
  <c r="AA177" i="33"/>
  <c r="Y177" i="33"/>
  <c r="X177" i="33"/>
  <c r="W177" i="33"/>
  <c r="V177" i="33"/>
  <c r="U177" i="33"/>
  <c r="T177" i="33"/>
  <c r="R177" i="33"/>
  <c r="Q177" i="33"/>
  <c r="P177" i="33"/>
  <c r="O177" i="33"/>
  <c r="N177" i="33"/>
  <c r="M177" i="33"/>
  <c r="AF171" i="33"/>
  <c r="AE171" i="33"/>
  <c r="AD171" i="33"/>
  <c r="AC171" i="33"/>
  <c r="AB171" i="33"/>
  <c r="AA171" i="33"/>
  <c r="Y171" i="33"/>
  <c r="X171" i="33"/>
  <c r="W171" i="33"/>
  <c r="V171" i="33"/>
  <c r="U171" i="33"/>
  <c r="T171" i="33"/>
  <c r="R171" i="33"/>
  <c r="Q171" i="33"/>
  <c r="P171" i="33"/>
  <c r="O171" i="33"/>
  <c r="N171" i="33"/>
  <c r="M171" i="33"/>
  <c r="D383" i="34"/>
  <c r="D384" i="34"/>
  <c r="D385" i="34"/>
  <c r="D386" i="34"/>
  <c r="D387" i="34"/>
  <c r="E383" i="34"/>
  <c r="F383" i="34"/>
  <c r="G383" i="34"/>
  <c r="H383" i="34"/>
  <c r="I383" i="34"/>
  <c r="J383" i="34"/>
  <c r="K383" i="34"/>
  <c r="L383" i="34"/>
  <c r="M383" i="34"/>
  <c r="E384" i="34"/>
  <c r="F384" i="34"/>
  <c r="G384" i="34"/>
  <c r="H384" i="34"/>
  <c r="I384" i="34"/>
  <c r="J384" i="34"/>
  <c r="K384" i="34"/>
  <c r="L384" i="34"/>
  <c r="M384" i="34"/>
  <c r="E385" i="34"/>
  <c r="F385" i="34"/>
  <c r="G385" i="34"/>
  <c r="H385" i="34"/>
  <c r="I385" i="34"/>
  <c r="J385" i="34"/>
  <c r="K385" i="34"/>
  <c r="L385" i="34"/>
  <c r="M385" i="34"/>
  <c r="E386" i="34"/>
  <c r="F386" i="34"/>
  <c r="G386" i="34"/>
  <c r="H386" i="34"/>
  <c r="I386" i="34"/>
  <c r="J386" i="34"/>
  <c r="K386" i="34"/>
  <c r="L386" i="34"/>
  <c r="M386" i="34"/>
  <c r="E387" i="34"/>
  <c r="F387" i="34"/>
  <c r="G387" i="34"/>
  <c r="H387" i="34"/>
  <c r="I387" i="34"/>
  <c r="J387" i="34"/>
  <c r="K387" i="34"/>
  <c r="L387" i="34"/>
  <c r="M387" i="34"/>
  <c r="E388" i="34"/>
  <c r="F388" i="34"/>
  <c r="G388" i="34"/>
  <c r="H388" i="34"/>
  <c r="I388" i="34"/>
  <c r="J388" i="34"/>
  <c r="K388" i="34"/>
  <c r="L388" i="34"/>
  <c r="M388" i="34"/>
  <c r="N388" i="34"/>
  <c r="N387" i="34"/>
  <c r="N386" i="34"/>
  <c r="N385" i="34"/>
  <c r="N384" i="34"/>
  <c r="N383" i="34"/>
  <c r="O387" i="34"/>
  <c r="O386" i="34"/>
  <c r="O385" i="34"/>
  <c r="O384" i="34"/>
  <c r="O383" i="34"/>
  <c r="CQ1955" i="33"/>
  <c r="CQ1954" i="33"/>
  <c r="CQ1953" i="33"/>
  <c r="CQ1952" i="33"/>
  <c r="CQ1951" i="33"/>
  <c r="CQ1948" i="33"/>
  <c r="CQ1947" i="33"/>
  <c r="CQ1949" i="33" s="1"/>
  <c r="CQ1946" i="33"/>
  <c r="CQ1945" i="33"/>
  <c r="CQ1942" i="33"/>
  <c r="CQ1941" i="33"/>
  <c r="CQ1940" i="33"/>
  <c r="CQ1939" i="33"/>
  <c r="CQ1943" i="33" s="1"/>
  <c r="CQ1937" i="33"/>
  <c r="CQ1936" i="33"/>
  <c r="CQ1935" i="33"/>
  <c r="CQ1934" i="33"/>
  <c r="CQ1933" i="33"/>
  <c r="CQ1930" i="33"/>
  <c r="CQ1929" i="33"/>
  <c r="CQ1928" i="33"/>
  <c r="R66" i="40" s="1"/>
  <c r="CQ1927" i="33"/>
  <c r="CQ1931" i="33" s="1"/>
  <c r="CQ1922" i="33"/>
  <c r="CQ1921" i="33"/>
  <c r="CQ1920" i="33"/>
  <c r="CQ1919" i="33"/>
  <c r="CQ1923" i="33" s="1"/>
  <c r="CQ1916" i="33"/>
  <c r="CQ1915" i="33"/>
  <c r="CQ1914" i="33"/>
  <c r="CQ1917" i="33" s="1"/>
  <c r="CQ1913" i="33"/>
  <c r="CQ1910" i="33"/>
  <c r="CQ1909" i="33"/>
  <c r="CQ1908" i="33"/>
  <c r="CQ1907" i="33"/>
  <c r="CQ1911" i="33" s="1"/>
  <c r="CQ1905" i="33"/>
  <c r="CQ1904" i="33"/>
  <c r="CQ1903" i="33"/>
  <c r="CQ1902" i="33"/>
  <c r="CQ1901" i="33"/>
  <c r="CQ1898" i="33"/>
  <c r="CQ1897" i="33"/>
  <c r="CQ1899" i="33" s="1"/>
  <c r="CQ1896" i="33"/>
  <c r="CQ1895" i="33"/>
  <c r="CQ1890" i="33"/>
  <c r="CQ1889" i="33"/>
  <c r="CQ1888" i="33"/>
  <c r="CQ1887" i="33"/>
  <c r="CQ1891" i="33" s="1"/>
  <c r="CQ1885" i="33"/>
  <c r="CQ1884" i="33"/>
  <c r="CQ1883" i="33"/>
  <c r="CQ1882" i="33"/>
  <c r="CQ1881" i="33"/>
  <c r="CQ1878" i="33"/>
  <c r="CQ1877" i="33"/>
  <c r="CQ1876" i="33"/>
  <c r="CQ1875" i="33"/>
  <c r="CQ1879" i="33" s="1"/>
  <c r="CQ1872" i="33"/>
  <c r="CQ1871" i="33"/>
  <c r="CQ1870" i="33"/>
  <c r="CQ1869" i="33"/>
  <c r="CQ1873" i="33" s="1"/>
  <c r="CQ1866" i="33"/>
  <c r="CQ1865" i="33"/>
  <c r="CQ1864" i="33"/>
  <c r="CQ1867" i="33" s="1"/>
  <c r="CQ1863" i="33"/>
  <c r="CQ1858" i="33"/>
  <c r="CQ1857" i="33"/>
  <c r="CQ1856" i="33"/>
  <c r="CQ1855" i="33"/>
  <c r="CQ1859" i="33" s="1"/>
  <c r="CQ1852" i="33"/>
  <c r="CQ1853" i="33" s="1"/>
  <c r="CQ1851" i="33"/>
  <c r="CQ1850" i="33"/>
  <c r="CQ1849" i="33"/>
  <c r="CQ1846" i="33"/>
  <c r="CQ1845" i="33"/>
  <c r="T63" i="40" s="1"/>
  <c r="CQ1844" i="33"/>
  <c r="CQ1843" i="33"/>
  <c r="CQ1840" i="33"/>
  <c r="CQ1839" i="33"/>
  <c r="CQ1838" i="33"/>
  <c r="CQ1837" i="33"/>
  <c r="CQ1841" i="33" s="1"/>
  <c r="CQ1835" i="33"/>
  <c r="CQ1834" i="33"/>
  <c r="CQ1833" i="33"/>
  <c r="CQ1832" i="33"/>
  <c r="CQ1831" i="33"/>
  <c r="CQ1826" i="33"/>
  <c r="CQ1825" i="33"/>
  <c r="CQ1824" i="33"/>
  <c r="CQ1823" i="33"/>
  <c r="CQ1827" i="33" s="1"/>
  <c r="CQ1820" i="33"/>
  <c r="CQ1819" i="33"/>
  <c r="CQ1818" i="33"/>
  <c r="CQ1817" i="33"/>
  <c r="CQ1821" i="33" s="1"/>
  <c r="CQ1814" i="33"/>
  <c r="CQ1813" i="33"/>
  <c r="CQ1812" i="33"/>
  <c r="CQ1815" i="33" s="1"/>
  <c r="CQ1811" i="33"/>
  <c r="CQ1808" i="33"/>
  <c r="CQ1807" i="33"/>
  <c r="CQ1806" i="33"/>
  <c r="CQ1805" i="33"/>
  <c r="CQ1809" i="33" s="1"/>
  <c r="CQ1803" i="33"/>
  <c r="CQ1802" i="33"/>
  <c r="CQ1801" i="33"/>
  <c r="CQ1800" i="33"/>
  <c r="CQ1799" i="33"/>
  <c r="CQ1794" i="33"/>
  <c r="CQ1793" i="33"/>
  <c r="CQ1795" i="33" s="1"/>
  <c r="CQ1792" i="33"/>
  <c r="CQ1791" i="33"/>
  <c r="CQ1788" i="33"/>
  <c r="CQ1787" i="33"/>
  <c r="CQ1786" i="33"/>
  <c r="CQ1785" i="33"/>
  <c r="CQ1789" i="33" s="1"/>
  <c r="CQ1783" i="33"/>
  <c r="CQ1782" i="33"/>
  <c r="CQ1781" i="33"/>
  <c r="CQ1780" i="33"/>
  <c r="CQ1779" i="33"/>
  <c r="CQ1776" i="33"/>
  <c r="CQ1775" i="33"/>
  <c r="CQ1774" i="33"/>
  <c r="CQ1773" i="33"/>
  <c r="CQ1777" i="33" s="1"/>
  <c r="CQ1770" i="33"/>
  <c r="CQ1769" i="33"/>
  <c r="CQ1768" i="33"/>
  <c r="CQ1767" i="33"/>
  <c r="CQ1771" i="33" s="1"/>
  <c r="CQ1762" i="33"/>
  <c r="V60" i="40" s="1"/>
  <c r="CQ1761" i="33"/>
  <c r="CQ1760" i="33"/>
  <c r="CQ1763" i="33" s="1"/>
  <c r="CQ1759" i="33"/>
  <c r="CQ1756" i="33"/>
  <c r="CQ1755" i="33"/>
  <c r="CQ1754" i="33"/>
  <c r="CQ1753" i="33"/>
  <c r="CQ1757" i="33" s="1"/>
  <c r="CQ1751" i="33"/>
  <c r="CQ1750" i="33"/>
  <c r="CQ1749" i="33"/>
  <c r="CQ1748" i="33"/>
  <c r="CQ1747" i="33"/>
  <c r="CQ1744" i="33"/>
  <c r="CQ1743" i="33"/>
  <c r="CQ1745" i="33" s="1"/>
  <c r="CQ1742" i="33"/>
  <c r="CQ1741" i="33"/>
  <c r="CQ1738" i="33"/>
  <c r="CQ1737" i="33"/>
  <c r="CQ1736" i="33"/>
  <c r="CQ1735" i="33"/>
  <c r="CQ1739" i="33" s="1"/>
  <c r="CQ1731" i="33"/>
  <c r="CQ1730" i="33"/>
  <c r="CQ1729" i="33"/>
  <c r="CQ1728" i="33"/>
  <c r="CQ1727" i="33"/>
  <c r="CQ1724" i="33"/>
  <c r="CQ1723" i="33"/>
  <c r="CQ1722" i="33"/>
  <c r="CQ1721" i="33"/>
  <c r="CQ1725" i="33" s="1"/>
  <c r="CQ1718" i="33"/>
  <c r="CQ1717" i="33"/>
  <c r="CQ1716" i="33"/>
  <c r="CQ1715" i="33"/>
  <c r="CQ1719" i="33" s="1"/>
  <c r="CQ1712" i="33"/>
  <c r="S59" i="40" s="1"/>
  <c r="CQ1711" i="33"/>
  <c r="CQ1710" i="33"/>
  <c r="CQ1713" i="33" s="1"/>
  <c r="CQ1709" i="33"/>
  <c r="CQ1706" i="33"/>
  <c r="CQ1705" i="33"/>
  <c r="CQ1704" i="33"/>
  <c r="CQ1703" i="33"/>
  <c r="CQ1707" i="33" s="1"/>
  <c r="CQ1699" i="33"/>
  <c r="CQ1698" i="33"/>
  <c r="CQ1697" i="33"/>
  <c r="CQ1696" i="33"/>
  <c r="CQ1695" i="33"/>
  <c r="CQ1692" i="33"/>
  <c r="CQ1691" i="33"/>
  <c r="CQ1693" i="33" s="1"/>
  <c r="CQ1690" i="33"/>
  <c r="CQ1689" i="33"/>
  <c r="CQ1686" i="33"/>
  <c r="CQ1685" i="33"/>
  <c r="CQ1684" i="33"/>
  <c r="CQ1683" i="33"/>
  <c r="CQ1687" i="33" s="1"/>
  <c r="CQ1681" i="33"/>
  <c r="CQ1680" i="33"/>
  <c r="CQ1679" i="33"/>
  <c r="CQ1678" i="33"/>
  <c r="CQ1677" i="33"/>
  <c r="CQ1674" i="33"/>
  <c r="CQ1673" i="33"/>
  <c r="CQ1672" i="33"/>
  <c r="CQ1671" i="33"/>
  <c r="CQ1675" i="33" s="1"/>
  <c r="CQ1666" i="33"/>
  <c r="CQ1665" i="33"/>
  <c r="CQ1664" i="33"/>
  <c r="CQ1663" i="33"/>
  <c r="CQ1667" i="33" s="1"/>
  <c r="CQ1660" i="33"/>
  <c r="CQ1659" i="33"/>
  <c r="CQ1658" i="33"/>
  <c r="CQ1661" i="33" s="1"/>
  <c r="CQ1657" i="33"/>
  <c r="CQ1654" i="33"/>
  <c r="CQ1653" i="33"/>
  <c r="CQ1652" i="33"/>
  <c r="CQ1651" i="33"/>
  <c r="CQ1655" i="33" s="1"/>
  <c r="CQ1649" i="33"/>
  <c r="CQ1648" i="33"/>
  <c r="CQ1647" i="33"/>
  <c r="CQ1646" i="33"/>
  <c r="CQ1645" i="33"/>
  <c r="CQ1642" i="33"/>
  <c r="CQ1641" i="33"/>
  <c r="R57" i="40" s="1"/>
  <c r="CQ1640" i="33"/>
  <c r="CQ1639" i="33"/>
  <c r="CQ1634" i="33"/>
  <c r="CQ1633" i="33"/>
  <c r="CQ1632" i="33"/>
  <c r="CQ1631" i="33"/>
  <c r="CQ1635" i="33" s="1"/>
  <c r="CQ1629" i="33"/>
  <c r="CQ1628" i="33"/>
  <c r="CQ1627" i="33"/>
  <c r="CQ1626" i="33"/>
  <c r="CQ1625" i="33"/>
  <c r="CQ1622" i="33"/>
  <c r="CQ1621" i="33"/>
  <c r="CQ1620" i="33"/>
  <c r="T56" i="40" s="1"/>
  <c r="CQ1619" i="33"/>
  <c r="CQ1623" i="33" s="1"/>
  <c r="CQ1616" i="33"/>
  <c r="CQ1615" i="33"/>
  <c r="CQ1614" i="33"/>
  <c r="CQ1613" i="33"/>
  <c r="CQ1617" i="33" s="1"/>
  <c r="CQ1610" i="33"/>
  <c r="R56" i="40" s="1"/>
  <c r="CQ1609" i="33"/>
  <c r="CQ1608" i="33"/>
  <c r="CQ1611" i="33" s="1"/>
  <c r="CQ1607" i="33"/>
  <c r="CQ1602" i="33"/>
  <c r="CQ1601" i="33"/>
  <c r="CQ1600" i="33"/>
  <c r="CQ1599" i="33"/>
  <c r="CQ1603" i="33" s="1"/>
  <c r="CQ1597" i="33"/>
  <c r="CQ1596" i="33"/>
  <c r="CQ1595" i="33"/>
  <c r="CQ1594" i="33"/>
  <c r="CQ1593" i="33"/>
  <c r="CQ1590" i="33"/>
  <c r="CQ1589" i="33"/>
  <c r="T55" i="40" s="1"/>
  <c r="CQ1588" i="33"/>
  <c r="CQ1587" i="33"/>
  <c r="CQ1584" i="33"/>
  <c r="CQ1583" i="33"/>
  <c r="CQ1582" i="33"/>
  <c r="CQ1581" i="33"/>
  <c r="CQ1585" i="33" s="1"/>
  <c r="CQ1579" i="33"/>
  <c r="CQ1578" i="33"/>
  <c r="CQ1577" i="33"/>
  <c r="CQ1576" i="33"/>
  <c r="CQ1575" i="33"/>
  <c r="CQ1570" i="33"/>
  <c r="CQ1569" i="33"/>
  <c r="CQ1568" i="33"/>
  <c r="CQ1567" i="33"/>
  <c r="CQ1571" i="33" s="1"/>
  <c r="CQ1564" i="33"/>
  <c r="CQ1563" i="33"/>
  <c r="CQ1562" i="33"/>
  <c r="CQ1561" i="33"/>
  <c r="CQ1565" i="33" s="1"/>
  <c r="CQ1558" i="33"/>
  <c r="T54" i="40" s="1"/>
  <c r="CQ1557" i="33"/>
  <c r="CQ1556" i="33"/>
  <c r="CQ1559" i="33" s="1"/>
  <c r="CQ1555" i="33"/>
  <c r="CQ1552" i="33"/>
  <c r="CQ1551" i="33"/>
  <c r="CQ1550" i="33"/>
  <c r="CQ1549" i="33"/>
  <c r="CQ1553" i="33" s="1"/>
  <c r="CQ1547" i="33"/>
  <c r="CQ1546" i="33"/>
  <c r="CQ1545" i="33"/>
  <c r="CQ1544" i="33"/>
  <c r="CQ1543" i="33"/>
  <c r="CQ1538" i="33"/>
  <c r="CQ1537" i="33"/>
  <c r="V53" i="40" s="1"/>
  <c r="CQ1536" i="33"/>
  <c r="CQ1535" i="33"/>
  <c r="CQ1532" i="33"/>
  <c r="CQ1531" i="33"/>
  <c r="CQ1530" i="33"/>
  <c r="CQ1529" i="33"/>
  <c r="CQ1533" i="33" s="1"/>
  <c r="CQ1527" i="33"/>
  <c r="CQ1526" i="33"/>
  <c r="CQ1525" i="33"/>
  <c r="CQ1524" i="33"/>
  <c r="CQ1523" i="33"/>
  <c r="CQ1520" i="33"/>
  <c r="CQ1519" i="33"/>
  <c r="CQ1518" i="33"/>
  <c r="S53" i="40" s="1"/>
  <c r="CQ1517" i="33"/>
  <c r="CQ1521" i="33" s="1"/>
  <c r="CQ1514" i="33"/>
  <c r="CQ1513" i="33"/>
  <c r="CQ1512" i="33"/>
  <c r="CQ1511" i="33"/>
  <c r="CQ1515" i="33" s="1"/>
  <c r="CQ1506" i="33"/>
  <c r="CQ1505" i="33"/>
  <c r="CQ1504" i="33"/>
  <c r="CQ1507" i="33" s="1"/>
  <c r="CQ1503" i="33"/>
  <c r="CQ1500" i="33"/>
  <c r="CQ1499" i="33"/>
  <c r="CQ1498" i="33"/>
  <c r="CQ1497" i="33"/>
  <c r="CQ1501" i="33" s="1"/>
  <c r="CQ1495" i="33"/>
  <c r="CQ1494" i="33"/>
  <c r="CQ1493" i="33"/>
  <c r="CQ1492" i="33"/>
  <c r="CQ1491" i="33"/>
  <c r="CQ1488" i="33"/>
  <c r="CQ1487" i="33"/>
  <c r="CQ1489" i="33" s="1"/>
  <c r="CQ1486" i="33"/>
  <c r="CQ1485" i="33"/>
  <c r="CQ1482" i="33"/>
  <c r="CQ1481" i="33"/>
  <c r="CQ1480" i="33"/>
  <c r="CQ1479" i="33"/>
  <c r="CQ1483" i="33" s="1"/>
  <c r="CQ1475" i="33"/>
  <c r="CQ1474" i="33"/>
  <c r="CQ1473" i="33"/>
  <c r="CQ1472" i="33"/>
  <c r="CQ1471" i="33"/>
  <c r="CQ1468" i="33"/>
  <c r="CQ1467" i="33"/>
  <c r="CQ1466" i="33"/>
  <c r="CQ1465" i="33"/>
  <c r="CQ1469" i="33" s="1"/>
  <c r="CQ1462" i="33"/>
  <c r="CQ1461" i="33"/>
  <c r="CQ1460" i="33"/>
  <c r="CQ1459" i="33"/>
  <c r="CQ1463" i="33" s="1"/>
  <c r="CQ1456" i="33"/>
  <c r="CQ1455" i="33"/>
  <c r="CQ1454" i="33"/>
  <c r="CQ1457" i="33" s="1"/>
  <c r="CQ1453" i="33"/>
  <c r="CQ1450" i="33"/>
  <c r="CQ1449" i="33"/>
  <c r="CQ1448" i="33"/>
  <c r="CQ1447" i="33"/>
  <c r="CQ1451" i="33" s="1"/>
  <c r="CQ1443" i="33"/>
  <c r="CQ1442" i="33"/>
  <c r="CQ1441" i="33"/>
  <c r="CQ1440" i="33"/>
  <c r="CQ1439" i="33"/>
  <c r="CQ1436" i="33"/>
  <c r="CQ1435" i="33"/>
  <c r="CQ1437" i="33" s="1"/>
  <c r="CQ1434" i="33"/>
  <c r="CQ1433" i="33"/>
  <c r="CQ1430" i="33"/>
  <c r="CQ1429" i="33"/>
  <c r="CQ1428" i="33"/>
  <c r="CQ1427" i="33"/>
  <c r="CQ1431" i="33" s="1"/>
  <c r="CQ1425" i="33"/>
  <c r="CQ1424" i="33"/>
  <c r="CQ1423" i="33"/>
  <c r="CQ1422" i="33"/>
  <c r="CQ1421" i="33"/>
  <c r="CQ1418" i="33"/>
  <c r="CQ1417" i="33"/>
  <c r="CQ1416" i="33"/>
  <c r="R50" i="40" s="1"/>
  <c r="CQ1415" i="33"/>
  <c r="CQ1419" i="33" s="1"/>
  <c r="CQ1410" i="33"/>
  <c r="CQ1409" i="33"/>
  <c r="CQ1408" i="33"/>
  <c r="CQ1407" i="33"/>
  <c r="CQ1411" i="33" s="1"/>
  <c r="CQ1404" i="33"/>
  <c r="CQ1403" i="33"/>
  <c r="CQ1402" i="33"/>
  <c r="CQ1405" i="33" s="1"/>
  <c r="CQ1401" i="33"/>
  <c r="CQ1398" i="33"/>
  <c r="CQ1397" i="33"/>
  <c r="CQ1396" i="33"/>
  <c r="CQ1395" i="33"/>
  <c r="CQ1399" i="33" s="1"/>
  <c r="CQ1393" i="33"/>
  <c r="CQ1392" i="33"/>
  <c r="CQ1391" i="33"/>
  <c r="CQ1390" i="33"/>
  <c r="CQ1389" i="33"/>
  <c r="CQ1386" i="33"/>
  <c r="CQ1385" i="33"/>
  <c r="CQ1387" i="33" s="1"/>
  <c r="CQ1384" i="33"/>
  <c r="CQ1383" i="33"/>
  <c r="CQ1378" i="33"/>
  <c r="CQ1377" i="33"/>
  <c r="CQ1376" i="33"/>
  <c r="CQ1375" i="33"/>
  <c r="CQ1379" i="33" s="1"/>
  <c r="CQ1373" i="33"/>
  <c r="CQ1372" i="33"/>
  <c r="CQ1371" i="33"/>
  <c r="CQ1370" i="33"/>
  <c r="CQ1369" i="33"/>
  <c r="CQ1366" i="33"/>
  <c r="CQ1365" i="33"/>
  <c r="CQ1364" i="33"/>
  <c r="CQ1363" i="33"/>
  <c r="CQ1367" i="33" s="1"/>
  <c r="CQ1360" i="33"/>
  <c r="CQ1359" i="33"/>
  <c r="CQ1358" i="33"/>
  <c r="CQ1357" i="33"/>
  <c r="CQ1361" i="33" s="1"/>
  <c r="CQ1354" i="33"/>
  <c r="CQ1353" i="33"/>
  <c r="CQ1352" i="33"/>
  <c r="CQ1355" i="33" s="1"/>
  <c r="CQ1351" i="33"/>
  <c r="CQ1346" i="33"/>
  <c r="CQ1345" i="33"/>
  <c r="CQ1344" i="33"/>
  <c r="CQ1343" i="33"/>
  <c r="CQ1347" i="33" s="1"/>
  <c r="CQ1341" i="33"/>
  <c r="CQ1340" i="33"/>
  <c r="CQ1339" i="33"/>
  <c r="CQ1338" i="33"/>
  <c r="CQ1337" i="33"/>
  <c r="CQ1334" i="33"/>
  <c r="CQ1333" i="33"/>
  <c r="CQ1335" i="33" s="1"/>
  <c r="CQ1332" i="33"/>
  <c r="CQ1331" i="33"/>
  <c r="CQ1328" i="33"/>
  <c r="CQ1327" i="33"/>
  <c r="CQ1326" i="33"/>
  <c r="CQ1325" i="33"/>
  <c r="CQ1329" i="33" s="1"/>
  <c r="CQ1323" i="33"/>
  <c r="CQ1322" i="33"/>
  <c r="CQ1321" i="33"/>
  <c r="CQ1320" i="33"/>
  <c r="CQ1319" i="33"/>
  <c r="CQ1314" i="33"/>
  <c r="CQ1313" i="33"/>
  <c r="CQ1312" i="33"/>
  <c r="CQ1311" i="33"/>
  <c r="CQ1315" i="33" s="1"/>
  <c r="CQ1308" i="33"/>
  <c r="CQ1307" i="33"/>
  <c r="CQ1306" i="33"/>
  <c r="CQ1305" i="33"/>
  <c r="CQ1309" i="33" s="1"/>
  <c r="CQ1302" i="33"/>
  <c r="CQ1301" i="33"/>
  <c r="CQ1300" i="33"/>
  <c r="CQ1303" i="33" s="1"/>
  <c r="CQ1299" i="33"/>
  <c r="CQ1296" i="33"/>
  <c r="CQ1295" i="33"/>
  <c r="CQ1294" i="33"/>
  <c r="CQ1293" i="33"/>
  <c r="CQ1297" i="33" s="1"/>
  <c r="CQ1291" i="33"/>
  <c r="CQ1290" i="33"/>
  <c r="CQ1289" i="33"/>
  <c r="CQ1288" i="33"/>
  <c r="CQ1287" i="33"/>
  <c r="CQ1282" i="33"/>
  <c r="CQ1281" i="33"/>
  <c r="CQ1283" i="33" s="1"/>
  <c r="CQ1280" i="33"/>
  <c r="CQ1279" i="33"/>
  <c r="CQ1276" i="33"/>
  <c r="CQ1275" i="33"/>
  <c r="CQ1274" i="33"/>
  <c r="CQ1273" i="33"/>
  <c r="CQ1277" i="33" s="1"/>
  <c r="CQ1271" i="33"/>
  <c r="CQ1270" i="33"/>
  <c r="CQ1269" i="33"/>
  <c r="CQ1268" i="33"/>
  <c r="CQ1267" i="33"/>
  <c r="CQ1264" i="33"/>
  <c r="CQ1263" i="33"/>
  <c r="CQ1262" i="33"/>
  <c r="CQ1261" i="33"/>
  <c r="CQ1265" i="33" s="1"/>
  <c r="CQ1258" i="33"/>
  <c r="CQ1257" i="33"/>
  <c r="CQ1256" i="33"/>
  <c r="CQ1255" i="33"/>
  <c r="CQ1259" i="33" s="1"/>
  <c r="CQ1250" i="33"/>
  <c r="CQ1249" i="33"/>
  <c r="CQ1248" i="33"/>
  <c r="CQ1251" i="33" s="1"/>
  <c r="CQ1247" i="33"/>
  <c r="CQ1244" i="33"/>
  <c r="CQ1243" i="33"/>
  <c r="CQ1242" i="33"/>
  <c r="CQ1241" i="33"/>
  <c r="CQ1245" i="33" s="1"/>
  <c r="CQ1239" i="33"/>
  <c r="CQ1238" i="33"/>
  <c r="CQ1237" i="33"/>
  <c r="CQ1236" i="33"/>
  <c r="CQ1235" i="33"/>
  <c r="CQ1232" i="33"/>
  <c r="CQ1231" i="33"/>
  <c r="CQ1233" i="33" s="1"/>
  <c r="CQ1230" i="33"/>
  <c r="CQ1229" i="33"/>
  <c r="CQ1226" i="33"/>
  <c r="CQ1225" i="33"/>
  <c r="CQ1224" i="33"/>
  <c r="CQ1223" i="33"/>
  <c r="CQ1227" i="33" s="1"/>
  <c r="CQ1219" i="33"/>
  <c r="CQ1218" i="33"/>
  <c r="CQ1217" i="33"/>
  <c r="CQ1216" i="33"/>
  <c r="CQ1215" i="33"/>
  <c r="CQ1212" i="33"/>
  <c r="CQ1211" i="33"/>
  <c r="CQ1210" i="33"/>
  <c r="CQ1209" i="33"/>
  <c r="CQ1213" i="33" s="1"/>
  <c r="CQ1206" i="33"/>
  <c r="CQ1205" i="33"/>
  <c r="CQ1204" i="33"/>
  <c r="CQ1203" i="33"/>
  <c r="CQ1207" i="33" s="1"/>
  <c r="CQ1200" i="33"/>
  <c r="CQ1199" i="33"/>
  <c r="CQ1198" i="33"/>
  <c r="CQ1201" i="33" s="1"/>
  <c r="CQ1197" i="33"/>
  <c r="CQ1194" i="33"/>
  <c r="CQ1193" i="33"/>
  <c r="CQ1192" i="33"/>
  <c r="CQ1191" i="33"/>
  <c r="CQ1195" i="33" s="1"/>
  <c r="CQ1187" i="33"/>
  <c r="CQ1186" i="33"/>
  <c r="CQ1185" i="33"/>
  <c r="CQ1184" i="33"/>
  <c r="CQ1183" i="33"/>
  <c r="CQ1180" i="33"/>
  <c r="CQ1179" i="33"/>
  <c r="CQ1181" i="33" s="1"/>
  <c r="CQ1178" i="33"/>
  <c r="CQ1177" i="33"/>
  <c r="CQ1174" i="33"/>
  <c r="CQ1173" i="33"/>
  <c r="CQ1172" i="33"/>
  <c r="CQ1171" i="33"/>
  <c r="CQ1175" i="33" s="1"/>
  <c r="CQ1169" i="33"/>
  <c r="CQ1168" i="33"/>
  <c r="CQ1167" i="33"/>
  <c r="CQ1166" i="33"/>
  <c r="CQ1165" i="33"/>
  <c r="CQ1162" i="33"/>
  <c r="CQ1161" i="33"/>
  <c r="CQ1160" i="33"/>
  <c r="CQ1159" i="33"/>
  <c r="CQ1163" i="33" s="1"/>
  <c r="CQ1154" i="33"/>
  <c r="CQ1153" i="33"/>
  <c r="CQ1152" i="33"/>
  <c r="CQ1151" i="33"/>
  <c r="CQ1155" i="33" s="1"/>
  <c r="CQ1148" i="33"/>
  <c r="CQ1147" i="33"/>
  <c r="CQ1146" i="33"/>
  <c r="CQ1145" i="33"/>
  <c r="CQ1149" i="33" s="1"/>
  <c r="CQ1142" i="33"/>
  <c r="CQ1141" i="33"/>
  <c r="CQ1140" i="33"/>
  <c r="CQ1139" i="33"/>
  <c r="CQ1143" i="33" s="1"/>
  <c r="CQ1137" i="33"/>
  <c r="CQ1136" i="33"/>
  <c r="CQ1135" i="33"/>
  <c r="CQ1134" i="33"/>
  <c r="CQ1133" i="33"/>
  <c r="CQ1130" i="33"/>
  <c r="CQ1129" i="33"/>
  <c r="CQ1131" i="33" s="1"/>
  <c r="CQ1128" i="33"/>
  <c r="CQ1127" i="33"/>
  <c r="CQ1122" i="33"/>
  <c r="CQ1121" i="33"/>
  <c r="CQ1120" i="33"/>
  <c r="CQ1119" i="33"/>
  <c r="CQ1123" i="33" s="1"/>
  <c r="CQ1117" i="33"/>
  <c r="CQ1116" i="33"/>
  <c r="CQ1115" i="33"/>
  <c r="CQ1114" i="33"/>
  <c r="CQ1113" i="33"/>
  <c r="CQ1110" i="33"/>
  <c r="CQ1109" i="33"/>
  <c r="CQ1108" i="33"/>
  <c r="CQ1107" i="33"/>
  <c r="CQ1111" i="33" s="1"/>
  <c r="CQ1104" i="33"/>
  <c r="CQ1103" i="33"/>
  <c r="CQ1102" i="33"/>
  <c r="CQ1101" i="33"/>
  <c r="CQ1105" i="33" s="1"/>
  <c r="CQ1098" i="33"/>
  <c r="CQ1097" i="33"/>
  <c r="CQ1096" i="33"/>
  <c r="CQ1095" i="33"/>
  <c r="CQ1099" i="33" s="1"/>
  <c r="CQ1090" i="33"/>
  <c r="CQ1089" i="33"/>
  <c r="CQ1088" i="33"/>
  <c r="CQ1087" i="33"/>
  <c r="CQ1091" i="33" s="1"/>
  <c r="CQ1085" i="33"/>
  <c r="CQ1084" i="33"/>
  <c r="CQ1083" i="33"/>
  <c r="CQ1082" i="33"/>
  <c r="CQ1081" i="33"/>
  <c r="CQ1078" i="33"/>
  <c r="CQ1077" i="33"/>
  <c r="CQ1079" i="33" s="1"/>
  <c r="CQ1076" i="33"/>
  <c r="CQ1075" i="33"/>
  <c r="CQ1072" i="33"/>
  <c r="CQ1071" i="33"/>
  <c r="CQ1070" i="33"/>
  <c r="CQ1069" i="33"/>
  <c r="CQ1073" i="33" s="1"/>
  <c r="CQ1067" i="33"/>
  <c r="CQ1066" i="33"/>
  <c r="CQ1065" i="33"/>
  <c r="CQ1064" i="33"/>
  <c r="CQ1063" i="33"/>
  <c r="CQ1058" i="33"/>
  <c r="CQ1057" i="33"/>
  <c r="CQ1056" i="33"/>
  <c r="CQ1055" i="33"/>
  <c r="CQ1059" i="33" s="1"/>
  <c r="CQ1052" i="33"/>
  <c r="CQ1051" i="33"/>
  <c r="CQ1050" i="33"/>
  <c r="CQ1049" i="33"/>
  <c r="CQ1053" i="33" s="1"/>
  <c r="CQ1046" i="33"/>
  <c r="CQ1045" i="33"/>
  <c r="CQ1044" i="33"/>
  <c r="CQ1043" i="33"/>
  <c r="CQ1047" i="33" s="1"/>
  <c r="CQ1040" i="33"/>
  <c r="CQ1039" i="33"/>
  <c r="CQ1038" i="33"/>
  <c r="CQ1037" i="33"/>
  <c r="CQ1041" i="33" s="1"/>
  <c r="CQ1035" i="33"/>
  <c r="CQ1034" i="33"/>
  <c r="CQ1033" i="33"/>
  <c r="CQ1032" i="33"/>
  <c r="CQ1031" i="33"/>
  <c r="CQ1026" i="33"/>
  <c r="CQ1025" i="33"/>
  <c r="CQ1027" i="33" s="1"/>
  <c r="CQ1024" i="33"/>
  <c r="CQ1023" i="33"/>
  <c r="CQ1020" i="33"/>
  <c r="CQ1019" i="33"/>
  <c r="CQ1018" i="33"/>
  <c r="CQ1017" i="33"/>
  <c r="CQ1021" i="33" s="1"/>
  <c r="CQ1015" i="33"/>
  <c r="CQ1014" i="33"/>
  <c r="CQ1013" i="33"/>
  <c r="CQ1012" i="33"/>
  <c r="CQ1011" i="33"/>
  <c r="CQ1008" i="33"/>
  <c r="CQ1007" i="33"/>
  <c r="CQ1006" i="33"/>
  <c r="CQ1005" i="33"/>
  <c r="CQ1009" i="33" s="1"/>
  <c r="CQ1002" i="33"/>
  <c r="CQ1001" i="33"/>
  <c r="CQ1000" i="33"/>
  <c r="CQ999" i="33"/>
  <c r="CQ1003" i="33" s="1"/>
  <c r="CQ994" i="33"/>
  <c r="CQ993" i="33"/>
  <c r="CQ992" i="33"/>
  <c r="CQ991" i="33"/>
  <c r="CQ995" i="33" s="1"/>
  <c r="CQ988" i="33"/>
  <c r="CQ987" i="33"/>
  <c r="CQ986" i="33"/>
  <c r="CQ985" i="33"/>
  <c r="CQ989" i="33" s="1"/>
  <c r="CQ983" i="33"/>
  <c r="CQ982" i="33"/>
  <c r="CQ981" i="33"/>
  <c r="CQ980" i="33"/>
  <c r="CQ979" i="33"/>
  <c r="CQ976" i="33"/>
  <c r="CQ975" i="33"/>
  <c r="CQ977" i="33" s="1"/>
  <c r="CQ974" i="33"/>
  <c r="CQ973" i="33"/>
  <c r="CQ970" i="33"/>
  <c r="CQ969" i="33"/>
  <c r="CQ968" i="33"/>
  <c r="CQ967" i="33"/>
  <c r="CQ971" i="33" s="1"/>
  <c r="CQ963" i="33"/>
  <c r="CQ962" i="33"/>
  <c r="CQ961" i="33"/>
  <c r="CQ960" i="33"/>
  <c r="CQ959" i="33"/>
  <c r="CQ956" i="33"/>
  <c r="CQ955" i="33"/>
  <c r="CQ954" i="33"/>
  <c r="CQ953" i="33"/>
  <c r="CQ957" i="33" s="1"/>
  <c r="CQ950" i="33"/>
  <c r="CQ949" i="33"/>
  <c r="CQ948" i="33"/>
  <c r="CQ947" i="33"/>
  <c r="CQ951" i="33" s="1"/>
  <c r="CQ944" i="33"/>
  <c r="CQ943" i="33"/>
  <c r="CQ942" i="33"/>
  <c r="CQ941" i="33"/>
  <c r="CQ945" i="33" s="1"/>
  <c r="CQ938" i="33"/>
  <c r="CQ937" i="33"/>
  <c r="CQ936" i="33"/>
  <c r="CQ935" i="33"/>
  <c r="CQ939" i="33" s="1"/>
  <c r="CQ931" i="33"/>
  <c r="CQ930" i="33"/>
  <c r="CQ929" i="33"/>
  <c r="CQ928" i="33"/>
  <c r="CQ927" i="33"/>
  <c r="CQ924" i="33"/>
  <c r="CQ923" i="33"/>
  <c r="CQ925" i="33" s="1"/>
  <c r="CQ922" i="33"/>
  <c r="CQ921" i="33"/>
  <c r="CQ918" i="33"/>
  <c r="CQ917" i="33"/>
  <c r="CQ916" i="33"/>
  <c r="CQ919" i="33" s="1"/>
  <c r="CQ915" i="33"/>
  <c r="CQ913" i="33"/>
  <c r="CQ912" i="33"/>
  <c r="CQ911" i="33"/>
  <c r="CQ910" i="33"/>
  <c r="CQ909" i="33"/>
  <c r="CQ906" i="33"/>
  <c r="CQ905" i="33"/>
  <c r="CQ904" i="33"/>
  <c r="CQ903" i="33"/>
  <c r="CQ907" i="33" s="1"/>
  <c r="CQ898" i="33"/>
  <c r="CQ897" i="33"/>
  <c r="CQ896" i="33"/>
  <c r="CQ895" i="33"/>
  <c r="CQ899" i="33" s="1"/>
  <c r="CQ892" i="33"/>
  <c r="CQ891" i="33"/>
  <c r="CQ890" i="33"/>
  <c r="CQ889" i="33"/>
  <c r="CQ893" i="33" s="1"/>
  <c r="CQ886" i="33"/>
  <c r="CQ885" i="33"/>
  <c r="CQ884" i="33"/>
  <c r="CQ883" i="33"/>
  <c r="CQ887" i="33" s="1"/>
  <c r="CQ881" i="33"/>
  <c r="CQ880" i="33"/>
  <c r="CQ879" i="33"/>
  <c r="CQ878" i="33"/>
  <c r="CQ877" i="33"/>
  <c r="CQ874" i="33"/>
  <c r="CQ873" i="33"/>
  <c r="CQ875" i="33" s="1"/>
  <c r="CQ872" i="33"/>
  <c r="CQ871" i="33"/>
  <c r="CQ866" i="33"/>
  <c r="CQ865" i="33"/>
  <c r="CQ864" i="33"/>
  <c r="CQ867" i="33" s="1"/>
  <c r="CQ863" i="33"/>
  <c r="CQ861" i="33"/>
  <c r="CQ860" i="33"/>
  <c r="CQ859" i="33"/>
  <c r="CQ858" i="33"/>
  <c r="CQ857" i="33"/>
  <c r="CQ854" i="33"/>
  <c r="CQ853" i="33"/>
  <c r="CQ852" i="33"/>
  <c r="CQ851" i="33"/>
  <c r="CQ855" i="33" s="1"/>
  <c r="CQ848" i="33"/>
  <c r="CQ847" i="33"/>
  <c r="CQ846" i="33"/>
  <c r="CQ845" i="33"/>
  <c r="CQ849" i="33" s="1"/>
  <c r="CQ842" i="33"/>
  <c r="CQ841" i="33"/>
  <c r="CQ840" i="33"/>
  <c r="CQ839" i="33"/>
  <c r="CQ843" i="33" s="1"/>
  <c r="CQ834" i="33"/>
  <c r="CQ833" i="33"/>
  <c r="CQ832" i="33"/>
  <c r="CQ831" i="33"/>
  <c r="CQ835" i="33" s="1"/>
  <c r="CQ829" i="33"/>
  <c r="CQ828" i="33"/>
  <c r="CQ827" i="33"/>
  <c r="CQ826" i="33"/>
  <c r="CQ825" i="33"/>
  <c r="CQ822" i="33"/>
  <c r="CQ821" i="33"/>
  <c r="CQ823" i="33" s="1"/>
  <c r="CQ820" i="33"/>
  <c r="CQ819" i="33"/>
  <c r="CQ816" i="33"/>
  <c r="CQ815" i="33"/>
  <c r="CQ814" i="33"/>
  <c r="CQ817" i="33" s="1"/>
  <c r="CQ813" i="33"/>
  <c r="CQ811" i="33"/>
  <c r="CQ810" i="33"/>
  <c r="CQ809" i="33"/>
  <c r="CQ808" i="33"/>
  <c r="CQ807" i="33"/>
  <c r="CQ802" i="33"/>
  <c r="CQ801" i="33"/>
  <c r="CQ800" i="33"/>
  <c r="CQ799" i="33"/>
  <c r="CQ803" i="33" s="1"/>
  <c r="CQ796" i="33"/>
  <c r="CQ795" i="33"/>
  <c r="CQ794" i="33"/>
  <c r="CQ793" i="33"/>
  <c r="CQ797" i="33" s="1"/>
  <c r="CQ790" i="33"/>
  <c r="CQ789" i="33"/>
  <c r="CQ788" i="33"/>
  <c r="CQ787" i="33"/>
  <c r="CQ791" i="33" s="1"/>
  <c r="CQ784" i="33"/>
  <c r="CQ783" i="33"/>
  <c r="CQ782" i="33"/>
  <c r="CQ781" i="33"/>
  <c r="CQ785" i="33" s="1"/>
  <c r="CQ779" i="33"/>
  <c r="CQ778" i="33"/>
  <c r="CQ777" i="33"/>
  <c r="CQ776" i="33"/>
  <c r="CQ775" i="33"/>
  <c r="CQ770" i="33"/>
  <c r="CQ769" i="33"/>
  <c r="CQ771" i="33" s="1"/>
  <c r="CQ768" i="33"/>
  <c r="CQ767" i="33"/>
  <c r="CQ764" i="33"/>
  <c r="CQ763" i="33"/>
  <c r="CQ762" i="33"/>
  <c r="CQ761" i="33"/>
  <c r="CQ765" i="33" s="1"/>
  <c r="CQ759" i="33"/>
  <c r="CQ758" i="33"/>
  <c r="CQ757" i="33"/>
  <c r="CQ756" i="33"/>
  <c r="CQ755" i="33"/>
  <c r="CQ752" i="33"/>
  <c r="CQ751" i="33"/>
  <c r="CQ750" i="33"/>
  <c r="CQ749" i="33"/>
  <c r="CQ753" i="33" s="1"/>
  <c r="CQ746" i="33"/>
  <c r="CQ745" i="33"/>
  <c r="CQ744" i="33"/>
  <c r="CQ743" i="33"/>
  <c r="CQ747" i="33" s="1"/>
  <c r="CQ738" i="33"/>
  <c r="CQ737" i="33"/>
  <c r="CQ736" i="33"/>
  <c r="CQ735" i="33"/>
  <c r="CQ739" i="33" s="1"/>
  <c r="CQ732" i="33"/>
  <c r="CQ731" i="33"/>
  <c r="CQ730" i="33"/>
  <c r="CQ729" i="33"/>
  <c r="CQ733" i="33" s="1"/>
  <c r="CQ727" i="33"/>
  <c r="CQ726" i="33"/>
  <c r="CQ725" i="33"/>
  <c r="CQ724" i="33"/>
  <c r="CQ723" i="33"/>
  <c r="CQ720" i="33"/>
  <c r="CQ719" i="33"/>
  <c r="CQ721" i="33" s="1"/>
  <c r="CQ718" i="33"/>
  <c r="CQ717" i="33"/>
  <c r="CQ714" i="33"/>
  <c r="CQ713" i="33"/>
  <c r="CQ712" i="33"/>
  <c r="CQ715" i="33" s="1"/>
  <c r="CQ711" i="33"/>
  <c r="CQ707" i="33"/>
  <c r="CQ706" i="33"/>
  <c r="CQ705" i="33"/>
  <c r="CQ704" i="33"/>
  <c r="CQ703" i="33"/>
  <c r="CQ700" i="33"/>
  <c r="CQ699" i="33"/>
  <c r="CQ698" i="33"/>
  <c r="CQ697" i="33"/>
  <c r="CQ701" i="33" s="1"/>
  <c r="CQ694" i="33"/>
  <c r="CQ693" i="33"/>
  <c r="CQ692" i="33"/>
  <c r="CQ691" i="33"/>
  <c r="CQ695" i="33" s="1"/>
  <c r="CQ688" i="33"/>
  <c r="CQ687" i="33"/>
  <c r="CQ686" i="33"/>
  <c r="CQ685" i="33"/>
  <c r="CQ689" i="33" s="1"/>
  <c r="CQ682" i="33"/>
  <c r="CQ681" i="33"/>
  <c r="CQ680" i="33"/>
  <c r="CQ679" i="33"/>
  <c r="CQ683" i="33" s="1"/>
  <c r="CQ675" i="33"/>
  <c r="CQ674" i="33"/>
  <c r="CQ673" i="33"/>
  <c r="CQ672" i="33"/>
  <c r="CQ671" i="33"/>
  <c r="CQ668" i="33"/>
  <c r="CQ667" i="33"/>
  <c r="CQ669" i="33" s="1"/>
  <c r="CQ666" i="33"/>
  <c r="CQ665" i="33"/>
  <c r="CQ662" i="33"/>
  <c r="CQ661" i="33"/>
  <c r="CQ660" i="33"/>
  <c r="CQ663" i="33" s="1"/>
  <c r="CQ659" i="33"/>
  <c r="CQ657" i="33"/>
  <c r="CQ656" i="33"/>
  <c r="CQ655" i="33"/>
  <c r="CQ654" i="33"/>
  <c r="CQ653" i="33"/>
  <c r="CQ650" i="33"/>
  <c r="CQ649" i="33"/>
  <c r="CQ648" i="33"/>
  <c r="CQ647" i="33"/>
  <c r="CQ651" i="33" s="1"/>
  <c r="CQ642" i="33"/>
  <c r="CQ641" i="33"/>
  <c r="CQ640" i="33"/>
  <c r="CQ639" i="33"/>
  <c r="CQ643" i="33" s="1"/>
  <c r="CQ636" i="33"/>
  <c r="CQ635" i="33"/>
  <c r="CQ634" i="33"/>
  <c r="CQ633" i="33"/>
  <c r="CQ637" i="33" s="1"/>
  <c r="CQ630" i="33"/>
  <c r="CQ629" i="33"/>
  <c r="CQ628" i="33"/>
  <c r="CQ627" i="33"/>
  <c r="CQ631" i="33" s="1"/>
  <c r="CQ625" i="33"/>
  <c r="CQ624" i="33"/>
  <c r="CQ623" i="33"/>
  <c r="CQ622" i="33"/>
  <c r="CQ621" i="33"/>
  <c r="CQ618" i="33"/>
  <c r="CQ617" i="33"/>
  <c r="CQ619" i="33" s="1"/>
  <c r="CQ616" i="33"/>
  <c r="CQ615" i="33"/>
  <c r="CQ610" i="33"/>
  <c r="CQ609" i="33"/>
  <c r="CQ608" i="33"/>
  <c r="CQ611" i="33" s="1"/>
  <c r="CQ607" i="33"/>
  <c r="CQ605" i="33"/>
  <c r="CQ604" i="33"/>
  <c r="CQ603" i="33"/>
  <c r="CQ602" i="33"/>
  <c r="CQ601" i="33"/>
  <c r="CQ598" i="33"/>
  <c r="CQ597" i="33"/>
  <c r="CQ596" i="33"/>
  <c r="CQ595" i="33"/>
  <c r="CQ599" i="33" s="1"/>
  <c r="CQ592" i="33"/>
  <c r="CQ591" i="33"/>
  <c r="CQ590" i="33"/>
  <c r="CQ589" i="33"/>
  <c r="CQ593" i="33" s="1"/>
  <c r="CQ586" i="33"/>
  <c r="CQ585" i="33"/>
  <c r="CQ584" i="33"/>
  <c r="CQ583" i="33"/>
  <c r="CQ587" i="33" s="1"/>
  <c r="CQ578" i="33"/>
  <c r="CQ577" i="33"/>
  <c r="CQ576" i="33"/>
  <c r="CQ575" i="33"/>
  <c r="CQ579" i="33" s="1"/>
  <c r="CQ573" i="33"/>
  <c r="CQ572" i="33"/>
  <c r="CQ571" i="33"/>
  <c r="CQ570" i="33"/>
  <c r="CQ569" i="33"/>
  <c r="CQ566" i="33"/>
  <c r="CQ565" i="33"/>
  <c r="CQ567" i="33" s="1"/>
  <c r="CQ564" i="33"/>
  <c r="CQ563" i="33"/>
  <c r="CQ560" i="33"/>
  <c r="CQ559" i="33"/>
  <c r="CQ558" i="33"/>
  <c r="CQ561" i="33" s="1"/>
  <c r="CQ557" i="33"/>
  <c r="CQ555" i="33"/>
  <c r="CQ554" i="33"/>
  <c r="CQ553" i="33"/>
  <c r="CQ552" i="33"/>
  <c r="CQ551" i="33"/>
  <c r="CQ546" i="33"/>
  <c r="CQ545" i="33"/>
  <c r="CQ544" i="33"/>
  <c r="CQ543" i="33"/>
  <c r="CQ547" i="33" s="1"/>
  <c r="CQ540" i="33"/>
  <c r="CQ539" i="33"/>
  <c r="CQ538" i="33"/>
  <c r="CQ537" i="33"/>
  <c r="CQ541" i="33" s="1"/>
  <c r="CQ534" i="33"/>
  <c r="CQ533" i="33"/>
  <c r="CQ532" i="33"/>
  <c r="CQ531" i="33"/>
  <c r="CQ535" i="33" s="1"/>
  <c r="CQ528" i="33"/>
  <c r="CQ527" i="33"/>
  <c r="CQ526" i="33"/>
  <c r="CQ525" i="33"/>
  <c r="CQ529" i="33" s="1"/>
  <c r="CQ523" i="33"/>
  <c r="CQ522" i="33"/>
  <c r="CQ521" i="33"/>
  <c r="CQ520" i="33"/>
  <c r="CQ519" i="33"/>
  <c r="CQ514" i="33"/>
  <c r="CQ513" i="33"/>
  <c r="CQ515" i="33" s="1"/>
  <c r="CQ512" i="33"/>
  <c r="CQ511" i="33"/>
  <c r="CQ508" i="33"/>
  <c r="CQ507" i="33"/>
  <c r="CQ506" i="33"/>
  <c r="CQ509" i="33" s="1"/>
  <c r="CQ505" i="33"/>
  <c r="CQ503" i="33"/>
  <c r="CQ502" i="33"/>
  <c r="CQ501" i="33"/>
  <c r="CQ500" i="33"/>
  <c r="CQ499" i="33"/>
  <c r="CQ496" i="33"/>
  <c r="CQ495" i="33"/>
  <c r="CQ494" i="33"/>
  <c r="CQ493" i="33"/>
  <c r="CQ497" i="33" s="1"/>
  <c r="CQ490" i="33"/>
  <c r="CQ489" i="33"/>
  <c r="CQ488" i="33"/>
  <c r="CQ487" i="33"/>
  <c r="CQ491" i="33" s="1"/>
  <c r="CQ482" i="33"/>
  <c r="CQ481" i="33"/>
  <c r="CQ480" i="33"/>
  <c r="CQ479" i="33"/>
  <c r="CQ483" i="33" s="1"/>
  <c r="CQ476" i="33"/>
  <c r="CQ475" i="33"/>
  <c r="CQ474" i="33"/>
  <c r="CQ473" i="33"/>
  <c r="U20" i="40" s="1"/>
  <c r="CQ471" i="33"/>
  <c r="CQ470" i="33"/>
  <c r="CQ469" i="33"/>
  <c r="CQ468" i="33"/>
  <c r="CQ467" i="33"/>
  <c r="CQ464" i="33"/>
  <c r="CQ463" i="33"/>
  <c r="CQ465" i="33" s="1"/>
  <c r="CQ462" i="33"/>
  <c r="CQ461" i="33"/>
  <c r="CQ458" i="33"/>
  <c r="CQ457" i="33"/>
  <c r="CQ456" i="33"/>
  <c r="CQ455" i="33"/>
  <c r="CQ459" i="33" s="1"/>
  <c r="CQ451" i="33"/>
  <c r="CQ450" i="33"/>
  <c r="CQ449" i="33"/>
  <c r="CQ448" i="33"/>
  <c r="CQ447" i="33"/>
  <c r="CQ444" i="33"/>
  <c r="CQ443" i="33"/>
  <c r="CQ442" i="33"/>
  <c r="CQ441" i="33"/>
  <c r="CQ445" i="33" s="1"/>
  <c r="CQ438" i="33"/>
  <c r="CQ437" i="33"/>
  <c r="CQ436" i="33"/>
  <c r="CQ435" i="33"/>
  <c r="CQ439" i="33" s="1"/>
  <c r="CQ432" i="33"/>
  <c r="CQ431" i="33"/>
  <c r="CQ430" i="33"/>
  <c r="CQ429" i="33"/>
  <c r="CQ433" i="33" s="1"/>
  <c r="CQ426" i="33"/>
  <c r="CQ425" i="33"/>
  <c r="CQ424" i="33"/>
  <c r="CQ423" i="33"/>
  <c r="CQ427" i="33" s="1"/>
  <c r="CQ419" i="33"/>
  <c r="CQ418" i="33"/>
  <c r="CQ417" i="33"/>
  <c r="CQ416" i="33"/>
  <c r="CQ415" i="33"/>
  <c r="CQ412" i="33"/>
  <c r="CQ411" i="33"/>
  <c r="CQ413" i="33" s="1"/>
  <c r="CQ410" i="33"/>
  <c r="CQ409" i="33"/>
  <c r="CQ406" i="33"/>
  <c r="CQ405" i="33"/>
  <c r="CQ404" i="33"/>
  <c r="CQ407" i="33" s="1"/>
  <c r="CQ403" i="33"/>
  <c r="CQ401" i="33"/>
  <c r="CQ400" i="33"/>
  <c r="CQ399" i="33"/>
  <c r="CQ398" i="33"/>
  <c r="CQ397" i="33"/>
  <c r="CQ394" i="33"/>
  <c r="CQ393" i="33"/>
  <c r="CQ392" i="33"/>
  <c r="CQ391" i="33"/>
  <c r="CQ395" i="33" s="1"/>
  <c r="CQ386" i="33"/>
  <c r="CQ385" i="33"/>
  <c r="CQ384" i="33"/>
  <c r="CQ383" i="33"/>
  <c r="CQ387" i="33" s="1"/>
  <c r="CQ380" i="33"/>
  <c r="CQ379" i="33"/>
  <c r="CQ378" i="33"/>
  <c r="CQ377" i="33"/>
  <c r="CQ381" i="33" s="1"/>
  <c r="CQ374" i="33"/>
  <c r="CQ373" i="33"/>
  <c r="CQ372" i="33"/>
  <c r="CQ371" i="33"/>
  <c r="CQ375" i="33" s="1"/>
  <c r="CQ369" i="33"/>
  <c r="CQ368" i="33"/>
  <c r="CQ367" i="33"/>
  <c r="CQ366" i="33"/>
  <c r="CQ365" i="33"/>
  <c r="CQ362" i="33"/>
  <c r="CQ361" i="33"/>
  <c r="CQ363" i="33" s="1"/>
  <c r="CQ360" i="33"/>
  <c r="CQ359" i="33"/>
  <c r="CQ354" i="33"/>
  <c r="CQ353" i="33"/>
  <c r="CQ352" i="33"/>
  <c r="CQ355" i="33" s="1"/>
  <c r="CQ351" i="33"/>
  <c r="CQ349" i="33"/>
  <c r="CQ348" i="33"/>
  <c r="CQ347" i="33"/>
  <c r="CQ346" i="33"/>
  <c r="CQ345" i="33"/>
  <c r="CQ342" i="33"/>
  <c r="CQ341" i="33"/>
  <c r="CQ340" i="33"/>
  <c r="T16" i="40" s="1"/>
  <c r="CQ339" i="33"/>
  <c r="CQ343" i="33" s="1"/>
  <c r="CQ336" i="33"/>
  <c r="CQ335" i="33"/>
  <c r="CQ334" i="33"/>
  <c r="CQ333" i="33"/>
  <c r="CQ337" i="33" s="1"/>
  <c r="CQ330" i="33"/>
  <c r="CQ329" i="33"/>
  <c r="CQ328" i="33"/>
  <c r="CQ327" i="33"/>
  <c r="CQ331" i="33" s="1"/>
  <c r="CQ322" i="33"/>
  <c r="CQ321" i="33"/>
  <c r="CQ320" i="33"/>
  <c r="CQ319" i="33"/>
  <c r="CQ323" i="33" s="1"/>
  <c r="CQ316" i="33"/>
  <c r="CQ315" i="33"/>
  <c r="CQ317" i="33" s="1"/>
  <c r="CQ314" i="33"/>
  <c r="CQ313" i="33"/>
  <c r="CQ310" i="33"/>
  <c r="CQ309" i="33"/>
  <c r="T15" i="40" s="1"/>
  <c r="CQ308" i="33"/>
  <c r="CQ307" i="33"/>
  <c r="CQ304" i="33"/>
  <c r="CQ303" i="33"/>
  <c r="CQ302" i="33"/>
  <c r="CQ305" i="33" s="1"/>
  <c r="CQ301" i="33"/>
  <c r="CQ299" i="33"/>
  <c r="CQ298" i="33"/>
  <c r="CQ297" i="33"/>
  <c r="CQ296" i="33"/>
  <c r="CQ295" i="33"/>
  <c r="CQ290" i="33"/>
  <c r="CQ289" i="33"/>
  <c r="CQ288" i="33"/>
  <c r="CQ287" i="33"/>
  <c r="CQ291" i="33" s="1"/>
  <c r="CQ284" i="33"/>
  <c r="CQ283" i="33"/>
  <c r="CQ282" i="33"/>
  <c r="CQ281" i="33"/>
  <c r="CQ285" i="33" s="1"/>
  <c r="CQ278" i="33"/>
  <c r="CQ277" i="33"/>
  <c r="CQ276" i="33"/>
  <c r="CQ275" i="33"/>
  <c r="CQ279" i="33" s="1"/>
  <c r="CQ272" i="33"/>
  <c r="CQ271" i="33"/>
  <c r="CQ270" i="33"/>
  <c r="CQ269" i="33"/>
  <c r="CQ273" i="33" s="1"/>
  <c r="CQ266" i="33"/>
  <c r="CQ265" i="33"/>
  <c r="CQ264" i="33"/>
  <c r="CQ263" i="33"/>
  <c r="CQ267" i="33" s="1"/>
  <c r="CQ258" i="33"/>
  <c r="CQ257" i="33"/>
  <c r="CQ259" i="33" s="1"/>
  <c r="CQ256" i="33"/>
  <c r="CQ255" i="33"/>
  <c r="CQ252" i="33"/>
  <c r="CQ251" i="33"/>
  <c r="CQ250" i="33"/>
  <c r="CQ253" i="33" s="1"/>
  <c r="CQ249" i="33"/>
  <c r="CQ247" i="33"/>
  <c r="CQ246" i="33"/>
  <c r="CQ245" i="33"/>
  <c r="CQ244" i="33"/>
  <c r="CQ243" i="33"/>
  <c r="CQ240" i="33"/>
  <c r="CQ239" i="33"/>
  <c r="CQ238" i="33"/>
  <c r="S13" i="40" s="1"/>
  <c r="CQ237" i="33"/>
  <c r="CQ241" i="33" s="1"/>
  <c r="CQ234" i="33"/>
  <c r="CQ233" i="33"/>
  <c r="CQ232" i="33"/>
  <c r="CQ231" i="33"/>
  <c r="CQ235" i="33" s="1"/>
  <c r="CQ226" i="33"/>
  <c r="V12" i="40" s="1"/>
  <c r="CQ225" i="33"/>
  <c r="CQ224" i="33"/>
  <c r="CQ223" i="33"/>
  <c r="CQ227" i="33" s="1"/>
  <c r="CQ220" i="33"/>
  <c r="CQ219" i="33"/>
  <c r="CQ218" i="33"/>
  <c r="CQ217" i="33"/>
  <c r="U12" i="40" s="1"/>
  <c r="CQ214" i="33"/>
  <c r="CQ213" i="33"/>
  <c r="CQ215" i="33" s="1"/>
  <c r="CQ212" i="33"/>
  <c r="CQ211" i="33"/>
  <c r="CQ208" i="33"/>
  <c r="CQ207" i="33"/>
  <c r="CQ209" i="33" s="1"/>
  <c r="CQ206" i="33"/>
  <c r="CQ205" i="33"/>
  <c r="CQ202" i="33"/>
  <c r="CQ201" i="33"/>
  <c r="CQ200" i="33"/>
  <c r="CQ203" i="33" s="1"/>
  <c r="CQ199" i="33"/>
  <c r="CQ195" i="33"/>
  <c r="CQ194" i="33"/>
  <c r="CQ193" i="33"/>
  <c r="CQ192" i="33"/>
  <c r="CQ191" i="33"/>
  <c r="CQ188" i="33"/>
  <c r="CQ187" i="33"/>
  <c r="CQ186" i="33"/>
  <c r="CQ185" i="33"/>
  <c r="CQ189" i="33" s="1"/>
  <c r="CQ182" i="33"/>
  <c r="CQ181" i="33"/>
  <c r="CQ180" i="33"/>
  <c r="CQ179" i="33"/>
  <c r="CQ183" i="33" s="1"/>
  <c r="CQ176" i="33"/>
  <c r="CQ175" i="33"/>
  <c r="CQ174" i="33"/>
  <c r="CQ173" i="33"/>
  <c r="CQ177" i="33" s="1"/>
  <c r="CQ170" i="33"/>
  <c r="CQ169" i="33"/>
  <c r="CQ168" i="33"/>
  <c r="CQ167" i="33"/>
  <c r="CQ171" i="33" s="1"/>
  <c r="CQ162" i="33"/>
  <c r="CQ161" i="33"/>
  <c r="CQ160" i="33"/>
  <c r="CQ159" i="33"/>
  <c r="CQ163" i="33" s="1"/>
  <c r="CQ156" i="33"/>
  <c r="CQ155" i="33"/>
  <c r="CQ157" i="33" s="1"/>
  <c r="CQ154" i="33"/>
  <c r="CQ153" i="33"/>
  <c r="CQ150" i="33"/>
  <c r="CQ149" i="33"/>
  <c r="CQ148" i="33"/>
  <c r="CQ147" i="33"/>
  <c r="CQ151" i="33" s="1"/>
  <c r="CQ145" i="33"/>
  <c r="CQ144" i="33"/>
  <c r="CQ143" i="33"/>
  <c r="CQ142" i="33"/>
  <c r="CQ141" i="33"/>
  <c r="CQ138" i="33"/>
  <c r="CQ137" i="33"/>
  <c r="CQ136" i="33"/>
  <c r="CQ135" i="33"/>
  <c r="CQ139" i="33" s="1"/>
  <c r="CQ130" i="33"/>
  <c r="CQ129" i="33"/>
  <c r="CQ128" i="33"/>
  <c r="CQ127" i="33"/>
  <c r="CQ131" i="33" s="1"/>
  <c r="CQ124" i="33"/>
  <c r="CQ123" i="33"/>
  <c r="CQ122" i="33"/>
  <c r="CQ121" i="33"/>
  <c r="CQ125" i="33" s="1"/>
  <c r="CQ118" i="33"/>
  <c r="CQ117" i="33"/>
  <c r="CQ116" i="33"/>
  <c r="CQ115" i="33"/>
  <c r="CQ119" i="33" s="1"/>
  <c r="CQ112" i="33"/>
  <c r="CQ111" i="33"/>
  <c r="CQ110" i="33"/>
  <c r="CQ109" i="33"/>
  <c r="CQ113" i="33" s="1"/>
  <c r="CQ106" i="33"/>
  <c r="CQ105" i="33"/>
  <c r="CQ107" i="33" s="1"/>
  <c r="CQ104" i="33"/>
  <c r="CQ103" i="33"/>
  <c r="CQ98" i="33"/>
  <c r="CQ97" i="33"/>
  <c r="CQ96" i="33"/>
  <c r="CQ95" i="33"/>
  <c r="CQ99" i="33" s="1"/>
  <c r="CQ93" i="33"/>
  <c r="CQ92" i="33"/>
  <c r="CQ91" i="33"/>
  <c r="CQ90" i="33"/>
  <c r="CQ89" i="33"/>
  <c r="CQ86" i="33"/>
  <c r="CQ85" i="33"/>
  <c r="CQ84" i="33"/>
  <c r="CQ83" i="33"/>
  <c r="CQ87" i="33" s="1"/>
  <c r="CQ80" i="33"/>
  <c r="CQ79" i="33"/>
  <c r="CQ78" i="33"/>
  <c r="CQ77" i="33"/>
  <c r="CQ81" i="33" s="1"/>
  <c r="CQ74" i="33"/>
  <c r="CQ73" i="33"/>
  <c r="CQ72" i="33"/>
  <c r="CQ71" i="33"/>
  <c r="CQ75" i="33" s="1"/>
  <c r="CQ66" i="33"/>
  <c r="CQ65" i="33"/>
  <c r="CQ64" i="33"/>
  <c r="CQ63" i="33"/>
  <c r="CQ67" i="33" s="1"/>
  <c r="CQ60" i="33"/>
  <c r="CQ59" i="33"/>
  <c r="CQ58" i="33"/>
  <c r="CQ57" i="33"/>
  <c r="CQ61" i="33" s="1"/>
  <c r="CQ54" i="33"/>
  <c r="CQ53" i="33"/>
  <c r="CQ55" i="33" s="1"/>
  <c r="CQ52" i="33"/>
  <c r="CQ51" i="33"/>
  <c r="CQ48" i="33"/>
  <c r="CQ47" i="33"/>
  <c r="CQ46" i="33"/>
  <c r="CQ49" i="33" s="1"/>
  <c r="CQ45" i="33"/>
  <c r="CQ43" i="33"/>
  <c r="CQ42" i="33"/>
  <c r="CQ41" i="33"/>
  <c r="CQ40" i="33"/>
  <c r="CQ39" i="33"/>
  <c r="CQ34" i="33"/>
  <c r="CQ33" i="33"/>
  <c r="CQ32" i="33"/>
  <c r="CQ31" i="33"/>
  <c r="CQ35" i="33" s="1"/>
  <c r="CQ28" i="33"/>
  <c r="CQ27" i="33"/>
  <c r="CQ26" i="33"/>
  <c r="CQ25" i="33"/>
  <c r="CQ29" i="33" s="1"/>
  <c r="CQ22" i="33"/>
  <c r="CQ21" i="33"/>
  <c r="CQ20" i="33"/>
  <c r="CQ19" i="33"/>
  <c r="CQ23" i="33" s="1"/>
  <c r="CQ16" i="33"/>
  <c r="CQ15" i="33"/>
  <c r="CQ14" i="33"/>
  <c r="CQ13" i="33"/>
  <c r="CQ17" i="33" s="1"/>
  <c r="CQ10" i="33"/>
  <c r="CQ9" i="33"/>
  <c r="CQ8" i="33"/>
  <c r="CQ7" i="33"/>
  <c r="CQ11" i="33" s="1"/>
  <c r="DD1955" i="33"/>
  <c r="DC1955" i="33"/>
  <c r="DB1955" i="33"/>
  <c r="DA1955" i="33"/>
  <c r="CZ1955" i="33"/>
  <c r="CW1955" i="33"/>
  <c r="CV1955" i="33"/>
  <c r="CU1955" i="33"/>
  <c r="CT1955" i="33"/>
  <c r="CS1955" i="33"/>
  <c r="CP1955" i="33"/>
  <c r="CO1955" i="33"/>
  <c r="CN1955" i="33"/>
  <c r="CM1955" i="33"/>
  <c r="CL1955" i="33"/>
  <c r="CB1955" i="33"/>
  <c r="CA1955" i="33"/>
  <c r="BZ1955" i="33"/>
  <c r="BY1955" i="33"/>
  <c r="BX1955" i="33"/>
  <c r="BU1955" i="33"/>
  <c r="BT1955" i="33"/>
  <c r="BS1955" i="33"/>
  <c r="BR1955" i="33"/>
  <c r="BQ1955" i="33"/>
  <c r="BN1955" i="33"/>
  <c r="BM1955" i="33"/>
  <c r="BL1955" i="33"/>
  <c r="BK1955" i="33"/>
  <c r="BJ1955" i="33"/>
  <c r="BG1955" i="33"/>
  <c r="BF1955" i="33"/>
  <c r="BE1955" i="33"/>
  <c r="BD1955" i="33"/>
  <c r="BC1955" i="33"/>
  <c r="AZ1955" i="33"/>
  <c r="AY1955" i="33"/>
  <c r="AX1955" i="33"/>
  <c r="AW1955" i="33"/>
  <c r="AV1955" i="33"/>
  <c r="AT1955" i="33"/>
  <c r="AS1955" i="33"/>
  <c r="AR1955" i="33"/>
  <c r="AQ1955" i="33"/>
  <c r="AP1955" i="33"/>
  <c r="AO1955" i="33"/>
  <c r="AL1955" i="33"/>
  <c r="AK1955" i="33"/>
  <c r="AJ1955" i="33"/>
  <c r="AI1955" i="33"/>
  <c r="AH1955" i="33"/>
  <c r="AE1955" i="33"/>
  <c r="AD1955" i="33"/>
  <c r="AC1955" i="33"/>
  <c r="AB1955" i="33"/>
  <c r="AA1955" i="33"/>
  <c r="X1955" i="33"/>
  <c r="W1955" i="33"/>
  <c r="V1955" i="33"/>
  <c r="U1955" i="33"/>
  <c r="T1955" i="33"/>
  <c r="Q1955" i="33"/>
  <c r="P1955" i="33"/>
  <c r="O1955" i="33"/>
  <c r="N1955" i="33"/>
  <c r="M1955" i="33"/>
  <c r="DE1954" i="33"/>
  <c r="CX1954" i="33"/>
  <c r="CC1954" i="33"/>
  <c r="BV1954" i="33"/>
  <c r="BO1954" i="33"/>
  <c r="BH1954" i="33"/>
  <c r="BA1954" i="33"/>
  <c r="AT1954" i="33"/>
  <c r="AM1954" i="33"/>
  <c r="AF1954" i="33"/>
  <c r="Y1954" i="33"/>
  <c r="R1954" i="33"/>
  <c r="DE1953" i="33"/>
  <c r="CX1953" i="33"/>
  <c r="CC1953" i="33"/>
  <c r="BV1953" i="33"/>
  <c r="BO1953" i="33"/>
  <c r="BH1953" i="33"/>
  <c r="BA1953" i="33"/>
  <c r="BA1955" i="33" s="1"/>
  <c r="AT1953" i="33"/>
  <c r="AM1953" i="33"/>
  <c r="AF1953" i="33"/>
  <c r="Y1953" i="33"/>
  <c r="R1953" i="33"/>
  <c r="DE1952" i="33"/>
  <c r="CX1952" i="33"/>
  <c r="V66" i="40"/>
  <c r="CC1952" i="33"/>
  <c r="BV1952" i="33"/>
  <c r="BV1955" i="33" s="1"/>
  <c r="BO1952" i="33"/>
  <c r="BH1952" i="33"/>
  <c r="BA1952" i="33"/>
  <c r="AT1952" i="33"/>
  <c r="AM1952" i="33"/>
  <c r="AF1952" i="33"/>
  <c r="Y1952" i="33"/>
  <c r="R1952" i="33"/>
  <c r="R1955" i="33" s="1"/>
  <c r="DE1951" i="33"/>
  <c r="DE1955" i="33" s="1"/>
  <c r="CX1951" i="33"/>
  <c r="CX1955" i="33" s="1"/>
  <c r="CC1951" i="33"/>
  <c r="CC1955" i="33" s="1"/>
  <c r="BV1951" i="33"/>
  <c r="BO1951" i="33"/>
  <c r="BO1955" i="33" s="1"/>
  <c r="BH1951" i="33"/>
  <c r="BH1955" i="33" s="1"/>
  <c r="BA1951" i="33"/>
  <c r="AT1951" i="33"/>
  <c r="AM1951" i="33"/>
  <c r="AM1955" i="33" s="1"/>
  <c r="AF1951" i="33"/>
  <c r="AF1955" i="33" s="1"/>
  <c r="Y1951" i="33"/>
  <c r="L66" i="40" s="1"/>
  <c r="R1951" i="33"/>
  <c r="DE1949" i="33"/>
  <c r="DD1949" i="33"/>
  <c r="DC1949" i="33"/>
  <c r="DB1949" i="33"/>
  <c r="DA1949" i="33"/>
  <c r="CZ1949" i="33"/>
  <c r="CW1949" i="33"/>
  <c r="CV1949" i="33"/>
  <c r="CU1949" i="33"/>
  <c r="CT1949" i="33"/>
  <c r="CS1949" i="33"/>
  <c r="CP1949" i="33"/>
  <c r="CO1949" i="33"/>
  <c r="CN1949" i="33"/>
  <c r="CM1949" i="33"/>
  <c r="CL1949" i="33"/>
  <c r="CB1949" i="33"/>
  <c r="CA1949" i="33"/>
  <c r="BZ1949" i="33"/>
  <c r="BY1949" i="33"/>
  <c r="BX1949" i="33"/>
  <c r="BU1949" i="33"/>
  <c r="BT1949" i="33"/>
  <c r="BS1949" i="33"/>
  <c r="BR1949" i="33"/>
  <c r="BQ1949" i="33"/>
  <c r="BN1949" i="33"/>
  <c r="BM1949" i="33"/>
  <c r="BL1949" i="33"/>
  <c r="BK1949" i="33"/>
  <c r="BJ1949" i="33"/>
  <c r="BG1949" i="33"/>
  <c r="BF1949" i="33"/>
  <c r="BE1949" i="33"/>
  <c r="BD1949" i="33"/>
  <c r="BC1949" i="33"/>
  <c r="AZ1949" i="33"/>
  <c r="AY1949" i="33"/>
  <c r="AX1949" i="33"/>
  <c r="AW1949" i="33"/>
  <c r="AV1949" i="33"/>
  <c r="AS1949" i="33"/>
  <c r="AR1949" i="33"/>
  <c r="AQ1949" i="33"/>
  <c r="AP1949" i="33"/>
  <c r="AO1949" i="33"/>
  <c r="AL1949" i="33"/>
  <c r="AK1949" i="33"/>
  <c r="AJ1949" i="33"/>
  <c r="AI1949" i="33"/>
  <c r="AH1949" i="33"/>
  <c r="AE1949" i="33"/>
  <c r="AD1949" i="33"/>
  <c r="AC1949" i="33"/>
  <c r="AB1949" i="33"/>
  <c r="AA1949" i="33"/>
  <c r="X1949" i="33"/>
  <c r="W1949" i="33"/>
  <c r="V1949" i="33"/>
  <c r="U1949" i="33"/>
  <c r="T1949" i="33"/>
  <c r="Q1949" i="33"/>
  <c r="P1949" i="33"/>
  <c r="O1949" i="33"/>
  <c r="N1949" i="33"/>
  <c r="M1949" i="33"/>
  <c r="DE1948" i="33"/>
  <c r="CX1948" i="33"/>
  <c r="CC1948" i="33"/>
  <c r="CC1949" i="33" s="1"/>
  <c r="BV1948" i="33"/>
  <c r="BO1948" i="33"/>
  <c r="BH1948" i="33"/>
  <c r="BA1948" i="33"/>
  <c r="AT1948" i="33"/>
  <c r="AM1948" i="33"/>
  <c r="AF1948" i="33"/>
  <c r="Y1948" i="33"/>
  <c r="K66" i="40" s="1"/>
  <c r="R1948" i="33"/>
  <c r="DE1947" i="33"/>
  <c r="CX1947" i="33"/>
  <c r="CC1947" i="33"/>
  <c r="BV1947" i="33"/>
  <c r="BO1947" i="33"/>
  <c r="BH1947" i="33"/>
  <c r="BA1947" i="33"/>
  <c r="AT1947" i="33"/>
  <c r="AM1947" i="33"/>
  <c r="AF1947" i="33"/>
  <c r="Y1947" i="33"/>
  <c r="R1947" i="33"/>
  <c r="DE1946" i="33"/>
  <c r="CX1946" i="33"/>
  <c r="CC1946" i="33"/>
  <c r="BV1946" i="33"/>
  <c r="BO1946" i="33"/>
  <c r="BH1946" i="33"/>
  <c r="BA1946" i="33"/>
  <c r="BA1949" i="33" s="1"/>
  <c r="AT1946" i="33"/>
  <c r="AM1946" i="33"/>
  <c r="AF1946" i="33"/>
  <c r="Y1946" i="33"/>
  <c r="R1946" i="33"/>
  <c r="DE1945" i="33"/>
  <c r="CX1945" i="33"/>
  <c r="CX1949" i="33" s="1"/>
  <c r="CC1945" i="33"/>
  <c r="BV1945" i="33"/>
  <c r="BV1949" i="33" s="1"/>
  <c r="BO1945" i="33"/>
  <c r="BO1949" i="33" s="1"/>
  <c r="BH1945" i="33"/>
  <c r="BH1949" i="33" s="1"/>
  <c r="BA1945" i="33"/>
  <c r="AT1945" i="33"/>
  <c r="AT1949" i="33" s="1"/>
  <c r="AM1945" i="33"/>
  <c r="AM1949" i="33" s="1"/>
  <c r="AF1945" i="33"/>
  <c r="AF1949" i="33" s="1"/>
  <c r="Y1945" i="33"/>
  <c r="R1945" i="33"/>
  <c r="R1949" i="33" s="1"/>
  <c r="DD1943" i="33"/>
  <c r="DC1943" i="33"/>
  <c r="DB1943" i="33"/>
  <c r="DA1943" i="33"/>
  <c r="CZ1943" i="33"/>
  <c r="CW1943" i="33"/>
  <c r="CV1943" i="33"/>
  <c r="CU1943" i="33"/>
  <c r="CT1943" i="33"/>
  <c r="CS1943" i="33"/>
  <c r="CP1943" i="33"/>
  <c r="CO1943" i="33"/>
  <c r="CN1943" i="33"/>
  <c r="CM1943" i="33"/>
  <c r="CL1943" i="33"/>
  <c r="CB1943" i="33"/>
  <c r="CA1943" i="33"/>
  <c r="BZ1943" i="33"/>
  <c r="BY1943" i="33"/>
  <c r="BX1943" i="33"/>
  <c r="BU1943" i="33"/>
  <c r="BT1943" i="33"/>
  <c r="BS1943" i="33"/>
  <c r="BR1943" i="33"/>
  <c r="BQ1943" i="33"/>
  <c r="BO1943" i="33"/>
  <c r="BN1943" i="33"/>
  <c r="BM1943" i="33"/>
  <c r="BL1943" i="33"/>
  <c r="BK1943" i="33"/>
  <c r="BJ1943" i="33"/>
  <c r="BG1943" i="33"/>
  <c r="BF1943" i="33"/>
  <c r="BE1943" i="33"/>
  <c r="BD1943" i="33"/>
  <c r="BC1943" i="33"/>
  <c r="AZ1943" i="33"/>
  <c r="AY1943" i="33"/>
  <c r="AX1943" i="33"/>
  <c r="AW1943" i="33"/>
  <c r="AV1943" i="33"/>
  <c r="AT1943" i="33"/>
  <c r="AS1943" i="33"/>
  <c r="AR1943" i="33"/>
  <c r="AQ1943" i="33"/>
  <c r="AP1943" i="33"/>
  <c r="AO1943" i="33"/>
  <c r="AL1943" i="33"/>
  <c r="AK1943" i="33"/>
  <c r="AJ1943" i="33"/>
  <c r="AI1943" i="33"/>
  <c r="AH1943" i="33"/>
  <c r="AE1943" i="33"/>
  <c r="AD1943" i="33"/>
  <c r="AC1943" i="33"/>
  <c r="AB1943" i="33"/>
  <c r="AA1943" i="33"/>
  <c r="X1943" i="33"/>
  <c r="W1943" i="33"/>
  <c r="V1943" i="33"/>
  <c r="U1943" i="33"/>
  <c r="T1943" i="33"/>
  <c r="Q1943" i="33"/>
  <c r="P1943" i="33"/>
  <c r="O1943" i="33"/>
  <c r="N1943" i="33"/>
  <c r="M1943" i="33"/>
  <c r="DE1942" i="33"/>
  <c r="CX1942" i="33"/>
  <c r="CC1942" i="33"/>
  <c r="BV1942" i="33"/>
  <c r="BO1942" i="33"/>
  <c r="BH1942" i="33"/>
  <c r="BA1942" i="33"/>
  <c r="AT1942" i="33"/>
  <c r="AM1942" i="33"/>
  <c r="AF1942" i="33"/>
  <c r="Y1942" i="33"/>
  <c r="R1942" i="33"/>
  <c r="DE1941" i="33"/>
  <c r="CX1941" i="33"/>
  <c r="CC1941" i="33"/>
  <c r="BV1941" i="33"/>
  <c r="BO1941" i="33"/>
  <c r="BH1941" i="33"/>
  <c r="BA1941" i="33"/>
  <c r="AT1941" i="33"/>
  <c r="AM1941" i="33"/>
  <c r="AF1941" i="33"/>
  <c r="Y1941" i="33"/>
  <c r="J66" i="40" s="1"/>
  <c r="R1941" i="33"/>
  <c r="DE1940" i="33"/>
  <c r="CX1940" i="33"/>
  <c r="CC1940" i="33"/>
  <c r="BV1940" i="33"/>
  <c r="BV1943" i="33" s="1"/>
  <c r="BO1940" i="33"/>
  <c r="BH1940" i="33"/>
  <c r="BA1940" i="33"/>
  <c r="AT1940" i="33"/>
  <c r="AM1940" i="33"/>
  <c r="AF1940" i="33"/>
  <c r="Y1940" i="33"/>
  <c r="R1940" i="33"/>
  <c r="R1943" i="33" s="1"/>
  <c r="DE1939" i="33"/>
  <c r="DE1943" i="33" s="1"/>
  <c r="CX1939" i="33"/>
  <c r="CX1943" i="33" s="1"/>
  <c r="CC1939" i="33"/>
  <c r="CC1943" i="33" s="1"/>
  <c r="BV1939" i="33"/>
  <c r="BO1939" i="33"/>
  <c r="BH1939" i="33"/>
  <c r="BH1943" i="33" s="1"/>
  <c r="BA1939" i="33"/>
  <c r="BA1943" i="33" s="1"/>
  <c r="AT1939" i="33"/>
  <c r="AM1939" i="33"/>
  <c r="T66" i="40" s="1"/>
  <c r="AF1939" i="33"/>
  <c r="AF1943" i="33" s="1"/>
  <c r="Y1939" i="33"/>
  <c r="Y1943" i="33" s="1"/>
  <c r="R1939" i="33"/>
  <c r="DE1937" i="33"/>
  <c r="DD1937" i="33"/>
  <c r="DC1937" i="33"/>
  <c r="DB1937" i="33"/>
  <c r="DA1937" i="33"/>
  <c r="CZ1937" i="33"/>
  <c r="CX1937" i="33"/>
  <c r="CW1937" i="33"/>
  <c r="CV1937" i="33"/>
  <c r="CU1937" i="33"/>
  <c r="CT1937" i="33"/>
  <c r="CS1937" i="33"/>
  <c r="CP1937" i="33"/>
  <c r="CO1937" i="33"/>
  <c r="CN1937" i="33"/>
  <c r="CM1937" i="33"/>
  <c r="CL1937" i="33"/>
  <c r="CB1937" i="33"/>
  <c r="CA1937" i="33"/>
  <c r="BZ1937" i="33"/>
  <c r="BY1937" i="33"/>
  <c r="BX1937" i="33"/>
  <c r="BU1937" i="33"/>
  <c r="BT1937" i="33"/>
  <c r="BS1937" i="33"/>
  <c r="BR1937" i="33"/>
  <c r="BQ1937" i="33"/>
  <c r="BN1937" i="33"/>
  <c r="BM1937" i="33"/>
  <c r="BL1937" i="33"/>
  <c r="BK1937" i="33"/>
  <c r="BJ1937" i="33"/>
  <c r="BG1937" i="33"/>
  <c r="BF1937" i="33"/>
  <c r="BE1937" i="33"/>
  <c r="BD1937" i="33"/>
  <c r="BC1937" i="33"/>
  <c r="AZ1937" i="33"/>
  <c r="AY1937" i="33"/>
  <c r="AX1937" i="33"/>
  <c r="AW1937" i="33"/>
  <c r="AV1937" i="33"/>
  <c r="AS1937" i="33"/>
  <c r="AR1937" i="33"/>
  <c r="AQ1937" i="33"/>
  <c r="AP1937" i="33"/>
  <c r="AO1937" i="33"/>
  <c r="AL1937" i="33"/>
  <c r="AK1937" i="33"/>
  <c r="AJ1937" i="33"/>
  <c r="AI1937" i="33"/>
  <c r="AH1937" i="33"/>
  <c r="AE1937" i="33"/>
  <c r="AD1937" i="33"/>
  <c r="AC1937" i="33"/>
  <c r="AB1937" i="33"/>
  <c r="AA1937" i="33"/>
  <c r="X1937" i="33"/>
  <c r="W1937" i="33"/>
  <c r="V1937" i="33"/>
  <c r="U1937" i="33"/>
  <c r="T1937" i="33"/>
  <c r="Q1937" i="33"/>
  <c r="P1937" i="33"/>
  <c r="O1937" i="33"/>
  <c r="N1937" i="33"/>
  <c r="M1937" i="33"/>
  <c r="DE1936" i="33"/>
  <c r="CX1936" i="33"/>
  <c r="CC1936" i="33"/>
  <c r="BV1936" i="33"/>
  <c r="BO1936" i="33"/>
  <c r="BH1936" i="33"/>
  <c r="BA1936" i="33"/>
  <c r="AT1936" i="33"/>
  <c r="AM1936" i="33"/>
  <c r="S66" i="40" s="1"/>
  <c r="AF1936" i="33"/>
  <c r="AF1937" i="33" s="1"/>
  <c r="Y1936" i="33"/>
  <c r="R1936" i="33"/>
  <c r="J1936" i="33"/>
  <c r="CI1936" i="33" s="1"/>
  <c r="J1942" i="33" s="1"/>
  <c r="CI1942" i="33" s="1"/>
  <c r="J1948" i="33" s="1"/>
  <c r="CI1948" i="33" s="1"/>
  <c r="J1954" i="33" s="1"/>
  <c r="CI1954" i="33" s="1"/>
  <c r="I1936" i="33"/>
  <c r="CH1936" i="33" s="1"/>
  <c r="I1942" i="33" s="1"/>
  <c r="CH1942" i="33" s="1"/>
  <c r="I1948" i="33" s="1"/>
  <c r="CH1948" i="33" s="1"/>
  <c r="I1954" i="33" s="1"/>
  <c r="CH1954" i="33" s="1"/>
  <c r="G1936" i="33"/>
  <c r="CF1936" i="33" s="1"/>
  <c r="G1942" i="33" s="1"/>
  <c r="CF1942" i="33" s="1"/>
  <c r="G1948" i="33" s="1"/>
  <c r="CF1948" i="33" s="1"/>
  <c r="G1954" i="33" s="1"/>
  <c r="CF1954" i="33" s="1"/>
  <c r="DE1935" i="33"/>
  <c r="CX1935" i="33"/>
  <c r="CC1935" i="33"/>
  <c r="BV1935" i="33"/>
  <c r="BO1935" i="33"/>
  <c r="BH1935" i="33"/>
  <c r="BA1935" i="33"/>
  <c r="AT1935" i="33"/>
  <c r="AT1937" i="33" s="1"/>
  <c r="AM1935" i="33"/>
  <c r="AF1935" i="33"/>
  <c r="Y1935" i="33"/>
  <c r="R1935" i="33"/>
  <c r="DE1934" i="33"/>
  <c r="CX1934" i="33"/>
  <c r="CC1934" i="33"/>
  <c r="BV1934" i="33"/>
  <c r="BO1934" i="33"/>
  <c r="BH1934" i="33"/>
  <c r="BA1934" i="33"/>
  <c r="AT1934" i="33"/>
  <c r="AM1934" i="33"/>
  <c r="AF1934" i="33"/>
  <c r="Y1934" i="33"/>
  <c r="R1934" i="33"/>
  <c r="I1934" i="33"/>
  <c r="I1937" i="33" s="1"/>
  <c r="H1934" i="33"/>
  <c r="CG1934" i="33" s="1"/>
  <c r="H1940" i="33" s="1"/>
  <c r="CG1940" i="33" s="1"/>
  <c r="H1946" i="33" s="1"/>
  <c r="CG1946" i="33" s="1"/>
  <c r="H1952" i="33" s="1"/>
  <c r="CG1952" i="33" s="1"/>
  <c r="DE1933" i="33"/>
  <c r="CX1933" i="33"/>
  <c r="CC1933" i="33"/>
  <c r="CC1937" i="33" s="1"/>
  <c r="BV1933" i="33"/>
  <c r="BV1937" i="33" s="1"/>
  <c r="BO1933" i="33"/>
  <c r="BO1937" i="33" s="1"/>
  <c r="BH1933" i="33"/>
  <c r="BH1937" i="33" s="1"/>
  <c r="BA1933" i="33"/>
  <c r="BA1937" i="33" s="1"/>
  <c r="AT1933" i="33"/>
  <c r="AM1933" i="33"/>
  <c r="AM1937" i="33" s="1"/>
  <c r="AF1933" i="33"/>
  <c r="Y1933" i="33"/>
  <c r="Y1937" i="33" s="1"/>
  <c r="R1933" i="33"/>
  <c r="R1937" i="33" s="1"/>
  <c r="I1933" i="33"/>
  <c r="CH1933" i="33" s="1"/>
  <c r="DD1931" i="33"/>
  <c r="DC1931" i="33"/>
  <c r="DB1931" i="33"/>
  <c r="DA1931" i="33"/>
  <c r="CZ1931" i="33"/>
  <c r="CW1931" i="33"/>
  <c r="CV1931" i="33"/>
  <c r="CU1931" i="33"/>
  <c r="CT1931" i="33"/>
  <c r="CS1931" i="33"/>
  <c r="CP1931" i="33"/>
  <c r="CO1931" i="33"/>
  <c r="CN1931" i="33"/>
  <c r="CM1931" i="33"/>
  <c r="CL1931" i="33"/>
  <c r="CH1931" i="33"/>
  <c r="CB1931" i="33"/>
  <c r="CA1931" i="33"/>
  <c r="BZ1931" i="33"/>
  <c r="BY1931" i="33"/>
  <c r="BX1931" i="33"/>
  <c r="BU1931" i="33"/>
  <c r="BT1931" i="33"/>
  <c r="BS1931" i="33"/>
  <c r="BR1931" i="33"/>
  <c r="BQ1931" i="33"/>
  <c r="BO1931" i="33"/>
  <c r="BN1931" i="33"/>
  <c r="BM1931" i="33"/>
  <c r="BL1931" i="33"/>
  <c r="BK1931" i="33"/>
  <c r="BJ1931" i="33"/>
  <c r="BG1931" i="33"/>
  <c r="BF1931" i="33"/>
  <c r="BE1931" i="33"/>
  <c r="BD1931" i="33"/>
  <c r="BC1931" i="33"/>
  <c r="AZ1931" i="33"/>
  <c r="AY1931" i="33"/>
  <c r="AX1931" i="33"/>
  <c r="AW1931" i="33"/>
  <c r="AV1931" i="33"/>
  <c r="AS1931" i="33"/>
  <c r="AR1931" i="33"/>
  <c r="AQ1931" i="33"/>
  <c r="AP1931" i="33"/>
  <c r="AO1931" i="33"/>
  <c r="AM1931" i="33"/>
  <c r="AL1931" i="33"/>
  <c r="AK1931" i="33"/>
  <c r="AJ1931" i="33"/>
  <c r="AI1931" i="33"/>
  <c r="AH1931" i="33"/>
  <c r="AE1931" i="33"/>
  <c r="AD1931" i="33"/>
  <c r="AC1931" i="33"/>
  <c r="AB1931" i="33"/>
  <c r="AA1931" i="33"/>
  <c r="X1931" i="33"/>
  <c r="W1931" i="33"/>
  <c r="V1931" i="33"/>
  <c r="U1931" i="33"/>
  <c r="T1931" i="33"/>
  <c r="Q1931" i="33"/>
  <c r="P1931" i="33"/>
  <c r="O1931" i="33"/>
  <c r="N1931" i="33"/>
  <c r="M1931" i="33"/>
  <c r="K1931" i="33"/>
  <c r="J1931" i="33"/>
  <c r="I1931" i="33"/>
  <c r="H1931" i="33"/>
  <c r="G1931" i="33"/>
  <c r="F1931" i="33"/>
  <c r="DE1930" i="33"/>
  <c r="CX1930" i="33"/>
  <c r="CI1930" i="33"/>
  <c r="CH1930" i="33"/>
  <c r="CG1930" i="33"/>
  <c r="H1936" i="33" s="1"/>
  <c r="CG1936" i="33" s="1"/>
  <c r="H1942" i="33" s="1"/>
  <c r="CG1942" i="33" s="1"/>
  <c r="H1948" i="33" s="1"/>
  <c r="CG1948" i="33" s="1"/>
  <c r="H1954" i="33" s="1"/>
  <c r="CG1954" i="33" s="1"/>
  <c r="CF1930" i="33"/>
  <c r="CE1930" i="33"/>
  <c r="F1936" i="33" s="1"/>
  <c r="CC1930" i="33"/>
  <c r="BV1930" i="33"/>
  <c r="BO1930" i="33"/>
  <c r="BH1930" i="33"/>
  <c r="BA1930" i="33"/>
  <c r="AT1930" i="33"/>
  <c r="AM1930" i="33"/>
  <c r="AF1930" i="33"/>
  <c r="Y1930" i="33"/>
  <c r="R1930" i="33"/>
  <c r="K1930" i="33"/>
  <c r="DE1929" i="33"/>
  <c r="CX1929" i="33"/>
  <c r="CI1929" i="33"/>
  <c r="J1935" i="33" s="1"/>
  <c r="CI1935" i="33" s="1"/>
  <c r="J1941" i="33" s="1"/>
  <c r="CI1941" i="33" s="1"/>
  <c r="J1947" i="33" s="1"/>
  <c r="CI1947" i="33" s="1"/>
  <c r="J1953" i="33" s="1"/>
  <c r="CI1953" i="33" s="1"/>
  <c r="CH1929" i="33"/>
  <c r="I1935" i="33" s="1"/>
  <c r="CH1935" i="33" s="1"/>
  <c r="I1941" i="33" s="1"/>
  <c r="CH1941" i="33" s="1"/>
  <c r="I1947" i="33" s="1"/>
  <c r="CH1947" i="33" s="1"/>
  <c r="I1953" i="33" s="1"/>
  <c r="CH1953" i="33" s="1"/>
  <c r="CG1929" i="33"/>
  <c r="CJ1929" i="33" s="1"/>
  <c r="CF1929" i="33"/>
  <c r="G1935" i="33" s="1"/>
  <c r="CF1935" i="33" s="1"/>
  <c r="G1941" i="33" s="1"/>
  <c r="CF1941" i="33" s="1"/>
  <c r="G1947" i="33" s="1"/>
  <c r="CF1947" i="33" s="1"/>
  <c r="G1953" i="33" s="1"/>
  <c r="CF1953" i="33" s="1"/>
  <c r="CE1929" i="33"/>
  <c r="F1935" i="33" s="1"/>
  <c r="CC1929" i="33"/>
  <c r="BV1929" i="33"/>
  <c r="BO1929" i="33"/>
  <c r="BH1929" i="33"/>
  <c r="BA1929" i="33"/>
  <c r="AT1929" i="33"/>
  <c r="AM1929" i="33"/>
  <c r="AF1929" i="33"/>
  <c r="Y1929" i="33"/>
  <c r="R1929" i="33"/>
  <c r="K1929" i="33"/>
  <c r="DE1928" i="33"/>
  <c r="DE1931" i="33" s="1"/>
  <c r="CX1928" i="33"/>
  <c r="CI1928" i="33"/>
  <c r="J1934" i="33" s="1"/>
  <c r="CI1934" i="33" s="1"/>
  <c r="J1940" i="33" s="1"/>
  <c r="CI1940" i="33" s="1"/>
  <c r="J1946" i="33" s="1"/>
  <c r="CI1946" i="33" s="1"/>
  <c r="J1952" i="33" s="1"/>
  <c r="CI1952" i="33" s="1"/>
  <c r="CH1928" i="33"/>
  <c r="CG1928" i="33"/>
  <c r="CF1928" i="33"/>
  <c r="G1934" i="33" s="1"/>
  <c r="CF1934" i="33" s="1"/>
  <c r="G1940" i="33" s="1"/>
  <c r="CF1940" i="33" s="1"/>
  <c r="G1946" i="33" s="1"/>
  <c r="CF1946" i="33" s="1"/>
  <c r="G1952" i="33" s="1"/>
  <c r="CF1952" i="33" s="1"/>
  <c r="CE1928" i="33"/>
  <c r="CJ1928" i="33" s="1"/>
  <c r="CC1928" i="33"/>
  <c r="BV1928" i="33"/>
  <c r="BO1928" i="33"/>
  <c r="BH1928" i="33"/>
  <c r="BA1928" i="33"/>
  <c r="AT1928" i="33"/>
  <c r="AM1928" i="33"/>
  <c r="AF1928" i="33"/>
  <c r="AF1931" i="33" s="1"/>
  <c r="Y1928" i="33"/>
  <c r="R1928" i="33"/>
  <c r="K1928" i="33"/>
  <c r="DE1927" i="33"/>
  <c r="CX1927" i="33"/>
  <c r="CX1931" i="33" s="1"/>
  <c r="CI1927" i="33"/>
  <c r="CI1931" i="33" s="1"/>
  <c r="CH1927" i="33"/>
  <c r="CG1927" i="33"/>
  <c r="CG1931" i="33" s="1"/>
  <c r="CF1927" i="33"/>
  <c r="CF1931" i="33" s="1"/>
  <c r="CE1927" i="33"/>
  <c r="CE1931" i="33" s="1"/>
  <c r="CC1927" i="33"/>
  <c r="CC1931" i="33" s="1"/>
  <c r="BV1927" i="33"/>
  <c r="BV1931" i="33" s="1"/>
  <c r="BO1927" i="33"/>
  <c r="BH1927" i="33"/>
  <c r="BH1931" i="33" s="1"/>
  <c r="BA1927" i="33"/>
  <c r="BA1931" i="33" s="1"/>
  <c r="AT1927" i="33"/>
  <c r="AT1931" i="33" s="1"/>
  <c r="AM1927" i="33"/>
  <c r="AF1927" i="33"/>
  <c r="Y1927" i="33"/>
  <c r="Y1931" i="33" s="1"/>
  <c r="R1927" i="33"/>
  <c r="R1931" i="33" s="1"/>
  <c r="K1927" i="33"/>
  <c r="DD1923" i="33"/>
  <c r="DC1923" i="33"/>
  <c r="DB1923" i="33"/>
  <c r="DA1923" i="33"/>
  <c r="CZ1923" i="33"/>
  <c r="CW1923" i="33"/>
  <c r="CV1923" i="33"/>
  <c r="CU1923" i="33"/>
  <c r="CT1923" i="33"/>
  <c r="CS1923" i="33"/>
  <c r="CP1923" i="33"/>
  <c r="CO1923" i="33"/>
  <c r="CN1923" i="33"/>
  <c r="CM1923" i="33"/>
  <c r="CL1923" i="33"/>
  <c r="CB1923" i="33"/>
  <c r="CA1923" i="33"/>
  <c r="BZ1923" i="33"/>
  <c r="BY1923" i="33"/>
  <c r="BX1923" i="33"/>
  <c r="BU1923" i="33"/>
  <c r="BT1923" i="33"/>
  <c r="BS1923" i="33"/>
  <c r="BR1923" i="33"/>
  <c r="BQ1923" i="33"/>
  <c r="BN1923" i="33"/>
  <c r="BM1923" i="33"/>
  <c r="BL1923" i="33"/>
  <c r="BK1923" i="33"/>
  <c r="BJ1923" i="33"/>
  <c r="BG1923" i="33"/>
  <c r="BF1923" i="33"/>
  <c r="BE1923" i="33"/>
  <c r="BD1923" i="33"/>
  <c r="BC1923" i="33"/>
  <c r="AZ1923" i="33"/>
  <c r="AY1923" i="33"/>
  <c r="AX1923" i="33"/>
  <c r="AW1923" i="33"/>
  <c r="AV1923" i="33"/>
  <c r="AT1923" i="33"/>
  <c r="AS1923" i="33"/>
  <c r="AR1923" i="33"/>
  <c r="AQ1923" i="33"/>
  <c r="AP1923" i="33"/>
  <c r="AO1923" i="33"/>
  <c r="AL1923" i="33"/>
  <c r="AK1923" i="33"/>
  <c r="AJ1923" i="33"/>
  <c r="AI1923" i="33"/>
  <c r="AH1923" i="33"/>
  <c r="AE1923" i="33"/>
  <c r="AD1923" i="33"/>
  <c r="AC1923" i="33"/>
  <c r="AB1923" i="33"/>
  <c r="AA1923" i="33"/>
  <c r="X1923" i="33"/>
  <c r="W1923" i="33"/>
  <c r="V1923" i="33"/>
  <c r="U1923" i="33"/>
  <c r="T1923" i="33"/>
  <c r="Q1923" i="33"/>
  <c r="P1923" i="33"/>
  <c r="O1923" i="33"/>
  <c r="N1923" i="33"/>
  <c r="M1923" i="33"/>
  <c r="DE1922" i="33"/>
  <c r="CX1922" i="33"/>
  <c r="CC1922" i="33"/>
  <c r="BV1922" i="33"/>
  <c r="BO1922" i="33"/>
  <c r="BH1922" i="33"/>
  <c r="BA1922" i="33"/>
  <c r="AT1922" i="33"/>
  <c r="AM1922" i="33"/>
  <c r="AF1922" i="33"/>
  <c r="Y1922" i="33"/>
  <c r="R1922" i="33"/>
  <c r="DE1921" i="33"/>
  <c r="CX1921" i="33"/>
  <c r="CC1921" i="33"/>
  <c r="BV1921" i="33"/>
  <c r="BO1921" i="33"/>
  <c r="BH1921" i="33"/>
  <c r="BA1921" i="33"/>
  <c r="BA1923" i="33" s="1"/>
  <c r="AT1921" i="33"/>
  <c r="AM1921" i="33"/>
  <c r="AF1921" i="33"/>
  <c r="Y1921" i="33"/>
  <c r="R1921" i="33"/>
  <c r="DE1920" i="33"/>
  <c r="CX1920" i="33"/>
  <c r="V65" i="40"/>
  <c r="CC1920" i="33"/>
  <c r="BV1920" i="33"/>
  <c r="BV1923" i="33" s="1"/>
  <c r="BO1920" i="33"/>
  <c r="BH1920" i="33"/>
  <c r="BA1920" i="33"/>
  <c r="AT1920" i="33"/>
  <c r="AM1920" i="33"/>
  <c r="AF1920" i="33"/>
  <c r="Y1920" i="33"/>
  <c r="R1920" i="33"/>
  <c r="R1923" i="33" s="1"/>
  <c r="DE1919" i="33"/>
  <c r="DE1923" i="33" s="1"/>
  <c r="CX1919" i="33"/>
  <c r="CX1923" i="33" s="1"/>
  <c r="CC1919" i="33"/>
  <c r="CC1923" i="33" s="1"/>
  <c r="BV1919" i="33"/>
  <c r="BO1919" i="33"/>
  <c r="BO1923" i="33" s="1"/>
  <c r="BH1919" i="33"/>
  <c r="BH1923" i="33" s="1"/>
  <c r="BA1919" i="33"/>
  <c r="AT1919" i="33"/>
  <c r="AM1919" i="33"/>
  <c r="AM1923" i="33" s="1"/>
  <c r="AF1919" i="33"/>
  <c r="AF1923" i="33" s="1"/>
  <c r="Y1919" i="33"/>
  <c r="L65" i="40" s="1"/>
  <c r="R1919" i="33"/>
  <c r="DE1917" i="33"/>
  <c r="DD1917" i="33"/>
  <c r="DC1917" i="33"/>
  <c r="DB1917" i="33"/>
  <c r="DA1917" i="33"/>
  <c r="CZ1917" i="33"/>
  <c r="CW1917" i="33"/>
  <c r="CV1917" i="33"/>
  <c r="CU1917" i="33"/>
  <c r="CT1917" i="33"/>
  <c r="CS1917" i="33"/>
  <c r="CP1917" i="33"/>
  <c r="CO1917" i="33"/>
  <c r="CN1917" i="33"/>
  <c r="CM1917" i="33"/>
  <c r="CL1917" i="33"/>
  <c r="CB1917" i="33"/>
  <c r="CA1917" i="33"/>
  <c r="BZ1917" i="33"/>
  <c r="BY1917" i="33"/>
  <c r="BX1917" i="33"/>
  <c r="BU1917" i="33"/>
  <c r="BT1917" i="33"/>
  <c r="BS1917" i="33"/>
  <c r="BR1917" i="33"/>
  <c r="BQ1917" i="33"/>
  <c r="BN1917" i="33"/>
  <c r="BM1917" i="33"/>
  <c r="BL1917" i="33"/>
  <c r="BK1917" i="33"/>
  <c r="BJ1917" i="33"/>
  <c r="BG1917" i="33"/>
  <c r="BF1917" i="33"/>
  <c r="BE1917" i="33"/>
  <c r="BD1917" i="33"/>
  <c r="BC1917" i="33"/>
  <c r="AZ1917" i="33"/>
  <c r="AY1917" i="33"/>
  <c r="AX1917" i="33"/>
  <c r="AW1917" i="33"/>
  <c r="AV1917" i="33"/>
  <c r="AS1917" i="33"/>
  <c r="AR1917" i="33"/>
  <c r="AQ1917" i="33"/>
  <c r="AP1917" i="33"/>
  <c r="AO1917" i="33"/>
  <c r="AL1917" i="33"/>
  <c r="AK1917" i="33"/>
  <c r="AJ1917" i="33"/>
  <c r="AI1917" i="33"/>
  <c r="AH1917" i="33"/>
  <c r="AE1917" i="33"/>
  <c r="AD1917" i="33"/>
  <c r="AC1917" i="33"/>
  <c r="AB1917" i="33"/>
  <c r="AA1917" i="33"/>
  <c r="X1917" i="33"/>
  <c r="W1917" i="33"/>
  <c r="V1917" i="33"/>
  <c r="U1917" i="33"/>
  <c r="T1917" i="33"/>
  <c r="Q1917" i="33"/>
  <c r="P1917" i="33"/>
  <c r="O1917" i="33"/>
  <c r="N1917" i="33"/>
  <c r="M1917" i="33"/>
  <c r="DE1916" i="33"/>
  <c r="CX1916" i="33"/>
  <c r="CX1917" i="33" s="1"/>
  <c r="CC1916" i="33"/>
  <c r="CC1917" i="33" s="1"/>
  <c r="BV1916" i="33"/>
  <c r="BO1916" i="33"/>
  <c r="BH1916" i="33"/>
  <c r="BA1916" i="33"/>
  <c r="AT1916" i="33"/>
  <c r="AM1916" i="33"/>
  <c r="AF1916" i="33"/>
  <c r="Y1916" i="33"/>
  <c r="Y1917" i="33" s="1"/>
  <c r="R1916" i="33"/>
  <c r="DE1915" i="33"/>
  <c r="CX1915" i="33"/>
  <c r="CC1915" i="33"/>
  <c r="BV1915" i="33"/>
  <c r="BO1915" i="33"/>
  <c r="BH1915" i="33"/>
  <c r="BA1915" i="33"/>
  <c r="AT1915" i="33"/>
  <c r="AM1915" i="33"/>
  <c r="AF1915" i="33"/>
  <c r="AF1917" i="33" s="1"/>
  <c r="Y1915" i="33"/>
  <c r="R1915" i="33"/>
  <c r="DE1914" i="33"/>
  <c r="CX1914" i="33"/>
  <c r="CC1914" i="33"/>
  <c r="BV1914" i="33"/>
  <c r="BO1914" i="33"/>
  <c r="BH1914" i="33"/>
  <c r="BA1914" i="33"/>
  <c r="AT1914" i="33"/>
  <c r="AM1914" i="33"/>
  <c r="AF1914" i="33"/>
  <c r="Y1914" i="33"/>
  <c r="R1914" i="33"/>
  <c r="DE1913" i="33"/>
  <c r="CX1913" i="33"/>
  <c r="CC1913" i="33"/>
  <c r="BV1913" i="33"/>
  <c r="BV1917" i="33" s="1"/>
  <c r="BO1913" i="33"/>
  <c r="BO1917" i="33" s="1"/>
  <c r="BH1913" i="33"/>
  <c r="BH1917" i="33" s="1"/>
  <c r="BA1913" i="33"/>
  <c r="BA1917" i="33" s="1"/>
  <c r="AT1913" i="33"/>
  <c r="AT1917" i="33" s="1"/>
  <c r="AM1913" i="33"/>
  <c r="AM1917" i="33" s="1"/>
  <c r="AF1913" i="33"/>
  <c r="Y1913" i="33"/>
  <c r="R1913" i="33"/>
  <c r="R1917" i="33" s="1"/>
  <c r="DD1911" i="33"/>
  <c r="DC1911" i="33"/>
  <c r="DB1911" i="33"/>
  <c r="DA1911" i="33"/>
  <c r="CZ1911" i="33"/>
  <c r="CW1911" i="33"/>
  <c r="CV1911" i="33"/>
  <c r="CU1911" i="33"/>
  <c r="CT1911" i="33"/>
  <c r="CS1911" i="33"/>
  <c r="CP1911" i="33"/>
  <c r="CO1911" i="33"/>
  <c r="CN1911" i="33"/>
  <c r="CM1911" i="33"/>
  <c r="CL1911" i="33"/>
  <c r="CB1911" i="33"/>
  <c r="CA1911" i="33"/>
  <c r="BZ1911" i="33"/>
  <c r="BY1911" i="33"/>
  <c r="BX1911" i="33"/>
  <c r="BU1911" i="33"/>
  <c r="BT1911" i="33"/>
  <c r="BS1911" i="33"/>
  <c r="BR1911" i="33"/>
  <c r="BQ1911" i="33"/>
  <c r="BO1911" i="33"/>
  <c r="BN1911" i="33"/>
  <c r="BM1911" i="33"/>
  <c r="BL1911" i="33"/>
  <c r="BK1911" i="33"/>
  <c r="BJ1911" i="33"/>
  <c r="BH1911" i="33"/>
  <c r="BG1911" i="33"/>
  <c r="BF1911" i="33"/>
  <c r="BE1911" i="33"/>
  <c r="BD1911" i="33"/>
  <c r="BC1911" i="33"/>
  <c r="AZ1911" i="33"/>
  <c r="AY1911" i="33"/>
  <c r="AX1911" i="33"/>
  <c r="AW1911" i="33"/>
  <c r="AV1911" i="33"/>
  <c r="AS1911" i="33"/>
  <c r="AR1911" i="33"/>
  <c r="AQ1911" i="33"/>
  <c r="AP1911" i="33"/>
  <c r="AO1911" i="33"/>
  <c r="AL1911" i="33"/>
  <c r="AK1911" i="33"/>
  <c r="AJ1911" i="33"/>
  <c r="AI1911" i="33"/>
  <c r="AH1911" i="33"/>
  <c r="AE1911" i="33"/>
  <c r="AD1911" i="33"/>
  <c r="AC1911" i="33"/>
  <c r="AB1911" i="33"/>
  <c r="AA1911" i="33"/>
  <c r="X1911" i="33"/>
  <c r="W1911" i="33"/>
  <c r="V1911" i="33"/>
  <c r="U1911" i="33"/>
  <c r="T1911" i="33"/>
  <c r="Q1911" i="33"/>
  <c r="P1911" i="33"/>
  <c r="O1911" i="33"/>
  <c r="N1911" i="33"/>
  <c r="M1911" i="33"/>
  <c r="DE1910" i="33"/>
  <c r="CX1910" i="33"/>
  <c r="CC1910" i="33"/>
  <c r="BV1910" i="33"/>
  <c r="BO1910" i="33"/>
  <c r="BH1910" i="33"/>
  <c r="BA1910" i="33"/>
  <c r="AT1910" i="33"/>
  <c r="AM1910" i="33"/>
  <c r="AF1910" i="33"/>
  <c r="Y1910" i="33"/>
  <c r="R1910" i="33"/>
  <c r="DE1909" i="33"/>
  <c r="CX1909" i="33"/>
  <c r="CC1909" i="33"/>
  <c r="BV1909" i="33"/>
  <c r="BO1909" i="33"/>
  <c r="BH1909" i="33"/>
  <c r="BA1909" i="33"/>
  <c r="AT1909" i="33"/>
  <c r="AM1909" i="33"/>
  <c r="AF1909" i="33"/>
  <c r="Y1909" i="33"/>
  <c r="R1909" i="33"/>
  <c r="DE1908" i="33"/>
  <c r="CX1908" i="33"/>
  <c r="CC1908" i="33"/>
  <c r="BV1908" i="33"/>
  <c r="BV1911" i="33" s="1"/>
  <c r="BO1908" i="33"/>
  <c r="BH1908" i="33"/>
  <c r="BA1908" i="33"/>
  <c r="AT1908" i="33"/>
  <c r="AM1908" i="33"/>
  <c r="AF1908" i="33"/>
  <c r="AF1911" i="33" s="1"/>
  <c r="Y1908" i="33"/>
  <c r="R1908" i="33"/>
  <c r="R1911" i="33" s="1"/>
  <c r="DE1907" i="33"/>
  <c r="DE1911" i="33" s="1"/>
  <c r="CX1907" i="33"/>
  <c r="CX1911" i="33" s="1"/>
  <c r="CC1907" i="33"/>
  <c r="CC1911" i="33" s="1"/>
  <c r="BV1907" i="33"/>
  <c r="BO1907" i="33"/>
  <c r="BH1907" i="33"/>
  <c r="BA1907" i="33"/>
  <c r="BA1911" i="33" s="1"/>
  <c r="AT1907" i="33"/>
  <c r="AT1911" i="33" s="1"/>
  <c r="AM1907" i="33"/>
  <c r="AF1907" i="33"/>
  <c r="Y1907" i="33"/>
  <c r="Y1911" i="33" s="1"/>
  <c r="R1907" i="33"/>
  <c r="DD1905" i="33"/>
  <c r="DC1905" i="33"/>
  <c r="DB1905" i="33"/>
  <c r="DA1905" i="33"/>
  <c r="CZ1905" i="33"/>
  <c r="CX1905" i="33"/>
  <c r="CW1905" i="33"/>
  <c r="CV1905" i="33"/>
  <c r="CU1905" i="33"/>
  <c r="CT1905" i="33"/>
  <c r="CS1905" i="33"/>
  <c r="CP1905" i="33"/>
  <c r="CO1905" i="33"/>
  <c r="CN1905" i="33"/>
  <c r="CM1905" i="33"/>
  <c r="CL1905" i="33"/>
  <c r="CB1905" i="33"/>
  <c r="CA1905" i="33"/>
  <c r="BZ1905" i="33"/>
  <c r="BY1905" i="33"/>
  <c r="BX1905" i="33"/>
  <c r="BU1905" i="33"/>
  <c r="BT1905" i="33"/>
  <c r="BS1905" i="33"/>
  <c r="BR1905" i="33"/>
  <c r="BQ1905" i="33"/>
  <c r="BN1905" i="33"/>
  <c r="BM1905" i="33"/>
  <c r="BL1905" i="33"/>
  <c r="BK1905" i="33"/>
  <c r="BJ1905" i="33"/>
  <c r="BG1905" i="33"/>
  <c r="BF1905" i="33"/>
  <c r="BE1905" i="33"/>
  <c r="BD1905" i="33"/>
  <c r="BC1905" i="33"/>
  <c r="AZ1905" i="33"/>
  <c r="AY1905" i="33"/>
  <c r="AX1905" i="33"/>
  <c r="AW1905" i="33"/>
  <c r="AV1905" i="33"/>
  <c r="AT1905" i="33"/>
  <c r="AS1905" i="33"/>
  <c r="AR1905" i="33"/>
  <c r="AQ1905" i="33"/>
  <c r="AP1905" i="33"/>
  <c r="AO1905" i="33"/>
  <c r="AL1905" i="33"/>
  <c r="AK1905" i="33"/>
  <c r="AJ1905" i="33"/>
  <c r="AI1905" i="33"/>
  <c r="AH1905" i="33"/>
  <c r="AE1905" i="33"/>
  <c r="AD1905" i="33"/>
  <c r="AC1905" i="33"/>
  <c r="AB1905" i="33"/>
  <c r="AA1905" i="33"/>
  <c r="X1905" i="33"/>
  <c r="W1905" i="33"/>
  <c r="V1905" i="33"/>
  <c r="U1905" i="33"/>
  <c r="T1905" i="33"/>
  <c r="Q1905" i="33"/>
  <c r="P1905" i="33"/>
  <c r="O1905" i="33"/>
  <c r="N1905" i="33"/>
  <c r="M1905" i="33"/>
  <c r="DE1904" i="33"/>
  <c r="CX1904" i="33"/>
  <c r="CC1904" i="33"/>
  <c r="BV1904" i="33"/>
  <c r="BO1904" i="33"/>
  <c r="BH1904" i="33"/>
  <c r="BA1904" i="33"/>
  <c r="AT1904" i="33"/>
  <c r="AM1904" i="33"/>
  <c r="AF1904" i="33"/>
  <c r="Y1904" i="33"/>
  <c r="R1904" i="33"/>
  <c r="J1904" i="33"/>
  <c r="CI1904" i="33" s="1"/>
  <c r="J1910" i="33" s="1"/>
  <c r="CI1910" i="33" s="1"/>
  <c r="J1916" i="33" s="1"/>
  <c r="CI1916" i="33" s="1"/>
  <c r="J1922" i="33" s="1"/>
  <c r="CI1922" i="33" s="1"/>
  <c r="I1904" i="33"/>
  <c r="CH1904" i="33" s="1"/>
  <c r="I1910" i="33" s="1"/>
  <c r="CH1910" i="33" s="1"/>
  <c r="I1916" i="33" s="1"/>
  <c r="CH1916" i="33" s="1"/>
  <c r="I1922" i="33" s="1"/>
  <c r="CH1922" i="33" s="1"/>
  <c r="DE1903" i="33"/>
  <c r="CX1903" i="33"/>
  <c r="CC1903" i="33"/>
  <c r="BV1903" i="33"/>
  <c r="BO1903" i="33"/>
  <c r="BH1903" i="33"/>
  <c r="BA1903" i="33"/>
  <c r="AT1903" i="33"/>
  <c r="AM1903" i="33"/>
  <c r="AF1903" i="33"/>
  <c r="Y1903" i="33"/>
  <c r="R1903" i="33"/>
  <c r="DE1902" i="33"/>
  <c r="CX1902" i="33"/>
  <c r="CC1902" i="33"/>
  <c r="BV1902" i="33"/>
  <c r="BO1902" i="33"/>
  <c r="BH1902" i="33"/>
  <c r="BA1902" i="33"/>
  <c r="BA1905" i="33" s="1"/>
  <c r="AT1902" i="33"/>
  <c r="AM1902" i="33"/>
  <c r="AF1902" i="33"/>
  <c r="Y1902" i="33"/>
  <c r="R1902" i="33"/>
  <c r="DE1901" i="33"/>
  <c r="DE1905" i="33" s="1"/>
  <c r="CX1901" i="33"/>
  <c r="S65" i="40"/>
  <c r="CC1901" i="33"/>
  <c r="CC1905" i="33" s="1"/>
  <c r="BV1901" i="33"/>
  <c r="BV1905" i="33" s="1"/>
  <c r="BO1901" i="33"/>
  <c r="BO1905" i="33" s="1"/>
  <c r="BH1901" i="33"/>
  <c r="BH1905" i="33" s="1"/>
  <c r="BA1901" i="33"/>
  <c r="AT1901" i="33"/>
  <c r="AM1901" i="33"/>
  <c r="AM1905" i="33" s="1"/>
  <c r="AF1901" i="33"/>
  <c r="AF1905" i="33" s="1"/>
  <c r="Y1901" i="33"/>
  <c r="Y1905" i="33" s="1"/>
  <c r="R1901" i="33"/>
  <c r="R1905" i="33" s="1"/>
  <c r="F1901" i="33"/>
  <c r="CE1901" i="33" s="1"/>
  <c r="DD1899" i="33"/>
  <c r="DC1899" i="33"/>
  <c r="DB1899" i="33"/>
  <c r="DA1899" i="33"/>
  <c r="CZ1899" i="33"/>
  <c r="CW1899" i="33"/>
  <c r="CV1899" i="33"/>
  <c r="CU1899" i="33"/>
  <c r="CT1899" i="33"/>
  <c r="CS1899" i="33"/>
  <c r="CP1899" i="33"/>
  <c r="CO1899" i="33"/>
  <c r="CN1899" i="33"/>
  <c r="CM1899" i="33"/>
  <c r="CL1899" i="33"/>
  <c r="CC1899" i="33"/>
  <c r="CB1899" i="33"/>
  <c r="CA1899" i="33"/>
  <c r="BZ1899" i="33"/>
  <c r="BY1899" i="33"/>
  <c r="BX1899" i="33"/>
  <c r="BU1899" i="33"/>
  <c r="BT1899" i="33"/>
  <c r="BS1899" i="33"/>
  <c r="BR1899" i="33"/>
  <c r="BQ1899" i="33"/>
  <c r="BN1899" i="33"/>
  <c r="BM1899" i="33"/>
  <c r="BL1899" i="33"/>
  <c r="BK1899" i="33"/>
  <c r="BJ1899" i="33"/>
  <c r="BG1899" i="33"/>
  <c r="BF1899" i="33"/>
  <c r="BE1899" i="33"/>
  <c r="BD1899" i="33"/>
  <c r="BC1899" i="33"/>
  <c r="BA1899" i="33"/>
  <c r="AZ1899" i="33"/>
  <c r="AY1899" i="33"/>
  <c r="AX1899" i="33"/>
  <c r="AW1899" i="33"/>
  <c r="AV1899" i="33"/>
  <c r="AS1899" i="33"/>
  <c r="AR1899" i="33"/>
  <c r="AQ1899" i="33"/>
  <c r="AP1899" i="33"/>
  <c r="AO1899" i="33"/>
  <c r="AL1899" i="33"/>
  <c r="AK1899" i="33"/>
  <c r="AJ1899" i="33"/>
  <c r="AI1899" i="33"/>
  <c r="AH1899" i="33"/>
  <c r="AE1899" i="33"/>
  <c r="AD1899" i="33"/>
  <c r="AC1899" i="33"/>
  <c r="AB1899" i="33"/>
  <c r="AA1899" i="33"/>
  <c r="Y1899" i="33"/>
  <c r="X1899" i="33"/>
  <c r="W1899" i="33"/>
  <c r="V1899" i="33"/>
  <c r="U1899" i="33"/>
  <c r="T1899" i="33"/>
  <c r="Q1899" i="33"/>
  <c r="P1899" i="33"/>
  <c r="O1899" i="33"/>
  <c r="N1899" i="33"/>
  <c r="M1899" i="33"/>
  <c r="J1899" i="33"/>
  <c r="I1899" i="33"/>
  <c r="H1899" i="33"/>
  <c r="G1899" i="33"/>
  <c r="F1899" i="33"/>
  <c r="DE1898" i="33"/>
  <c r="CX1898" i="33"/>
  <c r="CI1898" i="33"/>
  <c r="CH1898" i="33"/>
  <c r="CG1898" i="33"/>
  <c r="H1904" i="33" s="1"/>
  <c r="CG1904" i="33" s="1"/>
  <c r="H1910" i="33" s="1"/>
  <c r="CG1910" i="33" s="1"/>
  <c r="H1916" i="33" s="1"/>
  <c r="CG1916" i="33" s="1"/>
  <c r="H1922" i="33" s="1"/>
  <c r="CG1922" i="33" s="1"/>
  <c r="CF1898" i="33"/>
  <c r="G1904" i="33" s="1"/>
  <c r="CF1904" i="33" s="1"/>
  <c r="G1910" i="33" s="1"/>
  <c r="CF1910" i="33" s="1"/>
  <c r="G1916" i="33" s="1"/>
  <c r="CF1916" i="33" s="1"/>
  <c r="G1922" i="33" s="1"/>
  <c r="CF1922" i="33" s="1"/>
  <c r="CE1898" i="33"/>
  <c r="F1904" i="33" s="1"/>
  <c r="CC1898" i="33"/>
  <c r="BV1898" i="33"/>
  <c r="BO1898" i="33"/>
  <c r="BH1898" i="33"/>
  <c r="BA1898" i="33"/>
  <c r="AT1898" i="33"/>
  <c r="AM1898" i="33"/>
  <c r="AF1898" i="33"/>
  <c r="Y1898" i="33"/>
  <c r="R1898" i="33"/>
  <c r="K1898" i="33"/>
  <c r="DE1897" i="33"/>
  <c r="CX1897" i="33"/>
  <c r="CI1897" i="33"/>
  <c r="CJ1897" i="33" s="1"/>
  <c r="CH1897" i="33"/>
  <c r="I1903" i="33" s="1"/>
  <c r="CH1903" i="33" s="1"/>
  <c r="I1909" i="33" s="1"/>
  <c r="CH1909" i="33" s="1"/>
  <c r="I1915" i="33" s="1"/>
  <c r="CH1915" i="33" s="1"/>
  <c r="I1921" i="33" s="1"/>
  <c r="CH1921" i="33" s="1"/>
  <c r="CG1897" i="33"/>
  <c r="H1903" i="33" s="1"/>
  <c r="CG1903" i="33" s="1"/>
  <c r="H1909" i="33" s="1"/>
  <c r="CG1909" i="33" s="1"/>
  <c r="H1915" i="33" s="1"/>
  <c r="CG1915" i="33" s="1"/>
  <c r="H1921" i="33" s="1"/>
  <c r="CG1921" i="33" s="1"/>
  <c r="CF1897" i="33"/>
  <c r="G1903" i="33" s="1"/>
  <c r="CF1903" i="33" s="1"/>
  <c r="G1909" i="33" s="1"/>
  <c r="CF1909" i="33" s="1"/>
  <c r="G1915" i="33" s="1"/>
  <c r="CF1915" i="33" s="1"/>
  <c r="G1921" i="33" s="1"/>
  <c r="CF1921" i="33" s="1"/>
  <c r="CE1897" i="33"/>
  <c r="F1903" i="33" s="1"/>
  <c r="CC1897" i="33"/>
  <c r="BV1897" i="33"/>
  <c r="BO1897" i="33"/>
  <c r="BH1897" i="33"/>
  <c r="BA1897" i="33"/>
  <c r="AT1897" i="33"/>
  <c r="AM1897" i="33"/>
  <c r="AF1897" i="33"/>
  <c r="Y1897" i="33"/>
  <c r="R1897" i="33"/>
  <c r="K1897" i="33"/>
  <c r="DE1896" i="33"/>
  <c r="DE1899" i="33" s="1"/>
  <c r="CX1896" i="33"/>
  <c r="CI1896" i="33"/>
  <c r="J1902" i="33" s="1"/>
  <c r="CI1902" i="33" s="1"/>
  <c r="J1908" i="33" s="1"/>
  <c r="CI1908" i="33" s="1"/>
  <c r="J1914" i="33" s="1"/>
  <c r="CI1914" i="33" s="1"/>
  <c r="J1920" i="33" s="1"/>
  <c r="CI1920" i="33" s="1"/>
  <c r="CH1896" i="33"/>
  <c r="I1902" i="33" s="1"/>
  <c r="CH1902" i="33" s="1"/>
  <c r="I1908" i="33" s="1"/>
  <c r="CH1908" i="33" s="1"/>
  <c r="I1914" i="33" s="1"/>
  <c r="CH1914" i="33" s="1"/>
  <c r="I1920" i="33" s="1"/>
  <c r="CH1920" i="33" s="1"/>
  <c r="CG1896" i="33"/>
  <c r="H1902" i="33" s="1"/>
  <c r="CG1902" i="33" s="1"/>
  <c r="H1908" i="33" s="1"/>
  <c r="CG1908" i="33" s="1"/>
  <c r="H1914" i="33" s="1"/>
  <c r="CG1914" i="33" s="1"/>
  <c r="H1920" i="33" s="1"/>
  <c r="CG1920" i="33" s="1"/>
  <c r="CF1896" i="33"/>
  <c r="G1902" i="33" s="1"/>
  <c r="CF1902" i="33" s="1"/>
  <c r="G1908" i="33" s="1"/>
  <c r="CF1908" i="33" s="1"/>
  <c r="G1914" i="33" s="1"/>
  <c r="CF1914" i="33" s="1"/>
  <c r="G1920" i="33" s="1"/>
  <c r="CF1920" i="33" s="1"/>
  <c r="CE1896" i="33"/>
  <c r="CJ1896" i="33" s="1"/>
  <c r="CC1896" i="33"/>
  <c r="BV1896" i="33"/>
  <c r="BO1896" i="33"/>
  <c r="BH1896" i="33"/>
  <c r="BA1896" i="33"/>
  <c r="AT1896" i="33"/>
  <c r="AM1896" i="33"/>
  <c r="AF1896" i="33"/>
  <c r="AF1899" i="33" s="1"/>
  <c r="Y1896" i="33"/>
  <c r="R1896" i="33"/>
  <c r="K1896" i="33"/>
  <c r="DE1895" i="33"/>
  <c r="CX1895" i="33"/>
  <c r="CX1899" i="33" s="1"/>
  <c r="CI1895" i="33"/>
  <c r="CJ1895" i="33" s="1"/>
  <c r="CH1895" i="33"/>
  <c r="I1901" i="33" s="1"/>
  <c r="CG1895" i="33"/>
  <c r="CG1899" i="33" s="1"/>
  <c r="CF1895" i="33"/>
  <c r="CF1899" i="33" s="1"/>
  <c r="CE1895" i="33"/>
  <c r="CE1899" i="33" s="1"/>
  <c r="CC1895" i="33"/>
  <c r="BV1895" i="33"/>
  <c r="BV1899" i="33" s="1"/>
  <c r="BO1895" i="33"/>
  <c r="BO1899" i="33" s="1"/>
  <c r="BH1895" i="33"/>
  <c r="BH1899" i="33" s="1"/>
  <c r="BA1895" i="33"/>
  <c r="AT1895" i="33"/>
  <c r="AT1899" i="33" s="1"/>
  <c r="AM1895" i="33"/>
  <c r="AM1899" i="33" s="1"/>
  <c r="AF1895" i="33"/>
  <c r="Y1895" i="33"/>
  <c r="R1895" i="33"/>
  <c r="R1899" i="33" s="1"/>
  <c r="K1895" i="33"/>
  <c r="K1899" i="33" s="1"/>
  <c r="DD1891" i="33"/>
  <c r="DC1891" i="33"/>
  <c r="DB1891" i="33"/>
  <c r="DA1891" i="33"/>
  <c r="CZ1891" i="33"/>
  <c r="CW1891" i="33"/>
  <c r="CV1891" i="33"/>
  <c r="CU1891" i="33"/>
  <c r="CT1891" i="33"/>
  <c r="CS1891" i="33"/>
  <c r="CP1891" i="33"/>
  <c r="CO1891" i="33"/>
  <c r="CN1891" i="33"/>
  <c r="CM1891" i="33"/>
  <c r="CL1891" i="33"/>
  <c r="CC1891" i="33"/>
  <c r="CB1891" i="33"/>
  <c r="CA1891" i="33"/>
  <c r="BZ1891" i="33"/>
  <c r="BY1891" i="33"/>
  <c r="BX1891" i="33"/>
  <c r="BU1891" i="33"/>
  <c r="BT1891" i="33"/>
  <c r="BS1891" i="33"/>
  <c r="BR1891" i="33"/>
  <c r="BQ1891" i="33"/>
  <c r="BN1891" i="33"/>
  <c r="BM1891" i="33"/>
  <c r="BL1891" i="33"/>
  <c r="BK1891" i="33"/>
  <c r="BJ1891" i="33"/>
  <c r="BG1891" i="33"/>
  <c r="BF1891" i="33"/>
  <c r="BE1891" i="33"/>
  <c r="BD1891" i="33"/>
  <c r="BC1891" i="33"/>
  <c r="AZ1891" i="33"/>
  <c r="AY1891" i="33"/>
  <c r="AX1891" i="33"/>
  <c r="AW1891" i="33"/>
  <c r="AV1891" i="33"/>
  <c r="AS1891" i="33"/>
  <c r="AR1891" i="33"/>
  <c r="AQ1891" i="33"/>
  <c r="AP1891" i="33"/>
  <c r="AO1891" i="33"/>
  <c r="AL1891" i="33"/>
  <c r="AK1891" i="33"/>
  <c r="AJ1891" i="33"/>
  <c r="AI1891" i="33"/>
  <c r="AH1891" i="33"/>
  <c r="AE1891" i="33"/>
  <c r="AD1891" i="33"/>
  <c r="AC1891" i="33"/>
  <c r="AB1891" i="33"/>
  <c r="AA1891" i="33"/>
  <c r="Y1891" i="33"/>
  <c r="X1891" i="33"/>
  <c r="W1891" i="33"/>
  <c r="V1891" i="33"/>
  <c r="U1891" i="33"/>
  <c r="T1891" i="33"/>
  <c r="Q1891" i="33"/>
  <c r="P1891" i="33"/>
  <c r="O1891" i="33"/>
  <c r="N1891" i="33"/>
  <c r="M1891" i="33"/>
  <c r="DE1890" i="33"/>
  <c r="CX1890" i="33"/>
  <c r="CC1890" i="33"/>
  <c r="BV1890" i="33"/>
  <c r="BO1890" i="33"/>
  <c r="BH1890" i="33"/>
  <c r="BA1890" i="33"/>
  <c r="AT1890" i="33"/>
  <c r="AT1891" i="33" s="1"/>
  <c r="AM1890" i="33"/>
  <c r="AF1890" i="33"/>
  <c r="Y1890" i="33"/>
  <c r="R1890" i="33"/>
  <c r="DE1889" i="33"/>
  <c r="CX1889" i="33"/>
  <c r="CC1889" i="33"/>
  <c r="BV1889" i="33"/>
  <c r="BO1889" i="33"/>
  <c r="BH1889" i="33"/>
  <c r="BA1889" i="33"/>
  <c r="BA1891" i="33" s="1"/>
  <c r="AT1889" i="33"/>
  <c r="AM1889" i="33"/>
  <c r="AF1889" i="33"/>
  <c r="Y1889" i="33"/>
  <c r="R1889" i="33"/>
  <c r="DE1888" i="33"/>
  <c r="CX1888" i="33"/>
  <c r="CC1888" i="33"/>
  <c r="BV1888" i="33"/>
  <c r="BO1888" i="33"/>
  <c r="BH1888" i="33"/>
  <c r="BA1888" i="33"/>
  <c r="AT1888" i="33"/>
  <c r="AM1888" i="33"/>
  <c r="AF1888" i="33"/>
  <c r="Y1888" i="33"/>
  <c r="R1888" i="33"/>
  <c r="DE1887" i="33"/>
  <c r="DE1891" i="33" s="1"/>
  <c r="CX1887" i="33"/>
  <c r="CX1891" i="33" s="1"/>
  <c r="CC1887" i="33"/>
  <c r="BV1887" i="33"/>
  <c r="BV1891" i="33" s="1"/>
  <c r="BO1887" i="33"/>
  <c r="BO1891" i="33" s="1"/>
  <c r="BH1887" i="33"/>
  <c r="BH1891" i="33" s="1"/>
  <c r="BA1887" i="33"/>
  <c r="AT1887" i="33"/>
  <c r="AM1887" i="33"/>
  <c r="AM1891" i="33" s="1"/>
  <c r="AF1887" i="33"/>
  <c r="AF1891" i="33" s="1"/>
  <c r="Y1887" i="33"/>
  <c r="R1887" i="33"/>
  <c r="R1891" i="33" s="1"/>
  <c r="DD1885" i="33"/>
  <c r="DC1885" i="33"/>
  <c r="DB1885" i="33"/>
  <c r="DA1885" i="33"/>
  <c r="CZ1885" i="33"/>
  <c r="CW1885" i="33"/>
  <c r="CV1885" i="33"/>
  <c r="CU1885" i="33"/>
  <c r="CT1885" i="33"/>
  <c r="CS1885" i="33"/>
  <c r="CP1885" i="33"/>
  <c r="CO1885" i="33"/>
  <c r="CN1885" i="33"/>
  <c r="CM1885" i="33"/>
  <c r="CL1885" i="33"/>
  <c r="CB1885" i="33"/>
  <c r="CA1885" i="33"/>
  <c r="BZ1885" i="33"/>
  <c r="BY1885" i="33"/>
  <c r="BX1885" i="33"/>
  <c r="BU1885" i="33"/>
  <c r="BT1885" i="33"/>
  <c r="BS1885" i="33"/>
  <c r="BR1885" i="33"/>
  <c r="BQ1885" i="33"/>
  <c r="BN1885" i="33"/>
  <c r="BM1885" i="33"/>
  <c r="BL1885" i="33"/>
  <c r="BK1885" i="33"/>
  <c r="BJ1885" i="33"/>
  <c r="BG1885" i="33"/>
  <c r="BF1885" i="33"/>
  <c r="BE1885" i="33"/>
  <c r="BD1885" i="33"/>
  <c r="BC1885" i="33"/>
  <c r="AZ1885" i="33"/>
  <c r="AY1885" i="33"/>
  <c r="AX1885" i="33"/>
  <c r="AW1885" i="33"/>
  <c r="AV1885" i="33"/>
  <c r="AS1885" i="33"/>
  <c r="AR1885" i="33"/>
  <c r="AQ1885" i="33"/>
  <c r="AP1885" i="33"/>
  <c r="AO1885" i="33"/>
  <c r="AL1885" i="33"/>
  <c r="AK1885" i="33"/>
  <c r="AJ1885" i="33"/>
  <c r="AI1885" i="33"/>
  <c r="AH1885" i="33"/>
  <c r="AE1885" i="33"/>
  <c r="AD1885" i="33"/>
  <c r="AC1885" i="33"/>
  <c r="AB1885" i="33"/>
  <c r="AA1885" i="33"/>
  <c r="X1885" i="33"/>
  <c r="W1885" i="33"/>
  <c r="V1885" i="33"/>
  <c r="U1885" i="33"/>
  <c r="T1885" i="33"/>
  <c r="Q1885" i="33"/>
  <c r="P1885" i="33"/>
  <c r="O1885" i="33"/>
  <c r="N1885" i="33"/>
  <c r="M1885" i="33"/>
  <c r="DE1884" i="33"/>
  <c r="CX1884" i="33"/>
  <c r="CC1884" i="33"/>
  <c r="CC1885" i="33" s="1"/>
  <c r="BV1884" i="33"/>
  <c r="BO1884" i="33"/>
  <c r="BH1884" i="33"/>
  <c r="BA1884" i="33"/>
  <c r="AT1884" i="33"/>
  <c r="AM1884" i="33"/>
  <c r="AF1884" i="33"/>
  <c r="Y1884" i="33"/>
  <c r="Y1885" i="33" s="1"/>
  <c r="R1884" i="33"/>
  <c r="DE1883" i="33"/>
  <c r="CX1883" i="33"/>
  <c r="CC1883" i="33"/>
  <c r="BV1883" i="33"/>
  <c r="BO1883" i="33"/>
  <c r="BH1883" i="33"/>
  <c r="BA1883" i="33"/>
  <c r="AT1883" i="33"/>
  <c r="AM1883" i="33"/>
  <c r="AF1883" i="33"/>
  <c r="Y1883" i="33"/>
  <c r="R1883" i="33"/>
  <c r="DE1882" i="33"/>
  <c r="CX1882" i="33"/>
  <c r="CC1882" i="33"/>
  <c r="BV1882" i="33"/>
  <c r="BO1882" i="33"/>
  <c r="BH1882" i="33"/>
  <c r="BA1882" i="33"/>
  <c r="AT1882" i="33"/>
  <c r="AM1882" i="33"/>
  <c r="AF1882" i="33"/>
  <c r="Y1882" i="33"/>
  <c r="R1882" i="33"/>
  <c r="DE1881" i="33"/>
  <c r="DE1885" i="33" s="1"/>
  <c r="CX1881" i="33"/>
  <c r="CX1885" i="33" s="1"/>
  <c r="CC1881" i="33"/>
  <c r="BV1881" i="33"/>
  <c r="BV1885" i="33" s="1"/>
  <c r="BO1881" i="33"/>
  <c r="BO1885" i="33" s="1"/>
  <c r="BH1881" i="33"/>
  <c r="BH1885" i="33" s="1"/>
  <c r="BA1881" i="33"/>
  <c r="BA1885" i="33" s="1"/>
  <c r="AT1881" i="33"/>
  <c r="AT1885" i="33" s="1"/>
  <c r="AM1881" i="33"/>
  <c r="AM1885" i="33" s="1"/>
  <c r="AF1881" i="33"/>
  <c r="AF1885" i="33" s="1"/>
  <c r="Y1881" i="33"/>
  <c r="R1881" i="33"/>
  <c r="R1885" i="33" s="1"/>
  <c r="DD1879" i="33"/>
  <c r="DC1879" i="33"/>
  <c r="DB1879" i="33"/>
  <c r="DA1879" i="33"/>
  <c r="CZ1879" i="33"/>
  <c r="CW1879" i="33"/>
  <c r="CV1879" i="33"/>
  <c r="CU1879" i="33"/>
  <c r="CT1879" i="33"/>
  <c r="CS1879" i="33"/>
  <c r="CP1879" i="33"/>
  <c r="CO1879" i="33"/>
  <c r="CN1879" i="33"/>
  <c r="CM1879" i="33"/>
  <c r="CL1879" i="33"/>
  <c r="CB1879" i="33"/>
  <c r="CA1879" i="33"/>
  <c r="BZ1879" i="33"/>
  <c r="BY1879" i="33"/>
  <c r="BX1879" i="33"/>
  <c r="BU1879" i="33"/>
  <c r="BT1879" i="33"/>
  <c r="BS1879" i="33"/>
  <c r="BR1879" i="33"/>
  <c r="BQ1879" i="33"/>
  <c r="BN1879" i="33"/>
  <c r="BM1879" i="33"/>
  <c r="BL1879" i="33"/>
  <c r="BK1879" i="33"/>
  <c r="BJ1879" i="33"/>
  <c r="BG1879" i="33"/>
  <c r="BF1879" i="33"/>
  <c r="BE1879" i="33"/>
  <c r="BD1879" i="33"/>
  <c r="BC1879" i="33"/>
  <c r="AZ1879" i="33"/>
  <c r="AY1879" i="33"/>
  <c r="AX1879" i="33"/>
  <c r="AW1879" i="33"/>
  <c r="AV1879" i="33"/>
  <c r="AT1879" i="33"/>
  <c r="AS1879" i="33"/>
  <c r="AR1879" i="33"/>
  <c r="AQ1879" i="33"/>
  <c r="AP1879" i="33"/>
  <c r="AO1879" i="33"/>
  <c r="AL1879" i="33"/>
  <c r="AK1879" i="33"/>
  <c r="AJ1879" i="33"/>
  <c r="AI1879" i="33"/>
  <c r="AH1879" i="33"/>
  <c r="AE1879" i="33"/>
  <c r="AD1879" i="33"/>
  <c r="AC1879" i="33"/>
  <c r="AB1879" i="33"/>
  <c r="AA1879" i="33"/>
  <c r="X1879" i="33"/>
  <c r="W1879" i="33"/>
  <c r="V1879" i="33"/>
  <c r="U1879" i="33"/>
  <c r="T1879" i="33"/>
  <c r="Q1879" i="33"/>
  <c r="P1879" i="33"/>
  <c r="O1879" i="33"/>
  <c r="N1879" i="33"/>
  <c r="M1879" i="33"/>
  <c r="DE1878" i="33"/>
  <c r="CX1878" i="33"/>
  <c r="CC1878" i="33"/>
  <c r="BV1878" i="33"/>
  <c r="BO1878" i="33"/>
  <c r="BH1878" i="33"/>
  <c r="BA1878" i="33"/>
  <c r="AT1878" i="33"/>
  <c r="AM1878" i="33"/>
  <c r="AF1878" i="33"/>
  <c r="Y1878" i="33"/>
  <c r="R1878" i="33"/>
  <c r="DE1877" i="33"/>
  <c r="CX1877" i="33"/>
  <c r="CC1877" i="33"/>
  <c r="BV1877" i="33"/>
  <c r="BO1877" i="33"/>
  <c r="BH1877" i="33"/>
  <c r="BA1877" i="33"/>
  <c r="AT1877" i="33"/>
  <c r="AM1877" i="33"/>
  <c r="AF1877" i="33"/>
  <c r="Y1877" i="33"/>
  <c r="R1877" i="33"/>
  <c r="DE1876" i="33"/>
  <c r="CX1876" i="33"/>
  <c r="CC1876" i="33"/>
  <c r="BV1876" i="33"/>
  <c r="BV1879" i="33" s="1"/>
  <c r="BO1876" i="33"/>
  <c r="BH1876" i="33"/>
  <c r="BA1876" i="33"/>
  <c r="AT1876" i="33"/>
  <c r="AM1876" i="33"/>
  <c r="AF1876" i="33"/>
  <c r="Y1876" i="33"/>
  <c r="R1876" i="33"/>
  <c r="R1879" i="33" s="1"/>
  <c r="DE1875" i="33"/>
  <c r="DE1879" i="33" s="1"/>
  <c r="CX1875" i="33"/>
  <c r="CX1879" i="33" s="1"/>
  <c r="CC1875" i="33"/>
  <c r="CC1879" i="33" s="1"/>
  <c r="BV1875" i="33"/>
  <c r="BO1875" i="33"/>
  <c r="BO1879" i="33" s="1"/>
  <c r="BH1875" i="33"/>
  <c r="BH1879" i="33" s="1"/>
  <c r="BA1875" i="33"/>
  <c r="BA1879" i="33" s="1"/>
  <c r="AT1875" i="33"/>
  <c r="AM1875" i="33"/>
  <c r="AM1879" i="33" s="1"/>
  <c r="AF1875" i="33"/>
  <c r="AF1879" i="33" s="1"/>
  <c r="Y1875" i="33"/>
  <c r="Y1879" i="33" s="1"/>
  <c r="R1875" i="33"/>
  <c r="DE1873" i="33"/>
  <c r="DD1873" i="33"/>
  <c r="DC1873" i="33"/>
  <c r="DB1873" i="33"/>
  <c r="DA1873" i="33"/>
  <c r="CZ1873" i="33"/>
  <c r="CW1873" i="33"/>
  <c r="CV1873" i="33"/>
  <c r="CU1873" i="33"/>
  <c r="CT1873" i="33"/>
  <c r="CS1873" i="33"/>
  <c r="CP1873" i="33"/>
  <c r="CO1873" i="33"/>
  <c r="CN1873" i="33"/>
  <c r="CM1873" i="33"/>
  <c r="CL1873" i="33"/>
  <c r="CB1873" i="33"/>
  <c r="CA1873" i="33"/>
  <c r="BZ1873" i="33"/>
  <c r="BY1873" i="33"/>
  <c r="BX1873" i="33"/>
  <c r="BU1873" i="33"/>
  <c r="BT1873" i="33"/>
  <c r="BS1873" i="33"/>
  <c r="BR1873" i="33"/>
  <c r="BQ1873" i="33"/>
  <c r="BN1873" i="33"/>
  <c r="BM1873" i="33"/>
  <c r="BL1873" i="33"/>
  <c r="BK1873" i="33"/>
  <c r="BJ1873" i="33"/>
  <c r="BG1873" i="33"/>
  <c r="BF1873" i="33"/>
  <c r="BE1873" i="33"/>
  <c r="BD1873" i="33"/>
  <c r="BC1873" i="33"/>
  <c r="AZ1873" i="33"/>
  <c r="AY1873" i="33"/>
  <c r="AX1873" i="33"/>
  <c r="AW1873" i="33"/>
  <c r="AV1873" i="33"/>
  <c r="AS1873" i="33"/>
  <c r="AR1873" i="33"/>
  <c r="AQ1873" i="33"/>
  <c r="AP1873" i="33"/>
  <c r="AO1873" i="33"/>
  <c r="AL1873" i="33"/>
  <c r="AK1873" i="33"/>
  <c r="AJ1873" i="33"/>
  <c r="AI1873" i="33"/>
  <c r="AH1873" i="33"/>
  <c r="AE1873" i="33"/>
  <c r="AD1873" i="33"/>
  <c r="AC1873" i="33"/>
  <c r="AB1873" i="33"/>
  <c r="AA1873" i="33"/>
  <c r="X1873" i="33"/>
  <c r="W1873" i="33"/>
  <c r="V1873" i="33"/>
  <c r="U1873" i="33"/>
  <c r="T1873" i="33"/>
  <c r="Q1873" i="33"/>
  <c r="P1873" i="33"/>
  <c r="O1873" i="33"/>
  <c r="N1873" i="33"/>
  <c r="M1873" i="33"/>
  <c r="DE1872" i="33"/>
  <c r="CX1872" i="33"/>
  <c r="CC1872" i="33"/>
  <c r="BV1872" i="33"/>
  <c r="BO1872" i="33"/>
  <c r="BH1872" i="33"/>
  <c r="BA1872" i="33"/>
  <c r="AT1872" i="33"/>
  <c r="AM1872" i="33"/>
  <c r="AF1872" i="33"/>
  <c r="Y1872" i="33"/>
  <c r="R1872" i="33"/>
  <c r="G1872" i="33"/>
  <c r="CF1872" i="33" s="1"/>
  <c r="G1878" i="33" s="1"/>
  <c r="CF1878" i="33" s="1"/>
  <c r="G1884" i="33" s="1"/>
  <c r="CF1884" i="33" s="1"/>
  <c r="G1890" i="33" s="1"/>
  <c r="CF1890" i="33" s="1"/>
  <c r="DE1871" i="33"/>
  <c r="CX1871" i="33"/>
  <c r="CC1871" i="33"/>
  <c r="BV1871" i="33"/>
  <c r="BO1871" i="33"/>
  <c r="BH1871" i="33"/>
  <c r="BA1871" i="33"/>
  <c r="AT1871" i="33"/>
  <c r="AM1871" i="33"/>
  <c r="AF1871" i="33"/>
  <c r="Y1871" i="33"/>
  <c r="R1871" i="33"/>
  <c r="DE1870" i="33"/>
  <c r="CX1870" i="33"/>
  <c r="CC1870" i="33"/>
  <c r="BV1870" i="33"/>
  <c r="BO1870" i="33"/>
  <c r="BH1870" i="33"/>
  <c r="BA1870" i="33"/>
  <c r="AT1870" i="33"/>
  <c r="AM1870" i="33"/>
  <c r="AF1870" i="33"/>
  <c r="Y1870" i="33"/>
  <c r="R1870" i="33"/>
  <c r="I1870" i="33"/>
  <c r="CH1870" i="33" s="1"/>
  <c r="I1876" i="33" s="1"/>
  <c r="CH1876" i="33" s="1"/>
  <c r="I1882" i="33" s="1"/>
  <c r="CH1882" i="33" s="1"/>
  <c r="I1888" i="33" s="1"/>
  <c r="CH1888" i="33" s="1"/>
  <c r="DE1869" i="33"/>
  <c r="CX1869" i="33"/>
  <c r="CX1873" i="33" s="1"/>
  <c r="CC1869" i="33"/>
  <c r="CC1873" i="33" s="1"/>
  <c r="BV1869" i="33"/>
  <c r="BV1873" i="33" s="1"/>
  <c r="BO1869" i="33"/>
  <c r="BO1873" i="33" s="1"/>
  <c r="BH1869" i="33"/>
  <c r="BH1873" i="33" s="1"/>
  <c r="BA1869" i="33"/>
  <c r="BA1873" i="33" s="1"/>
  <c r="AT1869" i="33"/>
  <c r="AT1873" i="33" s="1"/>
  <c r="AM1869" i="33"/>
  <c r="AM1873" i="33" s="1"/>
  <c r="AF1869" i="33"/>
  <c r="AF1873" i="33" s="1"/>
  <c r="Y1869" i="33"/>
  <c r="Y1873" i="33" s="1"/>
  <c r="R1869" i="33"/>
  <c r="R1873" i="33" s="1"/>
  <c r="J1869" i="33"/>
  <c r="DD1867" i="33"/>
  <c r="DC1867" i="33"/>
  <c r="DB1867" i="33"/>
  <c r="DA1867" i="33"/>
  <c r="CZ1867" i="33"/>
  <c r="CW1867" i="33"/>
  <c r="CV1867" i="33"/>
  <c r="CU1867" i="33"/>
  <c r="CT1867" i="33"/>
  <c r="CS1867" i="33"/>
  <c r="CP1867" i="33"/>
  <c r="CO1867" i="33"/>
  <c r="CN1867" i="33"/>
  <c r="CM1867" i="33"/>
  <c r="CL1867" i="33"/>
  <c r="CH1867" i="33"/>
  <c r="CB1867" i="33"/>
  <c r="CA1867" i="33"/>
  <c r="BZ1867" i="33"/>
  <c r="BY1867" i="33"/>
  <c r="BX1867" i="33"/>
  <c r="BU1867" i="33"/>
  <c r="BT1867" i="33"/>
  <c r="BS1867" i="33"/>
  <c r="BR1867" i="33"/>
  <c r="BQ1867" i="33"/>
  <c r="BO1867" i="33"/>
  <c r="BN1867" i="33"/>
  <c r="BM1867" i="33"/>
  <c r="BL1867" i="33"/>
  <c r="BK1867" i="33"/>
  <c r="BJ1867" i="33"/>
  <c r="BG1867" i="33"/>
  <c r="BF1867" i="33"/>
  <c r="BE1867" i="33"/>
  <c r="BD1867" i="33"/>
  <c r="BC1867" i="33"/>
  <c r="AZ1867" i="33"/>
  <c r="AY1867" i="33"/>
  <c r="AX1867" i="33"/>
  <c r="AW1867" i="33"/>
  <c r="AV1867" i="33"/>
  <c r="AS1867" i="33"/>
  <c r="AR1867" i="33"/>
  <c r="AQ1867" i="33"/>
  <c r="AP1867" i="33"/>
  <c r="AO1867" i="33"/>
  <c r="AM1867" i="33"/>
  <c r="AL1867" i="33"/>
  <c r="AK1867" i="33"/>
  <c r="AJ1867" i="33"/>
  <c r="AI1867" i="33"/>
  <c r="AH1867" i="33"/>
  <c r="AE1867" i="33"/>
  <c r="AD1867" i="33"/>
  <c r="AC1867" i="33"/>
  <c r="AB1867" i="33"/>
  <c r="AA1867" i="33"/>
  <c r="X1867" i="33"/>
  <c r="W1867" i="33"/>
  <c r="V1867" i="33"/>
  <c r="U1867" i="33"/>
  <c r="T1867" i="33"/>
  <c r="Q1867" i="33"/>
  <c r="P1867" i="33"/>
  <c r="O1867" i="33"/>
  <c r="N1867" i="33"/>
  <c r="M1867" i="33"/>
  <c r="K1867" i="33"/>
  <c r="J1867" i="33"/>
  <c r="I1867" i="33"/>
  <c r="H1867" i="33"/>
  <c r="G1867" i="33"/>
  <c r="F1867" i="33"/>
  <c r="DE1866" i="33"/>
  <c r="CX1866" i="33"/>
  <c r="CI1866" i="33"/>
  <c r="J1872" i="33" s="1"/>
  <c r="CI1872" i="33" s="1"/>
  <c r="J1878" i="33" s="1"/>
  <c r="CI1878" i="33" s="1"/>
  <c r="J1884" i="33" s="1"/>
  <c r="CI1884" i="33" s="1"/>
  <c r="J1890" i="33" s="1"/>
  <c r="CI1890" i="33" s="1"/>
  <c r="CH1866" i="33"/>
  <c r="I1872" i="33" s="1"/>
  <c r="CH1872" i="33" s="1"/>
  <c r="I1878" i="33" s="1"/>
  <c r="CH1878" i="33" s="1"/>
  <c r="I1884" i="33" s="1"/>
  <c r="CH1884" i="33" s="1"/>
  <c r="I1890" i="33" s="1"/>
  <c r="CH1890" i="33" s="1"/>
  <c r="CG1866" i="33"/>
  <c r="H1872" i="33" s="1"/>
  <c r="CG1872" i="33" s="1"/>
  <c r="H1878" i="33" s="1"/>
  <c r="CG1878" i="33" s="1"/>
  <c r="H1884" i="33" s="1"/>
  <c r="CG1884" i="33" s="1"/>
  <c r="H1890" i="33" s="1"/>
  <c r="CG1890" i="33" s="1"/>
  <c r="CF1866" i="33"/>
  <c r="CE1866" i="33"/>
  <c r="F1872" i="33" s="1"/>
  <c r="CC1866" i="33"/>
  <c r="BV1866" i="33"/>
  <c r="BO1866" i="33"/>
  <c r="BH1866" i="33"/>
  <c r="BA1866" i="33"/>
  <c r="AT1866" i="33"/>
  <c r="AM1866" i="33"/>
  <c r="AF1866" i="33"/>
  <c r="Y1866" i="33"/>
  <c r="R1866" i="33"/>
  <c r="K1866" i="33"/>
  <c r="DE1865" i="33"/>
  <c r="CX1865" i="33"/>
  <c r="CI1865" i="33"/>
  <c r="J1871" i="33" s="1"/>
  <c r="CI1871" i="33" s="1"/>
  <c r="J1877" i="33" s="1"/>
  <c r="CI1877" i="33" s="1"/>
  <c r="J1883" i="33" s="1"/>
  <c r="CI1883" i="33" s="1"/>
  <c r="J1889" i="33" s="1"/>
  <c r="CI1889" i="33" s="1"/>
  <c r="CH1865" i="33"/>
  <c r="I1871" i="33" s="1"/>
  <c r="CH1871" i="33" s="1"/>
  <c r="I1877" i="33" s="1"/>
  <c r="CH1877" i="33" s="1"/>
  <c r="I1883" i="33" s="1"/>
  <c r="CH1883" i="33" s="1"/>
  <c r="I1889" i="33" s="1"/>
  <c r="CH1889" i="33" s="1"/>
  <c r="CG1865" i="33"/>
  <c r="H1871" i="33" s="1"/>
  <c r="CG1871" i="33" s="1"/>
  <c r="H1877" i="33" s="1"/>
  <c r="CG1877" i="33" s="1"/>
  <c r="H1883" i="33" s="1"/>
  <c r="CG1883" i="33" s="1"/>
  <c r="H1889" i="33" s="1"/>
  <c r="CG1889" i="33" s="1"/>
  <c r="CF1865" i="33"/>
  <c r="G1871" i="33" s="1"/>
  <c r="CF1871" i="33" s="1"/>
  <c r="G1877" i="33" s="1"/>
  <c r="CF1877" i="33" s="1"/>
  <c r="G1883" i="33" s="1"/>
  <c r="CF1883" i="33" s="1"/>
  <c r="G1889" i="33" s="1"/>
  <c r="CF1889" i="33" s="1"/>
  <c r="CE1865" i="33"/>
  <c r="F1871" i="33" s="1"/>
  <c r="CC1865" i="33"/>
  <c r="BV1865" i="33"/>
  <c r="BO1865" i="33"/>
  <c r="BH1865" i="33"/>
  <c r="BA1865" i="33"/>
  <c r="AT1865" i="33"/>
  <c r="AM1865" i="33"/>
  <c r="AF1865" i="33"/>
  <c r="Y1865" i="33"/>
  <c r="R1865" i="33"/>
  <c r="K1865" i="33"/>
  <c r="DE1864" i="33"/>
  <c r="CX1864" i="33"/>
  <c r="CI1864" i="33"/>
  <c r="J1870" i="33" s="1"/>
  <c r="CI1870" i="33" s="1"/>
  <c r="J1876" i="33" s="1"/>
  <c r="CI1876" i="33" s="1"/>
  <c r="J1882" i="33" s="1"/>
  <c r="CI1882" i="33" s="1"/>
  <c r="J1888" i="33" s="1"/>
  <c r="CI1888" i="33" s="1"/>
  <c r="CH1864" i="33"/>
  <c r="CG1864" i="33"/>
  <c r="H1870" i="33" s="1"/>
  <c r="CG1870" i="33" s="1"/>
  <c r="H1876" i="33" s="1"/>
  <c r="CG1876" i="33" s="1"/>
  <c r="H1882" i="33" s="1"/>
  <c r="CG1882" i="33" s="1"/>
  <c r="H1888" i="33" s="1"/>
  <c r="CG1888" i="33" s="1"/>
  <c r="CF1864" i="33"/>
  <c r="G1870" i="33" s="1"/>
  <c r="CF1870" i="33" s="1"/>
  <c r="G1876" i="33" s="1"/>
  <c r="CF1876" i="33" s="1"/>
  <c r="G1882" i="33" s="1"/>
  <c r="CF1882" i="33" s="1"/>
  <c r="G1888" i="33" s="1"/>
  <c r="CF1888" i="33" s="1"/>
  <c r="CE1864" i="33"/>
  <c r="CJ1864" i="33" s="1"/>
  <c r="CC1864" i="33"/>
  <c r="BV1864" i="33"/>
  <c r="BO1864" i="33"/>
  <c r="BH1864" i="33"/>
  <c r="BA1864" i="33"/>
  <c r="AT1864" i="33"/>
  <c r="AM1864" i="33"/>
  <c r="AF1864" i="33"/>
  <c r="Y1864" i="33"/>
  <c r="R1864" i="33"/>
  <c r="K1864" i="33"/>
  <c r="DE1863" i="33"/>
  <c r="DE1867" i="33" s="1"/>
  <c r="CX1863" i="33"/>
  <c r="CX1867" i="33" s="1"/>
  <c r="CI1863" i="33"/>
  <c r="CI1867" i="33" s="1"/>
  <c r="CH1863" i="33"/>
  <c r="I1869" i="33" s="1"/>
  <c r="CG1863" i="33"/>
  <c r="CG1867" i="33" s="1"/>
  <c r="CF1863" i="33"/>
  <c r="CF1867" i="33" s="1"/>
  <c r="CE1863" i="33"/>
  <c r="CE1867" i="33" s="1"/>
  <c r="CC1863" i="33"/>
  <c r="CC1867" i="33" s="1"/>
  <c r="BV1863" i="33"/>
  <c r="BV1867" i="33" s="1"/>
  <c r="BO1863" i="33"/>
  <c r="BH1863" i="33"/>
  <c r="BH1867" i="33" s="1"/>
  <c r="BA1863" i="33"/>
  <c r="BA1867" i="33" s="1"/>
  <c r="AT1863" i="33"/>
  <c r="AT1867" i="33" s="1"/>
  <c r="AM1863" i="33"/>
  <c r="AF1863" i="33"/>
  <c r="AF1867" i="33" s="1"/>
  <c r="Y1863" i="33"/>
  <c r="Y1867" i="33" s="1"/>
  <c r="R1863" i="33"/>
  <c r="R1867" i="33" s="1"/>
  <c r="K1863" i="33"/>
  <c r="DD1859" i="33"/>
  <c r="DC1859" i="33"/>
  <c r="DB1859" i="33"/>
  <c r="DA1859" i="33"/>
  <c r="CZ1859" i="33"/>
  <c r="CX1859" i="33"/>
  <c r="CW1859" i="33"/>
  <c r="CV1859" i="33"/>
  <c r="CU1859" i="33"/>
  <c r="CT1859" i="33"/>
  <c r="CS1859" i="33"/>
  <c r="CP1859" i="33"/>
  <c r="CO1859" i="33"/>
  <c r="CN1859" i="33"/>
  <c r="CM1859" i="33"/>
  <c r="CL1859" i="33"/>
  <c r="CC1859" i="33"/>
  <c r="CB1859" i="33"/>
  <c r="CA1859" i="33"/>
  <c r="BZ1859" i="33"/>
  <c r="BY1859" i="33"/>
  <c r="BX1859" i="33"/>
  <c r="BU1859" i="33"/>
  <c r="BT1859" i="33"/>
  <c r="BS1859" i="33"/>
  <c r="BR1859" i="33"/>
  <c r="BQ1859" i="33"/>
  <c r="BN1859" i="33"/>
  <c r="BM1859" i="33"/>
  <c r="BL1859" i="33"/>
  <c r="BK1859" i="33"/>
  <c r="BJ1859" i="33"/>
  <c r="BG1859" i="33"/>
  <c r="BF1859" i="33"/>
  <c r="BE1859" i="33"/>
  <c r="BD1859" i="33"/>
  <c r="BC1859" i="33"/>
  <c r="AZ1859" i="33"/>
  <c r="AY1859" i="33"/>
  <c r="AX1859" i="33"/>
  <c r="AW1859" i="33"/>
  <c r="AV1859" i="33"/>
  <c r="AS1859" i="33"/>
  <c r="AR1859" i="33"/>
  <c r="AQ1859" i="33"/>
  <c r="AP1859" i="33"/>
  <c r="AO1859" i="33"/>
  <c r="AL1859" i="33"/>
  <c r="AK1859" i="33"/>
  <c r="AJ1859" i="33"/>
  <c r="AI1859" i="33"/>
  <c r="AH1859" i="33"/>
  <c r="AE1859" i="33"/>
  <c r="AD1859" i="33"/>
  <c r="AC1859" i="33"/>
  <c r="AB1859" i="33"/>
  <c r="AA1859" i="33"/>
  <c r="Y1859" i="33"/>
  <c r="X1859" i="33"/>
  <c r="W1859" i="33"/>
  <c r="V1859" i="33"/>
  <c r="U1859" i="33"/>
  <c r="T1859" i="33"/>
  <c r="Q1859" i="33"/>
  <c r="P1859" i="33"/>
  <c r="O1859" i="33"/>
  <c r="N1859" i="33"/>
  <c r="M1859" i="33"/>
  <c r="DE1858" i="33"/>
  <c r="CX1858" i="33"/>
  <c r="CC1858" i="33"/>
  <c r="BV1858" i="33"/>
  <c r="BO1858" i="33"/>
  <c r="BH1858" i="33"/>
  <c r="BA1858" i="33"/>
  <c r="AT1858" i="33"/>
  <c r="AM1858" i="33"/>
  <c r="AF1858" i="33"/>
  <c r="Y1858" i="33"/>
  <c r="R1858" i="33"/>
  <c r="DE1857" i="33"/>
  <c r="CX1857" i="33"/>
  <c r="CC1857" i="33"/>
  <c r="BV1857" i="33"/>
  <c r="BO1857" i="33"/>
  <c r="BH1857" i="33"/>
  <c r="BA1857" i="33"/>
  <c r="BA1859" i="33" s="1"/>
  <c r="AT1857" i="33"/>
  <c r="AM1857" i="33"/>
  <c r="AF1857" i="33"/>
  <c r="Y1857" i="33"/>
  <c r="R1857" i="33"/>
  <c r="DE1856" i="33"/>
  <c r="CX1856" i="33"/>
  <c r="CC1856" i="33"/>
  <c r="BV1856" i="33"/>
  <c r="BO1856" i="33"/>
  <c r="BH1856" i="33"/>
  <c r="BA1856" i="33"/>
  <c r="AT1856" i="33"/>
  <c r="AM1856" i="33"/>
  <c r="AF1856" i="33"/>
  <c r="Y1856" i="33"/>
  <c r="R1856" i="33"/>
  <c r="DE1855" i="33"/>
  <c r="DE1859" i="33" s="1"/>
  <c r="CX1855" i="33"/>
  <c r="CC1855" i="33"/>
  <c r="BV1855" i="33"/>
  <c r="BV1859" i="33" s="1"/>
  <c r="BO1855" i="33"/>
  <c r="BO1859" i="33" s="1"/>
  <c r="BH1855" i="33"/>
  <c r="BH1859" i="33" s="1"/>
  <c r="BA1855" i="33"/>
  <c r="AT1855" i="33"/>
  <c r="AT1859" i="33" s="1"/>
  <c r="AM1855" i="33"/>
  <c r="AM1859" i="33" s="1"/>
  <c r="AF1855" i="33"/>
  <c r="AF1859" i="33" s="1"/>
  <c r="Y1855" i="33"/>
  <c r="R1855" i="33"/>
  <c r="R1859" i="33" s="1"/>
  <c r="DD1853" i="33"/>
  <c r="DC1853" i="33"/>
  <c r="DB1853" i="33"/>
  <c r="DA1853" i="33"/>
  <c r="CZ1853" i="33"/>
  <c r="CW1853" i="33"/>
  <c r="CV1853" i="33"/>
  <c r="CU1853" i="33"/>
  <c r="CT1853" i="33"/>
  <c r="CS1853" i="33"/>
  <c r="CP1853" i="33"/>
  <c r="CO1853" i="33"/>
  <c r="CN1853" i="33"/>
  <c r="CM1853" i="33"/>
  <c r="CL1853" i="33"/>
  <c r="CB1853" i="33"/>
  <c r="CA1853" i="33"/>
  <c r="BZ1853" i="33"/>
  <c r="BY1853" i="33"/>
  <c r="BX1853" i="33"/>
  <c r="BU1853" i="33"/>
  <c r="BT1853" i="33"/>
  <c r="BS1853" i="33"/>
  <c r="BR1853" i="33"/>
  <c r="BQ1853" i="33"/>
  <c r="BN1853" i="33"/>
  <c r="BM1853" i="33"/>
  <c r="BL1853" i="33"/>
  <c r="BK1853" i="33"/>
  <c r="BJ1853" i="33"/>
  <c r="BH1853" i="33"/>
  <c r="BG1853" i="33"/>
  <c r="BF1853" i="33"/>
  <c r="BE1853" i="33"/>
  <c r="BD1853" i="33"/>
  <c r="BC1853" i="33"/>
  <c r="AZ1853" i="33"/>
  <c r="AY1853" i="33"/>
  <c r="AX1853" i="33"/>
  <c r="AW1853" i="33"/>
  <c r="AV1853" i="33"/>
  <c r="AS1853" i="33"/>
  <c r="AR1853" i="33"/>
  <c r="AQ1853" i="33"/>
  <c r="AP1853" i="33"/>
  <c r="AO1853" i="33"/>
  <c r="AL1853" i="33"/>
  <c r="AK1853" i="33"/>
  <c r="AJ1853" i="33"/>
  <c r="AI1853" i="33"/>
  <c r="AH1853" i="33"/>
  <c r="AE1853" i="33"/>
  <c r="AD1853" i="33"/>
  <c r="AC1853" i="33"/>
  <c r="AB1853" i="33"/>
  <c r="AA1853" i="33"/>
  <c r="X1853" i="33"/>
  <c r="W1853" i="33"/>
  <c r="V1853" i="33"/>
  <c r="U1853" i="33"/>
  <c r="T1853" i="33"/>
  <c r="Q1853" i="33"/>
  <c r="P1853" i="33"/>
  <c r="O1853" i="33"/>
  <c r="N1853" i="33"/>
  <c r="M1853" i="33"/>
  <c r="DE1852" i="33"/>
  <c r="CX1852" i="33"/>
  <c r="CC1852" i="33"/>
  <c r="BV1852" i="33"/>
  <c r="BO1852" i="33"/>
  <c r="BH1852" i="33"/>
  <c r="BA1852" i="33"/>
  <c r="AT1852" i="33"/>
  <c r="AM1852" i="33"/>
  <c r="AF1852" i="33"/>
  <c r="Y1852" i="33"/>
  <c r="K63" i="40" s="1"/>
  <c r="R1852" i="33"/>
  <c r="DE1851" i="33"/>
  <c r="DE1853" i="33" s="1"/>
  <c r="CX1851" i="33"/>
  <c r="CC1851" i="33"/>
  <c r="BV1851" i="33"/>
  <c r="BO1851" i="33"/>
  <c r="BH1851" i="33"/>
  <c r="BA1851" i="33"/>
  <c r="AT1851" i="33"/>
  <c r="AM1851" i="33"/>
  <c r="AF1851" i="33"/>
  <c r="AF1853" i="33" s="1"/>
  <c r="Y1851" i="33"/>
  <c r="R1851" i="33"/>
  <c r="DE1850" i="33"/>
  <c r="CX1850" i="33"/>
  <c r="CC1850" i="33"/>
  <c r="BV1850" i="33"/>
  <c r="BO1850" i="33"/>
  <c r="BH1850" i="33"/>
  <c r="BA1850" i="33"/>
  <c r="AT1850" i="33"/>
  <c r="AM1850" i="33"/>
  <c r="AF1850" i="33"/>
  <c r="Y1850" i="33"/>
  <c r="R1850" i="33"/>
  <c r="DE1849" i="33"/>
  <c r="CX1849" i="33"/>
  <c r="CX1853" i="33" s="1"/>
  <c r="CC1849" i="33"/>
  <c r="CC1853" i="33" s="1"/>
  <c r="BV1849" i="33"/>
  <c r="BV1853" i="33" s="1"/>
  <c r="BO1849" i="33"/>
  <c r="BO1853" i="33" s="1"/>
  <c r="BH1849" i="33"/>
  <c r="BA1849" i="33"/>
  <c r="BA1853" i="33" s="1"/>
  <c r="AT1849" i="33"/>
  <c r="AT1853" i="33" s="1"/>
  <c r="AM1849" i="33"/>
  <c r="AM1853" i="33" s="1"/>
  <c r="AF1849" i="33"/>
  <c r="Y1849" i="33"/>
  <c r="Y1853" i="33" s="1"/>
  <c r="R1849" i="33"/>
  <c r="R1853" i="33" s="1"/>
  <c r="DD1847" i="33"/>
  <c r="DC1847" i="33"/>
  <c r="DB1847" i="33"/>
  <c r="DA1847" i="33"/>
  <c r="CZ1847" i="33"/>
  <c r="CW1847" i="33"/>
  <c r="CV1847" i="33"/>
  <c r="CU1847" i="33"/>
  <c r="CT1847" i="33"/>
  <c r="CS1847" i="33"/>
  <c r="CP1847" i="33"/>
  <c r="CO1847" i="33"/>
  <c r="CN1847" i="33"/>
  <c r="CM1847" i="33"/>
  <c r="CL1847" i="33"/>
  <c r="CB1847" i="33"/>
  <c r="CA1847" i="33"/>
  <c r="BZ1847" i="33"/>
  <c r="BY1847" i="33"/>
  <c r="BX1847" i="33"/>
  <c r="BU1847" i="33"/>
  <c r="BT1847" i="33"/>
  <c r="BS1847" i="33"/>
  <c r="BR1847" i="33"/>
  <c r="BQ1847" i="33"/>
  <c r="BN1847" i="33"/>
  <c r="BM1847" i="33"/>
  <c r="BL1847" i="33"/>
  <c r="BK1847" i="33"/>
  <c r="BJ1847" i="33"/>
  <c r="BG1847" i="33"/>
  <c r="BF1847" i="33"/>
  <c r="BE1847" i="33"/>
  <c r="BD1847" i="33"/>
  <c r="BC1847" i="33"/>
  <c r="AZ1847" i="33"/>
  <c r="AY1847" i="33"/>
  <c r="AX1847" i="33"/>
  <c r="AW1847" i="33"/>
  <c r="AV1847" i="33"/>
  <c r="AT1847" i="33"/>
  <c r="AS1847" i="33"/>
  <c r="AR1847" i="33"/>
  <c r="AQ1847" i="33"/>
  <c r="AP1847" i="33"/>
  <c r="AO1847" i="33"/>
  <c r="AL1847" i="33"/>
  <c r="AK1847" i="33"/>
  <c r="AJ1847" i="33"/>
  <c r="AI1847" i="33"/>
  <c r="AH1847" i="33"/>
  <c r="AE1847" i="33"/>
  <c r="AD1847" i="33"/>
  <c r="AC1847" i="33"/>
  <c r="AB1847" i="33"/>
  <c r="AA1847" i="33"/>
  <c r="X1847" i="33"/>
  <c r="W1847" i="33"/>
  <c r="V1847" i="33"/>
  <c r="U1847" i="33"/>
  <c r="T1847" i="33"/>
  <c r="Q1847" i="33"/>
  <c r="P1847" i="33"/>
  <c r="O1847" i="33"/>
  <c r="N1847" i="33"/>
  <c r="M1847" i="33"/>
  <c r="DE1846" i="33"/>
  <c r="CX1846" i="33"/>
  <c r="CC1846" i="33"/>
  <c r="BV1846" i="33"/>
  <c r="BO1846" i="33"/>
  <c r="BH1846" i="33"/>
  <c r="BA1846" i="33"/>
  <c r="AT1846" i="33"/>
  <c r="AM1846" i="33"/>
  <c r="AF1846" i="33"/>
  <c r="Y1846" i="33"/>
  <c r="R1846" i="33"/>
  <c r="DE1845" i="33"/>
  <c r="CX1845" i="33"/>
  <c r="CC1845" i="33"/>
  <c r="BV1845" i="33"/>
  <c r="BO1845" i="33"/>
  <c r="BO1847" i="33" s="1"/>
  <c r="BH1845" i="33"/>
  <c r="BA1845" i="33"/>
  <c r="AT1845" i="33"/>
  <c r="AM1845" i="33"/>
  <c r="AF1845" i="33"/>
  <c r="Y1845" i="33"/>
  <c r="R1845" i="33"/>
  <c r="DE1844" i="33"/>
  <c r="CX1844" i="33"/>
  <c r="CC1844" i="33"/>
  <c r="BV1844" i="33"/>
  <c r="BV1847" i="33" s="1"/>
  <c r="BO1844" i="33"/>
  <c r="BH1844" i="33"/>
  <c r="BA1844" i="33"/>
  <c r="AT1844" i="33"/>
  <c r="AM1844" i="33"/>
  <c r="AF1844" i="33"/>
  <c r="Y1844" i="33"/>
  <c r="R1844" i="33"/>
  <c r="R1847" i="33" s="1"/>
  <c r="DE1843" i="33"/>
  <c r="DE1847" i="33" s="1"/>
  <c r="CX1843" i="33"/>
  <c r="CX1847" i="33" s="1"/>
  <c r="CC1843" i="33"/>
  <c r="CC1847" i="33" s="1"/>
  <c r="BV1843" i="33"/>
  <c r="BO1843" i="33"/>
  <c r="BH1843" i="33"/>
  <c r="BH1847" i="33" s="1"/>
  <c r="BA1843" i="33"/>
  <c r="BA1847" i="33" s="1"/>
  <c r="AT1843" i="33"/>
  <c r="AM1843" i="33"/>
  <c r="AM1847" i="33" s="1"/>
  <c r="AF1843" i="33"/>
  <c r="AF1847" i="33" s="1"/>
  <c r="Y1843" i="33"/>
  <c r="Y1847" i="33" s="1"/>
  <c r="R1843" i="33"/>
  <c r="DE1841" i="33"/>
  <c r="DD1841" i="33"/>
  <c r="DC1841" i="33"/>
  <c r="DB1841" i="33"/>
  <c r="DA1841" i="33"/>
  <c r="CZ1841" i="33"/>
  <c r="CW1841" i="33"/>
  <c r="CV1841" i="33"/>
  <c r="CU1841" i="33"/>
  <c r="CT1841" i="33"/>
  <c r="CS1841" i="33"/>
  <c r="CP1841" i="33"/>
  <c r="CO1841" i="33"/>
  <c r="CN1841" i="33"/>
  <c r="CM1841" i="33"/>
  <c r="CL1841" i="33"/>
  <c r="CC1841" i="33"/>
  <c r="CB1841" i="33"/>
  <c r="CA1841" i="33"/>
  <c r="BZ1841" i="33"/>
  <c r="BY1841" i="33"/>
  <c r="BX1841" i="33"/>
  <c r="BU1841" i="33"/>
  <c r="BT1841" i="33"/>
  <c r="BS1841" i="33"/>
  <c r="BR1841" i="33"/>
  <c r="BQ1841" i="33"/>
  <c r="BN1841" i="33"/>
  <c r="BM1841" i="33"/>
  <c r="BL1841" i="33"/>
  <c r="BK1841" i="33"/>
  <c r="BJ1841" i="33"/>
  <c r="BG1841" i="33"/>
  <c r="BF1841" i="33"/>
  <c r="BE1841" i="33"/>
  <c r="BD1841" i="33"/>
  <c r="BC1841" i="33"/>
  <c r="AZ1841" i="33"/>
  <c r="AY1841" i="33"/>
  <c r="AX1841" i="33"/>
  <c r="AW1841" i="33"/>
  <c r="AV1841" i="33"/>
  <c r="AS1841" i="33"/>
  <c r="AR1841" i="33"/>
  <c r="AQ1841" i="33"/>
  <c r="AP1841" i="33"/>
  <c r="AO1841" i="33"/>
  <c r="AL1841" i="33"/>
  <c r="AK1841" i="33"/>
  <c r="AJ1841" i="33"/>
  <c r="AI1841" i="33"/>
  <c r="AH1841" i="33"/>
  <c r="AE1841" i="33"/>
  <c r="AD1841" i="33"/>
  <c r="AC1841" i="33"/>
  <c r="AB1841" i="33"/>
  <c r="AA1841" i="33"/>
  <c r="Y1841" i="33"/>
  <c r="X1841" i="33"/>
  <c r="W1841" i="33"/>
  <c r="V1841" i="33"/>
  <c r="U1841" i="33"/>
  <c r="T1841" i="33"/>
  <c r="Q1841" i="33"/>
  <c r="P1841" i="33"/>
  <c r="O1841" i="33"/>
  <c r="N1841" i="33"/>
  <c r="M1841" i="33"/>
  <c r="DE1840" i="33"/>
  <c r="CX1840" i="33"/>
  <c r="CC1840" i="33"/>
  <c r="BV1840" i="33"/>
  <c r="BO1840" i="33"/>
  <c r="BH1840" i="33"/>
  <c r="BA1840" i="33"/>
  <c r="AT1840" i="33"/>
  <c r="AM1840" i="33"/>
  <c r="S63" i="40" s="1"/>
  <c r="AF1840" i="33"/>
  <c r="Y1840" i="33"/>
  <c r="R1840" i="33"/>
  <c r="H1840" i="33"/>
  <c r="CG1840" i="33" s="1"/>
  <c r="H1846" i="33" s="1"/>
  <c r="CG1846" i="33" s="1"/>
  <c r="H1852" i="33" s="1"/>
  <c r="CG1852" i="33" s="1"/>
  <c r="H1858" i="33" s="1"/>
  <c r="CG1858" i="33" s="1"/>
  <c r="G1840" i="33"/>
  <c r="CF1840" i="33" s="1"/>
  <c r="G1846" i="33" s="1"/>
  <c r="CF1846" i="33" s="1"/>
  <c r="G1852" i="33" s="1"/>
  <c r="CF1852" i="33" s="1"/>
  <c r="G1858" i="33" s="1"/>
  <c r="CF1858" i="33" s="1"/>
  <c r="DE1839" i="33"/>
  <c r="CX1839" i="33"/>
  <c r="CC1839" i="33"/>
  <c r="BV1839" i="33"/>
  <c r="BO1839" i="33"/>
  <c r="BH1839" i="33"/>
  <c r="BA1839" i="33"/>
  <c r="AT1839" i="33"/>
  <c r="AM1839" i="33"/>
  <c r="AF1839" i="33"/>
  <c r="Y1839" i="33"/>
  <c r="R1839" i="33"/>
  <c r="DE1838" i="33"/>
  <c r="CX1838" i="33"/>
  <c r="CX1841" i="33" s="1"/>
  <c r="CC1838" i="33"/>
  <c r="BV1838" i="33"/>
  <c r="BO1838" i="33"/>
  <c r="BH1838" i="33"/>
  <c r="BA1838" i="33"/>
  <c r="BA1841" i="33" s="1"/>
  <c r="AT1838" i="33"/>
  <c r="AM1838" i="33"/>
  <c r="AF1838" i="33"/>
  <c r="Y1838" i="33"/>
  <c r="R1838" i="33"/>
  <c r="J1838" i="33"/>
  <c r="CI1838" i="33" s="1"/>
  <c r="J1844" i="33" s="1"/>
  <c r="CI1844" i="33" s="1"/>
  <c r="J1850" i="33" s="1"/>
  <c r="CI1850" i="33" s="1"/>
  <c r="J1856" i="33" s="1"/>
  <c r="CI1856" i="33" s="1"/>
  <c r="I1838" i="33"/>
  <c r="CH1838" i="33" s="1"/>
  <c r="I1844" i="33" s="1"/>
  <c r="CH1844" i="33" s="1"/>
  <c r="I1850" i="33" s="1"/>
  <c r="CH1850" i="33" s="1"/>
  <c r="I1856" i="33" s="1"/>
  <c r="CH1856" i="33" s="1"/>
  <c r="DE1837" i="33"/>
  <c r="CX1837" i="33"/>
  <c r="CC1837" i="33"/>
  <c r="BV1837" i="33"/>
  <c r="BV1841" i="33" s="1"/>
  <c r="BO1837" i="33"/>
  <c r="BO1841" i="33" s="1"/>
  <c r="BH1837" i="33"/>
  <c r="BH1841" i="33" s="1"/>
  <c r="BA1837" i="33"/>
  <c r="AT1837" i="33"/>
  <c r="AT1841" i="33" s="1"/>
  <c r="AM1837" i="33"/>
  <c r="AM1841" i="33" s="1"/>
  <c r="AF1837" i="33"/>
  <c r="AF1841" i="33" s="1"/>
  <c r="Y1837" i="33"/>
  <c r="R1837" i="33"/>
  <c r="R1841" i="33" s="1"/>
  <c r="J1837" i="33"/>
  <c r="CI1837" i="33" s="1"/>
  <c r="DD1835" i="33"/>
  <c r="DC1835" i="33"/>
  <c r="DB1835" i="33"/>
  <c r="DA1835" i="33"/>
  <c r="CZ1835" i="33"/>
  <c r="CW1835" i="33"/>
  <c r="CV1835" i="33"/>
  <c r="CU1835" i="33"/>
  <c r="CT1835" i="33"/>
  <c r="CS1835" i="33"/>
  <c r="CP1835" i="33"/>
  <c r="CO1835" i="33"/>
  <c r="CN1835" i="33"/>
  <c r="CM1835" i="33"/>
  <c r="CL1835" i="33"/>
  <c r="CI1835" i="33"/>
  <c r="CH1835" i="33"/>
  <c r="CB1835" i="33"/>
  <c r="CA1835" i="33"/>
  <c r="BZ1835" i="33"/>
  <c r="BY1835" i="33"/>
  <c r="BX1835" i="33"/>
  <c r="BU1835" i="33"/>
  <c r="BT1835" i="33"/>
  <c r="BS1835" i="33"/>
  <c r="BR1835" i="33"/>
  <c r="BQ1835" i="33"/>
  <c r="BO1835" i="33"/>
  <c r="BN1835" i="33"/>
  <c r="BM1835" i="33"/>
  <c r="BL1835" i="33"/>
  <c r="BK1835" i="33"/>
  <c r="BJ1835" i="33"/>
  <c r="BG1835" i="33"/>
  <c r="BF1835" i="33"/>
  <c r="BE1835" i="33"/>
  <c r="BD1835" i="33"/>
  <c r="BC1835" i="33"/>
  <c r="AZ1835" i="33"/>
  <c r="AY1835" i="33"/>
  <c r="AX1835" i="33"/>
  <c r="AW1835" i="33"/>
  <c r="AV1835" i="33"/>
  <c r="AS1835" i="33"/>
  <c r="AR1835" i="33"/>
  <c r="AQ1835" i="33"/>
  <c r="AP1835" i="33"/>
  <c r="AO1835" i="33"/>
  <c r="AM1835" i="33"/>
  <c r="AL1835" i="33"/>
  <c r="AK1835" i="33"/>
  <c r="AJ1835" i="33"/>
  <c r="AI1835" i="33"/>
  <c r="AH1835" i="33"/>
  <c r="AE1835" i="33"/>
  <c r="AD1835" i="33"/>
  <c r="AC1835" i="33"/>
  <c r="AB1835" i="33"/>
  <c r="AA1835" i="33"/>
  <c r="X1835" i="33"/>
  <c r="W1835" i="33"/>
  <c r="V1835" i="33"/>
  <c r="U1835" i="33"/>
  <c r="T1835" i="33"/>
  <c r="Q1835" i="33"/>
  <c r="P1835" i="33"/>
  <c r="O1835" i="33"/>
  <c r="N1835" i="33"/>
  <c r="M1835" i="33"/>
  <c r="K1835" i="33"/>
  <c r="J1835" i="33"/>
  <c r="I1835" i="33"/>
  <c r="H1835" i="33"/>
  <c r="G1835" i="33"/>
  <c r="F1835" i="33"/>
  <c r="DE1834" i="33"/>
  <c r="CX1834" i="33"/>
  <c r="CI1834" i="33"/>
  <c r="J1840" i="33" s="1"/>
  <c r="CI1840" i="33" s="1"/>
  <c r="J1846" i="33" s="1"/>
  <c r="CI1846" i="33" s="1"/>
  <c r="J1852" i="33" s="1"/>
  <c r="CI1852" i="33" s="1"/>
  <c r="J1858" i="33" s="1"/>
  <c r="CI1858" i="33" s="1"/>
  <c r="CH1834" i="33"/>
  <c r="I1840" i="33" s="1"/>
  <c r="CH1840" i="33" s="1"/>
  <c r="I1846" i="33" s="1"/>
  <c r="CH1846" i="33" s="1"/>
  <c r="I1852" i="33" s="1"/>
  <c r="CH1852" i="33" s="1"/>
  <c r="I1858" i="33" s="1"/>
  <c r="CH1858" i="33" s="1"/>
  <c r="CG1834" i="33"/>
  <c r="CF1834" i="33"/>
  <c r="CE1834" i="33"/>
  <c r="F1840" i="33" s="1"/>
  <c r="CC1834" i="33"/>
  <c r="BV1834" i="33"/>
  <c r="BO1834" i="33"/>
  <c r="BH1834" i="33"/>
  <c r="BA1834" i="33"/>
  <c r="AT1834" i="33"/>
  <c r="AM1834" i="33"/>
  <c r="AF1834" i="33"/>
  <c r="Y1834" i="33"/>
  <c r="R1834" i="33"/>
  <c r="K1834" i="33"/>
  <c r="DE1833" i="33"/>
  <c r="CX1833" i="33"/>
  <c r="CI1833" i="33"/>
  <c r="J1839" i="33" s="1"/>
  <c r="CI1839" i="33" s="1"/>
  <c r="J1845" i="33" s="1"/>
  <c r="CI1845" i="33" s="1"/>
  <c r="J1851" i="33" s="1"/>
  <c r="CI1851" i="33" s="1"/>
  <c r="J1857" i="33" s="1"/>
  <c r="CI1857" i="33" s="1"/>
  <c r="CH1833" i="33"/>
  <c r="I1839" i="33" s="1"/>
  <c r="CH1839" i="33" s="1"/>
  <c r="I1845" i="33" s="1"/>
  <c r="CH1845" i="33" s="1"/>
  <c r="I1851" i="33" s="1"/>
  <c r="CH1851" i="33" s="1"/>
  <c r="I1857" i="33" s="1"/>
  <c r="CH1857" i="33" s="1"/>
  <c r="CG1833" i="33"/>
  <c r="H1839" i="33" s="1"/>
  <c r="CG1839" i="33" s="1"/>
  <c r="H1845" i="33" s="1"/>
  <c r="CG1845" i="33" s="1"/>
  <c r="H1851" i="33" s="1"/>
  <c r="CG1851" i="33" s="1"/>
  <c r="H1857" i="33" s="1"/>
  <c r="CG1857" i="33" s="1"/>
  <c r="CF1833" i="33"/>
  <c r="G1839" i="33" s="1"/>
  <c r="CF1839" i="33" s="1"/>
  <c r="G1845" i="33" s="1"/>
  <c r="CF1845" i="33" s="1"/>
  <c r="G1851" i="33" s="1"/>
  <c r="CF1851" i="33" s="1"/>
  <c r="G1857" i="33" s="1"/>
  <c r="CF1857" i="33" s="1"/>
  <c r="CE1833" i="33"/>
  <c r="F1839" i="33" s="1"/>
  <c r="CC1833" i="33"/>
  <c r="BV1833" i="33"/>
  <c r="BO1833" i="33"/>
  <c r="BH1833" i="33"/>
  <c r="BA1833" i="33"/>
  <c r="AT1833" i="33"/>
  <c r="AM1833" i="33"/>
  <c r="AF1833" i="33"/>
  <c r="Y1833" i="33"/>
  <c r="R1833" i="33"/>
  <c r="K1833" i="33"/>
  <c r="DE1832" i="33"/>
  <c r="CX1832" i="33"/>
  <c r="R63" i="40"/>
  <c r="CI1832" i="33"/>
  <c r="CH1832" i="33"/>
  <c r="CG1832" i="33"/>
  <c r="H1838" i="33" s="1"/>
  <c r="CG1838" i="33" s="1"/>
  <c r="H1844" i="33" s="1"/>
  <c r="CG1844" i="33" s="1"/>
  <c r="H1850" i="33" s="1"/>
  <c r="CG1850" i="33" s="1"/>
  <c r="H1856" i="33" s="1"/>
  <c r="CG1856" i="33" s="1"/>
  <c r="CF1832" i="33"/>
  <c r="G1838" i="33" s="1"/>
  <c r="CF1838" i="33" s="1"/>
  <c r="G1844" i="33" s="1"/>
  <c r="CF1844" i="33" s="1"/>
  <c r="G1850" i="33" s="1"/>
  <c r="CF1850" i="33" s="1"/>
  <c r="G1856" i="33" s="1"/>
  <c r="CF1856" i="33" s="1"/>
  <c r="CE1832" i="33"/>
  <c r="CJ1832" i="33" s="1"/>
  <c r="CC1832" i="33"/>
  <c r="BV1832" i="33"/>
  <c r="BO1832" i="33"/>
  <c r="BH1832" i="33"/>
  <c r="BA1832" i="33"/>
  <c r="AT1832" i="33"/>
  <c r="AM1832" i="33"/>
  <c r="AF1832" i="33"/>
  <c r="AF1835" i="33" s="1"/>
  <c r="Y1832" i="33"/>
  <c r="R1832" i="33"/>
  <c r="K1832" i="33"/>
  <c r="DE1831" i="33"/>
  <c r="DE1835" i="33" s="1"/>
  <c r="CX1831" i="33"/>
  <c r="CX1835" i="33" s="1"/>
  <c r="CI1831" i="33"/>
  <c r="CH1831" i="33"/>
  <c r="I1837" i="33" s="1"/>
  <c r="CG1831" i="33"/>
  <c r="CG1835" i="33" s="1"/>
  <c r="CF1831" i="33"/>
  <c r="CF1835" i="33" s="1"/>
  <c r="CE1831" i="33"/>
  <c r="CE1835" i="33" s="1"/>
  <c r="CC1831" i="33"/>
  <c r="CC1835" i="33" s="1"/>
  <c r="BV1831" i="33"/>
  <c r="BV1835" i="33" s="1"/>
  <c r="BO1831" i="33"/>
  <c r="BH1831" i="33"/>
  <c r="BH1835" i="33" s="1"/>
  <c r="BA1831" i="33"/>
  <c r="BA1835" i="33" s="1"/>
  <c r="AT1831" i="33"/>
  <c r="AT1835" i="33" s="1"/>
  <c r="AM1831" i="33"/>
  <c r="AF1831" i="33"/>
  <c r="Y1831" i="33"/>
  <c r="Y1835" i="33" s="1"/>
  <c r="R1831" i="33"/>
  <c r="R1835" i="33" s="1"/>
  <c r="K1831" i="33"/>
  <c r="DD1827" i="33"/>
  <c r="DC1827" i="33"/>
  <c r="DB1827" i="33"/>
  <c r="DA1827" i="33"/>
  <c r="CZ1827" i="33"/>
  <c r="CX1827" i="33"/>
  <c r="CW1827" i="33"/>
  <c r="CV1827" i="33"/>
  <c r="CU1827" i="33"/>
  <c r="CT1827" i="33"/>
  <c r="CS1827" i="33"/>
  <c r="CP1827" i="33"/>
  <c r="CO1827" i="33"/>
  <c r="CN1827" i="33"/>
  <c r="CM1827" i="33"/>
  <c r="CL1827" i="33"/>
  <c r="CC1827" i="33"/>
  <c r="CB1827" i="33"/>
  <c r="CA1827" i="33"/>
  <c r="BZ1827" i="33"/>
  <c r="BY1827" i="33"/>
  <c r="BX1827" i="33"/>
  <c r="BU1827" i="33"/>
  <c r="BT1827" i="33"/>
  <c r="BS1827" i="33"/>
  <c r="BR1827" i="33"/>
  <c r="BQ1827" i="33"/>
  <c r="BN1827" i="33"/>
  <c r="BM1827" i="33"/>
  <c r="BL1827" i="33"/>
  <c r="BK1827" i="33"/>
  <c r="BJ1827" i="33"/>
  <c r="BG1827" i="33"/>
  <c r="BF1827" i="33"/>
  <c r="BE1827" i="33"/>
  <c r="BD1827" i="33"/>
  <c r="BC1827" i="33"/>
  <c r="AZ1827" i="33"/>
  <c r="AY1827" i="33"/>
  <c r="AX1827" i="33"/>
  <c r="AW1827" i="33"/>
  <c r="AV1827" i="33"/>
  <c r="AS1827" i="33"/>
  <c r="AR1827" i="33"/>
  <c r="AQ1827" i="33"/>
  <c r="AP1827" i="33"/>
  <c r="AO1827" i="33"/>
  <c r="AL1827" i="33"/>
  <c r="AK1827" i="33"/>
  <c r="AJ1827" i="33"/>
  <c r="AI1827" i="33"/>
  <c r="AH1827" i="33"/>
  <c r="AE1827" i="33"/>
  <c r="AD1827" i="33"/>
  <c r="AC1827" i="33"/>
  <c r="AB1827" i="33"/>
  <c r="AA1827" i="33"/>
  <c r="Y1827" i="33"/>
  <c r="X1827" i="33"/>
  <c r="W1827" i="33"/>
  <c r="V1827" i="33"/>
  <c r="U1827" i="33"/>
  <c r="T1827" i="33"/>
  <c r="Q1827" i="33"/>
  <c r="P1827" i="33"/>
  <c r="O1827" i="33"/>
  <c r="N1827" i="33"/>
  <c r="M1827" i="33"/>
  <c r="DE1826" i="33"/>
  <c r="CX1826" i="33"/>
  <c r="CC1826" i="33"/>
  <c r="BV1826" i="33"/>
  <c r="BO1826" i="33"/>
  <c r="BH1826" i="33"/>
  <c r="BA1826" i="33"/>
  <c r="AT1826" i="33"/>
  <c r="AM1826" i="33"/>
  <c r="AF1826" i="33"/>
  <c r="Y1826" i="33"/>
  <c r="R1826" i="33"/>
  <c r="DE1825" i="33"/>
  <c r="CX1825" i="33"/>
  <c r="CC1825" i="33"/>
  <c r="BV1825" i="33"/>
  <c r="BO1825" i="33"/>
  <c r="BH1825" i="33"/>
  <c r="BA1825" i="33"/>
  <c r="BA1827" i="33" s="1"/>
  <c r="AT1825" i="33"/>
  <c r="AM1825" i="33"/>
  <c r="AF1825" i="33"/>
  <c r="Y1825" i="33"/>
  <c r="R1825" i="33"/>
  <c r="DE1824" i="33"/>
  <c r="CX1824" i="33"/>
  <c r="CC1824" i="33"/>
  <c r="BV1824" i="33"/>
  <c r="BO1824" i="33"/>
  <c r="BH1824" i="33"/>
  <c r="BA1824" i="33"/>
  <c r="AT1824" i="33"/>
  <c r="AM1824" i="33"/>
  <c r="AF1824" i="33"/>
  <c r="Y1824" i="33"/>
  <c r="R1824" i="33"/>
  <c r="DE1823" i="33"/>
  <c r="DE1827" i="33" s="1"/>
  <c r="CX1823" i="33"/>
  <c r="CC1823" i="33"/>
  <c r="BV1823" i="33"/>
  <c r="BV1827" i="33" s="1"/>
  <c r="BO1823" i="33"/>
  <c r="BO1827" i="33" s="1"/>
  <c r="BH1823" i="33"/>
  <c r="BH1827" i="33" s="1"/>
  <c r="BA1823" i="33"/>
  <c r="AT1823" i="33"/>
  <c r="AT1827" i="33" s="1"/>
  <c r="AM1823" i="33"/>
  <c r="AM1827" i="33" s="1"/>
  <c r="AF1823" i="33"/>
  <c r="AF1827" i="33" s="1"/>
  <c r="Y1823" i="33"/>
  <c r="R1823" i="33"/>
  <c r="R1827" i="33" s="1"/>
  <c r="DD1821" i="33"/>
  <c r="DC1821" i="33"/>
  <c r="DB1821" i="33"/>
  <c r="DA1821" i="33"/>
  <c r="CZ1821" i="33"/>
  <c r="CW1821" i="33"/>
  <c r="CV1821" i="33"/>
  <c r="CU1821" i="33"/>
  <c r="CT1821" i="33"/>
  <c r="CS1821" i="33"/>
  <c r="CP1821" i="33"/>
  <c r="CO1821" i="33"/>
  <c r="CN1821" i="33"/>
  <c r="CM1821" i="33"/>
  <c r="CL1821" i="33"/>
  <c r="CB1821" i="33"/>
  <c r="CA1821" i="33"/>
  <c r="BZ1821" i="33"/>
  <c r="BY1821" i="33"/>
  <c r="BX1821" i="33"/>
  <c r="BU1821" i="33"/>
  <c r="BT1821" i="33"/>
  <c r="BS1821" i="33"/>
  <c r="BR1821" i="33"/>
  <c r="BQ1821" i="33"/>
  <c r="BN1821" i="33"/>
  <c r="BM1821" i="33"/>
  <c r="BL1821" i="33"/>
  <c r="BK1821" i="33"/>
  <c r="BJ1821" i="33"/>
  <c r="BH1821" i="33"/>
  <c r="BG1821" i="33"/>
  <c r="BF1821" i="33"/>
  <c r="BE1821" i="33"/>
  <c r="BD1821" i="33"/>
  <c r="BC1821" i="33"/>
  <c r="AZ1821" i="33"/>
  <c r="AY1821" i="33"/>
  <c r="AX1821" i="33"/>
  <c r="AW1821" i="33"/>
  <c r="AV1821" i="33"/>
  <c r="AS1821" i="33"/>
  <c r="AR1821" i="33"/>
  <c r="AQ1821" i="33"/>
  <c r="AP1821" i="33"/>
  <c r="AO1821" i="33"/>
  <c r="AL1821" i="33"/>
  <c r="AK1821" i="33"/>
  <c r="AJ1821" i="33"/>
  <c r="AI1821" i="33"/>
  <c r="AH1821" i="33"/>
  <c r="AE1821" i="33"/>
  <c r="AD1821" i="33"/>
  <c r="AC1821" i="33"/>
  <c r="AB1821" i="33"/>
  <c r="AA1821" i="33"/>
  <c r="X1821" i="33"/>
  <c r="W1821" i="33"/>
  <c r="V1821" i="33"/>
  <c r="U1821" i="33"/>
  <c r="T1821" i="33"/>
  <c r="Q1821" i="33"/>
  <c r="P1821" i="33"/>
  <c r="O1821" i="33"/>
  <c r="N1821" i="33"/>
  <c r="M1821" i="33"/>
  <c r="DE1820" i="33"/>
  <c r="CX1820" i="33"/>
  <c r="CC1820" i="33"/>
  <c r="BV1820" i="33"/>
  <c r="BO1820" i="33"/>
  <c r="BH1820" i="33"/>
  <c r="BA1820" i="33"/>
  <c r="AT1820" i="33"/>
  <c r="AM1820" i="33"/>
  <c r="AF1820" i="33"/>
  <c r="Y1820" i="33"/>
  <c r="R1820" i="33"/>
  <c r="DE1819" i="33"/>
  <c r="CX1819" i="33"/>
  <c r="CC1819" i="33"/>
  <c r="CC1821" i="33" s="1"/>
  <c r="BV1819" i="33"/>
  <c r="BO1819" i="33"/>
  <c r="BH1819" i="33"/>
  <c r="BA1819" i="33"/>
  <c r="AT1819" i="33"/>
  <c r="AM1819" i="33"/>
  <c r="AF1819" i="33"/>
  <c r="AF1821" i="33" s="1"/>
  <c r="Y1819" i="33"/>
  <c r="Y1821" i="33" s="1"/>
  <c r="R1819" i="33"/>
  <c r="DE1818" i="33"/>
  <c r="CX1818" i="33"/>
  <c r="CC1818" i="33"/>
  <c r="BV1818" i="33"/>
  <c r="BO1818" i="33"/>
  <c r="BH1818" i="33"/>
  <c r="BA1818" i="33"/>
  <c r="AT1818" i="33"/>
  <c r="AM1818" i="33"/>
  <c r="U62" i="40" s="1"/>
  <c r="AF1818" i="33"/>
  <c r="Y1818" i="33"/>
  <c r="R1818" i="33"/>
  <c r="DE1817" i="33"/>
  <c r="DE1821" i="33" s="1"/>
  <c r="CX1817" i="33"/>
  <c r="CX1821" i="33" s="1"/>
  <c r="CC1817" i="33"/>
  <c r="BV1817" i="33"/>
  <c r="BV1821" i="33" s="1"/>
  <c r="BO1817" i="33"/>
  <c r="BO1821" i="33" s="1"/>
  <c r="BH1817" i="33"/>
  <c r="BA1817" i="33"/>
  <c r="BA1821" i="33" s="1"/>
  <c r="AT1817" i="33"/>
  <c r="AT1821" i="33" s="1"/>
  <c r="AM1817" i="33"/>
  <c r="AM1821" i="33" s="1"/>
  <c r="AF1817" i="33"/>
  <c r="Y1817" i="33"/>
  <c r="R1817" i="33"/>
  <c r="R1821" i="33" s="1"/>
  <c r="DD1815" i="33"/>
  <c r="DC1815" i="33"/>
  <c r="DB1815" i="33"/>
  <c r="DA1815" i="33"/>
  <c r="CZ1815" i="33"/>
  <c r="CW1815" i="33"/>
  <c r="CV1815" i="33"/>
  <c r="CU1815" i="33"/>
  <c r="CT1815" i="33"/>
  <c r="CS1815" i="33"/>
  <c r="CP1815" i="33"/>
  <c r="CO1815" i="33"/>
  <c r="CN1815" i="33"/>
  <c r="CM1815" i="33"/>
  <c r="CL1815" i="33"/>
  <c r="CB1815" i="33"/>
  <c r="CA1815" i="33"/>
  <c r="BZ1815" i="33"/>
  <c r="BY1815" i="33"/>
  <c r="BX1815" i="33"/>
  <c r="BU1815" i="33"/>
  <c r="BT1815" i="33"/>
  <c r="BS1815" i="33"/>
  <c r="BR1815" i="33"/>
  <c r="BQ1815" i="33"/>
  <c r="BN1815" i="33"/>
  <c r="BM1815" i="33"/>
  <c r="BL1815" i="33"/>
  <c r="BK1815" i="33"/>
  <c r="BJ1815" i="33"/>
  <c r="BG1815" i="33"/>
  <c r="BF1815" i="33"/>
  <c r="BE1815" i="33"/>
  <c r="BD1815" i="33"/>
  <c r="BC1815" i="33"/>
  <c r="AZ1815" i="33"/>
  <c r="AY1815" i="33"/>
  <c r="AX1815" i="33"/>
  <c r="AW1815" i="33"/>
  <c r="AV1815" i="33"/>
  <c r="AT1815" i="33"/>
  <c r="AS1815" i="33"/>
  <c r="AR1815" i="33"/>
  <c r="AQ1815" i="33"/>
  <c r="AP1815" i="33"/>
  <c r="AO1815" i="33"/>
  <c r="AL1815" i="33"/>
  <c r="AK1815" i="33"/>
  <c r="AJ1815" i="33"/>
  <c r="AI1815" i="33"/>
  <c r="AH1815" i="33"/>
  <c r="AE1815" i="33"/>
  <c r="AD1815" i="33"/>
  <c r="AC1815" i="33"/>
  <c r="AB1815" i="33"/>
  <c r="AA1815" i="33"/>
  <c r="X1815" i="33"/>
  <c r="W1815" i="33"/>
  <c r="V1815" i="33"/>
  <c r="U1815" i="33"/>
  <c r="T1815" i="33"/>
  <c r="Q1815" i="33"/>
  <c r="P1815" i="33"/>
  <c r="O1815" i="33"/>
  <c r="N1815" i="33"/>
  <c r="M1815" i="33"/>
  <c r="DE1814" i="33"/>
  <c r="CX1814" i="33"/>
  <c r="CC1814" i="33"/>
  <c r="BV1814" i="33"/>
  <c r="BO1814" i="33"/>
  <c r="BH1814" i="33"/>
  <c r="BA1814" i="33"/>
  <c r="AT1814" i="33"/>
  <c r="AM1814" i="33"/>
  <c r="AF1814" i="33"/>
  <c r="Y1814" i="33"/>
  <c r="R1814" i="33"/>
  <c r="DE1813" i="33"/>
  <c r="CX1813" i="33"/>
  <c r="CC1813" i="33"/>
  <c r="BV1813" i="33"/>
  <c r="BO1813" i="33"/>
  <c r="BH1813" i="33"/>
  <c r="BA1813" i="33"/>
  <c r="AT1813" i="33"/>
  <c r="AM1813" i="33"/>
  <c r="AF1813" i="33"/>
  <c r="Y1813" i="33"/>
  <c r="R1813" i="33"/>
  <c r="DE1812" i="33"/>
  <c r="CX1812" i="33"/>
  <c r="CC1812" i="33"/>
  <c r="BV1812" i="33"/>
  <c r="BV1815" i="33" s="1"/>
  <c r="BO1812" i="33"/>
  <c r="BH1812" i="33"/>
  <c r="BA1812" i="33"/>
  <c r="AT1812" i="33"/>
  <c r="AM1812" i="33"/>
  <c r="AF1812" i="33"/>
  <c r="Y1812" i="33"/>
  <c r="R1812" i="33"/>
  <c r="R1815" i="33" s="1"/>
  <c r="DE1811" i="33"/>
  <c r="DE1815" i="33" s="1"/>
  <c r="CX1811" i="33"/>
  <c r="CX1815" i="33" s="1"/>
  <c r="CC1811" i="33"/>
  <c r="CC1815" i="33" s="1"/>
  <c r="BV1811" i="33"/>
  <c r="BO1811" i="33"/>
  <c r="BO1815" i="33" s="1"/>
  <c r="BH1811" i="33"/>
  <c r="BH1815" i="33" s="1"/>
  <c r="BA1811" i="33"/>
  <c r="BA1815" i="33" s="1"/>
  <c r="AT1811" i="33"/>
  <c r="AM1811" i="33"/>
  <c r="AM1815" i="33" s="1"/>
  <c r="AF1811" i="33"/>
  <c r="AF1815" i="33" s="1"/>
  <c r="Y1811" i="33"/>
  <c r="J62" i="40" s="1"/>
  <c r="R1811" i="33"/>
  <c r="DE1809" i="33"/>
  <c r="DD1809" i="33"/>
  <c r="DC1809" i="33"/>
  <c r="DB1809" i="33"/>
  <c r="DA1809" i="33"/>
  <c r="CZ1809" i="33"/>
  <c r="CW1809" i="33"/>
  <c r="CV1809" i="33"/>
  <c r="CU1809" i="33"/>
  <c r="CT1809" i="33"/>
  <c r="CS1809" i="33"/>
  <c r="CP1809" i="33"/>
  <c r="CO1809" i="33"/>
  <c r="CN1809" i="33"/>
  <c r="CM1809" i="33"/>
  <c r="CL1809" i="33"/>
  <c r="CC1809" i="33"/>
  <c r="CB1809" i="33"/>
  <c r="CA1809" i="33"/>
  <c r="BZ1809" i="33"/>
  <c r="BY1809" i="33"/>
  <c r="BX1809" i="33"/>
  <c r="BU1809" i="33"/>
  <c r="BT1809" i="33"/>
  <c r="BS1809" i="33"/>
  <c r="BR1809" i="33"/>
  <c r="BQ1809" i="33"/>
  <c r="BN1809" i="33"/>
  <c r="BM1809" i="33"/>
  <c r="BL1809" i="33"/>
  <c r="BK1809" i="33"/>
  <c r="BJ1809" i="33"/>
  <c r="BG1809" i="33"/>
  <c r="BF1809" i="33"/>
  <c r="BE1809" i="33"/>
  <c r="BD1809" i="33"/>
  <c r="BC1809" i="33"/>
  <c r="AZ1809" i="33"/>
  <c r="AY1809" i="33"/>
  <c r="AX1809" i="33"/>
  <c r="AW1809" i="33"/>
  <c r="AV1809" i="33"/>
  <c r="AS1809" i="33"/>
  <c r="AR1809" i="33"/>
  <c r="AQ1809" i="33"/>
  <c r="AP1809" i="33"/>
  <c r="AO1809" i="33"/>
  <c r="AL1809" i="33"/>
  <c r="AK1809" i="33"/>
  <c r="AJ1809" i="33"/>
  <c r="AI1809" i="33"/>
  <c r="AH1809" i="33"/>
  <c r="AE1809" i="33"/>
  <c r="AD1809" i="33"/>
  <c r="AC1809" i="33"/>
  <c r="AB1809" i="33"/>
  <c r="AA1809" i="33"/>
  <c r="Y1809" i="33"/>
  <c r="X1809" i="33"/>
  <c r="W1809" i="33"/>
  <c r="V1809" i="33"/>
  <c r="U1809" i="33"/>
  <c r="T1809" i="33"/>
  <c r="Q1809" i="33"/>
  <c r="P1809" i="33"/>
  <c r="O1809" i="33"/>
  <c r="N1809" i="33"/>
  <c r="M1809" i="33"/>
  <c r="DE1808" i="33"/>
  <c r="CX1808" i="33"/>
  <c r="CC1808" i="33"/>
  <c r="BV1808" i="33"/>
  <c r="BO1808" i="33"/>
  <c r="BH1808" i="33"/>
  <c r="BA1808" i="33"/>
  <c r="AT1808" i="33"/>
  <c r="AM1808" i="33"/>
  <c r="AF1808" i="33"/>
  <c r="AF1809" i="33" s="1"/>
  <c r="Y1808" i="33"/>
  <c r="R1808" i="33"/>
  <c r="J1808" i="33"/>
  <c r="CI1808" i="33" s="1"/>
  <c r="J1814" i="33" s="1"/>
  <c r="CI1814" i="33" s="1"/>
  <c r="J1820" i="33" s="1"/>
  <c r="CI1820" i="33" s="1"/>
  <c r="J1826" i="33" s="1"/>
  <c r="CI1826" i="33" s="1"/>
  <c r="H1808" i="33"/>
  <c r="CG1808" i="33" s="1"/>
  <c r="H1814" i="33" s="1"/>
  <c r="CG1814" i="33" s="1"/>
  <c r="H1820" i="33" s="1"/>
  <c r="CG1820" i="33" s="1"/>
  <c r="H1826" i="33" s="1"/>
  <c r="CG1826" i="33" s="1"/>
  <c r="G1808" i="33"/>
  <c r="CF1808" i="33" s="1"/>
  <c r="G1814" i="33" s="1"/>
  <c r="CF1814" i="33" s="1"/>
  <c r="G1820" i="33" s="1"/>
  <c r="CF1820" i="33" s="1"/>
  <c r="G1826" i="33" s="1"/>
  <c r="CF1826" i="33" s="1"/>
  <c r="F1808" i="33"/>
  <c r="CE1808" i="33" s="1"/>
  <c r="DE1807" i="33"/>
  <c r="CX1807" i="33"/>
  <c r="CC1807" i="33"/>
  <c r="BV1807" i="33"/>
  <c r="BO1807" i="33"/>
  <c r="BH1807" i="33"/>
  <c r="BA1807" i="33"/>
  <c r="AT1807" i="33"/>
  <c r="AM1807" i="33"/>
  <c r="AF1807" i="33"/>
  <c r="Y1807" i="33"/>
  <c r="R1807" i="33"/>
  <c r="DE1806" i="33"/>
  <c r="CX1806" i="33"/>
  <c r="CC1806" i="33"/>
  <c r="BV1806" i="33"/>
  <c r="BV1809" i="33" s="1"/>
  <c r="BO1806" i="33"/>
  <c r="BH1806" i="33"/>
  <c r="BA1806" i="33"/>
  <c r="BA1809" i="33" s="1"/>
  <c r="AT1806" i="33"/>
  <c r="AT1809" i="33" s="1"/>
  <c r="AM1806" i="33"/>
  <c r="AF1806" i="33"/>
  <c r="Y1806" i="33"/>
  <c r="R1806" i="33"/>
  <c r="R1809" i="33" s="1"/>
  <c r="J1806" i="33"/>
  <c r="CI1806" i="33" s="1"/>
  <c r="J1812" i="33" s="1"/>
  <c r="CI1812" i="33" s="1"/>
  <c r="J1818" i="33" s="1"/>
  <c r="CI1818" i="33" s="1"/>
  <c r="J1824" i="33" s="1"/>
  <c r="CI1824" i="33" s="1"/>
  <c r="I1806" i="33"/>
  <c r="CH1806" i="33" s="1"/>
  <c r="I1812" i="33" s="1"/>
  <c r="CH1812" i="33" s="1"/>
  <c r="I1818" i="33" s="1"/>
  <c r="CH1818" i="33" s="1"/>
  <c r="I1824" i="33" s="1"/>
  <c r="CH1824" i="33" s="1"/>
  <c r="H1806" i="33"/>
  <c r="CG1806" i="33" s="1"/>
  <c r="H1812" i="33" s="1"/>
  <c r="CG1812" i="33" s="1"/>
  <c r="H1818" i="33" s="1"/>
  <c r="CG1818" i="33" s="1"/>
  <c r="H1824" i="33" s="1"/>
  <c r="CG1824" i="33" s="1"/>
  <c r="DE1805" i="33"/>
  <c r="CX1805" i="33"/>
  <c r="CX1809" i="33" s="1"/>
  <c r="CC1805" i="33"/>
  <c r="BV1805" i="33"/>
  <c r="BO1805" i="33"/>
  <c r="BO1809" i="33" s="1"/>
  <c r="BH1805" i="33"/>
  <c r="BH1809" i="33" s="1"/>
  <c r="BA1805" i="33"/>
  <c r="AT1805" i="33"/>
  <c r="AM1805" i="33"/>
  <c r="AM1809" i="33" s="1"/>
  <c r="AF1805" i="33"/>
  <c r="Y1805" i="33"/>
  <c r="R1805" i="33"/>
  <c r="J1805" i="33"/>
  <c r="DE1803" i="33"/>
  <c r="DD1803" i="33"/>
  <c r="DC1803" i="33"/>
  <c r="DB1803" i="33"/>
  <c r="DA1803" i="33"/>
  <c r="CZ1803" i="33"/>
  <c r="CW1803" i="33"/>
  <c r="CV1803" i="33"/>
  <c r="CU1803" i="33"/>
  <c r="CT1803" i="33"/>
  <c r="CS1803" i="33"/>
  <c r="CP1803" i="33"/>
  <c r="CO1803" i="33"/>
  <c r="CN1803" i="33"/>
  <c r="CM1803" i="33"/>
  <c r="CL1803" i="33"/>
  <c r="CI1803" i="33"/>
  <c r="CH1803" i="33"/>
  <c r="CB1803" i="33"/>
  <c r="CA1803" i="33"/>
  <c r="BZ1803" i="33"/>
  <c r="BY1803" i="33"/>
  <c r="BX1803" i="33"/>
  <c r="BU1803" i="33"/>
  <c r="BT1803" i="33"/>
  <c r="BS1803" i="33"/>
  <c r="BR1803" i="33"/>
  <c r="BQ1803" i="33"/>
  <c r="BO1803" i="33"/>
  <c r="BN1803" i="33"/>
  <c r="BM1803" i="33"/>
  <c r="BL1803" i="33"/>
  <c r="BK1803" i="33"/>
  <c r="BJ1803" i="33"/>
  <c r="BG1803" i="33"/>
  <c r="BF1803" i="33"/>
  <c r="BE1803" i="33"/>
  <c r="BD1803" i="33"/>
  <c r="BC1803" i="33"/>
  <c r="AZ1803" i="33"/>
  <c r="AY1803" i="33"/>
  <c r="AX1803" i="33"/>
  <c r="AW1803" i="33"/>
  <c r="AV1803" i="33"/>
  <c r="AS1803" i="33"/>
  <c r="AR1803" i="33"/>
  <c r="AQ1803" i="33"/>
  <c r="AP1803" i="33"/>
  <c r="AO1803" i="33"/>
  <c r="AM1803" i="33"/>
  <c r="AL1803" i="33"/>
  <c r="AK1803" i="33"/>
  <c r="AJ1803" i="33"/>
  <c r="AI1803" i="33"/>
  <c r="AH1803" i="33"/>
  <c r="AE1803" i="33"/>
  <c r="AD1803" i="33"/>
  <c r="AC1803" i="33"/>
  <c r="AB1803" i="33"/>
  <c r="AA1803" i="33"/>
  <c r="X1803" i="33"/>
  <c r="W1803" i="33"/>
  <c r="V1803" i="33"/>
  <c r="U1803" i="33"/>
  <c r="T1803" i="33"/>
  <c r="Q1803" i="33"/>
  <c r="P1803" i="33"/>
  <c r="O1803" i="33"/>
  <c r="N1803" i="33"/>
  <c r="M1803" i="33"/>
  <c r="K1803" i="33"/>
  <c r="J1803" i="33"/>
  <c r="I1803" i="33"/>
  <c r="H1803" i="33"/>
  <c r="G1803" i="33"/>
  <c r="F1803" i="33"/>
  <c r="DE1802" i="33"/>
  <c r="CX1802" i="33"/>
  <c r="CI1802" i="33"/>
  <c r="CH1802" i="33"/>
  <c r="I1808" i="33" s="1"/>
  <c r="CH1808" i="33" s="1"/>
  <c r="I1814" i="33" s="1"/>
  <c r="CH1814" i="33" s="1"/>
  <c r="I1820" i="33" s="1"/>
  <c r="CH1820" i="33" s="1"/>
  <c r="I1826" i="33" s="1"/>
  <c r="CH1826" i="33" s="1"/>
  <c r="CG1802" i="33"/>
  <c r="CF1802" i="33"/>
  <c r="CJ1802" i="33" s="1"/>
  <c r="CE1802" i="33"/>
  <c r="CC1802" i="33"/>
  <c r="BV1802" i="33"/>
  <c r="BO1802" i="33"/>
  <c r="BH1802" i="33"/>
  <c r="BA1802" i="33"/>
  <c r="AT1802" i="33"/>
  <c r="AM1802" i="33"/>
  <c r="AF1802" i="33"/>
  <c r="Y1802" i="33"/>
  <c r="R1802" i="33"/>
  <c r="K1802" i="33"/>
  <c r="DE1801" i="33"/>
  <c r="CX1801" i="33"/>
  <c r="CI1801" i="33"/>
  <c r="J1807" i="33" s="1"/>
  <c r="CI1807" i="33" s="1"/>
  <c r="J1813" i="33" s="1"/>
  <c r="CI1813" i="33" s="1"/>
  <c r="J1819" i="33" s="1"/>
  <c r="CI1819" i="33" s="1"/>
  <c r="J1825" i="33" s="1"/>
  <c r="CI1825" i="33" s="1"/>
  <c r="CH1801" i="33"/>
  <c r="I1807" i="33" s="1"/>
  <c r="CH1807" i="33" s="1"/>
  <c r="I1813" i="33" s="1"/>
  <c r="CH1813" i="33" s="1"/>
  <c r="I1819" i="33" s="1"/>
  <c r="CH1819" i="33" s="1"/>
  <c r="I1825" i="33" s="1"/>
  <c r="CH1825" i="33" s="1"/>
  <c r="CG1801" i="33"/>
  <c r="H1807" i="33" s="1"/>
  <c r="CG1807" i="33" s="1"/>
  <c r="H1813" i="33" s="1"/>
  <c r="CG1813" i="33" s="1"/>
  <c r="H1819" i="33" s="1"/>
  <c r="CG1819" i="33" s="1"/>
  <c r="H1825" i="33" s="1"/>
  <c r="CG1825" i="33" s="1"/>
  <c r="CF1801" i="33"/>
  <c r="G1807" i="33" s="1"/>
  <c r="CF1807" i="33" s="1"/>
  <c r="G1813" i="33" s="1"/>
  <c r="CF1813" i="33" s="1"/>
  <c r="G1819" i="33" s="1"/>
  <c r="CF1819" i="33" s="1"/>
  <c r="G1825" i="33" s="1"/>
  <c r="CF1825" i="33" s="1"/>
  <c r="CE1801" i="33"/>
  <c r="F1807" i="33" s="1"/>
  <c r="CC1801" i="33"/>
  <c r="BV1801" i="33"/>
  <c r="BO1801" i="33"/>
  <c r="BH1801" i="33"/>
  <c r="BA1801" i="33"/>
  <c r="AT1801" i="33"/>
  <c r="AM1801" i="33"/>
  <c r="AF1801" i="33"/>
  <c r="Y1801" i="33"/>
  <c r="R1801" i="33"/>
  <c r="K1801" i="33"/>
  <c r="DE1800" i="33"/>
  <c r="CX1800" i="33"/>
  <c r="R62" i="40"/>
  <c r="CI1800" i="33"/>
  <c r="CH1800" i="33"/>
  <c r="CG1800" i="33"/>
  <c r="CF1800" i="33"/>
  <c r="CJ1800" i="33" s="1"/>
  <c r="CE1800" i="33"/>
  <c r="F1806" i="33" s="1"/>
  <c r="CC1800" i="33"/>
  <c r="BV1800" i="33"/>
  <c r="BO1800" i="33"/>
  <c r="BH1800" i="33"/>
  <c r="BA1800" i="33"/>
  <c r="AT1800" i="33"/>
  <c r="AM1800" i="33"/>
  <c r="AF1800" i="33"/>
  <c r="AF1803" i="33" s="1"/>
  <c r="Y1800" i="33"/>
  <c r="R1800" i="33"/>
  <c r="K1800" i="33"/>
  <c r="DE1799" i="33"/>
  <c r="CX1799" i="33"/>
  <c r="CX1803" i="33" s="1"/>
  <c r="CI1799" i="33"/>
  <c r="CH1799" i="33"/>
  <c r="I1805" i="33" s="1"/>
  <c r="CG1799" i="33"/>
  <c r="CG1803" i="33" s="1"/>
  <c r="CF1799" i="33"/>
  <c r="CF1803" i="33" s="1"/>
  <c r="CE1799" i="33"/>
  <c r="CE1803" i="33" s="1"/>
  <c r="CC1799" i="33"/>
  <c r="CC1803" i="33" s="1"/>
  <c r="BV1799" i="33"/>
  <c r="BV1803" i="33" s="1"/>
  <c r="BO1799" i="33"/>
  <c r="BH1799" i="33"/>
  <c r="BH1803" i="33" s="1"/>
  <c r="BA1799" i="33"/>
  <c r="BA1803" i="33" s="1"/>
  <c r="AT1799" i="33"/>
  <c r="AT1803" i="33" s="1"/>
  <c r="AM1799" i="33"/>
  <c r="AF1799" i="33"/>
  <c r="Y1799" i="33"/>
  <c r="Y1803" i="33" s="1"/>
  <c r="R1799" i="33"/>
  <c r="R1803" i="33" s="1"/>
  <c r="K1799" i="33"/>
  <c r="DD1795" i="33"/>
  <c r="DC1795" i="33"/>
  <c r="DB1795" i="33"/>
  <c r="DA1795" i="33"/>
  <c r="CZ1795" i="33"/>
  <c r="CX1795" i="33"/>
  <c r="CW1795" i="33"/>
  <c r="CV1795" i="33"/>
  <c r="CU1795" i="33"/>
  <c r="CT1795" i="33"/>
  <c r="CS1795" i="33"/>
  <c r="CP1795" i="33"/>
  <c r="CO1795" i="33"/>
  <c r="CN1795" i="33"/>
  <c r="CM1795" i="33"/>
  <c r="CL1795" i="33"/>
  <c r="CC1795" i="33"/>
  <c r="CB1795" i="33"/>
  <c r="CA1795" i="33"/>
  <c r="BZ1795" i="33"/>
  <c r="BY1795" i="33"/>
  <c r="BX1795" i="33"/>
  <c r="BU1795" i="33"/>
  <c r="BT1795" i="33"/>
  <c r="BS1795" i="33"/>
  <c r="BR1795" i="33"/>
  <c r="BQ1795" i="33"/>
  <c r="BN1795" i="33"/>
  <c r="BM1795" i="33"/>
  <c r="BL1795" i="33"/>
  <c r="BK1795" i="33"/>
  <c r="BJ1795" i="33"/>
  <c r="BG1795" i="33"/>
  <c r="BF1795" i="33"/>
  <c r="BE1795" i="33"/>
  <c r="BD1795" i="33"/>
  <c r="BC1795" i="33"/>
  <c r="AZ1795" i="33"/>
  <c r="AY1795" i="33"/>
  <c r="AX1795" i="33"/>
  <c r="AW1795" i="33"/>
  <c r="AV1795" i="33"/>
  <c r="AS1795" i="33"/>
  <c r="AR1795" i="33"/>
  <c r="AQ1795" i="33"/>
  <c r="AP1795" i="33"/>
  <c r="AO1795" i="33"/>
  <c r="AL1795" i="33"/>
  <c r="AK1795" i="33"/>
  <c r="AJ1795" i="33"/>
  <c r="AI1795" i="33"/>
  <c r="AH1795" i="33"/>
  <c r="AE1795" i="33"/>
  <c r="AD1795" i="33"/>
  <c r="AC1795" i="33"/>
  <c r="AB1795" i="33"/>
  <c r="AA1795" i="33"/>
  <c r="Y1795" i="33"/>
  <c r="X1795" i="33"/>
  <c r="W1795" i="33"/>
  <c r="V1795" i="33"/>
  <c r="U1795" i="33"/>
  <c r="T1795" i="33"/>
  <c r="Q1795" i="33"/>
  <c r="P1795" i="33"/>
  <c r="O1795" i="33"/>
  <c r="N1795" i="33"/>
  <c r="M1795" i="33"/>
  <c r="DE1794" i="33"/>
  <c r="CX1794" i="33"/>
  <c r="CC1794" i="33"/>
  <c r="BV1794" i="33"/>
  <c r="BO1794" i="33"/>
  <c r="BH1794" i="33"/>
  <c r="BA1794" i="33"/>
  <c r="AT1794" i="33"/>
  <c r="AM1794" i="33"/>
  <c r="AF1794" i="33"/>
  <c r="Y1794" i="33"/>
  <c r="R1794" i="33"/>
  <c r="DE1793" i="33"/>
  <c r="CX1793" i="33"/>
  <c r="CC1793" i="33"/>
  <c r="BV1793" i="33"/>
  <c r="BO1793" i="33"/>
  <c r="BH1793" i="33"/>
  <c r="BA1793" i="33"/>
  <c r="BA1795" i="33" s="1"/>
  <c r="AT1793" i="33"/>
  <c r="AM1793" i="33"/>
  <c r="AF1793" i="33"/>
  <c r="Y1793" i="33"/>
  <c r="R1793" i="33"/>
  <c r="DE1792" i="33"/>
  <c r="CX1792" i="33"/>
  <c r="CC1792" i="33"/>
  <c r="BV1792" i="33"/>
  <c r="BO1792" i="33"/>
  <c r="BH1792" i="33"/>
  <c r="BA1792" i="33"/>
  <c r="AT1792" i="33"/>
  <c r="AM1792" i="33"/>
  <c r="AF1792" i="33"/>
  <c r="Y1792" i="33"/>
  <c r="R1792" i="33"/>
  <c r="DE1791" i="33"/>
  <c r="DE1795" i="33" s="1"/>
  <c r="CX1791" i="33"/>
  <c r="V61" i="40"/>
  <c r="CC1791" i="33"/>
  <c r="BV1791" i="33"/>
  <c r="BV1795" i="33" s="1"/>
  <c r="BO1791" i="33"/>
  <c r="BO1795" i="33" s="1"/>
  <c r="BH1791" i="33"/>
  <c r="BH1795" i="33" s="1"/>
  <c r="BA1791" i="33"/>
  <c r="AT1791" i="33"/>
  <c r="AT1795" i="33" s="1"/>
  <c r="AM1791" i="33"/>
  <c r="AM1795" i="33" s="1"/>
  <c r="AF1791" i="33"/>
  <c r="AF1795" i="33" s="1"/>
  <c r="Y1791" i="33"/>
  <c r="R1791" i="33"/>
  <c r="R1795" i="33" s="1"/>
  <c r="DD1789" i="33"/>
  <c r="DC1789" i="33"/>
  <c r="DB1789" i="33"/>
  <c r="DA1789" i="33"/>
  <c r="CZ1789" i="33"/>
  <c r="CW1789" i="33"/>
  <c r="CV1789" i="33"/>
  <c r="CU1789" i="33"/>
  <c r="CT1789" i="33"/>
  <c r="CS1789" i="33"/>
  <c r="CP1789" i="33"/>
  <c r="CO1789" i="33"/>
  <c r="CN1789" i="33"/>
  <c r="CM1789" i="33"/>
  <c r="CL1789" i="33"/>
  <c r="CB1789" i="33"/>
  <c r="CA1789" i="33"/>
  <c r="BZ1789" i="33"/>
  <c r="BY1789" i="33"/>
  <c r="BX1789" i="33"/>
  <c r="BU1789" i="33"/>
  <c r="BT1789" i="33"/>
  <c r="BS1789" i="33"/>
  <c r="BR1789" i="33"/>
  <c r="BQ1789" i="33"/>
  <c r="BN1789" i="33"/>
  <c r="BM1789" i="33"/>
  <c r="BL1789" i="33"/>
  <c r="BK1789" i="33"/>
  <c r="BJ1789" i="33"/>
  <c r="BH1789" i="33"/>
  <c r="BG1789" i="33"/>
  <c r="BF1789" i="33"/>
  <c r="BE1789" i="33"/>
  <c r="BD1789" i="33"/>
  <c r="BC1789" i="33"/>
  <c r="AZ1789" i="33"/>
  <c r="AY1789" i="33"/>
  <c r="AX1789" i="33"/>
  <c r="AW1789" i="33"/>
  <c r="AV1789" i="33"/>
  <c r="AS1789" i="33"/>
  <c r="AR1789" i="33"/>
  <c r="AQ1789" i="33"/>
  <c r="AP1789" i="33"/>
  <c r="AO1789" i="33"/>
  <c r="AL1789" i="33"/>
  <c r="AK1789" i="33"/>
  <c r="AJ1789" i="33"/>
  <c r="AI1789" i="33"/>
  <c r="AH1789" i="33"/>
  <c r="AE1789" i="33"/>
  <c r="AD1789" i="33"/>
  <c r="AC1789" i="33"/>
  <c r="AB1789" i="33"/>
  <c r="AA1789" i="33"/>
  <c r="X1789" i="33"/>
  <c r="W1789" i="33"/>
  <c r="V1789" i="33"/>
  <c r="U1789" i="33"/>
  <c r="T1789" i="33"/>
  <c r="Q1789" i="33"/>
  <c r="P1789" i="33"/>
  <c r="O1789" i="33"/>
  <c r="N1789" i="33"/>
  <c r="M1789" i="33"/>
  <c r="DE1788" i="33"/>
  <c r="CX1788" i="33"/>
  <c r="CC1788" i="33"/>
  <c r="BV1788" i="33"/>
  <c r="BO1788" i="33"/>
  <c r="BH1788" i="33"/>
  <c r="BA1788" i="33"/>
  <c r="AT1788" i="33"/>
  <c r="AM1788" i="33"/>
  <c r="AF1788" i="33"/>
  <c r="Y1788" i="33"/>
  <c r="R1788" i="33"/>
  <c r="DE1787" i="33"/>
  <c r="CX1787" i="33"/>
  <c r="CC1787" i="33"/>
  <c r="BV1787" i="33"/>
  <c r="BO1787" i="33"/>
  <c r="BH1787" i="33"/>
  <c r="BA1787" i="33"/>
  <c r="AT1787" i="33"/>
  <c r="AM1787" i="33"/>
  <c r="AF1787" i="33"/>
  <c r="AF1789" i="33" s="1"/>
  <c r="Y1787" i="33"/>
  <c r="Y1789" i="33" s="1"/>
  <c r="R1787" i="33"/>
  <c r="DE1786" i="33"/>
  <c r="CX1786" i="33"/>
  <c r="CC1786" i="33"/>
  <c r="BV1786" i="33"/>
  <c r="BO1786" i="33"/>
  <c r="BH1786" i="33"/>
  <c r="BA1786" i="33"/>
  <c r="AT1786" i="33"/>
  <c r="AM1786" i="33"/>
  <c r="U61" i="40" s="1"/>
  <c r="AF1786" i="33"/>
  <c r="Y1786" i="33"/>
  <c r="R1786" i="33"/>
  <c r="DE1785" i="33"/>
  <c r="DE1789" i="33" s="1"/>
  <c r="CX1785" i="33"/>
  <c r="CX1789" i="33" s="1"/>
  <c r="CC1785" i="33"/>
  <c r="CC1789" i="33" s="1"/>
  <c r="BV1785" i="33"/>
  <c r="BV1789" i="33" s="1"/>
  <c r="BO1785" i="33"/>
  <c r="BO1789" i="33" s="1"/>
  <c r="BH1785" i="33"/>
  <c r="BA1785" i="33"/>
  <c r="BA1789" i="33" s="1"/>
  <c r="AT1785" i="33"/>
  <c r="AT1789" i="33" s="1"/>
  <c r="AM1785" i="33"/>
  <c r="AM1789" i="33" s="1"/>
  <c r="AF1785" i="33"/>
  <c r="Y1785" i="33"/>
  <c r="R1785" i="33"/>
  <c r="R1789" i="33" s="1"/>
  <c r="DD1783" i="33"/>
  <c r="DC1783" i="33"/>
  <c r="DB1783" i="33"/>
  <c r="DA1783" i="33"/>
  <c r="CZ1783" i="33"/>
  <c r="CW1783" i="33"/>
  <c r="CV1783" i="33"/>
  <c r="CU1783" i="33"/>
  <c r="CT1783" i="33"/>
  <c r="CS1783" i="33"/>
  <c r="CP1783" i="33"/>
  <c r="CO1783" i="33"/>
  <c r="CN1783" i="33"/>
  <c r="CM1783" i="33"/>
  <c r="CL1783" i="33"/>
  <c r="CB1783" i="33"/>
  <c r="CA1783" i="33"/>
  <c r="BZ1783" i="33"/>
  <c r="BY1783" i="33"/>
  <c r="BX1783" i="33"/>
  <c r="BU1783" i="33"/>
  <c r="BT1783" i="33"/>
  <c r="BS1783" i="33"/>
  <c r="BR1783" i="33"/>
  <c r="BQ1783" i="33"/>
  <c r="BN1783" i="33"/>
  <c r="BM1783" i="33"/>
  <c r="BL1783" i="33"/>
  <c r="BK1783" i="33"/>
  <c r="BJ1783" i="33"/>
  <c r="BG1783" i="33"/>
  <c r="BF1783" i="33"/>
  <c r="BE1783" i="33"/>
  <c r="BD1783" i="33"/>
  <c r="BC1783" i="33"/>
  <c r="AZ1783" i="33"/>
  <c r="AY1783" i="33"/>
  <c r="AX1783" i="33"/>
  <c r="AW1783" i="33"/>
  <c r="AV1783" i="33"/>
  <c r="AT1783" i="33"/>
  <c r="AS1783" i="33"/>
  <c r="AR1783" i="33"/>
  <c r="AQ1783" i="33"/>
  <c r="AP1783" i="33"/>
  <c r="AO1783" i="33"/>
  <c r="AL1783" i="33"/>
  <c r="AK1783" i="33"/>
  <c r="AJ1783" i="33"/>
  <c r="AI1783" i="33"/>
  <c r="AH1783" i="33"/>
  <c r="AE1783" i="33"/>
  <c r="AD1783" i="33"/>
  <c r="AC1783" i="33"/>
  <c r="AB1783" i="33"/>
  <c r="AA1783" i="33"/>
  <c r="X1783" i="33"/>
  <c r="W1783" i="33"/>
  <c r="V1783" i="33"/>
  <c r="U1783" i="33"/>
  <c r="T1783" i="33"/>
  <c r="Q1783" i="33"/>
  <c r="P1783" i="33"/>
  <c r="O1783" i="33"/>
  <c r="N1783" i="33"/>
  <c r="M1783" i="33"/>
  <c r="DE1782" i="33"/>
  <c r="CX1782" i="33"/>
  <c r="CC1782" i="33"/>
  <c r="BV1782" i="33"/>
  <c r="BO1782" i="33"/>
  <c r="BH1782" i="33"/>
  <c r="BA1782" i="33"/>
  <c r="AT1782" i="33"/>
  <c r="AM1782" i="33"/>
  <c r="AF1782" i="33"/>
  <c r="Y1782" i="33"/>
  <c r="R1782" i="33"/>
  <c r="DE1781" i="33"/>
  <c r="CX1781" i="33"/>
  <c r="CC1781" i="33"/>
  <c r="BV1781" i="33"/>
  <c r="BO1781" i="33"/>
  <c r="BH1781" i="33"/>
  <c r="BA1781" i="33"/>
  <c r="AT1781" i="33"/>
  <c r="AM1781" i="33"/>
  <c r="AF1781" i="33"/>
  <c r="Y1781" i="33"/>
  <c r="R1781" i="33"/>
  <c r="DE1780" i="33"/>
  <c r="CX1780" i="33"/>
  <c r="T61" i="40"/>
  <c r="CC1780" i="33"/>
  <c r="BV1780" i="33"/>
  <c r="BV1783" i="33" s="1"/>
  <c r="BO1780" i="33"/>
  <c r="BH1780" i="33"/>
  <c r="BA1780" i="33"/>
  <c r="AT1780" i="33"/>
  <c r="AM1780" i="33"/>
  <c r="AF1780" i="33"/>
  <c r="Y1780" i="33"/>
  <c r="R1780" i="33"/>
  <c r="R1783" i="33" s="1"/>
  <c r="DE1779" i="33"/>
  <c r="DE1783" i="33" s="1"/>
  <c r="CX1779" i="33"/>
  <c r="CX1783" i="33" s="1"/>
  <c r="CC1779" i="33"/>
  <c r="CC1783" i="33" s="1"/>
  <c r="BV1779" i="33"/>
  <c r="BO1779" i="33"/>
  <c r="BO1783" i="33" s="1"/>
  <c r="BH1779" i="33"/>
  <c r="BH1783" i="33" s="1"/>
  <c r="BA1779" i="33"/>
  <c r="BA1783" i="33" s="1"/>
  <c r="AT1779" i="33"/>
  <c r="AM1779" i="33"/>
  <c r="AM1783" i="33" s="1"/>
  <c r="AF1779" i="33"/>
  <c r="AF1783" i="33" s="1"/>
  <c r="Y1779" i="33"/>
  <c r="J61" i="40" s="1"/>
  <c r="R1779" i="33"/>
  <c r="DE1777" i="33"/>
  <c r="DD1777" i="33"/>
  <c r="DC1777" i="33"/>
  <c r="DB1777" i="33"/>
  <c r="DA1777" i="33"/>
  <c r="CZ1777" i="33"/>
  <c r="CW1777" i="33"/>
  <c r="CV1777" i="33"/>
  <c r="CU1777" i="33"/>
  <c r="CT1777" i="33"/>
  <c r="CS1777" i="33"/>
  <c r="CP1777" i="33"/>
  <c r="CO1777" i="33"/>
  <c r="CN1777" i="33"/>
  <c r="CM1777" i="33"/>
  <c r="CL1777" i="33"/>
  <c r="CC1777" i="33"/>
  <c r="CB1777" i="33"/>
  <c r="CA1777" i="33"/>
  <c r="BZ1777" i="33"/>
  <c r="BY1777" i="33"/>
  <c r="BX1777" i="33"/>
  <c r="BU1777" i="33"/>
  <c r="BT1777" i="33"/>
  <c r="BS1777" i="33"/>
  <c r="BR1777" i="33"/>
  <c r="BQ1777" i="33"/>
  <c r="BN1777" i="33"/>
  <c r="BM1777" i="33"/>
  <c r="BL1777" i="33"/>
  <c r="BK1777" i="33"/>
  <c r="BJ1777" i="33"/>
  <c r="BG1777" i="33"/>
  <c r="BF1777" i="33"/>
  <c r="BE1777" i="33"/>
  <c r="BD1777" i="33"/>
  <c r="BC1777" i="33"/>
  <c r="AZ1777" i="33"/>
  <c r="AY1777" i="33"/>
  <c r="AX1777" i="33"/>
  <c r="AW1777" i="33"/>
  <c r="AV1777" i="33"/>
  <c r="AS1777" i="33"/>
  <c r="AR1777" i="33"/>
  <c r="AQ1777" i="33"/>
  <c r="AP1777" i="33"/>
  <c r="AO1777" i="33"/>
  <c r="AL1777" i="33"/>
  <c r="AK1777" i="33"/>
  <c r="AJ1777" i="33"/>
  <c r="AI1777" i="33"/>
  <c r="AH1777" i="33"/>
  <c r="AE1777" i="33"/>
  <c r="AD1777" i="33"/>
  <c r="AC1777" i="33"/>
  <c r="AB1777" i="33"/>
  <c r="AA1777" i="33"/>
  <c r="Y1777" i="33"/>
  <c r="X1777" i="33"/>
  <c r="W1777" i="33"/>
  <c r="V1777" i="33"/>
  <c r="U1777" i="33"/>
  <c r="T1777" i="33"/>
  <c r="Q1777" i="33"/>
  <c r="P1777" i="33"/>
  <c r="O1777" i="33"/>
  <c r="N1777" i="33"/>
  <c r="M1777" i="33"/>
  <c r="DE1776" i="33"/>
  <c r="CX1776" i="33"/>
  <c r="CC1776" i="33"/>
  <c r="BV1776" i="33"/>
  <c r="BO1776" i="33"/>
  <c r="BH1776" i="33"/>
  <c r="BA1776" i="33"/>
  <c r="AT1776" i="33"/>
  <c r="AM1776" i="33"/>
  <c r="AF1776" i="33"/>
  <c r="AF1777" i="33" s="1"/>
  <c r="Y1776" i="33"/>
  <c r="R1776" i="33"/>
  <c r="H1776" i="33"/>
  <c r="CG1776" i="33" s="1"/>
  <c r="H1782" i="33" s="1"/>
  <c r="CG1782" i="33" s="1"/>
  <c r="H1788" i="33" s="1"/>
  <c r="CG1788" i="33" s="1"/>
  <c r="H1794" i="33" s="1"/>
  <c r="CG1794" i="33" s="1"/>
  <c r="G1776" i="33"/>
  <c r="CF1776" i="33" s="1"/>
  <c r="G1782" i="33" s="1"/>
  <c r="CF1782" i="33" s="1"/>
  <c r="G1788" i="33" s="1"/>
  <c r="CF1788" i="33" s="1"/>
  <c r="G1794" i="33" s="1"/>
  <c r="CF1794" i="33" s="1"/>
  <c r="F1776" i="33"/>
  <c r="CE1776" i="33" s="1"/>
  <c r="DE1775" i="33"/>
  <c r="CX1775" i="33"/>
  <c r="CC1775" i="33"/>
  <c r="BV1775" i="33"/>
  <c r="BO1775" i="33"/>
  <c r="BH1775" i="33"/>
  <c r="BA1775" i="33"/>
  <c r="AT1775" i="33"/>
  <c r="AM1775" i="33"/>
  <c r="AF1775" i="33"/>
  <c r="Y1775" i="33"/>
  <c r="R1775" i="33"/>
  <c r="DE1774" i="33"/>
  <c r="CX1774" i="33"/>
  <c r="CC1774" i="33"/>
  <c r="BV1774" i="33"/>
  <c r="BV1777" i="33" s="1"/>
  <c r="BO1774" i="33"/>
  <c r="BH1774" i="33"/>
  <c r="BA1774" i="33"/>
  <c r="BA1777" i="33" s="1"/>
  <c r="AT1774" i="33"/>
  <c r="AT1777" i="33" s="1"/>
  <c r="AM1774" i="33"/>
  <c r="AF1774" i="33"/>
  <c r="Y1774" i="33"/>
  <c r="R1774" i="33"/>
  <c r="R1777" i="33" s="1"/>
  <c r="J1774" i="33"/>
  <c r="CI1774" i="33" s="1"/>
  <c r="J1780" i="33" s="1"/>
  <c r="CI1780" i="33" s="1"/>
  <c r="J1786" i="33" s="1"/>
  <c r="CI1786" i="33" s="1"/>
  <c r="J1792" i="33" s="1"/>
  <c r="CI1792" i="33" s="1"/>
  <c r="I1774" i="33"/>
  <c r="CH1774" i="33" s="1"/>
  <c r="I1780" i="33" s="1"/>
  <c r="CH1780" i="33" s="1"/>
  <c r="I1786" i="33" s="1"/>
  <c r="CH1786" i="33" s="1"/>
  <c r="I1792" i="33" s="1"/>
  <c r="CH1792" i="33" s="1"/>
  <c r="H1774" i="33"/>
  <c r="CG1774" i="33" s="1"/>
  <c r="H1780" i="33" s="1"/>
  <c r="CG1780" i="33" s="1"/>
  <c r="H1786" i="33" s="1"/>
  <c r="CG1786" i="33" s="1"/>
  <c r="H1792" i="33" s="1"/>
  <c r="CG1792" i="33" s="1"/>
  <c r="DE1773" i="33"/>
  <c r="CX1773" i="33"/>
  <c r="CX1777" i="33" s="1"/>
  <c r="CC1773" i="33"/>
  <c r="BV1773" i="33"/>
  <c r="BO1773" i="33"/>
  <c r="BO1777" i="33" s="1"/>
  <c r="BH1773" i="33"/>
  <c r="BH1777" i="33" s="1"/>
  <c r="BA1773" i="33"/>
  <c r="AT1773" i="33"/>
  <c r="AM1773" i="33"/>
  <c r="AM1777" i="33" s="1"/>
  <c r="AF1773" i="33"/>
  <c r="Y1773" i="33"/>
  <c r="R1773" i="33"/>
  <c r="J1773" i="33"/>
  <c r="DE1771" i="33"/>
  <c r="DD1771" i="33"/>
  <c r="DC1771" i="33"/>
  <c r="DB1771" i="33"/>
  <c r="DA1771" i="33"/>
  <c r="CZ1771" i="33"/>
  <c r="CW1771" i="33"/>
  <c r="CV1771" i="33"/>
  <c r="CU1771" i="33"/>
  <c r="CT1771" i="33"/>
  <c r="CS1771" i="33"/>
  <c r="CP1771" i="33"/>
  <c r="CO1771" i="33"/>
  <c r="CN1771" i="33"/>
  <c r="CM1771" i="33"/>
  <c r="CL1771" i="33"/>
  <c r="CI1771" i="33"/>
  <c r="CH1771" i="33"/>
  <c r="CB1771" i="33"/>
  <c r="CA1771" i="33"/>
  <c r="BZ1771" i="33"/>
  <c r="BY1771" i="33"/>
  <c r="BX1771" i="33"/>
  <c r="BU1771" i="33"/>
  <c r="BT1771" i="33"/>
  <c r="BS1771" i="33"/>
  <c r="BR1771" i="33"/>
  <c r="BQ1771" i="33"/>
  <c r="BO1771" i="33"/>
  <c r="BN1771" i="33"/>
  <c r="BM1771" i="33"/>
  <c r="BL1771" i="33"/>
  <c r="BK1771" i="33"/>
  <c r="BJ1771" i="33"/>
  <c r="BG1771" i="33"/>
  <c r="BF1771" i="33"/>
  <c r="BE1771" i="33"/>
  <c r="BD1771" i="33"/>
  <c r="BC1771" i="33"/>
  <c r="AZ1771" i="33"/>
  <c r="AY1771" i="33"/>
  <c r="AX1771" i="33"/>
  <c r="AW1771" i="33"/>
  <c r="AV1771" i="33"/>
  <c r="AS1771" i="33"/>
  <c r="AR1771" i="33"/>
  <c r="AQ1771" i="33"/>
  <c r="AP1771" i="33"/>
  <c r="AO1771" i="33"/>
  <c r="AM1771" i="33"/>
  <c r="AL1771" i="33"/>
  <c r="AK1771" i="33"/>
  <c r="AJ1771" i="33"/>
  <c r="AI1771" i="33"/>
  <c r="AH1771" i="33"/>
  <c r="AE1771" i="33"/>
  <c r="AD1771" i="33"/>
  <c r="AC1771" i="33"/>
  <c r="AB1771" i="33"/>
  <c r="AA1771" i="33"/>
  <c r="X1771" i="33"/>
  <c r="W1771" i="33"/>
  <c r="V1771" i="33"/>
  <c r="U1771" i="33"/>
  <c r="T1771" i="33"/>
  <c r="Q1771" i="33"/>
  <c r="P1771" i="33"/>
  <c r="O1771" i="33"/>
  <c r="N1771" i="33"/>
  <c r="M1771" i="33"/>
  <c r="K1771" i="33"/>
  <c r="J1771" i="33"/>
  <c r="I1771" i="33"/>
  <c r="H1771" i="33"/>
  <c r="G1771" i="33"/>
  <c r="F1771" i="33"/>
  <c r="DE1770" i="33"/>
  <c r="CX1770" i="33"/>
  <c r="CI1770" i="33"/>
  <c r="J1776" i="33" s="1"/>
  <c r="CI1776" i="33" s="1"/>
  <c r="J1782" i="33" s="1"/>
  <c r="CI1782" i="33" s="1"/>
  <c r="J1788" i="33" s="1"/>
  <c r="CI1788" i="33" s="1"/>
  <c r="J1794" i="33" s="1"/>
  <c r="CI1794" i="33" s="1"/>
  <c r="CH1770" i="33"/>
  <c r="I1776" i="33" s="1"/>
  <c r="CH1776" i="33" s="1"/>
  <c r="I1782" i="33" s="1"/>
  <c r="CH1782" i="33" s="1"/>
  <c r="I1788" i="33" s="1"/>
  <c r="CH1788" i="33" s="1"/>
  <c r="I1794" i="33" s="1"/>
  <c r="CH1794" i="33" s="1"/>
  <c r="CG1770" i="33"/>
  <c r="CF1770" i="33"/>
  <c r="CJ1770" i="33" s="1"/>
  <c r="CE1770" i="33"/>
  <c r="CC1770" i="33"/>
  <c r="BV1770" i="33"/>
  <c r="BO1770" i="33"/>
  <c r="BH1770" i="33"/>
  <c r="BA1770" i="33"/>
  <c r="AT1770" i="33"/>
  <c r="AM1770" i="33"/>
  <c r="AF1770" i="33"/>
  <c r="Y1770" i="33"/>
  <c r="R1770" i="33"/>
  <c r="K1770" i="33"/>
  <c r="DE1769" i="33"/>
  <c r="CX1769" i="33"/>
  <c r="CI1769" i="33"/>
  <c r="J1775" i="33" s="1"/>
  <c r="CI1775" i="33" s="1"/>
  <c r="J1781" i="33" s="1"/>
  <c r="CI1781" i="33" s="1"/>
  <c r="J1787" i="33" s="1"/>
  <c r="CI1787" i="33" s="1"/>
  <c r="J1793" i="33" s="1"/>
  <c r="CI1793" i="33" s="1"/>
  <c r="CH1769" i="33"/>
  <c r="I1775" i="33" s="1"/>
  <c r="CH1775" i="33" s="1"/>
  <c r="I1781" i="33" s="1"/>
  <c r="CH1781" i="33" s="1"/>
  <c r="I1787" i="33" s="1"/>
  <c r="CH1787" i="33" s="1"/>
  <c r="I1793" i="33" s="1"/>
  <c r="CH1793" i="33" s="1"/>
  <c r="CG1769" i="33"/>
  <c r="H1775" i="33" s="1"/>
  <c r="CG1775" i="33" s="1"/>
  <c r="H1781" i="33" s="1"/>
  <c r="CG1781" i="33" s="1"/>
  <c r="H1787" i="33" s="1"/>
  <c r="CG1787" i="33" s="1"/>
  <c r="H1793" i="33" s="1"/>
  <c r="CG1793" i="33" s="1"/>
  <c r="CF1769" i="33"/>
  <c r="G1775" i="33" s="1"/>
  <c r="CF1775" i="33" s="1"/>
  <c r="G1781" i="33" s="1"/>
  <c r="CF1781" i="33" s="1"/>
  <c r="G1787" i="33" s="1"/>
  <c r="CF1787" i="33" s="1"/>
  <c r="G1793" i="33" s="1"/>
  <c r="CF1793" i="33" s="1"/>
  <c r="CE1769" i="33"/>
  <c r="F1775" i="33" s="1"/>
  <c r="CC1769" i="33"/>
  <c r="BV1769" i="33"/>
  <c r="BO1769" i="33"/>
  <c r="BH1769" i="33"/>
  <c r="BA1769" i="33"/>
  <c r="AT1769" i="33"/>
  <c r="AM1769" i="33"/>
  <c r="AF1769" i="33"/>
  <c r="Y1769" i="33"/>
  <c r="R1769" i="33"/>
  <c r="K1769" i="33"/>
  <c r="DE1768" i="33"/>
  <c r="CX1768" i="33"/>
  <c r="R61" i="40"/>
  <c r="CI1768" i="33"/>
  <c r="CH1768" i="33"/>
  <c r="CG1768" i="33"/>
  <c r="CF1768" i="33"/>
  <c r="CJ1768" i="33" s="1"/>
  <c r="CE1768" i="33"/>
  <c r="F1774" i="33" s="1"/>
  <c r="CC1768" i="33"/>
  <c r="BV1768" i="33"/>
  <c r="BO1768" i="33"/>
  <c r="BH1768" i="33"/>
  <c r="BA1768" i="33"/>
  <c r="AT1768" i="33"/>
  <c r="AM1768" i="33"/>
  <c r="AF1768" i="33"/>
  <c r="Y1768" i="33"/>
  <c r="R1768" i="33"/>
  <c r="K1768" i="33"/>
  <c r="DE1767" i="33"/>
  <c r="CX1767" i="33"/>
  <c r="CX1771" i="33" s="1"/>
  <c r="CI1767" i="33"/>
  <c r="CH1767" i="33"/>
  <c r="I1773" i="33" s="1"/>
  <c r="CG1767" i="33"/>
  <c r="CG1771" i="33" s="1"/>
  <c r="CF1767" i="33"/>
  <c r="CF1771" i="33" s="1"/>
  <c r="CE1767" i="33"/>
  <c r="CE1771" i="33" s="1"/>
  <c r="CC1767" i="33"/>
  <c r="CC1771" i="33" s="1"/>
  <c r="BV1767" i="33"/>
  <c r="BV1771" i="33" s="1"/>
  <c r="BO1767" i="33"/>
  <c r="BH1767" i="33"/>
  <c r="BH1771" i="33" s="1"/>
  <c r="BA1767" i="33"/>
  <c r="BA1771" i="33" s="1"/>
  <c r="AT1767" i="33"/>
  <c r="AT1771" i="33" s="1"/>
  <c r="AM1767" i="33"/>
  <c r="AF1767" i="33"/>
  <c r="AF1771" i="33" s="1"/>
  <c r="Y1767" i="33"/>
  <c r="Y1771" i="33" s="1"/>
  <c r="R1767" i="33"/>
  <c r="R1771" i="33" s="1"/>
  <c r="K1767" i="33"/>
  <c r="DD1763" i="33"/>
  <c r="DC1763" i="33"/>
  <c r="DB1763" i="33"/>
  <c r="DA1763" i="33"/>
  <c r="CZ1763" i="33"/>
  <c r="CX1763" i="33"/>
  <c r="CW1763" i="33"/>
  <c r="CV1763" i="33"/>
  <c r="CU1763" i="33"/>
  <c r="CT1763" i="33"/>
  <c r="CS1763" i="33"/>
  <c r="CP1763" i="33"/>
  <c r="CO1763" i="33"/>
  <c r="CN1763" i="33"/>
  <c r="CM1763" i="33"/>
  <c r="CL1763" i="33"/>
  <c r="CC1763" i="33"/>
  <c r="CB1763" i="33"/>
  <c r="CA1763" i="33"/>
  <c r="BZ1763" i="33"/>
  <c r="BY1763" i="33"/>
  <c r="BX1763" i="33"/>
  <c r="BU1763" i="33"/>
  <c r="BT1763" i="33"/>
  <c r="BS1763" i="33"/>
  <c r="BR1763" i="33"/>
  <c r="BQ1763" i="33"/>
  <c r="BN1763" i="33"/>
  <c r="BM1763" i="33"/>
  <c r="BL1763" i="33"/>
  <c r="BK1763" i="33"/>
  <c r="BJ1763" i="33"/>
  <c r="BG1763" i="33"/>
  <c r="BF1763" i="33"/>
  <c r="BE1763" i="33"/>
  <c r="BD1763" i="33"/>
  <c r="BC1763" i="33"/>
  <c r="AZ1763" i="33"/>
  <c r="AY1763" i="33"/>
  <c r="AX1763" i="33"/>
  <c r="AW1763" i="33"/>
  <c r="AV1763" i="33"/>
  <c r="AS1763" i="33"/>
  <c r="AR1763" i="33"/>
  <c r="AQ1763" i="33"/>
  <c r="AP1763" i="33"/>
  <c r="AO1763" i="33"/>
  <c r="AL1763" i="33"/>
  <c r="AK1763" i="33"/>
  <c r="AJ1763" i="33"/>
  <c r="AI1763" i="33"/>
  <c r="AH1763" i="33"/>
  <c r="AE1763" i="33"/>
  <c r="AD1763" i="33"/>
  <c r="AC1763" i="33"/>
  <c r="AB1763" i="33"/>
  <c r="AA1763" i="33"/>
  <c r="Y1763" i="33"/>
  <c r="X1763" i="33"/>
  <c r="W1763" i="33"/>
  <c r="V1763" i="33"/>
  <c r="U1763" i="33"/>
  <c r="T1763" i="33"/>
  <c r="Q1763" i="33"/>
  <c r="P1763" i="33"/>
  <c r="O1763" i="33"/>
  <c r="N1763" i="33"/>
  <c r="M1763" i="33"/>
  <c r="DE1762" i="33"/>
  <c r="CX1762" i="33"/>
  <c r="CC1762" i="33"/>
  <c r="BV1762" i="33"/>
  <c r="BO1762" i="33"/>
  <c r="BH1762" i="33"/>
  <c r="BA1762" i="33"/>
  <c r="AT1762" i="33"/>
  <c r="AT1763" i="33" s="1"/>
  <c r="AM1762" i="33"/>
  <c r="AF1762" i="33"/>
  <c r="Y1762" i="33"/>
  <c r="R1762" i="33"/>
  <c r="DE1761" i="33"/>
  <c r="CX1761" i="33"/>
  <c r="CC1761" i="33"/>
  <c r="BV1761" i="33"/>
  <c r="BO1761" i="33"/>
  <c r="BH1761" i="33"/>
  <c r="BA1761" i="33"/>
  <c r="BA1763" i="33" s="1"/>
  <c r="AT1761" i="33"/>
  <c r="AM1761" i="33"/>
  <c r="AF1761" i="33"/>
  <c r="Y1761" i="33"/>
  <c r="R1761" i="33"/>
  <c r="DE1760" i="33"/>
  <c r="CX1760" i="33"/>
  <c r="CC1760" i="33"/>
  <c r="BV1760" i="33"/>
  <c r="BO1760" i="33"/>
  <c r="BH1760" i="33"/>
  <c r="BA1760" i="33"/>
  <c r="AT1760" i="33"/>
  <c r="AM1760" i="33"/>
  <c r="AF1760" i="33"/>
  <c r="Y1760" i="33"/>
  <c r="R1760" i="33"/>
  <c r="DE1759" i="33"/>
  <c r="DE1763" i="33" s="1"/>
  <c r="CX1759" i="33"/>
  <c r="CC1759" i="33"/>
  <c r="BV1759" i="33"/>
  <c r="BV1763" i="33" s="1"/>
  <c r="BO1759" i="33"/>
  <c r="BO1763" i="33" s="1"/>
  <c r="BH1759" i="33"/>
  <c r="BH1763" i="33" s="1"/>
  <c r="BA1759" i="33"/>
  <c r="AT1759" i="33"/>
  <c r="AM1759" i="33"/>
  <c r="AM1763" i="33" s="1"/>
  <c r="AF1759" i="33"/>
  <c r="AF1763" i="33" s="1"/>
  <c r="Y1759" i="33"/>
  <c r="R1759" i="33"/>
  <c r="R1763" i="33" s="1"/>
  <c r="DD1757" i="33"/>
  <c r="DC1757" i="33"/>
  <c r="DB1757" i="33"/>
  <c r="DA1757" i="33"/>
  <c r="CZ1757" i="33"/>
  <c r="CW1757" i="33"/>
  <c r="CV1757" i="33"/>
  <c r="CU1757" i="33"/>
  <c r="CT1757" i="33"/>
  <c r="CS1757" i="33"/>
  <c r="CP1757" i="33"/>
  <c r="CO1757" i="33"/>
  <c r="CN1757" i="33"/>
  <c r="CM1757" i="33"/>
  <c r="CL1757" i="33"/>
  <c r="CB1757" i="33"/>
  <c r="CA1757" i="33"/>
  <c r="BZ1757" i="33"/>
  <c r="BY1757" i="33"/>
  <c r="BX1757" i="33"/>
  <c r="BU1757" i="33"/>
  <c r="BT1757" i="33"/>
  <c r="BS1757" i="33"/>
  <c r="BR1757" i="33"/>
  <c r="BQ1757" i="33"/>
  <c r="BO1757" i="33"/>
  <c r="BN1757" i="33"/>
  <c r="BM1757" i="33"/>
  <c r="BL1757" i="33"/>
  <c r="BK1757" i="33"/>
  <c r="BJ1757" i="33"/>
  <c r="BH1757" i="33"/>
  <c r="BG1757" i="33"/>
  <c r="BF1757" i="33"/>
  <c r="BE1757" i="33"/>
  <c r="BD1757" i="33"/>
  <c r="BC1757" i="33"/>
  <c r="AZ1757" i="33"/>
  <c r="AY1757" i="33"/>
  <c r="AX1757" i="33"/>
  <c r="AW1757" i="33"/>
  <c r="AV1757" i="33"/>
  <c r="AS1757" i="33"/>
  <c r="AR1757" i="33"/>
  <c r="AQ1757" i="33"/>
  <c r="AP1757" i="33"/>
  <c r="AO1757" i="33"/>
  <c r="AL1757" i="33"/>
  <c r="AK1757" i="33"/>
  <c r="AJ1757" i="33"/>
  <c r="AI1757" i="33"/>
  <c r="AH1757" i="33"/>
  <c r="AE1757" i="33"/>
  <c r="AD1757" i="33"/>
  <c r="AC1757" i="33"/>
  <c r="AB1757" i="33"/>
  <c r="AA1757" i="33"/>
  <c r="X1757" i="33"/>
  <c r="W1757" i="33"/>
  <c r="V1757" i="33"/>
  <c r="U1757" i="33"/>
  <c r="T1757" i="33"/>
  <c r="Q1757" i="33"/>
  <c r="P1757" i="33"/>
  <c r="O1757" i="33"/>
  <c r="N1757" i="33"/>
  <c r="M1757" i="33"/>
  <c r="DE1756" i="33"/>
  <c r="CX1756" i="33"/>
  <c r="CC1756" i="33"/>
  <c r="BV1756" i="33"/>
  <c r="BO1756" i="33"/>
  <c r="BH1756" i="33"/>
  <c r="BA1756" i="33"/>
  <c r="AT1756" i="33"/>
  <c r="AM1756" i="33"/>
  <c r="AF1756" i="33"/>
  <c r="Y1756" i="33"/>
  <c r="R1756" i="33"/>
  <c r="DE1755" i="33"/>
  <c r="CX1755" i="33"/>
  <c r="CC1755" i="33"/>
  <c r="BV1755" i="33"/>
  <c r="BO1755" i="33"/>
  <c r="BH1755" i="33"/>
  <c r="BA1755" i="33"/>
  <c r="AT1755" i="33"/>
  <c r="AM1755" i="33"/>
  <c r="AF1755" i="33"/>
  <c r="AF1757" i="33" s="1"/>
  <c r="Y1755" i="33"/>
  <c r="R1755" i="33"/>
  <c r="DE1754" i="33"/>
  <c r="DE1757" i="33" s="1"/>
  <c r="CX1754" i="33"/>
  <c r="CC1754" i="33"/>
  <c r="BV1754" i="33"/>
  <c r="BO1754" i="33"/>
  <c r="BH1754" i="33"/>
  <c r="BA1754" i="33"/>
  <c r="AT1754" i="33"/>
  <c r="AM1754" i="33"/>
  <c r="U60" i="40" s="1"/>
  <c r="AF1754" i="33"/>
  <c r="Y1754" i="33"/>
  <c r="R1754" i="33"/>
  <c r="DE1753" i="33"/>
  <c r="CX1753" i="33"/>
  <c r="CX1757" i="33" s="1"/>
  <c r="CC1753" i="33"/>
  <c r="CC1757" i="33" s="1"/>
  <c r="BV1753" i="33"/>
  <c r="BV1757" i="33" s="1"/>
  <c r="BO1753" i="33"/>
  <c r="BH1753" i="33"/>
  <c r="BA1753" i="33"/>
  <c r="BA1757" i="33" s="1"/>
  <c r="AT1753" i="33"/>
  <c r="AT1757" i="33" s="1"/>
  <c r="AM1753" i="33"/>
  <c r="AM1757" i="33" s="1"/>
  <c r="AF1753" i="33"/>
  <c r="Y1753" i="33"/>
  <c r="Y1757" i="33" s="1"/>
  <c r="R1753" i="33"/>
  <c r="R1757" i="33" s="1"/>
  <c r="DD1751" i="33"/>
  <c r="DC1751" i="33"/>
  <c r="DB1751" i="33"/>
  <c r="DA1751" i="33"/>
  <c r="CZ1751" i="33"/>
  <c r="CW1751" i="33"/>
  <c r="CV1751" i="33"/>
  <c r="CU1751" i="33"/>
  <c r="CT1751" i="33"/>
  <c r="CS1751" i="33"/>
  <c r="CP1751" i="33"/>
  <c r="CO1751" i="33"/>
  <c r="CN1751" i="33"/>
  <c r="CM1751" i="33"/>
  <c r="CL1751" i="33"/>
  <c r="CB1751" i="33"/>
  <c r="CA1751" i="33"/>
  <c r="BZ1751" i="33"/>
  <c r="BY1751" i="33"/>
  <c r="BX1751" i="33"/>
  <c r="BU1751" i="33"/>
  <c r="BT1751" i="33"/>
  <c r="BS1751" i="33"/>
  <c r="BR1751" i="33"/>
  <c r="BQ1751" i="33"/>
  <c r="BN1751" i="33"/>
  <c r="BM1751" i="33"/>
  <c r="BL1751" i="33"/>
  <c r="BK1751" i="33"/>
  <c r="BJ1751" i="33"/>
  <c r="BG1751" i="33"/>
  <c r="BF1751" i="33"/>
  <c r="BE1751" i="33"/>
  <c r="BD1751" i="33"/>
  <c r="BC1751" i="33"/>
  <c r="AZ1751" i="33"/>
  <c r="AY1751" i="33"/>
  <c r="AX1751" i="33"/>
  <c r="AW1751" i="33"/>
  <c r="AV1751" i="33"/>
  <c r="AT1751" i="33"/>
  <c r="AS1751" i="33"/>
  <c r="AR1751" i="33"/>
  <c r="AQ1751" i="33"/>
  <c r="AP1751" i="33"/>
  <c r="AO1751" i="33"/>
  <c r="AL1751" i="33"/>
  <c r="AK1751" i="33"/>
  <c r="AJ1751" i="33"/>
  <c r="AI1751" i="33"/>
  <c r="AH1751" i="33"/>
  <c r="AE1751" i="33"/>
  <c r="AD1751" i="33"/>
  <c r="AC1751" i="33"/>
  <c r="AB1751" i="33"/>
  <c r="AA1751" i="33"/>
  <c r="X1751" i="33"/>
  <c r="W1751" i="33"/>
  <c r="V1751" i="33"/>
  <c r="U1751" i="33"/>
  <c r="T1751" i="33"/>
  <c r="Q1751" i="33"/>
  <c r="P1751" i="33"/>
  <c r="O1751" i="33"/>
  <c r="N1751" i="33"/>
  <c r="M1751" i="33"/>
  <c r="DE1750" i="33"/>
  <c r="CX1750" i="33"/>
  <c r="CC1750" i="33"/>
  <c r="BV1750" i="33"/>
  <c r="BO1750" i="33"/>
  <c r="BH1750" i="33"/>
  <c r="BA1750" i="33"/>
  <c r="AT1750" i="33"/>
  <c r="AM1750" i="33"/>
  <c r="AF1750" i="33"/>
  <c r="Y1750" i="33"/>
  <c r="R1750" i="33"/>
  <c r="DE1749" i="33"/>
  <c r="CX1749" i="33"/>
  <c r="CC1749" i="33"/>
  <c r="BV1749" i="33"/>
  <c r="BO1749" i="33"/>
  <c r="BO1751" i="33" s="1"/>
  <c r="BH1749" i="33"/>
  <c r="BA1749" i="33"/>
  <c r="AT1749" i="33"/>
  <c r="AM1749" i="33"/>
  <c r="AF1749" i="33"/>
  <c r="Y1749" i="33"/>
  <c r="R1749" i="33"/>
  <c r="DE1748" i="33"/>
  <c r="CX1748" i="33"/>
  <c r="T60" i="40"/>
  <c r="CC1748" i="33"/>
  <c r="BV1748" i="33"/>
  <c r="BV1751" i="33" s="1"/>
  <c r="BO1748" i="33"/>
  <c r="BH1748" i="33"/>
  <c r="BA1748" i="33"/>
  <c r="AT1748" i="33"/>
  <c r="AM1748" i="33"/>
  <c r="AF1748" i="33"/>
  <c r="Y1748" i="33"/>
  <c r="R1748" i="33"/>
  <c r="R1751" i="33" s="1"/>
  <c r="DE1747" i="33"/>
  <c r="DE1751" i="33" s="1"/>
  <c r="CX1747" i="33"/>
  <c r="CX1751" i="33" s="1"/>
  <c r="CC1747" i="33"/>
  <c r="CC1751" i="33" s="1"/>
  <c r="BV1747" i="33"/>
  <c r="BO1747" i="33"/>
  <c r="BH1747" i="33"/>
  <c r="BH1751" i="33" s="1"/>
  <c r="BA1747" i="33"/>
  <c r="BA1751" i="33" s="1"/>
  <c r="AT1747" i="33"/>
  <c r="AM1747" i="33"/>
  <c r="AM1751" i="33" s="1"/>
  <c r="AF1747" i="33"/>
  <c r="AF1751" i="33" s="1"/>
  <c r="Y1747" i="33"/>
  <c r="J60" i="40" s="1"/>
  <c r="R1747" i="33"/>
  <c r="DE1745" i="33"/>
  <c r="DD1745" i="33"/>
  <c r="DC1745" i="33"/>
  <c r="DB1745" i="33"/>
  <c r="DA1745" i="33"/>
  <c r="CZ1745" i="33"/>
  <c r="CX1745" i="33"/>
  <c r="CW1745" i="33"/>
  <c r="CV1745" i="33"/>
  <c r="CU1745" i="33"/>
  <c r="CT1745" i="33"/>
  <c r="CS1745" i="33"/>
  <c r="CP1745" i="33"/>
  <c r="CO1745" i="33"/>
  <c r="CN1745" i="33"/>
  <c r="CM1745" i="33"/>
  <c r="CL1745" i="33"/>
  <c r="CC1745" i="33"/>
  <c r="CB1745" i="33"/>
  <c r="CA1745" i="33"/>
  <c r="BZ1745" i="33"/>
  <c r="BY1745" i="33"/>
  <c r="BX1745" i="33"/>
  <c r="BU1745" i="33"/>
  <c r="BT1745" i="33"/>
  <c r="BS1745" i="33"/>
  <c r="BR1745" i="33"/>
  <c r="BQ1745" i="33"/>
  <c r="BN1745" i="33"/>
  <c r="BM1745" i="33"/>
  <c r="BL1745" i="33"/>
  <c r="BK1745" i="33"/>
  <c r="BJ1745" i="33"/>
  <c r="BG1745" i="33"/>
  <c r="BF1745" i="33"/>
  <c r="BE1745" i="33"/>
  <c r="BD1745" i="33"/>
  <c r="BC1745" i="33"/>
  <c r="AZ1745" i="33"/>
  <c r="AY1745" i="33"/>
  <c r="AX1745" i="33"/>
  <c r="AW1745" i="33"/>
  <c r="AV1745" i="33"/>
  <c r="AS1745" i="33"/>
  <c r="AR1745" i="33"/>
  <c r="AQ1745" i="33"/>
  <c r="AP1745" i="33"/>
  <c r="AO1745" i="33"/>
  <c r="AL1745" i="33"/>
  <c r="AK1745" i="33"/>
  <c r="AJ1745" i="33"/>
  <c r="AI1745" i="33"/>
  <c r="AH1745" i="33"/>
  <c r="AE1745" i="33"/>
  <c r="AD1745" i="33"/>
  <c r="AC1745" i="33"/>
  <c r="AB1745" i="33"/>
  <c r="AA1745" i="33"/>
  <c r="Y1745" i="33"/>
  <c r="X1745" i="33"/>
  <c r="W1745" i="33"/>
  <c r="V1745" i="33"/>
  <c r="U1745" i="33"/>
  <c r="T1745" i="33"/>
  <c r="Q1745" i="33"/>
  <c r="P1745" i="33"/>
  <c r="O1745" i="33"/>
  <c r="N1745" i="33"/>
  <c r="M1745" i="33"/>
  <c r="DE1744" i="33"/>
  <c r="CX1744" i="33"/>
  <c r="CC1744" i="33"/>
  <c r="BV1744" i="33"/>
  <c r="BO1744" i="33"/>
  <c r="BH1744" i="33"/>
  <c r="BA1744" i="33"/>
  <c r="AT1744" i="33"/>
  <c r="AM1744" i="33"/>
  <c r="S60" i="40" s="1"/>
  <c r="AF1744" i="33"/>
  <c r="AF1745" i="33" s="1"/>
  <c r="Y1744" i="33"/>
  <c r="R1744" i="33"/>
  <c r="I1744" i="33"/>
  <c r="CH1744" i="33" s="1"/>
  <c r="I1750" i="33" s="1"/>
  <c r="CH1750" i="33" s="1"/>
  <c r="I1756" i="33" s="1"/>
  <c r="CH1756" i="33" s="1"/>
  <c r="I1762" i="33" s="1"/>
  <c r="CH1762" i="33" s="1"/>
  <c r="H1744" i="33"/>
  <c r="CG1744" i="33" s="1"/>
  <c r="H1750" i="33" s="1"/>
  <c r="CG1750" i="33" s="1"/>
  <c r="H1756" i="33" s="1"/>
  <c r="CG1756" i="33" s="1"/>
  <c r="H1762" i="33" s="1"/>
  <c r="CG1762" i="33" s="1"/>
  <c r="G1744" i="33"/>
  <c r="CF1744" i="33" s="1"/>
  <c r="G1750" i="33" s="1"/>
  <c r="CF1750" i="33" s="1"/>
  <c r="G1756" i="33" s="1"/>
  <c r="CF1756" i="33" s="1"/>
  <c r="G1762" i="33" s="1"/>
  <c r="CF1762" i="33" s="1"/>
  <c r="DE1743" i="33"/>
  <c r="CX1743" i="33"/>
  <c r="CC1743" i="33"/>
  <c r="BV1743" i="33"/>
  <c r="BO1743" i="33"/>
  <c r="BH1743" i="33"/>
  <c r="BA1743" i="33"/>
  <c r="AT1743" i="33"/>
  <c r="AM1743" i="33"/>
  <c r="AF1743" i="33"/>
  <c r="Y1743" i="33"/>
  <c r="R1743" i="33"/>
  <c r="DE1742" i="33"/>
  <c r="CX1742" i="33"/>
  <c r="CC1742" i="33"/>
  <c r="BV1742" i="33"/>
  <c r="BO1742" i="33"/>
  <c r="BH1742" i="33"/>
  <c r="BA1742" i="33"/>
  <c r="BA1745" i="33" s="1"/>
  <c r="AT1742" i="33"/>
  <c r="AM1742" i="33"/>
  <c r="AF1742" i="33"/>
  <c r="Y1742" i="33"/>
  <c r="R1742" i="33"/>
  <c r="J1742" i="33"/>
  <c r="CI1742" i="33" s="1"/>
  <c r="J1748" i="33" s="1"/>
  <c r="CI1748" i="33" s="1"/>
  <c r="J1754" i="33" s="1"/>
  <c r="CI1754" i="33" s="1"/>
  <c r="J1760" i="33" s="1"/>
  <c r="CI1760" i="33" s="1"/>
  <c r="I1742" i="33"/>
  <c r="CH1742" i="33" s="1"/>
  <c r="I1748" i="33" s="1"/>
  <c r="CH1748" i="33" s="1"/>
  <c r="I1754" i="33" s="1"/>
  <c r="CH1754" i="33" s="1"/>
  <c r="I1760" i="33" s="1"/>
  <c r="CH1760" i="33" s="1"/>
  <c r="H1742" i="33"/>
  <c r="CG1742" i="33" s="1"/>
  <c r="H1748" i="33" s="1"/>
  <c r="CG1748" i="33" s="1"/>
  <c r="H1754" i="33" s="1"/>
  <c r="CG1754" i="33" s="1"/>
  <c r="H1760" i="33" s="1"/>
  <c r="CG1760" i="33" s="1"/>
  <c r="DE1741" i="33"/>
  <c r="CX1741" i="33"/>
  <c r="CC1741" i="33"/>
  <c r="BV1741" i="33"/>
  <c r="BV1745" i="33" s="1"/>
  <c r="BO1741" i="33"/>
  <c r="BO1745" i="33" s="1"/>
  <c r="BH1741" i="33"/>
  <c r="BH1745" i="33" s="1"/>
  <c r="BA1741" i="33"/>
  <c r="AT1741" i="33"/>
  <c r="AT1745" i="33" s="1"/>
  <c r="AM1741" i="33"/>
  <c r="AM1745" i="33" s="1"/>
  <c r="AF1741" i="33"/>
  <c r="Y1741" i="33"/>
  <c r="R1741" i="33"/>
  <c r="R1745" i="33" s="1"/>
  <c r="J1741" i="33"/>
  <c r="DD1739" i="33"/>
  <c r="DC1739" i="33"/>
  <c r="DB1739" i="33"/>
  <c r="DA1739" i="33"/>
  <c r="CZ1739" i="33"/>
  <c r="CW1739" i="33"/>
  <c r="CV1739" i="33"/>
  <c r="CU1739" i="33"/>
  <c r="CT1739" i="33"/>
  <c r="CS1739" i="33"/>
  <c r="CP1739" i="33"/>
  <c r="CO1739" i="33"/>
  <c r="CN1739" i="33"/>
  <c r="CM1739" i="33"/>
  <c r="CL1739" i="33"/>
  <c r="CI1739" i="33"/>
  <c r="CH1739" i="33"/>
  <c r="CB1739" i="33"/>
  <c r="CA1739" i="33"/>
  <c r="BZ1739" i="33"/>
  <c r="BY1739" i="33"/>
  <c r="BX1739" i="33"/>
  <c r="BU1739" i="33"/>
  <c r="BT1739" i="33"/>
  <c r="BS1739" i="33"/>
  <c r="BR1739" i="33"/>
  <c r="BQ1739" i="33"/>
  <c r="BO1739" i="33"/>
  <c r="BN1739" i="33"/>
  <c r="BM1739" i="33"/>
  <c r="BL1739" i="33"/>
  <c r="BK1739" i="33"/>
  <c r="BJ1739" i="33"/>
  <c r="BG1739" i="33"/>
  <c r="BF1739" i="33"/>
  <c r="BE1739" i="33"/>
  <c r="BD1739" i="33"/>
  <c r="BC1739" i="33"/>
  <c r="AZ1739" i="33"/>
  <c r="AY1739" i="33"/>
  <c r="AX1739" i="33"/>
  <c r="AW1739" i="33"/>
  <c r="AV1739" i="33"/>
  <c r="AS1739" i="33"/>
  <c r="AR1739" i="33"/>
  <c r="AQ1739" i="33"/>
  <c r="AP1739" i="33"/>
  <c r="AO1739" i="33"/>
  <c r="AM1739" i="33"/>
  <c r="AL1739" i="33"/>
  <c r="AK1739" i="33"/>
  <c r="AJ1739" i="33"/>
  <c r="AI1739" i="33"/>
  <c r="AH1739" i="33"/>
  <c r="AE1739" i="33"/>
  <c r="AD1739" i="33"/>
  <c r="AC1739" i="33"/>
  <c r="AB1739" i="33"/>
  <c r="AA1739" i="33"/>
  <c r="X1739" i="33"/>
  <c r="W1739" i="33"/>
  <c r="V1739" i="33"/>
  <c r="U1739" i="33"/>
  <c r="T1739" i="33"/>
  <c r="Q1739" i="33"/>
  <c r="P1739" i="33"/>
  <c r="O1739" i="33"/>
  <c r="N1739" i="33"/>
  <c r="M1739" i="33"/>
  <c r="K1739" i="33"/>
  <c r="J1739" i="33"/>
  <c r="I1739" i="33"/>
  <c r="H1739" i="33"/>
  <c r="G1739" i="33"/>
  <c r="F1739" i="33"/>
  <c r="DE1738" i="33"/>
  <c r="CX1738" i="33"/>
  <c r="CI1738" i="33"/>
  <c r="J1744" i="33" s="1"/>
  <c r="CI1744" i="33" s="1"/>
  <c r="J1750" i="33" s="1"/>
  <c r="CI1750" i="33" s="1"/>
  <c r="J1756" i="33" s="1"/>
  <c r="CI1756" i="33" s="1"/>
  <c r="J1762" i="33" s="1"/>
  <c r="CI1762" i="33" s="1"/>
  <c r="CH1738" i="33"/>
  <c r="CG1738" i="33"/>
  <c r="CF1738" i="33"/>
  <c r="CE1738" i="33"/>
  <c r="F1744" i="33" s="1"/>
  <c r="CC1738" i="33"/>
  <c r="BV1738" i="33"/>
  <c r="BO1738" i="33"/>
  <c r="BH1738" i="33"/>
  <c r="BA1738" i="33"/>
  <c r="AT1738" i="33"/>
  <c r="AM1738" i="33"/>
  <c r="AF1738" i="33"/>
  <c r="Y1738" i="33"/>
  <c r="R1738" i="33"/>
  <c r="K1738" i="33"/>
  <c r="DE1737" i="33"/>
  <c r="CX1737" i="33"/>
  <c r="CI1737" i="33"/>
  <c r="J1743" i="33" s="1"/>
  <c r="CI1743" i="33" s="1"/>
  <c r="J1749" i="33" s="1"/>
  <c r="CI1749" i="33" s="1"/>
  <c r="J1755" i="33" s="1"/>
  <c r="CI1755" i="33" s="1"/>
  <c r="J1761" i="33" s="1"/>
  <c r="CI1761" i="33" s="1"/>
  <c r="CH1737" i="33"/>
  <c r="I1743" i="33" s="1"/>
  <c r="CH1743" i="33" s="1"/>
  <c r="I1749" i="33" s="1"/>
  <c r="CH1749" i="33" s="1"/>
  <c r="I1755" i="33" s="1"/>
  <c r="CH1755" i="33" s="1"/>
  <c r="I1761" i="33" s="1"/>
  <c r="CH1761" i="33" s="1"/>
  <c r="CG1737" i="33"/>
  <c r="H1743" i="33" s="1"/>
  <c r="CG1743" i="33" s="1"/>
  <c r="H1749" i="33" s="1"/>
  <c r="CG1749" i="33" s="1"/>
  <c r="H1755" i="33" s="1"/>
  <c r="CG1755" i="33" s="1"/>
  <c r="H1761" i="33" s="1"/>
  <c r="CG1761" i="33" s="1"/>
  <c r="CF1737" i="33"/>
  <c r="G1743" i="33" s="1"/>
  <c r="CF1743" i="33" s="1"/>
  <c r="G1749" i="33" s="1"/>
  <c r="CF1749" i="33" s="1"/>
  <c r="G1755" i="33" s="1"/>
  <c r="CF1755" i="33" s="1"/>
  <c r="G1761" i="33" s="1"/>
  <c r="CF1761" i="33" s="1"/>
  <c r="CE1737" i="33"/>
  <c r="F1743" i="33" s="1"/>
  <c r="CC1737" i="33"/>
  <c r="BV1737" i="33"/>
  <c r="BO1737" i="33"/>
  <c r="BH1737" i="33"/>
  <c r="BA1737" i="33"/>
  <c r="AT1737" i="33"/>
  <c r="AM1737" i="33"/>
  <c r="AF1737" i="33"/>
  <c r="Y1737" i="33"/>
  <c r="R1737" i="33"/>
  <c r="K1737" i="33"/>
  <c r="DE1736" i="33"/>
  <c r="CX1736" i="33"/>
  <c r="CI1736" i="33"/>
  <c r="CH1736" i="33"/>
  <c r="CG1736" i="33"/>
  <c r="CF1736" i="33"/>
  <c r="G1742" i="33" s="1"/>
  <c r="CF1742" i="33" s="1"/>
  <c r="G1748" i="33" s="1"/>
  <c r="CF1748" i="33" s="1"/>
  <c r="G1754" i="33" s="1"/>
  <c r="CF1754" i="33" s="1"/>
  <c r="G1760" i="33" s="1"/>
  <c r="CF1760" i="33" s="1"/>
  <c r="CE1736" i="33"/>
  <c r="CJ1736" i="33" s="1"/>
  <c r="CC1736" i="33"/>
  <c r="BV1736" i="33"/>
  <c r="BO1736" i="33"/>
  <c r="BH1736" i="33"/>
  <c r="BA1736" i="33"/>
  <c r="AT1736" i="33"/>
  <c r="AM1736" i="33"/>
  <c r="AF1736" i="33"/>
  <c r="AF1739" i="33" s="1"/>
  <c r="Y1736" i="33"/>
  <c r="H60" i="40" s="1"/>
  <c r="R1736" i="33"/>
  <c r="K1736" i="33"/>
  <c r="DE1735" i="33"/>
  <c r="DE1739" i="33" s="1"/>
  <c r="CX1735" i="33"/>
  <c r="CX1739" i="33" s="1"/>
  <c r="CI1735" i="33"/>
  <c r="CH1735" i="33"/>
  <c r="I1741" i="33" s="1"/>
  <c r="CG1735" i="33"/>
  <c r="CG1739" i="33" s="1"/>
  <c r="CF1735" i="33"/>
  <c r="CF1739" i="33" s="1"/>
  <c r="CE1735" i="33"/>
  <c r="CE1739" i="33" s="1"/>
  <c r="CC1735" i="33"/>
  <c r="CC1739" i="33" s="1"/>
  <c r="BV1735" i="33"/>
  <c r="BV1739" i="33" s="1"/>
  <c r="BO1735" i="33"/>
  <c r="BH1735" i="33"/>
  <c r="BH1739" i="33" s="1"/>
  <c r="BA1735" i="33"/>
  <c r="BA1739" i="33" s="1"/>
  <c r="AT1735" i="33"/>
  <c r="AT1739" i="33" s="1"/>
  <c r="AM1735" i="33"/>
  <c r="AF1735" i="33"/>
  <c r="Y1735" i="33"/>
  <c r="Y1739" i="33" s="1"/>
  <c r="R1735" i="33"/>
  <c r="R1739" i="33" s="1"/>
  <c r="K1735" i="33"/>
  <c r="DD1731" i="33"/>
  <c r="DC1731" i="33"/>
  <c r="DB1731" i="33"/>
  <c r="DA1731" i="33"/>
  <c r="CZ1731" i="33"/>
  <c r="CW1731" i="33"/>
  <c r="CV1731" i="33"/>
  <c r="CU1731" i="33"/>
  <c r="CT1731" i="33"/>
  <c r="CS1731" i="33"/>
  <c r="CP1731" i="33"/>
  <c r="CO1731" i="33"/>
  <c r="CN1731" i="33"/>
  <c r="CM1731" i="33"/>
  <c r="CL1731" i="33"/>
  <c r="CB1731" i="33"/>
  <c r="CA1731" i="33"/>
  <c r="BZ1731" i="33"/>
  <c r="BY1731" i="33"/>
  <c r="BX1731" i="33"/>
  <c r="BU1731" i="33"/>
  <c r="BT1731" i="33"/>
  <c r="BS1731" i="33"/>
  <c r="BR1731" i="33"/>
  <c r="BQ1731" i="33"/>
  <c r="BN1731" i="33"/>
  <c r="BM1731" i="33"/>
  <c r="BL1731" i="33"/>
  <c r="BK1731" i="33"/>
  <c r="BJ1731" i="33"/>
  <c r="BG1731" i="33"/>
  <c r="BF1731" i="33"/>
  <c r="BE1731" i="33"/>
  <c r="BD1731" i="33"/>
  <c r="BC1731" i="33"/>
  <c r="AZ1731" i="33"/>
  <c r="AY1731" i="33"/>
  <c r="AX1731" i="33"/>
  <c r="AW1731" i="33"/>
  <c r="AV1731" i="33"/>
  <c r="AT1731" i="33"/>
  <c r="AS1731" i="33"/>
  <c r="AR1731" i="33"/>
  <c r="AQ1731" i="33"/>
  <c r="AP1731" i="33"/>
  <c r="AO1731" i="33"/>
  <c r="AL1731" i="33"/>
  <c r="AK1731" i="33"/>
  <c r="AJ1731" i="33"/>
  <c r="AI1731" i="33"/>
  <c r="AH1731" i="33"/>
  <c r="AE1731" i="33"/>
  <c r="AD1731" i="33"/>
  <c r="AC1731" i="33"/>
  <c r="AB1731" i="33"/>
  <c r="AA1731" i="33"/>
  <c r="X1731" i="33"/>
  <c r="W1731" i="33"/>
  <c r="V1731" i="33"/>
  <c r="U1731" i="33"/>
  <c r="T1731" i="33"/>
  <c r="Q1731" i="33"/>
  <c r="P1731" i="33"/>
  <c r="O1731" i="33"/>
  <c r="N1731" i="33"/>
  <c r="M1731" i="33"/>
  <c r="DE1730" i="33"/>
  <c r="CX1730" i="33"/>
  <c r="CC1730" i="33"/>
  <c r="BV1730" i="33"/>
  <c r="BO1730" i="33"/>
  <c r="BH1730" i="33"/>
  <c r="BA1730" i="33"/>
  <c r="AT1730" i="33"/>
  <c r="AM1730" i="33"/>
  <c r="AF1730" i="33"/>
  <c r="Y1730" i="33"/>
  <c r="R1730" i="33"/>
  <c r="DE1729" i="33"/>
  <c r="CX1729" i="33"/>
  <c r="CC1729" i="33"/>
  <c r="BV1729" i="33"/>
  <c r="BO1729" i="33"/>
  <c r="BH1729" i="33"/>
  <c r="BA1729" i="33"/>
  <c r="AT1729" i="33"/>
  <c r="AM1729" i="33"/>
  <c r="AF1729" i="33"/>
  <c r="Y1729" i="33"/>
  <c r="R1729" i="33"/>
  <c r="DE1728" i="33"/>
  <c r="CX1728" i="33"/>
  <c r="V59" i="40"/>
  <c r="CC1728" i="33"/>
  <c r="BV1728" i="33"/>
  <c r="BV1731" i="33" s="1"/>
  <c r="BO1728" i="33"/>
  <c r="BH1728" i="33"/>
  <c r="BA1728" i="33"/>
  <c r="AT1728" i="33"/>
  <c r="AM1728" i="33"/>
  <c r="AF1728" i="33"/>
  <c r="Y1728" i="33"/>
  <c r="R1728" i="33"/>
  <c r="R1731" i="33" s="1"/>
  <c r="DE1727" i="33"/>
  <c r="DE1731" i="33" s="1"/>
  <c r="CX1727" i="33"/>
  <c r="CX1731" i="33" s="1"/>
  <c r="CC1727" i="33"/>
  <c r="CC1731" i="33" s="1"/>
  <c r="BV1727" i="33"/>
  <c r="BO1727" i="33"/>
  <c r="BO1731" i="33" s="1"/>
  <c r="BH1727" i="33"/>
  <c r="BH1731" i="33" s="1"/>
  <c r="BA1727" i="33"/>
  <c r="BA1731" i="33" s="1"/>
  <c r="AT1727" i="33"/>
  <c r="AM1727" i="33"/>
  <c r="AM1731" i="33" s="1"/>
  <c r="AF1727" i="33"/>
  <c r="AF1731" i="33" s="1"/>
  <c r="Y1727" i="33"/>
  <c r="L59" i="40" s="1"/>
  <c r="R1727" i="33"/>
  <c r="DE1725" i="33"/>
  <c r="DD1725" i="33"/>
  <c r="DC1725" i="33"/>
  <c r="DB1725" i="33"/>
  <c r="DA1725" i="33"/>
  <c r="CZ1725" i="33"/>
  <c r="CW1725" i="33"/>
  <c r="CV1725" i="33"/>
  <c r="CU1725" i="33"/>
  <c r="CT1725" i="33"/>
  <c r="CS1725" i="33"/>
  <c r="CP1725" i="33"/>
  <c r="CO1725" i="33"/>
  <c r="CN1725" i="33"/>
  <c r="CM1725" i="33"/>
  <c r="CL1725" i="33"/>
  <c r="CB1725" i="33"/>
  <c r="CA1725" i="33"/>
  <c r="BZ1725" i="33"/>
  <c r="BY1725" i="33"/>
  <c r="BX1725" i="33"/>
  <c r="BU1725" i="33"/>
  <c r="BT1725" i="33"/>
  <c r="BS1725" i="33"/>
  <c r="BR1725" i="33"/>
  <c r="BQ1725" i="33"/>
  <c r="BN1725" i="33"/>
  <c r="BM1725" i="33"/>
  <c r="BL1725" i="33"/>
  <c r="BK1725" i="33"/>
  <c r="BJ1725" i="33"/>
  <c r="BG1725" i="33"/>
  <c r="BF1725" i="33"/>
  <c r="BE1725" i="33"/>
  <c r="BD1725" i="33"/>
  <c r="BC1725" i="33"/>
  <c r="AZ1725" i="33"/>
  <c r="AY1725" i="33"/>
  <c r="AX1725" i="33"/>
  <c r="AW1725" i="33"/>
  <c r="AV1725" i="33"/>
  <c r="AS1725" i="33"/>
  <c r="AR1725" i="33"/>
  <c r="AQ1725" i="33"/>
  <c r="AP1725" i="33"/>
  <c r="AO1725" i="33"/>
  <c r="AL1725" i="33"/>
  <c r="AK1725" i="33"/>
  <c r="AJ1725" i="33"/>
  <c r="AI1725" i="33"/>
  <c r="AH1725" i="33"/>
  <c r="AE1725" i="33"/>
  <c r="AD1725" i="33"/>
  <c r="AC1725" i="33"/>
  <c r="AB1725" i="33"/>
  <c r="AA1725" i="33"/>
  <c r="X1725" i="33"/>
  <c r="W1725" i="33"/>
  <c r="V1725" i="33"/>
  <c r="U1725" i="33"/>
  <c r="T1725" i="33"/>
  <c r="Q1725" i="33"/>
  <c r="P1725" i="33"/>
  <c r="O1725" i="33"/>
  <c r="N1725" i="33"/>
  <c r="M1725" i="33"/>
  <c r="DE1724" i="33"/>
  <c r="CX1724" i="33"/>
  <c r="CC1724" i="33"/>
  <c r="BV1724" i="33"/>
  <c r="BO1724" i="33"/>
  <c r="BH1724" i="33"/>
  <c r="BA1724" i="33"/>
  <c r="AT1724" i="33"/>
  <c r="AM1724" i="33"/>
  <c r="AF1724" i="33"/>
  <c r="AF1725" i="33" s="1"/>
  <c r="Y1724" i="33"/>
  <c r="R1724" i="33"/>
  <c r="DE1723" i="33"/>
  <c r="CX1723" i="33"/>
  <c r="CC1723" i="33"/>
  <c r="BV1723" i="33"/>
  <c r="BO1723" i="33"/>
  <c r="BH1723" i="33"/>
  <c r="BA1723" i="33"/>
  <c r="AT1723" i="33"/>
  <c r="AM1723" i="33"/>
  <c r="AF1723" i="33"/>
  <c r="Y1723" i="33"/>
  <c r="R1723" i="33"/>
  <c r="DE1722" i="33"/>
  <c r="CX1722" i="33"/>
  <c r="CC1722" i="33"/>
  <c r="BV1722" i="33"/>
  <c r="BO1722" i="33"/>
  <c r="BH1722" i="33"/>
  <c r="BA1722" i="33"/>
  <c r="AT1722" i="33"/>
  <c r="AM1722" i="33"/>
  <c r="AF1722" i="33"/>
  <c r="Y1722" i="33"/>
  <c r="R1722" i="33"/>
  <c r="R1725" i="33" s="1"/>
  <c r="DE1721" i="33"/>
  <c r="CX1721" i="33"/>
  <c r="CX1725" i="33" s="1"/>
  <c r="CC1721" i="33"/>
  <c r="CC1725" i="33" s="1"/>
  <c r="BV1721" i="33"/>
  <c r="BV1725" i="33" s="1"/>
  <c r="BO1721" i="33"/>
  <c r="BO1725" i="33" s="1"/>
  <c r="BH1721" i="33"/>
  <c r="BH1725" i="33" s="1"/>
  <c r="BA1721" i="33"/>
  <c r="BA1725" i="33" s="1"/>
  <c r="AT1721" i="33"/>
  <c r="AT1725" i="33" s="1"/>
  <c r="AM1721" i="33"/>
  <c r="AM1725" i="33" s="1"/>
  <c r="AF1721" i="33"/>
  <c r="Y1721" i="33"/>
  <c r="Y1725" i="33" s="1"/>
  <c r="R1721" i="33"/>
  <c r="DD1719" i="33"/>
  <c r="DC1719" i="33"/>
  <c r="DB1719" i="33"/>
  <c r="DA1719" i="33"/>
  <c r="CZ1719" i="33"/>
  <c r="CW1719" i="33"/>
  <c r="CV1719" i="33"/>
  <c r="CU1719" i="33"/>
  <c r="CT1719" i="33"/>
  <c r="CS1719" i="33"/>
  <c r="CP1719" i="33"/>
  <c r="CO1719" i="33"/>
  <c r="CN1719" i="33"/>
  <c r="CM1719" i="33"/>
  <c r="CL1719" i="33"/>
  <c r="CB1719" i="33"/>
  <c r="CA1719" i="33"/>
  <c r="BZ1719" i="33"/>
  <c r="BY1719" i="33"/>
  <c r="BX1719" i="33"/>
  <c r="BU1719" i="33"/>
  <c r="BT1719" i="33"/>
  <c r="BS1719" i="33"/>
  <c r="BR1719" i="33"/>
  <c r="BQ1719" i="33"/>
  <c r="BO1719" i="33"/>
  <c r="BN1719" i="33"/>
  <c r="BM1719" i="33"/>
  <c r="BL1719" i="33"/>
  <c r="BK1719" i="33"/>
  <c r="BJ1719" i="33"/>
  <c r="BG1719" i="33"/>
  <c r="BF1719" i="33"/>
  <c r="BE1719" i="33"/>
  <c r="BD1719" i="33"/>
  <c r="BC1719" i="33"/>
  <c r="AZ1719" i="33"/>
  <c r="AY1719" i="33"/>
  <c r="AX1719" i="33"/>
  <c r="AW1719" i="33"/>
  <c r="AV1719" i="33"/>
  <c r="AS1719" i="33"/>
  <c r="AR1719" i="33"/>
  <c r="AQ1719" i="33"/>
  <c r="AP1719" i="33"/>
  <c r="AO1719" i="33"/>
  <c r="AL1719" i="33"/>
  <c r="AK1719" i="33"/>
  <c r="AJ1719" i="33"/>
  <c r="AI1719" i="33"/>
  <c r="AH1719" i="33"/>
  <c r="AE1719" i="33"/>
  <c r="AD1719" i="33"/>
  <c r="AC1719" i="33"/>
  <c r="AB1719" i="33"/>
  <c r="AA1719" i="33"/>
  <c r="X1719" i="33"/>
  <c r="W1719" i="33"/>
  <c r="V1719" i="33"/>
  <c r="U1719" i="33"/>
  <c r="T1719" i="33"/>
  <c r="Q1719" i="33"/>
  <c r="P1719" i="33"/>
  <c r="O1719" i="33"/>
  <c r="N1719" i="33"/>
  <c r="M1719" i="33"/>
  <c r="DE1718" i="33"/>
  <c r="CX1718" i="33"/>
  <c r="CC1718" i="33"/>
  <c r="BV1718" i="33"/>
  <c r="BO1718" i="33"/>
  <c r="BH1718" i="33"/>
  <c r="BA1718" i="33"/>
  <c r="AT1718" i="33"/>
  <c r="AM1718" i="33"/>
  <c r="AF1718" i="33"/>
  <c r="Y1718" i="33"/>
  <c r="R1718" i="33"/>
  <c r="DE1717" i="33"/>
  <c r="CX1717" i="33"/>
  <c r="CC1717" i="33"/>
  <c r="BV1717" i="33"/>
  <c r="BO1717" i="33"/>
  <c r="BH1717" i="33"/>
  <c r="BA1717" i="33"/>
  <c r="AT1717" i="33"/>
  <c r="AM1717" i="33"/>
  <c r="AF1717" i="33"/>
  <c r="Y1717" i="33"/>
  <c r="J59" i="40" s="1"/>
  <c r="R1717" i="33"/>
  <c r="DE1716" i="33"/>
  <c r="CX1716" i="33"/>
  <c r="CC1716" i="33"/>
  <c r="BV1716" i="33"/>
  <c r="BO1716" i="33"/>
  <c r="BH1716" i="33"/>
  <c r="BA1716" i="33"/>
  <c r="AT1716" i="33"/>
  <c r="AM1716" i="33"/>
  <c r="AF1716" i="33"/>
  <c r="Y1716" i="33"/>
  <c r="R1716" i="33"/>
  <c r="DE1715" i="33"/>
  <c r="DE1719" i="33" s="1"/>
  <c r="CX1715" i="33"/>
  <c r="CX1719" i="33" s="1"/>
  <c r="CC1715" i="33"/>
  <c r="CC1719" i="33" s="1"/>
  <c r="BV1715" i="33"/>
  <c r="BV1719" i="33" s="1"/>
  <c r="BO1715" i="33"/>
  <c r="BH1715" i="33"/>
  <c r="BH1719" i="33" s="1"/>
  <c r="BA1715" i="33"/>
  <c r="BA1719" i="33" s="1"/>
  <c r="AT1715" i="33"/>
  <c r="AT1719" i="33" s="1"/>
  <c r="AM1715" i="33"/>
  <c r="T59" i="40" s="1"/>
  <c r="AF1715" i="33"/>
  <c r="AF1719" i="33" s="1"/>
  <c r="Y1715" i="33"/>
  <c r="Y1719" i="33" s="1"/>
  <c r="R1715" i="33"/>
  <c r="R1719" i="33" s="1"/>
  <c r="DD1713" i="33"/>
  <c r="DC1713" i="33"/>
  <c r="DB1713" i="33"/>
  <c r="DA1713" i="33"/>
  <c r="CZ1713" i="33"/>
  <c r="CX1713" i="33"/>
  <c r="CW1713" i="33"/>
  <c r="CV1713" i="33"/>
  <c r="CU1713" i="33"/>
  <c r="CT1713" i="33"/>
  <c r="CS1713" i="33"/>
  <c r="CP1713" i="33"/>
  <c r="CO1713" i="33"/>
  <c r="CN1713" i="33"/>
  <c r="CM1713" i="33"/>
  <c r="CL1713" i="33"/>
  <c r="CB1713" i="33"/>
  <c r="CA1713" i="33"/>
  <c r="BZ1713" i="33"/>
  <c r="BY1713" i="33"/>
  <c r="BX1713" i="33"/>
  <c r="BU1713" i="33"/>
  <c r="BT1713" i="33"/>
  <c r="BS1713" i="33"/>
  <c r="BR1713" i="33"/>
  <c r="BQ1713" i="33"/>
  <c r="BN1713" i="33"/>
  <c r="BM1713" i="33"/>
  <c r="BL1713" i="33"/>
  <c r="BK1713" i="33"/>
  <c r="BJ1713" i="33"/>
  <c r="BG1713" i="33"/>
  <c r="BF1713" i="33"/>
  <c r="BE1713" i="33"/>
  <c r="BD1713" i="33"/>
  <c r="BC1713" i="33"/>
  <c r="AZ1713" i="33"/>
  <c r="AY1713" i="33"/>
  <c r="AX1713" i="33"/>
  <c r="AW1713" i="33"/>
  <c r="AV1713" i="33"/>
  <c r="AS1713" i="33"/>
  <c r="AR1713" i="33"/>
  <c r="AQ1713" i="33"/>
  <c r="AP1713" i="33"/>
  <c r="AO1713" i="33"/>
  <c r="AL1713" i="33"/>
  <c r="AK1713" i="33"/>
  <c r="AJ1713" i="33"/>
  <c r="AI1713" i="33"/>
  <c r="AH1713" i="33"/>
  <c r="AE1713" i="33"/>
  <c r="AD1713" i="33"/>
  <c r="AC1713" i="33"/>
  <c r="AB1713" i="33"/>
  <c r="AA1713" i="33"/>
  <c r="X1713" i="33"/>
  <c r="W1713" i="33"/>
  <c r="V1713" i="33"/>
  <c r="U1713" i="33"/>
  <c r="T1713" i="33"/>
  <c r="Q1713" i="33"/>
  <c r="P1713" i="33"/>
  <c r="O1713" i="33"/>
  <c r="N1713" i="33"/>
  <c r="M1713" i="33"/>
  <c r="DE1712" i="33"/>
  <c r="CX1712" i="33"/>
  <c r="CC1712" i="33"/>
  <c r="BV1712" i="33"/>
  <c r="BO1712" i="33"/>
  <c r="BH1712" i="33"/>
  <c r="BA1712" i="33"/>
  <c r="AT1712" i="33"/>
  <c r="AM1712" i="33"/>
  <c r="AF1712" i="33"/>
  <c r="Y1712" i="33"/>
  <c r="R1712" i="33"/>
  <c r="I1712" i="33"/>
  <c r="CH1712" i="33" s="1"/>
  <c r="I1718" i="33" s="1"/>
  <c r="CH1718" i="33" s="1"/>
  <c r="I1724" i="33" s="1"/>
  <c r="CH1724" i="33" s="1"/>
  <c r="I1730" i="33" s="1"/>
  <c r="CH1730" i="33" s="1"/>
  <c r="DE1711" i="33"/>
  <c r="CX1711" i="33"/>
  <c r="CC1711" i="33"/>
  <c r="CC1713" i="33" s="1"/>
  <c r="BV1711" i="33"/>
  <c r="BO1711" i="33"/>
  <c r="BH1711" i="33"/>
  <c r="BA1711" i="33"/>
  <c r="BA1713" i="33" s="1"/>
  <c r="AT1711" i="33"/>
  <c r="AM1711" i="33"/>
  <c r="AF1711" i="33"/>
  <c r="Y1711" i="33"/>
  <c r="Y1713" i="33" s="1"/>
  <c r="R1711" i="33"/>
  <c r="DE1710" i="33"/>
  <c r="CX1710" i="33"/>
  <c r="CC1710" i="33"/>
  <c r="BV1710" i="33"/>
  <c r="BO1710" i="33"/>
  <c r="BH1710" i="33"/>
  <c r="BA1710" i="33"/>
  <c r="AT1710" i="33"/>
  <c r="AM1710" i="33"/>
  <c r="AF1710" i="33"/>
  <c r="Y1710" i="33"/>
  <c r="R1710" i="33"/>
  <c r="DE1709" i="33"/>
  <c r="DE1713" i="33" s="1"/>
  <c r="CX1709" i="33"/>
  <c r="CC1709" i="33"/>
  <c r="BV1709" i="33"/>
  <c r="BV1713" i="33" s="1"/>
  <c r="BO1709" i="33"/>
  <c r="BO1713" i="33" s="1"/>
  <c r="BH1709" i="33"/>
  <c r="BH1713" i="33" s="1"/>
  <c r="BA1709" i="33"/>
  <c r="AT1709" i="33"/>
  <c r="AT1713" i="33" s="1"/>
  <c r="AM1709" i="33"/>
  <c r="AM1713" i="33" s="1"/>
  <c r="AF1709" i="33"/>
  <c r="AF1713" i="33" s="1"/>
  <c r="Y1709" i="33"/>
  <c r="R1709" i="33"/>
  <c r="R1713" i="33" s="1"/>
  <c r="DD1707" i="33"/>
  <c r="DC1707" i="33"/>
  <c r="DB1707" i="33"/>
  <c r="DA1707" i="33"/>
  <c r="CZ1707" i="33"/>
  <c r="CW1707" i="33"/>
  <c r="CV1707" i="33"/>
  <c r="CU1707" i="33"/>
  <c r="CT1707" i="33"/>
  <c r="CS1707" i="33"/>
  <c r="CP1707" i="33"/>
  <c r="CO1707" i="33"/>
  <c r="CN1707" i="33"/>
  <c r="CM1707" i="33"/>
  <c r="CL1707" i="33"/>
  <c r="CB1707" i="33"/>
  <c r="CA1707" i="33"/>
  <c r="BZ1707" i="33"/>
  <c r="BY1707" i="33"/>
  <c r="BX1707" i="33"/>
  <c r="BU1707" i="33"/>
  <c r="BT1707" i="33"/>
  <c r="BS1707" i="33"/>
  <c r="BR1707" i="33"/>
  <c r="BQ1707" i="33"/>
  <c r="BN1707" i="33"/>
  <c r="BM1707" i="33"/>
  <c r="BL1707" i="33"/>
  <c r="BK1707" i="33"/>
  <c r="BJ1707" i="33"/>
  <c r="BG1707" i="33"/>
  <c r="BF1707" i="33"/>
  <c r="BE1707" i="33"/>
  <c r="BD1707" i="33"/>
  <c r="BC1707" i="33"/>
  <c r="AZ1707" i="33"/>
  <c r="AY1707" i="33"/>
  <c r="AX1707" i="33"/>
  <c r="AW1707" i="33"/>
  <c r="AV1707" i="33"/>
  <c r="AS1707" i="33"/>
  <c r="AR1707" i="33"/>
  <c r="AQ1707" i="33"/>
  <c r="AP1707" i="33"/>
  <c r="AO1707" i="33"/>
  <c r="AL1707" i="33"/>
  <c r="AK1707" i="33"/>
  <c r="AJ1707" i="33"/>
  <c r="AI1707" i="33"/>
  <c r="AH1707" i="33"/>
  <c r="AE1707" i="33"/>
  <c r="AD1707" i="33"/>
  <c r="AC1707" i="33"/>
  <c r="AB1707" i="33"/>
  <c r="AA1707" i="33"/>
  <c r="X1707" i="33"/>
  <c r="W1707" i="33"/>
  <c r="V1707" i="33"/>
  <c r="U1707" i="33"/>
  <c r="T1707" i="33"/>
  <c r="Q1707" i="33"/>
  <c r="P1707" i="33"/>
  <c r="O1707" i="33"/>
  <c r="N1707" i="33"/>
  <c r="M1707" i="33"/>
  <c r="J1707" i="33"/>
  <c r="I1707" i="33"/>
  <c r="H1707" i="33"/>
  <c r="G1707" i="33"/>
  <c r="F1707" i="33"/>
  <c r="DE1706" i="33"/>
  <c r="CX1706" i="33"/>
  <c r="CI1706" i="33"/>
  <c r="J1712" i="33" s="1"/>
  <c r="CI1712" i="33" s="1"/>
  <c r="J1718" i="33" s="1"/>
  <c r="CI1718" i="33" s="1"/>
  <c r="J1724" i="33" s="1"/>
  <c r="CI1724" i="33" s="1"/>
  <c r="J1730" i="33" s="1"/>
  <c r="CI1730" i="33" s="1"/>
  <c r="CH1706" i="33"/>
  <c r="CG1706" i="33"/>
  <c r="H1712" i="33" s="1"/>
  <c r="CG1712" i="33" s="1"/>
  <c r="H1718" i="33" s="1"/>
  <c r="CG1718" i="33" s="1"/>
  <c r="H1724" i="33" s="1"/>
  <c r="CG1724" i="33" s="1"/>
  <c r="H1730" i="33" s="1"/>
  <c r="CG1730" i="33" s="1"/>
  <c r="CF1706" i="33"/>
  <c r="G1712" i="33" s="1"/>
  <c r="CF1712" i="33" s="1"/>
  <c r="G1718" i="33" s="1"/>
  <c r="CF1718" i="33" s="1"/>
  <c r="G1724" i="33" s="1"/>
  <c r="CF1724" i="33" s="1"/>
  <c r="G1730" i="33" s="1"/>
  <c r="CF1730" i="33" s="1"/>
  <c r="CE1706" i="33"/>
  <c r="F1712" i="33" s="1"/>
  <c r="CC1706" i="33"/>
  <c r="BV1706" i="33"/>
  <c r="BO1706" i="33"/>
  <c r="BH1706" i="33"/>
  <c r="BA1706" i="33"/>
  <c r="AT1706" i="33"/>
  <c r="AM1706" i="33"/>
  <c r="AF1706" i="33"/>
  <c r="Y1706" i="33"/>
  <c r="R1706" i="33"/>
  <c r="K1706" i="33"/>
  <c r="DE1705" i="33"/>
  <c r="CX1705" i="33"/>
  <c r="CI1705" i="33"/>
  <c r="J1711" i="33" s="1"/>
  <c r="CI1711" i="33" s="1"/>
  <c r="J1717" i="33" s="1"/>
  <c r="CI1717" i="33" s="1"/>
  <c r="J1723" i="33" s="1"/>
  <c r="CI1723" i="33" s="1"/>
  <c r="J1729" i="33" s="1"/>
  <c r="CI1729" i="33" s="1"/>
  <c r="CH1705" i="33"/>
  <c r="I1711" i="33" s="1"/>
  <c r="CH1711" i="33" s="1"/>
  <c r="I1717" i="33" s="1"/>
  <c r="CH1717" i="33" s="1"/>
  <c r="I1723" i="33" s="1"/>
  <c r="CH1723" i="33" s="1"/>
  <c r="I1729" i="33" s="1"/>
  <c r="CH1729" i="33" s="1"/>
  <c r="CG1705" i="33"/>
  <c r="H1711" i="33" s="1"/>
  <c r="CG1711" i="33" s="1"/>
  <c r="H1717" i="33" s="1"/>
  <c r="CG1717" i="33" s="1"/>
  <c r="H1723" i="33" s="1"/>
  <c r="CG1723" i="33" s="1"/>
  <c r="H1729" i="33" s="1"/>
  <c r="CG1729" i="33" s="1"/>
  <c r="CF1705" i="33"/>
  <c r="G1711" i="33" s="1"/>
  <c r="CF1711" i="33" s="1"/>
  <c r="G1717" i="33" s="1"/>
  <c r="CF1717" i="33" s="1"/>
  <c r="G1723" i="33" s="1"/>
  <c r="CF1723" i="33" s="1"/>
  <c r="G1729" i="33" s="1"/>
  <c r="CF1729" i="33" s="1"/>
  <c r="CE1705" i="33"/>
  <c r="F1711" i="33" s="1"/>
  <c r="CC1705" i="33"/>
  <c r="BV1705" i="33"/>
  <c r="BO1705" i="33"/>
  <c r="BH1705" i="33"/>
  <c r="BA1705" i="33"/>
  <c r="AT1705" i="33"/>
  <c r="AM1705" i="33"/>
  <c r="AF1705" i="33"/>
  <c r="Y1705" i="33"/>
  <c r="R1705" i="33"/>
  <c r="K1705" i="33"/>
  <c r="DE1704" i="33"/>
  <c r="CX1704" i="33"/>
  <c r="CI1704" i="33"/>
  <c r="J1710" i="33" s="1"/>
  <c r="CI1710" i="33" s="1"/>
  <c r="J1716" i="33" s="1"/>
  <c r="CI1716" i="33" s="1"/>
  <c r="J1722" i="33" s="1"/>
  <c r="CI1722" i="33" s="1"/>
  <c r="J1728" i="33" s="1"/>
  <c r="CI1728" i="33" s="1"/>
  <c r="CH1704" i="33"/>
  <c r="I1710" i="33" s="1"/>
  <c r="CH1710" i="33" s="1"/>
  <c r="I1716" i="33" s="1"/>
  <c r="CH1716" i="33" s="1"/>
  <c r="I1722" i="33" s="1"/>
  <c r="CH1722" i="33" s="1"/>
  <c r="I1728" i="33" s="1"/>
  <c r="CH1728" i="33" s="1"/>
  <c r="CG1704" i="33"/>
  <c r="H1710" i="33" s="1"/>
  <c r="CG1710" i="33" s="1"/>
  <c r="H1716" i="33" s="1"/>
  <c r="CG1716" i="33" s="1"/>
  <c r="H1722" i="33" s="1"/>
  <c r="CG1722" i="33" s="1"/>
  <c r="H1728" i="33" s="1"/>
  <c r="CG1728" i="33" s="1"/>
  <c r="CF1704" i="33"/>
  <c r="G1710" i="33" s="1"/>
  <c r="CF1710" i="33" s="1"/>
  <c r="G1716" i="33" s="1"/>
  <c r="CF1716" i="33" s="1"/>
  <c r="G1722" i="33" s="1"/>
  <c r="CF1722" i="33" s="1"/>
  <c r="G1728" i="33" s="1"/>
  <c r="CF1728" i="33" s="1"/>
  <c r="CE1704" i="33"/>
  <c r="CJ1704" i="33" s="1"/>
  <c r="CC1704" i="33"/>
  <c r="BV1704" i="33"/>
  <c r="BO1704" i="33"/>
  <c r="BH1704" i="33"/>
  <c r="BA1704" i="33"/>
  <c r="AT1704" i="33"/>
  <c r="AM1704" i="33"/>
  <c r="AF1704" i="33"/>
  <c r="AF1707" i="33" s="1"/>
  <c r="Y1704" i="33"/>
  <c r="R1704" i="33"/>
  <c r="K1704" i="33"/>
  <c r="DE1703" i="33"/>
  <c r="DE1707" i="33" s="1"/>
  <c r="CX1703" i="33"/>
  <c r="CX1707" i="33" s="1"/>
  <c r="CI1703" i="33"/>
  <c r="O334" i="34" s="1" a="1"/>
  <c r="O334" i="34" s="1"/>
  <c r="CH1703" i="33"/>
  <c r="I1709" i="33" s="1"/>
  <c r="CG1703" i="33"/>
  <c r="CG1707" i="33" s="1"/>
  <c r="CF1703" i="33"/>
  <c r="CF1707" i="33" s="1"/>
  <c r="CE1703" i="33"/>
  <c r="CE1707" i="33" s="1"/>
  <c r="CC1703" i="33"/>
  <c r="CC1707" i="33" s="1"/>
  <c r="BV1703" i="33"/>
  <c r="BV1707" i="33" s="1"/>
  <c r="BO1703" i="33"/>
  <c r="BO1707" i="33" s="1"/>
  <c r="BH1703" i="33"/>
  <c r="BH1707" i="33" s="1"/>
  <c r="BA1703" i="33"/>
  <c r="BA1707" i="33" s="1"/>
  <c r="AT1703" i="33"/>
  <c r="AT1707" i="33" s="1"/>
  <c r="AM1703" i="33"/>
  <c r="AM1707" i="33" s="1"/>
  <c r="AF1703" i="33"/>
  <c r="Y1703" i="33"/>
  <c r="Y1707" i="33" s="1"/>
  <c r="R1703" i="33"/>
  <c r="R1707" i="33" s="1"/>
  <c r="K1703" i="33"/>
  <c r="K1707" i="33" s="1"/>
  <c r="DD1699" i="33"/>
  <c r="DC1699" i="33"/>
  <c r="DB1699" i="33"/>
  <c r="DA1699" i="33"/>
  <c r="CZ1699" i="33"/>
  <c r="CX1699" i="33"/>
  <c r="CW1699" i="33"/>
  <c r="CV1699" i="33"/>
  <c r="CU1699" i="33"/>
  <c r="CT1699" i="33"/>
  <c r="CS1699" i="33"/>
  <c r="CP1699" i="33"/>
  <c r="CO1699" i="33"/>
  <c r="CN1699" i="33"/>
  <c r="CM1699" i="33"/>
  <c r="CL1699" i="33"/>
  <c r="CC1699" i="33"/>
  <c r="CB1699" i="33"/>
  <c r="CA1699" i="33"/>
  <c r="BZ1699" i="33"/>
  <c r="BY1699" i="33"/>
  <c r="BX1699" i="33"/>
  <c r="BU1699" i="33"/>
  <c r="BT1699" i="33"/>
  <c r="BS1699" i="33"/>
  <c r="BR1699" i="33"/>
  <c r="BQ1699" i="33"/>
  <c r="BN1699" i="33"/>
  <c r="BM1699" i="33"/>
  <c r="BL1699" i="33"/>
  <c r="BK1699" i="33"/>
  <c r="BJ1699" i="33"/>
  <c r="BG1699" i="33"/>
  <c r="BF1699" i="33"/>
  <c r="BE1699" i="33"/>
  <c r="BD1699" i="33"/>
  <c r="BC1699" i="33"/>
  <c r="AZ1699" i="33"/>
  <c r="AY1699" i="33"/>
  <c r="AX1699" i="33"/>
  <c r="AW1699" i="33"/>
  <c r="AV1699" i="33"/>
  <c r="AS1699" i="33"/>
  <c r="AR1699" i="33"/>
  <c r="AQ1699" i="33"/>
  <c r="AP1699" i="33"/>
  <c r="AO1699" i="33"/>
  <c r="AL1699" i="33"/>
  <c r="AK1699" i="33"/>
  <c r="AJ1699" i="33"/>
  <c r="AI1699" i="33"/>
  <c r="AH1699" i="33"/>
  <c r="AE1699" i="33"/>
  <c r="AD1699" i="33"/>
  <c r="AC1699" i="33"/>
  <c r="AB1699" i="33"/>
  <c r="AA1699" i="33"/>
  <c r="Y1699" i="33"/>
  <c r="X1699" i="33"/>
  <c r="W1699" i="33"/>
  <c r="V1699" i="33"/>
  <c r="U1699" i="33"/>
  <c r="T1699" i="33"/>
  <c r="Q1699" i="33"/>
  <c r="P1699" i="33"/>
  <c r="O1699" i="33"/>
  <c r="N1699" i="33"/>
  <c r="M1699" i="33"/>
  <c r="DE1698" i="33"/>
  <c r="CX1698" i="33"/>
  <c r="CC1698" i="33"/>
  <c r="BV1698" i="33"/>
  <c r="BO1698" i="33"/>
  <c r="BH1698" i="33"/>
  <c r="BA1698" i="33"/>
  <c r="AT1698" i="33"/>
  <c r="AT1699" i="33" s="1"/>
  <c r="AM1698" i="33"/>
  <c r="AF1698" i="33"/>
  <c r="Y1698" i="33"/>
  <c r="R1698" i="33"/>
  <c r="DE1697" i="33"/>
  <c r="CX1697" i="33"/>
  <c r="CC1697" i="33"/>
  <c r="BV1697" i="33"/>
  <c r="BO1697" i="33"/>
  <c r="BH1697" i="33"/>
  <c r="BA1697" i="33"/>
  <c r="BA1699" i="33" s="1"/>
  <c r="AT1697" i="33"/>
  <c r="AM1697" i="33"/>
  <c r="AF1697" i="33"/>
  <c r="Y1697" i="33"/>
  <c r="R1697" i="33"/>
  <c r="DE1696" i="33"/>
  <c r="CX1696" i="33"/>
  <c r="CC1696" i="33"/>
  <c r="BV1696" i="33"/>
  <c r="BO1696" i="33"/>
  <c r="BH1696" i="33"/>
  <c r="BA1696" i="33"/>
  <c r="AT1696" i="33"/>
  <c r="AM1696" i="33"/>
  <c r="AF1696" i="33"/>
  <c r="Y1696" i="33"/>
  <c r="R1696" i="33"/>
  <c r="DE1695" i="33"/>
  <c r="DE1699" i="33" s="1"/>
  <c r="CX1695" i="33"/>
  <c r="CC1695" i="33"/>
  <c r="BV1695" i="33"/>
  <c r="BV1699" i="33" s="1"/>
  <c r="BO1695" i="33"/>
  <c r="BO1699" i="33" s="1"/>
  <c r="BH1695" i="33"/>
  <c r="BH1699" i="33" s="1"/>
  <c r="BA1695" i="33"/>
  <c r="AT1695" i="33"/>
  <c r="AM1695" i="33"/>
  <c r="AM1699" i="33" s="1"/>
  <c r="AF1695" i="33"/>
  <c r="AF1699" i="33" s="1"/>
  <c r="Y1695" i="33"/>
  <c r="R1695" i="33"/>
  <c r="R1699" i="33" s="1"/>
  <c r="DD1693" i="33"/>
  <c r="DC1693" i="33"/>
  <c r="DB1693" i="33"/>
  <c r="DA1693" i="33"/>
  <c r="CZ1693" i="33"/>
  <c r="CW1693" i="33"/>
  <c r="CV1693" i="33"/>
  <c r="CU1693" i="33"/>
  <c r="CT1693" i="33"/>
  <c r="CS1693" i="33"/>
  <c r="CP1693" i="33"/>
  <c r="CO1693" i="33"/>
  <c r="CN1693" i="33"/>
  <c r="CM1693" i="33"/>
  <c r="CL1693" i="33"/>
  <c r="CB1693" i="33"/>
  <c r="CA1693" i="33"/>
  <c r="BZ1693" i="33"/>
  <c r="BY1693" i="33"/>
  <c r="BX1693" i="33"/>
  <c r="BU1693" i="33"/>
  <c r="BT1693" i="33"/>
  <c r="BS1693" i="33"/>
  <c r="BR1693" i="33"/>
  <c r="BQ1693" i="33"/>
  <c r="BN1693" i="33"/>
  <c r="BM1693" i="33"/>
  <c r="BL1693" i="33"/>
  <c r="BK1693" i="33"/>
  <c r="BJ1693" i="33"/>
  <c r="BH1693" i="33"/>
  <c r="BG1693" i="33"/>
  <c r="BF1693" i="33"/>
  <c r="BE1693" i="33"/>
  <c r="BD1693" i="33"/>
  <c r="BC1693" i="33"/>
  <c r="AZ1693" i="33"/>
  <c r="AY1693" i="33"/>
  <c r="AX1693" i="33"/>
  <c r="AW1693" i="33"/>
  <c r="AV1693" i="33"/>
  <c r="AS1693" i="33"/>
  <c r="AR1693" i="33"/>
  <c r="AQ1693" i="33"/>
  <c r="AP1693" i="33"/>
  <c r="AO1693" i="33"/>
  <c r="AL1693" i="33"/>
  <c r="AK1693" i="33"/>
  <c r="AJ1693" i="33"/>
  <c r="AI1693" i="33"/>
  <c r="AH1693" i="33"/>
  <c r="AE1693" i="33"/>
  <c r="AD1693" i="33"/>
  <c r="AC1693" i="33"/>
  <c r="AB1693" i="33"/>
  <c r="AA1693" i="33"/>
  <c r="X1693" i="33"/>
  <c r="W1693" i="33"/>
  <c r="V1693" i="33"/>
  <c r="U1693" i="33"/>
  <c r="T1693" i="33"/>
  <c r="Q1693" i="33"/>
  <c r="P1693" i="33"/>
  <c r="O1693" i="33"/>
  <c r="N1693" i="33"/>
  <c r="M1693" i="33"/>
  <c r="DE1692" i="33"/>
  <c r="CX1692" i="33"/>
  <c r="CC1692" i="33"/>
  <c r="BV1692" i="33"/>
  <c r="BO1692" i="33"/>
  <c r="BH1692" i="33"/>
  <c r="BA1692" i="33"/>
  <c r="AT1692" i="33"/>
  <c r="AM1692" i="33"/>
  <c r="AF1692" i="33"/>
  <c r="Y1692" i="33"/>
  <c r="K58" i="40" s="1"/>
  <c r="R1692" i="33"/>
  <c r="DE1691" i="33"/>
  <c r="DE1693" i="33" s="1"/>
  <c r="CX1691" i="33"/>
  <c r="CC1691" i="33"/>
  <c r="BV1691" i="33"/>
  <c r="BO1691" i="33"/>
  <c r="BO1693" i="33" s="1"/>
  <c r="BH1691" i="33"/>
  <c r="BA1691" i="33"/>
  <c r="AT1691" i="33"/>
  <c r="AM1691" i="33"/>
  <c r="AF1691" i="33"/>
  <c r="AF1693" i="33" s="1"/>
  <c r="Y1691" i="33"/>
  <c r="R1691" i="33"/>
  <c r="DE1690" i="33"/>
  <c r="CX1690" i="33"/>
  <c r="CC1690" i="33"/>
  <c r="BV1690" i="33"/>
  <c r="BV1693" i="33" s="1"/>
  <c r="BO1690" i="33"/>
  <c r="BH1690" i="33"/>
  <c r="BA1690" i="33"/>
  <c r="AT1690" i="33"/>
  <c r="AM1690" i="33"/>
  <c r="AF1690" i="33"/>
  <c r="Y1690" i="33"/>
  <c r="R1690" i="33"/>
  <c r="R1693" i="33" s="1"/>
  <c r="DE1689" i="33"/>
  <c r="CX1689" i="33"/>
  <c r="CX1693" i="33" s="1"/>
  <c r="CC1689" i="33"/>
  <c r="CC1693" i="33" s="1"/>
  <c r="BV1689" i="33"/>
  <c r="BO1689" i="33"/>
  <c r="BH1689" i="33"/>
  <c r="BA1689" i="33"/>
  <c r="BA1693" i="33" s="1"/>
  <c r="AT1689" i="33"/>
  <c r="AT1693" i="33" s="1"/>
  <c r="AM1689" i="33"/>
  <c r="AM1693" i="33" s="1"/>
  <c r="AF1689" i="33"/>
  <c r="Y1689" i="33"/>
  <c r="Y1693" i="33" s="1"/>
  <c r="R1689" i="33"/>
  <c r="DD1687" i="33"/>
  <c r="DC1687" i="33"/>
  <c r="DB1687" i="33"/>
  <c r="DA1687" i="33"/>
  <c r="CZ1687" i="33"/>
  <c r="CW1687" i="33"/>
  <c r="CV1687" i="33"/>
  <c r="CU1687" i="33"/>
  <c r="CT1687" i="33"/>
  <c r="CS1687" i="33"/>
  <c r="CP1687" i="33"/>
  <c r="CO1687" i="33"/>
  <c r="CN1687" i="33"/>
  <c r="CM1687" i="33"/>
  <c r="CL1687" i="33"/>
  <c r="CB1687" i="33"/>
  <c r="CA1687" i="33"/>
  <c r="BZ1687" i="33"/>
  <c r="BY1687" i="33"/>
  <c r="BX1687" i="33"/>
  <c r="BU1687" i="33"/>
  <c r="BT1687" i="33"/>
  <c r="BS1687" i="33"/>
  <c r="BR1687" i="33"/>
  <c r="BQ1687" i="33"/>
  <c r="BN1687" i="33"/>
  <c r="BM1687" i="33"/>
  <c r="BL1687" i="33"/>
  <c r="BK1687" i="33"/>
  <c r="BJ1687" i="33"/>
  <c r="BG1687" i="33"/>
  <c r="BF1687" i="33"/>
  <c r="BE1687" i="33"/>
  <c r="BD1687" i="33"/>
  <c r="BC1687" i="33"/>
  <c r="AZ1687" i="33"/>
  <c r="AY1687" i="33"/>
  <c r="AX1687" i="33"/>
  <c r="AW1687" i="33"/>
  <c r="AV1687" i="33"/>
  <c r="AT1687" i="33"/>
  <c r="AS1687" i="33"/>
  <c r="AR1687" i="33"/>
  <c r="AQ1687" i="33"/>
  <c r="AP1687" i="33"/>
  <c r="AO1687" i="33"/>
  <c r="AL1687" i="33"/>
  <c r="AK1687" i="33"/>
  <c r="AJ1687" i="33"/>
  <c r="AI1687" i="33"/>
  <c r="AH1687" i="33"/>
  <c r="AE1687" i="33"/>
  <c r="AD1687" i="33"/>
  <c r="AC1687" i="33"/>
  <c r="AB1687" i="33"/>
  <c r="AA1687" i="33"/>
  <c r="X1687" i="33"/>
  <c r="W1687" i="33"/>
  <c r="V1687" i="33"/>
  <c r="U1687" i="33"/>
  <c r="T1687" i="33"/>
  <c r="Q1687" i="33"/>
  <c r="P1687" i="33"/>
  <c r="O1687" i="33"/>
  <c r="N1687" i="33"/>
  <c r="M1687" i="33"/>
  <c r="DE1686" i="33"/>
  <c r="CX1686" i="33"/>
  <c r="CC1686" i="33"/>
  <c r="BV1686" i="33"/>
  <c r="BO1686" i="33"/>
  <c r="BH1686" i="33"/>
  <c r="BA1686" i="33"/>
  <c r="AT1686" i="33"/>
  <c r="AM1686" i="33"/>
  <c r="AF1686" i="33"/>
  <c r="Y1686" i="33"/>
  <c r="R1686" i="33"/>
  <c r="DE1685" i="33"/>
  <c r="CX1685" i="33"/>
  <c r="CC1685" i="33"/>
  <c r="BV1685" i="33"/>
  <c r="BO1685" i="33"/>
  <c r="BO1687" i="33" s="1"/>
  <c r="BH1685" i="33"/>
  <c r="BA1685" i="33"/>
  <c r="AT1685" i="33"/>
  <c r="AM1685" i="33"/>
  <c r="AF1685" i="33"/>
  <c r="Y1685" i="33"/>
  <c r="R1685" i="33"/>
  <c r="DE1684" i="33"/>
  <c r="CX1684" i="33"/>
  <c r="T58" i="40"/>
  <c r="CC1684" i="33"/>
  <c r="BV1684" i="33"/>
  <c r="BV1687" i="33" s="1"/>
  <c r="BO1684" i="33"/>
  <c r="BH1684" i="33"/>
  <c r="BA1684" i="33"/>
  <c r="AT1684" i="33"/>
  <c r="AM1684" i="33"/>
  <c r="AF1684" i="33"/>
  <c r="Y1684" i="33"/>
  <c r="R1684" i="33"/>
  <c r="R1687" i="33" s="1"/>
  <c r="DE1683" i="33"/>
  <c r="DE1687" i="33" s="1"/>
  <c r="CX1683" i="33"/>
  <c r="CX1687" i="33" s="1"/>
  <c r="CC1683" i="33"/>
  <c r="CC1687" i="33" s="1"/>
  <c r="BV1683" i="33"/>
  <c r="BO1683" i="33"/>
  <c r="BH1683" i="33"/>
  <c r="BH1687" i="33" s="1"/>
  <c r="BA1683" i="33"/>
  <c r="BA1687" i="33" s="1"/>
  <c r="AT1683" i="33"/>
  <c r="AM1683" i="33"/>
  <c r="AM1687" i="33" s="1"/>
  <c r="AF1683" i="33"/>
  <c r="AF1687" i="33" s="1"/>
  <c r="Y1683" i="33"/>
  <c r="Y1687" i="33" s="1"/>
  <c r="R1683" i="33"/>
  <c r="DE1681" i="33"/>
  <c r="DD1681" i="33"/>
  <c r="DC1681" i="33"/>
  <c r="DB1681" i="33"/>
  <c r="DA1681" i="33"/>
  <c r="CZ1681" i="33"/>
  <c r="CX1681" i="33"/>
  <c r="CW1681" i="33"/>
  <c r="CV1681" i="33"/>
  <c r="CU1681" i="33"/>
  <c r="CT1681" i="33"/>
  <c r="CS1681" i="33"/>
  <c r="CP1681" i="33"/>
  <c r="CO1681" i="33"/>
  <c r="CN1681" i="33"/>
  <c r="CM1681" i="33"/>
  <c r="CL1681" i="33"/>
  <c r="CC1681" i="33"/>
  <c r="CB1681" i="33"/>
  <c r="CA1681" i="33"/>
  <c r="BZ1681" i="33"/>
  <c r="BY1681" i="33"/>
  <c r="BX1681" i="33"/>
  <c r="BU1681" i="33"/>
  <c r="BT1681" i="33"/>
  <c r="BS1681" i="33"/>
  <c r="BR1681" i="33"/>
  <c r="BQ1681" i="33"/>
  <c r="BN1681" i="33"/>
  <c r="BM1681" i="33"/>
  <c r="BL1681" i="33"/>
  <c r="BK1681" i="33"/>
  <c r="BJ1681" i="33"/>
  <c r="BG1681" i="33"/>
  <c r="BF1681" i="33"/>
  <c r="BE1681" i="33"/>
  <c r="BD1681" i="33"/>
  <c r="BC1681" i="33"/>
  <c r="AZ1681" i="33"/>
  <c r="AY1681" i="33"/>
  <c r="AX1681" i="33"/>
  <c r="AW1681" i="33"/>
  <c r="AV1681" i="33"/>
  <c r="AS1681" i="33"/>
  <c r="AR1681" i="33"/>
  <c r="AQ1681" i="33"/>
  <c r="AP1681" i="33"/>
  <c r="AO1681" i="33"/>
  <c r="AL1681" i="33"/>
  <c r="AK1681" i="33"/>
  <c r="AJ1681" i="33"/>
  <c r="AI1681" i="33"/>
  <c r="AH1681" i="33"/>
  <c r="AE1681" i="33"/>
  <c r="AD1681" i="33"/>
  <c r="AC1681" i="33"/>
  <c r="AB1681" i="33"/>
  <c r="AA1681" i="33"/>
  <c r="Y1681" i="33"/>
  <c r="X1681" i="33"/>
  <c r="W1681" i="33"/>
  <c r="V1681" i="33"/>
  <c r="U1681" i="33"/>
  <c r="T1681" i="33"/>
  <c r="Q1681" i="33"/>
  <c r="P1681" i="33"/>
  <c r="O1681" i="33"/>
  <c r="N1681" i="33"/>
  <c r="M1681" i="33"/>
  <c r="DE1680" i="33"/>
  <c r="CX1680" i="33"/>
  <c r="CC1680" i="33"/>
  <c r="BV1680" i="33"/>
  <c r="BO1680" i="33"/>
  <c r="BH1680" i="33"/>
  <c r="BA1680" i="33"/>
  <c r="AT1680" i="33"/>
  <c r="AM1680" i="33"/>
  <c r="S58" i="40" s="1"/>
  <c r="AF1680" i="33"/>
  <c r="Y1680" i="33"/>
  <c r="R1680" i="33"/>
  <c r="H1680" i="33"/>
  <c r="CG1680" i="33" s="1"/>
  <c r="H1686" i="33" s="1"/>
  <c r="CG1686" i="33" s="1"/>
  <c r="H1692" i="33" s="1"/>
  <c r="CG1692" i="33" s="1"/>
  <c r="H1698" i="33" s="1"/>
  <c r="CG1698" i="33" s="1"/>
  <c r="G1680" i="33"/>
  <c r="CF1680" i="33" s="1"/>
  <c r="G1686" i="33" s="1"/>
  <c r="CF1686" i="33" s="1"/>
  <c r="G1692" i="33" s="1"/>
  <c r="CF1692" i="33" s="1"/>
  <c r="G1698" i="33" s="1"/>
  <c r="CF1698" i="33" s="1"/>
  <c r="DE1679" i="33"/>
  <c r="CX1679" i="33"/>
  <c r="CC1679" i="33"/>
  <c r="BV1679" i="33"/>
  <c r="BO1679" i="33"/>
  <c r="BH1679" i="33"/>
  <c r="BA1679" i="33"/>
  <c r="AT1679" i="33"/>
  <c r="AM1679" i="33"/>
  <c r="AF1679" i="33"/>
  <c r="Y1679" i="33"/>
  <c r="R1679" i="33"/>
  <c r="DE1678" i="33"/>
  <c r="CX1678" i="33"/>
  <c r="CC1678" i="33"/>
  <c r="BV1678" i="33"/>
  <c r="BO1678" i="33"/>
  <c r="BH1678" i="33"/>
  <c r="BA1678" i="33"/>
  <c r="BA1681" i="33" s="1"/>
  <c r="AT1678" i="33"/>
  <c r="AM1678" i="33"/>
  <c r="AF1678" i="33"/>
  <c r="AF1681" i="33" s="1"/>
  <c r="Y1678" i="33"/>
  <c r="R1678" i="33"/>
  <c r="J1678" i="33"/>
  <c r="CI1678" i="33" s="1"/>
  <c r="J1684" i="33" s="1"/>
  <c r="CI1684" i="33" s="1"/>
  <c r="J1690" i="33" s="1"/>
  <c r="CI1690" i="33" s="1"/>
  <c r="J1696" i="33" s="1"/>
  <c r="CI1696" i="33" s="1"/>
  <c r="I1678" i="33"/>
  <c r="CH1678" i="33" s="1"/>
  <c r="I1684" i="33" s="1"/>
  <c r="CH1684" i="33" s="1"/>
  <c r="I1690" i="33" s="1"/>
  <c r="CH1690" i="33" s="1"/>
  <c r="I1696" i="33" s="1"/>
  <c r="CH1696" i="33" s="1"/>
  <c r="H1678" i="33"/>
  <c r="CG1678" i="33" s="1"/>
  <c r="H1684" i="33" s="1"/>
  <c r="CG1684" i="33" s="1"/>
  <c r="H1690" i="33" s="1"/>
  <c r="CG1690" i="33" s="1"/>
  <c r="H1696" i="33" s="1"/>
  <c r="CG1696" i="33" s="1"/>
  <c r="DE1677" i="33"/>
  <c r="CX1677" i="33"/>
  <c r="CC1677" i="33"/>
  <c r="BV1677" i="33"/>
  <c r="BV1681" i="33" s="1"/>
  <c r="BO1677" i="33"/>
  <c r="BO1681" i="33" s="1"/>
  <c r="BH1677" i="33"/>
  <c r="BH1681" i="33" s="1"/>
  <c r="BA1677" i="33"/>
  <c r="AT1677" i="33"/>
  <c r="AT1681" i="33" s="1"/>
  <c r="AM1677" i="33"/>
  <c r="AM1681" i="33" s="1"/>
  <c r="AF1677" i="33"/>
  <c r="Y1677" i="33"/>
  <c r="R1677" i="33"/>
  <c r="R1681" i="33" s="1"/>
  <c r="J1677" i="33"/>
  <c r="DD1675" i="33"/>
  <c r="DC1675" i="33"/>
  <c r="DB1675" i="33"/>
  <c r="DA1675" i="33"/>
  <c r="CZ1675" i="33"/>
  <c r="CW1675" i="33"/>
  <c r="CV1675" i="33"/>
  <c r="CU1675" i="33"/>
  <c r="CT1675" i="33"/>
  <c r="CS1675" i="33"/>
  <c r="CP1675" i="33"/>
  <c r="CO1675" i="33"/>
  <c r="CN1675" i="33"/>
  <c r="CM1675" i="33"/>
  <c r="CL1675" i="33"/>
  <c r="CI1675" i="33"/>
  <c r="CH1675" i="33"/>
  <c r="CB1675" i="33"/>
  <c r="CA1675" i="33"/>
  <c r="BZ1675" i="33"/>
  <c r="BY1675" i="33"/>
  <c r="BX1675" i="33"/>
  <c r="BU1675" i="33"/>
  <c r="BT1675" i="33"/>
  <c r="BS1675" i="33"/>
  <c r="BR1675" i="33"/>
  <c r="BQ1675" i="33"/>
  <c r="BO1675" i="33"/>
  <c r="BN1675" i="33"/>
  <c r="BM1675" i="33"/>
  <c r="BL1675" i="33"/>
  <c r="BK1675" i="33"/>
  <c r="BJ1675" i="33"/>
  <c r="BG1675" i="33"/>
  <c r="BF1675" i="33"/>
  <c r="BE1675" i="33"/>
  <c r="BD1675" i="33"/>
  <c r="BC1675" i="33"/>
  <c r="AZ1675" i="33"/>
  <c r="AY1675" i="33"/>
  <c r="AX1675" i="33"/>
  <c r="AW1675" i="33"/>
  <c r="AV1675" i="33"/>
  <c r="AS1675" i="33"/>
  <c r="AR1675" i="33"/>
  <c r="AQ1675" i="33"/>
  <c r="AP1675" i="33"/>
  <c r="AO1675" i="33"/>
  <c r="AM1675" i="33"/>
  <c r="AL1675" i="33"/>
  <c r="AK1675" i="33"/>
  <c r="AJ1675" i="33"/>
  <c r="AI1675" i="33"/>
  <c r="AH1675" i="33"/>
  <c r="AE1675" i="33"/>
  <c r="AD1675" i="33"/>
  <c r="AC1675" i="33"/>
  <c r="AB1675" i="33"/>
  <c r="AA1675" i="33"/>
  <c r="X1675" i="33"/>
  <c r="W1675" i="33"/>
  <c r="V1675" i="33"/>
  <c r="U1675" i="33"/>
  <c r="T1675" i="33"/>
  <c r="Q1675" i="33"/>
  <c r="P1675" i="33"/>
  <c r="O1675" i="33"/>
  <c r="N1675" i="33"/>
  <c r="M1675" i="33"/>
  <c r="K1675" i="33"/>
  <c r="J1675" i="33"/>
  <c r="I1675" i="33"/>
  <c r="H1675" i="33"/>
  <c r="G1675" i="33"/>
  <c r="F1675" i="33"/>
  <c r="DE1674" i="33"/>
  <c r="CX1674" i="33"/>
  <c r="CI1674" i="33"/>
  <c r="J1680" i="33" s="1"/>
  <c r="CI1680" i="33" s="1"/>
  <c r="J1686" i="33" s="1"/>
  <c r="CI1686" i="33" s="1"/>
  <c r="J1692" i="33" s="1"/>
  <c r="CI1692" i="33" s="1"/>
  <c r="J1698" i="33" s="1"/>
  <c r="CI1698" i="33" s="1"/>
  <c r="CH1674" i="33"/>
  <c r="I1680" i="33" s="1"/>
  <c r="CH1680" i="33" s="1"/>
  <c r="I1686" i="33" s="1"/>
  <c r="CH1686" i="33" s="1"/>
  <c r="I1692" i="33" s="1"/>
  <c r="CH1692" i="33" s="1"/>
  <c r="I1698" i="33" s="1"/>
  <c r="CH1698" i="33" s="1"/>
  <c r="CG1674" i="33"/>
  <c r="CF1674" i="33"/>
  <c r="CE1674" i="33"/>
  <c r="F1680" i="33" s="1"/>
  <c r="CC1674" i="33"/>
  <c r="BV1674" i="33"/>
  <c r="BO1674" i="33"/>
  <c r="BH1674" i="33"/>
  <c r="BA1674" i="33"/>
  <c r="AT1674" i="33"/>
  <c r="AM1674" i="33"/>
  <c r="AF1674" i="33"/>
  <c r="Y1674" i="33"/>
  <c r="R1674" i="33"/>
  <c r="K1674" i="33"/>
  <c r="DE1673" i="33"/>
  <c r="CX1673" i="33"/>
  <c r="CI1673" i="33"/>
  <c r="J1679" i="33" s="1"/>
  <c r="CI1679" i="33" s="1"/>
  <c r="J1685" i="33" s="1"/>
  <c r="CI1685" i="33" s="1"/>
  <c r="J1691" i="33" s="1"/>
  <c r="CI1691" i="33" s="1"/>
  <c r="J1697" i="33" s="1"/>
  <c r="CI1697" i="33" s="1"/>
  <c r="CH1673" i="33"/>
  <c r="I1679" i="33" s="1"/>
  <c r="CH1679" i="33" s="1"/>
  <c r="I1685" i="33" s="1"/>
  <c r="CH1685" i="33" s="1"/>
  <c r="I1691" i="33" s="1"/>
  <c r="CH1691" i="33" s="1"/>
  <c r="I1697" i="33" s="1"/>
  <c r="CH1697" i="33" s="1"/>
  <c r="CG1673" i="33"/>
  <c r="H1679" i="33" s="1"/>
  <c r="CG1679" i="33" s="1"/>
  <c r="H1685" i="33" s="1"/>
  <c r="CG1685" i="33" s="1"/>
  <c r="H1691" i="33" s="1"/>
  <c r="CG1691" i="33" s="1"/>
  <c r="H1697" i="33" s="1"/>
  <c r="CG1697" i="33" s="1"/>
  <c r="CF1673" i="33"/>
  <c r="G1679" i="33" s="1"/>
  <c r="CF1679" i="33" s="1"/>
  <c r="G1685" i="33" s="1"/>
  <c r="CF1685" i="33" s="1"/>
  <c r="G1691" i="33" s="1"/>
  <c r="CF1691" i="33" s="1"/>
  <c r="G1697" i="33" s="1"/>
  <c r="CF1697" i="33" s="1"/>
  <c r="CE1673" i="33"/>
  <c r="F1679" i="33" s="1"/>
  <c r="CC1673" i="33"/>
  <c r="BV1673" i="33"/>
  <c r="BO1673" i="33"/>
  <c r="BH1673" i="33"/>
  <c r="BA1673" i="33"/>
  <c r="AT1673" i="33"/>
  <c r="AM1673" i="33"/>
  <c r="AF1673" i="33"/>
  <c r="Y1673" i="33"/>
  <c r="R1673" i="33"/>
  <c r="K1673" i="33"/>
  <c r="DE1672" i="33"/>
  <c r="CX1672" i="33"/>
  <c r="R58" i="40"/>
  <c r="CI1672" i="33"/>
  <c r="CH1672" i="33"/>
  <c r="CG1672" i="33"/>
  <c r="CF1672" i="33"/>
  <c r="G1678" i="33" s="1"/>
  <c r="CF1678" i="33" s="1"/>
  <c r="G1684" i="33" s="1"/>
  <c r="CF1684" i="33" s="1"/>
  <c r="G1690" i="33" s="1"/>
  <c r="CF1690" i="33" s="1"/>
  <c r="G1696" i="33" s="1"/>
  <c r="CF1696" i="33" s="1"/>
  <c r="CE1672" i="33"/>
  <c r="CJ1672" i="33" s="1"/>
  <c r="CC1672" i="33"/>
  <c r="BV1672" i="33"/>
  <c r="BO1672" i="33"/>
  <c r="BH1672" i="33"/>
  <c r="BA1672" i="33"/>
  <c r="AT1672" i="33"/>
  <c r="AM1672" i="33"/>
  <c r="AF1672" i="33"/>
  <c r="AF1675" i="33" s="1"/>
  <c r="Y1672" i="33"/>
  <c r="R1672" i="33"/>
  <c r="K1672" i="33"/>
  <c r="DE1671" i="33"/>
  <c r="DE1675" i="33" s="1"/>
  <c r="CX1671" i="33"/>
  <c r="CX1675" i="33" s="1"/>
  <c r="CI1671" i="33"/>
  <c r="CH1671" i="33"/>
  <c r="I1677" i="33" s="1"/>
  <c r="CG1671" i="33"/>
  <c r="CG1675" i="33" s="1"/>
  <c r="CF1671" i="33"/>
  <c r="CF1675" i="33" s="1"/>
  <c r="CE1671" i="33"/>
  <c r="F1677" i="33" s="1"/>
  <c r="CC1671" i="33"/>
  <c r="CC1675" i="33" s="1"/>
  <c r="BV1671" i="33"/>
  <c r="BV1675" i="33" s="1"/>
  <c r="BO1671" i="33"/>
  <c r="BH1671" i="33"/>
  <c r="BH1675" i="33" s="1"/>
  <c r="BA1671" i="33"/>
  <c r="BA1675" i="33" s="1"/>
  <c r="AT1671" i="33"/>
  <c r="AT1675" i="33" s="1"/>
  <c r="AM1671" i="33"/>
  <c r="AF1671" i="33"/>
  <c r="Y1671" i="33"/>
  <c r="Y1675" i="33" s="1"/>
  <c r="R1671" i="33"/>
  <c r="R1675" i="33" s="1"/>
  <c r="K1671" i="33"/>
  <c r="DD1667" i="33"/>
  <c r="DC1667" i="33"/>
  <c r="DB1667" i="33"/>
  <c r="DA1667" i="33"/>
  <c r="CZ1667" i="33"/>
  <c r="CX1667" i="33"/>
  <c r="CW1667" i="33"/>
  <c r="CV1667" i="33"/>
  <c r="CU1667" i="33"/>
  <c r="CT1667" i="33"/>
  <c r="CS1667" i="33"/>
  <c r="CP1667" i="33"/>
  <c r="CO1667" i="33"/>
  <c r="CN1667" i="33"/>
  <c r="CM1667" i="33"/>
  <c r="CL1667" i="33"/>
  <c r="CC1667" i="33"/>
  <c r="CB1667" i="33"/>
  <c r="CA1667" i="33"/>
  <c r="BZ1667" i="33"/>
  <c r="BY1667" i="33"/>
  <c r="BX1667" i="33"/>
  <c r="BU1667" i="33"/>
  <c r="BT1667" i="33"/>
  <c r="BS1667" i="33"/>
  <c r="BR1667" i="33"/>
  <c r="BQ1667" i="33"/>
  <c r="BN1667" i="33"/>
  <c r="BM1667" i="33"/>
  <c r="BL1667" i="33"/>
  <c r="BK1667" i="33"/>
  <c r="BJ1667" i="33"/>
  <c r="BG1667" i="33"/>
  <c r="BF1667" i="33"/>
  <c r="BE1667" i="33"/>
  <c r="BD1667" i="33"/>
  <c r="BC1667" i="33"/>
  <c r="AZ1667" i="33"/>
  <c r="AY1667" i="33"/>
  <c r="AX1667" i="33"/>
  <c r="AW1667" i="33"/>
  <c r="AV1667" i="33"/>
  <c r="AS1667" i="33"/>
  <c r="AR1667" i="33"/>
  <c r="AQ1667" i="33"/>
  <c r="AP1667" i="33"/>
  <c r="AO1667" i="33"/>
  <c r="AL1667" i="33"/>
  <c r="AK1667" i="33"/>
  <c r="AJ1667" i="33"/>
  <c r="AI1667" i="33"/>
  <c r="AH1667" i="33"/>
  <c r="AE1667" i="33"/>
  <c r="AD1667" i="33"/>
  <c r="AC1667" i="33"/>
  <c r="AB1667" i="33"/>
  <c r="AA1667" i="33"/>
  <c r="Y1667" i="33"/>
  <c r="X1667" i="33"/>
  <c r="W1667" i="33"/>
  <c r="V1667" i="33"/>
  <c r="U1667" i="33"/>
  <c r="T1667" i="33"/>
  <c r="Q1667" i="33"/>
  <c r="P1667" i="33"/>
  <c r="O1667" i="33"/>
  <c r="N1667" i="33"/>
  <c r="M1667" i="33"/>
  <c r="DE1666" i="33"/>
  <c r="CX1666" i="33"/>
  <c r="CC1666" i="33"/>
  <c r="BV1666" i="33"/>
  <c r="BO1666" i="33"/>
  <c r="BH1666" i="33"/>
  <c r="BA1666" i="33"/>
  <c r="AT1666" i="33"/>
  <c r="AT1667" i="33" s="1"/>
  <c r="AM1666" i="33"/>
  <c r="AF1666" i="33"/>
  <c r="Y1666" i="33"/>
  <c r="R1666" i="33"/>
  <c r="DE1665" i="33"/>
  <c r="CX1665" i="33"/>
  <c r="CC1665" i="33"/>
  <c r="BV1665" i="33"/>
  <c r="BO1665" i="33"/>
  <c r="BH1665" i="33"/>
  <c r="BA1665" i="33"/>
  <c r="BA1667" i="33" s="1"/>
  <c r="AT1665" i="33"/>
  <c r="AM1665" i="33"/>
  <c r="AF1665" i="33"/>
  <c r="Y1665" i="33"/>
  <c r="R1665" i="33"/>
  <c r="DE1664" i="33"/>
  <c r="CX1664" i="33"/>
  <c r="CC1664" i="33"/>
  <c r="BV1664" i="33"/>
  <c r="BO1664" i="33"/>
  <c r="BH1664" i="33"/>
  <c r="BA1664" i="33"/>
  <c r="AT1664" i="33"/>
  <c r="AM1664" i="33"/>
  <c r="AF1664" i="33"/>
  <c r="Y1664" i="33"/>
  <c r="R1664" i="33"/>
  <c r="DE1663" i="33"/>
  <c r="DE1667" i="33" s="1"/>
  <c r="CX1663" i="33"/>
  <c r="V57" i="40"/>
  <c r="CC1663" i="33"/>
  <c r="BV1663" i="33"/>
  <c r="BV1667" i="33" s="1"/>
  <c r="BO1663" i="33"/>
  <c r="BO1667" i="33" s="1"/>
  <c r="BH1663" i="33"/>
  <c r="BH1667" i="33" s="1"/>
  <c r="BA1663" i="33"/>
  <c r="AT1663" i="33"/>
  <c r="AM1663" i="33"/>
  <c r="AM1667" i="33" s="1"/>
  <c r="AF1663" i="33"/>
  <c r="AF1667" i="33" s="1"/>
  <c r="Y1663" i="33"/>
  <c r="R1663" i="33"/>
  <c r="R1667" i="33" s="1"/>
  <c r="DD1661" i="33"/>
  <c r="DC1661" i="33"/>
  <c r="DB1661" i="33"/>
  <c r="DA1661" i="33"/>
  <c r="CZ1661" i="33"/>
  <c r="CW1661" i="33"/>
  <c r="CV1661" i="33"/>
  <c r="CU1661" i="33"/>
  <c r="CT1661" i="33"/>
  <c r="CS1661" i="33"/>
  <c r="CP1661" i="33"/>
  <c r="CO1661" i="33"/>
  <c r="CN1661" i="33"/>
  <c r="CM1661" i="33"/>
  <c r="CL1661" i="33"/>
  <c r="CB1661" i="33"/>
  <c r="CA1661" i="33"/>
  <c r="BZ1661" i="33"/>
  <c r="BY1661" i="33"/>
  <c r="BX1661" i="33"/>
  <c r="BU1661" i="33"/>
  <c r="BT1661" i="33"/>
  <c r="BS1661" i="33"/>
  <c r="BR1661" i="33"/>
  <c r="BQ1661" i="33"/>
  <c r="BN1661" i="33"/>
  <c r="BM1661" i="33"/>
  <c r="BL1661" i="33"/>
  <c r="BK1661" i="33"/>
  <c r="BJ1661" i="33"/>
  <c r="BH1661" i="33"/>
  <c r="BG1661" i="33"/>
  <c r="BF1661" i="33"/>
  <c r="BE1661" i="33"/>
  <c r="BD1661" i="33"/>
  <c r="BC1661" i="33"/>
  <c r="AZ1661" i="33"/>
  <c r="AY1661" i="33"/>
  <c r="AX1661" i="33"/>
  <c r="AW1661" i="33"/>
  <c r="AV1661" i="33"/>
  <c r="AS1661" i="33"/>
  <c r="AR1661" i="33"/>
  <c r="AQ1661" i="33"/>
  <c r="AP1661" i="33"/>
  <c r="AO1661" i="33"/>
  <c r="AL1661" i="33"/>
  <c r="AK1661" i="33"/>
  <c r="AJ1661" i="33"/>
  <c r="AI1661" i="33"/>
  <c r="AH1661" i="33"/>
  <c r="AE1661" i="33"/>
  <c r="AD1661" i="33"/>
  <c r="AC1661" i="33"/>
  <c r="AB1661" i="33"/>
  <c r="AA1661" i="33"/>
  <c r="X1661" i="33"/>
  <c r="W1661" i="33"/>
  <c r="V1661" i="33"/>
  <c r="U1661" i="33"/>
  <c r="T1661" i="33"/>
  <c r="Q1661" i="33"/>
  <c r="P1661" i="33"/>
  <c r="O1661" i="33"/>
  <c r="N1661" i="33"/>
  <c r="M1661" i="33"/>
  <c r="DE1660" i="33"/>
  <c r="CX1660" i="33"/>
  <c r="CC1660" i="33"/>
  <c r="BV1660" i="33"/>
  <c r="BO1660" i="33"/>
  <c r="BH1660" i="33"/>
  <c r="BA1660" i="33"/>
  <c r="AT1660" i="33"/>
  <c r="AM1660" i="33"/>
  <c r="AF1660" i="33"/>
  <c r="Y1660" i="33"/>
  <c r="K57" i="40" s="1"/>
  <c r="R1660" i="33"/>
  <c r="DE1659" i="33"/>
  <c r="DE1661" i="33" s="1"/>
  <c r="CX1659" i="33"/>
  <c r="CC1659" i="33"/>
  <c r="CC1661" i="33" s="1"/>
  <c r="BV1659" i="33"/>
  <c r="BO1659" i="33"/>
  <c r="BH1659" i="33"/>
  <c r="BA1659" i="33"/>
  <c r="AT1659" i="33"/>
  <c r="AM1659" i="33"/>
  <c r="AF1659" i="33"/>
  <c r="AF1661" i="33" s="1"/>
  <c r="Y1659" i="33"/>
  <c r="Y1661" i="33" s="1"/>
  <c r="R1659" i="33"/>
  <c r="DE1658" i="33"/>
  <c r="CX1658" i="33"/>
  <c r="CC1658" i="33"/>
  <c r="BV1658" i="33"/>
  <c r="BO1658" i="33"/>
  <c r="BH1658" i="33"/>
  <c r="BA1658" i="33"/>
  <c r="AT1658" i="33"/>
  <c r="AM1658" i="33"/>
  <c r="AF1658" i="33"/>
  <c r="Y1658" i="33"/>
  <c r="R1658" i="33"/>
  <c r="DE1657" i="33"/>
  <c r="CX1657" i="33"/>
  <c r="CX1661" i="33" s="1"/>
  <c r="CC1657" i="33"/>
  <c r="BV1657" i="33"/>
  <c r="BV1661" i="33" s="1"/>
  <c r="BO1657" i="33"/>
  <c r="BO1661" i="33" s="1"/>
  <c r="BH1657" i="33"/>
  <c r="BA1657" i="33"/>
  <c r="BA1661" i="33" s="1"/>
  <c r="AT1657" i="33"/>
  <c r="AT1661" i="33" s="1"/>
  <c r="AM1657" i="33"/>
  <c r="AM1661" i="33" s="1"/>
  <c r="AF1657" i="33"/>
  <c r="Y1657" i="33"/>
  <c r="R1657" i="33"/>
  <c r="R1661" i="33" s="1"/>
  <c r="DD1655" i="33"/>
  <c r="DC1655" i="33"/>
  <c r="DB1655" i="33"/>
  <c r="DA1655" i="33"/>
  <c r="CZ1655" i="33"/>
  <c r="CW1655" i="33"/>
  <c r="CV1655" i="33"/>
  <c r="CU1655" i="33"/>
  <c r="CT1655" i="33"/>
  <c r="CS1655" i="33"/>
  <c r="CP1655" i="33"/>
  <c r="CO1655" i="33"/>
  <c r="CN1655" i="33"/>
  <c r="CM1655" i="33"/>
  <c r="CL1655" i="33"/>
  <c r="CB1655" i="33"/>
  <c r="CA1655" i="33"/>
  <c r="BZ1655" i="33"/>
  <c r="BY1655" i="33"/>
  <c r="BX1655" i="33"/>
  <c r="BU1655" i="33"/>
  <c r="BT1655" i="33"/>
  <c r="BS1655" i="33"/>
  <c r="BR1655" i="33"/>
  <c r="BQ1655" i="33"/>
  <c r="BN1655" i="33"/>
  <c r="BM1655" i="33"/>
  <c r="BL1655" i="33"/>
  <c r="BK1655" i="33"/>
  <c r="BJ1655" i="33"/>
  <c r="BG1655" i="33"/>
  <c r="BF1655" i="33"/>
  <c r="BE1655" i="33"/>
  <c r="BD1655" i="33"/>
  <c r="BC1655" i="33"/>
  <c r="AZ1655" i="33"/>
  <c r="AY1655" i="33"/>
  <c r="AX1655" i="33"/>
  <c r="AW1655" i="33"/>
  <c r="AV1655" i="33"/>
  <c r="AT1655" i="33"/>
  <c r="AS1655" i="33"/>
  <c r="AR1655" i="33"/>
  <c r="AQ1655" i="33"/>
  <c r="AP1655" i="33"/>
  <c r="AO1655" i="33"/>
  <c r="AL1655" i="33"/>
  <c r="AK1655" i="33"/>
  <c r="AJ1655" i="33"/>
  <c r="AI1655" i="33"/>
  <c r="AH1655" i="33"/>
  <c r="AE1655" i="33"/>
  <c r="AD1655" i="33"/>
  <c r="AC1655" i="33"/>
  <c r="AB1655" i="33"/>
  <c r="AA1655" i="33"/>
  <c r="X1655" i="33"/>
  <c r="W1655" i="33"/>
  <c r="V1655" i="33"/>
  <c r="U1655" i="33"/>
  <c r="T1655" i="33"/>
  <c r="Q1655" i="33"/>
  <c r="P1655" i="33"/>
  <c r="O1655" i="33"/>
  <c r="N1655" i="33"/>
  <c r="M1655" i="33"/>
  <c r="DE1654" i="33"/>
  <c r="CX1654" i="33"/>
  <c r="CC1654" i="33"/>
  <c r="BV1654" i="33"/>
  <c r="BO1654" i="33"/>
  <c r="BH1654" i="33"/>
  <c r="BA1654" i="33"/>
  <c r="AT1654" i="33"/>
  <c r="AM1654" i="33"/>
  <c r="AF1654" i="33"/>
  <c r="Y1654" i="33"/>
  <c r="R1654" i="33"/>
  <c r="DE1653" i="33"/>
  <c r="CX1653" i="33"/>
  <c r="CC1653" i="33"/>
  <c r="BV1653" i="33"/>
  <c r="BO1653" i="33"/>
  <c r="BO1655" i="33" s="1"/>
  <c r="BH1653" i="33"/>
  <c r="BA1653" i="33"/>
  <c r="AT1653" i="33"/>
  <c r="AM1653" i="33"/>
  <c r="AF1653" i="33"/>
  <c r="Y1653" i="33"/>
  <c r="R1653" i="33"/>
  <c r="DE1652" i="33"/>
  <c r="CX1652" i="33"/>
  <c r="CC1652" i="33"/>
  <c r="BV1652" i="33"/>
  <c r="BV1655" i="33" s="1"/>
  <c r="BO1652" i="33"/>
  <c r="BH1652" i="33"/>
  <c r="BA1652" i="33"/>
  <c r="AT1652" i="33"/>
  <c r="AM1652" i="33"/>
  <c r="AF1652" i="33"/>
  <c r="Y1652" i="33"/>
  <c r="R1652" i="33"/>
  <c r="R1655" i="33" s="1"/>
  <c r="DE1651" i="33"/>
  <c r="DE1655" i="33" s="1"/>
  <c r="CX1651" i="33"/>
  <c r="CX1655" i="33" s="1"/>
  <c r="CC1651" i="33"/>
  <c r="CC1655" i="33" s="1"/>
  <c r="BV1651" i="33"/>
  <c r="BO1651" i="33"/>
  <c r="BH1651" i="33"/>
  <c r="BH1655" i="33" s="1"/>
  <c r="BA1651" i="33"/>
  <c r="BA1655" i="33" s="1"/>
  <c r="AT1651" i="33"/>
  <c r="AM1651" i="33"/>
  <c r="AM1655" i="33" s="1"/>
  <c r="AF1651" i="33"/>
  <c r="AF1655" i="33" s="1"/>
  <c r="Y1651" i="33"/>
  <c r="Y1655" i="33" s="1"/>
  <c r="R1651" i="33"/>
  <c r="DE1649" i="33"/>
  <c r="DD1649" i="33"/>
  <c r="DC1649" i="33"/>
  <c r="DB1649" i="33"/>
  <c r="DA1649" i="33"/>
  <c r="CZ1649" i="33"/>
  <c r="CX1649" i="33"/>
  <c r="CW1649" i="33"/>
  <c r="CV1649" i="33"/>
  <c r="CU1649" i="33"/>
  <c r="CT1649" i="33"/>
  <c r="CS1649" i="33"/>
  <c r="CP1649" i="33"/>
  <c r="CO1649" i="33"/>
  <c r="CN1649" i="33"/>
  <c r="CM1649" i="33"/>
  <c r="CL1649" i="33"/>
  <c r="CC1649" i="33"/>
  <c r="CB1649" i="33"/>
  <c r="CA1649" i="33"/>
  <c r="BZ1649" i="33"/>
  <c r="BY1649" i="33"/>
  <c r="BX1649" i="33"/>
  <c r="BU1649" i="33"/>
  <c r="BT1649" i="33"/>
  <c r="BS1649" i="33"/>
  <c r="BR1649" i="33"/>
  <c r="BQ1649" i="33"/>
  <c r="BN1649" i="33"/>
  <c r="BM1649" i="33"/>
  <c r="BL1649" i="33"/>
  <c r="BK1649" i="33"/>
  <c r="BJ1649" i="33"/>
  <c r="BG1649" i="33"/>
  <c r="BF1649" i="33"/>
  <c r="BE1649" i="33"/>
  <c r="BD1649" i="33"/>
  <c r="BC1649" i="33"/>
  <c r="AZ1649" i="33"/>
  <c r="AY1649" i="33"/>
  <c r="AX1649" i="33"/>
  <c r="AW1649" i="33"/>
  <c r="AV1649" i="33"/>
  <c r="AS1649" i="33"/>
  <c r="AR1649" i="33"/>
  <c r="AQ1649" i="33"/>
  <c r="AP1649" i="33"/>
  <c r="AO1649" i="33"/>
  <c r="AL1649" i="33"/>
  <c r="AK1649" i="33"/>
  <c r="AJ1649" i="33"/>
  <c r="AI1649" i="33"/>
  <c r="AH1649" i="33"/>
  <c r="AE1649" i="33"/>
  <c r="AD1649" i="33"/>
  <c r="AC1649" i="33"/>
  <c r="AB1649" i="33"/>
  <c r="AA1649" i="33"/>
  <c r="Y1649" i="33"/>
  <c r="X1649" i="33"/>
  <c r="W1649" i="33"/>
  <c r="V1649" i="33"/>
  <c r="U1649" i="33"/>
  <c r="T1649" i="33"/>
  <c r="Q1649" i="33"/>
  <c r="P1649" i="33"/>
  <c r="O1649" i="33"/>
  <c r="N1649" i="33"/>
  <c r="M1649" i="33"/>
  <c r="DE1648" i="33"/>
  <c r="CX1648" i="33"/>
  <c r="CC1648" i="33"/>
  <c r="BV1648" i="33"/>
  <c r="BO1648" i="33"/>
  <c r="BH1648" i="33"/>
  <c r="BA1648" i="33"/>
  <c r="AT1648" i="33"/>
  <c r="AM1648" i="33"/>
  <c r="S57" i="40" s="1"/>
  <c r="AF1648" i="33"/>
  <c r="AF1649" i="33" s="1"/>
  <c r="Y1648" i="33"/>
  <c r="R1648" i="33"/>
  <c r="J1648" i="33"/>
  <c r="CI1648" i="33" s="1"/>
  <c r="J1654" i="33" s="1"/>
  <c r="CI1654" i="33" s="1"/>
  <c r="J1660" i="33" s="1"/>
  <c r="CI1660" i="33" s="1"/>
  <c r="J1666" i="33" s="1"/>
  <c r="CI1666" i="33" s="1"/>
  <c r="I1648" i="33"/>
  <c r="CH1648" i="33" s="1"/>
  <c r="I1654" i="33" s="1"/>
  <c r="CH1654" i="33" s="1"/>
  <c r="I1660" i="33" s="1"/>
  <c r="CH1660" i="33" s="1"/>
  <c r="I1666" i="33" s="1"/>
  <c r="CH1666" i="33" s="1"/>
  <c r="H1648" i="33"/>
  <c r="CG1648" i="33" s="1"/>
  <c r="H1654" i="33" s="1"/>
  <c r="CG1654" i="33" s="1"/>
  <c r="H1660" i="33" s="1"/>
  <c r="CG1660" i="33" s="1"/>
  <c r="H1666" i="33" s="1"/>
  <c r="CG1666" i="33" s="1"/>
  <c r="G1648" i="33"/>
  <c r="CF1648" i="33" s="1"/>
  <c r="G1654" i="33" s="1"/>
  <c r="CF1654" i="33" s="1"/>
  <c r="G1660" i="33" s="1"/>
  <c r="CF1660" i="33" s="1"/>
  <c r="G1666" i="33" s="1"/>
  <c r="CF1666" i="33" s="1"/>
  <c r="DE1647" i="33"/>
  <c r="CX1647" i="33"/>
  <c r="CC1647" i="33"/>
  <c r="BV1647" i="33"/>
  <c r="BO1647" i="33"/>
  <c r="BH1647" i="33"/>
  <c r="BA1647" i="33"/>
  <c r="AT1647" i="33"/>
  <c r="AM1647" i="33"/>
  <c r="AF1647" i="33"/>
  <c r="Y1647" i="33"/>
  <c r="R1647" i="33"/>
  <c r="DE1646" i="33"/>
  <c r="CX1646" i="33"/>
  <c r="CC1646" i="33"/>
  <c r="BV1646" i="33"/>
  <c r="BO1646" i="33"/>
  <c r="BH1646" i="33"/>
  <c r="BA1646" i="33"/>
  <c r="BA1649" i="33" s="1"/>
  <c r="AT1646" i="33"/>
  <c r="AT1649" i="33" s="1"/>
  <c r="AM1646" i="33"/>
  <c r="AF1646" i="33"/>
  <c r="Y1646" i="33"/>
  <c r="R1646" i="33"/>
  <c r="J1646" i="33"/>
  <c r="CI1646" i="33" s="1"/>
  <c r="J1652" i="33" s="1"/>
  <c r="CI1652" i="33" s="1"/>
  <c r="J1658" i="33" s="1"/>
  <c r="CI1658" i="33" s="1"/>
  <c r="J1664" i="33" s="1"/>
  <c r="CI1664" i="33" s="1"/>
  <c r="I1646" i="33"/>
  <c r="CH1646" i="33" s="1"/>
  <c r="I1652" i="33" s="1"/>
  <c r="CH1652" i="33" s="1"/>
  <c r="I1658" i="33" s="1"/>
  <c r="CH1658" i="33" s="1"/>
  <c r="I1664" i="33" s="1"/>
  <c r="CH1664" i="33" s="1"/>
  <c r="H1646" i="33"/>
  <c r="CG1646" i="33" s="1"/>
  <c r="H1652" i="33" s="1"/>
  <c r="CG1652" i="33" s="1"/>
  <c r="H1658" i="33" s="1"/>
  <c r="CG1658" i="33" s="1"/>
  <c r="H1664" i="33" s="1"/>
  <c r="CG1664" i="33" s="1"/>
  <c r="DE1645" i="33"/>
  <c r="CX1645" i="33"/>
  <c r="CC1645" i="33"/>
  <c r="BV1645" i="33"/>
  <c r="BV1649" i="33" s="1"/>
  <c r="BO1645" i="33"/>
  <c r="BO1649" i="33" s="1"/>
  <c r="BH1645" i="33"/>
  <c r="BH1649" i="33" s="1"/>
  <c r="BA1645" i="33"/>
  <c r="AT1645" i="33"/>
  <c r="AM1645" i="33"/>
  <c r="AM1649" i="33" s="1"/>
  <c r="AF1645" i="33"/>
  <c r="Y1645" i="33"/>
  <c r="R1645" i="33"/>
  <c r="R1649" i="33" s="1"/>
  <c r="J1645" i="33"/>
  <c r="DD1643" i="33"/>
  <c r="DC1643" i="33"/>
  <c r="DB1643" i="33"/>
  <c r="DA1643" i="33"/>
  <c r="CZ1643" i="33"/>
  <c r="CW1643" i="33"/>
  <c r="CV1643" i="33"/>
  <c r="CU1643" i="33"/>
  <c r="CT1643" i="33"/>
  <c r="CS1643" i="33"/>
  <c r="CP1643" i="33"/>
  <c r="CO1643" i="33"/>
  <c r="CN1643" i="33"/>
  <c r="CM1643" i="33"/>
  <c r="CL1643" i="33"/>
  <c r="CI1643" i="33"/>
  <c r="CH1643" i="33"/>
  <c r="CB1643" i="33"/>
  <c r="CA1643" i="33"/>
  <c r="BZ1643" i="33"/>
  <c r="BY1643" i="33"/>
  <c r="BX1643" i="33"/>
  <c r="BU1643" i="33"/>
  <c r="BT1643" i="33"/>
  <c r="BS1643" i="33"/>
  <c r="BR1643" i="33"/>
  <c r="BQ1643" i="33"/>
  <c r="BO1643" i="33"/>
  <c r="BN1643" i="33"/>
  <c r="BM1643" i="33"/>
  <c r="BL1643" i="33"/>
  <c r="BK1643" i="33"/>
  <c r="BJ1643" i="33"/>
  <c r="BG1643" i="33"/>
  <c r="BF1643" i="33"/>
  <c r="BE1643" i="33"/>
  <c r="BD1643" i="33"/>
  <c r="BC1643" i="33"/>
  <c r="AZ1643" i="33"/>
  <c r="AY1643" i="33"/>
  <c r="AX1643" i="33"/>
  <c r="AW1643" i="33"/>
  <c r="AV1643" i="33"/>
  <c r="AS1643" i="33"/>
  <c r="AR1643" i="33"/>
  <c r="AQ1643" i="33"/>
  <c r="AP1643" i="33"/>
  <c r="AO1643" i="33"/>
  <c r="AM1643" i="33"/>
  <c r="AL1643" i="33"/>
  <c r="AK1643" i="33"/>
  <c r="AJ1643" i="33"/>
  <c r="AI1643" i="33"/>
  <c r="AH1643" i="33"/>
  <c r="AE1643" i="33"/>
  <c r="AD1643" i="33"/>
  <c r="AC1643" i="33"/>
  <c r="AB1643" i="33"/>
  <c r="AA1643" i="33"/>
  <c r="X1643" i="33"/>
  <c r="W1643" i="33"/>
  <c r="V1643" i="33"/>
  <c r="U1643" i="33"/>
  <c r="T1643" i="33"/>
  <c r="Q1643" i="33"/>
  <c r="P1643" i="33"/>
  <c r="O1643" i="33"/>
  <c r="N1643" i="33"/>
  <c r="M1643" i="33"/>
  <c r="K1643" i="33"/>
  <c r="J1643" i="33"/>
  <c r="I1643" i="33"/>
  <c r="H1643" i="33"/>
  <c r="G1643" i="33"/>
  <c r="F1643" i="33"/>
  <c r="DE1642" i="33"/>
  <c r="CX1642" i="33"/>
  <c r="CI1642" i="33"/>
  <c r="CH1642" i="33"/>
  <c r="CG1642" i="33"/>
  <c r="CF1642" i="33"/>
  <c r="CE1642" i="33"/>
  <c r="F1648" i="33" s="1"/>
  <c r="CC1642" i="33"/>
  <c r="BV1642" i="33"/>
  <c r="BO1642" i="33"/>
  <c r="BH1642" i="33"/>
  <c r="BA1642" i="33"/>
  <c r="AT1642" i="33"/>
  <c r="AM1642" i="33"/>
  <c r="AF1642" i="33"/>
  <c r="Y1642" i="33"/>
  <c r="R1642" i="33"/>
  <c r="K1642" i="33"/>
  <c r="DE1641" i="33"/>
  <c r="CX1641" i="33"/>
  <c r="CI1641" i="33"/>
  <c r="J1647" i="33" s="1"/>
  <c r="CI1647" i="33" s="1"/>
  <c r="J1653" i="33" s="1"/>
  <c r="CI1653" i="33" s="1"/>
  <c r="J1659" i="33" s="1"/>
  <c r="CI1659" i="33" s="1"/>
  <c r="J1665" i="33" s="1"/>
  <c r="CI1665" i="33" s="1"/>
  <c r="CH1641" i="33"/>
  <c r="I1647" i="33" s="1"/>
  <c r="CH1647" i="33" s="1"/>
  <c r="I1653" i="33" s="1"/>
  <c r="CH1653" i="33" s="1"/>
  <c r="I1659" i="33" s="1"/>
  <c r="CH1659" i="33" s="1"/>
  <c r="I1665" i="33" s="1"/>
  <c r="CH1665" i="33" s="1"/>
  <c r="CG1641" i="33"/>
  <c r="CJ1641" i="33" s="1"/>
  <c r="CF1641" i="33"/>
  <c r="G1647" i="33" s="1"/>
  <c r="CF1647" i="33" s="1"/>
  <c r="G1653" i="33" s="1"/>
  <c r="CF1653" i="33" s="1"/>
  <c r="G1659" i="33" s="1"/>
  <c r="CF1659" i="33" s="1"/>
  <c r="G1665" i="33" s="1"/>
  <c r="CF1665" i="33" s="1"/>
  <c r="CE1641" i="33"/>
  <c r="F1647" i="33" s="1"/>
  <c r="CC1641" i="33"/>
  <c r="BV1641" i="33"/>
  <c r="BO1641" i="33"/>
  <c r="BH1641" i="33"/>
  <c r="BA1641" i="33"/>
  <c r="AT1641" i="33"/>
  <c r="AM1641" i="33"/>
  <c r="AF1641" i="33"/>
  <c r="Y1641" i="33"/>
  <c r="R1641" i="33"/>
  <c r="K1641" i="33"/>
  <c r="DE1640" i="33"/>
  <c r="DE1643" i="33" s="1"/>
  <c r="CX1640" i="33"/>
  <c r="CI1640" i="33"/>
  <c r="CH1640" i="33"/>
  <c r="CG1640" i="33"/>
  <c r="CF1640" i="33"/>
  <c r="G1646" i="33" s="1"/>
  <c r="CF1646" i="33" s="1"/>
  <c r="G1652" i="33" s="1"/>
  <c r="CF1652" i="33" s="1"/>
  <c r="G1658" i="33" s="1"/>
  <c r="CF1658" i="33" s="1"/>
  <c r="G1664" i="33" s="1"/>
  <c r="CF1664" i="33" s="1"/>
  <c r="CE1640" i="33"/>
  <c r="CJ1640" i="33" s="1"/>
  <c r="CC1640" i="33"/>
  <c r="BV1640" i="33"/>
  <c r="BO1640" i="33"/>
  <c r="BH1640" i="33"/>
  <c r="BA1640" i="33"/>
  <c r="AT1640" i="33"/>
  <c r="AM1640" i="33"/>
  <c r="AF1640" i="33"/>
  <c r="AF1643" i="33" s="1"/>
  <c r="Y1640" i="33"/>
  <c r="R1640" i="33"/>
  <c r="K1640" i="33"/>
  <c r="DE1639" i="33"/>
  <c r="CX1639" i="33"/>
  <c r="CX1643" i="33" s="1"/>
  <c r="CI1639" i="33"/>
  <c r="CH1639" i="33"/>
  <c r="I1645" i="33" s="1"/>
  <c r="CG1639" i="33"/>
  <c r="CG1643" i="33" s="1"/>
  <c r="CF1639" i="33"/>
  <c r="CF1643" i="33" s="1"/>
  <c r="CE1639" i="33"/>
  <c r="CE1643" i="33" s="1"/>
  <c r="CC1639" i="33"/>
  <c r="CC1643" i="33" s="1"/>
  <c r="BV1639" i="33"/>
  <c r="BV1643" i="33" s="1"/>
  <c r="BO1639" i="33"/>
  <c r="BH1639" i="33"/>
  <c r="BH1643" i="33" s="1"/>
  <c r="BA1639" i="33"/>
  <c r="BA1643" i="33" s="1"/>
  <c r="AT1639" i="33"/>
  <c r="AT1643" i="33" s="1"/>
  <c r="AM1639" i="33"/>
  <c r="AF1639" i="33"/>
  <c r="Y1639" i="33"/>
  <c r="Y1643" i="33" s="1"/>
  <c r="R1639" i="33"/>
  <c r="R1643" i="33" s="1"/>
  <c r="K1639" i="33"/>
  <c r="DD1635" i="33"/>
  <c r="DC1635" i="33"/>
  <c r="DB1635" i="33"/>
  <c r="DA1635" i="33"/>
  <c r="CZ1635" i="33"/>
  <c r="CW1635" i="33"/>
  <c r="CV1635" i="33"/>
  <c r="CU1635" i="33"/>
  <c r="CT1635" i="33"/>
  <c r="CS1635" i="33"/>
  <c r="CP1635" i="33"/>
  <c r="CO1635" i="33"/>
  <c r="CN1635" i="33"/>
  <c r="CM1635" i="33"/>
  <c r="CL1635" i="33"/>
  <c r="CC1635" i="33"/>
  <c r="CB1635" i="33"/>
  <c r="CA1635" i="33"/>
  <c r="BZ1635" i="33"/>
  <c r="BY1635" i="33"/>
  <c r="BX1635" i="33"/>
  <c r="BU1635" i="33"/>
  <c r="BT1635" i="33"/>
  <c r="BS1635" i="33"/>
  <c r="BR1635" i="33"/>
  <c r="BQ1635" i="33"/>
  <c r="BN1635" i="33"/>
  <c r="BM1635" i="33"/>
  <c r="BL1635" i="33"/>
  <c r="BK1635" i="33"/>
  <c r="BJ1635" i="33"/>
  <c r="BG1635" i="33"/>
  <c r="BF1635" i="33"/>
  <c r="BE1635" i="33"/>
  <c r="BD1635" i="33"/>
  <c r="BC1635" i="33"/>
  <c r="AZ1635" i="33"/>
  <c r="AY1635" i="33"/>
  <c r="AX1635" i="33"/>
  <c r="AW1635" i="33"/>
  <c r="AV1635" i="33"/>
  <c r="AS1635" i="33"/>
  <c r="AR1635" i="33"/>
  <c r="AQ1635" i="33"/>
  <c r="AP1635" i="33"/>
  <c r="AO1635" i="33"/>
  <c r="AL1635" i="33"/>
  <c r="AK1635" i="33"/>
  <c r="AJ1635" i="33"/>
  <c r="AI1635" i="33"/>
  <c r="AH1635" i="33"/>
  <c r="AE1635" i="33"/>
  <c r="AD1635" i="33"/>
  <c r="AC1635" i="33"/>
  <c r="AB1635" i="33"/>
  <c r="AA1635" i="33"/>
  <c r="Y1635" i="33"/>
  <c r="X1635" i="33"/>
  <c r="W1635" i="33"/>
  <c r="V1635" i="33"/>
  <c r="U1635" i="33"/>
  <c r="T1635" i="33"/>
  <c r="Q1635" i="33"/>
  <c r="P1635" i="33"/>
  <c r="O1635" i="33"/>
  <c r="N1635" i="33"/>
  <c r="M1635" i="33"/>
  <c r="DE1634" i="33"/>
  <c r="CX1634" i="33"/>
  <c r="CC1634" i="33"/>
  <c r="BV1634" i="33"/>
  <c r="BO1634" i="33"/>
  <c r="BH1634" i="33"/>
  <c r="BA1634" i="33"/>
  <c r="AT1634" i="33"/>
  <c r="AM1634" i="33"/>
  <c r="AF1634" i="33"/>
  <c r="Y1634" i="33"/>
  <c r="R1634" i="33"/>
  <c r="DE1633" i="33"/>
  <c r="CX1633" i="33"/>
  <c r="CC1633" i="33"/>
  <c r="BV1633" i="33"/>
  <c r="BO1633" i="33"/>
  <c r="BH1633" i="33"/>
  <c r="BA1633" i="33"/>
  <c r="BA1635" i="33" s="1"/>
  <c r="AT1633" i="33"/>
  <c r="AT1635" i="33" s="1"/>
  <c r="AM1633" i="33"/>
  <c r="AF1633" i="33"/>
  <c r="Y1633" i="33"/>
  <c r="R1633" i="33"/>
  <c r="DE1632" i="33"/>
  <c r="CX1632" i="33"/>
  <c r="CC1632" i="33"/>
  <c r="BV1632" i="33"/>
  <c r="BO1632" i="33"/>
  <c r="BH1632" i="33"/>
  <c r="BA1632" i="33"/>
  <c r="AT1632" i="33"/>
  <c r="AM1632" i="33"/>
  <c r="AF1632" i="33"/>
  <c r="Y1632" i="33"/>
  <c r="R1632" i="33"/>
  <c r="R1635" i="33" s="1"/>
  <c r="DE1631" i="33"/>
  <c r="DE1635" i="33" s="1"/>
  <c r="CX1631" i="33"/>
  <c r="CX1635" i="33" s="1"/>
  <c r="CC1631" i="33"/>
  <c r="BV1631" i="33"/>
  <c r="BV1635" i="33" s="1"/>
  <c r="BO1631" i="33"/>
  <c r="BO1635" i="33" s="1"/>
  <c r="BH1631" i="33"/>
  <c r="BH1635" i="33" s="1"/>
  <c r="BA1631" i="33"/>
  <c r="AT1631" i="33"/>
  <c r="AM1631" i="33"/>
  <c r="AM1635" i="33" s="1"/>
  <c r="AF1631" i="33"/>
  <c r="AF1635" i="33" s="1"/>
  <c r="Y1631" i="33"/>
  <c r="R1631" i="33"/>
  <c r="DD1629" i="33"/>
  <c r="DC1629" i="33"/>
  <c r="DB1629" i="33"/>
  <c r="DA1629" i="33"/>
  <c r="CZ1629" i="33"/>
  <c r="CW1629" i="33"/>
  <c r="CV1629" i="33"/>
  <c r="CU1629" i="33"/>
  <c r="CT1629" i="33"/>
  <c r="CS1629" i="33"/>
  <c r="CP1629" i="33"/>
  <c r="CO1629" i="33"/>
  <c r="CN1629" i="33"/>
  <c r="CM1629" i="33"/>
  <c r="CL1629" i="33"/>
  <c r="CB1629" i="33"/>
  <c r="CA1629" i="33"/>
  <c r="BZ1629" i="33"/>
  <c r="BY1629" i="33"/>
  <c r="BX1629" i="33"/>
  <c r="BU1629" i="33"/>
  <c r="BT1629" i="33"/>
  <c r="BS1629" i="33"/>
  <c r="BR1629" i="33"/>
  <c r="BQ1629" i="33"/>
  <c r="BO1629" i="33"/>
  <c r="BN1629" i="33"/>
  <c r="BM1629" i="33"/>
  <c r="BL1629" i="33"/>
  <c r="BK1629" i="33"/>
  <c r="BJ1629" i="33"/>
  <c r="BG1629" i="33"/>
  <c r="BF1629" i="33"/>
  <c r="BE1629" i="33"/>
  <c r="BD1629" i="33"/>
  <c r="BC1629" i="33"/>
  <c r="AZ1629" i="33"/>
  <c r="AY1629" i="33"/>
  <c r="AX1629" i="33"/>
  <c r="AW1629" i="33"/>
  <c r="AV1629" i="33"/>
  <c r="AS1629" i="33"/>
  <c r="AR1629" i="33"/>
  <c r="AQ1629" i="33"/>
  <c r="AP1629" i="33"/>
  <c r="AO1629" i="33"/>
  <c r="AL1629" i="33"/>
  <c r="AK1629" i="33"/>
  <c r="AJ1629" i="33"/>
  <c r="AI1629" i="33"/>
  <c r="AH1629" i="33"/>
  <c r="AE1629" i="33"/>
  <c r="AD1629" i="33"/>
  <c r="AC1629" i="33"/>
  <c r="AB1629" i="33"/>
  <c r="AA1629" i="33"/>
  <c r="X1629" i="33"/>
  <c r="W1629" i="33"/>
  <c r="V1629" i="33"/>
  <c r="U1629" i="33"/>
  <c r="T1629" i="33"/>
  <c r="Q1629" i="33"/>
  <c r="P1629" i="33"/>
  <c r="O1629" i="33"/>
  <c r="N1629" i="33"/>
  <c r="M1629" i="33"/>
  <c r="DE1628" i="33"/>
  <c r="CX1628" i="33"/>
  <c r="CC1628" i="33"/>
  <c r="BV1628" i="33"/>
  <c r="BO1628" i="33"/>
  <c r="BH1628" i="33"/>
  <c r="BA1628" i="33"/>
  <c r="AT1628" i="33"/>
  <c r="AM1628" i="33"/>
  <c r="AF1628" i="33"/>
  <c r="Y1628" i="33"/>
  <c r="R1628" i="33"/>
  <c r="DE1627" i="33"/>
  <c r="CX1627" i="33"/>
  <c r="CC1627" i="33"/>
  <c r="BV1627" i="33"/>
  <c r="BO1627" i="33"/>
  <c r="BH1627" i="33"/>
  <c r="BA1627" i="33"/>
  <c r="AT1627" i="33"/>
  <c r="AM1627" i="33"/>
  <c r="AF1627" i="33"/>
  <c r="Y1627" i="33"/>
  <c r="R1627" i="33"/>
  <c r="DE1626" i="33"/>
  <c r="DE1629" i="33" s="1"/>
  <c r="CX1626" i="33"/>
  <c r="CC1626" i="33"/>
  <c r="BV1626" i="33"/>
  <c r="BO1626" i="33"/>
  <c r="BH1626" i="33"/>
  <c r="BA1626" i="33"/>
  <c r="AT1626" i="33"/>
  <c r="AM1626" i="33"/>
  <c r="U56" i="40" s="1"/>
  <c r="AF1626" i="33"/>
  <c r="Y1626" i="33"/>
  <c r="R1626" i="33"/>
  <c r="DE1625" i="33"/>
  <c r="CX1625" i="33"/>
  <c r="CX1629" i="33" s="1"/>
  <c r="CC1625" i="33"/>
  <c r="CC1629" i="33" s="1"/>
  <c r="BV1625" i="33"/>
  <c r="BV1629" i="33" s="1"/>
  <c r="BO1625" i="33"/>
  <c r="BH1625" i="33"/>
  <c r="BH1629" i="33" s="1"/>
  <c r="BA1625" i="33"/>
  <c r="BA1629" i="33" s="1"/>
  <c r="AT1625" i="33"/>
  <c r="AT1629" i="33" s="1"/>
  <c r="AM1625" i="33"/>
  <c r="AM1629" i="33" s="1"/>
  <c r="AF1625" i="33"/>
  <c r="AF1629" i="33" s="1"/>
  <c r="Y1625" i="33"/>
  <c r="Y1629" i="33" s="1"/>
  <c r="R1625" i="33"/>
  <c r="R1629" i="33" s="1"/>
  <c r="DD1623" i="33"/>
  <c r="DC1623" i="33"/>
  <c r="DB1623" i="33"/>
  <c r="DA1623" i="33"/>
  <c r="CZ1623" i="33"/>
  <c r="CW1623" i="33"/>
  <c r="CV1623" i="33"/>
  <c r="CU1623" i="33"/>
  <c r="CT1623" i="33"/>
  <c r="CS1623" i="33"/>
  <c r="CP1623" i="33"/>
  <c r="CO1623" i="33"/>
  <c r="CN1623" i="33"/>
  <c r="CM1623" i="33"/>
  <c r="CL1623" i="33"/>
  <c r="CB1623" i="33"/>
  <c r="CA1623" i="33"/>
  <c r="BZ1623" i="33"/>
  <c r="BY1623" i="33"/>
  <c r="BX1623" i="33"/>
  <c r="BU1623" i="33"/>
  <c r="BT1623" i="33"/>
  <c r="BS1623" i="33"/>
  <c r="BR1623" i="33"/>
  <c r="BQ1623" i="33"/>
  <c r="BN1623" i="33"/>
  <c r="BM1623" i="33"/>
  <c r="BL1623" i="33"/>
  <c r="BK1623" i="33"/>
  <c r="BJ1623" i="33"/>
  <c r="BG1623" i="33"/>
  <c r="BF1623" i="33"/>
  <c r="BE1623" i="33"/>
  <c r="BD1623" i="33"/>
  <c r="BC1623" i="33"/>
  <c r="AZ1623" i="33"/>
  <c r="AY1623" i="33"/>
  <c r="AX1623" i="33"/>
  <c r="AW1623" i="33"/>
  <c r="AV1623" i="33"/>
  <c r="AT1623" i="33"/>
  <c r="AS1623" i="33"/>
  <c r="AR1623" i="33"/>
  <c r="AQ1623" i="33"/>
  <c r="AP1623" i="33"/>
  <c r="AO1623" i="33"/>
  <c r="AL1623" i="33"/>
  <c r="AK1623" i="33"/>
  <c r="AJ1623" i="33"/>
  <c r="AI1623" i="33"/>
  <c r="AH1623" i="33"/>
  <c r="AE1623" i="33"/>
  <c r="AD1623" i="33"/>
  <c r="AC1623" i="33"/>
  <c r="AB1623" i="33"/>
  <c r="AA1623" i="33"/>
  <c r="X1623" i="33"/>
  <c r="W1623" i="33"/>
  <c r="V1623" i="33"/>
  <c r="U1623" i="33"/>
  <c r="T1623" i="33"/>
  <c r="Q1623" i="33"/>
  <c r="P1623" i="33"/>
  <c r="O1623" i="33"/>
  <c r="N1623" i="33"/>
  <c r="M1623" i="33"/>
  <c r="DE1622" i="33"/>
  <c r="CX1622" i="33"/>
  <c r="CC1622" i="33"/>
  <c r="BV1622" i="33"/>
  <c r="BO1622" i="33"/>
  <c r="BH1622" i="33"/>
  <c r="BA1622" i="33"/>
  <c r="AT1622" i="33"/>
  <c r="AM1622" i="33"/>
  <c r="AF1622" i="33"/>
  <c r="Y1622" i="33"/>
  <c r="R1622" i="33"/>
  <c r="DE1621" i="33"/>
  <c r="CX1621" i="33"/>
  <c r="CC1621" i="33"/>
  <c r="BV1621" i="33"/>
  <c r="BO1621" i="33"/>
  <c r="BH1621" i="33"/>
  <c r="BA1621" i="33"/>
  <c r="AT1621" i="33"/>
  <c r="AM1621" i="33"/>
  <c r="AF1621" i="33"/>
  <c r="Y1621" i="33"/>
  <c r="R1621" i="33"/>
  <c r="DE1620" i="33"/>
  <c r="CX1620" i="33"/>
  <c r="CC1620" i="33"/>
  <c r="BV1620" i="33"/>
  <c r="BV1623" i="33" s="1"/>
  <c r="BO1620" i="33"/>
  <c r="BO1623" i="33" s="1"/>
  <c r="BH1620" i="33"/>
  <c r="BA1620" i="33"/>
  <c r="AT1620" i="33"/>
  <c r="AM1620" i="33"/>
  <c r="AF1620" i="33"/>
  <c r="Y1620" i="33"/>
  <c r="R1620" i="33"/>
  <c r="R1623" i="33" s="1"/>
  <c r="DE1619" i="33"/>
  <c r="DE1623" i="33" s="1"/>
  <c r="CX1619" i="33"/>
  <c r="CX1623" i="33" s="1"/>
  <c r="CC1619" i="33"/>
  <c r="CC1623" i="33" s="1"/>
  <c r="BV1619" i="33"/>
  <c r="BO1619" i="33"/>
  <c r="BH1619" i="33"/>
  <c r="BH1623" i="33" s="1"/>
  <c r="BA1619" i="33"/>
  <c r="BA1623" i="33" s="1"/>
  <c r="AT1619" i="33"/>
  <c r="AM1619" i="33"/>
  <c r="AM1623" i="33" s="1"/>
  <c r="AF1619" i="33"/>
  <c r="AF1623" i="33" s="1"/>
  <c r="Y1619" i="33"/>
  <c r="Y1623" i="33" s="1"/>
  <c r="R1619" i="33"/>
  <c r="DE1617" i="33"/>
  <c r="DD1617" i="33"/>
  <c r="DC1617" i="33"/>
  <c r="DB1617" i="33"/>
  <c r="DA1617" i="33"/>
  <c r="CZ1617" i="33"/>
  <c r="CX1617" i="33"/>
  <c r="CW1617" i="33"/>
  <c r="CV1617" i="33"/>
  <c r="CU1617" i="33"/>
  <c r="CT1617" i="33"/>
  <c r="CS1617" i="33"/>
  <c r="CP1617" i="33"/>
  <c r="CO1617" i="33"/>
  <c r="CN1617" i="33"/>
  <c r="CM1617" i="33"/>
  <c r="CL1617" i="33"/>
  <c r="CB1617" i="33"/>
  <c r="CA1617" i="33"/>
  <c r="BZ1617" i="33"/>
  <c r="BY1617" i="33"/>
  <c r="BX1617" i="33"/>
  <c r="BU1617" i="33"/>
  <c r="BT1617" i="33"/>
  <c r="BS1617" i="33"/>
  <c r="BR1617" i="33"/>
  <c r="BQ1617" i="33"/>
  <c r="BN1617" i="33"/>
  <c r="BM1617" i="33"/>
  <c r="BL1617" i="33"/>
  <c r="BK1617" i="33"/>
  <c r="BJ1617" i="33"/>
  <c r="BG1617" i="33"/>
  <c r="BF1617" i="33"/>
  <c r="BE1617" i="33"/>
  <c r="BD1617" i="33"/>
  <c r="BC1617" i="33"/>
  <c r="AZ1617" i="33"/>
  <c r="AY1617" i="33"/>
  <c r="AX1617" i="33"/>
  <c r="AW1617" i="33"/>
  <c r="AV1617" i="33"/>
  <c r="AS1617" i="33"/>
  <c r="AR1617" i="33"/>
  <c r="AQ1617" i="33"/>
  <c r="AP1617" i="33"/>
  <c r="AO1617" i="33"/>
  <c r="AL1617" i="33"/>
  <c r="AK1617" i="33"/>
  <c r="AJ1617" i="33"/>
  <c r="AI1617" i="33"/>
  <c r="AH1617" i="33"/>
  <c r="AE1617" i="33"/>
  <c r="AD1617" i="33"/>
  <c r="AC1617" i="33"/>
  <c r="AB1617" i="33"/>
  <c r="AA1617" i="33"/>
  <c r="X1617" i="33"/>
  <c r="W1617" i="33"/>
  <c r="V1617" i="33"/>
  <c r="U1617" i="33"/>
  <c r="T1617" i="33"/>
  <c r="Q1617" i="33"/>
  <c r="P1617" i="33"/>
  <c r="O1617" i="33"/>
  <c r="N1617" i="33"/>
  <c r="M1617" i="33"/>
  <c r="DE1616" i="33"/>
  <c r="CX1616" i="33"/>
  <c r="CC1616" i="33"/>
  <c r="BV1616" i="33"/>
  <c r="BO1616" i="33"/>
  <c r="BH1616" i="33"/>
  <c r="BA1616" i="33"/>
  <c r="AT1616" i="33"/>
  <c r="AM1616" i="33"/>
  <c r="S56" i="40" s="1"/>
  <c r="AF1616" i="33"/>
  <c r="AF1617" i="33" s="1"/>
  <c r="Y1616" i="33"/>
  <c r="R1616" i="33"/>
  <c r="I1616" i="33"/>
  <c r="CH1616" i="33" s="1"/>
  <c r="I1622" i="33" s="1"/>
  <c r="CH1622" i="33" s="1"/>
  <c r="I1628" i="33" s="1"/>
  <c r="CH1628" i="33" s="1"/>
  <c r="I1634" i="33" s="1"/>
  <c r="CH1634" i="33" s="1"/>
  <c r="G1616" i="33"/>
  <c r="CF1616" i="33" s="1"/>
  <c r="G1622" i="33" s="1"/>
  <c r="CF1622" i="33" s="1"/>
  <c r="G1628" i="33" s="1"/>
  <c r="CF1628" i="33" s="1"/>
  <c r="G1634" i="33" s="1"/>
  <c r="CF1634" i="33" s="1"/>
  <c r="DE1615" i="33"/>
  <c r="CX1615" i="33"/>
  <c r="CC1615" i="33"/>
  <c r="BV1615" i="33"/>
  <c r="BO1615" i="33"/>
  <c r="BH1615" i="33"/>
  <c r="BA1615" i="33"/>
  <c r="AT1615" i="33"/>
  <c r="AM1615" i="33"/>
  <c r="AF1615" i="33"/>
  <c r="Y1615" i="33"/>
  <c r="R1615" i="33"/>
  <c r="DE1614" i="33"/>
  <c r="CX1614" i="33"/>
  <c r="CC1614" i="33"/>
  <c r="BV1614" i="33"/>
  <c r="BO1614" i="33"/>
  <c r="BH1614" i="33"/>
  <c r="BA1614" i="33"/>
  <c r="AT1614" i="33"/>
  <c r="AM1614" i="33"/>
  <c r="AF1614" i="33"/>
  <c r="Y1614" i="33"/>
  <c r="R1614" i="33"/>
  <c r="I1614" i="33"/>
  <c r="CH1614" i="33" s="1"/>
  <c r="I1620" i="33" s="1"/>
  <c r="CH1620" i="33" s="1"/>
  <c r="I1626" i="33" s="1"/>
  <c r="CH1626" i="33" s="1"/>
  <c r="I1632" i="33" s="1"/>
  <c r="CH1632" i="33" s="1"/>
  <c r="H1614" i="33"/>
  <c r="CG1614" i="33" s="1"/>
  <c r="H1620" i="33" s="1"/>
  <c r="CG1620" i="33" s="1"/>
  <c r="H1626" i="33" s="1"/>
  <c r="CG1626" i="33" s="1"/>
  <c r="H1632" i="33" s="1"/>
  <c r="CG1632" i="33" s="1"/>
  <c r="DE1613" i="33"/>
  <c r="CX1613" i="33"/>
  <c r="CC1613" i="33"/>
  <c r="CC1617" i="33" s="1"/>
  <c r="BV1613" i="33"/>
  <c r="BV1617" i="33" s="1"/>
  <c r="BO1613" i="33"/>
  <c r="BO1617" i="33" s="1"/>
  <c r="BH1613" i="33"/>
  <c r="BH1617" i="33" s="1"/>
  <c r="BA1613" i="33"/>
  <c r="BA1617" i="33" s="1"/>
  <c r="AT1613" i="33"/>
  <c r="AT1617" i="33" s="1"/>
  <c r="AM1613" i="33"/>
  <c r="AM1617" i="33" s="1"/>
  <c r="AF1613" i="33"/>
  <c r="Y1613" i="33"/>
  <c r="Y1617" i="33" s="1"/>
  <c r="R1613" i="33"/>
  <c r="R1617" i="33" s="1"/>
  <c r="J1613" i="33"/>
  <c r="J1617" i="33" s="1"/>
  <c r="I1613" i="33"/>
  <c r="CH1613" i="33" s="1"/>
  <c r="DD1611" i="33"/>
  <c r="DC1611" i="33"/>
  <c r="DB1611" i="33"/>
  <c r="DA1611" i="33"/>
  <c r="CZ1611" i="33"/>
  <c r="CW1611" i="33"/>
  <c r="CV1611" i="33"/>
  <c r="CU1611" i="33"/>
  <c r="CT1611" i="33"/>
  <c r="CS1611" i="33"/>
  <c r="CP1611" i="33"/>
  <c r="CO1611" i="33"/>
  <c r="CN1611" i="33"/>
  <c r="CM1611" i="33"/>
  <c r="CL1611" i="33"/>
  <c r="CH1611" i="33"/>
  <c r="CB1611" i="33"/>
  <c r="CA1611" i="33"/>
  <c r="BZ1611" i="33"/>
  <c r="BY1611" i="33"/>
  <c r="BX1611" i="33"/>
  <c r="BU1611" i="33"/>
  <c r="BT1611" i="33"/>
  <c r="BS1611" i="33"/>
  <c r="BR1611" i="33"/>
  <c r="BQ1611" i="33"/>
  <c r="BO1611" i="33"/>
  <c r="BN1611" i="33"/>
  <c r="BM1611" i="33"/>
  <c r="BL1611" i="33"/>
  <c r="BK1611" i="33"/>
  <c r="BJ1611" i="33"/>
  <c r="BG1611" i="33"/>
  <c r="BF1611" i="33"/>
  <c r="BE1611" i="33"/>
  <c r="BD1611" i="33"/>
  <c r="BC1611" i="33"/>
  <c r="AZ1611" i="33"/>
  <c r="AY1611" i="33"/>
  <c r="AX1611" i="33"/>
  <c r="AW1611" i="33"/>
  <c r="AV1611" i="33"/>
  <c r="AS1611" i="33"/>
  <c r="AR1611" i="33"/>
  <c r="AQ1611" i="33"/>
  <c r="AP1611" i="33"/>
  <c r="AO1611" i="33"/>
  <c r="AM1611" i="33"/>
  <c r="AL1611" i="33"/>
  <c r="AK1611" i="33"/>
  <c r="AJ1611" i="33"/>
  <c r="AI1611" i="33"/>
  <c r="AH1611" i="33"/>
  <c r="AE1611" i="33"/>
  <c r="AD1611" i="33"/>
  <c r="AC1611" i="33"/>
  <c r="AB1611" i="33"/>
  <c r="AA1611" i="33"/>
  <c r="X1611" i="33"/>
  <c r="W1611" i="33"/>
  <c r="V1611" i="33"/>
  <c r="U1611" i="33"/>
  <c r="T1611" i="33"/>
  <c r="Q1611" i="33"/>
  <c r="P1611" i="33"/>
  <c r="O1611" i="33"/>
  <c r="N1611" i="33"/>
  <c r="M1611" i="33"/>
  <c r="K1611" i="33"/>
  <c r="J1611" i="33"/>
  <c r="I1611" i="33"/>
  <c r="H1611" i="33"/>
  <c r="G1611" i="33"/>
  <c r="F1611" i="33"/>
  <c r="DE1610" i="33"/>
  <c r="CX1610" i="33"/>
  <c r="CI1610" i="33"/>
  <c r="J1616" i="33" s="1"/>
  <c r="CI1616" i="33" s="1"/>
  <c r="J1622" i="33" s="1"/>
  <c r="CI1622" i="33" s="1"/>
  <c r="J1628" i="33" s="1"/>
  <c r="CI1628" i="33" s="1"/>
  <c r="J1634" i="33" s="1"/>
  <c r="CI1634" i="33" s="1"/>
  <c r="CH1610" i="33"/>
  <c r="CG1610" i="33"/>
  <c r="H1616" i="33" s="1"/>
  <c r="CG1616" i="33" s="1"/>
  <c r="H1622" i="33" s="1"/>
  <c r="CG1622" i="33" s="1"/>
  <c r="H1628" i="33" s="1"/>
  <c r="CG1628" i="33" s="1"/>
  <c r="H1634" i="33" s="1"/>
  <c r="CG1634" i="33" s="1"/>
  <c r="CF1610" i="33"/>
  <c r="CE1610" i="33"/>
  <c r="F1616" i="33" s="1"/>
  <c r="CC1610" i="33"/>
  <c r="BV1610" i="33"/>
  <c r="BO1610" i="33"/>
  <c r="BH1610" i="33"/>
  <c r="BA1610" i="33"/>
  <c r="AT1610" i="33"/>
  <c r="AM1610" i="33"/>
  <c r="AF1610" i="33"/>
  <c r="Y1610" i="33"/>
  <c r="R1610" i="33"/>
  <c r="K1610" i="33"/>
  <c r="DE1609" i="33"/>
  <c r="CX1609" i="33"/>
  <c r="CI1609" i="33"/>
  <c r="J1615" i="33" s="1"/>
  <c r="CI1615" i="33" s="1"/>
  <c r="J1621" i="33" s="1"/>
  <c r="CI1621" i="33" s="1"/>
  <c r="J1627" i="33" s="1"/>
  <c r="CI1627" i="33" s="1"/>
  <c r="J1633" i="33" s="1"/>
  <c r="CI1633" i="33" s="1"/>
  <c r="CH1609" i="33"/>
  <c r="I1615" i="33" s="1"/>
  <c r="CH1615" i="33" s="1"/>
  <c r="I1621" i="33" s="1"/>
  <c r="CH1621" i="33" s="1"/>
  <c r="I1627" i="33" s="1"/>
  <c r="CH1627" i="33" s="1"/>
  <c r="I1633" i="33" s="1"/>
  <c r="CH1633" i="33" s="1"/>
  <c r="CG1609" i="33"/>
  <c r="H1615" i="33" s="1"/>
  <c r="CG1615" i="33" s="1"/>
  <c r="H1621" i="33" s="1"/>
  <c r="CG1621" i="33" s="1"/>
  <c r="H1627" i="33" s="1"/>
  <c r="CG1627" i="33" s="1"/>
  <c r="H1633" i="33" s="1"/>
  <c r="CG1633" i="33" s="1"/>
  <c r="CF1609" i="33"/>
  <c r="G1615" i="33" s="1"/>
  <c r="CF1615" i="33" s="1"/>
  <c r="G1621" i="33" s="1"/>
  <c r="CF1621" i="33" s="1"/>
  <c r="G1627" i="33" s="1"/>
  <c r="CF1627" i="33" s="1"/>
  <c r="G1633" i="33" s="1"/>
  <c r="CF1633" i="33" s="1"/>
  <c r="CE1609" i="33"/>
  <c r="F1615" i="33" s="1"/>
  <c r="CC1609" i="33"/>
  <c r="BV1609" i="33"/>
  <c r="BO1609" i="33"/>
  <c r="BH1609" i="33"/>
  <c r="BA1609" i="33"/>
  <c r="AT1609" i="33"/>
  <c r="AM1609" i="33"/>
  <c r="AF1609" i="33"/>
  <c r="Y1609" i="33"/>
  <c r="R1609" i="33"/>
  <c r="K1609" i="33"/>
  <c r="DE1608" i="33"/>
  <c r="CX1608" i="33"/>
  <c r="CI1608" i="33"/>
  <c r="J1614" i="33" s="1"/>
  <c r="CI1614" i="33" s="1"/>
  <c r="J1620" i="33" s="1"/>
  <c r="CI1620" i="33" s="1"/>
  <c r="J1626" i="33" s="1"/>
  <c r="CI1626" i="33" s="1"/>
  <c r="J1632" i="33" s="1"/>
  <c r="CI1632" i="33" s="1"/>
  <c r="CH1608" i="33"/>
  <c r="CG1608" i="33"/>
  <c r="CF1608" i="33"/>
  <c r="G1614" i="33" s="1"/>
  <c r="CF1614" i="33" s="1"/>
  <c r="G1620" i="33" s="1"/>
  <c r="CF1620" i="33" s="1"/>
  <c r="G1626" i="33" s="1"/>
  <c r="CF1626" i="33" s="1"/>
  <c r="G1632" i="33" s="1"/>
  <c r="CF1632" i="33" s="1"/>
  <c r="CE1608" i="33"/>
  <c r="CJ1608" i="33" s="1"/>
  <c r="CC1608" i="33"/>
  <c r="BV1608" i="33"/>
  <c r="BO1608" i="33"/>
  <c r="BH1608" i="33"/>
  <c r="BA1608" i="33"/>
  <c r="AT1608" i="33"/>
  <c r="AM1608" i="33"/>
  <c r="AF1608" i="33"/>
  <c r="AF1611" i="33" s="1"/>
  <c r="Y1608" i="33"/>
  <c r="R1608" i="33"/>
  <c r="K1608" i="33"/>
  <c r="DE1607" i="33"/>
  <c r="DE1611" i="33" s="1"/>
  <c r="CX1607" i="33"/>
  <c r="CX1611" i="33" s="1"/>
  <c r="CI1607" i="33"/>
  <c r="CI1611" i="33" s="1"/>
  <c r="CH1607" i="33"/>
  <c r="CG1607" i="33"/>
  <c r="CG1611" i="33" s="1"/>
  <c r="CF1607" i="33"/>
  <c r="CF1611" i="33" s="1"/>
  <c r="CE1607" i="33"/>
  <c r="CE1611" i="33" s="1"/>
  <c r="CC1607" i="33"/>
  <c r="CC1611" i="33" s="1"/>
  <c r="BV1607" i="33"/>
  <c r="BV1611" i="33" s="1"/>
  <c r="BO1607" i="33"/>
  <c r="BH1607" i="33"/>
  <c r="BH1611" i="33" s="1"/>
  <c r="BA1607" i="33"/>
  <c r="BA1611" i="33" s="1"/>
  <c r="AT1607" i="33"/>
  <c r="AT1611" i="33" s="1"/>
  <c r="AM1607" i="33"/>
  <c r="AF1607" i="33"/>
  <c r="Y1607" i="33"/>
  <c r="Y1611" i="33" s="1"/>
  <c r="R1607" i="33"/>
  <c r="R1611" i="33" s="1"/>
  <c r="K1607" i="33"/>
  <c r="DD1603" i="33"/>
  <c r="DC1603" i="33"/>
  <c r="DB1603" i="33"/>
  <c r="DA1603" i="33"/>
  <c r="CZ1603" i="33"/>
  <c r="CW1603" i="33"/>
  <c r="CV1603" i="33"/>
  <c r="CU1603" i="33"/>
  <c r="CT1603" i="33"/>
  <c r="CS1603" i="33"/>
  <c r="CP1603" i="33"/>
  <c r="CO1603" i="33"/>
  <c r="CN1603" i="33"/>
  <c r="CM1603" i="33"/>
  <c r="CL1603" i="33"/>
  <c r="CC1603" i="33"/>
  <c r="CB1603" i="33"/>
  <c r="CA1603" i="33"/>
  <c r="BZ1603" i="33"/>
  <c r="BY1603" i="33"/>
  <c r="BX1603" i="33"/>
  <c r="BU1603" i="33"/>
  <c r="BT1603" i="33"/>
  <c r="BS1603" i="33"/>
  <c r="BR1603" i="33"/>
  <c r="BQ1603" i="33"/>
  <c r="BN1603" i="33"/>
  <c r="BM1603" i="33"/>
  <c r="BL1603" i="33"/>
  <c r="BK1603" i="33"/>
  <c r="BJ1603" i="33"/>
  <c r="BG1603" i="33"/>
  <c r="BF1603" i="33"/>
  <c r="BE1603" i="33"/>
  <c r="BD1603" i="33"/>
  <c r="BC1603" i="33"/>
  <c r="AZ1603" i="33"/>
  <c r="AY1603" i="33"/>
  <c r="AX1603" i="33"/>
  <c r="AW1603" i="33"/>
  <c r="AV1603" i="33"/>
  <c r="AS1603" i="33"/>
  <c r="AR1603" i="33"/>
  <c r="AQ1603" i="33"/>
  <c r="AP1603" i="33"/>
  <c r="AO1603" i="33"/>
  <c r="AL1603" i="33"/>
  <c r="AK1603" i="33"/>
  <c r="AJ1603" i="33"/>
  <c r="AI1603" i="33"/>
  <c r="AH1603" i="33"/>
  <c r="AE1603" i="33"/>
  <c r="AD1603" i="33"/>
  <c r="AC1603" i="33"/>
  <c r="AB1603" i="33"/>
  <c r="AA1603" i="33"/>
  <c r="Y1603" i="33"/>
  <c r="X1603" i="33"/>
  <c r="W1603" i="33"/>
  <c r="V1603" i="33"/>
  <c r="U1603" i="33"/>
  <c r="T1603" i="33"/>
  <c r="Q1603" i="33"/>
  <c r="P1603" i="33"/>
  <c r="O1603" i="33"/>
  <c r="N1603" i="33"/>
  <c r="M1603" i="33"/>
  <c r="DE1602" i="33"/>
  <c r="CX1602" i="33"/>
  <c r="CC1602" i="33"/>
  <c r="BV1602" i="33"/>
  <c r="BO1602" i="33"/>
  <c r="BH1602" i="33"/>
  <c r="BA1602" i="33"/>
  <c r="AT1602" i="33"/>
  <c r="AT1603" i="33" s="1"/>
  <c r="AM1602" i="33"/>
  <c r="AF1602" i="33"/>
  <c r="Y1602" i="33"/>
  <c r="R1602" i="33"/>
  <c r="DE1601" i="33"/>
  <c r="CX1601" i="33"/>
  <c r="CC1601" i="33"/>
  <c r="BV1601" i="33"/>
  <c r="BO1601" i="33"/>
  <c r="BH1601" i="33"/>
  <c r="BA1601" i="33"/>
  <c r="BA1603" i="33" s="1"/>
  <c r="AT1601" i="33"/>
  <c r="AM1601" i="33"/>
  <c r="AF1601" i="33"/>
  <c r="Y1601" i="33"/>
  <c r="R1601" i="33"/>
  <c r="DE1600" i="33"/>
  <c r="CX1600" i="33"/>
  <c r="CC1600" i="33"/>
  <c r="BV1600" i="33"/>
  <c r="BO1600" i="33"/>
  <c r="BH1600" i="33"/>
  <c r="BA1600" i="33"/>
  <c r="AT1600" i="33"/>
  <c r="AM1600" i="33"/>
  <c r="AF1600" i="33"/>
  <c r="Y1600" i="33"/>
  <c r="R1600" i="33"/>
  <c r="DE1599" i="33"/>
  <c r="DE1603" i="33" s="1"/>
  <c r="CX1599" i="33"/>
  <c r="CX1603" i="33" s="1"/>
  <c r="CC1599" i="33"/>
  <c r="BV1599" i="33"/>
  <c r="BV1603" i="33" s="1"/>
  <c r="BO1599" i="33"/>
  <c r="BO1603" i="33" s="1"/>
  <c r="BH1599" i="33"/>
  <c r="BH1603" i="33" s="1"/>
  <c r="BA1599" i="33"/>
  <c r="AT1599" i="33"/>
  <c r="AM1599" i="33"/>
  <c r="AM1603" i="33" s="1"/>
  <c r="AF1599" i="33"/>
  <c r="AF1603" i="33" s="1"/>
  <c r="Y1599" i="33"/>
  <c r="R1599" i="33"/>
  <c r="R1603" i="33" s="1"/>
  <c r="DD1597" i="33"/>
  <c r="DC1597" i="33"/>
  <c r="DB1597" i="33"/>
  <c r="DA1597" i="33"/>
  <c r="CZ1597" i="33"/>
  <c r="CW1597" i="33"/>
  <c r="CV1597" i="33"/>
  <c r="CU1597" i="33"/>
  <c r="CT1597" i="33"/>
  <c r="CS1597" i="33"/>
  <c r="CP1597" i="33"/>
  <c r="CO1597" i="33"/>
  <c r="CN1597" i="33"/>
  <c r="CM1597" i="33"/>
  <c r="CL1597" i="33"/>
  <c r="CB1597" i="33"/>
  <c r="CA1597" i="33"/>
  <c r="BZ1597" i="33"/>
  <c r="BY1597" i="33"/>
  <c r="BX1597" i="33"/>
  <c r="BU1597" i="33"/>
  <c r="BT1597" i="33"/>
  <c r="BS1597" i="33"/>
  <c r="BR1597" i="33"/>
  <c r="BQ1597" i="33"/>
  <c r="BN1597" i="33"/>
  <c r="BM1597" i="33"/>
  <c r="BL1597" i="33"/>
  <c r="BK1597" i="33"/>
  <c r="BJ1597" i="33"/>
  <c r="BG1597" i="33"/>
  <c r="BF1597" i="33"/>
  <c r="BE1597" i="33"/>
  <c r="BD1597" i="33"/>
  <c r="BC1597" i="33"/>
  <c r="AZ1597" i="33"/>
  <c r="AY1597" i="33"/>
  <c r="AX1597" i="33"/>
  <c r="AW1597" i="33"/>
  <c r="AV1597" i="33"/>
  <c r="AS1597" i="33"/>
  <c r="AR1597" i="33"/>
  <c r="AQ1597" i="33"/>
  <c r="AP1597" i="33"/>
  <c r="AO1597" i="33"/>
  <c r="AL1597" i="33"/>
  <c r="AK1597" i="33"/>
  <c r="AJ1597" i="33"/>
  <c r="AI1597" i="33"/>
  <c r="AH1597" i="33"/>
  <c r="AE1597" i="33"/>
  <c r="AD1597" i="33"/>
  <c r="AC1597" i="33"/>
  <c r="AB1597" i="33"/>
  <c r="AA1597" i="33"/>
  <c r="X1597" i="33"/>
  <c r="W1597" i="33"/>
  <c r="V1597" i="33"/>
  <c r="U1597" i="33"/>
  <c r="T1597" i="33"/>
  <c r="Q1597" i="33"/>
  <c r="P1597" i="33"/>
  <c r="O1597" i="33"/>
  <c r="N1597" i="33"/>
  <c r="M1597" i="33"/>
  <c r="DE1596" i="33"/>
  <c r="CX1596" i="33"/>
  <c r="CX1597" i="33" s="1"/>
  <c r="CC1596" i="33"/>
  <c r="CC1597" i="33" s="1"/>
  <c r="BV1596" i="33"/>
  <c r="BO1596" i="33"/>
  <c r="BH1596" i="33"/>
  <c r="BA1596" i="33"/>
  <c r="AT1596" i="33"/>
  <c r="AM1596" i="33"/>
  <c r="AF1596" i="33"/>
  <c r="Y1596" i="33"/>
  <c r="Y1597" i="33" s="1"/>
  <c r="R1596" i="33"/>
  <c r="DE1595" i="33"/>
  <c r="DE1597" i="33" s="1"/>
  <c r="CX1595" i="33"/>
  <c r="CC1595" i="33"/>
  <c r="BV1595" i="33"/>
  <c r="BO1595" i="33"/>
  <c r="BH1595" i="33"/>
  <c r="BH1597" i="33" s="1"/>
  <c r="BA1595" i="33"/>
  <c r="AT1595" i="33"/>
  <c r="AM1595" i="33"/>
  <c r="AF1595" i="33"/>
  <c r="AF1597" i="33" s="1"/>
  <c r="Y1595" i="33"/>
  <c r="R1595" i="33"/>
  <c r="DE1594" i="33"/>
  <c r="CX1594" i="33"/>
  <c r="CC1594" i="33"/>
  <c r="BV1594" i="33"/>
  <c r="BO1594" i="33"/>
  <c r="BH1594" i="33"/>
  <c r="BA1594" i="33"/>
  <c r="AT1594" i="33"/>
  <c r="AM1594" i="33"/>
  <c r="U55" i="40" s="1"/>
  <c r="AF1594" i="33"/>
  <c r="Y1594" i="33"/>
  <c r="R1594" i="33"/>
  <c r="DE1593" i="33"/>
  <c r="CX1593" i="33"/>
  <c r="CC1593" i="33"/>
  <c r="BV1593" i="33"/>
  <c r="BV1597" i="33" s="1"/>
  <c r="BO1593" i="33"/>
  <c r="BO1597" i="33" s="1"/>
  <c r="BH1593" i="33"/>
  <c r="BA1593" i="33"/>
  <c r="BA1597" i="33" s="1"/>
  <c r="AT1593" i="33"/>
  <c r="AT1597" i="33" s="1"/>
  <c r="AM1593" i="33"/>
  <c r="AM1597" i="33" s="1"/>
  <c r="AF1593" i="33"/>
  <c r="Y1593" i="33"/>
  <c r="R1593" i="33"/>
  <c r="R1597" i="33" s="1"/>
  <c r="DD1591" i="33"/>
  <c r="DC1591" i="33"/>
  <c r="DB1591" i="33"/>
  <c r="DA1591" i="33"/>
  <c r="CZ1591" i="33"/>
  <c r="CW1591" i="33"/>
  <c r="CV1591" i="33"/>
  <c r="CU1591" i="33"/>
  <c r="CT1591" i="33"/>
  <c r="CS1591" i="33"/>
  <c r="CP1591" i="33"/>
  <c r="CO1591" i="33"/>
  <c r="CN1591" i="33"/>
  <c r="CM1591" i="33"/>
  <c r="CL1591" i="33"/>
  <c r="CB1591" i="33"/>
  <c r="CA1591" i="33"/>
  <c r="BZ1591" i="33"/>
  <c r="BY1591" i="33"/>
  <c r="BX1591" i="33"/>
  <c r="BU1591" i="33"/>
  <c r="BT1591" i="33"/>
  <c r="BS1591" i="33"/>
  <c r="BR1591" i="33"/>
  <c r="BQ1591" i="33"/>
  <c r="BN1591" i="33"/>
  <c r="BM1591" i="33"/>
  <c r="BL1591" i="33"/>
  <c r="BK1591" i="33"/>
  <c r="BJ1591" i="33"/>
  <c r="BG1591" i="33"/>
  <c r="BF1591" i="33"/>
  <c r="BE1591" i="33"/>
  <c r="BD1591" i="33"/>
  <c r="BC1591" i="33"/>
  <c r="AZ1591" i="33"/>
  <c r="AY1591" i="33"/>
  <c r="AX1591" i="33"/>
  <c r="AW1591" i="33"/>
  <c r="AV1591" i="33"/>
  <c r="AT1591" i="33"/>
  <c r="AS1591" i="33"/>
  <c r="AR1591" i="33"/>
  <c r="AQ1591" i="33"/>
  <c r="AP1591" i="33"/>
  <c r="AO1591" i="33"/>
  <c r="AL1591" i="33"/>
  <c r="AK1591" i="33"/>
  <c r="AJ1591" i="33"/>
  <c r="AI1591" i="33"/>
  <c r="AH1591" i="33"/>
  <c r="AE1591" i="33"/>
  <c r="AD1591" i="33"/>
  <c r="AC1591" i="33"/>
  <c r="AB1591" i="33"/>
  <c r="AA1591" i="33"/>
  <c r="X1591" i="33"/>
  <c r="W1591" i="33"/>
  <c r="V1591" i="33"/>
  <c r="U1591" i="33"/>
  <c r="T1591" i="33"/>
  <c r="Q1591" i="33"/>
  <c r="P1591" i="33"/>
  <c r="O1591" i="33"/>
  <c r="N1591" i="33"/>
  <c r="M1591" i="33"/>
  <c r="DE1590" i="33"/>
  <c r="CX1590" i="33"/>
  <c r="CC1590" i="33"/>
  <c r="BV1590" i="33"/>
  <c r="BO1590" i="33"/>
  <c r="BH1590" i="33"/>
  <c r="BH1591" i="33" s="1"/>
  <c r="BA1590" i="33"/>
  <c r="AT1590" i="33"/>
  <c r="AM1590" i="33"/>
  <c r="AF1590" i="33"/>
  <c r="Y1590" i="33"/>
  <c r="R1590" i="33"/>
  <c r="DE1589" i="33"/>
  <c r="CX1589" i="33"/>
  <c r="CC1589" i="33"/>
  <c r="BV1589" i="33"/>
  <c r="BO1589" i="33"/>
  <c r="BO1591" i="33" s="1"/>
  <c r="BH1589" i="33"/>
  <c r="BA1589" i="33"/>
  <c r="AT1589" i="33"/>
  <c r="AM1589" i="33"/>
  <c r="AF1589" i="33"/>
  <c r="Y1589" i="33"/>
  <c r="R1589" i="33"/>
  <c r="DE1588" i="33"/>
  <c r="CX1588" i="33"/>
  <c r="CC1588" i="33"/>
  <c r="BV1588" i="33"/>
  <c r="BV1591" i="33" s="1"/>
  <c r="BO1588" i="33"/>
  <c r="BH1588" i="33"/>
  <c r="BA1588" i="33"/>
  <c r="AT1588" i="33"/>
  <c r="AM1588" i="33"/>
  <c r="AF1588" i="33"/>
  <c r="Y1588" i="33"/>
  <c r="R1588" i="33"/>
  <c r="R1591" i="33" s="1"/>
  <c r="DE1587" i="33"/>
  <c r="DE1591" i="33" s="1"/>
  <c r="CX1587" i="33"/>
  <c r="CX1591" i="33" s="1"/>
  <c r="CC1587" i="33"/>
  <c r="CC1591" i="33" s="1"/>
  <c r="BV1587" i="33"/>
  <c r="BO1587" i="33"/>
  <c r="BH1587" i="33"/>
  <c r="BA1587" i="33"/>
  <c r="BA1591" i="33" s="1"/>
  <c r="AT1587" i="33"/>
  <c r="AM1587" i="33"/>
  <c r="AM1591" i="33" s="1"/>
  <c r="AF1587" i="33"/>
  <c r="AF1591" i="33" s="1"/>
  <c r="Y1587" i="33"/>
  <c r="Y1591" i="33" s="1"/>
  <c r="R1587" i="33"/>
  <c r="DE1585" i="33"/>
  <c r="DD1585" i="33"/>
  <c r="DC1585" i="33"/>
  <c r="DB1585" i="33"/>
  <c r="DA1585" i="33"/>
  <c r="CZ1585" i="33"/>
  <c r="CW1585" i="33"/>
  <c r="CV1585" i="33"/>
  <c r="CU1585" i="33"/>
  <c r="CT1585" i="33"/>
  <c r="CS1585" i="33"/>
  <c r="CP1585" i="33"/>
  <c r="CO1585" i="33"/>
  <c r="CN1585" i="33"/>
  <c r="CM1585" i="33"/>
  <c r="CL1585" i="33"/>
  <c r="CB1585" i="33"/>
  <c r="CA1585" i="33"/>
  <c r="BZ1585" i="33"/>
  <c r="BY1585" i="33"/>
  <c r="BX1585" i="33"/>
  <c r="BU1585" i="33"/>
  <c r="BT1585" i="33"/>
  <c r="BS1585" i="33"/>
  <c r="BR1585" i="33"/>
  <c r="BQ1585" i="33"/>
  <c r="BN1585" i="33"/>
  <c r="BM1585" i="33"/>
  <c r="BL1585" i="33"/>
  <c r="BK1585" i="33"/>
  <c r="BJ1585" i="33"/>
  <c r="BG1585" i="33"/>
  <c r="BF1585" i="33"/>
  <c r="BE1585" i="33"/>
  <c r="BD1585" i="33"/>
  <c r="BC1585" i="33"/>
  <c r="AZ1585" i="33"/>
  <c r="AY1585" i="33"/>
  <c r="AX1585" i="33"/>
  <c r="AW1585" i="33"/>
  <c r="AV1585" i="33"/>
  <c r="AS1585" i="33"/>
  <c r="AR1585" i="33"/>
  <c r="AQ1585" i="33"/>
  <c r="AP1585" i="33"/>
  <c r="AO1585" i="33"/>
  <c r="AL1585" i="33"/>
  <c r="AK1585" i="33"/>
  <c r="AJ1585" i="33"/>
  <c r="AI1585" i="33"/>
  <c r="AH1585" i="33"/>
  <c r="AE1585" i="33"/>
  <c r="AD1585" i="33"/>
  <c r="AC1585" i="33"/>
  <c r="AB1585" i="33"/>
  <c r="AA1585" i="33"/>
  <c r="X1585" i="33"/>
  <c r="W1585" i="33"/>
  <c r="V1585" i="33"/>
  <c r="U1585" i="33"/>
  <c r="T1585" i="33"/>
  <c r="Q1585" i="33"/>
  <c r="P1585" i="33"/>
  <c r="O1585" i="33"/>
  <c r="N1585" i="33"/>
  <c r="M1585" i="33"/>
  <c r="DE1584" i="33"/>
  <c r="CX1584" i="33"/>
  <c r="CC1584" i="33"/>
  <c r="BV1584" i="33"/>
  <c r="BO1584" i="33"/>
  <c r="BH1584" i="33"/>
  <c r="BA1584" i="33"/>
  <c r="AT1584" i="33"/>
  <c r="AM1584" i="33"/>
  <c r="S55" i="40" s="1"/>
  <c r="AF1584" i="33"/>
  <c r="Y1584" i="33"/>
  <c r="R1584" i="33"/>
  <c r="G1584" i="33"/>
  <c r="CF1584" i="33" s="1"/>
  <c r="G1590" i="33" s="1"/>
  <c r="CF1590" i="33" s="1"/>
  <c r="G1596" i="33" s="1"/>
  <c r="CF1596" i="33" s="1"/>
  <c r="G1602" i="33" s="1"/>
  <c r="CF1602" i="33" s="1"/>
  <c r="DE1583" i="33"/>
  <c r="CX1583" i="33"/>
  <c r="CC1583" i="33"/>
  <c r="BV1583" i="33"/>
  <c r="BO1583" i="33"/>
  <c r="BH1583" i="33"/>
  <c r="BA1583" i="33"/>
  <c r="AT1583" i="33"/>
  <c r="AM1583" i="33"/>
  <c r="AF1583" i="33"/>
  <c r="Y1583" i="33"/>
  <c r="R1583" i="33"/>
  <c r="DE1582" i="33"/>
  <c r="CX1582" i="33"/>
  <c r="CX1585" i="33" s="1"/>
  <c r="CC1582" i="33"/>
  <c r="CC1585" i="33" s="1"/>
  <c r="BV1582" i="33"/>
  <c r="BO1582" i="33"/>
  <c r="BH1582" i="33"/>
  <c r="BA1582" i="33"/>
  <c r="BA1585" i="33" s="1"/>
  <c r="AT1582" i="33"/>
  <c r="AM1582" i="33"/>
  <c r="AF1582" i="33"/>
  <c r="Y1582" i="33"/>
  <c r="Y1585" i="33" s="1"/>
  <c r="R1582" i="33"/>
  <c r="J1582" i="33"/>
  <c r="CI1582" i="33" s="1"/>
  <c r="J1588" i="33" s="1"/>
  <c r="CI1588" i="33" s="1"/>
  <c r="J1594" i="33" s="1"/>
  <c r="CI1594" i="33" s="1"/>
  <c r="J1600" i="33" s="1"/>
  <c r="CI1600" i="33" s="1"/>
  <c r="I1582" i="33"/>
  <c r="CH1582" i="33" s="1"/>
  <c r="I1588" i="33" s="1"/>
  <c r="CH1588" i="33" s="1"/>
  <c r="I1594" i="33" s="1"/>
  <c r="CH1594" i="33" s="1"/>
  <c r="I1600" i="33" s="1"/>
  <c r="CH1600" i="33" s="1"/>
  <c r="DE1581" i="33"/>
  <c r="CX1581" i="33"/>
  <c r="CC1581" i="33"/>
  <c r="BV1581" i="33"/>
  <c r="BV1585" i="33" s="1"/>
  <c r="BO1581" i="33"/>
  <c r="BO1585" i="33" s="1"/>
  <c r="BH1581" i="33"/>
  <c r="BH1585" i="33" s="1"/>
  <c r="BA1581" i="33"/>
  <c r="AT1581" i="33"/>
  <c r="AT1585" i="33" s="1"/>
  <c r="AM1581" i="33"/>
  <c r="AM1585" i="33" s="1"/>
  <c r="AF1581" i="33"/>
  <c r="AF1585" i="33" s="1"/>
  <c r="Y1581" i="33"/>
  <c r="R1581" i="33"/>
  <c r="R1585" i="33" s="1"/>
  <c r="J1581" i="33"/>
  <c r="F1581" i="33"/>
  <c r="CE1581" i="33" s="1"/>
  <c r="DD1579" i="33"/>
  <c r="DC1579" i="33"/>
  <c r="DB1579" i="33"/>
  <c r="DA1579" i="33"/>
  <c r="CZ1579" i="33"/>
  <c r="CW1579" i="33"/>
  <c r="CV1579" i="33"/>
  <c r="CU1579" i="33"/>
  <c r="CT1579" i="33"/>
  <c r="CS1579" i="33"/>
  <c r="CP1579" i="33"/>
  <c r="CO1579" i="33"/>
  <c r="CN1579" i="33"/>
  <c r="CM1579" i="33"/>
  <c r="CL1579" i="33"/>
  <c r="CI1579" i="33"/>
  <c r="CH1579" i="33"/>
  <c r="CB1579" i="33"/>
  <c r="CA1579" i="33"/>
  <c r="BZ1579" i="33"/>
  <c r="BY1579" i="33"/>
  <c r="BX1579" i="33"/>
  <c r="BU1579" i="33"/>
  <c r="BT1579" i="33"/>
  <c r="BS1579" i="33"/>
  <c r="BR1579" i="33"/>
  <c r="BQ1579" i="33"/>
  <c r="BO1579" i="33"/>
  <c r="BN1579" i="33"/>
  <c r="BM1579" i="33"/>
  <c r="BL1579" i="33"/>
  <c r="BK1579" i="33"/>
  <c r="BJ1579" i="33"/>
  <c r="BG1579" i="33"/>
  <c r="BF1579" i="33"/>
  <c r="BE1579" i="33"/>
  <c r="BD1579" i="33"/>
  <c r="BC1579" i="33"/>
  <c r="AZ1579" i="33"/>
  <c r="AY1579" i="33"/>
  <c r="AX1579" i="33"/>
  <c r="AW1579" i="33"/>
  <c r="AV1579" i="33"/>
  <c r="AS1579" i="33"/>
  <c r="AR1579" i="33"/>
  <c r="AQ1579" i="33"/>
  <c r="AP1579" i="33"/>
  <c r="AO1579" i="33"/>
  <c r="AM1579" i="33"/>
  <c r="AL1579" i="33"/>
  <c r="AK1579" i="33"/>
  <c r="AJ1579" i="33"/>
  <c r="AI1579" i="33"/>
  <c r="AH1579" i="33"/>
  <c r="AE1579" i="33"/>
  <c r="AD1579" i="33"/>
  <c r="AC1579" i="33"/>
  <c r="AB1579" i="33"/>
  <c r="AA1579" i="33"/>
  <c r="X1579" i="33"/>
  <c r="W1579" i="33"/>
  <c r="V1579" i="33"/>
  <c r="U1579" i="33"/>
  <c r="T1579" i="33"/>
  <c r="Q1579" i="33"/>
  <c r="P1579" i="33"/>
  <c r="O1579" i="33"/>
  <c r="N1579" i="33"/>
  <c r="M1579" i="33"/>
  <c r="K1579" i="33"/>
  <c r="J1579" i="33"/>
  <c r="I1579" i="33"/>
  <c r="H1579" i="33"/>
  <c r="G1579" i="33"/>
  <c r="F1579" i="33"/>
  <c r="DE1578" i="33"/>
  <c r="CX1578" i="33"/>
  <c r="CI1578" i="33"/>
  <c r="J1584" i="33" s="1"/>
  <c r="CI1584" i="33" s="1"/>
  <c r="J1590" i="33" s="1"/>
  <c r="CI1590" i="33" s="1"/>
  <c r="J1596" i="33" s="1"/>
  <c r="CI1596" i="33" s="1"/>
  <c r="J1602" i="33" s="1"/>
  <c r="CI1602" i="33" s="1"/>
  <c r="CH1578" i="33"/>
  <c r="I1584" i="33" s="1"/>
  <c r="CH1584" i="33" s="1"/>
  <c r="I1590" i="33" s="1"/>
  <c r="CH1590" i="33" s="1"/>
  <c r="I1596" i="33" s="1"/>
  <c r="CH1596" i="33" s="1"/>
  <c r="I1602" i="33" s="1"/>
  <c r="CH1602" i="33" s="1"/>
  <c r="CG1578" i="33"/>
  <c r="H1584" i="33" s="1"/>
  <c r="CG1584" i="33" s="1"/>
  <c r="H1590" i="33" s="1"/>
  <c r="CG1590" i="33" s="1"/>
  <c r="H1596" i="33" s="1"/>
  <c r="CG1596" i="33" s="1"/>
  <c r="H1602" i="33" s="1"/>
  <c r="CG1602" i="33" s="1"/>
  <c r="CF1578" i="33"/>
  <c r="CE1578" i="33"/>
  <c r="F1584" i="33" s="1"/>
  <c r="CC1578" i="33"/>
  <c r="BV1578" i="33"/>
  <c r="BO1578" i="33"/>
  <c r="BH1578" i="33"/>
  <c r="BA1578" i="33"/>
  <c r="AT1578" i="33"/>
  <c r="AM1578" i="33"/>
  <c r="AF1578" i="33"/>
  <c r="Y1578" i="33"/>
  <c r="R1578" i="33"/>
  <c r="K1578" i="33"/>
  <c r="DE1577" i="33"/>
  <c r="CX1577" i="33"/>
  <c r="CI1577" i="33"/>
  <c r="J1583" i="33" s="1"/>
  <c r="CI1583" i="33" s="1"/>
  <c r="J1589" i="33" s="1"/>
  <c r="CI1589" i="33" s="1"/>
  <c r="J1595" i="33" s="1"/>
  <c r="CI1595" i="33" s="1"/>
  <c r="J1601" i="33" s="1"/>
  <c r="CI1601" i="33" s="1"/>
  <c r="CH1577" i="33"/>
  <c r="I1583" i="33" s="1"/>
  <c r="CH1583" i="33" s="1"/>
  <c r="I1589" i="33" s="1"/>
  <c r="CH1589" i="33" s="1"/>
  <c r="I1595" i="33" s="1"/>
  <c r="CH1595" i="33" s="1"/>
  <c r="I1601" i="33" s="1"/>
  <c r="CH1601" i="33" s="1"/>
  <c r="CG1577" i="33"/>
  <c r="H1583" i="33" s="1"/>
  <c r="CG1583" i="33" s="1"/>
  <c r="H1589" i="33" s="1"/>
  <c r="CG1589" i="33" s="1"/>
  <c r="H1595" i="33" s="1"/>
  <c r="CG1595" i="33" s="1"/>
  <c r="H1601" i="33" s="1"/>
  <c r="CG1601" i="33" s="1"/>
  <c r="CF1577" i="33"/>
  <c r="G1583" i="33" s="1"/>
  <c r="CF1583" i="33" s="1"/>
  <c r="G1589" i="33" s="1"/>
  <c r="CF1589" i="33" s="1"/>
  <c r="G1595" i="33" s="1"/>
  <c r="CF1595" i="33" s="1"/>
  <c r="G1601" i="33" s="1"/>
  <c r="CF1601" i="33" s="1"/>
  <c r="CE1577" i="33"/>
  <c r="F1583" i="33" s="1"/>
  <c r="CC1577" i="33"/>
  <c r="BV1577" i="33"/>
  <c r="BO1577" i="33"/>
  <c r="BH1577" i="33"/>
  <c r="BA1577" i="33"/>
  <c r="AT1577" i="33"/>
  <c r="AM1577" i="33"/>
  <c r="AF1577" i="33"/>
  <c r="Y1577" i="33"/>
  <c r="R1577" i="33"/>
  <c r="K1577" i="33"/>
  <c r="DE1576" i="33"/>
  <c r="CX1576" i="33"/>
  <c r="R55" i="40"/>
  <c r="CI1576" i="33"/>
  <c r="CH1576" i="33"/>
  <c r="CG1576" i="33"/>
  <c r="H1582" i="33" s="1"/>
  <c r="CG1582" i="33" s="1"/>
  <c r="H1588" i="33" s="1"/>
  <c r="CG1588" i="33" s="1"/>
  <c r="H1594" i="33" s="1"/>
  <c r="CG1594" i="33" s="1"/>
  <c r="H1600" i="33" s="1"/>
  <c r="CG1600" i="33" s="1"/>
  <c r="CF1576" i="33"/>
  <c r="G1582" i="33" s="1"/>
  <c r="CF1582" i="33" s="1"/>
  <c r="G1588" i="33" s="1"/>
  <c r="CF1588" i="33" s="1"/>
  <c r="G1594" i="33" s="1"/>
  <c r="CF1594" i="33" s="1"/>
  <c r="G1600" i="33" s="1"/>
  <c r="CF1600" i="33" s="1"/>
  <c r="CE1576" i="33"/>
  <c r="CJ1576" i="33" s="1"/>
  <c r="CC1576" i="33"/>
  <c r="CC1579" i="33" s="1"/>
  <c r="BV1576" i="33"/>
  <c r="BO1576" i="33"/>
  <c r="BH1576" i="33"/>
  <c r="BA1576" i="33"/>
  <c r="AT1576" i="33"/>
  <c r="AM1576" i="33"/>
  <c r="AF1576" i="33"/>
  <c r="AF1579" i="33" s="1"/>
  <c r="Y1576" i="33"/>
  <c r="Y1579" i="33" s="1"/>
  <c r="R1576" i="33"/>
  <c r="K1576" i="33"/>
  <c r="DE1575" i="33"/>
  <c r="DE1579" i="33" s="1"/>
  <c r="CX1575" i="33"/>
  <c r="CX1579" i="33" s="1"/>
  <c r="CI1575" i="33"/>
  <c r="CH1575" i="33"/>
  <c r="I1581" i="33" s="1"/>
  <c r="CG1575" i="33"/>
  <c r="CG1579" i="33" s="1"/>
  <c r="CF1575" i="33"/>
  <c r="CF1579" i="33" s="1"/>
  <c r="CE1575" i="33"/>
  <c r="CE1579" i="33" s="1"/>
  <c r="CC1575" i="33"/>
  <c r="BV1575" i="33"/>
  <c r="BV1579" i="33" s="1"/>
  <c r="BO1575" i="33"/>
  <c r="BH1575" i="33"/>
  <c r="BH1579" i="33" s="1"/>
  <c r="BA1575" i="33"/>
  <c r="BA1579" i="33" s="1"/>
  <c r="AT1575" i="33"/>
  <c r="AT1579" i="33" s="1"/>
  <c r="AM1575" i="33"/>
  <c r="AF1575" i="33"/>
  <c r="Y1575" i="33"/>
  <c r="R1575" i="33"/>
  <c r="R1579" i="33" s="1"/>
  <c r="K1575" i="33"/>
  <c r="DD1571" i="33"/>
  <c r="DC1571" i="33"/>
  <c r="DB1571" i="33"/>
  <c r="DA1571" i="33"/>
  <c r="CZ1571" i="33"/>
  <c r="CX1571" i="33"/>
  <c r="CW1571" i="33"/>
  <c r="CV1571" i="33"/>
  <c r="CU1571" i="33"/>
  <c r="CT1571" i="33"/>
  <c r="CS1571" i="33"/>
  <c r="CP1571" i="33"/>
  <c r="CO1571" i="33"/>
  <c r="CN1571" i="33"/>
  <c r="CM1571" i="33"/>
  <c r="CL1571" i="33"/>
  <c r="CC1571" i="33"/>
  <c r="CB1571" i="33"/>
  <c r="CA1571" i="33"/>
  <c r="BZ1571" i="33"/>
  <c r="BY1571" i="33"/>
  <c r="BX1571" i="33"/>
  <c r="BU1571" i="33"/>
  <c r="BT1571" i="33"/>
  <c r="BS1571" i="33"/>
  <c r="BR1571" i="33"/>
  <c r="BQ1571" i="33"/>
  <c r="BN1571" i="33"/>
  <c r="BM1571" i="33"/>
  <c r="BL1571" i="33"/>
  <c r="BK1571" i="33"/>
  <c r="BJ1571" i="33"/>
  <c r="BG1571" i="33"/>
  <c r="BF1571" i="33"/>
  <c r="BE1571" i="33"/>
  <c r="BD1571" i="33"/>
  <c r="BC1571" i="33"/>
  <c r="BA1571" i="33"/>
  <c r="AZ1571" i="33"/>
  <c r="AY1571" i="33"/>
  <c r="AX1571" i="33"/>
  <c r="AW1571" i="33"/>
  <c r="AV1571" i="33"/>
  <c r="AS1571" i="33"/>
  <c r="AR1571" i="33"/>
  <c r="AQ1571" i="33"/>
  <c r="AP1571" i="33"/>
  <c r="AO1571" i="33"/>
  <c r="AL1571" i="33"/>
  <c r="AK1571" i="33"/>
  <c r="AJ1571" i="33"/>
  <c r="AI1571" i="33"/>
  <c r="AH1571" i="33"/>
  <c r="AE1571" i="33"/>
  <c r="AD1571" i="33"/>
  <c r="AC1571" i="33"/>
  <c r="AB1571" i="33"/>
  <c r="AA1571" i="33"/>
  <c r="Y1571" i="33"/>
  <c r="X1571" i="33"/>
  <c r="W1571" i="33"/>
  <c r="V1571" i="33"/>
  <c r="U1571" i="33"/>
  <c r="T1571" i="33"/>
  <c r="Q1571" i="33"/>
  <c r="P1571" i="33"/>
  <c r="O1571" i="33"/>
  <c r="N1571" i="33"/>
  <c r="M1571" i="33"/>
  <c r="DE1570" i="33"/>
  <c r="CX1570" i="33"/>
  <c r="CC1570" i="33"/>
  <c r="BV1570" i="33"/>
  <c r="BO1570" i="33"/>
  <c r="BH1570" i="33"/>
  <c r="BA1570" i="33"/>
  <c r="AT1570" i="33"/>
  <c r="AM1570" i="33"/>
  <c r="AF1570" i="33"/>
  <c r="Y1570" i="33"/>
  <c r="R1570" i="33"/>
  <c r="DE1569" i="33"/>
  <c r="CX1569" i="33"/>
  <c r="CC1569" i="33"/>
  <c r="BV1569" i="33"/>
  <c r="BO1569" i="33"/>
  <c r="BH1569" i="33"/>
  <c r="BA1569" i="33"/>
  <c r="AT1569" i="33"/>
  <c r="AM1569" i="33"/>
  <c r="AF1569" i="33"/>
  <c r="Y1569" i="33"/>
  <c r="R1569" i="33"/>
  <c r="DE1568" i="33"/>
  <c r="CX1568" i="33"/>
  <c r="CC1568" i="33"/>
  <c r="BV1568" i="33"/>
  <c r="BO1568" i="33"/>
  <c r="BH1568" i="33"/>
  <c r="BA1568" i="33"/>
  <c r="AT1568" i="33"/>
  <c r="AM1568" i="33"/>
  <c r="AF1568" i="33"/>
  <c r="Y1568" i="33"/>
  <c r="R1568" i="33"/>
  <c r="DE1567" i="33"/>
  <c r="DE1571" i="33" s="1"/>
  <c r="CX1567" i="33"/>
  <c r="CC1567" i="33"/>
  <c r="BV1567" i="33"/>
  <c r="BV1571" i="33" s="1"/>
  <c r="BO1567" i="33"/>
  <c r="BO1571" i="33" s="1"/>
  <c r="BH1567" i="33"/>
  <c r="BH1571" i="33" s="1"/>
  <c r="BA1567" i="33"/>
  <c r="AT1567" i="33"/>
  <c r="AT1571" i="33" s="1"/>
  <c r="AM1567" i="33"/>
  <c r="AM1571" i="33" s="1"/>
  <c r="AF1567" i="33"/>
  <c r="AF1571" i="33" s="1"/>
  <c r="Y1567" i="33"/>
  <c r="R1567" i="33"/>
  <c r="R1571" i="33" s="1"/>
  <c r="DD1565" i="33"/>
  <c r="DC1565" i="33"/>
  <c r="DB1565" i="33"/>
  <c r="DA1565" i="33"/>
  <c r="CZ1565" i="33"/>
  <c r="CW1565" i="33"/>
  <c r="CV1565" i="33"/>
  <c r="CU1565" i="33"/>
  <c r="CT1565" i="33"/>
  <c r="CS1565" i="33"/>
  <c r="CP1565" i="33"/>
  <c r="CO1565" i="33"/>
  <c r="CN1565" i="33"/>
  <c r="CM1565" i="33"/>
  <c r="CL1565" i="33"/>
  <c r="CB1565" i="33"/>
  <c r="CA1565" i="33"/>
  <c r="BZ1565" i="33"/>
  <c r="BY1565" i="33"/>
  <c r="BX1565" i="33"/>
  <c r="BU1565" i="33"/>
  <c r="BT1565" i="33"/>
  <c r="BS1565" i="33"/>
  <c r="BR1565" i="33"/>
  <c r="BQ1565" i="33"/>
  <c r="BN1565" i="33"/>
  <c r="BM1565" i="33"/>
  <c r="BL1565" i="33"/>
  <c r="BK1565" i="33"/>
  <c r="BJ1565" i="33"/>
  <c r="BH1565" i="33"/>
  <c r="BG1565" i="33"/>
  <c r="BF1565" i="33"/>
  <c r="BE1565" i="33"/>
  <c r="BD1565" i="33"/>
  <c r="BC1565" i="33"/>
  <c r="AZ1565" i="33"/>
  <c r="AY1565" i="33"/>
  <c r="AX1565" i="33"/>
  <c r="AW1565" i="33"/>
  <c r="AV1565" i="33"/>
  <c r="AS1565" i="33"/>
  <c r="AR1565" i="33"/>
  <c r="AQ1565" i="33"/>
  <c r="AP1565" i="33"/>
  <c r="AO1565" i="33"/>
  <c r="AL1565" i="33"/>
  <c r="AK1565" i="33"/>
  <c r="AJ1565" i="33"/>
  <c r="AI1565" i="33"/>
  <c r="AH1565" i="33"/>
  <c r="AE1565" i="33"/>
  <c r="AD1565" i="33"/>
  <c r="AC1565" i="33"/>
  <c r="AB1565" i="33"/>
  <c r="AA1565" i="33"/>
  <c r="X1565" i="33"/>
  <c r="W1565" i="33"/>
  <c r="V1565" i="33"/>
  <c r="U1565" i="33"/>
  <c r="T1565" i="33"/>
  <c r="Q1565" i="33"/>
  <c r="P1565" i="33"/>
  <c r="O1565" i="33"/>
  <c r="N1565" i="33"/>
  <c r="M1565" i="33"/>
  <c r="DE1564" i="33"/>
  <c r="CX1564" i="33"/>
  <c r="CC1564" i="33"/>
  <c r="BV1564" i="33"/>
  <c r="BO1564" i="33"/>
  <c r="BH1564" i="33"/>
  <c r="BA1564" i="33"/>
  <c r="AT1564" i="33"/>
  <c r="AM1564" i="33"/>
  <c r="AF1564" i="33"/>
  <c r="Y1564" i="33"/>
  <c r="K54" i="40" s="1"/>
  <c r="R1564" i="33"/>
  <c r="DE1563" i="33"/>
  <c r="CX1563" i="33"/>
  <c r="CC1563" i="33"/>
  <c r="BV1563" i="33"/>
  <c r="BO1563" i="33"/>
  <c r="BH1563" i="33"/>
  <c r="BA1563" i="33"/>
  <c r="AT1563" i="33"/>
  <c r="AM1563" i="33"/>
  <c r="AF1563" i="33"/>
  <c r="AF1565" i="33" s="1"/>
  <c r="Y1563" i="33"/>
  <c r="Y1565" i="33" s="1"/>
  <c r="R1563" i="33"/>
  <c r="DE1562" i="33"/>
  <c r="CX1562" i="33"/>
  <c r="CC1562" i="33"/>
  <c r="BV1562" i="33"/>
  <c r="BO1562" i="33"/>
  <c r="BH1562" i="33"/>
  <c r="BA1562" i="33"/>
  <c r="AT1562" i="33"/>
  <c r="AM1562" i="33"/>
  <c r="U54" i="40" s="1"/>
  <c r="AF1562" i="33"/>
  <c r="Y1562" i="33"/>
  <c r="R1562" i="33"/>
  <c r="DE1561" i="33"/>
  <c r="DE1565" i="33" s="1"/>
  <c r="CX1561" i="33"/>
  <c r="CX1565" i="33" s="1"/>
  <c r="CC1561" i="33"/>
  <c r="CC1565" i="33" s="1"/>
  <c r="BV1561" i="33"/>
  <c r="BV1565" i="33" s="1"/>
  <c r="BO1561" i="33"/>
  <c r="BO1565" i="33" s="1"/>
  <c r="BH1561" i="33"/>
  <c r="BA1561" i="33"/>
  <c r="BA1565" i="33" s="1"/>
  <c r="AT1561" i="33"/>
  <c r="AT1565" i="33" s="1"/>
  <c r="AM1561" i="33"/>
  <c r="AM1565" i="33" s="1"/>
  <c r="AF1561" i="33"/>
  <c r="Y1561" i="33"/>
  <c r="R1561" i="33"/>
  <c r="R1565" i="33" s="1"/>
  <c r="DD1559" i="33"/>
  <c r="DC1559" i="33"/>
  <c r="DB1559" i="33"/>
  <c r="DA1559" i="33"/>
  <c r="CZ1559" i="33"/>
  <c r="CW1559" i="33"/>
  <c r="CV1559" i="33"/>
  <c r="CU1559" i="33"/>
  <c r="CT1559" i="33"/>
  <c r="CS1559" i="33"/>
  <c r="CP1559" i="33"/>
  <c r="CO1559" i="33"/>
  <c r="CN1559" i="33"/>
  <c r="CM1559" i="33"/>
  <c r="CL1559" i="33"/>
  <c r="CB1559" i="33"/>
  <c r="CA1559" i="33"/>
  <c r="BZ1559" i="33"/>
  <c r="BY1559" i="33"/>
  <c r="BX1559" i="33"/>
  <c r="BU1559" i="33"/>
  <c r="BT1559" i="33"/>
  <c r="BS1559" i="33"/>
  <c r="BR1559" i="33"/>
  <c r="BQ1559" i="33"/>
  <c r="BN1559" i="33"/>
  <c r="BM1559" i="33"/>
  <c r="BL1559" i="33"/>
  <c r="BK1559" i="33"/>
  <c r="BJ1559" i="33"/>
  <c r="BG1559" i="33"/>
  <c r="BF1559" i="33"/>
  <c r="BE1559" i="33"/>
  <c r="BD1559" i="33"/>
  <c r="BC1559" i="33"/>
  <c r="AZ1559" i="33"/>
  <c r="AY1559" i="33"/>
  <c r="AX1559" i="33"/>
  <c r="AW1559" i="33"/>
  <c r="AV1559" i="33"/>
  <c r="AT1559" i="33"/>
  <c r="AS1559" i="33"/>
  <c r="AR1559" i="33"/>
  <c r="AQ1559" i="33"/>
  <c r="AP1559" i="33"/>
  <c r="AO1559" i="33"/>
  <c r="AL1559" i="33"/>
  <c r="AK1559" i="33"/>
  <c r="AJ1559" i="33"/>
  <c r="AI1559" i="33"/>
  <c r="AH1559" i="33"/>
  <c r="AE1559" i="33"/>
  <c r="AD1559" i="33"/>
  <c r="AC1559" i="33"/>
  <c r="AB1559" i="33"/>
  <c r="AA1559" i="33"/>
  <c r="X1559" i="33"/>
  <c r="W1559" i="33"/>
  <c r="V1559" i="33"/>
  <c r="U1559" i="33"/>
  <c r="T1559" i="33"/>
  <c r="Q1559" i="33"/>
  <c r="P1559" i="33"/>
  <c r="O1559" i="33"/>
  <c r="N1559" i="33"/>
  <c r="M1559" i="33"/>
  <c r="DE1558" i="33"/>
  <c r="CX1558" i="33"/>
  <c r="CC1558" i="33"/>
  <c r="BV1558" i="33"/>
  <c r="BO1558" i="33"/>
  <c r="BH1558" i="33"/>
  <c r="BA1558" i="33"/>
  <c r="AT1558" i="33"/>
  <c r="AM1558" i="33"/>
  <c r="AF1558" i="33"/>
  <c r="Y1558" i="33"/>
  <c r="R1558" i="33"/>
  <c r="DE1557" i="33"/>
  <c r="CX1557" i="33"/>
  <c r="CC1557" i="33"/>
  <c r="BV1557" i="33"/>
  <c r="BO1557" i="33"/>
  <c r="BH1557" i="33"/>
  <c r="BA1557" i="33"/>
  <c r="AT1557" i="33"/>
  <c r="AM1557" i="33"/>
  <c r="AF1557" i="33"/>
  <c r="Y1557" i="33"/>
  <c r="R1557" i="33"/>
  <c r="DE1556" i="33"/>
  <c r="CX1556" i="33"/>
  <c r="CC1556" i="33"/>
  <c r="BV1556" i="33"/>
  <c r="BV1559" i="33" s="1"/>
  <c r="BO1556" i="33"/>
  <c r="BH1556" i="33"/>
  <c r="BA1556" i="33"/>
  <c r="AT1556" i="33"/>
  <c r="AM1556" i="33"/>
  <c r="AF1556" i="33"/>
  <c r="Y1556" i="33"/>
  <c r="R1556" i="33"/>
  <c r="R1559" i="33" s="1"/>
  <c r="DE1555" i="33"/>
  <c r="DE1559" i="33" s="1"/>
  <c r="CX1555" i="33"/>
  <c r="CX1559" i="33" s="1"/>
  <c r="CC1555" i="33"/>
  <c r="CC1559" i="33" s="1"/>
  <c r="BV1555" i="33"/>
  <c r="BO1555" i="33"/>
  <c r="BO1559" i="33" s="1"/>
  <c r="BH1555" i="33"/>
  <c r="BH1559" i="33" s="1"/>
  <c r="BA1555" i="33"/>
  <c r="BA1559" i="33" s="1"/>
  <c r="AT1555" i="33"/>
  <c r="AM1555" i="33"/>
  <c r="AM1559" i="33" s="1"/>
  <c r="AF1555" i="33"/>
  <c r="AF1559" i="33" s="1"/>
  <c r="Y1555" i="33"/>
  <c r="Y1559" i="33" s="1"/>
  <c r="R1555" i="33"/>
  <c r="DE1553" i="33"/>
  <c r="DD1553" i="33"/>
  <c r="DC1553" i="33"/>
  <c r="DB1553" i="33"/>
  <c r="DA1553" i="33"/>
  <c r="CZ1553" i="33"/>
  <c r="CW1553" i="33"/>
  <c r="CV1553" i="33"/>
  <c r="CU1553" i="33"/>
  <c r="CT1553" i="33"/>
  <c r="CS1553" i="33"/>
  <c r="CP1553" i="33"/>
  <c r="CO1553" i="33"/>
  <c r="CN1553" i="33"/>
  <c r="CM1553" i="33"/>
  <c r="CL1553" i="33"/>
  <c r="CC1553" i="33"/>
  <c r="CB1553" i="33"/>
  <c r="CA1553" i="33"/>
  <c r="BZ1553" i="33"/>
  <c r="BY1553" i="33"/>
  <c r="BX1553" i="33"/>
  <c r="BU1553" i="33"/>
  <c r="BT1553" i="33"/>
  <c r="BS1553" i="33"/>
  <c r="BR1553" i="33"/>
  <c r="BQ1553" i="33"/>
  <c r="BN1553" i="33"/>
  <c r="BM1553" i="33"/>
  <c r="BL1553" i="33"/>
  <c r="BK1553" i="33"/>
  <c r="BJ1553" i="33"/>
  <c r="BG1553" i="33"/>
  <c r="BF1553" i="33"/>
  <c r="BE1553" i="33"/>
  <c r="BD1553" i="33"/>
  <c r="BC1553" i="33"/>
  <c r="AZ1553" i="33"/>
  <c r="AY1553" i="33"/>
  <c r="AX1553" i="33"/>
  <c r="AW1553" i="33"/>
  <c r="AV1553" i="33"/>
  <c r="AS1553" i="33"/>
  <c r="AR1553" i="33"/>
  <c r="AQ1553" i="33"/>
  <c r="AP1553" i="33"/>
  <c r="AO1553" i="33"/>
  <c r="AL1553" i="33"/>
  <c r="AK1553" i="33"/>
  <c r="AJ1553" i="33"/>
  <c r="AI1553" i="33"/>
  <c r="AH1553" i="33"/>
  <c r="AE1553" i="33"/>
  <c r="AD1553" i="33"/>
  <c r="AC1553" i="33"/>
  <c r="AB1553" i="33"/>
  <c r="AA1553" i="33"/>
  <c r="Y1553" i="33"/>
  <c r="X1553" i="33"/>
  <c r="W1553" i="33"/>
  <c r="V1553" i="33"/>
  <c r="U1553" i="33"/>
  <c r="T1553" i="33"/>
  <c r="Q1553" i="33"/>
  <c r="P1553" i="33"/>
  <c r="O1553" i="33"/>
  <c r="N1553" i="33"/>
  <c r="M1553" i="33"/>
  <c r="DE1552" i="33"/>
  <c r="CX1552" i="33"/>
  <c r="CC1552" i="33"/>
  <c r="BV1552" i="33"/>
  <c r="BO1552" i="33"/>
  <c r="BH1552" i="33"/>
  <c r="BA1552" i="33"/>
  <c r="AT1552" i="33"/>
  <c r="AM1552" i="33"/>
  <c r="AF1552" i="33"/>
  <c r="AF1553" i="33" s="1"/>
  <c r="Y1552" i="33"/>
  <c r="R1552" i="33"/>
  <c r="J1552" i="33"/>
  <c r="CI1552" i="33" s="1"/>
  <c r="J1558" i="33" s="1"/>
  <c r="CI1558" i="33" s="1"/>
  <c r="J1564" i="33" s="1"/>
  <c r="CI1564" i="33" s="1"/>
  <c r="J1570" i="33" s="1"/>
  <c r="CI1570" i="33" s="1"/>
  <c r="H1552" i="33"/>
  <c r="CG1552" i="33" s="1"/>
  <c r="H1558" i="33" s="1"/>
  <c r="CG1558" i="33" s="1"/>
  <c r="H1564" i="33" s="1"/>
  <c r="CG1564" i="33" s="1"/>
  <c r="H1570" i="33" s="1"/>
  <c r="CG1570" i="33" s="1"/>
  <c r="G1552" i="33"/>
  <c r="CF1552" i="33" s="1"/>
  <c r="G1558" i="33" s="1"/>
  <c r="CF1558" i="33" s="1"/>
  <c r="G1564" i="33" s="1"/>
  <c r="CF1564" i="33" s="1"/>
  <c r="G1570" i="33" s="1"/>
  <c r="CF1570" i="33" s="1"/>
  <c r="F1552" i="33"/>
  <c r="CE1552" i="33" s="1"/>
  <c r="DE1551" i="33"/>
  <c r="CX1551" i="33"/>
  <c r="CC1551" i="33"/>
  <c r="BV1551" i="33"/>
  <c r="BO1551" i="33"/>
  <c r="BH1551" i="33"/>
  <c r="BA1551" i="33"/>
  <c r="AT1551" i="33"/>
  <c r="AM1551" i="33"/>
  <c r="AF1551" i="33"/>
  <c r="Y1551" i="33"/>
  <c r="R1551" i="33"/>
  <c r="DE1550" i="33"/>
  <c r="CX1550" i="33"/>
  <c r="CC1550" i="33"/>
  <c r="BV1550" i="33"/>
  <c r="BV1553" i="33" s="1"/>
  <c r="BO1550" i="33"/>
  <c r="BH1550" i="33"/>
  <c r="BA1550" i="33"/>
  <c r="BA1553" i="33" s="1"/>
  <c r="AT1550" i="33"/>
  <c r="AT1553" i="33" s="1"/>
  <c r="AM1550" i="33"/>
  <c r="AF1550" i="33"/>
  <c r="Y1550" i="33"/>
  <c r="R1550" i="33"/>
  <c r="R1553" i="33" s="1"/>
  <c r="J1550" i="33"/>
  <c r="CI1550" i="33" s="1"/>
  <c r="J1556" i="33" s="1"/>
  <c r="CI1556" i="33" s="1"/>
  <c r="J1562" i="33" s="1"/>
  <c r="CI1562" i="33" s="1"/>
  <c r="J1568" i="33" s="1"/>
  <c r="CI1568" i="33" s="1"/>
  <c r="I1550" i="33"/>
  <c r="CH1550" i="33" s="1"/>
  <c r="I1556" i="33" s="1"/>
  <c r="CH1556" i="33" s="1"/>
  <c r="I1562" i="33" s="1"/>
  <c r="CH1562" i="33" s="1"/>
  <c r="I1568" i="33" s="1"/>
  <c r="CH1568" i="33" s="1"/>
  <c r="H1550" i="33"/>
  <c r="CG1550" i="33" s="1"/>
  <c r="H1556" i="33" s="1"/>
  <c r="CG1556" i="33" s="1"/>
  <c r="H1562" i="33" s="1"/>
  <c r="CG1562" i="33" s="1"/>
  <c r="H1568" i="33" s="1"/>
  <c r="CG1568" i="33" s="1"/>
  <c r="DE1549" i="33"/>
  <c r="CX1549" i="33"/>
  <c r="CX1553" i="33" s="1"/>
  <c r="CC1549" i="33"/>
  <c r="BV1549" i="33"/>
  <c r="BO1549" i="33"/>
  <c r="BO1553" i="33" s="1"/>
  <c r="BH1549" i="33"/>
  <c r="BH1553" i="33" s="1"/>
  <c r="BA1549" i="33"/>
  <c r="AT1549" i="33"/>
  <c r="AM1549" i="33"/>
  <c r="AM1553" i="33" s="1"/>
  <c r="AF1549" i="33"/>
  <c r="Y1549" i="33"/>
  <c r="R1549" i="33"/>
  <c r="J1549" i="33"/>
  <c r="DE1547" i="33"/>
  <c r="DD1547" i="33"/>
  <c r="DC1547" i="33"/>
  <c r="DB1547" i="33"/>
  <c r="DA1547" i="33"/>
  <c r="CZ1547" i="33"/>
  <c r="CW1547" i="33"/>
  <c r="CV1547" i="33"/>
  <c r="CU1547" i="33"/>
  <c r="CT1547" i="33"/>
  <c r="CS1547" i="33"/>
  <c r="CP1547" i="33"/>
  <c r="CO1547" i="33"/>
  <c r="CN1547" i="33"/>
  <c r="CM1547" i="33"/>
  <c r="CL1547" i="33"/>
  <c r="CI1547" i="33"/>
  <c r="CH1547" i="33"/>
  <c r="CB1547" i="33"/>
  <c r="CA1547" i="33"/>
  <c r="BZ1547" i="33"/>
  <c r="BY1547" i="33"/>
  <c r="BX1547" i="33"/>
  <c r="BU1547" i="33"/>
  <c r="BT1547" i="33"/>
  <c r="BS1547" i="33"/>
  <c r="BR1547" i="33"/>
  <c r="BQ1547" i="33"/>
  <c r="BO1547" i="33"/>
  <c r="BN1547" i="33"/>
  <c r="BM1547" i="33"/>
  <c r="BL1547" i="33"/>
  <c r="BK1547" i="33"/>
  <c r="BJ1547" i="33"/>
  <c r="BG1547" i="33"/>
  <c r="BF1547" i="33"/>
  <c r="BE1547" i="33"/>
  <c r="BD1547" i="33"/>
  <c r="BC1547" i="33"/>
  <c r="AZ1547" i="33"/>
  <c r="AY1547" i="33"/>
  <c r="AX1547" i="33"/>
  <c r="AW1547" i="33"/>
  <c r="AV1547" i="33"/>
  <c r="AS1547" i="33"/>
  <c r="AR1547" i="33"/>
  <c r="AQ1547" i="33"/>
  <c r="AP1547" i="33"/>
  <c r="AO1547" i="33"/>
  <c r="AM1547" i="33"/>
  <c r="AL1547" i="33"/>
  <c r="AK1547" i="33"/>
  <c r="AJ1547" i="33"/>
  <c r="AI1547" i="33"/>
  <c r="AH1547" i="33"/>
  <c r="AE1547" i="33"/>
  <c r="AD1547" i="33"/>
  <c r="AC1547" i="33"/>
  <c r="AB1547" i="33"/>
  <c r="AA1547" i="33"/>
  <c r="X1547" i="33"/>
  <c r="W1547" i="33"/>
  <c r="V1547" i="33"/>
  <c r="U1547" i="33"/>
  <c r="T1547" i="33"/>
  <c r="Q1547" i="33"/>
  <c r="P1547" i="33"/>
  <c r="O1547" i="33"/>
  <c r="N1547" i="33"/>
  <c r="M1547" i="33"/>
  <c r="K1547" i="33"/>
  <c r="J1547" i="33"/>
  <c r="I1547" i="33"/>
  <c r="H1547" i="33"/>
  <c r="G1547" i="33"/>
  <c r="F1547" i="33"/>
  <c r="DE1546" i="33"/>
  <c r="CX1546" i="33"/>
  <c r="CI1546" i="33"/>
  <c r="CH1546" i="33"/>
  <c r="I1552" i="33" s="1"/>
  <c r="CH1552" i="33" s="1"/>
  <c r="I1558" i="33" s="1"/>
  <c r="CH1558" i="33" s="1"/>
  <c r="I1564" i="33" s="1"/>
  <c r="CH1564" i="33" s="1"/>
  <c r="I1570" i="33" s="1"/>
  <c r="CH1570" i="33" s="1"/>
  <c r="CG1546" i="33"/>
  <c r="CF1546" i="33"/>
  <c r="CJ1546" i="33" s="1"/>
  <c r="CE1546" i="33"/>
  <c r="CC1546" i="33"/>
  <c r="BV1546" i="33"/>
  <c r="BO1546" i="33"/>
  <c r="BH1546" i="33"/>
  <c r="BA1546" i="33"/>
  <c r="AT1546" i="33"/>
  <c r="AM1546" i="33"/>
  <c r="AF1546" i="33"/>
  <c r="Y1546" i="33"/>
  <c r="R1546" i="33"/>
  <c r="K1546" i="33"/>
  <c r="DE1545" i="33"/>
  <c r="CX1545" i="33"/>
  <c r="CI1545" i="33"/>
  <c r="J1551" i="33" s="1"/>
  <c r="CI1551" i="33" s="1"/>
  <c r="J1557" i="33" s="1"/>
  <c r="CI1557" i="33" s="1"/>
  <c r="J1563" i="33" s="1"/>
  <c r="CI1563" i="33" s="1"/>
  <c r="J1569" i="33" s="1"/>
  <c r="CI1569" i="33" s="1"/>
  <c r="CH1545" i="33"/>
  <c r="I1551" i="33" s="1"/>
  <c r="CH1551" i="33" s="1"/>
  <c r="I1557" i="33" s="1"/>
  <c r="CH1557" i="33" s="1"/>
  <c r="I1563" i="33" s="1"/>
  <c r="CH1563" i="33" s="1"/>
  <c r="I1569" i="33" s="1"/>
  <c r="CH1569" i="33" s="1"/>
  <c r="CG1545" i="33"/>
  <c r="H1551" i="33" s="1"/>
  <c r="CG1551" i="33" s="1"/>
  <c r="H1557" i="33" s="1"/>
  <c r="CG1557" i="33" s="1"/>
  <c r="H1563" i="33" s="1"/>
  <c r="CG1563" i="33" s="1"/>
  <c r="H1569" i="33" s="1"/>
  <c r="CG1569" i="33" s="1"/>
  <c r="CF1545" i="33"/>
  <c r="G1551" i="33" s="1"/>
  <c r="CF1551" i="33" s="1"/>
  <c r="G1557" i="33" s="1"/>
  <c r="CF1557" i="33" s="1"/>
  <c r="G1563" i="33" s="1"/>
  <c r="CF1563" i="33" s="1"/>
  <c r="G1569" i="33" s="1"/>
  <c r="CF1569" i="33" s="1"/>
  <c r="CE1545" i="33"/>
  <c r="F1551" i="33" s="1"/>
  <c r="CC1545" i="33"/>
  <c r="BV1545" i="33"/>
  <c r="BO1545" i="33"/>
  <c r="BH1545" i="33"/>
  <c r="BA1545" i="33"/>
  <c r="AT1545" i="33"/>
  <c r="AM1545" i="33"/>
  <c r="AF1545" i="33"/>
  <c r="Y1545" i="33"/>
  <c r="R1545" i="33"/>
  <c r="K1545" i="33"/>
  <c r="DE1544" i="33"/>
  <c r="CX1544" i="33"/>
  <c r="R54" i="40"/>
  <c r="CI1544" i="33"/>
  <c r="CH1544" i="33"/>
  <c r="CG1544" i="33"/>
  <c r="CF1544" i="33"/>
  <c r="CJ1544" i="33" s="1"/>
  <c r="CE1544" i="33"/>
  <c r="F1550" i="33" s="1"/>
  <c r="CC1544" i="33"/>
  <c r="BV1544" i="33"/>
  <c r="BO1544" i="33"/>
  <c r="BH1544" i="33"/>
  <c r="BA1544" i="33"/>
  <c r="AT1544" i="33"/>
  <c r="AM1544" i="33"/>
  <c r="AF1544" i="33"/>
  <c r="Y1544" i="33"/>
  <c r="R1544" i="33"/>
  <c r="K1544" i="33"/>
  <c r="DE1543" i="33"/>
  <c r="CX1543" i="33"/>
  <c r="CX1547" i="33" s="1"/>
  <c r="CI1543" i="33"/>
  <c r="CH1543" i="33"/>
  <c r="I1549" i="33" s="1"/>
  <c r="CG1543" i="33"/>
  <c r="CG1547" i="33" s="1"/>
  <c r="CF1543" i="33"/>
  <c r="CF1547" i="33" s="1"/>
  <c r="CE1543" i="33"/>
  <c r="CE1547" i="33" s="1"/>
  <c r="CC1543" i="33"/>
  <c r="CC1547" i="33" s="1"/>
  <c r="BV1543" i="33"/>
  <c r="BV1547" i="33" s="1"/>
  <c r="BO1543" i="33"/>
  <c r="BH1543" i="33"/>
  <c r="BH1547" i="33" s="1"/>
  <c r="BA1543" i="33"/>
  <c r="BA1547" i="33" s="1"/>
  <c r="AT1543" i="33"/>
  <c r="AT1547" i="33" s="1"/>
  <c r="AM1543" i="33"/>
  <c r="AF1543" i="33"/>
  <c r="AF1547" i="33" s="1"/>
  <c r="Y1543" i="33"/>
  <c r="Y1547" i="33" s="1"/>
  <c r="R1543" i="33"/>
  <c r="R1547" i="33" s="1"/>
  <c r="K1543" i="33"/>
  <c r="DD1539" i="33"/>
  <c r="DC1539" i="33"/>
  <c r="DB1539" i="33"/>
  <c r="DA1539" i="33"/>
  <c r="CZ1539" i="33"/>
  <c r="CW1539" i="33"/>
  <c r="CV1539" i="33"/>
  <c r="CU1539" i="33"/>
  <c r="CT1539" i="33"/>
  <c r="CS1539" i="33"/>
  <c r="CP1539" i="33"/>
  <c r="CO1539" i="33"/>
  <c r="CN1539" i="33"/>
  <c r="CM1539" i="33"/>
  <c r="CL1539" i="33"/>
  <c r="CB1539" i="33"/>
  <c r="CA1539" i="33"/>
  <c r="BZ1539" i="33"/>
  <c r="BY1539" i="33"/>
  <c r="BX1539" i="33"/>
  <c r="BU1539" i="33"/>
  <c r="BT1539" i="33"/>
  <c r="BS1539" i="33"/>
  <c r="BR1539" i="33"/>
  <c r="BQ1539" i="33"/>
  <c r="BN1539" i="33"/>
  <c r="BM1539" i="33"/>
  <c r="BL1539" i="33"/>
  <c r="BK1539" i="33"/>
  <c r="BJ1539" i="33"/>
  <c r="BG1539" i="33"/>
  <c r="BF1539" i="33"/>
  <c r="BE1539" i="33"/>
  <c r="BD1539" i="33"/>
  <c r="BC1539" i="33"/>
  <c r="AZ1539" i="33"/>
  <c r="AY1539" i="33"/>
  <c r="AX1539" i="33"/>
  <c r="AW1539" i="33"/>
  <c r="AV1539" i="33"/>
  <c r="AT1539" i="33"/>
  <c r="AS1539" i="33"/>
  <c r="AR1539" i="33"/>
  <c r="AQ1539" i="33"/>
  <c r="AP1539" i="33"/>
  <c r="AO1539" i="33"/>
  <c r="AL1539" i="33"/>
  <c r="AK1539" i="33"/>
  <c r="AJ1539" i="33"/>
  <c r="AI1539" i="33"/>
  <c r="AH1539" i="33"/>
  <c r="AE1539" i="33"/>
  <c r="AD1539" i="33"/>
  <c r="AC1539" i="33"/>
  <c r="AB1539" i="33"/>
  <c r="AA1539" i="33"/>
  <c r="X1539" i="33"/>
  <c r="W1539" i="33"/>
  <c r="V1539" i="33"/>
  <c r="U1539" i="33"/>
  <c r="T1539" i="33"/>
  <c r="Q1539" i="33"/>
  <c r="P1539" i="33"/>
  <c r="O1539" i="33"/>
  <c r="N1539" i="33"/>
  <c r="M1539" i="33"/>
  <c r="DE1538" i="33"/>
  <c r="CX1538" i="33"/>
  <c r="CC1538" i="33"/>
  <c r="BV1538" i="33"/>
  <c r="BO1538" i="33"/>
  <c r="BH1538" i="33"/>
  <c r="BA1538" i="33"/>
  <c r="AT1538" i="33"/>
  <c r="AM1538" i="33"/>
  <c r="AF1538" i="33"/>
  <c r="Y1538" i="33"/>
  <c r="R1538" i="33"/>
  <c r="DE1537" i="33"/>
  <c r="CX1537" i="33"/>
  <c r="CC1537" i="33"/>
  <c r="BV1537" i="33"/>
  <c r="BO1537" i="33"/>
  <c r="BH1537" i="33"/>
  <c r="BA1537" i="33"/>
  <c r="AT1537" i="33"/>
  <c r="AM1537" i="33"/>
  <c r="AF1537" i="33"/>
  <c r="Y1537" i="33"/>
  <c r="R1537" i="33"/>
  <c r="DE1536" i="33"/>
  <c r="CX1536" i="33"/>
  <c r="CC1536" i="33"/>
  <c r="BV1536" i="33"/>
  <c r="BV1539" i="33" s="1"/>
  <c r="BO1536" i="33"/>
  <c r="BH1536" i="33"/>
  <c r="BA1536" i="33"/>
  <c r="AT1536" i="33"/>
  <c r="AM1536" i="33"/>
  <c r="AF1536" i="33"/>
  <c r="Y1536" i="33"/>
  <c r="R1536" i="33"/>
  <c r="R1539" i="33" s="1"/>
  <c r="DE1535" i="33"/>
  <c r="DE1539" i="33" s="1"/>
  <c r="CX1535" i="33"/>
  <c r="CX1539" i="33" s="1"/>
  <c r="CC1535" i="33"/>
  <c r="CC1539" i="33" s="1"/>
  <c r="BV1535" i="33"/>
  <c r="BO1535" i="33"/>
  <c r="BO1539" i="33" s="1"/>
  <c r="BH1535" i="33"/>
  <c r="BH1539" i="33" s="1"/>
  <c r="BA1535" i="33"/>
  <c r="BA1539" i="33" s="1"/>
  <c r="AT1535" i="33"/>
  <c r="AM1535" i="33"/>
  <c r="AM1539" i="33" s="1"/>
  <c r="AF1535" i="33"/>
  <c r="AF1539" i="33" s="1"/>
  <c r="Y1535" i="33"/>
  <c r="L53" i="40" s="1"/>
  <c r="R1535" i="33"/>
  <c r="DE1533" i="33"/>
  <c r="DD1533" i="33"/>
  <c r="DC1533" i="33"/>
  <c r="DB1533" i="33"/>
  <c r="DA1533" i="33"/>
  <c r="CZ1533" i="33"/>
  <c r="CW1533" i="33"/>
  <c r="CV1533" i="33"/>
  <c r="CU1533" i="33"/>
  <c r="CT1533" i="33"/>
  <c r="CS1533" i="33"/>
  <c r="CP1533" i="33"/>
  <c r="CO1533" i="33"/>
  <c r="CN1533" i="33"/>
  <c r="CM1533" i="33"/>
  <c r="CL1533" i="33"/>
  <c r="CC1533" i="33"/>
  <c r="CB1533" i="33"/>
  <c r="CA1533" i="33"/>
  <c r="BZ1533" i="33"/>
  <c r="BY1533" i="33"/>
  <c r="BX1533" i="33"/>
  <c r="BU1533" i="33"/>
  <c r="BT1533" i="33"/>
  <c r="BS1533" i="33"/>
  <c r="BR1533" i="33"/>
  <c r="BQ1533" i="33"/>
  <c r="BN1533" i="33"/>
  <c r="BM1533" i="33"/>
  <c r="BL1533" i="33"/>
  <c r="BK1533" i="33"/>
  <c r="BJ1533" i="33"/>
  <c r="BG1533" i="33"/>
  <c r="BF1533" i="33"/>
  <c r="BE1533" i="33"/>
  <c r="BD1533" i="33"/>
  <c r="BC1533" i="33"/>
  <c r="AZ1533" i="33"/>
  <c r="AY1533" i="33"/>
  <c r="AX1533" i="33"/>
  <c r="AW1533" i="33"/>
  <c r="AV1533" i="33"/>
  <c r="AS1533" i="33"/>
  <c r="AR1533" i="33"/>
  <c r="AQ1533" i="33"/>
  <c r="AP1533" i="33"/>
  <c r="AO1533" i="33"/>
  <c r="AL1533" i="33"/>
  <c r="AK1533" i="33"/>
  <c r="AJ1533" i="33"/>
  <c r="AI1533" i="33"/>
  <c r="AH1533" i="33"/>
  <c r="AE1533" i="33"/>
  <c r="AD1533" i="33"/>
  <c r="AC1533" i="33"/>
  <c r="AB1533" i="33"/>
  <c r="AA1533" i="33"/>
  <c r="Y1533" i="33"/>
  <c r="X1533" i="33"/>
  <c r="W1533" i="33"/>
  <c r="V1533" i="33"/>
  <c r="U1533" i="33"/>
  <c r="T1533" i="33"/>
  <c r="Q1533" i="33"/>
  <c r="P1533" i="33"/>
  <c r="O1533" i="33"/>
  <c r="N1533" i="33"/>
  <c r="M1533" i="33"/>
  <c r="DE1532" i="33"/>
  <c r="CX1532" i="33"/>
  <c r="CC1532" i="33"/>
  <c r="BV1532" i="33"/>
  <c r="BO1532" i="33"/>
  <c r="BH1532" i="33"/>
  <c r="BA1532" i="33"/>
  <c r="AT1532" i="33"/>
  <c r="AM1532" i="33"/>
  <c r="U53" i="40" s="1"/>
  <c r="AF1532" i="33"/>
  <c r="Y1532" i="33"/>
  <c r="R1532" i="33"/>
  <c r="DE1531" i="33"/>
  <c r="CX1531" i="33"/>
  <c r="CC1531" i="33"/>
  <c r="BV1531" i="33"/>
  <c r="BO1531" i="33"/>
  <c r="BH1531" i="33"/>
  <c r="BA1531" i="33"/>
  <c r="AT1531" i="33"/>
  <c r="AM1531" i="33"/>
  <c r="AF1531" i="33"/>
  <c r="Y1531" i="33"/>
  <c r="R1531" i="33"/>
  <c r="DE1530" i="33"/>
  <c r="CX1530" i="33"/>
  <c r="CC1530" i="33"/>
  <c r="BV1530" i="33"/>
  <c r="BO1530" i="33"/>
  <c r="BH1530" i="33"/>
  <c r="BA1530" i="33"/>
  <c r="BA1533" i="33" s="1"/>
  <c r="AT1530" i="33"/>
  <c r="AM1530" i="33"/>
  <c r="AF1530" i="33"/>
  <c r="Y1530" i="33"/>
  <c r="R1530" i="33"/>
  <c r="DE1529" i="33"/>
  <c r="CX1529" i="33"/>
  <c r="CX1533" i="33" s="1"/>
  <c r="CC1529" i="33"/>
  <c r="BV1529" i="33"/>
  <c r="BV1533" i="33" s="1"/>
  <c r="BO1529" i="33"/>
  <c r="BO1533" i="33" s="1"/>
  <c r="BH1529" i="33"/>
  <c r="BH1533" i="33" s="1"/>
  <c r="BA1529" i="33"/>
  <c r="AT1529" i="33"/>
  <c r="AT1533" i="33" s="1"/>
  <c r="AM1529" i="33"/>
  <c r="AM1533" i="33" s="1"/>
  <c r="AF1529" i="33"/>
  <c r="AF1533" i="33" s="1"/>
  <c r="Y1529" i="33"/>
  <c r="R1529" i="33"/>
  <c r="R1533" i="33" s="1"/>
  <c r="DD1527" i="33"/>
  <c r="DC1527" i="33"/>
  <c r="DB1527" i="33"/>
  <c r="DA1527" i="33"/>
  <c r="CZ1527" i="33"/>
  <c r="CW1527" i="33"/>
  <c r="CV1527" i="33"/>
  <c r="CU1527" i="33"/>
  <c r="CT1527" i="33"/>
  <c r="CS1527" i="33"/>
  <c r="CP1527" i="33"/>
  <c r="CO1527" i="33"/>
  <c r="CN1527" i="33"/>
  <c r="CM1527" i="33"/>
  <c r="CL1527" i="33"/>
  <c r="CB1527" i="33"/>
  <c r="CA1527" i="33"/>
  <c r="BZ1527" i="33"/>
  <c r="BY1527" i="33"/>
  <c r="BX1527" i="33"/>
  <c r="BU1527" i="33"/>
  <c r="BT1527" i="33"/>
  <c r="BS1527" i="33"/>
  <c r="BR1527" i="33"/>
  <c r="BQ1527" i="33"/>
  <c r="BO1527" i="33"/>
  <c r="BN1527" i="33"/>
  <c r="BM1527" i="33"/>
  <c r="BL1527" i="33"/>
  <c r="BK1527" i="33"/>
  <c r="BJ1527" i="33"/>
  <c r="BG1527" i="33"/>
  <c r="BF1527" i="33"/>
  <c r="BE1527" i="33"/>
  <c r="BD1527" i="33"/>
  <c r="BC1527" i="33"/>
  <c r="AZ1527" i="33"/>
  <c r="AY1527" i="33"/>
  <c r="AX1527" i="33"/>
  <c r="AW1527" i="33"/>
  <c r="AV1527" i="33"/>
  <c r="AS1527" i="33"/>
  <c r="AR1527" i="33"/>
  <c r="AQ1527" i="33"/>
  <c r="AP1527" i="33"/>
  <c r="AO1527" i="33"/>
  <c r="AL1527" i="33"/>
  <c r="AK1527" i="33"/>
  <c r="AJ1527" i="33"/>
  <c r="AI1527" i="33"/>
  <c r="AH1527" i="33"/>
  <c r="AE1527" i="33"/>
  <c r="AD1527" i="33"/>
  <c r="AC1527" i="33"/>
  <c r="AB1527" i="33"/>
  <c r="AA1527" i="33"/>
  <c r="X1527" i="33"/>
  <c r="W1527" i="33"/>
  <c r="V1527" i="33"/>
  <c r="U1527" i="33"/>
  <c r="T1527" i="33"/>
  <c r="Q1527" i="33"/>
  <c r="P1527" i="33"/>
  <c r="O1527" i="33"/>
  <c r="N1527" i="33"/>
  <c r="M1527" i="33"/>
  <c r="DE1526" i="33"/>
  <c r="CX1526" i="33"/>
  <c r="CC1526" i="33"/>
  <c r="BV1526" i="33"/>
  <c r="BO1526" i="33"/>
  <c r="BH1526" i="33"/>
  <c r="BA1526" i="33"/>
  <c r="AT1526" i="33"/>
  <c r="AM1526" i="33"/>
  <c r="AF1526" i="33"/>
  <c r="Y1526" i="33"/>
  <c r="R1526" i="33"/>
  <c r="DE1525" i="33"/>
  <c r="CX1525" i="33"/>
  <c r="CC1525" i="33"/>
  <c r="BV1525" i="33"/>
  <c r="BO1525" i="33"/>
  <c r="BH1525" i="33"/>
  <c r="BA1525" i="33"/>
  <c r="AT1525" i="33"/>
  <c r="AM1525" i="33"/>
  <c r="AF1525" i="33"/>
  <c r="Y1525" i="33"/>
  <c r="J53" i="40" s="1"/>
  <c r="R1525" i="33"/>
  <c r="DE1524" i="33"/>
  <c r="CX1524" i="33"/>
  <c r="CC1524" i="33"/>
  <c r="BV1524" i="33"/>
  <c r="BO1524" i="33"/>
  <c r="BH1524" i="33"/>
  <c r="BA1524" i="33"/>
  <c r="AT1524" i="33"/>
  <c r="AM1524" i="33"/>
  <c r="AF1524" i="33"/>
  <c r="AF1527" i="33" s="1"/>
  <c r="Y1524" i="33"/>
  <c r="R1524" i="33"/>
  <c r="DE1523" i="33"/>
  <c r="DE1527" i="33" s="1"/>
  <c r="CX1523" i="33"/>
  <c r="CX1527" i="33" s="1"/>
  <c r="CC1523" i="33"/>
  <c r="CC1527" i="33" s="1"/>
  <c r="BV1523" i="33"/>
  <c r="BV1527" i="33" s="1"/>
  <c r="BO1523" i="33"/>
  <c r="BH1523" i="33"/>
  <c r="BH1527" i="33" s="1"/>
  <c r="BA1523" i="33"/>
  <c r="BA1527" i="33" s="1"/>
  <c r="AT1523" i="33"/>
  <c r="AT1527" i="33" s="1"/>
  <c r="AM1523" i="33"/>
  <c r="T53" i="40" s="1"/>
  <c r="AF1523" i="33"/>
  <c r="Y1523" i="33"/>
  <c r="Y1527" i="33" s="1"/>
  <c r="R1523" i="33"/>
  <c r="R1527" i="33" s="1"/>
  <c r="DD1521" i="33"/>
  <c r="DC1521" i="33"/>
  <c r="DB1521" i="33"/>
  <c r="DA1521" i="33"/>
  <c r="CZ1521" i="33"/>
  <c r="CX1521" i="33"/>
  <c r="CW1521" i="33"/>
  <c r="CV1521" i="33"/>
  <c r="CU1521" i="33"/>
  <c r="CT1521" i="33"/>
  <c r="CS1521" i="33"/>
  <c r="CP1521" i="33"/>
  <c r="CO1521" i="33"/>
  <c r="CN1521" i="33"/>
  <c r="CM1521" i="33"/>
  <c r="CL1521" i="33"/>
  <c r="CB1521" i="33"/>
  <c r="CA1521" i="33"/>
  <c r="BZ1521" i="33"/>
  <c r="BY1521" i="33"/>
  <c r="BX1521" i="33"/>
  <c r="BU1521" i="33"/>
  <c r="BT1521" i="33"/>
  <c r="BS1521" i="33"/>
  <c r="BR1521" i="33"/>
  <c r="BQ1521" i="33"/>
  <c r="BN1521" i="33"/>
  <c r="BM1521" i="33"/>
  <c r="BL1521" i="33"/>
  <c r="BK1521" i="33"/>
  <c r="BJ1521" i="33"/>
  <c r="BG1521" i="33"/>
  <c r="BF1521" i="33"/>
  <c r="BE1521" i="33"/>
  <c r="BD1521" i="33"/>
  <c r="BC1521" i="33"/>
  <c r="AZ1521" i="33"/>
  <c r="AY1521" i="33"/>
  <c r="AX1521" i="33"/>
  <c r="AW1521" i="33"/>
  <c r="AV1521" i="33"/>
  <c r="AT1521" i="33"/>
  <c r="AS1521" i="33"/>
  <c r="AR1521" i="33"/>
  <c r="AQ1521" i="33"/>
  <c r="AP1521" i="33"/>
  <c r="AO1521" i="33"/>
  <c r="AL1521" i="33"/>
  <c r="AK1521" i="33"/>
  <c r="AJ1521" i="33"/>
  <c r="AI1521" i="33"/>
  <c r="AH1521" i="33"/>
  <c r="AE1521" i="33"/>
  <c r="AD1521" i="33"/>
  <c r="AC1521" i="33"/>
  <c r="AB1521" i="33"/>
  <c r="AA1521" i="33"/>
  <c r="X1521" i="33"/>
  <c r="W1521" i="33"/>
  <c r="V1521" i="33"/>
  <c r="U1521" i="33"/>
  <c r="T1521" i="33"/>
  <c r="Q1521" i="33"/>
  <c r="P1521" i="33"/>
  <c r="O1521" i="33"/>
  <c r="N1521" i="33"/>
  <c r="M1521" i="33"/>
  <c r="DE1520" i="33"/>
  <c r="CX1520" i="33"/>
  <c r="CC1520" i="33"/>
  <c r="BV1520" i="33"/>
  <c r="BO1520" i="33"/>
  <c r="BH1520" i="33"/>
  <c r="BA1520" i="33"/>
  <c r="AT1520" i="33"/>
  <c r="AM1520" i="33"/>
  <c r="AF1520" i="33"/>
  <c r="Y1520" i="33"/>
  <c r="R1520" i="33"/>
  <c r="J1520" i="33"/>
  <c r="CI1520" i="33" s="1"/>
  <c r="J1526" i="33" s="1"/>
  <c r="CI1526" i="33" s="1"/>
  <c r="J1532" i="33" s="1"/>
  <c r="CI1532" i="33" s="1"/>
  <c r="J1538" i="33" s="1"/>
  <c r="CI1538" i="33" s="1"/>
  <c r="I1520" i="33"/>
  <c r="CH1520" i="33" s="1"/>
  <c r="I1526" i="33" s="1"/>
  <c r="CH1526" i="33" s="1"/>
  <c r="I1532" i="33" s="1"/>
  <c r="CH1532" i="33" s="1"/>
  <c r="I1538" i="33" s="1"/>
  <c r="CH1538" i="33" s="1"/>
  <c r="DE1519" i="33"/>
  <c r="CX1519" i="33"/>
  <c r="CC1519" i="33"/>
  <c r="BV1519" i="33"/>
  <c r="BO1519" i="33"/>
  <c r="BH1519" i="33"/>
  <c r="BA1519" i="33"/>
  <c r="AT1519" i="33"/>
  <c r="AM1519" i="33"/>
  <c r="AF1519" i="33"/>
  <c r="Y1519" i="33"/>
  <c r="R1519" i="33"/>
  <c r="DE1518" i="33"/>
  <c r="CX1518" i="33"/>
  <c r="CC1518" i="33"/>
  <c r="BV1518" i="33"/>
  <c r="BO1518" i="33"/>
  <c r="BH1518" i="33"/>
  <c r="BA1518" i="33"/>
  <c r="AT1518" i="33"/>
  <c r="AM1518" i="33"/>
  <c r="AF1518" i="33"/>
  <c r="Y1518" i="33"/>
  <c r="R1518" i="33"/>
  <c r="DE1517" i="33"/>
  <c r="DE1521" i="33" s="1"/>
  <c r="CX1517" i="33"/>
  <c r="CC1517" i="33"/>
  <c r="CC1521" i="33" s="1"/>
  <c r="BV1517" i="33"/>
  <c r="BV1521" i="33" s="1"/>
  <c r="BO1517" i="33"/>
  <c r="BO1521" i="33" s="1"/>
  <c r="BH1517" i="33"/>
  <c r="BH1521" i="33" s="1"/>
  <c r="BA1517" i="33"/>
  <c r="BA1521" i="33" s="1"/>
  <c r="AT1517" i="33"/>
  <c r="AM1517" i="33"/>
  <c r="AM1521" i="33" s="1"/>
  <c r="AF1517" i="33"/>
  <c r="AF1521" i="33" s="1"/>
  <c r="Y1517" i="33"/>
  <c r="Y1521" i="33" s="1"/>
  <c r="R1517" i="33"/>
  <c r="R1521" i="33" s="1"/>
  <c r="DD1515" i="33"/>
  <c r="DC1515" i="33"/>
  <c r="DB1515" i="33"/>
  <c r="DA1515" i="33"/>
  <c r="CZ1515" i="33"/>
  <c r="CW1515" i="33"/>
  <c r="CV1515" i="33"/>
  <c r="CU1515" i="33"/>
  <c r="CT1515" i="33"/>
  <c r="CS1515" i="33"/>
  <c r="CP1515" i="33"/>
  <c r="CO1515" i="33"/>
  <c r="CN1515" i="33"/>
  <c r="CM1515" i="33"/>
  <c r="CL1515" i="33"/>
  <c r="CB1515" i="33"/>
  <c r="CA1515" i="33"/>
  <c r="BZ1515" i="33"/>
  <c r="BY1515" i="33"/>
  <c r="BX1515" i="33"/>
  <c r="BU1515" i="33"/>
  <c r="BT1515" i="33"/>
  <c r="BS1515" i="33"/>
  <c r="BR1515" i="33"/>
  <c r="BQ1515" i="33"/>
  <c r="BN1515" i="33"/>
  <c r="BM1515" i="33"/>
  <c r="BL1515" i="33"/>
  <c r="BK1515" i="33"/>
  <c r="BJ1515" i="33"/>
  <c r="BG1515" i="33"/>
  <c r="BF1515" i="33"/>
  <c r="BE1515" i="33"/>
  <c r="BD1515" i="33"/>
  <c r="BC1515" i="33"/>
  <c r="AZ1515" i="33"/>
  <c r="AY1515" i="33"/>
  <c r="AX1515" i="33"/>
  <c r="AW1515" i="33"/>
  <c r="AV1515" i="33"/>
  <c r="AS1515" i="33"/>
  <c r="AR1515" i="33"/>
  <c r="AQ1515" i="33"/>
  <c r="AP1515" i="33"/>
  <c r="AO1515" i="33"/>
  <c r="AL1515" i="33"/>
  <c r="AK1515" i="33"/>
  <c r="AJ1515" i="33"/>
  <c r="AI1515" i="33"/>
  <c r="AH1515" i="33"/>
  <c r="AE1515" i="33"/>
  <c r="AD1515" i="33"/>
  <c r="AC1515" i="33"/>
  <c r="AB1515" i="33"/>
  <c r="AA1515" i="33"/>
  <c r="X1515" i="33"/>
  <c r="W1515" i="33"/>
  <c r="V1515" i="33"/>
  <c r="U1515" i="33"/>
  <c r="T1515" i="33"/>
  <c r="Q1515" i="33"/>
  <c r="P1515" i="33"/>
  <c r="O1515" i="33"/>
  <c r="N1515" i="33"/>
  <c r="M1515" i="33"/>
  <c r="J1515" i="33"/>
  <c r="I1515" i="33"/>
  <c r="H1515" i="33"/>
  <c r="G1515" i="33"/>
  <c r="F1515" i="33"/>
  <c r="DE1514" i="33"/>
  <c r="CX1514" i="33"/>
  <c r="CI1514" i="33"/>
  <c r="CH1514" i="33"/>
  <c r="CG1514" i="33"/>
  <c r="H1520" i="33" s="1"/>
  <c r="CG1520" i="33" s="1"/>
  <c r="H1526" i="33" s="1"/>
  <c r="CG1526" i="33" s="1"/>
  <c r="H1532" i="33" s="1"/>
  <c r="CG1532" i="33" s="1"/>
  <c r="H1538" i="33" s="1"/>
  <c r="CG1538" i="33" s="1"/>
  <c r="CF1514" i="33"/>
  <c r="G1520" i="33" s="1"/>
  <c r="CF1520" i="33" s="1"/>
  <c r="G1526" i="33" s="1"/>
  <c r="CF1526" i="33" s="1"/>
  <c r="G1532" i="33" s="1"/>
  <c r="CF1532" i="33" s="1"/>
  <c r="G1538" i="33" s="1"/>
  <c r="CF1538" i="33" s="1"/>
  <c r="CE1514" i="33"/>
  <c r="F1520" i="33" s="1"/>
  <c r="CC1514" i="33"/>
  <c r="BV1514" i="33"/>
  <c r="BO1514" i="33"/>
  <c r="BH1514" i="33"/>
  <c r="BA1514" i="33"/>
  <c r="AT1514" i="33"/>
  <c r="AM1514" i="33"/>
  <c r="AF1514" i="33"/>
  <c r="Y1514" i="33"/>
  <c r="R1514" i="33"/>
  <c r="K1514" i="33"/>
  <c r="DE1513" i="33"/>
  <c r="CX1513" i="33"/>
  <c r="CI1513" i="33"/>
  <c r="CJ1513" i="33" s="1"/>
  <c r="CH1513" i="33"/>
  <c r="I1519" i="33" s="1"/>
  <c r="CH1519" i="33" s="1"/>
  <c r="I1525" i="33" s="1"/>
  <c r="CH1525" i="33" s="1"/>
  <c r="I1531" i="33" s="1"/>
  <c r="CH1531" i="33" s="1"/>
  <c r="I1537" i="33" s="1"/>
  <c r="CH1537" i="33" s="1"/>
  <c r="CG1513" i="33"/>
  <c r="H1519" i="33" s="1"/>
  <c r="CG1519" i="33" s="1"/>
  <c r="H1525" i="33" s="1"/>
  <c r="CG1525" i="33" s="1"/>
  <c r="H1531" i="33" s="1"/>
  <c r="CG1531" i="33" s="1"/>
  <c r="H1537" i="33" s="1"/>
  <c r="CG1537" i="33" s="1"/>
  <c r="CF1513" i="33"/>
  <c r="G1519" i="33" s="1"/>
  <c r="CF1519" i="33" s="1"/>
  <c r="G1525" i="33" s="1"/>
  <c r="CF1525" i="33" s="1"/>
  <c r="G1531" i="33" s="1"/>
  <c r="CF1531" i="33" s="1"/>
  <c r="G1537" i="33" s="1"/>
  <c r="CF1537" i="33" s="1"/>
  <c r="CE1513" i="33"/>
  <c r="F1519" i="33" s="1"/>
  <c r="CC1513" i="33"/>
  <c r="BV1513" i="33"/>
  <c r="BO1513" i="33"/>
  <c r="BH1513" i="33"/>
  <c r="BA1513" i="33"/>
  <c r="AT1513" i="33"/>
  <c r="AM1513" i="33"/>
  <c r="AF1513" i="33"/>
  <c r="Y1513" i="33"/>
  <c r="R1513" i="33"/>
  <c r="K1513" i="33"/>
  <c r="DE1512" i="33"/>
  <c r="DE1515" i="33" s="1"/>
  <c r="CX1512" i="33"/>
  <c r="CI1512" i="33"/>
  <c r="J1518" i="33" s="1"/>
  <c r="CI1518" i="33" s="1"/>
  <c r="J1524" i="33" s="1"/>
  <c r="CI1524" i="33" s="1"/>
  <c r="J1530" i="33" s="1"/>
  <c r="CI1530" i="33" s="1"/>
  <c r="J1536" i="33" s="1"/>
  <c r="CI1536" i="33" s="1"/>
  <c r="CH1512" i="33"/>
  <c r="I1518" i="33" s="1"/>
  <c r="CH1518" i="33" s="1"/>
  <c r="I1524" i="33" s="1"/>
  <c r="CH1524" i="33" s="1"/>
  <c r="I1530" i="33" s="1"/>
  <c r="CH1530" i="33" s="1"/>
  <c r="I1536" i="33" s="1"/>
  <c r="CH1536" i="33" s="1"/>
  <c r="CG1512" i="33"/>
  <c r="H1518" i="33" s="1"/>
  <c r="CG1518" i="33" s="1"/>
  <c r="H1524" i="33" s="1"/>
  <c r="CG1524" i="33" s="1"/>
  <c r="H1530" i="33" s="1"/>
  <c r="CG1530" i="33" s="1"/>
  <c r="H1536" i="33" s="1"/>
  <c r="CG1536" i="33" s="1"/>
  <c r="CF1512" i="33"/>
  <c r="G1518" i="33" s="1"/>
  <c r="CF1518" i="33" s="1"/>
  <c r="G1524" i="33" s="1"/>
  <c r="CF1524" i="33" s="1"/>
  <c r="G1530" i="33" s="1"/>
  <c r="CF1530" i="33" s="1"/>
  <c r="G1536" i="33" s="1"/>
  <c r="CF1536" i="33" s="1"/>
  <c r="CE1512" i="33"/>
  <c r="CJ1512" i="33" s="1"/>
  <c r="CC1512" i="33"/>
  <c r="BV1512" i="33"/>
  <c r="BO1512" i="33"/>
  <c r="BH1512" i="33"/>
  <c r="BA1512" i="33"/>
  <c r="AT1512" i="33"/>
  <c r="AM1512" i="33"/>
  <c r="AF1512" i="33"/>
  <c r="AF1515" i="33" s="1"/>
  <c r="Y1512" i="33"/>
  <c r="R1512" i="33"/>
  <c r="K1512" i="33"/>
  <c r="DE1511" i="33"/>
  <c r="CX1511" i="33"/>
  <c r="CX1515" i="33" s="1"/>
  <c r="CI1511" i="33"/>
  <c r="C53" i="40" s="1"/>
  <c r="CH1511" i="33"/>
  <c r="I1517" i="33" s="1"/>
  <c r="CG1511" i="33"/>
  <c r="CG1515" i="33" s="1"/>
  <c r="CF1511" i="33"/>
  <c r="CF1515" i="33" s="1"/>
  <c r="CE1511" i="33"/>
  <c r="CE1515" i="33" s="1"/>
  <c r="CC1511" i="33"/>
  <c r="CC1515" i="33" s="1"/>
  <c r="BV1511" i="33"/>
  <c r="BV1515" i="33" s="1"/>
  <c r="BO1511" i="33"/>
  <c r="BO1515" i="33" s="1"/>
  <c r="BH1511" i="33"/>
  <c r="BH1515" i="33" s="1"/>
  <c r="BA1511" i="33"/>
  <c r="BA1515" i="33" s="1"/>
  <c r="AT1511" i="33"/>
  <c r="AT1515" i="33" s="1"/>
  <c r="AM1511" i="33"/>
  <c r="AM1515" i="33" s="1"/>
  <c r="AF1511" i="33"/>
  <c r="Y1511" i="33"/>
  <c r="Y1515" i="33" s="1"/>
  <c r="R1511" i="33"/>
  <c r="R1515" i="33" s="1"/>
  <c r="K1511" i="33"/>
  <c r="K1515" i="33" s="1"/>
  <c r="DD1507" i="33"/>
  <c r="DC1507" i="33"/>
  <c r="DB1507" i="33"/>
  <c r="DA1507" i="33"/>
  <c r="CZ1507" i="33"/>
  <c r="CW1507" i="33"/>
  <c r="CV1507" i="33"/>
  <c r="CU1507" i="33"/>
  <c r="CT1507" i="33"/>
  <c r="CS1507" i="33"/>
  <c r="CP1507" i="33"/>
  <c r="CO1507" i="33"/>
  <c r="CN1507" i="33"/>
  <c r="CM1507" i="33"/>
  <c r="CL1507" i="33"/>
  <c r="CC1507" i="33"/>
  <c r="CB1507" i="33"/>
  <c r="CA1507" i="33"/>
  <c r="BZ1507" i="33"/>
  <c r="BY1507" i="33"/>
  <c r="BX1507" i="33"/>
  <c r="BU1507" i="33"/>
  <c r="BT1507" i="33"/>
  <c r="BS1507" i="33"/>
  <c r="BR1507" i="33"/>
  <c r="BQ1507" i="33"/>
  <c r="BN1507" i="33"/>
  <c r="BM1507" i="33"/>
  <c r="BL1507" i="33"/>
  <c r="BK1507" i="33"/>
  <c r="BJ1507" i="33"/>
  <c r="BG1507" i="33"/>
  <c r="BF1507" i="33"/>
  <c r="BE1507" i="33"/>
  <c r="BD1507" i="33"/>
  <c r="BC1507" i="33"/>
  <c r="AZ1507" i="33"/>
  <c r="AY1507" i="33"/>
  <c r="AX1507" i="33"/>
  <c r="AW1507" i="33"/>
  <c r="AV1507" i="33"/>
  <c r="AS1507" i="33"/>
  <c r="AR1507" i="33"/>
  <c r="AQ1507" i="33"/>
  <c r="AP1507" i="33"/>
  <c r="AO1507" i="33"/>
  <c r="AL1507" i="33"/>
  <c r="AK1507" i="33"/>
  <c r="AJ1507" i="33"/>
  <c r="AI1507" i="33"/>
  <c r="AH1507" i="33"/>
  <c r="AE1507" i="33"/>
  <c r="AD1507" i="33"/>
  <c r="AC1507" i="33"/>
  <c r="AB1507" i="33"/>
  <c r="AA1507" i="33"/>
  <c r="Y1507" i="33"/>
  <c r="X1507" i="33"/>
  <c r="W1507" i="33"/>
  <c r="V1507" i="33"/>
  <c r="U1507" i="33"/>
  <c r="T1507" i="33"/>
  <c r="Q1507" i="33"/>
  <c r="P1507" i="33"/>
  <c r="O1507" i="33"/>
  <c r="N1507" i="33"/>
  <c r="M1507" i="33"/>
  <c r="DE1506" i="33"/>
  <c r="CX1506" i="33"/>
  <c r="CC1506" i="33"/>
  <c r="BV1506" i="33"/>
  <c r="BO1506" i="33"/>
  <c r="BH1506" i="33"/>
  <c r="BA1506" i="33"/>
  <c r="AT1506" i="33"/>
  <c r="AM1506" i="33"/>
  <c r="AF1506" i="33"/>
  <c r="Y1506" i="33"/>
  <c r="R1506" i="33"/>
  <c r="DE1505" i="33"/>
  <c r="CX1505" i="33"/>
  <c r="CC1505" i="33"/>
  <c r="BV1505" i="33"/>
  <c r="BO1505" i="33"/>
  <c r="BH1505" i="33"/>
  <c r="BA1505" i="33"/>
  <c r="BA1507" i="33" s="1"/>
  <c r="AT1505" i="33"/>
  <c r="AM1505" i="33"/>
  <c r="AF1505" i="33"/>
  <c r="Y1505" i="33"/>
  <c r="R1505" i="33"/>
  <c r="DE1504" i="33"/>
  <c r="CX1504" i="33"/>
  <c r="CC1504" i="33"/>
  <c r="BV1504" i="33"/>
  <c r="BO1504" i="33"/>
  <c r="BH1504" i="33"/>
  <c r="BA1504" i="33"/>
  <c r="AT1504" i="33"/>
  <c r="AM1504" i="33"/>
  <c r="AF1504" i="33"/>
  <c r="Y1504" i="33"/>
  <c r="R1504" i="33"/>
  <c r="DE1503" i="33"/>
  <c r="DE1507" i="33" s="1"/>
  <c r="CX1503" i="33"/>
  <c r="CX1507" i="33" s="1"/>
  <c r="CC1503" i="33"/>
  <c r="BV1503" i="33"/>
  <c r="BV1507" i="33" s="1"/>
  <c r="BO1503" i="33"/>
  <c r="BO1507" i="33" s="1"/>
  <c r="BH1503" i="33"/>
  <c r="BH1507" i="33" s="1"/>
  <c r="BA1503" i="33"/>
  <c r="AT1503" i="33"/>
  <c r="AT1507" i="33" s="1"/>
  <c r="AM1503" i="33"/>
  <c r="AM1507" i="33" s="1"/>
  <c r="AF1503" i="33"/>
  <c r="AF1507" i="33" s="1"/>
  <c r="Y1503" i="33"/>
  <c r="R1503" i="33"/>
  <c r="R1507" i="33" s="1"/>
  <c r="DD1501" i="33"/>
  <c r="DC1501" i="33"/>
  <c r="DB1501" i="33"/>
  <c r="DA1501" i="33"/>
  <c r="CZ1501" i="33"/>
  <c r="CW1501" i="33"/>
  <c r="CV1501" i="33"/>
  <c r="CU1501" i="33"/>
  <c r="CT1501" i="33"/>
  <c r="CS1501" i="33"/>
  <c r="CP1501" i="33"/>
  <c r="CO1501" i="33"/>
  <c r="CN1501" i="33"/>
  <c r="CM1501" i="33"/>
  <c r="CL1501" i="33"/>
  <c r="CB1501" i="33"/>
  <c r="CA1501" i="33"/>
  <c r="BZ1501" i="33"/>
  <c r="BY1501" i="33"/>
  <c r="BX1501" i="33"/>
  <c r="BU1501" i="33"/>
  <c r="BT1501" i="33"/>
  <c r="BS1501" i="33"/>
  <c r="BR1501" i="33"/>
  <c r="BQ1501" i="33"/>
  <c r="BN1501" i="33"/>
  <c r="BM1501" i="33"/>
  <c r="BL1501" i="33"/>
  <c r="BK1501" i="33"/>
  <c r="BJ1501" i="33"/>
  <c r="BG1501" i="33"/>
  <c r="BF1501" i="33"/>
  <c r="BE1501" i="33"/>
  <c r="BD1501" i="33"/>
  <c r="BC1501" i="33"/>
  <c r="AZ1501" i="33"/>
  <c r="AY1501" i="33"/>
  <c r="AX1501" i="33"/>
  <c r="AW1501" i="33"/>
  <c r="AV1501" i="33"/>
  <c r="AS1501" i="33"/>
  <c r="AR1501" i="33"/>
  <c r="AQ1501" i="33"/>
  <c r="AP1501" i="33"/>
  <c r="AO1501" i="33"/>
  <c r="AL1501" i="33"/>
  <c r="AK1501" i="33"/>
  <c r="AJ1501" i="33"/>
  <c r="AI1501" i="33"/>
  <c r="AH1501" i="33"/>
  <c r="AE1501" i="33"/>
  <c r="AD1501" i="33"/>
  <c r="AC1501" i="33"/>
  <c r="AB1501" i="33"/>
  <c r="AA1501" i="33"/>
  <c r="X1501" i="33"/>
  <c r="W1501" i="33"/>
  <c r="V1501" i="33"/>
  <c r="U1501" i="33"/>
  <c r="T1501" i="33"/>
  <c r="Q1501" i="33"/>
  <c r="P1501" i="33"/>
  <c r="O1501" i="33"/>
  <c r="N1501" i="33"/>
  <c r="M1501" i="33"/>
  <c r="DE1500" i="33"/>
  <c r="CX1500" i="33"/>
  <c r="CC1500" i="33"/>
  <c r="BV1500" i="33"/>
  <c r="BO1500" i="33"/>
  <c r="BH1500" i="33"/>
  <c r="BA1500" i="33"/>
  <c r="AT1500" i="33"/>
  <c r="AM1500" i="33"/>
  <c r="AF1500" i="33"/>
  <c r="Y1500" i="33"/>
  <c r="K52" i="40" s="1"/>
  <c r="R1500" i="33"/>
  <c r="DE1499" i="33"/>
  <c r="CX1499" i="33"/>
  <c r="CC1499" i="33"/>
  <c r="BV1499" i="33"/>
  <c r="BO1499" i="33"/>
  <c r="BH1499" i="33"/>
  <c r="BA1499" i="33"/>
  <c r="AT1499" i="33"/>
  <c r="AM1499" i="33"/>
  <c r="AF1499" i="33"/>
  <c r="Y1499" i="33"/>
  <c r="R1499" i="33"/>
  <c r="DE1498" i="33"/>
  <c r="CX1498" i="33"/>
  <c r="CC1498" i="33"/>
  <c r="BV1498" i="33"/>
  <c r="BO1498" i="33"/>
  <c r="BH1498" i="33"/>
  <c r="BA1498" i="33"/>
  <c r="AT1498" i="33"/>
  <c r="AM1498" i="33"/>
  <c r="AF1498" i="33"/>
  <c r="Y1498" i="33"/>
  <c r="R1498" i="33"/>
  <c r="DE1497" i="33"/>
  <c r="DE1501" i="33" s="1"/>
  <c r="CX1497" i="33"/>
  <c r="CX1501" i="33" s="1"/>
  <c r="CC1497" i="33"/>
  <c r="CC1501" i="33" s="1"/>
  <c r="BV1497" i="33"/>
  <c r="BV1501" i="33" s="1"/>
  <c r="BO1497" i="33"/>
  <c r="BO1501" i="33" s="1"/>
  <c r="BH1497" i="33"/>
  <c r="BH1501" i="33" s="1"/>
  <c r="BA1497" i="33"/>
  <c r="BA1501" i="33" s="1"/>
  <c r="AT1497" i="33"/>
  <c r="AT1501" i="33" s="1"/>
  <c r="AM1497" i="33"/>
  <c r="AM1501" i="33" s="1"/>
  <c r="AF1497" i="33"/>
  <c r="AF1501" i="33" s="1"/>
  <c r="Y1497" i="33"/>
  <c r="Y1501" i="33" s="1"/>
  <c r="R1497" i="33"/>
  <c r="R1501" i="33" s="1"/>
  <c r="DD1495" i="33"/>
  <c r="DC1495" i="33"/>
  <c r="DB1495" i="33"/>
  <c r="DA1495" i="33"/>
  <c r="CZ1495" i="33"/>
  <c r="CW1495" i="33"/>
  <c r="CV1495" i="33"/>
  <c r="CU1495" i="33"/>
  <c r="CT1495" i="33"/>
  <c r="CS1495" i="33"/>
  <c r="CP1495" i="33"/>
  <c r="CO1495" i="33"/>
  <c r="CN1495" i="33"/>
  <c r="CM1495" i="33"/>
  <c r="CL1495" i="33"/>
  <c r="CB1495" i="33"/>
  <c r="CA1495" i="33"/>
  <c r="BZ1495" i="33"/>
  <c r="BY1495" i="33"/>
  <c r="BX1495" i="33"/>
  <c r="BU1495" i="33"/>
  <c r="BT1495" i="33"/>
  <c r="BS1495" i="33"/>
  <c r="BR1495" i="33"/>
  <c r="BQ1495" i="33"/>
  <c r="BN1495" i="33"/>
  <c r="BM1495" i="33"/>
  <c r="BL1495" i="33"/>
  <c r="BK1495" i="33"/>
  <c r="BJ1495" i="33"/>
  <c r="BG1495" i="33"/>
  <c r="BF1495" i="33"/>
  <c r="BE1495" i="33"/>
  <c r="BD1495" i="33"/>
  <c r="BC1495" i="33"/>
  <c r="AZ1495" i="33"/>
  <c r="AY1495" i="33"/>
  <c r="AX1495" i="33"/>
  <c r="AW1495" i="33"/>
  <c r="AV1495" i="33"/>
  <c r="AT1495" i="33"/>
  <c r="AS1495" i="33"/>
  <c r="AR1495" i="33"/>
  <c r="AQ1495" i="33"/>
  <c r="AP1495" i="33"/>
  <c r="AO1495" i="33"/>
  <c r="AL1495" i="33"/>
  <c r="AK1495" i="33"/>
  <c r="AJ1495" i="33"/>
  <c r="AI1495" i="33"/>
  <c r="AH1495" i="33"/>
  <c r="AE1495" i="33"/>
  <c r="AD1495" i="33"/>
  <c r="AC1495" i="33"/>
  <c r="AB1495" i="33"/>
  <c r="AA1495" i="33"/>
  <c r="X1495" i="33"/>
  <c r="W1495" i="33"/>
  <c r="V1495" i="33"/>
  <c r="U1495" i="33"/>
  <c r="T1495" i="33"/>
  <c r="Q1495" i="33"/>
  <c r="P1495" i="33"/>
  <c r="O1495" i="33"/>
  <c r="N1495" i="33"/>
  <c r="M1495" i="33"/>
  <c r="DE1494" i="33"/>
  <c r="CX1494" i="33"/>
  <c r="CC1494" i="33"/>
  <c r="BV1494" i="33"/>
  <c r="BO1494" i="33"/>
  <c r="BH1494" i="33"/>
  <c r="BA1494" i="33"/>
  <c r="AT1494" i="33"/>
  <c r="AM1494" i="33"/>
  <c r="AF1494" i="33"/>
  <c r="Y1494" i="33"/>
  <c r="R1494" i="33"/>
  <c r="DE1493" i="33"/>
  <c r="CX1493" i="33"/>
  <c r="CC1493" i="33"/>
  <c r="BV1493" i="33"/>
  <c r="BO1493" i="33"/>
  <c r="BH1493" i="33"/>
  <c r="BA1493" i="33"/>
  <c r="AT1493" i="33"/>
  <c r="AM1493" i="33"/>
  <c r="AF1493" i="33"/>
  <c r="Y1493" i="33"/>
  <c r="R1493" i="33"/>
  <c r="DE1492" i="33"/>
  <c r="CX1492" i="33"/>
  <c r="T52" i="40"/>
  <c r="CC1492" i="33"/>
  <c r="BV1492" i="33"/>
  <c r="BV1495" i="33" s="1"/>
  <c r="BO1492" i="33"/>
  <c r="BH1492" i="33"/>
  <c r="BA1492" i="33"/>
  <c r="AT1492" i="33"/>
  <c r="AM1492" i="33"/>
  <c r="AF1492" i="33"/>
  <c r="Y1492" i="33"/>
  <c r="R1492" i="33"/>
  <c r="R1495" i="33" s="1"/>
  <c r="DE1491" i="33"/>
  <c r="DE1495" i="33" s="1"/>
  <c r="CX1491" i="33"/>
  <c r="CX1495" i="33" s="1"/>
  <c r="CC1491" i="33"/>
  <c r="CC1495" i="33" s="1"/>
  <c r="BV1491" i="33"/>
  <c r="BO1491" i="33"/>
  <c r="BO1495" i="33" s="1"/>
  <c r="BH1491" i="33"/>
  <c r="BH1495" i="33" s="1"/>
  <c r="BA1491" i="33"/>
  <c r="BA1495" i="33" s="1"/>
  <c r="AT1491" i="33"/>
  <c r="AM1491" i="33"/>
  <c r="AM1495" i="33" s="1"/>
  <c r="AF1491" i="33"/>
  <c r="AF1495" i="33" s="1"/>
  <c r="Y1491" i="33"/>
  <c r="Y1495" i="33" s="1"/>
  <c r="R1491" i="33"/>
  <c r="DE1489" i="33"/>
  <c r="DD1489" i="33"/>
  <c r="DC1489" i="33"/>
  <c r="DB1489" i="33"/>
  <c r="DA1489" i="33"/>
  <c r="CZ1489" i="33"/>
  <c r="CW1489" i="33"/>
  <c r="CV1489" i="33"/>
  <c r="CU1489" i="33"/>
  <c r="CT1489" i="33"/>
  <c r="CS1489" i="33"/>
  <c r="CP1489" i="33"/>
  <c r="CO1489" i="33"/>
  <c r="CN1489" i="33"/>
  <c r="CM1489" i="33"/>
  <c r="CL1489" i="33"/>
  <c r="CB1489" i="33"/>
  <c r="CA1489" i="33"/>
  <c r="BZ1489" i="33"/>
  <c r="BY1489" i="33"/>
  <c r="BX1489" i="33"/>
  <c r="BU1489" i="33"/>
  <c r="BT1489" i="33"/>
  <c r="BS1489" i="33"/>
  <c r="BR1489" i="33"/>
  <c r="BQ1489" i="33"/>
  <c r="BN1489" i="33"/>
  <c r="BM1489" i="33"/>
  <c r="BL1489" i="33"/>
  <c r="BK1489" i="33"/>
  <c r="BJ1489" i="33"/>
  <c r="BG1489" i="33"/>
  <c r="BF1489" i="33"/>
  <c r="BE1489" i="33"/>
  <c r="BD1489" i="33"/>
  <c r="BC1489" i="33"/>
  <c r="AZ1489" i="33"/>
  <c r="AY1489" i="33"/>
  <c r="AX1489" i="33"/>
  <c r="AW1489" i="33"/>
  <c r="AV1489" i="33"/>
  <c r="AS1489" i="33"/>
  <c r="AR1489" i="33"/>
  <c r="AQ1489" i="33"/>
  <c r="AP1489" i="33"/>
  <c r="AO1489" i="33"/>
  <c r="AL1489" i="33"/>
  <c r="AK1489" i="33"/>
  <c r="AJ1489" i="33"/>
  <c r="AI1489" i="33"/>
  <c r="AH1489" i="33"/>
  <c r="AE1489" i="33"/>
  <c r="AD1489" i="33"/>
  <c r="AC1489" i="33"/>
  <c r="AB1489" i="33"/>
  <c r="AA1489" i="33"/>
  <c r="X1489" i="33"/>
  <c r="W1489" i="33"/>
  <c r="V1489" i="33"/>
  <c r="U1489" i="33"/>
  <c r="T1489" i="33"/>
  <c r="Q1489" i="33"/>
  <c r="P1489" i="33"/>
  <c r="O1489" i="33"/>
  <c r="N1489" i="33"/>
  <c r="M1489" i="33"/>
  <c r="DE1488" i="33"/>
  <c r="CX1488" i="33"/>
  <c r="CC1488" i="33"/>
  <c r="BV1488" i="33"/>
  <c r="BO1488" i="33"/>
  <c r="BH1488" i="33"/>
  <c r="BA1488" i="33"/>
  <c r="AT1488" i="33"/>
  <c r="AM1488" i="33"/>
  <c r="AF1488" i="33"/>
  <c r="Y1488" i="33"/>
  <c r="R1488" i="33"/>
  <c r="G1488" i="33"/>
  <c r="CF1488" i="33" s="1"/>
  <c r="G1494" i="33" s="1"/>
  <c r="CF1494" i="33" s="1"/>
  <c r="G1500" i="33" s="1"/>
  <c r="CF1500" i="33" s="1"/>
  <c r="G1506" i="33" s="1"/>
  <c r="CF1506" i="33" s="1"/>
  <c r="DE1487" i="33"/>
  <c r="CX1487" i="33"/>
  <c r="CC1487" i="33"/>
  <c r="BV1487" i="33"/>
  <c r="BO1487" i="33"/>
  <c r="BH1487" i="33"/>
  <c r="BA1487" i="33"/>
  <c r="AT1487" i="33"/>
  <c r="AM1487" i="33"/>
  <c r="AF1487" i="33"/>
  <c r="Y1487" i="33"/>
  <c r="R1487" i="33"/>
  <c r="DE1486" i="33"/>
  <c r="CX1486" i="33"/>
  <c r="CC1486" i="33"/>
  <c r="BV1486" i="33"/>
  <c r="BO1486" i="33"/>
  <c r="BH1486" i="33"/>
  <c r="BA1486" i="33"/>
  <c r="AT1486" i="33"/>
  <c r="AM1486" i="33"/>
  <c r="AF1486" i="33"/>
  <c r="Y1486" i="33"/>
  <c r="R1486" i="33"/>
  <c r="I1486" i="33"/>
  <c r="CH1486" i="33" s="1"/>
  <c r="I1492" i="33" s="1"/>
  <c r="CH1492" i="33" s="1"/>
  <c r="I1498" i="33" s="1"/>
  <c r="CH1498" i="33" s="1"/>
  <c r="I1504" i="33" s="1"/>
  <c r="CH1504" i="33" s="1"/>
  <c r="DE1485" i="33"/>
  <c r="CX1485" i="33"/>
  <c r="CX1489" i="33" s="1"/>
  <c r="CC1485" i="33"/>
  <c r="CC1489" i="33" s="1"/>
  <c r="BV1485" i="33"/>
  <c r="BV1489" i="33" s="1"/>
  <c r="BO1485" i="33"/>
  <c r="BO1489" i="33" s="1"/>
  <c r="BH1485" i="33"/>
  <c r="BH1489" i="33" s="1"/>
  <c r="BA1485" i="33"/>
  <c r="BA1489" i="33" s="1"/>
  <c r="AT1485" i="33"/>
  <c r="AT1489" i="33" s="1"/>
  <c r="AM1485" i="33"/>
  <c r="AM1489" i="33" s="1"/>
  <c r="AF1485" i="33"/>
  <c r="AF1489" i="33" s="1"/>
  <c r="Y1485" i="33"/>
  <c r="Y1489" i="33" s="1"/>
  <c r="R1485" i="33"/>
  <c r="R1489" i="33" s="1"/>
  <c r="J1485" i="33"/>
  <c r="J1489" i="33" s="1"/>
  <c r="DD1483" i="33"/>
  <c r="DC1483" i="33"/>
  <c r="DB1483" i="33"/>
  <c r="DA1483" i="33"/>
  <c r="CZ1483" i="33"/>
  <c r="CW1483" i="33"/>
  <c r="CV1483" i="33"/>
  <c r="CU1483" i="33"/>
  <c r="CT1483" i="33"/>
  <c r="CS1483" i="33"/>
  <c r="CP1483" i="33"/>
  <c r="CO1483" i="33"/>
  <c r="CN1483" i="33"/>
  <c r="CM1483" i="33"/>
  <c r="CL1483" i="33"/>
  <c r="CH1483" i="33"/>
  <c r="CB1483" i="33"/>
  <c r="CA1483" i="33"/>
  <c r="BZ1483" i="33"/>
  <c r="BY1483" i="33"/>
  <c r="BX1483" i="33"/>
  <c r="BU1483" i="33"/>
  <c r="BT1483" i="33"/>
  <c r="BS1483" i="33"/>
  <c r="BR1483" i="33"/>
  <c r="BQ1483" i="33"/>
  <c r="BO1483" i="33"/>
  <c r="BN1483" i="33"/>
  <c r="BM1483" i="33"/>
  <c r="BL1483" i="33"/>
  <c r="BK1483" i="33"/>
  <c r="BJ1483" i="33"/>
  <c r="BG1483" i="33"/>
  <c r="BF1483" i="33"/>
  <c r="BE1483" i="33"/>
  <c r="BD1483" i="33"/>
  <c r="BC1483" i="33"/>
  <c r="AZ1483" i="33"/>
  <c r="AY1483" i="33"/>
  <c r="AX1483" i="33"/>
  <c r="AW1483" i="33"/>
  <c r="AV1483" i="33"/>
  <c r="AS1483" i="33"/>
  <c r="AR1483" i="33"/>
  <c r="AQ1483" i="33"/>
  <c r="AP1483" i="33"/>
  <c r="AO1483" i="33"/>
  <c r="AM1483" i="33"/>
  <c r="AL1483" i="33"/>
  <c r="AK1483" i="33"/>
  <c r="AJ1483" i="33"/>
  <c r="AI1483" i="33"/>
  <c r="AH1483" i="33"/>
  <c r="AE1483" i="33"/>
  <c r="AD1483" i="33"/>
  <c r="AC1483" i="33"/>
  <c r="AB1483" i="33"/>
  <c r="AA1483" i="33"/>
  <c r="X1483" i="33"/>
  <c r="W1483" i="33"/>
  <c r="V1483" i="33"/>
  <c r="U1483" i="33"/>
  <c r="T1483" i="33"/>
  <c r="Q1483" i="33"/>
  <c r="P1483" i="33"/>
  <c r="O1483" i="33"/>
  <c r="N1483" i="33"/>
  <c r="M1483" i="33"/>
  <c r="K1483" i="33"/>
  <c r="J1483" i="33"/>
  <c r="I1483" i="33"/>
  <c r="H1483" i="33"/>
  <c r="G1483" i="33"/>
  <c r="F1483" i="33"/>
  <c r="DE1482" i="33"/>
  <c r="CX1482" i="33"/>
  <c r="CI1482" i="33"/>
  <c r="J1488" i="33" s="1"/>
  <c r="CI1488" i="33" s="1"/>
  <c r="J1494" i="33" s="1"/>
  <c r="CI1494" i="33" s="1"/>
  <c r="J1500" i="33" s="1"/>
  <c r="CI1500" i="33" s="1"/>
  <c r="J1506" i="33" s="1"/>
  <c r="CI1506" i="33" s="1"/>
  <c r="CH1482" i="33"/>
  <c r="I1488" i="33" s="1"/>
  <c r="CH1488" i="33" s="1"/>
  <c r="I1494" i="33" s="1"/>
  <c r="CH1494" i="33" s="1"/>
  <c r="I1500" i="33" s="1"/>
  <c r="CH1500" i="33" s="1"/>
  <c r="I1506" i="33" s="1"/>
  <c r="CH1506" i="33" s="1"/>
  <c r="CG1482" i="33"/>
  <c r="H1488" i="33" s="1"/>
  <c r="CG1488" i="33" s="1"/>
  <c r="H1494" i="33" s="1"/>
  <c r="CG1494" i="33" s="1"/>
  <c r="H1500" i="33" s="1"/>
  <c r="CG1500" i="33" s="1"/>
  <c r="H1506" i="33" s="1"/>
  <c r="CG1506" i="33" s="1"/>
  <c r="CF1482" i="33"/>
  <c r="CE1482" i="33"/>
  <c r="F1488" i="33" s="1"/>
  <c r="CC1482" i="33"/>
  <c r="BV1482" i="33"/>
  <c r="BO1482" i="33"/>
  <c r="BH1482" i="33"/>
  <c r="BA1482" i="33"/>
  <c r="AT1482" i="33"/>
  <c r="AM1482" i="33"/>
  <c r="AF1482" i="33"/>
  <c r="Y1482" i="33"/>
  <c r="R1482" i="33"/>
  <c r="K1482" i="33"/>
  <c r="DE1481" i="33"/>
  <c r="CX1481" i="33"/>
  <c r="CI1481" i="33"/>
  <c r="J1487" i="33" s="1"/>
  <c r="CI1487" i="33" s="1"/>
  <c r="J1493" i="33" s="1"/>
  <c r="CI1493" i="33" s="1"/>
  <c r="J1499" i="33" s="1"/>
  <c r="CI1499" i="33" s="1"/>
  <c r="J1505" i="33" s="1"/>
  <c r="CI1505" i="33" s="1"/>
  <c r="CH1481" i="33"/>
  <c r="I1487" i="33" s="1"/>
  <c r="CH1487" i="33" s="1"/>
  <c r="I1493" i="33" s="1"/>
  <c r="CH1493" i="33" s="1"/>
  <c r="I1499" i="33" s="1"/>
  <c r="CH1499" i="33" s="1"/>
  <c r="I1505" i="33" s="1"/>
  <c r="CH1505" i="33" s="1"/>
  <c r="CG1481" i="33"/>
  <c r="H1487" i="33" s="1"/>
  <c r="CG1487" i="33" s="1"/>
  <c r="H1493" i="33" s="1"/>
  <c r="CG1493" i="33" s="1"/>
  <c r="H1499" i="33" s="1"/>
  <c r="CG1499" i="33" s="1"/>
  <c r="H1505" i="33" s="1"/>
  <c r="CG1505" i="33" s="1"/>
  <c r="CF1481" i="33"/>
  <c r="G1487" i="33" s="1"/>
  <c r="CF1487" i="33" s="1"/>
  <c r="G1493" i="33" s="1"/>
  <c r="CF1493" i="33" s="1"/>
  <c r="G1499" i="33" s="1"/>
  <c r="CF1499" i="33" s="1"/>
  <c r="G1505" i="33" s="1"/>
  <c r="CF1505" i="33" s="1"/>
  <c r="CE1481" i="33"/>
  <c r="F1487" i="33" s="1"/>
  <c r="CC1481" i="33"/>
  <c r="BV1481" i="33"/>
  <c r="BO1481" i="33"/>
  <c r="BH1481" i="33"/>
  <c r="BA1481" i="33"/>
  <c r="AT1481" i="33"/>
  <c r="AM1481" i="33"/>
  <c r="AF1481" i="33"/>
  <c r="Y1481" i="33"/>
  <c r="R1481" i="33"/>
  <c r="K1481" i="33"/>
  <c r="DE1480" i="33"/>
  <c r="CX1480" i="33"/>
  <c r="R52" i="40"/>
  <c r="CI1480" i="33"/>
  <c r="J1486" i="33" s="1"/>
  <c r="CI1486" i="33" s="1"/>
  <c r="J1492" i="33" s="1"/>
  <c r="CI1492" i="33" s="1"/>
  <c r="J1498" i="33" s="1"/>
  <c r="CI1498" i="33" s="1"/>
  <c r="J1504" i="33" s="1"/>
  <c r="CI1504" i="33" s="1"/>
  <c r="CH1480" i="33"/>
  <c r="CG1480" i="33"/>
  <c r="H1486" i="33" s="1"/>
  <c r="CG1486" i="33" s="1"/>
  <c r="H1492" i="33" s="1"/>
  <c r="CG1492" i="33" s="1"/>
  <c r="H1498" i="33" s="1"/>
  <c r="CG1498" i="33" s="1"/>
  <c r="H1504" i="33" s="1"/>
  <c r="CG1504" i="33" s="1"/>
  <c r="CF1480" i="33"/>
  <c r="G1486" i="33" s="1"/>
  <c r="CF1486" i="33" s="1"/>
  <c r="G1492" i="33" s="1"/>
  <c r="CF1492" i="33" s="1"/>
  <c r="G1498" i="33" s="1"/>
  <c r="CF1498" i="33" s="1"/>
  <c r="G1504" i="33" s="1"/>
  <c r="CF1504" i="33" s="1"/>
  <c r="CE1480" i="33"/>
  <c r="CJ1480" i="33" s="1"/>
  <c r="CC1480" i="33"/>
  <c r="BV1480" i="33"/>
  <c r="BO1480" i="33"/>
  <c r="BH1480" i="33"/>
  <c r="BA1480" i="33"/>
  <c r="AT1480" i="33"/>
  <c r="AM1480" i="33"/>
  <c r="AF1480" i="33"/>
  <c r="Y1480" i="33"/>
  <c r="R1480" i="33"/>
  <c r="K1480" i="33"/>
  <c r="DE1479" i="33"/>
  <c r="DE1483" i="33" s="1"/>
  <c r="CX1479" i="33"/>
  <c r="CX1483" i="33" s="1"/>
  <c r="CI1479" i="33"/>
  <c r="CI1483" i="33" s="1"/>
  <c r="CH1479" i="33"/>
  <c r="I1485" i="33" s="1"/>
  <c r="CG1479" i="33"/>
  <c r="CG1483" i="33" s="1"/>
  <c r="CF1479" i="33"/>
  <c r="CF1483" i="33" s="1"/>
  <c r="CE1479" i="33"/>
  <c r="CE1483" i="33" s="1"/>
  <c r="CC1479" i="33"/>
  <c r="CC1483" i="33" s="1"/>
  <c r="BV1479" i="33"/>
  <c r="BV1483" i="33" s="1"/>
  <c r="BO1479" i="33"/>
  <c r="BH1479" i="33"/>
  <c r="BH1483" i="33" s="1"/>
  <c r="BA1479" i="33"/>
  <c r="BA1483" i="33" s="1"/>
  <c r="AT1479" i="33"/>
  <c r="AT1483" i="33" s="1"/>
  <c r="AM1479" i="33"/>
  <c r="AF1479" i="33"/>
  <c r="AF1483" i="33" s="1"/>
  <c r="Y1479" i="33"/>
  <c r="Y1483" i="33" s="1"/>
  <c r="R1479" i="33"/>
  <c r="R1483" i="33" s="1"/>
  <c r="K1479" i="33"/>
  <c r="DD1475" i="33"/>
  <c r="DC1475" i="33"/>
  <c r="DB1475" i="33"/>
  <c r="DA1475" i="33"/>
  <c r="CZ1475" i="33"/>
  <c r="CW1475" i="33"/>
  <c r="CV1475" i="33"/>
  <c r="CU1475" i="33"/>
  <c r="CT1475" i="33"/>
  <c r="CS1475" i="33"/>
  <c r="CP1475" i="33"/>
  <c r="CO1475" i="33"/>
  <c r="CN1475" i="33"/>
  <c r="CM1475" i="33"/>
  <c r="CL1475" i="33"/>
  <c r="CC1475" i="33"/>
  <c r="CB1475" i="33"/>
  <c r="CA1475" i="33"/>
  <c r="BZ1475" i="33"/>
  <c r="BY1475" i="33"/>
  <c r="BX1475" i="33"/>
  <c r="BU1475" i="33"/>
  <c r="BT1475" i="33"/>
  <c r="BS1475" i="33"/>
  <c r="BR1475" i="33"/>
  <c r="BQ1475" i="33"/>
  <c r="BN1475" i="33"/>
  <c r="BM1475" i="33"/>
  <c r="BL1475" i="33"/>
  <c r="BK1475" i="33"/>
  <c r="BJ1475" i="33"/>
  <c r="BG1475" i="33"/>
  <c r="BF1475" i="33"/>
  <c r="BE1475" i="33"/>
  <c r="BD1475" i="33"/>
  <c r="BC1475" i="33"/>
  <c r="AZ1475" i="33"/>
  <c r="AY1475" i="33"/>
  <c r="AX1475" i="33"/>
  <c r="AW1475" i="33"/>
  <c r="AV1475" i="33"/>
  <c r="AS1475" i="33"/>
  <c r="AR1475" i="33"/>
  <c r="AQ1475" i="33"/>
  <c r="AP1475" i="33"/>
  <c r="AO1475" i="33"/>
  <c r="AL1475" i="33"/>
  <c r="AK1475" i="33"/>
  <c r="AJ1475" i="33"/>
  <c r="AI1475" i="33"/>
  <c r="AH1475" i="33"/>
  <c r="AE1475" i="33"/>
  <c r="AD1475" i="33"/>
  <c r="AC1475" i="33"/>
  <c r="AB1475" i="33"/>
  <c r="AA1475" i="33"/>
  <c r="Y1475" i="33"/>
  <c r="X1475" i="33"/>
  <c r="W1475" i="33"/>
  <c r="V1475" i="33"/>
  <c r="U1475" i="33"/>
  <c r="T1475" i="33"/>
  <c r="Q1475" i="33"/>
  <c r="P1475" i="33"/>
  <c r="O1475" i="33"/>
  <c r="N1475" i="33"/>
  <c r="M1475" i="33"/>
  <c r="DE1474" i="33"/>
  <c r="CX1474" i="33"/>
  <c r="CC1474" i="33"/>
  <c r="BV1474" i="33"/>
  <c r="BO1474" i="33"/>
  <c r="BH1474" i="33"/>
  <c r="BA1474" i="33"/>
  <c r="AT1474" i="33"/>
  <c r="AT1475" i="33" s="1"/>
  <c r="AM1474" i="33"/>
  <c r="AF1474" i="33"/>
  <c r="Y1474" i="33"/>
  <c r="R1474" i="33"/>
  <c r="DE1473" i="33"/>
  <c r="CX1473" i="33"/>
  <c r="CC1473" i="33"/>
  <c r="BV1473" i="33"/>
  <c r="BO1473" i="33"/>
  <c r="BH1473" i="33"/>
  <c r="BA1473" i="33"/>
  <c r="BA1475" i="33" s="1"/>
  <c r="AT1473" i="33"/>
  <c r="AM1473" i="33"/>
  <c r="AF1473" i="33"/>
  <c r="Y1473" i="33"/>
  <c r="R1473" i="33"/>
  <c r="DE1472" i="33"/>
  <c r="CX1472" i="33"/>
  <c r="CC1472" i="33"/>
  <c r="BV1472" i="33"/>
  <c r="BO1472" i="33"/>
  <c r="BH1472" i="33"/>
  <c r="BA1472" i="33"/>
  <c r="AT1472" i="33"/>
  <c r="AM1472" i="33"/>
  <c r="AF1472" i="33"/>
  <c r="Y1472" i="33"/>
  <c r="R1472" i="33"/>
  <c r="R1475" i="33" s="1"/>
  <c r="DE1471" i="33"/>
  <c r="DE1475" i="33" s="1"/>
  <c r="CX1471" i="33"/>
  <c r="CX1475" i="33" s="1"/>
  <c r="CC1471" i="33"/>
  <c r="BV1471" i="33"/>
  <c r="BV1475" i="33" s="1"/>
  <c r="BO1471" i="33"/>
  <c r="BO1475" i="33" s="1"/>
  <c r="BH1471" i="33"/>
  <c r="BH1475" i="33" s="1"/>
  <c r="BA1471" i="33"/>
  <c r="AT1471" i="33"/>
  <c r="AM1471" i="33"/>
  <c r="AM1475" i="33" s="1"/>
  <c r="AF1471" i="33"/>
  <c r="AF1475" i="33" s="1"/>
  <c r="Y1471" i="33"/>
  <c r="R1471" i="33"/>
  <c r="DD1469" i="33"/>
  <c r="DC1469" i="33"/>
  <c r="DB1469" i="33"/>
  <c r="DA1469" i="33"/>
  <c r="CZ1469" i="33"/>
  <c r="CW1469" i="33"/>
  <c r="CV1469" i="33"/>
  <c r="CU1469" i="33"/>
  <c r="CT1469" i="33"/>
  <c r="CS1469" i="33"/>
  <c r="CP1469" i="33"/>
  <c r="CO1469" i="33"/>
  <c r="CN1469" i="33"/>
  <c r="CM1469" i="33"/>
  <c r="CL1469" i="33"/>
  <c r="CB1469" i="33"/>
  <c r="CA1469" i="33"/>
  <c r="BZ1469" i="33"/>
  <c r="BY1469" i="33"/>
  <c r="BX1469" i="33"/>
  <c r="BU1469" i="33"/>
  <c r="BT1469" i="33"/>
  <c r="BS1469" i="33"/>
  <c r="BR1469" i="33"/>
  <c r="BQ1469" i="33"/>
  <c r="BN1469" i="33"/>
  <c r="BM1469" i="33"/>
  <c r="BL1469" i="33"/>
  <c r="BK1469" i="33"/>
  <c r="BJ1469" i="33"/>
  <c r="BG1469" i="33"/>
  <c r="BF1469" i="33"/>
  <c r="BE1469" i="33"/>
  <c r="BD1469" i="33"/>
  <c r="BC1469" i="33"/>
  <c r="AZ1469" i="33"/>
  <c r="AY1469" i="33"/>
  <c r="AX1469" i="33"/>
  <c r="AW1469" i="33"/>
  <c r="AV1469" i="33"/>
  <c r="AS1469" i="33"/>
  <c r="AR1469" i="33"/>
  <c r="AQ1469" i="33"/>
  <c r="AP1469" i="33"/>
  <c r="AO1469" i="33"/>
  <c r="AL1469" i="33"/>
  <c r="AK1469" i="33"/>
  <c r="AJ1469" i="33"/>
  <c r="AI1469" i="33"/>
  <c r="AH1469" i="33"/>
  <c r="AE1469" i="33"/>
  <c r="AD1469" i="33"/>
  <c r="AC1469" i="33"/>
  <c r="AB1469" i="33"/>
  <c r="AA1469" i="33"/>
  <c r="X1469" i="33"/>
  <c r="W1469" i="33"/>
  <c r="V1469" i="33"/>
  <c r="U1469" i="33"/>
  <c r="T1469" i="33"/>
  <c r="Q1469" i="33"/>
  <c r="P1469" i="33"/>
  <c r="O1469" i="33"/>
  <c r="N1469" i="33"/>
  <c r="M1469" i="33"/>
  <c r="DE1468" i="33"/>
  <c r="CX1468" i="33"/>
  <c r="CC1468" i="33"/>
  <c r="BV1468" i="33"/>
  <c r="BO1468" i="33"/>
  <c r="BH1468" i="33"/>
  <c r="BA1468" i="33"/>
  <c r="AT1468" i="33"/>
  <c r="AM1468" i="33"/>
  <c r="AF1468" i="33"/>
  <c r="Y1468" i="33"/>
  <c r="K51" i="40" s="1"/>
  <c r="R1468" i="33"/>
  <c r="DE1467" i="33"/>
  <c r="DE1469" i="33" s="1"/>
  <c r="CX1467" i="33"/>
  <c r="CC1467" i="33"/>
  <c r="BV1467" i="33"/>
  <c r="BO1467" i="33"/>
  <c r="BH1467" i="33"/>
  <c r="BA1467" i="33"/>
  <c r="AT1467" i="33"/>
  <c r="AM1467" i="33"/>
  <c r="AF1467" i="33"/>
  <c r="Y1467" i="33"/>
  <c r="R1467" i="33"/>
  <c r="DE1466" i="33"/>
  <c r="CX1466" i="33"/>
  <c r="CC1466" i="33"/>
  <c r="BV1466" i="33"/>
  <c r="BO1466" i="33"/>
  <c r="BH1466" i="33"/>
  <c r="BA1466" i="33"/>
  <c r="AT1466" i="33"/>
  <c r="AM1466" i="33"/>
  <c r="AF1466" i="33"/>
  <c r="Y1466" i="33"/>
  <c r="R1466" i="33"/>
  <c r="DE1465" i="33"/>
  <c r="CX1465" i="33"/>
  <c r="CX1469" i="33" s="1"/>
  <c r="CC1465" i="33"/>
  <c r="CC1469" i="33" s="1"/>
  <c r="BV1465" i="33"/>
  <c r="BV1469" i="33" s="1"/>
  <c r="BO1465" i="33"/>
  <c r="BO1469" i="33" s="1"/>
  <c r="BH1465" i="33"/>
  <c r="BH1469" i="33" s="1"/>
  <c r="BA1465" i="33"/>
  <c r="BA1469" i="33" s="1"/>
  <c r="AT1465" i="33"/>
  <c r="AT1469" i="33" s="1"/>
  <c r="AM1465" i="33"/>
  <c r="AM1469" i="33" s="1"/>
  <c r="AF1465" i="33"/>
  <c r="AF1469" i="33" s="1"/>
  <c r="Y1465" i="33"/>
  <c r="Y1469" i="33" s="1"/>
  <c r="R1465" i="33"/>
  <c r="R1469" i="33" s="1"/>
  <c r="DD1463" i="33"/>
  <c r="DC1463" i="33"/>
  <c r="DB1463" i="33"/>
  <c r="DA1463" i="33"/>
  <c r="CZ1463" i="33"/>
  <c r="CW1463" i="33"/>
  <c r="CV1463" i="33"/>
  <c r="CU1463" i="33"/>
  <c r="CT1463" i="33"/>
  <c r="CS1463" i="33"/>
  <c r="CP1463" i="33"/>
  <c r="CO1463" i="33"/>
  <c r="CN1463" i="33"/>
  <c r="CM1463" i="33"/>
  <c r="CL1463" i="33"/>
  <c r="CB1463" i="33"/>
  <c r="CA1463" i="33"/>
  <c r="BZ1463" i="33"/>
  <c r="BY1463" i="33"/>
  <c r="BX1463" i="33"/>
  <c r="BU1463" i="33"/>
  <c r="BT1463" i="33"/>
  <c r="BS1463" i="33"/>
  <c r="BR1463" i="33"/>
  <c r="BQ1463" i="33"/>
  <c r="BN1463" i="33"/>
  <c r="BM1463" i="33"/>
  <c r="BL1463" i="33"/>
  <c r="BK1463" i="33"/>
  <c r="BJ1463" i="33"/>
  <c r="BG1463" i="33"/>
  <c r="BF1463" i="33"/>
  <c r="BE1463" i="33"/>
  <c r="BD1463" i="33"/>
  <c r="BC1463" i="33"/>
  <c r="AZ1463" i="33"/>
  <c r="AY1463" i="33"/>
  <c r="AX1463" i="33"/>
  <c r="AW1463" i="33"/>
  <c r="AV1463" i="33"/>
  <c r="AT1463" i="33"/>
  <c r="AS1463" i="33"/>
  <c r="AR1463" i="33"/>
  <c r="AQ1463" i="33"/>
  <c r="AP1463" i="33"/>
  <c r="AO1463" i="33"/>
  <c r="AL1463" i="33"/>
  <c r="AK1463" i="33"/>
  <c r="AJ1463" i="33"/>
  <c r="AI1463" i="33"/>
  <c r="AH1463" i="33"/>
  <c r="AE1463" i="33"/>
  <c r="AD1463" i="33"/>
  <c r="AC1463" i="33"/>
  <c r="AB1463" i="33"/>
  <c r="AA1463" i="33"/>
  <c r="X1463" i="33"/>
  <c r="W1463" i="33"/>
  <c r="V1463" i="33"/>
  <c r="U1463" i="33"/>
  <c r="T1463" i="33"/>
  <c r="Q1463" i="33"/>
  <c r="P1463" i="33"/>
  <c r="O1463" i="33"/>
  <c r="N1463" i="33"/>
  <c r="M1463" i="33"/>
  <c r="DE1462" i="33"/>
  <c r="CX1462" i="33"/>
  <c r="CC1462" i="33"/>
  <c r="BV1462" i="33"/>
  <c r="BO1462" i="33"/>
  <c r="BH1462" i="33"/>
  <c r="BA1462" i="33"/>
  <c r="AT1462" i="33"/>
  <c r="AM1462" i="33"/>
  <c r="AF1462" i="33"/>
  <c r="Y1462" i="33"/>
  <c r="R1462" i="33"/>
  <c r="DE1461" i="33"/>
  <c r="CX1461" i="33"/>
  <c r="CC1461" i="33"/>
  <c r="BV1461" i="33"/>
  <c r="BO1461" i="33"/>
  <c r="BH1461" i="33"/>
  <c r="BA1461" i="33"/>
  <c r="AT1461" i="33"/>
  <c r="AM1461" i="33"/>
  <c r="AF1461" i="33"/>
  <c r="Y1461" i="33"/>
  <c r="R1461" i="33"/>
  <c r="DE1460" i="33"/>
  <c r="CX1460" i="33"/>
  <c r="CC1460" i="33"/>
  <c r="BV1460" i="33"/>
  <c r="BV1463" i="33" s="1"/>
  <c r="BO1460" i="33"/>
  <c r="BH1460" i="33"/>
  <c r="BA1460" i="33"/>
  <c r="AT1460" i="33"/>
  <c r="AM1460" i="33"/>
  <c r="AF1460" i="33"/>
  <c r="Y1460" i="33"/>
  <c r="R1460" i="33"/>
  <c r="R1463" i="33" s="1"/>
  <c r="DE1459" i="33"/>
  <c r="DE1463" i="33" s="1"/>
  <c r="CX1459" i="33"/>
  <c r="CX1463" i="33" s="1"/>
  <c r="CC1459" i="33"/>
  <c r="CC1463" i="33" s="1"/>
  <c r="BV1459" i="33"/>
  <c r="BO1459" i="33"/>
  <c r="BO1463" i="33" s="1"/>
  <c r="BH1459" i="33"/>
  <c r="BH1463" i="33" s="1"/>
  <c r="BA1459" i="33"/>
  <c r="BA1463" i="33" s="1"/>
  <c r="AT1459" i="33"/>
  <c r="AM1459" i="33"/>
  <c r="AM1463" i="33" s="1"/>
  <c r="AF1459" i="33"/>
  <c r="AF1463" i="33" s="1"/>
  <c r="Y1459" i="33"/>
  <c r="Y1463" i="33" s="1"/>
  <c r="R1459" i="33"/>
  <c r="DE1457" i="33"/>
  <c r="DD1457" i="33"/>
  <c r="DC1457" i="33"/>
  <c r="DB1457" i="33"/>
  <c r="DA1457" i="33"/>
  <c r="CZ1457" i="33"/>
  <c r="CW1457" i="33"/>
  <c r="CV1457" i="33"/>
  <c r="CU1457" i="33"/>
  <c r="CT1457" i="33"/>
  <c r="CS1457" i="33"/>
  <c r="CP1457" i="33"/>
  <c r="CO1457" i="33"/>
  <c r="CN1457" i="33"/>
  <c r="CM1457" i="33"/>
  <c r="CL1457" i="33"/>
  <c r="CB1457" i="33"/>
  <c r="CA1457" i="33"/>
  <c r="BZ1457" i="33"/>
  <c r="BY1457" i="33"/>
  <c r="BX1457" i="33"/>
  <c r="BU1457" i="33"/>
  <c r="BT1457" i="33"/>
  <c r="BS1457" i="33"/>
  <c r="BR1457" i="33"/>
  <c r="BQ1457" i="33"/>
  <c r="BN1457" i="33"/>
  <c r="BM1457" i="33"/>
  <c r="BL1457" i="33"/>
  <c r="BK1457" i="33"/>
  <c r="BJ1457" i="33"/>
  <c r="BG1457" i="33"/>
  <c r="BF1457" i="33"/>
  <c r="BE1457" i="33"/>
  <c r="BD1457" i="33"/>
  <c r="BC1457" i="33"/>
  <c r="AZ1457" i="33"/>
  <c r="AY1457" i="33"/>
  <c r="AX1457" i="33"/>
  <c r="AW1457" i="33"/>
  <c r="AV1457" i="33"/>
  <c r="AS1457" i="33"/>
  <c r="AR1457" i="33"/>
  <c r="AQ1457" i="33"/>
  <c r="AP1457" i="33"/>
  <c r="AO1457" i="33"/>
  <c r="AL1457" i="33"/>
  <c r="AK1457" i="33"/>
  <c r="AJ1457" i="33"/>
  <c r="AI1457" i="33"/>
  <c r="AH1457" i="33"/>
  <c r="AE1457" i="33"/>
  <c r="AD1457" i="33"/>
  <c r="AC1457" i="33"/>
  <c r="AB1457" i="33"/>
  <c r="AA1457" i="33"/>
  <c r="X1457" i="33"/>
  <c r="W1457" i="33"/>
  <c r="V1457" i="33"/>
  <c r="U1457" i="33"/>
  <c r="T1457" i="33"/>
  <c r="Q1457" i="33"/>
  <c r="P1457" i="33"/>
  <c r="O1457" i="33"/>
  <c r="N1457" i="33"/>
  <c r="M1457" i="33"/>
  <c r="DE1456" i="33"/>
  <c r="CX1456" i="33"/>
  <c r="CC1456" i="33"/>
  <c r="BV1456" i="33"/>
  <c r="BO1456" i="33"/>
  <c r="BH1456" i="33"/>
  <c r="BA1456" i="33"/>
  <c r="AT1456" i="33"/>
  <c r="AM1456" i="33"/>
  <c r="AF1456" i="33"/>
  <c r="Y1456" i="33"/>
  <c r="R1456" i="33"/>
  <c r="G1456" i="33"/>
  <c r="CF1456" i="33" s="1"/>
  <c r="G1462" i="33" s="1"/>
  <c r="CF1462" i="33" s="1"/>
  <c r="G1468" i="33" s="1"/>
  <c r="CF1468" i="33" s="1"/>
  <c r="G1474" i="33" s="1"/>
  <c r="CF1474" i="33" s="1"/>
  <c r="DE1455" i="33"/>
  <c r="CX1455" i="33"/>
  <c r="CC1455" i="33"/>
  <c r="BV1455" i="33"/>
  <c r="BO1455" i="33"/>
  <c r="BH1455" i="33"/>
  <c r="BA1455" i="33"/>
  <c r="AT1455" i="33"/>
  <c r="AM1455" i="33"/>
  <c r="AF1455" i="33"/>
  <c r="Y1455" i="33"/>
  <c r="R1455" i="33"/>
  <c r="DE1454" i="33"/>
  <c r="CX1454" i="33"/>
  <c r="CC1454" i="33"/>
  <c r="BV1454" i="33"/>
  <c r="BO1454" i="33"/>
  <c r="BH1454" i="33"/>
  <c r="BA1454" i="33"/>
  <c r="AT1454" i="33"/>
  <c r="AM1454" i="33"/>
  <c r="AF1454" i="33"/>
  <c r="Y1454" i="33"/>
  <c r="R1454" i="33"/>
  <c r="I1454" i="33"/>
  <c r="CH1454" i="33" s="1"/>
  <c r="I1460" i="33" s="1"/>
  <c r="CH1460" i="33" s="1"/>
  <c r="I1466" i="33" s="1"/>
  <c r="CH1466" i="33" s="1"/>
  <c r="I1472" i="33" s="1"/>
  <c r="CH1472" i="33" s="1"/>
  <c r="DE1453" i="33"/>
  <c r="CX1453" i="33"/>
  <c r="CX1457" i="33" s="1"/>
  <c r="CC1453" i="33"/>
  <c r="CC1457" i="33" s="1"/>
  <c r="BV1453" i="33"/>
  <c r="BV1457" i="33" s="1"/>
  <c r="BO1453" i="33"/>
  <c r="BO1457" i="33" s="1"/>
  <c r="BH1453" i="33"/>
  <c r="BH1457" i="33" s="1"/>
  <c r="BA1453" i="33"/>
  <c r="BA1457" i="33" s="1"/>
  <c r="AT1453" i="33"/>
  <c r="AT1457" i="33" s="1"/>
  <c r="AM1453" i="33"/>
  <c r="AM1457" i="33" s="1"/>
  <c r="AF1453" i="33"/>
  <c r="AF1457" i="33" s="1"/>
  <c r="Y1453" i="33"/>
  <c r="Y1457" i="33" s="1"/>
  <c r="R1453" i="33"/>
  <c r="R1457" i="33" s="1"/>
  <c r="J1453" i="33"/>
  <c r="DD1451" i="33"/>
  <c r="DC1451" i="33"/>
  <c r="DB1451" i="33"/>
  <c r="DA1451" i="33"/>
  <c r="CZ1451" i="33"/>
  <c r="CW1451" i="33"/>
  <c r="CV1451" i="33"/>
  <c r="CU1451" i="33"/>
  <c r="CT1451" i="33"/>
  <c r="CS1451" i="33"/>
  <c r="CP1451" i="33"/>
  <c r="CO1451" i="33"/>
  <c r="CN1451" i="33"/>
  <c r="CM1451" i="33"/>
  <c r="CL1451" i="33"/>
  <c r="CH1451" i="33"/>
  <c r="CB1451" i="33"/>
  <c r="CA1451" i="33"/>
  <c r="BZ1451" i="33"/>
  <c r="BY1451" i="33"/>
  <c r="BX1451" i="33"/>
  <c r="BU1451" i="33"/>
  <c r="BT1451" i="33"/>
  <c r="BS1451" i="33"/>
  <c r="BR1451" i="33"/>
  <c r="BQ1451" i="33"/>
  <c r="BO1451" i="33"/>
  <c r="BN1451" i="33"/>
  <c r="BM1451" i="33"/>
  <c r="BL1451" i="33"/>
  <c r="BK1451" i="33"/>
  <c r="BJ1451" i="33"/>
  <c r="BG1451" i="33"/>
  <c r="BF1451" i="33"/>
  <c r="BE1451" i="33"/>
  <c r="BD1451" i="33"/>
  <c r="BC1451" i="33"/>
  <c r="AZ1451" i="33"/>
  <c r="AY1451" i="33"/>
  <c r="AX1451" i="33"/>
  <c r="AW1451" i="33"/>
  <c r="AV1451" i="33"/>
  <c r="AS1451" i="33"/>
  <c r="AR1451" i="33"/>
  <c r="AQ1451" i="33"/>
  <c r="AP1451" i="33"/>
  <c r="AO1451" i="33"/>
  <c r="AM1451" i="33"/>
  <c r="AL1451" i="33"/>
  <c r="AK1451" i="33"/>
  <c r="AJ1451" i="33"/>
  <c r="AI1451" i="33"/>
  <c r="AH1451" i="33"/>
  <c r="AE1451" i="33"/>
  <c r="AD1451" i="33"/>
  <c r="AC1451" i="33"/>
  <c r="AB1451" i="33"/>
  <c r="AA1451" i="33"/>
  <c r="X1451" i="33"/>
  <c r="W1451" i="33"/>
  <c r="V1451" i="33"/>
  <c r="U1451" i="33"/>
  <c r="T1451" i="33"/>
  <c r="Q1451" i="33"/>
  <c r="P1451" i="33"/>
  <c r="O1451" i="33"/>
  <c r="N1451" i="33"/>
  <c r="M1451" i="33"/>
  <c r="K1451" i="33"/>
  <c r="J1451" i="33"/>
  <c r="I1451" i="33"/>
  <c r="H1451" i="33"/>
  <c r="G1451" i="33"/>
  <c r="F1451" i="33"/>
  <c r="DE1450" i="33"/>
  <c r="CX1450" i="33"/>
  <c r="CI1450" i="33"/>
  <c r="J1456" i="33" s="1"/>
  <c r="CI1456" i="33" s="1"/>
  <c r="J1462" i="33" s="1"/>
  <c r="CI1462" i="33" s="1"/>
  <c r="J1468" i="33" s="1"/>
  <c r="CI1468" i="33" s="1"/>
  <c r="J1474" i="33" s="1"/>
  <c r="CI1474" i="33" s="1"/>
  <c r="CH1450" i="33"/>
  <c r="I1456" i="33" s="1"/>
  <c r="CH1456" i="33" s="1"/>
  <c r="I1462" i="33" s="1"/>
  <c r="CH1462" i="33" s="1"/>
  <c r="I1468" i="33" s="1"/>
  <c r="CH1468" i="33" s="1"/>
  <c r="I1474" i="33" s="1"/>
  <c r="CH1474" i="33" s="1"/>
  <c r="CG1450" i="33"/>
  <c r="H1456" i="33" s="1"/>
  <c r="CG1456" i="33" s="1"/>
  <c r="H1462" i="33" s="1"/>
  <c r="CG1462" i="33" s="1"/>
  <c r="H1468" i="33" s="1"/>
  <c r="CG1468" i="33" s="1"/>
  <c r="H1474" i="33" s="1"/>
  <c r="CG1474" i="33" s="1"/>
  <c r="CF1450" i="33"/>
  <c r="CE1450" i="33"/>
  <c r="F1456" i="33" s="1"/>
  <c r="CC1450" i="33"/>
  <c r="BV1450" i="33"/>
  <c r="BO1450" i="33"/>
  <c r="BH1450" i="33"/>
  <c r="BA1450" i="33"/>
  <c r="AT1450" i="33"/>
  <c r="AM1450" i="33"/>
  <c r="AF1450" i="33"/>
  <c r="Y1450" i="33"/>
  <c r="R1450" i="33"/>
  <c r="K1450" i="33"/>
  <c r="DE1449" i="33"/>
  <c r="CX1449" i="33"/>
  <c r="CI1449" i="33"/>
  <c r="J1455" i="33" s="1"/>
  <c r="CI1455" i="33" s="1"/>
  <c r="J1461" i="33" s="1"/>
  <c r="CI1461" i="33" s="1"/>
  <c r="J1467" i="33" s="1"/>
  <c r="CI1467" i="33" s="1"/>
  <c r="J1473" i="33" s="1"/>
  <c r="CI1473" i="33" s="1"/>
  <c r="CH1449" i="33"/>
  <c r="I1455" i="33" s="1"/>
  <c r="CH1455" i="33" s="1"/>
  <c r="I1461" i="33" s="1"/>
  <c r="CH1461" i="33" s="1"/>
  <c r="I1467" i="33" s="1"/>
  <c r="CH1467" i="33" s="1"/>
  <c r="I1473" i="33" s="1"/>
  <c r="CH1473" i="33" s="1"/>
  <c r="CG1449" i="33"/>
  <c r="H1455" i="33" s="1"/>
  <c r="CG1455" i="33" s="1"/>
  <c r="H1461" i="33" s="1"/>
  <c r="CG1461" i="33" s="1"/>
  <c r="H1467" i="33" s="1"/>
  <c r="CG1467" i="33" s="1"/>
  <c r="H1473" i="33" s="1"/>
  <c r="CG1473" i="33" s="1"/>
  <c r="CF1449" i="33"/>
  <c r="G1455" i="33" s="1"/>
  <c r="CF1455" i="33" s="1"/>
  <c r="G1461" i="33" s="1"/>
  <c r="CF1461" i="33" s="1"/>
  <c r="G1467" i="33" s="1"/>
  <c r="CF1467" i="33" s="1"/>
  <c r="G1473" i="33" s="1"/>
  <c r="CF1473" i="33" s="1"/>
  <c r="CE1449" i="33"/>
  <c r="F1455" i="33" s="1"/>
  <c r="CC1449" i="33"/>
  <c r="BV1449" i="33"/>
  <c r="BO1449" i="33"/>
  <c r="BH1449" i="33"/>
  <c r="BA1449" i="33"/>
  <c r="AT1449" i="33"/>
  <c r="AM1449" i="33"/>
  <c r="AF1449" i="33"/>
  <c r="Y1449" i="33"/>
  <c r="R1449" i="33"/>
  <c r="K1449" i="33"/>
  <c r="DE1448" i="33"/>
  <c r="CX1448" i="33"/>
  <c r="CI1448" i="33"/>
  <c r="J1454" i="33" s="1"/>
  <c r="CI1454" i="33" s="1"/>
  <c r="J1460" i="33" s="1"/>
  <c r="CI1460" i="33" s="1"/>
  <c r="J1466" i="33" s="1"/>
  <c r="CI1466" i="33" s="1"/>
  <c r="J1472" i="33" s="1"/>
  <c r="CI1472" i="33" s="1"/>
  <c r="CH1448" i="33"/>
  <c r="CG1448" i="33"/>
  <c r="H1454" i="33" s="1"/>
  <c r="CG1454" i="33" s="1"/>
  <c r="H1460" i="33" s="1"/>
  <c r="CG1460" i="33" s="1"/>
  <c r="H1466" i="33" s="1"/>
  <c r="CG1466" i="33" s="1"/>
  <c r="H1472" i="33" s="1"/>
  <c r="CG1472" i="33" s="1"/>
  <c r="CF1448" i="33"/>
  <c r="G1454" i="33" s="1"/>
  <c r="CF1454" i="33" s="1"/>
  <c r="G1460" i="33" s="1"/>
  <c r="CF1460" i="33" s="1"/>
  <c r="G1466" i="33" s="1"/>
  <c r="CF1466" i="33" s="1"/>
  <c r="G1472" i="33" s="1"/>
  <c r="CF1472" i="33" s="1"/>
  <c r="CE1448" i="33"/>
  <c r="CJ1448" i="33" s="1"/>
  <c r="CC1448" i="33"/>
  <c r="BV1448" i="33"/>
  <c r="BO1448" i="33"/>
  <c r="BH1448" i="33"/>
  <c r="BA1448" i="33"/>
  <c r="AT1448" i="33"/>
  <c r="AM1448" i="33"/>
  <c r="AF1448" i="33"/>
  <c r="Y1448" i="33"/>
  <c r="R1448" i="33"/>
  <c r="K1448" i="33"/>
  <c r="DE1447" i="33"/>
  <c r="DE1451" i="33" s="1"/>
  <c r="CX1447" i="33"/>
  <c r="CX1451" i="33" s="1"/>
  <c r="CI1447" i="33"/>
  <c r="CI1451" i="33" s="1"/>
  <c r="CH1447" i="33"/>
  <c r="I1453" i="33" s="1"/>
  <c r="CG1447" i="33"/>
  <c r="CG1451" i="33" s="1"/>
  <c r="CF1447" i="33"/>
  <c r="CF1451" i="33" s="1"/>
  <c r="CE1447" i="33"/>
  <c r="CE1451" i="33" s="1"/>
  <c r="CC1447" i="33"/>
  <c r="CC1451" i="33" s="1"/>
  <c r="BV1447" i="33"/>
  <c r="BV1451" i="33" s="1"/>
  <c r="BO1447" i="33"/>
  <c r="BH1447" i="33"/>
  <c r="BH1451" i="33" s="1"/>
  <c r="BA1447" i="33"/>
  <c r="BA1451" i="33" s="1"/>
  <c r="AT1447" i="33"/>
  <c r="AT1451" i="33" s="1"/>
  <c r="AM1447" i="33"/>
  <c r="AF1447" i="33"/>
  <c r="AF1451" i="33" s="1"/>
  <c r="Y1447" i="33"/>
  <c r="Y1451" i="33" s="1"/>
  <c r="R1447" i="33"/>
  <c r="R1451" i="33" s="1"/>
  <c r="K1447" i="33"/>
  <c r="DD1443" i="33"/>
  <c r="DC1443" i="33"/>
  <c r="DB1443" i="33"/>
  <c r="DA1443" i="33"/>
  <c r="CZ1443" i="33"/>
  <c r="CW1443" i="33"/>
  <c r="CV1443" i="33"/>
  <c r="CU1443" i="33"/>
  <c r="CT1443" i="33"/>
  <c r="CS1443" i="33"/>
  <c r="CP1443" i="33"/>
  <c r="CO1443" i="33"/>
  <c r="CN1443" i="33"/>
  <c r="CM1443" i="33"/>
  <c r="CL1443" i="33"/>
  <c r="CC1443" i="33"/>
  <c r="CB1443" i="33"/>
  <c r="CA1443" i="33"/>
  <c r="BZ1443" i="33"/>
  <c r="BY1443" i="33"/>
  <c r="BX1443" i="33"/>
  <c r="BU1443" i="33"/>
  <c r="BT1443" i="33"/>
  <c r="BS1443" i="33"/>
  <c r="BR1443" i="33"/>
  <c r="BQ1443" i="33"/>
  <c r="BN1443" i="33"/>
  <c r="BM1443" i="33"/>
  <c r="BL1443" i="33"/>
  <c r="BK1443" i="33"/>
  <c r="BJ1443" i="33"/>
  <c r="BG1443" i="33"/>
  <c r="BF1443" i="33"/>
  <c r="BE1443" i="33"/>
  <c r="BD1443" i="33"/>
  <c r="BC1443" i="33"/>
  <c r="AZ1443" i="33"/>
  <c r="AY1443" i="33"/>
  <c r="AX1443" i="33"/>
  <c r="AW1443" i="33"/>
  <c r="AV1443" i="33"/>
  <c r="AS1443" i="33"/>
  <c r="AR1443" i="33"/>
  <c r="AQ1443" i="33"/>
  <c r="AP1443" i="33"/>
  <c r="AO1443" i="33"/>
  <c r="AL1443" i="33"/>
  <c r="AK1443" i="33"/>
  <c r="AJ1443" i="33"/>
  <c r="AI1443" i="33"/>
  <c r="AH1443" i="33"/>
  <c r="AE1443" i="33"/>
  <c r="AD1443" i="33"/>
  <c r="AC1443" i="33"/>
  <c r="AB1443" i="33"/>
  <c r="AA1443" i="33"/>
  <c r="Y1443" i="33"/>
  <c r="X1443" i="33"/>
  <c r="W1443" i="33"/>
  <c r="V1443" i="33"/>
  <c r="U1443" i="33"/>
  <c r="T1443" i="33"/>
  <c r="Q1443" i="33"/>
  <c r="P1443" i="33"/>
  <c r="O1443" i="33"/>
  <c r="N1443" i="33"/>
  <c r="M1443" i="33"/>
  <c r="DE1442" i="33"/>
  <c r="CX1442" i="33"/>
  <c r="CC1442" i="33"/>
  <c r="BV1442" i="33"/>
  <c r="BO1442" i="33"/>
  <c r="BH1442" i="33"/>
  <c r="BA1442" i="33"/>
  <c r="AT1442" i="33"/>
  <c r="AT1443" i="33" s="1"/>
  <c r="AM1442" i="33"/>
  <c r="AF1442" i="33"/>
  <c r="Y1442" i="33"/>
  <c r="R1442" i="33"/>
  <c r="DE1441" i="33"/>
  <c r="CX1441" i="33"/>
  <c r="CC1441" i="33"/>
  <c r="BV1441" i="33"/>
  <c r="BO1441" i="33"/>
  <c r="BH1441" i="33"/>
  <c r="BA1441" i="33"/>
  <c r="BA1443" i="33" s="1"/>
  <c r="AT1441" i="33"/>
  <c r="AM1441" i="33"/>
  <c r="AF1441" i="33"/>
  <c r="Y1441" i="33"/>
  <c r="R1441" i="33"/>
  <c r="DE1440" i="33"/>
  <c r="CX1440" i="33"/>
  <c r="V50" i="40"/>
  <c r="CC1440" i="33"/>
  <c r="BV1440" i="33"/>
  <c r="BV1443" i="33" s="1"/>
  <c r="BO1440" i="33"/>
  <c r="BH1440" i="33"/>
  <c r="BA1440" i="33"/>
  <c r="AT1440" i="33"/>
  <c r="AM1440" i="33"/>
  <c r="AF1440" i="33"/>
  <c r="Y1440" i="33"/>
  <c r="R1440" i="33"/>
  <c r="R1443" i="33" s="1"/>
  <c r="DE1439" i="33"/>
  <c r="DE1443" i="33" s="1"/>
  <c r="CX1439" i="33"/>
  <c r="CX1443" i="33" s="1"/>
  <c r="CC1439" i="33"/>
  <c r="BV1439" i="33"/>
  <c r="BO1439" i="33"/>
  <c r="BO1443" i="33" s="1"/>
  <c r="BH1439" i="33"/>
  <c r="BH1443" i="33" s="1"/>
  <c r="BA1439" i="33"/>
  <c r="AT1439" i="33"/>
  <c r="AM1439" i="33"/>
  <c r="AM1443" i="33" s="1"/>
  <c r="AF1439" i="33"/>
  <c r="AF1443" i="33" s="1"/>
  <c r="Y1439" i="33"/>
  <c r="L50" i="40" s="1"/>
  <c r="R1439" i="33"/>
  <c r="DD1437" i="33"/>
  <c r="DC1437" i="33"/>
  <c r="DB1437" i="33"/>
  <c r="DA1437" i="33"/>
  <c r="CZ1437" i="33"/>
  <c r="CW1437" i="33"/>
  <c r="CV1437" i="33"/>
  <c r="CU1437" i="33"/>
  <c r="CT1437" i="33"/>
  <c r="CS1437" i="33"/>
  <c r="CP1437" i="33"/>
  <c r="CO1437" i="33"/>
  <c r="CN1437" i="33"/>
  <c r="CM1437" i="33"/>
  <c r="CL1437" i="33"/>
  <c r="CB1437" i="33"/>
  <c r="CA1437" i="33"/>
  <c r="BZ1437" i="33"/>
  <c r="BY1437" i="33"/>
  <c r="BX1437" i="33"/>
  <c r="BU1437" i="33"/>
  <c r="BT1437" i="33"/>
  <c r="BS1437" i="33"/>
  <c r="BR1437" i="33"/>
  <c r="BQ1437" i="33"/>
  <c r="BN1437" i="33"/>
  <c r="BM1437" i="33"/>
  <c r="BL1437" i="33"/>
  <c r="BK1437" i="33"/>
  <c r="BJ1437" i="33"/>
  <c r="BG1437" i="33"/>
  <c r="BF1437" i="33"/>
  <c r="BE1437" i="33"/>
  <c r="BD1437" i="33"/>
  <c r="BC1437" i="33"/>
  <c r="AZ1437" i="33"/>
  <c r="AY1437" i="33"/>
  <c r="AX1437" i="33"/>
  <c r="AW1437" i="33"/>
  <c r="AV1437" i="33"/>
  <c r="AS1437" i="33"/>
  <c r="AR1437" i="33"/>
  <c r="AQ1437" i="33"/>
  <c r="AP1437" i="33"/>
  <c r="AO1437" i="33"/>
  <c r="AL1437" i="33"/>
  <c r="AK1437" i="33"/>
  <c r="AJ1437" i="33"/>
  <c r="AI1437" i="33"/>
  <c r="AH1437" i="33"/>
  <c r="AE1437" i="33"/>
  <c r="AD1437" i="33"/>
  <c r="AC1437" i="33"/>
  <c r="AB1437" i="33"/>
  <c r="AA1437" i="33"/>
  <c r="X1437" i="33"/>
  <c r="W1437" i="33"/>
  <c r="V1437" i="33"/>
  <c r="U1437" i="33"/>
  <c r="T1437" i="33"/>
  <c r="Q1437" i="33"/>
  <c r="P1437" i="33"/>
  <c r="O1437" i="33"/>
  <c r="N1437" i="33"/>
  <c r="M1437" i="33"/>
  <c r="DE1436" i="33"/>
  <c r="CX1436" i="33"/>
  <c r="CC1436" i="33"/>
  <c r="BV1436" i="33"/>
  <c r="BO1436" i="33"/>
  <c r="BH1436" i="33"/>
  <c r="BA1436" i="33"/>
  <c r="AT1436" i="33"/>
  <c r="AM1436" i="33"/>
  <c r="AF1436" i="33"/>
  <c r="Y1436" i="33"/>
  <c r="K50" i="40" s="1"/>
  <c r="R1436" i="33"/>
  <c r="DE1435" i="33"/>
  <c r="DE1437" i="33" s="1"/>
  <c r="CX1435" i="33"/>
  <c r="CC1435" i="33"/>
  <c r="BV1435" i="33"/>
  <c r="BO1435" i="33"/>
  <c r="BH1435" i="33"/>
  <c r="BA1435" i="33"/>
  <c r="AT1435" i="33"/>
  <c r="AM1435" i="33"/>
  <c r="AF1435" i="33"/>
  <c r="Y1435" i="33"/>
  <c r="R1435" i="33"/>
  <c r="DE1434" i="33"/>
  <c r="CX1434" i="33"/>
  <c r="CC1434" i="33"/>
  <c r="BV1434" i="33"/>
  <c r="BO1434" i="33"/>
  <c r="BH1434" i="33"/>
  <c r="BA1434" i="33"/>
  <c r="AT1434" i="33"/>
  <c r="AM1434" i="33"/>
  <c r="AF1434" i="33"/>
  <c r="Y1434" i="33"/>
  <c r="R1434" i="33"/>
  <c r="DE1433" i="33"/>
  <c r="CX1433" i="33"/>
  <c r="CX1437" i="33" s="1"/>
  <c r="CC1433" i="33"/>
  <c r="CC1437" i="33" s="1"/>
  <c r="BV1433" i="33"/>
  <c r="BV1437" i="33" s="1"/>
  <c r="BO1433" i="33"/>
  <c r="BO1437" i="33" s="1"/>
  <c r="BH1433" i="33"/>
  <c r="BH1437" i="33" s="1"/>
  <c r="BA1433" i="33"/>
  <c r="BA1437" i="33" s="1"/>
  <c r="AT1433" i="33"/>
  <c r="AT1437" i="33" s="1"/>
  <c r="AM1433" i="33"/>
  <c r="AM1437" i="33" s="1"/>
  <c r="AF1433" i="33"/>
  <c r="AF1437" i="33" s="1"/>
  <c r="Y1433" i="33"/>
  <c r="Y1437" i="33" s="1"/>
  <c r="R1433" i="33"/>
  <c r="R1437" i="33" s="1"/>
  <c r="DD1431" i="33"/>
  <c r="DC1431" i="33"/>
  <c r="DB1431" i="33"/>
  <c r="DA1431" i="33"/>
  <c r="CZ1431" i="33"/>
  <c r="CW1431" i="33"/>
  <c r="CV1431" i="33"/>
  <c r="CU1431" i="33"/>
  <c r="CT1431" i="33"/>
  <c r="CS1431" i="33"/>
  <c r="CP1431" i="33"/>
  <c r="CO1431" i="33"/>
  <c r="CN1431" i="33"/>
  <c r="CM1431" i="33"/>
  <c r="CL1431" i="33"/>
  <c r="CB1431" i="33"/>
  <c r="CA1431" i="33"/>
  <c r="BZ1431" i="33"/>
  <c r="BY1431" i="33"/>
  <c r="BX1431" i="33"/>
  <c r="BU1431" i="33"/>
  <c r="BT1431" i="33"/>
  <c r="BS1431" i="33"/>
  <c r="BR1431" i="33"/>
  <c r="BQ1431" i="33"/>
  <c r="BN1431" i="33"/>
  <c r="BM1431" i="33"/>
  <c r="BL1431" i="33"/>
  <c r="BK1431" i="33"/>
  <c r="BJ1431" i="33"/>
  <c r="BG1431" i="33"/>
  <c r="BF1431" i="33"/>
  <c r="BE1431" i="33"/>
  <c r="BD1431" i="33"/>
  <c r="BC1431" i="33"/>
  <c r="AZ1431" i="33"/>
  <c r="AY1431" i="33"/>
  <c r="AX1431" i="33"/>
  <c r="AW1431" i="33"/>
  <c r="AV1431" i="33"/>
  <c r="AT1431" i="33"/>
  <c r="AS1431" i="33"/>
  <c r="AR1431" i="33"/>
  <c r="AQ1431" i="33"/>
  <c r="AP1431" i="33"/>
  <c r="AO1431" i="33"/>
  <c r="AL1431" i="33"/>
  <c r="AK1431" i="33"/>
  <c r="AJ1431" i="33"/>
  <c r="AI1431" i="33"/>
  <c r="AH1431" i="33"/>
  <c r="AE1431" i="33"/>
  <c r="AD1431" i="33"/>
  <c r="AC1431" i="33"/>
  <c r="AB1431" i="33"/>
  <c r="AA1431" i="33"/>
  <c r="X1431" i="33"/>
  <c r="W1431" i="33"/>
  <c r="V1431" i="33"/>
  <c r="U1431" i="33"/>
  <c r="T1431" i="33"/>
  <c r="Q1431" i="33"/>
  <c r="P1431" i="33"/>
  <c r="O1431" i="33"/>
  <c r="N1431" i="33"/>
  <c r="M1431" i="33"/>
  <c r="DE1430" i="33"/>
  <c r="CX1430" i="33"/>
  <c r="CC1430" i="33"/>
  <c r="BV1430" i="33"/>
  <c r="BO1430" i="33"/>
  <c r="BH1430" i="33"/>
  <c r="BA1430" i="33"/>
  <c r="AT1430" i="33"/>
  <c r="AM1430" i="33"/>
  <c r="AF1430" i="33"/>
  <c r="Y1430" i="33"/>
  <c r="R1430" i="33"/>
  <c r="DE1429" i="33"/>
  <c r="CX1429" i="33"/>
  <c r="CC1429" i="33"/>
  <c r="BV1429" i="33"/>
  <c r="BO1429" i="33"/>
  <c r="BO1431" i="33" s="1"/>
  <c r="BH1429" i="33"/>
  <c r="BA1429" i="33"/>
  <c r="AT1429" i="33"/>
  <c r="AM1429" i="33"/>
  <c r="AF1429" i="33"/>
  <c r="Y1429" i="33"/>
  <c r="R1429" i="33"/>
  <c r="DE1428" i="33"/>
  <c r="CX1428" i="33"/>
  <c r="CC1428" i="33"/>
  <c r="BV1428" i="33"/>
  <c r="BV1431" i="33" s="1"/>
  <c r="BO1428" i="33"/>
  <c r="BH1428" i="33"/>
  <c r="BA1428" i="33"/>
  <c r="AT1428" i="33"/>
  <c r="AM1428" i="33"/>
  <c r="AF1428" i="33"/>
  <c r="Y1428" i="33"/>
  <c r="R1428" i="33"/>
  <c r="R1431" i="33" s="1"/>
  <c r="DE1427" i="33"/>
  <c r="DE1431" i="33" s="1"/>
  <c r="CX1427" i="33"/>
  <c r="CX1431" i="33" s="1"/>
  <c r="CC1427" i="33"/>
  <c r="CC1431" i="33" s="1"/>
  <c r="BV1427" i="33"/>
  <c r="BO1427" i="33"/>
  <c r="BH1427" i="33"/>
  <c r="BH1431" i="33" s="1"/>
  <c r="BA1427" i="33"/>
  <c r="BA1431" i="33" s="1"/>
  <c r="AT1427" i="33"/>
  <c r="AM1427" i="33"/>
  <c r="T50" i="40" s="1"/>
  <c r="AF1427" i="33"/>
  <c r="AF1431" i="33" s="1"/>
  <c r="Y1427" i="33"/>
  <c r="Y1431" i="33" s="1"/>
  <c r="R1427" i="33"/>
  <c r="DE1425" i="33"/>
  <c r="DD1425" i="33"/>
  <c r="DC1425" i="33"/>
  <c r="DB1425" i="33"/>
  <c r="DA1425" i="33"/>
  <c r="CZ1425" i="33"/>
  <c r="CX1425" i="33"/>
  <c r="CW1425" i="33"/>
  <c r="CV1425" i="33"/>
  <c r="CU1425" i="33"/>
  <c r="CT1425" i="33"/>
  <c r="CS1425" i="33"/>
  <c r="CP1425" i="33"/>
  <c r="CO1425" i="33"/>
  <c r="CN1425" i="33"/>
  <c r="CM1425" i="33"/>
  <c r="CL1425" i="33"/>
  <c r="CB1425" i="33"/>
  <c r="CA1425" i="33"/>
  <c r="BZ1425" i="33"/>
  <c r="BY1425" i="33"/>
  <c r="BX1425" i="33"/>
  <c r="BU1425" i="33"/>
  <c r="BT1425" i="33"/>
  <c r="BS1425" i="33"/>
  <c r="BR1425" i="33"/>
  <c r="BQ1425" i="33"/>
  <c r="BN1425" i="33"/>
  <c r="BM1425" i="33"/>
  <c r="BL1425" i="33"/>
  <c r="BK1425" i="33"/>
  <c r="BJ1425" i="33"/>
  <c r="BG1425" i="33"/>
  <c r="BF1425" i="33"/>
  <c r="BE1425" i="33"/>
  <c r="BD1425" i="33"/>
  <c r="BC1425" i="33"/>
  <c r="AZ1425" i="33"/>
  <c r="AY1425" i="33"/>
  <c r="AX1425" i="33"/>
  <c r="AW1425" i="33"/>
  <c r="AV1425" i="33"/>
  <c r="AS1425" i="33"/>
  <c r="AR1425" i="33"/>
  <c r="AQ1425" i="33"/>
  <c r="AP1425" i="33"/>
  <c r="AO1425" i="33"/>
  <c r="AL1425" i="33"/>
  <c r="AK1425" i="33"/>
  <c r="AJ1425" i="33"/>
  <c r="AI1425" i="33"/>
  <c r="AH1425" i="33"/>
  <c r="AE1425" i="33"/>
  <c r="AD1425" i="33"/>
  <c r="AC1425" i="33"/>
  <c r="AB1425" i="33"/>
  <c r="AA1425" i="33"/>
  <c r="X1425" i="33"/>
  <c r="W1425" i="33"/>
  <c r="V1425" i="33"/>
  <c r="U1425" i="33"/>
  <c r="T1425" i="33"/>
  <c r="Q1425" i="33"/>
  <c r="P1425" i="33"/>
  <c r="O1425" i="33"/>
  <c r="N1425" i="33"/>
  <c r="M1425" i="33"/>
  <c r="DE1424" i="33"/>
  <c r="CX1424" i="33"/>
  <c r="CC1424" i="33"/>
  <c r="BV1424" i="33"/>
  <c r="BO1424" i="33"/>
  <c r="BH1424" i="33"/>
  <c r="BA1424" i="33"/>
  <c r="AT1424" i="33"/>
  <c r="AM1424" i="33"/>
  <c r="S50" i="40" s="1"/>
  <c r="AF1424" i="33"/>
  <c r="Y1424" i="33"/>
  <c r="R1424" i="33"/>
  <c r="I1424" i="33"/>
  <c r="CH1424" i="33" s="1"/>
  <c r="I1430" i="33" s="1"/>
  <c r="CH1430" i="33" s="1"/>
  <c r="I1436" i="33" s="1"/>
  <c r="CH1436" i="33" s="1"/>
  <c r="I1442" i="33" s="1"/>
  <c r="CH1442" i="33" s="1"/>
  <c r="G1424" i="33"/>
  <c r="CF1424" i="33" s="1"/>
  <c r="G1430" i="33" s="1"/>
  <c r="CF1430" i="33" s="1"/>
  <c r="G1436" i="33" s="1"/>
  <c r="CF1436" i="33" s="1"/>
  <c r="G1442" i="33" s="1"/>
  <c r="CF1442" i="33" s="1"/>
  <c r="DE1423" i="33"/>
  <c r="CX1423" i="33"/>
  <c r="CC1423" i="33"/>
  <c r="BV1423" i="33"/>
  <c r="BO1423" i="33"/>
  <c r="BH1423" i="33"/>
  <c r="BA1423" i="33"/>
  <c r="AT1423" i="33"/>
  <c r="AM1423" i="33"/>
  <c r="AF1423" i="33"/>
  <c r="Y1423" i="33"/>
  <c r="R1423" i="33"/>
  <c r="DE1422" i="33"/>
  <c r="CX1422" i="33"/>
  <c r="CC1422" i="33"/>
  <c r="BV1422" i="33"/>
  <c r="BO1422" i="33"/>
  <c r="BH1422" i="33"/>
  <c r="BA1422" i="33"/>
  <c r="AT1422" i="33"/>
  <c r="AM1422" i="33"/>
  <c r="AF1422" i="33"/>
  <c r="Y1422" i="33"/>
  <c r="R1422" i="33"/>
  <c r="I1422" i="33"/>
  <c r="CH1422" i="33" s="1"/>
  <c r="I1428" i="33" s="1"/>
  <c r="CH1428" i="33" s="1"/>
  <c r="I1434" i="33" s="1"/>
  <c r="CH1434" i="33" s="1"/>
  <c r="I1440" i="33" s="1"/>
  <c r="CH1440" i="33" s="1"/>
  <c r="DE1421" i="33"/>
  <c r="CX1421" i="33"/>
  <c r="CC1421" i="33"/>
  <c r="CC1425" i="33" s="1"/>
  <c r="BV1421" i="33"/>
  <c r="BV1425" i="33" s="1"/>
  <c r="BO1421" i="33"/>
  <c r="BO1425" i="33" s="1"/>
  <c r="BH1421" i="33"/>
  <c r="BH1425" i="33" s="1"/>
  <c r="BA1421" i="33"/>
  <c r="BA1425" i="33" s="1"/>
  <c r="AT1421" i="33"/>
  <c r="AT1425" i="33" s="1"/>
  <c r="AM1421" i="33"/>
  <c r="AM1425" i="33" s="1"/>
  <c r="AF1421" i="33"/>
  <c r="AF1425" i="33" s="1"/>
  <c r="Y1421" i="33"/>
  <c r="Y1425" i="33" s="1"/>
  <c r="R1421" i="33"/>
  <c r="R1425" i="33" s="1"/>
  <c r="J1421" i="33"/>
  <c r="DD1419" i="33"/>
  <c r="DC1419" i="33"/>
  <c r="DB1419" i="33"/>
  <c r="DA1419" i="33"/>
  <c r="CZ1419" i="33"/>
  <c r="CW1419" i="33"/>
  <c r="CV1419" i="33"/>
  <c r="CU1419" i="33"/>
  <c r="CT1419" i="33"/>
  <c r="CS1419" i="33"/>
  <c r="CP1419" i="33"/>
  <c r="CO1419" i="33"/>
  <c r="CN1419" i="33"/>
  <c r="CM1419" i="33"/>
  <c r="CL1419" i="33"/>
  <c r="CH1419" i="33"/>
  <c r="CB1419" i="33"/>
  <c r="CA1419" i="33"/>
  <c r="BZ1419" i="33"/>
  <c r="BY1419" i="33"/>
  <c r="BX1419" i="33"/>
  <c r="BU1419" i="33"/>
  <c r="BT1419" i="33"/>
  <c r="BS1419" i="33"/>
  <c r="BR1419" i="33"/>
  <c r="BQ1419" i="33"/>
  <c r="BO1419" i="33"/>
  <c r="BN1419" i="33"/>
  <c r="BM1419" i="33"/>
  <c r="BL1419" i="33"/>
  <c r="BK1419" i="33"/>
  <c r="BJ1419" i="33"/>
  <c r="BG1419" i="33"/>
  <c r="BF1419" i="33"/>
  <c r="BE1419" i="33"/>
  <c r="BD1419" i="33"/>
  <c r="BC1419" i="33"/>
  <c r="AZ1419" i="33"/>
  <c r="AY1419" i="33"/>
  <c r="AX1419" i="33"/>
  <c r="AW1419" i="33"/>
  <c r="AV1419" i="33"/>
  <c r="AS1419" i="33"/>
  <c r="AR1419" i="33"/>
  <c r="AQ1419" i="33"/>
  <c r="AP1419" i="33"/>
  <c r="AO1419" i="33"/>
  <c r="AM1419" i="33"/>
  <c r="AL1419" i="33"/>
  <c r="AK1419" i="33"/>
  <c r="AJ1419" i="33"/>
  <c r="AI1419" i="33"/>
  <c r="AH1419" i="33"/>
  <c r="AE1419" i="33"/>
  <c r="AD1419" i="33"/>
  <c r="AC1419" i="33"/>
  <c r="AB1419" i="33"/>
  <c r="AA1419" i="33"/>
  <c r="X1419" i="33"/>
  <c r="W1419" i="33"/>
  <c r="V1419" i="33"/>
  <c r="U1419" i="33"/>
  <c r="T1419" i="33"/>
  <c r="Q1419" i="33"/>
  <c r="P1419" i="33"/>
  <c r="O1419" i="33"/>
  <c r="N1419" i="33"/>
  <c r="M1419" i="33"/>
  <c r="K1419" i="33"/>
  <c r="J1419" i="33"/>
  <c r="I1419" i="33"/>
  <c r="H1419" i="33"/>
  <c r="G1419" i="33"/>
  <c r="F1419" i="33"/>
  <c r="DE1418" i="33"/>
  <c r="CX1418" i="33"/>
  <c r="CI1418" i="33"/>
  <c r="J1424" i="33" s="1"/>
  <c r="CI1424" i="33" s="1"/>
  <c r="J1430" i="33" s="1"/>
  <c r="CI1430" i="33" s="1"/>
  <c r="J1436" i="33" s="1"/>
  <c r="CI1436" i="33" s="1"/>
  <c r="J1442" i="33" s="1"/>
  <c r="CI1442" i="33" s="1"/>
  <c r="CH1418" i="33"/>
  <c r="CG1418" i="33"/>
  <c r="H1424" i="33" s="1"/>
  <c r="CG1424" i="33" s="1"/>
  <c r="H1430" i="33" s="1"/>
  <c r="CG1430" i="33" s="1"/>
  <c r="H1436" i="33" s="1"/>
  <c r="CG1436" i="33" s="1"/>
  <c r="H1442" i="33" s="1"/>
  <c r="CG1442" i="33" s="1"/>
  <c r="CF1418" i="33"/>
  <c r="CE1418" i="33"/>
  <c r="F1424" i="33" s="1"/>
  <c r="CC1418" i="33"/>
  <c r="BV1418" i="33"/>
  <c r="BO1418" i="33"/>
  <c r="BH1418" i="33"/>
  <c r="BA1418" i="33"/>
  <c r="AT1418" i="33"/>
  <c r="AM1418" i="33"/>
  <c r="AF1418" i="33"/>
  <c r="Y1418" i="33"/>
  <c r="R1418" i="33"/>
  <c r="K1418" i="33"/>
  <c r="DE1417" i="33"/>
  <c r="CX1417" i="33"/>
  <c r="CI1417" i="33"/>
  <c r="J1423" i="33" s="1"/>
  <c r="CI1423" i="33" s="1"/>
  <c r="J1429" i="33" s="1"/>
  <c r="CI1429" i="33" s="1"/>
  <c r="J1435" i="33" s="1"/>
  <c r="CI1435" i="33" s="1"/>
  <c r="J1441" i="33" s="1"/>
  <c r="CI1441" i="33" s="1"/>
  <c r="CH1417" i="33"/>
  <c r="I1423" i="33" s="1"/>
  <c r="CH1423" i="33" s="1"/>
  <c r="I1429" i="33" s="1"/>
  <c r="CH1429" i="33" s="1"/>
  <c r="I1435" i="33" s="1"/>
  <c r="CH1435" i="33" s="1"/>
  <c r="I1441" i="33" s="1"/>
  <c r="CH1441" i="33" s="1"/>
  <c r="CG1417" i="33"/>
  <c r="H1423" i="33" s="1"/>
  <c r="CG1423" i="33" s="1"/>
  <c r="H1429" i="33" s="1"/>
  <c r="CG1429" i="33" s="1"/>
  <c r="H1435" i="33" s="1"/>
  <c r="CG1435" i="33" s="1"/>
  <c r="H1441" i="33" s="1"/>
  <c r="CG1441" i="33" s="1"/>
  <c r="CF1417" i="33"/>
  <c r="G1423" i="33" s="1"/>
  <c r="CF1423" i="33" s="1"/>
  <c r="G1429" i="33" s="1"/>
  <c r="CF1429" i="33" s="1"/>
  <c r="G1435" i="33" s="1"/>
  <c r="CF1435" i="33" s="1"/>
  <c r="G1441" i="33" s="1"/>
  <c r="CF1441" i="33" s="1"/>
  <c r="CE1417" i="33"/>
  <c r="F1423" i="33" s="1"/>
  <c r="CC1417" i="33"/>
  <c r="BV1417" i="33"/>
  <c r="BO1417" i="33"/>
  <c r="BH1417" i="33"/>
  <c r="BA1417" i="33"/>
  <c r="AT1417" i="33"/>
  <c r="AM1417" i="33"/>
  <c r="AF1417" i="33"/>
  <c r="Y1417" i="33"/>
  <c r="R1417" i="33"/>
  <c r="K1417" i="33"/>
  <c r="DE1416" i="33"/>
  <c r="CX1416" i="33"/>
  <c r="CI1416" i="33"/>
  <c r="J1422" i="33" s="1"/>
  <c r="CI1422" i="33" s="1"/>
  <c r="J1428" i="33" s="1"/>
  <c r="CI1428" i="33" s="1"/>
  <c r="J1434" i="33" s="1"/>
  <c r="CI1434" i="33" s="1"/>
  <c r="J1440" i="33" s="1"/>
  <c r="CI1440" i="33" s="1"/>
  <c r="CH1416" i="33"/>
  <c r="CG1416" i="33"/>
  <c r="H1422" i="33" s="1"/>
  <c r="CG1422" i="33" s="1"/>
  <c r="H1428" i="33" s="1"/>
  <c r="CG1428" i="33" s="1"/>
  <c r="H1434" i="33" s="1"/>
  <c r="CG1434" i="33" s="1"/>
  <c r="H1440" i="33" s="1"/>
  <c r="CG1440" i="33" s="1"/>
  <c r="CF1416" i="33"/>
  <c r="G1422" i="33" s="1"/>
  <c r="CF1422" i="33" s="1"/>
  <c r="G1428" i="33" s="1"/>
  <c r="CF1428" i="33" s="1"/>
  <c r="G1434" i="33" s="1"/>
  <c r="CF1434" i="33" s="1"/>
  <c r="G1440" i="33" s="1"/>
  <c r="CF1440" i="33" s="1"/>
  <c r="CE1416" i="33"/>
  <c r="CJ1416" i="33" s="1"/>
  <c r="CC1416" i="33"/>
  <c r="BV1416" i="33"/>
  <c r="BO1416" i="33"/>
  <c r="BH1416" i="33"/>
  <c r="BA1416" i="33"/>
  <c r="AT1416" i="33"/>
  <c r="AM1416" i="33"/>
  <c r="AF1416" i="33"/>
  <c r="AF1419" i="33" s="1"/>
  <c r="Y1416" i="33"/>
  <c r="R1416" i="33"/>
  <c r="K1416" i="33"/>
  <c r="DE1415" i="33"/>
  <c r="DE1419" i="33" s="1"/>
  <c r="CX1415" i="33"/>
  <c r="CX1419" i="33" s="1"/>
  <c r="CI1415" i="33"/>
  <c r="CI1419" i="33" s="1"/>
  <c r="CH1415" i="33"/>
  <c r="I1421" i="33" s="1"/>
  <c r="CG1415" i="33"/>
  <c r="CG1419" i="33" s="1"/>
  <c r="CF1415" i="33"/>
  <c r="CF1419" i="33" s="1"/>
  <c r="CE1415" i="33"/>
  <c r="CE1419" i="33" s="1"/>
  <c r="CC1415" i="33"/>
  <c r="CC1419" i="33" s="1"/>
  <c r="BV1415" i="33"/>
  <c r="BV1419" i="33" s="1"/>
  <c r="BO1415" i="33"/>
  <c r="BH1415" i="33"/>
  <c r="BH1419" i="33" s="1"/>
  <c r="BA1415" i="33"/>
  <c r="BA1419" i="33" s="1"/>
  <c r="AT1415" i="33"/>
  <c r="AT1419" i="33" s="1"/>
  <c r="AM1415" i="33"/>
  <c r="AF1415" i="33"/>
  <c r="Y1415" i="33"/>
  <c r="Y1419" i="33" s="1"/>
  <c r="R1415" i="33"/>
  <c r="R1419" i="33" s="1"/>
  <c r="K1415" i="33"/>
  <c r="DD1411" i="33"/>
  <c r="DC1411" i="33"/>
  <c r="DB1411" i="33"/>
  <c r="DA1411" i="33"/>
  <c r="CZ1411" i="33"/>
  <c r="CW1411" i="33"/>
  <c r="CV1411" i="33"/>
  <c r="CU1411" i="33"/>
  <c r="CT1411" i="33"/>
  <c r="CS1411" i="33"/>
  <c r="CP1411" i="33"/>
  <c r="CO1411" i="33"/>
  <c r="CN1411" i="33"/>
  <c r="CM1411" i="33"/>
  <c r="CL1411" i="33"/>
  <c r="CB1411" i="33"/>
  <c r="CA1411" i="33"/>
  <c r="BZ1411" i="33"/>
  <c r="BY1411" i="33"/>
  <c r="BX1411" i="33"/>
  <c r="BU1411" i="33"/>
  <c r="BT1411" i="33"/>
  <c r="BS1411" i="33"/>
  <c r="BR1411" i="33"/>
  <c r="BQ1411" i="33"/>
  <c r="BN1411" i="33"/>
  <c r="BM1411" i="33"/>
  <c r="BL1411" i="33"/>
  <c r="BK1411" i="33"/>
  <c r="BJ1411" i="33"/>
  <c r="BG1411" i="33"/>
  <c r="BF1411" i="33"/>
  <c r="BE1411" i="33"/>
  <c r="BD1411" i="33"/>
  <c r="BC1411" i="33"/>
  <c r="AZ1411" i="33"/>
  <c r="AY1411" i="33"/>
  <c r="AX1411" i="33"/>
  <c r="AW1411" i="33"/>
  <c r="AV1411" i="33"/>
  <c r="AT1411" i="33"/>
  <c r="AS1411" i="33"/>
  <c r="AR1411" i="33"/>
  <c r="AQ1411" i="33"/>
  <c r="AP1411" i="33"/>
  <c r="AO1411" i="33"/>
  <c r="AL1411" i="33"/>
  <c r="AK1411" i="33"/>
  <c r="AJ1411" i="33"/>
  <c r="AI1411" i="33"/>
  <c r="AH1411" i="33"/>
  <c r="AE1411" i="33"/>
  <c r="AD1411" i="33"/>
  <c r="AC1411" i="33"/>
  <c r="AB1411" i="33"/>
  <c r="AA1411" i="33"/>
  <c r="X1411" i="33"/>
  <c r="W1411" i="33"/>
  <c r="V1411" i="33"/>
  <c r="U1411" i="33"/>
  <c r="T1411" i="33"/>
  <c r="Q1411" i="33"/>
  <c r="P1411" i="33"/>
  <c r="O1411" i="33"/>
  <c r="N1411" i="33"/>
  <c r="M1411" i="33"/>
  <c r="DE1410" i="33"/>
  <c r="CX1410" i="33"/>
  <c r="CC1410" i="33"/>
  <c r="BV1410" i="33"/>
  <c r="BO1410" i="33"/>
  <c r="BH1410" i="33"/>
  <c r="BA1410" i="33"/>
  <c r="AT1410" i="33"/>
  <c r="AM1410" i="33"/>
  <c r="AF1410" i="33"/>
  <c r="Y1410" i="33"/>
  <c r="R1410" i="33"/>
  <c r="DE1409" i="33"/>
  <c r="CX1409" i="33"/>
  <c r="CC1409" i="33"/>
  <c r="BV1409" i="33"/>
  <c r="BO1409" i="33"/>
  <c r="BH1409" i="33"/>
  <c r="BA1409" i="33"/>
  <c r="BA1411" i="33" s="1"/>
  <c r="AT1409" i="33"/>
  <c r="AM1409" i="33"/>
  <c r="AF1409" i="33"/>
  <c r="Y1409" i="33"/>
  <c r="R1409" i="33"/>
  <c r="DE1408" i="33"/>
  <c r="CX1408" i="33"/>
  <c r="CC1408" i="33"/>
  <c r="BV1408" i="33"/>
  <c r="BV1411" i="33" s="1"/>
  <c r="BO1408" i="33"/>
  <c r="BH1408" i="33"/>
  <c r="BA1408" i="33"/>
  <c r="AT1408" i="33"/>
  <c r="AM1408" i="33"/>
  <c r="AF1408" i="33"/>
  <c r="Y1408" i="33"/>
  <c r="R1408" i="33"/>
  <c r="R1411" i="33" s="1"/>
  <c r="DE1407" i="33"/>
  <c r="DE1411" i="33" s="1"/>
  <c r="CX1407" i="33"/>
  <c r="CX1411" i="33" s="1"/>
  <c r="CC1407" i="33"/>
  <c r="CC1411" i="33" s="1"/>
  <c r="BV1407" i="33"/>
  <c r="BO1407" i="33"/>
  <c r="BO1411" i="33" s="1"/>
  <c r="BH1407" i="33"/>
  <c r="BH1411" i="33" s="1"/>
  <c r="BA1407" i="33"/>
  <c r="AT1407" i="33"/>
  <c r="AM1407" i="33"/>
  <c r="AM1411" i="33" s="1"/>
  <c r="AF1407" i="33"/>
  <c r="AF1411" i="33" s="1"/>
  <c r="Y1407" i="33"/>
  <c r="Y1411" i="33" s="1"/>
  <c r="R1407" i="33"/>
  <c r="DE1405" i="33"/>
  <c r="DD1405" i="33"/>
  <c r="DC1405" i="33"/>
  <c r="DB1405" i="33"/>
  <c r="DA1405" i="33"/>
  <c r="CZ1405" i="33"/>
  <c r="CW1405" i="33"/>
  <c r="CV1405" i="33"/>
  <c r="CU1405" i="33"/>
  <c r="CT1405" i="33"/>
  <c r="CS1405" i="33"/>
  <c r="CP1405" i="33"/>
  <c r="CO1405" i="33"/>
  <c r="CN1405" i="33"/>
  <c r="CM1405" i="33"/>
  <c r="CL1405" i="33"/>
  <c r="CC1405" i="33"/>
  <c r="CB1405" i="33"/>
  <c r="CA1405" i="33"/>
  <c r="BZ1405" i="33"/>
  <c r="BY1405" i="33"/>
  <c r="BX1405" i="33"/>
  <c r="BU1405" i="33"/>
  <c r="BT1405" i="33"/>
  <c r="BS1405" i="33"/>
  <c r="BR1405" i="33"/>
  <c r="BQ1405" i="33"/>
  <c r="BN1405" i="33"/>
  <c r="BM1405" i="33"/>
  <c r="BL1405" i="33"/>
  <c r="BK1405" i="33"/>
  <c r="BJ1405" i="33"/>
  <c r="BG1405" i="33"/>
  <c r="BF1405" i="33"/>
  <c r="BE1405" i="33"/>
  <c r="BD1405" i="33"/>
  <c r="BC1405" i="33"/>
  <c r="AZ1405" i="33"/>
  <c r="AY1405" i="33"/>
  <c r="AX1405" i="33"/>
  <c r="AW1405" i="33"/>
  <c r="AV1405" i="33"/>
  <c r="AS1405" i="33"/>
  <c r="AR1405" i="33"/>
  <c r="AQ1405" i="33"/>
  <c r="AP1405" i="33"/>
  <c r="AO1405" i="33"/>
  <c r="AL1405" i="33"/>
  <c r="AK1405" i="33"/>
  <c r="AJ1405" i="33"/>
  <c r="AI1405" i="33"/>
  <c r="AH1405" i="33"/>
  <c r="AE1405" i="33"/>
  <c r="AD1405" i="33"/>
  <c r="AC1405" i="33"/>
  <c r="AB1405" i="33"/>
  <c r="AA1405" i="33"/>
  <c r="Y1405" i="33"/>
  <c r="X1405" i="33"/>
  <c r="W1405" i="33"/>
  <c r="V1405" i="33"/>
  <c r="U1405" i="33"/>
  <c r="T1405" i="33"/>
  <c r="Q1405" i="33"/>
  <c r="P1405" i="33"/>
  <c r="O1405" i="33"/>
  <c r="N1405" i="33"/>
  <c r="M1405" i="33"/>
  <c r="DE1404" i="33"/>
  <c r="CX1404" i="33"/>
  <c r="CC1404" i="33"/>
  <c r="BV1404" i="33"/>
  <c r="BO1404" i="33"/>
  <c r="BH1404" i="33"/>
  <c r="BA1404" i="33"/>
  <c r="AT1404" i="33"/>
  <c r="AM1404" i="33"/>
  <c r="AF1404" i="33"/>
  <c r="Y1404" i="33"/>
  <c r="R1404" i="33"/>
  <c r="DE1403" i="33"/>
  <c r="CX1403" i="33"/>
  <c r="CC1403" i="33"/>
  <c r="BV1403" i="33"/>
  <c r="BO1403" i="33"/>
  <c r="BH1403" i="33"/>
  <c r="BA1403" i="33"/>
  <c r="AT1403" i="33"/>
  <c r="AM1403" i="33"/>
  <c r="AF1403" i="33"/>
  <c r="AF1405" i="33" s="1"/>
  <c r="Y1403" i="33"/>
  <c r="R1403" i="33"/>
  <c r="DE1402" i="33"/>
  <c r="CX1402" i="33"/>
  <c r="CC1402" i="33"/>
  <c r="BV1402" i="33"/>
  <c r="BO1402" i="33"/>
  <c r="BH1402" i="33"/>
  <c r="BA1402" i="33"/>
  <c r="BA1405" i="33" s="1"/>
  <c r="AT1402" i="33"/>
  <c r="AM1402" i="33"/>
  <c r="AF1402" i="33"/>
  <c r="Y1402" i="33"/>
  <c r="R1402" i="33"/>
  <c r="DE1401" i="33"/>
  <c r="CX1401" i="33"/>
  <c r="CX1405" i="33" s="1"/>
  <c r="CC1401" i="33"/>
  <c r="BV1401" i="33"/>
  <c r="BV1405" i="33" s="1"/>
  <c r="BO1401" i="33"/>
  <c r="BO1405" i="33" s="1"/>
  <c r="BH1401" i="33"/>
  <c r="BH1405" i="33" s="1"/>
  <c r="BA1401" i="33"/>
  <c r="AT1401" i="33"/>
  <c r="AT1405" i="33" s="1"/>
  <c r="AM1401" i="33"/>
  <c r="AM1405" i="33" s="1"/>
  <c r="AF1401" i="33"/>
  <c r="Y1401" i="33"/>
  <c r="R1401" i="33"/>
  <c r="R1405" i="33" s="1"/>
  <c r="DD1399" i="33"/>
  <c r="DC1399" i="33"/>
  <c r="DB1399" i="33"/>
  <c r="DA1399" i="33"/>
  <c r="CZ1399" i="33"/>
  <c r="CW1399" i="33"/>
  <c r="CV1399" i="33"/>
  <c r="CU1399" i="33"/>
  <c r="CT1399" i="33"/>
  <c r="CS1399" i="33"/>
  <c r="CP1399" i="33"/>
  <c r="CO1399" i="33"/>
  <c r="CN1399" i="33"/>
  <c r="CM1399" i="33"/>
  <c r="CL1399" i="33"/>
  <c r="CB1399" i="33"/>
  <c r="CA1399" i="33"/>
  <c r="BZ1399" i="33"/>
  <c r="BY1399" i="33"/>
  <c r="BX1399" i="33"/>
  <c r="BU1399" i="33"/>
  <c r="BT1399" i="33"/>
  <c r="BS1399" i="33"/>
  <c r="BR1399" i="33"/>
  <c r="BQ1399" i="33"/>
  <c r="BO1399" i="33"/>
  <c r="BN1399" i="33"/>
  <c r="BM1399" i="33"/>
  <c r="BL1399" i="33"/>
  <c r="BK1399" i="33"/>
  <c r="BJ1399" i="33"/>
  <c r="BG1399" i="33"/>
  <c r="BF1399" i="33"/>
  <c r="BE1399" i="33"/>
  <c r="BD1399" i="33"/>
  <c r="BC1399" i="33"/>
  <c r="AZ1399" i="33"/>
  <c r="AY1399" i="33"/>
  <c r="AX1399" i="33"/>
  <c r="AW1399" i="33"/>
  <c r="AV1399" i="33"/>
  <c r="AS1399" i="33"/>
  <c r="AR1399" i="33"/>
  <c r="AQ1399" i="33"/>
  <c r="AP1399" i="33"/>
  <c r="AO1399" i="33"/>
  <c r="AL1399" i="33"/>
  <c r="AK1399" i="33"/>
  <c r="AJ1399" i="33"/>
  <c r="AI1399" i="33"/>
  <c r="AH1399" i="33"/>
  <c r="AE1399" i="33"/>
  <c r="AD1399" i="33"/>
  <c r="AC1399" i="33"/>
  <c r="AB1399" i="33"/>
  <c r="AA1399" i="33"/>
  <c r="X1399" i="33"/>
  <c r="W1399" i="33"/>
  <c r="V1399" i="33"/>
  <c r="U1399" i="33"/>
  <c r="T1399" i="33"/>
  <c r="Q1399" i="33"/>
  <c r="P1399" i="33"/>
  <c r="O1399" i="33"/>
  <c r="N1399" i="33"/>
  <c r="M1399" i="33"/>
  <c r="DE1398" i="33"/>
  <c r="CX1398" i="33"/>
  <c r="CC1398" i="33"/>
  <c r="BV1398" i="33"/>
  <c r="BO1398" i="33"/>
  <c r="BH1398" i="33"/>
  <c r="BA1398" i="33"/>
  <c r="AT1398" i="33"/>
  <c r="AM1398" i="33"/>
  <c r="AF1398" i="33"/>
  <c r="Y1398" i="33"/>
  <c r="R1398" i="33"/>
  <c r="DE1397" i="33"/>
  <c r="CX1397" i="33"/>
  <c r="CC1397" i="33"/>
  <c r="BV1397" i="33"/>
  <c r="BO1397" i="33"/>
  <c r="BH1397" i="33"/>
  <c r="BA1397" i="33"/>
  <c r="AT1397" i="33"/>
  <c r="AM1397" i="33"/>
  <c r="AF1397" i="33"/>
  <c r="Y1397" i="33"/>
  <c r="J49" i="40" s="1"/>
  <c r="R1397" i="33"/>
  <c r="DE1396" i="33"/>
  <c r="CX1396" i="33"/>
  <c r="CC1396" i="33"/>
  <c r="BV1396" i="33"/>
  <c r="BV1399" i="33" s="1"/>
  <c r="BO1396" i="33"/>
  <c r="BH1396" i="33"/>
  <c r="BA1396" i="33"/>
  <c r="AT1396" i="33"/>
  <c r="AM1396" i="33"/>
  <c r="AF1396" i="33"/>
  <c r="Y1396" i="33"/>
  <c r="R1396" i="33"/>
  <c r="R1399" i="33" s="1"/>
  <c r="DE1395" i="33"/>
  <c r="DE1399" i="33" s="1"/>
  <c r="CX1395" i="33"/>
  <c r="CX1399" i="33" s="1"/>
  <c r="CC1395" i="33"/>
  <c r="CC1399" i="33" s="1"/>
  <c r="BV1395" i="33"/>
  <c r="BO1395" i="33"/>
  <c r="BH1395" i="33"/>
  <c r="BH1399" i="33" s="1"/>
  <c r="BA1395" i="33"/>
  <c r="BA1399" i="33" s="1"/>
  <c r="AT1395" i="33"/>
  <c r="AT1399" i="33" s="1"/>
  <c r="AM1395" i="33"/>
  <c r="AF1395" i="33"/>
  <c r="AF1399" i="33" s="1"/>
  <c r="Y1395" i="33"/>
  <c r="Y1399" i="33" s="1"/>
  <c r="R1395" i="33"/>
  <c r="DE1393" i="33"/>
  <c r="DD1393" i="33"/>
  <c r="DC1393" i="33"/>
  <c r="DB1393" i="33"/>
  <c r="DA1393" i="33"/>
  <c r="CZ1393" i="33"/>
  <c r="CX1393" i="33"/>
  <c r="CW1393" i="33"/>
  <c r="CV1393" i="33"/>
  <c r="CU1393" i="33"/>
  <c r="CT1393" i="33"/>
  <c r="CS1393" i="33"/>
  <c r="CP1393" i="33"/>
  <c r="CO1393" i="33"/>
  <c r="CN1393" i="33"/>
  <c r="CM1393" i="33"/>
  <c r="CL1393" i="33"/>
  <c r="CB1393" i="33"/>
  <c r="CA1393" i="33"/>
  <c r="BZ1393" i="33"/>
  <c r="BY1393" i="33"/>
  <c r="BX1393" i="33"/>
  <c r="BU1393" i="33"/>
  <c r="BT1393" i="33"/>
  <c r="BS1393" i="33"/>
  <c r="BR1393" i="33"/>
  <c r="BQ1393" i="33"/>
  <c r="BN1393" i="33"/>
  <c r="BM1393" i="33"/>
  <c r="BL1393" i="33"/>
  <c r="BK1393" i="33"/>
  <c r="BJ1393" i="33"/>
  <c r="BG1393" i="33"/>
  <c r="BF1393" i="33"/>
  <c r="BE1393" i="33"/>
  <c r="BD1393" i="33"/>
  <c r="BC1393" i="33"/>
  <c r="AZ1393" i="33"/>
  <c r="AY1393" i="33"/>
  <c r="AX1393" i="33"/>
  <c r="AW1393" i="33"/>
  <c r="AV1393" i="33"/>
  <c r="AT1393" i="33"/>
  <c r="AS1393" i="33"/>
  <c r="AR1393" i="33"/>
  <c r="AQ1393" i="33"/>
  <c r="AP1393" i="33"/>
  <c r="AO1393" i="33"/>
  <c r="AL1393" i="33"/>
  <c r="AK1393" i="33"/>
  <c r="AJ1393" i="33"/>
  <c r="AI1393" i="33"/>
  <c r="AH1393" i="33"/>
  <c r="AE1393" i="33"/>
  <c r="AD1393" i="33"/>
  <c r="AC1393" i="33"/>
  <c r="AB1393" i="33"/>
  <c r="AA1393" i="33"/>
  <c r="X1393" i="33"/>
  <c r="W1393" i="33"/>
  <c r="V1393" i="33"/>
  <c r="U1393" i="33"/>
  <c r="T1393" i="33"/>
  <c r="Q1393" i="33"/>
  <c r="P1393" i="33"/>
  <c r="O1393" i="33"/>
  <c r="N1393" i="33"/>
  <c r="M1393" i="33"/>
  <c r="DE1392" i="33"/>
  <c r="CX1392" i="33"/>
  <c r="CC1392" i="33"/>
  <c r="BV1392" i="33"/>
  <c r="BO1392" i="33"/>
  <c r="BH1392" i="33"/>
  <c r="BA1392" i="33"/>
  <c r="AT1392" i="33"/>
  <c r="AM1392" i="33"/>
  <c r="S49" i="40" s="1"/>
  <c r="AF1392" i="33"/>
  <c r="Y1392" i="33"/>
  <c r="R1392" i="33"/>
  <c r="J1392" i="33"/>
  <c r="CI1392" i="33" s="1"/>
  <c r="J1398" i="33" s="1"/>
  <c r="CI1398" i="33" s="1"/>
  <c r="J1404" i="33" s="1"/>
  <c r="CI1404" i="33" s="1"/>
  <c r="J1410" i="33" s="1"/>
  <c r="CI1410" i="33" s="1"/>
  <c r="I1392" i="33"/>
  <c r="CH1392" i="33" s="1"/>
  <c r="I1398" i="33" s="1"/>
  <c r="CH1398" i="33" s="1"/>
  <c r="I1404" i="33" s="1"/>
  <c r="CH1404" i="33" s="1"/>
  <c r="I1410" i="33" s="1"/>
  <c r="CH1410" i="33" s="1"/>
  <c r="H1392" i="33"/>
  <c r="CG1392" i="33" s="1"/>
  <c r="H1398" i="33" s="1"/>
  <c r="CG1398" i="33" s="1"/>
  <c r="H1404" i="33" s="1"/>
  <c r="CG1404" i="33" s="1"/>
  <c r="H1410" i="33" s="1"/>
  <c r="CG1410" i="33" s="1"/>
  <c r="DE1391" i="33"/>
  <c r="CX1391" i="33"/>
  <c r="CC1391" i="33"/>
  <c r="BV1391" i="33"/>
  <c r="BO1391" i="33"/>
  <c r="BH1391" i="33"/>
  <c r="BA1391" i="33"/>
  <c r="AT1391" i="33"/>
  <c r="AM1391" i="33"/>
  <c r="AF1391" i="33"/>
  <c r="Y1391" i="33"/>
  <c r="R1391" i="33"/>
  <c r="DE1390" i="33"/>
  <c r="CX1390" i="33"/>
  <c r="CC1390" i="33"/>
  <c r="BV1390" i="33"/>
  <c r="BO1390" i="33"/>
  <c r="BH1390" i="33"/>
  <c r="BA1390" i="33"/>
  <c r="BA1393" i="33" s="1"/>
  <c r="AT1390" i="33"/>
  <c r="AM1390" i="33"/>
  <c r="AF1390" i="33"/>
  <c r="Y1390" i="33"/>
  <c r="R1390" i="33"/>
  <c r="J1390" i="33"/>
  <c r="CI1390" i="33" s="1"/>
  <c r="J1396" i="33" s="1"/>
  <c r="CI1396" i="33" s="1"/>
  <c r="J1402" i="33" s="1"/>
  <c r="CI1402" i="33" s="1"/>
  <c r="J1408" i="33" s="1"/>
  <c r="CI1408" i="33" s="1"/>
  <c r="I1390" i="33"/>
  <c r="CH1390" i="33" s="1"/>
  <c r="I1396" i="33" s="1"/>
  <c r="CH1396" i="33" s="1"/>
  <c r="I1402" i="33" s="1"/>
  <c r="CH1402" i="33" s="1"/>
  <c r="I1408" i="33" s="1"/>
  <c r="CH1408" i="33" s="1"/>
  <c r="DE1389" i="33"/>
  <c r="CX1389" i="33"/>
  <c r="CC1389" i="33"/>
  <c r="CC1393" i="33" s="1"/>
  <c r="BV1389" i="33"/>
  <c r="BV1393" i="33" s="1"/>
  <c r="BO1389" i="33"/>
  <c r="BO1393" i="33" s="1"/>
  <c r="BH1389" i="33"/>
  <c r="BH1393" i="33" s="1"/>
  <c r="BA1389" i="33"/>
  <c r="AT1389" i="33"/>
  <c r="AM1389" i="33"/>
  <c r="AM1393" i="33" s="1"/>
  <c r="AF1389" i="33"/>
  <c r="AF1393" i="33" s="1"/>
  <c r="Y1389" i="33"/>
  <c r="Y1393" i="33" s="1"/>
  <c r="R1389" i="33"/>
  <c r="R1393" i="33" s="1"/>
  <c r="DD1387" i="33"/>
  <c r="DC1387" i="33"/>
  <c r="DB1387" i="33"/>
  <c r="DA1387" i="33"/>
  <c r="CZ1387" i="33"/>
  <c r="CW1387" i="33"/>
  <c r="CV1387" i="33"/>
  <c r="CU1387" i="33"/>
  <c r="CT1387" i="33"/>
  <c r="CS1387" i="33"/>
  <c r="CP1387" i="33"/>
  <c r="CO1387" i="33"/>
  <c r="CN1387" i="33"/>
  <c r="CM1387" i="33"/>
  <c r="CL1387" i="33"/>
  <c r="CH1387" i="33"/>
  <c r="CB1387" i="33"/>
  <c r="CA1387" i="33"/>
  <c r="BZ1387" i="33"/>
  <c r="BY1387" i="33"/>
  <c r="BX1387" i="33"/>
  <c r="BU1387" i="33"/>
  <c r="BT1387" i="33"/>
  <c r="BS1387" i="33"/>
  <c r="BR1387" i="33"/>
  <c r="BQ1387" i="33"/>
  <c r="BN1387" i="33"/>
  <c r="BM1387" i="33"/>
  <c r="BL1387" i="33"/>
  <c r="BK1387" i="33"/>
  <c r="BJ1387" i="33"/>
  <c r="BG1387" i="33"/>
  <c r="BF1387" i="33"/>
  <c r="BE1387" i="33"/>
  <c r="BD1387" i="33"/>
  <c r="BC1387" i="33"/>
  <c r="AZ1387" i="33"/>
  <c r="AY1387" i="33"/>
  <c r="AX1387" i="33"/>
  <c r="AW1387" i="33"/>
  <c r="AV1387" i="33"/>
  <c r="AS1387" i="33"/>
  <c r="AR1387" i="33"/>
  <c r="AQ1387" i="33"/>
  <c r="AP1387" i="33"/>
  <c r="AO1387" i="33"/>
  <c r="AL1387" i="33"/>
  <c r="AK1387" i="33"/>
  <c r="AJ1387" i="33"/>
  <c r="AI1387" i="33"/>
  <c r="AH1387" i="33"/>
  <c r="AE1387" i="33"/>
  <c r="AD1387" i="33"/>
  <c r="AC1387" i="33"/>
  <c r="AB1387" i="33"/>
  <c r="AA1387" i="33"/>
  <c r="X1387" i="33"/>
  <c r="W1387" i="33"/>
  <c r="V1387" i="33"/>
  <c r="U1387" i="33"/>
  <c r="T1387" i="33"/>
  <c r="Q1387" i="33"/>
  <c r="P1387" i="33"/>
  <c r="O1387" i="33"/>
  <c r="N1387" i="33"/>
  <c r="M1387" i="33"/>
  <c r="J1387" i="33"/>
  <c r="I1387" i="33"/>
  <c r="H1387" i="33"/>
  <c r="G1387" i="33"/>
  <c r="F1387" i="33"/>
  <c r="DE1386" i="33"/>
  <c r="CX1386" i="33"/>
  <c r="CI1386" i="33"/>
  <c r="CH1386" i="33"/>
  <c r="CG1386" i="33"/>
  <c r="CF1386" i="33"/>
  <c r="G1392" i="33" s="1"/>
  <c r="CF1392" i="33" s="1"/>
  <c r="G1398" i="33" s="1"/>
  <c r="CF1398" i="33" s="1"/>
  <c r="G1404" i="33" s="1"/>
  <c r="CF1404" i="33" s="1"/>
  <c r="G1410" i="33" s="1"/>
  <c r="CF1410" i="33" s="1"/>
  <c r="CE1386" i="33"/>
  <c r="F1392" i="33" s="1"/>
  <c r="CC1386" i="33"/>
  <c r="BV1386" i="33"/>
  <c r="BO1386" i="33"/>
  <c r="BH1386" i="33"/>
  <c r="BA1386" i="33"/>
  <c r="AT1386" i="33"/>
  <c r="AM1386" i="33"/>
  <c r="AF1386" i="33"/>
  <c r="Y1386" i="33"/>
  <c r="R1386" i="33"/>
  <c r="K1386" i="33"/>
  <c r="DE1385" i="33"/>
  <c r="CX1385" i="33"/>
  <c r="CI1385" i="33"/>
  <c r="CJ1385" i="33" s="1"/>
  <c r="CH1385" i="33"/>
  <c r="I1391" i="33" s="1"/>
  <c r="CH1391" i="33" s="1"/>
  <c r="I1397" i="33" s="1"/>
  <c r="CH1397" i="33" s="1"/>
  <c r="I1403" i="33" s="1"/>
  <c r="CH1403" i="33" s="1"/>
  <c r="I1409" i="33" s="1"/>
  <c r="CH1409" i="33" s="1"/>
  <c r="CG1385" i="33"/>
  <c r="H1391" i="33" s="1"/>
  <c r="CG1391" i="33" s="1"/>
  <c r="H1397" i="33" s="1"/>
  <c r="CG1397" i="33" s="1"/>
  <c r="H1403" i="33" s="1"/>
  <c r="CG1403" i="33" s="1"/>
  <c r="H1409" i="33" s="1"/>
  <c r="CG1409" i="33" s="1"/>
  <c r="CF1385" i="33"/>
  <c r="G1391" i="33" s="1"/>
  <c r="CF1391" i="33" s="1"/>
  <c r="G1397" i="33" s="1"/>
  <c r="CF1397" i="33" s="1"/>
  <c r="G1403" i="33" s="1"/>
  <c r="CF1403" i="33" s="1"/>
  <c r="G1409" i="33" s="1"/>
  <c r="CF1409" i="33" s="1"/>
  <c r="CE1385" i="33"/>
  <c r="F1391" i="33" s="1"/>
  <c r="CC1385" i="33"/>
  <c r="BV1385" i="33"/>
  <c r="BO1385" i="33"/>
  <c r="BH1385" i="33"/>
  <c r="BA1385" i="33"/>
  <c r="AT1385" i="33"/>
  <c r="AM1385" i="33"/>
  <c r="AF1385" i="33"/>
  <c r="Y1385" i="33"/>
  <c r="R1385" i="33"/>
  <c r="K1385" i="33"/>
  <c r="DE1384" i="33"/>
  <c r="DE1387" i="33" s="1"/>
  <c r="CX1384" i="33"/>
  <c r="CI1384" i="33"/>
  <c r="CH1384" i="33"/>
  <c r="CG1384" i="33"/>
  <c r="H1390" i="33" s="1"/>
  <c r="CG1390" i="33" s="1"/>
  <c r="H1396" i="33" s="1"/>
  <c r="CG1396" i="33" s="1"/>
  <c r="H1402" i="33" s="1"/>
  <c r="CG1402" i="33" s="1"/>
  <c r="H1408" i="33" s="1"/>
  <c r="CG1408" i="33" s="1"/>
  <c r="CF1384" i="33"/>
  <c r="G1390" i="33" s="1"/>
  <c r="CF1390" i="33" s="1"/>
  <c r="G1396" i="33" s="1"/>
  <c r="CF1396" i="33" s="1"/>
  <c r="G1402" i="33" s="1"/>
  <c r="CF1402" i="33" s="1"/>
  <c r="G1408" i="33" s="1"/>
  <c r="CF1408" i="33" s="1"/>
  <c r="CE1384" i="33"/>
  <c r="CJ1384" i="33" s="1"/>
  <c r="CC1384" i="33"/>
  <c r="BV1384" i="33"/>
  <c r="BO1384" i="33"/>
  <c r="BH1384" i="33"/>
  <c r="BA1384" i="33"/>
  <c r="AT1384" i="33"/>
  <c r="AM1384" i="33"/>
  <c r="AF1384" i="33"/>
  <c r="AF1387" i="33" s="1"/>
  <c r="Y1384" i="33"/>
  <c r="R1384" i="33"/>
  <c r="K1384" i="33"/>
  <c r="DE1383" i="33"/>
  <c r="CX1383" i="33"/>
  <c r="CX1387" i="33" s="1"/>
  <c r="CI1383" i="33"/>
  <c r="CJ1383" i="33" s="1"/>
  <c r="CH1383" i="33"/>
  <c r="I1389" i="33" s="1"/>
  <c r="CG1383" i="33"/>
  <c r="CG1387" i="33" s="1"/>
  <c r="CF1383" i="33"/>
  <c r="CF1387" i="33" s="1"/>
  <c r="CE1383" i="33"/>
  <c r="CE1387" i="33" s="1"/>
  <c r="CC1383" i="33"/>
  <c r="CC1387" i="33" s="1"/>
  <c r="BV1383" i="33"/>
  <c r="BV1387" i="33" s="1"/>
  <c r="BO1383" i="33"/>
  <c r="BO1387" i="33" s="1"/>
  <c r="BH1383" i="33"/>
  <c r="BH1387" i="33" s="1"/>
  <c r="BA1383" i="33"/>
  <c r="BA1387" i="33" s="1"/>
  <c r="AT1383" i="33"/>
  <c r="AT1387" i="33" s="1"/>
  <c r="AM1383" i="33"/>
  <c r="AF1383" i="33"/>
  <c r="Y1383" i="33"/>
  <c r="Y1387" i="33" s="1"/>
  <c r="R1383" i="33"/>
  <c r="R1387" i="33" s="1"/>
  <c r="K1383" i="33"/>
  <c r="K1387" i="33" s="1"/>
  <c r="DD1379" i="33"/>
  <c r="DC1379" i="33"/>
  <c r="DB1379" i="33"/>
  <c r="DA1379" i="33"/>
  <c r="CZ1379" i="33"/>
  <c r="CW1379" i="33"/>
  <c r="CV1379" i="33"/>
  <c r="CU1379" i="33"/>
  <c r="CT1379" i="33"/>
  <c r="CS1379" i="33"/>
  <c r="CP1379" i="33"/>
  <c r="CO1379" i="33"/>
  <c r="CN1379" i="33"/>
  <c r="CM1379" i="33"/>
  <c r="CL1379" i="33"/>
  <c r="CB1379" i="33"/>
  <c r="CA1379" i="33"/>
  <c r="BZ1379" i="33"/>
  <c r="BY1379" i="33"/>
  <c r="BX1379" i="33"/>
  <c r="BU1379" i="33"/>
  <c r="BT1379" i="33"/>
  <c r="BS1379" i="33"/>
  <c r="BR1379" i="33"/>
  <c r="BQ1379" i="33"/>
  <c r="BN1379" i="33"/>
  <c r="BM1379" i="33"/>
  <c r="BL1379" i="33"/>
  <c r="BK1379" i="33"/>
  <c r="BJ1379" i="33"/>
  <c r="BG1379" i="33"/>
  <c r="BF1379" i="33"/>
  <c r="BE1379" i="33"/>
  <c r="BD1379" i="33"/>
  <c r="BC1379" i="33"/>
  <c r="AZ1379" i="33"/>
  <c r="AY1379" i="33"/>
  <c r="AX1379" i="33"/>
  <c r="AW1379" i="33"/>
  <c r="AV1379" i="33"/>
  <c r="AT1379" i="33"/>
  <c r="AS1379" i="33"/>
  <c r="AR1379" i="33"/>
  <c r="AQ1379" i="33"/>
  <c r="AP1379" i="33"/>
  <c r="AO1379" i="33"/>
  <c r="AL1379" i="33"/>
  <c r="AK1379" i="33"/>
  <c r="AJ1379" i="33"/>
  <c r="AI1379" i="33"/>
  <c r="AH1379" i="33"/>
  <c r="AE1379" i="33"/>
  <c r="AD1379" i="33"/>
  <c r="AC1379" i="33"/>
  <c r="AB1379" i="33"/>
  <c r="AA1379" i="33"/>
  <c r="X1379" i="33"/>
  <c r="W1379" i="33"/>
  <c r="V1379" i="33"/>
  <c r="U1379" i="33"/>
  <c r="T1379" i="33"/>
  <c r="Q1379" i="33"/>
  <c r="P1379" i="33"/>
  <c r="O1379" i="33"/>
  <c r="N1379" i="33"/>
  <c r="M1379" i="33"/>
  <c r="DE1378" i="33"/>
  <c r="CX1378" i="33"/>
  <c r="CC1378" i="33"/>
  <c r="BV1378" i="33"/>
  <c r="BO1378" i="33"/>
  <c r="BH1378" i="33"/>
  <c r="BA1378" i="33"/>
  <c r="AT1378" i="33"/>
  <c r="AM1378" i="33"/>
  <c r="AF1378" i="33"/>
  <c r="Y1378" i="33"/>
  <c r="R1378" i="33"/>
  <c r="DE1377" i="33"/>
  <c r="CX1377" i="33"/>
  <c r="CC1377" i="33"/>
  <c r="BV1377" i="33"/>
  <c r="BO1377" i="33"/>
  <c r="BH1377" i="33"/>
  <c r="BA1377" i="33"/>
  <c r="BA1379" i="33" s="1"/>
  <c r="AT1377" i="33"/>
  <c r="AM1377" i="33"/>
  <c r="AF1377" i="33"/>
  <c r="Y1377" i="33"/>
  <c r="R1377" i="33"/>
  <c r="DE1376" i="33"/>
  <c r="CX1376" i="33"/>
  <c r="CC1376" i="33"/>
  <c r="BV1376" i="33"/>
  <c r="BV1379" i="33" s="1"/>
  <c r="BO1376" i="33"/>
  <c r="BH1376" i="33"/>
  <c r="BA1376" i="33"/>
  <c r="AT1376" i="33"/>
  <c r="AM1376" i="33"/>
  <c r="AF1376" i="33"/>
  <c r="Y1376" i="33"/>
  <c r="R1376" i="33"/>
  <c r="R1379" i="33" s="1"/>
  <c r="DE1375" i="33"/>
  <c r="DE1379" i="33" s="1"/>
  <c r="CX1375" i="33"/>
  <c r="CX1379" i="33" s="1"/>
  <c r="CC1375" i="33"/>
  <c r="CC1379" i="33" s="1"/>
  <c r="BV1375" i="33"/>
  <c r="BO1375" i="33"/>
  <c r="BO1379" i="33" s="1"/>
  <c r="BH1375" i="33"/>
  <c r="BH1379" i="33" s="1"/>
  <c r="BA1375" i="33"/>
  <c r="AT1375" i="33"/>
  <c r="AM1375" i="33"/>
  <c r="AM1379" i="33" s="1"/>
  <c r="AF1375" i="33"/>
  <c r="AF1379" i="33" s="1"/>
  <c r="Y1375" i="33"/>
  <c r="Y1379" i="33" s="1"/>
  <c r="R1375" i="33"/>
  <c r="DE1373" i="33"/>
  <c r="DD1373" i="33"/>
  <c r="DC1373" i="33"/>
  <c r="DB1373" i="33"/>
  <c r="DA1373" i="33"/>
  <c r="CZ1373" i="33"/>
  <c r="CW1373" i="33"/>
  <c r="CV1373" i="33"/>
  <c r="CU1373" i="33"/>
  <c r="CT1373" i="33"/>
  <c r="CS1373" i="33"/>
  <c r="CP1373" i="33"/>
  <c r="CO1373" i="33"/>
  <c r="CN1373" i="33"/>
  <c r="CM1373" i="33"/>
  <c r="CL1373" i="33"/>
  <c r="CB1373" i="33"/>
  <c r="CA1373" i="33"/>
  <c r="BZ1373" i="33"/>
  <c r="BY1373" i="33"/>
  <c r="BX1373" i="33"/>
  <c r="BU1373" i="33"/>
  <c r="BT1373" i="33"/>
  <c r="BS1373" i="33"/>
  <c r="BR1373" i="33"/>
  <c r="BQ1373" i="33"/>
  <c r="BN1373" i="33"/>
  <c r="BM1373" i="33"/>
  <c r="BL1373" i="33"/>
  <c r="BK1373" i="33"/>
  <c r="BJ1373" i="33"/>
  <c r="BG1373" i="33"/>
  <c r="BF1373" i="33"/>
  <c r="BE1373" i="33"/>
  <c r="BD1373" i="33"/>
  <c r="BC1373" i="33"/>
  <c r="AZ1373" i="33"/>
  <c r="AY1373" i="33"/>
  <c r="AX1373" i="33"/>
  <c r="AW1373" i="33"/>
  <c r="AV1373" i="33"/>
  <c r="AS1373" i="33"/>
  <c r="AR1373" i="33"/>
  <c r="AQ1373" i="33"/>
  <c r="AP1373" i="33"/>
  <c r="AO1373" i="33"/>
  <c r="AL1373" i="33"/>
  <c r="AK1373" i="33"/>
  <c r="AJ1373" i="33"/>
  <c r="AI1373" i="33"/>
  <c r="AH1373" i="33"/>
  <c r="AE1373" i="33"/>
  <c r="AD1373" i="33"/>
  <c r="AC1373" i="33"/>
  <c r="AB1373" i="33"/>
  <c r="AA1373" i="33"/>
  <c r="X1373" i="33"/>
  <c r="W1373" i="33"/>
  <c r="V1373" i="33"/>
  <c r="U1373" i="33"/>
  <c r="T1373" i="33"/>
  <c r="Q1373" i="33"/>
  <c r="P1373" i="33"/>
  <c r="O1373" i="33"/>
  <c r="N1373" i="33"/>
  <c r="M1373" i="33"/>
  <c r="DE1372" i="33"/>
  <c r="CX1372" i="33"/>
  <c r="CC1372" i="33"/>
  <c r="BV1372" i="33"/>
  <c r="BO1372" i="33"/>
  <c r="BH1372" i="33"/>
  <c r="BA1372" i="33"/>
  <c r="AT1372" i="33"/>
  <c r="AM1372" i="33"/>
  <c r="AF1372" i="33"/>
  <c r="Y1372" i="33"/>
  <c r="R1372" i="33"/>
  <c r="DE1371" i="33"/>
  <c r="CX1371" i="33"/>
  <c r="CC1371" i="33"/>
  <c r="BV1371" i="33"/>
  <c r="BO1371" i="33"/>
  <c r="BH1371" i="33"/>
  <c r="BA1371" i="33"/>
  <c r="AT1371" i="33"/>
  <c r="AM1371" i="33"/>
  <c r="AF1371" i="33"/>
  <c r="Y1371" i="33"/>
  <c r="R1371" i="33"/>
  <c r="DE1370" i="33"/>
  <c r="CX1370" i="33"/>
  <c r="CC1370" i="33"/>
  <c r="BV1370" i="33"/>
  <c r="BO1370" i="33"/>
  <c r="BH1370" i="33"/>
  <c r="BA1370" i="33"/>
  <c r="AT1370" i="33"/>
  <c r="AM1370" i="33"/>
  <c r="AF1370" i="33"/>
  <c r="Y1370" i="33"/>
  <c r="R1370" i="33"/>
  <c r="DE1369" i="33"/>
  <c r="CX1369" i="33"/>
  <c r="CX1373" i="33" s="1"/>
  <c r="CC1369" i="33"/>
  <c r="CC1373" i="33" s="1"/>
  <c r="BV1369" i="33"/>
  <c r="BV1373" i="33" s="1"/>
  <c r="BO1369" i="33"/>
  <c r="BO1373" i="33" s="1"/>
  <c r="BH1369" i="33"/>
  <c r="BH1373" i="33" s="1"/>
  <c r="BA1369" i="33"/>
  <c r="BA1373" i="33" s="1"/>
  <c r="AT1369" i="33"/>
  <c r="AT1373" i="33" s="1"/>
  <c r="AM1369" i="33"/>
  <c r="AM1373" i="33" s="1"/>
  <c r="AF1369" i="33"/>
  <c r="AF1373" i="33" s="1"/>
  <c r="Y1369" i="33"/>
  <c r="Y1373" i="33" s="1"/>
  <c r="R1369" i="33"/>
  <c r="R1373" i="33" s="1"/>
  <c r="DD1367" i="33"/>
  <c r="DC1367" i="33"/>
  <c r="DB1367" i="33"/>
  <c r="DA1367" i="33"/>
  <c r="CZ1367" i="33"/>
  <c r="CW1367" i="33"/>
  <c r="CV1367" i="33"/>
  <c r="CU1367" i="33"/>
  <c r="CT1367" i="33"/>
  <c r="CS1367" i="33"/>
  <c r="CP1367" i="33"/>
  <c r="CO1367" i="33"/>
  <c r="CN1367" i="33"/>
  <c r="CM1367" i="33"/>
  <c r="CL1367" i="33"/>
  <c r="CB1367" i="33"/>
  <c r="CA1367" i="33"/>
  <c r="BZ1367" i="33"/>
  <c r="BY1367" i="33"/>
  <c r="BX1367" i="33"/>
  <c r="BU1367" i="33"/>
  <c r="BT1367" i="33"/>
  <c r="BS1367" i="33"/>
  <c r="BR1367" i="33"/>
  <c r="BQ1367" i="33"/>
  <c r="BO1367" i="33"/>
  <c r="BN1367" i="33"/>
  <c r="BM1367" i="33"/>
  <c r="BL1367" i="33"/>
  <c r="BK1367" i="33"/>
  <c r="BJ1367" i="33"/>
  <c r="BG1367" i="33"/>
  <c r="BF1367" i="33"/>
  <c r="BE1367" i="33"/>
  <c r="BD1367" i="33"/>
  <c r="BC1367" i="33"/>
  <c r="AZ1367" i="33"/>
  <c r="AY1367" i="33"/>
  <c r="AX1367" i="33"/>
  <c r="AW1367" i="33"/>
  <c r="AV1367" i="33"/>
  <c r="AS1367" i="33"/>
  <c r="AR1367" i="33"/>
  <c r="AQ1367" i="33"/>
  <c r="AP1367" i="33"/>
  <c r="AO1367" i="33"/>
  <c r="AL1367" i="33"/>
  <c r="AK1367" i="33"/>
  <c r="AJ1367" i="33"/>
  <c r="AI1367" i="33"/>
  <c r="AH1367" i="33"/>
  <c r="AE1367" i="33"/>
  <c r="AD1367" i="33"/>
  <c r="AC1367" i="33"/>
  <c r="AB1367" i="33"/>
  <c r="AA1367" i="33"/>
  <c r="X1367" i="33"/>
  <c r="W1367" i="33"/>
  <c r="V1367" i="33"/>
  <c r="U1367" i="33"/>
  <c r="T1367" i="33"/>
  <c r="Q1367" i="33"/>
  <c r="P1367" i="33"/>
  <c r="O1367" i="33"/>
  <c r="N1367" i="33"/>
  <c r="M1367" i="33"/>
  <c r="DE1366" i="33"/>
  <c r="CX1366" i="33"/>
  <c r="CC1366" i="33"/>
  <c r="BV1366" i="33"/>
  <c r="BO1366" i="33"/>
  <c r="BH1366" i="33"/>
  <c r="BA1366" i="33"/>
  <c r="AT1366" i="33"/>
  <c r="AM1366" i="33"/>
  <c r="AF1366" i="33"/>
  <c r="Y1366" i="33"/>
  <c r="R1366" i="33"/>
  <c r="DE1365" i="33"/>
  <c r="CX1365" i="33"/>
  <c r="CC1365" i="33"/>
  <c r="BV1365" i="33"/>
  <c r="BO1365" i="33"/>
  <c r="BH1365" i="33"/>
  <c r="BA1365" i="33"/>
  <c r="AT1365" i="33"/>
  <c r="AM1365" i="33"/>
  <c r="AF1365" i="33"/>
  <c r="Y1365" i="33"/>
  <c r="R1365" i="33"/>
  <c r="DE1364" i="33"/>
  <c r="CX1364" i="33"/>
  <c r="CC1364" i="33"/>
  <c r="BV1364" i="33"/>
  <c r="BO1364" i="33"/>
  <c r="BH1364" i="33"/>
  <c r="BA1364" i="33"/>
  <c r="AT1364" i="33"/>
  <c r="AM1364" i="33"/>
  <c r="AF1364" i="33"/>
  <c r="Y1364" i="33"/>
  <c r="R1364" i="33"/>
  <c r="DE1363" i="33"/>
  <c r="DE1367" i="33" s="1"/>
  <c r="CX1363" i="33"/>
  <c r="CX1367" i="33" s="1"/>
  <c r="CC1363" i="33"/>
  <c r="CC1367" i="33" s="1"/>
  <c r="BV1363" i="33"/>
  <c r="BV1367" i="33" s="1"/>
  <c r="BO1363" i="33"/>
  <c r="BH1363" i="33"/>
  <c r="BH1367" i="33" s="1"/>
  <c r="BA1363" i="33"/>
  <c r="BA1367" i="33" s="1"/>
  <c r="AT1363" i="33"/>
  <c r="AT1367" i="33" s="1"/>
  <c r="AM1363" i="33"/>
  <c r="AM1367" i="33" s="1"/>
  <c r="AF1363" i="33"/>
  <c r="AF1367" i="33" s="1"/>
  <c r="Y1363" i="33"/>
  <c r="Y1367" i="33" s="1"/>
  <c r="R1363" i="33"/>
  <c r="R1367" i="33" s="1"/>
  <c r="DD1361" i="33"/>
  <c r="DC1361" i="33"/>
  <c r="DB1361" i="33"/>
  <c r="DA1361" i="33"/>
  <c r="CZ1361" i="33"/>
  <c r="CX1361" i="33"/>
  <c r="CW1361" i="33"/>
  <c r="CV1361" i="33"/>
  <c r="CU1361" i="33"/>
  <c r="CT1361" i="33"/>
  <c r="CS1361" i="33"/>
  <c r="CP1361" i="33"/>
  <c r="CO1361" i="33"/>
  <c r="CN1361" i="33"/>
  <c r="CM1361" i="33"/>
  <c r="CL1361" i="33"/>
  <c r="CB1361" i="33"/>
  <c r="CA1361" i="33"/>
  <c r="BZ1361" i="33"/>
  <c r="BY1361" i="33"/>
  <c r="BX1361" i="33"/>
  <c r="BU1361" i="33"/>
  <c r="BT1361" i="33"/>
  <c r="BS1361" i="33"/>
  <c r="BR1361" i="33"/>
  <c r="BQ1361" i="33"/>
  <c r="BN1361" i="33"/>
  <c r="BM1361" i="33"/>
  <c r="BL1361" i="33"/>
  <c r="BK1361" i="33"/>
  <c r="BJ1361" i="33"/>
  <c r="BG1361" i="33"/>
  <c r="BF1361" i="33"/>
  <c r="BE1361" i="33"/>
  <c r="BD1361" i="33"/>
  <c r="BC1361" i="33"/>
  <c r="AZ1361" i="33"/>
  <c r="AY1361" i="33"/>
  <c r="AX1361" i="33"/>
  <c r="AW1361" i="33"/>
  <c r="AV1361" i="33"/>
  <c r="AS1361" i="33"/>
  <c r="AR1361" i="33"/>
  <c r="AQ1361" i="33"/>
  <c r="AP1361" i="33"/>
  <c r="AO1361" i="33"/>
  <c r="AL1361" i="33"/>
  <c r="AK1361" i="33"/>
  <c r="AJ1361" i="33"/>
  <c r="AI1361" i="33"/>
  <c r="AH1361" i="33"/>
  <c r="AE1361" i="33"/>
  <c r="AD1361" i="33"/>
  <c r="AC1361" i="33"/>
  <c r="AB1361" i="33"/>
  <c r="AA1361" i="33"/>
  <c r="X1361" i="33"/>
  <c r="W1361" i="33"/>
  <c r="V1361" i="33"/>
  <c r="U1361" i="33"/>
  <c r="T1361" i="33"/>
  <c r="Q1361" i="33"/>
  <c r="P1361" i="33"/>
  <c r="O1361" i="33"/>
  <c r="N1361" i="33"/>
  <c r="M1361" i="33"/>
  <c r="DE1360" i="33"/>
  <c r="CX1360" i="33"/>
  <c r="CC1360" i="33"/>
  <c r="BV1360" i="33"/>
  <c r="BO1360" i="33"/>
  <c r="BH1360" i="33"/>
  <c r="BA1360" i="33"/>
  <c r="AT1360" i="33"/>
  <c r="AM1360" i="33"/>
  <c r="AF1360" i="33"/>
  <c r="Y1360" i="33"/>
  <c r="R1360" i="33"/>
  <c r="I1360" i="33"/>
  <c r="CH1360" i="33" s="1"/>
  <c r="I1366" i="33" s="1"/>
  <c r="CH1366" i="33" s="1"/>
  <c r="I1372" i="33" s="1"/>
  <c r="CH1372" i="33" s="1"/>
  <c r="I1378" i="33" s="1"/>
  <c r="CH1378" i="33" s="1"/>
  <c r="DE1359" i="33"/>
  <c r="CX1359" i="33"/>
  <c r="CC1359" i="33"/>
  <c r="BV1359" i="33"/>
  <c r="BO1359" i="33"/>
  <c r="BH1359" i="33"/>
  <c r="BA1359" i="33"/>
  <c r="AT1359" i="33"/>
  <c r="AM1359" i="33"/>
  <c r="AF1359" i="33"/>
  <c r="Y1359" i="33"/>
  <c r="R1359" i="33"/>
  <c r="DE1358" i="33"/>
  <c r="CX1358" i="33"/>
  <c r="CC1358" i="33"/>
  <c r="BV1358" i="33"/>
  <c r="BO1358" i="33"/>
  <c r="BH1358" i="33"/>
  <c r="BA1358" i="33"/>
  <c r="AT1358" i="33"/>
  <c r="AM1358" i="33"/>
  <c r="AF1358" i="33"/>
  <c r="Y1358" i="33"/>
  <c r="R1358" i="33"/>
  <c r="DE1357" i="33"/>
  <c r="DE1361" i="33" s="1"/>
  <c r="CX1357" i="33"/>
  <c r="S48" i="40"/>
  <c r="CC1357" i="33"/>
  <c r="CC1361" i="33" s="1"/>
  <c r="BV1357" i="33"/>
  <c r="BV1361" i="33" s="1"/>
  <c r="BO1357" i="33"/>
  <c r="BO1361" i="33" s="1"/>
  <c r="BH1357" i="33"/>
  <c r="BH1361" i="33" s="1"/>
  <c r="BA1357" i="33"/>
  <c r="BA1361" i="33" s="1"/>
  <c r="AT1357" i="33"/>
  <c r="AT1361" i="33" s="1"/>
  <c r="AM1357" i="33"/>
  <c r="AM1361" i="33" s="1"/>
  <c r="AF1357" i="33"/>
  <c r="AF1361" i="33" s="1"/>
  <c r="Y1357" i="33"/>
  <c r="Y1361" i="33" s="1"/>
  <c r="R1357" i="33"/>
  <c r="R1361" i="33" s="1"/>
  <c r="DD1355" i="33"/>
  <c r="DC1355" i="33"/>
  <c r="DB1355" i="33"/>
  <c r="DA1355" i="33"/>
  <c r="CZ1355" i="33"/>
  <c r="CW1355" i="33"/>
  <c r="CV1355" i="33"/>
  <c r="CU1355" i="33"/>
  <c r="CT1355" i="33"/>
  <c r="CS1355" i="33"/>
  <c r="CP1355" i="33"/>
  <c r="CO1355" i="33"/>
  <c r="CN1355" i="33"/>
  <c r="CM1355" i="33"/>
  <c r="CL1355" i="33"/>
  <c r="CB1355" i="33"/>
  <c r="CA1355" i="33"/>
  <c r="BZ1355" i="33"/>
  <c r="BY1355" i="33"/>
  <c r="BX1355" i="33"/>
  <c r="BU1355" i="33"/>
  <c r="BT1355" i="33"/>
  <c r="BS1355" i="33"/>
  <c r="BR1355" i="33"/>
  <c r="BQ1355" i="33"/>
  <c r="BN1355" i="33"/>
  <c r="BM1355" i="33"/>
  <c r="BL1355" i="33"/>
  <c r="BK1355" i="33"/>
  <c r="BJ1355" i="33"/>
  <c r="BG1355" i="33"/>
  <c r="BF1355" i="33"/>
  <c r="BE1355" i="33"/>
  <c r="BD1355" i="33"/>
  <c r="BC1355" i="33"/>
  <c r="AZ1355" i="33"/>
  <c r="AY1355" i="33"/>
  <c r="AX1355" i="33"/>
  <c r="AW1355" i="33"/>
  <c r="AV1355" i="33"/>
  <c r="AS1355" i="33"/>
  <c r="AR1355" i="33"/>
  <c r="AQ1355" i="33"/>
  <c r="AP1355" i="33"/>
  <c r="AO1355" i="33"/>
  <c r="AL1355" i="33"/>
  <c r="AK1355" i="33"/>
  <c r="AJ1355" i="33"/>
  <c r="AI1355" i="33"/>
  <c r="AH1355" i="33"/>
  <c r="AE1355" i="33"/>
  <c r="AD1355" i="33"/>
  <c r="AC1355" i="33"/>
  <c r="AB1355" i="33"/>
  <c r="AA1355" i="33"/>
  <c r="X1355" i="33"/>
  <c r="W1355" i="33"/>
  <c r="V1355" i="33"/>
  <c r="U1355" i="33"/>
  <c r="T1355" i="33"/>
  <c r="Q1355" i="33"/>
  <c r="P1355" i="33"/>
  <c r="O1355" i="33"/>
  <c r="N1355" i="33"/>
  <c r="M1355" i="33"/>
  <c r="J1355" i="33"/>
  <c r="I1355" i="33"/>
  <c r="H1355" i="33"/>
  <c r="G1355" i="33"/>
  <c r="F1355" i="33"/>
  <c r="DE1354" i="33"/>
  <c r="CX1354" i="33"/>
  <c r="CI1354" i="33"/>
  <c r="J1360" i="33" s="1"/>
  <c r="CI1360" i="33" s="1"/>
  <c r="J1366" i="33" s="1"/>
  <c r="CI1366" i="33" s="1"/>
  <c r="J1372" i="33" s="1"/>
  <c r="CI1372" i="33" s="1"/>
  <c r="J1378" i="33" s="1"/>
  <c r="CI1378" i="33" s="1"/>
  <c r="CH1354" i="33"/>
  <c r="CG1354" i="33"/>
  <c r="H1360" i="33" s="1"/>
  <c r="CG1360" i="33" s="1"/>
  <c r="H1366" i="33" s="1"/>
  <c r="CG1366" i="33" s="1"/>
  <c r="H1372" i="33" s="1"/>
  <c r="CG1372" i="33" s="1"/>
  <c r="H1378" i="33" s="1"/>
  <c r="CG1378" i="33" s="1"/>
  <c r="CF1354" i="33"/>
  <c r="G1360" i="33" s="1"/>
  <c r="CF1360" i="33" s="1"/>
  <c r="G1366" i="33" s="1"/>
  <c r="CF1366" i="33" s="1"/>
  <c r="G1372" i="33" s="1"/>
  <c r="CF1372" i="33" s="1"/>
  <c r="G1378" i="33" s="1"/>
  <c r="CF1378" i="33" s="1"/>
  <c r="CE1354" i="33"/>
  <c r="F1360" i="33" s="1"/>
  <c r="CC1354" i="33"/>
  <c r="BV1354" i="33"/>
  <c r="BO1354" i="33"/>
  <c r="BH1354" i="33"/>
  <c r="BA1354" i="33"/>
  <c r="AT1354" i="33"/>
  <c r="AM1354" i="33"/>
  <c r="AF1354" i="33"/>
  <c r="Y1354" i="33"/>
  <c r="R1354" i="33"/>
  <c r="K1354" i="33"/>
  <c r="DE1353" i="33"/>
  <c r="CX1353" i="33"/>
  <c r="CI1353" i="33"/>
  <c r="J1359" i="33" s="1"/>
  <c r="CI1359" i="33" s="1"/>
  <c r="J1365" i="33" s="1"/>
  <c r="CI1365" i="33" s="1"/>
  <c r="J1371" i="33" s="1"/>
  <c r="CI1371" i="33" s="1"/>
  <c r="J1377" i="33" s="1"/>
  <c r="CI1377" i="33" s="1"/>
  <c r="CH1353" i="33"/>
  <c r="I1359" i="33" s="1"/>
  <c r="CH1359" i="33" s="1"/>
  <c r="I1365" i="33" s="1"/>
  <c r="CH1365" i="33" s="1"/>
  <c r="I1371" i="33" s="1"/>
  <c r="CH1371" i="33" s="1"/>
  <c r="I1377" i="33" s="1"/>
  <c r="CH1377" i="33" s="1"/>
  <c r="CG1353" i="33"/>
  <c r="H1359" i="33" s="1"/>
  <c r="CG1359" i="33" s="1"/>
  <c r="H1365" i="33" s="1"/>
  <c r="CG1365" i="33" s="1"/>
  <c r="H1371" i="33" s="1"/>
  <c r="CG1371" i="33" s="1"/>
  <c r="H1377" i="33" s="1"/>
  <c r="CG1377" i="33" s="1"/>
  <c r="CF1353" i="33"/>
  <c r="G1359" i="33" s="1"/>
  <c r="CF1359" i="33" s="1"/>
  <c r="G1365" i="33" s="1"/>
  <c r="CF1365" i="33" s="1"/>
  <c r="G1371" i="33" s="1"/>
  <c r="CF1371" i="33" s="1"/>
  <c r="G1377" i="33" s="1"/>
  <c r="CF1377" i="33" s="1"/>
  <c r="CE1353" i="33"/>
  <c r="F1359" i="33" s="1"/>
  <c r="CC1353" i="33"/>
  <c r="BV1353" i="33"/>
  <c r="BO1353" i="33"/>
  <c r="BH1353" i="33"/>
  <c r="BA1353" i="33"/>
  <c r="AT1353" i="33"/>
  <c r="AM1353" i="33"/>
  <c r="AF1353" i="33"/>
  <c r="Y1353" i="33"/>
  <c r="R1353" i="33"/>
  <c r="K1353" i="33"/>
  <c r="DE1352" i="33"/>
  <c r="CX1352" i="33"/>
  <c r="CI1352" i="33"/>
  <c r="J1358" i="33" s="1"/>
  <c r="CI1358" i="33" s="1"/>
  <c r="J1364" i="33" s="1"/>
  <c r="CI1364" i="33" s="1"/>
  <c r="J1370" i="33" s="1"/>
  <c r="CI1370" i="33" s="1"/>
  <c r="J1376" i="33" s="1"/>
  <c r="CI1376" i="33" s="1"/>
  <c r="CH1352" i="33"/>
  <c r="I1358" i="33" s="1"/>
  <c r="CH1358" i="33" s="1"/>
  <c r="I1364" i="33" s="1"/>
  <c r="CH1364" i="33" s="1"/>
  <c r="I1370" i="33" s="1"/>
  <c r="CH1370" i="33" s="1"/>
  <c r="I1376" i="33" s="1"/>
  <c r="CH1376" i="33" s="1"/>
  <c r="CG1352" i="33"/>
  <c r="H1358" i="33" s="1"/>
  <c r="CG1358" i="33" s="1"/>
  <c r="H1364" i="33" s="1"/>
  <c r="CG1364" i="33" s="1"/>
  <c r="H1370" i="33" s="1"/>
  <c r="CG1370" i="33" s="1"/>
  <c r="H1376" i="33" s="1"/>
  <c r="CG1376" i="33" s="1"/>
  <c r="CF1352" i="33"/>
  <c r="G1358" i="33" s="1"/>
  <c r="CF1358" i="33" s="1"/>
  <c r="G1364" i="33" s="1"/>
  <c r="CF1364" i="33" s="1"/>
  <c r="G1370" i="33" s="1"/>
  <c r="CF1370" i="33" s="1"/>
  <c r="G1376" i="33" s="1"/>
  <c r="CF1376" i="33" s="1"/>
  <c r="CE1352" i="33"/>
  <c r="CJ1352" i="33" s="1"/>
  <c r="CC1352" i="33"/>
  <c r="BV1352" i="33"/>
  <c r="BO1352" i="33"/>
  <c r="BH1352" i="33"/>
  <c r="BA1352" i="33"/>
  <c r="AT1352" i="33"/>
  <c r="AM1352" i="33"/>
  <c r="AF1352" i="33"/>
  <c r="AF1355" i="33" s="1"/>
  <c r="Y1352" i="33"/>
  <c r="R1352" i="33"/>
  <c r="K1352" i="33"/>
  <c r="DE1351" i="33"/>
  <c r="DE1355" i="33" s="1"/>
  <c r="CX1351" i="33"/>
  <c r="CX1355" i="33" s="1"/>
  <c r="CI1351" i="33"/>
  <c r="CI1355" i="33" s="1"/>
  <c r="CH1351" i="33"/>
  <c r="I1357" i="33" s="1"/>
  <c r="CG1351" i="33"/>
  <c r="CG1355" i="33" s="1"/>
  <c r="CF1351" i="33"/>
  <c r="CF1355" i="33" s="1"/>
  <c r="CE1351" i="33"/>
  <c r="CE1355" i="33" s="1"/>
  <c r="CC1351" i="33"/>
  <c r="CC1355" i="33" s="1"/>
  <c r="BV1351" i="33"/>
  <c r="BV1355" i="33" s="1"/>
  <c r="BO1351" i="33"/>
  <c r="BO1355" i="33" s="1"/>
  <c r="BH1351" i="33"/>
  <c r="BH1355" i="33" s="1"/>
  <c r="BA1351" i="33"/>
  <c r="BA1355" i="33" s="1"/>
  <c r="AT1351" i="33"/>
  <c r="AT1355" i="33" s="1"/>
  <c r="AM1351" i="33"/>
  <c r="AM1355" i="33" s="1"/>
  <c r="AF1351" i="33"/>
  <c r="Y1351" i="33"/>
  <c r="Y1355" i="33" s="1"/>
  <c r="R1351" i="33"/>
  <c r="R1355" i="33" s="1"/>
  <c r="K1351" i="33"/>
  <c r="K1355" i="33" s="1"/>
  <c r="H58" i="40"/>
  <c r="DD1347" i="33"/>
  <c r="DC1347" i="33"/>
  <c r="DB1347" i="33"/>
  <c r="DA1347" i="33"/>
  <c r="CZ1347" i="33"/>
  <c r="CW1347" i="33"/>
  <c r="CV1347" i="33"/>
  <c r="CU1347" i="33"/>
  <c r="CT1347" i="33"/>
  <c r="CS1347" i="33"/>
  <c r="CP1347" i="33"/>
  <c r="CO1347" i="33"/>
  <c r="CN1347" i="33"/>
  <c r="CM1347" i="33"/>
  <c r="CL1347" i="33"/>
  <c r="CB1347" i="33"/>
  <c r="CA1347" i="33"/>
  <c r="BZ1347" i="33"/>
  <c r="BY1347" i="33"/>
  <c r="BX1347" i="33"/>
  <c r="BU1347" i="33"/>
  <c r="BT1347" i="33"/>
  <c r="BS1347" i="33"/>
  <c r="BR1347" i="33"/>
  <c r="BQ1347" i="33"/>
  <c r="BN1347" i="33"/>
  <c r="BM1347" i="33"/>
  <c r="BL1347" i="33"/>
  <c r="BK1347" i="33"/>
  <c r="BJ1347" i="33"/>
  <c r="BG1347" i="33"/>
  <c r="BF1347" i="33"/>
  <c r="BE1347" i="33"/>
  <c r="BD1347" i="33"/>
  <c r="BC1347" i="33"/>
  <c r="BA1347" i="33"/>
  <c r="AZ1347" i="33"/>
  <c r="AY1347" i="33"/>
  <c r="AX1347" i="33"/>
  <c r="AW1347" i="33"/>
  <c r="AV1347" i="33"/>
  <c r="AS1347" i="33"/>
  <c r="AR1347" i="33"/>
  <c r="AQ1347" i="33"/>
  <c r="AP1347" i="33"/>
  <c r="AO1347" i="33"/>
  <c r="AL1347" i="33"/>
  <c r="AK1347" i="33"/>
  <c r="AJ1347" i="33"/>
  <c r="AI1347" i="33"/>
  <c r="AH1347" i="33"/>
  <c r="AE1347" i="33"/>
  <c r="AD1347" i="33"/>
  <c r="AC1347" i="33"/>
  <c r="AB1347" i="33"/>
  <c r="AA1347" i="33"/>
  <c r="X1347" i="33"/>
  <c r="W1347" i="33"/>
  <c r="V1347" i="33"/>
  <c r="U1347" i="33"/>
  <c r="T1347" i="33"/>
  <c r="Q1347" i="33"/>
  <c r="P1347" i="33"/>
  <c r="O1347" i="33"/>
  <c r="N1347" i="33"/>
  <c r="M1347" i="33"/>
  <c r="DE1346" i="33"/>
  <c r="CX1346" i="33"/>
  <c r="CC1346" i="33"/>
  <c r="BV1346" i="33"/>
  <c r="BO1346" i="33"/>
  <c r="BH1346" i="33"/>
  <c r="BA1346" i="33"/>
  <c r="AT1346" i="33"/>
  <c r="AM1346" i="33"/>
  <c r="AF1346" i="33"/>
  <c r="Y1346" i="33"/>
  <c r="R1346" i="33"/>
  <c r="DE1345" i="33"/>
  <c r="CX1345" i="33"/>
  <c r="CF1345" i="33"/>
  <c r="CC1345" i="33"/>
  <c r="BV1345" i="33"/>
  <c r="BO1345" i="33"/>
  <c r="BH1345" i="33"/>
  <c r="BA1345" i="33"/>
  <c r="AT1345" i="33"/>
  <c r="AM1345" i="33"/>
  <c r="AF1345" i="33"/>
  <c r="AF1347" i="33" s="1"/>
  <c r="Y1345" i="33"/>
  <c r="R1345" i="33"/>
  <c r="DE1344" i="33"/>
  <c r="CX1344" i="33"/>
  <c r="CX1347" i="33" s="1"/>
  <c r="CC1344" i="33"/>
  <c r="CC1347" i="33" s="1"/>
  <c r="BV1344" i="33"/>
  <c r="BO1344" i="33"/>
  <c r="BH1344" i="33"/>
  <c r="BH1347" i="33" s="1"/>
  <c r="BA1344" i="33"/>
  <c r="AT1344" i="33"/>
  <c r="AM1344" i="33"/>
  <c r="AF1344" i="33"/>
  <c r="Y1344" i="33"/>
  <c r="Y1347" i="33" s="1"/>
  <c r="R1344" i="33"/>
  <c r="DE1343" i="33"/>
  <c r="CX1343" i="33"/>
  <c r="CC1343" i="33"/>
  <c r="BV1343" i="33"/>
  <c r="BV1347" i="33" s="1"/>
  <c r="BO1343" i="33"/>
  <c r="BO1347" i="33" s="1"/>
  <c r="BH1343" i="33"/>
  <c r="BA1343" i="33"/>
  <c r="AT1343" i="33"/>
  <c r="AM1343" i="33"/>
  <c r="AM1347" i="33" s="1"/>
  <c r="AF1343" i="33"/>
  <c r="Y1343" i="33"/>
  <c r="R1343" i="33"/>
  <c r="R1347" i="33" s="1"/>
  <c r="DD1341" i="33"/>
  <c r="DC1341" i="33"/>
  <c r="DB1341" i="33"/>
  <c r="DA1341" i="33"/>
  <c r="CZ1341" i="33"/>
  <c r="CW1341" i="33"/>
  <c r="CV1341" i="33"/>
  <c r="CU1341" i="33"/>
  <c r="CT1341" i="33"/>
  <c r="CS1341" i="33"/>
  <c r="CP1341" i="33"/>
  <c r="CO1341" i="33"/>
  <c r="CN1341" i="33"/>
  <c r="CM1341" i="33"/>
  <c r="CL1341" i="33"/>
  <c r="CB1341" i="33"/>
  <c r="CA1341" i="33"/>
  <c r="BZ1341" i="33"/>
  <c r="BY1341" i="33"/>
  <c r="BX1341" i="33"/>
  <c r="BU1341" i="33"/>
  <c r="BT1341" i="33"/>
  <c r="BS1341" i="33"/>
  <c r="BR1341" i="33"/>
  <c r="BQ1341" i="33"/>
  <c r="BN1341" i="33"/>
  <c r="BM1341" i="33"/>
  <c r="BL1341" i="33"/>
  <c r="BK1341" i="33"/>
  <c r="BJ1341" i="33"/>
  <c r="BG1341" i="33"/>
  <c r="BF1341" i="33"/>
  <c r="BE1341" i="33"/>
  <c r="BD1341" i="33"/>
  <c r="BC1341" i="33"/>
  <c r="AZ1341" i="33"/>
  <c r="AY1341" i="33"/>
  <c r="AX1341" i="33"/>
  <c r="AW1341" i="33"/>
  <c r="AV1341" i="33"/>
  <c r="AS1341" i="33"/>
  <c r="AR1341" i="33"/>
  <c r="AQ1341" i="33"/>
  <c r="AP1341" i="33"/>
  <c r="AO1341" i="33"/>
  <c r="AL1341" i="33"/>
  <c r="AK1341" i="33"/>
  <c r="AJ1341" i="33"/>
  <c r="AI1341" i="33"/>
  <c r="AH1341" i="33"/>
  <c r="AE1341" i="33"/>
  <c r="AD1341" i="33"/>
  <c r="AC1341" i="33"/>
  <c r="AB1341" i="33"/>
  <c r="AA1341" i="33"/>
  <c r="X1341" i="33"/>
  <c r="W1341" i="33"/>
  <c r="V1341" i="33"/>
  <c r="U1341" i="33"/>
  <c r="T1341" i="33"/>
  <c r="Q1341" i="33"/>
  <c r="P1341" i="33"/>
  <c r="O1341" i="33"/>
  <c r="N1341" i="33"/>
  <c r="M1341" i="33"/>
  <c r="DE1340" i="33"/>
  <c r="CX1340" i="33"/>
  <c r="CC1340" i="33"/>
  <c r="BV1340" i="33"/>
  <c r="BO1340" i="33"/>
  <c r="BH1340" i="33"/>
  <c r="BA1340" i="33"/>
  <c r="BA1341" i="33" s="1"/>
  <c r="AT1340" i="33"/>
  <c r="AM1340" i="33"/>
  <c r="AF1340" i="33"/>
  <c r="AF1341" i="33" s="1"/>
  <c r="Y1340" i="33"/>
  <c r="R1340" i="33"/>
  <c r="DE1339" i="33"/>
  <c r="CX1339" i="33"/>
  <c r="CC1339" i="33"/>
  <c r="BV1339" i="33"/>
  <c r="BV1341" i="33" s="1"/>
  <c r="BO1339" i="33"/>
  <c r="BH1339" i="33"/>
  <c r="BA1339" i="33"/>
  <c r="AT1339" i="33"/>
  <c r="AM1339" i="33"/>
  <c r="AF1339" i="33"/>
  <c r="Y1339" i="33"/>
  <c r="R1339" i="33"/>
  <c r="DE1338" i="33"/>
  <c r="CX1338" i="33"/>
  <c r="CC1338" i="33"/>
  <c r="BV1338" i="33"/>
  <c r="BO1338" i="33"/>
  <c r="BH1338" i="33"/>
  <c r="BH1341" i="33" s="1"/>
  <c r="BA1338" i="33"/>
  <c r="AT1338" i="33"/>
  <c r="AM1338" i="33"/>
  <c r="AF1338" i="33"/>
  <c r="Y1338" i="33"/>
  <c r="R1338" i="33"/>
  <c r="DE1337" i="33"/>
  <c r="CX1337" i="33"/>
  <c r="CX1341" i="33" s="1"/>
  <c r="CC1337" i="33"/>
  <c r="CC1341" i="33" s="1"/>
  <c r="BV1337" i="33"/>
  <c r="BO1337" i="33"/>
  <c r="BH1337" i="33"/>
  <c r="BA1337" i="33"/>
  <c r="AT1337" i="33"/>
  <c r="AT1341" i="33" s="1"/>
  <c r="AM1337" i="33"/>
  <c r="AM1341" i="33" s="1"/>
  <c r="AF1337" i="33"/>
  <c r="Y1337" i="33"/>
  <c r="Y1341" i="33" s="1"/>
  <c r="R1337" i="33"/>
  <c r="R1341" i="33" s="1"/>
  <c r="DD1335" i="33"/>
  <c r="DC1335" i="33"/>
  <c r="DB1335" i="33"/>
  <c r="DA1335" i="33"/>
  <c r="CZ1335" i="33"/>
  <c r="CW1335" i="33"/>
  <c r="CV1335" i="33"/>
  <c r="CU1335" i="33"/>
  <c r="CT1335" i="33"/>
  <c r="CS1335" i="33"/>
  <c r="CP1335" i="33"/>
  <c r="CO1335" i="33"/>
  <c r="CN1335" i="33"/>
  <c r="CM1335" i="33"/>
  <c r="CL1335" i="33"/>
  <c r="CB1335" i="33"/>
  <c r="CA1335" i="33"/>
  <c r="BZ1335" i="33"/>
  <c r="BY1335" i="33"/>
  <c r="BX1335" i="33"/>
  <c r="BU1335" i="33"/>
  <c r="BT1335" i="33"/>
  <c r="BS1335" i="33"/>
  <c r="BR1335" i="33"/>
  <c r="BQ1335" i="33"/>
  <c r="BN1335" i="33"/>
  <c r="BM1335" i="33"/>
  <c r="BL1335" i="33"/>
  <c r="BK1335" i="33"/>
  <c r="BJ1335" i="33"/>
  <c r="BG1335" i="33"/>
  <c r="BF1335" i="33"/>
  <c r="BE1335" i="33"/>
  <c r="BD1335" i="33"/>
  <c r="BC1335" i="33"/>
  <c r="AZ1335" i="33"/>
  <c r="AY1335" i="33"/>
  <c r="AX1335" i="33"/>
  <c r="AW1335" i="33"/>
  <c r="AV1335" i="33"/>
  <c r="AS1335" i="33"/>
  <c r="AR1335" i="33"/>
  <c r="AQ1335" i="33"/>
  <c r="AP1335" i="33"/>
  <c r="AO1335" i="33"/>
  <c r="AL1335" i="33"/>
  <c r="AK1335" i="33"/>
  <c r="AJ1335" i="33"/>
  <c r="AI1335" i="33"/>
  <c r="AH1335" i="33"/>
  <c r="AE1335" i="33"/>
  <c r="AD1335" i="33"/>
  <c r="AC1335" i="33"/>
  <c r="AB1335" i="33"/>
  <c r="AA1335" i="33"/>
  <c r="X1335" i="33"/>
  <c r="W1335" i="33"/>
  <c r="V1335" i="33"/>
  <c r="U1335" i="33"/>
  <c r="T1335" i="33"/>
  <c r="Q1335" i="33"/>
  <c r="P1335" i="33"/>
  <c r="O1335" i="33"/>
  <c r="N1335" i="33"/>
  <c r="M1335" i="33"/>
  <c r="DE1334" i="33"/>
  <c r="CX1334" i="33"/>
  <c r="CC1334" i="33"/>
  <c r="BV1334" i="33"/>
  <c r="BO1334" i="33"/>
  <c r="BH1334" i="33"/>
  <c r="BA1334" i="33"/>
  <c r="AT1334" i="33"/>
  <c r="AM1334" i="33"/>
  <c r="AF1334" i="33"/>
  <c r="Y1334" i="33"/>
  <c r="R1334" i="33"/>
  <c r="G1334" i="33"/>
  <c r="CF1334" i="33" s="1"/>
  <c r="G1340" i="33" s="1"/>
  <c r="CF1340" i="33" s="1"/>
  <c r="G1346" i="33" s="1"/>
  <c r="CF1346" i="33" s="1"/>
  <c r="DE1333" i="33"/>
  <c r="DE1335" i="33" s="1"/>
  <c r="CX1333" i="33"/>
  <c r="CC1333" i="33"/>
  <c r="BV1333" i="33"/>
  <c r="BV1335" i="33" s="1"/>
  <c r="BO1333" i="33"/>
  <c r="BH1333" i="33"/>
  <c r="BA1333" i="33"/>
  <c r="AT1333" i="33"/>
  <c r="AM1333" i="33"/>
  <c r="AF1333" i="33"/>
  <c r="Y1333" i="33"/>
  <c r="R1333" i="33"/>
  <c r="I1333" i="33"/>
  <c r="CH1333" i="33" s="1"/>
  <c r="I1339" i="33" s="1"/>
  <c r="CH1339" i="33" s="1"/>
  <c r="I1345" i="33" s="1"/>
  <c r="CH1345" i="33" s="1"/>
  <c r="F1333" i="33"/>
  <c r="DE1332" i="33"/>
  <c r="CX1332" i="33"/>
  <c r="CC1332" i="33"/>
  <c r="CC1335" i="33" s="1"/>
  <c r="BV1332" i="33"/>
  <c r="BO1332" i="33"/>
  <c r="BH1332" i="33"/>
  <c r="BA1332" i="33"/>
  <c r="AT1332" i="33"/>
  <c r="AM1332" i="33"/>
  <c r="AF1332" i="33"/>
  <c r="Y1332" i="33"/>
  <c r="Y1335" i="33" s="1"/>
  <c r="R1332" i="33"/>
  <c r="R1335" i="33" s="1"/>
  <c r="G1332" i="33"/>
  <c r="CF1332" i="33" s="1"/>
  <c r="G1338" i="33" s="1"/>
  <c r="CF1338" i="33" s="1"/>
  <c r="G1344" i="33" s="1"/>
  <c r="CF1344" i="33" s="1"/>
  <c r="DE1331" i="33"/>
  <c r="CX1331" i="33"/>
  <c r="CC1331" i="33"/>
  <c r="BV1331" i="33"/>
  <c r="BO1331" i="33"/>
  <c r="BO1335" i="33" s="1"/>
  <c r="BH1331" i="33"/>
  <c r="BH1335" i="33" s="1"/>
  <c r="BA1331" i="33"/>
  <c r="BA1335" i="33" s="1"/>
  <c r="AT1331" i="33"/>
  <c r="AM1331" i="33"/>
  <c r="AF1331" i="33"/>
  <c r="AF1335" i="33" s="1"/>
  <c r="Y1331" i="33"/>
  <c r="R1331" i="33"/>
  <c r="DE1329" i="33"/>
  <c r="DD1329" i="33"/>
  <c r="DC1329" i="33"/>
  <c r="DB1329" i="33"/>
  <c r="DA1329" i="33"/>
  <c r="CZ1329" i="33"/>
  <c r="CW1329" i="33"/>
  <c r="CV1329" i="33"/>
  <c r="CU1329" i="33"/>
  <c r="CT1329" i="33"/>
  <c r="CS1329" i="33"/>
  <c r="CP1329" i="33"/>
  <c r="CO1329" i="33"/>
  <c r="CN1329" i="33"/>
  <c r="CM1329" i="33"/>
  <c r="CL1329" i="33"/>
  <c r="CB1329" i="33"/>
  <c r="CA1329" i="33"/>
  <c r="BZ1329" i="33"/>
  <c r="BY1329" i="33"/>
  <c r="BX1329" i="33"/>
  <c r="BU1329" i="33"/>
  <c r="BT1329" i="33"/>
  <c r="BS1329" i="33"/>
  <c r="BR1329" i="33"/>
  <c r="BQ1329" i="33"/>
  <c r="BO1329" i="33"/>
  <c r="BN1329" i="33"/>
  <c r="BM1329" i="33"/>
  <c r="BL1329" i="33"/>
  <c r="BK1329" i="33"/>
  <c r="BJ1329" i="33"/>
  <c r="BG1329" i="33"/>
  <c r="BF1329" i="33"/>
  <c r="BE1329" i="33"/>
  <c r="BD1329" i="33"/>
  <c r="BC1329" i="33"/>
  <c r="AZ1329" i="33"/>
  <c r="AY1329" i="33"/>
  <c r="AX1329" i="33"/>
  <c r="AW1329" i="33"/>
  <c r="AV1329" i="33"/>
  <c r="AS1329" i="33"/>
  <c r="AR1329" i="33"/>
  <c r="AQ1329" i="33"/>
  <c r="AP1329" i="33"/>
  <c r="AO1329" i="33"/>
  <c r="AL1329" i="33"/>
  <c r="AK1329" i="33"/>
  <c r="AJ1329" i="33"/>
  <c r="AI1329" i="33"/>
  <c r="AH1329" i="33"/>
  <c r="AE1329" i="33"/>
  <c r="AD1329" i="33"/>
  <c r="AC1329" i="33"/>
  <c r="AB1329" i="33"/>
  <c r="AA1329" i="33"/>
  <c r="X1329" i="33"/>
  <c r="W1329" i="33"/>
  <c r="V1329" i="33"/>
  <c r="U1329" i="33"/>
  <c r="T1329" i="33"/>
  <c r="Q1329" i="33"/>
  <c r="P1329" i="33"/>
  <c r="O1329" i="33"/>
  <c r="N1329" i="33"/>
  <c r="M1329" i="33"/>
  <c r="I1329" i="33"/>
  <c r="DE1328" i="33"/>
  <c r="CX1328" i="33"/>
  <c r="CC1328" i="33"/>
  <c r="BV1328" i="33"/>
  <c r="BO1328" i="33"/>
  <c r="BH1328" i="33"/>
  <c r="BA1328" i="33"/>
  <c r="AT1328" i="33"/>
  <c r="AM1328" i="33"/>
  <c r="AF1328" i="33"/>
  <c r="Y1328" i="33"/>
  <c r="R1328" i="33"/>
  <c r="J1328" i="33"/>
  <c r="CI1328" i="33" s="1"/>
  <c r="J1334" i="33" s="1"/>
  <c r="CI1334" i="33" s="1"/>
  <c r="J1340" i="33" s="1"/>
  <c r="CI1340" i="33" s="1"/>
  <c r="J1346" i="33" s="1"/>
  <c r="CI1346" i="33" s="1"/>
  <c r="H1328" i="33"/>
  <c r="CG1328" i="33" s="1"/>
  <c r="H1334" i="33" s="1"/>
  <c r="CG1334" i="33" s="1"/>
  <c r="H1340" i="33" s="1"/>
  <c r="CG1340" i="33" s="1"/>
  <c r="H1346" i="33" s="1"/>
  <c r="CG1346" i="33" s="1"/>
  <c r="DE1327" i="33"/>
  <c r="CX1327" i="33"/>
  <c r="CE1327" i="33"/>
  <c r="CC1327" i="33"/>
  <c r="BV1327" i="33"/>
  <c r="BO1327" i="33"/>
  <c r="BH1327" i="33"/>
  <c r="BA1327" i="33"/>
  <c r="AT1327" i="33"/>
  <c r="AM1327" i="33"/>
  <c r="AF1327" i="33"/>
  <c r="Y1327" i="33"/>
  <c r="R1327" i="33"/>
  <c r="F1327" i="33"/>
  <c r="DE1326" i="33"/>
  <c r="CX1326" i="33"/>
  <c r="CC1326" i="33"/>
  <c r="BV1326" i="33"/>
  <c r="BO1326" i="33"/>
  <c r="BH1326" i="33"/>
  <c r="BA1326" i="33"/>
  <c r="BA1329" i="33" s="1"/>
  <c r="AT1326" i="33"/>
  <c r="AT1329" i="33" s="1"/>
  <c r="AM1326" i="33"/>
  <c r="AF1326" i="33"/>
  <c r="Y1326" i="33"/>
  <c r="R1326" i="33"/>
  <c r="I1326" i="33"/>
  <c r="CH1326" i="33" s="1"/>
  <c r="I1332" i="33" s="1"/>
  <c r="CH1332" i="33" s="1"/>
  <c r="I1338" i="33" s="1"/>
  <c r="CH1338" i="33" s="1"/>
  <c r="I1344" i="33" s="1"/>
  <c r="CH1344" i="33" s="1"/>
  <c r="DE1325" i="33"/>
  <c r="CX1325" i="33"/>
  <c r="CF1325" i="33"/>
  <c r="G1331" i="33" s="1"/>
  <c r="CC1325" i="33"/>
  <c r="CC1329" i="33" s="1"/>
  <c r="BV1325" i="33"/>
  <c r="BO1325" i="33"/>
  <c r="BH1325" i="33"/>
  <c r="BH1329" i="33" s="1"/>
  <c r="BA1325" i="33"/>
  <c r="AT1325" i="33"/>
  <c r="AM1325" i="33"/>
  <c r="AF1325" i="33"/>
  <c r="Y1325" i="33"/>
  <c r="Y1329" i="33" s="1"/>
  <c r="R1325" i="33"/>
  <c r="R1329" i="33" s="1"/>
  <c r="I1325" i="33"/>
  <c r="CH1325" i="33" s="1"/>
  <c r="G1325" i="33"/>
  <c r="F1325" i="33"/>
  <c r="CE1325" i="33" s="1"/>
  <c r="DD1323" i="33"/>
  <c r="DC1323" i="33"/>
  <c r="DB1323" i="33"/>
  <c r="DA1323" i="33"/>
  <c r="CZ1323" i="33"/>
  <c r="CW1323" i="33"/>
  <c r="CV1323" i="33"/>
  <c r="CU1323" i="33"/>
  <c r="CT1323" i="33"/>
  <c r="CS1323" i="33"/>
  <c r="CP1323" i="33"/>
  <c r="CO1323" i="33"/>
  <c r="CN1323" i="33"/>
  <c r="CM1323" i="33"/>
  <c r="CL1323" i="33"/>
  <c r="CE1323" i="33"/>
  <c r="CB1323" i="33"/>
  <c r="CA1323" i="33"/>
  <c r="BZ1323" i="33"/>
  <c r="BY1323" i="33"/>
  <c r="BX1323" i="33"/>
  <c r="BU1323" i="33"/>
  <c r="BT1323" i="33"/>
  <c r="BS1323" i="33"/>
  <c r="BR1323" i="33"/>
  <c r="BQ1323" i="33"/>
  <c r="BN1323" i="33"/>
  <c r="BM1323" i="33"/>
  <c r="BL1323" i="33"/>
  <c r="BK1323" i="33"/>
  <c r="BJ1323" i="33"/>
  <c r="BH1323" i="33"/>
  <c r="BG1323" i="33"/>
  <c r="BF1323" i="33"/>
  <c r="BE1323" i="33"/>
  <c r="BD1323" i="33"/>
  <c r="BC1323" i="33"/>
  <c r="AZ1323" i="33"/>
  <c r="AY1323" i="33"/>
  <c r="AX1323" i="33"/>
  <c r="AW1323" i="33"/>
  <c r="AV1323" i="33"/>
  <c r="AS1323" i="33"/>
  <c r="AR1323" i="33"/>
  <c r="AQ1323" i="33"/>
  <c r="AP1323" i="33"/>
  <c r="AO1323" i="33"/>
  <c r="AM1323" i="33"/>
  <c r="AL1323" i="33"/>
  <c r="AK1323" i="33"/>
  <c r="AJ1323" i="33"/>
  <c r="AI1323" i="33"/>
  <c r="AH1323" i="33"/>
  <c r="AF1323" i="33"/>
  <c r="AE1323" i="33"/>
  <c r="AD1323" i="33"/>
  <c r="AC1323" i="33"/>
  <c r="AB1323" i="33"/>
  <c r="AA1323" i="33"/>
  <c r="X1323" i="33"/>
  <c r="W1323" i="33"/>
  <c r="V1323" i="33"/>
  <c r="U1323" i="33"/>
  <c r="T1323" i="33"/>
  <c r="Q1323" i="33"/>
  <c r="P1323" i="33"/>
  <c r="O1323" i="33"/>
  <c r="N1323" i="33"/>
  <c r="M1323" i="33"/>
  <c r="K1323" i="33"/>
  <c r="J1323" i="33"/>
  <c r="I1323" i="33"/>
  <c r="H1323" i="33"/>
  <c r="G1323" i="33"/>
  <c r="F1323" i="33"/>
  <c r="DE1322" i="33"/>
  <c r="CX1322" i="33"/>
  <c r="CI1322" i="33"/>
  <c r="CH1322" i="33"/>
  <c r="I1328" i="33" s="1"/>
  <c r="CH1328" i="33" s="1"/>
  <c r="I1334" i="33" s="1"/>
  <c r="CH1334" i="33" s="1"/>
  <c r="I1340" i="33" s="1"/>
  <c r="CH1340" i="33" s="1"/>
  <c r="I1346" i="33" s="1"/>
  <c r="CH1346" i="33" s="1"/>
  <c r="CG1322" i="33"/>
  <c r="CF1322" i="33"/>
  <c r="G1328" i="33" s="1"/>
  <c r="CF1328" i="33" s="1"/>
  <c r="CE1322" i="33"/>
  <c r="CC1322" i="33"/>
  <c r="BV1322" i="33"/>
  <c r="BO1322" i="33"/>
  <c r="BH1322" i="33"/>
  <c r="BA1322" i="33"/>
  <c r="AT1322" i="33"/>
  <c r="AM1322" i="33"/>
  <c r="AF1322" i="33"/>
  <c r="Y1322" i="33"/>
  <c r="R1322" i="33"/>
  <c r="K1322" i="33"/>
  <c r="DE1321" i="33"/>
  <c r="CX1321" i="33"/>
  <c r="CI1321" i="33"/>
  <c r="J1327" i="33" s="1"/>
  <c r="CI1327" i="33" s="1"/>
  <c r="J1333" i="33" s="1"/>
  <c r="CI1333" i="33" s="1"/>
  <c r="J1339" i="33" s="1"/>
  <c r="CI1339" i="33" s="1"/>
  <c r="J1345" i="33" s="1"/>
  <c r="CI1345" i="33" s="1"/>
  <c r="CH1321" i="33"/>
  <c r="I1327" i="33" s="1"/>
  <c r="CH1327" i="33" s="1"/>
  <c r="CG1321" i="33"/>
  <c r="CF1321" i="33"/>
  <c r="G1327" i="33" s="1"/>
  <c r="CF1327" i="33" s="1"/>
  <c r="G1333" i="33" s="1"/>
  <c r="CF1333" i="33" s="1"/>
  <c r="G1339" i="33" s="1"/>
  <c r="CF1339" i="33" s="1"/>
  <c r="G1345" i="33" s="1"/>
  <c r="CE1321" i="33"/>
  <c r="CC1321" i="33"/>
  <c r="BV1321" i="33"/>
  <c r="BO1321" i="33"/>
  <c r="BO1323" i="33" s="1"/>
  <c r="BH1321" i="33"/>
  <c r="BA1321" i="33"/>
  <c r="AT1321" i="33"/>
  <c r="AM1321" i="33"/>
  <c r="AF1321" i="33"/>
  <c r="Y1321" i="33"/>
  <c r="R1321" i="33"/>
  <c r="K1321" i="33"/>
  <c r="DE1320" i="33"/>
  <c r="DE1323" i="33" s="1"/>
  <c r="CX1320" i="33"/>
  <c r="R47" i="40"/>
  <c r="CI1320" i="33"/>
  <c r="J1326" i="33" s="1"/>
  <c r="CI1326" i="33" s="1"/>
  <c r="J1332" i="33" s="1"/>
  <c r="CI1332" i="33" s="1"/>
  <c r="J1338" i="33" s="1"/>
  <c r="CI1338" i="33" s="1"/>
  <c r="J1344" i="33" s="1"/>
  <c r="CI1344" i="33" s="1"/>
  <c r="CH1320" i="33"/>
  <c r="CG1320" i="33"/>
  <c r="H1326" i="33" s="1"/>
  <c r="CG1326" i="33" s="1"/>
  <c r="H1332" i="33" s="1"/>
  <c r="CG1332" i="33" s="1"/>
  <c r="H1338" i="33" s="1"/>
  <c r="CG1338" i="33" s="1"/>
  <c r="H1344" i="33" s="1"/>
  <c r="CG1344" i="33" s="1"/>
  <c r="CF1320" i="33"/>
  <c r="G1326" i="33" s="1"/>
  <c r="CF1326" i="33" s="1"/>
  <c r="CE1320" i="33"/>
  <c r="CC1320" i="33"/>
  <c r="BV1320" i="33"/>
  <c r="BO1320" i="33"/>
  <c r="BH1320" i="33"/>
  <c r="BA1320" i="33"/>
  <c r="AT1320" i="33"/>
  <c r="AM1320" i="33"/>
  <c r="AF1320" i="33"/>
  <c r="Y1320" i="33"/>
  <c r="R1320" i="33"/>
  <c r="K1320" i="33"/>
  <c r="DE1319" i="33"/>
  <c r="CX1319" i="33"/>
  <c r="CX1323" i="33" s="1"/>
  <c r="CI1319" i="33"/>
  <c r="CI1323" i="33" s="1"/>
  <c r="CH1319" i="33"/>
  <c r="CG1319" i="33"/>
  <c r="CF1319" i="33"/>
  <c r="CF1323" i="33" s="1"/>
  <c r="CE1319" i="33"/>
  <c r="CC1319" i="33"/>
  <c r="BV1319" i="33"/>
  <c r="BO1319" i="33"/>
  <c r="BH1319" i="33"/>
  <c r="BA1319" i="33"/>
  <c r="AT1319" i="33"/>
  <c r="AM1319" i="33"/>
  <c r="AF1319" i="33"/>
  <c r="Y1319" i="33"/>
  <c r="R1319" i="33"/>
  <c r="K1319" i="33"/>
  <c r="DD1315" i="33"/>
  <c r="DC1315" i="33"/>
  <c r="DB1315" i="33"/>
  <c r="DA1315" i="33"/>
  <c r="CZ1315" i="33"/>
  <c r="CW1315" i="33"/>
  <c r="CV1315" i="33"/>
  <c r="CU1315" i="33"/>
  <c r="CT1315" i="33"/>
  <c r="CS1315" i="33"/>
  <c r="CP1315" i="33"/>
  <c r="CO1315" i="33"/>
  <c r="CN1315" i="33"/>
  <c r="CM1315" i="33"/>
  <c r="CL1315" i="33"/>
  <c r="CB1315" i="33"/>
  <c r="CA1315" i="33"/>
  <c r="BZ1315" i="33"/>
  <c r="BY1315" i="33"/>
  <c r="BX1315" i="33"/>
  <c r="BU1315" i="33"/>
  <c r="BT1315" i="33"/>
  <c r="BS1315" i="33"/>
  <c r="BR1315" i="33"/>
  <c r="BQ1315" i="33"/>
  <c r="BN1315" i="33"/>
  <c r="BM1315" i="33"/>
  <c r="BL1315" i="33"/>
  <c r="BK1315" i="33"/>
  <c r="BJ1315" i="33"/>
  <c r="BG1315" i="33"/>
  <c r="BF1315" i="33"/>
  <c r="BE1315" i="33"/>
  <c r="BD1315" i="33"/>
  <c r="BC1315" i="33"/>
  <c r="AZ1315" i="33"/>
  <c r="AY1315" i="33"/>
  <c r="AX1315" i="33"/>
  <c r="AW1315" i="33"/>
  <c r="AV1315" i="33"/>
  <c r="AS1315" i="33"/>
  <c r="AR1315" i="33"/>
  <c r="AQ1315" i="33"/>
  <c r="AP1315" i="33"/>
  <c r="AO1315" i="33"/>
  <c r="AL1315" i="33"/>
  <c r="AK1315" i="33"/>
  <c r="AJ1315" i="33"/>
  <c r="AI1315" i="33"/>
  <c r="AH1315" i="33"/>
  <c r="AE1315" i="33"/>
  <c r="AD1315" i="33"/>
  <c r="AC1315" i="33"/>
  <c r="AB1315" i="33"/>
  <c r="AA1315" i="33"/>
  <c r="X1315" i="33"/>
  <c r="W1315" i="33"/>
  <c r="V1315" i="33"/>
  <c r="U1315" i="33"/>
  <c r="T1315" i="33"/>
  <c r="Q1315" i="33"/>
  <c r="P1315" i="33"/>
  <c r="O1315" i="33"/>
  <c r="N1315" i="33"/>
  <c r="M1315" i="33"/>
  <c r="DE1314" i="33"/>
  <c r="CX1314" i="33"/>
  <c r="CC1314" i="33"/>
  <c r="BV1314" i="33"/>
  <c r="BO1314" i="33"/>
  <c r="BH1314" i="33"/>
  <c r="BA1314" i="33"/>
  <c r="AT1314" i="33"/>
  <c r="AM1314" i="33"/>
  <c r="AF1314" i="33"/>
  <c r="Y1314" i="33"/>
  <c r="L46" i="40" s="1"/>
  <c r="R1314" i="33"/>
  <c r="H1314" i="33"/>
  <c r="CG1314" i="33" s="1"/>
  <c r="DE1313" i="33"/>
  <c r="DE1315" i="33" s="1"/>
  <c r="CX1313" i="33"/>
  <c r="CC1313" i="33"/>
  <c r="BV1313" i="33"/>
  <c r="BO1313" i="33"/>
  <c r="BH1313" i="33"/>
  <c r="BA1313" i="33"/>
  <c r="BA1315" i="33" s="1"/>
  <c r="AT1313" i="33"/>
  <c r="AM1313" i="33"/>
  <c r="AF1313" i="33"/>
  <c r="Y1313" i="33"/>
  <c r="R1313" i="33"/>
  <c r="DE1312" i="33"/>
  <c r="CX1312" i="33"/>
  <c r="CC1312" i="33"/>
  <c r="BV1312" i="33"/>
  <c r="BV1315" i="33" s="1"/>
  <c r="BO1312" i="33"/>
  <c r="BH1312" i="33"/>
  <c r="BA1312" i="33"/>
  <c r="AT1312" i="33"/>
  <c r="AM1312" i="33"/>
  <c r="AF1312" i="33"/>
  <c r="Y1312" i="33"/>
  <c r="R1312" i="33"/>
  <c r="R1315" i="33" s="1"/>
  <c r="DE1311" i="33"/>
  <c r="CX1311" i="33"/>
  <c r="CC1311" i="33"/>
  <c r="CC1315" i="33" s="1"/>
  <c r="BV1311" i="33"/>
  <c r="BO1311" i="33"/>
  <c r="BO1315" i="33" s="1"/>
  <c r="BH1311" i="33"/>
  <c r="BA1311" i="33"/>
  <c r="AT1311" i="33"/>
  <c r="AT1315" i="33" s="1"/>
  <c r="AM1311" i="33"/>
  <c r="AM1315" i="33" s="1"/>
  <c r="AF1311" i="33"/>
  <c r="Y1311" i="33"/>
  <c r="Y1315" i="33" s="1"/>
  <c r="R1311" i="33"/>
  <c r="DD1309" i="33"/>
  <c r="DC1309" i="33"/>
  <c r="DB1309" i="33"/>
  <c r="DA1309" i="33"/>
  <c r="CZ1309" i="33"/>
  <c r="CW1309" i="33"/>
  <c r="CV1309" i="33"/>
  <c r="CU1309" i="33"/>
  <c r="CT1309" i="33"/>
  <c r="CS1309" i="33"/>
  <c r="CP1309" i="33"/>
  <c r="CO1309" i="33"/>
  <c r="CN1309" i="33"/>
  <c r="CM1309" i="33"/>
  <c r="CL1309" i="33"/>
  <c r="CB1309" i="33"/>
  <c r="CA1309" i="33"/>
  <c r="BZ1309" i="33"/>
  <c r="BY1309" i="33"/>
  <c r="BX1309" i="33"/>
  <c r="BU1309" i="33"/>
  <c r="BT1309" i="33"/>
  <c r="BS1309" i="33"/>
  <c r="BR1309" i="33"/>
  <c r="BQ1309" i="33"/>
  <c r="BN1309" i="33"/>
  <c r="BM1309" i="33"/>
  <c r="BL1309" i="33"/>
  <c r="BK1309" i="33"/>
  <c r="BJ1309" i="33"/>
  <c r="BG1309" i="33"/>
  <c r="BF1309" i="33"/>
  <c r="BE1309" i="33"/>
  <c r="BD1309" i="33"/>
  <c r="BC1309" i="33"/>
  <c r="AZ1309" i="33"/>
  <c r="AY1309" i="33"/>
  <c r="AX1309" i="33"/>
  <c r="AW1309" i="33"/>
  <c r="AV1309" i="33"/>
  <c r="AT1309" i="33"/>
  <c r="AS1309" i="33"/>
  <c r="AR1309" i="33"/>
  <c r="AQ1309" i="33"/>
  <c r="AP1309" i="33"/>
  <c r="AO1309" i="33"/>
  <c r="AL1309" i="33"/>
  <c r="AK1309" i="33"/>
  <c r="AJ1309" i="33"/>
  <c r="AI1309" i="33"/>
  <c r="AH1309" i="33"/>
  <c r="AE1309" i="33"/>
  <c r="AD1309" i="33"/>
  <c r="AC1309" i="33"/>
  <c r="AB1309" i="33"/>
  <c r="AA1309" i="33"/>
  <c r="X1309" i="33"/>
  <c r="W1309" i="33"/>
  <c r="V1309" i="33"/>
  <c r="U1309" i="33"/>
  <c r="T1309" i="33"/>
  <c r="Q1309" i="33"/>
  <c r="P1309" i="33"/>
  <c r="O1309" i="33"/>
  <c r="N1309" i="33"/>
  <c r="M1309" i="33"/>
  <c r="DE1308" i="33"/>
  <c r="CX1308" i="33"/>
  <c r="CC1308" i="33"/>
  <c r="BV1308" i="33"/>
  <c r="BO1308" i="33"/>
  <c r="BH1308" i="33"/>
  <c r="BH1309" i="33" s="1"/>
  <c r="BA1308" i="33"/>
  <c r="AT1308" i="33"/>
  <c r="AM1308" i="33"/>
  <c r="AF1308" i="33"/>
  <c r="Y1308" i="33"/>
  <c r="R1308" i="33"/>
  <c r="DE1307" i="33"/>
  <c r="CX1307" i="33"/>
  <c r="CC1307" i="33"/>
  <c r="BV1307" i="33"/>
  <c r="BO1307" i="33"/>
  <c r="BO1309" i="33" s="1"/>
  <c r="BH1307" i="33"/>
  <c r="BA1307" i="33"/>
  <c r="AT1307" i="33"/>
  <c r="AM1307" i="33"/>
  <c r="U46" i="40" s="1"/>
  <c r="AF1307" i="33"/>
  <c r="Y1307" i="33"/>
  <c r="R1307" i="33"/>
  <c r="DE1306" i="33"/>
  <c r="DE1309" i="33" s="1"/>
  <c r="CX1306" i="33"/>
  <c r="CC1306" i="33"/>
  <c r="BV1306" i="33"/>
  <c r="BV1309" i="33" s="1"/>
  <c r="BO1306" i="33"/>
  <c r="BH1306" i="33"/>
  <c r="BA1306" i="33"/>
  <c r="AT1306" i="33"/>
  <c r="AM1306" i="33"/>
  <c r="AF1306" i="33"/>
  <c r="AF1309" i="33" s="1"/>
  <c r="Y1306" i="33"/>
  <c r="R1306" i="33"/>
  <c r="R1309" i="33" s="1"/>
  <c r="DE1305" i="33"/>
  <c r="CX1305" i="33"/>
  <c r="CC1305" i="33"/>
  <c r="BV1305" i="33"/>
  <c r="BO1305" i="33"/>
  <c r="BH1305" i="33"/>
  <c r="BA1305" i="33"/>
  <c r="BA1309" i="33" s="1"/>
  <c r="AT1305" i="33"/>
  <c r="AM1305" i="33"/>
  <c r="AM1309" i="33" s="1"/>
  <c r="AF1305" i="33"/>
  <c r="Y1305" i="33"/>
  <c r="R1305" i="33"/>
  <c r="DD1303" i="33"/>
  <c r="DC1303" i="33"/>
  <c r="DB1303" i="33"/>
  <c r="DA1303" i="33"/>
  <c r="CZ1303" i="33"/>
  <c r="CX1303" i="33"/>
  <c r="CW1303" i="33"/>
  <c r="CV1303" i="33"/>
  <c r="CU1303" i="33"/>
  <c r="CT1303" i="33"/>
  <c r="CS1303" i="33"/>
  <c r="CP1303" i="33"/>
  <c r="CO1303" i="33"/>
  <c r="CN1303" i="33"/>
  <c r="CM1303" i="33"/>
  <c r="CL1303" i="33"/>
  <c r="CB1303" i="33"/>
  <c r="CA1303" i="33"/>
  <c r="BZ1303" i="33"/>
  <c r="BY1303" i="33"/>
  <c r="BX1303" i="33"/>
  <c r="BU1303" i="33"/>
  <c r="BT1303" i="33"/>
  <c r="BS1303" i="33"/>
  <c r="BR1303" i="33"/>
  <c r="BQ1303" i="33"/>
  <c r="BN1303" i="33"/>
  <c r="BM1303" i="33"/>
  <c r="BL1303" i="33"/>
  <c r="BK1303" i="33"/>
  <c r="BJ1303" i="33"/>
  <c r="BG1303" i="33"/>
  <c r="BF1303" i="33"/>
  <c r="BE1303" i="33"/>
  <c r="BD1303" i="33"/>
  <c r="BC1303" i="33"/>
  <c r="AZ1303" i="33"/>
  <c r="AY1303" i="33"/>
  <c r="AX1303" i="33"/>
  <c r="AW1303" i="33"/>
  <c r="AV1303" i="33"/>
  <c r="AS1303" i="33"/>
  <c r="AR1303" i="33"/>
  <c r="AQ1303" i="33"/>
  <c r="AP1303" i="33"/>
  <c r="AO1303" i="33"/>
  <c r="AM1303" i="33"/>
  <c r="AL1303" i="33"/>
  <c r="AK1303" i="33"/>
  <c r="AJ1303" i="33"/>
  <c r="AI1303" i="33"/>
  <c r="AH1303" i="33"/>
  <c r="AE1303" i="33"/>
  <c r="AD1303" i="33"/>
  <c r="AC1303" i="33"/>
  <c r="AB1303" i="33"/>
  <c r="AA1303" i="33"/>
  <c r="X1303" i="33"/>
  <c r="W1303" i="33"/>
  <c r="V1303" i="33"/>
  <c r="U1303" i="33"/>
  <c r="T1303" i="33"/>
  <c r="R1303" i="33"/>
  <c r="Q1303" i="33"/>
  <c r="P1303" i="33"/>
  <c r="O1303" i="33"/>
  <c r="N1303" i="33"/>
  <c r="M1303" i="33"/>
  <c r="DE1302" i="33"/>
  <c r="CX1302" i="33"/>
  <c r="CC1302" i="33"/>
  <c r="BV1302" i="33"/>
  <c r="BO1302" i="33"/>
  <c r="BH1302" i="33"/>
  <c r="BA1302" i="33"/>
  <c r="AT1302" i="33"/>
  <c r="AM1302" i="33"/>
  <c r="AF1302" i="33"/>
  <c r="Y1302" i="33"/>
  <c r="R1302" i="33"/>
  <c r="J1302" i="33"/>
  <c r="CI1302" i="33" s="1"/>
  <c r="J1308" i="33" s="1"/>
  <c r="CI1308" i="33" s="1"/>
  <c r="J1314" i="33" s="1"/>
  <c r="CI1314" i="33" s="1"/>
  <c r="DE1301" i="33"/>
  <c r="CX1301" i="33"/>
  <c r="CC1301" i="33"/>
  <c r="BV1301" i="33"/>
  <c r="BO1301" i="33"/>
  <c r="BH1301" i="33"/>
  <c r="BA1301" i="33"/>
  <c r="AT1301" i="33"/>
  <c r="AT1303" i="33" s="1"/>
  <c r="AM1301" i="33"/>
  <c r="AF1301" i="33"/>
  <c r="Y1301" i="33"/>
  <c r="R1301" i="33"/>
  <c r="DE1300" i="33"/>
  <c r="DE1303" i="33" s="1"/>
  <c r="CX1300" i="33"/>
  <c r="CC1300" i="33"/>
  <c r="BV1300" i="33"/>
  <c r="BO1300" i="33"/>
  <c r="BO1303" i="33" s="1"/>
  <c r="BH1300" i="33"/>
  <c r="BA1300" i="33"/>
  <c r="AT1300" i="33"/>
  <c r="AM1300" i="33"/>
  <c r="AF1300" i="33"/>
  <c r="Y1300" i="33"/>
  <c r="R1300" i="33"/>
  <c r="DE1299" i="33"/>
  <c r="CX1299" i="33"/>
  <c r="CC1299" i="33"/>
  <c r="BV1299" i="33"/>
  <c r="BV1303" i="33" s="1"/>
  <c r="BO1299" i="33"/>
  <c r="BH1299" i="33"/>
  <c r="BA1299" i="33"/>
  <c r="BA1303" i="33" s="1"/>
  <c r="AT1299" i="33"/>
  <c r="AM1299" i="33"/>
  <c r="AF1299" i="33"/>
  <c r="Y1299" i="33"/>
  <c r="R1299" i="33"/>
  <c r="DD1297" i="33"/>
  <c r="DC1297" i="33"/>
  <c r="DB1297" i="33"/>
  <c r="DA1297" i="33"/>
  <c r="CZ1297" i="33"/>
  <c r="CW1297" i="33"/>
  <c r="CV1297" i="33"/>
  <c r="CU1297" i="33"/>
  <c r="CT1297" i="33"/>
  <c r="CS1297" i="33"/>
  <c r="CP1297" i="33"/>
  <c r="CO1297" i="33"/>
  <c r="CN1297" i="33"/>
  <c r="CM1297" i="33"/>
  <c r="CL1297" i="33"/>
  <c r="CC1297" i="33"/>
  <c r="CB1297" i="33"/>
  <c r="CA1297" i="33"/>
  <c r="BZ1297" i="33"/>
  <c r="BY1297" i="33"/>
  <c r="BX1297" i="33"/>
  <c r="BU1297" i="33"/>
  <c r="BT1297" i="33"/>
  <c r="BS1297" i="33"/>
  <c r="BR1297" i="33"/>
  <c r="BQ1297" i="33"/>
  <c r="BO1297" i="33"/>
  <c r="BN1297" i="33"/>
  <c r="BM1297" i="33"/>
  <c r="BL1297" i="33"/>
  <c r="BK1297" i="33"/>
  <c r="BJ1297" i="33"/>
  <c r="BG1297" i="33"/>
  <c r="BF1297" i="33"/>
  <c r="BE1297" i="33"/>
  <c r="BD1297" i="33"/>
  <c r="BC1297" i="33"/>
  <c r="AZ1297" i="33"/>
  <c r="AY1297" i="33"/>
  <c r="AX1297" i="33"/>
  <c r="AW1297" i="33"/>
  <c r="AV1297" i="33"/>
  <c r="AS1297" i="33"/>
  <c r="AR1297" i="33"/>
  <c r="AQ1297" i="33"/>
  <c r="AP1297" i="33"/>
  <c r="AO1297" i="33"/>
  <c r="AL1297" i="33"/>
  <c r="AK1297" i="33"/>
  <c r="AJ1297" i="33"/>
  <c r="AI1297" i="33"/>
  <c r="AH1297" i="33"/>
  <c r="AE1297" i="33"/>
  <c r="AD1297" i="33"/>
  <c r="AC1297" i="33"/>
  <c r="AB1297" i="33"/>
  <c r="AA1297" i="33"/>
  <c r="Y1297" i="33"/>
  <c r="X1297" i="33"/>
  <c r="W1297" i="33"/>
  <c r="V1297" i="33"/>
  <c r="U1297" i="33"/>
  <c r="T1297" i="33"/>
  <c r="Q1297" i="33"/>
  <c r="P1297" i="33"/>
  <c r="O1297" i="33"/>
  <c r="N1297" i="33"/>
  <c r="M1297" i="33"/>
  <c r="DE1296" i="33"/>
  <c r="DE1297" i="33" s="1"/>
  <c r="CX1296" i="33"/>
  <c r="CG1296" i="33"/>
  <c r="H1302" i="33" s="1"/>
  <c r="CG1302" i="33" s="1"/>
  <c r="H1308" i="33" s="1"/>
  <c r="CG1308" i="33" s="1"/>
  <c r="CC1296" i="33"/>
  <c r="BV1296" i="33"/>
  <c r="BO1296" i="33"/>
  <c r="BH1296" i="33"/>
  <c r="BA1296" i="33"/>
  <c r="AT1296" i="33"/>
  <c r="AM1296" i="33"/>
  <c r="AF1296" i="33"/>
  <c r="Y1296" i="33"/>
  <c r="R1296" i="33"/>
  <c r="I1296" i="33"/>
  <c r="CH1296" i="33" s="1"/>
  <c r="I1302" i="33" s="1"/>
  <c r="CH1302" i="33" s="1"/>
  <c r="I1308" i="33" s="1"/>
  <c r="CH1308" i="33" s="1"/>
  <c r="I1314" i="33" s="1"/>
  <c r="CH1314" i="33" s="1"/>
  <c r="H1296" i="33"/>
  <c r="G1296" i="33"/>
  <c r="CF1296" i="33" s="1"/>
  <c r="G1302" i="33" s="1"/>
  <c r="CF1302" i="33" s="1"/>
  <c r="G1308" i="33" s="1"/>
  <c r="CF1308" i="33" s="1"/>
  <c r="G1314" i="33" s="1"/>
  <c r="CF1314" i="33" s="1"/>
  <c r="DE1295" i="33"/>
  <c r="CX1295" i="33"/>
  <c r="CX1297" i="33" s="1"/>
  <c r="CC1295" i="33"/>
  <c r="BV1295" i="33"/>
  <c r="BO1295" i="33"/>
  <c r="BH1295" i="33"/>
  <c r="BA1295" i="33"/>
  <c r="AT1295" i="33"/>
  <c r="AM1295" i="33"/>
  <c r="AF1295" i="33"/>
  <c r="Y1295" i="33"/>
  <c r="R1295" i="33"/>
  <c r="J1295" i="33"/>
  <c r="CI1295" i="33" s="1"/>
  <c r="J1301" i="33" s="1"/>
  <c r="CI1301" i="33" s="1"/>
  <c r="J1307" i="33" s="1"/>
  <c r="CI1307" i="33" s="1"/>
  <c r="J1313" i="33" s="1"/>
  <c r="CI1313" i="33" s="1"/>
  <c r="G1295" i="33"/>
  <c r="CF1295" i="33" s="1"/>
  <c r="G1301" i="33" s="1"/>
  <c r="CF1301" i="33" s="1"/>
  <c r="G1307" i="33" s="1"/>
  <c r="CF1307" i="33" s="1"/>
  <c r="G1313" i="33" s="1"/>
  <c r="CF1313" i="33" s="1"/>
  <c r="DE1294" i="33"/>
  <c r="CX1294" i="33"/>
  <c r="CI1294" i="33"/>
  <c r="J1300" i="33" s="1"/>
  <c r="CI1300" i="33" s="1"/>
  <c r="J1306" i="33" s="1"/>
  <c r="CI1306" i="33" s="1"/>
  <c r="J1312" i="33" s="1"/>
  <c r="CI1312" i="33" s="1"/>
  <c r="CC1294" i="33"/>
  <c r="BV1294" i="33"/>
  <c r="BO1294" i="33"/>
  <c r="BH1294" i="33"/>
  <c r="BA1294" i="33"/>
  <c r="AT1294" i="33"/>
  <c r="AM1294" i="33"/>
  <c r="AF1294" i="33"/>
  <c r="AF1297" i="33" s="1"/>
  <c r="Y1294" i="33"/>
  <c r="R1294" i="33"/>
  <c r="J1294" i="33"/>
  <c r="I1294" i="33"/>
  <c r="CH1294" i="33" s="1"/>
  <c r="I1300" i="33" s="1"/>
  <c r="CH1300" i="33" s="1"/>
  <c r="I1306" i="33" s="1"/>
  <c r="CH1306" i="33" s="1"/>
  <c r="I1312" i="33" s="1"/>
  <c r="CH1312" i="33" s="1"/>
  <c r="H1294" i="33"/>
  <c r="CG1294" i="33" s="1"/>
  <c r="H1300" i="33" s="1"/>
  <c r="CG1300" i="33" s="1"/>
  <c r="H1306" i="33" s="1"/>
  <c r="CG1306" i="33" s="1"/>
  <c r="H1312" i="33" s="1"/>
  <c r="CG1312" i="33" s="1"/>
  <c r="DE1293" i="33"/>
  <c r="CX1293" i="33"/>
  <c r="CH1293" i="33"/>
  <c r="CC1293" i="33"/>
  <c r="BV1293" i="33"/>
  <c r="BV1297" i="33" s="1"/>
  <c r="BO1293" i="33"/>
  <c r="BH1293" i="33"/>
  <c r="BH1297" i="33" s="1"/>
  <c r="BA1293" i="33"/>
  <c r="AT1293" i="33"/>
  <c r="AM1293" i="33"/>
  <c r="AM1297" i="33" s="1"/>
  <c r="AF1293" i="33"/>
  <c r="Y1293" i="33"/>
  <c r="R1293" i="33"/>
  <c r="R1297" i="33" s="1"/>
  <c r="F1293" i="33"/>
  <c r="CE1293" i="33" s="1"/>
  <c r="F1299" i="33" s="1"/>
  <c r="DD1291" i="33"/>
  <c r="DC1291" i="33"/>
  <c r="DB1291" i="33"/>
  <c r="DA1291" i="33"/>
  <c r="CZ1291" i="33"/>
  <c r="CW1291" i="33"/>
  <c r="CV1291" i="33"/>
  <c r="CU1291" i="33"/>
  <c r="CT1291" i="33"/>
  <c r="CS1291" i="33"/>
  <c r="CP1291" i="33"/>
  <c r="CO1291" i="33"/>
  <c r="CN1291" i="33"/>
  <c r="CM1291" i="33"/>
  <c r="CL1291" i="33"/>
  <c r="CH1291" i="33"/>
  <c r="CB1291" i="33"/>
  <c r="CA1291" i="33"/>
  <c r="BZ1291" i="33"/>
  <c r="BY1291" i="33"/>
  <c r="BX1291" i="33"/>
  <c r="BU1291" i="33"/>
  <c r="BT1291" i="33"/>
  <c r="BS1291" i="33"/>
  <c r="BR1291" i="33"/>
  <c r="BQ1291" i="33"/>
  <c r="BO1291" i="33"/>
  <c r="BN1291" i="33"/>
  <c r="BM1291" i="33"/>
  <c r="BL1291" i="33"/>
  <c r="BK1291" i="33"/>
  <c r="BJ1291" i="33"/>
  <c r="BG1291" i="33"/>
  <c r="BF1291" i="33"/>
  <c r="BE1291" i="33"/>
  <c r="BD1291" i="33"/>
  <c r="BC1291" i="33"/>
  <c r="AZ1291" i="33"/>
  <c r="AY1291" i="33"/>
  <c r="AX1291" i="33"/>
  <c r="AW1291" i="33"/>
  <c r="AV1291" i="33"/>
  <c r="AS1291" i="33"/>
  <c r="AR1291" i="33"/>
  <c r="AQ1291" i="33"/>
  <c r="AP1291" i="33"/>
  <c r="AO1291" i="33"/>
  <c r="AL1291" i="33"/>
  <c r="AK1291" i="33"/>
  <c r="AJ1291" i="33"/>
  <c r="AI1291" i="33"/>
  <c r="AH1291" i="33"/>
  <c r="AE1291" i="33"/>
  <c r="AD1291" i="33"/>
  <c r="AC1291" i="33"/>
  <c r="AB1291" i="33"/>
  <c r="AA1291" i="33"/>
  <c r="X1291" i="33"/>
  <c r="W1291" i="33"/>
  <c r="V1291" i="33"/>
  <c r="U1291" i="33"/>
  <c r="T1291" i="33"/>
  <c r="Q1291" i="33"/>
  <c r="P1291" i="33"/>
  <c r="O1291" i="33"/>
  <c r="N1291" i="33"/>
  <c r="M1291" i="33"/>
  <c r="J1291" i="33"/>
  <c r="I1291" i="33"/>
  <c r="H1291" i="33"/>
  <c r="G1291" i="33"/>
  <c r="F1291" i="33"/>
  <c r="DE1290" i="33"/>
  <c r="CX1290" i="33"/>
  <c r="CI1290" i="33"/>
  <c r="J1296" i="33" s="1"/>
  <c r="CI1296" i="33" s="1"/>
  <c r="CH1290" i="33"/>
  <c r="CG1290" i="33"/>
  <c r="CF1290" i="33"/>
  <c r="CE1290" i="33"/>
  <c r="CJ1290" i="33" s="1"/>
  <c r="CC1290" i="33"/>
  <c r="BV1290" i="33"/>
  <c r="BO1290" i="33"/>
  <c r="BH1290" i="33"/>
  <c r="BA1290" i="33"/>
  <c r="AT1290" i="33"/>
  <c r="AM1290" i="33"/>
  <c r="AF1290" i="33"/>
  <c r="Y1290" i="33"/>
  <c r="R1290" i="33"/>
  <c r="K1290" i="33"/>
  <c r="DE1289" i="33"/>
  <c r="CX1289" i="33"/>
  <c r="CI1289" i="33"/>
  <c r="CH1289" i="33"/>
  <c r="I1295" i="33" s="1"/>
  <c r="CH1295" i="33" s="1"/>
  <c r="I1301" i="33" s="1"/>
  <c r="CH1301" i="33" s="1"/>
  <c r="I1307" i="33" s="1"/>
  <c r="CH1307" i="33" s="1"/>
  <c r="I1313" i="33" s="1"/>
  <c r="CH1313" i="33" s="1"/>
  <c r="CG1289" i="33"/>
  <c r="H1295" i="33" s="1"/>
  <c r="CG1295" i="33" s="1"/>
  <c r="H1301" i="33" s="1"/>
  <c r="CG1301" i="33" s="1"/>
  <c r="H1307" i="33" s="1"/>
  <c r="CG1307" i="33" s="1"/>
  <c r="H1313" i="33" s="1"/>
  <c r="CG1313" i="33" s="1"/>
  <c r="CF1289" i="33"/>
  <c r="CE1289" i="33"/>
  <c r="F1295" i="33" s="1"/>
  <c r="CC1289" i="33"/>
  <c r="BV1289" i="33"/>
  <c r="BO1289" i="33"/>
  <c r="BH1289" i="33"/>
  <c r="BA1289" i="33"/>
  <c r="AT1289" i="33"/>
  <c r="AM1289" i="33"/>
  <c r="AF1289" i="33"/>
  <c r="Y1289" i="33"/>
  <c r="R1289" i="33"/>
  <c r="K1289" i="33"/>
  <c r="DE1288" i="33"/>
  <c r="CX1288" i="33"/>
  <c r="CI1288" i="33"/>
  <c r="CH1288" i="33"/>
  <c r="CG1288" i="33"/>
  <c r="CF1288" i="33"/>
  <c r="G1294" i="33" s="1"/>
  <c r="CF1294" i="33" s="1"/>
  <c r="G1300" i="33" s="1"/>
  <c r="CF1300" i="33" s="1"/>
  <c r="G1306" i="33" s="1"/>
  <c r="CF1306" i="33" s="1"/>
  <c r="G1312" i="33" s="1"/>
  <c r="CF1312" i="33" s="1"/>
  <c r="CE1288" i="33"/>
  <c r="F1294" i="33" s="1"/>
  <c r="CC1288" i="33"/>
  <c r="BV1288" i="33"/>
  <c r="BO1288" i="33"/>
  <c r="BH1288" i="33"/>
  <c r="BA1288" i="33"/>
  <c r="AT1288" i="33"/>
  <c r="AM1288" i="33"/>
  <c r="AF1288" i="33"/>
  <c r="AF1291" i="33" s="1"/>
  <c r="Y1288" i="33"/>
  <c r="R1288" i="33"/>
  <c r="K1288" i="33"/>
  <c r="K1291" i="33" s="1"/>
  <c r="DE1287" i="33"/>
  <c r="CX1287" i="33"/>
  <c r="CX1291" i="33" s="1"/>
  <c r="CI1287" i="33"/>
  <c r="CH1287" i="33"/>
  <c r="I1293" i="33" s="1"/>
  <c r="CG1287" i="33"/>
  <c r="H1293" i="33" s="1"/>
  <c r="CG1293" i="33" s="1"/>
  <c r="CF1287" i="33"/>
  <c r="CF1291" i="33" s="1"/>
  <c r="CE1287" i="33"/>
  <c r="CC1287" i="33"/>
  <c r="BV1287" i="33"/>
  <c r="BO1287" i="33"/>
  <c r="BH1287" i="33"/>
  <c r="BH1291" i="33" s="1"/>
  <c r="BA1287" i="33"/>
  <c r="BA1291" i="33" s="1"/>
  <c r="AT1287" i="33"/>
  <c r="AM1287" i="33"/>
  <c r="AM1291" i="33" s="1"/>
  <c r="AF1287" i="33"/>
  <c r="Y1287" i="33"/>
  <c r="R1287" i="33"/>
  <c r="K1287" i="33"/>
  <c r="DD1283" i="33"/>
  <c r="DC1283" i="33"/>
  <c r="DB1283" i="33"/>
  <c r="DA1283" i="33"/>
  <c r="CZ1283" i="33"/>
  <c r="CW1283" i="33"/>
  <c r="CV1283" i="33"/>
  <c r="CU1283" i="33"/>
  <c r="CT1283" i="33"/>
  <c r="CS1283" i="33"/>
  <c r="CP1283" i="33"/>
  <c r="CO1283" i="33"/>
  <c r="CN1283" i="33"/>
  <c r="CM1283" i="33"/>
  <c r="CL1283" i="33"/>
  <c r="CB1283" i="33"/>
  <c r="CA1283" i="33"/>
  <c r="BZ1283" i="33"/>
  <c r="BY1283" i="33"/>
  <c r="BX1283" i="33"/>
  <c r="BU1283" i="33"/>
  <c r="BT1283" i="33"/>
  <c r="BS1283" i="33"/>
  <c r="BR1283" i="33"/>
  <c r="BQ1283" i="33"/>
  <c r="BN1283" i="33"/>
  <c r="BM1283" i="33"/>
  <c r="BL1283" i="33"/>
  <c r="BK1283" i="33"/>
  <c r="BJ1283" i="33"/>
  <c r="BG1283" i="33"/>
  <c r="BF1283" i="33"/>
  <c r="BE1283" i="33"/>
  <c r="BD1283" i="33"/>
  <c r="BC1283" i="33"/>
  <c r="AZ1283" i="33"/>
  <c r="AY1283" i="33"/>
  <c r="AX1283" i="33"/>
  <c r="AW1283" i="33"/>
  <c r="AV1283" i="33"/>
  <c r="AT1283" i="33"/>
  <c r="AS1283" i="33"/>
  <c r="AR1283" i="33"/>
  <c r="AQ1283" i="33"/>
  <c r="AP1283" i="33"/>
  <c r="AO1283" i="33"/>
  <c r="AL1283" i="33"/>
  <c r="AK1283" i="33"/>
  <c r="AJ1283" i="33"/>
  <c r="AI1283" i="33"/>
  <c r="AH1283" i="33"/>
  <c r="AE1283" i="33"/>
  <c r="AD1283" i="33"/>
  <c r="AC1283" i="33"/>
  <c r="AB1283" i="33"/>
  <c r="AA1283" i="33"/>
  <c r="X1283" i="33"/>
  <c r="W1283" i="33"/>
  <c r="V1283" i="33"/>
  <c r="U1283" i="33"/>
  <c r="T1283" i="33"/>
  <c r="Q1283" i="33"/>
  <c r="P1283" i="33"/>
  <c r="O1283" i="33"/>
  <c r="N1283" i="33"/>
  <c r="M1283" i="33"/>
  <c r="DE1282" i="33"/>
  <c r="CX1282" i="33"/>
  <c r="CC1282" i="33"/>
  <c r="BV1282" i="33"/>
  <c r="BO1282" i="33"/>
  <c r="BH1282" i="33"/>
  <c r="BH1283" i="33" s="1"/>
  <c r="BA1282" i="33"/>
  <c r="AT1282" i="33"/>
  <c r="AM1282" i="33"/>
  <c r="AF1282" i="33"/>
  <c r="Y1282" i="33"/>
  <c r="R1282" i="33"/>
  <c r="DE1281" i="33"/>
  <c r="CX1281" i="33"/>
  <c r="CC1281" i="33"/>
  <c r="BV1281" i="33"/>
  <c r="BO1281" i="33"/>
  <c r="BO1283" i="33" s="1"/>
  <c r="BH1281" i="33"/>
  <c r="BA1281" i="33"/>
  <c r="AT1281" i="33"/>
  <c r="AM1281" i="33"/>
  <c r="AF1281" i="33"/>
  <c r="Y1281" i="33"/>
  <c r="R1281" i="33"/>
  <c r="DE1280" i="33"/>
  <c r="DE1283" i="33" s="1"/>
  <c r="CX1280" i="33"/>
  <c r="CC1280" i="33"/>
  <c r="BV1280" i="33"/>
  <c r="BV1283" i="33" s="1"/>
  <c r="BO1280" i="33"/>
  <c r="BH1280" i="33"/>
  <c r="BA1280" i="33"/>
  <c r="AT1280" i="33"/>
  <c r="AM1280" i="33"/>
  <c r="AF1280" i="33"/>
  <c r="AF1283" i="33" s="1"/>
  <c r="Y1280" i="33"/>
  <c r="R1280" i="33"/>
  <c r="R1283" i="33" s="1"/>
  <c r="DE1279" i="33"/>
  <c r="CX1279" i="33"/>
  <c r="CC1279" i="33"/>
  <c r="BV1279" i="33"/>
  <c r="BO1279" i="33"/>
  <c r="BH1279" i="33"/>
  <c r="BA1279" i="33"/>
  <c r="BA1283" i="33" s="1"/>
  <c r="AT1279" i="33"/>
  <c r="AM1279" i="33"/>
  <c r="AF1279" i="33"/>
  <c r="Y1279" i="33"/>
  <c r="R1279" i="33"/>
  <c r="DE1277" i="33"/>
  <c r="DD1277" i="33"/>
  <c r="DC1277" i="33"/>
  <c r="DB1277" i="33"/>
  <c r="DA1277" i="33"/>
  <c r="CZ1277" i="33"/>
  <c r="CX1277" i="33"/>
  <c r="CW1277" i="33"/>
  <c r="CV1277" i="33"/>
  <c r="CU1277" i="33"/>
  <c r="CT1277" i="33"/>
  <c r="CS1277" i="33"/>
  <c r="CP1277" i="33"/>
  <c r="CO1277" i="33"/>
  <c r="CN1277" i="33"/>
  <c r="CM1277" i="33"/>
  <c r="CL1277" i="33"/>
  <c r="CB1277" i="33"/>
  <c r="CA1277" i="33"/>
  <c r="BZ1277" i="33"/>
  <c r="BY1277" i="33"/>
  <c r="BX1277" i="33"/>
  <c r="BV1277" i="33"/>
  <c r="BU1277" i="33"/>
  <c r="BT1277" i="33"/>
  <c r="BS1277" i="33"/>
  <c r="BR1277" i="33"/>
  <c r="BQ1277" i="33"/>
  <c r="BN1277" i="33"/>
  <c r="BM1277" i="33"/>
  <c r="BL1277" i="33"/>
  <c r="BK1277" i="33"/>
  <c r="BJ1277" i="33"/>
  <c r="BG1277" i="33"/>
  <c r="BF1277" i="33"/>
  <c r="BE1277" i="33"/>
  <c r="BD1277" i="33"/>
  <c r="BC1277" i="33"/>
  <c r="AZ1277" i="33"/>
  <c r="AY1277" i="33"/>
  <c r="AX1277" i="33"/>
  <c r="AW1277" i="33"/>
  <c r="AV1277" i="33"/>
  <c r="AS1277" i="33"/>
  <c r="AR1277" i="33"/>
  <c r="AQ1277" i="33"/>
  <c r="AP1277" i="33"/>
  <c r="AO1277" i="33"/>
  <c r="AM1277" i="33"/>
  <c r="AL1277" i="33"/>
  <c r="AK1277" i="33"/>
  <c r="AJ1277" i="33"/>
  <c r="AI1277" i="33"/>
  <c r="AH1277" i="33"/>
  <c r="AE1277" i="33"/>
  <c r="AD1277" i="33"/>
  <c r="AC1277" i="33"/>
  <c r="AB1277" i="33"/>
  <c r="AA1277" i="33"/>
  <c r="X1277" i="33"/>
  <c r="W1277" i="33"/>
  <c r="V1277" i="33"/>
  <c r="U1277" i="33"/>
  <c r="T1277" i="33"/>
  <c r="R1277" i="33"/>
  <c r="Q1277" i="33"/>
  <c r="P1277" i="33"/>
  <c r="O1277" i="33"/>
  <c r="N1277" i="33"/>
  <c r="M1277" i="33"/>
  <c r="DE1276" i="33"/>
  <c r="CX1276" i="33"/>
  <c r="CG1276" i="33"/>
  <c r="H1282" i="33" s="1"/>
  <c r="CG1282" i="33" s="1"/>
  <c r="CC1276" i="33"/>
  <c r="BV1276" i="33"/>
  <c r="BO1276" i="33"/>
  <c r="BH1276" i="33"/>
  <c r="BA1276" i="33"/>
  <c r="AT1276" i="33"/>
  <c r="AM1276" i="33"/>
  <c r="AF1276" i="33"/>
  <c r="Y1276" i="33"/>
  <c r="R1276" i="33"/>
  <c r="DE1275" i="33"/>
  <c r="CX1275" i="33"/>
  <c r="CC1275" i="33"/>
  <c r="BV1275" i="33"/>
  <c r="BO1275" i="33"/>
  <c r="BH1275" i="33"/>
  <c r="BA1275" i="33"/>
  <c r="AT1275" i="33"/>
  <c r="AM1275" i="33"/>
  <c r="AF1275" i="33"/>
  <c r="Y1275" i="33"/>
  <c r="R1275" i="33"/>
  <c r="DE1274" i="33"/>
  <c r="CX1274" i="33"/>
  <c r="CC1274" i="33"/>
  <c r="BV1274" i="33"/>
  <c r="BO1274" i="33"/>
  <c r="BO1277" i="33" s="1"/>
  <c r="BH1274" i="33"/>
  <c r="BA1274" i="33"/>
  <c r="AT1274" i="33"/>
  <c r="AM1274" i="33"/>
  <c r="AF1274" i="33"/>
  <c r="Y1274" i="33"/>
  <c r="R1274" i="33"/>
  <c r="DE1273" i="33"/>
  <c r="CX1273" i="33"/>
  <c r="CC1273" i="33"/>
  <c r="CC1277" i="33" s="1"/>
  <c r="BV1273" i="33"/>
  <c r="BO1273" i="33"/>
  <c r="BH1273" i="33"/>
  <c r="BA1273" i="33"/>
  <c r="BA1277" i="33" s="1"/>
  <c r="AT1273" i="33"/>
  <c r="AT1277" i="33" s="1"/>
  <c r="AM1273" i="33"/>
  <c r="AF1273" i="33"/>
  <c r="AF1277" i="33" s="1"/>
  <c r="Y1273" i="33"/>
  <c r="Y1277" i="33" s="1"/>
  <c r="R1273" i="33"/>
  <c r="DE1271" i="33"/>
  <c r="DD1271" i="33"/>
  <c r="DC1271" i="33"/>
  <c r="DB1271" i="33"/>
  <c r="DA1271" i="33"/>
  <c r="CZ1271" i="33"/>
  <c r="CW1271" i="33"/>
  <c r="CV1271" i="33"/>
  <c r="CU1271" i="33"/>
  <c r="CT1271" i="33"/>
  <c r="CS1271" i="33"/>
  <c r="CP1271" i="33"/>
  <c r="CO1271" i="33"/>
  <c r="CN1271" i="33"/>
  <c r="CM1271" i="33"/>
  <c r="CL1271" i="33"/>
  <c r="CC1271" i="33"/>
  <c r="CB1271" i="33"/>
  <c r="CA1271" i="33"/>
  <c r="BZ1271" i="33"/>
  <c r="BY1271" i="33"/>
  <c r="BX1271" i="33"/>
  <c r="BU1271" i="33"/>
  <c r="BT1271" i="33"/>
  <c r="BS1271" i="33"/>
  <c r="BR1271" i="33"/>
  <c r="BQ1271" i="33"/>
  <c r="BN1271" i="33"/>
  <c r="BM1271" i="33"/>
  <c r="BL1271" i="33"/>
  <c r="BK1271" i="33"/>
  <c r="BJ1271" i="33"/>
  <c r="BG1271" i="33"/>
  <c r="BF1271" i="33"/>
  <c r="BE1271" i="33"/>
  <c r="BD1271" i="33"/>
  <c r="BC1271" i="33"/>
  <c r="AZ1271" i="33"/>
  <c r="AY1271" i="33"/>
  <c r="AX1271" i="33"/>
  <c r="AW1271" i="33"/>
  <c r="AV1271" i="33"/>
  <c r="AT1271" i="33"/>
  <c r="AS1271" i="33"/>
  <c r="AR1271" i="33"/>
  <c r="AQ1271" i="33"/>
  <c r="AP1271" i="33"/>
  <c r="AO1271" i="33"/>
  <c r="AL1271" i="33"/>
  <c r="AK1271" i="33"/>
  <c r="AJ1271" i="33"/>
  <c r="AI1271" i="33"/>
  <c r="AH1271" i="33"/>
  <c r="AE1271" i="33"/>
  <c r="AD1271" i="33"/>
  <c r="AC1271" i="33"/>
  <c r="AB1271" i="33"/>
  <c r="AA1271" i="33"/>
  <c r="Y1271" i="33"/>
  <c r="X1271" i="33"/>
  <c r="W1271" i="33"/>
  <c r="V1271" i="33"/>
  <c r="U1271" i="33"/>
  <c r="T1271" i="33"/>
  <c r="Q1271" i="33"/>
  <c r="P1271" i="33"/>
  <c r="O1271" i="33"/>
  <c r="N1271" i="33"/>
  <c r="M1271" i="33"/>
  <c r="DE1270" i="33"/>
  <c r="CX1270" i="33"/>
  <c r="CC1270" i="33"/>
  <c r="BV1270" i="33"/>
  <c r="BO1270" i="33"/>
  <c r="BH1270" i="33"/>
  <c r="BA1270" i="33"/>
  <c r="AT1270" i="33"/>
  <c r="AM1270" i="33"/>
  <c r="AM1271" i="33" s="1"/>
  <c r="AF1270" i="33"/>
  <c r="Y1270" i="33"/>
  <c r="R1270" i="33"/>
  <c r="J1270" i="33"/>
  <c r="CI1270" i="33" s="1"/>
  <c r="J1276" i="33" s="1"/>
  <c r="CI1276" i="33" s="1"/>
  <c r="J1282" i="33" s="1"/>
  <c r="CI1282" i="33" s="1"/>
  <c r="F1270" i="33"/>
  <c r="CE1270" i="33" s="1"/>
  <c r="DE1269" i="33"/>
  <c r="CX1269" i="33"/>
  <c r="CC1269" i="33"/>
  <c r="BV1269" i="33"/>
  <c r="BO1269" i="33"/>
  <c r="BH1269" i="33"/>
  <c r="BA1269" i="33"/>
  <c r="AT1269" i="33"/>
  <c r="AM1269" i="33"/>
  <c r="AF1269" i="33"/>
  <c r="Y1269" i="33"/>
  <c r="R1269" i="33"/>
  <c r="DE1268" i="33"/>
  <c r="CX1268" i="33"/>
  <c r="CC1268" i="33"/>
  <c r="BV1268" i="33"/>
  <c r="BO1268" i="33"/>
  <c r="BO1271" i="33" s="1"/>
  <c r="BH1268" i="33"/>
  <c r="BA1268" i="33"/>
  <c r="AT1268" i="33"/>
  <c r="AM1268" i="33"/>
  <c r="AF1268" i="33"/>
  <c r="Y1268" i="33"/>
  <c r="R1268" i="33"/>
  <c r="DE1267" i="33"/>
  <c r="CX1267" i="33"/>
  <c r="CC1267" i="33"/>
  <c r="BV1267" i="33"/>
  <c r="BV1271" i="33" s="1"/>
  <c r="BO1267" i="33"/>
  <c r="BH1267" i="33"/>
  <c r="BA1267" i="33"/>
  <c r="BA1271" i="33" s="1"/>
  <c r="AT1267" i="33"/>
  <c r="AM1267" i="33"/>
  <c r="AF1267" i="33"/>
  <c r="Y1267" i="33"/>
  <c r="R1267" i="33"/>
  <c r="R1271" i="33" s="1"/>
  <c r="DD1265" i="33"/>
  <c r="DC1265" i="33"/>
  <c r="DB1265" i="33"/>
  <c r="DA1265" i="33"/>
  <c r="CZ1265" i="33"/>
  <c r="CX1265" i="33"/>
  <c r="CW1265" i="33"/>
  <c r="CV1265" i="33"/>
  <c r="CU1265" i="33"/>
  <c r="CT1265" i="33"/>
  <c r="CS1265" i="33"/>
  <c r="CP1265" i="33"/>
  <c r="CO1265" i="33"/>
  <c r="CN1265" i="33"/>
  <c r="CM1265" i="33"/>
  <c r="CL1265" i="33"/>
  <c r="CC1265" i="33"/>
  <c r="CB1265" i="33"/>
  <c r="CA1265" i="33"/>
  <c r="BZ1265" i="33"/>
  <c r="BY1265" i="33"/>
  <c r="BX1265" i="33"/>
  <c r="BU1265" i="33"/>
  <c r="BT1265" i="33"/>
  <c r="BS1265" i="33"/>
  <c r="BR1265" i="33"/>
  <c r="BQ1265" i="33"/>
  <c r="BN1265" i="33"/>
  <c r="BM1265" i="33"/>
  <c r="BL1265" i="33"/>
  <c r="BK1265" i="33"/>
  <c r="BJ1265" i="33"/>
  <c r="BG1265" i="33"/>
  <c r="BF1265" i="33"/>
  <c r="BE1265" i="33"/>
  <c r="BD1265" i="33"/>
  <c r="BC1265" i="33"/>
  <c r="BA1265" i="33"/>
  <c r="AZ1265" i="33"/>
  <c r="AY1265" i="33"/>
  <c r="AX1265" i="33"/>
  <c r="AW1265" i="33"/>
  <c r="AV1265" i="33"/>
  <c r="AS1265" i="33"/>
  <c r="AR1265" i="33"/>
  <c r="AQ1265" i="33"/>
  <c r="AP1265" i="33"/>
  <c r="AO1265" i="33"/>
  <c r="AL1265" i="33"/>
  <c r="AK1265" i="33"/>
  <c r="AJ1265" i="33"/>
  <c r="AI1265" i="33"/>
  <c r="AH1265" i="33"/>
  <c r="AF1265" i="33"/>
  <c r="AE1265" i="33"/>
  <c r="AD1265" i="33"/>
  <c r="AC1265" i="33"/>
  <c r="AB1265" i="33"/>
  <c r="AA1265" i="33"/>
  <c r="X1265" i="33"/>
  <c r="W1265" i="33"/>
  <c r="V1265" i="33"/>
  <c r="U1265" i="33"/>
  <c r="T1265" i="33"/>
  <c r="Q1265" i="33"/>
  <c r="P1265" i="33"/>
  <c r="O1265" i="33"/>
  <c r="N1265" i="33"/>
  <c r="M1265" i="33"/>
  <c r="DE1264" i="33"/>
  <c r="CX1264" i="33"/>
  <c r="CC1264" i="33"/>
  <c r="BV1264" i="33"/>
  <c r="BO1264" i="33"/>
  <c r="BH1264" i="33"/>
  <c r="BA1264" i="33"/>
  <c r="AT1264" i="33"/>
  <c r="AM1264" i="33"/>
  <c r="AF1264" i="33"/>
  <c r="Y1264" i="33"/>
  <c r="R1264" i="33"/>
  <c r="G1264" i="33"/>
  <c r="CF1264" i="33" s="1"/>
  <c r="DE1263" i="33"/>
  <c r="CX1263" i="33"/>
  <c r="CC1263" i="33"/>
  <c r="BV1263" i="33"/>
  <c r="BO1263" i="33"/>
  <c r="BH1263" i="33"/>
  <c r="BA1263" i="33"/>
  <c r="AT1263" i="33"/>
  <c r="AM1263" i="33"/>
  <c r="AF1263" i="33"/>
  <c r="Y1263" i="33"/>
  <c r="R1263" i="33"/>
  <c r="J1263" i="33"/>
  <c r="CI1263" i="33" s="1"/>
  <c r="J1269" i="33" s="1"/>
  <c r="CI1269" i="33" s="1"/>
  <c r="J1275" i="33" s="1"/>
  <c r="CI1275" i="33" s="1"/>
  <c r="J1281" i="33" s="1"/>
  <c r="CI1281" i="33" s="1"/>
  <c r="DE1262" i="33"/>
  <c r="CX1262" i="33"/>
  <c r="CI1262" i="33"/>
  <c r="J1268" i="33" s="1"/>
  <c r="CI1268" i="33" s="1"/>
  <c r="J1274" i="33" s="1"/>
  <c r="CI1274" i="33" s="1"/>
  <c r="J1280" i="33" s="1"/>
  <c r="CI1280" i="33" s="1"/>
  <c r="CC1262" i="33"/>
  <c r="BV1262" i="33"/>
  <c r="BO1262" i="33"/>
  <c r="BO1265" i="33" s="1"/>
  <c r="BH1262" i="33"/>
  <c r="BA1262" i="33"/>
  <c r="AT1262" i="33"/>
  <c r="AM1262" i="33"/>
  <c r="AF1262" i="33"/>
  <c r="Y1262" i="33"/>
  <c r="R1262" i="33"/>
  <c r="K1262" i="33"/>
  <c r="J1262" i="33"/>
  <c r="G1262" i="33"/>
  <c r="CF1262" i="33" s="1"/>
  <c r="G1268" i="33" s="1"/>
  <c r="CF1268" i="33" s="1"/>
  <c r="G1274" i="33" s="1"/>
  <c r="CF1274" i="33" s="1"/>
  <c r="G1280" i="33" s="1"/>
  <c r="CF1280" i="33" s="1"/>
  <c r="DE1261" i="33"/>
  <c r="CX1261" i="33"/>
  <c r="CG1261" i="33"/>
  <c r="CC1261" i="33"/>
  <c r="BV1261" i="33"/>
  <c r="BV1265" i="33" s="1"/>
  <c r="BO1261" i="33"/>
  <c r="BH1261" i="33"/>
  <c r="BH1265" i="33" s="1"/>
  <c r="BA1261" i="33"/>
  <c r="AT1261" i="33"/>
  <c r="AM1261" i="33"/>
  <c r="AF1261" i="33"/>
  <c r="Y1261" i="33"/>
  <c r="Y1265" i="33" s="1"/>
  <c r="R1261" i="33"/>
  <c r="R1265" i="33" s="1"/>
  <c r="H1261" i="33"/>
  <c r="H1265" i="33" s="1"/>
  <c r="DE1259" i="33"/>
  <c r="DD1259" i="33"/>
  <c r="DC1259" i="33"/>
  <c r="DB1259" i="33"/>
  <c r="DA1259" i="33"/>
  <c r="CZ1259" i="33"/>
  <c r="CW1259" i="33"/>
  <c r="CV1259" i="33"/>
  <c r="CU1259" i="33"/>
  <c r="CT1259" i="33"/>
  <c r="CS1259" i="33"/>
  <c r="CP1259" i="33"/>
  <c r="CO1259" i="33"/>
  <c r="CN1259" i="33"/>
  <c r="CM1259" i="33"/>
  <c r="CL1259" i="33"/>
  <c r="CB1259" i="33"/>
  <c r="CA1259" i="33"/>
  <c r="BZ1259" i="33"/>
  <c r="BY1259" i="33"/>
  <c r="BX1259" i="33"/>
  <c r="BU1259" i="33"/>
  <c r="BT1259" i="33"/>
  <c r="BS1259" i="33"/>
  <c r="BR1259" i="33"/>
  <c r="BQ1259" i="33"/>
  <c r="BN1259" i="33"/>
  <c r="BM1259" i="33"/>
  <c r="BL1259" i="33"/>
  <c r="BK1259" i="33"/>
  <c r="BJ1259" i="33"/>
  <c r="BG1259" i="33"/>
  <c r="BF1259" i="33"/>
  <c r="BE1259" i="33"/>
  <c r="BD1259" i="33"/>
  <c r="BC1259" i="33"/>
  <c r="AZ1259" i="33"/>
  <c r="AY1259" i="33"/>
  <c r="AX1259" i="33"/>
  <c r="AW1259" i="33"/>
  <c r="AV1259" i="33"/>
  <c r="AS1259" i="33"/>
  <c r="AR1259" i="33"/>
  <c r="AQ1259" i="33"/>
  <c r="AP1259" i="33"/>
  <c r="AO1259" i="33"/>
  <c r="AM1259" i="33"/>
  <c r="AL1259" i="33"/>
  <c r="AK1259" i="33"/>
  <c r="AJ1259" i="33"/>
  <c r="AI1259" i="33"/>
  <c r="AH1259" i="33"/>
  <c r="AE1259" i="33"/>
  <c r="AD1259" i="33"/>
  <c r="AC1259" i="33"/>
  <c r="AB1259" i="33"/>
  <c r="AA1259" i="33"/>
  <c r="X1259" i="33"/>
  <c r="W1259" i="33"/>
  <c r="V1259" i="33"/>
  <c r="U1259" i="33"/>
  <c r="T1259" i="33"/>
  <c r="Q1259" i="33"/>
  <c r="P1259" i="33"/>
  <c r="O1259" i="33"/>
  <c r="N1259" i="33"/>
  <c r="M1259" i="33"/>
  <c r="J1259" i="33"/>
  <c r="I1259" i="33"/>
  <c r="H1259" i="33"/>
  <c r="G1259" i="33"/>
  <c r="F1259" i="33"/>
  <c r="DE1258" i="33"/>
  <c r="CX1258" i="33"/>
  <c r="CJ1258" i="33"/>
  <c r="CI1258" i="33"/>
  <c r="J1264" i="33" s="1"/>
  <c r="CI1264" i="33" s="1"/>
  <c r="CH1258" i="33"/>
  <c r="I1264" i="33" s="1"/>
  <c r="CH1264" i="33" s="1"/>
  <c r="I1270" i="33" s="1"/>
  <c r="CH1270" i="33" s="1"/>
  <c r="I1276" i="33" s="1"/>
  <c r="CH1276" i="33" s="1"/>
  <c r="I1282" i="33" s="1"/>
  <c r="CH1282" i="33" s="1"/>
  <c r="CG1258" i="33"/>
  <c r="H1264" i="33" s="1"/>
  <c r="CG1264" i="33" s="1"/>
  <c r="H1270" i="33" s="1"/>
  <c r="CG1270" i="33" s="1"/>
  <c r="H1276" i="33" s="1"/>
  <c r="CF1258" i="33"/>
  <c r="CE1258" i="33"/>
  <c r="F1264" i="33" s="1"/>
  <c r="CE1264" i="33" s="1"/>
  <c r="CC1258" i="33"/>
  <c r="BV1258" i="33"/>
  <c r="BO1258" i="33"/>
  <c r="BH1258" i="33"/>
  <c r="BA1258" i="33"/>
  <c r="AT1258" i="33"/>
  <c r="AM1258" i="33"/>
  <c r="AF1258" i="33"/>
  <c r="Y1258" i="33"/>
  <c r="R1258" i="33"/>
  <c r="K1258" i="33"/>
  <c r="K1259" i="33" s="1"/>
  <c r="DE1257" i="33"/>
  <c r="CX1257" i="33"/>
  <c r="CI1257" i="33"/>
  <c r="CH1257" i="33"/>
  <c r="I1263" i="33" s="1"/>
  <c r="CH1263" i="33" s="1"/>
  <c r="I1269" i="33" s="1"/>
  <c r="CH1269" i="33" s="1"/>
  <c r="I1275" i="33" s="1"/>
  <c r="CH1275" i="33" s="1"/>
  <c r="I1281" i="33" s="1"/>
  <c r="CH1281" i="33" s="1"/>
  <c r="CG1257" i="33"/>
  <c r="H1263" i="33" s="1"/>
  <c r="CG1263" i="33" s="1"/>
  <c r="H1269" i="33" s="1"/>
  <c r="CG1269" i="33" s="1"/>
  <c r="H1275" i="33" s="1"/>
  <c r="CG1275" i="33" s="1"/>
  <c r="H1281" i="33" s="1"/>
  <c r="CG1281" i="33" s="1"/>
  <c r="CF1257" i="33"/>
  <c r="G1263" i="33" s="1"/>
  <c r="CF1263" i="33" s="1"/>
  <c r="G1269" i="33" s="1"/>
  <c r="CF1269" i="33" s="1"/>
  <c r="G1275" i="33" s="1"/>
  <c r="CF1275" i="33" s="1"/>
  <c r="G1281" i="33" s="1"/>
  <c r="CF1281" i="33" s="1"/>
  <c r="CE1257" i="33"/>
  <c r="CC1257" i="33"/>
  <c r="BV1257" i="33"/>
  <c r="BO1257" i="33"/>
  <c r="BH1257" i="33"/>
  <c r="BA1257" i="33"/>
  <c r="AT1257" i="33"/>
  <c r="AM1257" i="33"/>
  <c r="AF1257" i="33"/>
  <c r="Y1257" i="33"/>
  <c r="R1257" i="33"/>
  <c r="K1257" i="33"/>
  <c r="DE1256" i="33"/>
  <c r="CX1256" i="33"/>
  <c r="CI1256" i="33"/>
  <c r="CH1256" i="33"/>
  <c r="I1262" i="33" s="1"/>
  <c r="CH1262" i="33" s="1"/>
  <c r="I1268" i="33" s="1"/>
  <c r="CH1268" i="33" s="1"/>
  <c r="I1274" i="33" s="1"/>
  <c r="CH1274" i="33" s="1"/>
  <c r="I1280" i="33" s="1"/>
  <c r="CH1280" i="33" s="1"/>
  <c r="CG1256" i="33"/>
  <c r="H1262" i="33" s="1"/>
  <c r="CG1262" i="33" s="1"/>
  <c r="H1268" i="33" s="1"/>
  <c r="CG1268" i="33" s="1"/>
  <c r="H1274" i="33" s="1"/>
  <c r="CG1274" i="33" s="1"/>
  <c r="H1280" i="33" s="1"/>
  <c r="CG1280" i="33" s="1"/>
  <c r="CF1256" i="33"/>
  <c r="CE1256" i="33"/>
  <c r="F1262" i="33" s="1"/>
  <c r="CE1262" i="33" s="1"/>
  <c r="CC1256" i="33"/>
  <c r="BV1256" i="33"/>
  <c r="BO1256" i="33"/>
  <c r="BH1256" i="33"/>
  <c r="BA1256" i="33"/>
  <c r="AT1256" i="33"/>
  <c r="AT1259" i="33" s="1"/>
  <c r="AM1256" i="33"/>
  <c r="AF1256" i="33"/>
  <c r="Y1256" i="33"/>
  <c r="Y1259" i="33" s="1"/>
  <c r="R1256" i="33"/>
  <c r="K1256" i="33"/>
  <c r="DE1255" i="33"/>
  <c r="CX1255" i="33"/>
  <c r="CX1259" i="33" s="1"/>
  <c r="CI1255" i="33"/>
  <c r="CI1259" i="33" s="1"/>
  <c r="CH1255" i="33"/>
  <c r="I1261" i="33" s="1"/>
  <c r="CG1255" i="33"/>
  <c r="CF1255" i="33"/>
  <c r="CF1259" i="33" s="1"/>
  <c r="CE1255" i="33"/>
  <c r="F1261" i="33" s="1"/>
  <c r="CC1255" i="33"/>
  <c r="BV1255" i="33"/>
  <c r="BV1259" i="33" s="1"/>
  <c r="BO1255" i="33"/>
  <c r="BO1259" i="33" s="1"/>
  <c r="BH1255" i="33"/>
  <c r="BH1259" i="33" s="1"/>
  <c r="BA1255" i="33"/>
  <c r="AT1255" i="33"/>
  <c r="AM1255" i="33"/>
  <c r="AF1255" i="33"/>
  <c r="Y1255" i="33"/>
  <c r="R1255" i="33"/>
  <c r="R1259" i="33" s="1"/>
  <c r="K1255" i="33"/>
  <c r="DD1251" i="33"/>
  <c r="DC1251" i="33"/>
  <c r="DB1251" i="33"/>
  <c r="DA1251" i="33"/>
  <c r="CZ1251" i="33"/>
  <c r="CW1251" i="33"/>
  <c r="CV1251" i="33"/>
  <c r="CU1251" i="33"/>
  <c r="CT1251" i="33"/>
  <c r="CS1251" i="33"/>
  <c r="CP1251" i="33"/>
  <c r="CO1251" i="33"/>
  <c r="CN1251" i="33"/>
  <c r="CM1251" i="33"/>
  <c r="CL1251" i="33"/>
  <c r="CB1251" i="33"/>
  <c r="CA1251" i="33"/>
  <c r="BZ1251" i="33"/>
  <c r="BY1251" i="33"/>
  <c r="BX1251" i="33"/>
  <c r="BV1251" i="33"/>
  <c r="BU1251" i="33"/>
  <c r="BT1251" i="33"/>
  <c r="BS1251" i="33"/>
  <c r="BR1251" i="33"/>
  <c r="BQ1251" i="33"/>
  <c r="BN1251" i="33"/>
  <c r="BM1251" i="33"/>
  <c r="BL1251" i="33"/>
  <c r="BK1251" i="33"/>
  <c r="BJ1251" i="33"/>
  <c r="BG1251" i="33"/>
  <c r="BF1251" i="33"/>
  <c r="BE1251" i="33"/>
  <c r="BD1251" i="33"/>
  <c r="BC1251" i="33"/>
  <c r="AZ1251" i="33"/>
  <c r="AY1251" i="33"/>
  <c r="AX1251" i="33"/>
  <c r="AW1251" i="33"/>
  <c r="AV1251" i="33"/>
  <c r="AT1251" i="33"/>
  <c r="AS1251" i="33"/>
  <c r="AR1251" i="33"/>
  <c r="AQ1251" i="33"/>
  <c r="AP1251" i="33"/>
  <c r="AO1251" i="33"/>
  <c r="AL1251" i="33"/>
  <c r="AK1251" i="33"/>
  <c r="AJ1251" i="33"/>
  <c r="AI1251" i="33"/>
  <c r="AH1251" i="33"/>
  <c r="DE1250" i="33"/>
  <c r="CX1250" i="33"/>
  <c r="CC1250" i="33"/>
  <c r="BV1250" i="33"/>
  <c r="BO1250" i="33"/>
  <c r="BH1250" i="33"/>
  <c r="BA1250" i="33"/>
  <c r="AT1250" i="33"/>
  <c r="AM1250" i="33"/>
  <c r="AF1250" i="33"/>
  <c r="Y1250" i="33"/>
  <c r="R1250" i="33"/>
  <c r="DE1249" i="33"/>
  <c r="CX1249" i="33"/>
  <c r="CC1249" i="33"/>
  <c r="BV1249" i="33"/>
  <c r="BO1249" i="33"/>
  <c r="BH1249" i="33"/>
  <c r="BA1249" i="33"/>
  <c r="AT1249" i="33"/>
  <c r="AM1249" i="33"/>
  <c r="AF1249" i="33"/>
  <c r="Y1249" i="33"/>
  <c r="R1249" i="33"/>
  <c r="DE1248" i="33"/>
  <c r="CX1248" i="33"/>
  <c r="CX1251" i="33" s="1"/>
  <c r="CC1248" i="33"/>
  <c r="BV1248" i="33"/>
  <c r="BO1248" i="33"/>
  <c r="BH1248" i="33"/>
  <c r="BA1248" i="33"/>
  <c r="AT1248" i="33"/>
  <c r="AM1248" i="33"/>
  <c r="AF1248" i="33"/>
  <c r="Y1248" i="33"/>
  <c r="R1248" i="33"/>
  <c r="DE1247" i="33"/>
  <c r="CX1247" i="33"/>
  <c r="CC1247" i="33"/>
  <c r="CC1251" i="33" s="1"/>
  <c r="BV1247" i="33"/>
  <c r="BO1247" i="33"/>
  <c r="BH1247" i="33"/>
  <c r="BH1251" i="33" s="1"/>
  <c r="BA1247" i="33"/>
  <c r="BA1251" i="33" s="1"/>
  <c r="AT1247" i="33"/>
  <c r="AM1247" i="33"/>
  <c r="AM1251" i="33" s="1"/>
  <c r="AF1247" i="33"/>
  <c r="Y1247" i="33"/>
  <c r="R1247" i="33"/>
  <c r="DD1245" i="33"/>
  <c r="DC1245" i="33"/>
  <c r="DB1245" i="33"/>
  <c r="DA1245" i="33"/>
  <c r="CZ1245" i="33"/>
  <c r="CW1245" i="33"/>
  <c r="CV1245" i="33"/>
  <c r="CU1245" i="33"/>
  <c r="CT1245" i="33"/>
  <c r="CS1245" i="33"/>
  <c r="CP1245" i="33"/>
  <c r="CO1245" i="33"/>
  <c r="CN1245" i="33"/>
  <c r="CM1245" i="33"/>
  <c r="CL1245" i="33"/>
  <c r="CB1245" i="33"/>
  <c r="CA1245" i="33"/>
  <c r="BZ1245" i="33"/>
  <c r="BY1245" i="33"/>
  <c r="BX1245" i="33"/>
  <c r="BU1245" i="33"/>
  <c r="BT1245" i="33"/>
  <c r="BS1245" i="33"/>
  <c r="BR1245" i="33"/>
  <c r="BQ1245" i="33"/>
  <c r="BN1245" i="33"/>
  <c r="BM1245" i="33"/>
  <c r="BL1245" i="33"/>
  <c r="BK1245" i="33"/>
  <c r="BJ1245" i="33"/>
  <c r="BG1245" i="33"/>
  <c r="BF1245" i="33"/>
  <c r="BE1245" i="33"/>
  <c r="BD1245" i="33"/>
  <c r="BC1245" i="33"/>
  <c r="AZ1245" i="33"/>
  <c r="AY1245" i="33"/>
  <c r="AX1245" i="33"/>
  <c r="AW1245" i="33"/>
  <c r="AV1245" i="33"/>
  <c r="AT1245" i="33"/>
  <c r="AS1245" i="33"/>
  <c r="AR1245" i="33"/>
  <c r="AQ1245" i="33"/>
  <c r="AP1245" i="33"/>
  <c r="AO1245" i="33"/>
  <c r="AL1245" i="33"/>
  <c r="AK1245" i="33"/>
  <c r="AJ1245" i="33"/>
  <c r="AI1245" i="33"/>
  <c r="AH1245" i="33"/>
  <c r="DE1244" i="33"/>
  <c r="CX1244" i="33"/>
  <c r="CC1244" i="33"/>
  <c r="BV1244" i="33"/>
  <c r="BV1245" i="33" s="1"/>
  <c r="BO1244" i="33"/>
  <c r="BH1244" i="33"/>
  <c r="BA1244" i="33"/>
  <c r="AT1244" i="33"/>
  <c r="AM1244" i="33"/>
  <c r="AF1244" i="33"/>
  <c r="Y1244" i="33"/>
  <c r="R1244" i="33"/>
  <c r="DE1243" i="33"/>
  <c r="CX1243" i="33"/>
  <c r="CC1243" i="33"/>
  <c r="BV1243" i="33"/>
  <c r="BO1243" i="33"/>
  <c r="BH1243" i="33"/>
  <c r="BA1243" i="33"/>
  <c r="AT1243" i="33"/>
  <c r="AM1243" i="33"/>
  <c r="AF1243" i="33"/>
  <c r="Y1243" i="33"/>
  <c r="R1243" i="33"/>
  <c r="DE1242" i="33"/>
  <c r="CX1242" i="33"/>
  <c r="CX1245" i="33" s="1"/>
  <c r="CC1242" i="33"/>
  <c r="BV1242" i="33"/>
  <c r="BO1242" i="33"/>
  <c r="BH1242" i="33"/>
  <c r="BA1242" i="33"/>
  <c r="AT1242" i="33"/>
  <c r="AM1242" i="33"/>
  <c r="AF1242" i="33"/>
  <c r="Y1242" i="33"/>
  <c r="R1242" i="33"/>
  <c r="DE1241" i="33"/>
  <c r="CX1241" i="33"/>
  <c r="CC1241" i="33"/>
  <c r="CC1245" i="33" s="1"/>
  <c r="BV1241" i="33"/>
  <c r="BO1241" i="33"/>
  <c r="BH1241" i="33"/>
  <c r="BH1245" i="33" s="1"/>
  <c r="BA1241" i="33"/>
  <c r="BA1245" i="33" s="1"/>
  <c r="AT1241" i="33"/>
  <c r="AM1241" i="33"/>
  <c r="AM1245" i="33" s="1"/>
  <c r="AF1241" i="33"/>
  <c r="Y1241" i="33"/>
  <c r="R1241" i="33"/>
  <c r="DD1239" i="33"/>
  <c r="DC1239" i="33"/>
  <c r="DB1239" i="33"/>
  <c r="DA1239" i="33"/>
  <c r="CZ1239" i="33"/>
  <c r="CW1239" i="33"/>
  <c r="CV1239" i="33"/>
  <c r="CU1239" i="33"/>
  <c r="CT1239" i="33"/>
  <c r="CS1239" i="33"/>
  <c r="CP1239" i="33"/>
  <c r="CO1239" i="33"/>
  <c r="CN1239" i="33"/>
  <c r="CM1239" i="33"/>
  <c r="CL1239" i="33"/>
  <c r="CB1239" i="33"/>
  <c r="CA1239" i="33"/>
  <c r="BZ1239" i="33"/>
  <c r="BY1239" i="33"/>
  <c r="BX1239" i="33"/>
  <c r="BU1239" i="33"/>
  <c r="BT1239" i="33"/>
  <c r="BS1239" i="33"/>
  <c r="BR1239" i="33"/>
  <c r="BQ1239" i="33"/>
  <c r="BN1239" i="33"/>
  <c r="BM1239" i="33"/>
  <c r="BL1239" i="33"/>
  <c r="BK1239" i="33"/>
  <c r="BJ1239" i="33"/>
  <c r="BG1239" i="33"/>
  <c r="BF1239" i="33"/>
  <c r="BE1239" i="33"/>
  <c r="BD1239" i="33"/>
  <c r="BC1239" i="33"/>
  <c r="AZ1239" i="33"/>
  <c r="AY1239" i="33"/>
  <c r="AX1239" i="33"/>
  <c r="AW1239" i="33"/>
  <c r="AV1239" i="33"/>
  <c r="AT1239" i="33"/>
  <c r="AS1239" i="33"/>
  <c r="AR1239" i="33"/>
  <c r="AQ1239" i="33"/>
  <c r="AP1239" i="33"/>
  <c r="AO1239" i="33"/>
  <c r="AL1239" i="33"/>
  <c r="AK1239" i="33"/>
  <c r="AJ1239" i="33"/>
  <c r="AI1239" i="33"/>
  <c r="AH1239" i="33"/>
  <c r="DE1238" i="33"/>
  <c r="CX1238" i="33"/>
  <c r="CC1238" i="33"/>
  <c r="BV1238" i="33"/>
  <c r="BO1238" i="33"/>
  <c r="BH1238" i="33"/>
  <c r="BA1238" i="33"/>
  <c r="AT1238" i="33"/>
  <c r="AM1238" i="33"/>
  <c r="AF1238" i="33"/>
  <c r="Y1238" i="33"/>
  <c r="R1238" i="33"/>
  <c r="DE1237" i="33"/>
  <c r="CX1237" i="33"/>
  <c r="CC1237" i="33"/>
  <c r="BV1237" i="33"/>
  <c r="BO1237" i="33"/>
  <c r="BH1237" i="33"/>
  <c r="BA1237" i="33"/>
  <c r="AT1237" i="33"/>
  <c r="AM1237" i="33"/>
  <c r="AF1237" i="33"/>
  <c r="Y1237" i="33"/>
  <c r="R1237" i="33"/>
  <c r="DE1236" i="33"/>
  <c r="CX1236" i="33"/>
  <c r="CC1236" i="33"/>
  <c r="BV1236" i="33"/>
  <c r="BO1236" i="33"/>
  <c r="BH1236" i="33"/>
  <c r="BA1236" i="33"/>
  <c r="AT1236" i="33"/>
  <c r="AM1236" i="33"/>
  <c r="AF1236" i="33"/>
  <c r="Y1236" i="33"/>
  <c r="R1236" i="33"/>
  <c r="DE1235" i="33"/>
  <c r="DE1239" i="33" s="1"/>
  <c r="CX1235" i="33"/>
  <c r="CC1235" i="33"/>
  <c r="BV1235" i="33"/>
  <c r="BV1239" i="33" s="1"/>
  <c r="BO1235" i="33"/>
  <c r="BO1239" i="33" s="1"/>
  <c r="BH1235" i="33"/>
  <c r="BH1239" i="33" s="1"/>
  <c r="BA1235" i="33"/>
  <c r="BA1239" i="33" s="1"/>
  <c r="AT1235" i="33"/>
  <c r="AM1235" i="33"/>
  <c r="AM1239" i="33" s="1"/>
  <c r="AF1235" i="33"/>
  <c r="Y1235" i="33"/>
  <c r="R1235" i="33"/>
  <c r="DD1233" i="33"/>
  <c r="DC1233" i="33"/>
  <c r="DB1233" i="33"/>
  <c r="DA1233" i="33"/>
  <c r="CZ1233" i="33"/>
  <c r="CW1233" i="33"/>
  <c r="CV1233" i="33"/>
  <c r="CU1233" i="33"/>
  <c r="CT1233" i="33"/>
  <c r="CS1233" i="33"/>
  <c r="CP1233" i="33"/>
  <c r="CO1233" i="33"/>
  <c r="CN1233" i="33"/>
  <c r="CM1233" i="33"/>
  <c r="CL1233" i="33"/>
  <c r="CF1233" i="33"/>
  <c r="CB1233" i="33"/>
  <c r="CA1233" i="33"/>
  <c r="BZ1233" i="33"/>
  <c r="BY1233" i="33"/>
  <c r="BX1233" i="33"/>
  <c r="BV1233" i="33"/>
  <c r="BU1233" i="33"/>
  <c r="BT1233" i="33"/>
  <c r="BS1233" i="33"/>
  <c r="BR1233" i="33"/>
  <c r="BQ1233" i="33"/>
  <c r="BN1233" i="33"/>
  <c r="BM1233" i="33"/>
  <c r="BL1233" i="33"/>
  <c r="BK1233" i="33"/>
  <c r="BJ1233" i="33"/>
  <c r="BG1233" i="33"/>
  <c r="BF1233" i="33"/>
  <c r="BE1233" i="33"/>
  <c r="BD1233" i="33"/>
  <c r="BC1233" i="33"/>
  <c r="AZ1233" i="33"/>
  <c r="AY1233" i="33"/>
  <c r="AX1233" i="33"/>
  <c r="AW1233" i="33"/>
  <c r="AV1233" i="33"/>
  <c r="AT1233" i="33"/>
  <c r="AS1233" i="33"/>
  <c r="AR1233" i="33"/>
  <c r="AQ1233" i="33"/>
  <c r="AP1233" i="33"/>
  <c r="AO1233" i="33"/>
  <c r="AL1233" i="33"/>
  <c r="AK1233" i="33"/>
  <c r="AJ1233" i="33"/>
  <c r="AI1233" i="33"/>
  <c r="AH1233" i="33"/>
  <c r="DE1232" i="33"/>
  <c r="CX1232" i="33"/>
  <c r="CC1232" i="33"/>
  <c r="BV1232" i="33"/>
  <c r="BO1232" i="33"/>
  <c r="BH1232" i="33"/>
  <c r="BA1232" i="33"/>
  <c r="AT1232" i="33"/>
  <c r="AM1232" i="33"/>
  <c r="AF1232" i="33"/>
  <c r="Y1232" i="33"/>
  <c r="R1232" i="33"/>
  <c r="DE1231" i="33"/>
  <c r="CX1231" i="33"/>
  <c r="CX1233" i="33" s="1"/>
  <c r="CI1231" i="33"/>
  <c r="J1237" i="33" s="1"/>
  <c r="CI1237" i="33" s="1"/>
  <c r="J1243" i="33" s="1"/>
  <c r="CI1243" i="33" s="1"/>
  <c r="J1249" i="33" s="1"/>
  <c r="CI1249" i="33" s="1"/>
  <c r="CC1231" i="33"/>
  <c r="BV1231" i="33"/>
  <c r="BO1231" i="33"/>
  <c r="BH1231" i="33"/>
  <c r="BA1231" i="33"/>
  <c r="AT1231" i="33"/>
  <c r="AM1231" i="33"/>
  <c r="AF1231" i="33"/>
  <c r="Y1231" i="33"/>
  <c r="R1231" i="33"/>
  <c r="J1231" i="33"/>
  <c r="DE1230" i="33"/>
  <c r="CX1230" i="33"/>
  <c r="CE1230" i="33"/>
  <c r="CC1230" i="33"/>
  <c r="BV1230" i="33"/>
  <c r="BO1230" i="33"/>
  <c r="BH1230" i="33"/>
  <c r="BA1230" i="33"/>
  <c r="AT1230" i="33"/>
  <c r="AM1230" i="33"/>
  <c r="AF1230" i="33"/>
  <c r="Y1230" i="33"/>
  <c r="R1230" i="33"/>
  <c r="F1230" i="33"/>
  <c r="DE1229" i="33"/>
  <c r="CX1229" i="33"/>
  <c r="CF1229" i="33"/>
  <c r="G1235" i="33" s="1"/>
  <c r="CE1229" i="33"/>
  <c r="CC1229" i="33"/>
  <c r="BV1229" i="33"/>
  <c r="BO1229" i="33"/>
  <c r="BO1233" i="33" s="1"/>
  <c r="BH1229" i="33"/>
  <c r="BA1229" i="33"/>
  <c r="BA1233" i="33" s="1"/>
  <c r="AT1229" i="33"/>
  <c r="AM1229" i="33"/>
  <c r="AM1233" i="33" s="1"/>
  <c r="AF1229" i="33"/>
  <c r="Y1229" i="33"/>
  <c r="R1229" i="33"/>
  <c r="G1229" i="33"/>
  <c r="F1229" i="33"/>
  <c r="DD1227" i="33"/>
  <c r="DC1227" i="33"/>
  <c r="DB1227" i="33"/>
  <c r="DA1227" i="33"/>
  <c r="CZ1227" i="33"/>
  <c r="CW1227" i="33"/>
  <c r="CV1227" i="33"/>
  <c r="CU1227" i="33"/>
  <c r="CT1227" i="33"/>
  <c r="CS1227" i="33"/>
  <c r="CP1227" i="33"/>
  <c r="CO1227" i="33"/>
  <c r="CN1227" i="33"/>
  <c r="CM1227" i="33"/>
  <c r="CL1227" i="33"/>
  <c r="CE1227" i="33"/>
  <c r="CB1227" i="33"/>
  <c r="CA1227" i="33"/>
  <c r="BZ1227" i="33"/>
  <c r="BY1227" i="33"/>
  <c r="BX1227" i="33"/>
  <c r="BU1227" i="33"/>
  <c r="BT1227" i="33"/>
  <c r="BS1227" i="33"/>
  <c r="BR1227" i="33"/>
  <c r="BQ1227" i="33"/>
  <c r="BN1227" i="33"/>
  <c r="BM1227" i="33"/>
  <c r="BL1227" i="33"/>
  <c r="BK1227" i="33"/>
  <c r="BJ1227" i="33"/>
  <c r="BG1227" i="33"/>
  <c r="BF1227" i="33"/>
  <c r="BE1227" i="33"/>
  <c r="BD1227" i="33"/>
  <c r="BC1227" i="33"/>
  <c r="AZ1227" i="33"/>
  <c r="AY1227" i="33"/>
  <c r="AX1227" i="33"/>
  <c r="AW1227" i="33"/>
  <c r="AV1227" i="33"/>
  <c r="AS1227" i="33"/>
  <c r="AR1227" i="33"/>
  <c r="AQ1227" i="33"/>
  <c r="AP1227" i="33"/>
  <c r="AO1227" i="33"/>
  <c r="AL1227" i="33"/>
  <c r="AK1227" i="33"/>
  <c r="AJ1227" i="33"/>
  <c r="AI1227" i="33"/>
  <c r="AH1227" i="33"/>
  <c r="J1227" i="33"/>
  <c r="I1227" i="33"/>
  <c r="H1227" i="33"/>
  <c r="G1227" i="33"/>
  <c r="F1227" i="33"/>
  <c r="DE1226" i="33"/>
  <c r="CX1226" i="33"/>
  <c r="CI1226" i="33"/>
  <c r="J1232" i="33" s="1"/>
  <c r="CI1232" i="33" s="1"/>
  <c r="J1238" i="33" s="1"/>
  <c r="CI1238" i="33" s="1"/>
  <c r="J1244" i="33" s="1"/>
  <c r="CI1244" i="33" s="1"/>
  <c r="J1250" i="33" s="1"/>
  <c r="CI1250" i="33" s="1"/>
  <c r="CH1226" i="33"/>
  <c r="CG1226" i="33"/>
  <c r="H1232" i="33" s="1"/>
  <c r="CG1232" i="33" s="1"/>
  <c r="H1238" i="33" s="1"/>
  <c r="CG1238" i="33" s="1"/>
  <c r="H1244" i="33" s="1"/>
  <c r="CG1244" i="33" s="1"/>
  <c r="H1250" i="33" s="1"/>
  <c r="CG1250" i="33" s="1"/>
  <c r="CF1226" i="33"/>
  <c r="G1232" i="33" s="1"/>
  <c r="CF1232" i="33" s="1"/>
  <c r="G1238" i="33" s="1"/>
  <c r="CF1238" i="33" s="1"/>
  <c r="G1244" i="33" s="1"/>
  <c r="CF1244" i="33" s="1"/>
  <c r="G1250" i="33" s="1"/>
  <c r="CF1250" i="33" s="1"/>
  <c r="CE1226" i="33"/>
  <c r="F1232" i="33" s="1"/>
  <c r="CE1232" i="33" s="1"/>
  <c r="F1238" i="33" s="1"/>
  <c r="CE1238" i="33" s="1"/>
  <c r="F1244" i="33" s="1"/>
  <c r="CE1244" i="33" s="1"/>
  <c r="F1250" i="33" s="1"/>
  <c r="CE1250" i="33" s="1"/>
  <c r="CC1226" i="33"/>
  <c r="BV1226" i="33"/>
  <c r="BO1226" i="33"/>
  <c r="BH1226" i="33"/>
  <c r="BA1226" i="33"/>
  <c r="AT1226" i="33"/>
  <c r="AM1226" i="33"/>
  <c r="AF1226" i="33"/>
  <c r="Y1226" i="33"/>
  <c r="R1226" i="33"/>
  <c r="K1226" i="33"/>
  <c r="DE1225" i="33"/>
  <c r="CX1225" i="33"/>
  <c r="CI1225" i="33"/>
  <c r="CH1225" i="33"/>
  <c r="I1231" i="33" s="1"/>
  <c r="CH1231" i="33" s="1"/>
  <c r="I1237" i="33" s="1"/>
  <c r="CH1237" i="33" s="1"/>
  <c r="I1243" i="33" s="1"/>
  <c r="CH1243" i="33" s="1"/>
  <c r="I1249" i="33" s="1"/>
  <c r="CH1249" i="33" s="1"/>
  <c r="CG1225" i="33"/>
  <c r="H1231" i="33" s="1"/>
  <c r="CG1231" i="33" s="1"/>
  <c r="H1237" i="33" s="1"/>
  <c r="CG1237" i="33" s="1"/>
  <c r="H1243" i="33" s="1"/>
  <c r="CG1243" i="33" s="1"/>
  <c r="H1249" i="33" s="1"/>
  <c r="CG1249" i="33" s="1"/>
  <c r="CF1225" i="33"/>
  <c r="G1231" i="33" s="1"/>
  <c r="CF1231" i="33" s="1"/>
  <c r="G1237" i="33" s="1"/>
  <c r="CF1237" i="33" s="1"/>
  <c r="G1243" i="33" s="1"/>
  <c r="CF1243" i="33" s="1"/>
  <c r="G1249" i="33" s="1"/>
  <c r="CF1249" i="33" s="1"/>
  <c r="CE1225" i="33"/>
  <c r="CC1225" i="33"/>
  <c r="BV1225" i="33"/>
  <c r="BO1225" i="33"/>
  <c r="BH1225" i="33"/>
  <c r="BA1225" i="33"/>
  <c r="AT1225" i="33"/>
  <c r="AM1225" i="33"/>
  <c r="AF1225" i="33"/>
  <c r="Y1225" i="33"/>
  <c r="R1225" i="33"/>
  <c r="K1225" i="33"/>
  <c r="DE1224" i="33"/>
  <c r="CX1224" i="33"/>
  <c r="CI1224" i="33"/>
  <c r="J1230" i="33" s="1"/>
  <c r="CI1230" i="33" s="1"/>
  <c r="J1236" i="33" s="1"/>
  <c r="CI1236" i="33" s="1"/>
  <c r="J1242" i="33" s="1"/>
  <c r="CI1242" i="33" s="1"/>
  <c r="J1248" i="33" s="1"/>
  <c r="CI1248" i="33" s="1"/>
  <c r="CH1224" i="33"/>
  <c r="CG1224" i="33"/>
  <c r="H1230" i="33" s="1"/>
  <c r="CG1230" i="33" s="1"/>
  <c r="H1236" i="33" s="1"/>
  <c r="CG1236" i="33" s="1"/>
  <c r="H1242" i="33" s="1"/>
  <c r="CG1242" i="33" s="1"/>
  <c r="H1248" i="33" s="1"/>
  <c r="CG1248" i="33" s="1"/>
  <c r="CF1224" i="33"/>
  <c r="G1230" i="33" s="1"/>
  <c r="CF1230" i="33" s="1"/>
  <c r="G1236" i="33" s="1"/>
  <c r="CF1236" i="33" s="1"/>
  <c r="G1242" i="33" s="1"/>
  <c r="CF1242" i="33" s="1"/>
  <c r="G1248" i="33" s="1"/>
  <c r="CF1248" i="33" s="1"/>
  <c r="CE1224" i="33"/>
  <c r="CC1224" i="33"/>
  <c r="BV1224" i="33"/>
  <c r="BV1227" i="33" s="1"/>
  <c r="BO1224" i="33"/>
  <c r="BH1224" i="33"/>
  <c r="BA1224" i="33"/>
  <c r="AT1224" i="33"/>
  <c r="AM1224" i="33"/>
  <c r="AF1224" i="33"/>
  <c r="Y1224" i="33"/>
  <c r="R1224" i="33"/>
  <c r="K1224" i="33"/>
  <c r="K1227" i="33" s="1"/>
  <c r="DE1223" i="33"/>
  <c r="DE1227" i="33" s="1"/>
  <c r="CX1223" i="33"/>
  <c r="CX1227" i="33" s="1"/>
  <c r="CI1223" i="33"/>
  <c r="J1229" i="33" s="1"/>
  <c r="CI1229" i="33" s="1"/>
  <c r="CH1223" i="33"/>
  <c r="I1229" i="33" s="1"/>
  <c r="CG1223" i="33"/>
  <c r="CF1223" i="33"/>
  <c r="CF1227" i="33" s="1"/>
  <c r="CE1223" i="33"/>
  <c r="CC1223" i="33"/>
  <c r="BV1223" i="33"/>
  <c r="BO1223" i="33"/>
  <c r="BO1227" i="33" s="1"/>
  <c r="BH1223" i="33"/>
  <c r="BH1227" i="33" s="1"/>
  <c r="BA1223" i="33"/>
  <c r="AT1223" i="33"/>
  <c r="AT1227" i="33" s="1"/>
  <c r="AM1223" i="33"/>
  <c r="AF1223" i="33"/>
  <c r="Y1223" i="33"/>
  <c r="R1223" i="33"/>
  <c r="K1223" i="33"/>
  <c r="DD1219" i="33"/>
  <c r="DC1219" i="33"/>
  <c r="DB1219" i="33"/>
  <c r="DA1219" i="33"/>
  <c r="CZ1219" i="33"/>
  <c r="CW1219" i="33"/>
  <c r="CV1219" i="33"/>
  <c r="CU1219" i="33"/>
  <c r="CT1219" i="33"/>
  <c r="CS1219" i="33"/>
  <c r="CP1219" i="33"/>
  <c r="CO1219" i="33"/>
  <c r="CN1219" i="33"/>
  <c r="CM1219" i="33"/>
  <c r="CL1219" i="33"/>
  <c r="CB1219" i="33"/>
  <c r="CA1219" i="33"/>
  <c r="BZ1219" i="33"/>
  <c r="BY1219" i="33"/>
  <c r="BX1219" i="33"/>
  <c r="BU1219" i="33"/>
  <c r="BT1219" i="33"/>
  <c r="BS1219" i="33"/>
  <c r="BR1219" i="33"/>
  <c r="BQ1219" i="33"/>
  <c r="BN1219" i="33"/>
  <c r="BM1219" i="33"/>
  <c r="BL1219" i="33"/>
  <c r="BK1219" i="33"/>
  <c r="BJ1219" i="33"/>
  <c r="BG1219" i="33"/>
  <c r="BF1219" i="33"/>
  <c r="BE1219" i="33"/>
  <c r="BD1219" i="33"/>
  <c r="BC1219" i="33"/>
  <c r="AZ1219" i="33"/>
  <c r="AY1219" i="33"/>
  <c r="AX1219" i="33"/>
  <c r="AW1219" i="33"/>
  <c r="AV1219" i="33"/>
  <c r="AS1219" i="33"/>
  <c r="AR1219" i="33"/>
  <c r="AQ1219" i="33"/>
  <c r="AP1219" i="33"/>
  <c r="AO1219" i="33"/>
  <c r="AL1219" i="33"/>
  <c r="AK1219" i="33"/>
  <c r="AJ1219" i="33"/>
  <c r="AI1219" i="33"/>
  <c r="AH1219" i="33"/>
  <c r="DE1218" i="33"/>
  <c r="CX1218" i="33"/>
  <c r="CF1218" i="33"/>
  <c r="CC1218" i="33"/>
  <c r="BV1218" i="33"/>
  <c r="BO1218" i="33"/>
  <c r="BH1218" i="33"/>
  <c r="BA1218" i="33"/>
  <c r="AT1218" i="33"/>
  <c r="AM1218" i="33"/>
  <c r="AF1218" i="33"/>
  <c r="Y1218" i="33"/>
  <c r="R1218" i="33"/>
  <c r="DE1217" i="33"/>
  <c r="CX1217" i="33"/>
  <c r="CC1217" i="33"/>
  <c r="BV1217" i="33"/>
  <c r="BO1217" i="33"/>
  <c r="BH1217" i="33"/>
  <c r="BA1217" i="33"/>
  <c r="AT1217" i="33"/>
  <c r="AM1217" i="33"/>
  <c r="AF1217" i="33"/>
  <c r="Y1217" i="33"/>
  <c r="R1217" i="33"/>
  <c r="DE1216" i="33"/>
  <c r="CX1216" i="33"/>
  <c r="CC1216" i="33"/>
  <c r="BV1216" i="33"/>
  <c r="BO1216" i="33"/>
  <c r="BH1216" i="33"/>
  <c r="BA1216" i="33"/>
  <c r="AT1216" i="33"/>
  <c r="AM1216" i="33"/>
  <c r="AF1216" i="33"/>
  <c r="Y1216" i="33"/>
  <c r="R1216" i="33"/>
  <c r="DE1215" i="33"/>
  <c r="DE1219" i="33" s="1"/>
  <c r="CX1215" i="33"/>
  <c r="CC1215" i="33"/>
  <c r="CC1219" i="33" s="1"/>
  <c r="BV1215" i="33"/>
  <c r="BV1219" i="33" s="1"/>
  <c r="BO1215" i="33"/>
  <c r="BO1219" i="33" s="1"/>
  <c r="BH1215" i="33"/>
  <c r="BH1219" i="33" s="1"/>
  <c r="BA1215" i="33"/>
  <c r="AT1215" i="33"/>
  <c r="AM1215" i="33"/>
  <c r="AF1215" i="33"/>
  <c r="Y1215" i="33"/>
  <c r="R1215" i="33"/>
  <c r="DD1213" i="33"/>
  <c r="DC1213" i="33"/>
  <c r="DB1213" i="33"/>
  <c r="DA1213" i="33"/>
  <c r="CZ1213" i="33"/>
  <c r="CW1213" i="33"/>
  <c r="CV1213" i="33"/>
  <c r="CU1213" i="33"/>
  <c r="CT1213" i="33"/>
  <c r="CS1213" i="33"/>
  <c r="CP1213" i="33"/>
  <c r="CO1213" i="33"/>
  <c r="CN1213" i="33"/>
  <c r="CM1213" i="33"/>
  <c r="CL1213" i="33"/>
  <c r="CB1213" i="33"/>
  <c r="CA1213" i="33"/>
  <c r="BZ1213" i="33"/>
  <c r="BY1213" i="33"/>
  <c r="BX1213" i="33"/>
  <c r="BU1213" i="33"/>
  <c r="BT1213" i="33"/>
  <c r="BS1213" i="33"/>
  <c r="BR1213" i="33"/>
  <c r="BQ1213" i="33"/>
  <c r="BN1213" i="33"/>
  <c r="BM1213" i="33"/>
  <c r="BL1213" i="33"/>
  <c r="BK1213" i="33"/>
  <c r="BJ1213" i="33"/>
  <c r="BH1213" i="33"/>
  <c r="BG1213" i="33"/>
  <c r="BF1213" i="33"/>
  <c r="BE1213" i="33"/>
  <c r="BD1213" i="33"/>
  <c r="BC1213" i="33"/>
  <c r="AZ1213" i="33"/>
  <c r="AY1213" i="33"/>
  <c r="AX1213" i="33"/>
  <c r="AW1213" i="33"/>
  <c r="AV1213" i="33"/>
  <c r="AS1213" i="33"/>
  <c r="AR1213" i="33"/>
  <c r="AQ1213" i="33"/>
  <c r="AP1213" i="33"/>
  <c r="AO1213" i="33"/>
  <c r="AL1213" i="33"/>
  <c r="AK1213" i="33"/>
  <c r="AJ1213" i="33"/>
  <c r="AI1213" i="33"/>
  <c r="AH1213" i="33"/>
  <c r="DE1212" i="33"/>
  <c r="CX1212" i="33"/>
  <c r="CC1212" i="33"/>
  <c r="BV1212" i="33"/>
  <c r="BO1212" i="33"/>
  <c r="BH1212" i="33"/>
  <c r="BA1212" i="33"/>
  <c r="AT1212" i="33"/>
  <c r="AM1212" i="33"/>
  <c r="AF1212" i="33"/>
  <c r="Y1212" i="33"/>
  <c r="R1212" i="33"/>
  <c r="DE1211" i="33"/>
  <c r="CX1211" i="33"/>
  <c r="CC1211" i="33"/>
  <c r="BV1211" i="33"/>
  <c r="BO1211" i="33"/>
  <c r="BH1211" i="33"/>
  <c r="BA1211" i="33"/>
  <c r="AT1211" i="33"/>
  <c r="AM1211" i="33"/>
  <c r="AF1211" i="33"/>
  <c r="Y1211" i="33"/>
  <c r="R1211" i="33"/>
  <c r="DE1210" i="33"/>
  <c r="CX1210" i="33"/>
  <c r="CC1210" i="33"/>
  <c r="BV1210" i="33"/>
  <c r="BO1210" i="33"/>
  <c r="BH1210" i="33"/>
  <c r="BA1210" i="33"/>
  <c r="AT1210" i="33"/>
  <c r="AM1210" i="33"/>
  <c r="AF1210" i="33"/>
  <c r="Y1210" i="33"/>
  <c r="R1210" i="33"/>
  <c r="DE1209" i="33"/>
  <c r="DE1213" i="33" s="1"/>
  <c r="CX1209" i="33"/>
  <c r="CX1213" i="33" s="1"/>
  <c r="CC1209" i="33"/>
  <c r="CC1213" i="33" s="1"/>
  <c r="BV1209" i="33"/>
  <c r="BV1213" i="33" s="1"/>
  <c r="BO1209" i="33"/>
  <c r="BO1213" i="33" s="1"/>
  <c r="BH1209" i="33"/>
  <c r="BA1209" i="33"/>
  <c r="AT1209" i="33"/>
  <c r="AT1213" i="33" s="1"/>
  <c r="AM1209" i="33"/>
  <c r="AF1209" i="33"/>
  <c r="Y1209" i="33"/>
  <c r="R1209" i="33"/>
  <c r="DD1207" i="33"/>
  <c r="DC1207" i="33"/>
  <c r="DB1207" i="33"/>
  <c r="DA1207" i="33"/>
  <c r="CZ1207" i="33"/>
  <c r="CW1207" i="33"/>
  <c r="CV1207" i="33"/>
  <c r="CU1207" i="33"/>
  <c r="CT1207" i="33"/>
  <c r="CS1207" i="33"/>
  <c r="CP1207" i="33"/>
  <c r="CO1207" i="33"/>
  <c r="CN1207" i="33"/>
  <c r="CM1207" i="33"/>
  <c r="CL1207" i="33"/>
  <c r="CB1207" i="33"/>
  <c r="CA1207" i="33"/>
  <c r="BZ1207" i="33"/>
  <c r="BY1207" i="33"/>
  <c r="BX1207" i="33"/>
  <c r="BU1207" i="33"/>
  <c r="BT1207" i="33"/>
  <c r="BS1207" i="33"/>
  <c r="BR1207" i="33"/>
  <c r="BQ1207" i="33"/>
  <c r="BN1207" i="33"/>
  <c r="BM1207" i="33"/>
  <c r="BL1207" i="33"/>
  <c r="BK1207" i="33"/>
  <c r="BJ1207" i="33"/>
  <c r="BG1207" i="33"/>
  <c r="BF1207" i="33"/>
  <c r="BE1207" i="33"/>
  <c r="BD1207" i="33"/>
  <c r="BC1207" i="33"/>
  <c r="AZ1207" i="33"/>
  <c r="AY1207" i="33"/>
  <c r="AX1207" i="33"/>
  <c r="AW1207" i="33"/>
  <c r="AV1207" i="33"/>
  <c r="AS1207" i="33"/>
  <c r="AR1207" i="33"/>
  <c r="AQ1207" i="33"/>
  <c r="AP1207" i="33"/>
  <c r="AO1207" i="33"/>
  <c r="AL1207" i="33"/>
  <c r="AK1207" i="33"/>
  <c r="AJ1207" i="33"/>
  <c r="AI1207" i="33"/>
  <c r="AH1207" i="33"/>
  <c r="DE1206" i="33"/>
  <c r="CX1206" i="33"/>
  <c r="CC1206" i="33"/>
  <c r="BV1206" i="33"/>
  <c r="BO1206" i="33"/>
  <c r="BH1206" i="33"/>
  <c r="BA1206" i="33"/>
  <c r="AT1206" i="33"/>
  <c r="AM1206" i="33"/>
  <c r="AF1206" i="33"/>
  <c r="Y1206" i="33"/>
  <c r="R1206" i="33"/>
  <c r="DE1205" i="33"/>
  <c r="CX1205" i="33"/>
  <c r="CC1205" i="33"/>
  <c r="BV1205" i="33"/>
  <c r="BO1205" i="33"/>
  <c r="BH1205" i="33"/>
  <c r="BA1205" i="33"/>
  <c r="AT1205" i="33"/>
  <c r="AM1205" i="33"/>
  <c r="AF1205" i="33"/>
  <c r="Y1205" i="33"/>
  <c r="R1205" i="33"/>
  <c r="H1205" i="33"/>
  <c r="CG1205" i="33" s="1"/>
  <c r="H1211" i="33" s="1"/>
  <c r="CG1211" i="33" s="1"/>
  <c r="H1217" i="33" s="1"/>
  <c r="CG1217" i="33" s="1"/>
  <c r="DE1204" i="33"/>
  <c r="CX1204" i="33"/>
  <c r="CC1204" i="33"/>
  <c r="BV1204" i="33"/>
  <c r="BO1204" i="33"/>
  <c r="BH1204" i="33"/>
  <c r="BA1204" i="33"/>
  <c r="AT1204" i="33"/>
  <c r="AM1204" i="33"/>
  <c r="AF1204" i="33"/>
  <c r="Y1204" i="33"/>
  <c r="R1204" i="33"/>
  <c r="DE1203" i="33"/>
  <c r="CX1203" i="33"/>
  <c r="CC1203" i="33"/>
  <c r="CC1207" i="33" s="1"/>
  <c r="BV1203" i="33"/>
  <c r="BV1207" i="33" s="1"/>
  <c r="BO1203" i="33"/>
  <c r="BO1207" i="33" s="1"/>
  <c r="BH1203" i="33"/>
  <c r="BH1207" i="33" s="1"/>
  <c r="BA1203" i="33"/>
  <c r="BA1207" i="33" s="1"/>
  <c r="AT1203" i="33"/>
  <c r="AT1207" i="33" s="1"/>
  <c r="AM1203" i="33"/>
  <c r="AM1207" i="33" s="1"/>
  <c r="AF1203" i="33"/>
  <c r="Y1203" i="33"/>
  <c r="R1203" i="33"/>
  <c r="DD1201" i="33"/>
  <c r="DC1201" i="33"/>
  <c r="DB1201" i="33"/>
  <c r="DA1201" i="33"/>
  <c r="CZ1201" i="33"/>
  <c r="CW1201" i="33"/>
  <c r="CV1201" i="33"/>
  <c r="CU1201" i="33"/>
  <c r="CT1201" i="33"/>
  <c r="CS1201" i="33"/>
  <c r="CP1201" i="33"/>
  <c r="CO1201" i="33"/>
  <c r="CN1201" i="33"/>
  <c r="CM1201" i="33"/>
  <c r="CL1201" i="33"/>
  <c r="CB1201" i="33"/>
  <c r="CA1201" i="33"/>
  <c r="BZ1201" i="33"/>
  <c r="BY1201" i="33"/>
  <c r="BX1201" i="33"/>
  <c r="BU1201" i="33"/>
  <c r="BT1201" i="33"/>
  <c r="BS1201" i="33"/>
  <c r="BR1201" i="33"/>
  <c r="BQ1201" i="33"/>
  <c r="BN1201" i="33"/>
  <c r="BM1201" i="33"/>
  <c r="BL1201" i="33"/>
  <c r="BK1201" i="33"/>
  <c r="BJ1201" i="33"/>
  <c r="BG1201" i="33"/>
  <c r="BF1201" i="33"/>
  <c r="BE1201" i="33"/>
  <c r="BD1201" i="33"/>
  <c r="BC1201" i="33"/>
  <c r="AZ1201" i="33"/>
  <c r="AY1201" i="33"/>
  <c r="AX1201" i="33"/>
  <c r="AW1201" i="33"/>
  <c r="AV1201" i="33"/>
  <c r="AS1201" i="33"/>
  <c r="AR1201" i="33"/>
  <c r="AQ1201" i="33"/>
  <c r="AP1201" i="33"/>
  <c r="AO1201" i="33"/>
  <c r="AL1201" i="33"/>
  <c r="AK1201" i="33"/>
  <c r="AJ1201" i="33"/>
  <c r="AI1201" i="33"/>
  <c r="AH1201" i="33"/>
  <c r="DE1200" i="33"/>
  <c r="CX1200" i="33"/>
  <c r="CF1200" i="33"/>
  <c r="G1206" i="33" s="1"/>
  <c r="CF1206" i="33" s="1"/>
  <c r="G1212" i="33" s="1"/>
  <c r="CF1212" i="33" s="1"/>
  <c r="G1218" i="33" s="1"/>
  <c r="CC1200" i="33"/>
  <c r="BV1200" i="33"/>
  <c r="BO1200" i="33"/>
  <c r="BH1200" i="33"/>
  <c r="BA1200" i="33"/>
  <c r="AT1200" i="33"/>
  <c r="AM1200" i="33"/>
  <c r="AF1200" i="33"/>
  <c r="Y1200" i="33"/>
  <c r="R1200" i="33"/>
  <c r="DE1199" i="33"/>
  <c r="CX1199" i="33"/>
  <c r="CC1199" i="33"/>
  <c r="BV1199" i="33"/>
  <c r="BO1199" i="33"/>
  <c r="BH1199" i="33"/>
  <c r="BA1199" i="33"/>
  <c r="AT1199" i="33"/>
  <c r="AM1199" i="33"/>
  <c r="AF1199" i="33"/>
  <c r="Y1199" i="33"/>
  <c r="R1199" i="33"/>
  <c r="J1199" i="33"/>
  <c r="CI1199" i="33" s="1"/>
  <c r="J1205" i="33" s="1"/>
  <c r="CI1205" i="33" s="1"/>
  <c r="J1211" i="33" s="1"/>
  <c r="CI1211" i="33" s="1"/>
  <c r="J1217" i="33" s="1"/>
  <c r="CI1217" i="33" s="1"/>
  <c r="I1199" i="33"/>
  <c r="CH1199" i="33" s="1"/>
  <c r="I1205" i="33" s="1"/>
  <c r="CH1205" i="33" s="1"/>
  <c r="I1211" i="33" s="1"/>
  <c r="CH1211" i="33" s="1"/>
  <c r="I1217" i="33" s="1"/>
  <c r="CH1217" i="33" s="1"/>
  <c r="G1199" i="33"/>
  <c r="CF1199" i="33" s="1"/>
  <c r="G1205" i="33" s="1"/>
  <c r="CF1205" i="33" s="1"/>
  <c r="G1211" i="33" s="1"/>
  <c r="CF1211" i="33" s="1"/>
  <c r="G1217" i="33" s="1"/>
  <c r="CF1217" i="33" s="1"/>
  <c r="DE1198" i="33"/>
  <c r="CX1198" i="33"/>
  <c r="CC1198" i="33"/>
  <c r="BV1198" i="33"/>
  <c r="BO1198" i="33"/>
  <c r="BH1198" i="33"/>
  <c r="BA1198" i="33"/>
  <c r="AT1198" i="33"/>
  <c r="AM1198" i="33"/>
  <c r="AF1198" i="33"/>
  <c r="Y1198" i="33"/>
  <c r="R1198" i="33"/>
  <c r="DE1197" i="33"/>
  <c r="CX1197" i="33"/>
  <c r="CX1201" i="33" s="1"/>
  <c r="CC1197" i="33"/>
  <c r="CC1201" i="33" s="1"/>
  <c r="BV1197" i="33"/>
  <c r="BO1197" i="33"/>
  <c r="BH1197" i="33"/>
  <c r="BA1197" i="33"/>
  <c r="BA1201" i="33" s="1"/>
  <c r="AT1197" i="33"/>
  <c r="AM1197" i="33"/>
  <c r="AF1197" i="33"/>
  <c r="Y1197" i="33"/>
  <c r="R1197" i="33"/>
  <c r="I1197" i="33"/>
  <c r="G1197" i="33"/>
  <c r="CF1197" i="33" s="1"/>
  <c r="DD1195" i="33"/>
  <c r="DC1195" i="33"/>
  <c r="DB1195" i="33"/>
  <c r="DA1195" i="33"/>
  <c r="CZ1195" i="33"/>
  <c r="CW1195" i="33"/>
  <c r="CV1195" i="33"/>
  <c r="CU1195" i="33"/>
  <c r="CT1195" i="33"/>
  <c r="CS1195" i="33"/>
  <c r="CP1195" i="33"/>
  <c r="CO1195" i="33"/>
  <c r="CN1195" i="33"/>
  <c r="CM1195" i="33"/>
  <c r="CL1195" i="33"/>
  <c r="CB1195" i="33"/>
  <c r="CA1195" i="33"/>
  <c r="BZ1195" i="33"/>
  <c r="BY1195" i="33"/>
  <c r="BX1195" i="33"/>
  <c r="BU1195" i="33"/>
  <c r="BT1195" i="33"/>
  <c r="BS1195" i="33"/>
  <c r="BR1195" i="33"/>
  <c r="BQ1195" i="33"/>
  <c r="BO1195" i="33"/>
  <c r="BN1195" i="33"/>
  <c r="BM1195" i="33"/>
  <c r="BL1195" i="33"/>
  <c r="BK1195" i="33"/>
  <c r="BJ1195" i="33"/>
  <c r="BG1195" i="33"/>
  <c r="BF1195" i="33"/>
  <c r="BE1195" i="33"/>
  <c r="BD1195" i="33"/>
  <c r="BC1195" i="33"/>
  <c r="BA1195" i="33"/>
  <c r="AZ1195" i="33"/>
  <c r="AY1195" i="33"/>
  <c r="AX1195" i="33"/>
  <c r="AW1195" i="33"/>
  <c r="AV1195" i="33"/>
  <c r="AS1195" i="33"/>
  <c r="AR1195" i="33"/>
  <c r="AQ1195" i="33"/>
  <c r="AP1195" i="33"/>
  <c r="AO1195" i="33"/>
  <c r="AM1195" i="33"/>
  <c r="AL1195" i="33"/>
  <c r="AK1195" i="33"/>
  <c r="AJ1195" i="33"/>
  <c r="AI1195" i="33"/>
  <c r="AH1195" i="33"/>
  <c r="J1195" i="33"/>
  <c r="I1195" i="33"/>
  <c r="H1195" i="33"/>
  <c r="G1195" i="33"/>
  <c r="F1195" i="33"/>
  <c r="DE1194" i="33"/>
  <c r="CX1194" i="33"/>
  <c r="CI1194" i="33"/>
  <c r="J1200" i="33" s="1"/>
  <c r="CI1200" i="33" s="1"/>
  <c r="J1206" i="33" s="1"/>
  <c r="CI1206" i="33" s="1"/>
  <c r="J1212" i="33" s="1"/>
  <c r="CI1212" i="33" s="1"/>
  <c r="J1218" i="33" s="1"/>
  <c r="CI1218" i="33" s="1"/>
  <c r="CH1194" i="33"/>
  <c r="I1200" i="33" s="1"/>
  <c r="CH1200" i="33" s="1"/>
  <c r="I1206" i="33" s="1"/>
  <c r="CH1206" i="33" s="1"/>
  <c r="I1212" i="33" s="1"/>
  <c r="CH1212" i="33" s="1"/>
  <c r="I1218" i="33" s="1"/>
  <c r="CH1218" i="33" s="1"/>
  <c r="CG1194" i="33"/>
  <c r="H1200" i="33" s="1"/>
  <c r="CG1200" i="33" s="1"/>
  <c r="H1206" i="33" s="1"/>
  <c r="CG1206" i="33" s="1"/>
  <c r="H1212" i="33" s="1"/>
  <c r="CG1212" i="33" s="1"/>
  <c r="H1218" i="33" s="1"/>
  <c r="CG1218" i="33" s="1"/>
  <c r="CF1194" i="33"/>
  <c r="G1200" i="33" s="1"/>
  <c r="CE1194" i="33"/>
  <c r="F1200" i="33" s="1"/>
  <c r="CC1194" i="33"/>
  <c r="BV1194" i="33"/>
  <c r="BO1194" i="33"/>
  <c r="BH1194" i="33"/>
  <c r="BA1194" i="33"/>
  <c r="AT1194" i="33"/>
  <c r="AM1194" i="33"/>
  <c r="AF1194" i="33"/>
  <c r="Y1194" i="33"/>
  <c r="R1194" i="33"/>
  <c r="K1194" i="33"/>
  <c r="DE1193" i="33"/>
  <c r="DE1195" i="33" s="1"/>
  <c r="CX1193" i="33"/>
  <c r="CI1193" i="33"/>
  <c r="CH1193" i="33"/>
  <c r="CG1193" i="33"/>
  <c r="H1199" i="33" s="1"/>
  <c r="CG1199" i="33" s="1"/>
  <c r="CF1193" i="33"/>
  <c r="CE1193" i="33"/>
  <c r="CC1193" i="33"/>
  <c r="CC1195" i="33" s="1"/>
  <c r="BV1193" i="33"/>
  <c r="BO1193" i="33"/>
  <c r="BH1193" i="33"/>
  <c r="BA1193" i="33"/>
  <c r="AT1193" i="33"/>
  <c r="AM1193" i="33"/>
  <c r="AF1193" i="33"/>
  <c r="Y1193" i="33"/>
  <c r="R1193" i="33"/>
  <c r="K1193" i="33"/>
  <c r="DE1192" i="33"/>
  <c r="CX1192" i="33"/>
  <c r="CI1192" i="33"/>
  <c r="J1198" i="33" s="1"/>
  <c r="CI1198" i="33" s="1"/>
  <c r="J1204" i="33" s="1"/>
  <c r="CI1204" i="33" s="1"/>
  <c r="J1210" i="33" s="1"/>
  <c r="CI1210" i="33" s="1"/>
  <c r="J1216" i="33" s="1"/>
  <c r="CI1216" i="33" s="1"/>
  <c r="CH1192" i="33"/>
  <c r="CG1192" i="33"/>
  <c r="H1198" i="33" s="1"/>
  <c r="CG1198" i="33" s="1"/>
  <c r="H1204" i="33" s="1"/>
  <c r="CG1204" i="33" s="1"/>
  <c r="H1210" i="33" s="1"/>
  <c r="CG1210" i="33" s="1"/>
  <c r="H1216" i="33" s="1"/>
  <c r="CG1216" i="33" s="1"/>
  <c r="CF1192" i="33"/>
  <c r="G1198" i="33" s="1"/>
  <c r="CE1192" i="33"/>
  <c r="F1198" i="33" s="1"/>
  <c r="CE1198" i="33" s="1"/>
  <c r="F1204" i="33" s="1"/>
  <c r="CC1192" i="33"/>
  <c r="BV1192" i="33"/>
  <c r="BO1192" i="33"/>
  <c r="BH1192" i="33"/>
  <c r="BA1192" i="33"/>
  <c r="AT1192" i="33"/>
  <c r="AM1192" i="33"/>
  <c r="AF1192" i="33"/>
  <c r="Y1192" i="33"/>
  <c r="R1192" i="33"/>
  <c r="K1192" i="33"/>
  <c r="DE1191" i="33"/>
  <c r="CX1191" i="33"/>
  <c r="CX1195" i="33" s="1"/>
  <c r="CI1191" i="33"/>
  <c r="J1197" i="33" s="1"/>
  <c r="CH1191" i="33"/>
  <c r="CG1191" i="33"/>
  <c r="H1197" i="33" s="1"/>
  <c r="CF1191" i="33"/>
  <c r="CE1191" i="33"/>
  <c r="CC1191" i="33"/>
  <c r="BV1191" i="33"/>
  <c r="BV1195" i="33" s="1"/>
  <c r="BO1191" i="33"/>
  <c r="BH1191" i="33"/>
  <c r="BA1191" i="33"/>
  <c r="AT1191" i="33"/>
  <c r="AT1195" i="33" s="1"/>
  <c r="AM1191" i="33"/>
  <c r="AF1191" i="33"/>
  <c r="Y1191" i="33"/>
  <c r="R1191" i="33"/>
  <c r="K1191" i="33"/>
  <c r="K1195" i="33" s="1"/>
  <c r="DD1187" i="33"/>
  <c r="DC1187" i="33"/>
  <c r="DB1187" i="33"/>
  <c r="DA1187" i="33"/>
  <c r="CZ1187" i="33"/>
  <c r="CW1187" i="33"/>
  <c r="CV1187" i="33"/>
  <c r="CU1187" i="33"/>
  <c r="CT1187" i="33"/>
  <c r="CS1187" i="33"/>
  <c r="CP1187" i="33"/>
  <c r="CO1187" i="33"/>
  <c r="CN1187" i="33"/>
  <c r="CM1187" i="33"/>
  <c r="CL1187" i="33"/>
  <c r="CB1187" i="33"/>
  <c r="CA1187" i="33"/>
  <c r="BZ1187" i="33"/>
  <c r="BY1187" i="33"/>
  <c r="BX1187" i="33"/>
  <c r="BU1187" i="33"/>
  <c r="BT1187" i="33"/>
  <c r="BS1187" i="33"/>
  <c r="BR1187" i="33"/>
  <c r="BQ1187" i="33"/>
  <c r="BO1187" i="33"/>
  <c r="BN1187" i="33"/>
  <c r="BM1187" i="33"/>
  <c r="BL1187" i="33"/>
  <c r="BK1187" i="33"/>
  <c r="BJ1187" i="33"/>
  <c r="BG1187" i="33"/>
  <c r="BF1187" i="33"/>
  <c r="BE1187" i="33"/>
  <c r="BD1187" i="33"/>
  <c r="BC1187" i="33"/>
  <c r="AZ1187" i="33"/>
  <c r="AY1187" i="33"/>
  <c r="AX1187" i="33"/>
  <c r="AW1187" i="33"/>
  <c r="AV1187" i="33"/>
  <c r="AS1187" i="33"/>
  <c r="AR1187" i="33"/>
  <c r="AQ1187" i="33"/>
  <c r="AP1187" i="33"/>
  <c r="AO1187" i="33"/>
  <c r="AL1187" i="33"/>
  <c r="AK1187" i="33"/>
  <c r="AJ1187" i="33"/>
  <c r="AI1187" i="33"/>
  <c r="AH1187" i="33"/>
  <c r="DE1186" i="33"/>
  <c r="CX1186" i="33"/>
  <c r="CC1186" i="33"/>
  <c r="BV1186" i="33"/>
  <c r="BO1186" i="33"/>
  <c r="BH1186" i="33"/>
  <c r="BA1186" i="33"/>
  <c r="AT1186" i="33"/>
  <c r="AM1186" i="33"/>
  <c r="AF1186" i="33"/>
  <c r="Y1186" i="33"/>
  <c r="R1186" i="33"/>
  <c r="DE1185" i="33"/>
  <c r="CX1185" i="33"/>
  <c r="CC1185" i="33"/>
  <c r="BV1185" i="33"/>
  <c r="BO1185" i="33"/>
  <c r="BH1185" i="33"/>
  <c r="BA1185" i="33"/>
  <c r="AT1185" i="33"/>
  <c r="AM1185" i="33"/>
  <c r="AF1185" i="33"/>
  <c r="Y1185" i="33"/>
  <c r="R1185" i="33"/>
  <c r="DE1184" i="33"/>
  <c r="DE1187" i="33" s="1"/>
  <c r="CX1184" i="33"/>
  <c r="CC1184" i="33"/>
  <c r="BV1184" i="33"/>
  <c r="BV1187" i="33" s="1"/>
  <c r="BO1184" i="33"/>
  <c r="BH1184" i="33"/>
  <c r="BH1187" i="33" s="1"/>
  <c r="BA1184" i="33"/>
  <c r="AT1184" i="33"/>
  <c r="AM1184" i="33"/>
  <c r="AM1187" i="33" s="1"/>
  <c r="AF1184" i="33"/>
  <c r="Y1184" i="33"/>
  <c r="R1184" i="33"/>
  <c r="DE1183" i="33"/>
  <c r="CX1183" i="33"/>
  <c r="CX1187" i="33" s="1"/>
  <c r="CC1183" i="33"/>
  <c r="BV1183" i="33"/>
  <c r="BO1183" i="33"/>
  <c r="BH1183" i="33"/>
  <c r="BA1183" i="33"/>
  <c r="BA1187" i="33" s="1"/>
  <c r="AT1183" i="33"/>
  <c r="AT1187" i="33" s="1"/>
  <c r="AM1183" i="33"/>
  <c r="AF1183" i="33"/>
  <c r="Y1183" i="33"/>
  <c r="R1183" i="33"/>
  <c r="DD1181" i="33"/>
  <c r="DC1181" i="33"/>
  <c r="DB1181" i="33"/>
  <c r="DA1181" i="33"/>
  <c r="CZ1181" i="33"/>
  <c r="CW1181" i="33"/>
  <c r="CV1181" i="33"/>
  <c r="CU1181" i="33"/>
  <c r="CT1181" i="33"/>
  <c r="CS1181" i="33"/>
  <c r="CP1181" i="33"/>
  <c r="CO1181" i="33"/>
  <c r="CN1181" i="33"/>
  <c r="CM1181" i="33"/>
  <c r="CL1181" i="33"/>
  <c r="CB1181" i="33"/>
  <c r="CA1181" i="33"/>
  <c r="BZ1181" i="33"/>
  <c r="BY1181" i="33"/>
  <c r="BX1181" i="33"/>
  <c r="BU1181" i="33"/>
  <c r="BT1181" i="33"/>
  <c r="BS1181" i="33"/>
  <c r="BR1181" i="33"/>
  <c r="BQ1181" i="33"/>
  <c r="BO1181" i="33"/>
  <c r="BN1181" i="33"/>
  <c r="BM1181" i="33"/>
  <c r="BL1181" i="33"/>
  <c r="BK1181" i="33"/>
  <c r="BJ1181" i="33"/>
  <c r="BG1181" i="33"/>
  <c r="BF1181" i="33"/>
  <c r="BE1181" i="33"/>
  <c r="BD1181" i="33"/>
  <c r="BC1181" i="33"/>
  <c r="AZ1181" i="33"/>
  <c r="AY1181" i="33"/>
  <c r="AX1181" i="33"/>
  <c r="AW1181" i="33"/>
  <c r="AV1181" i="33"/>
  <c r="AS1181" i="33"/>
  <c r="AR1181" i="33"/>
  <c r="AQ1181" i="33"/>
  <c r="AP1181" i="33"/>
  <c r="AO1181" i="33"/>
  <c r="AM1181" i="33"/>
  <c r="AL1181" i="33"/>
  <c r="AK1181" i="33"/>
  <c r="AJ1181" i="33"/>
  <c r="AI1181" i="33"/>
  <c r="AH1181" i="33"/>
  <c r="DE1180" i="33"/>
  <c r="CX1180" i="33"/>
  <c r="CC1180" i="33"/>
  <c r="BV1180" i="33"/>
  <c r="BO1180" i="33"/>
  <c r="BH1180" i="33"/>
  <c r="BA1180" i="33"/>
  <c r="AT1180" i="33"/>
  <c r="AM1180" i="33"/>
  <c r="AF1180" i="33"/>
  <c r="Y1180" i="33"/>
  <c r="R1180" i="33"/>
  <c r="DE1179" i="33"/>
  <c r="CX1179" i="33"/>
  <c r="CC1179" i="33"/>
  <c r="BV1179" i="33"/>
  <c r="BO1179" i="33"/>
  <c r="BH1179" i="33"/>
  <c r="BA1179" i="33"/>
  <c r="AT1179" i="33"/>
  <c r="AM1179" i="33"/>
  <c r="AF1179" i="33"/>
  <c r="Y1179" i="33"/>
  <c r="R1179" i="33"/>
  <c r="DE1178" i="33"/>
  <c r="CX1178" i="33"/>
  <c r="CC1178" i="33"/>
  <c r="BV1178" i="33"/>
  <c r="BV1181" i="33" s="1"/>
  <c r="BO1178" i="33"/>
  <c r="BH1178" i="33"/>
  <c r="BH1181" i="33" s="1"/>
  <c r="BA1178" i="33"/>
  <c r="AT1178" i="33"/>
  <c r="AM1178" i="33"/>
  <c r="AF1178" i="33"/>
  <c r="Y1178" i="33"/>
  <c r="R1178" i="33"/>
  <c r="G1178" i="33"/>
  <c r="CF1178" i="33" s="1"/>
  <c r="G1184" i="33" s="1"/>
  <c r="CF1184" i="33" s="1"/>
  <c r="DE1177" i="33"/>
  <c r="CX1177" i="33"/>
  <c r="CC1177" i="33"/>
  <c r="BV1177" i="33"/>
  <c r="BO1177" i="33"/>
  <c r="BH1177" i="33"/>
  <c r="BA1177" i="33"/>
  <c r="BA1181" i="33" s="1"/>
  <c r="AT1177" i="33"/>
  <c r="AT1181" i="33" s="1"/>
  <c r="AM1177" i="33"/>
  <c r="AF1177" i="33"/>
  <c r="Y1177" i="33"/>
  <c r="R1177" i="33"/>
  <c r="DD1175" i="33"/>
  <c r="DC1175" i="33"/>
  <c r="DB1175" i="33"/>
  <c r="DA1175" i="33"/>
  <c r="CZ1175" i="33"/>
  <c r="CW1175" i="33"/>
  <c r="CV1175" i="33"/>
  <c r="CU1175" i="33"/>
  <c r="CT1175" i="33"/>
  <c r="CS1175" i="33"/>
  <c r="CP1175" i="33"/>
  <c r="CO1175" i="33"/>
  <c r="CN1175" i="33"/>
  <c r="CM1175" i="33"/>
  <c r="CL1175" i="33"/>
  <c r="CB1175" i="33"/>
  <c r="CA1175" i="33"/>
  <c r="BZ1175" i="33"/>
  <c r="BY1175" i="33"/>
  <c r="BX1175" i="33"/>
  <c r="BU1175" i="33"/>
  <c r="BT1175" i="33"/>
  <c r="BS1175" i="33"/>
  <c r="BR1175" i="33"/>
  <c r="BQ1175" i="33"/>
  <c r="BO1175" i="33"/>
  <c r="BN1175" i="33"/>
  <c r="BM1175" i="33"/>
  <c r="BL1175" i="33"/>
  <c r="BK1175" i="33"/>
  <c r="BJ1175" i="33"/>
  <c r="BG1175" i="33"/>
  <c r="BF1175" i="33"/>
  <c r="BE1175" i="33"/>
  <c r="BD1175" i="33"/>
  <c r="BC1175" i="33"/>
  <c r="AZ1175" i="33"/>
  <c r="AY1175" i="33"/>
  <c r="AX1175" i="33"/>
  <c r="AW1175" i="33"/>
  <c r="AV1175" i="33"/>
  <c r="AS1175" i="33"/>
  <c r="AR1175" i="33"/>
  <c r="AQ1175" i="33"/>
  <c r="AP1175" i="33"/>
  <c r="AO1175" i="33"/>
  <c r="AL1175" i="33"/>
  <c r="AK1175" i="33"/>
  <c r="AJ1175" i="33"/>
  <c r="AI1175" i="33"/>
  <c r="AH1175" i="33"/>
  <c r="DE1174" i="33"/>
  <c r="CX1174" i="33"/>
  <c r="CC1174" i="33"/>
  <c r="BV1174" i="33"/>
  <c r="BO1174" i="33"/>
  <c r="BH1174" i="33"/>
  <c r="BA1174" i="33"/>
  <c r="AT1174" i="33"/>
  <c r="AM1174" i="33"/>
  <c r="AF1174" i="33"/>
  <c r="Y1174" i="33"/>
  <c r="R1174" i="33"/>
  <c r="DE1173" i="33"/>
  <c r="CX1173" i="33"/>
  <c r="CC1173" i="33"/>
  <c r="BV1173" i="33"/>
  <c r="BO1173" i="33"/>
  <c r="BH1173" i="33"/>
  <c r="BA1173" i="33"/>
  <c r="AT1173" i="33"/>
  <c r="AM1173" i="33"/>
  <c r="AF1173" i="33"/>
  <c r="Y1173" i="33"/>
  <c r="R1173" i="33"/>
  <c r="DE1172" i="33"/>
  <c r="DE1175" i="33" s="1"/>
  <c r="CX1172" i="33"/>
  <c r="CF1172" i="33"/>
  <c r="CC1172" i="33"/>
  <c r="BV1172" i="33"/>
  <c r="BV1175" i="33" s="1"/>
  <c r="BO1172" i="33"/>
  <c r="BH1172" i="33"/>
  <c r="BH1175" i="33" s="1"/>
  <c r="BA1172" i="33"/>
  <c r="AT1172" i="33"/>
  <c r="AM1172" i="33"/>
  <c r="AF1172" i="33"/>
  <c r="Y1172" i="33"/>
  <c r="R1172" i="33"/>
  <c r="DE1171" i="33"/>
  <c r="CX1171" i="33"/>
  <c r="CX1175" i="33" s="1"/>
  <c r="CC1171" i="33"/>
  <c r="BV1171" i="33"/>
  <c r="BO1171" i="33"/>
  <c r="BH1171" i="33"/>
  <c r="BA1171" i="33"/>
  <c r="BA1175" i="33" s="1"/>
  <c r="AT1171" i="33"/>
  <c r="AT1175" i="33" s="1"/>
  <c r="AM1171" i="33"/>
  <c r="AF1171" i="33"/>
  <c r="Y1171" i="33"/>
  <c r="R1171" i="33"/>
  <c r="DD1169" i="33"/>
  <c r="DC1169" i="33"/>
  <c r="DB1169" i="33"/>
  <c r="DA1169" i="33"/>
  <c r="CZ1169" i="33"/>
  <c r="CW1169" i="33"/>
  <c r="CV1169" i="33"/>
  <c r="CU1169" i="33"/>
  <c r="CT1169" i="33"/>
  <c r="CS1169" i="33"/>
  <c r="CP1169" i="33"/>
  <c r="CO1169" i="33"/>
  <c r="CN1169" i="33"/>
  <c r="CM1169" i="33"/>
  <c r="CL1169" i="33"/>
  <c r="CB1169" i="33"/>
  <c r="CA1169" i="33"/>
  <c r="BZ1169" i="33"/>
  <c r="BY1169" i="33"/>
  <c r="BX1169" i="33"/>
  <c r="BU1169" i="33"/>
  <c r="BT1169" i="33"/>
  <c r="BS1169" i="33"/>
  <c r="BR1169" i="33"/>
  <c r="BQ1169" i="33"/>
  <c r="BO1169" i="33"/>
  <c r="BN1169" i="33"/>
  <c r="BM1169" i="33"/>
  <c r="BL1169" i="33"/>
  <c r="BK1169" i="33"/>
  <c r="BJ1169" i="33"/>
  <c r="BG1169" i="33"/>
  <c r="BF1169" i="33"/>
  <c r="BE1169" i="33"/>
  <c r="BD1169" i="33"/>
  <c r="BC1169" i="33"/>
  <c r="AZ1169" i="33"/>
  <c r="AY1169" i="33"/>
  <c r="AX1169" i="33"/>
  <c r="AW1169" i="33"/>
  <c r="AV1169" i="33"/>
  <c r="AS1169" i="33"/>
  <c r="AR1169" i="33"/>
  <c r="AQ1169" i="33"/>
  <c r="AP1169" i="33"/>
  <c r="AO1169" i="33"/>
  <c r="AM1169" i="33"/>
  <c r="AL1169" i="33"/>
  <c r="AK1169" i="33"/>
  <c r="AJ1169" i="33"/>
  <c r="AI1169" i="33"/>
  <c r="AH1169" i="33"/>
  <c r="DE1168" i="33"/>
  <c r="CX1168" i="33"/>
  <c r="CX1169" i="33" s="1"/>
  <c r="CC1168" i="33"/>
  <c r="BV1168" i="33"/>
  <c r="BO1168" i="33"/>
  <c r="BH1168" i="33"/>
  <c r="BA1168" i="33"/>
  <c r="AT1168" i="33"/>
  <c r="AM1168" i="33"/>
  <c r="AF1168" i="33"/>
  <c r="Y1168" i="33"/>
  <c r="R1168" i="33"/>
  <c r="DE1167" i="33"/>
  <c r="CX1167" i="33"/>
  <c r="CF1167" i="33"/>
  <c r="G1173" i="33" s="1"/>
  <c r="CF1173" i="33" s="1"/>
  <c r="G1179" i="33" s="1"/>
  <c r="CF1179" i="33" s="1"/>
  <c r="G1185" i="33" s="1"/>
  <c r="CF1185" i="33" s="1"/>
  <c r="CC1167" i="33"/>
  <c r="BV1167" i="33"/>
  <c r="BO1167" i="33"/>
  <c r="BH1167" i="33"/>
  <c r="BA1167" i="33"/>
  <c r="AT1167" i="33"/>
  <c r="AM1167" i="33"/>
  <c r="AF1167" i="33"/>
  <c r="Y1167" i="33"/>
  <c r="R1167" i="33"/>
  <c r="G1167" i="33"/>
  <c r="DE1166" i="33"/>
  <c r="DE1169" i="33" s="1"/>
  <c r="CX1166" i="33"/>
  <c r="CC1166" i="33"/>
  <c r="BV1166" i="33"/>
  <c r="BV1169" i="33" s="1"/>
  <c r="BO1166" i="33"/>
  <c r="BH1166" i="33"/>
  <c r="BH1169" i="33" s="1"/>
  <c r="BA1166" i="33"/>
  <c r="AT1166" i="33"/>
  <c r="AT1169" i="33" s="1"/>
  <c r="AM1166" i="33"/>
  <c r="AF1166" i="33"/>
  <c r="Y1166" i="33"/>
  <c r="R1166" i="33"/>
  <c r="G1166" i="33"/>
  <c r="CF1166" i="33" s="1"/>
  <c r="G1172" i="33" s="1"/>
  <c r="F1166" i="33"/>
  <c r="DE1165" i="33"/>
  <c r="CX1165" i="33"/>
  <c r="CC1165" i="33"/>
  <c r="BV1165" i="33"/>
  <c r="BO1165" i="33"/>
  <c r="BH1165" i="33"/>
  <c r="BA1165" i="33"/>
  <c r="BA1169" i="33" s="1"/>
  <c r="AT1165" i="33"/>
  <c r="AM1165" i="33"/>
  <c r="AF1165" i="33"/>
  <c r="Y1165" i="33"/>
  <c r="R1165" i="33"/>
  <c r="DD1163" i="33"/>
  <c r="DC1163" i="33"/>
  <c r="DB1163" i="33"/>
  <c r="DA1163" i="33"/>
  <c r="CZ1163" i="33"/>
  <c r="CW1163" i="33"/>
  <c r="CV1163" i="33"/>
  <c r="CU1163" i="33"/>
  <c r="CT1163" i="33"/>
  <c r="CS1163" i="33"/>
  <c r="CP1163" i="33"/>
  <c r="CO1163" i="33"/>
  <c r="CN1163" i="33"/>
  <c r="CM1163" i="33"/>
  <c r="CL1163" i="33"/>
  <c r="CH1163" i="33"/>
  <c r="CF1163" i="33"/>
  <c r="CB1163" i="33"/>
  <c r="CA1163" i="33"/>
  <c r="BZ1163" i="33"/>
  <c r="BY1163" i="33"/>
  <c r="BX1163" i="33"/>
  <c r="BU1163" i="33"/>
  <c r="BT1163" i="33"/>
  <c r="BS1163" i="33"/>
  <c r="BR1163" i="33"/>
  <c r="BQ1163" i="33"/>
  <c r="BN1163" i="33"/>
  <c r="BM1163" i="33"/>
  <c r="BL1163" i="33"/>
  <c r="BK1163" i="33"/>
  <c r="BJ1163" i="33"/>
  <c r="BG1163" i="33"/>
  <c r="BF1163" i="33"/>
  <c r="BE1163" i="33"/>
  <c r="BD1163" i="33"/>
  <c r="BC1163" i="33"/>
  <c r="BA1163" i="33"/>
  <c r="AZ1163" i="33"/>
  <c r="AY1163" i="33"/>
  <c r="AX1163" i="33"/>
  <c r="AW1163" i="33"/>
  <c r="AV1163" i="33"/>
  <c r="AS1163" i="33"/>
  <c r="AR1163" i="33"/>
  <c r="AQ1163" i="33"/>
  <c r="AP1163" i="33"/>
  <c r="AO1163" i="33"/>
  <c r="AL1163" i="33"/>
  <c r="AK1163" i="33"/>
  <c r="AJ1163" i="33"/>
  <c r="AI1163" i="33"/>
  <c r="AH1163" i="33"/>
  <c r="K1163" i="33"/>
  <c r="J1163" i="33"/>
  <c r="I1163" i="33"/>
  <c r="H1163" i="33"/>
  <c r="G1163" i="33"/>
  <c r="F1163" i="33"/>
  <c r="DE1162" i="33"/>
  <c r="CX1162" i="33"/>
  <c r="CI1162" i="33"/>
  <c r="J1168" i="33" s="1"/>
  <c r="CI1168" i="33" s="1"/>
  <c r="J1174" i="33" s="1"/>
  <c r="CI1174" i="33" s="1"/>
  <c r="J1180" i="33" s="1"/>
  <c r="CI1180" i="33" s="1"/>
  <c r="J1186" i="33" s="1"/>
  <c r="CI1186" i="33" s="1"/>
  <c r="CH1162" i="33"/>
  <c r="I1168" i="33" s="1"/>
  <c r="CH1168" i="33" s="1"/>
  <c r="I1174" i="33" s="1"/>
  <c r="CH1174" i="33" s="1"/>
  <c r="I1180" i="33" s="1"/>
  <c r="CH1180" i="33" s="1"/>
  <c r="I1186" i="33" s="1"/>
  <c r="CH1186" i="33" s="1"/>
  <c r="CG1162" i="33"/>
  <c r="H1168" i="33" s="1"/>
  <c r="CG1168" i="33" s="1"/>
  <c r="H1174" i="33" s="1"/>
  <c r="CG1174" i="33" s="1"/>
  <c r="H1180" i="33" s="1"/>
  <c r="CG1180" i="33" s="1"/>
  <c r="H1186" i="33" s="1"/>
  <c r="CG1186" i="33" s="1"/>
  <c r="CF1162" i="33"/>
  <c r="G1168" i="33" s="1"/>
  <c r="CF1168" i="33" s="1"/>
  <c r="G1174" i="33" s="1"/>
  <c r="CF1174" i="33" s="1"/>
  <c r="G1180" i="33" s="1"/>
  <c r="CF1180" i="33" s="1"/>
  <c r="G1186" i="33" s="1"/>
  <c r="CF1186" i="33" s="1"/>
  <c r="CE1162" i="33"/>
  <c r="CC1162" i="33"/>
  <c r="BV1162" i="33"/>
  <c r="BO1162" i="33"/>
  <c r="BH1162" i="33"/>
  <c r="BA1162" i="33"/>
  <c r="AT1162" i="33"/>
  <c r="AM1162" i="33"/>
  <c r="AF1162" i="33"/>
  <c r="Y1162" i="33"/>
  <c r="R1162" i="33"/>
  <c r="K1162" i="33"/>
  <c r="DE1161" i="33"/>
  <c r="CX1161" i="33"/>
  <c r="CI1161" i="33"/>
  <c r="J1167" i="33" s="1"/>
  <c r="CI1167" i="33" s="1"/>
  <c r="J1173" i="33" s="1"/>
  <c r="CI1173" i="33" s="1"/>
  <c r="J1179" i="33" s="1"/>
  <c r="CI1179" i="33" s="1"/>
  <c r="J1185" i="33" s="1"/>
  <c r="CI1185" i="33" s="1"/>
  <c r="CH1161" i="33"/>
  <c r="I1167" i="33" s="1"/>
  <c r="CH1167" i="33" s="1"/>
  <c r="I1173" i="33" s="1"/>
  <c r="CH1173" i="33" s="1"/>
  <c r="I1179" i="33" s="1"/>
  <c r="CH1179" i="33" s="1"/>
  <c r="I1185" i="33" s="1"/>
  <c r="CH1185" i="33" s="1"/>
  <c r="CG1161" i="33"/>
  <c r="H1167" i="33" s="1"/>
  <c r="CG1167" i="33" s="1"/>
  <c r="H1173" i="33" s="1"/>
  <c r="CG1173" i="33" s="1"/>
  <c r="H1179" i="33" s="1"/>
  <c r="CG1179" i="33" s="1"/>
  <c r="H1185" i="33" s="1"/>
  <c r="CG1185" i="33" s="1"/>
  <c r="CF1161" i="33"/>
  <c r="CE1161" i="33"/>
  <c r="CC1161" i="33"/>
  <c r="BV1161" i="33"/>
  <c r="BO1161" i="33"/>
  <c r="BH1161" i="33"/>
  <c r="BA1161" i="33"/>
  <c r="AT1161" i="33"/>
  <c r="AM1161" i="33"/>
  <c r="AF1161" i="33"/>
  <c r="Y1161" i="33"/>
  <c r="R1161" i="33"/>
  <c r="K1161" i="33"/>
  <c r="DE1160" i="33"/>
  <c r="CX1160" i="33"/>
  <c r="CX1163" i="33" s="1"/>
  <c r="CI1160" i="33"/>
  <c r="J1166" i="33" s="1"/>
  <c r="CI1166" i="33" s="1"/>
  <c r="J1172" i="33" s="1"/>
  <c r="CI1172" i="33" s="1"/>
  <c r="J1178" i="33" s="1"/>
  <c r="CI1178" i="33" s="1"/>
  <c r="J1184" i="33" s="1"/>
  <c r="CI1184" i="33" s="1"/>
  <c r="CH1160" i="33"/>
  <c r="I1166" i="33" s="1"/>
  <c r="CH1166" i="33" s="1"/>
  <c r="I1172" i="33" s="1"/>
  <c r="CH1172" i="33" s="1"/>
  <c r="I1178" i="33" s="1"/>
  <c r="CH1178" i="33" s="1"/>
  <c r="I1184" i="33" s="1"/>
  <c r="CH1184" i="33" s="1"/>
  <c r="CG1160" i="33"/>
  <c r="H1166" i="33" s="1"/>
  <c r="CG1166" i="33" s="1"/>
  <c r="H1172" i="33" s="1"/>
  <c r="CG1172" i="33" s="1"/>
  <c r="H1178" i="33" s="1"/>
  <c r="CG1178" i="33" s="1"/>
  <c r="H1184" i="33" s="1"/>
  <c r="CG1184" i="33" s="1"/>
  <c r="CF1160" i="33"/>
  <c r="CE1160" i="33"/>
  <c r="CC1160" i="33"/>
  <c r="CC1163" i="33" s="1"/>
  <c r="BV1160" i="33"/>
  <c r="BO1160" i="33"/>
  <c r="BO1163" i="33" s="1"/>
  <c r="BH1160" i="33"/>
  <c r="BA1160" i="33"/>
  <c r="AT1160" i="33"/>
  <c r="AT1163" i="33" s="1"/>
  <c r="AM1160" i="33"/>
  <c r="AF1160" i="33"/>
  <c r="Y1160" i="33"/>
  <c r="R1160" i="33"/>
  <c r="K1160" i="33"/>
  <c r="DE1159" i="33"/>
  <c r="DE1163" i="33" s="1"/>
  <c r="CX1159" i="33"/>
  <c r="CI1159" i="33"/>
  <c r="CH1159" i="33"/>
  <c r="I1165" i="33" s="1"/>
  <c r="CG1159" i="33"/>
  <c r="H1165" i="33" s="1"/>
  <c r="CF1159" i="33"/>
  <c r="G1165" i="33" s="1"/>
  <c r="G1169" i="33" s="1"/>
  <c r="CE1159" i="33"/>
  <c r="CC1159" i="33"/>
  <c r="BV1159" i="33"/>
  <c r="BV1163" i="33" s="1"/>
  <c r="BO1159" i="33"/>
  <c r="BH1159" i="33"/>
  <c r="BA1159" i="33"/>
  <c r="AT1159" i="33"/>
  <c r="AM1159" i="33"/>
  <c r="AM1163" i="33" s="1"/>
  <c r="AF1159" i="33"/>
  <c r="Y1159" i="33"/>
  <c r="R1159" i="33"/>
  <c r="K1159" i="33"/>
  <c r="DD1155" i="33"/>
  <c r="DC1155" i="33"/>
  <c r="DB1155" i="33"/>
  <c r="DA1155" i="33"/>
  <c r="CZ1155" i="33"/>
  <c r="CX1155" i="33"/>
  <c r="CW1155" i="33"/>
  <c r="CV1155" i="33"/>
  <c r="CU1155" i="33"/>
  <c r="CT1155" i="33"/>
  <c r="CS1155" i="33"/>
  <c r="CP1155" i="33"/>
  <c r="CO1155" i="33"/>
  <c r="CN1155" i="33"/>
  <c r="CM1155" i="33"/>
  <c r="CL1155" i="33"/>
  <c r="CB1155" i="33"/>
  <c r="CA1155" i="33"/>
  <c r="BZ1155" i="33"/>
  <c r="BY1155" i="33"/>
  <c r="BX1155" i="33"/>
  <c r="BU1155" i="33"/>
  <c r="BT1155" i="33"/>
  <c r="BS1155" i="33"/>
  <c r="BR1155" i="33"/>
  <c r="BQ1155" i="33"/>
  <c r="BN1155" i="33"/>
  <c r="BM1155" i="33"/>
  <c r="BL1155" i="33"/>
  <c r="BK1155" i="33"/>
  <c r="BJ1155" i="33"/>
  <c r="BG1155" i="33"/>
  <c r="BF1155" i="33"/>
  <c r="BE1155" i="33"/>
  <c r="BD1155" i="33"/>
  <c r="BC1155" i="33"/>
  <c r="BA1155" i="33"/>
  <c r="AZ1155" i="33"/>
  <c r="AY1155" i="33"/>
  <c r="AX1155" i="33"/>
  <c r="AW1155" i="33"/>
  <c r="AV1155" i="33"/>
  <c r="AS1155" i="33"/>
  <c r="AR1155" i="33"/>
  <c r="AQ1155" i="33"/>
  <c r="AP1155" i="33"/>
  <c r="AO1155" i="33"/>
  <c r="AL1155" i="33"/>
  <c r="AK1155" i="33"/>
  <c r="AJ1155" i="33"/>
  <c r="AI1155" i="33"/>
  <c r="AH1155" i="33"/>
  <c r="DE1154" i="33"/>
  <c r="CX1154" i="33"/>
  <c r="CG1154" i="33"/>
  <c r="CC1154" i="33"/>
  <c r="BV1154" i="33"/>
  <c r="BO1154" i="33"/>
  <c r="BH1154" i="33"/>
  <c r="BA1154" i="33"/>
  <c r="AT1154" i="33"/>
  <c r="AM1154" i="33"/>
  <c r="AF1154" i="33"/>
  <c r="Y1154" i="33"/>
  <c r="R1154" i="33"/>
  <c r="DE1153" i="33"/>
  <c r="CX1153" i="33"/>
  <c r="CC1153" i="33"/>
  <c r="CC1155" i="33" s="1"/>
  <c r="BV1153" i="33"/>
  <c r="BO1153" i="33"/>
  <c r="BH1153" i="33"/>
  <c r="BA1153" i="33"/>
  <c r="AT1153" i="33"/>
  <c r="AT1155" i="33" s="1"/>
  <c r="AM1153" i="33"/>
  <c r="AF1153" i="33"/>
  <c r="Y1153" i="33"/>
  <c r="R1153" i="33"/>
  <c r="DE1152" i="33"/>
  <c r="DE1155" i="33" s="1"/>
  <c r="CX1152" i="33"/>
  <c r="CC1152" i="33"/>
  <c r="BV1152" i="33"/>
  <c r="BO1152" i="33"/>
  <c r="BH1152" i="33"/>
  <c r="BA1152" i="33"/>
  <c r="AT1152" i="33"/>
  <c r="AM1152" i="33"/>
  <c r="AF1152" i="33"/>
  <c r="Y1152" i="33"/>
  <c r="R1152" i="33"/>
  <c r="DE1151" i="33"/>
  <c r="CX1151" i="33"/>
  <c r="CC1151" i="33"/>
  <c r="BV1151" i="33"/>
  <c r="BV1155" i="33" s="1"/>
  <c r="BO1151" i="33"/>
  <c r="BO1155" i="33" s="1"/>
  <c r="BH1151" i="33"/>
  <c r="BH1155" i="33" s="1"/>
  <c r="BA1151" i="33"/>
  <c r="AT1151" i="33"/>
  <c r="AM1151" i="33"/>
  <c r="AF1151" i="33"/>
  <c r="Y1151" i="33"/>
  <c r="R1151" i="33"/>
  <c r="DD1149" i="33"/>
  <c r="DC1149" i="33"/>
  <c r="DB1149" i="33"/>
  <c r="DA1149" i="33"/>
  <c r="CZ1149" i="33"/>
  <c r="CW1149" i="33"/>
  <c r="CV1149" i="33"/>
  <c r="CU1149" i="33"/>
  <c r="CT1149" i="33"/>
  <c r="CS1149" i="33"/>
  <c r="CP1149" i="33"/>
  <c r="CO1149" i="33"/>
  <c r="CN1149" i="33"/>
  <c r="CM1149" i="33"/>
  <c r="CL1149" i="33"/>
  <c r="CB1149" i="33"/>
  <c r="CA1149" i="33"/>
  <c r="BZ1149" i="33"/>
  <c r="BY1149" i="33"/>
  <c r="BX1149" i="33"/>
  <c r="BU1149" i="33"/>
  <c r="BT1149" i="33"/>
  <c r="BS1149" i="33"/>
  <c r="BR1149" i="33"/>
  <c r="BQ1149" i="33"/>
  <c r="BO1149" i="33"/>
  <c r="BN1149" i="33"/>
  <c r="BM1149" i="33"/>
  <c r="BL1149" i="33"/>
  <c r="BK1149" i="33"/>
  <c r="BJ1149" i="33"/>
  <c r="BG1149" i="33"/>
  <c r="BF1149" i="33"/>
  <c r="BE1149" i="33"/>
  <c r="BD1149" i="33"/>
  <c r="BC1149" i="33"/>
  <c r="AZ1149" i="33"/>
  <c r="AY1149" i="33"/>
  <c r="AX1149" i="33"/>
  <c r="AW1149" i="33"/>
  <c r="AV1149" i="33"/>
  <c r="AS1149" i="33"/>
  <c r="AR1149" i="33"/>
  <c r="AQ1149" i="33"/>
  <c r="AP1149" i="33"/>
  <c r="AO1149" i="33"/>
  <c r="AL1149" i="33"/>
  <c r="AK1149" i="33"/>
  <c r="AJ1149" i="33"/>
  <c r="AI1149" i="33"/>
  <c r="AH1149" i="33"/>
  <c r="DE1148" i="33"/>
  <c r="CX1148" i="33"/>
  <c r="CC1148" i="33"/>
  <c r="BV1148" i="33"/>
  <c r="BO1148" i="33"/>
  <c r="BH1148" i="33"/>
  <c r="BA1148" i="33"/>
  <c r="AT1148" i="33"/>
  <c r="AM1148" i="33"/>
  <c r="AF1148" i="33"/>
  <c r="Y1148" i="33"/>
  <c r="R1148" i="33"/>
  <c r="DE1147" i="33"/>
  <c r="CX1147" i="33"/>
  <c r="CC1147" i="33"/>
  <c r="BV1147" i="33"/>
  <c r="BO1147" i="33"/>
  <c r="BH1147" i="33"/>
  <c r="BA1147" i="33"/>
  <c r="AT1147" i="33"/>
  <c r="AM1147" i="33"/>
  <c r="AF1147" i="33"/>
  <c r="Y1147" i="33"/>
  <c r="R1147" i="33"/>
  <c r="DE1146" i="33"/>
  <c r="CX1146" i="33"/>
  <c r="CG1146" i="33"/>
  <c r="H1152" i="33" s="1"/>
  <c r="CG1152" i="33" s="1"/>
  <c r="CF1146" i="33"/>
  <c r="G1152" i="33" s="1"/>
  <c r="CF1152" i="33" s="1"/>
  <c r="CC1146" i="33"/>
  <c r="BV1146" i="33"/>
  <c r="BV1149" i="33" s="1"/>
  <c r="BO1146" i="33"/>
  <c r="BH1146" i="33"/>
  <c r="BA1146" i="33"/>
  <c r="AT1146" i="33"/>
  <c r="AM1146" i="33"/>
  <c r="AM1149" i="33" s="1"/>
  <c r="AF1146" i="33"/>
  <c r="Y1146" i="33"/>
  <c r="R1146" i="33"/>
  <c r="DE1145" i="33"/>
  <c r="CX1145" i="33"/>
  <c r="CC1145" i="33"/>
  <c r="CC1149" i="33" s="1"/>
  <c r="BV1145" i="33"/>
  <c r="BO1145" i="33"/>
  <c r="BH1145" i="33"/>
  <c r="BH1149" i="33" s="1"/>
  <c r="BA1145" i="33"/>
  <c r="BA1149" i="33" s="1"/>
  <c r="AT1145" i="33"/>
  <c r="AT1149" i="33" s="1"/>
  <c r="AM1145" i="33"/>
  <c r="AF1145" i="33"/>
  <c r="Y1145" i="33"/>
  <c r="R1145" i="33"/>
  <c r="DD1143" i="33"/>
  <c r="DC1143" i="33"/>
  <c r="DB1143" i="33"/>
  <c r="DA1143" i="33"/>
  <c r="CZ1143" i="33"/>
  <c r="CW1143" i="33"/>
  <c r="CV1143" i="33"/>
  <c r="CU1143" i="33"/>
  <c r="CT1143" i="33"/>
  <c r="CS1143" i="33"/>
  <c r="CP1143" i="33"/>
  <c r="CO1143" i="33"/>
  <c r="CN1143" i="33"/>
  <c r="CM1143" i="33"/>
  <c r="CL1143" i="33"/>
  <c r="CB1143" i="33"/>
  <c r="CA1143" i="33"/>
  <c r="BZ1143" i="33"/>
  <c r="BY1143" i="33"/>
  <c r="BX1143" i="33"/>
  <c r="BU1143" i="33"/>
  <c r="BT1143" i="33"/>
  <c r="BS1143" i="33"/>
  <c r="BR1143" i="33"/>
  <c r="BQ1143" i="33"/>
  <c r="BO1143" i="33"/>
  <c r="BN1143" i="33"/>
  <c r="BM1143" i="33"/>
  <c r="BL1143" i="33"/>
  <c r="BK1143" i="33"/>
  <c r="BJ1143" i="33"/>
  <c r="BG1143" i="33"/>
  <c r="BF1143" i="33"/>
  <c r="BE1143" i="33"/>
  <c r="BD1143" i="33"/>
  <c r="BC1143" i="33"/>
  <c r="AZ1143" i="33"/>
  <c r="AY1143" i="33"/>
  <c r="AX1143" i="33"/>
  <c r="AW1143" i="33"/>
  <c r="AV1143" i="33"/>
  <c r="AS1143" i="33"/>
  <c r="AR1143" i="33"/>
  <c r="AQ1143" i="33"/>
  <c r="AP1143" i="33"/>
  <c r="AO1143" i="33"/>
  <c r="AL1143" i="33"/>
  <c r="AK1143" i="33"/>
  <c r="AJ1143" i="33"/>
  <c r="AI1143" i="33"/>
  <c r="AH1143" i="33"/>
  <c r="DE1142" i="33"/>
  <c r="CX1142" i="33"/>
  <c r="CC1142" i="33"/>
  <c r="BV1142" i="33"/>
  <c r="BO1142" i="33"/>
  <c r="BH1142" i="33"/>
  <c r="BA1142" i="33"/>
  <c r="AT1142" i="33"/>
  <c r="AM1142" i="33"/>
  <c r="AF1142" i="33"/>
  <c r="Y1142" i="33"/>
  <c r="R1142" i="33"/>
  <c r="DE1141" i="33"/>
  <c r="CX1141" i="33"/>
  <c r="CC1141" i="33"/>
  <c r="BV1141" i="33"/>
  <c r="BO1141" i="33"/>
  <c r="BH1141" i="33"/>
  <c r="BA1141" i="33"/>
  <c r="AT1141" i="33"/>
  <c r="AM1141" i="33"/>
  <c r="AF1141" i="33"/>
  <c r="Y1141" i="33"/>
  <c r="R1141" i="33"/>
  <c r="DE1140" i="33"/>
  <c r="CX1140" i="33"/>
  <c r="CC1140" i="33"/>
  <c r="BV1140" i="33"/>
  <c r="BV1143" i="33" s="1"/>
  <c r="BO1140" i="33"/>
  <c r="BH1140" i="33"/>
  <c r="BA1140" i="33"/>
  <c r="AT1140" i="33"/>
  <c r="AM1140" i="33"/>
  <c r="AF1140" i="33"/>
  <c r="Y1140" i="33"/>
  <c r="R1140" i="33"/>
  <c r="I1140" i="33"/>
  <c r="CH1140" i="33" s="1"/>
  <c r="I1146" i="33" s="1"/>
  <c r="CH1146" i="33" s="1"/>
  <c r="I1152" i="33" s="1"/>
  <c r="CH1152" i="33" s="1"/>
  <c r="DE1139" i="33"/>
  <c r="DE1143" i="33" s="1"/>
  <c r="CX1139" i="33"/>
  <c r="CX1143" i="33" s="1"/>
  <c r="CC1139" i="33"/>
  <c r="CC1143" i="33" s="1"/>
  <c r="BV1139" i="33"/>
  <c r="BO1139" i="33"/>
  <c r="BH1139" i="33"/>
  <c r="BH1143" i="33" s="1"/>
  <c r="BA1139" i="33"/>
  <c r="BA1143" i="33" s="1"/>
  <c r="AT1139" i="33"/>
  <c r="AT1143" i="33" s="1"/>
  <c r="AM1139" i="33"/>
  <c r="AF1139" i="33"/>
  <c r="Y1139" i="33"/>
  <c r="R1139" i="33"/>
  <c r="DD1137" i="33"/>
  <c r="DC1137" i="33"/>
  <c r="DB1137" i="33"/>
  <c r="DA1137" i="33"/>
  <c r="CZ1137" i="33"/>
  <c r="CW1137" i="33"/>
  <c r="CV1137" i="33"/>
  <c r="CU1137" i="33"/>
  <c r="CT1137" i="33"/>
  <c r="CS1137" i="33"/>
  <c r="CP1137" i="33"/>
  <c r="CO1137" i="33"/>
  <c r="CN1137" i="33"/>
  <c r="CM1137" i="33"/>
  <c r="CL1137" i="33"/>
  <c r="CB1137" i="33"/>
  <c r="CA1137" i="33"/>
  <c r="BZ1137" i="33"/>
  <c r="BY1137" i="33"/>
  <c r="BX1137" i="33"/>
  <c r="BU1137" i="33"/>
  <c r="BT1137" i="33"/>
  <c r="BS1137" i="33"/>
  <c r="BR1137" i="33"/>
  <c r="BQ1137" i="33"/>
  <c r="BO1137" i="33"/>
  <c r="BN1137" i="33"/>
  <c r="BM1137" i="33"/>
  <c r="BL1137" i="33"/>
  <c r="BK1137" i="33"/>
  <c r="BJ1137" i="33"/>
  <c r="BG1137" i="33"/>
  <c r="BF1137" i="33"/>
  <c r="BE1137" i="33"/>
  <c r="BD1137" i="33"/>
  <c r="BC1137" i="33"/>
  <c r="AZ1137" i="33"/>
  <c r="AY1137" i="33"/>
  <c r="AX1137" i="33"/>
  <c r="AW1137" i="33"/>
  <c r="AV1137" i="33"/>
  <c r="AS1137" i="33"/>
  <c r="AR1137" i="33"/>
  <c r="AQ1137" i="33"/>
  <c r="AP1137" i="33"/>
  <c r="AO1137" i="33"/>
  <c r="AL1137" i="33"/>
  <c r="AK1137" i="33"/>
  <c r="AJ1137" i="33"/>
  <c r="AI1137" i="33"/>
  <c r="AH1137" i="33"/>
  <c r="DE1136" i="33"/>
  <c r="CX1136" i="33"/>
  <c r="CF1136" i="33"/>
  <c r="G1142" i="33" s="1"/>
  <c r="CF1142" i="33" s="1"/>
  <c r="G1148" i="33" s="1"/>
  <c r="CF1148" i="33" s="1"/>
  <c r="G1154" i="33" s="1"/>
  <c r="CF1154" i="33" s="1"/>
  <c r="CC1136" i="33"/>
  <c r="BV1136" i="33"/>
  <c r="BO1136" i="33"/>
  <c r="BH1136" i="33"/>
  <c r="BA1136" i="33"/>
  <c r="AT1136" i="33"/>
  <c r="AM1136" i="33"/>
  <c r="AF1136" i="33"/>
  <c r="Y1136" i="33"/>
  <c r="R1136" i="33"/>
  <c r="G1136" i="33"/>
  <c r="DE1135" i="33"/>
  <c r="CX1135" i="33"/>
  <c r="CG1135" i="33"/>
  <c r="H1141" i="33" s="1"/>
  <c r="CG1141" i="33" s="1"/>
  <c r="H1147" i="33" s="1"/>
  <c r="CG1147" i="33" s="1"/>
  <c r="H1153" i="33" s="1"/>
  <c r="CG1153" i="33" s="1"/>
  <c r="CF1135" i="33"/>
  <c r="G1141" i="33" s="1"/>
  <c r="CF1141" i="33" s="1"/>
  <c r="G1147" i="33" s="1"/>
  <c r="CF1147" i="33" s="1"/>
  <c r="G1153" i="33" s="1"/>
  <c r="CF1153" i="33" s="1"/>
  <c r="CE1135" i="33"/>
  <c r="F1141" i="33" s="1"/>
  <c r="CC1135" i="33"/>
  <c r="BV1135" i="33"/>
  <c r="BO1135" i="33"/>
  <c r="BH1135" i="33"/>
  <c r="BA1135" i="33"/>
  <c r="AT1135" i="33"/>
  <c r="AM1135" i="33"/>
  <c r="AM1137" i="33" s="1"/>
  <c r="AF1135" i="33"/>
  <c r="Y1135" i="33"/>
  <c r="R1135" i="33"/>
  <c r="H1135" i="33"/>
  <c r="G1135" i="33"/>
  <c r="F1135" i="33"/>
  <c r="DE1134" i="33"/>
  <c r="DE1137" i="33" s="1"/>
  <c r="CX1134" i="33"/>
  <c r="CC1134" i="33"/>
  <c r="BV1134" i="33"/>
  <c r="BV1137" i="33" s="1"/>
  <c r="BO1134" i="33"/>
  <c r="BH1134" i="33"/>
  <c r="BA1134" i="33"/>
  <c r="AT1134" i="33"/>
  <c r="AM1134" i="33"/>
  <c r="AF1134" i="33"/>
  <c r="Y1134" i="33"/>
  <c r="R1134" i="33"/>
  <c r="I1134" i="33"/>
  <c r="CH1134" i="33" s="1"/>
  <c r="H1134" i="33"/>
  <c r="CG1134" i="33" s="1"/>
  <c r="H1140" i="33" s="1"/>
  <c r="CG1140" i="33" s="1"/>
  <c r="H1146" i="33" s="1"/>
  <c r="G1134" i="33"/>
  <c r="CF1134" i="33" s="1"/>
  <c r="G1140" i="33" s="1"/>
  <c r="CF1140" i="33" s="1"/>
  <c r="G1146" i="33" s="1"/>
  <c r="DE1133" i="33"/>
  <c r="CX1133" i="33"/>
  <c r="CI1133" i="33"/>
  <c r="J1139" i="33" s="1"/>
  <c r="CI1139" i="33" s="1"/>
  <c r="CG1133" i="33"/>
  <c r="H1139" i="33" s="1"/>
  <c r="CG1139" i="33" s="1"/>
  <c r="CC1133" i="33"/>
  <c r="BV1133" i="33"/>
  <c r="BO1133" i="33"/>
  <c r="BH1133" i="33"/>
  <c r="BH1137" i="33" s="1"/>
  <c r="BA1133" i="33"/>
  <c r="AT1133" i="33"/>
  <c r="AM1133" i="33"/>
  <c r="AF1133" i="33"/>
  <c r="Y1133" i="33"/>
  <c r="R1133" i="33"/>
  <c r="J1133" i="33"/>
  <c r="H1133" i="33"/>
  <c r="DD1131" i="33"/>
  <c r="DC1131" i="33"/>
  <c r="DB1131" i="33"/>
  <c r="DA1131" i="33"/>
  <c r="CZ1131" i="33"/>
  <c r="CW1131" i="33"/>
  <c r="CV1131" i="33"/>
  <c r="CU1131" i="33"/>
  <c r="CT1131" i="33"/>
  <c r="CS1131" i="33"/>
  <c r="CP1131" i="33"/>
  <c r="CO1131" i="33"/>
  <c r="CN1131" i="33"/>
  <c r="CM1131" i="33"/>
  <c r="CL1131" i="33"/>
  <c r="CG1131" i="33"/>
  <c r="CB1131" i="33"/>
  <c r="CA1131" i="33"/>
  <c r="BZ1131" i="33"/>
  <c r="BY1131" i="33"/>
  <c r="BX1131" i="33"/>
  <c r="BU1131" i="33"/>
  <c r="BT1131" i="33"/>
  <c r="BS1131" i="33"/>
  <c r="BR1131" i="33"/>
  <c r="BQ1131" i="33"/>
  <c r="BN1131" i="33"/>
  <c r="BM1131" i="33"/>
  <c r="BL1131" i="33"/>
  <c r="BK1131" i="33"/>
  <c r="BJ1131" i="33"/>
  <c r="BG1131" i="33"/>
  <c r="BF1131" i="33"/>
  <c r="BE1131" i="33"/>
  <c r="BD1131" i="33"/>
  <c r="BC1131" i="33"/>
  <c r="AZ1131" i="33"/>
  <c r="AY1131" i="33"/>
  <c r="AX1131" i="33"/>
  <c r="AW1131" i="33"/>
  <c r="AV1131" i="33"/>
  <c r="AS1131" i="33"/>
  <c r="AR1131" i="33"/>
  <c r="AQ1131" i="33"/>
  <c r="AP1131" i="33"/>
  <c r="AO1131" i="33"/>
  <c r="AM1131" i="33"/>
  <c r="AL1131" i="33"/>
  <c r="AK1131" i="33"/>
  <c r="AJ1131" i="33"/>
  <c r="AI1131" i="33"/>
  <c r="AH1131" i="33"/>
  <c r="J1131" i="33"/>
  <c r="I1131" i="33"/>
  <c r="H1131" i="33"/>
  <c r="G1131" i="33"/>
  <c r="F1131" i="33"/>
  <c r="DE1130" i="33"/>
  <c r="CX1130" i="33"/>
  <c r="CI1130" i="33"/>
  <c r="J1136" i="33" s="1"/>
  <c r="CI1136" i="33" s="1"/>
  <c r="CH1130" i="33"/>
  <c r="I1136" i="33" s="1"/>
  <c r="CH1136" i="33" s="1"/>
  <c r="I1142" i="33" s="1"/>
  <c r="CH1142" i="33" s="1"/>
  <c r="I1148" i="33" s="1"/>
  <c r="CH1148" i="33" s="1"/>
  <c r="I1154" i="33" s="1"/>
  <c r="CH1154" i="33" s="1"/>
  <c r="CG1130" i="33"/>
  <c r="H1136" i="33" s="1"/>
  <c r="CG1136" i="33" s="1"/>
  <c r="H1142" i="33" s="1"/>
  <c r="CG1142" i="33" s="1"/>
  <c r="H1148" i="33" s="1"/>
  <c r="CG1148" i="33" s="1"/>
  <c r="H1154" i="33" s="1"/>
  <c r="CF1130" i="33"/>
  <c r="CE1130" i="33"/>
  <c r="CJ1130" i="33" s="1"/>
  <c r="CC1130" i="33"/>
  <c r="BV1130" i="33"/>
  <c r="BO1130" i="33"/>
  <c r="BH1130" i="33"/>
  <c r="BA1130" i="33"/>
  <c r="AT1130" i="33"/>
  <c r="AM1130" i="33"/>
  <c r="AF1130" i="33"/>
  <c r="Y1130" i="33"/>
  <c r="R1130" i="33"/>
  <c r="K1130" i="33"/>
  <c r="DE1129" i="33"/>
  <c r="CX1129" i="33"/>
  <c r="CI1129" i="33"/>
  <c r="J1135" i="33" s="1"/>
  <c r="CI1135" i="33" s="1"/>
  <c r="J1141" i="33" s="1"/>
  <c r="CI1141" i="33" s="1"/>
  <c r="J1147" i="33" s="1"/>
  <c r="CI1147" i="33" s="1"/>
  <c r="J1153" i="33" s="1"/>
  <c r="CI1153" i="33" s="1"/>
  <c r="CH1129" i="33"/>
  <c r="I1135" i="33" s="1"/>
  <c r="CH1135" i="33" s="1"/>
  <c r="I1141" i="33" s="1"/>
  <c r="CH1141" i="33" s="1"/>
  <c r="I1147" i="33" s="1"/>
  <c r="CH1147" i="33" s="1"/>
  <c r="I1153" i="33" s="1"/>
  <c r="CH1153" i="33" s="1"/>
  <c r="CG1129" i="33"/>
  <c r="CF1129" i="33"/>
  <c r="CE1129" i="33"/>
  <c r="CC1129" i="33"/>
  <c r="BV1129" i="33"/>
  <c r="BO1129" i="33"/>
  <c r="BH1129" i="33"/>
  <c r="BA1129" i="33"/>
  <c r="AT1129" i="33"/>
  <c r="AM1129" i="33"/>
  <c r="AF1129" i="33"/>
  <c r="Y1129" i="33"/>
  <c r="R1129" i="33"/>
  <c r="K1129" i="33"/>
  <c r="DE1128" i="33"/>
  <c r="CX1128" i="33"/>
  <c r="CX1131" i="33" s="1"/>
  <c r="CI1128" i="33"/>
  <c r="J1134" i="33" s="1"/>
  <c r="CI1134" i="33" s="1"/>
  <c r="J1140" i="33" s="1"/>
  <c r="CI1140" i="33" s="1"/>
  <c r="J1146" i="33" s="1"/>
  <c r="CI1146" i="33" s="1"/>
  <c r="J1152" i="33" s="1"/>
  <c r="CI1152" i="33" s="1"/>
  <c r="CH1128" i="33"/>
  <c r="CG1128" i="33"/>
  <c r="CF1128" i="33"/>
  <c r="CF1131" i="33" s="1"/>
  <c r="CE1128" i="33"/>
  <c r="CC1128" i="33"/>
  <c r="BV1128" i="33"/>
  <c r="BO1128" i="33"/>
  <c r="BH1128" i="33"/>
  <c r="BA1128" i="33"/>
  <c r="AT1128" i="33"/>
  <c r="AM1128" i="33"/>
  <c r="AF1128" i="33"/>
  <c r="Y1128" i="33"/>
  <c r="R1128" i="33"/>
  <c r="K1128" i="33"/>
  <c r="DE1127" i="33"/>
  <c r="DE1131" i="33" s="1"/>
  <c r="CX1127" i="33"/>
  <c r="CI1127" i="33"/>
  <c r="CH1127" i="33"/>
  <c r="CJ1127" i="33" s="1"/>
  <c r="CG1127" i="33"/>
  <c r="CF1127" i="33"/>
  <c r="G1133" i="33" s="1"/>
  <c r="CE1127" i="33"/>
  <c r="F1133" i="33" s="1"/>
  <c r="CC1127" i="33"/>
  <c r="CC1131" i="33" s="1"/>
  <c r="BV1127" i="33"/>
  <c r="BV1131" i="33" s="1"/>
  <c r="BO1127" i="33"/>
  <c r="BO1131" i="33" s="1"/>
  <c r="BH1127" i="33"/>
  <c r="BA1127" i="33"/>
  <c r="BA1131" i="33" s="1"/>
  <c r="AT1127" i="33"/>
  <c r="AT1131" i="33" s="1"/>
  <c r="AM1127" i="33"/>
  <c r="AF1127" i="33"/>
  <c r="Y1127" i="33"/>
  <c r="R1127" i="33"/>
  <c r="K1127" i="33"/>
  <c r="K1131" i="33" s="1"/>
  <c r="DD1123" i="33"/>
  <c r="DC1123" i="33"/>
  <c r="DB1123" i="33"/>
  <c r="DA1123" i="33"/>
  <c r="CZ1123" i="33"/>
  <c r="CW1123" i="33"/>
  <c r="CV1123" i="33"/>
  <c r="CU1123" i="33"/>
  <c r="CT1123" i="33"/>
  <c r="CS1123" i="33"/>
  <c r="CP1123" i="33"/>
  <c r="CO1123" i="33"/>
  <c r="CN1123" i="33"/>
  <c r="CM1123" i="33"/>
  <c r="CL1123" i="33"/>
  <c r="CB1123" i="33"/>
  <c r="CA1123" i="33"/>
  <c r="BZ1123" i="33"/>
  <c r="BY1123" i="33"/>
  <c r="BX1123" i="33"/>
  <c r="BU1123" i="33"/>
  <c r="BT1123" i="33"/>
  <c r="BS1123" i="33"/>
  <c r="BR1123" i="33"/>
  <c r="BQ1123" i="33"/>
  <c r="BN1123" i="33"/>
  <c r="BM1123" i="33"/>
  <c r="BL1123" i="33"/>
  <c r="BK1123" i="33"/>
  <c r="BJ1123" i="33"/>
  <c r="BG1123" i="33"/>
  <c r="BF1123" i="33"/>
  <c r="BE1123" i="33"/>
  <c r="BD1123" i="33"/>
  <c r="BC1123" i="33"/>
  <c r="AZ1123" i="33"/>
  <c r="AY1123" i="33"/>
  <c r="AX1123" i="33"/>
  <c r="AW1123" i="33"/>
  <c r="AV1123" i="33"/>
  <c r="AS1123" i="33"/>
  <c r="AR1123" i="33"/>
  <c r="AQ1123" i="33"/>
  <c r="AP1123" i="33"/>
  <c r="AO1123" i="33"/>
  <c r="AL1123" i="33"/>
  <c r="AK1123" i="33"/>
  <c r="AJ1123" i="33"/>
  <c r="AI1123" i="33"/>
  <c r="AH1123" i="33"/>
  <c r="DE1122" i="33"/>
  <c r="CX1122" i="33"/>
  <c r="CC1122" i="33"/>
  <c r="BV1122" i="33"/>
  <c r="BO1122" i="33"/>
  <c r="BH1122" i="33"/>
  <c r="BA1122" i="33"/>
  <c r="BA1123" i="33" s="1"/>
  <c r="AT1122" i="33"/>
  <c r="AM1122" i="33"/>
  <c r="AF1122" i="33"/>
  <c r="Y1122" i="33"/>
  <c r="R1122" i="33"/>
  <c r="DE1121" i="33"/>
  <c r="CX1121" i="33"/>
  <c r="CC1121" i="33"/>
  <c r="BV1121" i="33"/>
  <c r="BO1121" i="33"/>
  <c r="BH1121" i="33"/>
  <c r="BA1121" i="33"/>
  <c r="AT1121" i="33"/>
  <c r="AM1121" i="33"/>
  <c r="AF1121" i="33"/>
  <c r="Y1121" i="33"/>
  <c r="R1121" i="33"/>
  <c r="DE1120" i="33"/>
  <c r="CX1120" i="33"/>
  <c r="CC1120" i="33"/>
  <c r="BV1120" i="33"/>
  <c r="BO1120" i="33"/>
  <c r="BH1120" i="33"/>
  <c r="BH1123" i="33" s="1"/>
  <c r="BA1120" i="33"/>
  <c r="AT1120" i="33"/>
  <c r="AT1123" i="33" s="1"/>
  <c r="AM1120" i="33"/>
  <c r="AF1120" i="33"/>
  <c r="Y1120" i="33"/>
  <c r="R1120" i="33"/>
  <c r="DE1119" i="33"/>
  <c r="DE1123" i="33" s="1"/>
  <c r="CX1119" i="33"/>
  <c r="CX1123" i="33" s="1"/>
  <c r="CC1119" i="33"/>
  <c r="CC1123" i="33" s="1"/>
  <c r="BV1119" i="33"/>
  <c r="BV1123" i="33" s="1"/>
  <c r="BO1119" i="33"/>
  <c r="BH1119" i="33"/>
  <c r="BA1119" i="33"/>
  <c r="AT1119" i="33"/>
  <c r="AM1119" i="33"/>
  <c r="AM1123" i="33" s="1"/>
  <c r="AF1119" i="33"/>
  <c r="Y1119" i="33"/>
  <c r="R1119" i="33"/>
  <c r="DD1117" i="33"/>
  <c r="DC1117" i="33"/>
  <c r="DB1117" i="33"/>
  <c r="DA1117" i="33"/>
  <c r="CZ1117" i="33"/>
  <c r="CW1117" i="33"/>
  <c r="CV1117" i="33"/>
  <c r="CU1117" i="33"/>
  <c r="CT1117" i="33"/>
  <c r="CS1117" i="33"/>
  <c r="CP1117" i="33"/>
  <c r="CO1117" i="33"/>
  <c r="CN1117" i="33"/>
  <c r="CM1117" i="33"/>
  <c r="CL1117" i="33"/>
  <c r="CC1117" i="33"/>
  <c r="CB1117" i="33"/>
  <c r="CA1117" i="33"/>
  <c r="BZ1117" i="33"/>
  <c r="BY1117" i="33"/>
  <c r="BX1117" i="33"/>
  <c r="BU1117" i="33"/>
  <c r="BT1117" i="33"/>
  <c r="BS1117" i="33"/>
  <c r="BR1117" i="33"/>
  <c r="BQ1117" i="33"/>
  <c r="BN1117" i="33"/>
  <c r="BM1117" i="33"/>
  <c r="BL1117" i="33"/>
  <c r="BK1117" i="33"/>
  <c r="BJ1117" i="33"/>
  <c r="BG1117" i="33"/>
  <c r="BF1117" i="33"/>
  <c r="BE1117" i="33"/>
  <c r="BD1117" i="33"/>
  <c r="BC1117" i="33"/>
  <c r="AZ1117" i="33"/>
  <c r="AY1117" i="33"/>
  <c r="AX1117" i="33"/>
  <c r="AW1117" i="33"/>
  <c r="AV1117" i="33"/>
  <c r="AS1117" i="33"/>
  <c r="AR1117" i="33"/>
  <c r="AQ1117" i="33"/>
  <c r="AP1117" i="33"/>
  <c r="AO1117" i="33"/>
  <c r="AL1117" i="33"/>
  <c r="AK1117" i="33"/>
  <c r="AJ1117" i="33"/>
  <c r="AI1117" i="33"/>
  <c r="AH1117" i="33"/>
  <c r="DE1116" i="33"/>
  <c r="CX1116" i="33"/>
  <c r="CC1116" i="33"/>
  <c r="BV1116" i="33"/>
  <c r="BO1116" i="33"/>
  <c r="BH1116" i="33"/>
  <c r="BA1116" i="33"/>
  <c r="AT1116" i="33"/>
  <c r="AM1116" i="33"/>
  <c r="AF1116" i="33"/>
  <c r="Y1116" i="33"/>
  <c r="R1116" i="33"/>
  <c r="DE1115" i="33"/>
  <c r="CX1115" i="33"/>
  <c r="CC1115" i="33"/>
  <c r="BV1115" i="33"/>
  <c r="BO1115" i="33"/>
  <c r="BH1115" i="33"/>
  <c r="BA1115" i="33"/>
  <c r="AT1115" i="33"/>
  <c r="AM1115" i="33"/>
  <c r="AF1115" i="33"/>
  <c r="Y1115" i="33"/>
  <c r="R1115" i="33"/>
  <c r="DE1114" i="33"/>
  <c r="CX1114" i="33"/>
  <c r="CC1114" i="33"/>
  <c r="BV1114" i="33"/>
  <c r="BO1114" i="33"/>
  <c r="BH1114" i="33"/>
  <c r="BA1114" i="33"/>
  <c r="AT1114" i="33"/>
  <c r="AM1114" i="33"/>
  <c r="AF1114" i="33"/>
  <c r="Y1114" i="33"/>
  <c r="R1114" i="33"/>
  <c r="DE1113" i="33"/>
  <c r="DE1117" i="33" s="1"/>
  <c r="CX1113" i="33"/>
  <c r="CC1113" i="33"/>
  <c r="BV1113" i="33"/>
  <c r="BO1113" i="33"/>
  <c r="BH1113" i="33"/>
  <c r="BA1113" i="33"/>
  <c r="BA1117" i="33" s="1"/>
  <c r="AT1113" i="33"/>
  <c r="AM1113" i="33"/>
  <c r="AF1113" i="33"/>
  <c r="Y1113" i="33"/>
  <c r="R1113" i="33"/>
  <c r="DD1111" i="33"/>
  <c r="DC1111" i="33"/>
  <c r="DB1111" i="33"/>
  <c r="DA1111" i="33"/>
  <c r="CZ1111" i="33"/>
  <c r="CW1111" i="33"/>
  <c r="CV1111" i="33"/>
  <c r="CU1111" i="33"/>
  <c r="CT1111" i="33"/>
  <c r="CS1111" i="33"/>
  <c r="CP1111" i="33"/>
  <c r="CO1111" i="33"/>
  <c r="CN1111" i="33"/>
  <c r="CM1111" i="33"/>
  <c r="CL1111" i="33"/>
  <c r="CB1111" i="33"/>
  <c r="CA1111" i="33"/>
  <c r="BZ1111" i="33"/>
  <c r="BY1111" i="33"/>
  <c r="BX1111" i="33"/>
  <c r="BU1111" i="33"/>
  <c r="BT1111" i="33"/>
  <c r="BS1111" i="33"/>
  <c r="BR1111" i="33"/>
  <c r="BQ1111" i="33"/>
  <c r="BO1111" i="33"/>
  <c r="BN1111" i="33"/>
  <c r="BM1111" i="33"/>
  <c r="BL1111" i="33"/>
  <c r="BK1111" i="33"/>
  <c r="BJ1111" i="33"/>
  <c r="BG1111" i="33"/>
  <c r="BF1111" i="33"/>
  <c r="BE1111" i="33"/>
  <c r="BD1111" i="33"/>
  <c r="BC1111" i="33"/>
  <c r="AZ1111" i="33"/>
  <c r="AY1111" i="33"/>
  <c r="AX1111" i="33"/>
  <c r="AW1111" i="33"/>
  <c r="AV1111" i="33"/>
  <c r="AS1111" i="33"/>
  <c r="AR1111" i="33"/>
  <c r="AQ1111" i="33"/>
  <c r="AP1111" i="33"/>
  <c r="AO1111" i="33"/>
  <c r="AL1111" i="33"/>
  <c r="AK1111" i="33"/>
  <c r="AJ1111" i="33"/>
  <c r="AI1111" i="33"/>
  <c r="AH1111" i="33"/>
  <c r="DE1110" i="33"/>
  <c r="CX1110" i="33"/>
  <c r="CF1110" i="33"/>
  <c r="G1116" i="33" s="1"/>
  <c r="CF1116" i="33" s="1"/>
  <c r="G1122" i="33" s="1"/>
  <c r="CF1122" i="33" s="1"/>
  <c r="CC1110" i="33"/>
  <c r="BV1110" i="33"/>
  <c r="BO1110" i="33"/>
  <c r="BH1110" i="33"/>
  <c r="BA1110" i="33"/>
  <c r="AT1110" i="33"/>
  <c r="AM1110" i="33"/>
  <c r="AF1110" i="33"/>
  <c r="Y1110" i="33"/>
  <c r="R1110" i="33"/>
  <c r="DE1109" i="33"/>
  <c r="CX1109" i="33"/>
  <c r="CC1109" i="33"/>
  <c r="BV1109" i="33"/>
  <c r="BO1109" i="33"/>
  <c r="BH1109" i="33"/>
  <c r="BA1109" i="33"/>
  <c r="AT1109" i="33"/>
  <c r="AM1109" i="33"/>
  <c r="AF1109" i="33"/>
  <c r="Y1109" i="33"/>
  <c r="R1109" i="33"/>
  <c r="G1109" i="33"/>
  <c r="CF1109" i="33" s="1"/>
  <c r="G1115" i="33" s="1"/>
  <c r="CF1115" i="33" s="1"/>
  <c r="G1121" i="33" s="1"/>
  <c r="CF1121" i="33" s="1"/>
  <c r="DE1108" i="33"/>
  <c r="DE1111" i="33" s="1"/>
  <c r="CX1108" i="33"/>
  <c r="CC1108" i="33"/>
  <c r="BV1108" i="33"/>
  <c r="BO1108" i="33"/>
  <c r="BH1108" i="33"/>
  <c r="BA1108" i="33"/>
  <c r="AT1108" i="33"/>
  <c r="AM1108" i="33"/>
  <c r="AF1108" i="33"/>
  <c r="Y1108" i="33"/>
  <c r="R1108" i="33"/>
  <c r="I1108" i="33"/>
  <c r="CH1108" i="33" s="1"/>
  <c r="I1114" i="33" s="1"/>
  <c r="CH1114" i="33" s="1"/>
  <c r="I1120" i="33" s="1"/>
  <c r="CH1120" i="33" s="1"/>
  <c r="DE1107" i="33"/>
  <c r="CX1107" i="33"/>
  <c r="CX1111" i="33" s="1"/>
  <c r="CC1107" i="33"/>
  <c r="CC1111" i="33" s="1"/>
  <c r="BV1107" i="33"/>
  <c r="BV1111" i="33" s="1"/>
  <c r="BO1107" i="33"/>
  <c r="BH1107" i="33"/>
  <c r="BH1111" i="33" s="1"/>
  <c r="BA1107" i="33"/>
  <c r="AT1107" i="33"/>
  <c r="AT1111" i="33" s="1"/>
  <c r="AM1107" i="33"/>
  <c r="AF1107" i="33"/>
  <c r="Y1107" i="33"/>
  <c r="R1107" i="33"/>
  <c r="DD1105" i="33"/>
  <c r="DC1105" i="33"/>
  <c r="DB1105" i="33"/>
  <c r="DA1105" i="33"/>
  <c r="CZ1105" i="33"/>
  <c r="CW1105" i="33"/>
  <c r="CV1105" i="33"/>
  <c r="CU1105" i="33"/>
  <c r="CT1105" i="33"/>
  <c r="CS1105" i="33"/>
  <c r="CP1105" i="33"/>
  <c r="CO1105" i="33"/>
  <c r="CN1105" i="33"/>
  <c r="CM1105" i="33"/>
  <c r="CL1105" i="33"/>
  <c r="CB1105" i="33"/>
  <c r="CA1105" i="33"/>
  <c r="BZ1105" i="33"/>
  <c r="BY1105" i="33"/>
  <c r="BX1105" i="33"/>
  <c r="BU1105" i="33"/>
  <c r="BT1105" i="33"/>
  <c r="BS1105" i="33"/>
  <c r="BR1105" i="33"/>
  <c r="BQ1105" i="33"/>
  <c r="BO1105" i="33"/>
  <c r="BN1105" i="33"/>
  <c r="BM1105" i="33"/>
  <c r="BL1105" i="33"/>
  <c r="BK1105" i="33"/>
  <c r="BJ1105" i="33"/>
  <c r="BG1105" i="33"/>
  <c r="BF1105" i="33"/>
  <c r="BE1105" i="33"/>
  <c r="BD1105" i="33"/>
  <c r="BC1105" i="33"/>
  <c r="AZ1105" i="33"/>
  <c r="AY1105" i="33"/>
  <c r="AX1105" i="33"/>
  <c r="AW1105" i="33"/>
  <c r="AV1105" i="33"/>
  <c r="AS1105" i="33"/>
  <c r="AR1105" i="33"/>
  <c r="AQ1105" i="33"/>
  <c r="AP1105" i="33"/>
  <c r="AO1105" i="33"/>
  <c r="AL1105" i="33"/>
  <c r="AK1105" i="33"/>
  <c r="AJ1105" i="33"/>
  <c r="AI1105" i="33"/>
  <c r="AH1105" i="33"/>
  <c r="DE1104" i="33"/>
  <c r="CX1104" i="33"/>
  <c r="CC1104" i="33"/>
  <c r="BV1104" i="33"/>
  <c r="BO1104" i="33"/>
  <c r="BH1104" i="33"/>
  <c r="BA1104" i="33"/>
  <c r="AT1104" i="33"/>
  <c r="AM1104" i="33"/>
  <c r="AF1104" i="33"/>
  <c r="Y1104" i="33"/>
  <c r="R1104" i="33"/>
  <c r="G1104" i="33"/>
  <c r="CF1104" i="33" s="1"/>
  <c r="G1110" i="33" s="1"/>
  <c r="DE1103" i="33"/>
  <c r="CX1103" i="33"/>
  <c r="CG1103" i="33"/>
  <c r="H1109" i="33" s="1"/>
  <c r="CG1109" i="33" s="1"/>
  <c r="H1115" i="33" s="1"/>
  <c r="CG1115" i="33" s="1"/>
  <c r="H1121" i="33" s="1"/>
  <c r="CG1121" i="33" s="1"/>
  <c r="CF1103" i="33"/>
  <c r="CE1103" i="33"/>
  <c r="CC1103" i="33"/>
  <c r="BV1103" i="33"/>
  <c r="BO1103" i="33"/>
  <c r="BH1103" i="33"/>
  <c r="BA1103" i="33"/>
  <c r="AT1103" i="33"/>
  <c r="AM1103" i="33"/>
  <c r="AM1105" i="33" s="1"/>
  <c r="AF1103" i="33"/>
  <c r="Y1103" i="33"/>
  <c r="R1103" i="33"/>
  <c r="H1103" i="33"/>
  <c r="G1103" i="33"/>
  <c r="F1103" i="33"/>
  <c r="DE1102" i="33"/>
  <c r="DE1105" i="33" s="1"/>
  <c r="CX1102" i="33"/>
  <c r="CH1102" i="33"/>
  <c r="CC1102" i="33"/>
  <c r="BV1102" i="33"/>
  <c r="BO1102" i="33"/>
  <c r="BH1102" i="33"/>
  <c r="BA1102" i="33"/>
  <c r="AT1102" i="33"/>
  <c r="AM1102" i="33"/>
  <c r="AF1102" i="33"/>
  <c r="Y1102" i="33"/>
  <c r="R1102" i="33"/>
  <c r="I1102" i="33"/>
  <c r="H1102" i="33"/>
  <c r="CG1102" i="33" s="1"/>
  <c r="H1108" i="33" s="1"/>
  <c r="CG1108" i="33" s="1"/>
  <c r="H1114" i="33" s="1"/>
  <c r="CG1114" i="33" s="1"/>
  <c r="H1120" i="33" s="1"/>
  <c r="CG1120" i="33" s="1"/>
  <c r="G1102" i="33"/>
  <c r="CF1102" i="33" s="1"/>
  <c r="G1108" i="33" s="1"/>
  <c r="CF1108" i="33" s="1"/>
  <c r="G1114" i="33" s="1"/>
  <c r="CF1114" i="33" s="1"/>
  <c r="G1120" i="33" s="1"/>
  <c r="CF1120" i="33" s="1"/>
  <c r="DE1101" i="33"/>
  <c r="CX1101" i="33"/>
  <c r="CX1105" i="33" s="1"/>
  <c r="CG1101" i="33"/>
  <c r="H1107" i="33" s="1"/>
  <c r="CG1107" i="33" s="1"/>
  <c r="CC1101" i="33"/>
  <c r="BV1101" i="33"/>
  <c r="BV1105" i="33" s="1"/>
  <c r="BO1101" i="33"/>
  <c r="BH1101" i="33"/>
  <c r="BH1105" i="33" s="1"/>
  <c r="BA1101" i="33"/>
  <c r="AT1101" i="33"/>
  <c r="AM1101" i="33"/>
  <c r="AF1101" i="33"/>
  <c r="Y1101" i="33"/>
  <c r="R1101" i="33"/>
  <c r="J1101" i="33"/>
  <c r="H1101" i="33"/>
  <c r="G1101" i="33"/>
  <c r="CF1101" i="33" s="1"/>
  <c r="DD1099" i="33"/>
  <c r="DC1099" i="33"/>
  <c r="DB1099" i="33"/>
  <c r="DA1099" i="33"/>
  <c r="CZ1099" i="33"/>
  <c r="CW1099" i="33"/>
  <c r="CV1099" i="33"/>
  <c r="CU1099" i="33"/>
  <c r="CT1099" i="33"/>
  <c r="CS1099" i="33"/>
  <c r="CP1099" i="33"/>
  <c r="CO1099" i="33"/>
  <c r="CN1099" i="33"/>
  <c r="CM1099" i="33"/>
  <c r="CL1099" i="33"/>
  <c r="CH1099" i="33"/>
  <c r="CG1099" i="33"/>
  <c r="CB1099" i="33"/>
  <c r="CA1099" i="33"/>
  <c r="BZ1099" i="33"/>
  <c r="BY1099" i="33"/>
  <c r="BX1099" i="33"/>
  <c r="BU1099" i="33"/>
  <c r="BT1099" i="33"/>
  <c r="BS1099" i="33"/>
  <c r="BR1099" i="33"/>
  <c r="BQ1099" i="33"/>
  <c r="BN1099" i="33"/>
  <c r="BM1099" i="33"/>
  <c r="BL1099" i="33"/>
  <c r="BK1099" i="33"/>
  <c r="BJ1099" i="33"/>
  <c r="BG1099" i="33"/>
  <c r="BF1099" i="33"/>
  <c r="BE1099" i="33"/>
  <c r="BD1099" i="33"/>
  <c r="BC1099" i="33"/>
  <c r="AZ1099" i="33"/>
  <c r="AY1099" i="33"/>
  <c r="AX1099" i="33"/>
  <c r="AW1099" i="33"/>
  <c r="AV1099" i="33"/>
  <c r="AS1099" i="33"/>
  <c r="AR1099" i="33"/>
  <c r="AQ1099" i="33"/>
  <c r="AP1099" i="33"/>
  <c r="AO1099" i="33"/>
  <c r="AM1099" i="33"/>
  <c r="AL1099" i="33"/>
  <c r="AK1099" i="33"/>
  <c r="AJ1099" i="33"/>
  <c r="AI1099" i="33"/>
  <c r="AH1099" i="33"/>
  <c r="J1099" i="33"/>
  <c r="I1099" i="33"/>
  <c r="H1099" i="33"/>
  <c r="G1099" i="33"/>
  <c r="F1099" i="33"/>
  <c r="DE1098" i="33"/>
  <c r="CX1098" i="33"/>
  <c r="CI1098" i="33"/>
  <c r="J1104" i="33" s="1"/>
  <c r="CI1104" i="33" s="1"/>
  <c r="J1110" i="33" s="1"/>
  <c r="CI1110" i="33" s="1"/>
  <c r="J1116" i="33" s="1"/>
  <c r="CI1116" i="33" s="1"/>
  <c r="J1122" i="33" s="1"/>
  <c r="CI1122" i="33" s="1"/>
  <c r="CH1098" i="33"/>
  <c r="I1104" i="33" s="1"/>
  <c r="CH1104" i="33" s="1"/>
  <c r="I1110" i="33" s="1"/>
  <c r="CH1110" i="33" s="1"/>
  <c r="I1116" i="33" s="1"/>
  <c r="CH1116" i="33" s="1"/>
  <c r="I1122" i="33" s="1"/>
  <c r="CH1122" i="33" s="1"/>
  <c r="CG1098" i="33"/>
  <c r="H1104" i="33" s="1"/>
  <c r="CG1104" i="33" s="1"/>
  <c r="H1110" i="33" s="1"/>
  <c r="CG1110" i="33" s="1"/>
  <c r="H1116" i="33" s="1"/>
  <c r="CG1116" i="33" s="1"/>
  <c r="H1122" i="33" s="1"/>
  <c r="CG1122" i="33" s="1"/>
  <c r="CF1098" i="33"/>
  <c r="CE1098" i="33"/>
  <c r="CC1098" i="33"/>
  <c r="BV1098" i="33"/>
  <c r="BO1098" i="33"/>
  <c r="BH1098" i="33"/>
  <c r="BA1098" i="33"/>
  <c r="AT1098" i="33"/>
  <c r="AM1098" i="33"/>
  <c r="AF1098" i="33"/>
  <c r="Y1098" i="33"/>
  <c r="R1098" i="33"/>
  <c r="K1098" i="33"/>
  <c r="DE1097" i="33"/>
  <c r="CX1097" i="33"/>
  <c r="CI1097" i="33"/>
  <c r="CH1097" i="33"/>
  <c r="I1103" i="33" s="1"/>
  <c r="CH1103" i="33" s="1"/>
  <c r="I1109" i="33" s="1"/>
  <c r="CH1109" i="33" s="1"/>
  <c r="I1115" i="33" s="1"/>
  <c r="CH1115" i="33" s="1"/>
  <c r="I1121" i="33" s="1"/>
  <c r="CH1121" i="33" s="1"/>
  <c r="CG1097" i="33"/>
  <c r="CF1097" i="33"/>
  <c r="CE1097" i="33"/>
  <c r="CC1097" i="33"/>
  <c r="BV1097" i="33"/>
  <c r="BO1097" i="33"/>
  <c r="BH1097" i="33"/>
  <c r="BA1097" i="33"/>
  <c r="AT1097" i="33"/>
  <c r="AM1097" i="33"/>
  <c r="AF1097" i="33"/>
  <c r="Y1097" i="33"/>
  <c r="R1097" i="33"/>
  <c r="K1097" i="33"/>
  <c r="DE1096" i="33"/>
  <c r="CX1096" i="33"/>
  <c r="CI1096" i="33"/>
  <c r="J1102" i="33" s="1"/>
  <c r="CI1102" i="33" s="1"/>
  <c r="J1108" i="33" s="1"/>
  <c r="CI1108" i="33" s="1"/>
  <c r="J1114" i="33" s="1"/>
  <c r="CI1114" i="33" s="1"/>
  <c r="J1120" i="33" s="1"/>
  <c r="CI1120" i="33" s="1"/>
  <c r="CH1096" i="33"/>
  <c r="CG1096" i="33"/>
  <c r="CF1096" i="33"/>
  <c r="CF1099" i="33" s="1"/>
  <c r="CE1096" i="33"/>
  <c r="CC1096" i="33"/>
  <c r="BV1096" i="33"/>
  <c r="BO1096" i="33"/>
  <c r="BH1096" i="33"/>
  <c r="BA1096" i="33"/>
  <c r="AT1096" i="33"/>
  <c r="AM1096" i="33"/>
  <c r="AF1096" i="33"/>
  <c r="Y1096" i="33"/>
  <c r="R1096" i="33"/>
  <c r="K1096" i="33"/>
  <c r="DE1095" i="33"/>
  <c r="DE1099" i="33" s="1"/>
  <c r="CX1095" i="33"/>
  <c r="CX1099" i="33" s="1"/>
  <c r="CJ1095" i="33"/>
  <c r="CI1095" i="33"/>
  <c r="CH1095" i="33"/>
  <c r="I1101" i="33" s="1"/>
  <c r="CG1095" i="33"/>
  <c r="CF1095" i="33"/>
  <c r="CE1095" i="33"/>
  <c r="F1101" i="33" s="1"/>
  <c r="CC1095" i="33"/>
  <c r="CC1099" i="33" s="1"/>
  <c r="BV1095" i="33"/>
  <c r="BV1099" i="33" s="1"/>
  <c r="BO1095" i="33"/>
  <c r="BO1099" i="33" s="1"/>
  <c r="BH1095" i="33"/>
  <c r="BA1095" i="33"/>
  <c r="BA1099" i="33" s="1"/>
  <c r="AT1095" i="33"/>
  <c r="AT1099" i="33" s="1"/>
  <c r="AM1095" i="33"/>
  <c r="AF1095" i="33"/>
  <c r="Y1095" i="33"/>
  <c r="R1095" i="33"/>
  <c r="K1095" i="33"/>
  <c r="K1099" i="33" s="1"/>
  <c r="DD1091" i="33"/>
  <c r="DC1091" i="33"/>
  <c r="DB1091" i="33"/>
  <c r="DA1091" i="33"/>
  <c r="CZ1091" i="33"/>
  <c r="CW1091" i="33"/>
  <c r="CV1091" i="33"/>
  <c r="CU1091" i="33"/>
  <c r="CT1091" i="33"/>
  <c r="CS1091" i="33"/>
  <c r="CP1091" i="33"/>
  <c r="CO1091" i="33"/>
  <c r="CN1091" i="33"/>
  <c r="CM1091" i="33"/>
  <c r="CL1091" i="33"/>
  <c r="CB1091" i="33"/>
  <c r="CA1091" i="33"/>
  <c r="BZ1091" i="33"/>
  <c r="BY1091" i="33"/>
  <c r="BX1091" i="33"/>
  <c r="BU1091" i="33"/>
  <c r="BT1091" i="33"/>
  <c r="BS1091" i="33"/>
  <c r="BR1091" i="33"/>
  <c r="BQ1091" i="33"/>
  <c r="BN1091" i="33"/>
  <c r="BM1091" i="33"/>
  <c r="BL1091" i="33"/>
  <c r="BK1091" i="33"/>
  <c r="BJ1091" i="33"/>
  <c r="BG1091" i="33"/>
  <c r="BF1091" i="33"/>
  <c r="BE1091" i="33"/>
  <c r="BD1091" i="33"/>
  <c r="BC1091" i="33"/>
  <c r="BA1091" i="33"/>
  <c r="AZ1091" i="33"/>
  <c r="AY1091" i="33"/>
  <c r="AX1091" i="33"/>
  <c r="AW1091" i="33"/>
  <c r="AV1091" i="33"/>
  <c r="AS1091" i="33"/>
  <c r="AR1091" i="33"/>
  <c r="AQ1091" i="33"/>
  <c r="AP1091" i="33"/>
  <c r="AO1091" i="33"/>
  <c r="AL1091" i="33"/>
  <c r="AK1091" i="33"/>
  <c r="AJ1091" i="33"/>
  <c r="AI1091" i="33"/>
  <c r="AH1091" i="33"/>
  <c r="DE1090" i="33"/>
  <c r="CX1090" i="33"/>
  <c r="CC1090" i="33"/>
  <c r="BV1090" i="33"/>
  <c r="BO1090" i="33"/>
  <c r="BH1090" i="33"/>
  <c r="BA1090" i="33"/>
  <c r="AT1090" i="33"/>
  <c r="AM1090" i="33"/>
  <c r="AF1090" i="33"/>
  <c r="Y1090" i="33"/>
  <c r="R1090" i="33"/>
  <c r="DE1089" i="33"/>
  <c r="CX1089" i="33"/>
  <c r="CC1089" i="33"/>
  <c r="BV1089" i="33"/>
  <c r="BO1089" i="33"/>
  <c r="BH1089" i="33"/>
  <c r="BA1089" i="33"/>
  <c r="AT1089" i="33"/>
  <c r="AM1089" i="33"/>
  <c r="AF1089" i="33"/>
  <c r="Y1089" i="33"/>
  <c r="R1089" i="33"/>
  <c r="DE1088" i="33"/>
  <c r="CX1088" i="33"/>
  <c r="CC1088" i="33"/>
  <c r="BV1088" i="33"/>
  <c r="BO1088" i="33"/>
  <c r="BH1088" i="33"/>
  <c r="BH1091" i="33" s="1"/>
  <c r="BA1088" i="33"/>
  <c r="AT1088" i="33"/>
  <c r="AM1088" i="33"/>
  <c r="AF1088" i="33"/>
  <c r="Y1088" i="33"/>
  <c r="R1088" i="33"/>
  <c r="DE1087" i="33"/>
  <c r="DE1091" i="33" s="1"/>
  <c r="CX1087" i="33"/>
  <c r="CX1091" i="33" s="1"/>
  <c r="CC1087" i="33"/>
  <c r="CC1091" i="33" s="1"/>
  <c r="BV1087" i="33"/>
  <c r="BO1087" i="33"/>
  <c r="BO1091" i="33" s="1"/>
  <c r="BH1087" i="33"/>
  <c r="BA1087" i="33"/>
  <c r="AT1087" i="33"/>
  <c r="AT1091" i="33" s="1"/>
  <c r="AM1087" i="33"/>
  <c r="AM1091" i="33" s="1"/>
  <c r="AF1087" i="33"/>
  <c r="Y1087" i="33"/>
  <c r="R1087" i="33"/>
  <c r="DD1085" i="33"/>
  <c r="DC1085" i="33"/>
  <c r="DB1085" i="33"/>
  <c r="DA1085" i="33"/>
  <c r="CZ1085" i="33"/>
  <c r="CW1085" i="33"/>
  <c r="CV1085" i="33"/>
  <c r="CU1085" i="33"/>
  <c r="CT1085" i="33"/>
  <c r="CS1085" i="33"/>
  <c r="CP1085" i="33"/>
  <c r="CO1085" i="33"/>
  <c r="CN1085" i="33"/>
  <c r="CM1085" i="33"/>
  <c r="CL1085" i="33"/>
  <c r="CB1085" i="33"/>
  <c r="CA1085" i="33"/>
  <c r="BZ1085" i="33"/>
  <c r="BY1085" i="33"/>
  <c r="BX1085" i="33"/>
  <c r="BU1085" i="33"/>
  <c r="BT1085" i="33"/>
  <c r="BS1085" i="33"/>
  <c r="BR1085" i="33"/>
  <c r="BQ1085" i="33"/>
  <c r="BN1085" i="33"/>
  <c r="BM1085" i="33"/>
  <c r="BL1085" i="33"/>
  <c r="BK1085" i="33"/>
  <c r="BJ1085" i="33"/>
  <c r="BG1085" i="33"/>
  <c r="BF1085" i="33"/>
  <c r="BE1085" i="33"/>
  <c r="BD1085" i="33"/>
  <c r="BC1085" i="33"/>
  <c r="BA1085" i="33"/>
  <c r="AZ1085" i="33"/>
  <c r="AY1085" i="33"/>
  <c r="AX1085" i="33"/>
  <c r="AW1085" i="33"/>
  <c r="AV1085" i="33"/>
  <c r="AS1085" i="33"/>
  <c r="AR1085" i="33"/>
  <c r="AQ1085" i="33"/>
  <c r="AP1085" i="33"/>
  <c r="AO1085" i="33"/>
  <c r="AL1085" i="33"/>
  <c r="AK1085" i="33"/>
  <c r="AJ1085" i="33"/>
  <c r="AI1085" i="33"/>
  <c r="AH1085" i="33"/>
  <c r="DE1084" i="33"/>
  <c r="CX1084" i="33"/>
  <c r="CC1084" i="33"/>
  <c r="BV1084" i="33"/>
  <c r="BO1084" i="33"/>
  <c r="BH1084" i="33"/>
  <c r="BA1084" i="33"/>
  <c r="AT1084" i="33"/>
  <c r="AM1084" i="33"/>
  <c r="AF1084" i="33"/>
  <c r="Y1084" i="33"/>
  <c r="R1084" i="33"/>
  <c r="DE1083" i="33"/>
  <c r="CX1083" i="33"/>
  <c r="CI1083" i="33"/>
  <c r="J1089" i="33" s="1"/>
  <c r="CI1089" i="33" s="1"/>
  <c r="CC1083" i="33"/>
  <c r="BV1083" i="33"/>
  <c r="BO1083" i="33"/>
  <c r="BH1083" i="33"/>
  <c r="BA1083" i="33"/>
  <c r="AT1083" i="33"/>
  <c r="AM1083" i="33"/>
  <c r="AF1083" i="33"/>
  <c r="Y1083" i="33"/>
  <c r="R1083" i="33"/>
  <c r="DE1082" i="33"/>
  <c r="CX1082" i="33"/>
  <c r="CC1082" i="33"/>
  <c r="BV1082" i="33"/>
  <c r="BO1082" i="33"/>
  <c r="BH1082" i="33"/>
  <c r="BH1085" i="33" s="1"/>
  <c r="BA1082" i="33"/>
  <c r="AT1082" i="33"/>
  <c r="AM1082" i="33"/>
  <c r="AF1082" i="33"/>
  <c r="Y1082" i="33"/>
  <c r="R1082" i="33"/>
  <c r="DE1081" i="33"/>
  <c r="DE1085" i="33" s="1"/>
  <c r="CX1081" i="33"/>
  <c r="CC1081" i="33"/>
  <c r="CC1085" i="33" s="1"/>
  <c r="BV1081" i="33"/>
  <c r="BV1085" i="33" s="1"/>
  <c r="BO1081" i="33"/>
  <c r="BO1085" i="33" s="1"/>
  <c r="BH1081" i="33"/>
  <c r="BA1081" i="33"/>
  <c r="AT1081" i="33"/>
  <c r="AT1085" i="33" s="1"/>
  <c r="AM1081" i="33"/>
  <c r="AM1085" i="33" s="1"/>
  <c r="AF1081" i="33"/>
  <c r="Y1081" i="33"/>
  <c r="R1081" i="33"/>
  <c r="DD1079" i="33"/>
  <c r="DC1079" i="33"/>
  <c r="DB1079" i="33"/>
  <c r="DA1079" i="33"/>
  <c r="CZ1079" i="33"/>
  <c r="CW1079" i="33"/>
  <c r="CV1079" i="33"/>
  <c r="CU1079" i="33"/>
  <c r="CT1079" i="33"/>
  <c r="CS1079" i="33"/>
  <c r="CP1079" i="33"/>
  <c r="CO1079" i="33"/>
  <c r="CN1079" i="33"/>
  <c r="CM1079" i="33"/>
  <c r="CL1079" i="33"/>
  <c r="CC1079" i="33"/>
  <c r="CB1079" i="33"/>
  <c r="CA1079" i="33"/>
  <c r="BZ1079" i="33"/>
  <c r="BY1079" i="33"/>
  <c r="BX1079" i="33"/>
  <c r="BU1079" i="33"/>
  <c r="BT1079" i="33"/>
  <c r="BS1079" i="33"/>
  <c r="BR1079" i="33"/>
  <c r="BQ1079" i="33"/>
  <c r="BN1079" i="33"/>
  <c r="BM1079" i="33"/>
  <c r="BL1079" i="33"/>
  <c r="BK1079" i="33"/>
  <c r="BJ1079" i="33"/>
  <c r="BG1079" i="33"/>
  <c r="BF1079" i="33"/>
  <c r="BE1079" i="33"/>
  <c r="BD1079" i="33"/>
  <c r="BC1079" i="33"/>
  <c r="AZ1079" i="33"/>
  <c r="AY1079" i="33"/>
  <c r="AX1079" i="33"/>
  <c r="AW1079" i="33"/>
  <c r="AV1079" i="33"/>
  <c r="AS1079" i="33"/>
  <c r="AR1079" i="33"/>
  <c r="AQ1079" i="33"/>
  <c r="AP1079" i="33"/>
  <c r="AO1079" i="33"/>
  <c r="AL1079" i="33"/>
  <c r="AK1079" i="33"/>
  <c r="AJ1079" i="33"/>
  <c r="AI1079" i="33"/>
  <c r="AH1079" i="33"/>
  <c r="DE1078" i="33"/>
  <c r="CX1078" i="33"/>
  <c r="CC1078" i="33"/>
  <c r="BV1078" i="33"/>
  <c r="BO1078" i="33"/>
  <c r="BH1078" i="33"/>
  <c r="BA1078" i="33"/>
  <c r="AT1078" i="33"/>
  <c r="AM1078" i="33"/>
  <c r="AF1078" i="33"/>
  <c r="Y1078" i="33"/>
  <c r="R1078" i="33"/>
  <c r="DE1077" i="33"/>
  <c r="CX1077" i="33"/>
  <c r="CC1077" i="33"/>
  <c r="BV1077" i="33"/>
  <c r="BO1077" i="33"/>
  <c r="BH1077" i="33"/>
  <c r="BA1077" i="33"/>
  <c r="AT1077" i="33"/>
  <c r="AM1077" i="33"/>
  <c r="AF1077" i="33"/>
  <c r="Y1077" i="33"/>
  <c r="R1077" i="33"/>
  <c r="DE1076" i="33"/>
  <c r="CX1076" i="33"/>
  <c r="CC1076" i="33"/>
  <c r="BV1076" i="33"/>
  <c r="BO1076" i="33"/>
  <c r="BH1076" i="33"/>
  <c r="BA1076" i="33"/>
  <c r="AT1076" i="33"/>
  <c r="AM1076" i="33"/>
  <c r="AF1076" i="33"/>
  <c r="Y1076" i="33"/>
  <c r="R1076" i="33"/>
  <c r="DE1075" i="33"/>
  <c r="DE1079" i="33" s="1"/>
  <c r="CX1075" i="33"/>
  <c r="CC1075" i="33"/>
  <c r="BV1075" i="33"/>
  <c r="BO1075" i="33"/>
  <c r="BH1075" i="33"/>
  <c r="BA1075" i="33"/>
  <c r="BA1079" i="33" s="1"/>
  <c r="AT1075" i="33"/>
  <c r="AM1075" i="33"/>
  <c r="AM1079" i="33" s="1"/>
  <c r="AF1075" i="33"/>
  <c r="Y1075" i="33"/>
  <c r="R1075" i="33"/>
  <c r="DD1073" i="33"/>
  <c r="DC1073" i="33"/>
  <c r="DB1073" i="33"/>
  <c r="DA1073" i="33"/>
  <c r="CZ1073" i="33"/>
  <c r="CW1073" i="33"/>
  <c r="CV1073" i="33"/>
  <c r="CU1073" i="33"/>
  <c r="CT1073" i="33"/>
  <c r="CS1073" i="33"/>
  <c r="CP1073" i="33"/>
  <c r="CO1073" i="33"/>
  <c r="CN1073" i="33"/>
  <c r="CM1073" i="33"/>
  <c r="CL1073" i="33"/>
  <c r="CB1073" i="33"/>
  <c r="CA1073" i="33"/>
  <c r="BZ1073" i="33"/>
  <c r="BY1073" i="33"/>
  <c r="BX1073" i="33"/>
  <c r="BU1073" i="33"/>
  <c r="BT1073" i="33"/>
  <c r="BS1073" i="33"/>
  <c r="BR1073" i="33"/>
  <c r="BQ1073" i="33"/>
  <c r="BN1073" i="33"/>
  <c r="BM1073" i="33"/>
  <c r="BL1073" i="33"/>
  <c r="BK1073" i="33"/>
  <c r="BJ1073" i="33"/>
  <c r="BH1073" i="33"/>
  <c r="BG1073" i="33"/>
  <c r="BF1073" i="33"/>
  <c r="BE1073" i="33"/>
  <c r="BD1073" i="33"/>
  <c r="BC1073" i="33"/>
  <c r="AZ1073" i="33"/>
  <c r="AY1073" i="33"/>
  <c r="AX1073" i="33"/>
  <c r="AW1073" i="33"/>
  <c r="AV1073" i="33"/>
  <c r="AS1073" i="33"/>
  <c r="AR1073" i="33"/>
  <c r="AQ1073" i="33"/>
  <c r="AP1073" i="33"/>
  <c r="AO1073" i="33"/>
  <c r="AM1073" i="33"/>
  <c r="AL1073" i="33"/>
  <c r="AK1073" i="33"/>
  <c r="AJ1073" i="33"/>
  <c r="AI1073" i="33"/>
  <c r="AH1073" i="33"/>
  <c r="DE1072" i="33"/>
  <c r="DE1073" i="33" s="1"/>
  <c r="CX1072" i="33"/>
  <c r="CH1072" i="33"/>
  <c r="I1078" i="33" s="1"/>
  <c r="CH1078" i="33" s="1"/>
  <c r="I1084" i="33" s="1"/>
  <c r="CH1084" i="33" s="1"/>
  <c r="I1090" i="33" s="1"/>
  <c r="CH1090" i="33" s="1"/>
  <c r="CC1072" i="33"/>
  <c r="BV1072" i="33"/>
  <c r="BO1072" i="33"/>
  <c r="BH1072" i="33"/>
  <c r="BA1072" i="33"/>
  <c r="AT1072" i="33"/>
  <c r="AM1072" i="33"/>
  <c r="AF1072" i="33"/>
  <c r="Y1072" i="33"/>
  <c r="R1072" i="33"/>
  <c r="J1072" i="33"/>
  <c r="CI1072" i="33" s="1"/>
  <c r="J1078" i="33" s="1"/>
  <c r="CI1078" i="33" s="1"/>
  <c r="J1084" i="33" s="1"/>
  <c r="CI1084" i="33" s="1"/>
  <c r="J1090" i="33" s="1"/>
  <c r="CI1090" i="33" s="1"/>
  <c r="I1072" i="33"/>
  <c r="DE1071" i="33"/>
  <c r="CX1071" i="33"/>
  <c r="CH1071" i="33"/>
  <c r="I1077" i="33" s="1"/>
  <c r="CH1077" i="33" s="1"/>
  <c r="I1083" i="33" s="1"/>
  <c r="CH1083" i="33" s="1"/>
  <c r="I1089" i="33" s="1"/>
  <c r="CH1089" i="33" s="1"/>
  <c r="CC1071" i="33"/>
  <c r="BV1071" i="33"/>
  <c r="BO1071" i="33"/>
  <c r="BH1071" i="33"/>
  <c r="BA1071" i="33"/>
  <c r="AT1071" i="33"/>
  <c r="AM1071" i="33"/>
  <c r="AF1071" i="33"/>
  <c r="Y1071" i="33"/>
  <c r="R1071" i="33"/>
  <c r="J1071" i="33"/>
  <c r="CI1071" i="33" s="1"/>
  <c r="J1077" i="33" s="1"/>
  <c r="CI1077" i="33" s="1"/>
  <c r="J1083" i="33" s="1"/>
  <c r="I1071" i="33"/>
  <c r="G1071" i="33"/>
  <c r="CF1071" i="33" s="1"/>
  <c r="G1077" i="33" s="1"/>
  <c r="CF1077" i="33" s="1"/>
  <c r="G1083" i="33" s="1"/>
  <c r="CF1083" i="33" s="1"/>
  <c r="G1089" i="33" s="1"/>
  <c r="CF1089" i="33" s="1"/>
  <c r="DE1070" i="33"/>
  <c r="CX1070" i="33"/>
  <c r="CI1070" i="33"/>
  <c r="J1076" i="33" s="1"/>
  <c r="CI1076" i="33" s="1"/>
  <c r="J1082" i="33" s="1"/>
  <c r="CI1082" i="33" s="1"/>
  <c r="J1088" i="33" s="1"/>
  <c r="CI1088" i="33" s="1"/>
  <c r="CG1070" i="33"/>
  <c r="H1076" i="33" s="1"/>
  <c r="CG1076" i="33" s="1"/>
  <c r="H1082" i="33" s="1"/>
  <c r="CG1082" i="33" s="1"/>
  <c r="H1088" i="33" s="1"/>
  <c r="CG1088" i="33" s="1"/>
  <c r="CC1070" i="33"/>
  <c r="BV1070" i="33"/>
  <c r="BO1070" i="33"/>
  <c r="BO1073" i="33" s="1"/>
  <c r="BH1070" i="33"/>
  <c r="BA1070" i="33"/>
  <c r="AT1070" i="33"/>
  <c r="AT1073" i="33" s="1"/>
  <c r="AM1070" i="33"/>
  <c r="AF1070" i="33"/>
  <c r="Y1070" i="33"/>
  <c r="R1070" i="33"/>
  <c r="J1070" i="33"/>
  <c r="I1070" i="33"/>
  <c r="CH1070" i="33" s="1"/>
  <c r="I1076" i="33" s="1"/>
  <c r="CH1076" i="33" s="1"/>
  <c r="I1082" i="33" s="1"/>
  <c r="CH1082" i="33" s="1"/>
  <c r="I1088" i="33" s="1"/>
  <c r="CH1088" i="33" s="1"/>
  <c r="H1070" i="33"/>
  <c r="DE1069" i="33"/>
  <c r="CX1069" i="33"/>
  <c r="CC1069" i="33"/>
  <c r="CC1073" i="33" s="1"/>
  <c r="BV1069" i="33"/>
  <c r="BV1073" i="33" s="1"/>
  <c r="BO1069" i="33"/>
  <c r="BH1069" i="33"/>
  <c r="BA1069" i="33"/>
  <c r="BA1073" i="33" s="1"/>
  <c r="AT1069" i="33"/>
  <c r="AM1069" i="33"/>
  <c r="AF1069" i="33"/>
  <c r="Y1069" i="33"/>
  <c r="R1069" i="33"/>
  <c r="I1069" i="33"/>
  <c r="G1069" i="33"/>
  <c r="CF1069" i="33" s="1"/>
  <c r="DE1067" i="33"/>
  <c r="DD1067" i="33"/>
  <c r="DC1067" i="33"/>
  <c r="DB1067" i="33"/>
  <c r="DA1067" i="33"/>
  <c r="CZ1067" i="33"/>
  <c r="CX1067" i="33"/>
  <c r="CW1067" i="33"/>
  <c r="CV1067" i="33"/>
  <c r="CU1067" i="33"/>
  <c r="CT1067" i="33"/>
  <c r="CS1067" i="33"/>
  <c r="CP1067" i="33"/>
  <c r="CO1067" i="33"/>
  <c r="CN1067" i="33"/>
  <c r="CM1067" i="33"/>
  <c r="CL1067" i="33"/>
  <c r="CC1067" i="33"/>
  <c r="CB1067" i="33"/>
  <c r="CA1067" i="33"/>
  <c r="BZ1067" i="33"/>
  <c r="BY1067" i="33"/>
  <c r="BX1067" i="33"/>
  <c r="BU1067" i="33"/>
  <c r="BT1067" i="33"/>
  <c r="BS1067" i="33"/>
  <c r="BR1067" i="33"/>
  <c r="BQ1067" i="33"/>
  <c r="BN1067" i="33"/>
  <c r="BM1067" i="33"/>
  <c r="BL1067" i="33"/>
  <c r="BK1067" i="33"/>
  <c r="BJ1067" i="33"/>
  <c r="BH1067" i="33"/>
  <c r="BG1067" i="33"/>
  <c r="BF1067" i="33"/>
  <c r="BE1067" i="33"/>
  <c r="BD1067" i="33"/>
  <c r="BC1067" i="33"/>
  <c r="BA1067" i="33"/>
  <c r="AZ1067" i="33"/>
  <c r="AY1067" i="33"/>
  <c r="AX1067" i="33"/>
  <c r="AW1067" i="33"/>
  <c r="AV1067" i="33"/>
  <c r="AS1067" i="33"/>
  <c r="AR1067" i="33"/>
  <c r="AQ1067" i="33"/>
  <c r="AP1067" i="33"/>
  <c r="AO1067" i="33"/>
  <c r="AL1067" i="33"/>
  <c r="AK1067" i="33"/>
  <c r="AJ1067" i="33"/>
  <c r="AI1067" i="33"/>
  <c r="AH1067" i="33"/>
  <c r="J1067" i="33"/>
  <c r="I1067" i="33"/>
  <c r="H1067" i="33"/>
  <c r="G1067" i="33"/>
  <c r="F1067" i="33"/>
  <c r="DE1066" i="33"/>
  <c r="CX1066" i="33"/>
  <c r="CI1066" i="33"/>
  <c r="CH1066" i="33"/>
  <c r="CG1066" i="33"/>
  <c r="H1072" i="33" s="1"/>
  <c r="CG1072" i="33" s="1"/>
  <c r="H1078" i="33" s="1"/>
  <c r="CG1078" i="33" s="1"/>
  <c r="H1084" i="33" s="1"/>
  <c r="CG1084" i="33" s="1"/>
  <c r="H1090" i="33" s="1"/>
  <c r="CG1090" i="33" s="1"/>
  <c r="CF1066" i="33"/>
  <c r="G1072" i="33" s="1"/>
  <c r="CF1072" i="33" s="1"/>
  <c r="G1078" i="33" s="1"/>
  <c r="CF1078" i="33" s="1"/>
  <c r="G1084" i="33" s="1"/>
  <c r="CF1084" i="33" s="1"/>
  <c r="G1090" i="33" s="1"/>
  <c r="CF1090" i="33" s="1"/>
  <c r="CE1066" i="33"/>
  <c r="CC1066" i="33"/>
  <c r="BV1066" i="33"/>
  <c r="BO1066" i="33"/>
  <c r="BH1066" i="33"/>
  <c r="BA1066" i="33"/>
  <c r="AT1066" i="33"/>
  <c r="AM1066" i="33"/>
  <c r="AF1066" i="33"/>
  <c r="Y1066" i="33"/>
  <c r="R1066" i="33"/>
  <c r="K1066" i="33"/>
  <c r="DE1065" i="33"/>
  <c r="CX1065" i="33"/>
  <c r="CI1065" i="33"/>
  <c r="CJ1065" i="33" s="1"/>
  <c r="CH1065" i="33"/>
  <c r="CG1065" i="33"/>
  <c r="H1071" i="33" s="1"/>
  <c r="CF1065" i="33"/>
  <c r="CE1065" i="33"/>
  <c r="F1071" i="33" s="1"/>
  <c r="CE1071" i="33" s="1"/>
  <c r="F1077" i="33" s="1"/>
  <c r="CC1065" i="33"/>
  <c r="BV1065" i="33"/>
  <c r="BO1065" i="33"/>
  <c r="BH1065" i="33"/>
  <c r="BA1065" i="33"/>
  <c r="AT1065" i="33"/>
  <c r="AM1065" i="33"/>
  <c r="AF1065" i="33"/>
  <c r="Y1065" i="33"/>
  <c r="R1065" i="33"/>
  <c r="K1065" i="33"/>
  <c r="DE1064" i="33"/>
  <c r="CX1064" i="33"/>
  <c r="CI1064" i="33"/>
  <c r="CH1064" i="33"/>
  <c r="CH1067" i="33" s="1"/>
  <c r="CG1064" i="33"/>
  <c r="CF1064" i="33"/>
  <c r="CE1064" i="33"/>
  <c r="CC1064" i="33"/>
  <c r="BV1064" i="33"/>
  <c r="BO1064" i="33"/>
  <c r="BH1064" i="33"/>
  <c r="BA1064" i="33"/>
  <c r="AT1064" i="33"/>
  <c r="AM1064" i="33"/>
  <c r="AM1067" i="33" s="1"/>
  <c r="AF1064" i="33"/>
  <c r="Y1064" i="33"/>
  <c r="R1064" i="33"/>
  <c r="K1064" i="33"/>
  <c r="DE1063" i="33"/>
  <c r="CX1063" i="33"/>
  <c r="CJ1063" i="33"/>
  <c r="CI1063" i="33"/>
  <c r="CI1067" i="33" s="1"/>
  <c r="CH1063" i="33"/>
  <c r="CG1063" i="33"/>
  <c r="CF1063" i="33"/>
  <c r="CE1063" i="33"/>
  <c r="CC1063" i="33"/>
  <c r="BV1063" i="33"/>
  <c r="BO1063" i="33"/>
  <c r="BO1067" i="33" s="1"/>
  <c r="BH1063" i="33"/>
  <c r="BA1063" i="33"/>
  <c r="AT1063" i="33"/>
  <c r="AT1067" i="33" s="1"/>
  <c r="AM1063" i="33"/>
  <c r="AF1063" i="33"/>
  <c r="Y1063" i="33"/>
  <c r="R1063" i="33"/>
  <c r="K1063" i="33"/>
  <c r="K1067" i="33" s="1"/>
  <c r="DD1059" i="33"/>
  <c r="DC1059" i="33"/>
  <c r="DB1059" i="33"/>
  <c r="DA1059" i="33"/>
  <c r="CZ1059" i="33"/>
  <c r="CW1059" i="33"/>
  <c r="CV1059" i="33"/>
  <c r="CU1059" i="33"/>
  <c r="CT1059" i="33"/>
  <c r="CS1059" i="33"/>
  <c r="CP1059" i="33"/>
  <c r="CO1059" i="33"/>
  <c r="CN1059" i="33"/>
  <c r="CM1059" i="33"/>
  <c r="CL1059" i="33"/>
  <c r="CC1059" i="33"/>
  <c r="CB1059" i="33"/>
  <c r="CA1059" i="33"/>
  <c r="BZ1059" i="33"/>
  <c r="BY1059" i="33"/>
  <c r="BX1059" i="33"/>
  <c r="BU1059" i="33"/>
  <c r="BT1059" i="33"/>
  <c r="BS1059" i="33"/>
  <c r="BR1059" i="33"/>
  <c r="BQ1059" i="33"/>
  <c r="BN1059" i="33"/>
  <c r="BM1059" i="33"/>
  <c r="BL1059" i="33"/>
  <c r="BK1059" i="33"/>
  <c r="BJ1059" i="33"/>
  <c r="BH1059" i="33"/>
  <c r="BG1059" i="33"/>
  <c r="BF1059" i="33"/>
  <c r="BE1059" i="33"/>
  <c r="BD1059" i="33"/>
  <c r="BC1059" i="33"/>
  <c r="BA1059" i="33"/>
  <c r="AZ1059" i="33"/>
  <c r="AY1059" i="33"/>
  <c r="AX1059" i="33"/>
  <c r="AW1059" i="33"/>
  <c r="AV1059" i="33"/>
  <c r="AS1059" i="33"/>
  <c r="AR1059" i="33"/>
  <c r="AQ1059" i="33"/>
  <c r="AP1059" i="33"/>
  <c r="AO1059" i="33"/>
  <c r="AL1059" i="33"/>
  <c r="AK1059" i="33"/>
  <c r="AJ1059" i="33"/>
  <c r="AI1059" i="33"/>
  <c r="AH1059" i="33"/>
  <c r="DE1058" i="33"/>
  <c r="CX1058" i="33"/>
  <c r="CC1058" i="33"/>
  <c r="BV1058" i="33"/>
  <c r="BO1058" i="33"/>
  <c r="BH1058" i="33"/>
  <c r="BA1058" i="33"/>
  <c r="AT1058" i="33"/>
  <c r="AM1058" i="33"/>
  <c r="AF1058" i="33"/>
  <c r="Y1058" i="33"/>
  <c r="R1058" i="33"/>
  <c r="DE1057" i="33"/>
  <c r="CX1057" i="33"/>
  <c r="CC1057" i="33"/>
  <c r="BV1057" i="33"/>
  <c r="BO1057" i="33"/>
  <c r="BH1057" i="33"/>
  <c r="BA1057" i="33"/>
  <c r="AT1057" i="33"/>
  <c r="AM1057" i="33"/>
  <c r="AF1057" i="33"/>
  <c r="Y1057" i="33"/>
  <c r="R1057" i="33"/>
  <c r="DE1056" i="33"/>
  <c r="CX1056" i="33"/>
  <c r="CC1056" i="33"/>
  <c r="BV1056" i="33"/>
  <c r="BV1059" i="33" s="1"/>
  <c r="BO1056" i="33"/>
  <c r="BH1056" i="33"/>
  <c r="BA1056" i="33"/>
  <c r="AT1056" i="33"/>
  <c r="AM1056" i="33"/>
  <c r="AM1059" i="33" s="1"/>
  <c r="AF1056" i="33"/>
  <c r="Y1056" i="33"/>
  <c r="R1056" i="33"/>
  <c r="DE1055" i="33"/>
  <c r="CX1055" i="33"/>
  <c r="CX1059" i="33" s="1"/>
  <c r="CC1055" i="33"/>
  <c r="BV1055" i="33"/>
  <c r="BO1055" i="33"/>
  <c r="BO1059" i="33" s="1"/>
  <c r="BH1055" i="33"/>
  <c r="BA1055" i="33"/>
  <c r="AT1055" i="33"/>
  <c r="AT1059" i="33" s="1"/>
  <c r="AM1055" i="33"/>
  <c r="AF1055" i="33"/>
  <c r="Y1055" i="33"/>
  <c r="R1055" i="33"/>
  <c r="DD1053" i="33"/>
  <c r="DC1053" i="33"/>
  <c r="DB1053" i="33"/>
  <c r="DA1053" i="33"/>
  <c r="CZ1053" i="33"/>
  <c r="CW1053" i="33"/>
  <c r="CV1053" i="33"/>
  <c r="CU1053" i="33"/>
  <c r="CT1053" i="33"/>
  <c r="CS1053" i="33"/>
  <c r="CP1053" i="33"/>
  <c r="CO1053" i="33"/>
  <c r="CN1053" i="33"/>
  <c r="CM1053" i="33"/>
  <c r="CL1053" i="33"/>
  <c r="CB1053" i="33"/>
  <c r="CA1053" i="33"/>
  <c r="BZ1053" i="33"/>
  <c r="BY1053" i="33"/>
  <c r="BX1053" i="33"/>
  <c r="BU1053" i="33"/>
  <c r="BT1053" i="33"/>
  <c r="BS1053" i="33"/>
  <c r="BR1053" i="33"/>
  <c r="BQ1053" i="33"/>
  <c r="BN1053" i="33"/>
  <c r="BM1053" i="33"/>
  <c r="BL1053" i="33"/>
  <c r="BK1053" i="33"/>
  <c r="BJ1053" i="33"/>
  <c r="BH1053" i="33"/>
  <c r="BG1053" i="33"/>
  <c r="BF1053" i="33"/>
  <c r="BE1053" i="33"/>
  <c r="BD1053" i="33"/>
  <c r="BC1053" i="33"/>
  <c r="AZ1053" i="33"/>
  <c r="AY1053" i="33"/>
  <c r="AX1053" i="33"/>
  <c r="AW1053" i="33"/>
  <c r="AV1053" i="33"/>
  <c r="AS1053" i="33"/>
  <c r="AR1053" i="33"/>
  <c r="AQ1053" i="33"/>
  <c r="AP1053" i="33"/>
  <c r="AO1053" i="33"/>
  <c r="AL1053" i="33"/>
  <c r="AK1053" i="33"/>
  <c r="AJ1053" i="33"/>
  <c r="AI1053" i="33"/>
  <c r="AH1053" i="33"/>
  <c r="DE1052" i="33"/>
  <c r="CX1052" i="33"/>
  <c r="CC1052" i="33"/>
  <c r="BV1052" i="33"/>
  <c r="BO1052" i="33"/>
  <c r="BH1052" i="33"/>
  <c r="BA1052" i="33"/>
  <c r="AT1052" i="33"/>
  <c r="AM1052" i="33"/>
  <c r="AF1052" i="33"/>
  <c r="Y1052" i="33"/>
  <c r="R1052" i="33"/>
  <c r="DE1051" i="33"/>
  <c r="CX1051" i="33"/>
  <c r="CC1051" i="33"/>
  <c r="BV1051" i="33"/>
  <c r="BO1051" i="33"/>
  <c r="BH1051" i="33"/>
  <c r="BA1051" i="33"/>
  <c r="AT1051" i="33"/>
  <c r="AM1051" i="33"/>
  <c r="AF1051" i="33"/>
  <c r="Y1051" i="33"/>
  <c r="R1051" i="33"/>
  <c r="DE1050" i="33"/>
  <c r="CX1050" i="33"/>
  <c r="CF1050" i="33"/>
  <c r="G1056" i="33" s="1"/>
  <c r="CF1056" i="33" s="1"/>
  <c r="CC1050" i="33"/>
  <c r="BV1050" i="33"/>
  <c r="BV1053" i="33" s="1"/>
  <c r="BO1050" i="33"/>
  <c r="BH1050" i="33"/>
  <c r="BA1050" i="33"/>
  <c r="AT1050" i="33"/>
  <c r="AM1050" i="33"/>
  <c r="AM1053" i="33" s="1"/>
  <c r="AF1050" i="33"/>
  <c r="Y1050" i="33"/>
  <c r="R1050" i="33"/>
  <c r="DE1049" i="33"/>
  <c r="DE1053" i="33" s="1"/>
  <c r="CX1049" i="33"/>
  <c r="CC1049" i="33"/>
  <c r="CC1053" i="33" s="1"/>
  <c r="BV1049" i="33"/>
  <c r="BO1049" i="33"/>
  <c r="BO1053" i="33" s="1"/>
  <c r="BH1049" i="33"/>
  <c r="BA1049" i="33"/>
  <c r="BA1053" i="33" s="1"/>
  <c r="AT1049" i="33"/>
  <c r="AT1053" i="33" s="1"/>
  <c r="AM1049" i="33"/>
  <c r="AF1049" i="33"/>
  <c r="Y1049" i="33"/>
  <c r="R1049" i="33"/>
  <c r="DD1047" i="33"/>
  <c r="DC1047" i="33"/>
  <c r="DB1047" i="33"/>
  <c r="DA1047" i="33"/>
  <c r="CZ1047" i="33"/>
  <c r="CW1047" i="33"/>
  <c r="CV1047" i="33"/>
  <c r="CU1047" i="33"/>
  <c r="CT1047" i="33"/>
  <c r="CS1047" i="33"/>
  <c r="CP1047" i="33"/>
  <c r="CO1047" i="33"/>
  <c r="CN1047" i="33"/>
  <c r="CM1047" i="33"/>
  <c r="CL1047" i="33"/>
  <c r="CB1047" i="33"/>
  <c r="CA1047" i="33"/>
  <c r="BZ1047" i="33"/>
  <c r="BY1047" i="33"/>
  <c r="BX1047" i="33"/>
  <c r="BU1047" i="33"/>
  <c r="BT1047" i="33"/>
  <c r="BS1047" i="33"/>
  <c r="BR1047" i="33"/>
  <c r="BQ1047" i="33"/>
  <c r="BO1047" i="33"/>
  <c r="BN1047" i="33"/>
  <c r="BM1047" i="33"/>
  <c r="BL1047" i="33"/>
  <c r="BK1047" i="33"/>
  <c r="BJ1047" i="33"/>
  <c r="BG1047" i="33"/>
  <c r="BF1047" i="33"/>
  <c r="BE1047" i="33"/>
  <c r="BD1047" i="33"/>
  <c r="BC1047" i="33"/>
  <c r="AZ1047" i="33"/>
  <c r="AY1047" i="33"/>
  <c r="AX1047" i="33"/>
  <c r="AW1047" i="33"/>
  <c r="AV1047" i="33"/>
  <c r="AS1047" i="33"/>
  <c r="AR1047" i="33"/>
  <c r="AQ1047" i="33"/>
  <c r="AP1047" i="33"/>
  <c r="AO1047" i="33"/>
  <c r="AL1047" i="33"/>
  <c r="AK1047" i="33"/>
  <c r="AJ1047" i="33"/>
  <c r="AI1047" i="33"/>
  <c r="AH1047" i="33"/>
  <c r="DE1046" i="33"/>
  <c r="CX1046" i="33"/>
  <c r="CC1046" i="33"/>
  <c r="BV1046" i="33"/>
  <c r="BO1046" i="33"/>
  <c r="BH1046" i="33"/>
  <c r="BH1047" i="33" s="1"/>
  <c r="BA1046" i="33"/>
  <c r="AT1046" i="33"/>
  <c r="AM1046" i="33"/>
  <c r="AF1046" i="33"/>
  <c r="Y1046" i="33"/>
  <c r="R1046" i="33"/>
  <c r="DE1045" i="33"/>
  <c r="CX1045" i="33"/>
  <c r="CC1045" i="33"/>
  <c r="BV1045" i="33"/>
  <c r="BO1045" i="33"/>
  <c r="BH1045" i="33"/>
  <c r="BA1045" i="33"/>
  <c r="AT1045" i="33"/>
  <c r="AM1045" i="33"/>
  <c r="AM1047" i="33" s="1"/>
  <c r="AF1045" i="33"/>
  <c r="Y1045" i="33"/>
  <c r="R1045" i="33"/>
  <c r="DE1044" i="33"/>
  <c r="CX1044" i="33"/>
  <c r="CC1044" i="33"/>
  <c r="BV1044" i="33"/>
  <c r="BO1044" i="33"/>
  <c r="BH1044" i="33"/>
  <c r="BA1044" i="33"/>
  <c r="AT1044" i="33"/>
  <c r="AM1044" i="33"/>
  <c r="AF1044" i="33"/>
  <c r="Y1044" i="33"/>
  <c r="R1044" i="33"/>
  <c r="DE1043" i="33"/>
  <c r="DE1047" i="33" s="1"/>
  <c r="CX1043" i="33"/>
  <c r="CX1047" i="33" s="1"/>
  <c r="CC1043" i="33"/>
  <c r="CC1047" i="33" s="1"/>
  <c r="BV1043" i="33"/>
  <c r="BO1043" i="33"/>
  <c r="BH1043" i="33"/>
  <c r="BA1043" i="33"/>
  <c r="BA1047" i="33" s="1"/>
  <c r="AT1043" i="33"/>
  <c r="AT1047" i="33" s="1"/>
  <c r="AM1043" i="33"/>
  <c r="AF1043" i="33"/>
  <c r="Y1043" i="33"/>
  <c r="R1043" i="33"/>
  <c r="DD1041" i="33"/>
  <c r="DC1041" i="33"/>
  <c r="DB1041" i="33"/>
  <c r="DA1041" i="33"/>
  <c r="CZ1041" i="33"/>
  <c r="CW1041" i="33"/>
  <c r="CV1041" i="33"/>
  <c r="CU1041" i="33"/>
  <c r="CT1041" i="33"/>
  <c r="CS1041" i="33"/>
  <c r="CP1041" i="33"/>
  <c r="CO1041" i="33"/>
  <c r="CN1041" i="33"/>
  <c r="CM1041" i="33"/>
  <c r="CL1041" i="33"/>
  <c r="CB1041" i="33"/>
  <c r="CA1041" i="33"/>
  <c r="BZ1041" i="33"/>
  <c r="BY1041" i="33"/>
  <c r="BX1041" i="33"/>
  <c r="BU1041" i="33"/>
  <c r="BT1041" i="33"/>
  <c r="BS1041" i="33"/>
  <c r="BR1041" i="33"/>
  <c r="BQ1041" i="33"/>
  <c r="BN1041" i="33"/>
  <c r="BM1041" i="33"/>
  <c r="BL1041" i="33"/>
  <c r="BK1041" i="33"/>
  <c r="BJ1041" i="33"/>
  <c r="BG1041" i="33"/>
  <c r="BF1041" i="33"/>
  <c r="BE1041" i="33"/>
  <c r="BD1041" i="33"/>
  <c r="BC1041" i="33"/>
  <c r="AZ1041" i="33"/>
  <c r="AY1041" i="33"/>
  <c r="AX1041" i="33"/>
  <c r="AW1041" i="33"/>
  <c r="AV1041" i="33"/>
  <c r="AS1041" i="33"/>
  <c r="AR1041" i="33"/>
  <c r="AQ1041" i="33"/>
  <c r="AP1041" i="33"/>
  <c r="AO1041" i="33"/>
  <c r="AL1041" i="33"/>
  <c r="AK1041" i="33"/>
  <c r="AJ1041" i="33"/>
  <c r="AI1041" i="33"/>
  <c r="AH1041" i="33"/>
  <c r="DE1040" i="33"/>
  <c r="CX1040" i="33"/>
  <c r="CC1040" i="33"/>
  <c r="BV1040" i="33"/>
  <c r="BO1040" i="33"/>
  <c r="BH1040" i="33"/>
  <c r="BA1040" i="33"/>
  <c r="AT1040" i="33"/>
  <c r="AM1040" i="33"/>
  <c r="AF1040" i="33"/>
  <c r="Y1040" i="33"/>
  <c r="R1040" i="33"/>
  <c r="H1040" i="33"/>
  <c r="CG1040" i="33" s="1"/>
  <c r="H1046" i="33" s="1"/>
  <c r="CG1046" i="33" s="1"/>
  <c r="H1052" i="33" s="1"/>
  <c r="CG1052" i="33" s="1"/>
  <c r="H1058" i="33" s="1"/>
  <c r="CG1058" i="33" s="1"/>
  <c r="DE1039" i="33"/>
  <c r="CX1039" i="33"/>
  <c r="CC1039" i="33"/>
  <c r="BV1039" i="33"/>
  <c r="BO1039" i="33"/>
  <c r="BH1039" i="33"/>
  <c r="BA1039" i="33"/>
  <c r="AT1039" i="33"/>
  <c r="AM1039" i="33"/>
  <c r="AM1041" i="33" s="1"/>
  <c r="AF1039" i="33"/>
  <c r="Y1039" i="33"/>
  <c r="R1039" i="33"/>
  <c r="F1039" i="33"/>
  <c r="DE1038" i="33"/>
  <c r="CX1038" i="33"/>
  <c r="CX1041" i="33" s="1"/>
  <c r="CC1038" i="33"/>
  <c r="CC1041" i="33" s="1"/>
  <c r="BV1038" i="33"/>
  <c r="BV1041" i="33" s="1"/>
  <c r="BO1038" i="33"/>
  <c r="BH1038" i="33"/>
  <c r="BH1041" i="33" s="1"/>
  <c r="BA1038" i="33"/>
  <c r="AT1038" i="33"/>
  <c r="AM1038" i="33"/>
  <c r="AF1038" i="33"/>
  <c r="Y1038" i="33"/>
  <c r="R1038" i="33"/>
  <c r="J1038" i="33"/>
  <c r="CI1038" i="33" s="1"/>
  <c r="J1044" i="33" s="1"/>
  <c r="CI1044" i="33" s="1"/>
  <c r="J1050" i="33" s="1"/>
  <c r="CI1050" i="33" s="1"/>
  <c r="J1056" i="33" s="1"/>
  <c r="CI1056" i="33" s="1"/>
  <c r="G1038" i="33"/>
  <c r="CF1038" i="33" s="1"/>
  <c r="G1044" i="33" s="1"/>
  <c r="CF1044" i="33" s="1"/>
  <c r="G1050" i="33" s="1"/>
  <c r="F1038" i="33"/>
  <c r="CE1038" i="33" s="1"/>
  <c r="DE1037" i="33"/>
  <c r="DE1041" i="33" s="1"/>
  <c r="CX1037" i="33"/>
  <c r="CH1037" i="33"/>
  <c r="I1043" i="33" s="1"/>
  <c r="CC1037" i="33"/>
  <c r="BV1037" i="33"/>
  <c r="BO1037" i="33"/>
  <c r="BO1041" i="33" s="1"/>
  <c r="BH1037" i="33"/>
  <c r="BA1037" i="33"/>
  <c r="BA1041" i="33" s="1"/>
  <c r="AT1037" i="33"/>
  <c r="AT1041" i="33" s="1"/>
  <c r="AM1037" i="33"/>
  <c r="AF1037" i="33"/>
  <c r="Y1037" i="33"/>
  <c r="R1037" i="33"/>
  <c r="I1037" i="33"/>
  <c r="I1041" i="33" s="1"/>
  <c r="DD1035" i="33"/>
  <c r="DC1035" i="33"/>
  <c r="DB1035" i="33"/>
  <c r="DA1035" i="33"/>
  <c r="CZ1035" i="33"/>
  <c r="CW1035" i="33"/>
  <c r="CV1035" i="33"/>
  <c r="CU1035" i="33"/>
  <c r="CT1035" i="33"/>
  <c r="CS1035" i="33"/>
  <c r="CP1035" i="33"/>
  <c r="CO1035" i="33"/>
  <c r="CN1035" i="33"/>
  <c r="CM1035" i="33"/>
  <c r="CL1035" i="33"/>
  <c r="CB1035" i="33"/>
  <c r="CA1035" i="33"/>
  <c r="BZ1035" i="33"/>
  <c r="BY1035" i="33"/>
  <c r="BX1035" i="33"/>
  <c r="BU1035" i="33"/>
  <c r="BT1035" i="33"/>
  <c r="BS1035" i="33"/>
  <c r="BR1035" i="33"/>
  <c r="BQ1035" i="33"/>
  <c r="BN1035" i="33"/>
  <c r="BM1035" i="33"/>
  <c r="BL1035" i="33"/>
  <c r="BK1035" i="33"/>
  <c r="BJ1035" i="33"/>
  <c r="BG1035" i="33"/>
  <c r="BF1035" i="33"/>
  <c r="BE1035" i="33"/>
  <c r="BD1035" i="33"/>
  <c r="BC1035" i="33"/>
  <c r="AZ1035" i="33"/>
  <c r="AY1035" i="33"/>
  <c r="AX1035" i="33"/>
  <c r="AW1035" i="33"/>
  <c r="AV1035" i="33"/>
  <c r="AS1035" i="33"/>
  <c r="AR1035" i="33"/>
  <c r="AQ1035" i="33"/>
  <c r="AP1035" i="33"/>
  <c r="AO1035" i="33"/>
  <c r="AL1035" i="33"/>
  <c r="AK1035" i="33"/>
  <c r="AJ1035" i="33"/>
  <c r="AI1035" i="33"/>
  <c r="AH1035" i="33"/>
  <c r="J1035" i="33"/>
  <c r="I1035" i="33"/>
  <c r="H1035" i="33"/>
  <c r="G1035" i="33"/>
  <c r="F1035" i="33"/>
  <c r="DE1034" i="33"/>
  <c r="CX1034" i="33"/>
  <c r="CI1034" i="33"/>
  <c r="J1040" i="33" s="1"/>
  <c r="CI1040" i="33" s="1"/>
  <c r="J1046" i="33" s="1"/>
  <c r="CI1046" i="33" s="1"/>
  <c r="J1052" i="33" s="1"/>
  <c r="CI1052" i="33" s="1"/>
  <c r="J1058" i="33" s="1"/>
  <c r="CI1058" i="33" s="1"/>
  <c r="CH1034" i="33"/>
  <c r="I1040" i="33" s="1"/>
  <c r="CH1040" i="33" s="1"/>
  <c r="I1046" i="33" s="1"/>
  <c r="CH1046" i="33" s="1"/>
  <c r="I1052" i="33" s="1"/>
  <c r="CH1052" i="33" s="1"/>
  <c r="I1058" i="33" s="1"/>
  <c r="CH1058" i="33" s="1"/>
  <c r="CG1034" i="33"/>
  <c r="CF1034" i="33"/>
  <c r="G1040" i="33" s="1"/>
  <c r="CF1040" i="33" s="1"/>
  <c r="G1046" i="33" s="1"/>
  <c r="CF1046" i="33" s="1"/>
  <c r="G1052" i="33" s="1"/>
  <c r="CF1052" i="33" s="1"/>
  <c r="G1058" i="33" s="1"/>
  <c r="CF1058" i="33" s="1"/>
  <c r="CE1034" i="33"/>
  <c r="CC1034" i="33"/>
  <c r="BV1034" i="33"/>
  <c r="BV1035" i="33" s="1"/>
  <c r="BO1034" i="33"/>
  <c r="BH1034" i="33"/>
  <c r="BA1034" i="33"/>
  <c r="AT1034" i="33"/>
  <c r="AM1034" i="33"/>
  <c r="AF1034" i="33"/>
  <c r="Y1034" i="33"/>
  <c r="R1034" i="33"/>
  <c r="K1034" i="33"/>
  <c r="DE1033" i="33"/>
  <c r="CX1033" i="33"/>
  <c r="CI1033" i="33"/>
  <c r="J1039" i="33" s="1"/>
  <c r="CI1039" i="33" s="1"/>
  <c r="J1045" i="33" s="1"/>
  <c r="CI1045" i="33" s="1"/>
  <c r="J1051" i="33" s="1"/>
  <c r="CI1051" i="33" s="1"/>
  <c r="J1057" i="33" s="1"/>
  <c r="CI1057" i="33" s="1"/>
  <c r="CH1033" i="33"/>
  <c r="I1039" i="33" s="1"/>
  <c r="CH1039" i="33" s="1"/>
  <c r="I1045" i="33" s="1"/>
  <c r="CH1045" i="33" s="1"/>
  <c r="I1051" i="33" s="1"/>
  <c r="CH1051" i="33" s="1"/>
  <c r="I1057" i="33" s="1"/>
  <c r="CH1057" i="33" s="1"/>
  <c r="CG1033" i="33"/>
  <c r="H1039" i="33" s="1"/>
  <c r="CG1039" i="33" s="1"/>
  <c r="H1045" i="33" s="1"/>
  <c r="CG1045" i="33" s="1"/>
  <c r="H1051" i="33" s="1"/>
  <c r="CG1051" i="33" s="1"/>
  <c r="H1057" i="33" s="1"/>
  <c r="CG1057" i="33" s="1"/>
  <c r="CF1033" i="33"/>
  <c r="CE1033" i="33"/>
  <c r="CC1033" i="33"/>
  <c r="BV1033" i="33"/>
  <c r="BO1033" i="33"/>
  <c r="BH1033" i="33"/>
  <c r="BA1033" i="33"/>
  <c r="BA1035" i="33" s="1"/>
  <c r="AT1033" i="33"/>
  <c r="AM1033" i="33"/>
  <c r="AM1035" i="33" s="1"/>
  <c r="AF1033" i="33"/>
  <c r="Y1033" i="33"/>
  <c r="R1033" i="33"/>
  <c r="K1033" i="33"/>
  <c r="DE1032" i="33"/>
  <c r="CX1032" i="33"/>
  <c r="CX1035" i="33" s="1"/>
  <c r="CJ1032" i="33"/>
  <c r="CI1032" i="33"/>
  <c r="CH1032" i="33"/>
  <c r="I1038" i="33" s="1"/>
  <c r="CH1038" i="33" s="1"/>
  <c r="I1044" i="33" s="1"/>
  <c r="CH1044" i="33" s="1"/>
  <c r="I1050" i="33" s="1"/>
  <c r="CH1050" i="33" s="1"/>
  <c r="I1056" i="33" s="1"/>
  <c r="CH1056" i="33" s="1"/>
  <c r="CG1032" i="33"/>
  <c r="H1038" i="33" s="1"/>
  <c r="CG1038" i="33" s="1"/>
  <c r="H1044" i="33" s="1"/>
  <c r="CG1044" i="33" s="1"/>
  <c r="H1050" i="33" s="1"/>
  <c r="CG1050" i="33" s="1"/>
  <c r="H1056" i="33" s="1"/>
  <c r="CG1056" i="33" s="1"/>
  <c r="CF1032" i="33"/>
  <c r="CE1032" i="33"/>
  <c r="CC1032" i="33"/>
  <c r="CC1035" i="33" s="1"/>
  <c r="BV1032" i="33"/>
  <c r="BO1032" i="33"/>
  <c r="BO1035" i="33" s="1"/>
  <c r="BH1032" i="33"/>
  <c r="BA1032" i="33"/>
  <c r="AT1032" i="33"/>
  <c r="AM1032" i="33"/>
  <c r="AF1032" i="33"/>
  <c r="Y1032" i="33"/>
  <c r="R1032" i="33"/>
  <c r="K1032" i="33"/>
  <c r="K1035" i="33" s="1"/>
  <c r="DE1031" i="33"/>
  <c r="DE1035" i="33" s="1"/>
  <c r="CX1031" i="33"/>
  <c r="CI1031" i="33"/>
  <c r="CH1031" i="33"/>
  <c r="CG1031" i="33"/>
  <c r="CG1035" i="33" s="1"/>
  <c r="CF1031" i="33"/>
  <c r="G1037" i="33" s="1"/>
  <c r="CE1031" i="33"/>
  <c r="CC1031" i="33"/>
  <c r="BV1031" i="33"/>
  <c r="BO1031" i="33"/>
  <c r="BH1031" i="33"/>
  <c r="BH1035" i="33" s="1"/>
  <c r="BA1031" i="33"/>
  <c r="AT1031" i="33"/>
  <c r="AT1035" i="33" s="1"/>
  <c r="AM1031" i="33"/>
  <c r="AF1031" i="33"/>
  <c r="Y1031" i="33"/>
  <c r="R1031" i="33"/>
  <c r="K1031" i="33"/>
  <c r="DD1027" i="33"/>
  <c r="DC1027" i="33"/>
  <c r="DB1027" i="33"/>
  <c r="DA1027" i="33"/>
  <c r="CZ1027" i="33"/>
  <c r="CW1027" i="33"/>
  <c r="CV1027" i="33"/>
  <c r="CU1027" i="33"/>
  <c r="CT1027" i="33"/>
  <c r="CS1027" i="33"/>
  <c r="CP1027" i="33"/>
  <c r="CO1027" i="33"/>
  <c r="CN1027" i="33"/>
  <c r="CM1027" i="33"/>
  <c r="CL1027" i="33"/>
  <c r="CB1027" i="33"/>
  <c r="CA1027" i="33"/>
  <c r="BZ1027" i="33"/>
  <c r="BY1027" i="33"/>
  <c r="BX1027" i="33"/>
  <c r="BV1027" i="33"/>
  <c r="BU1027" i="33"/>
  <c r="BT1027" i="33"/>
  <c r="BS1027" i="33"/>
  <c r="BR1027" i="33"/>
  <c r="BQ1027" i="33"/>
  <c r="BO1027" i="33"/>
  <c r="BN1027" i="33"/>
  <c r="BM1027" i="33"/>
  <c r="BL1027" i="33"/>
  <c r="BK1027" i="33"/>
  <c r="BJ1027" i="33"/>
  <c r="BG1027" i="33"/>
  <c r="BF1027" i="33"/>
  <c r="BE1027" i="33"/>
  <c r="BD1027" i="33"/>
  <c r="BC1027" i="33"/>
  <c r="AZ1027" i="33"/>
  <c r="AY1027" i="33"/>
  <c r="AX1027" i="33"/>
  <c r="AW1027" i="33"/>
  <c r="AV1027" i="33"/>
  <c r="AT1027" i="33"/>
  <c r="AS1027" i="33"/>
  <c r="AR1027" i="33"/>
  <c r="AQ1027" i="33"/>
  <c r="AP1027" i="33"/>
  <c r="AO1027" i="33"/>
  <c r="AM1027" i="33"/>
  <c r="AL1027" i="33"/>
  <c r="AK1027" i="33"/>
  <c r="AJ1027" i="33"/>
  <c r="AI1027" i="33"/>
  <c r="AH1027" i="33"/>
  <c r="DE1026" i="33"/>
  <c r="CX1026" i="33"/>
  <c r="CC1026" i="33"/>
  <c r="BV1026" i="33"/>
  <c r="BO1026" i="33"/>
  <c r="BH1026" i="33"/>
  <c r="BA1026" i="33"/>
  <c r="AT1026" i="33"/>
  <c r="AM1026" i="33"/>
  <c r="AF1026" i="33"/>
  <c r="Y1026" i="33"/>
  <c r="R1026" i="33"/>
  <c r="DE1025" i="33"/>
  <c r="CX1025" i="33"/>
  <c r="CC1025" i="33"/>
  <c r="BV1025" i="33"/>
  <c r="BO1025" i="33"/>
  <c r="BH1025" i="33"/>
  <c r="BA1025" i="33"/>
  <c r="AT1025" i="33"/>
  <c r="AM1025" i="33"/>
  <c r="AF1025" i="33"/>
  <c r="Y1025" i="33"/>
  <c r="R1025" i="33"/>
  <c r="DE1024" i="33"/>
  <c r="DE1027" i="33" s="1"/>
  <c r="CX1024" i="33"/>
  <c r="CC1024" i="33"/>
  <c r="BV1024" i="33"/>
  <c r="BO1024" i="33"/>
  <c r="BH1024" i="33"/>
  <c r="BA1024" i="33"/>
  <c r="AT1024" i="33"/>
  <c r="AM1024" i="33"/>
  <c r="AF1024" i="33"/>
  <c r="Y1024" i="33"/>
  <c r="R1024" i="33"/>
  <c r="DE1023" i="33"/>
  <c r="CX1023" i="33"/>
  <c r="CX1027" i="33" s="1"/>
  <c r="CC1023" i="33"/>
  <c r="CC1027" i="33" s="1"/>
  <c r="BV1023" i="33"/>
  <c r="BO1023" i="33"/>
  <c r="BH1023" i="33"/>
  <c r="BA1023" i="33"/>
  <c r="AT1023" i="33"/>
  <c r="AM1023" i="33"/>
  <c r="AF1023" i="33"/>
  <c r="Y1023" i="33"/>
  <c r="R1023" i="33"/>
  <c r="DE1021" i="33"/>
  <c r="DD1021" i="33"/>
  <c r="DC1021" i="33"/>
  <c r="DB1021" i="33"/>
  <c r="DA1021" i="33"/>
  <c r="CZ1021" i="33"/>
  <c r="CW1021" i="33"/>
  <c r="CV1021" i="33"/>
  <c r="CU1021" i="33"/>
  <c r="CT1021" i="33"/>
  <c r="CS1021" i="33"/>
  <c r="CP1021" i="33"/>
  <c r="CO1021" i="33"/>
  <c r="CN1021" i="33"/>
  <c r="CM1021" i="33"/>
  <c r="CL1021" i="33"/>
  <c r="CB1021" i="33"/>
  <c r="CA1021" i="33"/>
  <c r="BZ1021" i="33"/>
  <c r="BY1021" i="33"/>
  <c r="BX1021" i="33"/>
  <c r="BU1021" i="33"/>
  <c r="BT1021" i="33"/>
  <c r="BS1021" i="33"/>
  <c r="BR1021" i="33"/>
  <c r="BQ1021" i="33"/>
  <c r="BN1021" i="33"/>
  <c r="BM1021" i="33"/>
  <c r="BL1021" i="33"/>
  <c r="BK1021" i="33"/>
  <c r="BJ1021" i="33"/>
  <c r="BG1021" i="33"/>
  <c r="BF1021" i="33"/>
  <c r="BE1021" i="33"/>
  <c r="BD1021" i="33"/>
  <c r="BC1021" i="33"/>
  <c r="AZ1021" i="33"/>
  <c r="AY1021" i="33"/>
  <c r="AX1021" i="33"/>
  <c r="AW1021" i="33"/>
  <c r="AV1021" i="33"/>
  <c r="AS1021" i="33"/>
  <c r="AR1021" i="33"/>
  <c r="AQ1021" i="33"/>
  <c r="AP1021" i="33"/>
  <c r="AO1021" i="33"/>
  <c r="AM1021" i="33"/>
  <c r="AL1021" i="33"/>
  <c r="AK1021" i="33"/>
  <c r="AJ1021" i="33"/>
  <c r="AI1021" i="33"/>
  <c r="AH1021" i="33"/>
  <c r="DE1020" i="33"/>
  <c r="CX1020" i="33"/>
  <c r="CC1020" i="33"/>
  <c r="BV1020" i="33"/>
  <c r="BO1020" i="33"/>
  <c r="BH1020" i="33"/>
  <c r="BA1020" i="33"/>
  <c r="AT1020" i="33"/>
  <c r="AM1020" i="33"/>
  <c r="AF1020" i="33"/>
  <c r="Y1020" i="33"/>
  <c r="R1020" i="33"/>
  <c r="DE1019" i="33"/>
  <c r="CX1019" i="33"/>
  <c r="CC1019" i="33"/>
  <c r="BV1019" i="33"/>
  <c r="BO1019" i="33"/>
  <c r="BH1019" i="33"/>
  <c r="BA1019" i="33"/>
  <c r="AT1019" i="33"/>
  <c r="AM1019" i="33"/>
  <c r="AF1019" i="33"/>
  <c r="Y1019" i="33"/>
  <c r="R1019" i="33"/>
  <c r="DE1018" i="33"/>
  <c r="CX1018" i="33"/>
  <c r="CC1018" i="33"/>
  <c r="BV1018" i="33"/>
  <c r="BO1018" i="33"/>
  <c r="BH1018" i="33"/>
  <c r="BH1021" i="33" s="1"/>
  <c r="BA1018" i="33"/>
  <c r="AT1018" i="33"/>
  <c r="AT1021" i="33" s="1"/>
  <c r="AM1018" i="33"/>
  <c r="AF1018" i="33"/>
  <c r="Y1018" i="33"/>
  <c r="R1018" i="33"/>
  <c r="J1018" i="33"/>
  <c r="CI1018" i="33" s="1"/>
  <c r="J1024" i="33" s="1"/>
  <c r="CI1024" i="33" s="1"/>
  <c r="DE1017" i="33"/>
  <c r="CX1017" i="33"/>
  <c r="CC1017" i="33"/>
  <c r="BV1017" i="33"/>
  <c r="BV1021" i="33" s="1"/>
  <c r="BO1017" i="33"/>
  <c r="BO1021" i="33" s="1"/>
  <c r="BH1017" i="33"/>
  <c r="BA1017" i="33"/>
  <c r="BA1021" i="33" s="1"/>
  <c r="AT1017" i="33"/>
  <c r="AM1017" i="33"/>
  <c r="AF1017" i="33"/>
  <c r="Y1017" i="33"/>
  <c r="R1017" i="33"/>
  <c r="DE1015" i="33"/>
  <c r="DD1015" i="33"/>
  <c r="DC1015" i="33"/>
  <c r="DB1015" i="33"/>
  <c r="DA1015" i="33"/>
  <c r="CZ1015" i="33"/>
  <c r="CW1015" i="33"/>
  <c r="CV1015" i="33"/>
  <c r="CU1015" i="33"/>
  <c r="CT1015" i="33"/>
  <c r="CS1015" i="33"/>
  <c r="CP1015" i="33"/>
  <c r="CO1015" i="33"/>
  <c r="CN1015" i="33"/>
  <c r="CM1015" i="33"/>
  <c r="CL1015" i="33"/>
  <c r="CB1015" i="33"/>
  <c r="CA1015" i="33"/>
  <c r="BZ1015" i="33"/>
  <c r="BY1015" i="33"/>
  <c r="BX1015" i="33"/>
  <c r="BU1015" i="33"/>
  <c r="BT1015" i="33"/>
  <c r="BS1015" i="33"/>
  <c r="BR1015" i="33"/>
  <c r="BQ1015" i="33"/>
  <c r="BN1015" i="33"/>
  <c r="BM1015" i="33"/>
  <c r="BL1015" i="33"/>
  <c r="BK1015" i="33"/>
  <c r="BJ1015" i="33"/>
  <c r="BG1015" i="33"/>
  <c r="BF1015" i="33"/>
  <c r="BE1015" i="33"/>
  <c r="BD1015" i="33"/>
  <c r="BC1015" i="33"/>
  <c r="AZ1015" i="33"/>
  <c r="AY1015" i="33"/>
  <c r="AX1015" i="33"/>
  <c r="AW1015" i="33"/>
  <c r="AV1015" i="33"/>
  <c r="AS1015" i="33"/>
  <c r="AR1015" i="33"/>
  <c r="AQ1015" i="33"/>
  <c r="AP1015" i="33"/>
  <c r="AO1015" i="33"/>
  <c r="AL1015" i="33"/>
  <c r="AK1015" i="33"/>
  <c r="AJ1015" i="33"/>
  <c r="AI1015" i="33"/>
  <c r="AH1015" i="33"/>
  <c r="DE1014" i="33"/>
  <c r="CX1014" i="33"/>
  <c r="CC1014" i="33"/>
  <c r="BV1014" i="33"/>
  <c r="BO1014" i="33"/>
  <c r="BH1014" i="33"/>
  <c r="BA1014" i="33"/>
  <c r="AT1014" i="33"/>
  <c r="AM1014" i="33"/>
  <c r="AF1014" i="33"/>
  <c r="Y1014" i="33"/>
  <c r="R1014" i="33"/>
  <c r="DE1013" i="33"/>
  <c r="CX1013" i="33"/>
  <c r="CC1013" i="33"/>
  <c r="BV1013" i="33"/>
  <c r="BO1013" i="33"/>
  <c r="BH1013" i="33"/>
  <c r="BA1013" i="33"/>
  <c r="AT1013" i="33"/>
  <c r="AM1013" i="33"/>
  <c r="AM1015" i="33" s="1"/>
  <c r="AF1013" i="33"/>
  <c r="Y1013" i="33"/>
  <c r="R1013" i="33"/>
  <c r="DE1012" i="33"/>
  <c r="CX1012" i="33"/>
  <c r="CG1012" i="33"/>
  <c r="H1018" i="33" s="1"/>
  <c r="CG1018" i="33" s="1"/>
  <c r="H1024" i="33" s="1"/>
  <c r="CG1024" i="33" s="1"/>
  <c r="CC1012" i="33"/>
  <c r="BV1012" i="33"/>
  <c r="BO1012" i="33"/>
  <c r="BH1012" i="33"/>
  <c r="BA1012" i="33"/>
  <c r="AT1012" i="33"/>
  <c r="AM1012" i="33"/>
  <c r="AF1012" i="33"/>
  <c r="Y1012" i="33"/>
  <c r="R1012" i="33"/>
  <c r="DE1011" i="33"/>
  <c r="CX1011" i="33"/>
  <c r="CX1015" i="33" s="1"/>
  <c r="CC1011" i="33"/>
  <c r="CC1015" i="33" s="1"/>
  <c r="BV1011" i="33"/>
  <c r="BO1011" i="33"/>
  <c r="BO1015" i="33" s="1"/>
  <c r="BH1011" i="33"/>
  <c r="BH1015" i="33" s="1"/>
  <c r="BA1011" i="33"/>
  <c r="BA1015" i="33" s="1"/>
  <c r="AT1011" i="33"/>
  <c r="AM1011" i="33"/>
  <c r="AF1011" i="33"/>
  <c r="Y1011" i="33"/>
  <c r="R1011" i="33"/>
  <c r="DD1009" i="33"/>
  <c r="DC1009" i="33"/>
  <c r="DB1009" i="33"/>
  <c r="DA1009" i="33"/>
  <c r="CZ1009" i="33"/>
  <c r="CW1009" i="33"/>
  <c r="CV1009" i="33"/>
  <c r="CU1009" i="33"/>
  <c r="CT1009" i="33"/>
  <c r="CS1009" i="33"/>
  <c r="CP1009" i="33"/>
  <c r="CO1009" i="33"/>
  <c r="CN1009" i="33"/>
  <c r="CM1009" i="33"/>
  <c r="CL1009" i="33"/>
  <c r="CB1009" i="33"/>
  <c r="CA1009" i="33"/>
  <c r="BZ1009" i="33"/>
  <c r="BY1009" i="33"/>
  <c r="BX1009" i="33"/>
  <c r="BU1009" i="33"/>
  <c r="BT1009" i="33"/>
  <c r="BS1009" i="33"/>
  <c r="BR1009" i="33"/>
  <c r="BQ1009" i="33"/>
  <c r="BN1009" i="33"/>
  <c r="BM1009" i="33"/>
  <c r="BL1009" i="33"/>
  <c r="BK1009" i="33"/>
  <c r="BJ1009" i="33"/>
  <c r="BG1009" i="33"/>
  <c r="BF1009" i="33"/>
  <c r="BE1009" i="33"/>
  <c r="BD1009" i="33"/>
  <c r="BC1009" i="33"/>
  <c r="BA1009" i="33"/>
  <c r="AZ1009" i="33"/>
  <c r="AY1009" i="33"/>
  <c r="AX1009" i="33"/>
  <c r="AW1009" i="33"/>
  <c r="AV1009" i="33"/>
  <c r="AS1009" i="33"/>
  <c r="AR1009" i="33"/>
  <c r="AQ1009" i="33"/>
  <c r="AP1009" i="33"/>
  <c r="AO1009" i="33"/>
  <c r="AL1009" i="33"/>
  <c r="AK1009" i="33"/>
  <c r="AJ1009" i="33"/>
  <c r="AI1009" i="33"/>
  <c r="AH1009" i="33"/>
  <c r="DE1008" i="33"/>
  <c r="CX1008" i="33"/>
  <c r="CF1008" i="33"/>
  <c r="G1014" i="33" s="1"/>
  <c r="CF1014" i="33" s="1"/>
  <c r="G1020" i="33" s="1"/>
  <c r="CF1020" i="33" s="1"/>
  <c r="G1026" i="33" s="1"/>
  <c r="CF1026" i="33" s="1"/>
  <c r="CC1008" i="33"/>
  <c r="BV1008" i="33"/>
  <c r="BO1008" i="33"/>
  <c r="BH1008" i="33"/>
  <c r="BA1008" i="33"/>
  <c r="AT1008" i="33"/>
  <c r="AM1008" i="33"/>
  <c r="AF1008" i="33"/>
  <c r="Y1008" i="33"/>
  <c r="R1008" i="33"/>
  <c r="J1008" i="33"/>
  <c r="CI1008" i="33" s="1"/>
  <c r="J1014" i="33" s="1"/>
  <c r="CI1014" i="33" s="1"/>
  <c r="J1020" i="33" s="1"/>
  <c r="CI1020" i="33" s="1"/>
  <c r="J1026" i="33" s="1"/>
  <c r="CI1026" i="33" s="1"/>
  <c r="G1008" i="33"/>
  <c r="DE1007" i="33"/>
  <c r="CX1007" i="33"/>
  <c r="CG1007" i="33"/>
  <c r="H1013" i="33" s="1"/>
  <c r="CG1013" i="33" s="1"/>
  <c r="H1019" i="33" s="1"/>
  <c r="CG1019" i="33" s="1"/>
  <c r="H1025" i="33" s="1"/>
  <c r="CG1025" i="33" s="1"/>
  <c r="CC1007" i="33"/>
  <c r="BV1007" i="33"/>
  <c r="BO1007" i="33"/>
  <c r="BH1007" i="33"/>
  <c r="BA1007" i="33"/>
  <c r="AT1007" i="33"/>
  <c r="AM1007" i="33"/>
  <c r="AM1009" i="33" s="1"/>
  <c r="AF1007" i="33"/>
  <c r="Y1007" i="33"/>
  <c r="R1007" i="33"/>
  <c r="I1007" i="33"/>
  <c r="CH1007" i="33" s="1"/>
  <c r="I1013" i="33" s="1"/>
  <c r="CH1013" i="33" s="1"/>
  <c r="I1019" i="33" s="1"/>
  <c r="CH1019" i="33" s="1"/>
  <c r="I1025" i="33" s="1"/>
  <c r="CH1025" i="33" s="1"/>
  <c r="H1007" i="33"/>
  <c r="G1007" i="33"/>
  <c r="CF1007" i="33" s="1"/>
  <c r="DE1006" i="33"/>
  <c r="CX1006" i="33"/>
  <c r="CI1006" i="33"/>
  <c r="J1012" i="33" s="1"/>
  <c r="CI1012" i="33" s="1"/>
  <c r="CC1006" i="33"/>
  <c r="BV1006" i="33"/>
  <c r="BO1006" i="33"/>
  <c r="BH1006" i="33"/>
  <c r="BA1006" i="33"/>
  <c r="AT1006" i="33"/>
  <c r="AM1006" i="33"/>
  <c r="AF1006" i="33"/>
  <c r="Y1006" i="33"/>
  <c r="R1006" i="33"/>
  <c r="J1006" i="33"/>
  <c r="H1006" i="33"/>
  <c r="CG1006" i="33" s="1"/>
  <c r="H1012" i="33" s="1"/>
  <c r="DE1005" i="33"/>
  <c r="DE1009" i="33" s="1"/>
  <c r="CX1005" i="33"/>
  <c r="CC1005" i="33"/>
  <c r="BV1005" i="33"/>
  <c r="BO1005" i="33"/>
  <c r="BO1009" i="33" s="1"/>
  <c r="BH1005" i="33"/>
  <c r="BH1009" i="33" s="1"/>
  <c r="BA1005" i="33"/>
  <c r="AT1005" i="33"/>
  <c r="AM1005" i="33"/>
  <c r="AF1005" i="33"/>
  <c r="Y1005" i="33"/>
  <c r="R1005" i="33"/>
  <c r="J1005" i="33"/>
  <c r="I1005" i="33"/>
  <c r="CH1005" i="33" s="1"/>
  <c r="F1005" i="33"/>
  <c r="CE1005" i="33" s="1"/>
  <c r="DD1003" i="33"/>
  <c r="DC1003" i="33"/>
  <c r="DB1003" i="33"/>
  <c r="DA1003" i="33"/>
  <c r="CZ1003" i="33"/>
  <c r="CW1003" i="33"/>
  <c r="CV1003" i="33"/>
  <c r="CU1003" i="33"/>
  <c r="CT1003" i="33"/>
  <c r="CS1003" i="33"/>
  <c r="CP1003" i="33"/>
  <c r="CO1003" i="33"/>
  <c r="CN1003" i="33"/>
  <c r="CM1003" i="33"/>
  <c r="CL1003" i="33"/>
  <c r="CC1003" i="33"/>
  <c r="CB1003" i="33"/>
  <c r="CA1003" i="33"/>
  <c r="BZ1003" i="33"/>
  <c r="BY1003" i="33"/>
  <c r="BX1003" i="33"/>
  <c r="BU1003" i="33"/>
  <c r="BT1003" i="33"/>
  <c r="BS1003" i="33"/>
  <c r="BR1003" i="33"/>
  <c r="BQ1003" i="33"/>
  <c r="BN1003" i="33"/>
  <c r="BM1003" i="33"/>
  <c r="BL1003" i="33"/>
  <c r="BK1003" i="33"/>
  <c r="BJ1003" i="33"/>
  <c r="BG1003" i="33"/>
  <c r="BF1003" i="33"/>
  <c r="BE1003" i="33"/>
  <c r="BD1003" i="33"/>
  <c r="BC1003" i="33"/>
  <c r="AZ1003" i="33"/>
  <c r="AY1003" i="33"/>
  <c r="AX1003" i="33"/>
  <c r="AW1003" i="33"/>
  <c r="AV1003" i="33"/>
  <c r="AS1003" i="33"/>
  <c r="AR1003" i="33"/>
  <c r="AQ1003" i="33"/>
  <c r="AP1003" i="33"/>
  <c r="AO1003" i="33"/>
  <c r="AL1003" i="33"/>
  <c r="AK1003" i="33"/>
  <c r="AJ1003" i="33"/>
  <c r="AI1003" i="33"/>
  <c r="AH1003" i="33"/>
  <c r="J1003" i="33"/>
  <c r="I1003" i="33"/>
  <c r="H1003" i="33"/>
  <c r="G1003" i="33"/>
  <c r="F1003" i="33"/>
  <c r="DE1002" i="33"/>
  <c r="CX1002" i="33"/>
  <c r="CI1002" i="33"/>
  <c r="CH1002" i="33"/>
  <c r="I1008" i="33" s="1"/>
  <c r="CH1008" i="33" s="1"/>
  <c r="I1014" i="33" s="1"/>
  <c r="CH1014" i="33" s="1"/>
  <c r="I1020" i="33" s="1"/>
  <c r="CH1020" i="33" s="1"/>
  <c r="I1026" i="33" s="1"/>
  <c r="CH1026" i="33" s="1"/>
  <c r="CG1002" i="33"/>
  <c r="H1008" i="33" s="1"/>
  <c r="CG1008" i="33" s="1"/>
  <c r="H1014" i="33" s="1"/>
  <c r="CG1014" i="33" s="1"/>
  <c r="H1020" i="33" s="1"/>
  <c r="CG1020" i="33" s="1"/>
  <c r="H1026" i="33" s="1"/>
  <c r="CG1026" i="33" s="1"/>
  <c r="CF1002" i="33"/>
  <c r="CE1002" i="33"/>
  <c r="CC1002" i="33"/>
  <c r="BV1002" i="33"/>
  <c r="BO1002" i="33"/>
  <c r="BH1002" i="33"/>
  <c r="BA1002" i="33"/>
  <c r="AT1002" i="33"/>
  <c r="AM1002" i="33"/>
  <c r="AF1002" i="33"/>
  <c r="Y1002" i="33"/>
  <c r="R1002" i="33"/>
  <c r="K1002" i="33"/>
  <c r="DE1001" i="33"/>
  <c r="CX1001" i="33"/>
  <c r="CI1001" i="33"/>
  <c r="J1007" i="33" s="1"/>
  <c r="CI1007" i="33" s="1"/>
  <c r="J1013" i="33" s="1"/>
  <c r="CI1013" i="33" s="1"/>
  <c r="J1019" i="33" s="1"/>
  <c r="CI1019" i="33" s="1"/>
  <c r="J1025" i="33" s="1"/>
  <c r="CI1025" i="33" s="1"/>
  <c r="CH1001" i="33"/>
  <c r="CG1001" i="33"/>
  <c r="CF1001" i="33"/>
  <c r="CE1001" i="33"/>
  <c r="F1007" i="33" s="1"/>
  <c r="CE1007" i="33" s="1"/>
  <c r="F1013" i="33" s="1"/>
  <c r="CE1013" i="33" s="1"/>
  <c r="F1019" i="33" s="1"/>
  <c r="CC1001" i="33"/>
  <c r="BV1001" i="33"/>
  <c r="BO1001" i="33"/>
  <c r="BH1001" i="33"/>
  <c r="BA1001" i="33"/>
  <c r="AT1001" i="33"/>
  <c r="AM1001" i="33"/>
  <c r="AF1001" i="33"/>
  <c r="Y1001" i="33"/>
  <c r="R1001" i="33"/>
  <c r="K1001" i="33"/>
  <c r="DE1000" i="33"/>
  <c r="DE1003" i="33" s="1"/>
  <c r="CX1000" i="33"/>
  <c r="CI1000" i="33"/>
  <c r="CH1000" i="33"/>
  <c r="I1006" i="33" s="1"/>
  <c r="CG1000" i="33"/>
  <c r="CF1000" i="33"/>
  <c r="G1006" i="33" s="1"/>
  <c r="CF1006" i="33" s="1"/>
  <c r="G1012" i="33" s="1"/>
  <c r="CF1012" i="33" s="1"/>
  <c r="G1018" i="33" s="1"/>
  <c r="CF1018" i="33" s="1"/>
  <c r="G1024" i="33" s="1"/>
  <c r="CF1024" i="33" s="1"/>
  <c r="CE1000" i="33"/>
  <c r="CC1000" i="33"/>
  <c r="BV1000" i="33"/>
  <c r="BO1000" i="33"/>
  <c r="BO1003" i="33" s="1"/>
  <c r="BH1000" i="33"/>
  <c r="BA1000" i="33"/>
  <c r="BA1003" i="33" s="1"/>
  <c r="AT1000" i="33"/>
  <c r="AM1000" i="33"/>
  <c r="AF1000" i="33"/>
  <c r="Y1000" i="33"/>
  <c r="R1000" i="33"/>
  <c r="K1000" i="33"/>
  <c r="DE999" i="33"/>
  <c r="CX999" i="33"/>
  <c r="CX1003" i="33" s="1"/>
  <c r="CI999" i="33"/>
  <c r="CH999" i="33"/>
  <c r="CG999" i="33"/>
  <c r="H1005" i="33" s="1"/>
  <c r="CG1005" i="33" s="1"/>
  <c r="CF999" i="33"/>
  <c r="CJ999" i="33" s="1"/>
  <c r="CE999" i="33"/>
  <c r="CE1003" i="33" s="1"/>
  <c r="CC999" i="33"/>
  <c r="BV999" i="33"/>
  <c r="BV1003" i="33" s="1"/>
  <c r="BO999" i="33"/>
  <c r="BH999" i="33"/>
  <c r="BA999" i="33"/>
  <c r="AT999" i="33"/>
  <c r="AM999" i="33"/>
  <c r="AM1003" i="33" s="1"/>
  <c r="AF999" i="33"/>
  <c r="Y999" i="33"/>
  <c r="R999" i="33"/>
  <c r="K999" i="33"/>
  <c r="DE995" i="33"/>
  <c r="DD995" i="33"/>
  <c r="DC995" i="33"/>
  <c r="DB995" i="33"/>
  <c r="DA995" i="33"/>
  <c r="CZ995" i="33"/>
  <c r="CW995" i="33"/>
  <c r="CV995" i="33"/>
  <c r="CU995" i="33"/>
  <c r="CT995" i="33"/>
  <c r="CS995" i="33"/>
  <c r="CP995" i="33"/>
  <c r="CO995" i="33"/>
  <c r="CN995" i="33"/>
  <c r="CM995" i="33"/>
  <c r="CL995" i="33"/>
  <c r="CB995" i="33"/>
  <c r="CA995" i="33"/>
  <c r="BZ995" i="33"/>
  <c r="BY995" i="33"/>
  <c r="BX995" i="33"/>
  <c r="BU995" i="33"/>
  <c r="BT995" i="33"/>
  <c r="BS995" i="33"/>
  <c r="BR995" i="33"/>
  <c r="BQ995" i="33"/>
  <c r="BN995" i="33"/>
  <c r="BM995" i="33"/>
  <c r="BL995" i="33"/>
  <c r="BK995" i="33"/>
  <c r="BJ995" i="33"/>
  <c r="BG995" i="33"/>
  <c r="BF995" i="33"/>
  <c r="BE995" i="33"/>
  <c r="BD995" i="33"/>
  <c r="BC995" i="33"/>
  <c r="AZ995" i="33"/>
  <c r="AY995" i="33"/>
  <c r="AX995" i="33"/>
  <c r="AW995" i="33"/>
  <c r="AV995" i="33"/>
  <c r="AS995" i="33"/>
  <c r="AR995" i="33"/>
  <c r="AQ995" i="33"/>
  <c r="AP995" i="33"/>
  <c r="AO995" i="33"/>
  <c r="AM995" i="33"/>
  <c r="AL995" i="33"/>
  <c r="AK995" i="33"/>
  <c r="AJ995" i="33"/>
  <c r="AI995" i="33"/>
  <c r="AH995" i="33"/>
  <c r="AE995" i="33"/>
  <c r="AD995" i="33"/>
  <c r="AC995" i="33"/>
  <c r="AB995" i="33"/>
  <c r="AA995" i="33"/>
  <c r="X995" i="33"/>
  <c r="W995" i="33"/>
  <c r="V995" i="33"/>
  <c r="U995" i="33"/>
  <c r="T995" i="33"/>
  <c r="Q995" i="33"/>
  <c r="P995" i="33"/>
  <c r="O995" i="33"/>
  <c r="N995" i="33"/>
  <c r="M995" i="33"/>
  <c r="DE994" i="33"/>
  <c r="CX994" i="33"/>
  <c r="CC994" i="33"/>
  <c r="BV994" i="33"/>
  <c r="BO994" i="33"/>
  <c r="BH994" i="33"/>
  <c r="BA994" i="33"/>
  <c r="AT994" i="33"/>
  <c r="AM994" i="33"/>
  <c r="AF994" i="33"/>
  <c r="Y994" i="33"/>
  <c r="R994" i="33"/>
  <c r="DE993" i="33"/>
  <c r="CX993" i="33"/>
  <c r="CX995" i="33" s="1"/>
  <c r="CC993" i="33"/>
  <c r="BV993" i="33"/>
  <c r="BO993" i="33"/>
  <c r="BO995" i="33" s="1"/>
  <c r="BH993" i="33"/>
  <c r="BA993" i="33"/>
  <c r="AT993" i="33"/>
  <c r="AT995" i="33" s="1"/>
  <c r="AM993" i="33"/>
  <c r="AF993" i="33"/>
  <c r="Y993" i="33"/>
  <c r="R993" i="33"/>
  <c r="DE992" i="33"/>
  <c r="CX992" i="33"/>
  <c r="CC992" i="33"/>
  <c r="BV992" i="33"/>
  <c r="BO992" i="33"/>
  <c r="BH992" i="33"/>
  <c r="BA992" i="33"/>
  <c r="BA995" i="33" s="1"/>
  <c r="AT992" i="33"/>
  <c r="AM992" i="33"/>
  <c r="AF992" i="33"/>
  <c r="Y992" i="33"/>
  <c r="R992" i="33"/>
  <c r="DE991" i="33"/>
  <c r="CX991" i="33"/>
  <c r="CC991" i="33"/>
  <c r="CC995" i="33" s="1"/>
  <c r="BV991" i="33"/>
  <c r="BV995" i="33" s="1"/>
  <c r="BO991" i="33"/>
  <c r="BH991" i="33"/>
  <c r="BA991" i="33"/>
  <c r="AT991" i="33"/>
  <c r="AM991" i="33"/>
  <c r="AF991" i="33"/>
  <c r="Y991" i="33"/>
  <c r="Y995" i="33" s="1"/>
  <c r="R991" i="33"/>
  <c r="R995" i="33" s="1"/>
  <c r="DD989" i="33"/>
  <c r="DC989" i="33"/>
  <c r="DB989" i="33"/>
  <c r="DA989" i="33"/>
  <c r="CZ989" i="33"/>
  <c r="CW989" i="33"/>
  <c r="CV989" i="33"/>
  <c r="CU989" i="33"/>
  <c r="CT989" i="33"/>
  <c r="CS989" i="33"/>
  <c r="CP989" i="33"/>
  <c r="CO989" i="33"/>
  <c r="CN989" i="33"/>
  <c r="CM989" i="33"/>
  <c r="CL989" i="33"/>
  <c r="CB989" i="33"/>
  <c r="CA989" i="33"/>
  <c r="BZ989" i="33"/>
  <c r="BY989" i="33"/>
  <c r="BX989" i="33"/>
  <c r="BU989" i="33"/>
  <c r="BT989" i="33"/>
  <c r="BS989" i="33"/>
  <c r="BR989" i="33"/>
  <c r="BQ989" i="33"/>
  <c r="BN989" i="33"/>
  <c r="BM989" i="33"/>
  <c r="BL989" i="33"/>
  <c r="BK989" i="33"/>
  <c r="BJ989" i="33"/>
  <c r="BG989" i="33"/>
  <c r="BF989" i="33"/>
  <c r="BE989" i="33"/>
  <c r="BD989" i="33"/>
  <c r="BC989" i="33"/>
  <c r="AZ989" i="33"/>
  <c r="AY989" i="33"/>
  <c r="AX989" i="33"/>
  <c r="AW989" i="33"/>
  <c r="AV989" i="33"/>
  <c r="AS989" i="33"/>
  <c r="AR989" i="33"/>
  <c r="AQ989" i="33"/>
  <c r="AP989" i="33"/>
  <c r="AO989" i="33"/>
  <c r="AL989" i="33"/>
  <c r="AK989" i="33"/>
  <c r="AJ989" i="33"/>
  <c r="AI989" i="33"/>
  <c r="AH989" i="33"/>
  <c r="AE989" i="33"/>
  <c r="AD989" i="33"/>
  <c r="AC989" i="33"/>
  <c r="AB989" i="33"/>
  <c r="AA989" i="33"/>
  <c r="X989" i="33"/>
  <c r="W989" i="33"/>
  <c r="V989" i="33"/>
  <c r="U989" i="33"/>
  <c r="T989" i="33"/>
  <c r="Q989" i="33"/>
  <c r="P989" i="33"/>
  <c r="O989" i="33"/>
  <c r="N989" i="33"/>
  <c r="M989" i="33"/>
  <c r="DE988" i="33"/>
  <c r="CX988" i="33"/>
  <c r="CC988" i="33"/>
  <c r="CC989" i="33" s="1"/>
  <c r="BV988" i="33"/>
  <c r="BO988" i="33"/>
  <c r="BH988" i="33"/>
  <c r="BA988" i="33"/>
  <c r="AT988" i="33"/>
  <c r="AM988" i="33"/>
  <c r="AF988" i="33"/>
  <c r="Y988" i="33"/>
  <c r="R988" i="33"/>
  <c r="H988" i="33"/>
  <c r="CG988" i="33" s="1"/>
  <c r="H994" i="33" s="1"/>
  <c r="CG994" i="33" s="1"/>
  <c r="DE987" i="33"/>
  <c r="CX987" i="33"/>
  <c r="CC987" i="33"/>
  <c r="BV987" i="33"/>
  <c r="BO987" i="33"/>
  <c r="BH987" i="33"/>
  <c r="BA987" i="33"/>
  <c r="AT987" i="33"/>
  <c r="AM987" i="33"/>
  <c r="AF987" i="33"/>
  <c r="AF989" i="33" s="1"/>
  <c r="Y987" i="33"/>
  <c r="Y989" i="33" s="1"/>
  <c r="R987" i="33"/>
  <c r="DE986" i="33"/>
  <c r="CX986" i="33"/>
  <c r="CC986" i="33"/>
  <c r="BV986" i="33"/>
  <c r="BO986" i="33"/>
  <c r="BH986" i="33"/>
  <c r="BA986" i="33"/>
  <c r="AT986" i="33"/>
  <c r="AM986" i="33"/>
  <c r="AF986" i="33"/>
  <c r="Y986" i="33"/>
  <c r="R986" i="33"/>
  <c r="DE985" i="33"/>
  <c r="DE989" i="33" s="1"/>
  <c r="CX985" i="33"/>
  <c r="CC985" i="33"/>
  <c r="BV985" i="33"/>
  <c r="BO985" i="33"/>
  <c r="BO989" i="33" s="1"/>
  <c r="BH985" i="33"/>
  <c r="BA985" i="33"/>
  <c r="AT985" i="33"/>
  <c r="AM985" i="33"/>
  <c r="AM989" i="33" s="1"/>
  <c r="AF985" i="33"/>
  <c r="Y985" i="33"/>
  <c r="R985" i="33"/>
  <c r="DD983" i="33"/>
  <c r="DC983" i="33"/>
  <c r="DB983" i="33"/>
  <c r="DA983" i="33"/>
  <c r="CZ983" i="33"/>
  <c r="CW983" i="33"/>
  <c r="CV983" i="33"/>
  <c r="CU983" i="33"/>
  <c r="CT983" i="33"/>
  <c r="CS983" i="33"/>
  <c r="CP983" i="33"/>
  <c r="CO983" i="33"/>
  <c r="CN983" i="33"/>
  <c r="CM983" i="33"/>
  <c r="CL983" i="33"/>
  <c r="CB983" i="33"/>
  <c r="CA983" i="33"/>
  <c r="BZ983" i="33"/>
  <c r="BY983" i="33"/>
  <c r="BX983" i="33"/>
  <c r="BU983" i="33"/>
  <c r="BT983" i="33"/>
  <c r="BS983" i="33"/>
  <c r="BR983" i="33"/>
  <c r="BQ983" i="33"/>
  <c r="BN983" i="33"/>
  <c r="BM983" i="33"/>
  <c r="BL983" i="33"/>
  <c r="BK983" i="33"/>
  <c r="BJ983" i="33"/>
  <c r="BG983" i="33"/>
  <c r="BF983" i="33"/>
  <c r="BE983" i="33"/>
  <c r="BD983" i="33"/>
  <c r="BC983" i="33"/>
  <c r="AZ983" i="33"/>
  <c r="AY983" i="33"/>
  <c r="AX983" i="33"/>
  <c r="AW983" i="33"/>
  <c r="AV983" i="33"/>
  <c r="AS983" i="33"/>
  <c r="AR983" i="33"/>
  <c r="AQ983" i="33"/>
  <c r="AP983" i="33"/>
  <c r="AO983" i="33"/>
  <c r="AL983" i="33"/>
  <c r="AK983" i="33"/>
  <c r="AJ983" i="33"/>
  <c r="AI983" i="33"/>
  <c r="AH983" i="33"/>
  <c r="AE983" i="33"/>
  <c r="AD983" i="33"/>
  <c r="AC983" i="33"/>
  <c r="AB983" i="33"/>
  <c r="AA983" i="33"/>
  <c r="X983" i="33"/>
  <c r="W983" i="33"/>
  <c r="V983" i="33"/>
  <c r="U983" i="33"/>
  <c r="T983" i="33"/>
  <c r="Q983" i="33"/>
  <c r="P983" i="33"/>
  <c r="O983" i="33"/>
  <c r="N983" i="33"/>
  <c r="M983" i="33"/>
  <c r="DE982" i="33"/>
  <c r="CX982" i="33"/>
  <c r="CC982" i="33"/>
  <c r="BV982" i="33"/>
  <c r="BO982" i="33"/>
  <c r="BH982" i="33"/>
  <c r="BA982" i="33"/>
  <c r="AT982" i="33"/>
  <c r="AM982" i="33"/>
  <c r="AF982" i="33"/>
  <c r="Y982" i="33"/>
  <c r="R982" i="33"/>
  <c r="DE981" i="33"/>
  <c r="CX981" i="33"/>
  <c r="CE981" i="33"/>
  <c r="CC981" i="33"/>
  <c r="BV981" i="33"/>
  <c r="BO981" i="33"/>
  <c r="BH981" i="33"/>
  <c r="BA981" i="33"/>
  <c r="AT981" i="33"/>
  <c r="AM981" i="33"/>
  <c r="AF981" i="33"/>
  <c r="Y981" i="33"/>
  <c r="R981" i="33"/>
  <c r="F981" i="33"/>
  <c r="DE980" i="33"/>
  <c r="CX980" i="33"/>
  <c r="CC980" i="33"/>
  <c r="BV980" i="33"/>
  <c r="BV983" i="33" s="1"/>
  <c r="BO980" i="33"/>
  <c r="BO983" i="33" s="1"/>
  <c r="BH980" i="33"/>
  <c r="BA980" i="33"/>
  <c r="BA983" i="33" s="1"/>
  <c r="AT980" i="33"/>
  <c r="AM980" i="33"/>
  <c r="AF980" i="33"/>
  <c r="Y980" i="33"/>
  <c r="R980" i="33"/>
  <c r="R983" i="33" s="1"/>
  <c r="DE979" i="33"/>
  <c r="CX979" i="33"/>
  <c r="CX983" i="33" s="1"/>
  <c r="CC979" i="33"/>
  <c r="CC983" i="33" s="1"/>
  <c r="BV979" i="33"/>
  <c r="BO979" i="33"/>
  <c r="BH979" i="33"/>
  <c r="BA979" i="33"/>
  <c r="AT979" i="33"/>
  <c r="AT983" i="33" s="1"/>
  <c r="AM979" i="33"/>
  <c r="AM983" i="33" s="1"/>
  <c r="AF979" i="33"/>
  <c r="Y979" i="33"/>
  <c r="Y983" i="33" s="1"/>
  <c r="R979" i="33"/>
  <c r="H979" i="33"/>
  <c r="CG979" i="33" s="1"/>
  <c r="DD977" i="33"/>
  <c r="DC977" i="33"/>
  <c r="DB977" i="33"/>
  <c r="DA977" i="33"/>
  <c r="CZ977" i="33"/>
  <c r="CW977" i="33"/>
  <c r="CV977" i="33"/>
  <c r="CU977" i="33"/>
  <c r="CT977" i="33"/>
  <c r="CS977" i="33"/>
  <c r="CP977" i="33"/>
  <c r="CO977" i="33"/>
  <c r="CN977" i="33"/>
  <c r="CM977" i="33"/>
  <c r="CL977" i="33"/>
  <c r="CB977" i="33"/>
  <c r="CA977" i="33"/>
  <c r="BZ977" i="33"/>
  <c r="BY977" i="33"/>
  <c r="BX977" i="33"/>
  <c r="BU977" i="33"/>
  <c r="BT977" i="33"/>
  <c r="BS977" i="33"/>
  <c r="BR977" i="33"/>
  <c r="BQ977" i="33"/>
  <c r="BN977" i="33"/>
  <c r="BM977" i="33"/>
  <c r="BL977" i="33"/>
  <c r="BK977" i="33"/>
  <c r="BJ977" i="33"/>
  <c r="BG977" i="33"/>
  <c r="BF977" i="33"/>
  <c r="BE977" i="33"/>
  <c r="BD977" i="33"/>
  <c r="BC977" i="33"/>
  <c r="AZ977" i="33"/>
  <c r="AY977" i="33"/>
  <c r="AX977" i="33"/>
  <c r="AW977" i="33"/>
  <c r="AV977" i="33"/>
  <c r="AS977" i="33"/>
  <c r="AR977" i="33"/>
  <c r="AQ977" i="33"/>
  <c r="AP977" i="33"/>
  <c r="AO977" i="33"/>
  <c r="AL977" i="33"/>
  <c r="AK977" i="33"/>
  <c r="AJ977" i="33"/>
  <c r="AI977" i="33"/>
  <c r="AH977" i="33"/>
  <c r="AE977" i="33"/>
  <c r="AD977" i="33"/>
  <c r="AC977" i="33"/>
  <c r="AB977" i="33"/>
  <c r="AA977" i="33"/>
  <c r="X977" i="33"/>
  <c r="W977" i="33"/>
  <c r="V977" i="33"/>
  <c r="U977" i="33"/>
  <c r="T977" i="33"/>
  <c r="Q977" i="33"/>
  <c r="P977" i="33"/>
  <c r="O977" i="33"/>
  <c r="N977" i="33"/>
  <c r="M977" i="33"/>
  <c r="DE976" i="33"/>
  <c r="DE977" i="33" s="1"/>
  <c r="CX976" i="33"/>
  <c r="CC976" i="33"/>
  <c r="BV976" i="33"/>
  <c r="BO976" i="33"/>
  <c r="BH976" i="33"/>
  <c r="BH977" i="33" s="1"/>
  <c r="BA976" i="33"/>
  <c r="AT976" i="33"/>
  <c r="AM976" i="33"/>
  <c r="AF976" i="33"/>
  <c r="AF977" i="33" s="1"/>
  <c r="Y976" i="33"/>
  <c r="R976" i="33"/>
  <c r="I976" i="33"/>
  <c r="CH976" i="33" s="1"/>
  <c r="I982" i="33" s="1"/>
  <c r="CH982" i="33" s="1"/>
  <c r="I988" i="33" s="1"/>
  <c r="CH988" i="33" s="1"/>
  <c r="I994" i="33" s="1"/>
  <c r="CH994" i="33" s="1"/>
  <c r="F976" i="33"/>
  <c r="CE976" i="33" s="1"/>
  <c r="DE975" i="33"/>
  <c r="CX975" i="33"/>
  <c r="CG975" i="33"/>
  <c r="H981" i="33" s="1"/>
  <c r="CG981" i="33" s="1"/>
  <c r="H987" i="33" s="1"/>
  <c r="CG987" i="33" s="1"/>
  <c r="H993" i="33" s="1"/>
  <c r="CG993" i="33" s="1"/>
  <c r="CC975" i="33"/>
  <c r="BV975" i="33"/>
  <c r="BO975" i="33"/>
  <c r="BH975" i="33"/>
  <c r="BA975" i="33"/>
  <c r="AT975" i="33"/>
  <c r="AT977" i="33" s="1"/>
  <c r="AM975" i="33"/>
  <c r="AF975" i="33"/>
  <c r="Y975" i="33"/>
  <c r="R975" i="33"/>
  <c r="H975" i="33"/>
  <c r="DE974" i="33"/>
  <c r="CX974" i="33"/>
  <c r="CC974" i="33"/>
  <c r="BV974" i="33"/>
  <c r="BO974" i="33"/>
  <c r="BO977" i="33" s="1"/>
  <c r="BH974" i="33"/>
  <c r="BA974" i="33"/>
  <c r="AT974" i="33"/>
  <c r="AM974" i="33"/>
  <c r="AF974" i="33"/>
  <c r="Y974" i="33"/>
  <c r="R974" i="33"/>
  <c r="H974" i="33"/>
  <c r="H977" i="33" s="1"/>
  <c r="DE973" i="33"/>
  <c r="CX973" i="33"/>
  <c r="CX977" i="33" s="1"/>
  <c r="CH973" i="33"/>
  <c r="CC973" i="33"/>
  <c r="CC977" i="33" s="1"/>
  <c r="BV973" i="33"/>
  <c r="BV977" i="33" s="1"/>
  <c r="BO973" i="33"/>
  <c r="BH973" i="33"/>
  <c r="BA973" i="33"/>
  <c r="BA977" i="33" s="1"/>
  <c r="AT973" i="33"/>
  <c r="AM973" i="33"/>
  <c r="AF973" i="33"/>
  <c r="Y973" i="33"/>
  <c r="Y977" i="33" s="1"/>
  <c r="R973" i="33"/>
  <c r="R977" i="33" s="1"/>
  <c r="J973" i="33"/>
  <c r="CI973" i="33" s="1"/>
  <c r="I973" i="33"/>
  <c r="DE971" i="33"/>
  <c r="DD971" i="33"/>
  <c r="DC971" i="33"/>
  <c r="DB971" i="33"/>
  <c r="DA971" i="33"/>
  <c r="CZ971" i="33"/>
  <c r="CW971" i="33"/>
  <c r="CV971" i="33"/>
  <c r="CU971" i="33"/>
  <c r="CT971" i="33"/>
  <c r="CS971" i="33"/>
  <c r="CP971" i="33"/>
  <c r="CO971" i="33"/>
  <c r="CN971" i="33"/>
  <c r="CM971" i="33"/>
  <c r="CL971" i="33"/>
  <c r="CG971" i="33"/>
  <c r="CB971" i="33"/>
  <c r="CA971" i="33"/>
  <c r="BZ971" i="33"/>
  <c r="BY971" i="33"/>
  <c r="BX971" i="33"/>
  <c r="BU971" i="33"/>
  <c r="BT971" i="33"/>
  <c r="BS971" i="33"/>
  <c r="BR971" i="33"/>
  <c r="BQ971" i="33"/>
  <c r="BN971" i="33"/>
  <c r="BM971" i="33"/>
  <c r="BL971" i="33"/>
  <c r="BK971" i="33"/>
  <c r="BJ971" i="33"/>
  <c r="BG971" i="33"/>
  <c r="BF971" i="33"/>
  <c r="BE971" i="33"/>
  <c r="BD971" i="33"/>
  <c r="BC971" i="33"/>
  <c r="AZ971" i="33"/>
  <c r="AY971" i="33"/>
  <c r="AX971" i="33"/>
  <c r="AW971" i="33"/>
  <c r="AV971" i="33"/>
  <c r="AT971" i="33"/>
  <c r="AS971" i="33"/>
  <c r="AR971" i="33"/>
  <c r="AQ971" i="33"/>
  <c r="AP971" i="33"/>
  <c r="AO971" i="33"/>
  <c r="AM971" i="33"/>
  <c r="AL971" i="33"/>
  <c r="AK971" i="33"/>
  <c r="AJ971" i="33"/>
  <c r="AI971" i="33"/>
  <c r="AH971" i="33"/>
  <c r="AE971" i="33"/>
  <c r="AD971" i="33"/>
  <c r="AC971" i="33"/>
  <c r="AB971" i="33"/>
  <c r="AA971" i="33"/>
  <c r="X971" i="33"/>
  <c r="W971" i="33"/>
  <c r="V971" i="33"/>
  <c r="U971" i="33"/>
  <c r="T971" i="33"/>
  <c r="R971" i="33"/>
  <c r="Q971" i="33"/>
  <c r="P971" i="33"/>
  <c r="O971" i="33"/>
  <c r="N971" i="33"/>
  <c r="M971" i="33"/>
  <c r="J971" i="33"/>
  <c r="I971" i="33"/>
  <c r="H971" i="33"/>
  <c r="G971" i="33"/>
  <c r="F971" i="33"/>
  <c r="DE970" i="33"/>
  <c r="CX970" i="33"/>
  <c r="CJ970" i="33"/>
  <c r="CI970" i="33"/>
  <c r="J976" i="33" s="1"/>
  <c r="CI976" i="33" s="1"/>
  <c r="J982" i="33" s="1"/>
  <c r="CI982" i="33" s="1"/>
  <c r="J988" i="33" s="1"/>
  <c r="CI988" i="33" s="1"/>
  <c r="J994" i="33" s="1"/>
  <c r="CI994" i="33" s="1"/>
  <c r="CH970" i="33"/>
  <c r="CG970" i="33"/>
  <c r="H976" i="33" s="1"/>
  <c r="CG976" i="33" s="1"/>
  <c r="H982" i="33" s="1"/>
  <c r="CG982" i="33" s="1"/>
  <c r="CF970" i="33"/>
  <c r="G976" i="33" s="1"/>
  <c r="CF976" i="33" s="1"/>
  <c r="G982" i="33" s="1"/>
  <c r="CF982" i="33" s="1"/>
  <c r="G988" i="33" s="1"/>
  <c r="CF988" i="33" s="1"/>
  <c r="G994" i="33" s="1"/>
  <c r="CF994" i="33" s="1"/>
  <c r="CE970" i="33"/>
  <c r="CC970" i="33"/>
  <c r="BV970" i="33"/>
  <c r="BO970" i="33"/>
  <c r="BH970" i="33"/>
  <c r="BA970" i="33"/>
  <c r="AT970" i="33"/>
  <c r="AM970" i="33"/>
  <c r="AF970" i="33"/>
  <c r="Y970" i="33"/>
  <c r="R970" i="33"/>
  <c r="K970" i="33"/>
  <c r="DE969" i="33"/>
  <c r="CX969" i="33"/>
  <c r="CI969" i="33"/>
  <c r="J975" i="33" s="1"/>
  <c r="CI975" i="33" s="1"/>
  <c r="J981" i="33" s="1"/>
  <c r="CI981" i="33" s="1"/>
  <c r="J987" i="33" s="1"/>
  <c r="CI987" i="33" s="1"/>
  <c r="J993" i="33" s="1"/>
  <c r="CI993" i="33" s="1"/>
  <c r="CH969" i="33"/>
  <c r="I975" i="33" s="1"/>
  <c r="CH975" i="33" s="1"/>
  <c r="I981" i="33" s="1"/>
  <c r="CH981" i="33" s="1"/>
  <c r="I987" i="33" s="1"/>
  <c r="CH987" i="33" s="1"/>
  <c r="I993" i="33" s="1"/>
  <c r="CH993" i="33" s="1"/>
  <c r="CG969" i="33"/>
  <c r="CF969" i="33"/>
  <c r="CE969" i="33"/>
  <c r="F975" i="33" s="1"/>
  <c r="CE975" i="33" s="1"/>
  <c r="CC969" i="33"/>
  <c r="BV969" i="33"/>
  <c r="BO969" i="33"/>
  <c r="BH969" i="33"/>
  <c r="BA969" i="33"/>
  <c r="AT969" i="33"/>
  <c r="AM969" i="33"/>
  <c r="AF969" i="33"/>
  <c r="Y969" i="33"/>
  <c r="R969" i="33"/>
  <c r="K969" i="33"/>
  <c r="DE968" i="33"/>
  <c r="CX968" i="33"/>
  <c r="CJ968" i="33"/>
  <c r="CI968" i="33"/>
  <c r="J974" i="33" s="1"/>
  <c r="CI974" i="33" s="1"/>
  <c r="J980" i="33" s="1"/>
  <c r="CI980" i="33" s="1"/>
  <c r="J986" i="33" s="1"/>
  <c r="CI986" i="33" s="1"/>
  <c r="J992" i="33" s="1"/>
  <c r="CI992" i="33" s="1"/>
  <c r="CH968" i="33"/>
  <c r="I974" i="33" s="1"/>
  <c r="CH974" i="33" s="1"/>
  <c r="I980" i="33" s="1"/>
  <c r="CH980" i="33" s="1"/>
  <c r="I986" i="33" s="1"/>
  <c r="CH986" i="33" s="1"/>
  <c r="I992" i="33" s="1"/>
  <c r="CH992" i="33" s="1"/>
  <c r="CG968" i="33"/>
  <c r="CF968" i="33"/>
  <c r="G974" i="33" s="1"/>
  <c r="CF974" i="33" s="1"/>
  <c r="G980" i="33" s="1"/>
  <c r="CF980" i="33" s="1"/>
  <c r="G986" i="33" s="1"/>
  <c r="CF986" i="33" s="1"/>
  <c r="G992" i="33" s="1"/>
  <c r="CF992" i="33" s="1"/>
  <c r="CE968" i="33"/>
  <c r="F974" i="33" s="1"/>
  <c r="CE974" i="33" s="1"/>
  <c r="F980" i="33" s="1"/>
  <c r="CC968" i="33"/>
  <c r="BV968" i="33"/>
  <c r="BV971" i="33" s="1"/>
  <c r="BO968" i="33"/>
  <c r="BH968" i="33"/>
  <c r="BA968" i="33"/>
  <c r="AT968" i="33"/>
  <c r="AM968" i="33"/>
  <c r="AF968" i="33"/>
  <c r="Y968" i="33"/>
  <c r="R968" i="33"/>
  <c r="K968" i="33"/>
  <c r="DE967" i="33"/>
  <c r="CX967" i="33"/>
  <c r="CX971" i="33" s="1"/>
  <c r="CI967" i="33"/>
  <c r="CI971" i="33" s="1"/>
  <c r="CH967" i="33"/>
  <c r="CG967" i="33"/>
  <c r="H973" i="33" s="1"/>
  <c r="CG973" i="33" s="1"/>
  <c r="CF967" i="33"/>
  <c r="CE967" i="33"/>
  <c r="CC967" i="33"/>
  <c r="CC971" i="33" s="1"/>
  <c r="BV967" i="33"/>
  <c r="BO967" i="33"/>
  <c r="BO971" i="33" s="1"/>
  <c r="BH967" i="33"/>
  <c r="BH971" i="33" s="1"/>
  <c r="BA967" i="33"/>
  <c r="AT967" i="33"/>
  <c r="AM967" i="33"/>
  <c r="AF967" i="33"/>
  <c r="AF971" i="33" s="1"/>
  <c r="Y967" i="33"/>
  <c r="Y971" i="33" s="1"/>
  <c r="R967" i="33"/>
  <c r="K967" i="33"/>
  <c r="K971" i="33" s="1"/>
  <c r="DD963" i="33"/>
  <c r="DC963" i="33"/>
  <c r="DB963" i="33"/>
  <c r="DA963" i="33"/>
  <c r="CZ963" i="33"/>
  <c r="CW963" i="33"/>
  <c r="CV963" i="33"/>
  <c r="CU963" i="33"/>
  <c r="CT963" i="33"/>
  <c r="CS963" i="33"/>
  <c r="CP963" i="33"/>
  <c r="CO963" i="33"/>
  <c r="CN963" i="33"/>
  <c r="CM963" i="33"/>
  <c r="CL963" i="33"/>
  <c r="CB963" i="33"/>
  <c r="CA963" i="33"/>
  <c r="BZ963" i="33"/>
  <c r="BY963" i="33"/>
  <c r="BX963" i="33"/>
  <c r="BU963" i="33"/>
  <c r="BT963" i="33"/>
  <c r="BS963" i="33"/>
  <c r="BR963" i="33"/>
  <c r="BQ963" i="33"/>
  <c r="BN963" i="33"/>
  <c r="BM963" i="33"/>
  <c r="BL963" i="33"/>
  <c r="BK963" i="33"/>
  <c r="BJ963" i="33"/>
  <c r="BG963" i="33"/>
  <c r="BF963" i="33"/>
  <c r="BE963" i="33"/>
  <c r="BD963" i="33"/>
  <c r="BC963" i="33"/>
  <c r="AZ963" i="33"/>
  <c r="AY963" i="33"/>
  <c r="AX963" i="33"/>
  <c r="AW963" i="33"/>
  <c r="AV963" i="33"/>
  <c r="AS963" i="33"/>
  <c r="AR963" i="33"/>
  <c r="AQ963" i="33"/>
  <c r="AP963" i="33"/>
  <c r="AO963" i="33"/>
  <c r="AM963" i="33"/>
  <c r="AL963" i="33"/>
  <c r="AK963" i="33"/>
  <c r="AJ963" i="33"/>
  <c r="AI963" i="33"/>
  <c r="AH963" i="33"/>
  <c r="AE963" i="33"/>
  <c r="AD963" i="33"/>
  <c r="AC963" i="33"/>
  <c r="AB963" i="33"/>
  <c r="AA963" i="33"/>
  <c r="X963" i="33"/>
  <c r="W963" i="33"/>
  <c r="V963" i="33"/>
  <c r="U963" i="33"/>
  <c r="T963" i="33"/>
  <c r="Q963" i="33"/>
  <c r="P963" i="33"/>
  <c r="O963" i="33"/>
  <c r="N963" i="33"/>
  <c r="M963" i="33"/>
  <c r="DE962" i="33"/>
  <c r="CX962" i="33"/>
  <c r="CC962" i="33"/>
  <c r="BV962" i="33"/>
  <c r="BO962" i="33"/>
  <c r="BH962" i="33"/>
  <c r="BA962" i="33"/>
  <c r="AT962" i="33"/>
  <c r="AM962" i="33"/>
  <c r="AF962" i="33"/>
  <c r="Y962" i="33"/>
  <c r="R962" i="33"/>
  <c r="DE961" i="33"/>
  <c r="CX961" i="33"/>
  <c r="CC961" i="33"/>
  <c r="BV961" i="33"/>
  <c r="BO961" i="33"/>
  <c r="BH961" i="33"/>
  <c r="BA961" i="33"/>
  <c r="BA963" i="33" s="1"/>
  <c r="AT961" i="33"/>
  <c r="AM961" i="33"/>
  <c r="AF961" i="33"/>
  <c r="Y961" i="33"/>
  <c r="R961" i="33"/>
  <c r="DE960" i="33"/>
  <c r="DE963" i="33" s="1"/>
  <c r="CX960" i="33"/>
  <c r="CC960" i="33"/>
  <c r="CC963" i="33" s="1"/>
  <c r="BV960" i="33"/>
  <c r="BV963" i="33" s="1"/>
  <c r="BO960" i="33"/>
  <c r="BH960" i="33"/>
  <c r="BA960" i="33"/>
  <c r="AT960" i="33"/>
  <c r="AM960" i="33"/>
  <c r="AF960" i="33"/>
  <c r="Y960" i="33"/>
  <c r="R960" i="33"/>
  <c r="R963" i="33" s="1"/>
  <c r="DE959" i="33"/>
  <c r="CX959" i="33"/>
  <c r="CX963" i="33" s="1"/>
  <c r="CC959" i="33"/>
  <c r="BV959" i="33"/>
  <c r="BO959" i="33"/>
  <c r="BO963" i="33" s="1"/>
  <c r="BH959" i="33"/>
  <c r="BH963" i="33" s="1"/>
  <c r="BA959" i="33"/>
  <c r="AT959" i="33"/>
  <c r="AT963" i="33" s="1"/>
  <c r="AM959" i="33"/>
  <c r="AF959" i="33"/>
  <c r="Y959" i="33"/>
  <c r="Y963" i="33" s="1"/>
  <c r="R959" i="33"/>
  <c r="DD957" i="33"/>
  <c r="DC957" i="33"/>
  <c r="DB957" i="33"/>
  <c r="DA957" i="33"/>
  <c r="CZ957" i="33"/>
  <c r="CW957" i="33"/>
  <c r="CV957" i="33"/>
  <c r="CU957" i="33"/>
  <c r="CT957" i="33"/>
  <c r="CS957" i="33"/>
  <c r="CP957" i="33"/>
  <c r="CO957" i="33"/>
  <c r="CN957" i="33"/>
  <c r="CM957" i="33"/>
  <c r="CL957" i="33"/>
  <c r="CB957" i="33"/>
  <c r="CA957" i="33"/>
  <c r="BZ957" i="33"/>
  <c r="BY957" i="33"/>
  <c r="BX957" i="33"/>
  <c r="BU957" i="33"/>
  <c r="BT957" i="33"/>
  <c r="BS957" i="33"/>
  <c r="BR957" i="33"/>
  <c r="BQ957" i="33"/>
  <c r="BN957" i="33"/>
  <c r="BM957" i="33"/>
  <c r="BL957" i="33"/>
  <c r="BK957" i="33"/>
  <c r="BJ957" i="33"/>
  <c r="BG957" i="33"/>
  <c r="BF957" i="33"/>
  <c r="BE957" i="33"/>
  <c r="BD957" i="33"/>
  <c r="BC957" i="33"/>
  <c r="AZ957" i="33"/>
  <c r="AY957" i="33"/>
  <c r="AX957" i="33"/>
  <c r="AW957" i="33"/>
  <c r="AV957" i="33"/>
  <c r="AS957" i="33"/>
  <c r="AR957" i="33"/>
  <c r="AQ957" i="33"/>
  <c r="AP957" i="33"/>
  <c r="AO957" i="33"/>
  <c r="AL957" i="33"/>
  <c r="AK957" i="33"/>
  <c r="AJ957" i="33"/>
  <c r="AI957" i="33"/>
  <c r="AH957" i="33"/>
  <c r="AE957" i="33"/>
  <c r="AD957" i="33"/>
  <c r="AC957" i="33"/>
  <c r="AB957" i="33"/>
  <c r="AA957" i="33"/>
  <c r="X957" i="33"/>
  <c r="W957" i="33"/>
  <c r="V957" i="33"/>
  <c r="U957" i="33"/>
  <c r="T957" i="33"/>
  <c r="Q957" i="33"/>
  <c r="P957" i="33"/>
  <c r="O957" i="33"/>
  <c r="N957" i="33"/>
  <c r="M957" i="33"/>
  <c r="DE956" i="33"/>
  <c r="CX956" i="33"/>
  <c r="CF956" i="33"/>
  <c r="G962" i="33" s="1"/>
  <c r="CF962" i="33" s="1"/>
  <c r="CC956" i="33"/>
  <c r="BV956" i="33"/>
  <c r="BO956" i="33"/>
  <c r="BH956" i="33"/>
  <c r="BA956" i="33"/>
  <c r="AT956" i="33"/>
  <c r="AM956" i="33"/>
  <c r="AF956" i="33"/>
  <c r="Y956" i="33"/>
  <c r="R956" i="33"/>
  <c r="DE955" i="33"/>
  <c r="CX955" i="33"/>
  <c r="CC955" i="33"/>
  <c r="BV955" i="33"/>
  <c r="BO955" i="33"/>
  <c r="BH955" i="33"/>
  <c r="BA955" i="33"/>
  <c r="AT955" i="33"/>
  <c r="AM955" i="33"/>
  <c r="AF955" i="33"/>
  <c r="Y955" i="33"/>
  <c r="R955" i="33"/>
  <c r="DE954" i="33"/>
  <c r="DE957" i="33" s="1"/>
  <c r="CX954" i="33"/>
  <c r="CC954" i="33"/>
  <c r="BV954" i="33"/>
  <c r="BO954" i="33"/>
  <c r="BH954" i="33"/>
  <c r="BA954" i="33"/>
  <c r="AT954" i="33"/>
  <c r="AT957" i="33" s="1"/>
  <c r="AM954" i="33"/>
  <c r="AF954" i="33"/>
  <c r="Y954" i="33"/>
  <c r="R954" i="33"/>
  <c r="DE953" i="33"/>
  <c r="CX953" i="33"/>
  <c r="CX957" i="33" s="1"/>
  <c r="CC953" i="33"/>
  <c r="CC957" i="33" s="1"/>
  <c r="BV953" i="33"/>
  <c r="BV957" i="33" s="1"/>
  <c r="BO953" i="33"/>
  <c r="BO957" i="33" s="1"/>
  <c r="BH953" i="33"/>
  <c r="BA953" i="33"/>
  <c r="BA957" i="33" s="1"/>
  <c r="AT953" i="33"/>
  <c r="AM953" i="33"/>
  <c r="AM957" i="33" s="1"/>
  <c r="AF953" i="33"/>
  <c r="Y953" i="33"/>
  <c r="Y957" i="33" s="1"/>
  <c r="R953" i="33"/>
  <c r="R957" i="33" s="1"/>
  <c r="DD951" i="33"/>
  <c r="DC951" i="33"/>
  <c r="DB951" i="33"/>
  <c r="DA951" i="33"/>
  <c r="CZ951" i="33"/>
  <c r="CW951" i="33"/>
  <c r="CV951" i="33"/>
  <c r="CU951" i="33"/>
  <c r="CT951" i="33"/>
  <c r="CS951" i="33"/>
  <c r="CP951" i="33"/>
  <c r="CO951" i="33"/>
  <c r="CN951" i="33"/>
  <c r="CM951" i="33"/>
  <c r="CL951" i="33"/>
  <c r="CB951" i="33"/>
  <c r="CA951" i="33"/>
  <c r="BZ951" i="33"/>
  <c r="BY951" i="33"/>
  <c r="BX951" i="33"/>
  <c r="BU951" i="33"/>
  <c r="BT951" i="33"/>
  <c r="BS951" i="33"/>
  <c r="BR951" i="33"/>
  <c r="BQ951" i="33"/>
  <c r="BN951" i="33"/>
  <c r="BM951" i="33"/>
  <c r="BL951" i="33"/>
  <c r="BK951" i="33"/>
  <c r="BJ951" i="33"/>
  <c r="BG951" i="33"/>
  <c r="BF951" i="33"/>
  <c r="BE951" i="33"/>
  <c r="BD951" i="33"/>
  <c r="BC951" i="33"/>
  <c r="AZ951" i="33"/>
  <c r="AY951" i="33"/>
  <c r="AX951" i="33"/>
  <c r="AW951" i="33"/>
  <c r="AV951" i="33"/>
  <c r="AS951" i="33"/>
  <c r="AR951" i="33"/>
  <c r="AQ951" i="33"/>
  <c r="AP951" i="33"/>
  <c r="AO951" i="33"/>
  <c r="AL951" i="33"/>
  <c r="AK951" i="33"/>
  <c r="AJ951" i="33"/>
  <c r="AI951" i="33"/>
  <c r="AH951" i="33"/>
  <c r="AE951" i="33"/>
  <c r="AD951" i="33"/>
  <c r="AC951" i="33"/>
  <c r="AB951" i="33"/>
  <c r="AA951" i="33"/>
  <c r="X951" i="33"/>
  <c r="W951" i="33"/>
  <c r="V951" i="33"/>
  <c r="U951" i="33"/>
  <c r="T951" i="33"/>
  <c r="Q951" i="33"/>
  <c r="P951" i="33"/>
  <c r="O951" i="33"/>
  <c r="N951" i="33"/>
  <c r="M951" i="33"/>
  <c r="DE950" i="33"/>
  <c r="CX950" i="33"/>
  <c r="CC950" i="33"/>
  <c r="BV950" i="33"/>
  <c r="BO950" i="33"/>
  <c r="BH950" i="33"/>
  <c r="BA950" i="33"/>
  <c r="AT950" i="33"/>
  <c r="AM950" i="33"/>
  <c r="AF950" i="33"/>
  <c r="Y950" i="33"/>
  <c r="R950" i="33"/>
  <c r="DE949" i="33"/>
  <c r="CX949" i="33"/>
  <c r="CC949" i="33"/>
  <c r="BV949" i="33"/>
  <c r="BO949" i="33"/>
  <c r="BH949" i="33"/>
  <c r="BA949" i="33"/>
  <c r="AT949" i="33"/>
  <c r="AM949" i="33"/>
  <c r="AF949" i="33"/>
  <c r="Y949" i="33"/>
  <c r="R949" i="33"/>
  <c r="DE948" i="33"/>
  <c r="CX948" i="33"/>
  <c r="CX951" i="33" s="1"/>
  <c r="CC948" i="33"/>
  <c r="BV948" i="33"/>
  <c r="BO948" i="33"/>
  <c r="BO951" i="33" s="1"/>
  <c r="BH948" i="33"/>
  <c r="BA948" i="33"/>
  <c r="AT948" i="33"/>
  <c r="AM948" i="33"/>
  <c r="AF948" i="33"/>
  <c r="Y948" i="33"/>
  <c r="R948" i="33"/>
  <c r="DE947" i="33"/>
  <c r="DE951" i="33" s="1"/>
  <c r="CX947" i="33"/>
  <c r="CC947" i="33"/>
  <c r="BV947" i="33"/>
  <c r="BO947" i="33"/>
  <c r="BH947" i="33"/>
  <c r="BH951" i="33" s="1"/>
  <c r="BA947" i="33"/>
  <c r="BA951" i="33" s="1"/>
  <c r="AT947" i="33"/>
  <c r="AT951" i="33" s="1"/>
  <c r="AM947" i="33"/>
  <c r="AM951" i="33" s="1"/>
  <c r="AF947" i="33"/>
  <c r="AF951" i="33" s="1"/>
  <c r="Y947" i="33"/>
  <c r="R947" i="33"/>
  <c r="DD945" i="33"/>
  <c r="DC945" i="33"/>
  <c r="DB945" i="33"/>
  <c r="DA945" i="33"/>
  <c r="CZ945" i="33"/>
  <c r="CW945" i="33"/>
  <c r="CV945" i="33"/>
  <c r="CU945" i="33"/>
  <c r="CT945" i="33"/>
  <c r="CS945" i="33"/>
  <c r="CP945" i="33"/>
  <c r="CO945" i="33"/>
  <c r="CN945" i="33"/>
  <c r="CM945" i="33"/>
  <c r="CL945" i="33"/>
  <c r="CC945" i="33"/>
  <c r="CB945" i="33"/>
  <c r="CA945" i="33"/>
  <c r="BZ945" i="33"/>
  <c r="BY945" i="33"/>
  <c r="BX945" i="33"/>
  <c r="BU945" i="33"/>
  <c r="BT945" i="33"/>
  <c r="BS945" i="33"/>
  <c r="BR945" i="33"/>
  <c r="BQ945" i="33"/>
  <c r="BN945" i="33"/>
  <c r="BM945" i="33"/>
  <c r="BL945" i="33"/>
  <c r="BK945" i="33"/>
  <c r="BJ945" i="33"/>
  <c r="BG945" i="33"/>
  <c r="BF945" i="33"/>
  <c r="BE945" i="33"/>
  <c r="BD945" i="33"/>
  <c r="BC945" i="33"/>
  <c r="AZ945" i="33"/>
  <c r="AY945" i="33"/>
  <c r="AX945" i="33"/>
  <c r="AW945" i="33"/>
  <c r="AV945" i="33"/>
  <c r="AS945" i="33"/>
  <c r="AR945" i="33"/>
  <c r="AQ945" i="33"/>
  <c r="AP945" i="33"/>
  <c r="AO945" i="33"/>
  <c r="AL945" i="33"/>
  <c r="AK945" i="33"/>
  <c r="AJ945" i="33"/>
  <c r="AI945" i="33"/>
  <c r="AH945" i="33"/>
  <c r="AE945" i="33"/>
  <c r="AD945" i="33"/>
  <c r="AC945" i="33"/>
  <c r="AB945" i="33"/>
  <c r="AA945" i="33"/>
  <c r="Y945" i="33"/>
  <c r="X945" i="33"/>
  <c r="W945" i="33"/>
  <c r="V945" i="33"/>
  <c r="U945" i="33"/>
  <c r="T945" i="33"/>
  <c r="Q945" i="33"/>
  <c r="P945" i="33"/>
  <c r="O945" i="33"/>
  <c r="N945" i="33"/>
  <c r="M945" i="33"/>
  <c r="DE944" i="33"/>
  <c r="CX944" i="33"/>
  <c r="CG944" i="33"/>
  <c r="H950" i="33" s="1"/>
  <c r="CG950" i="33" s="1"/>
  <c r="H956" i="33" s="1"/>
  <c r="CG956" i="33" s="1"/>
  <c r="H962" i="33" s="1"/>
  <c r="CG962" i="33" s="1"/>
  <c r="CC944" i="33"/>
  <c r="BV944" i="33"/>
  <c r="BO944" i="33"/>
  <c r="BH944" i="33"/>
  <c r="BA944" i="33"/>
  <c r="AT944" i="33"/>
  <c r="AM944" i="33"/>
  <c r="AF944" i="33"/>
  <c r="Y944" i="33"/>
  <c r="R944" i="33"/>
  <c r="J944" i="33"/>
  <c r="CI944" i="33" s="1"/>
  <c r="J950" i="33" s="1"/>
  <c r="CI950" i="33" s="1"/>
  <c r="J956" i="33" s="1"/>
  <c r="CI956" i="33" s="1"/>
  <c r="J962" i="33" s="1"/>
  <c r="CI962" i="33" s="1"/>
  <c r="H944" i="33"/>
  <c r="F944" i="33"/>
  <c r="CE944" i="33" s="1"/>
  <c r="DE943" i="33"/>
  <c r="CX943" i="33"/>
  <c r="CC943" i="33"/>
  <c r="BV943" i="33"/>
  <c r="BO943" i="33"/>
  <c r="BH943" i="33"/>
  <c r="BA943" i="33"/>
  <c r="BA945" i="33" s="1"/>
  <c r="AT943" i="33"/>
  <c r="AM943" i="33"/>
  <c r="AF943" i="33"/>
  <c r="Y943" i="33"/>
  <c r="R943" i="33"/>
  <c r="DE942" i="33"/>
  <c r="CX942" i="33"/>
  <c r="CI942" i="33"/>
  <c r="J948" i="33" s="1"/>
  <c r="CI948" i="33" s="1"/>
  <c r="J954" i="33" s="1"/>
  <c r="CI954" i="33" s="1"/>
  <c r="J960" i="33" s="1"/>
  <c r="CI960" i="33" s="1"/>
  <c r="CC942" i="33"/>
  <c r="BV942" i="33"/>
  <c r="BV945" i="33" s="1"/>
  <c r="BO942" i="33"/>
  <c r="BH942" i="33"/>
  <c r="BH945" i="33" s="1"/>
  <c r="BA942" i="33"/>
  <c r="AT942" i="33"/>
  <c r="AT945" i="33" s="1"/>
  <c r="AM942" i="33"/>
  <c r="AF942" i="33"/>
  <c r="AF945" i="33" s="1"/>
  <c r="Y942" i="33"/>
  <c r="R942" i="33"/>
  <c r="R945" i="33" s="1"/>
  <c r="J942" i="33"/>
  <c r="F942" i="33"/>
  <c r="CE942" i="33" s="1"/>
  <c r="DE941" i="33"/>
  <c r="DE945" i="33" s="1"/>
  <c r="CX941" i="33"/>
  <c r="CX945" i="33" s="1"/>
  <c r="CC941" i="33"/>
  <c r="BV941" i="33"/>
  <c r="BO941" i="33"/>
  <c r="BO945" i="33" s="1"/>
  <c r="BH941" i="33"/>
  <c r="BA941" i="33"/>
  <c r="AT941" i="33"/>
  <c r="AM941" i="33"/>
  <c r="AM945" i="33" s="1"/>
  <c r="AF941" i="33"/>
  <c r="Y941" i="33"/>
  <c r="R941" i="33"/>
  <c r="J941" i="33"/>
  <c r="CI941" i="33" s="1"/>
  <c r="F941" i="33"/>
  <c r="DE939" i="33"/>
  <c r="DD939" i="33"/>
  <c r="DC939" i="33"/>
  <c r="DB939" i="33"/>
  <c r="DA939" i="33"/>
  <c r="CZ939" i="33"/>
  <c r="CW939" i="33"/>
  <c r="CV939" i="33"/>
  <c r="CU939" i="33"/>
  <c r="CT939" i="33"/>
  <c r="CS939" i="33"/>
  <c r="CP939" i="33"/>
  <c r="CO939" i="33"/>
  <c r="CN939" i="33"/>
  <c r="CM939" i="33"/>
  <c r="CL939" i="33"/>
  <c r="CI939" i="33"/>
  <c r="CE939" i="33"/>
  <c r="CB939" i="33"/>
  <c r="CA939" i="33"/>
  <c r="BZ939" i="33"/>
  <c r="BY939" i="33"/>
  <c r="BX939" i="33"/>
  <c r="BU939" i="33"/>
  <c r="BT939" i="33"/>
  <c r="BS939" i="33"/>
  <c r="BR939" i="33"/>
  <c r="BQ939" i="33"/>
  <c r="BN939" i="33"/>
  <c r="BM939" i="33"/>
  <c r="BL939" i="33"/>
  <c r="BK939" i="33"/>
  <c r="BJ939" i="33"/>
  <c r="BG939" i="33"/>
  <c r="BF939" i="33"/>
  <c r="BE939" i="33"/>
  <c r="BD939" i="33"/>
  <c r="BC939" i="33"/>
  <c r="AZ939" i="33"/>
  <c r="AY939" i="33"/>
  <c r="AX939" i="33"/>
  <c r="AW939" i="33"/>
  <c r="AV939" i="33"/>
  <c r="AS939" i="33"/>
  <c r="AR939" i="33"/>
  <c r="AQ939" i="33"/>
  <c r="AP939" i="33"/>
  <c r="AO939" i="33"/>
  <c r="AL939" i="33"/>
  <c r="AK939" i="33"/>
  <c r="AJ939" i="33"/>
  <c r="AI939" i="33"/>
  <c r="AH939" i="33"/>
  <c r="AE939" i="33"/>
  <c r="AD939" i="33"/>
  <c r="AC939" i="33"/>
  <c r="AB939" i="33"/>
  <c r="AA939" i="33"/>
  <c r="X939" i="33"/>
  <c r="W939" i="33"/>
  <c r="V939" i="33"/>
  <c r="U939" i="33"/>
  <c r="T939" i="33"/>
  <c r="Q939" i="33"/>
  <c r="P939" i="33"/>
  <c r="O939" i="33"/>
  <c r="N939" i="33"/>
  <c r="M939" i="33"/>
  <c r="J939" i="33"/>
  <c r="I939" i="33"/>
  <c r="H939" i="33"/>
  <c r="G939" i="33"/>
  <c r="F939" i="33"/>
  <c r="DE938" i="33"/>
  <c r="CX938" i="33"/>
  <c r="CI938" i="33"/>
  <c r="CH938" i="33"/>
  <c r="CJ938" i="33" s="1"/>
  <c r="CG938" i="33"/>
  <c r="CF938" i="33"/>
  <c r="G944" i="33" s="1"/>
  <c r="CF944" i="33" s="1"/>
  <c r="G950" i="33" s="1"/>
  <c r="CF950" i="33" s="1"/>
  <c r="G956" i="33" s="1"/>
  <c r="CE938" i="33"/>
  <c r="CC938" i="33"/>
  <c r="BV938" i="33"/>
  <c r="BO938" i="33"/>
  <c r="BH938" i="33"/>
  <c r="BA938" i="33"/>
  <c r="AT938" i="33"/>
  <c r="AM938" i="33"/>
  <c r="AF938" i="33"/>
  <c r="Y938" i="33"/>
  <c r="R938" i="33"/>
  <c r="K938" i="33"/>
  <c r="DE937" i="33"/>
  <c r="CX937" i="33"/>
  <c r="CI937" i="33"/>
  <c r="J943" i="33" s="1"/>
  <c r="CI943" i="33" s="1"/>
  <c r="J949" i="33" s="1"/>
  <c r="CI949" i="33" s="1"/>
  <c r="J955" i="33" s="1"/>
  <c r="CI955" i="33" s="1"/>
  <c r="J961" i="33" s="1"/>
  <c r="CI961" i="33" s="1"/>
  <c r="CH937" i="33"/>
  <c r="I943" i="33" s="1"/>
  <c r="CH943" i="33" s="1"/>
  <c r="I949" i="33" s="1"/>
  <c r="CH949" i="33" s="1"/>
  <c r="I955" i="33" s="1"/>
  <c r="CH955" i="33" s="1"/>
  <c r="I961" i="33" s="1"/>
  <c r="CH961" i="33" s="1"/>
  <c r="CG937" i="33"/>
  <c r="H943" i="33" s="1"/>
  <c r="CG943" i="33" s="1"/>
  <c r="H949" i="33" s="1"/>
  <c r="CG949" i="33" s="1"/>
  <c r="H955" i="33" s="1"/>
  <c r="CG955" i="33" s="1"/>
  <c r="H961" i="33" s="1"/>
  <c r="CG961" i="33" s="1"/>
  <c r="CF937" i="33"/>
  <c r="G943" i="33" s="1"/>
  <c r="CF943" i="33" s="1"/>
  <c r="G949" i="33" s="1"/>
  <c r="CF949" i="33" s="1"/>
  <c r="G955" i="33" s="1"/>
  <c r="CF955" i="33" s="1"/>
  <c r="G961" i="33" s="1"/>
  <c r="CF961" i="33" s="1"/>
  <c r="CE937" i="33"/>
  <c r="F943" i="33" s="1"/>
  <c r="CC937" i="33"/>
  <c r="BV937" i="33"/>
  <c r="BO937" i="33"/>
  <c r="BH937" i="33"/>
  <c r="BA937" i="33"/>
  <c r="AT937" i="33"/>
  <c r="AM937" i="33"/>
  <c r="AF937" i="33"/>
  <c r="Y937" i="33"/>
  <c r="R937" i="33"/>
  <c r="K937" i="33"/>
  <c r="DE936" i="33"/>
  <c r="CX936" i="33"/>
  <c r="CI936" i="33"/>
  <c r="CH936" i="33"/>
  <c r="I942" i="33" s="1"/>
  <c r="CH942" i="33" s="1"/>
  <c r="I948" i="33" s="1"/>
  <c r="CH948" i="33" s="1"/>
  <c r="I954" i="33" s="1"/>
  <c r="CH954" i="33" s="1"/>
  <c r="I960" i="33" s="1"/>
  <c r="CH960" i="33" s="1"/>
  <c r="CG936" i="33"/>
  <c r="H942" i="33" s="1"/>
  <c r="CG942" i="33" s="1"/>
  <c r="H948" i="33" s="1"/>
  <c r="CG948" i="33" s="1"/>
  <c r="H954" i="33" s="1"/>
  <c r="CG954" i="33" s="1"/>
  <c r="H960" i="33" s="1"/>
  <c r="CG960" i="33" s="1"/>
  <c r="CF936" i="33"/>
  <c r="G942" i="33" s="1"/>
  <c r="CF942" i="33" s="1"/>
  <c r="G948" i="33" s="1"/>
  <c r="CF948" i="33" s="1"/>
  <c r="G954" i="33" s="1"/>
  <c r="CF954" i="33" s="1"/>
  <c r="G960" i="33" s="1"/>
  <c r="CF960" i="33" s="1"/>
  <c r="CE936" i="33"/>
  <c r="CC936" i="33"/>
  <c r="BV936" i="33"/>
  <c r="BO936" i="33"/>
  <c r="BH936" i="33"/>
  <c r="BA936" i="33"/>
  <c r="AT936" i="33"/>
  <c r="AM936" i="33"/>
  <c r="AF936" i="33"/>
  <c r="AF939" i="33" s="1"/>
  <c r="Y936" i="33"/>
  <c r="R936" i="33"/>
  <c r="K936" i="33"/>
  <c r="DE935" i="33"/>
  <c r="CX935" i="33"/>
  <c r="CI935" i="33"/>
  <c r="CH935" i="33"/>
  <c r="CG935" i="33"/>
  <c r="CG939" i="33" s="1"/>
  <c r="CF935" i="33"/>
  <c r="CF939" i="33" s="1"/>
  <c r="CE935" i="33"/>
  <c r="CC935" i="33"/>
  <c r="CC939" i="33" s="1"/>
  <c r="BV935" i="33"/>
  <c r="BV939" i="33" s="1"/>
  <c r="BO935" i="33"/>
  <c r="BO939" i="33" s="1"/>
  <c r="BH935" i="33"/>
  <c r="BH939" i="33" s="1"/>
  <c r="BA935" i="33"/>
  <c r="BA939" i="33" s="1"/>
  <c r="AT935" i="33"/>
  <c r="AT939" i="33" s="1"/>
  <c r="AM935" i="33"/>
  <c r="AM939" i="33" s="1"/>
  <c r="AF935" i="33"/>
  <c r="Y935" i="33"/>
  <c r="Y939" i="33" s="1"/>
  <c r="R935" i="33"/>
  <c r="R939" i="33" s="1"/>
  <c r="K935" i="33"/>
  <c r="K939" i="33" s="1"/>
  <c r="DD931" i="33"/>
  <c r="DC931" i="33"/>
  <c r="DB931" i="33"/>
  <c r="DA931" i="33"/>
  <c r="CZ931" i="33"/>
  <c r="CW931" i="33"/>
  <c r="CV931" i="33"/>
  <c r="CU931" i="33"/>
  <c r="CT931" i="33"/>
  <c r="CS931" i="33"/>
  <c r="CP931" i="33"/>
  <c r="CO931" i="33"/>
  <c r="CN931" i="33"/>
  <c r="CM931" i="33"/>
  <c r="CL931" i="33"/>
  <c r="CB931" i="33"/>
  <c r="CA931" i="33"/>
  <c r="BZ931" i="33"/>
  <c r="BY931" i="33"/>
  <c r="BX931" i="33"/>
  <c r="BU931" i="33"/>
  <c r="BT931" i="33"/>
  <c r="BS931" i="33"/>
  <c r="BR931" i="33"/>
  <c r="BQ931" i="33"/>
  <c r="BN931" i="33"/>
  <c r="BM931" i="33"/>
  <c r="BL931" i="33"/>
  <c r="BK931" i="33"/>
  <c r="BJ931" i="33"/>
  <c r="BH931" i="33"/>
  <c r="BG931" i="33"/>
  <c r="BF931" i="33"/>
  <c r="BE931" i="33"/>
  <c r="BD931" i="33"/>
  <c r="BC931" i="33"/>
  <c r="AZ931" i="33"/>
  <c r="AY931" i="33"/>
  <c r="AX931" i="33"/>
  <c r="AW931" i="33"/>
  <c r="AV931" i="33"/>
  <c r="AS931" i="33"/>
  <c r="AR931" i="33"/>
  <c r="AQ931" i="33"/>
  <c r="AP931" i="33"/>
  <c r="AO931" i="33"/>
  <c r="AL931" i="33"/>
  <c r="AK931" i="33"/>
  <c r="AJ931" i="33"/>
  <c r="AI931" i="33"/>
  <c r="AH931" i="33"/>
  <c r="AF931" i="33"/>
  <c r="AE931" i="33"/>
  <c r="AD931" i="33"/>
  <c r="AC931" i="33"/>
  <c r="AB931" i="33"/>
  <c r="AA931" i="33"/>
  <c r="X931" i="33"/>
  <c r="W931" i="33"/>
  <c r="V931" i="33"/>
  <c r="U931" i="33"/>
  <c r="T931" i="33"/>
  <c r="Q931" i="33"/>
  <c r="P931" i="33"/>
  <c r="O931" i="33"/>
  <c r="N931" i="33"/>
  <c r="M931" i="33"/>
  <c r="DE930" i="33"/>
  <c r="CX930" i="33"/>
  <c r="CC930" i="33"/>
  <c r="BV930" i="33"/>
  <c r="BO930" i="33"/>
  <c r="BH930" i="33"/>
  <c r="BA930" i="33"/>
  <c r="AT930" i="33"/>
  <c r="AM930" i="33"/>
  <c r="AF930" i="33"/>
  <c r="Y930" i="33"/>
  <c r="R930" i="33"/>
  <c r="DE929" i="33"/>
  <c r="CX929" i="33"/>
  <c r="CF929" i="33"/>
  <c r="CC929" i="33"/>
  <c r="BV929" i="33"/>
  <c r="BO929" i="33"/>
  <c r="BH929" i="33"/>
  <c r="BA929" i="33"/>
  <c r="AT929" i="33"/>
  <c r="AM929" i="33"/>
  <c r="AF929" i="33"/>
  <c r="Y929" i="33"/>
  <c r="R929" i="33"/>
  <c r="G929" i="33"/>
  <c r="DE928" i="33"/>
  <c r="CX928" i="33"/>
  <c r="CG928" i="33"/>
  <c r="CC928" i="33"/>
  <c r="BV928" i="33"/>
  <c r="BO928" i="33"/>
  <c r="BH928" i="33"/>
  <c r="BA928" i="33"/>
  <c r="AT928" i="33"/>
  <c r="AT931" i="33" s="1"/>
  <c r="AM928" i="33"/>
  <c r="AF928" i="33"/>
  <c r="Y928" i="33"/>
  <c r="R928" i="33"/>
  <c r="R931" i="33" s="1"/>
  <c r="H928" i="33"/>
  <c r="DE927" i="33"/>
  <c r="CX927" i="33"/>
  <c r="CX931" i="33" s="1"/>
  <c r="CC927" i="33"/>
  <c r="CC931" i="33" s="1"/>
  <c r="BV927" i="33"/>
  <c r="BV931" i="33" s="1"/>
  <c r="BO927" i="33"/>
  <c r="BO931" i="33" s="1"/>
  <c r="BH927" i="33"/>
  <c r="BA927" i="33"/>
  <c r="BA931" i="33" s="1"/>
  <c r="AT927" i="33"/>
  <c r="AM927" i="33"/>
  <c r="AF927" i="33"/>
  <c r="Y927" i="33"/>
  <c r="Y931" i="33" s="1"/>
  <c r="R927" i="33"/>
  <c r="DD925" i="33"/>
  <c r="DC925" i="33"/>
  <c r="DB925" i="33"/>
  <c r="DA925" i="33"/>
  <c r="CZ925" i="33"/>
  <c r="CW925" i="33"/>
  <c r="CV925" i="33"/>
  <c r="CU925" i="33"/>
  <c r="CT925" i="33"/>
  <c r="CS925" i="33"/>
  <c r="CP925" i="33"/>
  <c r="CO925" i="33"/>
  <c r="CN925" i="33"/>
  <c r="CM925" i="33"/>
  <c r="CL925" i="33"/>
  <c r="CB925" i="33"/>
  <c r="CA925" i="33"/>
  <c r="BZ925" i="33"/>
  <c r="BY925" i="33"/>
  <c r="BX925" i="33"/>
  <c r="BU925" i="33"/>
  <c r="BT925" i="33"/>
  <c r="BS925" i="33"/>
  <c r="BR925" i="33"/>
  <c r="BQ925" i="33"/>
  <c r="BN925" i="33"/>
  <c r="BM925" i="33"/>
  <c r="BL925" i="33"/>
  <c r="BK925" i="33"/>
  <c r="BJ925" i="33"/>
  <c r="BG925" i="33"/>
  <c r="BF925" i="33"/>
  <c r="BE925" i="33"/>
  <c r="BD925" i="33"/>
  <c r="BC925" i="33"/>
  <c r="AZ925" i="33"/>
  <c r="AY925" i="33"/>
  <c r="AX925" i="33"/>
  <c r="AW925" i="33"/>
  <c r="AV925" i="33"/>
  <c r="AS925" i="33"/>
  <c r="AR925" i="33"/>
  <c r="AQ925" i="33"/>
  <c r="AP925" i="33"/>
  <c r="AO925" i="33"/>
  <c r="AL925" i="33"/>
  <c r="AK925" i="33"/>
  <c r="AJ925" i="33"/>
  <c r="AI925" i="33"/>
  <c r="AH925" i="33"/>
  <c r="AE925" i="33"/>
  <c r="AD925" i="33"/>
  <c r="AC925" i="33"/>
  <c r="AB925" i="33"/>
  <c r="AA925" i="33"/>
  <c r="X925" i="33"/>
  <c r="W925" i="33"/>
  <c r="V925" i="33"/>
  <c r="U925" i="33"/>
  <c r="T925" i="33"/>
  <c r="Q925" i="33"/>
  <c r="P925" i="33"/>
  <c r="O925" i="33"/>
  <c r="N925" i="33"/>
  <c r="M925" i="33"/>
  <c r="DE924" i="33"/>
  <c r="CX924" i="33"/>
  <c r="CC924" i="33"/>
  <c r="BV924" i="33"/>
  <c r="BO924" i="33"/>
  <c r="BH924" i="33"/>
  <c r="BA924" i="33"/>
  <c r="AT924" i="33"/>
  <c r="AM924" i="33"/>
  <c r="AF924" i="33"/>
  <c r="Y924" i="33"/>
  <c r="R924" i="33"/>
  <c r="DE923" i="33"/>
  <c r="CX923" i="33"/>
  <c r="CC923" i="33"/>
  <c r="BV923" i="33"/>
  <c r="BO923" i="33"/>
  <c r="BH923" i="33"/>
  <c r="BA923" i="33"/>
  <c r="AT923" i="33"/>
  <c r="AM923" i="33"/>
  <c r="AF923" i="33"/>
  <c r="Y923" i="33"/>
  <c r="R923" i="33"/>
  <c r="DE922" i="33"/>
  <c r="CX922" i="33"/>
  <c r="CC922" i="33"/>
  <c r="BV922" i="33"/>
  <c r="BO922" i="33"/>
  <c r="BH922" i="33"/>
  <c r="BA922" i="33"/>
  <c r="AT922" i="33"/>
  <c r="AM922" i="33"/>
  <c r="AF922" i="33"/>
  <c r="Y922" i="33"/>
  <c r="R922" i="33"/>
  <c r="DE921" i="33"/>
  <c r="DE925" i="33" s="1"/>
  <c r="CX921" i="33"/>
  <c r="CX925" i="33" s="1"/>
  <c r="CC921" i="33"/>
  <c r="CC925" i="33" s="1"/>
  <c r="BV921" i="33"/>
  <c r="BO921" i="33"/>
  <c r="BH921" i="33"/>
  <c r="BH925" i="33" s="1"/>
  <c r="BA921" i="33"/>
  <c r="BA925" i="33" s="1"/>
  <c r="AT921" i="33"/>
  <c r="AT925" i="33" s="1"/>
  <c r="AM921" i="33"/>
  <c r="AM925" i="33" s="1"/>
  <c r="AF921" i="33"/>
  <c r="AF925" i="33" s="1"/>
  <c r="Y921" i="33"/>
  <c r="Y925" i="33" s="1"/>
  <c r="R921" i="33"/>
  <c r="DD919" i="33"/>
  <c r="DC919" i="33"/>
  <c r="DB919" i="33"/>
  <c r="DA919" i="33"/>
  <c r="CZ919" i="33"/>
  <c r="CW919" i="33"/>
  <c r="CV919" i="33"/>
  <c r="CU919" i="33"/>
  <c r="CT919" i="33"/>
  <c r="CS919" i="33"/>
  <c r="CP919" i="33"/>
  <c r="CO919" i="33"/>
  <c r="CN919" i="33"/>
  <c r="CM919" i="33"/>
  <c r="CL919" i="33"/>
  <c r="CC919" i="33"/>
  <c r="CB919" i="33"/>
  <c r="CA919" i="33"/>
  <c r="BZ919" i="33"/>
  <c r="BY919" i="33"/>
  <c r="BX919" i="33"/>
  <c r="BU919" i="33"/>
  <c r="BT919" i="33"/>
  <c r="BS919" i="33"/>
  <c r="BR919" i="33"/>
  <c r="BQ919" i="33"/>
  <c r="BN919" i="33"/>
  <c r="BM919" i="33"/>
  <c r="BL919" i="33"/>
  <c r="BK919" i="33"/>
  <c r="BJ919" i="33"/>
  <c r="BG919" i="33"/>
  <c r="BF919" i="33"/>
  <c r="BE919" i="33"/>
  <c r="BD919" i="33"/>
  <c r="BC919" i="33"/>
  <c r="AZ919" i="33"/>
  <c r="AY919" i="33"/>
  <c r="AX919" i="33"/>
  <c r="AW919" i="33"/>
  <c r="AV919" i="33"/>
  <c r="AS919" i="33"/>
  <c r="AR919" i="33"/>
  <c r="AQ919" i="33"/>
  <c r="AP919" i="33"/>
  <c r="AO919" i="33"/>
  <c r="AL919" i="33"/>
  <c r="AK919" i="33"/>
  <c r="AJ919" i="33"/>
  <c r="AI919" i="33"/>
  <c r="AH919" i="33"/>
  <c r="AE919" i="33"/>
  <c r="AD919" i="33"/>
  <c r="AC919" i="33"/>
  <c r="AB919" i="33"/>
  <c r="AA919" i="33"/>
  <c r="Y919" i="33"/>
  <c r="X919" i="33"/>
  <c r="W919" i="33"/>
  <c r="V919" i="33"/>
  <c r="U919" i="33"/>
  <c r="T919" i="33"/>
  <c r="Q919" i="33"/>
  <c r="P919" i="33"/>
  <c r="O919" i="33"/>
  <c r="N919" i="33"/>
  <c r="M919" i="33"/>
  <c r="DE918" i="33"/>
  <c r="CX918" i="33"/>
  <c r="CC918" i="33"/>
  <c r="BV918" i="33"/>
  <c r="BO918" i="33"/>
  <c r="BH918" i="33"/>
  <c r="BA918" i="33"/>
  <c r="AT918" i="33"/>
  <c r="AM918" i="33"/>
  <c r="AF918" i="33"/>
  <c r="Y918" i="33"/>
  <c r="R918" i="33"/>
  <c r="H918" i="33"/>
  <c r="CG918" i="33" s="1"/>
  <c r="H924" i="33" s="1"/>
  <c r="CG924" i="33" s="1"/>
  <c r="H930" i="33" s="1"/>
  <c r="CG930" i="33" s="1"/>
  <c r="DE917" i="33"/>
  <c r="CX917" i="33"/>
  <c r="CC917" i="33"/>
  <c r="BV917" i="33"/>
  <c r="BO917" i="33"/>
  <c r="BH917" i="33"/>
  <c r="BA917" i="33"/>
  <c r="BA919" i="33" s="1"/>
  <c r="AT917" i="33"/>
  <c r="AM917" i="33"/>
  <c r="AF917" i="33"/>
  <c r="Y917" i="33"/>
  <c r="R917" i="33"/>
  <c r="DE916" i="33"/>
  <c r="CX916" i="33"/>
  <c r="CC916" i="33"/>
  <c r="BV916" i="33"/>
  <c r="BV919" i="33" s="1"/>
  <c r="BO916" i="33"/>
  <c r="BH916" i="33"/>
  <c r="BA916" i="33"/>
  <c r="AT916" i="33"/>
  <c r="AM916" i="33"/>
  <c r="AF916" i="33"/>
  <c r="Y916" i="33"/>
  <c r="R916" i="33"/>
  <c r="R919" i="33" s="1"/>
  <c r="J916" i="33"/>
  <c r="CI916" i="33" s="1"/>
  <c r="J922" i="33" s="1"/>
  <c r="CI922" i="33" s="1"/>
  <c r="J928" i="33" s="1"/>
  <c r="CI928" i="33" s="1"/>
  <c r="DE915" i="33"/>
  <c r="DE919" i="33" s="1"/>
  <c r="CX915" i="33"/>
  <c r="CX919" i="33" s="1"/>
  <c r="CC915" i="33"/>
  <c r="BV915" i="33"/>
  <c r="BO915" i="33"/>
  <c r="BO919" i="33" s="1"/>
  <c r="BH915" i="33"/>
  <c r="BA915" i="33"/>
  <c r="AT915" i="33"/>
  <c r="AM915" i="33"/>
  <c r="AM919" i="33" s="1"/>
  <c r="AF915" i="33"/>
  <c r="AF919" i="33" s="1"/>
  <c r="Y915" i="33"/>
  <c r="R915" i="33"/>
  <c r="DD913" i="33"/>
  <c r="DC913" i="33"/>
  <c r="DB913" i="33"/>
  <c r="DA913" i="33"/>
  <c r="CZ913" i="33"/>
  <c r="CW913" i="33"/>
  <c r="CV913" i="33"/>
  <c r="CU913" i="33"/>
  <c r="CT913" i="33"/>
  <c r="CS913" i="33"/>
  <c r="CP913" i="33"/>
  <c r="CO913" i="33"/>
  <c r="CN913" i="33"/>
  <c r="CM913" i="33"/>
  <c r="CL913" i="33"/>
  <c r="CB913" i="33"/>
  <c r="CA913" i="33"/>
  <c r="BZ913" i="33"/>
  <c r="BY913" i="33"/>
  <c r="BX913" i="33"/>
  <c r="BU913" i="33"/>
  <c r="BT913" i="33"/>
  <c r="BS913" i="33"/>
  <c r="BR913" i="33"/>
  <c r="BQ913" i="33"/>
  <c r="BN913" i="33"/>
  <c r="BM913" i="33"/>
  <c r="BL913" i="33"/>
  <c r="BK913" i="33"/>
  <c r="BJ913" i="33"/>
  <c r="BG913" i="33"/>
  <c r="BF913" i="33"/>
  <c r="BE913" i="33"/>
  <c r="BD913" i="33"/>
  <c r="BC913" i="33"/>
  <c r="AZ913" i="33"/>
  <c r="AY913" i="33"/>
  <c r="AX913" i="33"/>
  <c r="AW913" i="33"/>
  <c r="AV913" i="33"/>
  <c r="AS913" i="33"/>
  <c r="AR913" i="33"/>
  <c r="AQ913" i="33"/>
  <c r="AP913" i="33"/>
  <c r="AO913" i="33"/>
  <c r="AL913" i="33"/>
  <c r="AK913" i="33"/>
  <c r="AJ913" i="33"/>
  <c r="AI913" i="33"/>
  <c r="AH913" i="33"/>
  <c r="AE913" i="33"/>
  <c r="AD913" i="33"/>
  <c r="AC913" i="33"/>
  <c r="AB913" i="33"/>
  <c r="AA913" i="33"/>
  <c r="X913" i="33"/>
  <c r="W913" i="33"/>
  <c r="V913" i="33"/>
  <c r="U913" i="33"/>
  <c r="T913" i="33"/>
  <c r="Q913" i="33"/>
  <c r="P913" i="33"/>
  <c r="O913" i="33"/>
  <c r="N913" i="33"/>
  <c r="M913" i="33"/>
  <c r="DE912" i="33"/>
  <c r="CX912" i="33"/>
  <c r="CC912" i="33"/>
  <c r="BV912" i="33"/>
  <c r="BO912" i="33"/>
  <c r="BH912" i="33"/>
  <c r="BA912" i="33"/>
  <c r="AT912" i="33"/>
  <c r="AM912" i="33"/>
  <c r="AF912" i="33"/>
  <c r="Y912" i="33"/>
  <c r="R912" i="33"/>
  <c r="G912" i="33"/>
  <c r="CF912" i="33" s="1"/>
  <c r="G918" i="33" s="1"/>
  <c r="CF918" i="33" s="1"/>
  <c r="G924" i="33" s="1"/>
  <c r="CF924" i="33" s="1"/>
  <c r="G930" i="33" s="1"/>
  <c r="CF930" i="33" s="1"/>
  <c r="DE911" i="33"/>
  <c r="CX911" i="33"/>
  <c r="CC911" i="33"/>
  <c r="BV911" i="33"/>
  <c r="BO911" i="33"/>
  <c r="BH911" i="33"/>
  <c r="BA911" i="33"/>
  <c r="AT911" i="33"/>
  <c r="AM911" i="33"/>
  <c r="AF911" i="33"/>
  <c r="Y911" i="33"/>
  <c r="R911" i="33"/>
  <c r="DE910" i="33"/>
  <c r="CX910" i="33"/>
  <c r="CX913" i="33" s="1"/>
  <c r="CF910" i="33"/>
  <c r="G916" i="33" s="1"/>
  <c r="CF916" i="33" s="1"/>
  <c r="G922" i="33" s="1"/>
  <c r="CF922" i="33" s="1"/>
  <c r="G928" i="33" s="1"/>
  <c r="CF928" i="33" s="1"/>
  <c r="CC910" i="33"/>
  <c r="BV910" i="33"/>
  <c r="BO910" i="33"/>
  <c r="BH910" i="33"/>
  <c r="BA910" i="33"/>
  <c r="BA913" i="33" s="1"/>
  <c r="AT910" i="33"/>
  <c r="AM910" i="33"/>
  <c r="AF910" i="33"/>
  <c r="Y910" i="33"/>
  <c r="R910" i="33"/>
  <c r="G910" i="33"/>
  <c r="DE909" i="33"/>
  <c r="CX909" i="33"/>
  <c r="CG909" i="33"/>
  <c r="CC909" i="33"/>
  <c r="BV909" i="33"/>
  <c r="BV913" i="33" s="1"/>
  <c r="BO909" i="33"/>
  <c r="BO913" i="33" s="1"/>
  <c r="BH909" i="33"/>
  <c r="BH913" i="33" s="1"/>
  <c r="BA909" i="33"/>
  <c r="AT909" i="33"/>
  <c r="AT913" i="33" s="1"/>
  <c r="AM909" i="33"/>
  <c r="AF909" i="33"/>
  <c r="AF913" i="33" s="1"/>
  <c r="Y909" i="33"/>
  <c r="R909" i="33"/>
  <c r="R913" i="33" s="1"/>
  <c r="H909" i="33"/>
  <c r="DD907" i="33"/>
  <c r="DC907" i="33"/>
  <c r="DB907" i="33"/>
  <c r="DA907" i="33"/>
  <c r="CZ907" i="33"/>
  <c r="CW907" i="33"/>
  <c r="CV907" i="33"/>
  <c r="CU907" i="33"/>
  <c r="CT907" i="33"/>
  <c r="CS907" i="33"/>
  <c r="CP907" i="33"/>
  <c r="CO907" i="33"/>
  <c r="CN907" i="33"/>
  <c r="CM907" i="33"/>
  <c r="CL907" i="33"/>
  <c r="CF907" i="33"/>
  <c r="CB907" i="33"/>
  <c r="CA907" i="33"/>
  <c r="BZ907" i="33"/>
  <c r="BY907" i="33"/>
  <c r="BX907" i="33"/>
  <c r="BV907" i="33"/>
  <c r="BU907" i="33"/>
  <c r="BT907" i="33"/>
  <c r="BS907" i="33"/>
  <c r="BR907" i="33"/>
  <c r="BQ907" i="33"/>
  <c r="BO907" i="33"/>
  <c r="BN907" i="33"/>
  <c r="BM907" i="33"/>
  <c r="BL907" i="33"/>
  <c r="BK907" i="33"/>
  <c r="BJ907" i="33"/>
  <c r="BG907" i="33"/>
  <c r="BF907" i="33"/>
  <c r="BE907" i="33"/>
  <c r="BD907" i="33"/>
  <c r="BC907" i="33"/>
  <c r="AZ907" i="33"/>
  <c r="AY907" i="33"/>
  <c r="AX907" i="33"/>
  <c r="AW907" i="33"/>
  <c r="AV907" i="33"/>
  <c r="AT907" i="33"/>
  <c r="AS907" i="33"/>
  <c r="AR907" i="33"/>
  <c r="AQ907" i="33"/>
  <c r="AP907" i="33"/>
  <c r="AO907" i="33"/>
  <c r="AM907" i="33"/>
  <c r="AL907" i="33"/>
  <c r="AK907" i="33"/>
  <c r="AJ907" i="33"/>
  <c r="AI907" i="33"/>
  <c r="AH907" i="33"/>
  <c r="AE907" i="33"/>
  <c r="AD907" i="33"/>
  <c r="AC907" i="33"/>
  <c r="AB907" i="33"/>
  <c r="AA907" i="33"/>
  <c r="X907" i="33"/>
  <c r="W907" i="33"/>
  <c r="V907" i="33"/>
  <c r="U907" i="33"/>
  <c r="T907" i="33"/>
  <c r="R907" i="33"/>
  <c r="Q907" i="33"/>
  <c r="P907" i="33"/>
  <c r="O907" i="33"/>
  <c r="N907" i="33"/>
  <c r="M907" i="33"/>
  <c r="K907" i="33"/>
  <c r="J907" i="33"/>
  <c r="I907" i="33"/>
  <c r="H907" i="33"/>
  <c r="G907" i="33"/>
  <c r="F907" i="33"/>
  <c r="DE906" i="33"/>
  <c r="CX906" i="33"/>
  <c r="CI906" i="33"/>
  <c r="J912" i="33" s="1"/>
  <c r="CI912" i="33" s="1"/>
  <c r="J918" i="33" s="1"/>
  <c r="CI918" i="33" s="1"/>
  <c r="J924" i="33" s="1"/>
  <c r="CI924" i="33" s="1"/>
  <c r="J930" i="33" s="1"/>
  <c r="CI930" i="33" s="1"/>
  <c r="CH906" i="33"/>
  <c r="I912" i="33" s="1"/>
  <c r="CH912" i="33" s="1"/>
  <c r="I918" i="33" s="1"/>
  <c r="CH918" i="33" s="1"/>
  <c r="I924" i="33" s="1"/>
  <c r="CH924" i="33" s="1"/>
  <c r="I930" i="33" s="1"/>
  <c r="CH930" i="33" s="1"/>
  <c r="CG906" i="33"/>
  <c r="H912" i="33" s="1"/>
  <c r="CG912" i="33" s="1"/>
  <c r="CF906" i="33"/>
  <c r="CE906" i="33"/>
  <c r="F912" i="33" s="1"/>
  <c r="CC906" i="33"/>
  <c r="BV906" i="33"/>
  <c r="BO906" i="33"/>
  <c r="BH906" i="33"/>
  <c r="BA906" i="33"/>
  <c r="AT906" i="33"/>
  <c r="AM906" i="33"/>
  <c r="AF906" i="33"/>
  <c r="Y906" i="33"/>
  <c r="R906" i="33"/>
  <c r="K906" i="33"/>
  <c r="DE905" i="33"/>
  <c r="CX905" i="33"/>
  <c r="CI905" i="33"/>
  <c r="J911" i="33" s="1"/>
  <c r="CI911" i="33" s="1"/>
  <c r="J917" i="33" s="1"/>
  <c r="CI917" i="33" s="1"/>
  <c r="J923" i="33" s="1"/>
  <c r="CI923" i="33" s="1"/>
  <c r="J929" i="33" s="1"/>
  <c r="CI929" i="33" s="1"/>
  <c r="CH905" i="33"/>
  <c r="I911" i="33" s="1"/>
  <c r="CH911" i="33" s="1"/>
  <c r="I917" i="33" s="1"/>
  <c r="CH917" i="33" s="1"/>
  <c r="I923" i="33" s="1"/>
  <c r="CH923" i="33" s="1"/>
  <c r="I929" i="33" s="1"/>
  <c r="CH929" i="33" s="1"/>
  <c r="CG905" i="33"/>
  <c r="H911" i="33" s="1"/>
  <c r="CG911" i="33" s="1"/>
  <c r="H917" i="33" s="1"/>
  <c r="CG917" i="33" s="1"/>
  <c r="H923" i="33" s="1"/>
  <c r="CG923" i="33" s="1"/>
  <c r="H929" i="33" s="1"/>
  <c r="CG929" i="33" s="1"/>
  <c r="CF905" i="33"/>
  <c r="G911" i="33" s="1"/>
  <c r="CF911" i="33" s="1"/>
  <c r="G917" i="33" s="1"/>
  <c r="CF917" i="33" s="1"/>
  <c r="G923" i="33" s="1"/>
  <c r="CF923" i="33" s="1"/>
  <c r="CE905" i="33"/>
  <c r="CJ905" i="33" s="1"/>
  <c r="CC905" i="33"/>
  <c r="BV905" i="33"/>
  <c r="BO905" i="33"/>
  <c r="BH905" i="33"/>
  <c r="BA905" i="33"/>
  <c r="AT905" i="33"/>
  <c r="AM905" i="33"/>
  <c r="AF905" i="33"/>
  <c r="Y905" i="33"/>
  <c r="R905" i="33"/>
  <c r="K905" i="33"/>
  <c r="DE904" i="33"/>
  <c r="CX904" i="33"/>
  <c r="CI904" i="33"/>
  <c r="J910" i="33" s="1"/>
  <c r="CI910" i="33" s="1"/>
  <c r="CH904" i="33"/>
  <c r="I910" i="33" s="1"/>
  <c r="CH910" i="33" s="1"/>
  <c r="I916" i="33" s="1"/>
  <c r="CH916" i="33" s="1"/>
  <c r="I922" i="33" s="1"/>
  <c r="CH922" i="33" s="1"/>
  <c r="I928" i="33" s="1"/>
  <c r="CH928" i="33" s="1"/>
  <c r="CG904" i="33"/>
  <c r="H910" i="33" s="1"/>
  <c r="CG910" i="33" s="1"/>
  <c r="H916" i="33" s="1"/>
  <c r="CG916" i="33" s="1"/>
  <c r="H922" i="33" s="1"/>
  <c r="CG922" i="33" s="1"/>
  <c r="CF904" i="33"/>
  <c r="CE904" i="33"/>
  <c r="F910" i="33" s="1"/>
  <c r="CC904" i="33"/>
  <c r="BV904" i="33"/>
  <c r="BO904" i="33"/>
  <c r="BH904" i="33"/>
  <c r="BA904" i="33"/>
  <c r="AT904" i="33"/>
  <c r="AM904" i="33"/>
  <c r="AF904" i="33"/>
  <c r="Y904" i="33"/>
  <c r="R904" i="33"/>
  <c r="K904" i="33"/>
  <c r="DE903" i="33"/>
  <c r="CX903" i="33"/>
  <c r="CX907" i="33" s="1"/>
  <c r="CI903" i="33"/>
  <c r="CH903" i="33"/>
  <c r="CH907" i="33" s="1"/>
  <c r="CG903" i="33"/>
  <c r="CG907" i="33" s="1"/>
  <c r="CF903" i="33"/>
  <c r="G909" i="33" s="1"/>
  <c r="CE903" i="33"/>
  <c r="CC903" i="33"/>
  <c r="CC907" i="33" s="1"/>
  <c r="BV903" i="33"/>
  <c r="BO903" i="33"/>
  <c r="BH903" i="33"/>
  <c r="BA903" i="33"/>
  <c r="BA907" i="33" s="1"/>
  <c r="AT903" i="33"/>
  <c r="AM903" i="33"/>
  <c r="AF903" i="33"/>
  <c r="AF907" i="33" s="1"/>
  <c r="Y903" i="33"/>
  <c r="Y907" i="33" s="1"/>
  <c r="R903" i="33"/>
  <c r="K903" i="33"/>
  <c r="DD899" i="33"/>
  <c r="DC899" i="33"/>
  <c r="DB899" i="33"/>
  <c r="DA899" i="33"/>
  <c r="CZ899" i="33"/>
  <c r="CW899" i="33"/>
  <c r="CV899" i="33"/>
  <c r="CU899" i="33"/>
  <c r="CT899" i="33"/>
  <c r="CS899" i="33"/>
  <c r="CP899" i="33"/>
  <c r="CO899" i="33"/>
  <c r="CN899" i="33"/>
  <c r="CM899" i="33"/>
  <c r="CL899" i="33"/>
  <c r="CB899" i="33"/>
  <c r="CA899" i="33"/>
  <c r="BZ899" i="33"/>
  <c r="BY899" i="33"/>
  <c r="BX899" i="33"/>
  <c r="BU899" i="33"/>
  <c r="BT899" i="33"/>
  <c r="BS899" i="33"/>
  <c r="BR899" i="33"/>
  <c r="BQ899" i="33"/>
  <c r="BN899" i="33"/>
  <c r="BM899" i="33"/>
  <c r="BL899" i="33"/>
  <c r="BK899" i="33"/>
  <c r="BJ899" i="33"/>
  <c r="BG899" i="33"/>
  <c r="BF899" i="33"/>
  <c r="BE899" i="33"/>
  <c r="BD899" i="33"/>
  <c r="BC899" i="33"/>
  <c r="AZ899" i="33"/>
  <c r="AY899" i="33"/>
  <c r="AX899" i="33"/>
  <c r="AW899" i="33"/>
  <c r="AV899" i="33"/>
  <c r="AS899" i="33"/>
  <c r="AR899" i="33"/>
  <c r="AQ899" i="33"/>
  <c r="AP899" i="33"/>
  <c r="AO899" i="33"/>
  <c r="AL899" i="33"/>
  <c r="AK899" i="33"/>
  <c r="AJ899" i="33"/>
  <c r="AI899" i="33"/>
  <c r="AH899" i="33"/>
  <c r="AE899" i="33"/>
  <c r="AD899" i="33"/>
  <c r="AC899" i="33"/>
  <c r="AB899" i="33"/>
  <c r="AA899" i="33"/>
  <c r="X899" i="33"/>
  <c r="W899" i="33"/>
  <c r="V899" i="33"/>
  <c r="U899" i="33"/>
  <c r="T899" i="33"/>
  <c r="Q899" i="33"/>
  <c r="P899" i="33"/>
  <c r="O899" i="33"/>
  <c r="N899" i="33"/>
  <c r="M899" i="33"/>
  <c r="DE898" i="33"/>
  <c r="CX898" i="33"/>
  <c r="CC898" i="33"/>
  <c r="BV898" i="33"/>
  <c r="BO898" i="33"/>
  <c r="BH898" i="33"/>
  <c r="BA898" i="33"/>
  <c r="AT898" i="33"/>
  <c r="AM898" i="33"/>
  <c r="AF898" i="33"/>
  <c r="Y898" i="33"/>
  <c r="R898" i="33"/>
  <c r="DE897" i="33"/>
  <c r="CX897" i="33"/>
  <c r="CC897" i="33"/>
  <c r="BV897" i="33"/>
  <c r="BO897" i="33"/>
  <c r="BH897" i="33"/>
  <c r="BA897" i="33"/>
  <c r="AT897" i="33"/>
  <c r="AM897" i="33"/>
  <c r="AF897" i="33"/>
  <c r="Y897" i="33"/>
  <c r="R897" i="33"/>
  <c r="DE896" i="33"/>
  <c r="CX896" i="33"/>
  <c r="CC896" i="33"/>
  <c r="BV896" i="33"/>
  <c r="BO896" i="33"/>
  <c r="BH896" i="33"/>
  <c r="BA896" i="33"/>
  <c r="AT896" i="33"/>
  <c r="AM896" i="33"/>
  <c r="AF896" i="33"/>
  <c r="Y896" i="33"/>
  <c r="R896" i="33"/>
  <c r="DE895" i="33"/>
  <c r="DE899" i="33" s="1"/>
  <c r="CX895" i="33"/>
  <c r="CC895" i="33"/>
  <c r="BV895" i="33"/>
  <c r="BO895" i="33"/>
  <c r="BO899" i="33" s="1"/>
  <c r="BH895" i="33"/>
  <c r="BH899" i="33" s="1"/>
  <c r="BA895" i="33"/>
  <c r="BA899" i="33" s="1"/>
  <c r="AT895" i="33"/>
  <c r="AT899" i="33" s="1"/>
  <c r="AM895" i="33"/>
  <c r="AM899" i="33" s="1"/>
  <c r="AF895" i="33"/>
  <c r="AF899" i="33" s="1"/>
  <c r="Y895" i="33"/>
  <c r="R895" i="33"/>
  <c r="DD893" i="33"/>
  <c r="DC893" i="33"/>
  <c r="DB893" i="33"/>
  <c r="DA893" i="33"/>
  <c r="CZ893" i="33"/>
  <c r="CW893" i="33"/>
  <c r="CV893" i="33"/>
  <c r="CU893" i="33"/>
  <c r="CT893" i="33"/>
  <c r="CS893" i="33"/>
  <c r="CP893" i="33"/>
  <c r="CO893" i="33"/>
  <c r="CN893" i="33"/>
  <c r="CM893" i="33"/>
  <c r="CL893" i="33"/>
  <c r="CC893" i="33"/>
  <c r="CB893" i="33"/>
  <c r="CA893" i="33"/>
  <c r="BZ893" i="33"/>
  <c r="BY893" i="33"/>
  <c r="BX893" i="33"/>
  <c r="BU893" i="33"/>
  <c r="BT893" i="33"/>
  <c r="BS893" i="33"/>
  <c r="BR893" i="33"/>
  <c r="BQ893" i="33"/>
  <c r="BN893" i="33"/>
  <c r="BM893" i="33"/>
  <c r="BL893" i="33"/>
  <c r="BK893" i="33"/>
  <c r="BJ893" i="33"/>
  <c r="BG893" i="33"/>
  <c r="BF893" i="33"/>
  <c r="BE893" i="33"/>
  <c r="BD893" i="33"/>
  <c r="BC893" i="33"/>
  <c r="AZ893" i="33"/>
  <c r="AY893" i="33"/>
  <c r="AX893" i="33"/>
  <c r="AW893" i="33"/>
  <c r="AV893" i="33"/>
  <c r="AS893" i="33"/>
  <c r="AR893" i="33"/>
  <c r="AQ893" i="33"/>
  <c r="AP893" i="33"/>
  <c r="AO893" i="33"/>
  <c r="AL893" i="33"/>
  <c r="AK893" i="33"/>
  <c r="AJ893" i="33"/>
  <c r="AI893" i="33"/>
  <c r="AH893" i="33"/>
  <c r="AE893" i="33"/>
  <c r="AD893" i="33"/>
  <c r="AC893" i="33"/>
  <c r="AB893" i="33"/>
  <c r="AA893" i="33"/>
  <c r="Y893" i="33"/>
  <c r="X893" i="33"/>
  <c r="W893" i="33"/>
  <c r="V893" i="33"/>
  <c r="U893" i="33"/>
  <c r="T893" i="33"/>
  <c r="Q893" i="33"/>
  <c r="P893" i="33"/>
  <c r="O893" i="33"/>
  <c r="N893" i="33"/>
  <c r="M893" i="33"/>
  <c r="DE892" i="33"/>
  <c r="CX892" i="33"/>
  <c r="CC892" i="33"/>
  <c r="BV892" i="33"/>
  <c r="BO892" i="33"/>
  <c r="BH892" i="33"/>
  <c r="BA892" i="33"/>
  <c r="AT892" i="33"/>
  <c r="AT893" i="33" s="1"/>
  <c r="AM892" i="33"/>
  <c r="AF892" i="33"/>
  <c r="Y892" i="33"/>
  <c r="R892" i="33"/>
  <c r="DE891" i="33"/>
  <c r="CX891" i="33"/>
  <c r="CC891" i="33"/>
  <c r="BV891" i="33"/>
  <c r="BO891" i="33"/>
  <c r="BH891" i="33"/>
  <c r="BA891" i="33"/>
  <c r="BA893" i="33" s="1"/>
  <c r="AT891" i="33"/>
  <c r="AM891" i="33"/>
  <c r="AF891" i="33"/>
  <c r="Y891" i="33"/>
  <c r="R891" i="33"/>
  <c r="DE890" i="33"/>
  <c r="CX890" i="33"/>
  <c r="CC890" i="33"/>
  <c r="BV890" i="33"/>
  <c r="BV893" i="33" s="1"/>
  <c r="BO890" i="33"/>
  <c r="BH890" i="33"/>
  <c r="BA890" i="33"/>
  <c r="AT890" i="33"/>
  <c r="AM890" i="33"/>
  <c r="AF890" i="33"/>
  <c r="Y890" i="33"/>
  <c r="R890" i="33"/>
  <c r="R893" i="33" s="1"/>
  <c r="J890" i="33"/>
  <c r="CI890" i="33" s="1"/>
  <c r="J896" i="33" s="1"/>
  <c r="CI896" i="33" s="1"/>
  <c r="DE889" i="33"/>
  <c r="DE893" i="33" s="1"/>
  <c r="CX889" i="33"/>
  <c r="CX893" i="33" s="1"/>
  <c r="CC889" i="33"/>
  <c r="BV889" i="33"/>
  <c r="BO889" i="33"/>
  <c r="BO893" i="33" s="1"/>
  <c r="BH889" i="33"/>
  <c r="BH893" i="33" s="1"/>
  <c r="BA889" i="33"/>
  <c r="AT889" i="33"/>
  <c r="AM889" i="33"/>
  <c r="AM893" i="33" s="1"/>
  <c r="AF889" i="33"/>
  <c r="AF893" i="33" s="1"/>
  <c r="Y889" i="33"/>
  <c r="R889" i="33"/>
  <c r="DD887" i="33"/>
  <c r="DC887" i="33"/>
  <c r="DB887" i="33"/>
  <c r="DA887" i="33"/>
  <c r="CZ887" i="33"/>
  <c r="CW887" i="33"/>
  <c r="CV887" i="33"/>
  <c r="CU887" i="33"/>
  <c r="CT887" i="33"/>
  <c r="CS887" i="33"/>
  <c r="CP887" i="33"/>
  <c r="CO887" i="33"/>
  <c r="CN887" i="33"/>
  <c r="CM887" i="33"/>
  <c r="CL887" i="33"/>
  <c r="CB887" i="33"/>
  <c r="CA887" i="33"/>
  <c r="BZ887" i="33"/>
  <c r="BY887" i="33"/>
  <c r="BX887" i="33"/>
  <c r="BU887" i="33"/>
  <c r="BT887" i="33"/>
  <c r="BS887" i="33"/>
  <c r="BR887" i="33"/>
  <c r="BQ887" i="33"/>
  <c r="BN887" i="33"/>
  <c r="BM887" i="33"/>
  <c r="BL887" i="33"/>
  <c r="BK887" i="33"/>
  <c r="BJ887" i="33"/>
  <c r="BG887" i="33"/>
  <c r="BF887" i="33"/>
  <c r="BE887" i="33"/>
  <c r="BD887" i="33"/>
  <c r="BC887" i="33"/>
  <c r="AZ887" i="33"/>
  <c r="AY887" i="33"/>
  <c r="AX887" i="33"/>
  <c r="AW887" i="33"/>
  <c r="AV887" i="33"/>
  <c r="AS887" i="33"/>
  <c r="AR887" i="33"/>
  <c r="AQ887" i="33"/>
  <c r="AP887" i="33"/>
  <c r="AO887" i="33"/>
  <c r="AL887" i="33"/>
  <c r="AK887" i="33"/>
  <c r="AJ887" i="33"/>
  <c r="AI887" i="33"/>
  <c r="AH887" i="33"/>
  <c r="AE887" i="33"/>
  <c r="AD887" i="33"/>
  <c r="AC887" i="33"/>
  <c r="AB887" i="33"/>
  <c r="AA887" i="33"/>
  <c r="X887" i="33"/>
  <c r="W887" i="33"/>
  <c r="V887" i="33"/>
  <c r="U887" i="33"/>
  <c r="T887" i="33"/>
  <c r="Q887" i="33"/>
  <c r="P887" i="33"/>
  <c r="O887" i="33"/>
  <c r="N887" i="33"/>
  <c r="M887" i="33"/>
  <c r="DE886" i="33"/>
  <c r="CX886" i="33"/>
  <c r="CC886" i="33"/>
  <c r="BV886" i="33"/>
  <c r="BO886" i="33"/>
  <c r="BH886" i="33"/>
  <c r="BA886" i="33"/>
  <c r="AT886" i="33"/>
  <c r="AM886" i="33"/>
  <c r="AF886" i="33"/>
  <c r="Y886" i="33"/>
  <c r="R886" i="33"/>
  <c r="DE885" i="33"/>
  <c r="CX885" i="33"/>
  <c r="CC885" i="33"/>
  <c r="BV885" i="33"/>
  <c r="BO885" i="33"/>
  <c r="BH885" i="33"/>
  <c r="BA885" i="33"/>
  <c r="AT885" i="33"/>
  <c r="AM885" i="33"/>
  <c r="AF885" i="33"/>
  <c r="Y885" i="33"/>
  <c r="R885" i="33"/>
  <c r="DE884" i="33"/>
  <c r="CX884" i="33"/>
  <c r="CC884" i="33"/>
  <c r="BV884" i="33"/>
  <c r="BO884" i="33"/>
  <c r="BH884" i="33"/>
  <c r="BA884" i="33"/>
  <c r="AT884" i="33"/>
  <c r="AM884" i="33"/>
  <c r="AF884" i="33"/>
  <c r="Y884" i="33"/>
  <c r="R884" i="33"/>
  <c r="DE883" i="33"/>
  <c r="CX883" i="33"/>
  <c r="CX887" i="33" s="1"/>
  <c r="CC883" i="33"/>
  <c r="BV883" i="33"/>
  <c r="BV887" i="33" s="1"/>
  <c r="BO883" i="33"/>
  <c r="BO887" i="33" s="1"/>
  <c r="BH883" i="33"/>
  <c r="BH887" i="33" s="1"/>
  <c r="BA883" i="33"/>
  <c r="BA887" i="33" s="1"/>
  <c r="AT883" i="33"/>
  <c r="AT887" i="33" s="1"/>
  <c r="AM883" i="33"/>
  <c r="AF883" i="33"/>
  <c r="AF887" i="33" s="1"/>
  <c r="Y883" i="33"/>
  <c r="R883" i="33"/>
  <c r="R887" i="33" s="1"/>
  <c r="DD881" i="33"/>
  <c r="DC881" i="33"/>
  <c r="DB881" i="33"/>
  <c r="DA881" i="33"/>
  <c r="CZ881" i="33"/>
  <c r="CW881" i="33"/>
  <c r="CV881" i="33"/>
  <c r="CU881" i="33"/>
  <c r="CT881" i="33"/>
  <c r="CS881" i="33"/>
  <c r="CP881" i="33"/>
  <c r="CO881" i="33"/>
  <c r="CN881" i="33"/>
  <c r="CM881" i="33"/>
  <c r="CL881" i="33"/>
  <c r="CB881" i="33"/>
  <c r="CA881" i="33"/>
  <c r="BZ881" i="33"/>
  <c r="BY881" i="33"/>
  <c r="BX881" i="33"/>
  <c r="BU881" i="33"/>
  <c r="BT881" i="33"/>
  <c r="BS881" i="33"/>
  <c r="BR881" i="33"/>
  <c r="BQ881" i="33"/>
  <c r="BN881" i="33"/>
  <c r="BM881" i="33"/>
  <c r="BL881" i="33"/>
  <c r="BK881" i="33"/>
  <c r="BJ881" i="33"/>
  <c r="BG881" i="33"/>
  <c r="BF881" i="33"/>
  <c r="BE881" i="33"/>
  <c r="BD881" i="33"/>
  <c r="BC881" i="33"/>
  <c r="AZ881" i="33"/>
  <c r="AY881" i="33"/>
  <c r="AX881" i="33"/>
  <c r="AW881" i="33"/>
  <c r="AV881" i="33"/>
  <c r="AT881" i="33"/>
  <c r="AS881" i="33"/>
  <c r="AR881" i="33"/>
  <c r="AQ881" i="33"/>
  <c r="AP881" i="33"/>
  <c r="AO881" i="33"/>
  <c r="AL881" i="33"/>
  <c r="AK881" i="33"/>
  <c r="AJ881" i="33"/>
  <c r="AI881" i="33"/>
  <c r="AH881" i="33"/>
  <c r="AE881" i="33"/>
  <c r="AD881" i="33"/>
  <c r="AC881" i="33"/>
  <c r="AB881" i="33"/>
  <c r="AA881" i="33"/>
  <c r="X881" i="33"/>
  <c r="W881" i="33"/>
  <c r="V881" i="33"/>
  <c r="U881" i="33"/>
  <c r="T881" i="33"/>
  <c r="R881" i="33"/>
  <c r="Q881" i="33"/>
  <c r="P881" i="33"/>
  <c r="O881" i="33"/>
  <c r="N881" i="33"/>
  <c r="M881" i="33"/>
  <c r="DE880" i="33"/>
  <c r="CX880" i="33"/>
  <c r="CC880" i="33"/>
  <c r="BV880" i="33"/>
  <c r="BO880" i="33"/>
  <c r="BH880" i="33"/>
  <c r="BA880" i="33"/>
  <c r="AT880" i="33"/>
  <c r="AM880" i="33"/>
  <c r="AF880" i="33"/>
  <c r="Y880" i="33"/>
  <c r="R880" i="33"/>
  <c r="J880" i="33"/>
  <c r="CI880" i="33" s="1"/>
  <c r="J886" i="33" s="1"/>
  <c r="CI886" i="33" s="1"/>
  <c r="J892" i="33" s="1"/>
  <c r="CI892" i="33" s="1"/>
  <c r="J898" i="33" s="1"/>
  <c r="CI898" i="33" s="1"/>
  <c r="DE879" i="33"/>
  <c r="CX879" i="33"/>
  <c r="CC879" i="33"/>
  <c r="BV879" i="33"/>
  <c r="BO879" i="33"/>
  <c r="BO881" i="33" s="1"/>
  <c r="BH879" i="33"/>
  <c r="BA879" i="33"/>
  <c r="AT879" i="33"/>
  <c r="AM879" i="33"/>
  <c r="AF879" i="33"/>
  <c r="Y879" i="33"/>
  <c r="R879" i="33"/>
  <c r="DE878" i="33"/>
  <c r="CX878" i="33"/>
  <c r="CC878" i="33"/>
  <c r="BV878" i="33"/>
  <c r="BV881" i="33" s="1"/>
  <c r="BO878" i="33"/>
  <c r="BH878" i="33"/>
  <c r="BA878" i="33"/>
  <c r="AT878" i="33"/>
  <c r="AM878" i="33"/>
  <c r="AF878" i="33"/>
  <c r="Y878" i="33"/>
  <c r="R878" i="33"/>
  <c r="DE877" i="33"/>
  <c r="DE881" i="33" s="1"/>
  <c r="CX877" i="33"/>
  <c r="CX881" i="33" s="1"/>
  <c r="CC877" i="33"/>
  <c r="CC881" i="33" s="1"/>
  <c r="BV877" i="33"/>
  <c r="BO877" i="33"/>
  <c r="BH877" i="33"/>
  <c r="BH881" i="33" s="1"/>
  <c r="BA877" i="33"/>
  <c r="BA881" i="33" s="1"/>
  <c r="AT877" i="33"/>
  <c r="AM877" i="33"/>
  <c r="AM881" i="33" s="1"/>
  <c r="AF877" i="33"/>
  <c r="AF881" i="33" s="1"/>
  <c r="Y877" i="33"/>
  <c r="Y881" i="33" s="1"/>
  <c r="R877" i="33"/>
  <c r="G877" i="33"/>
  <c r="DE875" i="33"/>
  <c r="DD875" i="33"/>
  <c r="DC875" i="33"/>
  <c r="DB875" i="33"/>
  <c r="DA875" i="33"/>
  <c r="CZ875" i="33"/>
  <c r="CW875" i="33"/>
  <c r="CV875" i="33"/>
  <c r="CU875" i="33"/>
  <c r="CT875" i="33"/>
  <c r="CS875" i="33"/>
  <c r="CP875" i="33"/>
  <c r="CO875" i="33"/>
  <c r="CN875" i="33"/>
  <c r="CM875" i="33"/>
  <c r="CL875" i="33"/>
  <c r="CB875" i="33"/>
  <c r="CA875" i="33"/>
  <c r="BZ875" i="33"/>
  <c r="BY875" i="33"/>
  <c r="BX875" i="33"/>
  <c r="BU875" i="33"/>
  <c r="BT875" i="33"/>
  <c r="BS875" i="33"/>
  <c r="BR875" i="33"/>
  <c r="BQ875" i="33"/>
  <c r="BN875" i="33"/>
  <c r="BM875" i="33"/>
  <c r="BL875" i="33"/>
  <c r="BK875" i="33"/>
  <c r="BJ875" i="33"/>
  <c r="BG875" i="33"/>
  <c r="BF875" i="33"/>
  <c r="BE875" i="33"/>
  <c r="BD875" i="33"/>
  <c r="BC875" i="33"/>
  <c r="AZ875" i="33"/>
  <c r="AY875" i="33"/>
  <c r="AX875" i="33"/>
  <c r="AW875" i="33"/>
  <c r="AV875" i="33"/>
  <c r="AS875" i="33"/>
  <c r="AR875" i="33"/>
  <c r="AQ875" i="33"/>
  <c r="AP875" i="33"/>
  <c r="AO875" i="33"/>
  <c r="AL875" i="33"/>
  <c r="AK875" i="33"/>
  <c r="AJ875" i="33"/>
  <c r="AI875" i="33"/>
  <c r="AH875" i="33"/>
  <c r="AE875" i="33"/>
  <c r="AD875" i="33"/>
  <c r="AC875" i="33"/>
  <c r="AB875" i="33"/>
  <c r="AA875" i="33"/>
  <c r="X875" i="33"/>
  <c r="W875" i="33"/>
  <c r="V875" i="33"/>
  <c r="U875" i="33"/>
  <c r="T875" i="33"/>
  <c r="Q875" i="33"/>
  <c r="P875" i="33"/>
  <c r="O875" i="33"/>
  <c r="N875" i="33"/>
  <c r="M875" i="33"/>
  <c r="J875" i="33"/>
  <c r="I875" i="33"/>
  <c r="H875" i="33"/>
  <c r="G875" i="33"/>
  <c r="F875" i="33"/>
  <c r="DE874" i="33"/>
  <c r="CX874" i="33"/>
  <c r="CI874" i="33"/>
  <c r="CH874" i="33"/>
  <c r="I880" i="33" s="1"/>
  <c r="CH880" i="33" s="1"/>
  <c r="I886" i="33" s="1"/>
  <c r="CH886" i="33" s="1"/>
  <c r="I892" i="33" s="1"/>
  <c r="CH892" i="33" s="1"/>
  <c r="I898" i="33" s="1"/>
  <c r="CH898" i="33" s="1"/>
  <c r="CG874" i="33"/>
  <c r="H880" i="33" s="1"/>
  <c r="CG880" i="33" s="1"/>
  <c r="H886" i="33" s="1"/>
  <c r="CG886" i="33" s="1"/>
  <c r="H892" i="33" s="1"/>
  <c r="CG892" i="33" s="1"/>
  <c r="H898" i="33" s="1"/>
  <c r="CG898" i="33" s="1"/>
  <c r="CF874" i="33"/>
  <c r="G880" i="33" s="1"/>
  <c r="CF880" i="33" s="1"/>
  <c r="G886" i="33" s="1"/>
  <c r="CF886" i="33" s="1"/>
  <c r="G892" i="33" s="1"/>
  <c r="CF892" i="33" s="1"/>
  <c r="G898" i="33" s="1"/>
  <c r="CF898" i="33" s="1"/>
  <c r="CE874" i="33"/>
  <c r="F880" i="33" s="1"/>
  <c r="CC874" i="33"/>
  <c r="BV874" i="33"/>
  <c r="BO874" i="33"/>
  <c r="BH874" i="33"/>
  <c r="BA874" i="33"/>
  <c r="AT874" i="33"/>
  <c r="AM874" i="33"/>
  <c r="AF874" i="33"/>
  <c r="Y874" i="33"/>
  <c r="R874" i="33"/>
  <c r="K874" i="33"/>
  <c r="DE873" i="33"/>
  <c r="CX873" i="33"/>
  <c r="CJ873" i="33"/>
  <c r="CI873" i="33"/>
  <c r="J879" i="33" s="1"/>
  <c r="CI879" i="33" s="1"/>
  <c r="J885" i="33" s="1"/>
  <c r="CI885" i="33" s="1"/>
  <c r="J891" i="33" s="1"/>
  <c r="CI891" i="33" s="1"/>
  <c r="J897" i="33" s="1"/>
  <c r="CI897" i="33" s="1"/>
  <c r="CH873" i="33"/>
  <c r="I879" i="33" s="1"/>
  <c r="CH879" i="33" s="1"/>
  <c r="I885" i="33" s="1"/>
  <c r="CH885" i="33" s="1"/>
  <c r="I891" i="33" s="1"/>
  <c r="CH891" i="33" s="1"/>
  <c r="I897" i="33" s="1"/>
  <c r="CH897" i="33" s="1"/>
  <c r="CG873" i="33"/>
  <c r="H879" i="33" s="1"/>
  <c r="CG879" i="33" s="1"/>
  <c r="H885" i="33" s="1"/>
  <c r="CG885" i="33" s="1"/>
  <c r="H891" i="33" s="1"/>
  <c r="CG891" i="33" s="1"/>
  <c r="H897" i="33" s="1"/>
  <c r="CG897" i="33" s="1"/>
  <c r="CF873" i="33"/>
  <c r="G879" i="33" s="1"/>
  <c r="CF879" i="33" s="1"/>
  <c r="G885" i="33" s="1"/>
  <c r="CF885" i="33" s="1"/>
  <c r="G891" i="33" s="1"/>
  <c r="CF891" i="33" s="1"/>
  <c r="G897" i="33" s="1"/>
  <c r="CF897" i="33" s="1"/>
  <c r="CE873" i="33"/>
  <c r="F879" i="33" s="1"/>
  <c r="CE879" i="33" s="1"/>
  <c r="CJ879" i="33" s="1"/>
  <c r="CC873" i="33"/>
  <c r="BV873" i="33"/>
  <c r="BO873" i="33"/>
  <c r="BH873" i="33"/>
  <c r="BA873" i="33"/>
  <c r="AT873" i="33"/>
  <c r="AM873" i="33"/>
  <c r="AF873" i="33"/>
  <c r="Y873" i="33"/>
  <c r="R873" i="33"/>
  <c r="K873" i="33"/>
  <c r="DE872" i="33"/>
  <c r="CX872" i="33"/>
  <c r="CI872" i="33"/>
  <c r="J878" i="33" s="1"/>
  <c r="CI878" i="33" s="1"/>
  <c r="J884" i="33" s="1"/>
  <c r="CI884" i="33" s="1"/>
  <c r="CH872" i="33"/>
  <c r="I878" i="33" s="1"/>
  <c r="CH878" i="33" s="1"/>
  <c r="I884" i="33" s="1"/>
  <c r="CH884" i="33" s="1"/>
  <c r="I890" i="33" s="1"/>
  <c r="CH890" i="33" s="1"/>
  <c r="I896" i="33" s="1"/>
  <c r="CH896" i="33" s="1"/>
  <c r="CG872" i="33"/>
  <c r="H878" i="33" s="1"/>
  <c r="CG878" i="33" s="1"/>
  <c r="H884" i="33" s="1"/>
  <c r="CG884" i="33" s="1"/>
  <c r="H890" i="33" s="1"/>
  <c r="CG890" i="33" s="1"/>
  <c r="H896" i="33" s="1"/>
  <c r="CG896" i="33" s="1"/>
  <c r="CF872" i="33"/>
  <c r="G878" i="33" s="1"/>
  <c r="CF878" i="33" s="1"/>
  <c r="G884" i="33" s="1"/>
  <c r="CF884" i="33" s="1"/>
  <c r="G890" i="33" s="1"/>
  <c r="CF890" i="33" s="1"/>
  <c r="G896" i="33" s="1"/>
  <c r="CF896" i="33" s="1"/>
  <c r="CE872" i="33"/>
  <c r="CJ872" i="33" s="1"/>
  <c r="CC872" i="33"/>
  <c r="BV872" i="33"/>
  <c r="BO872" i="33"/>
  <c r="BH872" i="33"/>
  <c r="BA872" i="33"/>
  <c r="AT872" i="33"/>
  <c r="AM872" i="33"/>
  <c r="AF872" i="33"/>
  <c r="Y872" i="33"/>
  <c r="R872" i="33"/>
  <c r="K872" i="33"/>
  <c r="DE871" i="33"/>
  <c r="CX871" i="33"/>
  <c r="CX875" i="33" s="1"/>
  <c r="CJ871" i="33"/>
  <c r="CI871" i="33"/>
  <c r="CI875" i="33" s="1"/>
  <c r="CH871" i="33"/>
  <c r="CH875" i="33" s="1"/>
  <c r="CG871" i="33"/>
  <c r="CG875" i="33" s="1"/>
  <c r="CF871" i="33"/>
  <c r="CE871" i="33"/>
  <c r="CE875" i="33" s="1"/>
  <c r="CC871" i="33"/>
  <c r="CC875" i="33" s="1"/>
  <c r="BV871" i="33"/>
  <c r="BV875" i="33" s="1"/>
  <c r="BO871" i="33"/>
  <c r="BH871" i="33"/>
  <c r="BH875" i="33" s="1"/>
  <c r="BA871" i="33"/>
  <c r="BA875" i="33" s="1"/>
  <c r="AT871" i="33"/>
  <c r="AT875" i="33" s="1"/>
  <c r="AM871" i="33"/>
  <c r="AF871" i="33"/>
  <c r="AF875" i="33" s="1"/>
  <c r="Y871" i="33"/>
  <c r="Y875" i="33" s="1"/>
  <c r="R871" i="33"/>
  <c r="R875" i="33" s="1"/>
  <c r="K871" i="33"/>
  <c r="DD867" i="33"/>
  <c r="DC867" i="33"/>
  <c r="DB867" i="33"/>
  <c r="DA867" i="33"/>
  <c r="CZ867" i="33"/>
  <c r="CW867" i="33"/>
  <c r="CV867" i="33"/>
  <c r="CU867" i="33"/>
  <c r="CT867" i="33"/>
  <c r="CS867" i="33"/>
  <c r="CP867" i="33"/>
  <c r="CO867" i="33"/>
  <c r="CN867" i="33"/>
  <c r="CM867" i="33"/>
  <c r="CL867" i="33"/>
  <c r="CC867" i="33"/>
  <c r="CB867" i="33"/>
  <c r="CA867" i="33"/>
  <c r="BZ867" i="33"/>
  <c r="BY867" i="33"/>
  <c r="BX867" i="33"/>
  <c r="BU867" i="33"/>
  <c r="BT867" i="33"/>
  <c r="BS867" i="33"/>
  <c r="BR867" i="33"/>
  <c r="BQ867" i="33"/>
  <c r="BN867" i="33"/>
  <c r="BM867" i="33"/>
  <c r="BL867" i="33"/>
  <c r="BK867" i="33"/>
  <c r="BJ867" i="33"/>
  <c r="BG867" i="33"/>
  <c r="BF867" i="33"/>
  <c r="BE867" i="33"/>
  <c r="BD867" i="33"/>
  <c r="BC867" i="33"/>
  <c r="AZ867" i="33"/>
  <c r="AY867" i="33"/>
  <c r="AX867" i="33"/>
  <c r="AW867" i="33"/>
  <c r="AV867" i="33"/>
  <c r="AS867" i="33"/>
  <c r="AR867" i="33"/>
  <c r="AQ867" i="33"/>
  <c r="AP867" i="33"/>
  <c r="AO867" i="33"/>
  <c r="AL867" i="33"/>
  <c r="AK867" i="33"/>
  <c r="AJ867" i="33"/>
  <c r="AI867" i="33"/>
  <c r="AH867" i="33"/>
  <c r="AE867" i="33"/>
  <c r="AD867" i="33"/>
  <c r="AC867" i="33"/>
  <c r="AB867" i="33"/>
  <c r="AA867" i="33"/>
  <c r="Y867" i="33"/>
  <c r="X867" i="33"/>
  <c r="W867" i="33"/>
  <c r="V867" i="33"/>
  <c r="U867" i="33"/>
  <c r="T867" i="33"/>
  <c r="Q867" i="33"/>
  <c r="P867" i="33"/>
  <c r="O867" i="33"/>
  <c r="N867" i="33"/>
  <c r="M867" i="33"/>
  <c r="DE866" i="33"/>
  <c r="CX866" i="33"/>
  <c r="CC866" i="33"/>
  <c r="BV866" i="33"/>
  <c r="BO866" i="33"/>
  <c r="BH866" i="33"/>
  <c r="BA866" i="33"/>
  <c r="AT866" i="33"/>
  <c r="AT867" i="33" s="1"/>
  <c r="AM866" i="33"/>
  <c r="AF866" i="33"/>
  <c r="Y866" i="33"/>
  <c r="R866" i="33"/>
  <c r="DE865" i="33"/>
  <c r="CX865" i="33"/>
  <c r="CC865" i="33"/>
  <c r="BV865" i="33"/>
  <c r="BO865" i="33"/>
  <c r="BH865" i="33"/>
  <c r="BA865" i="33"/>
  <c r="BA867" i="33" s="1"/>
  <c r="AT865" i="33"/>
  <c r="AM865" i="33"/>
  <c r="AF865" i="33"/>
  <c r="Y865" i="33"/>
  <c r="R865" i="33"/>
  <c r="DE864" i="33"/>
  <c r="CX864" i="33"/>
  <c r="CC864" i="33"/>
  <c r="BV864" i="33"/>
  <c r="BV867" i="33" s="1"/>
  <c r="BO864" i="33"/>
  <c r="BH864" i="33"/>
  <c r="BA864" i="33"/>
  <c r="AT864" i="33"/>
  <c r="AM864" i="33"/>
  <c r="AF864" i="33"/>
  <c r="Y864" i="33"/>
  <c r="R864" i="33"/>
  <c r="R867" i="33" s="1"/>
  <c r="DE863" i="33"/>
  <c r="DE867" i="33" s="1"/>
  <c r="CX863" i="33"/>
  <c r="CX867" i="33" s="1"/>
  <c r="CC863" i="33"/>
  <c r="BV863" i="33"/>
  <c r="BO863" i="33"/>
  <c r="BO867" i="33" s="1"/>
  <c r="BH863" i="33"/>
  <c r="BA863" i="33"/>
  <c r="AT863" i="33"/>
  <c r="AM863" i="33"/>
  <c r="AM867" i="33" s="1"/>
  <c r="AF863" i="33"/>
  <c r="AF867" i="33" s="1"/>
  <c r="Y863" i="33"/>
  <c r="R863" i="33"/>
  <c r="DE861" i="33"/>
  <c r="DD861" i="33"/>
  <c r="DC861" i="33"/>
  <c r="DB861" i="33"/>
  <c r="DA861" i="33"/>
  <c r="CZ861" i="33"/>
  <c r="CW861" i="33"/>
  <c r="CV861" i="33"/>
  <c r="CU861" i="33"/>
  <c r="CT861" i="33"/>
  <c r="CS861" i="33"/>
  <c r="CP861" i="33"/>
  <c r="CO861" i="33"/>
  <c r="CN861" i="33"/>
  <c r="CM861" i="33"/>
  <c r="CL861" i="33"/>
  <c r="CB861" i="33"/>
  <c r="CA861" i="33"/>
  <c r="BZ861" i="33"/>
  <c r="BY861" i="33"/>
  <c r="BX861" i="33"/>
  <c r="BU861" i="33"/>
  <c r="BT861" i="33"/>
  <c r="BS861" i="33"/>
  <c r="BR861" i="33"/>
  <c r="BQ861" i="33"/>
  <c r="BN861" i="33"/>
  <c r="BM861" i="33"/>
  <c r="BL861" i="33"/>
  <c r="BK861" i="33"/>
  <c r="BJ861" i="33"/>
  <c r="BG861" i="33"/>
  <c r="BF861" i="33"/>
  <c r="BE861" i="33"/>
  <c r="BD861" i="33"/>
  <c r="BC861" i="33"/>
  <c r="AZ861" i="33"/>
  <c r="AY861" i="33"/>
  <c r="AX861" i="33"/>
  <c r="AW861" i="33"/>
  <c r="AV861" i="33"/>
  <c r="AS861" i="33"/>
  <c r="AR861" i="33"/>
  <c r="AQ861" i="33"/>
  <c r="AP861" i="33"/>
  <c r="AO861" i="33"/>
  <c r="AL861" i="33"/>
  <c r="AK861" i="33"/>
  <c r="AJ861" i="33"/>
  <c r="AI861" i="33"/>
  <c r="AH861" i="33"/>
  <c r="AE861" i="33"/>
  <c r="AD861" i="33"/>
  <c r="AC861" i="33"/>
  <c r="AB861" i="33"/>
  <c r="AA861" i="33"/>
  <c r="X861" i="33"/>
  <c r="W861" i="33"/>
  <c r="V861" i="33"/>
  <c r="U861" i="33"/>
  <c r="T861" i="33"/>
  <c r="Q861" i="33"/>
  <c r="P861" i="33"/>
  <c r="O861" i="33"/>
  <c r="N861" i="33"/>
  <c r="M861" i="33"/>
  <c r="DE860" i="33"/>
  <c r="CX860" i="33"/>
  <c r="CC860" i="33"/>
  <c r="BV860" i="33"/>
  <c r="BO860" i="33"/>
  <c r="BH860" i="33"/>
  <c r="BA860" i="33"/>
  <c r="AT860" i="33"/>
  <c r="AM860" i="33"/>
  <c r="AF860" i="33"/>
  <c r="Y860" i="33"/>
  <c r="R860" i="33"/>
  <c r="DE859" i="33"/>
  <c r="CX859" i="33"/>
  <c r="CC859" i="33"/>
  <c r="BV859" i="33"/>
  <c r="BO859" i="33"/>
  <c r="BH859" i="33"/>
  <c r="BA859" i="33"/>
  <c r="AT859" i="33"/>
  <c r="AM859" i="33"/>
  <c r="AF859" i="33"/>
  <c r="Y859" i="33"/>
  <c r="R859" i="33"/>
  <c r="DE858" i="33"/>
  <c r="CX858" i="33"/>
  <c r="CC858" i="33"/>
  <c r="BV858" i="33"/>
  <c r="BO858" i="33"/>
  <c r="BH858" i="33"/>
  <c r="BA858" i="33"/>
  <c r="AT858" i="33"/>
  <c r="AM858" i="33"/>
  <c r="AF858" i="33"/>
  <c r="Y858" i="33"/>
  <c r="R858" i="33"/>
  <c r="DE857" i="33"/>
  <c r="CX857" i="33"/>
  <c r="CC857" i="33"/>
  <c r="CC861" i="33" s="1"/>
  <c r="BV857" i="33"/>
  <c r="BO857" i="33"/>
  <c r="BO861" i="33" s="1"/>
  <c r="BH857" i="33"/>
  <c r="BH861" i="33" s="1"/>
  <c r="BA857" i="33"/>
  <c r="BA861" i="33" s="1"/>
  <c r="AT857" i="33"/>
  <c r="AT861" i="33" s="1"/>
  <c r="AM857" i="33"/>
  <c r="AM861" i="33" s="1"/>
  <c r="AF857" i="33"/>
  <c r="AF861" i="33" s="1"/>
  <c r="Y857" i="33"/>
  <c r="Y861" i="33" s="1"/>
  <c r="R857" i="33"/>
  <c r="DD855" i="33"/>
  <c r="DC855" i="33"/>
  <c r="DB855" i="33"/>
  <c r="DA855" i="33"/>
  <c r="CZ855" i="33"/>
  <c r="CW855" i="33"/>
  <c r="CV855" i="33"/>
  <c r="CU855" i="33"/>
  <c r="CT855" i="33"/>
  <c r="CS855" i="33"/>
  <c r="CP855" i="33"/>
  <c r="CO855" i="33"/>
  <c r="CN855" i="33"/>
  <c r="CM855" i="33"/>
  <c r="CL855" i="33"/>
  <c r="CB855" i="33"/>
  <c r="CA855" i="33"/>
  <c r="BZ855" i="33"/>
  <c r="BY855" i="33"/>
  <c r="BX855" i="33"/>
  <c r="BU855" i="33"/>
  <c r="BT855" i="33"/>
  <c r="BS855" i="33"/>
  <c r="BR855" i="33"/>
  <c r="BQ855" i="33"/>
  <c r="BN855" i="33"/>
  <c r="BM855" i="33"/>
  <c r="BL855" i="33"/>
  <c r="BK855" i="33"/>
  <c r="BJ855" i="33"/>
  <c r="BH855" i="33"/>
  <c r="BG855" i="33"/>
  <c r="BF855" i="33"/>
  <c r="BE855" i="33"/>
  <c r="BD855" i="33"/>
  <c r="BC855" i="33"/>
  <c r="BA855" i="33"/>
  <c r="AZ855" i="33"/>
  <c r="AY855" i="33"/>
  <c r="AX855" i="33"/>
  <c r="AW855" i="33"/>
  <c r="AV855" i="33"/>
  <c r="AS855" i="33"/>
  <c r="AR855" i="33"/>
  <c r="AQ855" i="33"/>
  <c r="AP855" i="33"/>
  <c r="AO855" i="33"/>
  <c r="AL855" i="33"/>
  <c r="AK855" i="33"/>
  <c r="AJ855" i="33"/>
  <c r="AI855" i="33"/>
  <c r="AH855" i="33"/>
  <c r="AF855" i="33"/>
  <c r="AE855" i="33"/>
  <c r="AD855" i="33"/>
  <c r="AC855" i="33"/>
  <c r="AB855" i="33"/>
  <c r="AA855" i="33"/>
  <c r="X855" i="33"/>
  <c r="W855" i="33"/>
  <c r="V855" i="33"/>
  <c r="U855" i="33"/>
  <c r="T855" i="33"/>
  <c r="Q855" i="33"/>
  <c r="P855" i="33"/>
  <c r="O855" i="33"/>
  <c r="N855" i="33"/>
  <c r="M855" i="33"/>
  <c r="DE854" i="33"/>
  <c r="CX854" i="33"/>
  <c r="CC854" i="33"/>
  <c r="BV854" i="33"/>
  <c r="BO854" i="33"/>
  <c r="BH854" i="33"/>
  <c r="BA854" i="33"/>
  <c r="AT854" i="33"/>
  <c r="AM854" i="33"/>
  <c r="AF854" i="33"/>
  <c r="Y854" i="33"/>
  <c r="R854" i="33"/>
  <c r="DE853" i="33"/>
  <c r="CX853" i="33"/>
  <c r="CC853" i="33"/>
  <c r="BV853" i="33"/>
  <c r="BO853" i="33"/>
  <c r="BH853" i="33"/>
  <c r="BA853" i="33"/>
  <c r="AT853" i="33"/>
  <c r="AM853" i="33"/>
  <c r="AF853" i="33"/>
  <c r="Y853" i="33"/>
  <c r="R853" i="33"/>
  <c r="DE852" i="33"/>
  <c r="CX852" i="33"/>
  <c r="CC852" i="33"/>
  <c r="BV852" i="33"/>
  <c r="BO852" i="33"/>
  <c r="BH852" i="33"/>
  <c r="BA852" i="33"/>
  <c r="AT852" i="33"/>
  <c r="AM852" i="33"/>
  <c r="AF852" i="33"/>
  <c r="Y852" i="33"/>
  <c r="R852" i="33"/>
  <c r="DE851" i="33"/>
  <c r="DE855" i="33" s="1"/>
  <c r="CX851" i="33"/>
  <c r="CX855" i="33" s="1"/>
  <c r="CC851" i="33"/>
  <c r="CC855" i="33" s="1"/>
  <c r="BV851" i="33"/>
  <c r="BV855" i="33" s="1"/>
  <c r="BO851" i="33"/>
  <c r="BO855" i="33" s="1"/>
  <c r="BH851" i="33"/>
  <c r="BA851" i="33"/>
  <c r="AT851" i="33"/>
  <c r="AT855" i="33" s="1"/>
  <c r="AM851" i="33"/>
  <c r="AM855" i="33" s="1"/>
  <c r="AF851" i="33"/>
  <c r="Y851" i="33"/>
  <c r="Y855" i="33" s="1"/>
  <c r="R851" i="33"/>
  <c r="R855" i="33" s="1"/>
  <c r="DE849" i="33"/>
  <c r="DD849" i="33"/>
  <c r="DC849" i="33"/>
  <c r="DB849" i="33"/>
  <c r="DA849" i="33"/>
  <c r="CZ849" i="33"/>
  <c r="CX849" i="33"/>
  <c r="CW849" i="33"/>
  <c r="CV849" i="33"/>
  <c r="CU849" i="33"/>
  <c r="CT849" i="33"/>
  <c r="CS849" i="33"/>
  <c r="CP849" i="33"/>
  <c r="CO849" i="33"/>
  <c r="CN849" i="33"/>
  <c r="CM849" i="33"/>
  <c r="CL849" i="33"/>
  <c r="CB849" i="33"/>
  <c r="CA849" i="33"/>
  <c r="BZ849" i="33"/>
  <c r="BY849" i="33"/>
  <c r="BX849" i="33"/>
  <c r="BU849" i="33"/>
  <c r="BT849" i="33"/>
  <c r="BS849" i="33"/>
  <c r="BR849" i="33"/>
  <c r="BQ849" i="33"/>
  <c r="BN849" i="33"/>
  <c r="BM849" i="33"/>
  <c r="BL849" i="33"/>
  <c r="BK849" i="33"/>
  <c r="BJ849" i="33"/>
  <c r="BG849" i="33"/>
  <c r="BF849" i="33"/>
  <c r="BE849" i="33"/>
  <c r="BD849" i="33"/>
  <c r="BC849" i="33"/>
  <c r="AZ849" i="33"/>
  <c r="AY849" i="33"/>
  <c r="AX849" i="33"/>
  <c r="AW849" i="33"/>
  <c r="AV849" i="33"/>
  <c r="AS849" i="33"/>
  <c r="AR849" i="33"/>
  <c r="AQ849" i="33"/>
  <c r="AP849" i="33"/>
  <c r="AO849" i="33"/>
  <c r="AL849" i="33"/>
  <c r="AK849" i="33"/>
  <c r="AJ849" i="33"/>
  <c r="AI849" i="33"/>
  <c r="AH849" i="33"/>
  <c r="AE849" i="33"/>
  <c r="AD849" i="33"/>
  <c r="AC849" i="33"/>
  <c r="AB849" i="33"/>
  <c r="AA849" i="33"/>
  <c r="X849" i="33"/>
  <c r="W849" i="33"/>
  <c r="V849" i="33"/>
  <c r="U849" i="33"/>
  <c r="T849" i="33"/>
  <c r="R849" i="33"/>
  <c r="Q849" i="33"/>
  <c r="P849" i="33"/>
  <c r="O849" i="33"/>
  <c r="N849" i="33"/>
  <c r="M849" i="33"/>
  <c r="DE848" i="33"/>
  <c r="CX848" i="33"/>
  <c r="CC848" i="33"/>
  <c r="BV848" i="33"/>
  <c r="BO848" i="33"/>
  <c r="BH848" i="33"/>
  <c r="BA848" i="33"/>
  <c r="AT848" i="33"/>
  <c r="AM848" i="33"/>
  <c r="AF848" i="33"/>
  <c r="Y848" i="33"/>
  <c r="R848" i="33"/>
  <c r="DE847" i="33"/>
  <c r="CX847" i="33"/>
  <c r="CC847" i="33"/>
  <c r="BV847" i="33"/>
  <c r="BO847" i="33"/>
  <c r="BH847" i="33"/>
  <c r="BA847" i="33"/>
  <c r="AT847" i="33"/>
  <c r="AM847" i="33"/>
  <c r="AF847" i="33"/>
  <c r="Y847" i="33"/>
  <c r="R847" i="33"/>
  <c r="H847" i="33"/>
  <c r="CG847" i="33" s="1"/>
  <c r="H853" i="33" s="1"/>
  <c r="CG853" i="33" s="1"/>
  <c r="H859" i="33" s="1"/>
  <c r="CG859" i="33" s="1"/>
  <c r="H865" i="33" s="1"/>
  <c r="CG865" i="33" s="1"/>
  <c r="F847" i="33"/>
  <c r="CE847" i="33" s="1"/>
  <c r="DE846" i="33"/>
  <c r="CX846" i="33"/>
  <c r="CC846" i="33"/>
  <c r="BV846" i="33"/>
  <c r="BO846" i="33"/>
  <c r="BH846" i="33"/>
  <c r="BA846" i="33"/>
  <c r="AT846" i="33"/>
  <c r="AM846" i="33"/>
  <c r="AF846" i="33"/>
  <c r="Y846" i="33"/>
  <c r="R846" i="33"/>
  <c r="H846" i="33"/>
  <c r="CG846" i="33" s="1"/>
  <c r="H852" i="33" s="1"/>
  <c r="CG852" i="33" s="1"/>
  <c r="H858" i="33" s="1"/>
  <c r="CG858" i="33" s="1"/>
  <c r="H864" i="33" s="1"/>
  <c r="CG864" i="33" s="1"/>
  <c r="DE845" i="33"/>
  <c r="CX845" i="33"/>
  <c r="CC845" i="33"/>
  <c r="CC849" i="33" s="1"/>
  <c r="BV845" i="33"/>
  <c r="BV849" i="33" s="1"/>
  <c r="BO845" i="33"/>
  <c r="BH845" i="33"/>
  <c r="BH849" i="33" s="1"/>
  <c r="BA845" i="33"/>
  <c r="BA849" i="33" s="1"/>
  <c r="AT845" i="33"/>
  <c r="AT849" i="33" s="1"/>
  <c r="AM845" i="33"/>
  <c r="AM849" i="33" s="1"/>
  <c r="AF845" i="33"/>
  <c r="AF849" i="33" s="1"/>
  <c r="Y845" i="33"/>
  <c r="Y849" i="33" s="1"/>
  <c r="R845" i="33"/>
  <c r="F845" i="33"/>
  <c r="DD843" i="33"/>
  <c r="DC843" i="33"/>
  <c r="DB843" i="33"/>
  <c r="DA843" i="33"/>
  <c r="CZ843" i="33"/>
  <c r="CW843" i="33"/>
  <c r="CV843" i="33"/>
  <c r="CU843" i="33"/>
  <c r="CT843" i="33"/>
  <c r="CS843" i="33"/>
  <c r="CP843" i="33"/>
  <c r="CO843" i="33"/>
  <c r="CN843" i="33"/>
  <c r="CM843" i="33"/>
  <c r="CL843" i="33"/>
  <c r="CB843" i="33"/>
  <c r="CA843" i="33"/>
  <c r="BZ843" i="33"/>
  <c r="BY843" i="33"/>
  <c r="BX843" i="33"/>
  <c r="BU843" i="33"/>
  <c r="BT843" i="33"/>
  <c r="BS843" i="33"/>
  <c r="BR843" i="33"/>
  <c r="BQ843" i="33"/>
  <c r="BN843" i="33"/>
  <c r="BM843" i="33"/>
  <c r="BL843" i="33"/>
  <c r="BK843" i="33"/>
  <c r="BJ843" i="33"/>
  <c r="BG843" i="33"/>
  <c r="BF843" i="33"/>
  <c r="BE843" i="33"/>
  <c r="BD843" i="33"/>
  <c r="BC843" i="33"/>
  <c r="AZ843" i="33"/>
  <c r="AY843" i="33"/>
  <c r="AX843" i="33"/>
  <c r="AW843" i="33"/>
  <c r="AV843" i="33"/>
  <c r="AS843" i="33"/>
  <c r="AR843" i="33"/>
  <c r="AQ843" i="33"/>
  <c r="AP843" i="33"/>
  <c r="AO843" i="33"/>
  <c r="AL843" i="33"/>
  <c r="AK843" i="33"/>
  <c r="AJ843" i="33"/>
  <c r="AI843" i="33"/>
  <c r="AH843" i="33"/>
  <c r="AE843" i="33"/>
  <c r="AD843" i="33"/>
  <c r="AC843" i="33"/>
  <c r="AB843" i="33"/>
  <c r="AA843" i="33"/>
  <c r="X843" i="33"/>
  <c r="W843" i="33"/>
  <c r="V843" i="33"/>
  <c r="U843" i="33"/>
  <c r="T843" i="33"/>
  <c r="Q843" i="33"/>
  <c r="P843" i="33"/>
  <c r="O843" i="33"/>
  <c r="N843" i="33"/>
  <c r="M843" i="33"/>
  <c r="J843" i="33"/>
  <c r="I843" i="33"/>
  <c r="H843" i="33"/>
  <c r="G843" i="33"/>
  <c r="F843" i="33"/>
  <c r="DE842" i="33"/>
  <c r="CX842" i="33"/>
  <c r="CI842" i="33"/>
  <c r="J848" i="33" s="1"/>
  <c r="CI848" i="33" s="1"/>
  <c r="J854" i="33" s="1"/>
  <c r="CI854" i="33" s="1"/>
  <c r="J860" i="33" s="1"/>
  <c r="CI860" i="33" s="1"/>
  <c r="J866" i="33" s="1"/>
  <c r="CI866" i="33" s="1"/>
  <c r="CH842" i="33"/>
  <c r="I848" i="33" s="1"/>
  <c r="CH848" i="33" s="1"/>
  <c r="I854" i="33" s="1"/>
  <c r="CH854" i="33" s="1"/>
  <c r="I860" i="33" s="1"/>
  <c r="CH860" i="33" s="1"/>
  <c r="I866" i="33" s="1"/>
  <c r="CH866" i="33" s="1"/>
  <c r="CG842" i="33"/>
  <c r="H848" i="33" s="1"/>
  <c r="CG848" i="33" s="1"/>
  <c r="H854" i="33" s="1"/>
  <c r="CG854" i="33" s="1"/>
  <c r="H860" i="33" s="1"/>
  <c r="CG860" i="33" s="1"/>
  <c r="H866" i="33" s="1"/>
  <c r="CG866" i="33" s="1"/>
  <c r="CF842" i="33"/>
  <c r="G848" i="33" s="1"/>
  <c r="CF848" i="33" s="1"/>
  <c r="G854" i="33" s="1"/>
  <c r="CF854" i="33" s="1"/>
  <c r="G860" i="33" s="1"/>
  <c r="CF860" i="33" s="1"/>
  <c r="G866" i="33" s="1"/>
  <c r="CF866" i="33" s="1"/>
  <c r="CE842" i="33"/>
  <c r="CC842" i="33"/>
  <c r="BV842" i="33"/>
  <c r="BO842" i="33"/>
  <c r="BH842" i="33"/>
  <c r="BA842" i="33"/>
  <c r="AT842" i="33"/>
  <c r="AM842" i="33"/>
  <c r="AF842" i="33"/>
  <c r="Y842" i="33"/>
  <c r="R842" i="33"/>
  <c r="K842" i="33"/>
  <c r="DE841" i="33"/>
  <c r="CX841" i="33"/>
  <c r="CI841" i="33"/>
  <c r="J847" i="33" s="1"/>
  <c r="CI847" i="33" s="1"/>
  <c r="J853" i="33" s="1"/>
  <c r="CI853" i="33" s="1"/>
  <c r="J859" i="33" s="1"/>
  <c r="CI859" i="33" s="1"/>
  <c r="J865" i="33" s="1"/>
  <c r="CI865" i="33" s="1"/>
  <c r="CH841" i="33"/>
  <c r="I847" i="33" s="1"/>
  <c r="CH847" i="33" s="1"/>
  <c r="I853" i="33" s="1"/>
  <c r="CH853" i="33" s="1"/>
  <c r="I859" i="33" s="1"/>
  <c r="CH859" i="33" s="1"/>
  <c r="I865" i="33" s="1"/>
  <c r="CH865" i="33" s="1"/>
  <c r="CG841" i="33"/>
  <c r="CF841" i="33"/>
  <c r="G847" i="33" s="1"/>
  <c r="CF847" i="33" s="1"/>
  <c r="G853" i="33" s="1"/>
  <c r="CF853" i="33" s="1"/>
  <c r="G859" i="33" s="1"/>
  <c r="CF859" i="33" s="1"/>
  <c r="G865" i="33" s="1"/>
  <c r="CF865" i="33" s="1"/>
  <c r="CE841" i="33"/>
  <c r="CC841" i="33"/>
  <c r="BV841" i="33"/>
  <c r="BO841" i="33"/>
  <c r="BH841" i="33"/>
  <c r="BA841" i="33"/>
  <c r="AT841" i="33"/>
  <c r="AM841" i="33"/>
  <c r="AF841" i="33"/>
  <c r="Y841" i="33"/>
  <c r="R841" i="33"/>
  <c r="K841" i="33"/>
  <c r="DE840" i="33"/>
  <c r="CX840" i="33"/>
  <c r="CX843" i="33" s="1"/>
  <c r="CI840" i="33"/>
  <c r="J846" i="33" s="1"/>
  <c r="CI846" i="33" s="1"/>
  <c r="J852" i="33" s="1"/>
  <c r="CI852" i="33" s="1"/>
  <c r="J858" i="33" s="1"/>
  <c r="CI858" i="33" s="1"/>
  <c r="J864" i="33" s="1"/>
  <c r="CI864" i="33" s="1"/>
  <c r="CH840" i="33"/>
  <c r="I846" i="33" s="1"/>
  <c r="CH846" i="33" s="1"/>
  <c r="I852" i="33" s="1"/>
  <c r="CH852" i="33" s="1"/>
  <c r="I858" i="33" s="1"/>
  <c r="CH858" i="33" s="1"/>
  <c r="I864" i="33" s="1"/>
  <c r="CH864" i="33" s="1"/>
  <c r="CG840" i="33"/>
  <c r="CF840" i="33"/>
  <c r="G846" i="33" s="1"/>
  <c r="CF846" i="33" s="1"/>
  <c r="G852" i="33" s="1"/>
  <c r="CF852" i="33" s="1"/>
  <c r="G858" i="33" s="1"/>
  <c r="CF858" i="33" s="1"/>
  <c r="G864" i="33" s="1"/>
  <c r="CF864" i="33" s="1"/>
  <c r="CE840" i="33"/>
  <c r="CJ840" i="33" s="1"/>
  <c r="CC840" i="33"/>
  <c r="BV840" i="33"/>
  <c r="BO840" i="33"/>
  <c r="BH840" i="33"/>
  <c r="BA840" i="33"/>
  <c r="AT840" i="33"/>
  <c r="AM840" i="33"/>
  <c r="AF840" i="33"/>
  <c r="Y840" i="33"/>
  <c r="R840" i="33"/>
  <c r="R843" i="33" s="1"/>
  <c r="K840" i="33"/>
  <c r="DE839" i="33"/>
  <c r="DE843" i="33" s="1"/>
  <c r="CX839" i="33"/>
  <c r="CI839" i="33"/>
  <c r="J845" i="33" s="1"/>
  <c r="CH839" i="33"/>
  <c r="I845" i="33" s="1"/>
  <c r="CG839" i="33"/>
  <c r="CG843" i="33" s="1"/>
  <c r="CF839" i="33"/>
  <c r="G845" i="33" s="1"/>
  <c r="CE839" i="33"/>
  <c r="CE843" i="33" s="1"/>
  <c r="CC839" i="33"/>
  <c r="CC843" i="33" s="1"/>
  <c r="BV839" i="33"/>
  <c r="BV843" i="33" s="1"/>
  <c r="BO839" i="33"/>
  <c r="BH839" i="33"/>
  <c r="BA839" i="33"/>
  <c r="BA843" i="33" s="1"/>
  <c r="AT839" i="33"/>
  <c r="AT843" i="33" s="1"/>
  <c r="AM839" i="33"/>
  <c r="AM843" i="33" s="1"/>
  <c r="AF839" i="33"/>
  <c r="Y839" i="33"/>
  <c r="Y843" i="33" s="1"/>
  <c r="R839" i="33"/>
  <c r="K839" i="33"/>
  <c r="DD835" i="33"/>
  <c r="DC835" i="33"/>
  <c r="DB835" i="33"/>
  <c r="DA835" i="33"/>
  <c r="CZ835" i="33"/>
  <c r="CW835" i="33"/>
  <c r="CV835" i="33"/>
  <c r="CU835" i="33"/>
  <c r="CT835" i="33"/>
  <c r="CS835" i="33"/>
  <c r="CP835" i="33"/>
  <c r="CO835" i="33"/>
  <c r="CN835" i="33"/>
  <c r="CM835" i="33"/>
  <c r="CL835" i="33"/>
  <c r="CB835" i="33"/>
  <c r="CA835" i="33"/>
  <c r="BZ835" i="33"/>
  <c r="BY835" i="33"/>
  <c r="BX835" i="33"/>
  <c r="BU835" i="33"/>
  <c r="BT835" i="33"/>
  <c r="BS835" i="33"/>
  <c r="BR835" i="33"/>
  <c r="BQ835" i="33"/>
  <c r="BO835" i="33"/>
  <c r="BN835" i="33"/>
  <c r="BM835" i="33"/>
  <c r="BL835" i="33"/>
  <c r="BK835" i="33"/>
  <c r="BJ835" i="33"/>
  <c r="BG835" i="33"/>
  <c r="BF835" i="33"/>
  <c r="BE835" i="33"/>
  <c r="BD835" i="33"/>
  <c r="BC835" i="33"/>
  <c r="AZ835" i="33"/>
  <c r="AY835" i="33"/>
  <c r="AX835" i="33"/>
  <c r="AW835" i="33"/>
  <c r="AV835" i="33"/>
  <c r="AS835" i="33"/>
  <c r="AR835" i="33"/>
  <c r="AQ835" i="33"/>
  <c r="AP835" i="33"/>
  <c r="AO835" i="33"/>
  <c r="AL835" i="33"/>
  <c r="AK835" i="33"/>
  <c r="AJ835" i="33"/>
  <c r="AI835" i="33"/>
  <c r="AH835" i="33"/>
  <c r="DE834" i="33"/>
  <c r="CX834" i="33"/>
  <c r="CC834" i="33"/>
  <c r="BV834" i="33"/>
  <c r="BO834" i="33"/>
  <c r="BH834" i="33"/>
  <c r="BA834" i="33"/>
  <c r="AT834" i="33"/>
  <c r="AM834" i="33"/>
  <c r="AF834" i="33"/>
  <c r="Y834" i="33"/>
  <c r="R834" i="33"/>
  <c r="DE833" i="33"/>
  <c r="CX833" i="33"/>
  <c r="CC833" i="33"/>
  <c r="BV833" i="33"/>
  <c r="BO833" i="33"/>
  <c r="BH833" i="33"/>
  <c r="BA833" i="33"/>
  <c r="AT833" i="33"/>
  <c r="AM833" i="33"/>
  <c r="AM835" i="33" s="1"/>
  <c r="AF833" i="33"/>
  <c r="Y833" i="33"/>
  <c r="R833" i="33"/>
  <c r="DE832" i="33"/>
  <c r="CX832" i="33"/>
  <c r="CC832" i="33"/>
  <c r="BV832" i="33"/>
  <c r="BV835" i="33" s="1"/>
  <c r="BO832" i="33"/>
  <c r="BH832" i="33"/>
  <c r="BA832" i="33"/>
  <c r="AT832" i="33"/>
  <c r="AM832" i="33"/>
  <c r="AF832" i="33"/>
  <c r="Y832" i="33"/>
  <c r="R832" i="33"/>
  <c r="DE831" i="33"/>
  <c r="CX831" i="33"/>
  <c r="CC831" i="33"/>
  <c r="CC835" i="33" s="1"/>
  <c r="BV831" i="33"/>
  <c r="BO831" i="33"/>
  <c r="BH831" i="33"/>
  <c r="BH835" i="33" s="1"/>
  <c r="BA831" i="33"/>
  <c r="BA835" i="33" s="1"/>
  <c r="AT831" i="33"/>
  <c r="AM831" i="33"/>
  <c r="AF831" i="33"/>
  <c r="Y831" i="33"/>
  <c r="R831" i="33"/>
  <c r="DD829" i="33"/>
  <c r="DC829" i="33"/>
  <c r="DB829" i="33"/>
  <c r="DA829" i="33"/>
  <c r="CZ829" i="33"/>
  <c r="CW829" i="33"/>
  <c r="CV829" i="33"/>
  <c r="CU829" i="33"/>
  <c r="CT829" i="33"/>
  <c r="CS829" i="33"/>
  <c r="CP829" i="33"/>
  <c r="CO829" i="33"/>
  <c r="CN829" i="33"/>
  <c r="CM829" i="33"/>
  <c r="CL829" i="33"/>
  <c r="CB829" i="33"/>
  <c r="CA829" i="33"/>
  <c r="BZ829" i="33"/>
  <c r="BY829" i="33"/>
  <c r="BX829" i="33"/>
  <c r="BU829" i="33"/>
  <c r="BT829" i="33"/>
  <c r="BS829" i="33"/>
  <c r="BR829" i="33"/>
  <c r="BQ829" i="33"/>
  <c r="BN829" i="33"/>
  <c r="BM829" i="33"/>
  <c r="BL829" i="33"/>
  <c r="BK829" i="33"/>
  <c r="BJ829" i="33"/>
  <c r="BG829" i="33"/>
  <c r="BF829" i="33"/>
  <c r="BE829" i="33"/>
  <c r="BD829" i="33"/>
  <c r="BC829" i="33"/>
  <c r="AZ829" i="33"/>
  <c r="AY829" i="33"/>
  <c r="AX829" i="33"/>
  <c r="AW829" i="33"/>
  <c r="AV829" i="33"/>
  <c r="AS829" i="33"/>
  <c r="AR829" i="33"/>
  <c r="AQ829" i="33"/>
  <c r="AP829" i="33"/>
  <c r="AO829" i="33"/>
  <c r="AM829" i="33"/>
  <c r="AL829" i="33"/>
  <c r="AK829" i="33"/>
  <c r="AJ829" i="33"/>
  <c r="AI829" i="33"/>
  <c r="AH829" i="33"/>
  <c r="DE828" i="33"/>
  <c r="CX828" i="33"/>
  <c r="CC828" i="33"/>
  <c r="BV828" i="33"/>
  <c r="BO828" i="33"/>
  <c r="BO829" i="33" s="1"/>
  <c r="BH828" i="33"/>
  <c r="BA828" i="33"/>
  <c r="AT828" i="33"/>
  <c r="AM828" i="33"/>
  <c r="AF828" i="33"/>
  <c r="Y828" i="33"/>
  <c r="R828" i="33"/>
  <c r="DE827" i="33"/>
  <c r="CX827" i="33"/>
  <c r="CC827" i="33"/>
  <c r="BV827" i="33"/>
  <c r="BO827" i="33"/>
  <c r="BH827" i="33"/>
  <c r="BA827" i="33"/>
  <c r="AT827" i="33"/>
  <c r="AM827" i="33"/>
  <c r="AF827" i="33"/>
  <c r="Y827" i="33"/>
  <c r="R827" i="33"/>
  <c r="DE826" i="33"/>
  <c r="CX826" i="33"/>
  <c r="CF826" i="33"/>
  <c r="G832" i="33" s="1"/>
  <c r="CF832" i="33" s="1"/>
  <c r="CC826" i="33"/>
  <c r="BV826" i="33"/>
  <c r="BO826" i="33"/>
  <c r="BH826" i="33"/>
  <c r="BA826" i="33"/>
  <c r="AT826" i="33"/>
  <c r="AM826" i="33"/>
  <c r="AF826" i="33"/>
  <c r="Y826" i="33"/>
  <c r="R826" i="33"/>
  <c r="DE825" i="33"/>
  <c r="CX825" i="33"/>
  <c r="CC825" i="33"/>
  <c r="CC829" i="33" s="1"/>
  <c r="BV825" i="33"/>
  <c r="BO825" i="33"/>
  <c r="BH825" i="33"/>
  <c r="BH829" i="33" s="1"/>
  <c r="BA825" i="33"/>
  <c r="BA829" i="33" s="1"/>
  <c r="AT825" i="33"/>
  <c r="AT829" i="33" s="1"/>
  <c r="AM825" i="33"/>
  <c r="AF825" i="33"/>
  <c r="Y825" i="33"/>
  <c r="R825" i="33"/>
  <c r="DD823" i="33"/>
  <c r="DC823" i="33"/>
  <c r="DB823" i="33"/>
  <c r="DA823" i="33"/>
  <c r="CZ823" i="33"/>
  <c r="CW823" i="33"/>
  <c r="CV823" i="33"/>
  <c r="CU823" i="33"/>
  <c r="CT823" i="33"/>
  <c r="CS823" i="33"/>
  <c r="CP823" i="33"/>
  <c r="CO823" i="33"/>
  <c r="CN823" i="33"/>
  <c r="CM823" i="33"/>
  <c r="CL823" i="33"/>
  <c r="CB823" i="33"/>
  <c r="CA823" i="33"/>
  <c r="BZ823" i="33"/>
  <c r="BY823" i="33"/>
  <c r="BX823" i="33"/>
  <c r="BU823" i="33"/>
  <c r="BT823" i="33"/>
  <c r="BS823" i="33"/>
  <c r="BR823" i="33"/>
  <c r="BQ823" i="33"/>
  <c r="BN823" i="33"/>
  <c r="BM823" i="33"/>
  <c r="BL823" i="33"/>
  <c r="BK823" i="33"/>
  <c r="BJ823" i="33"/>
  <c r="BG823" i="33"/>
  <c r="BF823" i="33"/>
  <c r="BE823" i="33"/>
  <c r="BD823" i="33"/>
  <c r="BC823" i="33"/>
  <c r="AZ823" i="33"/>
  <c r="AY823" i="33"/>
  <c r="AX823" i="33"/>
  <c r="AW823" i="33"/>
  <c r="AV823" i="33"/>
  <c r="AS823" i="33"/>
  <c r="AR823" i="33"/>
  <c r="AQ823" i="33"/>
  <c r="AP823" i="33"/>
  <c r="AO823" i="33"/>
  <c r="AL823" i="33"/>
  <c r="AK823" i="33"/>
  <c r="AJ823" i="33"/>
  <c r="AI823" i="33"/>
  <c r="AH823" i="33"/>
  <c r="DE822" i="33"/>
  <c r="CX822" i="33"/>
  <c r="CC822" i="33"/>
  <c r="BV822" i="33"/>
  <c r="BO822" i="33"/>
  <c r="BO823" i="33" s="1"/>
  <c r="BH822" i="33"/>
  <c r="BA822" i="33"/>
  <c r="AT822" i="33"/>
  <c r="AM822" i="33"/>
  <c r="AF822" i="33"/>
  <c r="Y822" i="33"/>
  <c r="R822" i="33"/>
  <c r="DE821" i="33"/>
  <c r="CX821" i="33"/>
  <c r="CC821" i="33"/>
  <c r="BV821" i="33"/>
  <c r="BO821" i="33"/>
  <c r="BH821" i="33"/>
  <c r="BA821" i="33"/>
  <c r="AT821" i="33"/>
  <c r="AM821" i="33"/>
  <c r="AF821" i="33"/>
  <c r="Y821" i="33"/>
  <c r="R821" i="33"/>
  <c r="DE820" i="33"/>
  <c r="CX820" i="33"/>
  <c r="CC820" i="33"/>
  <c r="BV820" i="33"/>
  <c r="BO820" i="33"/>
  <c r="BH820" i="33"/>
  <c r="BA820" i="33"/>
  <c r="AT820" i="33"/>
  <c r="AM820" i="33"/>
  <c r="AF820" i="33"/>
  <c r="Y820" i="33"/>
  <c r="R820" i="33"/>
  <c r="DE819" i="33"/>
  <c r="DE823" i="33" s="1"/>
  <c r="CX819" i="33"/>
  <c r="CX823" i="33" s="1"/>
  <c r="CC819" i="33"/>
  <c r="BV819" i="33"/>
  <c r="BO819" i="33"/>
  <c r="BH819" i="33"/>
  <c r="BH823" i="33" s="1"/>
  <c r="BA819" i="33"/>
  <c r="BA823" i="33" s="1"/>
  <c r="AT819" i="33"/>
  <c r="AM819" i="33"/>
  <c r="AF819" i="33"/>
  <c r="Y819" i="33"/>
  <c r="R819" i="33"/>
  <c r="F819" i="33"/>
  <c r="DD817" i="33"/>
  <c r="DC817" i="33"/>
  <c r="DB817" i="33"/>
  <c r="DA817" i="33"/>
  <c r="CZ817" i="33"/>
  <c r="CW817" i="33"/>
  <c r="CV817" i="33"/>
  <c r="CU817" i="33"/>
  <c r="CT817" i="33"/>
  <c r="CS817" i="33"/>
  <c r="CP817" i="33"/>
  <c r="CO817" i="33"/>
  <c r="CN817" i="33"/>
  <c r="CM817" i="33"/>
  <c r="CL817" i="33"/>
  <c r="CB817" i="33"/>
  <c r="CA817" i="33"/>
  <c r="BZ817" i="33"/>
  <c r="BY817" i="33"/>
  <c r="BX817" i="33"/>
  <c r="BU817" i="33"/>
  <c r="BT817" i="33"/>
  <c r="BS817" i="33"/>
  <c r="BR817" i="33"/>
  <c r="BQ817" i="33"/>
  <c r="BO817" i="33"/>
  <c r="BN817" i="33"/>
  <c r="BM817" i="33"/>
  <c r="BL817" i="33"/>
  <c r="BK817" i="33"/>
  <c r="BJ817" i="33"/>
  <c r="BG817" i="33"/>
  <c r="BF817" i="33"/>
  <c r="BE817" i="33"/>
  <c r="BD817" i="33"/>
  <c r="BC817" i="33"/>
  <c r="AZ817" i="33"/>
  <c r="AY817" i="33"/>
  <c r="AX817" i="33"/>
  <c r="AW817" i="33"/>
  <c r="AV817" i="33"/>
  <c r="AS817" i="33"/>
  <c r="AR817" i="33"/>
  <c r="AQ817" i="33"/>
  <c r="AP817" i="33"/>
  <c r="AO817" i="33"/>
  <c r="AL817" i="33"/>
  <c r="AK817" i="33"/>
  <c r="AJ817" i="33"/>
  <c r="AI817" i="33"/>
  <c r="AH817" i="33"/>
  <c r="DE816" i="33"/>
  <c r="CX816" i="33"/>
  <c r="CC816" i="33"/>
  <c r="BV816" i="33"/>
  <c r="BO816" i="33"/>
  <c r="BH816" i="33"/>
  <c r="BA816" i="33"/>
  <c r="AT816" i="33"/>
  <c r="AM816" i="33"/>
  <c r="AF816" i="33"/>
  <c r="Y816" i="33"/>
  <c r="R816" i="33"/>
  <c r="DE815" i="33"/>
  <c r="CX815" i="33"/>
  <c r="CE815" i="33"/>
  <c r="CC815" i="33"/>
  <c r="BV815" i="33"/>
  <c r="BO815" i="33"/>
  <c r="BH815" i="33"/>
  <c r="BA815" i="33"/>
  <c r="AT815" i="33"/>
  <c r="AM815" i="33"/>
  <c r="AF815" i="33"/>
  <c r="Y815" i="33"/>
  <c r="R815" i="33"/>
  <c r="F815" i="33"/>
  <c r="DE814" i="33"/>
  <c r="CX814" i="33"/>
  <c r="CG814" i="33"/>
  <c r="H820" i="33" s="1"/>
  <c r="CG820" i="33" s="1"/>
  <c r="H826" i="33" s="1"/>
  <c r="CG826" i="33" s="1"/>
  <c r="H832" i="33" s="1"/>
  <c r="CG832" i="33" s="1"/>
  <c r="CC814" i="33"/>
  <c r="BV814" i="33"/>
  <c r="BO814" i="33"/>
  <c r="BH814" i="33"/>
  <c r="BA814" i="33"/>
  <c r="AT814" i="33"/>
  <c r="AM814" i="33"/>
  <c r="AM817" i="33" s="1"/>
  <c r="AF814" i="33"/>
  <c r="Y814" i="33"/>
  <c r="R814" i="33"/>
  <c r="I814" i="33"/>
  <c r="CH814" i="33" s="1"/>
  <c r="I820" i="33" s="1"/>
  <c r="CH820" i="33" s="1"/>
  <c r="I826" i="33" s="1"/>
  <c r="CH826" i="33" s="1"/>
  <c r="I832" i="33" s="1"/>
  <c r="CH832" i="33" s="1"/>
  <c r="H814" i="33"/>
  <c r="G814" i="33"/>
  <c r="CF814" i="33" s="1"/>
  <c r="G820" i="33" s="1"/>
  <c r="CF820" i="33" s="1"/>
  <c r="G826" i="33" s="1"/>
  <c r="DE813" i="33"/>
  <c r="CX813" i="33"/>
  <c r="CX817" i="33" s="1"/>
  <c r="CE813" i="33"/>
  <c r="CC813" i="33"/>
  <c r="BV813" i="33"/>
  <c r="BO813" i="33"/>
  <c r="BH813" i="33"/>
  <c r="BH817" i="33" s="1"/>
  <c r="BA813" i="33"/>
  <c r="BA817" i="33" s="1"/>
  <c r="AT813" i="33"/>
  <c r="AM813" i="33"/>
  <c r="AF813" i="33"/>
  <c r="Y813" i="33"/>
  <c r="R813" i="33"/>
  <c r="H813" i="33"/>
  <c r="F813" i="33"/>
  <c r="DD811" i="33"/>
  <c r="DC811" i="33"/>
  <c r="DB811" i="33"/>
  <c r="DA811" i="33"/>
  <c r="CZ811" i="33"/>
  <c r="CW811" i="33"/>
  <c r="CV811" i="33"/>
  <c r="CU811" i="33"/>
  <c r="CT811" i="33"/>
  <c r="CS811" i="33"/>
  <c r="CP811" i="33"/>
  <c r="CO811" i="33"/>
  <c r="CN811" i="33"/>
  <c r="CM811" i="33"/>
  <c r="CL811" i="33"/>
  <c r="CG811" i="33"/>
  <c r="CB811" i="33"/>
  <c r="CA811" i="33"/>
  <c r="BZ811" i="33"/>
  <c r="BY811" i="33"/>
  <c r="BX811" i="33"/>
  <c r="BU811" i="33"/>
  <c r="BT811" i="33"/>
  <c r="BS811" i="33"/>
  <c r="BR811" i="33"/>
  <c r="BQ811" i="33"/>
  <c r="BN811" i="33"/>
  <c r="BM811" i="33"/>
  <c r="BL811" i="33"/>
  <c r="BK811" i="33"/>
  <c r="BJ811" i="33"/>
  <c r="BG811" i="33"/>
  <c r="BF811" i="33"/>
  <c r="BE811" i="33"/>
  <c r="BD811" i="33"/>
  <c r="BC811" i="33"/>
  <c r="AZ811" i="33"/>
  <c r="AY811" i="33"/>
  <c r="AX811" i="33"/>
  <c r="AW811" i="33"/>
  <c r="AV811" i="33"/>
  <c r="AS811" i="33"/>
  <c r="AR811" i="33"/>
  <c r="AQ811" i="33"/>
  <c r="AP811" i="33"/>
  <c r="AO811" i="33"/>
  <c r="AL811" i="33"/>
  <c r="AK811" i="33"/>
  <c r="AJ811" i="33"/>
  <c r="AI811" i="33"/>
  <c r="AH811" i="33"/>
  <c r="J811" i="33"/>
  <c r="I811" i="33"/>
  <c r="H811" i="33"/>
  <c r="G811" i="33"/>
  <c r="F811" i="33"/>
  <c r="DE810" i="33"/>
  <c r="CX810" i="33"/>
  <c r="CJ810" i="33"/>
  <c r="CI810" i="33"/>
  <c r="J816" i="33" s="1"/>
  <c r="CI816" i="33" s="1"/>
  <c r="J822" i="33" s="1"/>
  <c r="CI822" i="33" s="1"/>
  <c r="J828" i="33" s="1"/>
  <c r="CI828" i="33" s="1"/>
  <c r="J834" i="33" s="1"/>
  <c r="CI834" i="33" s="1"/>
  <c r="CH810" i="33"/>
  <c r="I816" i="33" s="1"/>
  <c r="CH816" i="33" s="1"/>
  <c r="I822" i="33" s="1"/>
  <c r="CH822" i="33" s="1"/>
  <c r="I828" i="33" s="1"/>
  <c r="CH828" i="33" s="1"/>
  <c r="I834" i="33" s="1"/>
  <c r="CH834" i="33" s="1"/>
  <c r="CG810" i="33"/>
  <c r="H816" i="33" s="1"/>
  <c r="CG816" i="33" s="1"/>
  <c r="H822" i="33" s="1"/>
  <c r="CG822" i="33" s="1"/>
  <c r="H828" i="33" s="1"/>
  <c r="CG828" i="33" s="1"/>
  <c r="H834" i="33" s="1"/>
  <c r="CG834" i="33" s="1"/>
  <c r="CF810" i="33"/>
  <c r="G816" i="33" s="1"/>
  <c r="CF816" i="33" s="1"/>
  <c r="G822" i="33" s="1"/>
  <c r="CF822" i="33" s="1"/>
  <c r="G828" i="33" s="1"/>
  <c r="CF828" i="33" s="1"/>
  <c r="G834" i="33" s="1"/>
  <c r="CF834" i="33" s="1"/>
  <c r="CE810" i="33"/>
  <c r="F816" i="33" s="1"/>
  <c r="CC810" i="33"/>
  <c r="BV810" i="33"/>
  <c r="BO810" i="33"/>
  <c r="BH810" i="33"/>
  <c r="BA810" i="33"/>
  <c r="AT810" i="33"/>
  <c r="AM810" i="33"/>
  <c r="AF810" i="33"/>
  <c r="Y810" i="33"/>
  <c r="R810" i="33"/>
  <c r="K810" i="33"/>
  <c r="DE809" i="33"/>
  <c r="CX809" i="33"/>
  <c r="CI809" i="33"/>
  <c r="J815" i="33" s="1"/>
  <c r="CI815" i="33" s="1"/>
  <c r="J821" i="33" s="1"/>
  <c r="CI821" i="33" s="1"/>
  <c r="J827" i="33" s="1"/>
  <c r="CI827" i="33" s="1"/>
  <c r="J833" i="33" s="1"/>
  <c r="CI833" i="33" s="1"/>
  <c r="CH809" i="33"/>
  <c r="I815" i="33" s="1"/>
  <c r="CH815" i="33" s="1"/>
  <c r="I821" i="33" s="1"/>
  <c r="CH821" i="33" s="1"/>
  <c r="I827" i="33" s="1"/>
  <c r="CH827" i="33" s="1"/>
  <c r="I833" i="33" s="1"/>
  <c r="CH833" i="33" s="1"/>
  <c r="CG809" i="33"/>
  <c r="H815" i="33" s="1"/>
  <c r="CG815" i="33" s="1"/>
  <c r="H821" i="33" s="1"/>
  <c r="CG821" i="33" s="1"/>
  <c r="H827" i="33" s="1"/>
  <c r="CG827" i="33" s="1"/>
  <c r="H833" i="33" s="1"/>
  <c r="CG833" i="33" s="1"/>
  <c r="CF809" i="33"/>
  <c r="G815" i="33" s="1"/>
  <c r="CF815" i="33" s="1"/>
  <c r="G821" i="33" s="1"/>
  <c r="CF821" i="33" s="1"/>
  <c r="G827" i="33" s="1"/>
  <c r="CF827" i="33" s="1"/>
  <c r="G833" i="33" s="1"/>
  <c r="CF833" i="33" s="1"/>
  <c r="CE809" i="33"/>
  <c r="CJ809" i="33" s="1"/>
  <c r="CC809" i="33"/>
  <c r="BV809" i="33"/>
  <c r="BO809" i="33"/>
  <c r="BH809" i="33"/>
  <c r="BA809" i="33"/>
  <c r="AT809" i="33"/>
  <c r="AM809" i="33"/>
  <c r="AM811" i="33" s="1"/>
  <c r="AF809" i="33"/>
  <c r="Y809" i="33"/>
  <c r="R809" i="33"/>
  <c r="K809" i="33"/>
  <c r="DE808" i="33"/>
  <c r="CX808" i="33"/>
  <c r="CX811" i="33" s="1"/>
  <c r="CI808" i="33"/>
  <c r="J814" i="33" s="1"/>
  <c r="CI814" i="33" s="1"/>
  <c r="J820" i="33" s="1"/>
  <c r="CI820" i="33" s="1"/>
  <c r="J826" i="33" s="1"/>
  <c r="CI826" i="33" s="1"/>
  <c r="J832" i="33" s="1"/>
  <c r="CI832" i="33" s="1"/>
  <c r="CH808" i="33"/>
  <c r="CG808" i="33"/>
  <c r="CF808" i="33"/>
  <c r="CE808" i="33"/>
  <c r="F814" i="33" s="1"/>
  <c r="CC808" i="33"/>
  <c r="CC811" i="33" s="1"/>
  <c r="BV808" i="33"/>
  <c r="BV811" i="33" s="1"/>
  <c r="BO808" i="33"/>
  <c r="BH808" i="33"/>
  <c r="BA808" i="33"/>
  <c r="AT808" i="33"/>
  <c r="AM808" i="33"/>
  <c r="AF808" i="33"/>
  <c r="Y808" i="33"/>
  <c r="R808" i="33"/>
  <c r="K808" i="33"/>
  <c r="DE807" i="33"/>
  <c r="DE811" i="33" s="1"/>
  <c r="CX807" i="33"/>
  <c r="CI807" i="33"/>
  <c r="CH807" i="33"/>
  <c r="CH811" i="33" s="1"/>
  <c r="CG807" i="33"/>
  <c r="CF807" i="33"/>
  <c r="CE807" i="33"/>
  <c r="CC807" i="33"/>
  <c r="BV807" i="33"/>
  <c r="BO807" i="33"/>
  <c r="BH807" i="33"/>
  <c r="BH811" i="33" s="1"/>
  <c r="BA807" i="33"/>
  <c r="BA811" i="33" s="1"/>
  <c r="AT807" i="33"/>
  <c r="AT811" i="33" s="1"/>
  <c r="AM807" i="33"/>
  <c r="AF807" i="33"/>
  <c r="Y807" i="33"/>
  <c r="R807" i="33"/>
  <c r="K807" i="33"/>
  <c r="DE803" i="33"/>
  <c r="DD803" i="33"/>
  <c r="DC803" i="33"/>
  <c r="DB803" i="33"/>
  <c r="DA803" i="33"/>
  <c r="CZ803" i="33"/>
  <c r="CW803" i="33"/>
  <c r="CV803" i="33"/>
  <c r="CU803" i="33"/>
  <c r="CT803" i="33"/>
  <c r="CS803" i="33"/>
  <c r="CP803" i="33"/>
  <c r="CO803" i="33"/>
  <c r="CN803" i="33"/>
  <c r="CM803" i="33"/>
  <c r="CL803" i="33"/>
  <c r="CB803" i="33"/>
  <c r="CA803" i="33"/>
  <c r="BZ803" i="33"/>
  <c r="BY803" i="33"/>
  <c r="BX803" i="33"/>
  <c r="BU803" i="33"/>
  <c r="BT803" i="33"/>
  <c r="BS803" i="33"/>
  <c r="BR803" i="33"/>
  <c r="BQ803" i="33"/>
  <c r="BN803" i="33"/>
  <c r="BM803" i="33"/>
  <c r="BL803" i="33"/>
  <c r="BK803" i="33"/>
  <c r="BJ803" i="33"/>
  <c r="BG803" i="33"/>
  <c r="BF803" i="33"/>
  <c r="BE803" i="33"/>
  <c r="BD803" i="33"/>
  <c r="BC803" i="33"/>
  <c r="BA803" i="33"/>
  <c r="AZ803" i="33"/>
  <c r="AY803" i="33"/>
  <c r="AX803" i="33"/>
  <c r="AW803" i="33"/>
  <c r="AV803" i="33"/>
  <c r="AS803" i="33"/>
  <c r="AR803" i="33"/>
  <c r="AQ803" i="33"/>
  <c r="AP803" i="33"/>
  <c r="AO803" i="33"/>
  <c r="AL803" i="33"/>
  <c r="AK803" i="33"/>
  <c r="AJ803" i="33"/>
  <c r="AI803" i="33"/>
  <c r="AH803" i="33"/>
  <c r="DE802" i="33"/>
  <c r="CX802" i="33"/>
  <c r="CC802" i="33"/>
  <c r="BV802" i="33"/>
  <c r="BO802" i="33"/>
  <c r="BH802" i="33"/>
  <c r="BA802" i="33"/>
  <c r="AT802" i="33"/>
  <c r="AM802" i="33"/>
  <c r="AF802" i="33"/>
  <c r="Y802" i="33"/>
  <c r="R802" i="33"/>
  <c r="DE801" i="33"/>
  <c r="CX801" i="33"/>
  <c r="CC801" i="33"/>
  <c r="BV801" i="33"/>
  <c r="BO801" i="33"/>
  <c r="BH801" i="33"/>
  <c r="BA801" i="33"/>
  <c r="AT801" i="33"/>
  <c r="AM801" i="33"/>
  <c r="AF801" i="33"/>
  <c r="Y801" i="33"/>
  <c r="R801" i="33"/>
  <c r="DE800" i="33"/>
  <c r="CX800" i="33"/>
  <c r="CC800" i="33"/>
  <c r="BV800" i="33"/>
  <c r="BO800" i="33"/>
  <c r="BH800" i="33"/>
  <c r="BA800" i="33"/>
  <c r="AT800" i="33"/>
  <c r="AM800" i="33"/>
  <c r="AF800" i="33"/>
  <c r="Y800" i="33"/>
  <c r="R800" i="33"/>
  <c r="DE799" i="33"/>
  <c r="CX799" i="33"/>
  <c r="CX803" i="33" s="1"/>
  <c r="CC799" i="33"/>
  <c r="CC803" i="33" s="1"/>
  <c r="BV799" i="33"/>
  <c r="BV803" i="33" s="1"/>
  <c r="BO799" i="33"/>
  <c r="BH799" i="33"/>
  <c r="BH803" i="33" s="1"/>
  <c r="BA799" i="33"/>
  <c r="AT799" i="33"/>
  <c r="AM799" i="33"/>
  <c r="AF799" i="33"/>
  <c r="Y799" i="33"/>
  <c r="R799" i="33"/>
  <c r="DD797" i="33"/>
  <c r="DC797" i="33"/>
  <c r="DB797" i="33"/>
  <c r="DA797" i="33"/>
  <c r="CZ797" i="33"/>
  <c r="CW797" i="33"/>
  <c r="CV797" i="33"/>
  <c r="CU797" i="33"/>
  <c r="CT797" i="33"/>
  <c r="CS797" i="33"/>
  <c r="CP797" i="33"/>
  <c r="CO797" i="33"/>
  <c r="CN797" i="33"/>
  <c r="CM797" i="33"/>
  <c r="CL797" i="33"/>
  <c r="CB797" i="33"/>
  <c r="CA797" i="33"/>
  <c r="BZ797" i="33"/>
  <c r="BY797" i="33"/>
  <c r="BX797" i="33"/>
  <c r="BU797" i="33"/>
  <c r="BT797" i="33"/>
  <c r="BS797" i="33"/>
  <c r="BR797" i="33"/>
  <c r="BQ797" i="33"/>
  <c r="BN797" i="33"/>
  <c r="BM797" i="33"/>
  <c r="BL797" i="33"/>
  <c r="BK797" i="33"/>
  <c r="BJ797" i="33"/>
  <c r="BG797" i="33"/>
  <c r="BF797" i="33"/>
  <c r="BE797" i="33"/>
  <c r="BD797" i="33"/>
  <c r="BC797" i="33"/>
  <c r="AZ797" i="33"/>
  <c r="AY797" i="33"/>
  <c r="AX797" i="33"/>
  <c r="AW797" i="33"/>
  <c r="AV797" i="33"/>
  <c r="AS797" i="33"/>
  <c r="AR797" i="33"/>
  <c r="AQ797" i="33"/>
  <c r="AP797" i="33"/>
  <c r="AO797" i="33"/>
  <c r="AM797" i="33"/>
  <c r="AL797" i="33"/>
  <c r="AK797" i="33"/>
  <c r="AJ797" i="33"/>
  <c r="AI797" i="33"/>
  <c r="AH797" i="33"/>
  <c r="DE796" i="33"/>
  <c r="CX796" i="33"/>
  <c r="CC796" i="33"/>
  <c r="BV796" i="33"/>
  <c r="BO796" i="33"/>
  <c r="BH796" i="33"/>
  <c r="BA796" i="33"/>
  <c r="AT796" i="33"/>
  <c r="AM796" i="33"/>
  <c r="AF796" i="33"/>
  <c r="Y796" i="33"/>
  <c r="R796" i="33"/>
  <c r="J796" i="33"/>
  <c r="CI796" i="33" s="1"/>
  <c r="J802" i="33" s="1"/>
  <c r="CI802" i="33" s="1"/>
  <c r="DE795" i="33"/>
  <c r="CX795" i="33"/>
  <c r="CC795" i="33"/>
  <c r="BV795" i="33"/>
  <c r="BO795" i="33"/>
  <c r="BH795" i="33"/>
  <c r="BA795" i="33"/>
  <c r="AT795" i="33"/>
  <c r="AM795" i="33"/>
  <c r="AF795" i="33"/>
  <c r="Y795" i="33"/>
  <c r="R795" i="33"/>
  <c r="DE794" i="33"/>
  <c r="CX794" i="33"/>
  <c r="CC794" i="33"/>
  <c r="BV794" i="33"/>
  <c r="BO794" i="33"/>
  <c r="BH794" i="33"/>
  <c r="BA794" i="33"/>
  <c r="AT794" i="33"/>
  <c r="AM794" i="33"/>
  <c r="AF794" i="33"/>
  <c r="Y794" i="33"/>
  <c r="R794" i="33"/>
  <c r="DE793" i="33"/>
  <c r="DE797" i="33" s="1"/>
  <c r="CX793" i="33"/>
  <c r="CC793" i="33"/>
  <c r="CC797" i="33" s="1"/>
  <c r="BV793" i="33"/>
  <c r="BO793" i="33"/>
  <c r="BO797" i="33" s="1"/>
  <c r="BH793" i="33"/>
  <c r="BA793" i="33"/>
  <c r="BA797" i="33" s="1"/>
  <c r="AT793" i="33"/>
  <c r="AT797" i="33" s="1"/>
  <c r="AM793" i="33"/>
  <c r="AF793" i="33"/>
  <c r="Y793" i="33"/>
  <c r="R793" i="33"/>
  <c r="DD791" i="33"/>
  <c r="DC791" i="33"/>
  <c r="DB791" i="33"/>
  <c r="DA791" i="33"/>
  <c r="CZ791" i="33"/>
  <c r="CW791" i="33"/>
  <c r="CV791" i="33"/>
  <c r="CU791" i="33"/>
  <c r="CT791" i="33"/>
  <c r="CS791" i="33"/>
  <c r="CP791" i="33"/>
  <c r="CO791" i="33"/>
  <c r="CN791" i="33"/>
  <c r="CM791" i="33"/>
  <c r="CL791" i="33"/>
  <c r="CB791" i="33"/>
  <c r="CA791" i="33"/>
  <c r="BZ791" i="33"/>
  <c r="BY791" i="33"/>
  <c r="BX791" i="33"/>
  <c r="BU791" i="33"/>
  <c r="BT791" i="33"/>
  <c r="BS791" i="33"/>
  <c r="BR791" i="33"/>
  <c r="BQ791" i="33"/>
  <c r="BN791" i="33"/>
  <c r="BM791" i="33"/>
  <c r="BL791" i="33"/>
  <c r="BK791" i="33"/>
  <c r="BJ791" i="33"/>
  <c r="BG791" i="33"/>
  <c r="BF791" i="33"/>
  <c r="BE791" i="33"/>
  <c r="BD791" i="33"/>
  <c r="BC791" i="33"/>
  <c r="AZ791" i="33"/>
  <c r="AY791" i="33"/>
  <c r="AX791" i="33"/>
  <c r="AW791" i="33"/>
  <c r="AV791" i="33"/>
  <c r="AS791" i="33"/>
  <c r="AR791" i="33"/>
  <c r="AQ791" i="33"/>
  <c r="AP791" i="33"/>
  <c r="AO791" i="33"/>
  <c r="AM791" i="33"/>
  <c r="AL791" i="33"/>
  <c r="AK791" i="33"/>
  <c r="AJ791" i="33"/>
  <c r="AI791" i="33"/>
  <c r="AH791" i="33"/>
  <c r="DE790" i="33"/>
  <c r="CX790" i="33"/>
  <c r="CC790" i="33"/>
  <c r="BV790" i="33"/>
  <c r="BO790" i="33"/>
  <c r="BH790" i="33"/>
  <c r="BA790" i="33"/>
  <c r="AT790" i="33"/>
  <c r="AM790" i="33"/>
  <c r="AF790" i="33"/>
  <c r="Y790" i="33"/>
  <c r="R790" i="33"/>
  <c r="DE789" i="33"/>
  <c r="CX789" i="33"/>
  <c r="CC789" i="33"/>
  <c r="BV789" i="33"/>
  <c r="BO789" i="33"/>
  <c r="BH789" i="33"/>
  <c r="BA789" i="33"/>
  <c r="AT789" i="33"/>
  <c r="AM789" i="33"/>
  <c r="AF789" i="33"/>
  <c r="Y789" i="33"/>
  <c r="R789" i="33"/>
  <c r="DE788" i="33"/>
  <c r="CX788" i="33"/>
  <c r="CC788" i="33"/>
  <c r="BV788" i="33"/>
  <c r="BO788" i="33"/>
  <c r="BH788" i="33"/>
  <c r="BH791" i="33" s="1"/>
  <c r="BA788" i="33"/>
  <c r="AT788" i="33"/>
  <c r="AM788" i="33"/>
  <c r="AF788" i="33"/>
  <c r="Y788" i="33"/>
  <c r="R788" i="33"/>
  <c r="I788" i="33"/>
  <c r="CH788" i="33" s="1"/>
  <c r="I794" i="33" s="1"/>
  <c r="CH794" i="33" s="1"/>
  <c r="I800" i="33" s="1"/>
  <c r="CH800" i="33" s="1"/>
  <c r="DE787" i="33"/>
  <c r="DE791" i="33" s="1"/>
  <c r="CX787" i="33"/>
  <c r="CX791" i="33" s="1"/>
  <c r="CC787" i="33"/>
  <c r="CC791" i="33" s="1"/>
  <c r="BV787" i="33"/>
  <c r="BV791" i="33" s="1"/>
  <c r="BO787" i="33"/>
  <c r="BH787" i="33"/>
  <c r="BA787" i="33"/>
  <c r="AT787" i="33"/>
  <c r="AM787" i="33"/>
  <c r="AF787" i="33"/>
  <c r="Y787" i="33"/>
  <c r="R787" i="33"/>
  <c r="DE785" i="33"/>
  <c r="DD785" i="33"/>
  <c r="DC785" i="33"/>
  <c r="DB785" i="33"/>
  <c r="DA785" i="33"/>
  <c r="CZ785" i="33"/>
  <c r="CW785" i="33"/>
  <c r="CV785" i="33"/>
  <c r="CU785" i="33"/>
  <c r="CT785" i="33"/>
  <c r="CS785" i="33"/>
  <c r="CP785" i="33"/>
  <c r="CO785" i="33"/>
  <c r="CN785" i="33"/>
  <c r="CM785" i="33"/>
  <c r="CL785" i="33"/>
  <c r="CB785" i="33"/>
  <c r="CA785" i="33"/>
  <c r="BZ785" i="33"/>
  <c r="BY785" i="33"/>
  <c r="BX785" i="33"/>
  <c r="BU785" i="33"/>
  <c r="BT785" i="33"/>
  <c r="BS785" i="33"/>
  <c r="BR785" i="33"/>
  <c r="BQ785" i="33"/>
  <c r="BN785" i="33"/>
  <c r="BM785" i="33"/>
  <c r="BL785" i="33"/>
  <c r="BK785" i="33"/>
  <c r="BJ785" i="33"/>
  <c r="BG785" i="33"/>
  <c r="BF785" i="33"/>
  <c r="BE785" i="33"/>
  <c r="BD785" i="33"/>
  <c r="BC785" i="33"/>
  <c r="BA785" i="33"/>
  <c r="AZ785" i="33"/>
  <c r="AY785" i="33"/>
  <c r="AX785" i="33"/>
  <c r="AW785" i="33"/>
  <c r="AV785" i="33"/>
  <c r="AS785" i="33"/>
  <c r="AR785" i="33"/>
  <c r="AQ785" i="33"/>
  <c r="AP785" i="33"/>
  <c r="AO785" i="33"/>
  <c r="AL785" i="33"/>
  <c r="AK785" i="33"/>
  <c r="AJ785" i="33"/>
  <c r="AI785" i="33"/>
  <c r="AH785" i="33"/>
  <c r="DE784" i="33"/>
  <c r="CX784" i="33"/>
  <c r="CF784" i="33"/>
  <c r="G790" i="33" s="1"/>
  <c r="CC784" i="33"/>
  <c r="BV784" i="33"/>
  <c r="BO784" i="33"/>
  <c r="BH784" i="33"/>
  <c r="BA784" i="33"/>
  <c r="AT784" i="33"/>
  <c r="AM784" i="33"/>
  <c r="AF784" i="33"/>
  <c r="Y784" i="33"/>
  <c r="R784" i="33"/>
  <c r="K784" i="33"/>
  <c r="J784" i="33"/>
  <c r="CI784" i="33" s="1"/>
  <c r="J790" i="33" s="1"/>
  <c r="CI790" i="33" s="1"/>
  <c r="H784" i="33"/>
  <c r="CG784" i="33" s="1"/>
  <c r="H790" i="33" s="1"/>
  <c r="CG790" i="33" s="1"/>
  <c r="H796" i="33" s="1"/>
  <c r="CG796" i="33" s="1"/>
  <c r="H802" i="33" s="1"/>
  <c r="CG802" i="33" s="1"/>
  <c r="G784" i="33"/>
  <c r="F784" i="33"/>
  <c r="CE784" i="33" s="1"/>
  <c r="F790" i="33" s="1"/>
  <c r="CE790" i="33" s="1"/>
  <c r="F796" i="33" s="1"/>
  <c r="DE783" i="33"/>
  <c r="CX783" i="33"/>
  <c r="CC783" i="33"/>
  <c r="BV783" i="33"/>
  <c r="BO783" i="33"/>
  <c r="BO785" i="33" s="1"/>
  <c r="BH783" i="33"/>
  <c r="BA783" i="33"/>
  <c r="AT783" i="33"/>
  <c r="AM783" i="33"/>
  <c r="AF783" i="33"/>
  <c r="Y783" i="33"/>
  <c r="R783" i="33"/>
  <c r="J783" i="33"/>
  <c r="CI783" i="33" s="1"/>
  <c r="J789" i="33" s="1"/>
  <c r="CI789" i="33" s="1"/>
  <c r="J795" i="33" s="1"/>
  <c r="CI795" i="33" s="1"/>
  <c r="J801" i="33" s="1"/>
  <c r="CI801" i="33" s="1"/>
  <c r="G783" i="33"/>
  <c r="DE782" i="33"/>
  <c r="CX782" i="33"/>
  <c r="CI782" i="33"/>
  <c r="J788" i="33" s="1"/>
  <c r="CI788" i="33" s="1"/>
  <c r="J794" i="33" s="1"/>
  <c r="CI794" i="33" s="1"/>
  <c r="J800" i="33" s="1"/>
  <c r="CI800" i="33" s="1"/>
  <c r="CG782" i="33"/>
  <c r="CC782" i="33"/>
  <c r="CC785" i="33" s="1"/>
  <c r="BV782" i="33"/>
  <c r="BO782" i="33"/>
  <c r="BH782" i="33"/>
  <c r="BA782" i="33"/>
  <c r="AT782" i="33"/>
  <c r="AM782" i="33"/>
  <c r="AF782" i="33"/>
  <c r="Y782" i="33"/>
  <c r="R782" i="33"/>
  <c r="J782" i="33"/>
  <c r="J785" i="33" s="1"/>
  <c r="DE781" i="33"/>
  <c r="CX781" i="33"/>
  <c r="CX785" i="33" s="1"/>
  <c r="CC781" i="33"/>
  <c r="BV781" i="33"/>
  <c r="BO781" i="33"/>
  <c r="BH781" i="33"/>
  <c r="BH785" i="33" s="1"/>
  <c r="BA781" i="33"/>
  <c r="AT781" i="33"/>
  <c r="AM781" i="33"/>
  <c r="AM785" i="33" s="1"/>
  <c r="AF781" i="33"/>
  <c r="Y781" i="33"/>
  <c r="R781" i="33"/>
  <c r="J781" i="33"/>
  <c r="CI781" i="33" s="1"/>
  <c r="H781" i="33"/>
  <c r="F781" i="33"/>
  <c r="F785" i="33" s="1"/>
  <c r="DD779" i="33"/>
  <c r="DC779" i="33"/>
  <c r="DB779" i="33"/>
  <c r="DA779" i="33"/>
  <c r="CZ779" i="33"/>
  <c r="CW779" i="33"/>
  <c r="CV779" i="33"/>
  <c r="CU779" i="33"/>
  <c r="CT779" i="33"/>
  <c r="CS779" i="33"/>
  <c r="CP779" i="33"/>
  <c r="CO779" i="33"/>
  <c r="CN779" i="33"/>
  <c r="CM779" i="33"/>
  <c r="CL779" i="33"/>
  <c r="CI779" i="33"/>
  <c r="CE779" i="33"/>
  <c r="CB779" i="33"/>
  <c r="CA779" i="33"/>
  <c r="BZ779" i="33"/>
  <c r="BY779" i="33"/>
  <c r="BX779" i="33"/>
  <c r="BU779" i="33"/>
  <c r="BT779" i="33"/>
  <c r="BS779" i="33"/>
  <c r="BR779" i="33"/>
  <c r="BQ779" i="33"/>
  <c r="BN779" i="33"/>
  <c r="BM779" i="33"/>
  <c r="BL779" i="33"/>
  <c r="BK779" i="33"/>
  <c r="BJ779" i="33"/>
  <c r="BH779" i="33"/>
  <c r="BG779" i="33"/>
  <c r="BF779" i="33"/>
  <c r="BE779" i="33"/>
  <c r="BD779" i="33"/>
  <c r="BC779" i="33"/>
  <c r="AZ779" i="33"/>
  <c r="AY779" i="33"/>
  <c r="AX779" i="33"/>
  <c r="AW779" i="33"/>
  <c r="AV779" i="33"/>
  <c r="AS779" i="33"/>
  <c r="AR779" i="33"/>
  <c r="AQ779" i="33"/>
  <c r="AP779" i="33"/>
  <c r="AO779" i="33"/>
  <c r="AL779" i="33"/>
  <c r="AK779" i="33"/>
  <c r="AJ779" i="33"/>
  <c r="AI779" i="33"/>
  <c r="AH779" i="33"/>
  <c r="J779" i="33"/>
  <c r="I779" i="33"/>
  <c r="H779" i="33"/>
  <c r="G779" i="33"/>
  <c r="F779" i="33"/>
  <c r="DE778" i="33"/>
  <c r="CX778" i="33"/>
  <c r="CJ778" i="33"/>
  <c r="CI778" i="33"/>
  <c r="CH778" i="33"/>
  <c r="I784" i="33" s="1"/>
  <c r="CH784" i="33" s="1"/>
  <c r="I790" i="33" s="1"/>
  <c r="CH790" i="33" s="1"/>
  <c r="I796" i="33" s="1"/>
  <c r="CH796" i="33" s="1"/>
  <c r="I802" i="33" s="1"/>
  <c r="CH802" i="33" s="1"/>
  <c r="CG778" i="33"/>
  <c r="CF778" i="33"/>
  <c r="CE778" i="33"/>
  <c r="CC778" i="33"/>
  <c r="BV778" i="33"/>
  <c r="BO778" i="33"/>
  <c r="BH778" i="33"/>
  <c r="BA778" i="33"/>
  <c r="AT778" i="33"/>
  <c r="AM778" i="33"/>
  <c r="AF778" i="33"/>
  <c r="Y778" i="33"/>
  <c r="R778" i="33"/>
  <c r="K778" i="33"/>
  <c r="DE777" i="33"/>
  <c r="CX777" i="33"/>
  <c r="CI777" i="33"/>
  <c r="CH777" i="33"/>
  <c r="I783" i="33" s="1"/>
  <c r="CH783" i="33" s="1"/>
  <c r="I789" i="33" s="1"/>
  <c r="CH789" i="33" s="1"/>
  <c r="I795" i="33" s="1"/>
  <c r="CH795" i="33" s="1"/>
  <c r="I801" i="33" s="1"/>
  <c r="CH801" i="33" s="1"/>
  <c r="CG777" i="33"/>
  <c r="H783" i="33" s="1"/>
  <c r="CG783" i="33" s="1"/>
  <c r="H789" i="33" s="1"/>
  <c r="CG789" i="33" s="1"/>
  <c r="H795" i="33" s="1"/>
  <c r="CG795" i="33" s="1"/>
  <c r="H801" i="33" s="1"/>
  <c r="CG801" i="33" s="1"/>
  <c r="CF777" i="33"/>
  <c r="CE777" i="33"/>
  <c r="F783" i="33" s="1"/>
  <c r="CE783" i="33" s="1"/>
  <c r="F789" i="33" s="1"/>
  <c r="CE789" i="33" s="1"/>
  <c r="F795" i="33" s="1"/>
  <c r="CE795" i="33" s="1"/>
  <c r="F801" i="33" s="1"/>
  <c r="CE801" i="33" s="1"/>
  <c r="CC777" i="33"/>
  <c r="BV777" i="33"/>
  <c r="BO777" i="33"/>
  <c r="BH777" i="33"/>
  <c r="BA777" i="33"/>
  <c r="AT777" i="33"/>
  <c r="AM777" i="33"/>
  <c r="AF777" i="33"/>
  <c r="Y777" i="33"/>
  <c r="R777" i="33"/>
  <c r="K777" i="33"/>
  <c r="DE776" i="33"/>
  <c r="CX776" i="33"/>
  <c r="CX779" i="33" s="1"/>
  <c r="CI776" i="33"/>
  <c r="CH776" i="33"/>
  <c r="I782" i="33" s="1"/>
  <c r="CH782" i="33" s="1"/>
  <c r="CG776" i="33"/>
  <c r="H782" i="33" s="1"/>
  <c r="CF776" i="33"/>
  <c r="G782" i="33" s="1"/>
  <c r="CF782" i="33" s="1"/>
  <c r="G788" i="33" s="1"/>
  <c r="CF788" i="33" s="1"/>
  <c r="G794" i="33" s="1"/>
  <c r="CF794" i="33" s="1"/>
  <c r="G800" i="33" s="1"/>
  <c r="CF800" i="33" s="1"/>
  <c r="CE776" i="33"/>
  <c r="F782" i="33" s="1"/>
  <c r="CE782" i="33" s="1"/>
  <c r="F788" i="33" s="1"/>
  <c r="CE788" i="33" s="1"/>
  <c r="F794" i="33" s="1"/>
  <c r="CE794" i="33" s="1"/>
  <c r="F800" i="33" s="1"/>
  <c r="CE800" i="33" s="1"/>
  <c r="CC776" i="33"/>
  <c r="BV776" i="33"/>
  <c r="BO776" i="33"/>
  <c r="BH776" i="33"/>
  <c r="BA776" i="33"/>
  <c r="AT776" i="33"/>
  <c r="AM776" i="33"/>
  <c r="AF776" i="33"/>
  <c r="Y776" i="33"/>
  <c r="R776" i="33"/>
  <c r="K776" i="33"/>
  <c r="K779" i="33" s="1"/>
  <c r="DE775" i="33"/>
  <c r="DE779" i="33" s="1"/>
  <c r="CX775" i="33"/>
  <c r="CI775" i="33"/>
  <c r="CH775" i="33"/>
  <c r="CG775" i="33"/>
  <c r="CF775" i="33"/>
  <c r="CE775" i="33"/>
  <c r="CC775" i="33"/>
  <c r="BV775" i="33"/>
  <c r="BO775" i="33"/>
  <c r="BH775" i="33"/>
  <c r="BA775" i="33"/>
  <c r="AT775" i="33"/>
  <c r="AM775" i="33"/>
  <c r="AM779" i="33" s="1"/>
  <c r="AF775" i="33"/>
  <c r="Y775" i="33"/>
  <c r="R775" i="33"/>
  <c r="K775" i="33"/>
  <c r="DD771" i="33"/>
  <c r="DC771" i="33"/>
  <c r="DB771" i="33"/>
  <c r="DA771" i="33"/>
  <c r="CZ771" i="33"/>
  <c r="CW771" i="33"/>
  <c r="CV771" i="33"/>
  <c r="CU771" i="33"/>
  <c r="CT771" i="33"/>
  <c r="CS771" i="33"/>
  <c r="CP771" i="33"/>
  <c r="CO771" i="33"/>
  <c r="CN771" i="33"/>
  <c r="CM771" i="33"/>
  <c r="CL771" i="33"/>
  <c r="CB771" i="33"/>
  <c r="CA771" i="33"/>
  <c r="BZ771" i="33"/>
  <c r="BY771" i="33"/>
  <c r="BX771" i="33"/>
  <c r="BU771" i="33"/>
  <c r="BT771" i="33"/>
  <c r="BS771" i="33"/>
  <c r="BR771" i="33"/>
  <c r="BQ771" i="33"/>
  <c r="BN771" i="33"/>
  <c r="BM771" i="33"/>
  <c r="BL771" i="33"/>
  <c r="BK771" i="33"/>
  <c r="BJ771" i="33"/>
  <c r="BG771" i="33"/>
  <c r="BF771" i="33"/>
  <c r="BE771" i="33"/>
  <c r="BD771" i="33"/>
  <c r="BC771" i="33"/>
  <c r="AZ771" i="33"/>
  <c r="AY771" i="33"/>
  <c r="AX771" i="33"/>
  <c r="AW771" i="33"/>
  <c r="AV771" i="33"/>
  <c r="AS771" i="33"/>
  <c r="AR771" i="33"/>
  <c r="AQ771" i="33"/>
  <c r="AP771" i="33"/>
  <c r="AO771" i="33"/>
  <c r="AL771" i="33"/>
  <c r="AK771" i="33"/>
  <c r="AJ771" i="33"/>
  <c r="AI771" i="33"/>
  <c r="AH771" i="33"/>
  <c r="DE770" i="33"/>
  <c r="CX770" i="33"/>
  <c r="CG770" i="33"/>
  <c r="CC770" i="33"/>
  <c r="BV770" i="33"/>
  <c r="BO770" i="33"/>
  <c r="BH770" i="33"/>
  <c r="BA770" i="33"/>
  <c r="AT770" i="33"/>
  <c r="AM770" i="33"/>
  <c r="AF770" i="33"/>
  <c r="Y770" i="33"/>
  <c r="R770" i="33"/>
  <c r="DE769" i="33"/>
  <c r="CX769" i="33"/>
  <c r="CX771" i="33" s="1"/>
  <c r="CC769" i="33"/>
  <c r="BV769" i="33"/>
  <c r="BO769" i="33"/>
  <c r="BH769" i="33"/>
  <c r="BA769" i="33"/>
  <c r="AT769" i="33"/>
  <c r="AM769" i="33"/>
  <c r="AF769" i="33"/>
  <c r="Y769" i="33"/>
  <c r="R769" i="33"/>
  <c r="DE768" i="33"/>
  <c r="CX768" i="33"/>
  <c r="CC768" i="33"/>
  <c r="BV768" i="33"/>
  <c r="BO768" i="33"/>
  <c r="BH768" i="33"/>
  <c r="BA768" i="33"/>
  <c r="AT768" i="33"/>
  <c r="AM768" i="33"/>
  <c r="AF768" i="33"/>
  <c r="Y768" i="33"/>
  <c r="R768" i="33"/>
  <c r="DE767" i="33"/>
  <c r="CX767" i="33"/>
  <c r="CC767" i="33"/>
  <c r="BV767" i="33"/>
  <c r="BV771" i="33" s="1"/>
  <c r="BO767" i="33"/>
  <c r="BO771" i="33" s="1"/>
  <c r="BH767" i="33"/>
  <c r="BH771" i="33" s="1"/>
  <c r="BA767" i="33"/>
  <c r="AT767" i="33"/>
  <c r="AT771" i="33" s="1"/>
  <c r="AM767" i="33"/>
  <c r="AF767" i="33"/>
  <c r="Y767" i="33"/>
  <c r="R767" i="33"/>
  <c r="DD765" i="33"/>
  <c r="DC765" i="33"/>
  <c r="DB765" i="33"/>
  <c r="DA765" i="33"/>
  <c r="CZ765" i="33"/>
  <c r="CW765" i="33"/>
  <c r="CV765" i="33"/>
  <c r="CU765" i="33"/>
  <c r="CT765" i="33"/>
  <c r="CS765" i="33"/>
  <c r="CP765" i="33"/>
  <c r="CO765" i="33"/>
  <c r="CN765" i="33"/>
  <c r="CM765" i="33"/>
  <c r="CL765" i="33"/>
  <c r="CB765" i="33"/>
  <c r="CA765" i="33"/>
  <c r="BZ765" i="33"/>
  <c r="BY765" i="33"/>
  <c r="BX765" i="33"/>
  <c r="BU765" i="33"/>
  <c r="BT765" i="33"/>
  <c r="BS765" i="33"/>
  <c r="BR765" i="33"/>
  <c r="BQ765" i="33"/>
  <c r="BN765" i="33"/>
  <c r="BM765" i="33"/>
  <c r="BL765" i="33"/>
  <c r="BK765" i="33"/>
  <c r="BJ765" i="33"/>
  <c r="BG765" i="33"/>
  <c r="BF765" i="33"/>
  <c r="BE765" i="33"/>
  <c r="BD765" i="33"/>
  <c r="BC765" i="33"/>
  <c r="AZ765" i="33"/>
  <c r="AY765" i="33"/>
  <c r="AX765" i="33"/>
  <c r="AW765" i="33"/>
  <c r="AV765" i="33"/>
  <c r="AS765" i="33"/>
  <c r="AR765" i="33"/>
  <c r="AQ765" i="33"/>
  <c r="AP765" i="33"/>
  <c r="AO765" i="33"/>
  <c r="AL765" i="33"/>
  <c r="AK765" i="33"/>
  <c r="AJ765" i="33"/>
  <c r="AI765" i="33"/>
  <c r="AH765" i="33"/>
  <c r="DE764" i="33"/>
  <c r="CX764" i="33"/>
  <c r="CC764" i="33"/>
  <c r="BV764" i="33"/>
  <c r="BO764" i="33"/>
  <c r="BH764" i="33"/>
  <c r="BA764" i="33"/>
  <c r="AT764" i="33"/>
  <c r="AM764" i="33"/>
  <c r="AF764" i="33"/>
  <c r="Y764" i="33"/>
  <c r="R764" i="33"/>
  <c r="DE763" i="33"/>
  <c r="CX763" i="33"/>
  <c r="CC763" i="33"/>
  <c r="BV763" i="33"/>
  <c r="BV765" i="33" s="1"/>
  <c r="BO763" i="33"/>
  <c r="BH763" i="33"/>
  <c r="BA763" i="33"/>
  <c r="AT763" i="33"/>
  <c r="AT765" i="33" s="1"/>
  <c r="AM763" i="33"/>
  <c r="AF763" i="33"/>
  <c r="Y763" i="33"/>
  <c r="R763" i="33"/>
  <c r="DE762" i="33"/>
  <c r="CX762" i="33"/>
  <c r="CX765" i="33" s="1"/>
  <c r="CC762" i="33"/>
  <c r="BV762" i="33"/>
  <c r="BO762" i="33"/>
  <c r="BH762" i="33"/>
  <c r="BA762" i="33"/>
  <c r="AT762" i="33"/>
  <c r="AM762" i="33"/>
  <c r="AF762" i="33"/>
  <c r="Y762" i="33"/>
  <c r="R762" i="33"/>
  <c r="DE761" i="33"/>
  <c r="DE765" i="33" s="1"/>
  <c r="CX761" i="33"/>
  <c r="CC761" i="33"/>
  <c r="CC765" i="33" s="1"/>
  <c r="BV761" i="33"/>
  <c r="BO761" i="33"/>
  <c r="BO765" i="33" s="1"/>
  <c r="BH761" i="33"/>
  <c r="BH765" i="33" s="1"/>
  <c r="BA761" i="33"/>
  <c r="AT761" i="33"/>
  <c r="AM761" i="33"/>
  <c r="AF761" i="33"/>
  <c r="Y761" i="33"/>
  <c r="R761" i="33"/>
  <c r="DD759" i="33"/>
  <c r="DC759" i="33"/>
  <c r="DB759" i="33"/>
  <c r="DA759" i="33"/>
  <c r="CZ759" i="33"/>
  <c r="CW759" i="33"/>
  <c r="CV759" i="33"/>
  <c r="CU759" i="33"/>
  <c r="CT759" i="33"/>
  <c r="CS759" i="33"/>
  <c r="CP759" i="33"/>
  <c r="CO759" i="33"/>
  <c r="CN759" i="33"/>
  <c r="CM759" i="33"/>
  <c r="CL759" i="33"/>
  <c r="CB759" i="33"/>
  <c r="CA759" i="33"/>
  <c r="BZ759" i="33"/>
  <c r="BY759" i="33"/>
  <c r="BX759" i="33"/>
  <c r="BU759" i="33"/>
  <c r="BT759" i="33"/>
  <c r="BS759" i="33"/>
  <c r="BR759" i="33"/>
  <c r="BQ759" i="33"/>
  <c r="BN759" i="33"/>
  <c r="BM759" i="33"/>
  <c r="BL759" i="33"/>
  <c r="BK759" i="33"/>
  <c r="BJ759" i="33"/>
  <c r="BG759" i="33"/>
  <c r="BF759" i="33"/>
  <c r="BE759" i="33"/>
  <c r="BD759" i="33"/>
  <c r="BC759" i="33"/>
  <c r="AZ759" i="33"/>
  <c r="AY759" i="33"/>
  <c r="AX759" i="33"/>
  <c r="AW759" i="33"/>
  <c r="AV759" i="33"/>
  <c r="AT759" i="33"/>
  <c r="AS759" i="33"/>
  <c r="AR759" i="33"/>
  <c r="AQ759" i="33"/>
  <c r="AP759" i="33"/>
  <c r="AO759" i="33"/>
  <c r="AL759" i="33"/>
  <c r="AK759" i="33"/>
  <c r="AJ759" i="33"/>
  <c r="AI759" i="33"/>
  <c r="AH759" i="33"/>
  <c r="DE758" i="33"/>
  <c r="CX758" i="33"/>
  <c r="CF758" i="33"/>
  <c r="G764" i="33" s="1"/>
  <c r="CF764" i="33" s="1"/>
  <c r="G770" i="33" s="1"/>
  <c r="CF770" i="33" s="1"/>
  <c r="CC758" i="33"/>
  <c r="BV758" i="33"/>
  <c r="BO758" i="33"/>
  <c r="BH758" i="33"/>
  <c r="BA758" i="33"/>
  <c r="AT758" i="33"/>
  <c r="AM758" i="33"/>
  <c r="AF758" i="33"/>
  <c r="Y758" i="33"/>
  <c r="R758" i="33"/>
  <c r="DE757" i="33"/>
  <c r="CX757" i="33"/>
  <c r="CC757" i="33"/>
  <c r="BV757" i="33"/>
  <c r="BO757" i="33"/>
  <c r="BH757" i="33"/>
  <c r="BA757" i="33"/>
  <c r="AT757" i="33"/>
  <c r="AM757" i="33"/>
  <c r="AF757" i="33"/>
  <c r="Y757" i="33"/>
  <c r="R757" i="33"/>
  <c r="DE756" i="33"/>
  <c r="CX756" i="33"/>
  <c r="CC756" i="33"/>
  <c r="BV756" i="33"/>
  <c r="BO756" i="33"/>
  <c r="BH756" i="33"/>
  <c r="BA756" i="33"/>
  <c r="AT756" i="33"/>
  <c r="AM756" i="33"/>
  <c r="AF756" i="33"/>
  <c r="Y756" i="33"/>
  <c r="R756" i="33"/>
  <c r="DE755" i="33"/>
  <c r="DE759" i="33" s="1"/>
  <c r="CX755" i="33"/>
  <c r="CC755" i="33"/>
  <c r="CC759" i="33" s="1"/>
  <c r="BV755" i="33"/>
  <c r="BO755" i="33"/>
  <c r="BO759" i="33" s="1"/>
  <c r="BH755" i="33"/>
  <c r="BH759" i="33" s="1"/>
  <c r="BA755" i="33"/>
  <c r="AT755" i="33"/>
  <c r="AM755" i="33"/>
  <c r="AF755" i="33"/>
  <c r="Y755" i="33"/>
  <c r="R755" i="33"/>
  <c r="DD753" i="33"/>
  <c r="DC753" i="33"/>
  <c r="DB753" i="33"/>
  <c r="DA753" i="33"/>
  <c r="CZ753" i="33"/>
  <c r="CW753" i="33"/>
  <c r="CV753" i="33"/>
  <c r="CU753" i="33"/>
  <c r="CT753" i="33"/>
  <c r="CS753" i="33"/>
  <c r="CP753" i="33"/>
  <c r="CO753" i="33"/>
  <c r="CN753" i="33"/>
  <c r="CM753" i="33"/>
  <c r="CL753" i="33"/>
  <c r="CB753" i="33"/>
  <c r="CA753" i="33"/>
  <c r="BZ753" i="33"/>
  <c r="BY753" i="33"/>
  <c r="BX753" i="33"/>
  <c r="BU753" i="33"/>
  <c r="BT753" i="33"/>
  <c r="BS753" i="33"/>
  <c r="BR753" i="33"/>
  <c r="BQ753" i="33"/>
  <c r="BN753" i="33"/>
  <c r="BM753" i="33"/>
  <c r="BL753" i="33"/>
  <c r="BK753" i="33"/>
  <c r="BJ753" i="33"/>
  <c r="BG753" i="33"/>
  <c r="BF753" i="33"/>
  <c r="BE753" i="33"/>
  <c r="BD753" i="33"/>
  <c r="BC753" i="33"/>
  <c r="AZ753" i="33"/>
  <c r="AY753" i="33"/>
  <c r="AX753" i="33"/>
  <c r="AW753" i="33"/>
  <c r="AV753" i="33"/>
  <c r="AS753" i="33"/>
  <c r="AR753" i="33"/>
  <c r="AQ753" i="33"/>
  <c r="AP753" i="33"/>
  <c r="AO753" i="33"/>
  <c r="AL753" i="33"/>
  <c r="AK753" i="33"/>
  <c r="AJ753" i="33"/>
  <c r="AI753" i="33"/>
  <c r="AH753" i="33"/>
  <c r="DE752" i="33"/>
  <c r="CX752" i="33"/>
  <c r="CC752" i="33"/>
  <c r="BV752" i="33"/>
  <c r="BO752" i="33"/>
  <c r="BH752" i="33"/>
  <c r="BH753" i="33" s="1"/>
  <c r="BA752" i="33"/>
  <c r="AT752" i="33"/>
  <c r="AM752" i="33"/>
  <c r="AF752" i="33"/>
  <c r="Y752" i="33"/>
  <c r="R752" i="33"/>
  <c r="H752" i="33"/>
  <c r="CG752" i="33" s="1"/>
  <c r="H758" i="33" s="1"/>
  <c r="CG758" i="33" s="1"/>
  <c r="H764" i="33" s="1"/>
  <c r="CG764" i="33" s="1"/>
  <c r="H770" i="33" s="1"/>
  <c r="DE751" i="33"/>
  <c r="CX751" i="33"/>
  <c r="CC751" i="33"/>
  <c r="BV751" i="33"/>
  <c r="BO751" i="33"/>
  <c r="BH751" i="33"/>
  <c r="BA751" i="33"/>
  <c r="BA753" i="33" s="1"/>
  <c r="AT751" i="33"/>
  <c r="AM751" i="33"/>
  <c r="AF751" i="33"/>
  <c r="Y751" i="33"/>
  <c r="R751" i="33"/>
  <c r="I751" i="33"/>
  <c r="I753" i="33" s="1"/>
  <c r="DE750" i="33"/>
  <c r="CX750" i="33"/>
  <c r="CC750" i="33"/>
  <c r="BV750" i="33"/>
  <c r="BV753" i="33" s="1"/>
  <c r="BO750" i="33"/>
  <c r="BH750" i="33"/>
  <c r="BA750" i="33"/>
  <c r="AT750" i="33"/>
  <c r="AT753" i="33" s="1"/>
  <c r="AM750" i="33"/>
  <c r="AF750" i="33"/>
  <c r="Y750" i="33"/>
  <c r="R750" i="33"/>
  <c r="J750" i="33"/>
  <c r="I750" i="33"/>
  <c r="CH750" i="33" s="1"/>
  <c r="I756" i="33" s="1"/>
  <c r="CH756" i="33" s="1"/>
  <c r="I762" i="33" s="1"/>
  <c r="CH762" i="33" s="1"/>
  <c r="I768" i="33" s="1"/>
  <c r="CH768" i="33" s="1"/>
  <c r="DE749" i="33"/>
  <c r="DE753" i="33" s="1"/>
  <c r="CX749" i="33"/>
  <c r="CX753" i="33" s="1"/>
  <c r="CC749" i="33"/>
  <c r="CC753" i="33" s="1"/>
  <c r="BV749" i="33"/>
  <c r="BO749" i="33"/>
  <c r="BH749" i="33"/>
  <c r="BA749" i="33"/>
  <c r="AT749" i="33"/>
  <c r="AM749" i="33"/>
  <c r="AM753" i="33" s="1"/>
  <c r="AF749" i="33"/>
  <c r="Y749" i="33"/>
  <c r="R749" i="33"/>
  <c r="I749" i="33"/>
  <c r="CH749" i="33" s="1"/>
  <c r="DD747" i="33"/>
  <c r="DC747" i="33"/>
  <c r="DB747" i="33"/>
  <c r="DA747" i="33"/>
  <c r="CZ747" i="33"/>
  <c r="CX747" i="33"/>
  <c r="CW747" i="33"/>
  <c r="CV747" i="33"/>
  <c r="CU747" i="33"/>
  <c r="CT747" i="33"/>
  <c r="CS747" i="33"/>
  <c r="CP747" i="33"/>
  <c r="CO747" i="33"/>
  <c r="CN747" i="33"/>
  <c r="CM747" i="33"/>
  <c r="CL747" i="33"/>
  <c r="CH747" i="33"/>
  <c r="CC747" i="33"/>
  <c r="CB747" i="33"/>
  <c r="CA747" i="33"/>
  <c r="BZ747" i="33"/>
  <c r="BY747" i="33"/>
  <c r="BX747" i="33"/>
  <c r="BU747" i="33"/>
  <c r="BT747" i="33"/>
  <c r="BS747" i="33"/>
  <c r="BR747" i="33"/>
  <c r="BQ747" i="33"/>
  <c r="BN747" i="33"/>
  <c r="BM747" i="33"/>
  <c r="BL747" i="33"/>
  <c r="BK747" i="33"/>
  <c r="BJ747" i="33"/>
  <c r="BG747" i="33"/>
  <c r="BF747" i="33"/>
  <c r="BE747" i="33"/>
  <c r="BD747" i="33"/>
  <c r="BC747" i="33"/>
  <c r="BA747" i="33"/>
  <c r="AZ747" i="33"/>
  <c r="AY747" i="33"/>
  <c r="AX747" i="33"/>
  <c r="AW747" i="33"/>
  <c r="AV747" i="33"/>
  <c r="AS747" i="33"/>
  <c r="AR747" i="33"/>
  <c r="AQ747" i="33"/>
  <c r="AP747" i="33"/>
  <c r="AO747" i="33"/>
  <c r="AL747" i="33"/>
  <c r="AK747" i="33"/>
  <c r="AJ747" i="33"/>
  <c r="AI747" i="33"/>
  <c r="AH747" i="33"/>
  <c r="J747" i="33"/>
  <c r="I747" i="33"/>
  <c r="H747" i="33"/>
  <c r="G747" i="33"/>
  <c r="F747" i="33"/>
  <c r="DE746" i="33"/>
  <c r="CX746" i="33"/>
  <c r="CI746" i="33"/>
  <c r="CH746" i="33"/>
  <c r="I752" i="33" s="1"/>
  <c r="CH752" i="33" s="1"/>
  <c r="I758" i="33" s="1"/>
  <c r="CH758" i="33" s="1"/>
  <c r="I764" i="33" s="1"/>
  <c r="CH764" i="33" s="1"/>
  <c r="I770" i="33" s="1"/>
  <c r="CH770" i="33" s="1"/>
  <c r="CG746" i="33"/>
  <c r="CF746" i="33"/>
  <c r="G752" i="33" s="1"/>
  <c r="CF752" i="33" s="1"/>
  <c r="G758" i="33" s="1"/>
  <c r="CE746" i="33"/>
  <c r="F752" i="33" s="1"/>
  <c r="CE752" i="33" s="1"/>
  <c r="F758" i="33" s="1"/>
  <c r="CC746" i="33"/>
  <c r="BV746" i="33"/>
  <c r="BO746" i="33"/>
  <c r="BH746" i="33"/>
  <c r="BH747" i="33" s="1"/>
  <c r="BA746" i="33"/>
  <c r="AT746" i="33"/>
  <c r="AM746" i="33"/>
  <c r="AF746" i="33"/>
  <c r="Y746" i="33"/>
  <c r="R746" i="33"/>
  <c r="K746" i="33"/>
  <c r="DE745" i="33"/>
  <c r="CX745" i="33"/>
  <c r="CI745" i="33"/>
  <c r="J751" i="33" s="1"/>
  <c r="CI751" i="33" s="1"/>
  <c r="J757" i="33" s="1"/>
  <c r="CI757" i="33" s="1"/>
  <c r="J763" i="33" s="1"/>
  <c r="CI763" i="33" s="1"/>
  <c r="J769" i="33" s="1"/>
  <c r="CI769" i="33" s="1"/>
  <c r="CH745" i="33"/>
  <c r="CG745" i="33"/>
  <c r="H751" i="33" s="1"/>
  <c r="CG751" i="33" s="1"/>
  <c r="H757" i="33" s="1"/>
  <c r="CG757" i="33" s="1"/>
  <c r="H763" i="33" s="1"/>
  <c r="CG763" i="33" s="1"/>
  <c r="H769" i="33" s="1"/>
  <c r="CG769" i="33" s="1"/>
  <c r="CF745" i="33"/>
  <c r="G751" i="33" s="1"/>
  <c r="CF751" i="33" s="1"/>
  <c r="G757" i="33" s="1"/>
  <c r="CF757" i="33" s="1"/>
  <c r="G763" i="33" s="1"/>
  <c r="CF763" i="33" s="1"/>
  <c r="G769" i="33" s="1"/>
  <c r="CF769" i="33" s="1"/>
  <c r="CE745" i="33"/>
  <c r="CC745" i="33"/>
  <c r="BV745" i="33"/>
  <c r="BO745" i="33"/>
  <c r="BH745" i="33"/>
  <c r="BA745" i="33"/>
  <c r="AT745" i="33"/>
  <c r="AM745" i="33"/>
  <c r="AF745" i="33"/>
  <c r="Y745" i="33"/>
  <c r="R745" i="33"/>
  <c r="K745" i="33"/>
  <c r="DE744" i="33"/>
  <c r="CX744" i="33"/>
  <c r="CJ744" i="33"/>
  <c r="CI744" i="33"/>
  <c r="CH744" i="33"/>
  <c r="CG744" i="33"/>
  <c r="H750" i="33" s="1"/>
  <c r="CG750" i="33" s="1"/>
  <c r="H756" i="33" s="1"/>
  <c r="CG756" i="33" s="1"/>
  <c r="H762" i="33" s="1"/>
  <c r="CG762" i="33" s="1"/>
  <c r="H768" i="33" s="1"/>
  <c r="CG768" i="33" s="1"/>
  <c r="CF744" i="33"/>
  <c r="G750" i="33" s="1"/>
  <c r="CF750" i="33" s="1"/>
  <c r="G756" i="33" s="1"/>
  <c r="CF756" i="33" s="1"/>
  <c r="G762" i="33" s="1"/>
  <c r="CF762" i="33" s="1"/>
  <c r="G768" i="33" s="1"/>
  <c r="CF768" i="33" s="1"/>
  <c r="CE744" i="33"/>
  <c r="F750" i="33" s="1"/>
  <c r="CC744" i="33"/>
  <c r="BV744" i="33"/>
  <c r="BO744" i="33"/>
  <c r="BH744" i="33"/>
  <c r="BA744" i="33"/>
  <c r="AT744" i="33"/>
  <c r="AM744" i="33"/>
  <c r="AF744" i="33"/>
  <c r="Y744" i="33"/>
  <c r="R744" i="33"/>
  <c r="K744" i="33"/>
  <c r="DE743" i="33"/>
  <c r="DE747" i="33" s="1"/>
  <c r="CX743" i="33"/>
  <c r="CI743" i="33"/>
  <c r="J749" i="33" s="1"/>
  <c r="CI749" i="33" s="1"/>
  <c r="CH743" i="33"/>
  <c r="CG743" i="33"/>
  <c r="H749" i="33" s="1"/>
  <c r="CF743" i="33"/>
  <c r="CE743" i="33"/>
  <c r="CJ743" i="33" s="1"/>
  <c r="CC743" i="33"/>
  <c r="BV743" i="33"/>
  <c r="BV747" i="33" s="1"/>
  <c r="BO743" i="33"/>
  <c r="BH743" i="33"/>
  <c r="BA743" i="33"/>
  <c r="AT743" i="33"/>
  <c r="AM743" i="33"/>
  <c r="AF743" i="33"/>
  <c r="Y743" i="33"/>
  <c r="R743" i="33"/>
  <c r="K743" i="33"/>
  <c r="DD739" i="33"/>
  <c r="DC739" i="33"/>
  <c r="DB739" i="33"/>
  <c r="DA739" i="33"/>
  <c r="CZ739" i="33"/>
  <c r="CX739" i="33"/>
  <c r="CW739" i="33"/>
  <c r="CV739" i="33"/>
  <c r="CU739" i="33"/>
  <c r="CT739" i="33"/>
  <c r="CS739" i="33"/>
  <c r="CP739" i="33"/>
  <c r="CO739" i="33"/>
  <c r="CN739" i="33"/>
  <c r="CM739" i="33"/>
  <c r="CL739" i="33"/>
  <c r="CB739" i="33"/>
  <c r="CA739" i="33"/>
  <c r="BZ739" i="33"/>
  <c r="BY739" i="33"/>
  <c r="BX739" i="33"/>
  <c r="BU739" i="33"/>
  <c r="BT739" i="33"/>
  <c r="BS739" i="33"/>
  <c r="BR739" i="33"/>
  <c r="BQ739" i="33"/>
  <c r="BO739" i="33"/>
  <c r="BN739" i="33"/>
  <c r="BM739" i="33"/>
  <c r="BL739" i="33"/>
  <c r="BK739" i="33"/>
  <c r="BJ739" i="33"/>
  <c r="BG739" i="33"/>
  <c r="BF739" i="33"/>
  <c r="BE739" i="33"/>
  <c r="BD739" i="33"/>
  <c r="BC739" i="33"/>
  <c r="AZ739" i="33"/>
  <c r="AY739" i="33"/>
  <c r="AX739" i="33"/>
  <c r="AW739" i="33"/>
  <c r="AV739" i="33"/>
  <c r="AS739" i="33"/>
  <c r="AR739" i="33"/>
  <c r="AQ739" i="33"/>
  <c r="AP739" i="33"/>
  <c r="AO739" i="33"/>
  <c r="AL739" i="33"/>
  <c r="AK739" i="33"/>
  <c r="AJ739" i="33"/>
  <c r="AI739" i="33"/>
  <c r="AH739" i="33"/>
  <c r="DE738" i="33"/>
  <c r="CX738" i="33"/>
  <c r="CC738" i="33"/>
  <c r="BV738" i="33"/>
  <c r="BV739" i="33" s="1"/>
  <c r="BO738" i="33"/>
  <c r="BH738" i="33"/>
  <c r="BA738" i="33"/>
  <c r="AT738" i="33"/>
  <c r="AM738" i="33"/>
  <c r="AF738" i="33"/>
  <c r="Y738" i="33"/>
  <c r="R738" i="33"/>
  <c r="DE737" i="33"/>
  <c r="CX737" i="33"/>
  <c r="CC737" i="33"/>
  <c r="BV737" i="33"/>
  <c r="BO737" i="33"/>
  <c r="BH737" i="33"/>
  <c r="BA737" i="33"/>
  <c r="AT737" i="33"/>
  <c r="AM737" i="33"/>
  <c r="AM739" i="33" s="1"/>
  <c r="AF737" i="33"/>
  <c r="Y737" i="33"/>
  <c r="R737" i="33"/>
  <c r="DE736" i="33"/>
  <c r="CX736" i="33"/>
  <c r="CC736" i="33"/>
  <c r="BV736" i="33"/>
  <c r="BO736" i="33"/>
  <c r="BH736" i="33"/>
  <c r="BA736" i="33"/>
  <c r="AT736" i="33"/>
  <c r="AT739" i="33" s="1"/>
  <c r="AM736" i="33"/>
  <c r="AF736" i="33"/>
  <c r="Y736" i="33"/>
  <c r="R736" i="33"/>
  <c r="DE735" i="33"/>
  <c r="DE739" i="33" s="1"/>
  <c r="CX735" i="33"/>
  <c r="CC735" i="33"/>
  <c r="CC739" i="33" s="1"/>
  <c r="BV735" i="33"/>
  <c r="BO735" i="33"/>
  <c r="BH735" i="33"/>
  <c r="BH739" i="33" s="1"/>
  <c r="BA735" i="33"/>
  <c r="BA739" i="33" s="1"/>
  <c r="AT735" i="33"/>
  <c r="AM735" i="33"/>
  <c r="AF735" i="33"/>
  <c r="Y735" i="33"/>
  <c r="R735" i="33"/>
  <c r="DD733" i="33"/>
  <c r="DC733" i="33"/>
  <c r="DB733" i="33"/>
  <c r="DA733" i="33"/>
  <c r="CZ733" i="33"/>
  <c r="CX733" i="33"/>
  <c r="CW733" i="33"/>
  <c r="CV733" i="33"/>
  <c r="CU733" i="33"/>
  <c r="CT733" i="33"/>
  <c r="CS733" i="33"/>
  <c r="CP733" i="33"/>
  <c r="CO733" i="33"/>
  <c r="CN733" i="33"/>
  <c r="CM733" i="33"/>
  <c r="CL733" i="33"/>
  <c r="CB733" i="33"/>
  <c r="CA733" i="33"/>
  <c r="BZ733" i="33"/>
  <c r="BY733" i="33"/>
  <c r="BX733" i="33"/>
  <c r="BU733" i="33"/>
  <c r="BT733" i="33"/>
  <c r="BS733" i="33"/>
  <c r="BR733" i="33"/>
  <c r="BQ733" i="33"/>
  <c r="BO733" i="33"/>
  <c r="BN733" i="33"/>
  <c r="BM733" i="33"/>
  <c r="BL733" i="33"/>
  <c r="BK733" i="33"/>
  <c r="BJ733" i="33"/>
  <c r="BG733" i="33"/>
  <c r="BF733" i="33"/>
  <c r="BE733" i="33"/>
  <c r="BD733" i="33"/>
  <c r="BC733" i="33"/>
  <c r="AZ733" i="33"/>
  <c r="AY733" i="33"/>
  <c r="AX733" i="33"/>
  <c r="AW733" i="33"/>
  <c r="AV733" i="33"/>
  <c r="AT733" i="33"/>
  <c r="AS733" i="33"/>
  <c r="AR733" i="33"/>
  <c r="AQ733" i="33"/>
  <c r="AP733" i="33"/>
  <c r="AO733" i="33"/>
  <c r="AM733" i="33"/>
  <c r="AL733" i="33"/>
  <c r="AK733" i="33"/>
  <c r="AJ733" i="33"/>
  <c r="AI733" i="33"/>
  <c r="AH733" i="33"/>
  <c r="DE732" i="33"/>
  <c r="CX732" i="33"/>
  <c r="CC732" i="33"/>
  <c r="BV732" i="33"/>
  <c r="BV733" i="33" s="1"/>
  <c r="BO732" i="33"/>
  <c r="BH732" i="33"/>
  <c r="BA732" i="33"/>
  <c r="AT732" i="33"/>
  <c r="AM732" i="33"/>
  <c r="AF732" i="33"/>
  <c r="Y732" i="33"/>
  <c r="R732" i="33"/>
  <c r="DE731" i="33"/>
  <c r="CX731" i="33"/>
  <c r="CC731" i="33"/>
  <c r="BV731" i="33"/>
  <c r="BO731" i="33"/>
  <c r="BH731" i="33"/>
  <c r="BA731" i="33"/>
  <c r="AT731" i="33"/>
  <c r="AM731" i="33"/>
  <c r="AF731" i="33"/>
  <c r="Y731" i="33"/>
  <c r="R731" i="33"/>
  <c r="DE730" i="33"/>
  <c r="CX730" i="33"/>
  <c r="CC730" i="33"/>
  <c r="BV730" i="33"/>
  <c r="BO730" i="33"/>
  <c r="BH730" i="33"/>
  <c r="BA730" i="33"/>
  <c r="AT730" i="33"/>
  <c r="AM730" i="33"/>
  <c r="AF730" i="33"/>
  <c r="Y730" i="33"/>
  <c r="R730" i="33"/>
  <c r="DE729" i="33"/>
  <c r="CX729" i="33"/>
  <c r="CC729" i="33"/>
  <c r="BV729" i="33"/>
  <c r="BO729" i="33"/>
  <c r="BH729" i="33"/>
  <c r="BH733" i="33" s="1"/>
  <c r="BA729" i="33"/>
  <c r="AT729" i="33"/>
  <c r="AM729" i="33"/>
  <c r="AF729" i="33"/>
  <c r="Y729" i="33"/>
  <c r="R729" i="33"/>
  <c r="DD727" i="33"/>
  <c r="DC727" i="33"/>
  <c r="DB727" i="33"/>
  <c r="DA727" i="33"/>
  <c r="CZ727" i="33"/>
  <c r="CX727" i="33"/>
  <c r="CW727" i="33"/>
  <c r="CV727" i="33"/>
  <c r="CU727" i="33"/>
  <c r="CT727" i="33"/>
  <c r="CS727" i="33"/>
  <c r="CP727" i="33"/>
  <c r="CO727" i="33"/>
  <c r="CN727" i="33"/>
  <c r="CM727" i="33"/>
  <c r="CL727" i="33"/>
  <c r="CB727" i="33"/>
  <c r="CA727" i="33"/>
  <c r="BZ727" i="33"/>
  <c r="BY727" i="33"/>
  <c r="BX727" i="33"/>
  <c r="BU727" i="33"/>
  <c r="BT727" i="33"/>
  <c r="BS727" i="33"/>
  <c r="BR727" i="33"/>
  <c r="BQ727" i="33"/>
  <c r="BN727" i="33"/>
  <c r="BM727" i="33"/>
  <c r="BL727" i="33"/>
  <c r="BK727" i="33"/>
  <c r="BJ727" i="33"/>
  <c r="BG727" i="33"/>
  <c r="BF727" i="33"/>
  <c r="BE727" i="33"/>
  <c r="BD727" i="33"/>
  <c r="BC727" i="33"/>
  <c r="AZ727" i="33"/>
  <c r="AY727" i="33"/>
  <c r="AX727" i="33"/>
  <c r="AW727" i="33"/>
  <c r="AV727" i="33"/>
  <c r="AS727" i="33"/>
  <c r="AR727" i="33"/>
  <c r="AQ727" i="33"/>
  <c r="AP727" i="33"/>
  <c r="AO727" i="33"/>
  <c r="AM727" i="33"/>
  <c r="AL727" i="33"/>
  <c r="AK727" i="33"/>
  <c r="AJ727" i="33"/>
  <c r="AI727" i="33"/>
  <c r="AH727" i="33"/>
  <c r="DE726" i="33"/>
  <c r="CX726" i="33"/>
  <c r="CC726" i="33"/>
  <c r="BV726" i="33"/>
  <c r="BV727" i="33" s="1"/>
  <c r="BO726" i="33"/>
  <c r="BH726" i="33"/>
  <c r="BA726" i="33"/>
  <c r="AT726" i="33"/>
  <c r="AM726" i="33"/>
  <c r="AF726" i="33"/>
  <c r="Y726" i="33"/>
  <c r="R726" i="33"/>
  <c r="DE725" i="33"/>
  <c r="CX725" i="33"/>
  <c r="CC725" i="33"/>
  <c r="BV725" i="33"/>
  <c r="BO725" i="33"/>
  <c r="BO727" i="33" s="1"/>
  <c r="BH725" i="33"/>
  <c r="BA725" i="33"/>
  <c r="AT725" i="33"/>
  <c r="AM725" i="33"/>
  <c r="AF725" i="33"/>
  <c r="Y725" i="33"/>
  <c r="R725" i="33"/>
  <c r="DE724" i="33"/>
  <c r="CX724" i="33"/>
  <c r="CC724" i="33"/>
  <c r="BV724" i="33"/>
  <c r="BO724" i="33"/>
  <c r="BH724" i="33"/>
  <c r="BA724" i="33"/>
  <c r="AT724" i="33"/>
  <c r="AT727" i="33" s="1"/>
  <c r="AM724" i="33"/>
  <c r="AF724" i="33"/>
  <c r="Y724" i="33"/>
  <c r="R724" i="33"/>
  <c r="DE723" i="33"/>
  <c r="DE727" i="33" s="1"/>
  <c r="CX723" i="33"/>
  <c r="CC723" i="33"/>
  <c r="BV723" i="33"/>
  <c r="BO723" i="33"/>
  <c r="BH723" i="33"/>
  <c r="BH727" i="33" s="1"/>
  <c r="BA723" i="33"/>
  <c r="BA727" i="33" s="1"/>
  <c r="AT723" i="33"/>
  <c r="AM723" i="33"/>
  <c r="AF723" i="33"/>
  <c r="Y723" i="33"/>
  <c r="R723" i="33"/>
  <c r="DD721" i="33"/>
  <c r="DC721" i="33"/>
  <c r="DB721" i="33"/>
  <c r="DA721" i="33"/>
  <c r="CZ721" i="33"/>
  <c r="CW721" i="33"/>
  <c r="CV721" i="33"/>
  <c r="CU721" i="33"/>
  <c r="CT721" i="33"/>
  <c r="CS721" i="33"/>
  <c r="CP721" i="33"/>
  <c r="CO721" i="33"/>
  <c r="CN721" i="33"/>
  <c r="CM721" i="33"/>
  <c r="CL721" i="33"/>
  <c r="CB721" i="33"/>
  <c r="CA721" i="33"/>
  <c r="BZ721" i="33"/>
  <c r="BY721" i="33"/>
  <c r="BX721" i="33"/>
  <c r="BU721" i="33"/>
  <c r="BT721" i="33"/>
  <c r="BS721" i="33"/>
  <c r="BR721" i="33"/>
  <c r="BQ721" i="33"/>
  <c r="BN721" i="33"/>
  <c r="BM721" i="33"/>
  <c r="BL721" i="33"/>
  <c r="BK721" i="33"/>
  <c r="BJ721" i="33"/>
  <c r="BH721" i="33"/>
  <c r="BG721" i="33"/>
  <c r="BF721" i="33"/>
  <c r="BE721" i="33"/>
  <c r="BD721" i="33"/>
  <c r="BC721" i="33"/>
  <c r="AZ721" i="33"/>
  <c r="AY721" i="33"/>
  <c r="AX721" i="33"/>
  <c r="AW721" i="33"/>
  <c r="AV721" i="33"/>
  <c r="AS721" i="33"/>
  <c r="AR721" i="33"/>
  <c r="AQ721" i="33"/>
  <c r="AP721" i="33"/>
  <c r="AO721" i="33"/>
  <c r="AL721" i="33"/>
  <c r="AK721" i="33"/>
  <c r="AJ721" i="33"/>
  <c r="AI721" i="33"/>
  <c r="AH721" i="33"/>
  <c r="DE720" i="33"/>
  <c r="CX720" i="33"/>
  <c r="CF720" i="33"/>
  <c r="G726" i="33" s="1"/>
  <c r="CF726" i="33" s="1"/>
  <c r="G732" i="33" s="1"/>
  <c r="CF732" i="33" s="1"/>
  <c r="G738" i="33" s="1"/>
  <c r="CF738" i="33" s="1"/>
  <c r="CC720" i="33"/>
  <c r="BV720" i="33"/>
  <c r="BO720" i="33"/>
  <c r="BH720" i="33"/>
  <c r="BA720" i="33"/>
  <c r="AT720" i="33"/>
  <c r="AM720" i="33"/>
  <c r="AF720" i="33"/>
  <c r="Y720" i="33"/>
  <c r="R720" i="33"/>
  <c r="G720" i="33"/>
  <c r="F720" i="33"/>
  <c r="DE719" i="33"/>
  <c r="CX719" i="33"/>
  <c r="CC719" i="33"/>
  <c r="CC721" i="33" s="1"/>
  <c r="BV719" i="33"/>
  <c r="BO719" i="33"/>
  <c r="BH719" i="33"/>
  <c r="BA719" i="33"/>
  <c r="AT719" i="33"/>
  <c r="AM719" i="33"/>
  <c r="AF719" i="33"/>
  <c r="Y719" i="33"/>
  <c r="R719" i="33"/>
  <c r="DE718" i="33"/>
  <c r="CX718" i="33"/>
  <c r="CC718" i="33"/>
  <c r="BV718" i="33"/>
  <c r="BV721" i="33" s="1"/>
  <c r="BO718" i="33"/>
  <c r="BH718" i="33"/>
  <c r="BA718" i="33"/>
  <c r="AT718" i="33"/>
  <c r="AT721" i="33" s="1"/>
  <c r="AM718" i="33"/>
  <c r="AF718" i="33"/>
  <c r="Y718" i="33"/>
  <c r="R718" i="33"/>
  <c r="J718" i="33"/>
  <c r="CI718" i="33" s="1"/>
  <c r="J724" i="33" s="1"/>
  <c r="CI724" i="33" s="1"/>
  <c r="J730" i="33" s="1"/>
  <c r="CI730" i="33" s="1"/>
  <c r="J736" i="33" s="1"/>
  <c r="CI736" i="33" s="1"/>
  <c r="F718" i="33"/>
  <c r="DE717" i="33"/>
  <c r="CX717" i="33"/>
  <c r="CI717" i="33"/>
  <c r="CH717" i="33"/>
  <c r="CC717" i="33"/>
  <c r="BV717" i="33"/>
  <c r="BO717" i="33"/>
  <c r="BH717" i="33"/>
  <c r="BA717" i="33"/>
  <c r="BA721" i="33" s="1"/>
  <c r="AT717" i="33"/>
  <c r="AM717" i="33"/>
  <c r="AM721" i="33" s="1"/>
  <c r="AF717" i="33"/>
  <c r="Y717" i="33"/>
  <c r="R717" i="33"/>
  <c r="J717" i="33"/>
  <c r="J721" i="33" s="1"/>
  <c r="I717" i="33"/>
  <c r="DE715" i="33"/>
  <c r="DD715" i="33"/>
  <c r="DC715" i="33"/>
  <c r="DB715" i="33"/>
  <c r="DA715" i="33"/>
  <c r="CZ715" i="33"/>
  <c r="CW715" i="33"/>
  <c r="CV715" i="33"/>
  <c r="CU715" i="33"/>
  <c r="CT715" i="33"/>
  <c r="CS715" i="33"/>
  <c r="CP715" i="33"/>
  <c r="CO715" i="33"/>
  <c r="CN715" i="33"/>
  <c r="CM715" i="33"/>
  <c r="CL715" i="33"/>
  <c r="CE715" i="33"/>
  <c r="CB715" i="33"/>
  <c r="CA715" i="33"/>
  <c r="BZ715" i="33"/>
  <c r="BY715" i="33"/>
  <c r="BX715" i="33"/>
  <c r="BU715" i="33"/>
  <c r="BT715" i="33"/>
  <c r="BS715" i="33"/>
  <c r="BR715" i="33"/>
  <c r="BQ715" i="33"/>
  <c r="BN715" i="33"/>
  <c r="BM715" i="33"/>
  <c r="BL715" i="33"/>
  <c r="BK715" i="33"/>
  <c r="BJ715" i="33"/>
  <c r="BH715" i="33"/>
  <c r="BG715" i="33"/>
  <c r="BF715" i="33"/>
  <c r="BE715" i="33"/>
  <c r="BD715" i="33"/>
  <c r="BC715" i="33"/>
  <c r="AZ715" i="33"/>
  <c r="AY715" i="33"/>
  <c r="AX715" i="33"/>
  <c r="AW715" i="33"/>
  <c r="AV715" i="33"/>
  <c r="AS715" i="33"/>
  <c r="AR715" i="33"/>
  <c r="AQ715" i="33"/>
  <c r="AP715" i="33"/>
  <c r="AO715" i="33"/>
  <c r="AL715" i="33"/>
  <c r="AK715" i="33"/>
  <c r="AJ715" i="33"/>
  <c r="AI715" i="33"/>
  <c r="AH715" i="33"/>
  <c r="J715" i="33"/>
  <c r="I715" i="33"/>
  <c r="H715" i="33"/>
  <c r="G715" i="33"/>
  <c r="F715" i="33"/>
  <c r="DE714" i="33"/>
  <c r="CX714" i="33"/>
  <c r="CI714" i="33"/>
  <c r="J720" i="33" s="1"/>
  <c r="CI720" i="33" s="1"/>
  <c r="J726" i="33" s="1"/>
  <c r="CI726" i="33" s="1"/>
  <c r="J732" i="33" s="1"/>
  <c r="CI732" i="33" s="1"/>
  <c r="J738" i="33" s="1"/>
  <c r="CI738" i="33" s="1"/>
  <c r="CH714" i="33"/>
  <c r="CG714" i="33"/>
  <c r="H720" i="33" s="1"/>
  <c r="CG720" i="33" s="1"/>
  <c r="H726" i="33" s="1"/>
  <c r="CG726" i="33" s="1"/>
  <c r="H732" i="33" s="1"/>
  <c r="CG732" i="33" s="1"/>
  <c r="H738" i="33" s="1"/>
  <c r="CG738" i="33" s="1"/>
  <c r="CF714" i="33"/>
  <c r="CE714" i="33"/>
  <c r="CC714" i="33"/>
  <c r="BV714" i="33"/>
  <c r="BO714" i="33"/>
  <c r="BH714" i="33"/>
  <c r="BA714" i="33"/>
  <c r="AT714" i="33"/>
  <c r="AM714" i="33"/>
  <c r="AF714" i="33"/>
  <c r="Y714" i="33"/>
  <c r="R714" i="33"/>
  <c r="K714" i="33"/>
  <c r="DE713" i="33"/>
  <c r="CX713" i="33"/>
  <c r="CI713" i="33"/>
  <c r="J719" i="33" s="1"/>
  <c r="CI719" i="33" s="1"/>
  <c r="J725" i="33" s="1"/>
  <c r="CI725" i="33" s="1"/>
  <c r="J731" i="33" s="1"/>
  <c r="CI731" i="33" s="1"/>
  <c r="J737" i="33" s="1"/>
  <c r="CI737" i="33" s="1"/>
  <c r="CH713" i="33"/>
  <c r="I719" i="33" s="1"/>
  <c r="CH719" i="33" s="1"/>
  <c r="I725" i="33" s="1"/>
  <c r="CH725" i="33" s="1"/>
  <c r="I731" i="33" s="1"/>
  <c r="CH731" i="33" s="1"/>
  <c r="I737" i="33" s="1"/>
  <c r="CH737" i="33" s="1"/>
  <c r="CG713" i="33"/>
  <c r="H719" i="33" s="1"/>
  <c r="CG719" i="33" s="1"/>
  <c r="H725" i="33" s="1"/>
  <c r="CG725" i="33" s="1"/>
  <c r="H731" i="33" s="1"/>
  <c r="CG731" i="33" s="1"/>
  <c r="H737" i="33" s="1"/>
  <c r="CG737" i="33" s="1"/>
  <c r="CF713" i="33"/>
  <c r="G719" i="33" s="1"/>
  <c r="CF719" i="33" s="1"/>
  <c r="G725" i="33" s="1"/>
  <c r="CF725" i="33" s="1"/>
  <c r="G731" i="33" s="1"/>
  <c r="CF731" i="33" s="1"/>
  <c r="G737" i="33" s="1"/>
  <c r="CF737" i="33" s="1"/>
  <c r="CE713" i="33"/>
  <c r="F719" i="33" s="1"/>
  <c r="CE719" i="33" s="1"/>
  <c r="F725" i="33" s="1"/>
  <c r="CE725" i="33" s="1"/>
  <c r="F731" i="33" s="1"/>
  <c r="CC713" i="33"/>
  <c r="BV713" i="33"/>
  <c r="BO713" i="33"/>
  <c r="BH713" i="33"/>
  <c r="BA713" i="33"/>
  <c r="AT713" i="33"/>
  <c r="AM713" i="33"/>
  <c r="AF713" i="33"/>
  <c r="Y713" i="33"/>
  <c r="R713" i="33"/>
  <c r="K713" i="33"/>
  <c r="DE712" i="33"/>
  <c r="CX712" i="33"/>
  <c r="CI712" i="33"/>
  <c r="CH712" i="33"/>
  <c r="CG712" i="33"/>
  <c r="H718" i="33" s="1"/>
  <c r="CG718" i="33" s="1"/>
  <c r="H724" i="33" s="1"/>
  <c r="CG724" i="33" s="1"/>
  <c r="H730" i="33" s="1"/>
  <c r="CG730" i="33" s="1"/>
  <c r="H736" i="33" s="1"/>
  <c r="CG736" i="33" s="1"/>
  <c r="CF712" i="33"/>
  <c r="G718" i="33" s="1"/>
  <c r="CF718" i="33" s="1"/>
  <c r="G724" i="33" s="1"/>
  <c r="CF724" i="33" s="1"/>
  <c r="G730" i="33" s="1"/>
  <c r="CF730" i="33" s="1"/>
  <c r="G736" i="33" s="1"/>
  <c r="CF736" i="33" s="1"/>
  <c r="CE712" i="33"/>
  <c r="CC712" i="33"/>
  <c r="BV712" i="33"/>
  <c r="BV715" i="33" s="1"/>
  <c r="BO712" i="33"/>
  <c r="BH712" i="33"/>
  <c r="BA712" i="33"/>
  <c r="AT712" i="33"/>
  <c r="AM712" i="33"/>
  <c r="AF712" i="33"/>
  <c r="Y712" i="33"/>
  <c r="R712" i="33"/>
  <c r="K712" i="33"/>
  <c r="K715" i="33" s="1"/>
  <c r="DE711" i="33"/>
  <c r="CX711" i="33"/>
  <c r="CI711" i="33"/>
  <c r="CI715" i="33" s="1"/>
  <c r="CH711" i="33"/>
  <c r="CG711" i="33"/>
  <c r="CF711" i="33"/>
  <c r="CJ711" i="33" s="1"/>
  <c r="CE711" i="33"/>
  <c r="F717" i="33" s="1"/>
  <c r="CC711" i="33"/>
  <c r="CC715" i="33" s="1"/>
  <c r="BV711" i="33"/>
  <c r="BO711" i="33"/>
  <c r="BO715" i="33" s="1"/>
  <c r="BH711" i="33"/>
  <c r="BA711" i="33"/>
  <c r="AT711" i="33"/>
  <c r="AT715" i="33" s="1"/>
  <c r="AM711" i="33"/>
  <c r="AM715" i="33" s="1"/>
  <c r="AF711" i="33"/>
  <c r="Y711" i="33"/>
  <c r="R711" i="33"/>
  <c r="K711" i="33"/>
  <c r="DD707" i="33"/>
  <c r="DC707" i="33"/>
  <c r="DB707" i="33"/>
  <c r="DA707" i="33"/>
  <c r="CZ707" i="33"/>
  <c r="CW707" i="33"/>
  <c r="CV707" i="33"/>
  <c r="CU707" i="33"/>
  <c r="CT707" i="33"/>
  <c r="CS707" i="33"/>
  <c r="CP707" i="33"/>
  <c r="CO707" i="33"/>
  <c r="CN707" i="33"/>
  <c r="CM707" i="33"/>
  <c r="CL707" i="33"/>
  <c r="CB707" i="33"/>
  <c r="CA707" i="33"/>
  <c r="BZ707" i="33"/>
  <c r="BY707" i="33"/>
  <c r="BX707" i="33"/>
  <c r="BU707" i="33"/>
  <c r="BT707" i="33"/>
  <c r="BS707" i="33"/>
  <c r="BR707" i="33"/>
  <c r="BQ707" i="33"/>
  <c r="BN707" i="33"/>
  <c r="BM707" i="33"/>
  <c r="BL707" i="33"/>
  <c r="BK707" i="33"/>
  <c r="BJ707" i="33"/>
  <c r="BG707" i="33"/>
  <c r="BF707" i="33"/>
  <c r="BE707" i="33"/>
  <c r="BD707" i="33"/>
  <c r="BC707" i="33"/>
  <c r="AZ707" i="33"/>
  <c r="AY707" i="33"/>
  <c r="AX707" i="33"/>
  <c r="AW707" i="33"/>
  <c r="AV707" i="33"/>
  <c r="AS707" i="33"/>
  <c r="AR707" i="33"/>
  <c r="AQ707" i="33"/>
  <c r="AP707" i="33"/>
  <c r="AO707" i="33"/>
  <c r="AL707" i="33"/>
  <c r="AK707" i="33"/>
  <c r="AJ707" i="33"/>
  <c r="AI707" i="33"/>
  <c r="AH707" i="33"/>
  <c r="DE706" i="33"/>
  <c r="CX706" i="33"/>
  <c r="CC706" i="33"/>
  <c r="BV706" i="33"/>
  <c r="BO706" i="33"/>
  <c r="BH706" i="33"/>
  <c r="BA706" i="33"/>
  <c r="AT706" i="33"/>
  <c r="AM706" i="33"/>
  <c r="AF706" i="33"/>
  <c r="Y706" i="33"/>
  <c r="R706" i="33"/>
  <c r="DE705" i="33"/>
  <c r="CX705" i="33"/>
  <c r="CC705" i="33"/>
  <c r="BV705" i="33"/>
  <c r="BO705" i="33"/>
  <c r="BH705" i="33"/>
  <c r="BA705" i="33"/>
  <c r="AT705" i="33"/>
  <c r="AM705" i="33"/>
  <c r="AF705" i="33"/>
  <c r="Y705" i="33"/>
  <c r="R705" i="33"/>
  <c r="DE704" i="33"/>
  <c r="CX704" i="33"/>
  <c r="CF704" i="33"/>
  <c r="CC704" i="33"/>
  <c r="BV704" i="33"/>
  <c r="BO704" i="33"/>
  <c r="BH704" i="33"/>
  <c r="BA704" i="33"/>
  <c r="AT704" i="33"/>
  <c r="AM704" i="33"/>
  <c r="AF704" i="33"/>
  <c r="Y704" i="33"/>
  <c r="R704" i="33"/>
  <c r="DE703" i="33"/>
  <c r="DE707" i="33" s="1"/>
  <c r="CX703" i="33"/>
  <c r="CC703" i="33"/>
  <c r="BV703" i="33"/>
  <c r="BV707" i="33" s="1"/>
  <c r="BO703" i="33"/>
  <c r="BO707" i="33" s="1"/>
  <c r="BH703" i="33"/>
  <c r="BH707" i="33" s="1"/>
  <c r="BA703" i="33"/>
  <c r="BA707" i="33" s="1"/>
  <c r="AT703" i="33"/>
  <c r="AT707" i="33" s="1"/>
  <c r="AM703" i="33"/>
  <c r="AM707" i="33" s="1"/>
  <c r="AF703" i="33"/>
  <c r="Y703" i="33"/>
  <c r="R703" i="33"/>
  <c r="DD701" i="33"/>
  <c r="DC701" i="33"/>
  <c r="DB701" i="33"/>
  <c r="DA701" i="33"/>
  <c r="CZ701" i="33"/>
  <c r="CW701" i="33"/>
  <c r="CV701" i="33"/>
  <c r="CU701" i="33"/>
  <c r="CT701" i="33"/>
  <c r="CS701" i="33"/>
  <c r="CP701" i="33"/>
  <c r="CO701" i="33"/>
  <c r="CN701" i="33"/>
  <c r="CM701" i="33"/>
  <c r="CL701" i="33"/>
  <c r="CB701" i="33"/>
  <c r="CA701" i="33"/>
  <c r="BZ701" i="33"/>
  <c r="BY701" i="33"/>
  <c r="BX701" i="33"/>
  <c r="BU701" i="33"/>
  <c r="BT701" i="33"/>
  <c r="BS701" i="33"/>
  <c r="BR701" i="33"/>
  <c r="BQ701" i="33"/>
  <c r="BN701" i="33"/>
  <c r="BM701" i="33"/>
  <c r="BL701" i="33"/>
  <c r="BK701" i="33"/>
  <c r="BJ701" i="33"/>
  <c r="BG701" i="33"/>
  <c r="BF701" i="33"/>
  <c r="BE701" i="33"/>
  <c r="BD701" i="33"/>
  <c r="BC701" i="33"/>
  <c r="AZ701" i="33"/>
  <c r="AY701" i="33"/>
  <c r="AX701" i="33"/>
  <c r="AW701" i="33"/>
  <c r="AV701" i="33"/>
  <c r="AS701" i="33"/>
  <c r="AR701" i="33"/>
  <c r="AQ701" i="33"/>
  <c r="AP701" i="33"/>
  <c r="AO701" i="33"/>
  <c r="AL701" i="33"/>
  <c r="AK701" i="33"/>
  <c r="AJ701" i="33"/>
  <c r="AI701" i="33"/>
  <c r="AH701" i="33"/>
  <c r="DE700" i="33"/>
  <c r="CX700" i="33"/>
  <c r="CC700" i="33"/>
  <c r="BV700" i="33"/>
  <c r="BO700" i="33"/>
  <c r="BH700" i="33"/>
  <c r="BA700" i="33"/>
  <c r="AT700" i="33"/>
  <c r="AM700" i="33"/>
  <c r="AF700" i="33"/>
  <c r="Y700" i="33"/>
  <c r="R700" i="33"/>
  <c r="DE699" i="33"/>
  <c r="CX699" i="33"/>
  <c r="CX701" i="33" s="1"/>
  <c r="CC699" i="33"/>
  <c r="BV699" i="33"/>
  <c r="BO699" i="33"/>
  <c r="BH699" i="33"/>
  <c r="BA699" i="33"/>
  <c r="AT699" i="33"/>
  <c r="AM699" i="33"/>
  <c r="AF699" i="33"/>
  <c r="Y699" i="33"/>
  <c r="R699" i="33"/>
  <c r="DE698" i="33"/>
  <c r="CX698" i="33"/>
  <c r="CC698" i="33"/>
  <c r="BV698" i="33"/>
  <c r="BO698" i="33"/>
  <c r="BH698" i="33"/>
  <c r="BA698" i="33"/>
  <c r="AT698" i="33"/>
  <c r="AM698" i="33"/>
  <c r="AF698" i="33"/>
  <c r="Y698" i="33"/>
  <c r="R698" i="33"/>
  <c r="DE697" i="33"/>
  <c r="CX697" i="33"/>
  <c r="CC697" i="33"/>
  <c r="CC701" i="33" s="1"/>
  <c r="BV697" i="33"/>
  <c r="BV701" i="33" s="1"/>
  <c r="BO697" i="33"/>
  <c r="BO701" i="33" s="1"/>
  <c r="BH697" i="33"/>
  <c r="BH701" i="33" s="1"/>
  <c r="BA697" i="33"/>
  <c r="BA701" i="33" s="1"/>
  <c r="AT697" i="33"/>
  <c r="AT701" i="33" s="1"/>
  <c r="AM697" i="33"/>
  <c r="AM701" i="33" s="1"/>
  <c r="AF697" i="33"/>
  <c r="Y697" i="33"/>
  <c r="R697" i="33"/>
  <c r="DD695" i="33"/>
  <c r="DC695" i="33"/>
  <c r="DB695" i="33"/>
  <c r="DA695" i="33"/>
  <c r="CZ695" i="33"/>
  <c r="CW695" i="33"/>
  <c r="CV695" i="33"/>
  <c r="CU695" i="33"/>
  <c r="CT695" i="33"/>
  <c r="CS695" i="33"/>
  <c r="CP695" i="33"/>
  <c r="CO695" i="33"/>
  <c r="CN695" i="33"/>
  <c r="CM695" i="33"/>
  <c r="CL695" i="33"/>
  <c r="CB695" i="33"/>
  <c r="CA695" i="33"/>
  <c r="BZ695" i="33"/>
  <c r="BY695" i="33"/>
  <c r="BX695" i="33"/>
  <c r="BU695" i="33"/>
  <c r="BT695" i="33"/>
  <c r="BS695" i="33"/>
  <c r="BR695" i="33"/>
  <c r="BQ695" i="33"/>
  <c r="BN695" i="33"/>
  <c r="BM695" i="33"/>
  <c r="BL695" i="33"/>
  <c r="BK695" i="33"/>
  <c r="BJ695" i="33"/>
  <c r="BG695" i="33"/>
  <c r="BF695" i="33"/>
  <c r="BE695" i="33"/>
  <c r="BD695" i="33"/>
  <c r="BC695" i="33"/>
  <c r="AZ695" i="33"/>
  <c r="AY695" i="33"/>
  <c r="AX695" i="33"/>
  <c r="AW695" i="33"/>
  <c r="AV695" i="33"/>
  <c r="AS695" i="33"/>
  <c r="AR695" i="33"/>
  <c r="AQ695" i="33"/>
  <c r="AP695" i="33"/>
  <c r="AO695" i="33"/>
  <c r="AL695" i="33"/>
  <c r="AK695" i="33"/>
  <c r="AJ695" i="33"/>
  <c r="AI695" i="33"/>
  <c r="AH695" i="33"/>
  <c r="DE694" i="33"/>
  <c r="CX694" i="33"/>
  <c r="CC694" i="33"/>
  <c r="BV694" i="33"/>
  <c r="BO694" i="33"/>
  <c r="BH694" i="33"/>
  <c r="BA694" i="33"/>
  <c r="AT694" i="33"/>
  <c r="AM694" i="33"/>
  <c r="AF694" i="33"/>
  <c r="Y694" i="33"/>
  <c r="R694" i="33"/>
  <c r="DE693" i="33"/>
  <c r="CX693" i="33"/>
  <c r="CC693" i="33"/>
  <c r="BV693" i="33"/>
  <c r="BO693" i="33"/>
  <c r="BH693" i="33"/>
  <c r="BA693" i="33"/>
  <c r="AT693" i="33"/>
  <c r="AM693" i="33"/>
  <c r="AF693" i="33"/>
  <c r="Y693" i="33"/>
  <c r="R693" i="33"/>
  <c r="DE692" i="33"/>
  <c r="CX692" i="33"/>
  <c r="CC692" i="33"/>
  <c r="BV692" i="33"/>
  <c r="BO692" i="33"/>
  <c r="BH692" i="33"/>
  <c r="BA692" i="33"/>
  <c r="AT692" i="33"/>
  <c r="AM692" i="33"/>
  <c r="AF692" i="33"/>
  <c r="Y692" i="33"/>
  <c r="R692" i="33"/>
  <c r="DE691" i="33"/>
  <c r="CX691" i="33"/>
  <c r="CC691" i="33"/>
  <c r="CC695" i="33" s="1"/>
  <c r="BV691" i="33"/>
  <c r="BV695" i="33" s="1"/>
  <c r="BO691" i="33"/>
  <c r="BO695" i="33" s="1"/>
  <c r="BH691" i="33"/>
  <c r="BH695" i="33" s="1"/>
  <c r="BA691" i="33"/>
  <c r="BA695" i="33" s="1"/>
  <c r="AT691" i="33"/>
  <c r="AT695" i="33" s="1"/>
  <c r="AM691" i="33"/>
  <c r="AM695" i="33" s="1"/>
  <c r="AF691" i="33"/>
  <c r="Y691" i="33"/>
  <c r="R691" i="33"/>
  <c r="DD689" i="33"/>
  <c r="DC689" i="33"/>
  <c r="DB689" i="33"/>
  <c r="DA689" i="33"/>
  <c r="CZ689" i="33"/>
  <c r="CW689" i="33"/>
  <c r="CV689" i="33"/>
  <c r="CU689" i="33"/>
  <c r="CT689" i="33"/>
  <c r="CS689" i="33"/>
  <c r="CP689" i="33"/>
  <c r="CO689" i="33"/>
  <c r="CN689" i="33"/>
  <c r="CM689" i="33"/>
  <c r="CL689" i="33"/>
  <c r="CB689" i="33"/>
  <c r="CA689" i="33"/>
  <c r="BZ689" i="33"/>
  <c r="BY689" i="33"/>
  <c r="BX689" i="33"/>
  <c r="BU689" i="33"/>
  <c r="BT689" i="33"/>
  <c r="BS689" i="33"/>
  <c r="BR689" i="33"/>
  <c r="BQ689" i="33"/>
  <c r="BN689" i="33"/>
  <c r="BM689" i="33"/>
  <c r="BL689" i="33"/>
  <c r="BK689" i="33"/>
  <c r="BJ689" i="33"/>
  <c r="BG689" i="33"/>
  <c r="BF689" i="33"/>
  <c r="BE689" i="33"/>
  <c r="BD689" i="33"/>
  <c r="BC689" i="33"/>
  <c r="AZ689" i="33"/>
  <c r="AY689" i="33"/>
  <c r="AX689" i="33"/>
  <c r="AW689" i="33"/>
  <c r="AV689" i="33"/>
  <c r="AS689" i="33"/>
  <c r="AR689" i="33"/>
  <c r="AQ689" i="33"/>
  <c r="AP689" i="33"/>
  <c r="AO689" i="33"/>
  <c r="AL689" i="33"/>
  <c r="AK689" i="33"/>
  <c r="AJ689" i="33"/>
  <c r="AI689" i="33"/>
  <c r="AH689" i="33"/>
  <c r="DE688" i="33"/>
  <c r="CX688" i="33"/>
  <c r="CG688" i="33"/>
  <c r="H694" i="33" s="1"/>
  <c r="CG694" i="33" s="1"/>
  <c r="H700" i="33" s="1"/>
  <c r="CG700" i="33" s="1"/>
  <c r="H706" i="33" s="1"/>
  <c r="CG706" i="33" s="1"/>
  <c r="CC688" i="33"/>
  <c r="BV688" i="33"/>
  <c r="BO688" i="33"/>
  <c r="BH688" i="33"/>
  <c r="BA688" i="33"/>
  <c r="AT688" i="33"/>
  <c r="AM688" i="33"/>
  <c r="AF688" i="33"/>
  <c r="Y688" i="33"/>
  <c r="R688" i="33"/>
  <c r="H688" i="33"/>
  <c r="DE687" i="33"/>
  <c r="CX687" i="33"/>
  <c r="CG687" i="33"/>
  <c r="H693" i="33" s="1"/>
  <c r="CG693" i="33" s="1"/>
  <c r="H699" i="33" s="1"/>
  <c r="CG699" i="33" s="1"/>
  <c r="H705" i="33" s="1"/>
  <c r="CG705" i="33" s="1"/>
  <c r="CE687" i="33"/>
  <c r="F693" i="33" s="1"/>
  <c r="CC687" i="33"/>
  <c r="BV687" i="33"/>
  <c r="BO687" i="33"/>
  <c r="BH687" i="33"/>
  <c r="BA687" i="33"/>
  <c r="AT687" i="33"/>
  <c r="AM687" i="33"/>
  <c r="AF687" i="33"/>
  <c r="Y687" i="33"/>
  <c r="R687" i="33"/>
  <c r="J687" i="33"/>
  <c r="CI687" i="33" s="1"/>
  <c r="J693" i="33" s="1"/>
  <c r="CI693" i="33" s="1"/>
  <c r="J699" i="33" s="1"/>
  <c r="CI699" i="33" s="1"/>
  <c r="J705" i="33" s="1"/>
  <c r="CI705" i="33" s="1"/>
  <c r="H687" i="33"/>
  <c r="F687" i="33"/>
  <c r="DE686" i="33"/>
  <c r="CX686" i="33"/>
  <c r="CH686" i="33"/>
  <c r="I692" i="33" s="1"/>
  <c r="CH692" i="33" s="1"/>
  <c r="I698" i="33" s="1"/>
  <c r="CH698" i="33" s="1"/>
  <c r="I704" i="33" s="1"/>
  <c r="CH704" i="33" s="1"/>
  <c r="CF686" i="33"/>
  <c r="G692" i="33" s="1"/>
  <c r="CF692" i="33" s="1"/>
  <c r="G698" i="33" s="1"/>
  <c r="CF698" i="33" s="1"/>
  <c r="G704" i="33" s="1"/>
  <c r="CC686" i="33"/>
  <c r="BV686" i="33"/>
  <c r="BO686" i="33"/>
  <c r="BH686" i="33"/>
  <c r="BA686" i="33"/>
  <c r="AT686" i="33"/>
  <c r="AM686" i="33"/>
  <c r="AF686" i="33"/>
  <c r="Y686" i="33"/>
  <c r="R686" i="33"/>
  <c r="J686" i="33"/>
  <c r="CI686" i="33" s="1"/>
  <c r="J692" i="33" s="1"/>
  <c r="CI692" i="33" s="1"/>
  <c r="J698" i="33" s="1"/>
  <c r="CI698" i="33" s="1"/>
  <c r="J704" i="33" s="1"/>
  <c r="CI704" i="33" s="1"/>
  <c r="G686" i="33"/>
  <c r="F686" i="33"/>
  <c r="CE686" i="33" s="1"/>
  <c r="DE685" i="33"/>
  <c r="CX685" i="33"/>
  <c r="CI685" i="33"/>
  <c r="CC685" i="33"/>
  <c r="BV685" i="33"/>
  <c r="BV689" i="33" s="1"/>
  <c r="BO685" i="33"/>
  <c r="BO689" i="33" s="1"/>
  <c r="BH685" i="33"/>
  <c r="BH689" i="33" s="1"/>
  <c r="BA685" i="33"/>
  <c r="BA689" i="33" s="1"/>
  <c r="AT685" i="33"/>
  <c r="AM685" i="33"/>
  <c r="AF685" i="33"/>
  <c r="Y685" i="33"/>
  <c r="R685" i="33"/>
  <c r="J685" i="33"/>
  <c r="G685" i="33"/>
  <c r="CF685" i="33" s="1"/>
  <c r="DD683" i="33"/>
  <c r="DC683" i="33"/>
  <c r="DB683" i="33"/>
  <c r="DA683" i="33"/>
  <c r="CZ683" i="33"/>
  <c r="CW683" i="33"/>
  <c r="CV683" i="33"/>
  <c r="CU683" i="33"/>
  <c r="CT683" i="33"/>
  <c r="CS683" i="33"/>
  <c r="CP683" i="33"/>
  <c r="CO683" i="33"/>
  <c r="CN683" i="33"/>
  <c r="CM683" i="33"/>
  <c r="CL683" i="33"/>
  <c r="CI683" i="33"/>
  <c r="CB683" i="33"/>
  <c r="CA683" i="33"/>
  <c r="BZ683" i="33"/>
  <c r="BY683" i="33"/>
  <c r="BX683" i="33"/>
  <c r="BU683" i="33"/>
  <c r="BT683" i="33"/>
  <c r="BS683" i="33"/>
  <c r="BR683" i="33"/>
  <c r="BQ683" i="33"/>
  <c r="BN683" i="33"/>
  <c r="BM683" i="33"/>
  <c r="BL683" i="33"/>
  <c r="BK683" i="33"/>
  <c r="BJ683" i="33"/>
  <c r="BH683" i="33"/>
  <c r="BG683" i="33"/>
  <c r="BF683" i="33"/>
  <c r="BE683" i="33"/>
  <c r="BD683" i="33"/>
  <c r="BC683" i="33"/>
  <c r="AZ683" i="33"/>
  <c r="AY683" i="33"/>
  <c r="AX683" i="33"/>
  <c r="AW683" i="33"/>
  <c r="AV683" i="33"/>
  <c r="AS683" i="33"/>
  <c r="AR683" i="33"/>
  <c r="AQ683" i="33"/>
  <c r="AP683" i="33"/>
  <c r="AO683" i="33"/>
  <c r="AL683" i="33"/>
  <c r="AK683" i="33"/>
  <c r="AJ683" i="33"/>
  <c r="AI683" i="33"/>
  <c r="AH683" i="33"/>
  <c r="J683" i="33"/>
  <c r="I683" i="33"/>
  <c r="H683" i="33"/>
  <c r="G683" i="33"/>
  <c r="F683" i="33"/>
  <c r="DE682" i="33"/>
  <c r="CX682" i="33"/>
  <c r="CI682" i="33"/>
  <c r="J688" i="33" s="1"/>
  <c r="CI688" i="33" s="1"/>
  <c r="J694" i="33" s="1"/>
  <c r="CI694" i="33" s="1"/>
  <c r="J700" i="33" s="1"/>
  <c r="CI700" i="33" s="1"/>
  <c r="J706" i="33" s="1"/>
  <c r="CI706" i="33" s="1"/>
  <c r="CH682" i="33"/>
  <c r="I688" i="33" s="1"/>
  <c r="CH688" i="33" s="1"/>
  <c r="I694" i="33" s="1"/>
  <c r="CH694" i="33" s="1"/>
  <c r="I700" i="33" s="1"/>
  <c r="CH700" i="33" s="1"/>
  <c r="I706" i="33" s="1"/>
  <c r="CH706" i="33" s="1"/>
  <c r="CG682" i="33"/>
  <c r="CF682" i="33"/>
  <c r="CE682" i="33"/>
  <c r="F688" i="33" s="1"/>
  <c r="CC682" i="33"/>
  <c r="BV682" i="33"/>
  <c r="BO682" i="33"/>
  <c r="BH682" i="33"/>
  <c r="BA682" i="33"/>
  <c r="AT682" i="33"/>
  <c r="AM682" i="33"/>
  <c r="AF682" i="33"/>
  <c r="Y682" i="33"/>
  <c r="R682" i="33"/>
  <c r="K682" i="33"/>
  <c r="DE681" i="33"/>
  <c r="CX681" i="33"/>
  <c r="CJ681" i="33"/>
  <c r="CI681" i="33"/>
  <c r="CH681" i="33"/>
  <c r="I687" i="33" s="1"/>
  <c r="CH687" i="33" s="1"/>
  <c r="I693" i="33" s="1"/>
  <c r="CH693" i="33" s="1"/>
  <c r="I699" i="33" s="1"/>
  <c r="CH699" i="33" s="1"/>
  <c r="I705" i="33" s="1"/>
  <c r="CH705" i="33" s="1"/>
  <c r="CG681" i="33"/>
  <c r="CF681" i="33"/>
  <c r="G687" i="33" s="1"/>
  <c r="CE681" i="33"/>
  <c r="CC681" i="33"/>
  <c r="BV681" i="33"/>
  <c r="BO681" i="33"/>
  <c r="BH681" i="33"/>
  <c r="BA681" i="33"/>
  <c r="AT681" i="33"/>
  <c r="AM681" i="33"/>
  <c r="AF681" i="33"/>
  <c r="Y681" i="33"/>
  <c r="R681" i="33"/>
  <c r="K681" i="33"/>
  <c r="DE680" i="33"/>
  <c r="CX680" i="33"/>
  <c r="CI680" i="33"/>
  <c r="CH680" i="33"/>
  <c r="I686" i="33" s="1"/>
  <c r="CG680" i="33"/>
  <c r="H686" i="33" s="1"/>
  <c r="CG686" i="33" s="1"/>
  <c r="H692" i="33" s="1"/>
  <c r="CG692" i="33" s="1"/>
  <c r="H698" i="33" s="1"/>
  <c r="CG698" i="33" s="1"/>
  <c r="H704" i="33" s="1"/>
  <c r="CG704" i="33" s="1"/>
  <c r="CF680" i="33"/>
  <c r="CE680" i="33"/>
  <c r="CC680" i="33"/>
  <c r="BV680" i="33"/>
  <c r="BO680" i="33"/>
  <c r="BH680" i="33"/>
  <c r="BA680" i="33"/>
  <c r="AT680" i="33"/>
  <c r="AM680" i="33"/>
  <c r="AF680" i="33"/>
  <c r="Y680" i="33"/>
  <c r="R680" i="33"/>
  <c r="K680" i="33"/>
  <c r="DE679" i="33"/>
  <c r="DE683" i="33" s="1"/>
  <c r="CX679" i="33"/>
  <c r="CI679" i="33"/>
  <c r="CH679" i="33"/>
  <c r="CG679" i="33"/>
  <c r="CG683" i="33" s="1"/>
  <c r="CF679" i="33"/>
  <c r="CE679" i="33"/>
  <c r="F685" i="33" s="1"/>
  <c r="CC679" i="33"/>
  <c r="BV679" i="33"/>
  <c r="BO679" i="33"/>
  <c r="BH679" i="33"/>
  <c r="BA679" i="33"/>
  <c r="BA683" i="33" s="1"/>
  <c r="AT679" i="33"/>
  <c r="AT683" i="33" s="1"/>
  <c r="AM679" i="33"/>
  <c r="AF679" i="33"/>
  <c r="Y679" i="33"/>
  <c r="R679" i="33"/>
  <c r="K679" i="33"/>
  <c r="DD675" i="33"/>
  <c r="DC675" i="33"/>
  <c r="DB675" i="33"/>
  <c r="DA675" i="33"/>
  <c r="CZ675" i="33"/>
  <c r="CW675" i="33"/>
  <c r="CV675" i="33"/>
  <c r="CU675" i="33"/>
  <c r="CT675" i="33"/>
  <c r="CS675" i="33"/>
  <c r="CP675" i="33"/>
  <c r="CO675" i="33"/>
  <c r="CN675" i="33"/>
  <c r="CM675" i="33"/>
  <c r="CL675" i="33"/>
  <c r="CB675" i="33"/>
  <c r="CA675" i="33"/>
  <c r="BZ675" i="33"/>
  <c r="BY675" i="33"/>
  <c r="BX675" i="33"/>
  <c r="BU675" i="33"/>
  <c r="BT675" i="33"/>
  <c r="BS675" i="33"/>
  <c r="BR675" i="33"/>
  <c r="BQ675" i="33"/>
  <c r="BN675" i="33"/>
  <c r="BM675" i="33"/>
  <c r="BL675" i="33"/>
  <c r="BK675" i="33"/>
  <c r="BJ675" i="33"/>
  <c r="BH675" i="33"/>
  <c r="BG675" i="33"/>
  <c r="BF675" i="33"/>
  <c r="BE675" i="33"/>
  <c r="BD675" i="33"/>
  <c r="BC675" i="33"/>
  <c r="AZ675" i="33"/>
  <c r="AY675" i="33"/>
  <c r="AX675" i="33"/>
  <c r="AW675" i="33"/>
  <c r="AV675" i="33"/>
  <c r="AS675" i="33"/>
  <c r="AR675" i="33"/>
  <c r="AQ675" i="33"/>
  <c r="AP675" i="33"/>
  <c r="AO675" i="33"/>
  <c r="AL675" i="33"/>
  <c r="AK675" i="33"/>
  <c r="AJ675" i="33"/>
  <c r="AI675" i="33"/>
  <c r="AH675" i="33"/>
  <c r="DE674" i="33"/>
  <c r="CX674" i="33"/>
  <c r="CC674" i="33"/>
  <c r="BV674" i="33"/>
  <c r="BO674" i="33"/>
  <c r="BH674" i="33"/>
  <c r="BA674" i="33"/>
  <c r="AT674" i="33"/>
  <c r="AM674" i="33"/>
  <c r="AF674" i="33"/>
  <c r="Y674" i="33"/>
  <c r="R674" i="33"/>
  <c r="DE673" i="33"/>
  <c r="CX673" i="33"/>
  <c r="CC673" i="33"/>
  <c r="BV673" i="33"/>
  <c r="BO673" i="33"/>
  <c r="BH673" i="33"/>
  <c r="BA673" i="33"/>
  <c r="AT673" i="33"/>
  <c r="AM673" i="33"/>
  <c r="AF673" i="33"/>
  <c r="Y673" i="33"/>
  <c r="R673" i="33"/>
  <c r="J673" i="33"/>
  <c r="CI673" i="33" s="1"/>
  <c r="DE672" i="33"/>
  <c r="CX672" i="33"/>
  <c r="CX675" i="33" s="1"/>
  <c r="CC672" i="33"/>
  <c r="BV672" i="33"/>
  <c r="BO672" i="33"/>
  <c r="BH672" i="33"/>
  <c r="BA672" i="33"/>
  <c r="AT672" i="33"/>
  <c r="AM672" i="33"/>
  <c r="AF672" i="33"/>
  <c r="Y672" i="33"/>
  <c r="R672" i="33"/>
  <c r="DE671" i="33"/>
  <c r="DE675" i="33" s="1"/>
  <c r="CX671" i="33"/>
  <c r="CC671" i="33"/>
  <c r="BV671" i="33"/>
  <c r="BV675" i="33" s="1"/>
  <c r="BO671" i="33"/>
  <c r="BH671" i="33"/>
  <c r="BA671" i="33"/>
  <c r="AT671" i="33"/>
  <c r="AM671" i="33"/>
  <c r="AF671" i="33"/>
  <c r="Y671" i="33"/>
  <c r="R671" i="33"/>
  <c r="DD669" i="33"/>
  <c r="DC669" i="33"/>
  <c r="DB669" i="33"/>
  <c r="DA669" i="33"/>
  <c r="CZ669" i="33"/>
  <c r="CW669" i="33"/>
  <c r="CV669" i="33"/>
  <c r="CU669" i="33"/>
  <c r="CT669" i="33"/>
  <c r="CS669" i="33"/>
  <c r="CP669" i="33"/>
  <c r="CO669" i="33"/>
  <c r="CN669" i="33"/>
  <c r="CM669" i="33"/>
  <c r="CL669" i="33"/>
  <c r="CB669" i="33"/>
  <c r="CA669" i="33"/>
  <c r="BZ669" i="33"/>
  <c r="BY669" i="33"/>
  <c r="BX669" i="33"/>
  <c r="BU669" i="33"/>
  <c r="BT669" i="33"/>
  <c r="BS669" i="33"/>
  <c r="BR669" i="33"/>
  <c r="BQ669" i="33"/>
  <c r="BN669" i="33"/>
  <c r="BM669" i="33"/>
  <c r="BL669" i="33"/>
  <c r="BK669" i="33"/>
  <c r="BJ669" i="33"/>
  <c r="BG669" i="33"/>
  <c r="BF669" i="33"/>
  <c r="BE669" i="33"/>
  <c r="BD669" i="33"/>
  <c r="BC669" i="33"/>
  <c r="AZ669" i="33"/>
  <c r="AY669" i="33"/>
  <c r="AX669" i="33"/>
  <c r="AW669" i="33"/>
  <c r="AV669" i="33"/>
  <c r="AT669" i="33"/>
  <c r="AS669" i="33"/>
  <c r="AR669" i="33"/>
  <c r="AQ669" i="33"/>
  <c r="AP669" i="33"/>
  <c r="AO669" i="33"/>
  <c r="AL669" i="33"/>
  <c r="AK669" i="33"/>
  <c r="AJ669" i="33"/>
  <c r="AI669" i="33"/>
  <c r="AH669" i="33"/>
  <c r="DE668" i="33"/>
  <c r="CX668" i="33"/>
  <c r="CC668" i="33"/>
  <c r="BV668" i="33"/>
  <c r="BV669" i="33" s="1"/>
  <c r="BO668" i="33"/>
  <c r="BH668" i="33"/>
  <c r="BA668" i="33"/>
  <c r="AT668" i="33"/>
  <c r="AM668" i="33"/>
  <c r="AF668" i="33"/>
  <c r="Y668" i="33"/>
  <c r="R668" i="33"/>
  <c r="DE667" i="33"/>
  <c r="CX667" i="33"/>
  <c r="CC667" i="33"/>
  <c r="BV667" i="33"/>
  <c r="BO667" i="33"/>
  <c r="BH667" i="33"/>
  <c r="BA667" i="33"/>
  <c r="AT667" i="33"/>
  <c r="AM667" i="33"/>
  <c r="AF667" i="33"/>
  <c r="Y667" i="33"/>
  <c r="R667" i="33"/>
  <c r="DE666" i="33"/>
  <c r="CX666" i="33"/>
  <c r="CX669" i="33" s="1"/>
  <c r="CC666" i="33"/>
  <c r="BV666" i="33"/>
  <c r="BO666" i="33"/>
  <c r="BH666" i="33"/>
  <c r="BA666" i="33"/>
  <c r="AT666" i="33"/>
  <c r="AM666" i="33"/>
  <c r="AF666" i="33"/>
  <c r="Y666" i="33"/>
  <c r="R666" i="33"/>
  <c r="G666" i="33"/>
  <c r="CF666" i="33" s="1"/>
  <c r="G672" i="33" s="1"/>
  <c r="CF672" i="33" s="1"/>
  <c r="DE665" i="33"/>
  <c r="DE669" i="33" s="1"/>
  <c r="CX665" i="33"/>
  <c r="CC665" i="33"/>
  <c r="BV665" i="33"/>
  <c r="BO665" i="33"/>
  <c r="BO669" i="33" s="1"/>
  <c r="BH665" i="33"/>
  <c r="BH669" i="33" s="1"/>
  <c r="BA665" i="33"/>
  <c r="AT665" i="33"/>
  <c r="AM665" i="33"/>
  <c r="AM669" i="33" s="1"/>
  <c r="AF665" i="33"/>
  <c r="Y665" i="33"/>
  <c r="R665" i="33"/>
  <c r="DD663" i="33"/>
  <c r="DC663" i="33"/>
  <c r="DB663" i="33"/>
  <c r="DA663" i="33"/>
  <c r="CZ663" i="33"/>
  <c r="CW663" i="33"/>
  <c r="CV663" i="33"/>
  <c r="CU663" i="33"/>
  <c r="CT663" i="33"/>
  <c r="CS663" i="33"/>
  <c r="CP663" i="33"/>
  <c r="CO663" i="33"/>
  <c r="CN663" i="33"/>
  <c r="CM663" i="33"/>
  <c r="CL663" i="33"/>
  <c r="CB663" i="33"/>
  <c r="CA663" i="33"/>
  <c r="BZ663" i="33"/>
  <c r="BY663" i="33"/>
  <c r="BX663" i="33"/>
  <c r="BU663" i="33"/>
  <c r="BT663" i="33"/>
  <c r="BS663" i="33"/>
  <c r="BR663" i="33"/>
  <c r="BQ663" i="33"/>
  <c r="BN663" i="33"/>
  <c r="BM663" i="33"/>
  <c r="BL663" i="33"/>
  <c r="BK663" i="33"/>
  <c r="BJ663" i="33"/>
  <c r="BG663" i="33"/>
  <c r="BF663" i="33"/>
  <c r="BE663" i="33"/>
  <c r="BD663" i="33"/>
  <c r="BC663" i="33"/>
  <c r="AZ663" i="33"/>
  <c r="AY663" i="33"/>
  <c r="AX663" i="33"/>
  <c r="AW663" i="33"/>
  <c r="AV663" i="33"/>
  <c r="AS663" i="33"/>
  <c r="AR663" i="33"/>
  <c r="AQ663" i="33"/>
  <c r="AP663" i="33"/>
  <c r="AO663" i="33"/>
  <c r="AL663" i="33"/>
  <c r="AK663" i="33"/>
  <c r="AJ663" i="33"/>
  <c r="AI663" i="33"/>
  <c r="AH663" i="33"/>
  <c r="DE662" i="33"/>
  <c r="CX662" i="33"/>
  <c r="CC662" i="33"/>
  <c r="BV662" i="33"/>
  <c r="BO662" i="33"/>
  <c r="BO663" i="33" s="1"/>
  <c r="BH662" i="33"/>
  <c r="BA662" i="33"/>
  <c r="AT662" i="33"/>
  <c r="AM662" i="33"/>
  <c r="AF662" i="33"/>
  <c r="Y662" i="33"/>
  <c r="R662" i="33"/>
  <c r="DE661" i="33"/>
  <c r="CX661" i="33"/>
  <c r="CC661" i="33"/>
  <c r="BV661" i="33"/>
  <c r="BO661" i="33"/>
  <c r="BH661" i="33"/>
  <c r="BA661" i="33"/>
  <c r="AT661" i="33"/>
  <c r="AM661" i="33"/>
  <c r="AF661" i="33"/>
  <c r="Y661" i="33"/>
  <c r="R661" i="33"/>
  <c r="DE660" i="33"/>
  <c r="CX660" i="33"/>
  <c r="CC660" i="33"/>
  <c r="BV660" i="33"/>
  <c r="BO660" i="33"/>
  <c r="BH660" i="33"/>
  <c r="BA660" i="33"/>
  <c r="AT660" i="33"/>
  <c r="AM660" i="33"/>
  <c r="AF660" i="33"/>
  <c r="Y660" i="33"/>
  <c r="R660" i="33"/>
  <c r="DE659" i="33"/>
  <c r="DE663" i="33" s="1"/>
  <c r="CX659" i="33"/>
  <c r="CX663" i="33" s="1"/>
  <c r="CC659" i="33"/>
  <c r="BV659" i="33"/>
  <c r="BV663" i="33" s="1"/>
  <c r="BO659" i="33"/>
  <c r="BH659" i="33"/>
  <c r="BH663" i="33" s="1"/>
  <c r="BA659" i="33"/>
  <c r="AT659" i="33"/>
  <c r="AT663" i="33" s="1"/>
  <c r="AM659" i="33"/>
  <c r="AF659" i="33"/>
  <c r="Y659" i="33"/>
  <c r="R659" i="33"/>
  <c r="J659" i="33"/>
  <c r="CI659" i="33" s="1"/>
  <c r="DD657" i="33"/>
  <c r="DC657" i="33"/>
  <c r="DB657" i="33"/>
  <c r="DA657" i="33"/>
  <c r="CZ657" i="33"/>
  <c r="CW657" i="33"/>
  <c r="CV657" i="33"/>
  <c r="CU657" i="33"/>
  <c r="CT657" i="33"/>
  <c r="CS657" i="33"/>
  <c r="CP657" i="33"/>
  <c r="CO657" i="33"/>
  <c r="CN657" i="33"/>
  <c r="CM657" i="33"/>
  <c r="CL657" i="33"/>
  <c r="CB657" i="33"/>
  <c r="CA657" i="33"/>
  <c r="BZ657" i="33"/>
  <c r="BY657" i="33"/>
  <c r="BX657" i="33"/>
  <c r="BU657" i="33"/>
  <c r="BT657" i="33"/>
  <c r="BS657" i="33"/>
  <c r="BR657" i="33"/>
  <c r="BQ657" i="33"/>
  <c r="BN657" i="33"/>
  <c r="BM657" i="33"/>
  <c r="BL657" i="33"/>
  <c r="BK657" i="33"/>
  <c r="BJ657" i="33"/>
  <c r="BG657" i="33"/>
  <c r="BF657" i="33"/>
  <c r="BE657" i="33"/>
  <c r="BD657" i="33"/>
  <c r="BC657" i="33"/>
  <c r="AZ657" i="33"/>
  <c r="AY657" i="33"/>
  <c r="AX657" i="33"/>
  <c r="AW657" i="33"/>
  <c r="AV657" i="33"/>
  <c r="AS657" i="33"/>
  <c r="AR657" i="33"/>
  <c r="AQ657" i="33"/>
  <c r="AP657" i="33"/>
  <c r="AO657" i="33"/>
  <c r="AL657" i="33"/>
  <c r="AK657" i="33"/>
  <c r="AJ657" i="33"/>
  <c r="AI657" i="33"/>
  <c r="AH657" i="33"/>
  <c r="J657" i="33"/>
  <c r="DE656" i="33"/>
  <c r="CX656" i="33"/>
  <c r="CC656" i="33"/>
  <c r="BV656" i="33"/>
  <c r="BO656" i="33"/>
  <c r="BO657" i="33" s="1"/>
  <c r="BH656" i="33"/>
  <c r="BA656" i="33"/>
  <c r="AT656" i="33"/>
  <c r="AM656" i="33"/>
  <c r="AF656" i="33"/>
  <c r="Y656" i="33"/>
  <c r="R656" i="33"/>
  <c r="DE655" i="33"/>
  <c r="CX655" i="33"/>
  <c r="CC655" i="33"/>
  <c r="BV655" i="33"/>
  <c r="BO655" i="33"/>
  <c r="BH655" i="33"/>
  <c r="BA655" i="33"/>
  <c r="AT655" i="33"/>
  <c r="AM655" i="33"/>
  <c r="AF655" i="33"/>
  <c r="Y655" i="33"/>
  <c r="R655" i="33"/>
  <c r="H655" i="33"/>
  <c r="CG655" i="33" s="1"/>
  <c r="H661" i="33" s="1"/>
  <c r="CG661" i="33" s="1"/>
  <c r="H667" i="33" s="1"/>
  <c r="CG667" i="33" s="1"/>
  <c r="H673" i="33" s="1"/>
  <c r="CG673" i="33" s="1"/>
  <c r="F655" i="33"/>
  <c r="DE654" i="33"/>
  <c r="CX654" i="33"/>
  <c r="CC654" i="33"/>
  <c r="BV654" i="33"/>
  <c r="BO654" i="33"/>
  <c r="BH654" i="33"/>
  <c r="BA654" i="33"/>
  <c r="AT654" i="33"/>
  <c r="AM654" i="33"/>
  <c r="AM657" i="33" s="1"/>
  <c r="AF654" i="33"/>
  <c r="Y654" i="33"/>
  <c r="R654" i="33"/>
  <c r="I654" i="33"/>
  <c r="CH654" i="33" s="1"/>
  <c r="I660" i="33" s="1"/>
  <c r="CH660" i="33" s="1"/>
  <c r="I666" i="33" s="1"/>
  <c r="CH666" i="33" s="1"/>
  <c r="I672" i="33" s="1"/>
  <c r="CH672" i="33" s="1"/>
  <c r="H654" i="33"/>
  <c r="CG654" i="33" s="1"/>
  <c r="H660" i="33" s="1"/>
  <c r="CG660" i="33" s="1"/>
  <c r="H666" i="33" s="1"/>
  <c r="CG666" i="33" s="1"/>
  <c r="H672" i="33" s="1"/>
  <c r="CG672" i="33" s="1"/>
  <c r="DE653" i="33"/>
  <c r="DE657" i="33" s="1"/>
  <c r="CX653" i="33"/>
  <c r="CX657" i="33" s="1"/>
  <c r="CI653" i="33"/>
  <c r="CI657" i="33" s="1"/>
  <c r="CC653" i="33"/>
  <c r="CC657" i="33" s="1"/>
  <c r="BV653" i="33"/>
  <c r="BV657" i="33" s="1"/>
  <c r="BO653" i="33"/>
  <c r="BH653" i="33"/>
  <c r="BH657" i="33" s="1"/>
  <c r="BA653" i="33"/>
  <c r="BA657" i="33" s="1"/>
  <c r="AT653" i="33"/>
  <c r="AM653" i="33"/>
  <c r="AF653" i="33"/>
  <c r="Y653" i="33"/>
  <c r="R653" i="33"/>
  <c r="J653" i="33"/>
  <c r="H653" i="33"/>
  <c r="H657" i="33" s="1"/>
  <c r="F653" i="33"/>
  <c r="DD651" i="33"/>
  <c r="DC651" i="33"/>
  <c r="DB651" i="33"/>
  <c r="DA651" i="33"/>
  <c r="CZ651" i="33"/>
  <c r="CW651" i="33"/>
  <c r="CV651" i="33"/>
  <c r="CU651" i="33"/>
  <c r="CT651" i="33"/>
  <c r="CS651" i="33"/>
  <c r="CP651" i="33"/>
  <c r="CO651" i="33"/>
  <c r="CN651" i="33"/>
  <c r="CM651" i="33"/>
  <c r="CL651" i="33"/>
  <c r="CI651" i="33"/>
  <c r="CG651" i="33"/>
  <c r="CE651" i="33"/>
  <c r="CB651" i="33"/>
  <c r="CA651" i="33"/>
  <c r="BZ651" i="33"/>
  <c r="BY651" i="33"/>
  <c r="BX651" i="33"/>
  <c r="BU651" i="33"/>
  <c r="BT651" i="33"/>
  <c r="BS651" i="33"/>
  <c r="BR651" i="33"/>
  <c r="BQ651" i="33"/>
  <c r="BN651" i="33"/>
  <c r="BM651" i="33"/>
  <c r="BL651" i="33"/>
  <c r="BK651" i="33"/>
  <c r="BJ651" i="33"/>
  <c r="BG651" i="33"/>
  <c r="BF651" i="33"/>
  <c r="BE651" i="33"/>
  <c r="BD651" i="33"/>
  <c r="BC651" i="33"/>
  <c r="AZ651" i="33"/>
  <c r="AY651" i="33"/>
  <c r="AX651" i="33"/>
  <c r="AW651" i="33"/>
  <c r="AV651" i="33"/>
  <c r="AS651" i="33"/>
  <c r="AR651" i="33"/>
  <c r="AQ651" i="33"/>
  <c r="AP651" i="33"/>
  <c r="AO651" i="33"/>
  <c r="AL651" i="33"/>
  <c r="AK651" i="33"/>
  <c r="AJ651" i="33"/>
  <c r="AI651" i="33"/>
  <c r="AH651" i="33"/>
  <c r="J651" i="33"/>
  <c r="I651" i="33"/>
  <c r="H651" i="33"/>
  <c r="G651" i="33"/>
  <c r="F651" i="33"/>
  <c r="DE650" i="33"/>
  <c r="CX650" i="33"/>
  <c r="CI650" i="33"/>
  <c r="J656" i="33" s="1"/>
  <c r="CI656" i="33" s="1"/>
  <c r="J662" i="33" s="1"/>
  <c r="CI662" i="33" s="1"/>
  <c r="J668" i="33" s="1"/>
  <c r="CI668" i="33" s="1"/>
  <c r="J674" i="33" s="1"/>
  <c r="CI674" i="33" s="1"/>
  <c r="CH650" i="33"/>
  <c r="I656" i="33" s="1"/>
  <c r="CH656" i="33" s="1"/>
  <c r="I662" i="33" s="1"/>
  <c r="CH662" i="33" s="1"/>
  <c r="I668" i="33" s="1"/>
  <c r="CH668" i="33" s="1"/>
  <c r="I674" i="33" s="1"/>
  <c r="CH674" i="33" s="1"/>
  <c r="CG650" i="33"/>
  <c r="H656" i="33" s="1"/>
  <c r="CG656" i="33" s="1"/>
  <c r="H662" i="33" s="1"/>
  <c r="CG662" i="33" s="1"/>
  <c r="H668" i="33" s="1"/>
  <c r="CG668" i="33" s="1"/>
  <c r="H674" i="33" s="1"/>
  <c r="CG674" i="33" s="1"/>
  <c r="CF650" i="33"/>
  <c r="CJ650" i="33" s="1"/>
  <c r="CE650" i="33"/>
  <c r="F656" i="33" s="1"/>
  <c r="CE656" i="33" s="1"/>
  <c r="F662" i="33" s="1"/>
  <c r="CE662" i="33" s="1"/>
  <c r="F668" i="33" s="1"/>
  <c r="CC650" i="33"/>
  <c r="BV650" i="33"/>
  <c r="BO650" i="33"/>
  <c r="BH650" i="33"/>
  <c r="BA650" i="33"/>
  <c r="AT650" i="33"/>
  <c r="AM650" i="33"/>
  <c r="AF650" i="33"/>
  <c r="Y650" i="33"/>
  <c r="R650" i="33"/>
  <c r="K650" i="33"/>
  <c r="DE649" i="33"/>
  <c r="CX649" i="33"/>
  <c r="CJ649" i="33"/>
  <c r="CI649" i="33"/>
  <c r="J655" i="33" s="1"/>
  <c r="CI655" i="33" s="1"/>
  <c r="J661" i="33" s="1"/>
  <c r="CI661" i="33" s="1"/>
  <c r="J667" i="33" s="1"/>
  <c r="CI667" i="33" s="1"/>
  <c r="CH649" i="33"/>
  <c r="I655" i="33" s="1"/>
  <c r="CH655" i="33" s="1"/>
  <c r="I661" i="33" s="1"/>
  <c r="CH661" i="33" s="1"/>
  <c r="I667" i="33" s="1"/>
  <c r="CH667" i="33" s="1"/>
  <c r="I673" i="33" s="1"/>
  <c r="CH673" i="33" s="1"/>
  <c r="CG649" i="33"/>
  <c r="CF649" i="33"/>
  <c r="G655" i="33" s="1"/>
  <c r="CF655" i="33" s="1"/>
  <c r="G661" i="33" s="1"/>
  <c r="CF661" i="33" s="1"/>
  <c r="G667" i="33" s="1"/>
  <c r="CF667" i="33" s="1"/>
  <c r="G673" i="33" s="1"/>
  <c r="CF673" i="33" s="1"/>
  <c r="CE649" i="33"/>
  <c r="CC649" i="33"/>
  <c r="BV649" i="33"/>
  <c r="BO649" i="33"/>
  <c r="BH649" i="33"/>
  <c r="BA649" i="33"/>
  <c r="AT649" i="33"/>
  <c r="AM649" i="33"/>
  <c r="AF649" i="33"/>
  <c r="Y649" i="33"/>
  <c r="R649" i="33"/>
  <c r="K649" i="33"/>
  <c r="DE648" i="33"/>
  <c r="CX648" i="33"/>
  <c r="CI648" i="33"/>
  <c r="J654" i="33" s="1"/>
  <c r="CI654" i="33" s="1"/>
  <c r="J660" i="33" s="1"/>
  <c r="CI660" i="33" s="1"/>
  <c r="J666" i="33" s="1"/>
  <c r="CI666" i="33" s="1"/>
  <c r="J672" i="33" s="1"/>
  <c r="CI672" i="33" s="1"/>
  <c r="CH648" i="33"/>
  <c r="CG648" i="33"/>
  <c r="CF648" i="33"/>
  <c r="G654" i="33" s="1"/>
  <c r="CF654" i="33" s="1"/>
  <c r="G660" i="33" s="1"/>
  <c r="CF660" i="33" s="1"/>
  <c r="CE648" i="33"/>
  <c r="F654" i="33" s="1"/>
  <c r="CC648" i="33"/>
  <c r="CC651" i="33" s="1"/>
  <c r="BV648" i="33"/>
  <c r="BO648" i="33"/>
  <c r="BH648" i="33"/>
  <c r="BA648" i="33"/>
  <c r="AT648" i="33"/>
  <c r="AM648" i="33"/>
  <c r="AF648" i="33"/>
  <c r="Y648" i="33"/>
  <c r="R648" i="33"/>
  <c r="K648" i="33"/>
  <c r="DE647" i="33"/>
  <c r="DE651" i="33" s="1"/>
  <c r="CX647" i="33"/>
  <c r="CX651" i="33" s="1"/>
  <c r="CJ647" i="33"/>
  <c r="CI647" i="33"/>
  <c r="CH647" i="33"/>
  <c r="I653" i="33" s="1"/>
  <c r="CG647" i="33"/>
  <c r="CF647" i="33"/>
  <c r="CE647" i="33"/>
  <c r="CC647" i="33"/>
  <c r="BV647" i="33"/>
  <c r="BV651" i="33" s="1"/>
  <c r="BO647" i="33"/>
  <c r="BO651" i="33" s="1"/>
  <c r="BH647" i="33"/>
  <c r="BH651" i="33" s="1"/>
  <c r="BA647" i="33"/>
  <c r="BA651" i="33" s="1"/>
  <c r="AT647" i="33"/>
  <c r="AT651" i="33" s="1"/>
  <c r="AM647" i="33"/>
  <c r="AF647" i="33"/>
  <c r="Y647" i="33"/>
  <c r="R647" i="33"/>
  <c r="K647" i="33"/>
  <c r="K651" i="33" s="1"/>
  <c r="DD643" i="33"/>
  <c r="DC643" i="33"/>
  <c r="DB643" i="33"/>
  <c r="DA643" i="33"/>
  <c r="CZ643" i="33"/>
  <c r="CW643" i="33"/>
  <c r="CV643" i="33"/>
  <c r="CU643" i="33"/>
  <c r="CT643" i="33"/>
  <c r="CS643" i="33"/>
  <c r="CP643" i="33"/>
  <c r="CO643" i="33"/>
  <c r="CN643" i="33"/>
  <c r="CM643" i="33"/>
  <c r="CL643" i="33"/>
  <c r="CB643" i="33"/>
  <c r="CA643" i="33"/>
  <c r="BZ643" i="33"/>
  <c r="BY643" i="33"/>
  <c r="BX643" i="33"/>
  <c r="BU643" i="33"/>
  <c r="BT643" i="33"/>
  <c r="BS643" i="33"/>
  <c r="BR643" i="33"/>
  <c r="BQ643" i="33"/>
  <c r="BN643" i="33"/>
  <c r="BM643" i="33"/>
  <c r="BL643" i="33"/>
  <c r="BK643" i="33"/>
  <c r="BJ643" i="33"/>
  <c r="BG643" i="33"/>
  <c r="BF643" i="33"/>
  <c r="BE643" i="33"/>
  <c r="BD643" i="33"/>
  <c r="BC643" i="33"/>
  <c r="AZ643" i="33"/>
  <c r="AY643" i="33"/>
  <c r="AX643" i="33"/>
  <c r="AW643" i="33"/>
  <c r="AV643" i="33"/>
  <c r="AS643" i="33"/>
  <c r="AR643" i="33"/>
  <c r="AQ643" i="33"/>
  <c r="AP643" i="33"/>
  <c r="AO643" i="33"/>
  <c r="AL643" i="33"/>
  <c r="AK643" i="33"/>
  <c r="AJ643" i="33"/>
  <c r="AI643" i="33"/>
  <c r="AH643" i="33"/>
  <c r="DE642" i="33"/>
  <c r="CX642" i="33"/>
  <c r="CC642" i="33"/>
  <c r="BV642" i="33"/>
  <c r="BO642" i="33"/>
  <c r="BH642" i="33"/>
  <c r="BA642" i="33"/>
  <c r="AT642" i="33"/>
  <c r="AM642" i="33"/>
  <c r="AF642" i="33"/>
  <c r="Y642" i="33"/>
  <c r="R642" i="33"/>
  <c r="DE641" i="33"/>
  <c r="CX641" i="33"/>
  <c r="CC641" i="33"/>
  <c r="BV641" i="33"/>
  <c r="BO641" i="33"/>
  <c r="BH641" i="33"/>
  <c r="BA641" i="33"/>
  <c r="AT641" i="33"/>
  <c r="AM641" i="33"/>
  <c r="AF641" i="33"/>
  <c r="Y641" i="33"/>
  <c r="R641" i="33"/>
  <c r="DE640" i="33"/>
  <c r="CX640" i="33"/>
  <c r="CC640" i="33"/>
  <c r="BV640" i="33"/>
  <c r="BO640" i="33"/>
  <c r="BH640" i="33"/>
  <c r="BA640" i="33"/>
  <c r="BA643" i="33" s="1"/>
  <c r="AT640" i="33"/>
  <c r="AM640" i="33"/>
  <c r="AF640" i="33"/>
  <c r="Y640" i="33"/>
  <c r="R640" i="33"/>
  <c r="DE639" i="33"/>
  <c r="DE643" i="33" s="1"/>
  <c r="CX639" i="33"/>
  <c r="CX643" i="33" s="1"/>
  <c r="CC639" i="33"/>
  <c r="CC643" i="33" s="1"/>
  <c r="BV639" i="33"/>
  <c r="BV643" i="33" s="1"/>
  <c r="BO639" i="33"/>
  <c r="BH639" i="33"/>
  <c r="BH643" i="33" s="1"/>
  <c r="BA639" i="33"/>
  <c r="AT639" i="33"/>
  <c r="AM639" i="33"/>
  <c r="AF639" i="33"/>
  <c r="Y639" i="33"/>
  <c r="R639" i="33"/>
  <c r="DE637" i="33"/>
  <c r="DD637" i="33"/>
  <c r="DC637" i="33"/>
  <c r="DB637" i="33"/>
  <c r="DA637" i="33"/>
  <c r="CZ637" i="33"/>
  <c r="CW637" i="33"/>
  <c r="CV637" i="33"/>
  <c r="CU637" i="33"/>
  <c r="CT637" i="33"/>
  <c r="CS637" i="33"/>
  <c r="CP637" i="33"/>
  <c r="CO637" i="33"/>
  <c r="CN637" i="33"/>
  <c r="CM637" i="33"/>
  <c r="CL637" i="33"/>
  <c r="CB637" i="33"/>
  <c r="CA637" i="33"/>
  <c r="BZ637" i="33"/>
  <c r="BY637" i="33"/>
  <c r="BX637" i="33"/>
  <c r="BU637" i="33"/>
  <c r="BT637" i="33"/>
  <c r="BS637" i="33"/>
  <c r="BR637" i="33"/>
  <c r="BQ637" i="33"/>
  <c r="BN637" i="33"/>
  <c r="BM637" i="33"/>
  <c r="BL637" i="33"/>
  <c r="BK637" i="33"/>
  <c r="BJ637" i="33"/>
  <c r="BG637" i="33"/>
  <c r="BF637" i="33"/>
  <c r="BE637" i="33"/>
  <c r="BD637" i="33"/>
  <c r="BC637" i="33"/>
  <c r="AZ637" i="33"/>
  <c r="AY637" i="33"/>
  <c r="AX637" i="33"/>
  <c r="AW637" i="33"/>
  <c r="AV637" i="33"/>
  <c r="AS637" i="33"/>
  <c r="AR637" i="33"/>
  <c r="AQ637" i="33"/>
  <c r="AP637" i="33"/>
  <c r="AO637" i="33"/>
  <c r="AL637" i="33"/>
  <c r="AK637" i="33"/>
  <c r="AJ637" i="33"/>
  <c r="AI637" i="33"/>
  <c r="AH637" i="33"/>
  <c r="DE636" i="33"/>
  <c r="CX636" i="33"/>
  <c r="CC636" i="33"/>
  <c r="BV636" i="33"/>
  <c r="BO636" i="33"/>
  <c r="BH636" i="33"/>
  <c r="BA636" i="33"/>
  <c r="BA637" i="33" s="1"/>
  <c r="AT636" i="33"/>
  <c r="AM636" i="33"/>
  <c r="AF636" i="33"/>
  <c r="Y636" i="33"/>
  <c r="R636" i="33"/>
  <c r="DE635" i="33"/>
  <c r="CX635" i="33"/>
  <c r="CC635" i="33"/>
  <c r="BV635" i="33"/>
  <c r="BO635" i="33"/>
  <c r="BH635" i="33"/>
  <c r="BA635" i="33"/>
  <c r="AT635" i="33"/>
  <c r="AM635" i="33"/>
  <c r="AM637" i="33" s="1"/>
  <c r="AF635" i="33"/>
  <c r="Y635" i="33"/>
  <c r="R635" i="33"/>
  <c r="J635" i="33"/>
  <c r="CI635" i="33" s="1"/>
  <c r="J641" i="33" s="1"/>
  <c r="CI641" i="33" s="1"/>
  <c r="H635" i="33"/>
  <c r="CG635" i="33" s="1"/>
  <c r="H641" i="33" s="1"/>
  <c r="CG641" i="33" s="1"/>
  <c r="DE634" i="33"/>
  <c r="CX634" i="33"/>
  <c r="CC634" i="33"/>
  <c r="BV634" i="33"/>
  <c r="BO634" i="33"/>
  <c r="BO637" i="33" s="1"/>
  <c r="BH634" i="33"/>
  <c r="BA634" i="33"/>
  <c r="AT634" i="33"/>
  <c r="AM634" i="33"/>
  <c r="AF634" i="33"/>
  <c r="Y634" i="33"/>
  <c r="R634" i="33"/>
  <c r="DE633" i="33"/>
  <c r="CX633" i="33"/>
  <c r="CC633" i="33"/>
  <c r="CC637" i="33" s="1"/>
  <c r="BV633" i="33"/>
  <c r="BV637" i="33" s="1"/>
  <c r="BO633" i="33"/>
  <c r="BH633" i="33"/>
  <c r="BA633" i="33"/>
  <c r="AT633" i="33"/>
  <c r="AT637" i="33" s="1"/>
  <c r="AM633" i="33"/>
  <c r="AF633" i="33"/>
  <c r="Y633" i="33"/>
  <c r="R633" i="33"/>
  <c r="DD631" i="33"/>
  <c r="DC631" i="33"/>
  <c r="DB631" i="33"/>
  <c r="DA631" i="33"/>
  <c r="CZ631" i="33"/>
  <c r="CW631" i="33"/>
  <c r="CV631" i="33"/>
  <c r="CU631" i="33"/>
  <c r="CT631" i="33"/>
  <c r="CS631" i="33"/>
  <c r="CP631" i="33"/>
  <c r="CO631" i="33"/>
  <c r="CN631" i="33"/>
  <c r="CM631" i="33"/>
  <c r="CL631" i="33"/>
  <c r="CB631" i="33"/>
  <c r="CA631" i="33"/>
  <c r="BZ631" i="33"/>
  <c r="BY631" i="33"/>
  <c r="BX631" i="33"/>
  <c r="BU631" i="33"/>
  <c r="BT631" i="33"/>
  <c r="BS631" i="33"/>
  <c r="BR631" i="33"/>
  <c r="BQ631" i="33"/>
  <c r="BN631" i="33"/>
  <c r="BM631" i="33"/>
  <c r="BL631" i="33"/>
  <c r="BK631" i="33"/>
  <c r="BJ631" i="33"/>
  <c r="BG631" i="33"/>
  <c r="BF631" i="33"/>
  <c r="BE631" i="33"/>
  <c r="BD631" i="33"/>
  <c r="BC631" i="33"/>
  <c r="AZ631" i="33"/>
  <c r="AY631" i="33"/>
  <c r="AX631" i="33"/>
  <c r="AW631" i="33"/>
  <c r="AV631" i="33"/>
  <c r="AS631" i="33"/>
  <c r="AR631" i="33"/>
  <c r="AQ631" i="33"/>
  <c r="AP631" i="33"/>
  <c r="AO631" i="33"/>
  <c r="AL631" i="33"/>
  <c r="AK631" i="33"/>
  <c r="AJ631" i="33"/>
  <c r="AI631" i="33"/>
  <c r="AH631" i="33"/>
  <c r="DE630" i="33"/>
  <c r="CX630" i="33"/>
  <c r="CC630" i="33"/>
  <c r="BV630" i="33"/>
  <c r="BO630" i="33"/>
  <c r="BH630" i="33"/>
  <c r="BA630" i="33"/>
  <c r="AT630" i="33"/>
  <c r="AM630" i="33"/>
  <c r="AF630" i="33"/>
  <c r="Y630" i="33"/>
  <c r="R630" i="33"/>
  <c r="DE629" i="33"/>
  <c r="CX629" i="33"/>
  <c r="CI629" i="33"/>
  <c r="CC629" i="33"/>
  <c r="BV629" i="33"/>
  <c r="BO629" i="33"/>
  <c r="BH629" i="33"/>
  <c r="BA629" i="33"/>
  <c r="AT629" i="33"/>
  <c r="AM629" i="33"/>
  <c r="AM631" i="33" s="1"/>
  <c r="AF629" i="33"/>
  <c r="Y629" i="33"/>
  <c r="R629" i="33"/>
  <c r="DE628" i="33"/>
  <c r="CX628" i="33"/>
  <c r="CC628" i="33"/>
  <c r="BV628" i="33"/>
  <c r="BO628" i="33"/>
  <c r="BO631" i="33" s="1"/>
  <c r="BH628" i="33"/>
  <c r="BA628" i="33"/>
  <c r="AT628" i="33"/>
  <c r="AM628" i="33"/>
  <c r="AF628" i="33"/>
  <c r="Y628" i="33"/>
  <c r="R628" i="33"/>
  <c r="I628" i="33"/>
  <c r="CH628" i="33" s="1"/>
  <c r="I634" i="33" s="1"/>
  <c r="CH634" i="33" s="1"/>
  <c r="I640" i="33" s="1"/>
  <c r="CH640" i="33" s="1"/>
  <c r="DE627" i="33"/>
  <c r="DE631" i="33" s="1"/>
  <c r="CX627" i="33"/>
  <c r="CC627" i="33"/>
  <c r="CC631" i="33" s="1"/>
  <c r="BV627" i="33"/>
  <c r="BV631" i="33" s="1"/>
  <c r="BO627" i="33"/>
  <c r="BH627" i="33"/>
  <c r="BA627" i="33"/>
  <c r="BA631" i="33" s="1"/>
  <c r="AT627" i="33"/>
  <c r="AM627" i="33"/>
  <c r="AF627" i="33"/>
  <c r="Y627" i="33"/>
  <c r="R627" i="33"/>
  <c r="DD625" i="33"/>
  <c r="DC625" i="33"/>
  <c r="DB625" i="33"/>
  <c r="DA625" i="33"/>
  <c r="CZ625" i="33"/>
  <c r="CW625" i="33"/>
  <c r="CV625" i="33"/>
  <c r="CU625" i="33"/>
  <c r="CT625" i="33"/>
  <c r="CS625" i="33"/>
  <c r="CP625" i="33"/>
  <c r="CO625" i="33"/>
  <c r="CN625" i="33"/>
  <c r="CM625" i="33"/>
  <c r="CL625" i="33"/>
  <c r="CB625" i="33"/>
  <c r="CA625" i="33"/>
  <c r="BZ625" i="33"/>
  <c r="BY625" i="33"/>
  <c r="BX625" i="33"/>
  <c r="BU625" i="33"/>
  <c r="BT625" i="33"/>
  <c r="BS625" i="33"/>
  <c r="BR625" i="33"/>
  <c r="BQ625" i="33"/>
  <c r="BN625" i="33"/>
  <c r="BM625" i="33"/>
  <c r="BL625" i="33"/>
  <c r="BK625" i="33"/>
  <c r="BJ625" i="33"/>
  <c r="BG625" i="33"/>
  <c r="BF625" i="33"/>
  <c r="BE625" i="33"/>
  <c r="BD625" i="33"/>
  <c r="BC625" i="33"/>
  <c r="BA625" i="33"/>
  <c r="AZ625" i="33"/>
  <c r="AY625" i="33"/>
  <c r="AX625" i="33"/>
  <c r="AW625" i="33"/>
  <c r="AV625" i="33"/>
  <c r="AS625" i="33"/>
  <c r="AR625" i="33"/>
  <c r="AQ625" i="33"/>
  <c r="AP625" i="33"/>
  <c r="AO625" i="33"/>
  <c r="AL625" i="33"/>
  <c r="AK625" i="33"/>
  <c r="AJ625" i="33"/>
  <c r="AI625" i="33"/>
  <c r="AH625" i="33"/>
  <c r="DE624" i="33"/>
  <c r="CX624" i="33"/>
  <c r="CC624" i="33"/>
  <c r="BV624" i="33"/>
  <c r="BO624" i="33"/>
  <c r="BO625" i="33" s="1"/>
  <c r="BH624" i="33"/>
  <c r="BA624" i="33"/>
  <c r="AT624" i="33"/>
  <c r="AM624" i="33"/>
  <c r="AF624" i="33"/>
  <c r="Y624" i="33"/>
  <c r="R624" i="33"/>
  <c r="DE623" i="33"/>
  <c r="CX623" i="33"/>
  <c r="CC623" i="33"/>
  <c r="BV623" i="33"/>
  <c r="BO623" i="33"/>
  <c r="BH623" i="33"/>
  <c r="BA623" i="33"/>
  <c r="AT623" i="33"/>
  <c r="AM623" i="33"/>
  <c r="AM625" i="33" s="1"/>
  <c r="AF623" i="33"/>
  <c r="Y623" i="33"/>
  <c r="R623" i="33"/>
  <c r="J623" i="33"/>
  <c r="CI623" i="33" s="1"/>
  <c r="J629" i="33" s="1"/>
  <c r="H623" i="33"/>
  <c r="CG623" i="33" s="1"/>
  <c r="H629" i="33" s="1"/>
  <c r="CG629" i="33" s="1"/>
  <c r="DE622" i="33"/>
  <c r="CX622" i="33"/>
  <c r="CG622" i="33"/>
  <c r="H628" i="33" s="1"/>
  <c r="CG628" i="33" s="1"/>
  <c r="H634" i="33" s="1"/>
  <c r="CG634" i="33" s="1"/>
  <c r="H640" i="33" s="1"/>
  <c r="CG640" i="33" s="1"/>
  <c r="CC622" i="33"/>
  <c r="CC625" i="33" s="1"/>
  <c r="BV622" i="33"/>
  <c r="BO622" i="33"/>
  <c r="BH622" i="33"/>
  <c r="BA622" i="33"/>
  <c r="AT622" i="33"/>
  <c r="AM622" i="33"/>
  <c r="AF622" i="33"/>
  <c r="Y622" i="33"/>
  <c r="R622" i="33"/>
  <c r="H622" i="33"/>
  <c r="DE621" i="33"/>
  <c r="DE625" i="33" s="1"/>
  <c r="CX621" i="33"/>
  <c r="CX625" i="33" s="1"/>
  <c r="CH621" i="33"/>
  <c r="I627" i="33" s="1"/>
  <c r="CC621" i="33"/>
  <c r="BV621" i="33"/>
  <c r="BO621" i="33"/>
  <c r="BH621" i="33"/>
  <c r="BA621" i="33"/>
  <c r="AT621" i="33"/>
  <c r="AT625" i="33" s="1"/>
  <c r="AM621" i="33"/>
  <c r="AF621" i="33"/>
  <c r="Y621" i="33"/>
  <c r="R621" i="33"/>
  <c r="I621" i="33"/>
  <c r="H621" i="33"/>
  <c r="CG621" i="33" s="1"/>
  <c r="F621" i="33"/>
  <c r="DD619" i="33"/>
  <c r="DC619" i="33"/>
  <c r="DB619" i="33"/>
  <c r="DA619" i="33"/>
  <c r="CZ619" i="33"/>
  <c r="CW619" i="33"/>
  <c r="CV619" i="33"/>
  <c r="CU619" i="33"/>
  <c r="CT619" i="33"/>
  <c r="CS619" i="33"/>
  <c r="CP619" i="33"/>
  <c r="CO619" i="33"/>
  <c r="CN619" i="33"/>
  <c r="CM619" i="33"/>
  <c r="CL619" i="33"/>
  <c r="CG619" i="33"/>
  <c r="CB619" i="33"/>
  <c r="CA619" i="33"/>
  <c r="BZ619" i="33"/>
  <c r="BY619" i="33"/>
  <c r="BX619" i="33"/>
  <c r="BU619" i="33"/>
  <c r="BT619" i="33"/>
  <c r="BS619" i="33"/>
  <c r="BR619" i="33"/>
  <c r="BQ619" i="33"/>
  <c r="BN619" i="33"/>
  <c r="BM619" i="33"/>
  <c r="BL619" i="33"/>
  <c r="BK619" i="33"/>
  <c r="BJ619" i="33"/>
  <c r="BG619" i="33"/>
  <c r="BF619" i="33"/>
  <c r="BE619" i="33"/>
  <c r="BD619" i="33"/>
  <c r="BC619" i="33"/>
  <c r="BA619" i="33"/>
  <c r="AZ619" i="33"/>
  <c r="AY619" i="33"/>
  <c r="AX619" i="33"/>
  <c r="AW619" i="33"/>
  <c r="AV619" i="33"/>
  <c r="AS619" i="33"/>
  <c r="AR619" i="33"/>
  <c r="AQ619" i="33"/>
  <c r="AP619" i="33"/>
  <c r="AO619" i="33"/>
  <c r="AM619" i="33"/>
  <c r="AL619" i="33"/>
  <c r="AK619" i="33"/>
  <c r="AJ619" i="33"/>
  <c r="AI619" i="33"/>
  <c r="AH619" i="33"/>
  <c r="J619" i="33"/>
  <c r="I619" i="33"/>
  <c r="H619" i="33"/>
  <c r="G619" i="33"/>
  <c r="F619" i="33"/>
  <c r="DE618" i="33"/>
  <c r="CX618" i="33"/>
  <c r="CJ618" i="33"/>
  <c r="CI618" i="33"/>
  <c r="J624" i="33" s="1"/>
  <c r="CI624" i="33" s="1"/>
  <c r="J630" i="33" s="1"/>
  <c r="CI630" i="33" s="1"/>
  <c r="J636" i="33" s="1"/>
  <c r="CI636" i="33" s="1"/>
  <c r="J642" i="33" s="1"/>
  <c r="CI642" i="33" s="1"/>
  <c r="CH618" i="33"/>
  <c r="I624" i="33" s="1"/>
  <c r="CH624" i="33" s="1"/>
  <c r="I630" i="33" s="1"/>
  <c r="CH630" i="33" s="1"/>
  <c r="I636" i="33" s="1"/>
  <c r="CH636" i="33" s="1"/>
  <c r="I642" i="33" s="1"/>
  <c r="CH642" i="33" s="1"/>
  <c r="CG618" i="33"/>
  <c r="H624" i="33" s="1"/>
  <c r="CG624" i="33" s="1"/>
  <c r="H630" i="33" s="1"/>
  <c r="CG630" i="33" s="1"/>
  <c r="H636" i="33" s="1"/>
  <c r="CG636" i="33" s="1"/>
  <c r="H642" i="33" s="1"/>
  <c r="CG642" i="33" s="1"/>
  <c r="CF618" i="33"/>
  <c r="G624" i="33" s="1"/>
  <c r="CE618" i="33"/>
  <c r="F624" i="33" s="1"/>
  <c r="CE624" i="33" s="1"/>
  <c r="CC618" i="33"/>
  <c r="BV618" i="33"/>
  <c r="BO618" i="33"/>
  <c r="BH618" i="33"/>
  <c r="BA618" i="33"/>
  <c r="AT618" i="33"/>
  <c r="AM618" i="33"/>
  <c r="AF618" i="33"/>
  <c r="Y618" i="33"/>
  <c r="R618" i="33"/>
  <c r="K618" i="33"/>
  <c r="DE617" i="33"/>
  <c r="CX617" i="33"/>
  <c r="CI617" i="33"/>
  <c r="CH617" i="33"/>
  <c r="I623" i="33" s="1"/>
  <c r="CH623" i="33" s="1"/>
  <c r="I629" i="33" s="1"/>
  <c r="CH629" i="33" s="1"/>
  <c r="I635" i="33" s="1"/>
  <c r="CH635" i="33" s="1"/>
  <c r="I641" i="33" s="1"/>
  <c r="CH641" i="33" s="1"/>
  <c r="CG617" i="33"/>
  <c r="CF617" i="33"/>
  <c r="CE617" i="33"/>
  <c r="F623" i="33" s="1"/>
  <c r="CE623" i="33" s="1"/>
  <c r="F629" i="33" s="1"/>
  <c r="CE629" i="33" s="1"/>
  <c r="F635" i="33" s="1"/>
  <c r="CE635" i="33" s="1"/>
  <c r="F641" i="33" s="1"/>
  <c r="CC617" i="33"/>
  <c r="BV617" i="33"/>
  <c r="BO617" i="33"/>
  <c r="BH617" i="33"/>
  <c r="BA617" i="33"/>
  <c r="AT617" i="33"/>
  <c r="AM617" i="33"/>
  <c r="AF617" i="33"/>
  <c r="Y617" i="33"/>
  <c r="R617" i="33"/>
  <c r="K617" i="33"/>
  <c r="DE616" i="33"/>
  <c r="CX616" i="33"/>
  <c r="CJ616" i="33"/>
  <c r="CI616" i="33"/>
  <c r="J622" i="33" s="1"/>
  <c r="CI622" i="33" s="1"/>
  <c r="J628" i="33" s="1"/>
  <c r="CI628" i="33" s="1"/>
  <c r="J634" i="33" s="1"/>
  <c r="CI634" i="33" s="1"/>
  <c r="J640" i="33" s="1"/>
  <c r="CI640" i="33" s="1"/>
  <c r="CH616" i="33"/>
  <c r="I622" i="33" s="1"/>
  <c r="CH622" i="33" s="1"/>
  <c r="CH625" i="33" s="1"/>
  <c r="CG616" i="33"/>
  <c r="CF616" i="33"/>
  <c r="G622" i="33" s="1"/>
  <c r="CF622" i="33" s="1"/>
  <c r="G628" i="33" s="1"/>
  <c r="CF628" i="33" s="1"/>
  <c r="G634" i="33" s="1"/>
  <c r="CF634" i="33" s="1"/>
  <c r="G640" i="33" s="1"/>
  <c r="CF640" i="33" s="1"/>
  <c r="CE616" i="33"/>
  <c r="F622" i="33" s="1"/>
  <c r="CE622" i="33" s="1"/>
  <c r="F628" i="33" s="1"/>
  <c r="CE628" i="33" s="1"/>
  <c r="F634" i="33" s="1"/>
  <c r="CE634" i="33" s="1"/>
  <c r="F640" i="33" s="1"/>
  <c r="CC616" i="33"/>
  <c r="BV616" i="33"/>
  <c r="BO616" i="33"/>
  <c r="BH616" i="33"/>
  <c r="BA616" i="33"/>
  <c r="AT616" i="33"/>
  <c r="AM616" i="33"/>
  <c r="AF616" i="33"/>
  <c r="Y616" i="33"/>
  <c r="R616" i="33"/>
  <c r="K616" i="33"/>
  <c r="DE615" i="33"/>
  <c r="DE619" i="33" s="1"/>
  <c r="CX615" i="33"/>
  <c r="CX619" i="33" s="1"/>
  <c r="CI615" i="33"/>
  <c r="CI619" i="33" s="1"/>
  <c r="CH615" i="33"/>
  <c r="CG615" i="33"/>
  <c r="CF615" i="33"/>
  <c r="CE615" i="33"/>
  <c r="CC615" i="33"/>
  <c r="CC619" i="33" s="1"/>
  <c r="BV615" i="33"/>
  <c r="BV619" i="33" s="1"/>
  <c r="BO615" i="33"/>
  <c r="BH615" i="33"/>
  <c r="BH619" i="33" s="1"/>
  <c r="BA615" i="33"/>
  <c r="AT615" i="33"/>
  <c r="AT619" i="33" s="1"/>
  <c r="AM615" i="33"/>
  <c r="AF615" i="33"/>
  <c r="Y615" i="33"/>
  <c r="R615" i="33"/>
  <c r="K615" i="33"/>
  <c r="DD611" i="33"/>
  <c r="DC611" i="33"/>
  <c r="DB611" i="33"/>
  <c r="DA611" i="33"/>
  <c r="CZ611" i="33"/>
  <c r="CW611" i="33"/>
  <c r="CV611" i="33"/>
  <c r="CU611" i="33"/>
  <c r="CT611" i="33"/>
  <c r="CS611" i="33"/>
  <c r="CP611" i="33"/>
  <c r="CO611" i="33"/>
  <c r="CN611" i="33"/>
  <c r="CM611" i="33"/>
  <c r="CL611" i="33"/>
  <c r="CB611" i="33"/>
  <c r="CA611" i="33"/>
  <c r="BZ611" i="33"/>
  <c r="BY611" i="33"/>
  <c r="BX611" i="33"/>
  <c r="BU611" i="33"/>
  <c r="BT611" i="33"/>
  <c r="BS611" i="33"/>
  <c r="BR611" i="33"/>
  <c r="BQ611" i="33"/>
  <c r="BN611" i="33"/>
  <c r="BM611" i="33"/>
  <c r="BL611" i="33"/>
  <c r="BK611" i="33"/>
  <c r="BJ611" i="33"/>
  <c r="BG611" i="33"/>
  <c r="BF611" i="33"/>
  <c r="BE611" i="33"/>
  <c r="BD611" i="33"/>
  <c r="BC611" i="33"/>
  <c r="BA611" i="33"/>
  <c r="AZ611" i="33"/>
  <c r="AY611" i="33"/>
  <c r="AX611" i="33"/>
  <c r="AW611" i="33"/>
  <c r="AV611" i="33"/>
  <c r="AS611" i="33"/>
  <c r="AR611" i="33"/>
  <c r="AQ611" i="33"/>
  <c r="AP611" i="33"/>
  <c r="AO611" i="33"/>
  <c r="AL611" i="33"/>
  <c r="AK611" i="33"/>
  <c r="AJ611" i="33"/>
  <c r="AI611" i="33"/>
  <c r="AH611" i="33"/>
  <c r="DE610" i="33"/>
  <c r="CX610" i="33"/>
  <c r="CC610" i="33"/>
  <c r="BV610" i="33"/>
  <c r="BO610" i="33"/>
  <c r="BH610" i="33"/>
  <c r="BA610" i="33"/>
  <c r="AT610" i="33"/>
  <c r="AM610" i="33"/>
  <c r="AF610" i="33"/>
  <c r="Y610" i="33"/>
  <c r="R610" i="33"/>
  <c r="DE609" i="33"/>
  <c r="CX609" i="33"/>
  <c r="CC609" i="33"/>
  <c r="BV609" i="33"/>
  <c r="BO609" i="33"/>
  <c r="BH609" i="33"/>
  <c r="BA609" i="33"/>
  <c r="AT609" i="33"/>
  <c r="AM609" i="33"/>
  <c r="AF609" i="33"/>
  <c r="Y609" i="33"/>
  <c r="R609" i="33"/>
  <c r="DE608" i="33"/>
  <c r="CX608" i="33"/>
  <c r="CC608" i="33"/>
  <c r="BV608" i="33"/>
  <c r="BO608" i="33"/>
  <c r="BO611" i="33" s="1"/>
  <c r="BH608" i="33"/>
  <c r="BA608" i="33"/>
  <c r="AT608" i="33"/>
  <c r="AM608" i="33"/>
  <c r="AM611" i="33" s="1"/>
  <c r="AF608" i="33"/>
  <c r="Y608" i="33"/>
  <c r="R608" i="33"/>
  <c r="DE607" i="33"/>
  <c r="CX607" i="33"/>
  <c r="CC607" i="33"/>
  <c r="CC611" i="33" s="1"/>
  <c r="BV607" i="33"/>
  <c r="BO607" i="33"/>
  <c r="BH607" i="33"/>
  <c r="BH611" i="33" s="1"/>
  <c r="BA607" i="33"/>
  <c r="AT607" i="33"/>
  <c r="AT611" i="33" s="1"/>
  <c r="AM607" i="33"/>
  <c r="AF607" i="33"/>
  <c r="Y607" i="33"/>
  <c r="R607" i="33"/>
  <c r="DE605" i="33"/>
  <c r="DD605" i="33"/>
  <c r="DC605" i="33"/>
  <c r="DB605" i="33"/>
  <c r="DA605" i="33"/>
  <c r="CZ605" i="33"/>
  <c r="CW605" i="33"/>
  <c r="CV605" i="33"/>
  <c r="CU605" i="33"/>
  <c r="CT605" i="33"/>
  <c r="CS605" i="33"/>
  <c r="CP605" i="33"/>
  <c r="CO605" i="33"/>
  <c r="CN605" i="33"/>
  <c r="CM605" i="33"/>
  <c r="CL605" i="33"/>
  <c r="CB605" i="33"/>
  <c r="CA605" i="33"/>
  <c r="BZ605" i="33"/>
  <c r="BY605" i="33"/>
  <c r="BX605" i="33"/>
  <c r="BU605" i="33"/>
  <c r="BT605" i="33"/>
  <c r="BS605" i="33"/>
  <c r="BR605" i="33"/>
  <c r="BQ605" i="33"/>
  <c r="BN605" i="33"/>
  <c r="BM605" i="33"/>
  <c r="BL605" i="33"/>
  <c r="BK605" i="33"/>
  <c r="BJ605" i="33"/>
  <c r="BG605" i="33"/>
  <c r="BF605" i="33"/>
  <c r="BE605" i="33"/>
  <c r="BD605" i="33"/>
  <c r="BC605" i="33"/>
  <c r="AZ605" i="33"/>
  <c r="AY605" i="33"/>
  <c r="AX605" i="33"/>
  <c r="AW605" i="33"/>
  <c r="AV605" i="33"/>
  <c r="AS605" i="33"/>
  <c r="AR605" i="33"/>
  <c r="AQ605" i="33"/>
  <c r="AP605" i="33"/>
  <c r="AO605" i="33"/>
  <c r="AL605" i="33"/>
  <c r="AK605" i="33"/>
  <c r="AJ605" i="33"/>
  <c r="AI605" i="33"/>
  <c r="AH605" i="33"/>
  <c r="DE604" i="33"/>
  <c r="CX604" i="33"/>
  <c r="CC604" i="33"/>
  <c r="BV604" i="33"/>
  <c r="BO604" i="33"/>
  <c r="BH604" i="33"/>
  <c r="BA604" i="33"/>
  <c r="AT604" i="33"/>
  <c r="AM604" i="33"/>
  <c r="AF604" i="33"/>
  <c r="Y604" i="33"/>
  <c r="R604" i="33"/>
  <c r="DE603" i="33"/>
  <c r="CX603" i="33"/>
  <c r="CG603" i="33"/>
  <c r="H609" i="33" s="1"/>
  <c r="CG609" i="33" s="1"/>
  <c r="CC603" i="33"/>
  <c r="BV603" i="33"/>
  <c r="BO603" i="33"/>
  <c r="BH603" i="33"/>
  <c r="BA603" i="33"/>
  <c r="AT603" i="33"/>
  <c r="AM603" i="33"/>
  <c r="AF603" i="33"/>
  <c r="Y603" i="33"/>
  <c r="R603" i="33"/>
  <c r="DE602" i="33"/>
  <c r="CX602" i="33"/>
  <c r="CC602" i="33"/>
  <c r="BV602" i="33"/>
  <c r="BO602" i="33"/>
  <c r="BH602" i="33"/>
  <c r="BA602" i="33"/>
  <c r="AT602" i="33"/>
  <c r="AM602" i="33"/>
  <c r="AF602" i="33"/>
  <c r="Y602" i="33"/>
  <c r="R602" i="33"/>
  <c r="H602" i="33"/>
  <c r="CG602" i="33" s="1"/>
  <c r="H608" i="33" s="1"/>
  <c r="CG608" i="33" s="1"/>
  <c r="DE601" i="33"/>
  <c r="CX601" i="33"/>
  <c r="CX605" i="33" s="1"/>
  <c r="CC601" i="33"/>
  <c r="CC605" i="33" s="1"/>
  <c r="BV601" i="33"/>
  <c r="BO601" i="33"/>
  <c r="BH601" i="33"/>
  <c r="BH605" i="33" s="1"/>
  <c r="BA601" i="33"/>
  <c r="AT601" i="33"/>
  <c r="AM601" i="33"/>
  <c r="AF601" i="33"/>
  <c r="Y601" i="33"/>
  <c r="R601" i="33"/>
  <c r="DD599" i="33"/>
  <c r="DC599" i="33"/>
  <c r="DB599" i="33"/>
  <c r="DA599" i="33"/>
  <c r="CZ599" i="33"/>
  <c r="CW599" i="33"/>
  <c r="CV599" i="33"/>
  <c r="CU599" i="33"/>
  <c r="CT599" i="33"/>
  <c r="CS599" i="33"/>
  <c r="CP599" i="33"/>
  <c r="CO599" i="33"/>
  <c r="CN599" i="33"/>
  <c r="CM599" i="33"/>
  <c r="CL599" i="33"/>
  <c r="CB599" i="33"/>
  <c r="CA599" i="33"/>
  <c r="BZ599" i="33"/>
  <c r="BY599" i="33"/>
  <c r="BX599" i="33"/>
  <c r="BU599" i="33"/>
  <c r="BT599" i="33"/>
  <c r="BS599" i="33"/>
  <c r="BR599" i="33"/>
  <c r="BQ599" i="33"/>
  <c r="BN599" i="33"/>
  <c r="BM599" i="33"/>
  <c r="BL599" i="33"/>
  <c r="BK599" i="33"/>
  <c r="BJ599" i="33"/>
  <c r="BG599" i="33"/>
  <c r="BF599" i="33"/>
  <c r="BE599" i="33"/>
  <c r="BD599" i="33"/>
  <c r="BC599" i="33"/>
  <c r="AZ599" i="33"/>
  <c r="AY599" i="33"/>
  <c r="AX599" i="33"/>
  <c r="AW599" i="33"/>
  <c r="AV599" i="33"/>
  <c r="AS599" i="33"/>
  <c r="AR599" i="33"/>
  <c r="AQ599" i="33"/>
  <c r="AP599" i="33"/>
  <c r="AO599" i="33"/>
  <c r="AL599" i="33"/>
  <c r="AK599" i="33"/>
  <c r="AJ599" i="33"/>
  <c r="AI599" i="33"/>
  <c r="AH599" i="33"/>
  <c r="DE598" i="33"/>
  <c r="CX598" i="33"/>
  <c r="CC598" i="33"/>
  <c r="BV598" i="33"/>
  <c r="BO598" i="33"/>
  <c r="BH598" i="33"/>
  <c r="BA598" i="33"/>
  <c r="AT598" i="33"/>
  <c r="AM598" i="33"/>
  <c r="AF598" i="33"/>
  <c r="Y598" i="33"/>
  <c r="R598" i="33"/>
  <c r="DE597" i="33"/>
  <c r="CX597" i="33"/>
  <c r="CC597" i="33"/>
  <c r="BV597" i="33"/>
  <c r="BO597" i="33"/>
  <c r="BH597" i="33"/>
  <c r="BA597" i="33"/>
  <c r="AT597" i="33"/>
  <c r="AM597" i="33"/>
  <c r="AF597" i="33"/>
  <c r="Y597" i="33"/>
  <c r="R597" i="33"/>
  <c r="J597" i="33"/>
  <c r="CI597" i="33" s="1"/>
  <c r="J603" i="33" s="1"/>
  <c r="CI603" i="33" s="1"/>
  <c r="J609" i="33" s="1"/>
  <c r="CI609" i="33" s="1"/>
  <c r="DE596" i="33"/>
  <c r="CX596" i="33"/>
  <c r="CH596" i="33"/>
  <c r="I602" i="33" s="1"/>
  <c r="CH602" i="33" s="1"/>
  <c r="I608" i="33" s="1"/>
  <c r="CH608" i="33" s="1"/>
  <c r="CC596" i="33"/>
  <c r="BV596" i="33"/>
  <c r="BO596" i="33"/>
  <c r="BH596" i="33"/>
  <c r="BA596" i="33"/>
  <c r="AT596" i="33"/>
  <c r="AM596" i="33"/>
  <c r="AM599" i="33" s="1"/>
  <c r="AF596" i="33"/>
  <c r="Y596" i="33"/>
  <c r="R596" i="33"/>
  <c r="DE595" i="33"/>
  <c r="DE599" i="33" s="1"/>
  <c r="CX595" i="33"/>
  <c r="CC595" i="33"/>
  <c r="CC599" i="33" s="1"/>
  <c r="BV595" i="33"/>
  <c r="BO595" i="33"/>
  <c r="BO599" i="33" s="1"/>
  <c r="BH595" i="33"/>
  <c r="BA595" i="33"/>
  <c r="AT595" i="33"/>
  <c r="AM595" i="33"/>
  <c r="AF595" i="33"/>
  <c r="Y595" i="33"/>
  <c r="R595" i="33"/>
  <c r="H595" i="33"/>
  <c r="DD593" i="33"/>
  <c r="DC593" i="33"/>
  <c r="DB593" i="33"/>
  <c r="DA593" i="33"/>
  <c r="CZ593" i="33"/>
  <c r="CW593" i="33"/>
  <c r="CV593" i="33"/>
  <c r="CU593" i="33"/>
  <c r="CT593" i="33"/>
  <c r="CS593" i="33"/>
  <c r="CP593" i="33"/>
  <c r="CO593" i="33"/>
  <c r="CN593" i="33"/>
  <c r="CM593" i="33"/>
  <c r="CL593" i="33"/>
  <c r="CB593" i="33"/>
  <c r="CA593" i="33"/>
  <c r="BZ593" i="33"/>
  <c r="BY593" i="33"/>
  <c r="BX593" i="33"/>
  <c r="BU593" i="33"/>
  <c r="BT593" i="33"/>
  <c r="BS593" i="33"/>
  <c r="BR593" i="33"/>
  <c r="BQ593" i="33"/>
  <c r="BN593" i="33"/>
  <c r="BM593" i="33"/>
  <c r="BL593" i="33"/>
  <c r="BK593" i="33"/>
  <c r="BJ593" i="33"/>
  <c r="BG593" i="33"/>
  <c r="BF593" i="33"/>
  <c r="BE593" i="33"/>
  <c r="BD593" i="33"/>
  <c r="BC593" i="33"/>
  <c r="BA593" i="33"/>
  <c r="AZ593" i="33"/>
  <c r="AY593" i="33"/>
  <c r="AX593" i="33"/>
  <c r="AW593" i="33"/>
  <c r="AV593" i="33"/>
  <c r="AS593" i="33"/>
  <c r="AR593" i="33"/>
  <c r="AQ593" i="33"/>
  <c r="AP593" i="33"/>
  <c r="AO593" i="33"/>
  <c r="AM593" i="33"/>
  <c r="AL593" i="33"/>
  <c r="AK593" i="33"/>
  <c r="AJ593" i="33"/>
  <c r="AI593" i="33"/>
  <c r="AH593" i="33"/>
  <c r="DE592" i="33"/>
  <c r="CX592" i="33"/>
  <c r="CC592" i="33"/>
  <c r="BV592" i="33"/>
  <c r="BO592" i="33"/>
  <c r="BH592" i="33"/>
  <c r="BA592" i="33"/>
  <c r="AT592" i="33"/>
  <c r="AM592" i="33"/>
  <c r="AF592" i="33"/>
  <c r="Y592" i="33"/>
  <c r="R592" i="33"/>
  <c r="DE591" i="33"/>
  <c r="DE593" i="33" s="1"/>
  <c r="CX591" i="33"/>
  <c r="CC591" i="33"/>
  <c r="BV591" i="33"/>
  <c r="BO591" i="33"/>
  <c r="BO593" i="33" s="1"/>
  <c r="BH591" i="33"/>
  <c r="BA591" i="33"/>
  <c r="AT591" i="33"/>
  <c r="AM591" i="33"/>
  <c r="AF591" i="33"/>
  <c r="Y591" i="33"/>
  <c r="R591" i="33"/>
  <c r="G591" i="33"/>
  <c r="CF591" i="33" s="1"/>
  <c r="G597" i="33" s="1"/>
  <c r="CF597" i="33" s="1"/>
  <c r="G603" i="33" s="1"/>
  <c r="CF603" i="33" s="1"/>
  <c r="G609" i="33" s="1"/>
  <c r="CF609" i="33" s="1"/>
  <c r="F591" i="33"/>
  <c r="DE590" i="33"/>
  <c r="CX590" i="33"/>
  <c r="CC590" i="33"/>
  <c r="BV590" i="33"/>
  <c r="BO590" i="33"/>
  <c r="BH590" i="33"/>
  <c r="BH593" i="33" s="1"/>
  <c r="BA590" i="33"/>
  <c r="AT590" i="33"/>
  <c r="AM590" i="33"/>
  <c r="AF590" i="33"/>
  <c r="Y590" i="33"/>
  <c r="R590" i="33"/>
  <c r="H590" i="33"/>
  <c r="CG590" i="33" s="1"/>
  <c r="H596" i="33" s="1"/>
  <c r="CG596" i="33" s="1"/>
  <c r="G590" i="33"/>
  <c r="CF590" i="33" s="1"/>
  <c r="G596" i="33" s="1"/>
  <c r="CF596" i="33" s="1"/>
  <c r="G602" i="33" s="1"/>
  <c r="CF602" i="33" s="1"/>
  <c r="G608" i="33" s="1"/>
  <c r="CF608" i="33" s="1"/>
  <c r="DE589" i="33"/>
  <c r="CX589" i="33"/>
  <c r="CX593" i="33" s="1"/>
  <c r="CG589" i="33"/>
  <c r="CC589" i="33"/>
  <c r="BV589" i="33"/>
  <c r="BV593" i="33" s="1"/>
  <c r="BO589" i="33"/>
  <c r="BH589" i="33"/>
  <c r="BA589" i="33"/>
  <c r="AT589" i="33"/>
  <c r="AT593" i="33" s="1"/>
  <c r="AM589" i="33"/>
  <c r="AF589" i="33"/>
  <c r="Y589" i="33"/>
  <c r="R589" i="33"/>
  <c r="H589" i="33"/>
  <c r="DD587" i="33"/>
  <c r="DC587" i="33"/>
  <c r="DB587" i="33"/>
  <c r="DA587" i="33"/>
  <c r="CZ587" i="33"/>
  <c r="CW587" i="33"/>
  <c r="CV587" i="33"/>
  <c r="CU587" i="33"/>
  <c r="CT587" i="33"/>
  <c r="CS587" i="33"/>
  <c r="CP587" i="33"/>
  <c r="CO587" i="33"/>
  <c r="CN587" i="33"/>
  <c r="CM587" i="33"/>
  <c r="CL587" i="33"/>
  <c r="CE587" i="33"/>
  <c r="CB587" i="33"/>
  <c r="CA587" i="33"/>
  <c r="BZ587" i="33"/>
  <c r="BY587" i="33"/>
  <c r="BX587" i="33"/>
  <c r="BU587" i="33"/>
  <c r="BT587" i="33"/>
  <c r="BS587" i="33"/>
  <c r="BR587" i="33"/>
  <c r="BQ587" i="33"/>
  <c r="BN587" i="33"/>
  <c r="BM587" i="33"/>
  <c r="BL587" i="33"/>
  <c r="BK587" i="33"/>
  <c r="BJ587" i="33"/>
  <c r="BG587" i="33"/>
  <c r="BF587" i="33"/>
  <c r="BE587" i="33"/>
  <c r="BD587" i="33"/>
  <c r="BC587" i="33"/>
  <c r="AZ587" i="33"/>
  <c r="AY587" i="33"/>
  <c r="AX587" i="33"/>
  <c r="AW587" i="33"/>
  <c r="AV587" i="33"/>
  <c r="AS587" i="33"/>
  <c r="AR587" i="33"/>
  <c r="AQ587" i="33"/>
  <c r="AP587" i="33"/>
  <c r="AO587" i="33"/>
  <c r="AL587" i="33"/>
  <c r="AK587" i="33"/>
  <c r="AJ587" i="33"/>
  <c r="AI587" i="33"/>
  <c r="AH587" i="33"/>
  <c r="J587" i="33"/>
  <c r="I587" i="33"/>
  <c r="H587" i="33"/>
  <c r="G587" i="33"/>
  <c r="F587" i="33"/>
  <c r="DE586" i="33"/>
  <c r="DE587" i="33" s="1"/>
  <c r="CX586" i="33"/>
  <c r="CI586" i="33"/>
  <c r="J592" i="33" s="1"/>
  <c r="CI592" i="33" s="1"/>
  <c r="J598" i="33" s="1"/>
  <c r="CI598" i="33" s="1"/>
  <c r="J604" i="33" s="1"/>
  <c r="CI604" i="33" s="1"/>
  <c r="J610" i="33" s="1"/>
  <c r="CI610" i="33" s="1"/>
  <c r="CH586" i="33"/>
  <c r="I592" i="33" s="1"/>
  <c r="CH592" i="33" s="1"/>
  <c r="I598" i="33" s="1"/>
  <c r="CH598" i="33" s="1"/>
  <c r="I604" i="33" s="1"/>
  <c r="CH604" i="33" s="1"/>
  <c r="I610" i="33" s="1"/>
  <c r="CH610" i="33" s="1"/>
  <c r="CG586" i="33"/>
  <c r="H592" i="33" s="1"/>
  <c r="CG592" i="33" s="1"/>
  <c r="H598" i="33" s="1"/>
  <c r="CG598" i="33" s="1"/>
  <c r="H604" i="33" s="1"/>
  <c r="CG604" i="33" s="1"/>
  <c r="H610" i="33" s="1"/>
  <c r="CG610" i="33" s="1"/>
  <c r="CF586" i="33"/>
  <c r="G592" i="33" s="1"/>
  <c r="CF592" i="33" s="1"/>
  <c r="G598" i="33" s="1"/>
  <c r="CF598" i="33" s="1"/>
  <c r="G604" i="33" s="1"/>
  <c r="CF604" i="33" s="1"/>
  <c r="G610" i="33" s="1"/>
  <c r="CF610" i="33" s="1"/>
  <c r="CE586" i="33"/>
  <c r="CC586" i="33"/>
  <c r="BV586" i="33"/>
  <c r="BO586" i="33"/>
  <c r="BH586" i="33"/>
  <c r="BA586" i="33"/>
  <c r="AT586" i="33"/>
  <c r="AM586" i="33"/>
  <c r="AF586" i="33"/>
  <c r="Y586" i="33"/>
  <c r="R586" i="33"/>
  <c r="K586" i="33"/>
  <c r="DE585" i="33"/>
  <c r="CX585" i="33"/>
  <c r="CI585" i="33"/>
  <c r="J591" i="33" s="1"/>
  <c r="CI591" i="33" s="1"/>
  <c r="CH585" i="33"/>
  <c r="CG585" i="33"/>
  <c r="H591" i="33" s="1"/>
  <c r="CG591" i="33" s="1"/>
  <c r="H597" i="33" s="1"/>
  <c r="CG597" i="33" s="1"/>
  <c r="H603" i="33" s="1"/>
  <c r="CF585" i="33"/>
  <c r="CE585" i="33"/>
  <c r="CC585" i="33"/>
  <c r="BV585" i="33"/>
  <c r="BO585" i="33"/>
  <c r="BH585" i="33"/>
  <c r="BA585" i="33"/>
  <c r="AT585" i="33"/>
  <c r="AM585" i="33"/>
  <c r="AF585" i="33"/>
  <c r="Y585" i="33"/>
  <c r="R585" i="33"/>
  <c r="K585" i="33"/>
  <c r="DE584" i="33"/>
  <c r="CX584" i="33"/>
  <c r="CI584" i="33"/>
  <c r="J590" i="33" s="1"/>
  <c r="CI590" i="33" s="1"/>
  <c r="J596" i="33" s="1"/>
  <c r="CI596" i="33" s="1"/>
  <c r="J602" i="33" s="1"/>
  <c r="CI602" i="33" s="1"/>
  <c r="J608" i="33" s="1"/>
  <c r="CI608" i="33" s="1"/>
  <c r="CH584" i="33"/>
  <c r="I590" i="33" s="1"/>
  <c r="CH590" i="33" s="1"/>
  <c r="I596" i="33" s="1"/>
  <c r="CG584" i="33"/>
  <c r="CG587" i="33" s="1"/>
  <c r="CF584" i="33"/>
  <c r="CE584" i="33"/>
  <c r="F590" i="33" s="1"/>
  <c r="CC584" i="33"/>
  <c r="CC587" i="33" s="1"/>
  <c r="BV584" i="33"/>
  <c r="BO584" i="33"/>
  <c r="BO587" i="33" s="1"/>
  <c r="BH584" i="33"/>
  <c r="BA584" i="33"/>
  <c r="AT584" i="33"/>
  <c r="AM584" i="33"/>
  <c r="AF584" i="33"/>
  <c r="Y584" i="33"/>
  <c r="R584" i="33"/>
  <c r="K584" i="33"/>
  <c r="DE583" i="33"/>
  <c r="CX583" i="33"/>
  <c r="CI583" i="33"/>
  <c r="CH583" i="33"/>
  <c r="I589" i="33" s="1"/>
  <c r="CG583" i="33"/>
  <c r="CF583" i="33"/>
  <c r="CE583" i="33"/>
  <c r="F589" i="33" s="1"/>
  <c r="CC583" i="33"/>
  <c r="BV583" i="33"/>
  <c r="BO583" i="33"/>
  <c r="BH583" i="33"/>
  <c r="BH587" i="33" s="1"/>
  <c r="BA583" i="33"/>
  <c r="BA587" i="33" s="1"/>
  <c r="AT583" i="33"/>
  <c r="AT587" i="33" s="1"/>
  <c r="AM583" i="33"/>
  <c r="AM587" i="33" s="1"/>
  <c r="AF583" i="33"/>
  <c r="Y583" i="33"/>
  <c r="R583" i="33"/>
  <c r="K583" i="33"/>
  <c r="K587" i="33" s="1"/>
  <c r="DD579" i="33"/>
  <c r="DC579" i="33"/>
  <c r="DB579" i="33"/>
  <c r="DA579" i="33"/>
  <c r="CZ579" i="33"/>
  <c r="CW579" i="33"/>
  <c r="CV579" i="33"/>
  <c r="CU579" i="33"/>
  <c r="CT579" i="33"/>
  <c r="CS579" i="33"/>
  <c r="CP579" i="33"/>
  <c r="CO579" i="33"/>
  <c r="CN579" i="33"/>
  <c r="CM579" i="33"/>
  <c r="CL579" i="33"/>
  <c r="CB579" i="33"/>
  <c r="CA579" i="33"/>
  <c r="BZ579" i="33"/>
  <c r="BY579" i="33"/>
  <c r="BX579" i="33"/>
  <c r="BV579" i="33"/>
  <c r="BU579" i="33"/>
  <c r="BT579" i="33"/>
  <c r="BS579" i="33"/>
  <c r="BR579" i="33"/>
  <c r="BQ579" i="33"/>
  <c r="BN579" i="33"/>
  <c r="BM579" i="33"/>
  <c r="BL579" i="33"/>
  <c r="BK579" i="33"/>
  <c r="BJ579" i="33"/>
  <c r="BG579" i="33"/>
  <c r="BF579" i="33"/>
  <c r="BE579" i="33"/>
  <c r="BD579" i="33"/>
  <c r="BC579" i="33"/>
  <c r="AZ579" i="33"/>
  <c r="AY579" i="33"/>
  <c r="AX579" i="33"/>
  <c r="AW579" i="33"/>
  <c r="AV579" i="33"/>
  <c r="AT579" i="33"/>
  <c r="AS579" i="33"/>
  <c r="AR579" i="33"/>
  <c r="AQ579" i="33"/>
  <c r="AP579" i="33"/>
  <c r="AO579" i="33"/>
  <c r="AL579" i="33"/>
  <c r="AK579" i="33"/>
  <c r="AJ579" i="33"/>
  <c r="AI579" i="33"/>
  <c r="AH579" i="33"/>
  <c r="AE579" i="33"/>
  <c r="AD579" i="33"/>
  <c r="AC579" i="33"/>
  <c r="AB579" i="33"/>
  <c r="AA579" i="33"/>
  <c r="X579" i="33"/>
  <c r="W579" i="33"/>
  <c r="V579" i="33"/>
  <c r="U579" i="33"/>
  <c r="T579" i="33"/>
  <c r="Q579" i="33"/>
  <c r="P579" i="33"/>
  <c r="O579" i="33"/>
  <c r="N579" i="33"/>
  <c r="M579" i="33"/>
  <c r="DE578" i="33"/>
  <c r="CX578" i="33"/>
  <c r="CC578" i="33"/>
  <c r="BV578" i="33"/>
  <c r="BO578" i="33"/>
  <c r="BH578" i="33"/>
  <c r="BA578" i="33"/>
  <c r="AT578" i="33"/>
  <c r="AM578" i="33"/>
  <c r="AF578" i="33"/>
  <c r="Y578" i="33"/>
  <c r="R578" i="33"/>
  <c r="DE577" i="33"/>
  <c r="CX577" i="33"/>
  <c r="CC577" i="33"/>
  <c r="BV577" i="33"/>
  <c r="BO577" i="33"/>
  <c r="BH577" i="33"/>
  <c r="BA577" i="33"/>
  <c r="AT577" i="33"/>
  <c r="AM577" i="33"/>
  <c r="AF577" i="33"/>
  <c r="Y577" i="33"/>
  <c r="R577" i="33"/>
  <c r="DE576" i="33"/>
  <c r="DE579" i="33" s="1"/>
  <c r="CX576" i="33"/>
  <c r="CC576" i="33"/>
  <c r="BV576" i="33"/>
  <c r="BO576" i="33"/>
  <c r="BO579" i="33" s="1"/>
  <c r="BH576" i="33"/>
  <c r="BA576" i="33"/>
  <c r="AT576" i="33"/>
  <c r="AM576" i="33"/>
  <c r="AF576" i="33"/>
  <c r="Y576" i="33"/>
  <c r="R576" i="33"/>
  <c r="I576" i="33"/>
  <c r="CH576" i="33" s="1"/>
  <c r="DE575" i="33"/>
  <c r="CX575" i="33"/>
  <c r="CX579" i="33" s="1"/>
  <c r="CC575" i="33"/>
  <c r="BV575" i="33"/>
  <c r="BO575" i="33"/>
  <c r="BH575" i="33"/>
  <c r="BH579" i="33" s="1"/>
  <c r="BA575" i="33"/>
  <c r="AT575" i="33"/>
  <c r="AM575" i="33"/>
  <c r="AF575" i="33"/>
  <c r="AF579" i="33" s="1"/>
  <c r="Y575" i="33"/>
  <c r="R575" i="33"/>
  <c r="R579" i="33" s="1"/>
  <c r="DE573" i="33"/>
  <c r="DD573" i="33"/>
  <c r="DC573" i="33"/>
  <c r="DB573" i="33"/>
  <c r="DA573" i="33"/>
  <c r="CZ573" i="33"/>
  <c r="CW573" i="33"/>
  <c r="CV573" i="33"/>
  <c r="CU573" i="33"/>
  <c r="CT573" i="33"/>
  <c r="CS573" i="33"/>
  <c r="CP573" i="33"/>
  <c r="CO573" i="33"/>
  <c r="CN573" i="33"/>
  <c r="CM573" i="33"/>
  <c r="CL573" i="33"/>
  <c r="CB573" i="33"/>
  <c r="CA573" i="33"/>
  <c r="BZ573" i="33"/>
  <c r="BY573" i="33"/>
  <c r="BX573" i="33"/>
  <c r="BU573" i="33"/>
  <c r="BT573" i="33"/>
  <c r="BS573" i="33"/>
  <c r="BR573" i="33"/>
  <c r="BQ573" i="33"/>
  <c r="BO573" i="33"/>
  <c r="BN573" i="33"/>
  <c r="BM573" i="33"/>
  <c r="BL573" i="33"/>
  <c r="BK573" i="33"/>
  <c r="BJ573" i="33"/>
  <c r="BG573" i="33"/>
  <c r="BF573" i="33"/>
  <c r="BE573" i="33"/>
  <c r="BD573" i="33"/>
  <c r="BC573" i="33"/>
  <c r="AZ573" i="33"/>
  <c r="AY573" i="33"/>
  <c r="AX573" i="33"/>
  <c r="AW573" i="33"/>
  <c r="AV573" i="33"/>
  <c r="AS573" i="33"/>
  <c r="AR573" i="33"/>
  <c r="AQ573" i="33"/>
  <c r="AP573" i="33"/>
  <c r="AO573" i="33"/>
  <c r="AL573" i="33"/>
  <c r="AK573" i="33"/>
  <c r="AJ573" i="33"/>
  <c r="AI573" i="33"/>
  <c r="AH573" i="33"/>
  <c r="AE573" i="33"/>
  <c r="AD573" i="33"/>
  <c r="AC573" i="33"/>
  <c r="AB573" i="33"/>
  <c r="AA573" i="33"/>
  <c r="X573" i="33"/>
  <c r="W573" i="33"/>
  <c r="V573" i="33"/>
  <c r="U573" i="33"/>
  <c r="T573" i="33"/>
  <c r="Q573" i="33"/>
  <c r="P573" i="33"/>
  <c r="O573" i="33"/>
  <c r="N573" i="33"/>
  <c r="M573" i="33"/>
  <c r="DE572" i="33"/>
  <c r="CX572" i="33"/>
  <c r="CC572" i="33"/>
  <c r="BV572" i="33"/>
  <c r="BO572" i="33"/>
  <c r="BH572" i="33"/>
  <c r="BA572" i="33"/>
  <c r="AT572" i="33"/>
  <c r="AM572" i="33"/>
  <c r="AF572" i="33"/>
  <c r="Y572" i="33"/>
  <c r="R572" i="33"/>
  <c r="G572" i="33"/>
  <c r="CF572" i="33" s="1"/>
  <c r="G578" i="33" s="1"/>
  <c r="CF578" i="33" s="1"/>
  <c r="DE571" i="33"/>
  <c r="CX571" i="33"/>
  <c r="CC571" i="33"/>
  <c r="CC573" i="33" s="1"/>
  <c r="BV571" i="33"/>
  <c r="BO571" i="33"/>
  <c r="BH571" i="33"/>
  <c r="BA571" i="33"/>
  <c r="AT571" i="33"/>
  <c r="AM571" i="33"/>
  <c r="AM573" i="33" s="1"/>
  <c r="AF571" i="33"/>
  <c r="Y571" i="33"/>
  <c r="Y573" i="33" s="1"/>
  <c r="R571" i="33"/>
  <c r="DE570" i="33"/>
  <c r="CX570" i="33"/>
  <c r="CX573" i="33" s="1"/>
  <c r="CC570" i="33"/>
  <c r="BV570" i="33"/>
  <c r="BO570" i="33"/>
  <c r="BH570" i="33"/>
  <c r="BA570" i="33"/>
  <c r="AT570" i="33"/>
  <c r="AM570" i="33"/>
  <c r="AF570" i="33"/>
  <c r="Y570" i="33"/>
  <c r="R570" i="33"/>
  <c r="DE569" i="33"/>
  <c r="CX569" i="33"/>
  <c r="CC569" i="33"/>
  <c r="BV569" i="33"/>
  <c r="BV573" i="33" s="1"/>
  <c r="BO569" i="33"/>
  <c r="BH569" i="33"/>
  <c r="BH573" i="33" s="1"/>
  <c r="BA569" i="33"/>
  <c r="BA573" i="33" s="1"/>
  <c r="AT569" i="33"/>
  <c r="AM569" i="33"/>
  <c r="AF569" i="33"/>
  <c r="AF573" i="33" s="1"/>
  <c r="Y569" i="33"/>
  <c r="R569" i="33"/>
  <c r="R573" i="33" s="1"/>
  <c r="DD567" i="33"/>
  <c r="DC567" i="33"/>
  <c r="DB567" i="33"/>
  <c r="DA567" i="33"/>
  <c r="CZ567" i="33"/>
  <c r="CW567" i="33"/>
  <c r="CV567" i="33"/>
  <c r="CU567" i="33"/>
  <c r="CT567" i="33"/>
  <c r="CS567" i="33"/>
  <c r="CP567" i="33"/>
  <c r="CO567" i="33"/>
  <c r="CN567" i="33"/>
  <c r="CM567" i="33"/>
  <c r="CL567" i="33"/>
  <c r="CB567" i="33"/>
  <c r="CA567" i="33"/>
  <c r="BZ567" i="33"/>
  <c r="BY567" i="33"/>
  <c r="BX567" i="33"/>
  <c r="BU567" i="33"/>
  <c r="BT567" i="33"/>
  <c r="BS567" i="33"/>
  <c r="BR567" i="33"/>
  <c r="BQ567" i="33"/>
  <c r="BN567" i="33"/>
  <c r="BM567" i="33"/>
  <c r="BL567" i="33"/>
  <c r="BK567" i="33"/>
  <c r="BJ567" i="33"/>
  <c r="BG567" i="33"/>
  <c r="BF567" i="33"/>
  <c r="BE567" i="33"/>
  <c r="BD567" i="33"/>
  <c r="BC567" i="33"/>
  <c r="BA567" i="33"/>
  <c r="AZ567" i="33"/>
  <c r="AY567" i="33"/>
  <c r="AX567" i="33"/>
  <c r="AW567" i="33"/>
  <c r="AV567" i="33"/>
  <c r="AS567" i="33"/>
  <c r="AR567" i="33"/>
  <c r="AQ567" i="33"/>
  <c r="AP567" i="33"/>
  <c r="AO567" i="33"/>
  <c r="AL567" i="33"/>
  <c r="AK567" i="33"/>
  <c r="AJ567" i="33"/>
  <c r="AI567" i="33"/>
  <c r="AH567" i="33"/>
  <c r="AE567" i="33"/>
  <c r="AD567" i="33"/>
  <c r="AC567" i="33"/>
  <c r="AB567" i="33"/>
  <c r="AA567" i="33"/>
  <c r="Y567" i="33"/>
  <c r="X567" i="33"/>
  <c r="W567" i="33"/>
  <c r="V567" i="33"/>
  <c r="U567" i="33"/>
  <c r="T567" i="33"/>
  <c r="Q567" i="33"/>
  <c r="P567" i="33"/>
  <c r="O567" i="33"/>
  <c r="N567" i="33"/>
  <c r="M567" i="33"/>
  <c r="DE566" i="33"/>
  <c r="CX566" i="33"/>
  <c r="CC566" i="33"/>
  <c r="BV566" i="33"/>
  <c r="BO566" i="33"/>
  <c r="BO567" i="33" s="1"/>
  <c r="BH566" i="33"/>
  <c r="BA566" i="33"/>
  <c r="AT566" i="33"/>
  <c r="AM566" i="33"/>
  <c r="AF566" i="33"/>
  <c r="Y566" i="33"/>
  <c r="R566" i="33"/>
  <c r="DE565" i="33"/>
  <c r="CX565" i="33"/>
  <c r="CC565" i="33"/>
  <c r="BV565" i="33"/>
  <c r="BO565" i="33"/>
  <c r="BH565" i="33"/>
  <c r="BA565" i="33"/>
  <c r="AT565" i="33"/>
  <c r="AM565" i="33"/>
  <c r="AF565" i="33"/>
  <c r="Y565" i="33"/>
  <c r="R565" i="33"/>
  <c r="DE564" i="33"/>
  <c r="CX564" i="33"/>
  <c r="CC564" i="33"/>
  <c r="BV564" i="33"/>
  <c r="BO564" i="33"/>
  <c r="BH564" i="33"/>
  <c r="BA564" i="33"/>
  <c r="AT564" i="33"/>
  <c r="AM564" i="33"/>
  <c r="AF564" i="33"/>
  <c r="Y564" i="33"/>
  <c r="R564" i="33"/>
  <c r="DE563" i="33"/>
  <c r="CX563" i="33"/>
  <c r="CX567" i="33" s="1"/>
  <c r="CC563" i="33"/>
  <c r="CC567" i="33" s="1"/>
  <c r="BV563" i="33"/>
  <c r="BO563" i="33"/>
  <c r="BH563" i="33"/>
  <c r="BH567" i="33" s="1"/>
  <c r="BA563" i="33"/>
  <c r="AT563" i="33"/>
  <c r="AM563" i="33"/>
  <c r="AM567" i="33" s="1"/>
  <c r="AF563" i="33"/>
  <c r="AF567" i="33" s="1"/>
  <c r="Y563" i="33"/>
  <c r="R563" i="33"/>
  <c r="DD561" i="33"/>
  <c r="DC561" i="33"/>
  <c r="DB561" i="33"/>
  <c r="DA561" i="33"/>
  <c r="CZ561" i="33"/>
  <c r="CX561" i="33"/>
  <c r="CW561" i="33"/>
  <c r="CV561" i="33"/>
  <c r="CU561" i="33"/>
  <c r="CT561" i="33"/>
  <c r="CS561" i="33"/>
  <c r="CP561" i="33"/>
  <c r="CO561" i="33"/>
  <c r="CN561" i="33"/>
  <c r="CM561" i="33"/>
  <c r="CL561" i="33"/>
  <c r="CC561" i="33"/>
  <c r="CB561" i="33"/>
  <c r="CA561" i="33"/>
  <c r="BZ561" i="33"/>
  <c r="BY561" i="33"/>
  <c r="BX561" i="33"/>
  <c r="BU561" i="33"/>
  <c r="BT561" i="33"/>
  <c r="BS561" i="33"/>
  <c r="BR561" i="33"/>
  <c r="BQ561" i="33"/>
  <c r="BN561" i="33"/>
  <c r="BM561" i="33"/>
  <c r="BL561" i="33"/>
  <c r="BK561" i="33"/>
  <c r="BJ561" i="33"/>
  <c r="BG561" i="33"/>
  <c r="BF561" i="33"/>
  <c r="BE561" i="33"/>
  <c r="BD561" i="33"/>
  <c r="BC561" i="33"/>
  <c r="AZ561" i="33"/>
  <c r="AY561" i="33"/>
  <c r="AX561" i="33"/>
  <c r="AW561" i="33"/>
  <c r="AV561" i="33"/>
  <c r="AS561" i="33"/>
  <c r="AR561" i="33"/>
  <c r="AQ561" i="33"/>
  <c r="AP561" i="33"/>
  <c r="AO561" i="33"/>
  <c r="AL561" i="33"/>
  <c r="AK561" i="33"/>
  <c r="AJ561" i="33"/>
  <c r="AI561" i="33"/>
  <c r="AH561" i="33"/>
  <c r="AE561" i="33"/>
  <c r="AD561" i="33"/>
  <c r="AC561" i="33"/>
  <c r="AB561" i="33"/>
  <c r="AA561" i="33"/>
  <c r="Y561" i="33"/>
  <c r="X561" i="33"/>
  <c r="W561" i="33"/>
  <c r="V561" i="33"/>
  <c r="U561" i="33"/>
  <c r="T561" i="33"/>
  <c r="Q561" i="33"/>
  <c r="P561" i="33"/>
  <c r="O561" i="33"/>
  <c r="N561" i="33"/>
  <c r="M561" i="33"/>
  <c r="DE560" i="33"/>
  <c r="CX560" i="33"/>
  <c r="CG560" i="33"/>
  <c r="H566" i="33" s="1"/>
  <c r="CG566" i="33" s="1"/>
  <c r="H572" i="33" s="1"/>
  <c r="CG572" i="33" s="1"/>
  <c r="H578" i="33" s="1"/>
  <c r="CG578" i="33" s="1"/>
  <c r="CC560" i="33"/>
  <c r="BV560" i="33"/>
  <c r="BO560" i="33"/>
  <c r="BH560" i="33"/>
  <c r="BA560" i="33"/>
  <c r="AT560" i="33"/>
  <c r="AM560" i="33"/>
  <c r="AF560" i="33"/>
  <c r="Y560" i="33"/>
  <c r="R560" i="33"/>
  <c r="J560" i="33"/>
  <c r="CI560" i="33" s="1"/>
  <c r="J566" i="33" s="1"/>
  <c r="CI566" i="33" s="1"/>
  <c r="J572" i="33" s="1"/>
  <c r="CI572" i="33" s="1"/>
  <c r="J578" i="33" s="1"/>
  <c r="CI578" i="33" s="1"/>
  <c r="I560" i="33"/>
  <c r="CH560" i="33" s="1"/>
  <c r="I566" i="33" s="1"/>
  <c r="CH566" i="33" s="1"/>
  <c r="I572" i="33" s="1"/>
  <c r="CH572" i="33" s="1"/>
  <c r="I578" i="33" s="1"/>
  <c r="CH578" i="33" s="1"/>
  <c r="H560" i="33"/>
  <c r="DE559" i="33"/>
  <c r="CX559" i="33"/>
  <c r="CC559" i="33"/>
  <c r="BV559" i="33"/>
  <c r="BO559" i="33"/>
  <c r="BH559" i="33"/>
  <c r="BA559" i="33"/>
  <c r="BA561" i="33" s="1"/>
  <c r="AT559" i="33"/>
  <c r="AM559" i="33"/>
  <c r="AF559" i="33"/>
  <c r="Y559" i="33"/>
  <c r="R559" i="33"/>
  <c r="I559" i="33"/>
  <c r="CH559" i="33" s="1"/>
  <c r="I565" i="33" s="1"/>
  <c r="CH565" i="33" s="1"/>
  <c r="I571" i="33" s="1"/>
  <c r="CH571" i="33" s="1"/>
  <c r="I577" i="33" s="1"/>
  <c r="CH577" i="33" s="1"/>
  <c r="DE558" i="33"/>
  <c r="CX558" i="33"/>
  <c r="CC558" i="33"/>
  <c r="BV558" i="33"/>
  <c r="BO558" i="33"/>
  <c r="BH558" i="33"/>
  <c r="BA558" i="33"/>
  <c r="AT558" i="33"/>
  <c r="AM558" i="33"/>
  <c r="AF558" i="33"/>
  <c r="Y558" i="33"/>
  <c r="R558" i="33"/>
  <c r="J558" i="33"/>
  <c r="CI558" i="33" s="1"/>
  <c r="J564" i="33" s="1"/>
  <c r="CI564" i="33" s="1"/>
  <c r="J570" i="33" s="1"/>
  <c r="CI570" i="33" s="1"/>
  <c r="J576" i="33" s="1"/>
  <c r="CI576" i="33" s="1"/>
  <c r="DE557" i="33"/>
  <c r="DE561" i="33" s="1"/>
  <c r="CX557" i="33"/>
  <c r="CC557" i="33"/>
  <c r="BV557" i="33"/>
  <c r="BV561" i="33" s="1"/>
  <c r="BO557" i="33"/>
  <c r="BH557" i="33"/>
  <c r="BA557" i="33"/>
  <c r="AT557" i="33"/>
  <c r="AM557" i="33"/>
  <c r="AM561" i="33" s="1"/>
  <c r="AF557" i="33"/>
  <c r="AF561" i="33" s="1"/>
  <c r="Y557" i="33"/>
  <c r="R557" i="33"/>
  <c r="R561" i="33" s="1"/>
  <c r="G557" i="33"/>
  <c r="CF557" i="33" s="1"/>
  <c r="G563" i="33" s="1"/>
  <c r="F557" i="33"/>
  <c r="DD555" i="33"/>
  <c r="DC555" i="33"/>
  <c r="DB555" i="33"/>
  <c r="DA555" i="33"/>
  <c r="CZ555" i="33"/>
  <c r="CW555" i="33"/>
  <c r="CV555" i="33"/>
  <c r="CU555" i="33"/>
  <c r="CT555" i="33"/>
  <c r="CS555" i="33"/>
  <c r="CP555" i="33"/>
  <c r="CO555" i="33"/>
  <c r="CN555" i="33"/>
  <c r="CM555" i="33"/>
  <c r="CL555" i="33"/>
  <c r="CB555" i="33"/>
  <c r="CA555" i="33"/>
  <c r="BZ555" i="33"/>
  <c r="BY555" i="33"/>
  <c r="BX555" i="33"/>
  <c r="BU555" i="33"/>
  <c r="BT555" i="33"/>
  <c r="BS555" i="33"/>
  <c r="BR555" i="33"/>
  <c r="BQ555" i="33"/>
  <c r="BN555" i="33"/>
  <c r="BM555" i="33"/>
  <c r="BL555" i="33"/>
  <c r="BK555" i="33"/>
  <c r="BJ555" i="33"/>
  <c r="BG555" i="33"/>
  <c r="BF555" i="33"/>
  <c r="BE555" i="33"/>
  <c r="BD555" i="33"/>
  <c r="BC555" i="33"/>
  <c r="AZ555" i="33"/>
  <c r="AY555" i="33"/>
  <c r="AX555" i="33"/>
  <c r="AW555" i="33"/>
  <c r="AV555" i="33"/>
  <c r="AS555" i="33"/>
  <c r="AR555" i="33"/>
  <c r="AQ555" i="33"/>
  <c r="AP555" i="33"/>
  <c r="AO555" i="33"/>
  <c r="AL555" i="33"/>
  <c r="AK555" i="33"/>
  <c r="AJ555" i="33"/>
  <c r="AI555" i="33"/>
  <c r="AH555" i="33"/>
  <c r="AF555" i="33"/>
  <c r="AE555" i="33"/>
  <c r="AD555" i="33"/>
  <c r="AC555" i="33"/>
  <c r="AB555" i="33"/>
  <c r="AA555" i="33"/>
  <c r="X555" i="33"/>
  <c r="W555" i="33"/>
  <c r="V555" i="33"/>
  <c r="U555" i="33"/>
  <c r="T555" i="33"/>
  <c r="Q555" i="33"/>
  <c r="P555" i="33"/>
  <c r="O555" i="33"/>
  <c r="N555" i="33"/>
  <c r="M555" i="33"/>
  <c r="J555" i="33"/>
  <c r="I555" i="33"/>
  <c r="H555" i="33"/>
  <c r="G555" i="33"/>
  <c r="F555" i="33"/>
  <c r="DE554" i="33"/>
  <c r="CX554" i="33"/>
  <c r="CI554" i="33"/>
  <c r="CH554" i="33"/>
  <c r="CG554" i="33"/>
  <c r="CF554" i="33"/>
  <c r="G560" i="33" s="1"/>
  <c r="CF560" i="33" s="1"/>
  <c r="G566" i="33" s="1"/>
  <c r="CF566" i="33" s="1"/>
  <c r="CE554" i="33"/>
  <c r="CC554" i="33"/>
  <c r="BV554" i="33"/>
  <c r="BO554" i="33"/>
  <c r="BH554" i="33"/>
  <c r="BA554" i="33"/>
  <c r="AT554" i="33"/>
  <c r="AM554" i="33"/>
  <c r="AF554" i="33"/>
  <c r="Y554" i="33"/>
  <c r="R554" i="33"/>
  <c r="K554" i="33"/>
  <c r="DE553" i="33"/>
  <c r="CX553" i="33"/>
  <c r="CI553" i="33"/>
  <c r="J559" i="33" s="1"/>
  <c r="CI559" i="33" s="1"/>
  <c r="J565" i="33" s="1"/>
  <c r="CI565" i="33" s="1"/>
  <c r="J571" i="33" s="1"/>
  <c r="CI571" i="33" s="1"/>
  <c r="J577" i="33" s="1"/>
  <c r="CI577" i="33" s="1"/>
  <c r="CH553" i="33"/>
  <c r="CG553" i="33"/>
  <c r="H559" i="33" s="1"/>
  <c r="CG559" i="33" s="1"/>
  <c r="H565" i="33" s="1"/>
  <c r="CG565" i="33" s="1"/>
  <c r="H571" i="33" s="1"/>
  <c r="CG571" i="33" s="1"/>
  <c r="H577" i="33" s="1"/>
  <c r="CG577" i="33" s="1"/>
  <c r="CF553" i="33"/>
  <c r="G559" i="33" s="1"/>
  <c r="CF559" i="33" s="1"/>
  <c r="G565" i="33" s="1"/>
  <c r="CF565" i="33" s="1"/>
  <c r="G571" i="33" s="1"/>
  <c r="CF571" i="33" s="1"/>
  <c r="G577" i="33" s="1"/>
  <c r="CF577" i="33" s="1"/>
  <c r="CE553" i="33"/>
  <c r="F559" i="33" s="1"/>
  <c r="CC553" i="33"/>
  <c r="BV553" i="33"/>
  <c r="BO553" i="33"/>
  <c r="BH553" i="33"/>
  <c r="BA553" i="33"/>
  <c r="AT553" i="33"/>
  <c r="AM553" i="33"/>
  <c r="AF553" i="33"/>
  <c r="Y553" i="33"/>
  <c r="R553" i="33"/>
  <c r="K553" i="33"/>
  <c r="DE552" i="33"/>
  <c r="DE555" i="33" s="1"/>
  <c r="CX552" i="33"/>
  <c r="CI552" i="33"/>
  <c r="CH552" i="33"/>
  <c r="I558" i="33" s="1"/>
  <c r="CH558" i="33" s="1"/>
  <c r="I564" i="33" s="1"/>
  <c r="CH564" i="33" s="1"/>
  <c r="I570" i="33" s="1"/>
  <c r="CH570" i="33" s="1"/>
  <c r="CG552" i="33"/>
  <c r="H558" i="33" s="1"/>
  <c r="CG558" i="33" s="1"/>
  <c r="H564" i="33" s="1"/>
  <c r="CG564" i="33" s="1"/>
  <c r="H570" i="33" s="1"/>
  <c r="CG570" i="33" s="1"/>
  <c r="H576" i="33" s="1"/>
  <c r="CG576" i="33" s="1"/>
  <c r="CF552" i="33"/>
  <c r="G558" i="33" s="1"/>
  <c r="CF558" i="33" s="1"/>
  <c r="G564" i="33" s="1"/>
  <c r="CF564" i="33" s="1"/>
  <c r="G570" i="33" s="1"/>
  <c r="CF570" i="33" s="1"/>
  <c r="G576" i="33" s="1"/>
  <c r="CF576" i="33" s="1"/>
  <c r="CE552" i="33"/>
  <c r="CC552" i="33"/>
  <c r="BV552" i="33"/>
  <c r="BO552" i="33"/>
  <c r="BH552" i="33"/>
  <c r="BA552" i="33"/>
  <c r="AT552" i="33"/>
  <c r="AM552" i="33"/>
  <c r="AF552" i="33"/>
  <c r="Y552" i="33"/>
  <c r="R552" i="33"/>
  <c r="K552" i="33"/>
  <c r="DE551" i="33"/>
  <c r="CX551" i="33"/>
  <c r="CI551" i="33"/>
  <c r="J557" i="33" s="1"/>
  <c r="CH551" i="33"/>
  <c r="CG551" i="33"/>
  <c r="H557" i="33" s="1"/>
  <c r="CG557" i="33" s="1"/>
  <c r="CF551" i="33"/>
  <c r="CF555" i="33" s="1"/>
  <c r="CE551" i="33"/>
  <c r="CC551" i="33"/>
  <c r="CC555" i="33" s="1"/>
  <c r="BV551" i="33"/>
  <c r="BV555" i="33" s="1"/>
  <c r="BO551" i="33"/>
  <c r="BO555" i="33" s="1"/>
  <c r="BH551" i="33"/>
  <c r="BH555" i="33" s="1"/>
  <c r="BA551" i="33"/>
  <c r="BA555" i="33" s="1"/>
  <c r="AT551" i="33"/>
  <c r="AT555" i="33" s="1"/>
  <c r="AM551" i="33"/>
  <c r="AM555" i="33" s="1"/>
  <c r="AF551" i="33"/>
  <c r="Y551" i="33"/>
  <c r="Y555" i="33" s="1"/>
  <c r="R551" i="33"/>
  <c r="R555" i="33" s="1"/>
  <c r="K551" i="33"/>
  <c r="K555" i="33" s="1"/>
  <c r="DE547" i="33"/>
  <c r="DD547" i="33"/>
  <c r="DC547" i="33"/>
  <c r="DB547" i="33"/>
  <c r="DA547" i="33"/>
  <c r="CZ547" i="33"/>
  <c r="CW547" i="33"/>
  <c r="CV547" i="33"/>
  <c r="CU547" i="33"/>
  <c r="CT547" i="33"/>
  <c r="CS547" i="33"/>
  <c r="CP547" i="33"/>
  <c r="CO547" i="33"/>
  <c r="CN547" i="33"/>
  <c r="CM547" i="33"/>
  <c r="CL547" i="33"/>
  <c r="CB547" i="33"/>
  <c r="CA547" i="33"/>
  <c r="BZ547" i="33"/>
  <c r="BY547" i="33"/>
  <c r="BX547" i="33"/>
  <c r="BU547" i="33"/>
  <c r="BT547" i="33"/>
  <c r="BS547" i="33"/>
  <c r="BR547" i="33"/>
  <c r="BQ547" i="33"/>
  <c r="BN547" i="33"/>
  <c r="BM547" i="33"/>
  <c r="BL547" i="33"/>
  <c r="BK547" i="33"/>
  <c r="BJ547" i="33"/>
  <c r="BG547" i="33"/>
  <c r="BF547" i="33"/>
  <c r="BE547" i="33"/>
  <c r="BD547" i="33"/>
  <c r="BC547" i="33"/>
  <c r="AZ547" i="33"/>
  <c r="AY547" i="33"/>
  <c r="AX547" i="33"/>
  <c r="AW547" i="33"/>
  <c r="AV547" i="33"/>
  <c r="AS547" i="33"/>
  <c r="AR547" i="33"/>
  <c r="AQ547" i="33"/>
  <c r="AP547" i="33"/>
  <c r="AO547" i="33"/>
  <c r="AL547" i="33"/>
  <c r="AK547" i="33"/>
  <c r="AJ547" i="33"/>
  <c r="AI547" i="33"/>
  <c r="AH547" i="33"/>
  <c r="AF547" i="33"/>
  <c r="AE547" i="33"/>
  <c r="AD547" i="33"/>
  <c r="AC547" i="33"/>
  <c r="AB547" i="33"/>
  <c r="AA547" i="33"/>
  <c r="X547" i="33"/>
  <c r="W547" i="33"/>
  <c r="V547" i="33"/>
  <c r="U547" i="33"/>
  <c r="T547" i="33"/>
  <c r="Q547" i="33"/>
  <c r="P547" i="33"/>
  <c r="O547" i="33"/>
  <c r="N547" i="33"/>
  <c r="M547" i="33"/>
  <c r="DE546" i="33"/>
  <c r="CX546" i="33"/>
  <c r="CC546" i="33"/>
  <c r="BV546" i="33"/>
  <c r="BO546" i="33"/>
  <c r="BH546" i="33"/>
  <c r="BA546" i="33"/>
  <c r="AT546" i="33"/>
  <c r="AM546" i="33"/>
  <c r="AF546" i="33"/>
  <c r="Y546" i="33"/>
  <c r="R546" i="33"/>
  <c r="DE545" i="33"/>
  <c r="CX545" i="33"/>
  <c r="CC545" i="33"/>
  <c r="BV545" i="33"/>
  <c r="BO545" i="33"/>
  <c r="BH545" i="33"/>
  <c r="BA545" i="33"/>
  <c r="AT545" i="33"/>
  <c r="AM545" i="33"/>
  <c r="AF545" i="33"/>
  <c r="Y545" i="33"/>
  <c r="R545" i="33"/>
  <c r="DE544" i="33"/>
  <c r="CX544" i="33"/>
  <c r="CC544" i="33"/>
  <c r="BV544" i="33"/>
  <c r="BO544" i="33"/>
  <c r="BO547" i="33" s="1"/>
  <c r="BH544" i="33"/>
  <c r="BA544" i="33"/>
  <c r="AT544" i="33"/>
  <c r="AM544" i="33"/>
  <c r="AF544" i="33"/>
  <c r="Y544" i="33"/>
  <c r="R544" i="33"/>
  <c r="DE543" i="33"/>
  <c r="CX543" i="33"/>
  <c r="CX547" i="33" s="1"/>
  <c r="CC543" i="33"/>
  <c r="CC547" i="33" s="1"/>
  <c r="BV543" i="33"/>
  <c r="BV547" i="33" s="1"/>
  <c r="BO543" i="33"/>
  <c r="BH543" i="33"/>
  <c r="BH547" i="33" s="1"/>
  <c r="BA543" i="33"/>
  <c r="AT543" i="33"/>
  <c r="AM543" i="33"/>
  <c r="AF543" i="33"/>
  <c r="Y543" i="33"/>
  <c r="Y547" i="33" s="1"/>
  <c r="R543" i="33"/>
  <c r="R547" i="33" s="1"/>
  <c r="DD541" i="33"/>
  <c r="DC541" i="33"/>
  <c r="DB541" i="33"/>
  <c r="DA541" i="33"/>
  <c r="CZ541" i="33"/>
  <c r="CW541" i="33"/>
  <c r="CV541" i="33"/>
  <c r="CU541" i="33"/>
  <c r="CT541" i="33"/>
  <c r="CS541" i="33"/>
  <c r="CP541" i="33"/>
  <c r="CO541" i="33"/>
  <c r="CN541" i="33"/>
  <c r="CM541" i="33"/>
  <c r="CL541" i="33"/>
  <c r="CB541" i="33"/>
  <c r="CA541" i="33"/>
  <c r="BZ541" i="33"/>
  <c r="BY541" i="33"/>
  <c r="BX541" i="33"/>
  <c r="BU541" i="33"/>
  <c r="BT541" i="33"/>
  <c r="BS541" i="33"/>
  <c r="BR541" i="33"/>
  <c r="BQ541" i="33"/>
  <c r="BN541" i="33"/>
  <c r="BM541" i="33"/>
  <c r="BL541" i="33"/>
  <c r="BK541" i="33"/>
  <c r="BJ541" i="33"/>
  <c r="BG541" i="33"/>
  <c r="BF541" i="33"/>
  <c r="BE541" i="33"/>
  <c r="BD541" i="33"/>
  <c r="BC541" i="33"/>
  <c r="AZ541" i="33"/>
  <c r="AY541" i="33"/>
  <c r="AX541" i="33"/>
  <c r="AW541" i="33"/>
  <c r="AV541" i="33"/>
  <c r="AS541" i="33"/>
  <c r="AR541" i="33"/>
  <c r="AQ541" i="33"/>
  <c r="AP541" i="33"/>
  <c r="AO541" i="33"/>
  <c r="AM541" i="33"/>
  <c r="AL541" i="33"/>
  <c r="AK541" i="33"/>
  <c r="AJ541" i="33"/>
  <c r="AI541" i="33"/>
  <c r="AH541" i="33"/>
  <c r="AE541" i="33"/>
  <c r="AD541" i="33"/>
  <c r="AC541" i="33"/>
  <c r="AB541" i="33"/>
  <c r="AA541" i="33"/>
  <c r="X541" i="33"/>
  <c r="W541" i="33"/>
  <c r="V541" i="33"/>
  <c r="U541" i="33"/>
  <c r="T541" i="33"/>
  <c r="Q541" i="33"/>
  <c r="P541" i="33"/>
  <c r="O541" i="33"/>
  <c r="N541" i="33"/>
  <c r="M541" i="33"/>
  <c r="DE540" i="33"/>
  <c r="CX540" i="33"/>
  <c r="CC540" i="33"/>
  <c r="BV540" i="33"/>
  <c r="BO540" i="33"/>
  <c r="BO541" i="33" s="1"/>
  <c r="BH540" i="33"/>
  <c r="BA540" i="33"/>
  <c r="AT540" i="33"/>
  <c r="AM540" i="33"/>
  <c r="AF540" i="33"/>
  <c r="Y540" i="33"/>
  <c r="R540" i="33"/>
  <c r="DE539" i="33"/>
  <c r="CX539" i="33"/>
  <c r="CC539" i="33"/>
  <c r="BV539" i="33"/>
  <c r="BO539" i="33"/>
  <c r="BH539" i="33"/>
  <c r="BA539" i="33"/>
  <c r="AT539" i="33"/>
  <c r="AM539" i="33"/>
  <c r="AF539" i="33"/>
  <c r="Y539" i="33"/>
  <c r="R539" i="33"/>
  <c r="DE538" i="33"/>
  <c r="CX538" i="33"/>
  <c r="CC538" i="33"/>
  <c r="BV538" i="33"/>
  <c r="BO538" i="33"/>
  <c r="BH538" i="33"/>
  <c r="BA538" i="33"/>
  <c r="AT538" i="33"/>
  <c r="AM538" i="33"/>
  <c r="AF538" i="33"/>
  <c r="Y538" i="33"/>
  <c r="R538" i="33"/>
  <c r="DE537" i="33"/>
  <c r="CX537" i="33"/>
  <c r="CC537" i="33"/>
  <c r="CC541" i="33" s="1"/>
  <c r="BV537" i="33"/>
  <c r="BO537" i="33"/>
  <c r="BH537" i="33"/>
  <c r="BH541" i="33" s="1"/>
  <c r="BA537" i="33"/>
  <c r="BA541" i="33" s="1"/>
  <c r="AT537" i="33"/>
  <c r="AT541" i="33" s="1"/>
  <c r="AM537" i="33"/>
  <c r="AF537" i="33"/>
  <c r="Y537" i="33"/>
  <c r="Y541" i="33" s="1"/>
  <c r="R537" i="33"/>
  <c r="DD535" i="33"/>
  <c r="DC535" i="33"/>
  <c r="DB535" i="33"/>
  <c r="DA535" i="33"/>
  <c r="CZ535" i="33"/>
  <c r="CW535" i="33"/>
  <c r="CV535" i="33"/>
  <c r="CU535" i="33"/>
  <c r="CT535" i="33"/>
  <c r="CS535" i="33"/>
  <c r="CP535" i="33"/>
  <c r="CO535" i="33"/>
  <c r="CN535" i="33"/>
  <c r="CM535" i="33"/>
  <c r="CL535" i="33"/>
  <c r="CB535" i="33"/>
  <c r="CA535" i="33"/>
  <c r="BZ535" i="33"/>
  <c r="BY535" i="33"/>
  <c r="BX535" i="33"/>
  <c r="BU535" i="33"/>
  <c r="BT535" i="33"/>
  <c r="BS535" i="33"/>
  <c r="BR535" i="33"/>
  <c r="BQ535" i="33"/>
  <c r="BO535" i="33"/>
  <c r="BN535" i="33"/>
  <c r="BM535" i="33"/>
  <c r="BL535" i="33"/>
  <c r="BK535" i="33"/>
  <c r="BJ535" i="33"/>
  <c r="BG535" i="33"/>
  <c r="BF535" i="33"/>
  <c r="BE535" i="33"/>
  <c r="BD535" i="33"/>
  <c r="BC535" i="33"/>
  <c r="AZ535" i="33"/>
  <c r="AY535" i="33"/>
  <c r="AX535" i="33"/>
  <c r="AW535" i="33"/>
  <c r="AV535" i="33"/>
  <c r="AS535" i="33"/>
  <c r="AR535" i="33"/>
  <c r="AQ535" i="33"/>
  <c r="AP535" i="33"/>
  <c r="AO535" i="33"/>
  <c r="AM535" i="33"/>
  <c r="AL535" i="33"/>
  <c r="AK535" i="33"/>
  <c r="AJ535" i="33"/>
  <c r="AI535" i="33"/>
  <c r="AH535" i="33"/>
  <c r="AE535" i="33"/>
  <c r="AD535" i="33"/>
  <c r="AC535" i="33"/>
  <c r="AB535" i="33"/>
  <c r="AA535" i="33"/>
  <c r="X535" i="33"/>
  <c r="W535" i="33"/>
  <c r="V535" i="33"/>
  <c r="U535" i="33"/>
  <c r="T535" i="33"/>
  <c r="Q535" i="33"/>
  <c r="P535" i="33"/>
  <c r="O535" i="33"/>
  <c r="N535" i="33"/>
  <c r="M535" i="33"/>
  <c r="DE534" i="33"/>
  <c r="CX534" i="33"/>
  <c r="CC534" i="33"/>
  <c r="BV534" i="33"/>
  <c r="BO534" i="33"/>
  <c r="BH534" i="33"/>
  <c r="BA534" i="33"/>
  <c r="AT534" i="33"/>
  <c r="AM534" i="33"/>
  <c r="AF534" i="33"/>
  <c r="Y534" i="33"/>
  <c r="R534" i="33"/>
  <c r="DE533" i="33"/>
  <c r="CX533" i="33"/>
  <c r="CX535" i="33" s="1"/>
  <c r="CI533" i="33"/>
  <c r="J539" i="33" s="1"/>
  <c r="CI539" i="33" s="1"/>
  <c r="J545" i="33" s="1"/>
  <c r="CI545" i="33" s="1"/>
  <c r="CC533" i="33"/>
  <c r="BV533" i="33"/>
  <c r="BO533" i="33"/>
  <c r="BH533" i="33"/>
  <c r="BA533" i="33"/>
  <c r="BA535" i="33" s="1"/>
  <c r="AT533" i="33"/>
  <c r="AM533" i="33"/>
  <c r="AF533" i="33"/>
  <c r="Y533" i="33"/>
  <c r="Y535" i="33" s="1"/>
  <c r="R533" i="33"/>
  <c r="DE532" i="33"/>
  <c r="CX532" i="33"/>
  <c r="CI532" i="33"/>
  <c r="J538" i="33" s="1"/>
  <c r="CI538" i="33" s="1"/>
  <c r="J544" i="33" s="1"/>
  <c r="CI544" i="33" s="1"/>
  <c r="CC532" i="33"/>
  <c r="CC535" i="33" s="1"/>
  <c r="BV532" i="33"/>
  <c r="BO532" i="33"/>
  <c r="BH532" i="33"/>
  <c r="BA532" i="33"/>
  <c r="AT532" i="33"/>
  <c r="AT535" i="33" s="1"/>
  <c r="AM532" i="33"/>
  <c r="AF532" i="33"/>
  <c r="Y532" i="33"/>
  <c r="R532" i="33"/>
  <c r="F532" i="33"/>
  <c r="CE532" i="33" s="1"/>
  <c r="F538" i="33" s="1"/>
  <c r="DE531" i="33"/>
  <c r="DE535" i="33" s="1"/>
  <c r="CX531" i="33"/>
  <c r="CC531" i="33"/>
  <c r="BV531" i="33"/>
  <c r="BO531" i="33"/>
  <c r="BH531" i="33"/>
  <c r="BA531" i="33"/>
  <c r="AT531" i="33"/>
  <c r="AM531" i="33"/>
  <c r="AF531" i="33"/>
  <c r="AF535" i="33" s="1"/>
  <c r="Y531" i="33"/>
  <c r="R531" i="33"/>
  <c r="DD529" i="33"/>
  <c r="DC529" i="33"/>
  <c r="DB529" i="33"/>
  <c r="DA529" i="33"/>
  <c r="CZ529" i="33"/>
  <c r="CW529" i="33"/>
  <c r="CV529" i="33"/>
  <c r="CU529" i="33"/>
  <c r="CT529" i="33"/>
  <c r="CS529" i="33"/>
  <c r="CP529" i="33"/>
  <c r="CO529" i="33"/>
  <c r="CN529" i="33"/>
  <c r="CM529" i="33"/>
  <c r="CL529" i="33"/>
  <c r="CB529" i="33"/>
  <c r="CA529" i="33"/>
  <c r="BZ529" i="33"/>
  <c r="BY529" i="33"/>
  <c r="BX529" i="33"/>
  <c r="BU529" i="33"/>
  <c r="BT529" i="33"/>
  <c r="BS529" i="33"/>
  <c r="BR529" i="33"/>
  <c r="BQ529" i="33"/>
  <c r="BN529" i="33"/>
  <c r="BM529" i="33"/>
  <c r="BL529" i="33"/>
  <c r="BK529" i="33"/>
  <c r="BJ529" i="33"/>
  <c r="BG529" i="33"/>
  <c r="BF529" i="33"/>
  <c r="BE529" i="33"/>
  <c r="BD529" i="33"/>
  <c r="BC529" i="33"/>
  <c r="AZ529" i="33"/>
  <c r="AY529" i="33"/>
  <c r="AX529" i="33"/>
  <c r="AW529" i="33"/>
  <c r="AV529" i="33"/>
  <c r="AS529" i="33"/>
  <c r="AR529" i="33"/>
  <c r="AQ529" i="33"/>
  <c r="AP529" i="33"/>
  <c r="AO529" i="33"/>
  <c r="AL529" i="33"/>
  <c r="AK529" i="33"/>
  <c r="AJ529" i="33"/>
  <c r="AI529" i="33"/>
  <c r="AH529" i="33"/>
  <c r="AE529" i="33"/>
  <c r="AD529" i="33"/>
  <c r="AC529" i="33"/>
  <c r="AB529" i="33"/>
  <c r="AA529" i="33"/>
  <c r="X529" i="33"/>
  <c r="W529" i="33"/>
  <c r="V529" i="33"/>
  <c r="U529" i="33"/>
  <c r="T529" i="33"/>
  <c r="Q529" i="33"/>
  <c r="P529" i="33"/>
  <c r="O529" i="33"/>
  <c r="N529" i="33"/>
  <c r="M529" i="33"/>
  <c r="DE528" i="33"/>
  <c r="CX528" i="33"/>
  <c r="CX529" i="33" s="1"/>
  <c r="CC528" i="33"/>
  <c r="CC529" i="33" s="1"/>
  <c r="BV528" i="33"/>
  <c r="BO528" i="33"/>
  <c r="BH528" i="33"/>
  <c r="BA528" i="33"/>
  <c r="AT528" i="33"/>
  <c r="AM528" i="33"/>
  <c r="AF528" i="33"/>
  <c r="Y528" i="33"/>
  <c r="Y529" i="33" s="1"/>
  <c r="R528" i="33"/>
  <c r="I528" i="33"/>
  <c r="CH528" i="33" s="1"/>
  <c r="I534" i="33" s="1"/>
  <c r="CH534" i="33" s="1"/>
  <c r="I540" i="33" s="1"/>
  <c r="CH540" i="33" s="1"/>
  <c r="I546" i="33" s="1"/>
  <c r="CH546" i="33" s="1"/>
  <c r="H528" i="33"/>
  <c r="G528" i="33"/>
  <c r="CF528" i="33" s="1"/>
  <c r="G534" i="33" s="1"/>
  <c r="CF534" i="33" s="1"/>
  <c r="G540" i="33" s="1"/>
  <c r="CF540" i="33" s="1"/>
  <c r="G546" i="33" s="1"/>
  <c r="CF546" i="33" s="1"/>
  <c r="DE527" i="33"/>
  <c r="CX527" i="33"/>
  <c r="CF527" i="33"/>
  <c r="G533" i="33" s="1"/>
  <c r="CF533" i="33" s="1"/>
  <c r="G539" i="33" s="1"/>
  <c r="CF539" i="33" s="1"/>
  <c r="G545" i="33" s="1"/>
  <c r="CF545" i="33" s="1"/>
  <c r="CE527" i="33"/>
  <c r="CC527" i="33"/>
  <c r="BV527" i="33"/>
  <c r="BO527" i="33"/>
  <c r="BH527" i="33"/>
  <c r="BA527" i="33"/>
  <c r="AT527" i="33"/>
  <c r="AM527" i="33"/>
  <c r="AF527" i="33"/>
  <c r="AF529" i="33" s="1"/>
  <c r="Y527" i="33"/>
  <c r="R527" i="33"/>
  <c r="J527" i="33"/>
  <c r="CI527" i="33" s="1"/>
  <c r="J533" i="33" s="1"/>
  <c r="F527" i="33"/>
  <c r="DE526" i="33"/>
  <c r="CX526" i="33"/>
  <c r="CG526" i="33"/>
  <c r="H532" i="33" s="1"/>
  <c r="CG532" i="33" s="1"/>
  <c r="CC526" i="33"/>
  <c r="BV526" i="33"/>
  <c r="BO526" i="33"/>
  <c r="BH526" i="33"/>
  <c r="BH529" i="33" s="1"/>
  <c r="BA526" i="33"/>
  <c r="AT526" i="33"/>
  <c r="AM526" i="33"/>
  <c r="AF526" i="33"/>
  <c r="Y526" i="33"/>
  <c r="R526" i="33"/>
  <c r="H526" i="33"/>
  <c r="G526" i="33"/>
  <c r="CF526" i="33" s="1"/>
  <c r="G532" i="33" s="1"/>
  <c r="CF532" i="33" s="1"/>
  <c r="G538" i="33" s="1"/>
  <c r="CF538" i="33" s="1"/>
  <c r="G544" i="33" s="1"/>
  <c r="CF544" i="33" s="1"/>
  <c r="DE525" i="33"/>
  <c r="DE529" i="33" s="1"/>
  <c r="CX525" i="33"/>
  <c r="CC525" i="33"/>
  <c r="BV525" i="33"/>
  <c r="BV529" i="33" s="1"/>
  <c r="BO525" i="33"/>
  <c r="BO529" i="33" s="1"/>
  <c r="BH525" i="33"/>
  <c r="BA525" i="33"/>
  <c r="BA529" i="33" s="1"/>
  <c r="AT525" i="33"/>
  <c r="AT529" i="33" s="1"/>
  <c r="AM525" i="33"/>
  <c r="AF525" i="33"/>
  <c r="Y525" i="33"/>
  <c r="R525" i="33"/>
  <c r="R529" i="33" s="1"/>
  <c r="H525" i="33"/>
  <c r="CG525" i="33" s="1"/>
  <c r="DD523" i="33"/>
  <c r="DC523" i="33"/>
  <c r="DB523" i="33"/>
  <c r="DA523" i="33"/>
  <c r="CZ523" i="33"/>
  <c r="CW523" i="33"/>
  <c r="CV523" i="33"/>
  <c r="CU523" i="33"/>
  <c r="CT523" i="33"/>
  <c r="CS523" i="33"/>
  <c r="CP523" i="33"/>
  <c r="CO523" i="33"/>
  <c r="CN523" i="33"/>
  <c r="CM523" i="33"/>
  <c r="CL523" i="33"/>
  <c r="CG523" i="33"/>
  <c r="CB523" i="33"/>
  <c r="CA523" i="33"/>
  <c r="BZ523" i="33"/>
  <c r="BY523" i="33"/>
  <c r="BX523" i="33"/>
  <c r="BV523" i="33"/>
  <c r="BU523" i="33"/>
  <c r="BT523" i="33"/>
  <c r="BS523" i="33"/>
  <c r="BR523" i="33"/>
  <c r="BQ523" i="33"/>
  <c r="BN523" i="33"/>
  <c r="BM523" i="33"/>
  <c r="BL523" i="33"/>
  <c r="BK523" i="33"/>
  <c r="BJ523" i="33"/>
  <c r="BG523" i="33"/>
  <c r="BF523" i="33"/>
  <c r="BE523" i="33"/>
  <c r="BD523" i="33"/>
  <c r="BC523" i="33"/>
  <c r="AZ523" i="33"/>
  <c r="AY523" i="33"/>
  <c r="AX523" i="33"/>
  <c r="AW523" i="33"/>
  <c r="AV523" i="33"/>
  <c r="AS523" i="33"/>
  <c r="AR523" i="33"/>
  <c r="AQ523" i="33"/>
  <c r="AP523" i="33"/>
  <c r="AO523" i="33"/>
  <c r="AL523" i="33"/>
  <c r="AK523" i="33"/>
  <c r="AJ523" i="33"/>
  <c r="AI523" i="33"/>
  <c r="AH523" i="33"/>
  <c r="AE523" i="33"/>
  <c r="AD523" i="33"/>
  <c r="AC523" i="33"/>
  <c r="AB523" i="33"/>
  <c r="AA523" i="33"/>
  <c r="X523" i="33"/>
  <c r="W523" i="33"/>
  <c r="V523" i="33"/>
  <c r="U523" i="33"/>
  <c r="T523" i="33"/>
  <c r="R523" i="33"/>
  <c r="Q523" i="33"/>
  <c r="P523" i="33"/>
  <c r="O523" i="33"/>
  <c r="N523" i="33"/>
  <c r="M523" i="33"/>
  <c r="J523" i="33"/>
  <c r="I523" i="33"/>
  <c r="H523" i="33"/>
  <c r="G523" i="33"/>
  <c r="F523" i="33"/>
  <c r="DE522" i="33"/>
  <c r="CX522" i="33"/>
  <c r="CI522" i="33"/>
  <c r="J528" i="33" s="1"/>
  <c r="CI528" i="33" s="1"/>
  <c r="J534" i="33" s="1"/>
  <c r="CI534" i="33" s="1"/>
  <c r="J540" i="33" s="1"/>
  <c r="CI540" i="33" s="1"/>
  <c r="J546" i="33" s="1"/>
  <c r="CI546" i="33" s="1"/>
  <c r="CH522" i="33"/>
  <c r="CG522" i="33"/>
  <c r="CF522" i="33"/>
  <c r="CE522" i="33"/>
  <c r="CC522" i="33"/>
  <c r="BV522" i="33"/>
  <c r="BO522" i="33"/>
  <c r="BH522" i="33"/>
  <c r="BA522" i="33"/>
  <c r="AT522" i="33"/>
  <c r="AM522" i="33"/>
  <c r="AF522" i="33"/>
  <c r="AF523" i="33" s="1"/>
  <c r="Y522" i="33"/>
  <c r="R522" i="33"/>
  <c r="K522" i="33"/>
  <c r="DE521" i="33"/>
  <c r="CX521" i="33"/>
  <c r="CI521" i="33"/>
  <c r="CH521" i="33"/>
  <c r="I527" i="33" s="1"/>
  <c r="CH527" i="33" s="1"/>
  <c r="I533" i="33" s="1"/>
  <c r="CH533" i="33" s="1"/>
  <c r="I539" i="33" s="1"/>
  <c r="CH539" i="33" s="1"/>
  <c r="I545" i="33" s="1"/>
  <c r="CH545" i="33" s="1"/>
  <c r="CG521" i="33"/>
  <c r="H527" i="33" s="1"/>
  <c r="CG527" i="33" s="1"/>
  <c r="H533" i="33" s="1"/>
  <c r="CG533" i="33" s="1"/>
  <c r="H539" i="33" s="1"/>
  <c r="CG539" i="33" s="1"/>
  <c r="H545" i="33" s="1"/>
  <c r="CG545" i="33" s="1"/>
  <c r="CF521" i="33"/>
  <c r="G527" i="33" s="1"/>
  <c r="CE521" i="33"/>
  <c r="CC521" i="33"/>
  <c r="BV521" i="33"/>
  <c r="BO521" i="33"/>
  <c r="BH521" i="33"/>
  <c r="BA521" i="33"/>
  <c r="AT521" i="33"/>
  <c r="AM521" i="33"/>
  <c r="AF521" i="33"/>
  <c r="Y521" i="33"/>
  <c r="R521" i="33"/>
  <c r="K521" i="33"/>
  <c r="DE520" i="33"/>
  <c r="CX520" i="33"/>
  <c r="CJ520" i="33"/>
  <c r="CI520" i="33"/>
  <c r="J526" i="33" s="1"/>
  <c r="CI526" i="33" s="1"/>
  <c r="J532" i="33" s="1"/>
  <c r="CH520" i="33"/>
  <c r="I526" i="33" s="1"/>
  <c r="CH526" i="33" s="1"/>
  <c r="I532" i="33" s="1"/>
  <c r="CH532" i="33" s="1"/>
  <c r="I538" i="33" s="1"/>
  <c r="CH538" i="33" s="1"/>
  <c r="I544" i="33" s="1"/>
  <c r="CH544" i="33" s="1"/>
  <c r="CG520" i="33"/>
  <c r="CF520" i="33"/>
  <c r="CE520" i="33"/>
  <c r="F526" i="33" s="1"/>
  <c r="CE526" i="33" s="1"/>
  <c r="CC520" i="33"/>
  <c r="CC523" i="33" s="1"/>
  <c r="BV520" i="33"/>
  <c r="BO520" i="33"/>
  <c r="BO523" i="33" s="1"/>
  <c r="BH520" i="33"/>
  <c r="BA520" i="33"/>
  <c r="AT520" i="33"/>
  <c r="AT523" i="33" s="1"/>
  <c r="AM520" i="33"/>
  <c r="AF520" i="33"/>
  <c r="Y520" i="33"/>
  <c r="Y523" i="33" s="1"/>
  <c r="R520" i="33"/>
  <c r="K520" i="33"/>
  <c r="K523" i="33" s="1"/>
  <c r="DE519" i="33"/>
  <c r="CX519" i="33"/>
  <c r="CI519" i="33"/>
  <c r="J525" i="33" s="1"/>
  <c r="CH519" i="33"/>
  <c r="CG519" i="33"/>
  <c r="CF519" i="33"/>
  <c r="CE519" i="33"/>
  <c r="CC519" i="33"/>
  <c r="BV519" i="33"/>
  <c r="BO519" i="33"/>
  <c r="BH519" i="33"/>
  <c r="BH523" i="33" s="1"/>
  <c r="BA519" i="33"/>
  <c r="AT519" i="33"/>
  <c r="AM519" i="33"/>
  <c r="AM523" i="33" s="1"/>
  <c r="AF519" i="33"/>
  <c r="Y519" i="33"/>
  <c r="R519" i="33"/>
  <c r="K519" i="33"/>
  <c r="DE515" i="33"/>
  <c r="DD515" i="33"/>
  <c r="DC515" i="33"/>
  <c r="DB515" i="33"/>
  <c r="DA515" i="33"/>
  <c r="CZ515" i="33"/>
  <c r="CW515" i="33"/>
  <c r="CV515" i="33"/>
  <c r="CU515" i="33"/>
  <c r="CT515" i="33"/>
  <c r="CS515" i="33"/>
  <c r="CP515" i="33"/>
  <c r="CO515" i="33"/>
  <c r="CN515" i="33"/>
  <c r="CM515" i="33"/>
  <c r="CL515" i="33"/>
  <c r="CB515" i="33"/>
  <c r="CA515" i="33"/>
  <c r="BZ515" i="33"/>
  <c r="BY515" i="33"/>
  <c r="BX515" i="33"/>
  <c r="BU515" i="33"/>
  <c r="BT515" i="33"/>
  <c r="BS515" i="33"/>
  <c r="BR515" i="33"/>
  <c r="BQ515" i="33"/>
  <c r="BN515" i="33"/>
  <c r="BM515" i="33"/>
  <c r="BL515" i="33"/>
  <c r="BK515" i="33"/>
  <c r="BJ515" i="33"/>
  <c r="BG515" i="33"/>
  <c r="BF515" i="33"/>
  <c r="BE515" i="33"/>
  <c r="BD515" i="33"/>
  <c r="BC515" i="33"/>
  <c r="AZ515" i="33"/>
  <c r="AY515" i="33"/>
  <c r="AX515" i="33"/>
  <c r="AW515" i="33"/>
  <c r="AV515" i="33"/>
  <c r="AS515" i="33"/>
  <c r="AR515" i="33"/>
  <c r="AQ515" i="33"/>
  <c r="AP515" i="33"/>
  <c r="AO515" i="33"/>
  <c r="AL515" i="33"/>
  <c r="AK515" i="33"/>
  <c r="AJ515" i="33"/>
  <c r="AI515" i="33"/>
  <c r="AH515" i="33"/>
  <c r="AE515" i="33"/>
  <c r="AD515" i="33"/>
  <c r="AC515" i="33"/>
  <c r="AB515" i="33"/>
  <c r="AA515" i="33"/>
  <c r="X515" i="33"/>
  <c r="W515" i="33"/>
  <c r="V515" i="33"/>
  <c r="U515" i="33"/>
  <c r="T515" i="33"/>
  <c r="Q515" i="33"/>
  <c r="P515" i="33"/>
  <c r="O515" i="33"/>
  <c r="N515" i="33"/>
  <c r="M515" i="33"/>
  <c r="DE514" i="33"/>
  <c r="CX514" i="33"/>
  <c r="CC514" i="33"/>
  <c r="BV514" i="33"/>
  <c r="BO514" i="33"/>
  <c r="BH514" i="33"/>
  <c r="BA514" i="33"/>
  <c r="AT514" i="33"/>
  <c r="AM514" i="33"/>
  <c r="AF514" i="33"/>
  <c r="Y514" i="33"/>
  <c r="R514" i="33"/>
  <c r="G514" i="33"/>
  <c r="CF514" i="33" s="1"/>
  <c r="DE513" i="33"/>
  <c r="CX513" i="33"/>
  <c r="CG513" i="33"/>
  <c r="CC513" i="33"/>
  <c r="BV513" i="33"/>
  <c r="BO513" i="33"/>
  <c r="BH513" i="33"/>
  <c r="BH515" i="33" s="1"/>
  <c r="BA513" i="33"/>
  <c r="AT513" i="33"/>
  <c r="AM513" i="33"/>
  <c r="AM515" i="33" s="1"/>
  <c r="AF513" i="33"/>
  <c r="Y513" i="33"/>
  <c r="L21" i="40" s="1"/>
  <c r="R513" i="33"/>
  <c r="DE512" i="33"/>
  <c r="CX512" i="33"/>
  <c r="CX515" i="33" s="1"/>
  <c r="CC512" i="33"/>
  <c r="BV512" i="33"/>
  <c r="BO512" i="33"/>
  <c r="BH512" i="33"/>
  <c r="BA512" i="33"/>
  <c r="AT512" i="33"/>
  <c r="AM512" i="33"/>
  <c r="AF512" i="33"/>
  <c r="Y512" i="33"/>
  <c r="R512" i="33"/>
  <c r="DE511" i="33"/>
  <c r="CX511" i="33"/>
  <c r="CC511" i="33"/>
  <c r="BV511" i="33"/>
  <c r="BO511" i="33"/>
  <c r="BH511" i="33"/>
  <c r="BA511" i="33"/>
  <c r="AT511" i="33"/>
  <c r="AT515" i="33" s="1"/>
  <c r="AM511" i="33"/>
  <c r="AF511" i="33"/>
  <c r="AF515" i="33" s="1"/>
  <c r="Y511" i="33"/>
  <c r="R511" i="33"/>
  <c r="DD509" i="33"/>
  <c r="DC509" i="33"/>
  <c r="DB509" i="33"/>
  <c r="DA509" i="33"/>
  <c r="CZ509" i="33"/>
  <c r="CW509" i="33"/>
  <c r="CV509" i="33"/>
  <c r="CU509" i="33"/>
  <c r="CT509" i="33"/>
  <c r="CS509" i="33"/>
  <c r="CP509" i="33"/>
  <c r="CO509" i="33"/>
  <c r="CN509" i="33"/>
  <c r="CM509" i="33"/>
  <c r="CL509" i="33"/>
  <c r="CB509" i="33"/>
  <c r="CA509" i="33"/>
  <c r="BZ509" i="33"/>
  <c r="BY509" i="33"/>
  <c r="BX509" i="33"/>
  <c r="BU509" i="33"/>
  <c r="BT509" i="33"/>
  <c r="BS509" i="33"/>
  <c r="BR509" i="33"/>
  <c r="BQ509" i="33"/>
  <c r="BO509" i="33"/>
  <c r="BN509" i="33"/>
  <c r="BM509" i="33"/>
  <c r="BL509" i="33"/>
  <c r="BK509" i="33"/>
  <c r="BJ509" i="33"/>
  <c r="BG509" i="33"/>
  <c r="BF509" i="33"/>
  <c r="BE509" i="33"/>
  <c r="BD509" i="33"/>
  <c r="BC509" i="33"/>
  <c r="AZ509" i="33"/>
  <c r="AY509" i="33"/>
  <c r="AX509" i="33"/>
  <c r="AW509" i="33"/>
  <c r="AV509" i="33"/>
  <c r="AS509" i="33"/>
  <c r="AR509" i="33"/>
  <c r="AQ509" i="33"/>
  <c r="AP509" i="33"/>
  <c r="AO509" i="33"/>
  <c r="AL509" i="33"/>
  <c r="AK509" i="33"/>
  <c r="AJ509" i="33"/>
  <c r="AI509" i="33"/>
  <c r="AH509" i="33"/>
  <c r="AE509" i="33"/>
  <c r="AD509" i="33"/>
  <c r="AC509" i="33"/>
  <c r="AB509" i="33"/>
  <c r="AA509" i="33"/>
  <c r="Y509" i="33"/>
  <c r="X509" i="33"/>
  <c r="W509" i="33"/>
  <c r="V509" i="33"/>
  <c r="U509" i="33"/>
  <c r="T509" i="33"/>
  <c r="Q509" i="33"/>
  <c r="P509" i="33"/>
  <c r="O509" i="33"/>
  <c r="N509" i="33"/>
  <c r="M509" i="33"/>
  <c r="DE508" i="33"/>
  <c r="CX508" i="33"/>
  <c r="U21" i="40"/>
  <c r="CC508" i="33"/>
  <c r="BV508" i="33"/>
  <c r="BO508" i="33"/>
  <c r="BH508" i="33"/>
  <c r="BA508" i="33"/>
  <c r="AT508" i="33"/>
  <c r="AM508" i="33"/>
  <c r="AF508" i="33"/>
  <c r="Y508" i="33"/>
  <c r="R508" i="33"/>
  <c r="DE507" i="33"/>
  <c r="CX507" i="33"/>
  <c r="CC507" i="33"/>
  <c r="CC509" i="33" s="1"/>
  <c r="BV507" i="33"/>
  <c r="BO507" i="33"/>
  <c r="BH507" i="33"/>
  <c r="BA507" i="33"/>
  <c r="AT507" i="33"/>
  <c r="AM507" i="33"/>
  <c r="AF507" i="33"/>
  <c r="Y507" i="33"/>
  <c r="R507" i="33"/>
  <c r="DE506" i="33"/>
  <c r="CX506" i="33"/>
  <c r="CX509" i="33" s="1"/>
  <c r="CC506" i="33"/>
  <c r="BV506" i="33"/>
  <c r="BO506" i="33"/>
  <c r="BH506" i="33"/>
  <c r="BA506" i="33"/>
  <c r="AT506" i="33"/>
  <c r="AT509" i="33" s="1"/>
  <c r="AM506" i="33"/>
  <c r="AF506" i="33"/>
  <c r="Y506" i="33"/>
  <c r="R506" i="33"/>
  <c r="DE505" i="33"/>
  <c r="CX505" i="33"/>
  <c r="CC505" i="33"/>
  <c r="BV505" i="33"/>
  <c r="BO505" i="33"/>
  <c r="BH505" i="33"/>
  <c r="BA505" i="33"/>
  <c r="BA509" i="33" s="1"/>
  <c r="AT505" i="33"/>
  <c r="AM505" i="33"/>
  <c r="AF505" i="33"/>
  <c r="Y505" i="33"/>
  <c r="R505" i="33"/>
  <c r="DD503" i="33"/>
  <c r="DC503" i="33"/>
  <c r="DB503" i="33"/>
  <c r="DA503" i="33"/>
  <c r="CZ503" i="33"/>
  <c r="CW503" i="33"/>
  <c r="CV503" i="33"/>
  <c r="CU503" i="33"/>
  <c r="CT503" i="33"/>
  <c r="CS503" i="33"/>
  <c r="CP503" i="33"/>
  <c r="CO503" i="33"/>
  <c r="CN503" i="33"/>
  <c r="CM503" i="33"/>
  <c r="CL503" i="33"/>
  <c r="CB503" i="33"/>
  <c r="CA503" i="33"/>
  <c r="BZ503" i="33"/>
  <c r="BY503" i="33"/>
  <c r="BX503" i="33"/>
  <c r="BU503" i="33"/>
  <c r="BT503" i="33"/>
  <c r="BS503" i="33"/>
  <c r="BR503" i="33"/>
  <c r="BQ503" i="33"/>
  <c r="BN503" i="33"/>
  <c r="BM503" i="33"/>
  <c r="BL503" i="33"/>
  <c r="BK503" i="33"/>
  <c r="BJ503" i="33"/>
  <c r="BH503" i="33"/>
  <c r="BG503" i="33"/>
  <c r="BF503" i="33"/>
  <c r="BE503" i="33"/>
  <c r="BD503" i="33"/>
  <c r="BC503" i="33"/>
  <c r="AZ503" i="33"/>
  <c r="AY503" i="33"/>
  <c r="AX503" i="33"/>
  <c r="AW503" i="33"/>
  <c r="AV503" i="33"/>
  <c r="AS503" i="33"/>
  <c r="AR503" i="33"/>
  <c r="AQ503" i="33"/>
  <c r="AP503" i="33"/>
  <c r="AO503" i="33"/>
  <c r="AL503" i="33"/>
  <c r="AK503" i="33"/>
  <c r="AJ503" i="33"/>
  <c r="AI503" i="33"/>
  <c r="AH503" i="33"/>
  <c r="AE503" i="33"/>
  <c r="AD503" i="33"/>
  <c r="AC503" i="33"/>
  <c r="AB503" i="33"/>
  <c r="AA503" i="33"/>
  <c r="X503" i="33"/>
  <c r="W503" i="33"/>
  <c r="V503" i="33"/>
  <c r="U503" i="33"/>
  <c r="T503" i="33"/>
  <c r="Q503" i="33"/>
  <c r="P503" i="33"/>
  <c r="O503" i="33"/>
  <c r="N503" i="33"/>
  <c r="M503" i="33"/>
  <c r="DE502" i="33"/>
  <c r="CX502" i="33"/>
  <c r="CC502" i="33"/>
  <c r="BV502" i="33"/>
  <c r="BO502" i="33"/>
  <c r="BH502" i="33"/>
  <c r="BA502" i="33"/>
  <c r="AT502" i="33"/>
  <c r="AM502" i="33"/>
  <c r="AF502" i="33"/>
  <c r="Y502" i="33"/>
  <c r="R502" i="33"/>
  <c r="I502" i="33"/>
  <c r="CH502" i="33" s="1"/>
  <c r="I508" i="33" s="1"/>
  <c r="CH508" i="33" s="1"/>
  <c r="I514" i="33" s="1"/>
  <c r="CH514" i="33" s="1"/>
  <c r="DE501" i="33"/>
  <c r="CX501" i="33"/>
  <c r="CC501" i="33"/>
  <c r="BV501" i="33"/>
  <c r="BO501" i="33"/>
  <c r="BH501" i="33"/>
  <c r="BA501" i="33"/>
  <c r="AT501" i="33"/>
  <c r="AM501" i="33"/>
  <c r="AF501" i="33"/>
  <c r="Y501" i="33"/>
  <c r="R501" i="33"/>
  <c r="J501" i="33"/>
  <c r="CI501" i="33" s="1"/>
  <c r="J507" i="33" s="1"/>
  <c r="CI507" i="33" s="1"/>
  <c r="J513" i="33" s="1"/>
  <c r="CI513" i="33" s="1"/>
  <c r="G501" i="33"/>
  <c r="CF501" i="33" s="1"/>
  <c r="G507" i="33" s="1"/>
  <c r="CF507" i="33" s="1"/>
  <c r="G513" i="33" s="1"/>
  <c r="CF513" i="33" s="1"/>
  <c r="DE500" i="33"/>
  <c r="CX500" i="33"/>
  <c r="CC500" i="33"/>
  <c r="CC503" i="33" s="1"/>
  <c r="BV500" i="33"/>
  <c r="BO500" i="33"/>
  <c r="BH500" i="33"/>
  <c r="BA500" i="33"/>
  <c r="AT500" i="33"/>
  <c r="AM500" i="33"/>
  <c r="AF500" i="33"/>
  <c r="Y500" i="33"/>
  <c r="R500" i="33"/>
  <c r="G500" i="33"/>
  <c r="CF500" i="33" s="1"/>
  <c r="G506" i="33" s="1"/>
  <c r="CF506" i="33" s="1"/>
  <c r="G512" i="33" s="1"/>
  <c r="CF512" i="33" s="1"/>
  <c r="DE499" i="33"/>
  <c r="CX499" i="33"/>
  <c r="CC499" i="33"/>
  <c r="BV499" i="33"/>
  <c r="BO499" i="33"/>
  <c r="BO503" i="33" s="1"/>
  <c r="BH499" i="33"/>
  <c r="BA499" i="33"/>
  <c r="AT499" i="33"/>
  <c r="AM499" i="33"/>
  <c r="AF499" i="33"/>
  <c r="AF503" i="33" s="1"/>
  <c r="Y499" i="33"/>
  <c r="R499" i="33"/>
  <c r="I499" i="33"/>
  <c r="DD497" i="33"/>
  <c r="DC497" i="33"/>
  <c r="DB497" i="33"/>
  <c r="DA497" i="33"/>
  <c r="CZ497" i="33"/>
  <c r="CW497" i="33"/>
  <c r="CV497" i="33"/>
  <c r="CU497" i="33"/>
  <c r="CT497" i="33"/>
  <c r="CS497" i="33"/>
  <c r="CP497" i="33"/>
  <c r="CO497" i="33"/>
  <c r="CN497" i="33"/>
  <c r="CM497" i="33"/>
  <c r="CL497" i="33"/>
  <c r="CB497" i="33"/>
  <c r="CA497" i="33"/>
  <c r="BZ497" i="33"/>
  <c r="BY497" i="33"/>
  <c r="BX497" i="33"/>
  <c r="BU497" i="33"/>
  <c r="BT497" i="33"/>
  <c r="BS497" i="33"/>
  <c r="BR497" i="33"/>
  <c r="BQ497" i="33"/>
  <c r="BN497" i="33"/>
  <c r="BM497" i="33"/>
  <c r="BL497" i="33"/>
  <c r="BK497" i="33"/>
  <c r="BJ497" i="33"/>
  <c r="BG497" i="33"/>
  <c r="BF497" i="33"/>
  <c r="BE497" i="33"/>
  <c r="BD497" i="33"/>
  <c r="BC497" i="33"/>
  <c r="BA497" i="33"/>
  <c r="AZ497" i="33"/>
  <c r="AY497" i="33"/>
  <c r="AX497" i="33"/>
  <c r="AW497" i="33"/>
  <c r="AV497" i="33"/>
  <c r="AS497" i="33"/>
  <c r="AR497" i="33"/>
  <c r="AQ497" i="33"/>
  <c r="AP497" i="33"/>
  <c r="AO497" i="33"/>
  <c r="AL497" i="33"/>
  <c r="AK497" i="33"/>
  <c r="AJ497" i="33"/>
  <c r="AI497" i="33"/>
  <c r="AH497" i="33"/>
  <c r="AE497" i="33"/>
  <c r="AD497" i="33"/>
  <c r="AC497" i="33"/>
  <c r="AB497" i="33"/>
  <c r="AA497" i="33"/>
  <c r="X497" i="33"/>
  <c r="W497" i="33"/>
  <c r="V497" i="33"/>
  <c r="U497" i="33"/>
  <c r="T497" i="33"/>
  <c r="Q497" i="33"/>
  <c r="P497" i="33"/>
  <c r="O497" i="33"/>
  <c r="N497" i="33"/>
  <c r="M497" i="33"/>
  <c r="I497" i="33"/>
  <c r="DE496" i="33"/>
  <c r="CX496" i="33"/>
  <c r="CE496" i="33"/>
  <c r="CC496" i="33"/>
  <c r="BV496" i="33"/>
  <c r="BO496" i="33"/>
  <c r="BH496" i="33"/>
  <c r="BH497" i="33" s="1"/>
  <c r="BA496" i="33"/>
  <c r="AT496" i="33"/>
  <c r="AM496" i="33"/>
  <c r="AF496" i="33"/>
  <c r="Y496" i="33"/>
  <c r="R496" i="33"/>
  <c r="F496" i="33"/>
  <c r="DE495" i="33"/>
  <c r="CX495" i="33"/>
  <c r="CF495" i="33"/>
  <c r="CC495" i="33"/>
  <c r="BV495" i="33"/>
  <c r="BO495" i="33"/>
  <c r="BH495" i="33"/>
  <c r="BA495" i="33"/>
  <c r="AT495" i="33"/>
  <c r="AM495" i="33"/>
  <c r="AF495" i="33"/>
  <c r="Y495" i="33"/>
  <c r="R495" i="33"/>
  <c r="R497" i="33" s="1"/>
  <c r="I495" i="33"/>
  <c r="CH495" i="33" s="1"/>
  <c r="I501" i="33" s="1"/>
  <c r="CH501" i="33" s="1"/>
  <c r="I507" i="33" s="1"/>
  <c r="CH507" i="33" s="1"/>
  <c r="I513" i="33" s="1"/>
  <c r="CH513" i="33" s="1"/>
  <c r="DE494" i="33"/>
  <c r="CX494" i="33"/>
  <c r="CG494" i="33"/>
  <c r="H500" i="33" s="1"/>
  <c r="CG500" i="33" s="1"/>
  <c r="H506" i="33" s="1"/>
  <c r="CG506" i="33" s="1"/>
  <c r="H512" i="33" s="1"/>
  <c r="CG512" i="33" s="1"/>
  <c r="CC494" i="33"/>
  <c r="BV494" i="33"/>
  <c r="BO494" i="33"/>
  <c r="BH494" i="33"/>
  <c r="BA494" i="33"/>
  <c r="AT494" i="33"/>
  <c r="AM494" i="33"/>
  <c r="AF494" i="33"/>
  <c r="Y494" i="33"/>
  <c r="R494" i="33"/>
  <c r="G494" i="33"/>
  <c r="CF494" i="33" s="1"/>
  <c r="DE493" i="33"/>
  <c r="DE497" i="33" s="1"/>
  <c r="CX493" i="33"/>
  <c r="CX497" i="33" s="1"/>
  <c r="CG493" i="33"/>
  <c r="CC493" i="33"/>
  <c r="CC497" i="33" s="1"/>
  <c r="BV493" i="33"/>
  <c r="BO493" i="33"/>
  <c r="BH493" i="33"/>
  <c r="BA493" i="33"/>
  <c r="AT493" i="33"/>
  <c r="AT497" i="33" s="1"/>
  <c r="AM493" i="33"/>
  <c r="AM497" i="33" s="1"/>
  <c r="AF493" i="33"/>
  <c r="AF497" i="33" s="1"/>
  <c r="Y493" i="33"/>
  <c r="R493" i="33"/>
  <c r="I493" i="33"/>
  <c r="CH493" i="33" s="1"/>
  <c r="H493" i="33"/>
  <c r="DD491" i="33"/>
  <c r="DC491" i="33"/>
  <c r="DB491" i="33"/>
  <c r="DA491" i="33"/>
  <c r="CZ491" i="33"/>
  <c r="CW491" i="33"/>
  <c r="CV491" i="33"/>
  <c r="CU491" i="33"/>
  <c r="CT491" i="33"/>
  <c r="CS491" i="33"/>
  <c r="CP491" i="33"/>
  <c r="CO491" i="33"/>
  <c r="CN491" i="33"/>
  <c r="CM491" i="33"/>
  <c r="CL491" i="33"/>
  <c r="CF491" i="33"/>
  <c r="CC491" i="33"/>
  <c r="CB491" i="33"/>
  <c r="CA491" i="33"/>
  <c r="BZ491" i="33"/>
  <c r="BY491" i="33"/>
  <c r="BX491" i="33"/>
  <c r="BU491" i="33"/>
  <c r="BT491" i="33"/>
  <c r="BS491" i="33"/>
  <c r="BR491" i="33"/>
  <c r="BQ491" i="33"/>
  <c r="BN491" i="33"/>
  <c r="BM491" i="33"/>
  <c r="BL491" i="33"/>
  <c r="BK491" i="33"/>
  <c r="BJ491" i="33"/>
  <c r="BG491" i="33"/>
  <c r="BF491" i="33"/>
  <c r="BE491" i="33"/>
  <c r="BD491" i="33"/>
  <c r="BC491" i="33"/>
  <c r="AZ491" i="33"/>
  <c r="AY491" i="33"/>
  <c r="AX491" i="33"/>
  <c r="AW491" i="33"/>
  <c r="AV491" i="33"/>
  <c r="AT491" i="33"/>
  <c r="AS491" i="33"/>
  <c r="AR491" i="33"/>
  <c r="AQ491" i="33"/>
  <c r="AP491" i="33"/>
  <c r="AO491" i="33"/>
  <c r="AL491" i="33"/>
  <c r="AK491" i="33"/>
  <c r="AJ491" i="33"/>
  <c r="AI491" i="33"/>
  <c r="AH491" i="33"/>
  <c r="AE491" i="33"/>
  <c r="AD491" i="33"/>
  <c r="AC491" i="33"/>
  <c r="AB491" i="33"/>
  <c r="AA491" i="33"/>
  <c r="Y491" i="33"/>
  <c r="X491" i="33"/>
  <c r="W491" i="33"/>
  <c r="V491" i="33"/>
  <c r="U491" i="33"/>
  <c r="T491" i="33"/>
  <c r="R491" i="33"/>
  <c r="Q491" i="33"/>
  <c r="P491" i="33"/>
  <c r="O491" i="33"/>
  <c r="N491" i="33"/>
  <c r="M491" i="33"/>
  <c r="J491" i="33"/>
  <c r="I491" i="33"/>
  <c r="H491" i="33"/>
  <c r="G491" i="33"/>
  <c r="F491" i="33"/>
  <c r="DE490" i="33"/>
  <c r="CX490" i="33"/>
  <c r="CI490" i="33"/>
  <c r="J496" i="33" s="1"/>
  <c r="CI496" i="33" s="1"/>
  <c r="J502" i="33" s="1"/>
  <c r="CI502" i="33" s="1"/>
  <c r="J508" i="33" s="1"/>
  <c r="CI508" i="33" s="1"/>
  <c r="J514" i="33" s="1"/>
  <c r="CI514" i="33" s="1"/>
  <c r="CH490" i="33"/>
  <c r="I496" i="33" s="1"/>
  <c r="CH496" i="33" s="1"/>
  <c r="CG490" i="33"/>
  <c r="H496" i="33" s="1"/>
  <c r="CG496" i="33" s="1"/>
  <c r="H502" i="33" s="1"/>
  <c r="CG502" i="33" s="1"/>
  <c r="H508" i="33" s="1"/>
  <c r="CG508" i="33" s="1"/>
  <c r="H514" i="33" s="1"/>
  <c r="CG514" i="33" s="1"/>
  <c r="CF490" i="33"/>
  <c r="G496" i="33" s="1"/>
  <c r="CF496" i="33" s="1"/>
  <c r="G502" i="33" s="1"/>
  <c r="CF502" i="33" s="1"/>
  <c r="G508" i="33" s="1"/>
  <c r="CF508" i="33" s="1"/>
  <c r="CE490" i="33"/>
  <c r="CC490" i="33"/>
  <c r="BV490" i="33"/>
  <c r="BO490" i="33"/>
  <c r="BH490" i="33"/>
  <c r="BA490" i="33"/>
  <c r="AT490" i="33"/>
  <c r="AM490" i="33"/>
  <c r="AF490" i="33"/>
  <c r="Y490" i="33"/>
  <c r="R490" i="33"/>
  <c r="K490" i="33"/>
  <c r="DE489" i="33"/>
  <c r="CX489" i="33"/>
  <c r="CI489" i="33"/>
  <c r="J495" i="33" s="1"/>
  <c r="CI495" i="33" s="1"/>
  <c r="CH489" i="33"/>
  <c r="CG489" i="33"/>
  <c r="H495" i="33" s="1"/>
  <c r="CG495" i="33" s="1"/>
  <c r="H501" i="33" s="1"/>
  <c r="CG501" i="33" s="1"/>
  <c r="H507" i="33" s="1"/>
  <c r="CG507" i="33" s="1"/>
  <c r="H513" i="33" s="1"/>
  <c r="CF489" i="33"/>
  <c r="G495" i="33" s="1"/>
  <c r="CE489" i="33"/>
  <c r="CC489" i="33"/>
  <c r="BV489" i="33"/>
  <c r="BO489" i="33"/>
  <c r="BH489" i="33"/>
  <c r="BA489" i="33"/>
  <c r="AT489" i="33"/>
  <c r="AM489" i="33"/>
  <c r="AF489" i="33"/>
  <c r="Y489" i="33"/>
  <c r="R489" i="33"/>
  <c r="K489" i="33"/>
  <c r="DE488" i="33"/>
  <c r="CX488" i="33"/>
  <c r="CI488" i="33"/>
  <c r="J494" i="33" s="1"/>
  <c r="CI494" i="33" s="1"/>
  <c r="J500" i="33" s="1"/>
  <c r="CI500" i="33" s="1"/>
  <c r="J506" i="33" s="1"/>
  <c r="CI506" i="33" s="1"/>
  <c r="J512" i="33" s="1"/>
  <c r="CI512" i="33" s="1"/>
  <c r="CH488" i="33"/>
  <c r="I494" i="33" s="1"/>
  <c r="CH494" i="33" s="1"/>
  <c r="I500" i="33" s="1"/>
  <c r="CH500" i="33" s="1"/>
  <c r="I506" i="33" s="1"/>
  <c r="CH506" i="33" s="1"/>
  <c r="I512" i="33" s="1"/>
  <c r="CH512" i="33" s="1"/>
  <c r="CG488" i="33"/>
  <c r="H494" i="33" s="1"/>
  <c r="CF488" i="33"/>
  <c r="CE488" i="33"/>
  <c r="F494" i="33" s="1"/>
  <c r="CC488" i="33"/>
  <c r="BV488" i="33"/>
  <c r="BO488" i="33"/>
  <c r="BH488" i="33"/>
  <c r="BA488" i="33"/>
  <c r="AT488" i="33"/>
  <c r="AM488" i="33"/>
  <c r="AF488" i="33"/>
  <c r="Y488" i="33"/>
  <c r="R488" i="33"/>
  <c r="K488" i="33"/>
  <c r="DE487" i="33"/>
  <c r="DE491" i="33" s="1"/>
  <c r="CX487" i="33"/>
  <c r="CX491" i="33" s="1"/>
  <c r="CI487" i="33"/>
  <c r="J493" i="33" s="1"/>
  <c r="CI493" i="33" s="1"/>
  <c r="CH487" i="33"/>
  <c r="CH491" i="33" s="1"/>
  <c r="CG487" i="33"/>
  <c r="CF487" i="33"/>
  <c r="G493" i="33" s="1"/>
  <c r="CE487" i="33"/>
  <c r="CC487" i="33"/>
  <c r="BV487" i="33"/>
  <c r="BV491" i="33" s="1"/>
  <c r="BO487" i="33"/>
  <c r="BH487" i="33"/>
  <c r="BH491" i="33" s="1"/>
  <c r="BA487" i="33"/>
  <c r="BA491" i="33" s="1"/>
  <c r="AT487" i="33"/>
  <c r="AM487" i="33"/>
  <c r="AM491" i="33" s="1"/>
  <c r="AF487" i="33"/>
  <c r="Y487" i="33"/>
  <c r="R487" i="33"/>
  <c r="K487" i="33"/>
  <c r="DD483" i="33"/>
  <c r="DC483" i="33"/>
  <c r="DB483" i="33"/>
  <c r="DA483" i="33"/>
  <c r="CZ483" i="33"/>
  <c r="CW483" i="33"/>
  <c r="CV483" i="33"/>
  <c r="CU483" i="33"/>
  <c r="CT483" i="33"/>
  <c r="CS483" i="33"/>
  <c r="CP483" i="33"/>
  <c r="CO483" i="33"/>
  <c r="CN483" i="33"/>
  <c r="CM483" i="33"/>
  <c r="CL483" i="33"/>
  <c r="CB483" i="33"/>
  <c r="CA483" i="33"/>
  <c r="BZ483" i="33"/>
  <c r="BY483" i="33"/>
  <c r="BX483" i="33"/>
  <c r="BU483" i="33"/>
  <c r="BT483" i="33"/>
  <c r="BS483" i="33"/>
  <c r="BR483" i="33"/>
  <c r="BQ483" i="33"/>
  <c r="BN483" i="33"/>
  <c r="BM483" i="33"/>
  <c r="BL483" i="33"/>
  <c r="BK483" i="33"/>
  <c r="BJ483" i="33"/>
  <c r="BG483" i="33"/>
  <c r="BF483" i="33"/>
  <c r="BE483" i="33"/>
  <c r="BD483" i="33"/>
  <c r="BC483" i="33"/>
  <c r="BA483" i="33"/>
  <c r="AZ483" i="33"/>
  <c r="AY483" i="33"/>
  <c r="AX483" i="33"/>
  <c r="AW483" i="33"/>
  <c r="AV483" i="33"/>
  <c r="AS483" i="33"/>
  <c r="AR483" i="33"/>
  <c r="AQ483" i="33"/>
  <c r="AP483" i="33"/>
  <c r="AO483" i="33"/>
  <c r="AL483" i="33"/>
  <c r="AK483" i="33"/>
  <c r="AJ483" i="33"/>
  <c r="AI483" i="33"/>
  <c r="AH483" i="33"/>
  <c r="AF483" i="33"/>
  <c r="AE483" i="33"/>
  <c r="AD483" i="33"/>
  <c r="AC483" i="33"/>
  <c r="AB483" i="33"/>
  <c r="AA483" i="33"/>
  <c r="X483" i="33"/>
  <c r="W483" i="33"/>
  <c r="V483" i="33"/>
  <c r="U483" i="33"/>
  <c r="T483" i="33"/>
  <c r="Q483" i="33"/>
  <c r="P483" i="33"/>
  <c r="O483" i="33"/>
  <c r="N483" i="33"/>
  <c r="M483" i="33"/>
  <c r="DE482" i="33"/>
  <c r="CX482" i="33"/>
  <c r="CC482" i="33"/>
  <c r="BV482" i="33"/>
  <c r="BO482" i="33"/>
  <c r="BH482" i="33"/>
  <c r="BA482" i="33"/>
  <c r="AT482" i="33"/>
  <c r="AM482" i="33"/>
  <c r="AF482" i="33"/>
  <c r="Y482" i="33"/>
  <c r="R482" i="33"/>
  <c r="DE481" i="33"/>
  <c r="CX481" i="33"/>
  <c r="CC481" i="33"/>
  <c r="BV481" i="33"/>
  <c r="BO481" i="33"/>
  <c r="BH481" i="33"/>
  <c r="BA481" i="33"/>
  <c r="AT481" i="33"/>
  <c r="AM481" i="33"/>
  <c r="AF481" i="33"/>
  <c r="Y481" i="33"/>
  <c r="L20" i="40" s="1"/>
  <c r="R481" i="33"/>
  <c r="DE480" i="33"/>
  <c r="CX480" i="33"/>
  <c r="CX483" i="33" s="1"/>
  <c r="CC480" i="33"/>
  <c r="CC483" i="33" s="1"/>
  <c r="BV480" i="33"/>
  <c r="BO480" i="33"/>
  <c r="BH480" i="33"/>
  <c r="BH483" i="33" s="1"/>
  <c r="BA480" i="33"/>
  <c r="AT480" i="33"/>
  <c r="AT483" i="33" s="1"/>
  <c r="AM480" i="33"/>
  <c r="AF480" i="33"/>
  <c r="Y480" i="33"/>
  <c r="Y483" i="33" s="1"/>
  <c r="R480" i="33"/>
  <c r="DE479" i="33"/>
  <c r="DE483" i="33" s="1"/>
  <c r="CX479" i="33"/>
  <c r="CC479" i="33"/>
  <c r="BV479" i="33"/>
  <c r="BO479" i="33"/>
  <c r="BH479" i="33"/>
  <c r="BA479" i="33"/>
  <c r="AT479" i="33"/>
  <c r="AM479" i="33"/>
  <c r="AM483" i="33" s="1"/>
  <c r="AF479" i="33"/>
  <c r="Y479" i="33"/>
  <c r="R479" i="33"/>
  <c r="DD477" i="33"/>
  <c r="DC477" i="33"/>
  <c r="DB477" i="33"/>
  <c r="DA477" i="33"/>
  <c r="CZ477" i="33"/>
  <c r="CW477" i="33"/>
  <c r="CV477" i="33"/>
  <c r="CU477" i="33"/>
  <c r="CT477" i="33"/>
  <c r="CS477" i="33"/>
  <c r="CP477" i="33"/>
  <c r="CO477" i="33"/>
  <c r="CN477" i="33"/>
  <c r="CM477" i="33"/>
  <c r="CL477" i="33"/>
  <c r="CB477" i="33"/>
  <c r="CA477" i="33"/>
  <c r="BZ477" i="33"/>
  <c r="BY477" i="33"/>
  <c r="BX477" i="33"/>
  <c r="BU477" i="33"/>
  <c r="BT477" i="33"/>
  <c r="BS477" i="33"/>
  <c r="BR477" i="33"/>
  <c r="BQ477" i="33"/>
  <c r="BN477" i="33"/>
  <c r="BM477" i="33"/>
  <c r="BL477" i="33"/>
  <c r="BK477" i="33"/>
  <c r="BJ477" i="33"/>
  <c r="BG477" i="33"/>
  <c r="BF477" i="33"/>
  <c r="BE477" i="33"/>
  <c r="BD477" i="33"/>
  <c r="BC477" i="33"/>
  <c r="AZ477" i="33"/>
  <c r="AY477" i="33"/>
  <c r="AX477" i="33"/>
  <c r="AW477" i="33"/>
  <c r="AV477" i="33"/>
  <c r="AS477" i="33"/>
  <c r="AR477" i="33"/>
  <c r="AQ477" i="33"/>
  <c r="AP477" i="33"/>
  <c r="AO477" i="33"/>
  <c r="AL477" i="33"/>
  <c r="AK477" i="33"/>
  <c r="AJ477" i="33"/>
  <c r="AI477" i="33"/>
  <c r="AH477" i="33"/>
  <c r="AE477" i="33"/>
  <c r="AD477" i="33"/>
  <c r="AC477" i="33"/>
  <c r="AB477" i="33"/>
  <c r="AA477" i="33"/>
  <c r="X477" i="33"/>
  <c r="W477" i="33"/>
  <c r="V477" i="33"/>
  <c r="U477" i="33"/>
  <c r="T477" i="33"/>
  <c r="Q477" i="33"/>
  <c r="P477" i="33"/>
  <c r="O477" i="33"/>
  <c r="N477" i="33"/>
  <c r="M477" i="33"/>
  <c r="DE476" i="33"/>
  <c r="CX476" i="33"/>
  <c r="CC476" i="33"/>
  <c r="BV476" i="33"/>
  <c r="BO476" i="33"/>
  <c r="BH476" i="33"/>
  <c r="BA476" i="33"/>
  <c r="AT476" i="33"/>
  <c r="AM476" i="33"/>
  <c r="AF476" i="33"/>
  <c r="Y476" i="33"/>
  <c r="Y477" i="33" s="1"/>
  <c r="R476" i="33"/>
  <c r="DE475" i="33"/>
  <c r="CX475" i="33"/>
  <c r="CC475" i="33"/>
  <c r="BV475" i="33"/>
  <c r="BO475" i="33"/>
  <c r="BH475" i="33"/>
  <c r="BA475" i="33"/>
  <c r="AT475" i="33"/>
  <c r="AM475" i="33"/>
  <c r="AF475" i="33"/>
  <c r="AF477" i="33" s="1"/>
  <c r="Y475" i="33"/>
  <c r="R475" i="33"/>
  <c r="DE474" i="33"/>
  <c r="CX474" i="33"/>
  <c r="CX477" i="33" s="1"/>
  <c r="CC474" i="33"/>
  <c r="BV474" i="33"/>
  <c r="BO474" i="33"/>
  <c r="BH474" i="33"/>
  <c r="BA474" i="33"/>
  <c r="AT474" i="33"/>
  <c r="AM474" i="33"/>
  <c r="AF474" i="33"/>
  <c r="Y474" i="33"/>
  <c r="R474" i="33"/>
  <c r="DE473" i="33"/>
  <c r="DE477" i="33" s="1"/>
  <c r="CX473" i="33"/>
  <c r="CC473" i="33"/>
  <c r="BV473" i="33"/>
  <c r="BV477" i="33" s="1"/>
  <c r="BO473" i="33"/>
  <c r="BH473" i="33"/>
  <c r="BA473" i="33"/>
  <c r="BA477" i="33" s="1"/>
  <c r="AT473" i="33"/>
  <c r="AM473" i="33"/>
  <c r="AF473" i="33"/>
  <c r="Y473" i="33"/>
  <c r="R473" i="33"/>
  <c r="R477" i="33" s="1"/>
  <c r="DD471" i="33"/>
  <c r="DC471" i="33"/>
  <c r="DB471" i="33"/>
  <c r="DA471" i="33"/>
  <c r="CZ471" i="33"/>
  <c r="CW471" i="33"/>
  <c r="CV471" i="33"/>
  <c r="CU471" i="33"/>
  <c r="CT471" i="33"/>
  <c r="CS471" i="33"/>
  <c r="CP471" i="33"/>
  <c r="CO471" i="33"/>
  <c r="CN471" i="33"/>
  <c r="CM471" i="33"/>
  <c r="CL471" i="33"/>
  <c r="CB471" i="33"/>
  <c r="CA471" i="33"/>
  <c r="BZ471" i="33"/>
  <c r="BY471" i="33"/>
  <c r="BX471" i="33"/>
  <c r="BU471" i="33"/>
  <c r="BT471" i="33"/>
  <c r="BS471" i="33"/>
  <c r="BR471" i="33"/>
  <c r="BQ471" i="33"/>
  <c r="BN471" i="33"/>
  <c r="BM471" i="33"/>
  <c r="BL471" i="33"/>
  <c r="BK471" i="33"/>
  <c r="BJ471" i="33"/>
  <c r="BG471" i="33"/>
  <c r="BF471" i="33"/>
  <c r="BE471" i="33"/>
  <c r="BD471" i="33"/>
  <c r="BC471" i="33"/>
  <c r="AZ471" i="33"/>
  <c r="AY471" i="33"/>
  <c r="AX471" i="33"/>
  <c r="AW471" i="33"/>
  <c r="AV471" i="33"/>
  <c r="AT471" i="33"/>
  <c r="AS471" i="33"/>
  <c r="AR471" i="33"/>
  <c r="AQ471" i="33"/>
  <c r="AP471" i="33"/>
  <c r="AO471" i="33"/>
  <c r="AL471" i="33"/>
  <c r="AK471" i="33"/>
  <c r="AJ471" i="33"/>
  <c r="AI471" i="33"/>
  <c r="AH471" i="33"/>
  <c r="AE471" i="33"/>
  <c r="AD471" i="33"/>
  <c r="AC471" i="33"/>
  <c r="AB471" i="33"/>
  <c r="AA471" i="33"/>
  <c r="X471" i="33"/>
  <c r="W471" i="33"/>
  <c r="V471" i="33"/>
  <c r="U471" i="33"/>
  <c r="T471" i="33"/>
  <c r="Q471" i="33"/>
  <c r="P471" i="33"/>
  <c r="O471" i="33"/>
  <c r="N471" i="33"/>
  <c r="M471" i="33"/>
  <c r="DE470" i="33"/>
  <c r="CX470" i="33"/>
  <c r="CC470" i="33"/>
  <c r="BV470" i="33"/>
  <c r="BO470" i="33"/>
  <c r="BH470" i="33"/>
  <c r="BA470" i="33"/>
  <c r="AT470" i="33"/>
  <c r="AM470" i="33"/>
  <c r="AF470" i="33"/>
  <c r="Y470" i="33"/>
  <c r="R470" i="33"/>
  <c r="DE469" i="33"/>
  <c r="CX469" i="33"/>
  <c r="CC469" i="33"/>
  <c r="BV469" i="33"/>
  <c r="BO469" i="33"/>
  <c r="BH469" i="33"/>
  <c r="BA469" i="33"/>
  <c r="AT469" i="33"/>
  <c r="AM469" i="33"/>
  <c r="AF469" i="33"/>
  <c r="Y469" i="33"/>
  <c r="R469" i="33"/>
  <c r="G469" i="33"/>
  <c r="CF469" i="33" s="1"/>
  <c r="G475" i="33" s="1"/>
  <c r="CF475" i="33" s="1"/>
  <c r="G481" i="33" s="1"/>
  <c r="CF481" i="33" s="1"/>
  <c r="DE468" i="33"/>
  <c r="CX468" i="33"/>
  <c r="CC468" i="33"/>
  <c r="CC471" i="33" s="1"/>
  <c r="BV468" i="33"/>
  <c r="BO468" i="33"/>
  <c r="BH468" i="33"/>
  <c r="BH471" i="33" s="1"/>
  <c r="BA468" i="33"/>
  <c r="AT468" i="33"/>
  <c r="AM468" i="33"/>
  <c r="AF468" i="33"/>
  <c r="Y468" i="33"/>
  <c r="R468" i="33"/>
  <c r="J468" i="33"/>
  <c r="CI468" i="33" s="1"/>
  <c r="J474" i="33" s="1"/>
  <c r="CI474" i="33" s="1"/>
  <c r="J480" i="33" s="1"/>
  <c r="CI480" i="33" s="1"/>
  <c r="DE467" i="33"/>
  <c r="CX467" i="33"/>
  <c r="CC467" i="33"/>
  <c r="BV467" i="33"/>
  <c r="BO467" i="33"/>
  <c r="BH467" i="33"/>
  <c r="BA467" i="33"/>
  <c r="BA471" i="33" s="1"/>
  <c r="AT467" i="33"/>
  <c r="AM467" i="33"/>
  <c r="AM471" i="33" s="1"/>
  <c r="AF467" i="33"/>
  <c r="AF471" i="33" s="1"/>
  <c r="Y467" i="33"/>
  <c r="Y471" i="33" s="1"/>
  <c r="R467" i="33"/>
  <c r="R471" i="33" s="1"/>
  <c r="DD465" i="33"/>
  <c r="DC465" i="33"/>
  <c r="DB465" i="33"/>
  <c r="DA465" i="33"/>
  <c r="CZ465" i="33"/>
  <c r="CW465" i="33"/>
  <c r="CV465" i="33"/>
  <c r="CU465" i="33"/>
  <c r="CT465" i="33"/>
  <c r="CS465" i="33"/>
  <c r="CP465" i="33"/>
  <c r="CO465" i="33"/>
  <c r="CN465" i="33"/>
  <c r="CM465" i="33"/>
  <c r="CL465" i="33"/>
  <c r="CB465" i="33"/>
  <c r="CA465" i="33"/>
  <c r="BZ465" i="33"/>
  <c r="BY465" i="33"/>
  <c r="BX465" i="33"/>
  <c r="BU465" i="33"/>
  <c r="BT465" i="33"/>
  <c r="BS465" i="33"/>
  <c r="BR465" i="33"/>
  <c r="BQ465" i="33"/>
  <c r="BN465" i="33"/>
  <c r="BM465" i="33"/>
  <c r="BL465" i="33"/>
  <c r="BK465" i="33"/>
  <c r="BJ465" i="33"/>
  <c r="BG465" i="33"/>
  <c r="BF465" i="33"/>
  <c r="BE465" i="33"/>
  <c r="BD465" i="33"/>
  <c r="BC465" i="33"/>
  <c r="AZ465" i="33"/>
  <c r="AY465" i="33"/>
  <c r="AX465" i="33"/>
  <c r="AW465" i="33"/>
  <c r="AV465" i="33"/>
  <c r="AS465" i="33"/>
  <c r="AR465" i="33"/>
  <c r="AQ465" i="33"/>
  <c r="AP465" i="33"/>
  <c r="AO465" i="33"/>
  <c r="AL465" i="33"/>
  <c r="AK465" i="33"/>
  <c r="AJ465" i="33"/>
  <c r="AI465" i="33"/>
  <c r="AH465" i="33"/>
  <c r="AE465" i="33"/>
  <c r="AD465" i="33"/>
  <c r="AC465" i="33"/>
  <c r="AB465" i="33"/>
  <c r="AA465" i="33"/>
  <c r="Y465" i="33"/>
  <c r="X465" i="33"/>
  <c r="W465" i="33"/>
  <c r="V465" i="33"/>
  <c r="U465" i="33"/>
  <c r="T465" i="33"/>
  <c r="Q465" i="33"/>
  <c r="P465" i="33"/>
  <c r="O465" i="33"/>
  <c r="N465" i="33"/>
  <c r="M465" i="33"/>
  <c r="DE464" i="33"/>
  <c r="DE465" i="33" s="1"/>
  <c r="CX464" i="33"/>
  <c r="CC464" i="33"/>
  <c r="BV464" i="33"/>
  <c r="BO464" i="33"/>
  <c r="BH464" i="33"/>
  <c r="BA464" i="33"/>
  <c r="AT464" i="33"/>
  <c r="AM464" i="33"/>
  <c r="AF464" i="33"/>
  <c r="Y464" i="33"/>
  <c r="R464" i="33"/>
  <c r="I464" i="33"/>
  <c r="CH464" i="33" s="1"/>
  <c r="I470" i="33" s="1"/>
  <c r="CH470" i="33" s="1"/>
  <c r="I476" i="33" s="1"/>
  <c r="CH476" i="33" s="1"/>
  <c r="I482" i="33" s="1"/>
  <c r="CH482" i="33" s="1"/>
  <c r="H464" i="33"/>
  <c r="CG464" i="33" s="1"/>
  <c r="H470" i="33" s="1"/>
  <c r="CG470" i="33" s="1"/>
  <c r="H476" i="33" s="1"/>
  <c r="CG476" i="33" s="1"/>
  <c r="H482" i="33" s="1"/>
  <c r="CG482" i="33" s="1"/>
  <c r="DE463" i="33"/>
  <c r="CX463" i="33"/>
  <c r="CI463" i="33"/>
  <c r="J469" i="33" s="1"/>
  <c r="CI469" i="33" s="1"/>
  <c r="J475" i="33" s="1"/>
  <c r="CI475" i="33" s="1"/>
  <c r="J481" i="33" s="1"/>
  <c r="CI481" i="33" s="1"/>
  <c r="CC463" i="33"/>
  <c r="BV463" i="33"/>
  <c r="BO463" i="33"/>
  <c r="BH463" i="33"/>
  <c r="BH465" i="33" s="1"/>
  <c r="BA463" i="33"/>
  <c r="BA465" i="33" s="1"/>
  <c r="AT463" i="33"/>
  <c r="AM463" i="33"/>
  <c r="AF463" i="33"/>
  <c r="Y463" i="33"/>
  <c r="R463" i="33"/>
  <c r="H463" i="33"/>
  <c r="CG463" i="33" s="1"/>
  <c r="H469" i="33" s="1"/>
  <c r="CG469" i="33" s="1"/>
  <c r="H475" i="33" s="1"/>
  <c r="CG475" i="33" s="1"/>
  <c r="H481" i="33" s="1"/>
  <c r="CG481" i="33" s="1"/>
  <c r="DE462" i="33"/>
  <c r="CX462" i="33"/>
  <c r="CH462" i="33"/>
  <c r="I468" i="33" s="1"/>
  <c r="CH468" i="33" s="1"/>
  <c r="I474" i="33" s="1"/>
  <c r="CH474" i="33" s="1"/>
  <c r="I480" i="33" s="1"/>
  <c r="CH480" i="33" s="1"/>
  <c r="CG462" i="33"/>
  <c r="H468" i="33" s="1"/>
  <c r="CG468" i="33" s="1"/>
  <c r="H474" i="33" s="1"/>
  <c r="CG474" i="33" s="1"/>
  <c r="H480" i="33" s="1"/>
  <c r="CG480" i="33" s="1"/>
  <c r="CC462" i="33"/>
  <c r="BV462" i="33"/>
  <c r="BO462" i="33"/>
  <c r="BH462" i="33"/>
  <c r="BA462" i="33"/>
  <c r="AT462" i="33"/>
  <c r="AT465" i="33" s="1"/>
  <c r="AM462" i="33"/>
  <c r="AF462" i="33"/>
  <c r="Y462" i="33"/>
  <c r="R462" i="33"/>
  <c r="I462" i="33"/>
  <c r="H462" i="33"/>
  <c r="G462" i="33"/>
  <c r="CF462" i="33" s="1"/>
  <c r="G468" i="33" s="1"/>
  <c r="CF468" i="33" s="1"/>
  <c r="G474" i="33" s="1"/>
  <c r="CF474" i="33" s="1"/>
  <c r="G480" i="33" s="1"/>
  <c r="CF480" i="33" s="1"/>
  <c r="DE461" i="33"/>
  <c r="CX461" i="33"/>
  <c r="CX465" i="33" s="1"/>
  <c r="CC461" i="33"/>
  <c r="CC465" i="33" s="1"/>
  <c r="BV461" i="33"/>
  <c r="BV465" i="33" s="1"/>
  <c r="BO461" i="33"/>
  <c r="BO465" i="33" s="1"/>
  <c r="BH461" i="33"/>
  <c r="BA461" i="33"/>
  <c r="AT461" i="33"/>
  <c r="AM461" i="33"/>
  <c r="AF461" i="33"/>
  <c r="AF465" i="33" s="1"/>
  <c r="Y461" i="33"/>
  <c r="R461" i="33"/>
  <c r="R465" i="33" s="1"/>
  <c r="H461" i="33"/>
  <c r="DD459" i="33"/>
  <c r="DC459" i="33"/>
  <c r="DB459" i="33"/>
  <c r="DA459" i="33"/>
  <c r="CZ459" i="33"/>
  <c r="CW459" i="33"/>
  <c r="CV459" i="33"/>
  <c r="CU459" i="33"/>
  <c r="CT459" i="33"/>
  <c r="CS459" i="33"/>
  <c r="CP459" i="33"/>
  <c r="CO459" i="33"/>
  <c r="CN459" i="33"/>
  <c r="CM459" i="33"/>
  <c r="CL459" i="33"/>
  <c r="CG459" i="33"/>
  <c r="CB459" i="33"/>
  <c r="CA459" i="33"/>
  <c r="BZ459" i="33"/>
  <c r="BY459" i="33"/>
  <c r="BX459" i="33"/>
  <c r="BV459" i="33"/>
  <c r="BU459" i="33"/>
  <c r="BT459" i="33"/>
  <c r="BS459" i="33"/>
  <c r="BR459" i="33"/>
  <c r="BQ459" i="33"/>
  <c r="BN459" i="33"/>
  <c r="BM459" i="33"/>
  <c r="BL459" i="33"/>
  <c r="BK459" i="33"/>
  <c r="BJ459" i="33"/>
  <c r="BH459" i="33"/>
  <c r="BG459" i="33"/>
  <c r="BF459" i="33"/>
  <c r="BE459" i="33"/>
  <c r="BD459" i="33"/>
  <c r="BC459" i="33"/>
  <c r="AZ459" i="33"/>
  <c r="AY459" i="33"/>
  <c r="AX459" i="33"/>
  <c r="AW459" i="33"/>
  <c r="AV459" i="33"/>
  <c r="AS459" i="33"/>
  <c r="AR459" i="33"/>
  <c r="AQ459" i="33"/>
  <c r="AP459" i="33"/>
  <c r="AO459" i="33"/>
  <c r="AL459" i="33"/>
  <c r="AK459" i="33"/>
  <c r="AJ459" i="33"/>
  <c r="AI459" i="33"/>
  <c r="AH459" i="33"/>
  <c r="AF459" i="33"/>
  <c r="AE459" i="33"/>
  <c r="AD459" i="33"/>
  <c r="AC459" i="33"/>
  <c r="AB459" i="33"/>
  <c r="AA459" i="33"/>
  <c r="X459" i="33"/>
  <c r="W459" i="33"/>
  <c r="V459" i="33"/>
  <c r="U459" i="33"/>
  <c r="T459" i="33"/>
  <c r="Q459" i="33"/>
  <c r="P459" i="33"/>
  <c r="O459" i="33"/>
  <c r="N459" i="33"/>
  <c r="M459" i="33"/>
  <c r="J459" i="33"/>
  <c r="I459" i="33"/>
  <c r="H459" i="33"/>
  <c r="G459" i="33"/>
  <c r="F459" i="33"/>
  <c r="DE458" i="33"/>
  <c r="CX458" i="33"/>
  <c r="CI458" i="33"/>
  <c r="J464" i="33" s="1"/>
  <c r="CI464" i="33" s="1"/>
  <c r="J470" i="33" s="1"/>
  <c r="CI470" i="33" s="1"/>
  <c r="J476" i="33" s="1"/>
  <c r="CI476" i="33" s="1"/>
  <c r="J482" i="33" s="1"/>
  <c r="CI482" i="33" s="1"/>
  <c r="CH458" i="33"/>
  <c r="CG458" i="33"/>
  <c r="CF458" i="33"/>
  <c r="G464" i="33" s="1"/>
  <c r="CF464" i="33" s="1"/>
  <c r="G470" i="33" s="1"/>
  <c r="CF470" i="33" s="1"/>
  <c r="G476" i="33" s="1"/>
  <c r="CF476" i="33" s="1"/>
  <c r="G482" i="33" s="1"/>
  <c r="CF482" i="33" s="1"/>
  <c r="CE458" i="33"/>
  <c r="CJ458" i="33" s="1"/>
  <c r="CC458" i="33"/>
  <c r="BV458" i="33"/>
  <c r="BO458" i="33"/>
  <c r="BH458" i="33"/>
  <c r="BA458" i="33"/>
  <c r="AT458" i="33"/>
  <c r="AM458" i="33"/>
  <c r="AF458" i="33"/>
  <c r="Y458" i="33"/>
  <c r="R458" i="33"/>
  <c r="K458" i="33"/>
  <c r="DE457" i="33"/>
  <c r="CX457" i="33"/>
  <c r="CI457" i="33"/>
  <c r="J463" i="33" s="1"/>
  <c r="CH457" i="33"/>
  <c r="I463" i="33" s="1"/>
  <c r="CH463" i="33" s="1"/>
  <c r="I469" i="33" s="1"/>
  <c r="CH469" i="33" s="1"/>
  <c r="I475" i="33" s="1"/>
  <c r="CH475" i="33" s="1"/>
  <c r="I481" i="33" s="1"/>
  <c r="CH481" i="33" s="1"/>
  <c r="CG457" i="33"/>
  <c r="CF457" i="33"/>
  <c r="G463" i="33" s="1"/>
  <c r="CF463" i="33" s="1"/>
  <c r="CE457" i="33"/>
  <c r="F463" i="33" s="1"/>
  <c r="CC457" i="33"/>
  <c r="BV457" i="33"/>
  <c r="BO457" i="33"/>
  <c r="BH457" i="33"/>
  <c r="BA457" i="33"/>
  <c r="AT457" i="33"/>
  <c r="AM457" i="33"/>
  <c r="AF457" i="33"/>
  <c r="Y457" i="33"/>
  <c r="R457" i="33"/>
  <c r="K457" i="33"/>
  <c r="DE456" i="33"/>
  <c r="CX456" i="33"/>
  <c r="CI456" i="33"/>
  <c r="J462" i="33" s="1"/>
  <c r="CI462" i="33" s="1"/>
  <c r="CH456" i="33"/>
  <c r="CG456" i="33"/>
  <c r="CF456" i="33"/>
  <c r="CE456" i="33"/>
  <c r="F462" i="33" s="1"/>
  <c r="CC456" i="33"/>
  <c r="CC459" i="33" s="1"/>
  <c r="BV456" i="33"/>
  <c r="BO456" i="33"/>
  <c r="BH456" i="33"/>
  <c r="BA456" i="33"/>
  <c r="AT456" i="33"/>
  <c r="AT459" i="33" s="1"/>
  <c r="AM456" i="33"/>
  <c r="AF456" i="33"/>
  <c r="Y456" i="33"/>
  <c r="R456" i="33"/>
  <c r="K456" i="33"/>
  <c r="DE455" i="33"/>
  <c r="DE459" i="33" s="1"/>
  <c r="CX455" i="33"/>
  <c r="CI455" i="33"/>
  <c r="CH455" i="33"/>
  <c r="CG455" i="33"/>
  <c r="CF455" i="33"/>
  <c r="CE455" i="33"/>
  <c r="F461" i="33" s="1"/>
  <c r="CC455" i="33"/>
  <c r="BV455" i="33"/>
  <c r="BO455" i="33"/>
  <c r="BH455" i="33"/>
  <c r="BA455" i="33"/>
  <c r="AT455" i="33"/>
  <c r="AM455" i="33"/>
  <c r="AM459" i="33" s="1"/>
  <c r="AF455" i="33"/>
  <c r="Y455" i="33"/>
  <c r="R455" i="33"/>
  <c r="R459" i="33" s="1"/>
  <c r="K455" i="33"/>
  <c r="DE451" i="33"/>
  <c r="DD451" i="33"/>
  <c r="DC451" i="33"/>
  <c r="DB451" i="33"/>
  <c r="DA451" i="33"/>
  <c r="CZ451" i="33"/>
  <c r="CW451" i="33"/>
  <c r="CV451" i="33"/>
  <c r="CU451" i="33"/>
  <c r="CT451" i="33"/>
  <c r="CS451" i="33"/>
  <c r="CP451" i="33"/>
  <c r="CO451" i="33"/>
  <c r="CN451" i="33"/>
  <c r="CM451" i="33"/>
  <c r="CL451" i="33"/>
  <c r="CB451" i="33"/>
  <c r="CA451" i="33"/>
  <c r="BZ451" i="33"/>
  <c r="BY451" i="33"/>
  <c r="BX451" i="33"/>
  <c r="BU451" i="33"/>
  <c r="BT451" i="33"/>
  <c r="BS451" i="33"/>
  <c r="BR451" i="33"/>
  <c r="BQ451" i="33"/>
  <c r="BN451" i="33"/>
  <c r="BM451" i="33"/>
  <c r="BL451" i="33"/>
  <c r="BK451" i="33"/>
  <c r="BJ451" i="33"/>
  <c r="BG451" i="33"/>
  <c r="BF451" i="33"/>
  <c r="BE451" i="33"/>
  <c r="BD451" i="33"/>
  <c r="BC451" i="33"/>
  <c r="AZ451" i="33"/>
  <c r="AY451" i="33"/>
  <c r="AX451" i="33"/>
  <c r="AW451" i="33"/>
  <c r="AV451" i="33"/>
  <c r="AS451" i="33"/>
  <c r="AR451" i="33"/>
  <c r="AQ451" i="33"/>
  <c r="AP451" i="33"/>
  <c r="AO451" i="33"/>
  <c r="AL451" i="33"/>
  <c r="AK451" i="33"/>
  <c r="AJ451" i="33"/>
  <c r="AI451" i="33"/>
  <c r="AH451" i="33"/>
  <c r="AE451" i="33"/>
  <c r="AD451" i="33"/>
  <c r="AC451" i="33"/>
  <c r="AB451" i="33"/>
  <c r="AA451" i="33"/>
  <c r="X451" i="33"/>
  <c r="W451" i="33"/>
  <c r="V451" i="33"/>
  <c r="U451" i="33"/>
  <c r="T451" i="33"/>
  <c r="Q451" i="33"/>
  <c r="P451" i="33"/>
  <c r="O451" i="33"/>
  <c r="N451" i="33"/>
  <c r="M451" i="33"/>
  <c r="DE450" i="33"/>
  <c r="CX450" i="33"/>
  <c r="CC450" i="33"/>
  <c r="BV450" i="33"/>
  <c r="BO450" i="33"/>
  <c r="BH450" i="33"/>
  <c r="BA450" i="33"/>
  <c r="AT450" i="33"/>
  <c r="AM450" i="33"/>
  <c r="V19" i="40" s="1"/>
  <c r="AF450" i="33"/>
  <c r="Y450" i="33"/>
  <c r="R450" i="33"/>
  <c r="DE449" i="33"/>
  <c r="CX449" i="33"/>
  <c r="CC449" i="33"/>
  <c r="BV449" i="33"/>
  <c r="BO449" i="33"/>
  <c r="BH449" i="33"/>
  <c r="BA449" i="33"/>
  <c r="AT449" i="33"/>
  <c r="AM449" i="33"/>
  <c r="AF449" i="33"/>
  <c r="Y449" i="33"/>
  <c r="R449" i="33"/>
  <c r="DE448" i="33"/>
  <c r="CX448" i="33"/>
  <c r="CX451" i="33" s="1"/>
  <c r="CC448" i="33"/>
  <c r="CC451" i="33" s="1"/>
  <c r="BV448" i="33"/>
  <c r="BO448" i="33"/>
  <c r="BH448" i="33"/>
  <c r="BA448" i="33"/>
  <c r="AT448" i="33"/>
  <c r="AM448" i="33"/>
  <c r="AF448" i="33"/>
  <c r="Y448" i="33"/>
  <c r="R448" i="33"/>
  <c r="DE447" i="33"/>
  <c r="CX447" i="33"/>
  <c r="CC447" i="33"/>
  <c r="BV447" i="33"/>
  <c r="BO447" i="33"/>
  <c r="BO451" i="33" s="1"/>
  <c r="BH447" i="33"/>
  <c r="BH451" i="33" s="1"/>
  <c r="BA447" i="33"/>
  <c r="BA451" i="33" s="1"/>
  <c r="AT447" i="33"/>
  <c r="AM447" i="33"/>
  <c r="AM451" i="33" s="1"/>
  <c r="AF447" i="33"/>
  <c r="AF451" i="33" s="1"/>
  <c r="Y447" i="33"/>
  <c r="R447" i="33"/>
  <c r="DD445" i="33"/>
  <c r="DC445" i="33"/>
  <c r="DB445" i="33"/>
  <c r="DA445" i="33"/>
  <c r="CZ445" i="33"/>
  <c r="CX445" i="33"/>
  <c r="CW445" i="33"/>
  <c r="CV445" i="33"/>
  <c r="CU445" i="33"/>
  <c r="CT445" i="33"/>
  <c r="CS445" i="33"/>
  <c r="CP445" i="33"/>
  <c r="CO445" i="33"/>
  <c r="CN445" i="33"/>
  <c r="CM445" i="33"/>
  <c r="CL445" i="33"/>
  <c r="CB445" i="33"/>
  <c r="CA445" i="33"/>
  <c r="BZ445" i="33"/>
  <c r="BY445" i="33"/>
  <c r="BX445" i="33"/>
  <c r="BU445" i="33"/>
  <c r="BT445" i="33"/>
  <c r="BS445" i="33"/>
  <c r="BR445" i="33"/>
  <c r="BQ445" i="33"/>
  <c r="BN445" i="33"/>
  <c r="BM445" i="33"/>
  <c r="BL445" i="33"/>
  <c r="BK445" i="33"/>
  <c r="BJ445" i="33"/>
  <c r="BG445" i="33"/>
  <c r="BF445" i="33"/>
  <c r="BE445" i="33"/>
  <c r="BD445" i="33"/>
  <c r="BC445" i="33"/>
  <c r="BA445" i="33"/>
  <c r="AZ445" i="33"/>
  <c r="AY445" i="33"/>
  <c r="AX445" i="33"/>
  <c r="AW445" i="33"/>
  <c r="AV445" i="33"/>
  <c r="AS445" i="33"/>
  <c r="AR445" i="33"/>
  <c r="AQ445" i="33"/>
  <c r="AP445" i="33"/>
  <c r="AO445" i="33"/>
  <c r="AL445" i="33"/>
  <c r="AK445" i="33"/>
  <c r="AJ445" i="33"/>
  <c r="AI445" i="33"/>
  <c r="AH445" i="33"/>
  <c r="AF445" i="33"/>
  <c r="AE445" i="33"/>
  <c r="AD445" i="33"/>
  <c r="AC445" i="33"/>
  <c r="AB445" i="33"/>
  <c r="AA445" i="33"/>
  <c r="X445" i="33"/>
  <c r="W445" i="33"/>
  <c r="V445" i="33"/>
  <c r="U445" i="33"/>
  <c r="T445" i="33"/>
  <c r="Q445" i="33"/>
  <c r="P445" i="33"/>
  <c r="O445" i="33"/>
  <c r="N445" i="33"/>
  <c r="M445" i="33"/>
  <c r="DE444" i="33"/>
  <c r="CX444" i="33"/>
  <c r="CC444" i="33"/>
  <c r="BV444" i="33"/>
  <c r="BO444" i="33"/>
  <c r="BH444" i="33"/>
  <c r="BA444" i="33"/>
  <c r="AT444" i="33"/>
  <c r="AM444" i="33"/>
  <c r="AF444" i="33"/>
  <c r="Y444" i="33"/>
  <c r="R444" i="33"/>
  <c r="DE443" i="33"/>
  <c r="CX443" i="33"/>
  <c r="CC443" i="33"/>
  <c r="BV443" i="33"/>
  <c r="BO443" i="33"/>
  <c r="BH443" i="33"/>
  <c r="BA443" i="33"/>
  <c r="AT443" i="33"/>
  <c r="AM443" i="33"/>
  <c r="AF443" i="33"/>
  <c r="Y443" i="33"/>
  <c r="R443" i="33"/>
  <c r="DE442" i="33"/>
  <c r="CX442" i="33"/>
  <c r="CC442" i="33"/>
  <c r="BV442" i="33"/>
  <c r="BO442" i="33"/>
  <c r="BH442" i="33"/>
  <c r="BH445" i="33" s="1"/>
  <c r="BA442" i="33"/>
  <c r="AT442" i="33"/>
  <c r="AM442" i="33"/>
  <c r="AF442" i="33"/>
  <c r="Y442" i="33"/>
  <c r="R442" i="33"/>
  <c r="DE441" i="33"/>
  <c r="DE445" i="33" s="1"/>
  <c r="CX441" i="33"/>
  <c r="CC441" i="33"/>
  <c r="CC445" i="33" s="1"/>
  <c r="BV441" i="33"/>
  <c r="BV445" i="33" s="1"/>
  <c r="BO441" i="33"/>
  <c r="BO445" i="33" s="1"/>
  <c r="BH441" i="33"/>
  <c r="BA441" i="33"/>
  <c r="AT441" i="33"/>
  <c r="AM441" i="33"/>
  <c r="AM445" i="33" s="1"/>
  <c r="AF441" i="33"/>
  <c r="Y441" i="33"/>
  <c r="R441" i="33"/>
  <c r="R445" i="33" s="1"/>
  <c r="DD439" i="33"/>
  <c r="DC439" i="33"/>
  <c r="DB439" i="33"/>
  <c r="DA439" i="33"/>
  <c r="CZ439" i="33"/>
  <c r="CW439" i="33"/>
  <c r="CV439" i="33"/>
  <c r="CU439" i="33"/>
  <c r="CT439" i="33"/>
  <c r="CS439" i="33"/>
  <c r="CP439" i="33"/>
  <c r="CO439" i="33"/>
  <c r="CN439" i="33"/>
  <c r="CM439" i="33"/>
  <c r="CL439" i="33"/>
  <c r="CB439" i="33"/>
  <c r="CA439" i="33"/>
  <c r="BZ439" i="33"/>
  <c r="BY439" i="33"/>
  <c r="BX439" i="33"/>
  <c r="BV439" i="33"/>
  <c r="BU439" i="33"/>
  <c r="BT439" i="33"/>
  <c r="BS439" i="33"/>
  <c r="BR439" i="33"/>
  <c r="BQ439" i="33"/>
  <c r="BN439" i="33"/>
  <c r="BM439" i="33"/>
  <c r="BL439" i="33"/>
  <c r="BK439" i="33"/>
  <c r="BJ439" i="33"/>
  <c r="BH439" i="33"/>
  <c r="BG439" i="33"/>
  <c r="BF439" i="33"/>
  <c r="BE439" i="33"/>
  <c r="BD439" i="33"/>
  <c r="BC439" i="33"/>
  <c r="AZ439" i="33"/>
  <c r="AY439" i="33"/>
  <c r="AX439" i="33"/>
  <c r="AW439" i="33"/>
  <c r="AV439" i="33"/>
  <c r="AS439" i="33"/>
  <c r="AR439" i="33"/>
  <c r="AQ439" i="33"/>
  <c r="AP439" i="33"/>
  <c r="AO439" i="33"/>
  <c r="AM439" i="33"/>
  <c r="AL439" i="33"/>
  <c r="AK439" i="33"/>
  <c r="AJ439" i="33"/>
  <c r="AI439" i="33"/>
  <c r="AH439" i="33"/>
  <c r="AE439" i="33"/>
  <c r="AD439" i="33"/>
  <c r="AC439" i="33"/>
  <c r="AB439" i="33"/>
  <c r="AA439" i="33"/>
  <c r="X439" i="33"/>
  <c r="W439" i="33"/>
  <c r="V439" i="33"/>
  <c r="U439" i="33"/>
  <c r="T439" i="33"/>
  <c r="Q439" i="33"/>
  <c r="P439" i="33"/>
  <c r="O439" i="33"/>
  <c r="N439" i="33"/>
  <c r="M439" i="33"/>
  <c r="DE438" i="33"/>
  <c r="CX438" i="33"/>
  <c r="CC438" i="33"/>
  <c r="BV438" i="33"/>
  <c r="BO438" i="33"/>
  <c r="BH438" i="33"/>
  <c r="BA438" i="33"/>
  <c r="AT438" i="33"/>
  <c r="AM438" i="33"/>
  <c r="AF438" i="33"/>
  <c r="Y438" i="33"/>
  <c r="R438" i="33"/>
  <c r="DE437" i="33"/>
  <c r="CX437" i="33"/>
  <c r="CC437" i="33"/>
  <c r="BV437" i="33"/>
  <c r="BO437" i="33"/>
  <c r="BH437" i="33"/>
  <c r="BA437" i="33"/>
  <c r="AT437" i="33"/>
  <c r="AM437" i="33"/>
  <c r="AF437" i="33"/>
  <c r="Y437" i="33"/>
  <c r="R437" i="33"/>
  <c r="DE436" i="33"/>
  <c r="DE439" i="33" s="1"/>
  <c r="CX436" i="33"/>
  <c r="CC436" i="33"/>
  <c r="BV436" i="33"/>
  <c r="BO436" i="33"/>
  <c r="BH436" i="33"/>
  <c r="BA436" i="33"/>
  <c r="AT436" i="33"/>
  <c r="AM436" i="33"/>
  <c r="AF436" i="33"/>
  <c r="Y436" i="33"/>
  <c r="R436" i="33"/>
  <c r="R439" i="33" s="1"/>
  <c r="DE435" i="33"/>
  <c r="CX435" i="33"/>
  <c r="CX439" i="33" s="1"/>
  <c r="CC435" i="33"/>
  <c r="BV435" i="33"/>
  <c r="BO435" i="33"/>
  <c r="BH435" i="33"/>
  <c r="BA435" i="33"/>
  <c r="BA439" i="33" s="1"/>
  <c r="AT435" i="33"/>
  <c r="AT439" i="33" s="1"/>
  <c r="AM435" i="33"/>
  <c r="AF435" i="33"/>
  <c r="AF439" i="33" s="1"/>
  <c r="Y435" i="33"/>
  <c r="R435" i="33"/>
  <c r="DE433" i="33"/>
  <c r="DD433" i="33"/>
  <c r="DC433" i="33"/>
  <c r="DB433" i="33"/>
  <c r="DA433" i="33"/>
  <c r="CZ433" i="33"/>
  <c r="CX433" i="33"/>
  <c r="CW433" i="33"/>
  <c r="CV433" i="33"/>
  <c r="CU433" i="33"/>
  <c r="CT433" i="33"/>
  <c r="CS433" i="33"/>
  <c r="CP433" i="33"/>
  <c r="CO433" i="33"/>
  <c r="CN433" i="33"/>
  <c r="CM433" i="33"/>
  <c r="CL433" i="33"/>
  <c r="CC433" i="33"/>
  <c r="CB433" i="33"/>
  <c r="CA433" i="33"/>
  <c r="BZ433" i="33"/>
  <c r="BY433" i="33"/>
  <c r="BX433" i="33"/>
  <c r="BV433" i="33"/>
  <c r="BU433" i="33"/>
  <c r="BT433" i="33"/>
  <c r="BS433" i="33"/>
  <c r="BR433" i="33"/>
  <c r="BQ433" i="33"/>
  <c r="BN433" i="33"/>
  <c r="BM433" i="33"/>
  <c r="BL433" i="33"/>
  <c r="BK433" i="33"/>
  <c r="BJ433" i="33"/>
  <c r="BG433" i="33"/>
  <c r="BF433" i="33"/>
  <c r="BE433" i="33"/>
  <c r="BD433" i="33"/>
  <c r="BC433" i="33"/>
  <c r="AZ433" i="33"/>
  <c r="AY433" i="33"/>
  <c r="AX433" i="33"/>
  <c r="AW433" i="33"/>
  <c r="AV433" i="33"/>
  <c r="AS433" i="33"/>
  <c r="AR433" i="33"/>
  <c r="AQ433" i="33"/>
  <c r="AP433" i="33"/>
  <c r="AO433" i="33"/>
  <c r="AL433" i="33"/>
  <c r="AK433" i="33"/>
  <c r="AJ433" i="33"/>
  <c r="AI433" i="33"/>
  <c r="AH433" i="33"/>
  <c r="AE433" i="33"/>
  <c r="AD433" i="33"/>
  <c r="AC433" i="33"/>
  <c r="AB433" i="33"/>
  <c r="AA433" i="33"/>
  <c r="Y433" i="33"/>
  <c r="X433" i="33"/>
  <c r="W433" i="33"/>
  <c r="V433" i="33"/>
  <c r="U433" i="33"/>
  <c r="T433" i="33"/>
  <c r="R433" i="33"/>
  <c r="Q433" i="33"/>
  <c r="P433" i="33"/>
  <c r="O433" i="33"/>
  <c r="N433" i="33"/>
  <c r="M433" i="33"/>
  <c r="DE432" i="33"/>
  <c r="CX432" i="33"/>
  <c r="CC432" i="33"/>
  <c r="BV432" i="33"/>
  <c r="BO432" i="33"/>
  <c r="BH432" i="33"/>
  <c r="BA432" i="33"/>
  <c r="AT432" i="33"/>
  <c r="AM432" i="33"/>
  <c r="AF432" i="33"/>
  <c r="Y432" i="33"/>
  <c r="R432" i="33"/>
  <c r="H432" i="33"/>
  <c r="CG432" i="33" s="1"/>
  <c r="H438" i="33" s="1"/>
  <c r="CG438" i="33" s="1"/>
  <c r="H444" i="33" s="1"/>
  <c r="CG444" i="33" s="1"/>
  <c r="H450" i="33" s="1"/>
  <c r="CG450" i="33" s="1"/>
  <c r="G432" i="33"/>
  <c r="CF432" i="33" s="1"/>
  <c r="G438" i="33" s="1"/>
  <c r="CF438" i="33" s="1"/>
  <c r="G444" i="33" s="1"/>
  <c r="CF444" i="33" s="1"/>
  <c r="G450" i="33" s="1"/>
  <c r="CF450" i="33" s="1"/>
  <c r="F432" i="33"/>
  <c r="CE432" i="33" s="1"/>
  <c r="DE431" i="33"/>
  <c r="CX431" i="33"/>
  <c r="CH431" i="33"/>
  <c r="I437" i="33" s="1"/>
  <c r="CH437" i="33" s="1"/>
  <c r="I443" i="33" s="1"/>
  <c r="CH443" i="33" s="1"/>
  <c r="I449" i="33" s="1"/>
  <c r="CH449" i="33" s="1"/>
  <c r="CG431" i="33"/>
  <c r="H437" i="33" s="1"/>
  <c r="CG437" i="33" s="1"/>
  <c r="H443" i="33" s="1"/>
  <c r="CG443" i="33" s="1"/>
  <c r="H449" i="33" s="1"/>
  <c r="CG449" i="33" s="1"/>
  <c r="CC431" i="33"/>
  <c r="BV431" i="33"/>
  <c r="BO431" i="33"/>
  <c r="BH431" i="33"/>
  <c r="BA431" i="33"/>
  <c r="AT431" i="33"/>
  <c r="AM431" i="33"/>
  <c r="AF431" i="33"/>
  <c r="Y431" i="33"/>
  <c r="R431" i="33"/>
  <c r="J431" i="33"/>
  <c r="CI431" i="33" s="1"/>
  <c r="J437" i="33" s="1"/>
  <c r="CI437" i="33" s="1"/>
  <c r="J443" i="33" s="1"/>
  <c r="CI443" i="33" s="1"/>
  <c r="J449" i="33" s="1"/>
  <c r="CI449" i="33" s="1"/>
  <c r="I431" i="33"/>
  <c r="H431" i="33"/>
  <c r="G431" i="33"/>
  <c r="CF431" i="33" s="1"/>
  <c r="G437" i="33" s="1"/>
  <c r="CF437" i="33" s="1"/>
  <c r="G443" i="33" s="1"/>
  <c r="CF443" i="33" s="1"/>
  <c r="G449" i="33" s="1"/>
  <c r="CF449" i="33" s="1"/>
  <c r="DE430" i="33"/>
  <c r="CX430" i="33"/>
  <c r="CC430" i="33"/>
  <c r="BV430" i="33"/>
  <c r="BO430" i="33"/>
  <c r="BH430" i="33"/>
  <c r="BA430" i="33"/>
  <c r="AT430" i="33"/>
  <c r="AT433" i="33" s="1"/>
  <c r="AM430" i="33"/>
  <c r="AF430" i="33"/>
  <c r="Y430" i="33"/>
  <c r="R430" i="33"/>
  <c r="J430" i="33"/>
  <c r="CI430" i="33" s="1"/>
  <c r="J436" i="33" s="1"/>
  <c r="CI436" i="33" s="1"/>
  <c r="J442" i="33" s="1"/>
  <c r="CI442" i="33" s="1"/>
  <c r="J448" i="33" s="1"/>
  <c r="CI448" i="33" s="1"/>
  <c r="I430" i="33"/>
  <c r="CH430" i="33" s="1"/>
  <c r="I436" i="33" s="1"/>
  <c r="CH436" i="33" s="1"/>
  <c r="I442" i="33" s="1"/>
  <c r="CH442" i="33" s="1"/>
  <c r="I448" i="33" s="1"/>
  <c r="CH448" i="33" s="1"/>
  <c r="H430" i="33"/>
  <c r="CG430" i="33" s="1"/>
  <c r="H436" i="33" s="1"/>
  <c r="CG436" i="33" s="1"/>
  <c r="H442" i="33" s="1"/>
  <c r="CG442" i="33" s="1"/>
  <c r="H448" i="33" s="1"/>
  <c r="CG448" i="33" s="1"/>
  <c r="DE429" i="33"/>
  <c r="CX429" i="33"/>
  <c r="CH429" i="33"/>
  <c r="CG429" i="33"/>
  <c r="CC429" i="33"/>
  <c r="BV429" i="33"/>
  <c r="BO429" i="33"/>
  <c r="BO433" i="33" s="1"/>
  <c r="BH429" i="33"/>
  <c r="BH433" i="33" s="1"/>
  <c r="BA429" i="33"/>
  <c r="AT429" i="33"/>
  <c r="AM429" i="33"/>
  <c r="AM433" i="33" s="1"/>
  <c r="AF429" i="33"/>
  <c r="AF433" i="33" s="1"/>
  <c r="Y429" i="33"/>
  <c r="R429" i="33"/>
  <c r="I429" i="33"/>
  <c r="H429" i="33"/>
  <c r="H433" i="33" s="1"/>
  <c r="G429" i="33"/>
  <c r="G433" i="33" s="1"/>
  <c r="F429" i="33"/>
  <c r="DD427" i="33"/>
  <c r="DC427" i="33"/>
  <c r="DB427" i="33"/>
  <c r="DA427" i="33"/>
  <c r="CZ427" i="33"/>
  <c r="CW427" i="33"/>
  <c r="CV427" i="33"/>
  <c r="CU427" i="33"/>
  <c r="CT427" i="33"/>
  <c r="CS427" i="33"/>
  <c r="CP427" i="33"/>
  <c r="CO427" i="33"/>
  <c r="CN427" i="33"/>
  <c r="CM427" i="33"/>
  <c r="CL427" i="33"/>
  <c r="CF427" i="33"/>
  <c r="CB427" i="33"/>
  <c r="CA427" i="33"/>
  <c r="BZ427" i="33"/>
  <c r="BY427" i="33"/>
  <c r="BX427" i="33"/>
  <c r="BU427" i="33"/>
  <c r="BT427" i="33"/>
  <c r="BS427" i="33"/>
  <c r="BR427" i="33"/>
  <c r="BQ427" i="33"/>
  <c r="BN427" i="33"/>
  <c r="BM427" i="33"/>
  <c r="BL427" i="33"/>
  <c r="BK427" i="33"/>
  <c r="BJ427" i="33"/>
  <c r="BG427" i="33"/>
  <c r="BF427" i="33"/>
  <c r="BE427" i="33"/>
  <c r="BD427" i="33"/>
  <c r="BC427" i="33"/>
  <c r="AZ427" i="33"/>
  <c r="AY427" i="33"/>
  <c r="AX427" i="33"/>
  <c r="AW427" i="33"/>
  <c r="AV427" i="33"/>
  <c r="AS427" i="33"/>
  <c r="AR427" i="33"/>
  <c r="AQ427" i="33"/>
  <c r="AP427" i="33"/>
  <c r="AO427" i="33"/>
  <c r="AL427" i="33"/>
  <c r="AK427" i="33"/>
  <c r="AJ427" i="33"/>
  <c r="AI427" i="33"/>
  <c r="AH427" i="33"/>
  <c r="AE427" i="33"/>
  <c r="AD427" i="33"/>
  <c r="AC427" i="33"/>
  <c r="AB427" i="33"/>
  <c r="AA427" i="33"/>
  <c r="X427" i="33"/>
  <c r="W427" i="33"/>
  <c r="V427" i="33"/>
  <c r="U427" i="33"/>
  <c r="T427" i="33"/>
  <c r="Q427" i="33"/>
  <c r="P427" i="33"/>
  <c r="O427" i="33"/>
  <c r="N427" i="33"/>
  <c r="M427" i="33"/>
  <c r="J427" i="33"/>
  <c r="I427" i="33"/>
  <c r="H427" i="33"/>
  <c r="G427" i="33"/>
  <c r="F427" i="33"/>
  <c r="DE426" i="33"/>
  <c r="CX426" i="33"/>
  <c r="CI426" i="33"/>
  <c r="J432" i="33" s="1"/>
  <c r="CI432" i="33" s="1"/>
  <c r="J438" i="33" s="1"/>
  <c r="CI438" i="33" s="1"/>
  <c r="J444" i="33" s="1"/>
  <c r="CI444" i="33" s="1"/>
  <c r="J450" i="33" s="1"/>
  <c r="CI450" i="33" s="1"/>
  <c r="CH426" i="33"/>
  <c r="I432" i="33" s="1"/>
  <c r="CH432" i="33" s="1"/>
  <c r="I438" i="33" s="1"/>
  <c r="CH438" i="33" s="1"/>
  <c r="I444" i="33" s="1"/>
  <c r="CH444" i="33" s="1"/>
  <c r="I450" i="33" s="1"/>
  <c r="CH450" i="33" s="1"/>
  <c r="CG426" i="33"/>
  <c r="CF426" i="33"/>
  <c r="CE426" i="33"/>
  <c r="CC426" i="33"/>
  <c r="BV426" i="33"/>
  <c r="BO426" i="33"/>
  <c r="BH426" i="33"/>
  <c r="BA426" i="33"/>
  <c r="AT426" i="33"/>
  <c r="AM426" i="33"/>
  <c r="AF426" i="33"/>
  <c r="Y426" i="33"/>
  <c r="R426" i="33"/>
  <c r="K426" i="33"/>
  <c r="DE425" i="33"/>
  <c r="CX425" i="33"/>
  <c r="CI425" i="33"/>
  <c r="CH425" i="33"/>
  <c r="CG425" i="33"/>
  <c r="CF425" i="33"/>
  <c r="CE425" i="33"/>
  <c r="CJ425" i="33" s="1"/>
  <c r="CC425" i="33"/>
  <c r="BV425" i="33"/>
  <c r="BV427" i="33" s="1"/>
  <c r="BO425" i="33"/>
  <c r="BH425" i="33"/>
  <c r="BA425" i="33"/>
  <c r="AT425" i="33"/>
  <c r="AM425" i="33"/>
  <c r="AF425" i="33"/>
  <c r="Y425" i="33"/>
  <c r="H19" i="40" s="1"/>
  <c r="R425" i="33"/>
  <c r="R427" i="33" s="1"/>
  <c r="K425" i="33"/>
  <c r="DE424" i="33"/>
  <c r="CX424" i="33"/>
  <c r="CI424" i="33"/>
  <c r="CH424" i="33"/>
  <c r="CG424" i="33"/>
  <c r="CG427" i="33" s="1"/>
  <c r="CF424" i="33"/>
  <c r="G430" i="33" s="1"/>
  <c r="CF430" i="33" s="1"/>
  <c r="G436" i="33" s="1"/>
  <c r="CF436" i="33" s="1"/>
  <c r="G442" i="33" s="1"/>
  <c r="CF442" i="33" s="1"/>
  <c r="G448" i="33" s="1"/>
  <c r="CF448" i="33" s="1"/>
  <c r="CE424" i="33"/>
  <c r="CE427" i="33" s="1"/>
  <c r="CC424" i="33"/>
  <c r="BV424" i="33"/>
  <c r="BO424" i="33"/>
  <c r="BH424" i="33"/>
  <c r="BA424" i="33"/>
  <c r="AT424" i="33"/>
  <c r="AT427" i="33" s="1"/>
  <c r="AM424" i="33"/>
  <c r="AM427" i="33" s="1"/>
  <c r="AF424" i="33"/>
  <c r="Y424" i="33"/>
  <c r="R424" i="33"/>
  <c r="K424" i="33"/>
  <c r="DE423" i="33"/>
  <c r="DE427" i="33" s="1"/>
  <c r="CX423" i="33"/>
  <c r="CI423" i="33"/>
  <c r="CH423" i="33"/>
  <c r="CG423" i="33"/>
  <c r="CF423" i="33"/>
  <c r="CE423" i="33"/>
  <c r="CC423" i="33"/>
  <c r="CC427" i="33" s="1"/>
  <c r="BV423" i="33"/>
  <c r="BO423" i="33"/>
  <c r="BO427" i="33" s="1"/>
  <c r="BH423" i="33"/>
  <c r="BA423" i="33"/>
  <c r="BA427" i="33" s="1"/>
  <c r="AT423" i="33"/>
  <c r="AM423" i="33"/>
  <c r="AF423" i="33"/>
  <c r="AF427" i="33" s="1"/>
  <c r="Y423" i="33"/>
  <c r="Y427" i="33" s="1"/>
  <c r="R423" i="33"/>
  <c r="K423" i="33"/>
  <c r="K427" i="33" s="1"/>
  <c r="DD419" i="33"/>
  <c r="DC419" i="33"/>
  <c r="DB419" i="33"/>
  <c r="DA419" i="33"/>
  <c r="CZ419" i="33"/>
  <c r="CW419" i="33"/>
  <c r="CV419" i="33"/>
  <c r="CU419" i="33"/>
  <c r="CT419" i="33"/>
  <c r="CS419" i="33"/>
  <c r="CP419" i="33"/>
  <c r="CO419" i="33"/>
  <c r="CN419" i="33"/>
  <c r="CM419" i="33"/>
  <c r="CL419" i="33"/>
  <c r="CB419" i="33"/>
  <c r="CA419" i="33"/>
  <c r="BZ419" i="33"/>
  <c r="BY419" i="33"/>
  <c r="BX419" i="33"/>
  <c r="BU419" i="33"/>
  <c r="BT419" i="33"/>
  <c r="BS419" i="33"/>
  <c r="BR419" i="33"/>
  <c r="BQ419" i="33"/>
  <c r="BN419" i="33"/>
  <c r="BM419" i="33"/>
  <c r="BL419" i="33"/>
  <c r="BK419" i="33"/>
  <c r="BJ419" i="33"/>
  <c r="BG419" i="33"/>
  <c r="BF419" i="33"/>
  <c r="BE419" i="33"/>
  <c r="BD419" i="33"/>
  <c r="BC419" i="33"/>
  <c r="AZ419" i="33"/>
  <c r="AY419" i="33"/>
  <c r="AX419" i="33"/>
  <c r="AW419" i="33"/>
  <c r="AV419" i="33"/>
  <c r="AT419" i="33"/>
  <c r="AS419" i="33"/>
  <c r="AR419" i="33"/>
  <c r="AQ419" i="33"/>
  <c r="AP419" i="33"/>
  <c r="AO419" i="33"/>
  <c r="AL419" i="33"/>
  <c r="AK419" i="33"/>
  <c r="AJ419" i="33"/>
  <c r="AI419" i="33"/>
  <c r="AH419" i="33"/>
  <c r="DE418" i="33"/>
  <c r="CX418" i="33"/>
  <c r="CC418" i="33"/>
  <c r="BV418" i="33"/>
  <c r="BO418" i="33"/>
  <c r="BH418" i="33"/>
  <c r="BA418" i="33"/>
  <c r="AT418" i="33"/>
  <c r="AM418" i="33"/>
  <c r="AF418" i="33"/>
  <c r="Y418" i="33"/>
  <c r="R418" i="33"/>
  <c r="DE417" i="33"/>
  <c r="CX417" i="33"/>
  <c r="CC417" i="33"/>
  <c r="BV417" i="33"/>
  <c r="BV419" i="33" s="1"/>
  <c r="BO417" i="33"/>
  <c r="BH417" i="33"/>
  <c r="BA417" i="33"/>
  <c r="AT417" i="33"/>
  <c r="AM417" i="33"/>
  <c r="AF417" i="33"/>
  <c r="Y417" i="33"/>
  <c r="R417" i="33"/>
  <c r="DE416" i="33"/>
  <c r="CX416" i="33"/>
  <c r="CX419" i="33" s="1"/>
  <c r="CC416" i="33"/>
  <c r="BV416" i="33"/>
  <c r="BO416" i="33"/>
  <c r="BH416" i="33"/>
  <c r="BA416" i="33"/>
  <c r="AT416" i="33"/>
  <c r="AM416" i="33"/>
  <c r="AF416" i="33"/>
  <c r="Y416" i="33"/>
  <c r="R416" i="33"/>
  <c r="DE415" i="33"/>
  <c r="DE419" i="33" s="1"/>
  <c r="CX415" i="33"/>
  <c r="CC415" i="33"/>
  <c r="CC419" i="33" s="1"/>
  <c r="BV415" i="33"/>
  <c r="BO415" i="33"/>
  <c r="BO419" i="33" s="1"/>
  <c r="BH415" i="33"/>
  <c r="BH419" i="33" s="1"/>
  <c r="BA415" i="33"/>
  <c r="BA419" i="33" s="1"/>
  <c r="AT415" i="33"/>
  <c r="AM415" i="33"/>
  <c r="V18" i="40" s="1"/>
  <c r="AF415" i="33"/>
  <c r="Y415" i="33"/>
  <c r="R415" i="33"/>
  <c r="DD413" i="33"/>
  <c r="DC413" i="33"/>
  <c r="DB413" i="33"/>
  <c r="DA413" i="33"/>
  <c r="CZ413" i="33"/>
  <c r="CW413" i="33"/>
  <c r="CV413" i="33"/>
  <c r="CU413" i="33"/>
  <c r="CT413" i="33"/>
  <c r="CS413" i="33"/>
  <c r="CP413" i="33"/>
  <c r="CO413" i="33"/>
  <c r="CN413" i="33"/>
  <c r="CM413" i="33"/>
  <c r="CL413" i="33"/>
  <c r="CB413" i="33"/>
  <c r="CA413" i="33"/>
  <c r="BZ413" i="33"/>
  <c r="BY413" i="33"/>
  <c r="BX413" i="33"/>
  <c r="BU413" i="33"/>
  <c r="BT413" i="33"/>
  <c r="BS413" i="33"/>
  <c r="BR413" i="33"/>
  <c r="BQ413" i="33"/>
  <c r="BN413" i="33"/>
  <c r="BM413" i="33"/>
  <c r="BL413" i="33"/>
  <c r="BK413" i="33"/>
  <c r="BJ413" i="33"/>
  <c r="BG413" i="33"/>
  <c r="BF413" i="33"/>
  <c r="BE413" i="33"/>
  <c r="BD413" i="33"/>
  <c r="BC413" i="33"/>
  <c r="AZ413" i="33"/>
  <c r="AY413" i="33"/>
  <c r="AX413" i="33"/>
  <c r="AW413" i="33"/>
  <c r="AV413" i="33"/>
  <c r="AT413" i="33"/>
  <c r="AS413" i="33"/>
  <c r="AR413" i="33"/>
  <c r="AQ413" i="33"/>
  <c r="AP413" i="33"/>
  <c r="AO413" i="33"/>
  <c r="AL413" i="33"/>
  <c r="AK413" i="33"/>
  <c r="AJ413" i="33"/>
  <c r="AI413" i="33"/>
  <c r="AH413" i="33"/>
  <c r="DE412" i="33"/>
  <c r="CX412" i="33"/>
  <c r="CC412" i="33"/>
  <c r="BV412" i="33"/>
  <c r="BO412" i="33"/>
  <c r="BH412" i="33"/>
  <c r="BA412" i="33"/>
  <c r="AT412" i="33"/>
  <c r="AM412" i="33"/>
  <c r="AF412" i="33"/>
  <c r="Y412" i="33"/>
  <c r="R412" i="33"/>
  <c r="DE411" i="33"/>
  <c r="CX411" i="33"/>
  <c r="CC411" i="33"/>
  <c r="BV411" i="33"/>
  <c r="BV413" i="33" s="1"/>
  <c r="BO411" i="33"/>
  <c r="BH411" i="33"/>
  <c r="BA411" i="33"/>
  <c r="AT411" i="33"/>
  <c r="AM411" i="33"/>
  <c r="AF411" i="33"/>
  <c r="Y411" i="33"/>
  <c r="R411" i="33"/>
  <c r="DE410" i="33"/>
  <c r="CX410" i="33"/>
  <c r="CX413" i="33" s="1"/>
  <c r="CC410" i="33"/>
  <c r="BV410" i="33"/>
  <c r="BO410" i="33"/>
  <c r="BH410" i="33"/>
  <c r="BA410" i="33"/>
  <c r="AT410" i="33"/>
  <c r="AM410" i="33"/>
  <c r="AF410" i="33"/>
  <c r="Y410" i="33"/>
  <c r="K18" i="40" s="1"/>
  <c r="R410" i="33"/>
  <c r="DE409" i="33"/>
  <c r="DE413" i="33" s="1"/>
  <c r="CX409" i="33"/>
  <c r="CC409" i="33"/>
  <c r="CC413" i="33" s="1"/>
  <c r="BV409" i="33"/>
  <c r="BO409" i="33"/>
  <c r="BO413" i="33" s="1"/>
  <c r="BH409" i="33"/>
  <c r="BH413" i="33" s="1"/>
  <c r="BA409" i="33"/>
  <c r="BA413" i="33" s="1"/>
  <c r="AT409" i="33"/>
  <c r="AM409" i="33"/>
  <c r="AF409" i="33"/>
  <c r="Y409" i="33"/>
  <c r="R409" i="33"/>
  <c r="DD407" i="33"/>
  <c r="DC407" i="33"/>
  <c r="DB407" i="33"/>
  <c r="DA407" i="33"/>
  <c r="CZ407" i="33"/>
  <c r="CW407" i="33"/>
  <c r="CV407" i="33"/>
  <c r="CU407" i="33"/>
  <c r="CT407" i="33"/>
  <c r="CS407" i="33"/>
  <c r="CP407" i="33"/>
  <c r="CO407" i="33"/>
  <c r="CN407" i="33"/>
  <c r="CM407" i="33"/>
  <c r="CL407" i="33"/>
  <c r="CB407" i="33"/>
  <c r="CA407" i="33"/>
  <c r="BZ407" i="33"/>
  <c r="BY407" i="33"/>
  <c r="BX407" i="33"/>
  <c r="BU407" i="33"/>
  <c r="BT407" i="33"/>
  <c r="BS407" i="33"/>
  <c r="BR407" i="33"/>
  <c r="BQ407" i="33"/>
  <c r="BN407" i="33"/>
  <c r="BM407" i="33"/>
  <c r="BL407" i="33"/>
  <c r="BK407" i="33"/>
  <c r="BJ407" i="33"/>
  <c r="BG407" i="33"/>
  <c r="BF407" i="33"/>
  <c r="BE407" i="33"/>
  <c r="BD407" i="33"/>
  <c r="BC407" i="33"/>
  <c r="AZ407" i="33"/>
  <c r="AY407" i="33"/>
  <c r="AX407" i="33"/>
  <c r="AW407" i="33"/>
  <c r="AV407" i="33"/>
  <c r="AT407" i="33"/>
  <c r="AS407" i="33"/>
  <c r="AR407" i="33"/>
  <c r="AQ407" i="33"/>
  <c r="AP407" i="33"/>
  <c r="AO407" i="33"/>
  <c r="AL407" i="33"/>
  <c r="AK407" i="33"/>
  <c r="AJ407" i="33"/>
  <c r="AI407" i="33"/>
  <c r="AH407" i="33"/>
  <c r="DE406" i="33"/>
  <c r="CX406" i="33"/>
  <c r="CC406" i="33"/>
  <c r="BV406" i="33"/>
  <c r="BO406" i="33"/>
  <c r="BH406" i="33"/>
  <c r="BA406" i="33"/>
  <c r="AT406" i="33"/>
  <c r="AM406" i="33"/>
  <c r="AF406" i="33"/>
  <c r="Y406" i="33"/>
  <c r="R406" i="33"/>
  <c r="DE405" i="33"/>
  <c r="CX405" i="33"/>
  <c r="CC405" i="33"/>
  <c r="BV405" i="33"/>
  <c r="BV407" i="33" s="1"/>
  <c r="BO405" i="33"/>
  <c r="BH405" i="33"/>
  <c r="BA405" i="33"/>
  <c r="AT405" i="33"/>
  <c r="AM405" i="33"/>
  <c r="AF405" i="33"/>
  <c r="Y405" i="33"/>
  <c r="R405" i="33"/>
  <c r="DE404" i="33"/>
  <c r="CX404" i="33"/>
  <c r="CX407" i="33" s="1"/>
  <c r="CC404" i="33"/>
  <c r="BV404" i="33"/>
  <c r="BO404" i="33"/>
  <c r="BH404" i="33"/>
  <c r="BA404" i="33"/>
  <c r="AT404" i="33"/>
  <c r="AM404" i="33"/>
  <c r="AF404" i="33"/>
  <c r="Y404" i="33"/>
  <c r="R404" i="33"/>
  <c r="DE403" i="33"/>
  <c r="DE407" i="33" s="1"/>
  <c r="CX403" i="33"/>
  <c r="CC403" i="33"/>
  <c r="CC407" i="33" s="1"/>
  <c r="BV403" i="33"/>
  <c r="BO403" i="33"/>
  <c r="BO407" i="33" s="1"/>
  <c r="BH403" i="33"/>
  <c r="BH407" i="33" s="1"/>
  <c r="BA403" i="33"/>
  <c r="BA407" i="33" s="1"/>
  <c r="AT403" i="33"/>
  <c r="AM403" i="33"/>
  <c r="T18" i="40" s="1"/>
  <c r="AF403" i="33"/>
  <c r="Y403" i="33"/>
  <c r="R403" i="33"/>
  <c r="DD401" i="33"/>
  <c r="DC401" i="33"/>
  <c r="DB401" i="33"/>
  <c r="DA401" i="33"/>
  <c r="CZ401" i="33"/>
  <c r="CW401" i="33"/>
  <c r="CV401" i="33"/>
  <c r="CU401" i="33"/>
  <c r="CT401" i="33"/>
  <c r="CS401" i="33"/>
  <c r="CP401" i="33"/>
  <c r="CO401" i="33"/>
  <c r="CN401" i="33"/>
  <c r="CM401" i="33"/>
  <c r="CL401" i="33"/>
  <c r="CB401" i="33"/>
  <c r="CA401" i="33"/>
  <c r="BZ401" i="33"/>
  <c r="BY401" i="33"/>
  <c r="BX401" i="33"/>
  <c r="BU401" i="33"/>
  <c r="BT401" i="33"/>
  <c r="BS401" i="33"/>
  <c r="BR401" i="33"/>
  <c r="BQ401" i="33"/>
  <c r="BN401" i="33"/>
  <c r="BM401" i="33"/>
  <c r="BL401" i="33"/>
  <c r="BK401" i="33"/>
  <c r="BJ401" i="33"/>
  <c r="BG401" i="33"/>
  <c r="BF401" i="33"/>
  <c r="BE401" i="33"/>
  <c r="BD401" i="33"/>
  <c r="BC401" i="33"/>
  <c r="AZ401" i="33"/>
  <c r="AY401" i="33"/>
  <c r="AX401" i="33"/>
  <c r="AW401" i="33"/>
  <c r="AV401" i="33"/>
  <c r="AT401" i="33"/>
  <c r="AS401" i="33"/>
  <c r="AR401" i="33"/>
  <c r="AQ401" i="33"/>
  <c r="AP401" i="33"/>
  <c r="AO401" i="33"/>
  <c r="AL401" i="33"/>
  <c r="AK401" i="33"/>
  <c r="AJ401" i="33"/>
  <c r="AI401" i="33"/>
  <c r="AH401" i="33"/>
  <c r="DE400" i="33"/>
  <c r="CX400" i="33"/>
  <c r="CC400" i="33"/>
  <c r="BV400" i="33"/>
  <c r="BO400" i="33"/>
  <c r="BH400" i="33"/>
  <c r="BA400" i="33"/>
  <c r="AT400" i="33"/>
  <c r="AM400" i="33"/>
  <c r="AF400" i="33"/>
  <c r="Y400" i="33"/>
  <c r="R400" i="33"/>
  <c r="DE399" i="33"/>
  <c r="CX399" i="33"/>
  <c r="CC399" i="33"/>
  <c r="BV399" i="33"/>
  <c r="BV401" i="33" s="1"/>
  <c r="BO399" i="33"/>
  <c r="BH399" i="33"/>
  <c r="BA399" i="33"/>
  <c r="AT399" i="33"/>
  <c r="AM399" i="33"/>
  <c r="AF399" i="33"/>
  <c r="Y399" i="33"/>
  <c r="R399" i="33"/>
  <c r="I399" i="33"/>
  <c r="CH399" i="33" s="1"/>
  <c r="I405" i="33" s="1"/>
  <c r="CH405" i="33" s="1"/>
  <c r="I411" i="33" s="1"/>
  <c r="CH411" i="33" s="1"/>
  <c r="I417" i="33" s="1"/>
  <c r="CH417" i="33" s="1"/>
  <c r="DE398" i="33"/>
  <c r="CX398" i="33"/>
  <c r="CX401" i="33" s="1"/>
  <c r="CC398" i="33"/>
  <c r="BV398" i="33"/>
  <c r="BO398" i="33"/>
  <c r="BH398" i="33"/>
  <c r="BA398" i="33"/>
  <c r="AT398" i="33"/>
  <c r="AM398" i="33"/>
  <c r="AF398" i="33"/>
  <c r="Y398" i="33"/>
  <c r="I18" i="40" s="1"/>
  <c r="R398" i="33"/>
  <c r="J398" i="33"/>
  <c r="CI398" i="33" s="1"/>
  <c r="J404" i="33" s="1"/>
  <c r="CI404" i="33" s="1"/>
  <c r="J410" i="33" s="1"/>
  <c r="CI410" i="33" s="1"/>
  <c r="J416" i="33" s="1"/>
  <c r="CI416" i="33" s="1"/>
  <c r="I398" i="33"/>
  <c r="CH398" i="33" s="1"/>
  <c r="I404" i="33" s="1"/>
  <c r="CH404" i="33" s="1"/>
  <c r="I410" i="33" s="1"/>
  <c r="CH410" i="33" s="1"/>
  <c r="I416" i="33" s="1"/>
  <c r="CH416" i="33" s="1"/>
  <c r="F398" i="33"/>
  <c r="DE397" i="33"/>
  <c r="DE401" i="33" s="1"/>
  <c r="CX397" i="33"/>
  <c r="CC397" i="33"/>
  <c r="CC401" i="33" s="1"/>
  <c r="BV397" i="33"/>
  <c r="BO397" i="33"/>
  <c r="BO401" i="33" s="1"/>
  <c r="BH397" i="33"/>
  <c r="BH401" i="33" s="1"/>
  <c r="BA397" i="33"/>
  <c r="BA401" i="33" s="1"/>
  <c r="AT397" i="33"/>
  <c r="AM397" i="33"/>
  <c r="S18" i="40" s="1"/>
  <c r="AF397" i="33"/>
  <c r="Y397" i="33"/>
  <c r="R397" i="33"/>
  <c r="I397" i="33"/>
  <c r="F397" i="33"/>
  <c r="DD395" i="33"/>
  <c r="DC395" i="33"/>
  <c r="DB395" i="33"/>
  <c r="DA395" i="33"/>
  <c r="CZ395" i="33"/>
  <c r="CX395" i="33"/>
  <c r="CW395" i="33"/>
  <c r="CV395" i="33"/>
  <c r="CU395" i="33"/>
  <c r="CT395" i="33"/>
  <c r="CS395" i="33"/>
  <c r="CP395" i="33"/>
  <c r="CO395" i="33"/>
  <c r="CN395" i="33"/>
  <c r="CM395" i="33"/>
  <c r="CL395" i="33"/>
  <c r="CH395" i="33"/>
  <c r="CE395" i="33"/>
  <c r="CB395" i="33"/>
  <c r="CA395" i="33"/>
  <c r="BZ395" i="33"/>
  <c r="BY395" i="33"/>
  <c r="BX395" i="33"/>
  <c r="BU395" i="33"/>
  <c r="BT395" i="33"/>
  <c r="BS395" i="33"/>
  <c r="BR395" i="33"/>
  <c r="BQ395" i="33"/>
  <c r="BN395" i="33"/>
  <c r="BM395" i="33"/>
  <c r="BL395" i="33"/>
  <c r="BK395" i="33"/>
  <c r="BJ395" i="33"/>
  <c r="BG395" i="33"/>
  <c r="BF395" i="33"/>
  <c r="BE395" i="33"/>
  <c r="BD395" i="33"/>
  <c r="BC395" i="33"/>
  <c r="AZ395" i="33"/>
  <c r="AY395" i="33"/>
  <c r="AX395" i="33"/>
  <c r="AW395" i="33"/>
  <c r="AV395" i="33"/>
  <c r="AS395" i="33"/>
  <c r="AR395" i="33"/>
  <c r="AQ395" i="33"/>
  <c r="AP395" i="33"/>
  <c r="AO395" i="33"/>
  <c r="AL395" i="33"/>
  <c r="AK395" i="33"/>
  <c r="AJ395" i="33"/>
  <c r="AI395" i="33"/>
  <c r="AH395" i="33"/>
  <c r="J395" i="33"/>
  <c r="I395" i="33"/>
  <c r="H395" i="33"/>
  <c r="G395" i="33"/>
  <c r="F395" i="33"/>
  <c r="DE394" i="33"/>
  <c r="CX394" i="33"/>
  <c r="CJ394" i="33"/>
  <c r="CI394" i="33"/>
  <c r="J400" i="33" s="1"/>
  <c r="CI400" i="33" s="1"/>
  <c r="J406" i="33" s="1"/>
  <c r="CI406" i="33" s="1"/>
  <c r="J412" i="33" s="1"/>
  <c r="CI412" i="33" s="1"/>
  <c r="J418" i="33" s="1"/>
  <c r="CI418" i="33" s="1"/>
  <c r="CH394" i="33"/>
  <c r="I400" i="33" s="1"/>
  <c r="CH400" i="33" s="1"/>
  <c r="I406" i="33" s="1"/>
  <c r="CH406" i="33" s="1"/>
  <c r="I412" i="33" s="1"/>
  <c r="CH412" i="33" s="1"/>
  <c r="I418" i="33" s="1"/>
  <c r="CH418" i="33" s="1"/>
  <c r="CG394" i="33"/>
  <c r="H400" i="33" s="1"/>
  <c r="CG400" i="33" s="1"/>
  <c r="H406" i="33" s="1"/>
  <c r="CG406" i="33" s="1"/>
  <c r="H412" i="33" s="1"/>
  <c r="CG412" i="33" s="1"/>
  <c r="H418" i="33" s="1"/>
  <c r="CG418" i="33" s="1"/>
  <c r="CF394" i="33"/>
  <c r="G400" i="33" s="1"/>
  <c r="CF400" i="33" s="1"/>
  <c r="G406" i="33" s="1"/>
  <c r="CF406" i="33" s="1"/>
  <c r="G412" i="33" s="1"/>
  <c r="CF412" i="33" s="1"/>
  <c r="G418" i="33" s="1"/>
  <c r="CF418" i="33" s="1"/>
  <c r="CE394" i="33"/>
  <c r="F400" i="33" s="1"/>
  <c r="CC394" i="33"/>
  <c r="BV394" i="33"/>
  <c r="BO394" i="33"/>
  <c r="BH394" i="33"/>
  <c r="BA394" i="33"/>
  <c r="AT394" i="33"/>
  <c r="AM394" i="33"/>
  <c r="AF394" i="33"/>
  <c r="Y394" i="33"/>
  <c r="R394" i="33"/>
  <c r="K394" i="33"/>
  <c r="DE393" i="33"/>
  <c r="CX393" i="33"/>
  <c r="CI393" i="33"/>
  <c r="J399" i="33" s="1"/>
  <c r="CI399" i="33" s="1"/>
  <c r="J405" i="33" s="1"/>
  <c r="CI405" i="33" s="1"/>
  <c r="J411" i="33" s="1"/>
  <c r="CI411" i="33" s="1"/>
  <c r="J417" i="33" s="1"/>
  <c r="CI417" i="33" s="1"/>
  <c r="CH393" i="33"/>
  <c r="CG393" i="33"/>
  <c r="H399" i="33" s="1"/>
  <c r="CG399" i="33" s="1"/>
  <c r="H405" i="33" s="1"/>
  <c r="CG405" i="33" s="1"/>
  <c r="H411" i="33" s="1"/>
  <c r="CG411" i="33" s="1"/>
  <c r="H417" i="33" s="1"/>
  <c r="CG417" i="33" s="1"/>
  <c r="CF393" i="33"/>
  <c r="CJ393" i="33" s="1"/>
  <c r="CE393" i="33"/>
  <c r="F399" i="33" s="1"/>
  <c r="CC393" i="33"/>
  <c r="BV393" i="33"/>
  <c r="BO393" i="33"/>
  <c r="BH393" i="33"/>
  <c r="BA393" i="33"/>
  <c r="AT393" i="33"/>
  <c r="AM393" i="33"/>
  <c r="AF393" i="33"/>
  <c r="Y393" i="33"/>
  <c r="R393" i="33"/>
  <c r="K393" i="33"/>
  <c r="DE392" i="33"/>
  <c r="CX392" i="33"/>
  <c r="CJ392" i="33"/>
  <c r="CI392" i="33"/>
  <c r="CH392" i="33"/>
  <c r="CG392" i="33"/>
  <c r="H398" i="33" s="1"/>
  <c r="CG398" i="33" s="1"/>
  <c r="H404" i="33" s="1"/>
  <c r="CG404" i="33" s="1"/>
  <c r="H410" i="33" s="1"/>
  <c r="CG410" i="33" s="1"/>
  <c r="H416" i="33" s="1"/>
  <c r="CG416" i="33" s="1"/>
  <c r="CF392" i="33"/>
  <c r="G398" i="33" s="1"/>
  <c r="CF398" i="33" s="1"/>
  <c r="G404" i="33" s="1"/>
  <c r="CF404" i="33" s="1"/>
  <c r="G410" i="33" s="1"/>
  <c r="CF410" i="33" s="1"/>
  <c r="G416" i="33" s="1"/>
  <c r="CF416" i="33" s="1"/>
  <c r="CE392" i="33"/>
  <c r="CC392" i="33"/>
  <c r="BV392" i="33"/>
  <c r="BV395" i="33" s="1"/>
  <c r="BO392" i="33"/>
  <c r="BH392" i="33"/>
  <c r="BA392" i="33"/>
  <c r="AT392" i="33"/>
  <c r="AM392" i="33"/>
  <c r="AF392" i="33"/>
  <c r="Y392" i="33"/>
  <c r="R392" i="33"/>
  <c r="K392" i="33"/>
  <c r="K395" i="33" s="1"/>
  <c r="DE391" i="33"/>
  <c r="DE395" i="33" s="1"/>
  <c r="CX391" i="33"/>
  <c r="CI391" i="33"/>
  <c r="J397" i="33" s="1"/>
  <c r="CH391" i="33"/>
  <c r="CG391" i="33"/>
  <c r="H397" i="33" s="1"/>
  <c r="CF391" i="33"/>
  <c r="CJ391" i="33" s="1"/>
  <c r="CJ395" i="33" s="1"/>
  <c r="CE391" i="33"/>
  <c r="CC391" i="33"/>
  <c r="CC395" i="33" s="1"/>
  <c r="BV391" i="33"/>
  <c r="BO391" i="33"/>
  <c r="BO395" i="33" s="1"/>
  <c r="BH391" i="33"/>
  <c r="BH395" i="33" s="1"/>
  <c r="BA391" i="33"/>
  <c r="BA395" i="33" s="1"/>
  <c r="AT391" i="33"/>
  <c r="AT395" i="33" s="1"/>
  <c r="AM391" i="33"/>
  <c r="AM395" i="33" s="1"/>
  <c r="AF391" i="33"/>
  <c r="Y391" i="33"/>
  <c r="R391" i="33"/>
  <c r="K391" i="33"/>
  <c r="DD387" i="33"/>
  <c r="DC387" i="33"/>
  <c r="DB387" i="33"/>
  <c r="DA387" i="33"/>
  <c r="CZ387" i="33"/>
  <c r="CW387" i="33"/>
  <c r="CV387" i="33"/>
  <c r="CU387" i="33"/>
  <c r="CT387" i="33"/>
  <c r="CS387" i="33"/>
  <c r="CP387" i="33"/>
  <c r="CO387" i="33"/>
  <c r="CN387" i="33"/>
  <c r="CM387" i="33"/>
  <c r="CL387" i="33"/>
  <c r="CB387" i="33"/>
  <c r="CA387" i="33"/>
  <c r="BZ387" i="33"/>
  <c r="BY387" i="33"/>
  <c r="BX387" i="33"/>
  <c r="BU387" i="33"/>
  <c r="BT387" i="33"/>
  <c r="BS387" i="33"/>
  <c r="BR387" i="33"/>
  <c r="BQ387" i="33"/>
  <c r="BN387" i="33"/>
  <c r="BM387" i="33"/>
  <c r="BL387" i="33"/>
  <c r="BK387" i="33"/>
  <c r="BJ387" i="33"/>
  <c r="BG387" i="33"/>
  <c r="BF387" i="33"/>
  <c r="BE387" i="33"/>
  <c r="BD387" i="33"/>
  <c r="BC387" i="33"/>
  <c r="AZ387" i="33"/>
  <c r="AY387" i="33"/>
  <c r="AX387" i="33"/>
  <c r="AW387" i="33"/>
  <c r="AV387" i="33"/>
  <c r="AS387" i="33"/>
  <c r="AR387" i="33"/>
  <c r="AQ387" i="33"/>
  <c r="AP387" i="33"/>
  <c r="AO387" i="33"/>
  <c r="AL387" i="33"/>
  <c r="AK387" i="33"/>
  <c r="AJ387" i="33"/>
  <c r="AI387" i="33"/>
  <c r="AH387" i="33"/>
  <c r="DE386" i="33"/>
  <c r="CX386" i="33"/>
  <c r="CC386" i="33"/>
  <c r="BV386" i="33"/>
  <c r="BO386" i="33"/>
  <c r="BO387" i="33" s="1"/>
  <c r="BH386" i="33"/>
  <c r="BA386" i="33"/>
  <c r="AT386" i="33"/>
  <c r="AM386" i="33"/>
  <c r="AF386" i="33"/>
  <c r="Y386" i="33"/>
  <c r="R386" i="33"/>
  <c r="DE385" i="33"/>
  <c r="CX385" i="33"/>
  <c r="CC385" i="33"/>
  <c r="BV385" i="33"/>
  <c r="BV387" i="33" s="1"/>
  <c r="BO385" i="33"/>
  <c r="BH385" i="33"/>
  <c r="BA385" i="33"/>
  <c r="AT385" i="33"/>
  <c r="AM385" i="33"/>
  <c r="AF385" i="33"/>
  <c r="Y385" i="33"/>
  <c r="R385" i="33"/>
  <c r="DE384" i="33"/>
  <c r="CX384" i="33"/>
  <c r="CX387" i="33" s="1"/>
  <c r="CC384" i="33"/>
  <c r="BV384" i="33"/>
  <c r="BO384" i="33"/>
  <c r="BH384" i="33"/>
  <c r="BH387" i="33" s="1"/>
  <c r="BA384" i="33"/>
  <c r="AT384" i="33"/>
  <c r="AM384" i="33"/>
  <c r="AM387" i="33" s="1"/>
  <c r="AF384" i="33"/>
  <c r="Y384" i="33"/>
  <c r="R384" i="33"/>
  <c r="DE383" i="33"/>
  <c r="DE387" i="33" s="1"/>
  <c r="CX383" i="33"/>
  <c r="CC383" i="33"/>
  <c r="CC387" i="33" s="1"/>
  <c r="BV383" i="33"/>
  <c r="BO383" i="33"/>
  <c r="BH383" i="33"/>
  <c r="BA383" i="33"/>
  <c r="BA387" i="33" s="1"/>
  <c r="AT383" i="33"/>
  <c r="AT387" i="33" s="1"/>
  <c r="AM383" i="33"/>
  <c r="AF383" i="33"/>
  <c r="Y383" i="33"/>
  <c r="R383" i="33"/>
  <c r="DD381" i="33"/>
  <c r="DC381" i="33"/>
  <c r="DB381" i="33"/>
  <c r="DA381" i="33"/>
  <c r="CZ381" i="33"/>
  <c r="CW381" i="33"/>
  <c r="CV381" i="33"/>
  <c r="CU381" i="33"/>
  <c r="CT381" i="33"/>
  <c r="CS381" i="33"/>
  <c r="CP381" i="33"/>
  <c r="CO381" i="33"/>
  <c r="CN381" i="33"/>
  <c r="CM381" i="33"/>
  <c r="CL381" i="33"/>
  <c r="CB381" i="33"/>
  <c r="CA381" i="33"/>
  <c r="BZ381" i="33"/>
  <c r="BY381" i="33"/>
  <c r="BX381" i="33"/>
  <c r="BU381" i="33"/>
  <c r="BT381" i="33"/>
  <c r="BS381" i="33"/>
  <c r="BR381" i="33"/>
  <c r="BQ381" i="33"/>
  <c r="BN381" i="33"/>
  <c r="BM381" i="33"/>
  <c r="BL381" i="33"/>
  <c r="BK381" i="33"/>
  <c r="BJ381" i="33"/>
  <c r="BG381" i="33"/>
  <c r="BF381" i="33"/>
  <c r="BE381" i="33"/>
  <c r="BD381" i="33"/>
  <c r="BC381" i="33"/>
  <c r="AZ381" i="33"/>
  <c r="AY381" i="33"/>
  <c r="AX381" i="33"/>
  <c r="AW381" i="33"/>
  <c r="AV381" i="33"/>
  <c r="AS381" i="33"/>
  <c r="AR381" i="33"/>
  <c r="AQ381" i="33"/>
  <c r="AP381" i="33"/>
  <c r="AO381" i="33"/>
  <c r="AL381" i="33"/>
  <c r="AK381" i="33"/>
  <c r="AJ381" i="33"/>
  <c r="AI381" i="33"/>
  <c r="AH381" i="33"/>
  <c r="DE380" i="33"/>
  <c r="CX380" i="33"/>
  <c r="CC380" i="33"/>
  <c r="BV380" i="33"/>
  <c r="BO380" i="33"/>
  <c r="BO381" i="33" s="1"/>
  <c r="BH380" i="33"/>
  <c r="BA380" i="33"/>
  <c r="AT380" i="33"/>
  <c r="AM380" i="33"/>
  <c r="AF380" i="33"/>
  <c r="Y380" i="33"/>
  <c r="R380" i="33"/>
  <c r="DE379" i="33"/>
  <c r="CX379" i="33"/>
  <c r="CC379" i="33"/>
  <c r="BV379" i="33"/>
  <c r="BO379" i="33"/>
  <c r="BH379" i="33"/>
  <c r="BA379" i="33"/>
  <c r="AT379" i="33"/>
  <c r="AM379" i="33"/>
  <c r="AF379" i="33"/>
  <c r="Y379" i="33"/>
  <c r="R379" i="33"/>
  <c r="DE378" i="33"/>
  <c r="CX378" i="33"/>
  <c r="CX381" i="33" s="1"/>
  <c r="CC378" i="33"/>
  <c r="BV378" i="33"/>
  <c r="BO378" i="33"/>
  <c r="BH378" i="33"/>
  <c r="BH381" i="33" s="1"/>
  <c r="BA378" i="33"/>
  <c r="AT378" i="33"/>
  <c r="AM378" i="33"/>
  <c r="AM381" i="33" s="1"/>
  <c r="AF378" i="33"/>
  <c r="Y378" i="33"/>
  <c r="R378" i="33"/>
  <c r="DE377" i="33"/>
  <c r="DE381" i="33" s="1"/>
  <c r="CX377" i="33"/>
  <c r="CC377" i="33"/>
  <c r="CC381" i="33" s="1"/>
  <c r="BV377" i="33"/>
  <c r="BV381" i="33" s="1"/>
  <c r="BO377" i="33"/>
  <c r="BH377" i="33"/>
  <c r="BA377" i="33"/>
  <c r="BA381" i="33" s="1"/>
  <c r="AT377" i="33"/>
  <c r="AT381" i="33" s="1"/>
  <c r="AM377" i="33"/>
  <c r="AF377" i="33"/>
  <c r="Y377" i="33"/>
  <c r="R377" i="33"/>
  <c r="DD375" i="33"/>
  <c r="DC375" i="33"/>
  <c r="DB375" i="33"/>
  <c r="DA375" i="33"/>
  <c r="CZ375" i="33"/>
  <c r="CW375" i="33"/>
  <c r="CV375" i="33"/>
  <c r="CU375" i="33"/>
  <c r="CT375" i="33"/>
  <c r="CS375" i="33"/>
  <c r="CP375" i="33"/>
  <c r="CO375" i="33"/>
  <c r="CN375" i="33"/>
  <c r="CM375" i="33"/>
  <c r="CL375" i="33"/>
  <c r="CB375" i="33"/>
  <c r="CA375" i="33"/>
  <c r="BZ375" i="33"/>
  <c r="BY375" i="33"/>
  <c r="BX375" i="33"/>
  <c r="BU375" i="33"/>
  <c r="BT375" i="33"/>
  <c r="BS375" i="33"/>
  <c r="BR375" i="33"/>
  <c r="BQ375" i="33"/>
  <c r="BN375" i="33"/>
  <c r="BM375" i="33"/>
  <c r="BL375" i="33"/>
  <c r="BK375" i="33"/>
  <c r="BJ375" i="33"/>
  <c r="BG375" i="33"/>
  <c r="BF375" i="33"/>
  <c r="BE375" i="33"/>
  <c r="BD375" i="33"/>
  <c r="BC375" i="33"/>
  <c r="AZ375" i="33"/>
  <c r="AY375" i="33"/>
  <c r="AX375" i="33"/>
  <c r="AW375" i="33"/>
  <c r="AV375" i="33"/>
  <c r="AS375" i="33"/>
  <c r="AR375" i="33"/>
  <c r="AQ375" i="33"/>
  <c r="AP375" i="33"/>
  <c r="AO375" i="33"/>
  <c r="AL375" i="33"/>
  <c r="AK375" i="33"/>
  <c r="AJ375" i="33"/>
  <c r="AI375" i="33"/>
  <c r="AH375" i="33"/>
  <c r="DE374" i="33"/>
  <c r="CX374" i="33"/>
  <c r="CC374" i="33"/>
  <c r="BV374" i="33"/>
  <c r="BO374" i="33"/>
  <c r="BO375" i="33" s="1"/>
  <c r="BH374" i="33"/>
  <c r="BA374" i="33"/>
  <c r="AT374" i="33"/>
  <c r="AM374" i="33"/>
  <c r="AF374" i="33"/>
  <c r="Y374" i="33"/>
  <c r="R374" i="33"/>
  <c r="DE373" i="33"/>
  <c r="CX373" i="33"/>
  <c r="CC373" i="33"/>
  <c r="BV373" i="33"/>
  <c r="BO373" i="33"/>
  <c r="BH373" i="33"/>
  <c r="BA373" i="33"/>
  <c r="AT373" i="33"/>
  <c r="AM373" i="33"/>
  <c r="AF373" i="33"/>
  <c r="Y373" i="33"/>
  <c r="R373" i="33"/>
  <c r="DE372" i="33"/>
  <c r="CX372" i="33"/>
  <c r="CX375" i="33" s="1"/>
  <c r="CC372" i="33"/>
  <c r="BV372" i="33"/>
  <c r="BO372" i="33"/>
  <c r="BH372" i="33"/>
  <c r="BH375" i="33" s="1"/>
  <c r="BA372" i="33"/>
  <c r="AT372" i="33"/>
  <c r="AM372" i="33"/>
  <c r="AF372" i="33"/>
  <c r="Y372" i="33"/>
  <c r="R372" i="33"/>
  <c r="DE371" i="33"/>
  <c r="DE375" i="33" s="1"/>
  <c r="CX371" i="33"/>
  <c r="CC371" i="33"/>
  <c r="CC375" i="33" s="1"/>
  <c r="BV371" i="33"/>
  <c r="BV375" i="33" s="1"/>
  <c r="BO371" i="33"/>
  <c r="BH371" i="33"/>
  <c r="BA371" i="33"/>
  <c r="BA375" i="33" s="1"/>
  <c r="AT371" i="33"/>
  <c r="AT375" i="33" s="1"/>
  <c r="AM371" i="33"/>
  <c r="AF371" i="33"/>
  <c r="Y371" i="33"/>
  <c r="R371" i="33"/>
  <c r="DD369" i="33"/>
  <c r="DC369" i="33"/>
  <c r="DB369" i="33"/>
  <c r="DA369" i="33"/>
  <c r="CZ369" i="33"/>
  <c r="CW369" i="33"/>
  <c r="CV369" i="33"/>
  <c r="CU369" i="33"/>
  <c r="CT369" i="33"/>
  <c r="CS369" i="33"/>
  <c r="CP369" i="33"/>
  <c r="CO369" i="33"/>
  <c r="CN369" i="33"/>
  <c r="CM369" i="33"/>
  <c r="CL369" i="33"/>
  <c r="CB369" i="33"/>
  <c r="CA369" i="33"/>
  <c r="BZ369" i="33"/>
  <c r="BY369" i="33"/>
  <c r="BX369" i="33"/>
  <c r="BU369" i="33"/>
  <c r="BT369" i="33"/>
  <c r="BS369" i="33"/>
  <c r="BR369" i="33"/>
  <c r="BQ369" i="33"/>
  <c r="BN369" i="33"/>
  <c r="BM369" i="33"/>
  <c r="BL369" i="33"/>
  <c r="BK369" i="33"/>
  <c r="BJ369" i="33"/>
  <c r="BG369" i="33"/>
  <c r="BF369" i="33"/>
  <c r="BE369" i="33"/>
  <c r="BD369" i="33"/>
  <c r="BC369" i="33"/>
  <c r="AZ369" i="33"/>
  <c r="AY369" i="33"/>
  <c r="AX369" i="33"/>
  <c r="AW369" i="33"/>
  <c r="AV369" i="33"/>
  <c r="AS369" i="33"/>
  <c r="AR369" i="33"/>
  <c r="AQ369" i="33"/>
  <c r="AP369" i="33"/>
  <c r="AO369" i="33"/>
  <c r="AL369" i="33"/>
  <c r="AK369" i="33"/>
  <c r="AJ369" i="33"/>
  <c r="AI369" i="33"/>
  <c r="AH369" i="33"/>
  <c r="DE368" i="33"/>
  <c r="CX368" i="33"/>
  <c r="CC368" i="33"/>
  <c r="BV368" i="33"/>
  <c r="BO368" i="33"/>
  <c r="BO369" i="33" s="1"/>
  <c r="BH368" i="33"/>
  <c r="BA368" i="33"/>
  <c r="AT368" i="33"/>
  <c r="AM368" i="33"/>
  <c r="AF368" i="33"/>
  <c r="Y368" i="33"/>
  <c r="R368" i="33"/>
  <c r="DE367" i="33"/>
  <c r="CX367" i="33"/>
  <c r="CC367" i="33"/>
  <c r="BV367" i="33"/>
  <c r="BO367" i="33"/>
  <c r="BH367" i="33"/>
  <c r="BA367" i="33"/>
  <c r="AT367" i="33"/>
  <c r="AM367" i="33"/>
  <c r="AF367" i="33"/>
  <c r="Y367" i="33"/>
  <c r="R367" i="33"/>
  <c r="F367" i="33"/>
  <c r="DE366" i="33"/>
  <c r="CX366" i="33"/>
  <c r="CX369" i="33" s="1"/>
  <c r="CC366" i="33"/>
  <c r="BV366" i="33"/>
  <c r="BO366" i="33"/>
  <c r="BH366" i="33"/>
  <c r="BH369" i="33" s="1"/>
  <c r="BA366" i="33"/>
  <c r="AT366" i="33"/>
  <c r="AM366" i="33"/>
  <c r="S17" i="40" s="1"/>
  <c r="AF366" i="33"/>
  <c r="Y366" i="33"/>
  <c r="R366" i="33"/>
  <c r="H366" i="33"/>
  <c r="CG366" i="33" s="1"/>
  <c r="H372" i="33" s="1"/>
  <c r="CG372" i="33" s="1"/>
  <c r="H378" i="33" s="1"/>
  <c r="CG378" i="33" s="1"/>
  <c r="H384" i="33" s="1"/>
  <c r="CG384" i="33" s="1"/>
  <c r="G366" i="33"/>
  <c r="CF366" i="33" s="1"/>
  <c r="G372" i="33" s="1"/>
  <c r="CF372" i="33" s="1"/>
  <c r="G378" i="33" s="1"/>
  <c r="CF378" i="33" s="1"/>
  <c r="G384" i="33" s="1"/>
  <c r="CF384" i="33" s="1"/>
  <c r="DE365" i="33"/>
  <c r="DE369" i="33" s="1"/>
  <c r="CX365" i="33"/>
  <c r="CC365" i="33"/>
  <c r="CC369" i="33" s="1"/>
  <c r="BV365" i="33"/>
  <c r="BV369" i="33" s="1"/>
  <c r="BO365" i="33"/>
  <c r="BH365" i="33"/>
  <c r="BA365" i="33"/>
  <c r="BA369" i="33" s="1"/>
  <c r="AT365" i="33"/>
  <c r="AT369" i="33" s="1"/>
  <c r="AM365" i="33"/>
  <c r="AF365" i="33"/>
  <c r="Y365" i="33"/>
  <c r="R365" i="33"/>
  <c r="H365" i="33"/>
  <c r="H369" i="33" s="1"/>
  <c r="F365" i="33"/>
  <c r="DD363" i="33"/>
  <c r="DC363" i="33"/>
  <c r="DB363" i="33"/>
  <c r="DA363" i="33"/>
  <c r="CZ363" i="33"/>
  <c r="CW363" i="33"/>
  <c r="CV363" i="33"/>
  <c r="CU363" i="33"/>
  <c r="CT363" i="33"/>
  <c r="CS363" i="33"/>
  <c r="CP363" i="33"/>
  <c r="CO363" i="33"/>
  <c r="CN363" i="33"/>
  <c r="CM363" i="33"/>
  <c r="CL363" i="33"/>
  <c r="CG363" i="33"/>
  <c r="CE363" i="33"/>
  <c r="CB363" i="33"/>
  <c r="CA363" i="33"/>
  <c r="BZ363" i="33"/>
  <c r="BY363" i="33"/>
  <c r="BX363" i="33"/>
  <c r="BU363" i="33"/>
  <c r="BT363" i="33"/>
  <c r="BS363" i="33"/>
  <c r="BR363" i="33"/>
  <c r="BQ363" i="33"/>
  <c r="BN363" i="33"/>
  <c r="BM363" i="33"/>
  <c r="BL363" i="33"/>
  <c r="BK363" i="33"/>
  <c r="BJ363" i="33"/>
  <c r="BG363" i="33"/>
  <c r="BF363" i="33"/>
  <c r="BE363" i="33"/>
  <c r="BD363" i="33"/>
  <c r="BC363" i="33"/>
  <c r="AZ363" i="33"/>
  <c r="AY363" i="33"/>
  <c r="AX363" i="33"/>
  <c r="AW363" i="33"/>
  <c r="AV363" i="33"/>
  <c r="AS363" i="33"/>
  <c r="AR363" i="33"/>
  <c r="AQ363" i="33"/>
  <c r="AP363" i="33"/>
  <c r="AO363" i="33"/>
  <c r="AL363" i="33"/>
  <c r="AK363" i="33"/>
  <c r="AJ363" i="33"/>
  <c r="AI363" i="33"/>
  <c r="AH363" i="33"/>
  <c r="J363" i="33"/>
  <c r="I363" i="33"/>
  <c r="H363" i="33"/>
  <c r="G363" i="33"/>
  <c r="F363" i="33"/>
  <c r="DE362" i="33"/>
  <c r="CX362" i="33"/>
  <c r="CJ362" i="33"/>
  <c r="CI362" i="33"/>
  <c r="J368" i="33" s="1"/>
  <c r="CI368" i="33" s="1"/>
  <c r="J374" i="33" s="1"/>
  <c r="CI374" i="33" s="1"/>
  <c r="J380" i="33" s="1"/>
  <c r="CI380" i="33" s="1"/>
  <c r="J386" i="33" s="1"/>
  <c r="CI386" i="33" s="1"/>
  <c r="CH362" i="33"/>
  <c r="I368" i="33" s="1"/>
  <c r="CH368" i="33" s="1"/>
  <c r="I374" i="33" s="1"/>
  <c r="CH374" i="33" s="1"/>
  <c r="I380" i="33" s="1"/>
  <c r="CH380" i="33" s="1"/>
  <c r="I386" i="33" s="1"/>
  <c r="CH386" i="33" s="1"/>
  <c r="CG362" i="33"/>
  <c r="H368" i="33" s="1"/>
  <c r="CG368" i="33" s="1"/>
  <c r="H374" i="33" s="1"/>
  <c r="CG374" i="33" s="1"/>
  <c r="H380" i="33" s="1"/>
  <c r="CG380" i="33" s="1"/>
  <c r="H386" i="33" s="1"/>
  <c r="CG386" i="33" s="1"/>
  <c r="CF362" i="33"/>
  <c r="G368" i="33" s="1"/>
  <c r="CF368" i="33" s="1"/>
  <c r="G374" i="33" s="1"/>
  <c r="CF374" i="33" s="1"/>
  <c r="G380" i="33" s="1"/>
  <c r="CF380" i="33" s="1"/>
  <c r="G386" i="33" s="1"/>
  <c r="CF386" i="33" s="1"/>
  <c r="CE362" i="33"/>
  <c r="F368" i="33" s="1"/>
  <c r="CC362" i="33"/>
  <c r="BV362" i="33"/>
  <c r="BO362" i="33"/>
  <c r="BH362" i="33"/>
  <c r="BA362" i="33"/>
  <c r="AT362" i="33"/>
  <c r="AM362" i="33"/>
  <c r="AF362" i="33"/>
  <c r="Y362" i="33"/>
  <c r="R362" i="33"/>
  <c r="K362" i="33"/>
  <c r="DE361" i="33"/>
  <c r="CX361" i="33"/>
  <c r="CI361" i="33"/>
  <c r="J367" i="33" s="1"/>
  <c r="CI367" i="33" s="1"/>
  <c r="J373" i="33" s="1"/>
  <c r="CI373" i="33" s="1"/>
  <c r="J379" i="33" s="1"/>
  <c r="CI379" i="33" s="1"/>
  <c r="J385" i="33" s="1"/>
  <c r="CI385" i="33" s="1"/>
  <c r="CH361" i="33"/>
  <c r="I367" i="33" s="1"/>
  <c r="CH367" i="33" s="1"/>
  <c r="I373" i="33" s="1"/>
  <c r="CH373" i="33" s="1"/>
  <c r="I379" i="33" s="1"/>
  <c r="CH379" i="33" s="1"/>
  <c r="I385" i="33" s="1"/>
  <c r="CH385" i="33" s="1"/>
  <c r="CG361" i="33"/>
  <c r="H367" i="33" s="1"/>
  <c r="CG367" i="33" s="1"/>
  <c r="H373" i="33" s="1"/>
  <c r="CG373" i="33" s="1"/>
  <c r="H379" i="33" s="1"/>
  <c r="CG379" i="33" s="1"/>
  <c r="H385" i="33" s="1"/>
  <c r="CG385" i="33" s="1"/>
  <c r="CF361" i="33"/>
  <c r="G367" i="33" s="1"/>
  <c r="CF367" i="33" s="1"/>
  <c r="G373" i="33" s="1"/>
  <c r="CF373" i="33" s="1"/>
  <c r="G379" i="33" s="1"/>
  <c r="CF379" i="33" s="1"/>
  <c r="G385" i="33" s="1"/>
  <c r="CF385" i="33" s="1"/>
  <c r="CE361" i="33"/>
  <c r="CJ361" i="33" s="1"/>
  <c r="CC361" i="33"/>
  <c r="BV361" i="33"/>
  <c r="BO361" i="33"/>
  <c r="BH361" i="33"/>
  <c r="BA361" i="33"/>
  <c r="AT361" i="33"/>
  <c r="AM361" i="33"/>
  <c r="AF361" i="33"/>
  <c r="Y361" i="33"/>
  <c r="R361" i="33"/>
  <c r="K361" i="33"/>
  <c r="DE360" i="33"/>
  <c r="CX360" i="33"/>
  <c r="CJ360" i="33"/>
  <c r="CI360" i="33"/>
  <c r="J366" i="33" s="1"/>
  <c r="CI366" i="33" s="1"/>
  <c r="J372" i="33" s="1"/>
  <c r="CI372" i="33" s="1"/>
  <c r="J378" i="33" s="1"/>
  <c r="CI378" i="33" s="1"/>
  <c r="J384" i="33" s="1"/>
  <c r="CI384" i="33" s="1"/>
  <c r="CH360" i="33"/>
  <c r="I366" i="33" s="1"/>
  <c r="CH366" i="33" s="1"/>
  <c r="I372" i="33" s="1"/>
  <c r="CH372" i="33" s="1"/>
  <c r="I378" i="33" s="1"/>
  <c r="CH378" i="33" s="1"/>
  <c r="I384" i="33" s="1"/>
  <c r="CH384" i="33" s="1"/>
  <c r="CG360" i="33"/>
  <c r="CF360" i="33"/>
  <c r="CE360" i="33"/>
  <c r="F366" i="33" s="1"/>
  <c r="CC360" i="33"/>
  <c r="BV360" i="33"/>
  <c r="BO360" i="33"/>
  <c r="BO363" i="33" s="1"/>
  <c r="BH360" i="33"/>
  <c r="BA360" i="33"/>
  <c r="AT360" i="33"/>
  <c r="AM360" i="33"/>
  <c r="AF360" i="33"/>
  <c r="Y360" i="33"/>
  <c r="R360" i="33"/>
  <c r="K360" i="33"/>
  <c r="K363" i="33" s="1"/>
  <c r="DE359" i="33"/>
  <c r="DE363" i="33" s="1"/>
  <c r="CX359" i="33"/>
  <c r="CX363" i="33" s="1"/>
  <c r="CI359" i="33"/>
  <c r="J365" i="33" s="1"/>
  <c r="CH359" i="33"/>
  <c r="I365" i="33" s="1"/>
  <c r="CG359" i="33"/>
  <c r="CF359" i="33"/>
  <c r="G365" i="33" s="1"/>
  <c r="CE359" i="33"/>
  <c r="CJ359" i="33" s="1"/>
  <c r="CJ363" i="33" s="1"/>
  <c r="CC359" i="33"/>
  <c r="CC363" i="33" s="1"/>
  <c r="BV359" i="33"/>
  <c r="BV363" i="33" s="1"/>
  <c r="BO359" i="33"/>
  <c r="BH359" i="33"/>
  <c r="BH363" i="33" s="1"/>
  <c r="BA359" i="33"/>
  <c r="BA363" i="33" s="1"/>
  <c r="AT359" i="33"/>
  <c r="AT363" i="33" s="1"/>
  <c r="AM359" i="33"/>
  <c r="AF359" i="33"/>
  <c r="Y359" i="33"/>
  <c r="R359" i="33"/>
  <c r="K359" i="33"/>
  <c r="DD355" i="33"/>
  <c r="DC355" i="33"/>
  <c r="DB355" i="33"/>
  <c r="DA355" i="33"/>
  <c r="CZ355" i="33"/>
  <c r="CW355" i="33"/>
  <c r="CV355" i="33"/>
  <c r="CU355" i="33"/>
  <c r="CT355" i="33"/>
  <c r="CS355" i="33"/>
  <c r="CP355" i="33"/>
  <c r="CO355" i="33"/>
  <c r="CN355" i="33"/>
  <c r="CM355" i="33"/>
  <c r="CL355" i="33"/>
  <c r="CB355" i="33"/>
  <c r="CA355" i="33"/>
  <c r="BZ355" i="33"/>
  <c r="BY355" i="33"/>
  <c r="BX355" i="33"/>
  <c r="BU355" i="33"/>
  <c r="BT355" i="33"/>
  <c r="BS355" i="33"/>
  <c r="BR355" i="33"/>
  <c r="BQ355" i="33"/>
  <c r="BN355" i="33"/>
  <c r="BM355" i="33"/>
  <c r="BL355" i="33"/>
  <c r="BK355" i="33"/>
  <c r="BJ355" i="33"/>
  <c r="BG355" i="33"/>
  <c r="BF355" i="33"/>
  <c r="BE355" i="33"/>
  <c r="BD355" i="33"/>
  <c r="BC355" i="33"/>
  <c r="AZ355" i="33"/>
  <c r="AY355" i="33"/>
  <c r="AX355" i="33"/>
  <c r="AW355" i="33"/>
  <c r="AV355" i="33"/>
  <c r="AS355" i="33"/>
  <c r="AR355" i="33"/>
  <c r="AQ355" i="33"/>
  <c r="AP355" i="33"/>
  <c r="AO355" i="33"/>
  <c r="AL355" i="33"/>
  <c r="AK355" i="33"/>
  <c r="AJ355" i="33"/>
  <c r="AI355" i="33"/>
  <c r="AH355" i="33"/>
  <c r="DE354" i="33"/>
  <c r="CX354" i="33"/>
  <c r="CC354" i="33"/>
  <c r="BV354" i="33"/>
  <c r="BO354" i="33"/>
  <c r="BH354" i="33"/>
  <c r="BA354" i="33"/>
  <c r="AT354" i="33"/>
  <c r="AM354" i="33"/>
  <c r="AF354" i="33"/>
  <c r="Y354" i="33"/>
  <c r="R354" i="33"/>
  <c r="DE353" i="33"/>
  <c r="CX353" i="33"/>
  <c r="V16" i="40"/>
  <c r="CC353" i="33"/>
  <c r="BV353" i="33"/>
  <c r="BO353" i="33"/>
  <c r="BO355" i="33" s="1"/>
  <c r="BH353" i="33"/>
  <c r="BA353" i="33"/>
  <c r="AT353" i="33"/>
  <c r="AM353" i="33"/>
  <c r="AM355" i="33" s="1"/>
  <c r="AF353" i="33"/>
  <c r="Y353" i="33"/>
  <c r="R353" i="33"/>
  <c r="DE352" i="33"/>
  <c r="CX352" i="33"/>
  <c r="CC352" i="33"/>
  <c r="BV352" i="33"/>
  <c r="BV355" i="33" s="1"/>
  <c r="BO352" i="33"/>
  <c r="BH352" i="33"/>
  <c r="BA352" i="33"/>
  <c r="AT352" i="33"/>
  <c r="AM352" i="33"/>
  <c r="AF352" i="33"/>
  <c r="Y352" i="33"/>
  <c r="L16" i="40" s="1"/>
  <c r="R352" i="33"/>
  <c r="DE351" i="33"/>
  <c r="DE355" i="33" s="1"/>
  <c r="CX351" i="33"/>
  <c r="CX355" i="33" s="1"/>
  <c r="CC351" i="33"/>
  <c r="CC355" i="33" s="1"/>
  <c r="BV351" i="33"/>
  <c r="BO351" i="33"/>
  <c r="BH351" i="33"/>
  <c r="BH355" i="33" s="1"/>
  <c r="BA351" i="33"/>
  <c r="BA355" i="33" s="1"/>
  <c r="AT351" i="33"/>
  <c r="AT355" i="33" s="1"/>
  <c r="AM351" i="33"/>
  <c r="AF351" i="33"/>
  <c r="Y351" i="33"/>
  <c r="R351" i="33"/>
  <c r="DD349" i="33"/>
  <c r="DC349" i="33"/>
  <c r="DB349" i="33"/>
  <c r="DA349" i="33"/>
  <c r="CZ349" i="33"/>
  <c r="CW349" i="33"/>
  <c r="CV349" i="33"/>
  <c r="CU349" i="33"/>
  <c r="CT349" i="33"/>
  <c r="CS349" i="33"/>
  <c r="CP349" i="33"/>
  <c r="CO349" i="33"/>
  <c r="CN349" i="33"/>
  <c r="CM349" i="33"/>
  <c r="CL349" i="33"/>
  <c r="CB349" i="33"/>
  <c r="CA349" i="33"/>
  <c r="BZ349" i="33"/>
  <c r="BY349" i="33"/>
  <c r="BX349" i="33"/>
  <c r="BU349" i="33"/>
  <c r="BT349" i="33"/>
  <c r="BS349" i="33"/>
  <c r="BR349" i="33"/>
  <c r="BQ349" i="33"/>
  <c r="BN349" i="33"/>
  <c r="BM349" i="33"/>
  <c r="BL349" i="33"/>
  <c r="BK349" i="33"/>
  <c r="BJ349" i="33"/>
  <c r="BG349" i="33"/>
  <c r="BF349" i="33"/>
  <c r="BE349" i="33"/>
  <c r="BD349" i="33"/>
  <c r="BC349" i="33"/>
  <c r="AZ349" i="33"/>
  <c r="AY349" i="33"/>
  <c r="AX349" i="33"/>
  <c r="AW349" i="33"/>
  <c r="AV349" i="33"/>
  <c r="AS349" i="33"/>
  <c r="AR349" i="33"/>
  <c r="AQ349" i="33"/>
  <c r="AP349" i="33"/>
  <c r="AO349" i="33"/>
  <c r="AL349" i="33"/>
  <c r="AK349" i="33"/>
  <c r="AJ349" i="33"/>
  <c r="AI349" i="33"/>
  <c r="AH349" i="33"/>
  <c r="DE348" i="33"/>
  <c r="CX348" i="33"/>
  <c r="CC348" i="33"/>
  <c r="BV348" i="33"/>
  <c r="BO348" i="33"/>
  <c r="BH348" i="33"/>
  <c r="BA348" i="33"/>
  <c r="AT348" i="33"/>
  <c r="AM348" i="33"/>
  <c r="AF348" i="33"/>
  <c r="Y348" i="33"/>
  <c r="R348" i="33"/>
  <c r="DE347" i="33"/>
  <c r="CX347" i="33"/>
  <c r="U16" i="40"/>
  <c r="CC347" i="33"/>
  <c r="BV347" i="33"/>
  <c r="BO347" i="33"/>
  <c r="BO349" i="33" s="1"/>
  <c r="BH347" i="33"/>
  <c r="BA347" i="33"/>
  <c r="AT347" i="33"/>
  <c r="AM347" i="33"/>
  <c r="AM349" i="33" s="1"/>
  <c r="AF347" i="33"/>
  <c r="Y347" i="33"/>
  <c r="R347" i="33"/>
  <c r="DE346" i="33"/>
  <c r="CX346" i="33"/>
  <c r="CC346" i="33"/>
  <c r="BV346" i="33"/>
  <c r="BO346" i="33"/>
  <c r="BH346" i="33"/>
  <c r="BA346" i="33"/>
  <c r="AT346" i="33"/>
  <c r="AM346" i="33"/>
  <c r="AF346" i="33"/>
  <c r="Y346" i="33"/>
  <c r="K16" i="40" s="1"/>
  <c r="R346" i="33"/>
  <c r="DE345" i="33"/>
  <c r="DE349" i="33" s="1"/>
  <c r="CX345" i="33"/>
  <c r="CX349" i="33" s="1"/>
  <c r="CC345" i="33"/>
  <c r="CC349" i="33" s="1"/>
  <c r="BV345" i="33"/>
  <c r="BV349" i="33" s="1"/>
  <c r="BO345" i="33"/>
  <c r="BH345" i="33"/>
  <c r="BH349" i="33" s="1"/>
  <c r="BA345" i="33"/>
  <c r="BA349" i="33" s="1"/>
  <c r="AT345" i="33"/>
  <c r="AT349" i="33" s="1"/>
  <c r="AM345" i="33"/>
  <c r="AF345" i="33"/>
  <c r="Y345" i="33"/>
  <c r="R345" i="33"/>
  <c r="DD343" i="33"/>
  <c r="DC343" i="33"/>
  <c r="DB343" i="33"/>
  <c r="DA343" i="33"/>
  <c r="CZ343" i="33"/>
  <c r="CW343" i="33"/>
  <c r="CV343" i="33"/>
  <c r="CU343" i="33"/>
  <c r="CT343" i="33"/>
  <c r="CS343" i="33"/>
  <c r="CP343" i="33"/>
  <c r="CO343" i="33"/>
  <c r="CN343" i="33"/>
  <c r="CM343" i="33"/>
  <c r="CL343" i="33"/>
  <c r="CB343" i="33"/>
  <c r="CA343" i="33"/>
  <c r="BZ343" i="33"/>
  <c r="BY343" i="33"/>
  <c r="BX343" i="33"/>
  <c r="BU343" i="33"/>
  <c r="BT343" i="33"/>
  <c r="BS343" i="33"/>
  <c r="BR343" i="33"/>
  <c r="BQ343" i="33"/>
  <c r="BN343" i="33"/>
  <c r="BM343" i="33"/>
  <c r="BL343" i="33"/>
  <c r="BK343" i="33"/>
  <c r="BJ343" i="33"/>
  <c r="BG343" i="33"/>
  <c r="BF343" i="33"/>
  <c r="BE343" i="33"/>
  <c r="BD343" i="33"/>
  <c r="BC343" i="33"/>
  <c r="AZ343" i="33"/>
  <c r="AY343" i="33"/>
  <c r="AX343" i="33"/>
  <c r="AW343" i="33"/>
  <c r="AV343" i="33"/>
  <c r="AS343" i="33"/>
  <c r="AR343" i="33"/>
  <c r="AQ343" i="33"/>
  <c r="AP343" i="33"/>
  <c r="AO343" i="33"/>
  <c r="AL343" i="33"/>
  <c r="AK343" i="33"/>
  <c r="AJ343" i="33"/>
  <c r="AI343" i="33"/>
  <c r="AH343" i="33"/>
  <c r="DE342" i="33"/>
  <c r="CX342" i="33"/>
  <c r="CC342" i="33"/>
  <c r="BV342" i="33"/>
  <c r="BO342" i="33"/>
  <c r="BH342" i="33"/>
  <c r="BA342" i="33"/>
  <c r="AT342" i="33"/>
  <c r="AM342" i="33"/>
  <c r="AF342" i="33"/>
  <c r="Y342" i="33"/>
  <c r="R342" i="33"/>
  <c r="DE341" i="33"/>
  <c r="CX341" i="33"/>
  <c r="CC341" i="33"/>
  <c r="BV341" i="33"/>
  <c r="BO341" i="33"/>
  <c r="BO343" i="33" s="1"/>
  <c r="BH341" i="33"/>
  <c r="BA341" i="33"/>
  <c r="AT341" i="33"/>
  <c r="AM341" i="33"/>
  <c r="AM343" i="33" s="1"/>
  <c r="AF341" i="33"/>
  <c r="Y341" i="33"/>
  <c r="R341" i="33"/>
  <c r="DE340" i="33"/>
  <c r="CX340" i="33"/>
  <c r="CC340" i="33"/>
  <c r="BV340" i="33"/>
  <c r="BO340" i="33"/>
  <c r="BH340" i="33"/>
  <c r="BA340" i="33"/>
  <c r="AT340" i="33"/>
  <c r="AM340" i="33"/>
  <c r="AF340" i="33"/>
  <c r="Y340" i="33"/>
  <c r="J16" i="40" s="1"/>
  <c r="R340" i="33"/>
  <c r="DE339" i="33"/>
  <c r="DE343" i="33" s="1"/>
  <c r="CX339" i="33"/>
  <c r="CX343" i="33" s="1"/>
  <c r="CC339" i="33"/>
  <c r="CC343" i="33" s="1"/>
  <c r="BV339" i="33"/>
  <c r="BV343" i="33" s="1"/>
  <c r="BO339" i="33"/>
  <c r="BH339" i="33"/>
  <c r="BH343" i="33" s="1"/>
  <c r="BA339" i="33"/>
  <c r="BA343" i="33" s="1"/>
  <c r="AT339" i="33"/>
  <c r="AT343" i="33" s="1"/>
  <c r="AM339" i="33"/>
  <c r="AF339" i="33"/>
  <c r="Y339" i="33"/>
  <c r="R339" i="33"/>
  <c r="DD337" i="33"/>
  <c r="DC337" i="33"/>
  <c r="DB337" i="33"/>
  <c r="DA337" i="33"/>
  <c r="CZ337" i="33"/>
  <c r="CW337" i="33"/>
  <c r="CV337" i="33"/>
  <c r="CU337" i="33"/>
  <c r="CT337" i="33"/>
  <c r="CS337" i="33"/>
  <c r="CP337" i="33"/>
  <c r="CO337" i="33"/>
  <c r="CN337" i="33"/>
  <c r="CM337" i="33"/>
  <c r="CL337" i="33"/>
  <c r="CB337" i="33"/>
  <c r="CA337" i="33"/>
  <c r="BZ337" i="33"/>
  <c r="BY337" i="33"/>
  <c r="BX337" i="33"/>
  <c r="BU337" i="33"/>
  <c r="BT337" i="33"/>
  <c r="BS337" i="33"/>
  <c r="BR337" i="33"/>
  <c r="BQ337" i="33"/>
  <c r="BN337" i="33"/>
  <c r="BM337" i="33"/>
  <c r="BL337" i="33"/>
  <c r="BK337" i="33"/>
  <c r="BJ337" i="33"/>
  <c r="BG337" i="33"/>
  <c r="BF337" i="33"/>
  <c r="BE337" i="33"/>
  <c r="BD337" i="33"/>
  <c r="BC337" i="33"/>
  <c r="AZ337" i="33"/>
  <c r="AY337" i="33"/>
  <c r="AX337" i="33"/>
  <c r="AW337" i="33"/>
  <c r="AV337" i="33"/>
  <c r="AS337" i="33"/>
  <c r="AR337" i="33"/>
  <c r="AQ337" i="33"/>
  <c r="AP337" i="33"/>
  <c r="AO337" i="33"/>
  <c r="AL337" i="33"/>
  <c r="AK337" i="33"/>
  <c r="AJ337" i="33"/>
  <c r="AI337" i="33"/>
  <c r="AH337" i="33"/>
  <c r="DE336" i="33"/>
  <c r="CX336" i="33"/>
  <c r="CC336" i="33"/>
  <c r="BV336" i="33"/>
  <c r="BO336" i="33"/>
  <c r="BH336" i="33"/>
  <c r="BA336" i="33"/>
  <c r="AT336" i="33"/>
  <c r="AM336" i="33"/>
  <c r="AF336" i="33"/>
  <c r="Y336" i="33"/>
  <c r="R336" i="33"/>
  <c r="DE335" i="33"/>
  <c r="CX335" i="33"/>
  <c r="CC335" i="33"/>
  <c r="BV335" i="33"/>
  <c r="BO335" i="33"/>
  <c r="BO337" i="33" s="1"/>
  <c r="BH335" i="33"/>
  <c r="BA335" i="33"/>
  <c r="AT335" i="33"/>
  <c r="AM335" i="33"/>
  <c r="AM337" i="33" s="1"/>
  <c r="AF335" i="33"/>
  <c r="Y335" i="33"/>
  <c r="R335" i="33"/>
  <c r="DE334" i="33"/>
  <c r="CX334" i="33"/>
  <c r="CC334" i="33"/>
  <c r="BV334" i="33"/>
  <c r="BO334" i="33"/>
  <c r="BH334" i="33"/>
  <c r="BA334" i="33"/>
  <c r="AT334" i="33"/>
  <c r="AM334" i="33"/>
  <c r="AF334" i="33"/>
  <c r="Y334" i="33"/>
  <c r="I16" i="40" s="1"/>
  <c r="R334" i="33"/>
  <c r="H334" i="33"/>
  <c r="CG334" i="33" s="1"/>
  <c r="H340" i="33" s="1"/>
  <c r="CG340" i="33" s="1"/>
  <c r="H346" i="33" s="1"/>
  <c r="CG346" i="33" s="1"/>
  <c r="H352" i="33" s="1"/>
  <c r="CG352" i="33" s="1"/>
  <c r="DE333" i="33"/>
  <c r="DE337" i="33" s="1"/>
  <c r="CX333" i="33"/>
  <c r="CX337" i="33" s="1"/>
  <c r="CC333" i="33"/>
  <c r="CC337" i="33" s="1"/>
  <c r="BV333" i="33"/>
  <c r="BV337" i="33" s="1"/>
  <c r="BO333" i="33"/>
  <c r="BH333" i="33"/>
  <c r="BH337" i="33" s="1"/>
  <c r="BA333" i="33"/>
  <c r="BA337" i="33" s="1"/>
  <c r="AT333" i="33"/>
  <c r="AT337" i="33" s="1"/>
  <c r="AM333" i="33"/>
  <c r="AF333" i="33"/>
  <c r="Y333" i="33"/>
  <c r="R333" i="33"/>
  <c r="I333" i="33"/>
  <c r="F333" i="33"/>
  <c r="DD331" i="33"/>
  <c r="DC331" i="33"/>
  <c r="DB331" i="33"/>
  <c r="DA331" i="33"/>
  <c r="CZ331" i="33"/>
  <c r="CW331" i="33"/>
  <c r="CV331" i="33"/>
  <c r="CU331" i="33"/>
  <c r="CT331" i="33"/>
  <c r="CS331" i="33"/>
  <c r="CP331" i="33"/>
  <c r="CO331" i="33"/>
  <c r="CN331" i="33"/>
  <c r="CM331" i="33"/>
  <c r="CL331" i="33"/>
  <c r="CH331" i="33"/>
  <c r="CE331" i="33"/>
  <c r="CC331" i="33"/>
  <c r="CB331" i="33"/>
  <c r="CA331" i="33"/>
  <c r="BZ331" i="33"/>
  <c r="BY331" i="33"/>
  <c r="BX331" i="33"/>
  <c r="BU331" i="33"/>
  <c r="BT331" i="33"/>
  <c r="BS331" i="33"/>
  <c r="BR331" i="33"/>
  <c r="BQ331" i="33"/>
  <c r="BN331" i="33"/>
  <c r="BM331" i="33"/>
  <c r="BL331" i="33"/>
  <c r="BK331" i="33"/>
  <c r="BJ331" i="33"/>
  <c r="BG331" i="33"/>
  <c r="BF331" i="33"/>
  <c r="BE331" i="33"/>
  <c r="BD331" i="33"/>
  <c r="BC331" i="33"/>
  <c r="BA331" i="33"/>
  <c r="AZ331" i="33"/>
  <c r="AY331" i="33"/>
  <c r="AX331" i="33"/>
  <c r="AW331" i="33"/>
  <c r="AV331" i="33"/>
  <c r="AS331" i="33"/>
  <c r="AR331" i="33"/>
  <c r="AQ331" i="33"/>
  <c r="AP331" i="33"/>
  <c r="AO331" i="33"/>
  <c r="AL331" i="33"/>
  <c r="AK331" i="33"/>
  <c r="AJ331" i="33"/>
  <c r="AI331" i="33"/>
  <c r="AH331" i="33"/>
  <c r="J331" i="33"/>
  <c r="I331" i="33"/>
  <c r="H331" i="33"/>
  <c r="G331" i="33"/>
  <c r="F331" i="33"/>
  <c r="DE330" i="33"/>
  <c r="CX330" i="33"/>
  <c r="CJ330" i="33"/>
  <c r="CI330" i="33"/>
  <c r="J336" i="33" s="1"/>
  <c r="CI336" i="33" s="1"/>
  <c r="J342" i="33" s="1"/>
  <c r="CI342" i="33" s="1"/>
  <c r="J348" i="33" s="1"/>
  <c r="CI348" i="33" s="1"/>
  <c r="J354" i="33" s="1"/>
  <c r="CI354" i="33" s="1"/>
  <c r="CH330" i="33"/>
  <c r="I336" i="33" s="1"/>
  <c r="CH336" i="33" s="1"/>
  <c r="I342" i="33" s="1"/>
  <c r="CH342" i="33" s="1"/>
  <c r="I348" i="33" s="1"/>
  <c r="CH348" i="33" s="1"/>
  <c r="I354" i="33" s="1"/>
  <c r="CH354" i="33" s="1"/>
  <c r="CG330" i="33"/>
  <c r="H336" i="33" s="1"/>
  <c r="CG336" i="33" s="1"/>
  <c r="H342" i="33" s="1"/>
  <c r="CG342" i="33" s="1"/>
  <c r="H348" i="33" s="1"/>
  <c r="CG348" i="33" s="1"/>
  <c r="H354" i="33" s="1"/>
  <c r="CG354" i="33" s="1"/>
  <c r="CF330" i="33"/>
  <c r="G336" i="33" s="1"/>
  <c r="CF336" i="33" s="1"/>
  <c r="G342" i="33" s="1"/>
  <c r="CF342" i="33" s="1"/>
  <c r="G348" i="33" s="1"/>
  <c r="CF348" i="33" s="1"/>
  <c r="G354" i="33" s="1"/>
  <c r="CF354" i="33" s="1"/>
  <c r="CE330" i="33"/>
  <c r="F336" i="33" s="1"/>
  <c r="CC330" i="33"/>
  <c r="BV330" i="33"/>
  <c r="BO330" i="33"/>
  <c r="BH330" i="33"/>
  <c r="BA330" i="33"/>
  <c r="AT330" i="33"/>
  <c r="AM330" i="33"/>
  <c r="AF330" i="33"/>
  <c r="Y330" i="33"/>
  <c r="R330" i="33"/>
  <c r="K330" i="33"/>
  <c r="DE329" i="33"/>
  <c r="CX329" i="33"/>
  <c r="CI329" i="33"/>
  <c r="J335" i="33" s="1"/>
  <c r="CI335" i="33" s="1"/>
  <c r="J341" i="33" s="1"/>
  <c r="CI341" i="33" s="1"/>
  <c r="J347" i="33" s="1"/>
  <c r="CI347" i="33" s="1"/>
  <c r="J353" i="33" s="1"/>
  <c r="CI353" i="33" s="1"/>
  <c r="CH329" i="33"/>
  <c r="I335" i="33" s="1"/>
  <c r="CH335" i="33" s="1"/>
  <c r="I341" i="33" s="1"/>
  <c r="CH341" i="33" s="1"/>
  <c r="I347" i="33" s="1"/>
  <c r="CH347" i="33" s="1"/>
  <c r="I353" i="33" s="1"/>
  <c r="CH353" i="33" s="1"/>
  <c r="CG329" i="33"/>
  <c r="H335" i="33" s="1"/>
  <c r="CG335" i="33" s="1"/>
  <c r="H341" i="33" s="1"/>
  <c r="CG341" i="33" s="1"/>
  <c r="H347" i="33" s="1"/>
  <c r="CG347" i="33" s="1"/>
  <c r="H353" i="33" s="1"/>
  <c r="CG353" i="33" s="1"/>
  <c r="CF329" i="33"/>
  <c r="G335" i="33" s="1"/>
  <c r="CF335" i="33" s="1"/>
  <c r="G341" i="33" s="1"/>
  <c r="CF341" i="33" s="1"/>
  <c r="G347" i="33" s="1"/>
  <c r="CF347" i="33" s="1"/>
  <c r="G353" i="33" s="1"/>
  <c r="CF353" i="33" s="1"/>
  <c r="CE329" i="33"/>
  <c r="CJ329" i="33" s="1"/>
  <c r="CC329" i="33"/>
  <c r="BV329" i="33"/>
  <c r="BO329" i="33"/>
  <c r="BH329" i="33"/>
  <c r="BA329" i="33"/>
  <c r="AT329" i="33"/>
  <c r="AM329" i="33"/>
  <c r="AF329" i="33"/>
  <c r="Y329" i="33"/>
  <c r="R329" i="33"/>
  <c r="K329" i="33"/>
  <c r="DE328" i="33"/>
  <c r="CX328" i="33"/>
  <c r="CJ328" i="33"/>
  <c r="CI328" i="33"/>
  <c r="J334" i="33" s="1"/>
  <c r="CI334" i="33" s="1"/>
  <c r="J340" i="33" s="1"/>
  <c r="CI340" i="33" s="1"/>
  <c r="J346" i="33" s="1"/>
  <c r="CI346" i="33" s="1"/>
  <c r="J352" i="33" s="1"/>
  <c r="CI352" i="33" s="1"/>
  <c r="CH328" i="33"/>
  <c r="I334" i="33" s="1"/>
  <c r="CH334" i="33" s="1"/>
  <c r="I340" i="33" s="1"/>
  <c r="CH340" i="33" s="1"/>
  <c r="I346" i="33" s="1"/>
  <c r="CH346" i="33" s="1"/>
  <c r="I352" i="33" s="1"/>
  <c r="CH352" i="33" s="1"/>
  <c r="CG328" i="33"/>
  <c r="CF328" i="33"/>
  <c r="G334" i="33" s="1"/>
  <c r="CF334" i="33" s="1"/>
  <c r="G340" i="33" s="1"/>
  <c r="CF340" i="33" s="1"/>
  <c r="G346" i="33" s="1"/>
  <c r="CF346" i="33" s="1"/>
  <c r="G352" i="33" s="1"/>
  <c r="CF352" i="33" s="1"/>
  <c r="CE328" i="33"/>
  <c r="F334" i="33" s="1"/>
  <c r="CC328" i="33"/>
  <c r="BV328" i="33"/>
  <c r="BO328" i="33"/>
  <c r="BO331" i="33" s="1"/>
  <c r="BH328" i="33"/>
  <c r="BA328" i="33"/>
  <c r="AT328" i="33"/>
  <c r="AM328" i="33"/>
  <c r="AF328" i="33"/>
  <c r="Y328" i="33"/>
  <c r="R328" i="33"/>
  <c r="K328" i="33"/>
  <c r="DE327" i="33"/>
  <c r="DE331" i="33" s="1"/>
  <c r="CX327" i="33"/>
  <c r="CX331" i="33" s="1"/>
  <c r="CI327" i="33"/>
  <c r="J333" i="33" s="1"/>
  <c r="CH327" i="33"/>
  <c r="CG327" i="33"/>
  <c r="H333" i="33" s="1"/>
  <c r="CF327" i="33"/>
  <c r="O76" i="34" s="1" a="1"/>
  <c r="O76" i="34" s="1"/>
  <c r="CE327" i="33"/>
  <c r="CJ327" i="33" s="1"/>
  <c r="CC327" i="33"/>
  <c r="BV327" i="33"/>
  <c r="BV331" i="33" s="1"/>
  <c r="BO327" i="33"/>
  <c r="BH327" i="33"/>
  <c r="BH331" i="33" s="1"/>
  <c r="BA327" i="33"/>
  <c r="AT327" i="33"/>
  <c r="AT331" i="33" s="1"/>
  <c r="AM327" i="33"/>
  <c r="AF327" i="33"/>
  <c r="Y327" i="33"/>
  <c r="R327" i="33"/>
  <c r="K327" i="33"/>
  <c r="K331" i="33" s="1"/>
  <c r="DD323" i="33"/>
  <c r="DC323" i="33"/>
  <c r="DB323" i="33"/>
  <c r="DA323" i="33"/>
  <c r="CZ323" i="33"/>
  <c r="CW323" i="33"/>
  <c r="CV323" i="33"/>
  <c r="CU323" i="33"/>
  <c r="CT323" i="33"/>
  <c r="CS323" i="33"/>
  <c r="CP323" i="33"/>
  <c r="CO323" i="33"/>
  <c r="CN323" i="33"/>
  <c r="CM323" i="33"/>
  <c r="CL323" i="33"/>
  <c r="CB323" i="33"/>
  <c r="CA323" i="33"/>
  <c r="BZ323" i="33"/>
  <c r="BY323" i="33"/>
  <c r="BX323" i="33"/>
  <c r="BU323" i="33"/>
  <c r="BT323" i="33"/>
  <c r="BS323" i="33"/>
  <c r="BR323" i="33"/>
  <c r="BQ323" i="33"/>
  <c r="BN323" i="33"/>
  <c r="BM323" i="33"/>
  <c r="BL323" i="33"/>
  <c r="BK323" i="33"/>
  <c r="BJ323" i="33"/>
  <c r="BG323" i="33"/>
  <c r="BF323" i="33"/>
  <c r="BE323" i="33"/>
  <c r="BD323" i="33"/>
  <c r="BC323" i="33"/>
  <c r="AZ323" i="33"/>
  <c r="AY323" i="33"/>
  <c r="AX323" i="33"/>
  <c r="AW323" i="33"/>
  <c r="AV323" i="33"/>
  <c r="AS323" i="33"/>
  <c r="AR323" i="33"/>
  <c r="AQ323" i="33"/>
  <c r="AP323" i="33"/>
  <c r="AO323" i="33"/>
  <c r="AL323" i="33"/>
  <c r="AK323" i="33"/>
  <c r="AJ323" i="33"/>
  <c r="AI323" i="33"/>
  <c r="AH323" i="33"/>
  <c r="DE322" i="33"/>
  <c r="CX322" i="33"/>
  <c r="CC322" i="33"/>
  <c r="BV322" i="33"/>
  <c r="BO322" i="33"/>
  <c r="BH322" i="33"/>
  <c r="BA322" i="33"/>
  <c r="AT322" i="33"/>
  <c r="AM322" i="33"/>
  <c r="AF322" i="33"/>
  <c r="Y322" i="33"/>
  <c r="R322" i="33"/>
  <c r="DE321" i="33"/>
  <c r="CX321" i="33"/>
  <c r="CC321" i="33"/>
  <c r="BV321" i="33"/>
  <c r="BO321" i="33"/>
  <c r="BH321" i="33"/>
  <c r="BA321" i="33"/>
  <c r="AT321" i="33"/>
  <c r="AM321" i="33"/>
  <c r="AF321" i="33"/>
  <c r="Y321" i="33"/>
  <c r="R321" i="33"/>
  <c r="DE320" i="33"/>
  <c r="CX320" i="33"/>
  <c r="CX323" i="33" s="1"/>
  <c r="CC320" i="33"/>
  <c r="BV320" i="33"/>
  <c r="BO320" i="33"/>
  <c r="BH320" i="33"/>
  <c r="BA320" i="33"/>
  <c r="AT320" i="33"/>
  <c r="AM320" i="33"/>
  <c r="AF320" i="33"/>
  <c r="Y320" i="33"/>
  <c r="L15" i="40" s="1"/>
  <c r="R320" i="33"/>
  <c r="DE319" i="33"/>
  <c r="DE323" i="33" s="1"/>
  <c r="CX319" i="33"/>
  <c r="CC319" i="33"/>
  <c r="CC323" i="33" s="1"/>
  <c r="BV319" i="33"/>
  <c r="BV323" i="33" s="1"/>
  <c r="BO319" i="33"/>
  <c r="BO323" i="33" s="1"/>
  <c r="BH319" i="33"/>
  <c r="BH323" i="33" s="1"/>
  <c r="BA319" i="33"/>
  <c r="BA323" i="33" s="1"/>
  <c r="AT319" i="33"/>
  <c r="AT323" i="33" s="1"/>
  <c r="AM319" i="33"/>
  <c r="AM323" i="33" s="1"/>
  <c r="AF319" i="33"/>
  <c r="Y319" i="33"/>
  <c r="R319" i="33"/>
  <c r="DD317" i="33"/>
  <c r="DC317" i="33"/>
  <c r="DB317" i="33"/>
  <c r="DA317" i="33"/>
  <c r="CZ317" i="33"/>
  <c r="CW317" i="33"/>
  <c r="CV317" i="33"/>
  <c r="CU317" i="33"/>
  <c r="CT317" i="33"/>
  <c r="CS317" i="33"/>
  <c r="CP317" i="33"/>
  <c r="CO317" i="33"/>
  <c r="CN317" i="33"/>
  <c r="CM317" i="33"/>
  <c r="CL317" i="33"/>
  <c r="CB317" i="33"/>
  <c r="CA317" i="33"/>
  <c r="BZ317" i="33"/>
  <c r="BY317" i="33"/>
  <c r="BX317" i="33"/>
  <c r="BU317" i="33"/>
  <c r="BT317" i="33"/>
  <c r="BS317" i="33"/>
  <c r="BR317" i="33"/>
  <c r="BQ317" i="33"/>
  <c r="BN317" i="33"/>
  <c r="BM317" i="33"/>
  <c r="BL317" i="33"/>
  <c r="BK317" i="33"/>
  <c r="BJ317" i="33"/>
  <c r="BG317" i="33"/>
  <c r="BF317" i="33"/>
  <c r="BE317" i="33"/>
  <c r="BD317" i="33"/>
  <c r="BC317" i="33"/>
  <c r="AZ317" i="33"/>
  <c r="AY317" i="33"/>
  <c r="AX317" i="33"/>
  <c r="AW317" i="33"/>
  <c r="AV317" i="33"/>
  <c r="AS317" i="33"/>
  <c r="AR317" i="33"/>
  <c r="AQ317" i="33"/>
  <c r="AP317" i="33"/>
  <c r="AO317" i="33"/>
  <c r="AL317" i="33"/>
  <c r="AK317" i="33"/>
  <c r="AJ317" i="33"/>
  <c r="AI317" i="33"/>
  <c r="AH317" i="33"/>
  <c r="DE316" i="33"/>
  <c r="CX316" i="33"/>
  <c r="CC316" i="33"/>
  <c r="BV316" i="33"/>
  <c r="BO316" i="33"/>
  <c r="BH316" i="33"/>
  <c r="BA316" i="33"/>
  <c r="AT316" i="33"/>
  <c r="AM316" i="33"/>
  <c r="AF316" i="33"/>
  <c r="Y316" i="33"/>
  <c r="R316" i="33"/>
  <c r="DE315" i="33"/>
  <c r="CX315" i="33"/>
  <c r="U15" i="40"/>
  <c r="CC315" i="33"/>
  <c r="BV315" i="33"/>
  <c r="BO315" i="33"/>
  <c r="BH315" i="33"/>
  <c r="BA315" i="33"/>
  <c r="AT315" i="33"/>
  <c r="AM315" i="33"/>
  <c r="AF315" i="33"/>
  <c r="Y315" i="33"/>
  <c r="R315" i="33"/>
  <c r="DE314" i="33"/>
  <c r="CX314" i="33"/>
  <c r="CX317" i="33" s="1"/>
  <c r="CC314" i="33"/>
  <c r="BV314" i="33"/>
  <c r="BO314" i="33"/>
  <c r="BH314" i="33"/>
  <c r="BA314" i="33"/>
  <c r="AT314" i="33"/>
  <c r="AM314" i="33"/>
  <c r="AF314" i="33"/>
  <c r="Y314" i="33"/>
  <c r="K15" i="40" s="1"/>
  <c r="R314" i="33"/>
  <c r="DE313" i="33"/>
  <c r="DE317" i="33" s="1"/>
  <c r="CX313" i="33"/>
  <c r="CC313" i="33"/>
  <c r="CC317" i="33" s="1"/>
  <c r="BV313" i="33"/>
  <c r="BV317" i="33" s="1"/>
  <c r="BO313" i="33"/>
  <c r="BO317" i="33" s="1"/>
  <c r="BH313" i="33"/>
  <c r="BH317" i="33" s="1"/>
  <c r="BA313" i="33"/>
  <c r="BA317" i="33" s="1"/>
  <c r="AT313" i="33"/>
  <c r="AT317" i="33" s="1"/>
  <c r="AM313" i="33"/>
  <c r="AM317" i="33" s="1"/>
  <c r="AF313" i="33"/>
  <c r="Y313" i="33"/>
  <c r="R313" i="33"/>
  <c r="DD311" i="33"/>
  <c r="DC311" i="33"/>
  <c r="DB311" i="33"/>
  <c r="DA311" i="33"/>
  <c r="CZ311" i="33"/>
  <c r="CW311" i="33"/>
  <c r="CV311" i="33"/>
  <c r="CU311" i="33"/>
  <c r="CT311" i="33"/>
  <c r="CS311" i="33"/>
  <c r="CP311" i="33"/>
  <c r="CO311" i="33"/>
  <c r="CN311" i="33"/>
  <c r="CM311" i="33"/>
  <c r="CL311" i="33"/>
  <c r="CB311" i="33"/>
  <c r="CA311" i="33"/>
  <c r="BZ311" i="33"/>
  <c r="BY311" i="33"/>
  <c r="BX311" i="33"/>
  <c r="BU311" i="33"/>
  <c r="BT311" i="33"/>
  <c r="BS311" i="33"/>
  <c r="BR311" i="33"/>
  <c r="BQ311" i="33"/>
  <c r="BN311" i="33"/>
  <c r="BM311" i="33"/>
  <c r="BL311" i="33"/>
  <c r="BK311" i="33"/>
  <c r="BJ311" i="33"/>
  <c r="BG311" i="33"/>
  <c r="BF311" i="33"/>
  <c r="BE311" i="33"/>
  <c r="BD311" i="33"/>
  <c r="BC311" i="33"/>
  <c r="AZ311" i="33"/>
  <c r="AY311" i="33"/>
  <c r="AX311" i="33"/>
  <c r="AW311" i="33"/>
  <c r="AV311" i="33"/>
  <c r="AS311" i="33"/>
  <c r="AR311" i="33"/>
  <c r="AQ311" i="33"/>
  <c r="AP311" i="33"/>
  <c r="AO311" i="33"/>
  <c r="AL311" i="33"/>
  <c r="AK311" i="33"/>
  <c r="AJ311" i="33"/>
  <c r="AI311" i="33"/>
  <c r="AH311" i="33"/>
  <c r="DE310" i="33"/>
  <c r="CX310" i="33"/>
  <c r="CC310" i="33"/>
  <c r="BV310" i="33"/>
  <c r="BO310" i="33"/>
  <c r="BH310" i="33"/>
  <c r="BA310" i="33"/>
  <c r="AT310" i="33"/>
  <c r="AM310" i="33"/>
  <c r="AF310" i="33"/>
  <c r="Y310" i="33"/>
  <c r="R310" i="33"/>
  <c r="DE309" i="33"/>
  <c r="CX309" i="33"/>
  <c r="CC309" i="33"/>
  <c r="BV309" i="33"/>
  <c r="BO309" i="33"/>
  <c r="BH309" i="33"/>
  <c r="BA309" i="33"/>
  <c r="AT309" i="33"/>
  <c r="AM309" i="33"/>
  <c r="AF309" i="33"/>
  <c r="Y309" i="33"/>
  <c r="R309" i="33"/>
  <c r="DE308" i="33"/>
  <c r="CX308" i="33"/>
  <c r="CX311" i="33" s="1"/>
  <c r="CC308" i="33"/>
  <c r="BV308" i="33"/>
  <c r="BO308" i="33"/>
  <c r="BH308" i="33"/>
  <c r="BA308" i="33"/>
  <c r="AT308" i="33"/>
  <c r="AT311" i="33" s="1"/>
  <c r="AM308" i="33"/>
  <c r="AF308" i="33"/>
  <c r="Y308" i="33"/>
  <c r="R308" i="33"/>
  <c r="DE307" i="33"/>
  <c r="DE311" i="33" s="1"/>
  <c r="CX307" i="33"/>
  <c r="CC307" i="33"/>
  <c r="CC311" i="33" s="1"/>
  <c r="BV307" i="33"/>
  <c r="BV311" i="33" s="1"/>
  <c r="BO307" i="33"/>
  <c r="BO311" i="33" s="1"/>
  <c r="BH307" i="33"/>
  <c r="BH311" i="33" s="1"/>
  <c r="BA307" i="33"/>
  <c r="BA311" i="33" s="1"/>
  <c r="AT307" i="33"/>
  <c r="AM307" i="33"/>
  <c r="AM311" i="33" s="1"/>
  <c r="AF307" i="33"/>
  <c r="Y307" i="33"/>
  <c r="R307" i="33"/>
  <c r="DD305" i="33"/>
  <c r="DC305" i="33"/>
  <c r="DB305" i="33"/>
  <c r="DA305" i="33"/>
  <c r="CZ305" i="33"/>
  <c r="CW305" i="33"/>
  <c r="CV305" i="33"/>
  <c r="CU305" i="33"/>
  <c r="CT305" i="33"/>
  <c r="CS305" i="33"/>
  <c r="CP305" i="33"/>
  <c r="CO305" i="33"/>
  <c r="CN305" i="33"/>
  <c r="CM305" i="33"/>
  <c r="CL305" i="33"/>
  <c r="CB305" i="33"/>
  <c r="CA305" i="33"/>
  <c r="BZ305" i="33"/>
  <c r="BY305" i="33"/>
  <c r="BX305" i="33"/>
  <c r="BU305" i="33"/>
  <c r="BT305" i="33"/>
  <c r="BS305" i="33"/>
  <c r="BR305" i="33"/>
  <c r="BQ305" i="33"/>
  <c r="BN305" i="33"/>
  <c r="BM305" i="33"/>
  <c r="BL305" i="33"/>
  <c r="BK305" i="33"/>
  <c r="BJ305" i="33"/>
  <c r="BG305" i="33"/>
  <c r="BF305" i="33"/>
  <c r="BE305" i="33"/>
  <c r="BD305" i="33"/>
  <c r="BC305" i="33"/>
  <c r="AZ305" i="33"/>
  <c r="AY305" i="33"/>
  <c r="AX305" i="33"/>
  <c r="AW305" i="33"/>
  <c r="AV305" i="33"/>
  <c r="AS305" i="33"/>
  <c r="AR305" i="33"/>
  <c r="AQ305" i="33"/>
  <c r="AP305" i="33"/>
  <c r="AO305" i="33"/>
  <c r="AL305" i="33"/>
  <c r="AK305" i="33"/>
  <c r="AJ305" i="33"/>
  <c r="AI305" i="33"/>
  <c r="AH305" i="33"/>
  <c r="DE304" i="33"/>
  <c r="CX304" i="33"/>
  <c r="CC304" i="33"/>
  <c r="BV304" i="33"/>
  <c r="BO304" i="33"/>
  <c r="BH304" i="33"/>
  <c r="BA304" i="33"/>
  <c r="AT304" i="33"/>
  <c r="AM304" i="33"/>
  <c r="AF304" i="33"/>
  <c r="Y304" i="33"/>
  <c r="R304" i="33"/>
  <c r="DE303" i="33"/>
  <c r="CX303" i="33"/>
  <c r="S15" i="40"/>
  <c r="CC303" i="33"/>
  <c r="BV303" i="33"/>
  <c r="BO303" i="33"/>
  <c r="BH303" i="33"/>
  <c r="BA303" i="33"/>
  <c r="AT303" i="33"/>
  <c r="AM303" i="33"/>
  <c r="AF303" i="33"/>
  <c r="Y303" i="33"/>
  <c r="R303" i="33"/>
  <c r="J303" i="33"/>
  <c r="CI303" i="33" s="1"/>
  <c r="J309" i="33" s="1"/>
  <c r="CI309" i="33" s="1"/>
  <c r="J315" i="33" s="1"/>
  <c r="CI315" i="33" s="1"/>
  <c r="J321" i="33" s="1"/>
  <c r="CI321" i="33" s="1"/>
  <c r="H303" i="33"/>
  <c r="CG303" i="33" s="1"/>
  <c r="H309" i="33" s="1"/>
  <c r="CG309" i="33" s="1"/>
  <c r="H315" i="33" s="1"/>
  <c r="CG315" i="33" s="1"/>
  <c r="H321" i="33" s="1"/>
  <c r="CG321" i="33" s="1"/>
  <c r="DE302" i="33"/>
  <c r="CX302" i="33"/>
  <c r="CX305" i="33" s="1"/>
  <c r="CC302" i="33"/>
  <c r="BV302" i="33"/>
  <c r="BO302" i="33"/>
  <c r="BH302" i="33"/>
  <c r="BA302" i="33"/>
  <c r="AT302" i="33"/>
  <c r="AT305" i="33" s="1"/>
  <c r="AM302" i="33"/>
  <c r="AF302" i="33"/>
  <c r="Y302" i="33"/>
  <c r="R302" i="33"/>
  <c r="DE301" i="33"/>
  <c r="DE305" i="33" s="1"/>
  <c r="CX301" i="33"/>
  <c r="CC301" i="33"/>
  <c r="CC305" i="33" s="1"/>
  <c r="BV301" i="33"/>
  <c r="BV305" i="33" s="1"/>
  <c r="BO301" i="33"/>
  <c r="BO305" i="33" s="1"/>
  <c r="BH301" i="33"/>
  <c r="BH305" i="33" s="1"/>
  <c r="BA301" i="33"/>
  <c r="BA305" i="33" s="1"/>
  <c r="AT301" i="33"/>
  <c r="AM301" i="33"/>
  <c r="AM305" i="33" s="1"/>
  <c r="AF301" i="33"/>
  <c r="Y301" i="33"/>
  <c r="R301" i="33"/>
  <c r="J301" i="33"/>
  <c r="CI301" i="33" s="1"/>
  <c r="F301" i="33"/>
  <c r="DD299" i="33"/>
  <c r="DC299" i="33"/>
  <c r="DB299" i="33"/>
  <c r="DA299" i="33"/>
  <c r="CZ299" i="33"/>
  <c r="CW299" i="33"/>
  <c r="CV299" i="33"/>
  <c r="CU299" i="33"/>
  <c r="CT299" i="33"/>
  <c r="CS299" i="33"/>
  <c r="CP299" i="33"/>
  <c r="CO299" i="33"/>
  <c r="CN299" i="33"/>
  <c r="CM299" i="33"/>
  <c r="CL299" i="33"/>
  <c r="CI299" i="33"/>
  <c r="CE299" i="33"/>
  <c r="CB299" i="33"/>
  <c r="CA299" i="33"/>
  <c r="BZ299" i="33"/>
  <c r="BY299" i="33"/>
  <c r="BX299" i="33"/>
  <c r="BU299" i="33"/>
  <c r="BT299" i="33"/>
  <c r="BS299" i="33"/>
  <c r="BR299" i="33"/>
  <c r="BQ299" i="33"/>
  <c r="BN299" i="33"/>
  <c r="BM299" i="33"/>
  <c r="BL299" i="33"/>
  <c r="BK299" i="33"/>
  <c r="BJ299" i="33"/>
  <c r="BG299" i="33"/>
  <c r="BF299" i="33"/>
  <c r="BE299" i="33"/>
  <c r="BD299" i="33"/>
  <c r="BC299" i="33"/>
  <c r="AZ299" i="33"/>
  <c r="AY299" i="33"/>
  <c r="AX299" i="33"/>
  <c r="AW299" i="33"/>
  <c r="AV299" i="33"/>
  <c r="AS299" i="33"/>
  <c r="AR299" i="33"/>
  <c r="AQ299" i="33"/>
  <c r="AP299" i="33"/>
  <c r="AO299" i="33"/>
  <c r="AL299" i="33"/>
  <c r="AK299" i="33"/>
  <c r="AJ299" i="33"/>
  <c r="AI299" i="33"/>
  <c r="AH299" i="33"/>
  <c r="J299" i="33"/>
  <c r="I299" i="33"/>
  <c r="H299" i="33"/>
  <c r="G299" i="33"/>
  <c r="F299" i="33"/>
  <c r="DE298" i="33"/>
  <c r="CX298" i="33"/>
  <c r="CJ298" i="33"/>
  <c r="CI298" i="33"/>
  <c r="J304" i="33" s="1"/>
  <c r="CI304" i="33" s="1"/>
  <c r="J310" i="33" s="1"/>
  <c r="CI310" i="33" s="1"/>
  <c r="J316" i="33" s="1"/>
  <c r="CI316" i="33" s="1"/>
  <c r="J322" i="33" s="1"/>
  <c r="CI322" i="33" s="1"/>
  <c r="CH298" i="33"/>
  <c r="I304" i="33" s="1"/>
  <c r="CH304" i="33" s="1"/>
  <c r="I310" i="33" s="1"/>
  <c r="CH310" i="33" s="1"/>
  <c r="I316" i="33" s="1"/>
  <c r="CH316" i="33" s="1"/>
  <c r="I322" i="33" s="1"/>
  <c r="CH322" i="33" s="1"/>
  <c r="CG298" i="33"/>
  <c r="H304" i="33" s="1"/>
  <c r="CG304" i="33" s="1"/>
  <c r="H310" i="33" s="1"/>
  <c r="CG310" i="33" s="1"/>
  <c r="H316" i="33" s="1"/>
  <c r="CG316" i="33" s="1"/>
  <c r="H322" i="33" s="1"/>
  <c r="CG322" i="33" s="1"/>
  <c r="CF298" i="33"/>
  <c r="G304" i="33" s="1"/>
  <c r="CF304" i="33" s="1"/>
  <c r="G310" i="33" s="1"/>
  <c r="CF310" i="33" s="1"/>
  <c r="G316" i="33" s="1"/>
  <c r="CF316" i="33" s="1"/>
  <c r="G322" i="33" s="1"/>
  <c r="CF322" i="33" s="1"/>
  <c r="CE298" i="33"/>
  <c r="F304" i="33" s="1"/>
  <c r="CC298" i="33"/>
  <c r="BV298" i="33"/>
  <c r="BO298" i="33"/>
  <c r="BH298" i="33"/>
  <c r="BA298" i="33"/>
  <c r="AT298" i="33"/>
  <c r="AM298" i="33"/>
  <c r="AF298" i="33"/>
  <c r="Y298" i="33"/>
  <c r="R298" i="33"/>
  <c r="K298" i="33"/>
  <c r="DE297" i="33"/>
  <c r="CX297" i="33"/>
  <c r="CI297" i="33"/>
  <c r="CH297" i="33"/>
  <c r="I303" i="33" s="1"/>
  <c r="CH303" i="33" s="1"/>
  <c r="I309" i="33" s="1"/>
  <c r="CH309" i="33" s="1"/>
  <c r="I315" i="33" s="1"/>
  <c r="CH315" i="33" s="1"/>
  <c r="I321" i="33" s="1"/>
  <c r="CH321" i="33" s="1"/>
  <c r="CG297" i="33"/>
  <c r="CF297" i="33"/>
  <c r="CJ297" i="33" s="1"/>
  <c r="CE297" i="33"/>
  <c r="F303" i="33" s="1"/>
  <c r="CC297" i="33"/>
  <c r="BV297" i="33"/>
  <c r="BO297" i="33"/>
  <c r="BH297" i="33"/>
  <c r="BA297" i="33"/>
  <c r="AT297" i="33"/>
  <c r="AM297" i="33"/>
  <c r="AF297" i="33"/>
  <c r="Y297" i="33"/>
  <c r="R297" i="33"/>
  <c r="K297" i="33"/>
  <c r="DE296" i="33"/>
  <c r="CX296" i="33"/>
  <c r="CJ296" i="33"/>
  <c r="CI296" i="33"/>
  <c r="J302" i="33" s="1"/>
  <c r="CH296" i="33"/>
  <c r="I302" i="33" s="1"/>
  <c r="CH302" i="33" s="1"/>
  <c r="I308" i="33" s="1"/>
  <c r="CH308" i="33" s="1"/>
  <c r="I314" i="33" s="1"/>
  <c r="CH314" i="33" s="1"/>
  <c r="I320" i="33" s="1"/>
  <c r="CH320" i="33" s="1"/>
  <c r="CG296" i="33"/>
  <c r="H302" i="33" s="1"/>
  <c r="CG302" i="33" s="1"/>
  <c r="H308" i="33" s="1"/>
  <c r="CG308" i="33" s="1"/>
  <c r="H314" i="33" s="1"/>
  <c r="CG314" i="33" s="1"/>
  <c r="H320" i="33" s="1"/>
  <c r="CG320" i="33" s="1"/>
  <c r="CF296" i="33"/>
  <c r="G302" i="33" s="1"/>
  <c r="CF302" i="33" s="1"/>
  <c r="G308" i="33" s="1"/>
  <c r="CF308" i="33" s="1"/>
  <c r="G314" i="33" s="1"/>
  <c r="CF314" i="33" s="1"/>
  <c r="G320" i="33" s="1"/>
  <c r="CF320" i="33" s="1"/>
  <c r="CE296" i="33"/>
  <c r="F302" i="33" s="1"/>
  <c r="CC296" i="33"/>
  <c r="BV296" i="33"/>
  <c r="BO296" i="33"/>
  <c r="BH296" i="33"/>
  <c r="BA296" i="33"/>
  <c r="AT296" i="33"/>
  <c r="AM296" i="33"/>
  <c r="AF296" i="33"/>
  <c r="Y296" i="33"/>
  <c r="R296" i="33"/>
  <c r="K296" i="33"/>
  <c r="DE295" i="33"/>
  <c r="DE299" i="33" s="1"/>
  <c r="CX295" i="33"/>
  <c r="CX299" i="33" s="1"/>
  <c r="CI295" i="33"/>
  <c r="CH295" i="33"/>
  <c r="I301" i="33" s="1"/>
  <c r="CG295" i="33"/>
  <c r="H301" i="33" s="1"/>
  <c r="CF295" i="33"/>
  <c r="O70" i="34" s="1" a="1"/>
  <c r="O70" i="34" s="1"/>
  <c r="CE295" i="33"/>
  <c r="CC295" i="33"/>
  <c r="CC299" i="33" s="1"/>
  <c r="BV295" i="33"/>
  <c r="BV299" i="33" s="1"/>
  <c r="BO295" i="33"/>
  <c r="BO299" i="33" s="1"/>
  <c r="BH295" i="33"/>
  <c r="BH299" i="33" s="1"/>
  <c r="BA295" i="33"/>
  <c r="BA299" i="33" s="1"/>
  <c r="AT295" i="33"/>
  <c r="AT299" i="33" s="1"/>
  <c r="AM295" i="33"/>
  <c r="AM299" i="33" s="1"/>
  <c r="AF295" i="33"/>
  <c r="Y295" i="33"/>
  <c r="R295" i="33"/>
  <c r="K295" i="33"/>
  <c r="K299" i="33" s="1"/>
  <c r="DD291" i="33"/>
  <c r="DC291" i="33"/>
  <c r="DB291" i="33"/>
  <c r="DA291" i="33"/>
  <c r="CZ291" i="33"/>
  <c r="CW291" i="33"/>
  <c r="CV291" i="33"/>
  <c r="CU291" i="33"/>
  <c r="CT291" i="33"/>
  <c r="CS291" i="33"/>
  <c r="CP291" i="33"/>
  <c r="CO291" i="33"/>
  <c r="CN291" i="33"/>
  <c r="CM291" i="33"/>
  <c r="CL291" i="33"/>
  <c r="CB291" i="33"/>
  <c r="CA291" i="33"/>
  <c r="BZ291" i="33"/>
  <c r="BY291" i="33"/>
  <c r="BX291" i="33"/>
  <c r="BU291" i="33"/>
  <c r="BT291" i="33"/>
  <c r="BS291" i="33"/>
  <c r="BR291" i="33"/>
  <c r="BQ291" i="33"/>
  <c r="BN291" i="33"/>
  <c r="BM291" i="33"/>
  <c r="BL291" i="33"/>
  <c r="BK291" i="33"/>
  <c r="BJ291" i="33"/>
  <c r="BG291" i="33"/>
  <c r="BF291" i="33"/>
  <c r="BE291" i="33"/>
  <c r="BD291" i="33"/>
  <c r="BC291" i="33"/>
  <c r="AZ291" i="33"/>
  <c r="AY291" i="33"/>
  <c r="AX291" i="33"/>
  <c r="AW291" i="33"/>
  <c r="AV291" i="33"/>
  <c r="AS291" i="33"/>
  <c r="AR291" i="33"/>
  <c r="AQ291" i="33"/>
  <c r="AP291" i="33"/>
  <c r="AO291" i="33"/>
  <c r="AL291" i="33"/>
  <c r="AK291" i="33"/>
  <c r="AJ291" i="33"/>
  <c r="AI291" i="33"/>
  <c r="AH291" i="33"/>
  <c r="DE290" i="33"/>
  <c r="CX290" i="33"/>
  <c r="CC290" i="33"/>
  <c r="BV290" i="33"/>
  <c r="BO290" i="33"/>
  <c r="BH290" i="33"/>
  <c r="BA290" i="33"/>
  <c r="AT290" i="33"/>
  <c r="AM290" i="33"/>
  <c r="AF290" i="33"/>
  <c r="Y290" i="33"/>
  <c r="L14" i="40" s="1"/>
  <c r="R290" i="33"/>
  <c r="DE289" i="33"/>
  <c r="DE291" i="33" s="1"/>
  <c r="CX289" i="33"/>
  <c r="CC289" i="33"/>
  <c r="BV289" i="33"/>
  <c r="BO289" i="33"/>
  <c r="BO291" i="33" s="1"/>
  <c r="BH289" i="33"/>
  <c r="BA289" i="33"/>
  <c r="AT289" i="33"/>
  <c r="AM289" i="33"/>
  <c r="AF289" i="33"/>
  <c r="Y289" i="33"/>
  <c r="R289" i="33"/>
  <c r="DE288" i="33"/>
  <c r="CX288" i="33"/>
  <c r="CC288" i="33"/>
  <c r="BV288" i="33"/>
  <c r="BO288" i="33"/>
  <c r="BH288" i="33"/>
  <c r="BA288" i="33"/>
  <c r="AT288" i="33"/>
  <c r="AM288" i="33"/>
  <c r="AM291" i="33" s="1"/>
  <c r="AF288" i="33"/>
  <c r="Y288" i="33"/>
  <c r="R288" i="33"/>
  <c r="DE287" i="33"/>
  <c r="CX287" i="33"/>
  <c r="CX291" i="33" s="1"/>
  <c r="CC287" i="33"/>
  <c r="CC291" i="33" s="1"/>
  <c r="BV287" i="33"/>
  <c r="BV291" i="33" s="1"/>
  <c r="BO287" i="33"/>
  <c r="BH287" i="33"/>
  <c r="BH291" i="33" s="1"/>
  <c r="BA287" i="33"/>
  <c r="BA291" i="33" s="1"/>
  <c r="AT287" i="33"/>
  <c r="AT291" i="33" s="1"/>
  <c r="AM287" i="33"/>
  <c r="AF287" i="33"/>
  <c r="Y287" i="33"/>
  <c r="R287" i="33"/>
  <c r="DD285" i="33"/>
  <c r="DC285" i="33"/>
  <c r="DB285" i="33"/>
  <c r="DA285" i="33"/>
  <c r="CZ285" i="33"/>
  <c r="CW285" i="33"/>
  <c r="CV285" i="33"/>
  <c r="CU285" i="33"/>
  <c r="CT285" i="33"/>
  <c r="CS285" i="33"/>
  <c r="CP285" i="33"/>
  <c r="CO285" i="33"/>
  <c r="CN285" i="33"/>
  <c r="CM285" i="33"/>
  <c r="CL285" i="33"/>
  <c r="CB285" i="33"/>
  <c r="CA285" i="33"/>
  <c r="BZ285" i="33"/>
  <c r="BY285" i="33"/>
  <c r="BX285" i="33"/>
  <c r="BU285" i="33"/>
  <c r="BT285" i="33"/>
  <c r="BS285" i="33"/>
  <c r="BR285" i="33"/>
  <c r="BQ285" i="33"/>
  <c r="BN285" i="33"/>
  <c r="BM285" i="33"/>
  <c r="BL285" i="33"/>
  <c r="BK285" i="33"/>
  <c r="BJ285" i="33"/>
  <c r="BG285" i="33"/>
  <c r="BF285" i="33"/>
  <c r="BE285" i="33"/>
  <c r="BD285" i="33"/>
  <c r="BC285" i="33"/>
  <c r="AZ285" i="33"/>
  <c r="AY285" i="33"/>
  <c r="AX285" i="33"/>
  <c r="AW285" i="33"/>
  <c r="AV285" i="33"/>
  <c r="AS285" i="33"/>
  <c r="AR285" i="33"/>
  <c r="AQ285" i="33"/>
  <c r="AP285" i="33"/>
  <c r="AO285" i="33"/>
  <c r="AL285" i="33"/>
  <c r="AK285" i="33"/>
  <c r="AJ285" i="33"/>
  <c r="AI285" i="33"/>
  <c r="AH285" i="33"/>
  <c r="DE284" i="33"/>
  <c r="CX284" i="33"/>
  <c r="CC284" i="33"/>
  <c r="BV284" i="33"/>
  <c r="BO284" i="33"/>
  <c r="BH284" i="33"/>
  <c r="BA284" i="33"/>
  <c r="AT284" i="33"/>
  <c r="AM284" i="33"/>
  <c r="AF284" i="33"/>
  <c r="Y284" i="33"/>
  <c r="K14" i="40" s="1"/>
  <c r="R284" i="33"/>
  <c r="DE283" i="33"/>
  <c r="DE285" i="33" s="1"/>
  <c r="CX283" i="33"/>
  <c r="CC283" i="33"/>
  <c r="BV283" i="33"/>
  <c r="BO283" i="33"/>
  <c r="BO285" i="33" s="1"/>
  <c r="BH283" i="33"/>
  <c r="BA283" i="33"/>
  <c r="AT283" i="33"/>
  <c r="AM283" i="33"/>
  <c r="AF283" i="33"/>
  <c r="Y283" i="33"/>
  <c r="R283" i="33"/>
  <c r="DE282" i="33"/>
  <c r="CX282" i="33"/>
  <c r="CC282" i="33"/>
  <c r="BV282" i="33"/>
  <c r="BO282" i="33"/>
  <c r="BH282" i="33"/>
  <c r="BA282" i="33"/>
  <c r="AT282" i="33"/>
  <c r="AM282" i="33"/>
  <c r="AM285" i="33" s="1"/>
  <c r="AF282" i="33"/>
  <c r="Y282" i="33"/>
  <c r="R282" i="33"/>
  <c r="DE281" i="33"/>
  <c r="CX281" i="33"/>
  <c r="CX285" i="33" s="1"/>
  <c r="CC281" i="33"/>
  <c r="CC285" i="33" s="1"/>
  <c r="BV281" i="33"/>
  <c r="BV285" i="33" s="1"/>
  <c r="BO281" i="33"/>
  <c r="BH281" i="33"/>
  <c r="BH285" i="33" s="1"/>
  <c r="BA281" i="33"/>
  <c r="BA285" i="33" s="1"/>
  <c r="AT281" i="33"/>
  <c r="AT285" i="33" s="1"/>
  <c r="AM281" i="33"/>
  <c r="AF281" i="33"/>
  <c r="Y281" i="33"/>
  <c r="R281" i="33"/>
  <c r="DD279" i="33"/>
  <c r="DC279" i="33"/>
  <c r="DB279" i="33"/>
  <c r="DA279" i="33"/>
  <c r="CZ279" i="33"/>
  <c r="CW279" i="33"/>
  <c r="CV279" i="33"/>
  <c r="CU279" i="33"/>
  <c r="CT279" i="33"/>
  <c r="CS279" i="33"/>
  <c r="CP279" i="33"/>
  <c r="CO279" i="33"/>
  <c r="CN279" i="33"/>
  <c r="CM279" i="33"/>
  <c r="CL279" i="33"/>
  <c r="CB279" i="33"/>
  <c r="CA279" i="33"/>
  <c r="BZ279" i="33"/>
  <c r="BY279" i="33"/>
  <c r="BX279" i="33"/>
  <c r="BU279" i="33"/>
  <c r="BT279" i="33"/>
  <c r="BS279" i="33"/>
  <c r="BR279" i="33"/>
  <c r="BQ279" i="33"/>
  <c r="BN279" i="33"/>
  <c r="BM279" i="33"/>
  <c r="BL279" i="33"/>
  <c r="BK279" i="33"/>
  <c r="BJ279" i="33"/>
  <c r="BG279" i="33"/>
  <c r="BF279" i="33"/>
  <c r="BE279" i="33"/>
  <c r="BD279" i="33"/>
  <c r="BC279" i="33"/>
  <c r="AZ279" i="33"/>
  <c r="AY279" i="33"/>
  <c r="AX279" i="33"/>
  <c r="AW279" i="33"/>
  <c r="AV279" i="33"/>
  <c r="AS279" i="33"/>
  <c r="AR279" i="33"/>
  <c r="AQ279" i="33"/>
  <c r="AP279" i="33"/>
  <c r="AO279" i="33"/>
  <c r="AL279" i="33"/>
  <c r="AK279" i="33"/>
  <c r="AJ279" i="33"/>
  <c r="AI279" i="33"/>
  <c r="AH279" i="33"/>
  <c r="DE278" i="33"/>
  <c r="CX278" i="33"/>
  <c r="CC278" i="33"/>
  <c r="BV278" i="33"/>
  <c r="BO278" i="33"/>
  <c r="BH278" i="33"/>
  <c r="BA278" i="33"/>
  <c r="AT278" i="33"/>
  <c r="AM278" i="33"/>
  <c r="AF278" i="33"/>
  <c r="Y278" i="33"/>
  <c r="R278" i="33"/>
  <c r="DE277" i="33"/>
  <c r="DE279" i="33" s="1"/>
  <c r="CX277" i="33"/>
  <c r="CC277" i="33"/>
  <c r="BV277" i="33"/>
  <c r="BO277" i="33"/>
  <c r="BO279" i="33" s="1"/>
  <c r="BH277" i="33"/>
  <c r="BA277" i="33"/>
  <c r="AT277" i="33"/>
  <c r="AM277" i="33"/>
  <c r="AF277" i="33"/>
  <c r="Y277" i="33"/>
  <c r="R277" i="33"/>
  <c r="DE276" i="33"/>
  <c r="CX276" i="33"/>
  <c r="CC276" i="33"/>
  <c r="BV276" i="33"/>
  <c r="BO276" i="33"/>
  <c r="BH276" i="33"/>
  <c r="BA276" i="33"/>
  <c r="AT276" i="33"/>
  <c r="AM276" i="33"/>
  <c r="AM279" i="33" s="1"/>
  <c r="AF276" i="33"/>
  <c r="Y276" i="33"/>
  <c r="R276" i="33"/>
  <c r="DE275" i="33"/>
  <c r="CX275" i="33"/>
  <c r="CX279" i="33" s="1"/>
  <c r="CC275" i="33"/>
  <c r="CC279" i="33" s="1"/>
  <c r="BV275" i="33"/>
  <c r="BV279" i="33" s="1"/>
  <c r="BO275" i="33"/>
  <c r="BH275" i="33"/>
  <c r="BH279" i="33" s="1"/>
  <c r="BA275" i="33"/>
  <c r="BA279" i="33" s="1"/>
  <c r="AT275" i="33"/>
  <c r="AT279" i="33" s="1"/>
  <c r="AM275" i="33"/>
  <c r="AF275" i="33"/>
  <c r="Y275" i="33"/>
  <c r="R275" i="33"/>
  <c r="DD273" i="33"/>
  <c r="DC273" i="33"/>
  <c r="DB273" i="33"/>
  <c r="DA273" i="33"/>
  <c r="CZ273" i="33"/>
  <c r="CW273" i="33"/>
  <c r="CV273" i="33"/>
  <c r="CU273" i="33"/>
  <c r="CT273" i="33"/>
  <c r="CS273" i="33"/>
  <c r="CP273" i="33"/>
  <c r="CO273" i="33"/>
  <c r="CN273" i="33"/>
  <c r="CM273" i="33"/>
  <c r="CL273" i="33"/>
  <c r="CB273" i="33"/>
  <c r="CA273" i="33"/>
  <c r="BZ273" i="33"/>
  <c r="BY273" i="33"/>
  <c r="BX273" i="33"/>
  <c r="BU273" i="33"/>
  <c r="BT273" i="33"/>
  <c r="BS273" i="33"/>
  <c r="BR273" i="33"/>
  <c r="BQ273" i="33"/>
  <c r="BN273" i="33"/>
  <c r="BM273" i="33"/>
  <c r="BL273" i="33"/>
  <c r="BK273" i="33"/>
  <c r="BJ273" i="33"/>
  <c r="BG273" i="33"/>
  <c r="BF273" i="33"/>
  <c r="BE273" i="33"/>
  <c r="BD273" i="33"/>
  <c r="BC273" i="33"/>
  <c r="AZ273" i="33"/>
  <c r="AY273" i="33"/>
  <c r="AX273" i="33"/>
  <c r="AW273" i="33"/>
  <c r="AV273" i="33"/>
  <c r="AS273" i="33"/>
  <c r="AR273" i="33"/>
  <c r="AQ273" i="33"/>
  <c r="AP273" i="33"/>
  <c r="AO273" i="33"/>
  <c r="AL273" i="33"/>
  <c r="AK273" i="33"/>
  <c r="AJ273" i="33"/>
  <c r="AI273" i="33"/>
  <c r="AH273" i="33"/>
  <c r="DE272" i="33"/>
  <c r="CX272" i="33"/>
  <c r="CC272" i="33"/>
  <c r="BV272" i="33"/>
  <c r="BO272" i="33"/>
  <c r="BH272" i="33"/>
  <c r="BA272" i="33"/>
  <c r="AT272" i="33"/>
  <c r="AM272" i="33"/>
  <c r="AF272" i="33"/>
  <c r="Y272" i="33"/>
  <c r="R272" i="33"/>
  <c r="DE271" i="33"/>
  <c r="DE273" i="33" s="1"/>
  <c r="CX271" i="33"/>
  <c r="CC271" i="33"/>
  <c r="BV271" i="33"/>
  <c r="BO271" i="33"/>
  <c r="BO273" i="33" s="1"/>
  <c r="BH271" i="33"/>
  <c r="BA271" i="33"/>
  <c r="AT271" i="33"/>
  <c r="AM271" i="33"/>
  <c r="AF271" i="33"/>
  <c r="Y271" i="33"/>
  <c r="R271" i="33"/>
  <c r="G271" i="33"/>
  <c r="CF271" i="33" s="1"/>
  <c r="G277" i="33" s="1"/>
  <c r="CF277" i="33" s="1"/>
  <c r="G283" i="33" s="1"/>
  <c r="CF283" i="33" s="1"/>
  <c r="G289" i="33" s="1"/>
  <c r="CF289" i="33" s="1"/>
  <c r="F271" i="33"/>
  <c r="DE270" i="33"/>
  <c r="CX270" i="33"/>
  <c r="CC270" i="33"/>
  <c r="BV270" i="33"/>
  <c r="BO270" i="33"/>
  <c r="BH270" i="33"/>
  <c r="BA270" i="33"/>
  <c r="AT270" i="33"/>
  <c r="AM270" i="33"/>
  <c r="AF270" i="33"/>
  <c r="Y270" i="33"/>
  <c r="R270" i="33"/>
  <c r="H270" i="33"/>
  <c r="CG270" i="33" s="1"/>
  <c r="H276" i="33" s="1"/>
  <c r="CG276" i="33" s="1"/>
  <c r="H282" i="33" s="1"/>
  <c r="CG282" i="33" s="1"/>
  <c r="H288" i="33" s="1"/>
  <c r="CG288" i="33" s="1"/>
  <c r="G270" i="33"/>
  <c r="CF270" i="33" s="1"/>
  <c r="G276" i="33" s="1"/>
  <c r="CF276" i="33" s="1"/>
  <c r="G282" i="33" s="1"/>
  <c r="CF282" i="33" s="1"/>
  <c r="G288" i="33" s="1"/>
  <c r="CF288" i="33" s="1"/>
  <c r="DE269" i="33"/>
  <c r="CX269" i="33"/>
  <c r="CX273" i="33" s="1"/>
  <c r="CC269" i="33"/>
  <c r="CC273" i="33" s="1"/>
  <c r="BV269" i="33"/>
  <c r="BV273" i="33" s="1"/>
  <c r="BO269" i="33"/>
  <c r="BH269" i="33"/>
  <c r="BH273" i="33" s="1"/>
  <c r="BA269" i="33"/>
  <c r="BA273" i="33" s="1"/>
  <c r="AT269" i="33"/>
  <c r="AT273" i="33" s="1"/>
  <c r="AM269" i="33"/>
  <c r="AF269" i="33"/>
  <c r="Y269" i="33"/>
  <c r="R269" i="33"/>
  <c r="H269" i="33"/>
  <c r="DD267" i="33"/>
  <c r="DC267" i="33"/>
  <c r="DB267" i="33"/>
  <c r="DA267" i="33"/>
  <c r="CZ267" i="33"/>
  <c r="CW267" i="33"/>
  <c r="CV267" i="33"/>
  <c r="CU267" i="33"/>
  <c r="CT267" i="33"/>
  <c r="CS267" i="33"/>
  <c r="CP267" i="33"/>
  <c r="CO267" i="33"/>
  <c r="CN267" i="33"/>
  <c r="CM267" i="33"/>
  <c r="CL267" i="33"/>
  <c r="CG267" i="33"/>
  <c r="CB267" i="33"/>
  <c r="CA267" i="33"/>
  <c r="BZ267" i="33"/>
  <c r="BY267" i="33"/>
  <c r="BX267" i="33"/>
  <c r="BU267" i="33"/>
  <c r="BT267" i="33"/>
  <c r="BS267" i="33"/>
  <c r="BR267" i="33"/>
  <c r="BQ267" i="33"/>
  <c r="BO267" i="33"/>
  <c r="BN267" i="33"/>
  <c r="BM267" i="33"/>
  <c r="BL267" i="33"/>
  <c r="BK267" i="33"/>
  <c r="BJ267" i="33"/>
  <c r="BG267" i="33"/>
  <c r="BF267" i="33"/>
  <c r="BE267" i="33"/>
  <c r="BD267" i="33"/>
  <c r="BC267" i="33"/>
  <c r="AZ267" i="33"/>
  <c r="AY267" i="33"/>
  <c r="AX267" i="33"/>
  <c r="AW267" i="33"/>
  <c r="AV267" i="33"/>
  <c r="AS267" i="33"/>
  <c r="AR267" i="33"/>
  <c r="AQ267" i="33"/>
  <c r="AP267" i="33"/>
  <c r="AO267" i="33"/>
  <c r="AM267" i="33"/>
  <c r="AL267" i="33"/>
  <c r="AK267" i="33"/>
  <c r="AJ267" i="33"/>
  <c r="AI267" i="33"/>
  <c r="AH267" i="33"/>
  <c r="J267" i="33"/>
  <c r="I267" i="33"/>
  <c r="H267" i="33"/>
  <c r="G267" i="33"/>
  <c r="F267" i="33"/>
  <c r="DE266" i="33"/>
  <c r="CX266" i="33"/>
  <c r="CI266" i="33"/>
  <c r="J272" i="33" s="1"/>
  <c r="CI272" i="33" s="1"/>
  <c r="J278" i="33" s="1"/>
  <c r="CI278" i="33" s="1"/>
  <c r="J284" i="33" s="1"/>
  <c r="CI284" i="33" s="1"/>
  <c r="J290" i="33" s="1"/>
  <c r="CI290" i="33" s="1"/>
  <c r="CH266" i="33"/>
  <c r="I272" i="33" s="1"/>
  <c r="CH272" i="33" s="1"/>
  <c r="I278" i="33" s="1"/>
  <c r="CH278" i="33" s="1"/>
  <c r="I284" i="33" s="1"/>
  <c r="CH284" i="33" s="1"/>
  <c r="I290" i="33" s="1"/>
  <c r="CH290" i="33" s="1"/>
  <c r="CG266" i="33"/>
  <c r="H272" i="33" s="1"/>
  <c r="CG272" i="33" s="1"/>
  <c r="H278" i="33" s="1"/>
  <c r="CG278" i="33" s="1"/>
  <c r="H284" i="33" s="1"/>
  <c r="CG284" i="33" s="1"/>
  <c r="H290" i="33" s="1"/>
  <c r="CG290" i="33" s="1"/>
  <c r="CF266" i="33"/>
  <c r="G272" i="33" s="1"/>
  <c r="CF272" i="33" s="1"/>
  <c r="G278" i="33" s="1"/>
  <c r="CF278" i="33" s="1"/>
  <c r="G284" i="33" s="1"/>
  <c r="CF284" i="33" s="1"/>
  <c r="G290" i="33" s="1"/>
  <c r="CF290" i="33" s="1"/>
  <c r="CE266" i="33"/>
  <c r="F272" i="33" s="1"/>
  <c r="CC266" i="33"/>
  <c r="BV266" i="33"/>
  <c r="BO266" i="33"/>
  <c r="BH266" i="33"/>
  <c r="BA266" i="33"/>
  <c r="AT266" i="33"/>
  <c r="AM266" i="33"/>
  <c r="AF266" i="33"/>
  <c r="Y266" i="33"/>
  <c r="R266" i="33"/>
  <c r="K266" i="33"/>
  <c r="DE265" i="33"/>
  <c r="CX265" i="33"/>
  <c r="CI265" i="33"/>
  <c r="J271" i="33" s="1"/>
  <c r="CI271" i="33" s="1"/>
  <c r="J277" i="33" s="1"/>
  <c r="CI277" i="33" s="1"/>
  <c r="J283" i="33" s="1"/>
  <c r="CI283" i="33" s="1"/>
  <c r="J289" i="33" s="1"/>
  <c r="CI289" i="33" s="1"/>
  <c r="CH265" i="33"/>
  <c r="I271" i="33" s="1"/>
  <c r="CH271" i="33" s="1"/>
  <c r="I277" i="33" s="1"/>
  <c r="CH277" i="33" s="1"/>
  <c r="I283" i="33" s="1"/>
  <c r="CH283" i="33" s="1"/>
  <c r="I289" i="33" s="1"/>
  <c r="CH289" i="33" s="1"/>
  <c r="CG265" i="33"/>
  <c r="H271" i="33" s="1"/>
  <c r="CG271" i="33" s="1"/>
  <c r="H277" i="33" s="1"/>
  <c r="CG277" i="33" s="1"/>
  <c r="H283" i="33" s="1"/>
  <c r="CG283" i="33" s="1"/>
  <c r="H289" i="33" s="1"/>
  <c r="CG289" i="33" s="1"/>
  <c r="CF265" i="33"/>
  <c r="CE265" i="33"/>
  <c r="CJ265" i="33" s="1"/>
  <c r="CC265" i="33"/>
  <c r="BV265" i="33"/>
  <c r="BO265" i="33"/>
  <c r="BH265" i="33"/>
  <c r="BA265" i="33"/>
  <c r="AT265" i="33"/>
  <c r="AM265" i="33"/>
  <c r="AF265" i="33"/>
  <c r="Y265" i="33"/>
  <c r="R265" i="33"/>
  <c r="K265" i="33"/>
  <c r="DE264" i="33"/>
  <c r="CX264" i="33"/>
  <c r="CI264" i="33"/>
  <c r="J270" i="33" s="1"/>
  <c r="CI270" i="33" s="1"/>
  <c r="J276" i="33" s="1"/>
  <c r="CI276" i="33" s="1"/>
  <c r="J282" i="33" s="1"/>
  <c r="CI282" i="33" s="1"/>
  <c r="J288" i="33" s="1"/>
  <c r="CI288" i="33" s="1"/>
  <c r="CH264" i="33"/>
  <c r="I270" i="33" s="1"/>
  <c r="CH270" i="33" s="1"/>
  <c r="I276" i="33" s="1"/>
  <c r="CH276" i="33" s="1"/>
  <c r="I282" i="33" s="1"/>
  <c r="CH282" i="33" s="1"/>
  <c r="I288" i="33" s="1"/>
  <c r="CH288" i="33" s="1"/>
  <c r="CG264" i="33"/>
  <c r="CF264" i="33"/>
  <c r="CE264" i="33"/>
  <c r="F270" i="33" s="1"/>
  <c r="CC264" i="33"/>
  <c r="CC267" i="33" s="1"/>
  <c r="BV264" i="33"/>
  <c r="BO264" i="33"/>
  <c r="BH264" i="33"/>
  <c r="BA264" i="33"/>
  <c r="AT264" i="33"/>
  <c r="AM264" i="33"/>
  <c r="AF264" i="33"/>
  <c r="Y264" i="33"/>
  <c r="H14" i="40" s="1"/>
  <c r="R264" i="33"/>
  <c r="K264" i="33"/>
  <c r="DE263" i="33"/>
  <c r="DE267" i="33" s="1"/>
  <c r="CX263" i="33"/>
  <c r="CX267" i="33" s="1"/>
  <c r="CI263" i="33"/>
  <c r="J269" i="33" s="1"/>
  <c r="CH263" i="33"/>
  <c r="I269" i="33" s="1"/>
  <c r="CG263" i="33"/>
  <c r="CF263" i="33"/>
  <c r="G269" i="33" s="1"/>
  <c r="CE263" i="33"/>
  <c r="CJ263" i="33" s="1"/>
  <c r="CC263" i="33"/>
  <c r="BV263" i="33"/>
  <c r="BV267" i="33" s="1"/>
  <c r="BO263" i="33"/>
  <c r="BH263" i="33"/>
  <c r="BH267" i="33" s="1"/>
  <c r="BA263" i="33"/>
  <c r="BA267" i="33" s="1"/>
  <c r="AT263" i="33"/>
  <c r="AT267" i="33" s="1"/>
  <c r="AM263" i="33"/>
  <c r="AF263" i="33"/>
  <c r="Y263" i="33"/>
  <c r="R263" i="33"/>
  <c r="K263" i="33"/>
  <c r="K267" i="33" s="1"/>
  <c r="DD259" i="33"/>
  <c r="DC259" i="33"/>
  <c r="DB259" i="33"/>
  <c r="DA259" i="33"/>
  <c r="CZ259" i="33"/>
  <c r="CW259" i="33"/>
  <c r="CV259" i="33"/>
  <c r="CU259" i="33"/>
  <c r="CT259" i="33"/>
  <c r="CS259" i="33"/>
  <c r="CP259" i="33"/>
  <c r="CO259" i="33"/>
  <c r="CN259" i="33"/>
  <c r="CM259" i="33"/>
  <c r="CL259" i="33"/>
  <c r="CB259" i="33"/>
  <c r="CA259" i="33"/>
  <c r="BZ259" i="33"/>
  <c r="BY259" i="33"/>
  <c r="BX259" i="33"/>
  <c r="BU259" i="33"/>
  <c r="BT259" i="33"/>
  <c r="BS259" i="33"/>
  <c r="BR259" i="33"/>
  <c r="BQ259" i="33"/>
  <c r="BN259" i="33"/>
  <c r="BM259" i="33"/>
  <c r="BL259" i="33"/>
  <c r="BK259" i="33"/>
  <c r="BJ259" i="33"/>
  <c r="BG259" i="33"/>
  <c r="BF259" i="33"/>
  <c r="BE259" i="33"/>
  <c r="BD259" i="33"/>
  <c r="BC259" i="33"/>
  <c r="AZ259" i="33"/>
  <c r="AY259" i="33"/>
  <c r="AX259" i="33"/>
  <c r="AW259" i="33"/>
  <c r="AV259" i="33"/>
  <c r="AT259" i="33"/>
  <c r="AS259" i="33"/>
  <c r="AR259" i="33"/>
  <c r="AQ259" i="33"/>
  <c r="AP259" i="33"/>
  <c r="AO259" i="33"/>
  <c r="AL259" i="33"/>
  <c r="AK259" i="33"/>
  <c r="AJ259" i="33"/>
  <c r="AI259" i="33"/>
  <c r="AH259" i="33"/>
  <c r="DE258" i="33"/>
  <c r="CX258" i="33"/>
  <c r="CC258" i="33"/>
  <c r="BV258" i="33"/>
  <c r="BO258" i="33"/>
  <c r="BO259" i="33" s="1"/>
  <c r="BH258" i="33"/>
  <c r="BA258" i="33"/>
  <c r="AT258" i="33"/>
  <c r="AM258" i="33"/>
  <c r="AF258" i="33"/>
  <c r="Y258" i="33"/>
  <c r="R258" i="33"/>
  <c r="DE257" i="33"/>
  <c r="CX257" i="33"/>
  <c r="CC257" i="33"/>
  <c r="BV257" i="33"/>
  <c r="BV259" i="33" s="1"/>
  <c r="BO257" i="33"/>
  <c r="BH257" i="33"/>
  <c r="BA257" i="33"/>
  <c r="AT257" i="33"/>
  <c r="AM257" i="33"/>
  <c r="AF257" i="33"/>
  <c r="Y257" i="33"/>
  <c r="R257" i="33"/>
  <c r="DE256" i="33"/>
  <c r="CX256" i="33"/>
  <c r="CX259" i="33" s="1"/>
  <c r="CC256" i="33"/>
  <c r="BV256" i="33"/>
  <c r="BO256" i="33"/>
  <c r="BH256" i="33"/>
  <c r="BA256" i="33"/>
  <c r="AT256" i="33"/>
  <c r="AM256" i="33"/>
  <c r="AF256" i="33"/>
  <c r="Y256" i="33"/>
  <c r="R256" i="33"/>
  <c r="DE255" i="33"/>
  <c r="DE259" i="33" s="1"/>
  <c r="CX255" i="33"/>
  <c r="CC255" i="33"/>
  <c r="CC259" i="33" s="1"/>
  <c r="BV255" i="33"/>
  <c r="BO255" i="33"/>
  <c r="BH255" i="33"/>
  <c r="BH259" i="33" s="1"/>
  <c r="BA255" i="33"/>
  <c r="BA259" i="33" s="1"/>
  <c r="AT255" i="33"/>
  <c r="AM255" i="33"/>
  <c r="AM259" i="33" s="1"/>
  <c r="AF255" i="33"/>
  <c r="Y255" i="33"/>
  <c r="R255" i="33"/>
  <c r="DD253" i="33"/>
  <c r="DC253" i="33"/>
  <c r="DB253" i="33"/>
  <c r="DA253" i="33"/>
  <c r="CZ253" i="33"/>
  <c r="CW253" i="33"/>
  <c r="CV253" i="33"/>
  <c r="CU253" i="33"/>
  <c r="CT253" i="33"/>
  <c r="CS253" i="33"/>
  <c r="CP253" i="33"/>
  <c r="CO253" i="33"/>
  <c r="CN253" i="33"/>
  <c r="CM253" i="33"/>
  <c r="CL253" i="33"/>
  <c r="CB253" i="33"/>
  <c r="CA253" i="33"/>
  <c r="BZ253" i="33"/>
  <c r="BY253" i="33"/>
  <c r="BX253" i="33"/>
  <c r="BU253" i="33"/>
  <c r="BT253" i="33"/>
  <c r="BS253" i="33"/>
  <c r="BR253" i="33"/>
  <c r="BQ253" i="33"/>
  <c r="BN253" i="33"/>
  <c r="BM253" i="33"/>
  <c r="BL253" i="33"/>
  <c r="BK253" i="33"/>
  <c r="BJ253" i="33"/>
  <c r="BG253" i="33"/>
  <c r="BF253" i="33"/>
  <c r="BE253" i="33"/>
  <c r="BD253" i="33"/>
  <c r="BC253" i="33"/>
  <c r="AZ253" i="33"/>
  <c r="AY253" i="33"/>
  <c r="AX253" i="33"/>
  <c r="AW253" i="33"/>
  <c r="AV253" i="33"/>
  <c r="AT253" i="33"/>
  <c r="AS253" i="33"/>
  <c r="AR253" i="33"/>
  <c r="AQ253" i="33"/>
  <c r="AP253" i="33"/>
  <c r="AO253" i="33"/>
  <c r="AL253" i="33"/>
  <c r="AK253" i="33"/>
  <c r="AJ253" i="33"/>
  <c r="AI253" i="33"/>
  <c r="AH253" i="33"/>
  <c r="DE252" i="33"/>
  <c r="CX252" i="33"/>
  <c r="CC252" i="33"/>
  <c r="BV252" i="33"/>
  <c r="BO252" i="33"/>
  <c r="BO253" i="33" s="1"/>
  <c r="BH252" i="33"/>
  <c r="BA252" i="33"/>
  <c r="AT252" i="33"/>
  <c r="AM252" i="33"/>
  <c r="AF252" i="33"/>
  <c r="Y252" i="33"/>
  <c r="R252" i="33"/>
  <c r="DE251" i="33"/>
  <c r="CX251" i="33"/>
  <c r="U13" i="40"/>
  <c r="CC251" i="33"/>
  <c r="BV251" i="33"/>
  <c r="BV253" i="33" s="1"/>
  <c r="BO251" i="33"/>
  <c r="BH251" i="33"/>
  <c r="BA251" i="33"/>
  <c r="AT251" i="33"/>
  <c r="AM251" i="33"/>
  <c r="AF251" i="33"/>
  <c r="Y251" i="33"/>
  <c r="R251" i="33"/>
  <c r="DE250" i="33"/>
  <c r="CX250" i="33"/>
  <c r="CX253" i="33" s="1"/>
  <c r="CC250" i="33"/>
  <c r="BV250" i="33"/>
  <c r="BO250" i="33"/>
  <c r="BH250" i="33"/>
  <c r="BA250" i="33"/>
  <c r="AT250" i="33"/>
  <c r="AM250" i="33"/>
  <c r="AF250" i="33"/>
  <c r="Y250" i="33"/>
  <c r="K13" i="40" s="1"/>
  <c r="R250" i="33"/>
  <c r="DE249" i="33"/>
  <c r="DE253" i="33" s="1"/>
  <c r="CX249" i="33"/>
  <c r="CC249" i="33"/>
  <c r="CC253" i="33" s="1"/>
  <c r="BV249" i="33"/>
  <c r="BO249" i="33"/>
  <c r="BH249" i="33"/>
  <c r="BH253" i="33" s="1"/>
  <c r="BA249" i="33"/>
  <c r="BA253" i="33" s="1"/>
  <c r="AT249" i="33"/>
  <c r="AM249" i="33"/>
  <c r="AM253" i="33" s="1"/>
  <c r="AF249" i="33"/>
  <c r="Y249" i="33"/>
  <c r="R249" i="33"/>
  <c r="DD247" i="33"/>
  <c r="DC247" i="33"/>
  <c r="DB247" i="33"/>
  <c r="DA247" i="33"/>
  <c r="CZ247" i="33"/>
  <c r="CW247" i="33"/>
  <c r="CV247" i="33"/>
  <c r="CU247" i="33"/>
  <c r="CT247" i="33"/>
  <c r="CS247" i="33"/>
  <c r="CP247" i="33"/>
  <c r="CO247" i="33"/>
  <c r="CN247" i="33"/>
  <c r="CM247" i="33"/>
  <c r="CL247" i="33"/>
  <c r="CB247" i="33"/>
  <c r="CA247" i="33"/>
  <c r="BZ247" i="33"/>
  <c r="BY247" i="33"/>
  <c r="BX247" i="33"/>
  <c r="BU247" i="33"/>
  <c r="BT247" i="33"/>
  <c r="BS247" i="33"/>
  <c r="BR247" i="33"/>
  <c r="BQ247" i="33"/>
  <c r="BN247" i="33"/>
  <c r="BM247" i="33"/>
  <c r="BL247" i="33"/>
  <c r="BK247" i="33"/>
  <c r="BJ247" i="33"/>
  <c r="BG247" i="33"/>
  <c r="BF247" i="33"/>
  <c r="BE247" i="33"/>
  <c r="BD247" i="33"/>
  <c r="BC247" i="33"/>
  <c r="AZ247" i="33"/>
  <c r="AY247" i="33"/>
  <c r="AX247" i="33"/>
  <c r="AW247" i="33"/>
  <c r="AV247" i="33"/>
  <c r="AT247" i="33"/>
  <c r="AS247" i="33"/>
  <c r="AR247" i="33"/>
  <c r="AQ247" i="33"/>
  <c r="AP247" i="33"/>
  <c r="AO247" i="33"/>
  <c r="AL247" i="33"/>
  <c r="AK247" i="33"/>
  <c r="AJ247" i="33"/>
  <c r="AI247" i="33"/>
  <c r="AH247" i="33"/>
  <c r="DE246" i="33"/>
  <c r="CX246" i="33"/>
  <c r="CC246" i="33"/>
  <c r="BV246" i="33"/>
  <c r="BO246" i="33"/>
  <c r="BO247" i="33" s="1"/>
  <c r="BH246" i="33"/>
  <c r="BA246" i="33"/>
  <c r="AT246" i="33"/>
  <c r="AM246" i="33"/>
  <c r="AF246" i="33"/>
  <c r="Y246" i="33"/>
  <c r="R246" i="33"/>
  <c r="DE245" i="33"/>
  <c r="CX245" i="33"/>
  <c r="T13" i="40"/>
  <c r="CC245" i="33"/>
  <c r="BV245" i="33"/>
  <c r="BV247" i="33" s="1"/>
  <c r="BO245" i="33"/>
  <c r="BH245" i="33"/>
  <c r="BA245" i="33"/>
  <c r="AT245" i="33"/>
  <c r="AM245" i="33"/>
  <c r="AF245" i="33"/>
  <c r="Y245" i="33"/>
  <c r="R245" i="33"/>
  <c r="DE244" i="33"/>
  <c r="CX244" i="33"/>
  <c r="CX247" i="33" s="1"/>
  <c r="CC244" i="33"/>
  <c r="BV244" i="33"/>
  <c r="BO244" i="33"/>
  <c r="BH244" i="33"/>
  <c r="BA244" i="33"/>
  <c r="AT244" i="33"/>
  <c r="AM244" i="33"/>
  <c r="AF244" i="33"/>
  <c r="Y244" i="33"/>
  <c r="R244" i="33"/>
  <c r="DE243" i="33"/>
  <c r="DE247" i="33" s="1"/>
  <c r="CX243" i="33"/>
  <c r="CC243" i="33"/>
  <c r="CC247" i="33" s="1"/>
  <c r="BV243" i="33"/>
  <c r="BO243" i="33"/>
  <c r="BH243" i="33"/>
  <c r="BH247" i="33" s="1"/>
  <c r="BA243" i="33"/>
  <c r="BA247" i="33" s="1"/>
  <c r="AT243" i="33"/>
  <c r="AM243" i="33"/>
  <c r="AM247" i="33" s="1"/>
  <c r="AF243" i="33"/>
  <c r="Y243" i="33"/>
  <c r="R243" i="33"/>
  <c r="DD241" i="33"/>
  <c r="DC241" i="33"/>
  <c r="DB241" i="33"/>
  <c r="DA241" i="33"/>
  <c r="CZ241" i="33"/>
  <c r="CW241" i="33"/>
  <c r="CV241" i="33"/>
  <c r="CU241" i="33"/>
  <c r="CT241" i="33"/>
  <c r="CS241" i="33"/>
  <c r="CP241" i="33"/>
  <c r="CO241" i="33"/>
  <c r="CN241" i="33"/>
  <c r="CM241" i="33"/>
  <c r="CL241" i="33"/>
  <c r="CB241" i="33"/>
  <c r="CA241" i="33"/>
  <c r="BZ241" i="33"/>
  <c r="BY241" i="33"/>
  <c r="BX241" i="33"/>
  <c r="BU241" i="33"/>
  <c r="BT241" i="33"/>
  <c r="BS241" i="33"/>
  <c r="BR241" i="33"/>
  <c r="BQ241" i="33"/>
  <c r="BN241" i="33"/>
  <c r="BM241" i="33"/>
  <c r="BL241" i="33"/>
  <c r="BK241" i="33"/>
  <c r="BJ241" i="33"/>
  <c r="BG241" i="33"/>
  <c r="BF241" i="33"/>
  <c r="BE241" i="33"/>
  <c r="BD241" i="33"/>
  <c r="BC241" i="33"/>
  <c r="AZ241" i="33"/>
  <c r="AY241" i="33"/>
  <c r="AX241" i="33"/>
  <c r="AW241" i="33"/>
  <c r="AV241" i="33"/>
  <c r="AT241" i="33"/>
  <c r="AS241" i="33"/>
  <c r="AR241" i="33"/>
  <c r="AQ241" i="33"/>
  <c r="AP241" i="33"/>
  <c r="AO241" i="33"/>
  <c r="AL241" i="33"/>
  <c r="AK241" i="33"/>
  <c r="AJ241" i="33"/>
  <c r="AI241" i="33"/>
  <c r="AH241" i="33"/>
  <c r="DE240" i="33"/>
  <c r="CX240" i="33"/>
  <c r="CC240" i="33"/>
  <c r="BV240" i="33"/>
  <c r="BO240" i="33"/>
  <c r="BO241" i="33" s="1"/>
  <c r="BH240" i="33"/>
  <c r="BA240" i="33"/>
  <c r="AT240" i="33"/>
  <c r="AM240" i="33"/>
  <c r="AF240" i="33"/>
  <c r="Y240" i="33"/>
  <c r="R240" i="33"/>
  <c r="DE239" i="33"/>
  <c r="CX239" i="33"/>
  <c r="CC239" i="33"/>
  <c r="BV239" i="33"/>
  <c r="BV241" i="33" s="1"/>
  <c r="BO239" i="33"/>
  <c r="BH239" i="33"/>
  <c r="BA239" i="33"/>
  <c r="AT239" i="33"/>
  <c r="AM239" i="33"/>
  <c r="AF239" i="33"/>
  <c r="Y239" i="33"/>
  <c r="R239" i="33"/>
  <c r="DE238" i="33"/>
  <c r="CX238" i="33"/>
  <c r="CX241" i="33" s="1"/>
  <c r="CC238" i="33"/>
  <c r="BV238" i="33"/>
  <c r="BO238" i="33"/>
  <c r="BH238" i="33"/>
  <c r="BA238" i="33"/>
  <c r="AT238" i="33"/>
  <c r="AM238" i="33"/>
  <c r="AF238" i="33"/>
  <c r="Y238" i="33"/>
  <c r="R238" i="33"/>
  <c r="I238" i="33"/>
  <c r="CH238" i="33" s="1"/>
  <c r="I244" i="33" s="1"/>
  <c r="CH244" i="33" s="1"/>
  <c r="I250" i="33" s="1"/>
  <c r="CH250" i="33" s="1"/>
  <c r="I256" i="33" s="1"/>
  <c r="CH256" i="33" s="1"/>
  <c r="H238" i="33"/>
  <c r="CG238" i="33" s="1"/>
  <c r="H244" i="33" s="1"/>
  <c r="CG244" i="33" s="1"/>
  <c r="H250" i="33" s="1"/>
  <c r="CG250" i="33" s="1"/>
  <c r="H256" i="33" s="1"/>
  <c r="CG256" i="33" s="1"/>
  <c r="F238" i="33"/>
  <c r="DE237" i="33"/>
  <c r="DE241" i="33" s="1"/>
  <c r="CX237" i="33"/>
  <c r="CC237" i="33"/>
  <c r="CC241" i="33" s="1"/>
  <c r="BV237" i="33"/>
  <c r="BO237" i="33"/>
  <c r="BH237" i="33"/>
  <c r="BH241" i="33" s="1"/>
  <c r="BA237" i="33"/>
  <c r="BA241" i="33" s="1"/>
  <c r="AT237" i="33"/>
  <c r="AM237" i="33"/>
  <c r="AM241" i="33" s="1"/>
  <c r="AF237" i="33"/>
  <c r="Y237" i="33"/>
  <c r="R237" i="33"/>
  <c r="I237" i="33"/>
  <c r="F237" i="33"/>
  <c r="DD235" i="33"/>
  <c r="DC235" i="33"/>
  <c r="DB235" i="33"/>
  <c r="DA235" i="33"/>
  <c r="CZ235" i="33"/>
  <c r="CX235" i="33"/>
  <c r="CW235" i="33"/>
  <c r="CV235" i="33"/>
  <c r="CU235" i="33"/>
  <c r="CT235" i="33"/>
  <c r="CS235" i="33"/>
  <c r="CP235" i="33"/>
  <c r="CO235" i="33"/>
  <c r="CN235" i="33"/>
  <c r="CM235" i="33"/>
  <c r="CL235" i="33"/>
  <c r="CH235" i="33"/>
  <c r="CE235" i="33"/>
  <c r="CB235" i="33"/>
  <c r="CA235" i="33"/>
  <c r="BZ235" i="33"/>
  <c r="BY235" i="33"/>
  <c r="BX235" i="33"/>
  <c r="BU235" i="33"/>
  <c r="BT235" i="33"/>
  <c r="BS235" i="33"/>
  <c r="BR235" i="33"/>
  <c r="BQ235" i="33"/>
  <c r="BN235" i="33"/>
  <c r="BM235" i="33"/>
  <c r="BL235" i="33"/>
  <c r="BK235" i="33"/>
  <c r="BJ235" i="33"/>
  <c r="BG235" i="33"/>
  <c r="BF235" i="33"/>
  <c r="BE235" i="33"/>
  <c r="BD235" i="33"/>
  <c r="BC235" i="33"/>
  <c r="AZ235" i="33"/>
  <c r="AY235" i="33"/>
  <c r="AX235" i="33"/>
  <c r="AW235" i="33"/>
  <c r="AV235" i="33"/>
  <c r="AS235" i="33"/>
  <c r="AR235" i="33"/>
  <c r="AQ235" i="33"/>
  <c r="AP235" i="33"/>
  <c r="AO235" i="33"/>
  <c r="AL235" i="33"/>
  <c r="AK235" i="33"/>
  <c r="AJ235" i="33"/>
  <c r="AI235" i="33"/>
  <c r="AH235" i="33"/>
  <c r="J235" i="33"/>
  <c r="I235" i="33"/>
  <c r="H235" i="33"/>
  <c r="G235" i="33"/>
  <c r="F235" i="33"/>
  <c r="DE234" i="33"/>
  <c r="CX234" i="33"/>
  <c r="CJ234" i="33"/>
  <c r="CI234" i="33"/>
  <c r="J240" i="33" s="1"/>
  <c r="CI240" i="33" s="1"/>
  <c r="J246" i="33" s="1"/>
  <c r="CI246" i="33" s="1"/>
  <c r="J252" i="33" s="1"/>
  <c r="CI252" i="33" s="1"/>
  <c r="J258" i="33" s="1"/>
  <c r="CI258" i="33" s="1"/>
  <c r="CH234" i="33"/>
  <c r="I240" i="33" s="1"/>
  <c r="CH240" i="33" s="1"/>
  <c r="I246" i="33" s="1"/>
  <c r="CH246" i="33" s="1"/>
  <c r="I252" i="33" s="1"/>
  <c r="CH252" i="33" s="1"/>
  <c r="I258" i="33" s="1"/>
  <c r="CH258" i="33" s="1"/>
  <c r="CG234" i="33"/>
  <c r="H240" i="33" s="1"/>
  <c r="CG240" i="33" s="1"/>
  <c r="H246" i="33" s="1"/>
  <c r="CG246" i="33" s="1"/>
  <c r="H252" i="33" s="1"/>
  <c r="CG252" i="33" s="1"/>
  <c r="H258" i="33" s="1"/>
  <c r="CG258" i="33" s="1"/>
  <c r="CF234" i="33"/>
  <c r="G240" i="33" s="1"/>
  <c r="CF240" i="33" s="1"/>
  <c r="G246" i="33" s="1"/>
  <c r="CF246" i="33" s="1"/>
  <c r="G252" i="33" s="1"/>
  <c r="CF252" i="33" s="1"/>
  <c r="G258" i="33" s="1"/>
  <c r="CF258" i="33" s="1"/>
  <c r="CE234" i="33"/>
  <c r="F240" i="33" s="1"/>
  <c r="CC234" i="33"/>
  <c r="BV234" i="33"/>
  <c r="BO234" i="33"/>
  <c r="BH234" i="33"/>
  <c r="BA234" i="33"/>
  <c r="AT234" i="33"/>
  <c r="AM234" i="33"/>
  <c r="AF234" i="33"/>
  <c r="Y234" i="33"/>
  <c r="R234" i="33"/>
  <c r="K234" i="33"/>
  <c r="DE233" i="33"/>
  <c r="CX233" i="33"/>
  <c r="CI233" i="33"/>
  <c r="J239" i="33" s="1"/>
  <c r="CI239" i="33" s="1"/>
  <c r="J245" i="33" s="1"/>
  <c r="CI245" i="33" s="1"/>
  <c r="J251" i="33" s="1"/>
  <c r="CI251" i="33" s="1"/>
  <c r="J257" i="33" s="1"/>
  <c r="CI257" i="33" s="1"/>
  <c r="CH233" i="33"/>
  <c r="I239" i="33" s="1"/>
  <c r="CH239" i="33" s="1"/>
  <c r="I245" i="33" s="1"/>
  <c r="CH245" i="33" s="1"/>
  <c r="I251" i="33" s="1"/>
  <c r="CH251" i="33" s="1"/>
  <c r="I257" i="33" s="1"/>
  <c r="CH257" i="33" s="1"/>
  <c r="CG233" i="33"/>
  <c r="H239" i="33" s="1"/>
  <c r="CG239" i="33" s="1"/>
  <c r="H245" i="33" s="1"/>
  <c r="CG245" i="33" s="1"/>
  <c r="H251" i="33" s="1"/>
  <c r="CG251" i="33" s="1"/>
  <c r="H257" i="33" s="1"/>
  <c r="CG257" i="33" s="1"/>
  <c r="CF233" i="33"/>
  <c r="CJ233" i="33" s="1"/>
  <c r="CE233" i="33"/>
  <c r="F239" i="33" s="1"/>
  <c r="CC233" i="33"/>
  <c r="BV233" i="33"/>
  <c r="BO233" i="33"/>
  <c r="BH233" i="33"/>
  <c r="BA233" i="33"/>
  <c r="AT233" i="33"/>
  <c r="AM233" i="33"/>
  <c r="AF233" i="33"/>
  <c r="Y233" i="33"/>
  <c r="R233" i="33"/>
  <c r="K233" i="33"/>
  <c r="DE232" i="33"/>
  <c r="CX232" i="33"/>
  <c r="CJ232" i="33"/>
  <c r="CI232" i="33"/>
  <c r="J238" i="33" s="1"/>
  <c r="CI238" i="33" s="1"/>
  <c r="J244" i="33" s="1"/>
  <c r="CI244" i="33" s="1"/>
  <c r="J250" i="33" s="1"/>
  <c r="CI250" i="33" s="1"/>
  <c r="J256" i="33" s="1"/>
  <c r="CI256" i="33" s="1"/>
  <c r="CH232" i="33"/>
  <c r="CG232" i="33"/>
  <c r="CF232" i="33"/>
  <c r="G238" i="33" s="1"/>
  <c r="CF238" i="33" s="1"/>
  <c r="G244" i="33" s="1"/>
  <c r="CF244" i="33" s="1"/>
  <c r="G250" i="33" s="1"/>
  <c r="CF250" i="33" s="1"/>
  <c r="G256" i="33" s="1"/>
  <c r="CF256" i="33" s="1"/>
  <c r="CE232" i="33"/>
  <c r="CC232" i="33"/>
  <c r="BV232" i="33"/>
  <c r="BV235" i="33" s="1"/>
  <c r="BO232" i="33"/>
  <c r="BH232" i="33"/>
  <c r="BA232" i="33"/>
  <c r="AT232" i="33"/>
  <c r="AM232" i="33"/>
  <c r="AF232" i="33"/>
  <c r="Y232" i="33"/>
  <c r="R232" i="33"/>
  <c r="K232" i="33"/>
  <c r="K235" i="33" s="1"/>
  <c r="DE231" i="33"/>
  <c r="DE235" i="33" s="1"/>
  <c r="CX231" i="33"/>
  <c r="CI231" i="33"/>
  <c r="J237" i="33" s="1"/>
  <c r="CH231" i="33"/>
  <c r="CG231" i="33"/>
  <c r="H237" i="33" s="1"/>
  <c r="CF231" i="33"/>
  <c r="C13" i="40" s="1"/>
  <c r="CE231" i="33"/>
  <c r="CC231" i="33"/>
  <c r="CC235" i="33" s="1"/>
  <c r="BV231" i="33"/>
  <c r="BO231" i="33"/>
  <c r="BO235" i="33" s="1"/>
  <c r="BH231" i="33"/>
  <c r="BH235" i="33" s="1"/>
  <c r="BA231" i="33"/>
  <c r="BA235" i="33" s="1"/>
  <c r="AT231" i="33"/>
  <c r="AT235" i="33" s="1"/>
  <c r="AM231" i="33"/>
  <c r="AM235" i="33" s="1"/>
  <c r="AF231" i="33"/>
  <c r="Y231" i="33"/>
  <c r="R231" i="33"/>
  <c r="K231" i="33"/>
  <c r="DD227" i="33"/>
  <c r="DC227" i="33"/>
  <c r="DB227" i="33"/>
  <c r="DA227" i="33"/>
  <c r="CZ227" i="33"/>
  <c r="CW227" i="33"/>
  <c r="CV227" i="33"/>
  <c r="CU227" i="33"/>
  <c r="CT227" i="33"/>
  <c r="CS227" i="33"/>
  <c r="CP227" i="33"/>
  <c r="CO227" i="33"/>
  <c r="CN227" i="33"/>
  <c r="CM227" i="33"/>
  <c r="CL227" i="33"/>
  <c r="CB227" i="33"/>
  <c r="CA227" i="33"/>
  <c r="BZ227" i="33"/>
  <c r="BY227" i="33"/>
  <c r="BX227" i="33"/>
  <c r="BU227" i="33"/>
  <c r="BT227" i="33"/>
  <c r="BS227" i="33"/>
  <c r="BR227" i="33"/>
  <c r="BQ227" i="33"/>
  <c r="BN227" i="33"/>
  <c r="BM227" i="33"/>
  <c r="BL227" i="33"/>
  <c r="BK227" i="33"/>
  <c r="BJ227" i="33"/>
  <c r="BG227" i="33"/>
  <c r="BF227" i="33"/>
  <c r="BE227" i="33"/>
  <c r="BD227" i="33"/>
  <c r="BC227" i="33"/>
  <c r="AZ227" i="33"/>
  <c r="AY227" i="33"/>
  <c r="AX227" i="33"/>
  <c r="AW227" i="33"/>
  <c r="AV227" i="33"/>
  <c r="AS227" i="33"/>
  <c r="AR227" i="33"/>
  <c r="AQ227" i="33"/>
  <c r="AP227" i="33"/>
  <c r="AO227" i="33"/>
  <c r="AL227" i="33"/>
  <c r="AK227" i="33"/>
  <c r="AJ227" i="33"/>
  <c r="AI227" i="33"/>
  <c r="AH227" i="33"/>
  <c r="DE226" i="33"/>
  <c r="CX226" i="33"/>
  <c r="CC226" i="33"/>
  <c r="BV226" i="33"/>
  <c r="BO226" i="33"/>
  <c r="BO227" i="33" s="1"/>
  <c r="BH226" i="33"/>
  <c r="BA226" i="33"/>
  <c r="AT226" i="33"/>
  <c r="AM226" i="33"/>
  <c r="AF226" i="33"/>
  <c r="Y226" i="33"/>
  <c r="R226" i="33"/>
  <c r="DE225" i="33"/>
  <c r="CX225" i="33"/>
  <c r="CC225" i="33"/>
  <c r="BV225" i="33"/>
  <c r="BO225" i="33"/>
  <c r="BH225" i="33"/>
  <c r="BA225" i="33"/>
  <c r="AT225" i="33"/>
  <c r="AM225" i="33"/>
  <c r="AF225" i="33"/>
  <c r="Y225" i="33"/>
  <c r="R225" i="33"/>
  <c r="DE224" i="33"/>
  <c r="CX224" i="33"/>
  <c r="CC224" i="33"/>
  <c r="BV224" i="33"/>
  <c r="BO224" i="33"/>
  <c r="BH224" i="33"/>
  <c r="BA224" i="33"/>
  <c r="AT224" i="33"/>
  <c r="AM224" i="33"/>
  <c r="AM227" i="33" s="1"/>
  <c r="AF224" i="33"/>
  <c r="Y224" i="33"/>
  <c r="R224" i="33"/>
  <c r="DE223" i="33"/>
  <c r="DE227" i="33" s="1"/>
  <c r="CX223" i="33"/>
  <c r="CX227" i="33" s="1"/>
  <c r="CC223" i="33"/>
  <c r="CC227" i="33" s="1"/>
  <c r="BV223" i="33"/>
  <c r="BV227" i="33" s="1"/>
  <c r="BO223" i="33"/>
  <c r="BH223" i="33"/>
  <c r="BH227" i="33" s="1"/>
  <c r="BA223" i="33"/>
  <c r="BA227" i="33" s="1"/>
  <c r="AT223" i="33"/>
  <c r="AT227" i="33" s="1"/>
  <c r="AM223" i="33"/>
  <c r="AF223" i="33"/>
  <c r="Y223" i="33"/>
  <c r="R223" i="33"/>
  <c r="DD221" i="33"/>
  <c r="DC221" i="33"/>
  <c r="DB221" i="33"/>
  <c r="DA221" i="33"/>
  <c r="CZ221" i="33"/>
  <c r="CW221" i="33"/>
  <c r="CV221" i="33"/>
  <c r="CU221" i="33"/>
  <c r="CT221" i="33"/>
  <c r="CS221" i="33"/>
  <c r="CP221" i="33"/>
  <c r="CO221" i="33"/>
  <c r="CN221" i="33"/>
  <c r="CM221" i="33"/>
  <c r="CL221" i="33"/>
  <c r="CB221" i="33"/>
  <c r="CA221" i="33"/>
  <c r="BZ221" i="33"/>
  <c r="BY221" i="33"/>
  <c r="BX221" i="33"/>
  <c r="BU221" i="33"/>
  <c r="BT221" i="33"/>
  <c r="BS221" i="33"/>
  <c r="BR221" i="33"/>
  <c r="BQ221" i="33"/>
  <c r="BN221" i="33"/>
  <c r="BM221" i="33"/>
  <c r="BL221" i="33"/>
  <c r="BK221" i="33"/>
  <c r="BJ221" i="33"/>
  <c r="BG221" i="33"/>
  <c r="BF221" i="33"/>
  <c r="BE221" i="33"/>
  <c r="BD221" i="33"/>
  <c r="BC221" i="33"/>
  <c r="AZ221" i="33"/>
  <c r="AY221" i="33"/>
  <c r="AX221" i="33"/>
  <c r="AW221" i="33"/>
  <c r="AV221" i="33"/>
  <c r="AS221" i="33"/>
  <c r="AR221" i="33"/>
  <c r="AQ221" i="33"/>
  <c r="AP221" i="33"/>
  <c r="AO221" i="33"/>
  <c r="AL221" i="33"/>
  <c r="AK221" i="33"/>
  <c r="AJ221" i="33"/>
  <c r="AI221" i="33"/>
  <c r="AH221" i="33"/>
  <c r="DE220" i="33"/>
  <c r="CX220" i="33"/>
  <c r="CC220" i="33"/>
  <c r="BV220" i="33"/>
  <c r="BO220" i="33"/>
  <c r="BO221" i="33" s="1"/>
  <c r="BH220" i="33"/>
  <c r="BA220" i="33"/>
  <c r="AT220" i="33"/>
  <c r="AM220" i="33"/>
  <c r="AF220" i="33"/>
  <c r="Y220" i="33"/>
  <c r="R220" i="33"/>
  <c r="DE219" i="33"/>
  <c r="CX219" i="33"/>
  <c r="CC219" i="33"/>
  <c r="BV219" i="33"/>
  <c r="BO219" i="33"/>
  <c r="BH219" i="33"/>
  <c r="BA219" i="33"/>
  <c r="AT219" i="33"/>
  <c r="AM219" i="33"/>
  <c r="AF219" i="33"/>
  <c r="Y219" i="33"/>
  <c r="R219" i="33"/>
  <c r="DE218" i="33"/>
  <c r="CX218" i="33"/>
  <c r="CC218" i="33"/>
  <c r="BV218" i="33"/>
  <c r="BO218" i="33"/>
  <c r="BH218" i="33"/>
  <c r="BA218" i="33"/>
  <c r="AT218" i="33"/>
  <c r="AM218" i="33"/>
  <c r="AM221" i="33" s="1"/>
  <c r="AF218" i="33"/>
  <c r="Y218" i="33"/>
  <c r="R218" i="33"/>
  <c r="DE217" i="33"/>
  <c r="DE221" i="33" s="1"/>
  <c r="CX217" i="33"/>
  <c r="CX221" i="33" s="1"/>
  <c r="CC217" i="33"/>
  <c r="CC221" i="33" s="1"/>
  <c r="BV217" i="33"/>
  <c r="BV221" i="33" s="1"/>
  <c r="BO217" i="33"/>
  <c r="BH217" i="33"/>
  <c r="BH221" i="33" s="1"/>
  <c r="BA217" i="33"/>
  <c r="BA221" i="33" s="1"/>
  <c r="AT217" i="33"/>
  <c r="AT221" i="33" s="1"/>
  <c r="AM217" i="33"/>
  <c r="AF217" i="33"/>
  <c r="Y217" i="33"/>
  <c r="R217" i="33"/>
  <c r="DD215" i="33"/>
  <c r="DC215" i="33"/>
  <c r="DB215" i="33"/>
  <c r="DA215" i="33"/>
  <c r="CZ215" i="33"/>
  <c r="CW215" i="33"/>
  <c r="CV215" i="33"/>
  <c r="CU215" i="33"/>
  <c r="CT215" i="33"/>
  <c r="CS215" i="33"/>
  <c r="CP215" i="33"/>
  <c r="CO215" i="33"/>
  <c r="CN215" i="33"/>
  <c r="CM215" i="33"/>
  <c r="CL215" i="33"/>
  <c r="CB215" i="33"/>
  <c r="CA215" i="33"/>
  <c r="BZ215" i="33"/>
  <c r="BY215" i="33"/>
  <c r="BX215" i="33"/>
  <c r="BU215" i="33"/>
  <c r="BT215" i="33"/>
  <c r="BS215" i="33"/>
  <c r="BR215" i="33"/>
  <c r="BQ215" i="33"/>
  <c r="BN215" i="33"/>
  <c r="BM215" i="33"/>
  <c r="BL215" i="33"/>
  <c r="BK215" i="33"/>
  <c r="BJ215" i="33"/>
  <c r="BG215" i="33"/>
  <c r="BF215" i="33"/>
  <c r="BE215" i="33"/>
  <c r="BD215" i="33"/>
  <c r="BC215" i="33"/>
  <c r="AZ215" i="33"/>
  <c r="AY215" i="33"/>
  <c r="AX215" i="33"/>
  <c r="AW215" i="33"/>
  <c r="AV215" i="33"/>
  <c r="AS215" i="33"/>
  <c r="AR215" i="33"/>
  <c r="AQ215" i="33"/>
  <c r="AP215" i="33"/>
  <c r="AO215" i="33"/>
  <c r="AL215" i="33"/>
  <c r="AK215" i="33"/>
  <c r="AJ215" i="33"/>
  <c r="AI215" i="33"/>
  <c r="AH215" i="33"/>
  <c r="DE214" i="33"/>
  <c r="CX214" i="33"/>
  <c r="CC214" i="33"/>
  <c r="BV214" i="33"/>
  <c r="BO214" i="33"/>
  <c r="BO215" i="33" s="1"/>
  <c r="BH214" i="33"/>
  <c r="BA214" i="33"/>
  <c r="AT214" i="33"/>
  <c r="AM214" i="33"/>
  <c r="AF214" i="33"/>
  <c r="Y214" i="33"/>
  <c r="R214" i="33"/>
  <c r="DE213" i="33"/>
  <c r="CX213" i="33"/>
  <c r="T12" i="40"/>
  <c r="CC213" i="33"/>
  <c r="BV213" i="33"/>
  <c r="BO213" i="33"/>
  <c r="BH213" i="33"/>
  <c r="BA213" i="33"/>
  <c r="AT213" i="33"/>
  <c r="AM213" i="33"/>
  <c r="AF213" i="33"/>
  <c r="Y213" i="33"/>
  <c r="R213" i="33"/>
  <c r="DE212" i="33"/>
  <c r="CX212" i="33"/>
  <c r="CC212" i="33"/>
  <c r="BV212" i="33"/>
  <c r="BO212" i="33"/>
  <c r="BH212" i="33"/>
  <c r="BA212" i="33"/>
  <c r="AT212" i="33"/>
  <c r="AM212" i="33"/>
  <c r="AM215" i="33" s="1"/>
  <c r="AF212" i="33"/>
  <c r="Y212" i="33"/>
  <c r="J12" i="40" s="1"/>
  <c r="R212" i="33"/>
  <c r="DE211" i="33"/>
  <c r="DE215" i="33" s="1"/>
  <c r="CX211" i="33"/>
  <c r="CX215" i="33" s="1"/>
  <c r="CC211" i="33"/>
  <c r="CC215" i="33" s="1"/>
  <c r="BV211" i="33"/>
  <c r="BV215" i="33" s="1"/>
  <c r="BO211" i="33"/>
  <c r="BH211" i="33"/>
  <c r="BH215" i="33" s="1"/>
  <c r="BA211" i="33"/>
  <c r="BA215" i="33" s="1"/>
  <c r="AT211" i="33"/>
  <c r="AT215" i="33" s="1"/>
  <c r="AM211" i="33"/>
  <c r="AF211" i="33"/>
  <c r="Y211" i="33"/>
  <c r="R211" i="33"/>
  <c r="DD209" i="33"/>
  <c r="DC209" i="33"/>
  <c r="DB209" i="33"/>
  <c r="DA209" i="33"/>
  <c r="CZ209" i="33"/>
  <c r="CW209" i="33"/>
  <c r="CV209" i="33"/>
  <c r="CU209" i="33"/>
  <c r="CT209" i="33"/>
  <c r="CS209" i="33"/>
  <c r="CP209" i="33"/>
  <c r="CO209" i="33"/>
  <c r="CN209" i="33"/>
  <c r="CM209" i="33"/>
  <c r="CL209" i="33"/>
  <c r="CB209" i="33"/>
  <c r="CA209" i="33"/>
  <c r="BZ209" i="33"/>
  <c r="BY209" i="33"/>
  <c r="BX209" i="33"/>
  <c r="BU209" i="33"/>
  <c r="BT209" i="33"/>
  <c r="BS209" i="33"/>
  <c r="BR209" i="33"/>
  <c r="BQ209" i="33"/>
  <c r="BN209" i="33"/>
  <c r="BM209" i="33"/>
  <c r="BL209" i="33"/>
  <c r="BK209" i="33"/>
  <c r="BJ209" i="33"/>
  <c r="BG209" i="33"/>
  <c r="BF209" i="33"/>
  <c r="BE209" i="33"/>
  <c r="BD209" i="33"/>
  <c r="BC209" i="33"/>
  <c r="AZ209" i="33"/>
  <c r="AY209" i="33"/>
  <c r="AX209" i="33"/>
  <c r="AW209" i="33"/>
  <c r="AV209" i="33"/>
  <c r="AS209" i="33"/>
  <c r="AR209" i="33"/>
  <c r="AQ209" i="33"/>
  <c r="AP209" i="33"/>
  <c r="AO209" i="33"/>
  <c r="AL209" i="33"/>
  <c r="AK209" i="33"/>
  <c r="AJ209" i="33"/>
  <c r="AI209" i="33"/>
  <c r="AH209" i="33"/>
  <c r="DE208" i="33"/>
  <c r="CX208" i="33"/>
  <c r="CC208" i="33"/>
  <c r="BV208" i="33"/>
  <c r="BO208" i="33"/>
  <c r="BO209" i="33" s="1"/>
  <c r="BH208" i="33"/>
  <c r="BA208" i="33"/>
  <c r="AT208" i="33"/>
  <c r="AM208" i="33"/>
  <c r="AF208" i="33"/>
  <c r="Y208" i="33"/>
  <c r="R208" i="33"/>
  <c r="DE207" i="33"/>
  <c r="CX207" i="33"/>
  <c r="CC207" i="33"/>
  <c r="BV207" i="33"/>
  <c r="BO207" i="33"/>
  <c r="BH207" i="33"/>
  <c r="BA207" i="33"/>
  <c r="AT207" i="33"/>
  <c r="AM207" i="33"/>
  <c r="AF207" i="33"/>
  <c r="Y207" i="33"/>
  <c r="R207" i="33"/>
  <c r="F207" i="33"/>
  <c r="DE206" i="33"/>
  <c r="CX206" i="33"/>
  <c r="CC206" i="33"/>
  <c r="BV206" i="33"/>
  <c r="BO206" i="33"/>
  <c r="BH206" i="33"/>
  <c r="BA206" i="33"/>
  <c r="AT206" i="33"/>
  <c r="AM206" i="33"/>
  <c r="AM209" i="33" s="1"/>
  <c r="AF206" i="33"/>
  <c r="Y206" i="33"/>
  <c r="R206" i="33"/>
  <c r="H206" i="33"/>
  <c r="CG206" i="33" s="1"/>
  <c r="H212" i="33" s="1"/>
  <c r="CG212" i="33" s="1"/>
  <c r="H218" i="33" s="1"/>
  <c r="CG218" i="33" s="1"/>
  <c r="H224" i="33" s="1"/>
  <c r="CG224" i="33" s="1"/>
  <c r="G206" i="33"/>
  <c r="CF206" i="33" s="1"/>
  <c r="G212" i="33" s="1"/>
  <c r="CF212" i="33" s="1"/>
  <c r="G218" i="33" s="1"/>
  <c r="CF218" i="33" s="1"/>
  <c r="G224" i="33" s="1"/>
  <c r="CF224" i="33" s="1"/>
  <c r="DE205" i="33"/>
  <c r="DE209" i="33" s="1"/>
  <c r="CX205" i="33"/>
  <c r="CX209" i="33" s="1"/>
  <c r="CC205" i="33"/>
  <c r="CC209" i="33" s="1"/>
  <c r="BV205" i="33"/>
  <c r="BV209" i="33" s="1"/>
  <c r="BO205" i="33"/>
  <c r="BH205" i="33"/>
  <c r="BH209" i="33" s="1"/>
  <c r="BA205" i="33"/>
  <c r="BA209" i="33" s="1"/>
  <c r="AT205" i="33"/>
  <c r="AT209" i="33" s="1"/>
  <c r="AM205" i="33"/>
  <c r="AF205" i="33"/>
  <c r="Y205" i="33"/>
  <c r="R205" i="33"/>
  <c r="H205" i="33"/>
  <c r="H209" i="33" s="1"/>
  <c r="F205" i="33"/>
  <c r="DD203" i="33"/>
  <c r="DC203" i="33"/>
  <c r="DB203" i="33"/>
  <c r="DA203" i="33"/>
  <c r="CZ203" i="33"/>
  <c r="CW203" i="33"/>
  <c r="CV203" i="33"/>
  <c r="CU203" i="33"/>
  <c r="CT203" i="33"/>
  <c r="CS203" i="33"/>
  <c r="CP203" i="33"/>
  <c r="CO203" i="33"/>
  <c r="CN203" i="33"/>
  <c r="CM203" i="33"/>
  <c r="CL203" i="33"/>
  <c r="CG203" i="33"/>
  <c r="CE203" i="33"/>
  <c r="CB203" i="33"/>
  <c r="CA203" i="33"/>
  <c r="BZ203" i="33"/>
  <c r="BY203" i="33"/>
  <c r="BX203" i="33"/>
  <c r="BU203" i="33"/>
  <c r="BT203" i="33"/>
  <c r="BS203" i="33"/>
  <c r="BR203" i="33"/>
  <c r="BQ203" i="33"/>
  <c r="BN203" i="33"/>
  <c r="BM203" i="33"/>
  <c r="BL203" i="33"/>
  <c r="BK203" i="33"/>
  <c r="BJ203" i="33"/>
  <c r="BG203" i="33"/>
  <c r="BF203" i="33"/>
  <c r="BE203" i="33"/>
  <c r="BD203" i="33"/>
  <c r="BC203" i="33"/>
  <c r="AZ203" i="33"/>
  <c r="AY203" i="33"/>
  <c r="AX203" i="33"/>
  <c r="AW203" i="33"/>
  <c r="AV203" i="33"/>
  <c r="AS203" i="33"/>
  <c r="AR203" i="33"/>
  <c r="AQ203" i="33"/>
  <c r="AP203" i="33"/>
  <c r="AO203" i="33"/>
  <c r="AL203" i="33"/>
  <c r="AK203" i="33"/>
  <c r="AJ203" i="33"/>
  <c r="AI203" i="33"/>
  <c r="AH203" i="33"/>
  <c r="J203" i="33"/>
  <c r="I203" i="33"/>
  <c r="H203" i="33"/>
  <c r="G203" i="33"/>
  <c r="F203" i="33"/>
  <c r="DE202" i="33"/>
  <c r="CX202" i="33"/>
  <c r="CJ202" i="33"/>
  <c r="CI202" i="33"/>
  <c r="J208" i="33" s="1"/>
  <c r="CI208" i="33" s="1"/>
  <c r="J214" i="33" s="1"/>
  <c r="CI214" i="33" s="1"/>
  <c r="J220" i="33" s="1"/>
  <c r="CI220" i="33" s="1"/>
  <c r="J226" i="33" s="1"/>
  <c r="CI226" i="33" s="1"/>
  <c r="CH202" i="33"/>
  <c r="I208" i="33" s="1"/>
  <c r="CH208" i="33" s="1"/>
  <c r="I214" i="33" s="1"/>
  <c r="CH214" i="33" s="1"/>
  <c r="I220" i="33" s="1"/>
  <c r="CH220" i="33" s="1"/>
  <c r="I226" i="33" s="1"/>
  <c r="CH226" i="33" s="1"/>
  <c r="CG202" i="33"/>
  <c r="H208" i="33" s="1"/>
  <c r="CG208" i="33" s="1"/>
  <c r="H214" i="33" s="1"/>
  <c r="CG214" i="33" s="1"/>
  <c r="H220" i="33" s="1"/>
  <c r="CG220" i="33" s="1"/>
  <c r="H226" i="33" s="1"/>
  <c r="CG226" i="33" s="1"/>
  <c r="CF202" i="33"/>
  <c r="G208" i="33" s="1"/>
  <c r="CF208" i="33" s="1"/>
  <c r="G214" i="33" s="1"/>
  <c r="CF214" i="33" s="1"/>
  <c r="G220" i="33" s="1"/>
  <c r="CF220" i="33" s="1"/>
  <c r="G226" i="33" s="1"/>
  <c r="CF226" i="33" s="1"/>
  <c r="CE202" i="33"/>
  <c r="F208" i="33" s="1"/>
  <c r="CC202" i="33"/>
  <c r="BV202" i="33"/>
  <c r="BO202" i="33"/>
  <c r="BH202" i="33"/>
  <c r="BA202" i="33"/>
  <c r="AT202" i="33"/>
  <c r="AM202" i="33"/>
  <c r="AF202" i="33"/>
  <c r="Y202" i="33"/>
  <c r="R202" i="33"/>
  <c r="K202" i="33"/>
  <c r="DE201" i="33"/>
  <c r="CX201" i="33"/>
  <c r="CI201" i="33"/>
  <c r="J207" i="33" s="1"/>
  <c r="CI207" i="33" s="1"/>
  <c r="J213" i="33" s="1"/>
  <c r="CI213" i="33" s="1"/>
  <c r="J219" i="33" s="1"/>
  <c r="CI219" i="33" s="1"/>
  <c r="J225" i="33" s="1"/>
  <c r="CI225" i="33" s="1"/>
  <c r="CH201" i="33"/>
  <c r="I207" i="33" s="1"/>
  <c r="CH207" i="33" s="1"/>
  <c r="I213" i="33" s="1"/>
  <c r="CH213" i="33" s="1"/>
  <c r="I219" i="33" s="1"/>
  <c r="CH219" i="33" s="1"/>
  <c r="I225" i="33" s="1"/>
  <c r="CH225" i="33" s="1"/>
  <c r="CG201" i="33"/>
  <c r="H207" i="33" s="1"/>
  <c r="CG207" i="33" s="1"/>
  <c r="H213" i="33" s="1"/>
  <c r="CG213" i="33" s="1"/>
  <c r="H219" i="33" s="1"/>
  <c r="CG219" i="33" s="1"/>
  <c r="H225" i="33" s="1"/>
  <c r="CG225" i="33" s="1"/>
  <c r="CF201" i="33"/>
  <c r="G207" i="33" s="1"/>
  <c r="CF207" i="33" s="1"/>
  <c r="G213" i="33" s="1"/>
  <c r="CF213" i="33" s="1"/>
  <c r="G219" i="33" s="1"/>
  <c r="CF219" i="33" s="1"/>
  <c r="G225" i="33" s="1"/>
  <c r="CF225" i="33" s="1"/>
  <c r="CE201" i="33"/>
  <c r="CJ201" i="33" s="1"/>
  <c r="CC201" i="33"/>
  <c r="BV201" i="33"/>
  <c r="BO201" i="33"/>
  <c r="BH201" i="33"/>
  <c r="BA201" i="33"/>
  <c r="AT201" i="33"/>
  <c r="AM201" i="33"/>
  <c r="AF201" i="33"/>
  <c r="Y201" i="33"/>
  <c r="R201" i="33"/>
  <c r="K201" i="33"/>
  <c r="DE200" i="33"/>
  <c r="CX200" i="33"/>
  <c r="CJ200" i="33"/>
  <c r="CI200" i="33"/>
  <c r="J206" i="33" s="1"/>
  <c r="CI206" i="33" s="1"/>
  <c r="J212" i="33" s="1"/>
  <c r="CI212" i="33" s="1"/>
  <c r="J218" i="33" s="1"/>
  <c r="CI218" i="33" s="1"/>
  <c r="J224" i="33" s="1"/>
  <c r="CI224" i="33" s="1"/>
  <c r="CH200" i="33"/>
  <c r="I206" i="33" s="1"/>
  <c r="CH206" i="33" s="1"/>
  <c r="I212" i="33" s="1"/>
  <c r="CH212" i="33" s="1"/>
  <c r="I218" i="33" s="1"/>
  <c r="CH218" i="33" s="1"/>
  <c r="I224" i="33" s="1"/>
  <c r="CH224" i="33" s="1"/>
  <c r="CG200" i="33"/>
  <c r="CF200" i="33"/>
  <c r="CE200" i="33"/>
  <c r="F206" i="33" s="1"/>
  <c r="CC200" i="33"/>
  <c r="BV200" i="33"/>
  <c r="BO200" i="33"/>
  <c r="BO203" i="33" s="1"/>
  <c r="BH200" i="33"/>
  <c r="BA200" i="33"/>
  <c r="AT200" i="33"/>
  <c r="AM200" i="33"/>
  <c r="AF200" i="33"/>
  <c r="Y200" i="33"/>
  <c r="R200" i="33"/>
  <c r="K200" i="33"/>
  <c r="DE199" i="33"/>
  <c r="DE203" i="33" s="1"/>
  <c r="CX199" i="33"/>
  <c r="CX203" i="33" s="1"/>
  <c r="CI199" i="33"/>
  <c r="J205" i="33" s="1"/>
  <c r="CH199" i="33"/>
  <c r="I205" i="33" s="1"/>
  <c r="CG199" i="33"/>
  <c r="CF199" i="33"/>
  <c r="O52" i="34" s="1" a="1"/>
  <c r="O52" i="34" s="1"/>
  <c r="CE199" i="33"/>
  <c r="CJ199" i="33" s="1"/>
  <c r="CJ203" i="33" s="1"/>
  <c r="CC199" i="33"/>
  <c r="CC203" i="33" s="1"/>
  <c r="BV199" i="33"/>
  <c r="BV203" i="33" s="1"/>
  <c r="BO199" i="33"/>
  <c r="BH199" i="33"/>
  <c r="BH203" i="33" s="1"/>
  <c r="BA199" i="33"/>
  <c r="BA203" i="33" s="1"/>
  <c r="AT199" i="33"/>
  <c r="AT203" i="33" s="1"/>
  <c r="AM199" i="33"/>
  <c r="AM203" i="33" s="1"/>
  <c r="AF199" i="33"/>
  <c r="Y199" i="33"/>
  <c r="R199" i="33"/>
  <c r="K199" i="33"/>
  <c r="K203" i="33" s="1"/>
  <c r="J171" i="33"/>
  <c r="I171" i="33"/>
  <c r="H171" i="33"/>
  <c r="G171" i="33"/>
  <c r="F171" i="33"/>
  <c r="K170" i="33"/>
  <c r="K169" i="33"/>
  <c r="K168" i="33"/>
  <c r="K167" i="33"/>
  <c r="K171" i="33" s="1"/>
  <c r="DE163" i="33"/>
  <c r="DD163" i="33"/>
  <c r="DC163" i="33"/>
  <c r="DB163" i="33"/>
  <c r="DA163" i="33"/>
  <c r="CZ163" i="33"/>
  <c r="CX163" i="33"/>
  <c r="CW163" i="33"/>
  <c r="CV163" i="33"/>
  <c r="CU163" i="33"/>
  <c r="CT163" i="33"/>
  <c r="CS163" i="33"/>
  <c r="CP163" i="33"/>
  <c r="CO163" i="33"/>
  <c r="CN163" i="33"/>
  <c r="CM163" i="33"/>
  <c r="CL163" i="33"/>
  <c r="CJ163" i="33"/>
  <c r="CI163" i="33"/>
  <c r="CH163" i="33"/>
  <c r="CG163" i="33"/>
  <c r="CF163" i="33"/>
  <c r="CE163" i="33"/>
  <c r="CC163" i="33"/>
  <c r="CB163" i="33"/>
  <c r="CA163" i="33"/>
  <c r="BZ163" i="33"/>
  <c r="BY163" i="33"/>
  <c r="BX163" i="33"/>
  <c r="BV163" i="33"/>
  <c r="BU163" i="33"/>
  <c r="BT163" i="33"/>
  <c r="BS163" i="33"/>
  <c r="BR163" i="33"/>
  <c r="BQ163" i="33"/>
  <c r="BO163" i="33"/>
  <c r="BN163" i="33"/>
  <c r="BM163" i="33"/>
  <c r="BL163" i="33"/>
  <c r="BK163" i="33"/>
  <c r="BJ163" i="33"/>
  <c r="BH163" i="33"/>
  <c r="BG163" i="33"/>
  <c r="BF163" i="33"/>
  <c r="BE163" i="33"/>
  <c r="BD163" i="33"/>
  <c r="BC163" i="33"/>
  <c r="BA163" i="33"/>
  <c r="AZ163" i="33"/>
  <c r="AY163" i="33"/>
  <c r="AX163" i="33"/>
  <c r="AW163" i="33"/>
  <c r="AV163" i="33"/>
  <c r="AT163" i="33"/>
  <c r="AS163" i="33"/>
  <c r="AR163" i="33"/>
  <c r="AQ163" i="33"/>
  <c r="AP163" i="33"/>
  <c r="AO163" i="33"/>
  <c r="AM163" i="33"/>
  <c r="AL163" i="33"/>
  <c r="AK163" i="33"/>
  <c r="AJ163" i="33"/>
  <c r="AI163" i="33"/>
  <c r="AH163" i="33"/>
  <c r="AF163" i="33"/>
  <c r="AE163" i="33"/>
  <c r="AD163" i="33"/>
  <c r="AC163" i="33"/>
  <c r="AB163" i="33"/>
  <c r="AA163" i="33"/>
  <c r="Y163" i="33"/>
  <c r="X163" i="33"/>
  <c r="W163" i="33"/>
  <c r="V163" i="33"/>
  <c r="U163" i="33"/>
  <c r="T163" i="33"/>
  <c r="R163" i="33"/>
  <c r="Q163" i="33"/>
  <c r="P163" i="33"/>
  <c r="O163" i="33"/>
  <c r="N163" i="33"/>
  <c r="M163" i="33"/>
  <c r="K163" i="33"/>
  <c r="J163" i="33"/>
  <c r="I163" i="33"/>
  <c r="H163" i="33"/>
  <c r="G163" i="33"/>
  <c r="F163" i="33"/>
  <c r="DE157" i="33"/>
  <c r="DD157" i="33"/>
  <c r="DC157" i="33"/>
  <c r="DB157" i="33"/>
  <c r="DA157" i="33"/>
  <c r="CZ157" i="33"/>
  <c r="CX157" i="33"/>
  <c r="CW157" i="33"/>
  <c r="CV157" i="33"/>
  <c r="CU157" i="33"/>
  <c r="CT157" i="33"/>
  <c r="CS157" i="33"/>
  <c r="CP157" i="33"/>
  <c r="CO157" i="33"/>
  <c r="CN157" i="33"/>
  <c r="CM157" i="33"/>
  <c r="CL157" i="33"/>
  <c r="CJ157" i="33"/>
  <c r="CI157" i="33"/>
  <c r="CH157" i="33"/>
  <c r="CG157" i="33"/>
  <c r="CF157" i="33"/>
  <c r="CE157" i="33"/>
  <c r="CC157" i="33"/>
  <c r="CB157" i="33"/>
  <c r="CA157" i="33"/>
  <c r="BZ157" i="33"/>
  <c r="BY157" i="33"/>
  <c r="BX157" i="33"/>
  <c r="BV157" i="33"/>
  <c r="BU157" i="33"/>
  <c r="BT157" i="33"/>
  <c r="BS157" i="33"/>
  <c r="BR157" i="33"/>
  <c r="BQ157" i="33"/>
  <c r="BO157" i="33"/>
  <c r="BN157" i="33"/>
  <c r="BM157" i="33"/>
  <c r="BL157" i="33"/>
  <c r="BK157" i="33"/>
  <c r="BJ157" i="33"/>
  <c r="BH157" i="33"/>
  <c r="BG157" i="33"/>
  <c r="BF157" i="33"/>
  <c r="BE157" i="33"/>
  <c r="BD157" i="33"/>
  <c r="BC157" i="33"/>
  <c r="BA157" i="33"/>
  <c r="AZ157" i="33"/>
  <c r="AY157" i="33"/>
  <c r="AX157" i="33"/>
  <c r="AW157" i="33"/>
  <c r="AV157" i="33"/>
  <c r="AT157" i="33"/>
  <c r="AS157" i="33"/>
  <c r="AR157" i="33"/>
  <c r="AQ157" i="33"/>
  <c r="AP157" i="33"/>
  <c r="AO157" i="33"/>
  <c r="AM157" i="33"/>
  <c r="AL157" i="33"/>
  <c r="AK157" i="33"/>
  <c r="AJ157" i="33"/>
  <c r="AI157" i="33"/>
  <c r="AH157" i="33"/>
  <c r="AF157" i="33"/>
  <c r="AE157" i="33"/>
  <c r="AD157" i="33"/>
  <c r="AC157" i="33"/>
  <c r="AB157" i="33"/>
  <c r="AA157" i="33"/>
  <c r="Y157" i="33"/>
  <c r="X157" i="33"/>
  <c r="W157" i="33"/>
  <c r="V157" i="33"/>
  <c r="U157" i="33"/>
  <c r="T157" i="33"/>
  <c r="R157" i="33"/>
  <c r="Q157" i="33"/>
  <c r="P157" i="33"/>
  <c r="O157" i="33"/>
  <c r="N157" i="33"/>
  <c r="M157" i="33"/>
  <c r="K157" i="33"/>
  <c r="J157" i="33"/>
  <c r="I157" i="33"/>
  <c r="H157" i="33"/>
  <c r="G157" i="33"/>
  <c r="F157" i="33"/>
  <c r="DE151" i="33"/>
  <c r="DD151" i="33"/>
  <c r="DC151" i="33"/>
  <c r="DB151" i="33"/>
  <c r="DA151" i="33"/>
  <c r="CZ151" i="33"/>
  <c r="CX151" i="33"/>
  <c r="CW151" i="33"/>
  <c r="CV151" i="33"/>
  <c r="CU151" i="33"/>
  <c r="CT151" i="33"/>
  <c r="CS151" i="33"/>
  <c r="CP151" i="33"/>
  <c r="CO151" i="33"/>
  <c r="CN151" i="33"/>
  <c r="CM151" i="33"/>
  <c r="CL151" i="33"/>
  <c r="CJ151" i="33"/>
  <c r="CI151" i="33"/>
  <c r="CH151" i="33"/>
  <c r="CG151" i="33"/>
  <c r="CF151" i="33"/>
  <c r="CE151" i="33"/>
  <c r="CC151" i="33"/>
  <c r="CB151" i="33"/>
  <c r="CA151" i="33"/>
  <c r="BZ151" i="33"/>
  <c r="BY151" i="33"/>
  <c r="BX151" i="33"/>
  <c r="BV151" i="33"/>
  <c r="BU151" i="33"/>
  <c r="BT151" i="33"/>
  <c r="BS151" i="33"/>
  <c r="BR151" i="33"/>
  <c r="BQ151" i="33"/>
  <c r="BO151" i="33"/>
  <c r="BN151" i="33"/>
  <c r="BM151" i="33"/>
  <c r="BL151" i="33"/>
  <c r="BK151" i="33"/>
  <c r="BJ151" i="33"/>
  <c r="BH151" i="33"/>
  <c r="BG151" i="33"/>
  <c r="BF151" i="33"/>
  <c r="BE151" i="33"/>
  <c r="BD151" i="33"/>
  <c r="BC151" i="33"/>
  <c r="BA151" i="33"/>
  <c r="AZ151" i="33"/>
  <c r="AY151" i="33"/>
  <c r="AX151" i="33"/>
  <c r="AW151" i="33"/>
  <c r="AV151" i="33"/>
  <c r="AT151" i="33"/>
  <c r="AS151" i="33"/>
  <c r="AR151" i="33"/>
  <c r="AQ151" i="33"/>
  <c r="AP151" i="33"/>
  <c r="AO151" i="33"/>
  <c r="AM151" i="33"/>
  <c r="AL151" i="33"/>
  <c r="AK151" i="33"/>
  <c r="AJ151" i="33"/>
  <c r="AI151" i="33"/>
  <c r="AH151" i="33"/>
  <c r="AF151" i="33"/>
  <c r="AE151" i="33"/>
  <c r="AD151" i="33"/>
  <c r="AC151" i="33"/>
  <c r="AB151" i="33"/>
  <c r="AA151" i="33"/>
  <c r="Y151" i="33"/>
  <c r="X151" i="33"/>
  <c r="W151" i="33"/>
  <c r="V151" i="33"/>
  <c r="U151" i="33"/>
  <c r="T151" i="33"/>
  <c r="R151" i="33"/>
  <c r="Q151" i="33"/>
  <c r="P151" i="33"/>
  <c r="O151" i="33"/>
  <c r="N151" i="33"/>
  <c r="M151" i="33"/>
  <c r="K151" i="33"/>
  <c r="J151" i="33"/>
  <c r="I151" i="33"/>
  <c r="H151" i="33"/>
  <c r="G151" i="33"/>
  <c r="F151" i="33"/>
  <c r="DE145" i="33"/>
  <c r="DD145" i="33"/>
  <c r="DC145" i="33"/>
  <c r="DB145" i="33"/>
  <c r="DA145" i="33"/>
  <c r="CZ145" i="33"/>
  <c r="CX145" i="33"/>
  <c r="CW145" i="33"/>
  <c r="CV145" i="33"/>
  <c r="CU145" i="33"/>
  <c r="CT145" i="33"/>
  <c r="CS145" i="33"/>
  <c r="CP145" i="33"/>
  <c r="CO145" i="33"/>
  <c r="CN145" i="33"/>
  <c r="CM145" i="33"/>
  <c r="CL145" i="33"/>
  <c r="CJ145" i="33"/>
  <c r="CI145" i="33"/>
  <c r="CH145" i="33"/>
  <c r="CG145" i="33"/>
  <c r="CF145" i="33"/>
  <c r="CE145" i="33"/>
  <c r="CC145" i="33"/>
  <c r="CB145" i="33"/>
  <c r="CA145" i="33"/>
  <c r="BZ145" i="33"/>
  <c r="BY145" i="33"/>
  <c r="BX145" i="33"/>
  <c r="BV145" i="33"/>
  <c r="BU145" i="33"/>
  <c r="BT145" i="33"/>
  <c r="BS145" i="33"/>
  <c r="BR145" i="33"/>
  <c r="BQ145" i="33"/>
  <c r="BO145" i="33"/>
  <c r="BN145" i="33"/>
  <c r="BM145" i="33"/>
  <c r="BL145" i="33"/>
  <c r="BK145" i="33"/>
  <c r="BJ145" i="33"/>
  <c r="BH145" i="33"/>
  <c r="BG145" i="33"/>
  <c r="BF145" i="33"/>
  <c r="BE145" i="33"/>
  <c r="BD145" i="33"/>
  <c r="BC145" i="33"/>
  <c r="BA145" i="33"/>
  <c r="AZ145" i="33"/>
  <c r="AY145" i="33"/>
  <c r="AX145" i="33"/>
  <c r="AW145" i="33"/>
  <c r="AV145" i="33"/>
  <c r="AT145" i="33"/>
  <c r="AS145" i="33"/>
  <c r="AR145" i="33"/>
  <c r="AQ145" i="33"/>
  <c r="AP145" i="33"/>
  <c r="AO145" i="33"/>
  <c r="AM145" i="33"/>
  <c r="AL145" i="33"/>
  <c r="AK145" i="33"/>
  <c r="AJ145" i="33"/>
  <c r="AI145" i="33"/>
  <c r="AH145" i="33"/>
  <c r="AF145" i="33"/>
  <c r="AE145" i="33"/>
  <c r="AD145" i="33"/>
  <c r="AC145" i="33"/>
  <c r="AB145" i="33"/>
  <c r="AA145" i="33"/>
  <c r="Y145" i="33"/>
  <c r="X145" i="33"/>
  <c r="W145" i="33"/>
  <c r="V145" i="33"/>
  <c r="U145" i="33"/>
  <c r="T145" i="33"/>
  <c r="R145" i="33"/>
  <c r="Q145" i="33"/>
  <c r="P145" i="33"/>
  <c r="O145" i="33"/>
  <c r="N145" i="33"/>
  <c r="M145" i="33"/>
  <c r="K145" i="33"/>
  <c r="J145" i="33"/>
  <c r="I145" i="33"/>
  <c r="H145" i="33"/>
  <c r="G145" i="33"/>
  <c r="F145" i="33"/>
  <c r="DE139" i="33"/>
  <c r="DD139" i="33"/>
  <c r="DC139" i="33"/>
  <c r="DB139" i="33"/>
  <c r="DA139" i="33"/>
  <c r="CZ139" i="33"/>
  <c r="CX139" i="33"/>
  <c r="CW139" i="33"/>
  <c r="CV139" i="33"/>
  <c r="CU139" i="33"/>
  <c r="CT139" i="33"/>
  <c r="CS139" i="33"/>
  <c r="CP139" i="33"/>
  <c r="CO139" i="33"/>
  <c r="CN139" i="33"/>
  <c r="CM139" i="33"/>
  <c r="CL139" i="33"/>
  <c r="CJ139" i="33"/>
  <c r="CI139" i="33"/>
  <c r="CH139" i="33"/>
  <c r="CG139" i="33"/>
  <c r="CF139" i="33"/>
  <c r="CE139" i="33"/>
  <c r="CC139" i="33"/>
  <c r="CB139" i="33"/>
  <c r="CA139" i="33"/>
  <c r="BZ139" i="33"/>
  <c r="BY139" i="33"/>
  <c r="BX139" i="33"/>
  <c r="BV139" i="33"/>
  <c r="BU139" i="33"/>
  <c r="BT139" i="33"/>
  <c r="BS139" i="33"/>
  <c r="BR139" i="33"/>
  <c r="BQ139" i="33"/>
  <c r="BO139" i="33"/>
  <c r="BN139" i="33"/>
  <c r="BM139" i="33"/>
  <c r="BL139" i="33"/>
  <c r="BK139" i="33"/>
  <c r="BJ139" i="33"/>
  <c r="BH139" i="33"/>
  <c r="BG139" i="33"/>
  <c r="BF139" i="33"/>
  <c r="BE139" i="33"/>
  <c r="BD139" i="33"/>
  <c r="BC139" i="33"/>
  <c r="BA139" i="33"/>
  <c r="AZ139" i="33"/>
  <c r="AY139" i="33"/>
  <c r="AX139" i="33"/>
  <c r="AW139" i="33"/>
  <c r="AV139" i="33"/>
  <c r="AT139" i="33"/>
  <c r="AS139" i="33"/>
  <c r="AR139" i="33"/>
  <c r="AQ139" i="33"/>
  <c r="AP139" i="33"/>
  <c r="AO139" i="33"/>
  <c r="AM139" i="33"/>
  <c r="AL139" i="33"/>
  <c r="AK139" i="33"/>
  <c r="AJ139" i="33"/>
  <c r="AI139" i="33"/>
  <c r="AH139" i="33"/>
  <c r="AF139" i="33"/>
  <c r="AE139" i="33"/>
  <c r="AD139" i="33"/>
  <c r="AC139" i="33"/>
  <c r="AB139" i="33"/>
  <c r="AA139" i="33"/>
  <c r="Y139" i="33"/>
  <c r="X139" i="33"/>
  <c r="W139" i="33"/>
  <c r="V139" i="33"/>
  <c r="U139" i="33"/>
  <c r="T139" i="33"/>
  <c r="R139" i="33"/>
  <c r="Q139" i="33"/>
  <c r="P139" i="33"/>
  <c r="O139" i="33"/>
  <c r="N139" i="33"/>
  <c r="M139" i="33"/>
  <c r="K139" i="33"/>
  <c r="J139" i="33"/>
  <c r="I139" i="33"/>
  <c r="H139" i="33"/>
  <c r="G139" i="33"/>
  <c r="F139" i="33"/>
  <c r="DE131" i="33"/>
  <c r="DD131" i="33"/>
  <c r="DC131" i="33"/>
  <c r="DB131" i="33"/>
  <c r="DA131" i="33"/>
  <c r="CZ131" i="33"/>
  <c r="CX131" i="33"/>
  <c r="CW131" i="33"/>
  <c r="CV131" i="33"/>
  <c r="CU131" i="33"/>
  <c r="CT131" i="33"/>
  <c r="CS131" i="33"/>
  <c r="CP131" i="33"/>
  <c r="CO131" i="33"/>
  <c r="CN131" i="33"/>
  <c r="CM131" i="33"/>
  <c r="CL131" i="33"/>
  <c r="CJ131" i="33"/>
  <c r="CI131" i="33"/>
  <c r="CH131" i="33"/>
  <c r="CG131" i="33"/>
  <c r="CF131" i="33"/>
  <c r="CE131" i="33"/>
  <c r="CC131" i="33"/>
  <c r="CB131" i="33"/>
  <c r="CA131" i="33"/>
  <c r="BZ131" i="33"/>
  <c r="BY131" i="33"/>
  <c r="BX131" i="33"/>
  <c r="BV131" i="33"/>
  <c r="BU131" i="33"/>
  <c r="BT131" i="33"/>
  <c r="BS131" i="33"/>
  <c r="BR131" i="33"/>
  <c r="BQ131" i="33"/>
  <c r="BO131" i="33"/>
  <c r="BN131" i="33"/>
  <c r="BM131" i="33"/>
  <c r="BL131" i="33"/>
  <c r="BK131" i="33"/>
  <c r="BJ131" i="33"/>
  <c r="BH131" i="33"/>
  <c r="BG131" i="33"/>
  <c r="BF131" i="33"/>
  <c r="BE131" i="33"/>
  <c r="BD131" i="33"/>
  <c r="BC131" i="33"/>
  <c r="BA131" i="33"/>
  <c r="AZ131" i="33"/>
  <c r="AY131" i="33"/>
  <c r="AX131" i="33"/>
  <c r="AW131" i="33"/>
  <c r="AV131" i="33"/>
  <c r="AT131" i="33"/>
  <c r="AS131" i="33"/>
  <c r="AR131" i="33"/>
  <c r="AQ131" i="33"/>
  <c r="AP131" i="33"/>
  <c r="AO131" i="33"/>
  <c r="AM131" i="33"/>
  <c r="AL131" i="33"/>
  <c r="AK131" i="33"/>
  <c r="AJ131" i="33"/>
  <c r="AI131" i="33"/>
  <c r="AH131" i="33"/>
  <c r="AF131" i="33"/>
  <c r="AE131" i="33"/>
  <c r="AD131" i="33"/>
  <c r="AC131" i="33"/>
  <c r="AB131" i="33"/>
  <c r="AA131" i="33"/>
  <c r="Y131" i="33"/>
  <c r="X131" i="33"/>
  <c r="W131" i="33"/>
  <c r="V131" i="33"/>
  <c r="U131" i="33"/>
  <c r="T131" i="33"/>
  <c r="R131" i="33"/>
  <c r="Q131" i="33"/>
  <c r="P131" i="33"/>
  <c r="O131" i="33"/>
  <c r="N131" i="33"/>
  <c r="M131" i="33"/>
  <c r="K131" i="33"/>
  <c r="J131" i="33"/>
  <c r="I131" i="33"/>
  <c r="H131" i="33"/>
  <c r="G131" i="33"/>
  <c r="F131" i="33"/>
  <c r="DE125" i="33"/>
  <c r="DD125" i="33"/>
  <c r="DC125" i="33"/>
  <c r="DB125" i="33"/>
  <c r="DA125" i="33"/>
  <c r="CZ125" i="33"/>
  <c r="CX125" i="33"/>
  <c r="CW125" i="33"/>
  <c r="CV125" i="33"/>
  <c r="CU125" i="33"/>
  <c r="CT125" i="33"/>
  <c r="CS125" i="33"/>
  <c r="CP125" i="33"/>
  <c r="CO125" i="33"/>
  <c r="CN125" i="33"/>
  <c r="CM125" i="33"/>
  <c r="CL125" i="33"/>
  <c r="CJ125" i="33"/>
  <c r="CI125" i="33"/>
  <c r="CH125" i="33"/>
  <c r="CG125" i="33"/>
  <c r="CF125" i="33"/>
  <c r="CE125" i="33"/>
  <c r="CC125" i="33"/>
  <c r="CB125" i="33"/>
  <c r="CA125" i="33"/>
  <c r="BZ125" i="33"/>
  <c r="BY125" i="33"/>
  <c r="BX125" i="33"/>
  <c r="BV125" i="33"/>
  <c r="BU125" i="33"/>
  <c r="BT125" i="33"/>
  <c r="BS125" i="33"/>
  <c r="BR125" i="33"/>
  <c r="BQ125" i="33"/>
  <c r="BO125" i="33"/>
  <c r="BN125" i="33"/>
  <c r="BM125" i="33"/>
  <c r="BL125" i="33"/>
  <c r="BK125" i="33"/>
  <c r="BJ125" i="33"/>
  <c r="BH125" i="33"/>
  <c r="BG125" i="33"/>
  <c r="BF125" i="33"/>
  <c r="BE125" i="33"/>
  <c r="BD125" i="33"/>
  <c r="BC125" i="33"/>
  <c r="BA125" i="33"/>
  <c r="AZ125" i="33"/>
  <c r="AY125" i="33"/>
  <c r="AX125" i="33"/>
  <c r="AW125" i="33"/>
  <c r="AV125" i="33"/>
  <c r="AT125" i="33"/>
  <c r="AS125" i="33"/>
  <c r="AR125" i="33"/>
  <c r="AQ125" i="33"/>
  <c r="AP125" i="33"/>
  <c r="AO125" i="33"/>
  <c r="AM125" i="33"/>
  <c r="AL125" i="33"/>
  <c r="AK125" i="33"/>
  <c r="AJ125" i="33"/>
  <c r="AI125" i="33"/>
  <c r="AH125" i="33"/>
  <c r="AF125" i="33"/>
  <c r="AE125" i="33"/>
  <c r="AD125" i="33"/>
  <c r="AC125" i="33"/>
  <c r="AB125" i="33"/>
  <c r="AA125" i="33"/>
  <c r="Y125" i="33"/>
  <c r="X125" i="33"/>
  <c r="W125" i="33"/>
  <c r="V125" i="33"/>
  <c r="U125" i="33"/>
  <c r="T125" i="33"/>
  <c r="R125" i="33"/>
  <c r="Q125" i="33"/>
  <c r="P125" i="33"/>
  <c r="O125" i="33"/>
  <c r="N125" i="33"/>
  <c r="M125" i="33"/>
  <c r="K125" i="33"/>
  <c r="J125" i="33"/>
  <c r="I125" i="33"/>
  <c r="H125" i="33"/>
  <c r="G125" i="33"/>
  <c r="F125" i="33"/>
  <c r="DE119" i="33"/>
  <c r="DD119" i="33"/>
  <c r="DC119" i="33"/>
  <c r="DB119" i="33"/>
  <c r="DA119" i="33"/>
  <c r="CZ119" i="33"/>
  <c r="CX119" i="33"/>
  <c r="CW119" i="33"/>
  <c r="CV119" i="33"/>
  <c r="CU119" i="33"/>
  <c r="CT119" i="33"/>
  <c r="CS119" i="33"/>
  <c r="CP119" i="33"/>
  <c r="CO119" i="33"/>
  <c r="CN119" i="33"/>
  <c r="CM119" i="33"/>
  <c r="CL119" i="33"/>
  <c r="CJ119" i="33"/>
  <c r="CI119" i="33"/>
  <c r="CH119" i="33"/>
  <c r="CG119" i="33"/>
  <c r="CF119" i="33"/>
  <c r="CE119" i="33"/>
  <c r="CC119" i="33"/>
  <c r="CB119" i="33"/>
  <c r="CA119" i="33"/>
  <c r="BZ119" i="33"/>
  <c r="BY119" i="33"/>
  <c r="BX119" i="33"/>
  <c r="BV119" i="33"/>
  <c r="BU119" i="33"/>
  <c r="BT119" i="33"/>
  <c r="BS119" i="33"/>
  <c r="BR119" i="33"/>
  <c r="BQ119" i="33"/>
  <c r="BO119" i="33"/>
  <c r="BN119" i="33"/>
  <c r="BM119" i="33"/>
  <c r="BL119" i="33"/>
  <c r="BK119" i="33"/>
  <c r="BJ119" i="33"/>
  <c r="BH119" i="33"/>
  <c r="BG119" i="33"/>
  <c r="BF119" i="33"/>
  <c r="BE119" i="33"/>
  <c r="BD119" i="33"/>
  <c r="BC119" i="33"/>
  <c r="BA119" i="33"/>
  <c r="AZ119" i="33"/>
  <c r="AY119" i="33"/>
  <c r="AX119" i="33"/>
  <c r="AW119" i="33"/>
  <c r="AV119" i="33"/>
  <c r="AT119" i="33"/>
  <c r="AS119" i="33"/>
  <c r="AR119" i="33"/>
  <c r="AQ119" i="33"/>
  <c r="AP119" i="33"/>
  <c r="AO119" i="33"/>
  <c r="AM119" i="33"/>
  <c r="AL119" i="33"/>
  <c r="AK119" i="33"/>
  <c r="AJ119" i="33"/>
  <c r="AI119" i="33"/>
  <c r="AH119" i="33"/>
  <c r="AF119" i="33"/>
  <c r="AE119" i="33"/>
  <c r="AD119" i="33"/>
  <c r="AC119" i="33"/>
  <c r="AB119" i="33"/>
  <c r="AA119" i="33"/>
  <c r="Y119" i="33"/>
  <c r="X119" i="33"/>
  <c r="W119" i="33"/>
  <c r="V119" i="33"/>
  <c r="U119" i="33"/>
  <c r="T119" i="33"/>
  <c r="R119" i="33"/>
  <c r="Q119" i="33"/>
  <c r="P119" i="33"/>
  <c r="O119" i="33"/>
  <c r="N119" i="33"/>
  <c r="M119" i="33"/>
  <c r="K119" i="33"/>
  <c r="J119" i="33"/>
  <c r="I119" i="33"/>
  <c r="H119" i="33"/>
  <c r="G119" i="33"/>
  <c r="F119" i="33"/>
  <c r="DE113" i="33"/>
  <c r="DD113" i="33"/>
  <c r="DC113" i="33"/>
  <c r="DB113" i="33"/>
  <c r="DA113" i="33"/>
  <c r="CZ113" i="33"/>
  <c r="CX113" i="33"/>
  <c r="CW113" i="33"/>
  <c r="CV113" i="33"/>
  <c r="CU113" i="33"/>
  <c r="CT113" i="33"/>
  <c r="CS113" i="33"/>
  <c r="CP113" i="33"/>
  <c r="CO113" i="33"/>
  <c r="CN113" i="33"/>
  <c r="CM113" i="33"/>
  <c r="CL113" i="33"/>
  <c r="CJ113" i="33"/>
  <c r="CI113" i="33"/>
  <c r="CH113" i="33"/>
  <c r="CG113" i="33"/>
  <c r="CF113" i="33"/>
  <c r="CE113" i="33"/>
  <c r="CC113" i="33"/>
  <c r="CB113" i="33"/>
  <c r="CA113" i="33"/>
  <c r="BZ113" i="33"/>
  <c r="BY113" i="33"/>
  <c r="BX113" i="33"/>
  <c r="BV113" i="33"/>
  <c r="BU113" i="33"/>
  <c r="BT113" i="33"/>
  <c r="BS113" i="33"/>
  <c r="BR113" i="33"/>
  <c r="BQ113" i="33"/>
  <c r="BO113" i="33"/>
  <c r="BN113" i="33"/>
  <c r="BM113" i="33"/>
  <c r="BL113" i="33"/>
  <c r="BK113" i="33"/>
  <c r="BJ113" i="33"/>
  <c r="BH113" i="33"/>
  <c r="BG113" i="33"/>
  <c r="BF113" i="33"/>
  <c r="BE113" i="33"/>
  <c r="BD113" i="33"/>
  <c r="BC113" i="33"/>
  <c r="BA113" i="33"/>
  <c r="AZ113" i="33"/>
  <c r="AY113" i="33"/>
  <c r="AX113" i="33"/>
  <c r="AW113" i="33"/>
  <c r="AV113" i="33"/>
  <c r="AT113" i="33"/>
  <c r="AS113" i="33"/>
  <c r="AR113" i="33"/>
  <c r="AQ113" i="33"/>
  <c r="AP113" i="33"/>
  <c r="AO113" i="33"/>
  <c r="AM113" i="33"/>
  <c r="AL113" i="33"/>
  <c r="AK113" i="33"/>
  <c r="AJ113" i="33"/>
  <c r="AI113" i="33"/>
  <c r="AH113" i="33"/>
  <c r="AF113" i="33"/>
  <c r="AE113" i="33"/>
  <c r="AD113" i="33"/>
  <c r="AC113" i="33"/>
  <c r="AB113" i="33"/>
  <c r="AA113" i="33"/>
  <c r="Y113" i="33"/>
  <c r="X113" i="33"/>
  <c r="W113" i="33"/>
  <c r="V113" i="33"/>
  <c r="U113" i="33"/>
  <c r="T113" i="33"/>
  <c r="R113" i="33"/>
  <c r="Q113" i="33"/>
  <c r="P113" i="33"/>
  <c r="O113" i="33"/>
  <c r="N113" i="33"/>
  <c r="M113" i="33"/>
  <c r="K113" i="33"/>
  <c r="J113" i="33"/>
  <c r="I113" i="33"/>
  <c r="H113" i="33"/>
  <c r="G113" i="33"/>
  <c r="F113" i="33"/>
  <c r="DE107" i="33"/>
  <c r="DD107" i="33"/>
  <c r="DC107" i="33"/>
  <c r="DB107" i="33"/>
  <c r="DA107" i="33"/>
  <c r="CZ107" i="33"/>
  <c r="CX107" i="33"/>
  <c r="CW107" i="33"/>
  <c r="CV107" i="33"/>
  <c r="CU107" i="33"/>
  <c r="CT107" i="33"/>
  <c r="CS107" i="33"/>
  <c r="CP107" i="33"/>
  <c r="CO107" i="33"/>
  <c r="CN107" i="33"/>
  <c r="CM107" i="33"/>
  <c r="CL107" i="33"/>
  <c r="CJ107" i="33"/>
  <c r="CI107" i="33"/>
  <c r="CH107" i="33"/>
  <c r="CG107" i="33"/>
  <c r="CF107" i="33"/>
  <c r="CE107" i="33"/>
  <c r="CC107" i="33"/>
  <c r="CB107" i="33"/>
  <c r="CA107" i="33"/>
  <c r="BZ107" i="33"/>
  <c r="BY107" i="33"/>
  <c r="BX107" i="33"/>
  <c r="BV107" i="33"/>
  <c r="BU107" i="33"/>
  <c r="BT107" i="33"/>
  <c r="BS107" i="33"/>
  <c r="BR107" i="33"/>
  <c r="BQ107" i="33"/>
  <c r="BO107" i="33"/>
  <c r="BN107" i="33"/>
  <c r="BM107" i="33"/>
  <c r="BL107" i="33"/>
  <c r="BK107" i="33"/>
  <c r="BJ107" i="33"/>
  <c r="BH107" i="33"/>
  <c r="BG107" i="33"/>
  <c r="BF107" i="33"/>
  <c r="BE107" i="33"/>
  <c r="BD107" i="33"/>
  <c r="BC107" i="33"/>
  <c r="BA107" i="33"/>
  <c r="AZ107" i="33"/>
  <c r="AY107" i="33"/>
  <c r="AX107" i="33"/>
  <c r="AW107" i="33"/>
  <c r="AV107" i="33"/>
  <c r="AT107" i="33"/>
  <c r="AS107" i="33"/>
  <c r="AR107" i="33"/>
  <c r="AQ107" i="33"/>
  <c r="AP107" i="33"/>
  <c r="AO107" i="33"/>
  <c r="AM107" i="33"/>
  <c r="AL107" i="33"/>
  <c r="AK107" i="33"/>
  <c r="AJ107" i="33"/>
  <c r="AI107" i="33"/>
  <c r="AH107" i="33"/>
  <c r="AF107" i="33"/>
  <c r="AE107" i="33"/>
  <c r="AD107" i="33"/>
  <c r="AC107" i="33"/>
  <c r="AB107" i="33"/>
  <c r="AA107" i="33"/>
  <c r="Y107" i="33"/>
  <c r="X107" i="33"/>
  <c r="W107" i="33"/>
  <c r="V107" i="33"/>
  <c r="U107" i="33"/>
  <c r="T107" i="33"/>
  <c r="R107" i="33"/>
  <c r="Q107" i="33"/>
  <c r="P107" i="33"/>
  <c r="O107" i="33"/>
  <c r="N107" i="33"/>
  <c r="M107" i="33"/>
  <c r="K107" i="33"/>
  <c r="J107" i="33"/>
  <c r="I107" i="33"/>
  <c r="H107" i="33"/>
  <c r="G107" i="33"/>
  <c r="F107" i="33"/>
  <c r="DE99" i="33"/>
  <c r="DD99" i="33"/>
  <c r="DC99" i="33"/>
  <c r="DB99" i="33"/>
  <c r="DA99" i="33"/>
  <c r="CZ99" i="33"/>
  <c r="CX99" i="33"/>
  <c r="CW99" i="33"/>
  <c r="CV99" i="33"/>
  <c r="CU99" i="33"/>
  <c r="CT99" i="33"/>
  <c r="CS99" i="33"/>
  <c r="CP99" i="33"/>
  <c r="CO99" i="33"/>
  <c r="CN99" i="33"/>
  <c r="CM99" i="33"/>
  <c r="CL99" i="33"/>
  <c r="CJ99" i="33"/>
  <c r="CI99" i="33"/>
  <c r="CH99" i="33"/>
  <c r="CG99" i="33"/>
  <c r="CF99" i="33"/>
  <c r="CE99" i="33"/>
  <c r="CC99" i="33"/>
  <c r="CB99" i="33"/>
  <c r="CA99" i="33"/>
  <c r="BZ99" i="33"/>
  <c r="BY99" i="33"/>
  <c r="BX99" i="33"/>
  <c r="BV99" i="33"/>
  <c r="BU99" i="33"/>
  <c r="BT99" i="33"/>
  <c r="BS99" i="33"/>
  <c r="BR99" i="33"/>
  <c r="BQ99" i="33"/>
  <c r="BO99" i="33"/>
  <c r="BN99" i="33"/>
  <c r="BM99" i="33"/>
  <c r="BL99" i="33"/>
  <c r="BK99" i="33"/>
  <c r="BJ99" i="33"/>
  <c r="BH99" i="33"/>
  <c r="BG99" i="33"/>
  <c r="BF99" i="33"/>
  <c r="BE99" i="33"/>
  <c r="BD99" i="33"/>
  <c r="BC99" i="33"/>
  <c r="BA99" i="33"/>
  <c r="AZ99" i="33"/>
  <c r="AY99" i="33"/>
  <c r="AX99" i="33"/>
  <c r="AW99" i="33"/>
  <c r="AV99" i="33"/>
  <c r="AT99" i="33"/>
  <c r="AS99" i="33"/>
  <c r="AR99" i="33"/>
  <c r="AQ99" i="33"/>
  <c r="AP99" i="33"/>
  <c r="AO99" i="33"/>
  <c r="AM99" i="33"/>
  <c r="AL99" i="33"/>
  <c r="AK99" i="33"/>
  <c r="AJ99" i="33"/>
  <c r="AI99" i="33"/>
  <c r="AH99" i="33"/>
  <c r="AF99" i="33"/>
  <c r="AE99" i="33"/>
  <c r="AD99" i="33"/>
  <c r="AC99" i="33"/>
  <c r="AB99" i="33"/>
  <c r="AA99" i="33"/>
  <c r="Y99" i="33"/>
  <c r="X99" i="33"/>
  <c r="W99" i="33"/>
  <c r="V99" i="33"/>
  <c r="U99" i="33"/>
  <c r="T99" i="33"/>
  <c r="R99" i="33"/>
  <c r="Q99" i="33"/>
  <c r="P99" i="33"/>
  <c r="O99" i="33"/>
  <c r="N99" i="33"/>
  <c r="M99" i="33"/>
  <c r="K99" i="33"/>
  <c r="J99" i="33"/>
  <c r="I99" i="33"/>
  <c r="H99" i="33"/>
  <c r="G99" i="33"/>
  <c r="F99" i="33"/>
  <c r="DE93" i="33"/>
  <c r="DD93" i="33"/>
  <c r="DC93" i="33"/>
  <c r="DB93" i="33"/>
  <c r="DA93" i="33"/>
  <c r="CZ93" i="33"/>
  <c r="CX93" i="33"/>
  <c r="CW93" i="33"/>
  <c r="CV93" i="33"/>
  <c r="CU93" i="33"/>
  <c r="CT93" i="33"/>
  <c r="CS93" i="33"/>
  <c r="CP93" i="33"/>
  <c r="CO93" i="33"/>
  <c r="CN93" i="33"/>
  <c r="CM93" i="33"/>
  <c r="CL93" i="33"/>
  <c r="CJ93" i="33"/>
  <c r="CI93" i="33"/>
  <c r="CH93" i="33"/>
  <c r="CG93" i="33"/>
  <c r="CF93" i="33"/>
  <c r="CE93" i="33"/>
  <c r="CC93" i="33"/>
  <c r="CB93" i="33"/>
  <c r="CA93" i="33"/>
  <c r="BZ93" i="33"/>
  <c r="BY93" i="33"/>
  <c r="BX93" i="33"/>
  <c r="BV93" i="33"/>
  <c r="BU93" i="33"/>
  <c r="BT93" i="33"/>
  <c r="BS93" i="33"/>
  <c r="BR93" i="33"/>
  <c r="BQ93" i="33"/>
  <c r="BO93" i="33"/>
  <c r="BN93" i="33"/>
  <c r="BM93" i="33"/>
  <c r="BL93" i="33"/>
  <c r="BK93" i="33"/>
  <c r="BJ93" i="33"/>
  <c r="BH93" i="33"/>
  <c r="BG93" i="33"/>
  <c r="BF93" i="33"/>
  <c r="BE93" i="33"/>
  <c r="BD93" i="33"/>
  <c r="BC93" i="33"/>
  <c r="BA93" i="33"/>
  <c r="AZ93" i="33"/>
  <c r="AY93" i="33"/>
  <c r="AX93" i="33"/>
  <c r="AW93" i="33"/>
  <c r="AV93" i="33"/>
  <c r="AT93" i="33"/>
  <c r="AS93" i="33"/>
  <c r="AR93" i="33"/>
  <c r="AQ93" i="33"/>
  <c r="AP93" i="33"/>
  <c r="AO93" i="33"/>
  <c r="AM93" i="33"/>
  <c r="AL93" i="33"/>
  <c r="AK93" i="33"/>
  <c r="AJ93" i="33"/>
  <c r="AI93" i="33"/>
  <c r="AH93" i="33"/>
  <c r="AF93" i="33"/>
  <c r="AE93" i="33"/>
  <c r="AD93" i="33"/>
  <c r="AC93" i="33"/>
  <c r="AB93" i="33"/>
  <c r="AA93" i="33"/>
  <c r="Y93" i="33"/>
  <c r="X93" i="33"/>
  <c r="W93" i="33"/>
  <c r="V93" i="33"/>
  <c r="U93" i="33"/>
  <c r="T93" i="33"/>
  <c r="R93" i="33"/>
  <c r="Q93" i="33"/>
  <c r="P93" i="33"/>
  <c r="O93" i="33"/>
  <c r="N93" i="33"/>
  <c r="M93" i="33"/>
  <c r="K93" i="33"/>
  <c r="J93" i="33"/>
  <c r="I93" i="33"/>
  <c r="H93" i="33"/>
  <c r="G93" i="33"/>
  <c r="F93" i="33"/>
  <c r="DE87" i="33"/>
  <c r="DD87" i="33"/>
  <c r="DC87" i="33"/>
  <c r="DB87" i="33"/>
  <c r="DA87" i="33"/>
  <c r="CZ87" i="33"/>
  <c r="CX87" i="33"/>
  <c r="CW87" i="33"/>
  <c r="CV87" i="33"/>
  <c r="CU87" i="33"/>
  <c r="CT87" i="33"/>
  <c r="CS87" i="33"/>
  <c r="CP87" i="33"/>
  <c r="CO87" i="33"/>
  <c r="CN87" i="33"/>
  <c r="CM87" i="33"/>
  <c r="CL87" i="33"/>
  <c r="CJ87" i="33"/>
  <c r="CI87" i="33"/>
  <c r="CH87" i="33"/>
  <c r="CG87" i="33"/>
  <c r="CF87" i="33"/>
  <c r="CE87" i="33"/>
  <c r="CC87" i="33"/>
  <c r="CB87" i="33"/>
  <c r="CA87" i="33"/>
  <c r="BZ87" i="33"/>
  <c r="BY87" i="33"/>
  <c r="BX87" i="33"/>
  <c r="BV87" i="33"/>
  <c r="BU87" i="33"/>
  <c r="BT87" i="33"/>
  <c r="BS87" i="33"/>
  <c r="BR87" i="33"/>
  <c r="BQ87" i="33"/>
  <c r="BO87" i="33"/>
  <c r="BN87" i="33"/>
  <c r="BM87" i="33"/>
  <c r="BL87" i="33"/>
  <c r="BK87" i="33"/>
  <c r="BJ87" i="33"/>
  <c r="BH87" i="33"/>
  <c r="BG87" i="33"/>
  <c r="BF87" i="33"/>
  <c r="BE87" i="33"/>
  <c r="BD87" i="33"/>
  <c r="BC87" i="33"/>
  <c r="BA87" i="33"/>
  <c r="AZ87" i="33"/>
  <c r="AY87" i="33"/>
  <c r="AX87" i="33"/>
  <c r="AW87" i="33"/>
  <c r="AV87" i="33"/>
  <c r="AT87" i="33"/>
  <c r="AS87" i="33"/>
  <c r="AR87" i="33"/>
  <c r="AQ87" i="33"/>
  <c r="AP87" i="33"/>
  <c r="AO87" i="33"/>
  <c r="AM87" i="33"/>
  <c r="AL87" i="33"/>
  <c r="AK87" i="33"/>
  <c r="AJ87" i="33"/>
  <c r="AI87" i="33"/>
  <c r="AH87" i="33"/>
  <c r="AF87" i="33"/>
  <c r="AE87" i="33"/>
  <c r="AD87" i="33"/>
  <c r="AC87" i="33"/>
  <c r="AB87" i="33"/>
  <c r="AA87" i="33"/>
  <c r="Y87" i="33"/>
  <c r="X87" i="33"/>
  <c r="W87" i="33"/>
  <c r="V87" i="33"/>
  <c r="U87" i="33"/>
  <c r="T87" i="33"/>
  <c r="R87" i="33"/>
  <c r="Q87" i="33"/>
  <c r="P87" i="33"/>
  <c r="O87" i="33"/>
  <c r="N87" i="33"/>
  <c r="M87" i="33"/>
  <c r="K87" i="33"/>
  <c r="J87" i="33"/>
  <c r="I87" i="33"/>
  <c r="H87" i="33"/>
  <c r="G87" i="33"/>
  <c r="F87" i="33"/>
  <c r="DE81" i="33"/>
  <c r="DD81" i="33"/>
  <c r="DC81" i="33"/>
  <c r="DB81" i="33"/>
  <c r="DA81" i="33"/>
  <c r="CZ81" i="33"/>
  <c r="CX81" i="33"/>
  <c r="CW81" i="33"/>
  <c r="CV81" i="33"/>
  <c r="CU81" i="33"/>
  <c r="CT81" i="33"/>
  <c r="CS81" i="33"/>
  <c r="CP81" i="33"/>
  <c r="CO81" i="33"/>
  <c r="CN81" i="33"/>
  <c r="CM81" i="33"/>
  <c r="CL81" i="33"/>
  <c r="CJ81" i="33"/>
  <c r="CI81" i="33"/>
  <c r="CH81" i="33"/>
  <c r="CG81" i="33"/>
  <c r="CF81" i="33"/>
  <c r="CE81" i="33"/>
  <c r="CC81" i="33"/>
  <c r="CB81" i="33"/>
  <c r="CA81" i="33"/>
  <c r="BZ81" i="33"/>
  <c r="BY81" i="33"/>
  <c r="BX81" i="33"/>
  <c r="BV81" i="33"/>
  <c r="BU81" i="33"/>
  <c r="BT81" i="33"/>
  <c r="BS81" i="33"/>
  <c r="BR81" i="33"/>
  <c r="BQ81" i="33"/>
  <c r="BO81" i="33"/>
  <c r="BN81" i="33"/>
  <c r="BM81" i="33"/>
  <c r="BL81" i="33"/>
  <c r="BK81" i="33"/>
  <c r="BJ81" i="33"/>
  <c r="BH81" i="33"/>
  <c r="BG81" i="33"/>
  <c r="BF81" i="33"/>
  <c r="BE81" i="33"/>
  <c r="BD81" i="33"/>
  <c r="BC81" i="33"/>
  <c r="BA81" i="33"/>
  <c r="AZ81" i="33"/>
  <c r="AY81" i="33"/>
  <c r="AX81" i="33"/>
  <c r="AW81" i="33"/>
  <c r="AV81" i="33"/>
  <c r="AT81" i="33"/>
  <c r="AS81" i="33"/>
  <c r="AR81" i="33"/>
  <c r="AQ81" i="33"/>
  <c r="AP81" i="33"/>
  <c r="AO81" i="33"/>
  <c r="AM81" i="33"/>
  <c r="AL81" i="33"/>
  <c r="AK81" i="33"/>
  <c r="AJ81" i="33"/>
  <c r="AI81" i="33"/>
  <c r="AH81" i="33"/>
  <c r="AF81" i="33"/>
  <c r="AE81" i="33"/>
  <c r="AD81" i="33"/>
  <c r="AC81" i="33"/>
  <c r="AB81" i="33"/>
  <c r="AA81" i="33"/>
  <c r="Y81" i="33"/>
  <c r="X81" i="33"/>
  <c r="W81" i="33"/>
  <c r="V81" i="33"/>
  <c r="U81" i="33"/>
  <c r="T81" i="33"/>
  <c r="R81" i="33"/>
  <c r="Q81" i="33"/>
  <c r="P81" i="33"/>
  <c r="O81" i="33"/>
  <c r="N81" i="33"/>
  <c r="M81" i="33"/>
  <c r="K81" i="33"/>
  <c r="J81" i="33"/>
  <c r="I81" i="33"/>
  <c r="H81" i="33"/>
  <c r="G81" i="33"/>
  <c r="F81" i="33"/>
  <c r="DE75" i="33"/>
  <c r="DD75" i="33"/>
  <c r="DC75" i="33"/>
  <c r="DB75" i="33"/>
  <c r="DA75" i="33"/>
  <c r="CZ75" i="33"/>
  <c r="CX75" i="33"/>
  <c r="CW75" i="33"/>
  <c r="CV75" i="33"/>
  <c r="CU75" i="33"/>
  <c r="CT75" i="33"/>
  <c r="CS75" i="33"/>
  <c r="CP75" i="33"/>
  <c r="CO75" i="33"/>
  <c r="CN75" i="33"/>
  <c r="CM75" i="33"/>
  <c r="CL75" i="33"/>
  <c r="CJ75" i="33"/>
  <c r="CI75" i="33"/>
  <c r="CH75" i="33"/>
  <c r="CG75" i="33"/>
  <c r="CF75" i="33"/>
  <c r="CE75" i="33"/>
  <c r="CC75" i="33"/>
  <c r="CB75" i="33"/>
  <c r="CA75" i="33"/>
  <c r="BZ75" i="33"/>
  <c r="BY75" i="33"/>
  <c r="BX75" i="33"/>
  <c r="BV75" i="33"/>
  <c r="BU75" i="33"/>
  <c r="BT75" i="33"/>
  <c r="BS75" i="33"/>
  <c r="BR75" i="33"/>
  <c r="BQ75" i="33"/>
  <c r="BO75" i="33"/>
  <c r="BN75" i="33"/>
  <c r="BM75" i="33"/>
  <c r="BL75" i="33"/>
  <c r="BK75" i="33"/>
  <c r="BJ75" i="33"/>
  <c r="BH75" i="33"/>
  <c r="BG75" i="33"/>
  <c r="BF75" i="33"/>
  <c r="BE75" i="33"/>
  <c r="BD75" i="33"/>
  <c r="BC75" i="33"/>
  <c r="BA75" i="33"/>
  <c r="AZ75" i="33"/>
  <c r="AY75" i="33"/>
  <c r="AX75" i="33"/>
  <c r="AW75" i="33"/>
  <c r="AV75" i="33"/>
  <c r="AT75" i="33"/>
  <c r="AS75" i="33"/>
  <c r="AR75" i="33"/>
  <c r="AQ75" i="33"/>
  <c r="AP75" i="33"/>
  <c r="AO75" i="33"/>
  <c r="AM75" i="33"/>
  <c r="AL75" i="33"/>
  <c r="AK75" i="33"/>
  <c r="AJ75" i="33"/>
  <c r="AI75" i="33"/>
  <c r="AH75" i="33"/>
  <c r="AF75" i="33"/>
  <c r="AE75" i="33"/>
  <c r="AD75" i="33"/>
  <c r="AC75" i="33"/>
  <c r="AB75" i="33"/>
  <c r="AA75" i="33"/>
  <c r="Y75" i="33"/>
  <c r="X75" i="33"/>
  <c r="W75" i="33"/>
  <c r="V75" i="33"/>
  <c r="U75" i="33"/>
  <c r="T75" i="33"/>
  <c r="R75" i="33"/>
  <c r="Q75" i="33"/>
  <c r="P75" i="33"/>
  <c r="O75" i="33"/>
  <c r="N75" i="33"/>
  <c r="M75" i="33"/>
  <c r="K75" i="33"/>
  <c r="J75" i="33"/>
  <c r="I75" i="33"/>
  <c r="H75" i="33"/>
  <c r="G75" i="33"/>
  <c r="F75" i="33"/>
  <c r="DE67" i="33"/>
  <c r="DD67" i="33"/>
  <c r="DC67" i="33"/>
  <c r="DB67" i="33"/>
  <c r="DA67" i="33"/>
  <c r="CZ67" i="33"/>
  <c r="CX67" i="33"/>
  <c r="CW67" i="33"/>
  <c r="CV67" i="33"/>
  <c r="CU67" i="33"/>
  <c r="CT67" i="33"/>
  <c r="CS67" i="33"/>
  <c r="CP67" i="33"/>
  <c r="CO67" i="33"/>
  <c r="CN67" i="33"/>
  <c r="CM67" i="33"/>
  <c r="CL67" i="33"/>
  <c r="CJ67" i="33"/>
  <c r="CI67" i="33"/>
  <c r="CH67" i="33"/>
  <c r="CG67" i="33"/>
  <c r="CF67" i="33"/>
  <c r="CE67" i="33"/>
  <c r="CC67" i="33"/>
  <c r="CB67" i="33"/>
  <c r="CA67" i="33"/>
  <c r="BZ67" i="33"/>
  <c r="BY67" i="33"/>
  <c r="BX67" i="33"/>
  <c r="BV67" i="33"/>
  <c r="BU67" i="33"/>
  <c r="BT67" i="33"/>
  <c r="BS67" i="33"/>
  <c r="BR67" i="33"/>
  <c r="BQ67" i="33"/>
  <c r="BO67" i="33"/>
  <c r="BN67" i="33"/>
  <c r="BM67" i="33"/>
  <c r="BL67" i="33"/>
  <c r="BK67" i="33"/>
  <c r="BJ67" i="33"/>
  <c r="BH67" i="33"/>
  <c r="BG67" i="33"/>
  <c r="BF67" i="33"/>
  <c r="BE67" i="33"/>
  <c r="BD67" i="33"/>
  <c r="BC67" i="33"/>
  <c r="BA67" i="33"/>
  <c r="AZ67" i="33"/>
  <c r="AY67" i="33"/>
  <c r="AX67" i="33"/>
  <c r="AW67" i="33"/>
  <c r="AV67" i="33"/>
  <c r="AT67" i="33"/>
  <c r="AS67" i="33"/>
  <c r="AR67" i="33"/>
  <c r="AQ67" i="33"/>
  <c r="AP67" i="33"/>
  <c r="AO67" i="33"/>
  <c r="AM67" i="33"/>
  <c r="AL67" i="33"/>
  <c r="AK67" i="33"/>
  <c r="AJ67" i="33"/>
  <c r="AI67" i="33"/>
  <c r="AH67" i="33"/>
  <c r="AF67" i="33"/>
  <c r="AE67" i="33"/>
  <c r="AD67" i="33"/>
  <c r="AC67" i="33"/>
  <c r="AB67" i="33"/>
  <c r="AA67" i="33"/>
  <c r="Y67" i="33"/>
  <c r="X67" i="33"/>
  <c r="W67" i="33"/>
  <c r="V67" i="33"/>
  <c r="U67" i="33"/>
  <c r="T67" i="33"/>
  <c r="R67" i="33"/>
  <c r="Q67" i="33"/>
  <c r="P67" i="33"/>
  <c r="O67" i="33"/>
  <c r="N67" i="33"/>
  <c r="M67" i="33"/>
  <c r="K67" i="33"/>
  <c r="J67" i="33"/>
  <c r="I67" i="33"/>
  <c r="H67" i="33"/>
  <c r="G67" i="33"/>
  <c r="F67" i="33"/>
  <c r="DE61" i="33"/>
  <c r="DD61" i="33"/>
  <c r="DC61" i="33"/>
  <c r="DB61" i="33"/>
  <c r="DA61" i="33"/>
  <c r="CZ61" i="33"/>
  <c r="CX61" i="33"/>
  <c r="CW61" i="33"/>
  <c r="CV61" i="33"/>
  <c r="CU61" i="33"/>
  <c r="CT61" i="33"/>
  <c r="CS61" i="33"/>
  <c r="CP61" i="33"/>
  <c r="CO61" i="33"/>
  <c r="CN61" i="33"/>
  <c r="CM61" i="33"/>
  <c r="CL61" i="33"/>
  <c r="CJ61" i="33"/>
  <c r="CI61" i="33"/>
  <c r="CH61" i="33"/>
  <c r="CG61" i="33"/>
  <c r="CF61" i="33"/>
  <c r="CE61" i="33"/>
  <c r="CC61" i="33"/>
  <c r="CB61" i="33"/>
  <c r="CA61" i="33"/>
  <c r="BZ61" i="33"/>
  <c r="BY61" i="33"/>
  <c r="BX61" i="33"/>
  <c r="BV61" i="33"/>
  <c r="BU61" i="33"/>
  <c r="BT61" i="33"/>
  <c r="BS61" i="33"/>
  <c r="BR61" i="33"/>
  <c r="BQ61" i="33"/>
  <c r="BO61" i="33"/>
  <c r="BN61" i="33"/>
  <c r="BM61" i="33"/>
  <c r="BL61" i="33"/>
  <c r="BK61" i="33"/>
  <c r="BJ61" i="33"/>
  <c r="BH61" i="33"/>
  <c r="BG61" i="33"/>
  <c r="BF61" i="33"/>
  <c r="BE61" i="33"/>
  <c r="BD61" i="33"/>
  <c r="BC61" i="33"/>
  <c r="BA61" i="33"/>
  <c r="AZ61" i="33"/>
  <c r="AY61" i="33"/>
  <c r="AX61" i="33"/>
  <c r="AW61" i="33"/>
  <c r="AV61" i="33"/>
  <c r="AT61" i="33"/>
  <c r="AS61" i="33"/>
  <c r="AR61" i="33"/>
  <c r="AQ61" i="33"/>
  <c r="AP61" i="33"/>
  <c r="AO61" i="33"/>
  <c r="AM61" i="33"/>
  <c r="AL61" i="33"/>
  <c r="AK61" i="33"/>
  <c r="AJ61" i="33"/>
  <c r="AI61" i="33"/>
  <c r="AH61" i="33"/>
  <c r="AF61" i="33"/>
  <c r="AE61" i="33"/>
  <c r="AD61" i="33"/>
  <c r="AC61" i="33"/>
  <c r="AB61" i="33"/>
  <c r="AA61" i="33"/>
  <c r="Y61" i="33"/>
  <c r="X61" i="33"/>
  <c r="W61" i="33"/>
  <c r="V61" i="33"/>
  <c r="U61" i="33"/>
  <c r="T61" i="33"/>
  <c r="R61" i="33"/>
  <c r="Q61" i="33"/>
  <c r="P61" i="33"/>
  <c r="O61" i="33"/>
  <c r="N61" i="33"/>
  <c r="M61" i="33"/>
  <c r="K61" i="33"/>
  <c r="J61" i="33"/>
  <c r="I61" i="33"/>
  <c r="H61" i="33"/>
  <c r="G61" i="33"/>
  <c r="F61" i="33"/>
  <c r="DE55" i="33"/>
  <c r="DD55" i="33"/>
  <c r="DC55" i="33"/>
  <c r="DB55" i="33"/>
  <c r="DA55" i="33"/>
  <c r="CZ55" i="33"/>
  <c r="CX55" i="33"/>
  <c r="CW55" i="33"/>
  <c r="CV55" i="33"/>
  <c r="CU55" i="33"/>
  <c r="CT55" i="33"/>
  <c r="CS55" i="33"/>
  <c r="CP55" i="33"/>
  <c r="CO55" i="33"/>
  <c r="CN55" i="33"/>
  <c r="CM55" i="33"/>
  <c r="CL55" i="33"/>
  <c r="CJ55" i="33"/>
  <c r="CI55" i="33"/>
  <c r="CH55" i="33"/>
  <c r="CG55" i="33"/>
  <c r="CF55" i="33"/>
  <c r="CE55" i="33"/>
  <c r="CC55" i="33"/>
  <c r="CB55" i="33"/>
  <c r="CA55" i="33"/>
  <c r="BZ55" i="33"/>
  <c r="BY55" i="33"/>
  <c r="BX55" i="33"/>
  <c r="BV55" i="33"/>
  <c r="BU55" i="33"/>
  <c r="BT55" i="33"/>
  <c r="BS55" i="33"/>
  <c r="BR55" i="33"/>
  <c r="BQ55" i="33"/>
  <c r="BO55" i="33"/>
  <c r="BN55" i="33"/>
  <c r="BM55" i="33"/>
  <c r="BL55" i="33"/>
  <c r="BK55" i="33"/>
  <c r="BJ55" i="33"/>
  <c r="BH55" i="33"/>
  <c r="BG55" i="33"/>
  <c r="BF55" i="33"/>
  <c r="BE55" i="33"/>
  <c r="BD55" i="33"/>
  <c r="BC55" i="33"/>
  <c r="BA55" i="33"/>
  <c r="AZ55" i="33"/>
  <c r="AY55" i="33"/>
  <c r="AX55" i="33"/>
  <c r="AW55" i="33"/>
  <c r="AV55" i="33"/>
  <c r="AT55" i="33"/>
  <c r="AS55" i="33"/>
  <c r="AR55" i="33"/>
  <c r="AQ55" i="33"/>
  <c r="AP55" i="33"/>
  <c r="AO55" i="33"/>
  <c r="AM55" i="33"/>
  <c r="AL55" i="33"/>
  <c r="AK55" i="33"/>
  <c r="AJ55" i="33"/>
  <c r="AI55" i="33"/>
  <c r="AH55" i="33"/>
  <c r="AF55" i="33"/>
  <c r="AE55" i="33"/>
  <c r="AD55" i="33"/>
  <c r="AC55" i="33"/>
  <c r="AB55" i="33"/>
  <c r="AA55" i="33"/>
  <c r="Y55" i="33"/>
  <c r="X55" i="33"/>
  <c r="W55" i="33"/>
  <c r="V55" i="33"/>
  <c r="U55" i="33"/>
  <c r="T55" i="33"/>
  <c r="R55" i="33"/>
  <c r="Q55" i="33"/>
  <c r="P55" i="33"/>
  <c r="O55" i="33"/>
  <c r="N55" i="33"/>
  <c r="M55" i="33"/>
  <c r="K55" i="33"/>
  <c r="J55" i="33"/>
  <c r="I55" i="33"/>
  <c r="H55" i="33"/>
  <c r="G55" i="33"/>
  <c r="F55" i="33"/>
  <c r="DE49" i="33"/>
  <c r="DD49" i="33"/>
  <c r="DC49" i="33"/>
  <c r="DB49" i="33"/>
  <c r="DA49" i="33"/>
  <c r="CZ49" i="33"/>
  <c r="CX49" i="33"/>
  <c r="CW49" i="33"/>
  <c r="CV49" i="33"/>
  <c r="CU49" i="33"/>
  <c r="CT49" i="33"/>
  <c r="CS49" i="33"/>
  <c r="CP49" i="33"/>
  <c r="CO49" i="33"/>
  <c r="CN49" i="33"/>
  <c r="CM49" i="33"/>
  <c r="CL49" i="33"/>
  <c r="CJ49" i="33"/>
  <c r="CI49" i="33"/>
  <c r="CH49" i="33"/>
  <c r="CG49" i="33"/>
  <c r="CF49" i="33"/>
  <c r="CE49" i="33"/>
  <c r="CC49" i="33"/>
  <c r="CB49" i="33"/>
  <c r="CA49" i="33"/>
  <c r="BZ49" i="33"/>
  <c r="BY49" i="33"/>
  <c r="BX49" i="33"/>
  <c r="BV49" i="33"/>
  <c r="BU49" i="33"/>
  <c r="BT49" i="33"/>
  <c r="BS49" i="33"/>
  <c r="BR49" i="33"/>
  <c r="BQ49" i="33"/>
  <c r="BO49" i="33"/>
  <c r="BN49" i="33"/>
  <c r="BM49" i="33"/>
  <c r="BL49" i="33"/>
  <c r="BK49" i="33"/>
  <c r="BJ49" i="33"/>
  <c r="BH49" i="33"/>
  <c r="BG49" i="33"/>
  <c r="BF49" i="33"/>
  <c r="BE49" i="33"/>
  <c r="BD49" i="33"/>
  <c r="BC49" i="33"/>
  <c r="BA49" i="33"/>
  <c r="AZ49" i="33"/>
  <c r="AY49" i="33"/>
  <c r="AX49" i="33"/>
  <c r="AW49" i="33"/>
  <c r="AV49" i="33"/>
  <c r="AT49" i="33"/>
  <c r="AS49" i="33"/>
  <c r="AR49" i="33"/>
  <c r="AQ49" i="33"/>
  <c r="AP49" i="33"/>
  <c r="AO49" i="33"/>
  <c r="AM49" i="33"/>
  <c r="AL49" i="33"/>
  <c r="AK49" i="33"/>
  <c r="AJ49" i="33"/>
  <c r="AI49" i="33"/>
  <c r="AH49" i="33"/>
  <c r="AF49" i="33"/>
  <c r="AE49" i="33"/>
  <c r="AD49" i="33"/>
  <c r="AC49" i="33"/>
  <c r="AB49" i="33"/>
  <c r="AA49" i="33"/>
  <c r="Y49" i="33"/>
  <c r="X49" i="33"/>
  <c r="W49" i="33"/>
  <c r="V49" i="33"/>
  <c r="U49" i="33"/>
  <c r="T49" i="33"/>
  <c r="R49" i="33"/>
  <c r="Q49" i="33"/>
  <c r="P49" i="33"/>
  <c r="O49" i="33"/>
  <c r="N49" i="33"/>
  <c r="M49" i="33"/>
  <c r="K49" i="33"/>
  <c r="J49" i="33"/>
  <c r="I49" i="33"/>
  <c r="H49" i="33"/>
  <c r="G49" i="33"/>
  <c r="F49" i="33"/>
  <c r="DE43" i="33"/>
  <c r="DD43" i="33"/>
  <c r="DC43" i="33"/>
  <c r="DB43" i="33"/>
  <c r="DA43" i="33"/>
  <c r="CZ43" i="33"/>
  <c r="CX43" i="33"/>
  <c r="CW43" i="33"/>
  <c r="CV43" i="33"/>
  <c r="CU43" i="33"/>
  <c r="CT43" i="33"/>
  <c r="CS43" i="33"/>
  <c r="CP43" i="33"/>
  <c r="CO43" i="33"/>
  <c r="CN43" i="33"/>
  <c r="CM43" i="33"/>
  <c r="CL43" i="33"/>
  <c r="CJ43" i="33"/>
  <c r="CI43" i="33"/>
  <c r="CH43" i="33"/>
  <c r="CG43" i="33"/>
  <c r="CF43" i="33"/>
  <c r="CE43" i="33"/>
  <c r="CC43" i="33"/>
  <c r="CB43" i="33"/>
  <c r="CA43" i="33"/>
  <c r="BZ43" i="33"/>
  <c r="BY43" i="33"/>
  <c r="BX43" i="33"/>
  <c r="BV43" i="33"/>
  <c r="BU43" i="33"/>
  <c r="BT43" i="33"/>
  <c r="BS43" i="33"/>
  <c r="BR43" i="33"/>
  <c r="BQ43" i="33"/>
  <c r="BO43" i="33"/>
  <c r="BN43" i="33"/>
  <c r="BM43" i="33"/>
  <c r="BL43" i="33"/>
  <c r="BK43" i="33"/>
  <c r="BJ43" i="33"/>
  <c r="BH43" i="33"/>
  <c r="BG43" i="33"/>
  <c r="BF43" i="33"/>
  <c r="BE43" i="33"/>
  <c r="BD43" i="33"/>
  <c r="BC43" i="33"/>
  <c r="BA43" i="33"/>
  <c r="AZ43" i="33"/>
  <c r="AY43" i="33"/>
  <c r="AX43" i="33"/>
  <c r="AW43" i="33"/>
  <c r="AV43" i="33"/>
  <c r="AT43" i="33"/>
  <c r="AS43" i="33"/>
  <c r="AR43" i="33"/>
  <c r="AQ43" i="33"/>
  <c r="AP43" i="33"/>
  <c r="AO43" i="33"/>
  <c r="AM43" i="33"/>
  <c r="AL43" i="33"/>
  <c r="AK43" i="33"/>
  <c r="AJ43" i="33"/>
  <c r="AI43" i="33"/>
  <c r="AH43" i="33"/>
  <c r="AF43" i="33"/>
  <c r="AE43" i="33"/>
  <c r="AD43" i="33"/>
  <c r="AC43" i="33"/>
  <c r="AB43" i="33"/>
  <c r="AA43" i="33"/>
  <c r="Y43" i="33"/>
  <c r="X43" i="33"/>
  <c r="W43" i="33"/>
  <c r="V43" i="33"/>
  <c r="U43" i="33"/>
  <c r="T43" i="33"/>
  <c r="R43" i="33"/>
  <c r="Q43" i="33"/>
  <c r="P43" i="33"/>
  <c r="O43" i="33"/>
  <c r="N43" i="33"/>
  <c r="M43" i="33"/>
  <c r="K43" i="33"/>
  <c r="J43" i="33"/>
  <c r="I43" i="33"/>
  <c r="H43" i="33"/>
  <c r="G43" i="33"/>
  <c r="F43" i="33"/>
  <c r="DE35" i="33"/>
  <c r="DD35" i="33"/>
  <c r="DC35" i="33"/>
  <c r="DB35" i="33"/>
  <c r="DA35" i="33"/>
  <c r="CZ35" i="33"/>
  <c r="CX35" i="33"/>
  <c r="CW35" i="33"/>
  <c r="CV35" i="33"/>
  <c r="CU35" i="33"/>
  <c r="CT35" i="33"/>
  <c r="CS35" i="33"/>
  <c r="CP35" i="33"/>
  <c r="CO35" i="33"/>
  <c r="CN35" i="33"/>
  <c r="CM35" i="33"/>
  <c r="CL35" i="33"/>
  <c r="CC35" i="33"/>
  <c r="CB35" i="33"/>
  <c r="CA35" i="33"/>
  <c r="BZ35" i="33"/>
  <c r="BY35" i="33"/>
  <c r="BX35" i="33"/>
  <c r="BV35" i="33"/>
  <c r="BU35" i="33"/>
  <c r="BT35" i="33"/>
  <c r="BS35" i="33"/>
  <c r="BR35" i="33"/>
  <c r="BQ35" i="33"/>
  <c r="BO35" i="33"/>
  <c r="BN35" i="33"/>
  <c r="BM35" i="33"/>
  <c r="BL35" i="33"/>
  <c r="BK35" i="33"/>
  <c r="BJ35" i="33"/>
  <c r="BH35" i="33"/>
  <c r="BG35" i="33"/>
  <c r="BF35" i="33"/>
  <c r="BE35" i="33"/>
  <c r="BD35" i="33"/>
  <c r="BC35" i="33"/>
  <c r="BA35" i="33"/>
  <c r="AZ35" i="33"/>
  <c r="AY35" i="33"/>
  <c r="AX35" i="33"/>
  <c r="AW35" i="33"/>
  <c r="AV35" i="33"/>
  <c r="AT35" i="33"/>
  <c r="AS35" i="33"/>
  <c r="AR35" i="33"/>
  <c r="AQ35" i="33"/>
  <c r="AP35" i="33"/>
  <c r="AO35" i="33"/>
  <c r="AM35" i="33"/>
  <c r="AL35" i="33"/>
  <c r="AK35" i="33"/>
  <c r="AJ35" i="33"/>
  <c r="AI35" i="33"/>
  <c r="AH35" i="33"/>
  <c r="AF35" i="33"/>
  <c r="AE35" i="33"/>
  <c r="AD35" i="33"/>
  <c r="AC35" i="33"/>
  <c r="AB35" i="33"/>
  <c r="AA35" i="33"/>
  <c r="Y35" i="33"/>
  <c r="X35" i="33"/>
  <c r="W35" i="33"/>
  <c r="V35" i="33"/>
  <c r="U35" i="33"/>
  <c r="T35" i="33"/>
  <c r="R35" i="33"/>
  <c r="Q35" i="33"/>
  <c r="P35" i="33"/>
  <c r="O35" i="33"/>
  <c r="N35" i="33"/>
  <c r="M35" i="33"/>
  <c r="DE29" i="33"/>
  <c r="DD29" i="33"/>
  <c r="DC29" i="33"/>
  <c r="DB29" i="33"/>
  <c r="DA29" i="33"/>
  <c r="CZ29" i="33"/>
  <c r="CX29" i="33"/>
  <c r="CW29" i="33"/>
  <c r="CV29" i="33"/>
  <c r="CU29" i="33"/>
  <c r="CT29" i="33"/>
  <c r="CS29" i="33"/>
  <c r="CP29" i="33"/>
  <c r="CO29" i="33"/>
  <c r="CN29" i="33"/>
  <c r="CM29" i="33"/>
  <c r="CL29" i="33"/>
  <c r="CC29" i="33"/>
  <c r="CB29" i="33"/>
  <c r="CA29" i="33"/>
  <c r="BZ29" i="33"/>
  <c r="BY29" i="33"/>
  <c r="BX29" i="33"/>
  <c r="BV29" i="33"/>
  <c r="BU29" i="33"/>
  <c r="BT29" i="33"/>
  <c r="BS29" i="33"/>
  <c r="BR29" i="33"/>
  <c r="BQ29" i="33"/>
  <c r="BO29" i="33"/>
  <c r="BN29" i="33"/>
  <c r="BM29" i="33"/>
  <c r="BL29" i="33"/>
  <c r="BK29" i="33"/>
  <c r="BJ29" i="33"/>
  <c r="BH29" i="33"/>
  <c r="BG29" i="33"/>
  <c r="BF29" i="33"/>
  <c r="BE29" i="33"/>
  <c r="BD29" i="33"/>
  <c r="BC29" i="33"/>
  <c r="BA29" i="33"/>
  <c r="AZ29" i="33"/>
  <c r="AY29" i="33"/>
  <c r="AX29" i="33"/>
  <c r="AW29" i="33"/>
  <c r="AV29" i="33"/>
  <c r="AT29" i="33"/>
  <c r="AS29" i="33"/>
  <c r="AR29" i="33"/>
  <c r="AQ29" i="33"/>
  <c r="AP29" i="33"/>
  <c r="AO29" i="33"/>
  <c r="AM29" i="33"/>
  <c r="AL29" i="33"/>
  <c r="AK29" i="33"/>
  <c r="AJ29" i="33"/>
  <c r="AI29" i="33"/>
  <c r="AH29" i="33"/>
  <c r="AF29" i="33"/>
  <c r="AE29" i="33"/>
  <c r="AD29" i="33"/>
  <c r="AC29" i="33"/>
  <c r="AB29" i="33"/>
  <c r="AA29" i="33"/>
  <c r="Y29" i="33"/>
  <c r="X29" i="33"/>
  <c r="W29" i="33"/>
  <c r="V29" i="33"/>
  <c r="U29" i="33"/>
  <c r="T29" i="33"/>
  <c r="R29" i="33"/>
  <c r="Q29" i="33"/>
  <c r="P29" i="33"/>
  <c r="O29" i="33"/>
  <c r="N29" i="33"/>
  <c r="M29" i="33"/>
  <c r="DE23" i="33"/>
  <c r="DD23" i="33"/>
  <c r="DC23" i="33"/>
  <c r="DB23" i="33"/>
  <c r="DA23" i="33"/>
  <c r="CZ23" i="33"/>
  <c r="CX23" i="33"/>
  <c r="CW23" i="33"/>
  <c r="CV23" i="33"/>
  <c r="CU23" i="33"/>
  <c r="CT23" i="33"/>
  <c r="CS23" i="33"/>
  <c r="CP23" i="33"/>
  <c r="CO23" i="33"/>
  <c r="CN23" i="33"/>
  <c r="CM23" i="33"/>
  <c r="CL23" i="33"/>
  <c r="CC23" i="33"/>
  <c r="CB23" i="33"/>
  <c r="CA23" i="33"/>
  <c r="BZ23" i="33"/>
  <c r="BY23" i="33"/>
  <c r="BX23" i="33"/>
  <c r="BV23" i="33"/>
  <c r="BU23" i="33"/>
  <c r="BT23" i="33"/>
  <c r="BS23" i="33"/>
  <c r="BR23" i="33"/>
  <c r="BQ23" i="33"/>
  <c r="BO23" i="33"/>
  <c r="BN23" i="33"/>
  <c r="BM23" i="33"/>
  <c r="BL23" i="33"/>
  <c r="BK23" i="33"/>
  <c r="BJ23" i="33"/>
  <c r="BH23" i="33"/>
  <c r="BG23" i="33"/>
  <c r="BF23" i="33"/>
  <c r="BE23" i="33"/>
  <c r="BD23" i="33"/>
  <c r="BC23" i="33"/>
  <c r="BA23" i="33"/>
  <c r="AZ23" i="33"/>
  <c r="AY23" i="33"/>
  <c r="AX23" i="33"/>
  <c r="AW23" i="33"/>
  <c r="AV23" i="33"/>
  <c r="AT23" i="33"/>
  <c r="AS23" i="33"/>
  <c r="AR23" i="33"/>
  <c r="AQ23" i="33"/>
  <c r="AP23" i="33"/>
  <c r="AO23" i="33"/>
  <c r="AM23" i="33"/>
  <c r="AL23" i="33"/>
  <c r="AK23" i="33"/>
  <c r="AJ23" i="33"/>
  <c r="AI23" i="33"/>
  <c r="AH23" i="33"/>
  <c r="AF23" i="33"/>
  <c r="AE23" i="33"/>
  <c r="AD23" i="33"/>
  <c r="AC23" i="33"/>
  <c r="AB23" i="33"/>
  <c r="AA23" i="33"/>
  <c r="Y23" i="33"/>
  <c r="X23" i="33"/>
  <c r="W23" i="33"/>
  <c r="V23" i="33"/>
  <c r="U23" i="33"/>
  <c r="T23" i="33"/>
  <c r="R23" i="33"/>
  <c r="Q23" i="33"/>
  <c r="P23" i="33"/>
  <c r="O23" i="33"/>
  <c r="N23" i="33"/>
  <c r="M23" i="33"/>
  <c r="DE17" i="33"/>
  <c r="DD17" i="33"/>
  <c r="DC17" i="33"/>
  <c r="DB17" i="33"/>
  <c r="DA17" i="33"/>
  <c r="CZ17" i="33"/>
  <c r="CX17" i="33"/>
  <c r="CW17" i="33"/>
  <c r="CV17" i="33"/>
  <c r="CU17" i="33"/>
  <c r="CT17" i="33"/>
  <c r="CS17" i="33"/>
  <c r="CP17" i="33"/>
  <c r="CO17" i="33"/>
  <c r="CN17" i="33"/>
  <c r="CM17" i="33"/>
  <c r="CL17" i="33"/>
  <c r="CC17" i="33"/>
  <c r="CB17" i="33"/>
  <c r="CA17" i="33"/>
  <c r="BZ17" i="33"/>
  <c r="BY17" i="33"/>
  <c r="BX17" i="33"/>
  <c r="BV17" i="33"/>
  <c r="BU17" i="33"/>
  <c r="BT17" i="33"/>
  <c r="BS17" i="33"/>
  <c r="BR17" i="33"/>
  <c r="BQ17" i="33"/>
  <c r="BO17" i="33"/>
  <c r="BN17" i="33"/>
  <c r="BM17" i="33"/>
  <c r="BL17" i="33"/>
  <c r="BK17" i="33"/>
  <c r="BJ17" i="33"/>
  <c r="BH17" i="33"/>
  <c r="BG17" i="33"/>
  <c r="BF17" i="33"/>
  <c r="BE17" i="33"/>
  <c r="BD17" i="33"/>
  <c r="BC17" i="33"/>
  <c r="BA17" i="33"/>
  <c r="AZ17" i="33"/>
  <c r="AY17" i="33"/>
  <c r="AX17" i="33"/>
  <c r="AW17" i="33"/>
  <c r="AV17" i="33"/>
  <c r="AT17" i="33"/>
  <c r="AS17" i="33"/>
  <c r="AR17" i="33"/>
  <c r="AQ17" i="33"/>
  <c r="AP17" i="33"/>
  <c r="AO17" i="33"/>
  <c r="AL17" i="33"/>
  <c r="AK17" i="33"/>
  <c r="AJ17" i="33"/>
  <c r="AI17" i="33"/>
  <c r="AH17" i="33"/>
  <c r="AF17" i="33"/>
  <c r="AE17" i="33"/>
  <c r="AD17" i="33"/>
  <c r="AC17" i="33"/>
  <c r="AB17" i="33"/>
  <c r="AA17" i="33"/>
  <c r="Y17" i="33"/>
  <c r="X17" i="33"/>
  <c r="W17" i="33"/>
  <c r="V17" i="33"/>
  <c r="U17" i="33"/>
  <c r="T17" i="33"/>
  <c r="R17" i="33"/>
  <c r="Q17" i="33"/>
  <c r="P17" i="33"/>
  <c r="O17" i="33"/>
  <c r="N17" i="33"/>
  <c r="M17" i="33"/>
  <c r="CB11" i="33"/>
  <c r="CA11" i="33"/>
  <c r="BZ11" i="33"/>
  <c r="BY11" i="33"/>
  <c r="BX11" i="33"/>
  <c r="BU11" i="33"/>
  <c r="BT11" i="33"/>
  <c r="BS11" i="33"/>
  <c r="BR11" i="33"/>
  <c r="BQ11" i="33"/>
  <c r="BN11" i="33"/>
  <c r="BM11" i="33"/>
  <c r="BL11" i="33"/>
  <c r="BK11" i="33"/>
  <c r="BJ11" i="33"/>
  <c r="BG11" i="33"/>
  <c r="BF11" i="33"/>
  <c r="BE11" i="33"/>
  <c r="BD11" i="33"/>
  <c r="BC11" i="33"/>
  <c r="AZ11" i="33"/>
  <c r="AY11" i="33"/>
  <c r="AX11" i="33"/>
  <c r="AW11" i="33"/>
  <c r="AV11" i="33"/>
  <c r="AS11" i="33"/>
  <c r="AR11" i="33"/>
  <c r="AQ11" i="33"/>
  <c r="AP11" i="33"/>
  <c r="AO11" i="33"/>
  <c r="AL11" i="33"/>
  <c r="AK11" i="33"/>
  <c r="AJ11" i="33"/>
  <c r="AI11" i="33"/>
  <c r="AH11" i="33"/>
  <c r="AE11" i="33"/>
  <c r="AD11" i="33"/>
  <c r="AC11" i="33"/>
  <c r="AB11" i="33"/>
  <c r="AA11" i="33"/>
  <c r="X11" i="33"/>
  <c r="W11" i="33"/>
  <c r="V11" i="33"/>
  <c r="U11" i="33"/>
  <c r="T11" i="33"/>
  <c r="Q11" i="33"/>
  <c r="P11" i="33"/>
  <c r="O11" i="33"/>
  <c r="N11" i="33"/>
  <c r="M11" i="33"/>
  <c r="J11" i="33"/>
  <c r="I11" i="33"/>
  <c r="H11" i="33"/>
  <c r="G11" i="33"/>
  <c r="F11" i="33"/>
  <c r="CP11" i="33"/>
  <c r="CO11" i="33"/>
  <c r="CN11" i="33"/>
  <c r="CM11" i="33"/>
  <c r="CL11" i="33"/>
  <c r="F380" i="34" a="1"/>
  <c r="F380" i="34"/>
  <c r="F379" i="34" a="1"/>
  <c r="F379" i="34" s="1"/>
  <c r="F378" i="34" a="1"/>
  <c r="F378" i="34" s="1"/>
  <c r="F377" i="34" a="1"/>
  <c r="F377" i="34" s="1"/>
  <c r="F376" i="34" a="1"/>
  <c r="F376" i="34"/>
  <c r="F374" i="34" a="1"/>
  <c r="F374" i="34" s="1"/>
  <c r="F373" i="34" a="1"/>
  <c r="F373" i="34" s="1"/>
  <c r="F372" i="34" a="1"/>
  <c r="F372" i="34" s="1"/>
  <c r="F371" i="34" a="1"/>
  <c r="F371" i="34" s="1"/>
  <c r="F370" i="34" a="1"/>
  <c r="F370" i="34" s="1"/>
  <c r="F368" i="34" a="1"/>
  <c r="F368" i="34" s="1"/>
  <c r="F367" i="34" a="1"/>
  <c r="F367" i="34" s="1"/>
  <c r="F366" i="34" a="1"/>
  <c r="F366" i="34"/>
  <c r="F365" i="34" a="1"/>
  <c r="F365" i="34" s="1"/>
  <c r="F364" i="34" a="1"/>
  <c r="F364" i="34" s="1"/>
  <c r="F362" i="34" a="1"/>
  <c r="F362" i="34"/>
  <c r="F361" i="34" a="1"/>
  <c r="F361" i="34" s="1"/>
  <c r="F360" i="34" a="1"/>
  <c r="F360" i="34" s="1"/>
  <c r="F359" i="34" a="1"/>
  <c r="F359" i="34" s="1"/>
  <c r="F363" i="34" s="1"/>
  <c r="R120" i="37" s="1"/>
  <c r="F358" i="34" a="1"/>
  <c r="F358" i="34"/>
  <c r="F356" i="34" a="1"/>
  <c r="F356" i="34"/>
  <c r="F355" i="34" a="1"/>
  <c r="F355" i="34" s="1"/>
  <c r="F354" i="34" a="1"/>
  <c r="F354" i="34" s="1"/>
  <c r="F353" i="34" a="1"/>
  <c r="F353" i="34" s="1"/>
  <c r="F352" i="34" a="1"/>
  <c r="F352" i="34"/>
  <c r="F350" i="34" a="1"/>
  <c r="F350" i="34"/>
  <c r="F349" i="34" a="1"/>
  <c r="F349" i="34" s="1"/>
  <c r="F348" i="34" a="1"/>
  <c r="F348" i="34" s="1"/>
  <c r="F347" i="34" a="1"/>
  <c r="F347" i="34" s="1"/>
  <c r="F351" i="34" s="1"/>
  <c r="R118" i="37" s="1"/>
  <c r="F346" i="34" a="1"/>
  <c r="F346" i="34"/>
  <c r="F344" i="34" a="1"/>
  <c r="F344" i="34"/>
  <c r="F343" i="34" a="1"/>
  <c r="F343" i="34"/>
  <c r="F342" i="34" a="1"/>
  <c r="F342" i="34" s="1"/>
  <c r="F341" i="34" a="1"/>
  <c r="F341" i="34" s="1"/>
  <c r="F340" i="34" a="1"/>
  <c r="F340" i="34"/>
  <c r="F338" i="34" a="1"/>
  <c r="F338" i="34"/>
  <c r="F337" i="34" a="1"/>
  <c r="F337" i="34" s="1"/>
  <c r="F336" i="34" a="1"/>
  <c r="F336" i="34" s="1"/>
  <c r="F335" i="34" a="1"/>
  <c r="F335" i="34" s="1"/>
  <c r="F334" i="34" a="1"/>
  <c r="F334" i="34"/>
  <c r="F332" i="34" a="1"/>
  <c r="F332" i="34" s="1"/>
  <c r="F331" i="34" a="1"/>
  <c r="F331" i="34"/>
  <c r="F330" i="34" a="1"/>
  <c r="F330" i="34" s="1"/>
  <c r="F329" i="34" a="1"/>
  <c r="F329" i="34" s="1"/>
  <c r="F328" i="34" a="1"/>
  <c r="F328" i="34" s="1"/>
  <c r="F333" i="34" s="1"/>
  <c r="R80" i="37" s="1"/>
  <c r="F326" i="34" a="1"/>
  <c r="F326" i="34"/>
  <c r="F325" i="34" a="1"/>
  <c r="F325" i="34" s="1"/>
  <c r="F324" i="34" a="1"/>
  <c r="F324" i="34" s="1"/>
  <c r="F323" i="34" a="1"/>
  <c r="F323" i="34" s="1"/>
  <c r="F322" i="34" a="1"/>
  <c r="F322" i="34" s="1"/>
  <c r="F320" i="34" a="1"/>
  <c r="F320" i="34" s="1"/>
  <c r="F319" i="34" a="1"/>
  <c r="F319" i="34" s="1"/>
  <c r="F318" i="34" a="1"/>
  <c r="F318" i="34" s="1"/>
  <c r="F317" i="34" a="1"/>
  <c r="F317" i="34" s="1"/>
  <c r="F316" i="34" a="1"/>
  <c r="F316" i="34" s="1"/>
  <c r="F314" i="34" a="1"/>
  <c r="F314" i="34" s="1"/>
  <c r="F313" i="34" a="1"/>
  <c r="F313" i="34" s="1"/>
  <c r="F312" i="34" a="1"/>
  <c r="F312" i="34" s="1"/>
  <c r="F311" i="34" a="1"/>
  <c r="F311" i="34" s="1"/>
  <c r="F310" i="34" a="1"/>
  <c r="F310" i="34" s="1"/>
  <c r="F308" i="34" a="1"/>
  <c r="F308" i="34" s="1"/>
  <c r="F307" i="34" a="1"/>
  <c r="F307" i="34" s="1"/>
  <c r="F404" i="34" s="1"/>
  <c r="F306" i="34" a="1"/>
  <c r="F306" i="34" s="1"/>
  <c r="F305" i="34" a="1"/>
  <c r="F305" i="34" s="1"/>
  <c r="F304" i="34" a="1"/>
  <c r="F304" i="34" s="1"/>
  <c r="F302" i="34" a="1"/>
  <c r="F302" i="34" s="1"/>
  <c r="F301" i="34" a="1"/>
  <c r="F301" i="34" s="1"/>
  <c r="F300" i="34" a="1"/>
  <c r="F300" i="34" s="1"/>
  <c r="F299" i="34" a="1"/>
  <c r="F299" i="34" s="1"/>
  <c r="F298" i="34" a="1"/>
  <c r="F298" i="34" s="1"/>
  <c r="F296" i="34" a="1"/>
  <c r="F296" i="34" s="1"/>
  <c r="F295" i="34" a="1"/>
  <c r="F295" i="34" s="1"/>
  <c r="F294" i="34" a="1"/>
  <c r="F294" i="34" s="1"/>
  <c r="F293" i="34" a="1"/>
  <c r="F293" i="34" s="1"/>
  <c r="F292" i="34" a="1"/>
  <c r="F292" i="34" s="1"/>
  <c r="F297" i="34" s="1"/>
  <c r="R117" i="37" s="1"/>
  <c r="F290" i="34" a="1"/>
  <c r="F290" i="34" s="1"/>
  <c r="F291" i="34" s="1"/>
  <c r="R116" i="37" s="1"/>
  <c r="F289" i="34" a="1"/>
  <c r="F289" i="34" s="1"/>
  <c r="F288" i="34" a="1"/>
  <c r="F288" i="34" s="1"/>
  <c r="F287" i="34" a="1"/>
  <c r="F287" i="34" s="1"/>
  <c r="F286" i="34" a="1"/>
  <c r="F286" i="34" s="1"/>
  <c r="F284" i="34" a="1"/>
  <c r="F284" i="34" s="1"/>
  <c r="F283" i="34" a="1"/>
  <c r="F283" i="34" s="1"/>
  <c r="F282" i="34" a="1"/>
  <c r="F282" i="34" s="1"/>
  <c r="F281" i="34" a="1"/>
  <c r="F281" i="34" s="1"/>
  <c r="F280" i="34" a="1"/>
  <c r="F280" i="34" s="1"/>
  <c r="F278" i="34" a="1"/>
  <c r="F278" i="34" s="1"/>
  <c r="F277" i="34" a="1"/>
  <c r="F277" i="34" s="1"/>
  <c r="F276" i="34" a="1"/>
  <c r="F276" i="34" s="1"/>
  <c r="F275" i="34" a="1"/>
  <c r="F275" i="34" s="1"/>
  <c r="F274" i="34" a="1"/>
  <c r="F274" i="34" s="1"/>
  <c r="F272" i="34" a="1"/>
  <c r="F272" i="34" s="1"/>
  <c r="F271" i="34" a="1"/>
  <c r="F271" i="34" s="1"/>
  <c r="F270" i="34" a="1"/>
  <c r="F270" i="34" s="1"/>
  <c r="F269" i="34" a="1"/>
  <c r="F269" i="34" s="1"/>
  <c r="F268" i="34" a="1"/>
  <c r="F268" i="34" s="1"/>
  <c r="F266" i="34" a="1"/>
  <c r="F266" i="34" s="1"/>
  <c r="F265" i="34" a="1"/>
  <c r="F265" i="34" s="1"/>
  <c r="F264" i="34" a="1"/>
  <c r="F264" i="34" s="1"/>
  <c r="F263" i="34" a="1"/>
  <c r="F263" i="34" s="1"/>
  <c r="F262" i="34" a="1"/>
  <c r="F262" i="34" s="1"/>
  <c r="F260" i="34" a="1"/>
  <c r="F260" i="34" s="1"/>
  <c r="F259" i="34" a="1"/>
  <c r="F259" i="34" s="1"/>
  <c r="F258" i="34" a="1"/>
  <c r="F258" i="34" s="1"/>
  <c r="F257" i="34" a="1"/>
  <c r="F257" i="34" s="1"/>
  <c r="F256" i="34" a="1"/>
  <c r="F256" i="34" s="1"/>
  <c r="F254" i="34" a="1"/>
  <c r="F254" i="34" s="1"/>
  <c r="F253" i="34" a="1"/>
  <c r="F253" i="34" s="1"/>
  <c r="F252" i="34" a="1"/>
  <c r="F252" i="34" s="1"/>
  <c r="F251" i="34" a="1"/>
  <c r="F251" i="34" s="1"/>
  <c r="F250" i="34" a="1"/>
  <c r="F250" i="34" s="1"/>
  <c r="F248" i="34" a="1"/>
  <c r="F248" i="34" s="1"/>
  <c r="F247" i="34" a="1"/>
  <c r="F247" i="34"/>
  <c r="F246" i="34" a="1"/>
  <c r="F246" i="34" s="1"/>
  <c r="F245" i="34" a="1"/>
  <c r="F245" i="34" s="1"/>
  <c r="F244" i="34" a="1"/>
  <c r="F244" i="34" s="1"/>
  <c r="F242" i="34" a="1"/>
  <c r="F242" i="34"/>
  <c r="F241" i="34" a="1"/>
  <c r="F241" i="34" s="1"/>
  <c r="F240" i="34" a="1"/>
  <c r="F240" i="34" s="1"/>
  <c r="F239" i="34" a="1"/>
  <c r="F239" i="34" s="1"/>
  <c r="F238" i="34" a="1"/>
  <c r="F238" i="34"/>
  <c r="F236" i="34" a="1"/>
  <c r="F236" i="34" s="1"/>
  <c r="F235" i="34" a="1"/>
  <c r="F235" i="34" s="1"/>
  <c r="F234" i="34" a="1"/>
  <c r="F234" i="34" s="1"/>
  <c r="F233" i="34" a="1"/>
  <c r="F233" i="34"/>
  <c r="F232" i="34" a="1"/>
  <c r="F232" i="34" s="1"/>
  <c r="F230" i="34" a="1"/>
  <c r="F230" i="34" s="1"/>
  <c r="F229" i="34" a="1"/>
  <c r="F229" i="34" s="1"/>
  <c r="F228" i="34" a="1"/>
  <c r="F228" i="34"/>
  <c r="F227" i="34" a="1"/>
  <c r="F227" i="34" s="1"/>
  <c r="F226" i="34" a="1"/>
  <c r="F226" i="34" s="1"/>
  <c r="F224" i="34" a="1"/>
  <c r="F224" i="34" s="1"/>
  <c r="F223" i="34" a="1"/>
  <c r="F223" i="34"/>
  <c r="F222" i="34" a="1"/>
  <c r="F222" i="34" s="1"/>
  <c r="F221" i="34" a="1"/>
  <c r="F221" i="34" s="1"/>
  <c r="F220" i="34" a="1"/>
  <c r="F220" i="34" s="1"/>
  <c r="F218" i="34" a="1"/>
  <c r="F218" i="34"/>
  <c r="F217" i="34" a="1"/>
  <c r="F217" i="34" s="1"/>
  <c r="F216" i="34" a="1"/>
  <c r="F216" i="34" s="1"/>
  <c r="F215" i="34" a="1"/>
  <c r="F215" i="34" s="1"/>
  <c r="F214" i="34" a="1"/>
  <c r="F214" i="34"/>
  <c r="F212" i="34" a="1"/>
  <c r="F212" i="34" s="1"/>
  <c r="F211" i="34" a="1"/>
  <c r="F211" i="34" s="1"/>
  <c r="F210" i="34" a="1"/>
  <c r="F210" i="34" s="1"/>
  <c r="F209" i="34" a="1"/>
  <c r="F209" i="34"/>
  <c r="F208" i="34" a="1"/>
  <c r="F208" i="34" s="1"/>
  <c r="F206" i="34" a="1"/>
  <c r="F206" i="34" s="1"/>
  <c r="F205" i="34" a="1"/>
  <c r="F205" i="34" s="1"/>
  <c r="F204" i="34" a="1"/>
  <c r="F204" i="34"/>
  <c r="F203" i="34" a="1"/>
  <c r="F203" i="34" s="1"/>
  <c r="F202" i="34" a="1"/>
  <c r="F202" i="34" s="1"/>
  <c r="F200" i="34" a="1"/>
  <c r="F200" i="34" s="1"/>
  <c r="F199" i="34" a="1"/>
  <c r="F199" i="34" s="1"/>
  <c r="F198" i="34" a="1"/>
  <c r="F198" i="34" s="1"/>
  <c r="F197" i="34" a="1"/>
  <c r="F197" i="34" s="1"/>
  <c r="F196" i="34" a="1"/>
  <c r="F196" i="34" s="1"/>
  <c r="F194" i="34" a="1"/>
  <c r="F194" i="34" s="1"/>
  <c r="F193" i="34" a="1"/>
  <c r="F193" i="34" s="1"/>
  <c r="F192" i="34" a="1"/>
  <c r="F192" i="34" s="1"/>
  <c r="F191" i="34" a="1"/>
  <c r="F191" i="34" s="1"/>
  <c r="F190" i="34" a="1"/>
  <c r="F190" i="34" s="1"/>
  <c r="F188" i="34" a="1"/>
  <c r="F188" i="34" s="1"/>
  <c r="F187" i="34" a="1"/>
  <c r="F187" i="34" s="1"/>
  <c r="F186" i="34" a="1"/>
  <c r="F186" i="34" s="1"/>
  <c r="F185" i="34" a="1"/>
  <c r="F185" i="34" s="1"/>
  <c r="F184" i="34" a="1"/>
  <c r="F184" i="34" s="1"/>
  <c r="F182" i="34" a="1"/>
  <c r="F182" i="34" s="1"/>
  <c r="F181" i="34" a="1"/>
  <c r="F181" i="34" s="1"/>
  <c r="F180" i="34" a="1"/>
  <c r="F180" i="34" s="1"/>
  <c r="F179" i="34" a="1"/>
  <c r="F179" i="34" s="1"/>
  <c r="F178" i="34" a="1"/>
  <c r="F178" i="34" s="1"/>
  <c r="F176" i="34" a="1"/>
  <c r="F176" i="34" s="1"/>
  <c r="F175" i="34" a="1"/>
  <c r="F175" i="34" s="1"/>
  <c r="F174" i="34" a="1"/>
  <c r="F174" i="34" s="1"/>
  <c r="F173" i="34" a="1"/>
  <c r="F173" i="34" s="1"/>
  <c r="F172" i="34" a="1"/>
  <c r="F172" i="34" s="1"/>
  <c r="F170" i="34" a="1"/>
  <c r="F170" i="34" s="1"/>
  <c r="F169" i="34" a="1"/>
  <c r="F169" i="34" s="1"/>
  <c r="F168" i="34" a="1"/>
  <c r="F168" i="34" s="1"/>
  <c r="F167" i="34" a="1"/>
  <c r="F167" i="34"/>
  <c r="F166" i="34" a="1"/>
  <c r="F166" i="34" s="1"/>
  <c r="F164" i="34" a="1"/>
  <c r="F164" i="34" s="1"/>
  <c r="F163" i="34" a="1"/>
  <c r="F163" i="34" s="1"/>
  <c r="F162" i="34" a="1"/>
  <c r="F162" i="34"/>
  <c r="F161" i="34" a="1"/>
  <c r="F161" i="34" s="1"/>
  <c r="F160" i="34" a="1"/>
  <c r="F160" i="34" s="1"/>
  <c r="F158" i="34" a="1"/>
  <c r="F158" i="34" s="1"/>
  <c r="F157" i="34" a="1"/>
  <c r="F157" i="34"/>
  <c r="F156" i="34" a="1"/>
  <c r="F156" i="34" s="1"/>
  <c r="F155" i="34" a="1"/>
  <c r="F155" i="34" s="1"/>
  <c r="F154" i="34" a="1"/>
  <c r="F154" i="34" s="1"/>
  <c r="F152" i="34" a="1"/>
  <c r="F152" i="34"/>
  <c r="F151" i="34" a="1"/>
  <c r="F151" i="34" s="1"/>
  <c r="F150" i="34" a="1"/>
  <c r="F150" i="34" s="1"/>
  <c r="F149" i="34" a="1"/>
  <c r="F149" i="34" s="1"/>
  <c r="F148" i="34" a="1"/>
  <c r="F148" i="34"/>
  <c r="F146" i="34" a="1"/>
  <c r="F146" i="34" s="1"/>
  <c r="F145" i="34" a="1"/>
  <c r="F145" i="34" s="1"/>
  <c r="F144" i="34" a="1"/>
  <c r="F144" i="34" s="1"/>
  <c r="F143" i="34" a="1"/>
  <c r="F143" i="34"/>
  <c r="F142" i="34" a="1"/>
  <c r="F142" i="34" s="1"/>
  <c r="F140" i="34" a="1"/>
  <c r="F140" i="34" s="1"/>
  <c r="F139" i="34" a="1"/>
  <c r="F139" i="34" s="1"/>
  <c r="F138" i="34" a="1"/>
  <c r="F138" i="34"/>
  <c r="F137" i="34" a="1"/>
  <c r="F137" i="34" s="1"/>
  <c r="F136" i="34" a="1"/>
  <c r="F136" i="34" s="1"/>
  <c r="F134" i="34" a="1"/>
  <c r="F134" i="34" s="1"/>
  <c r="F133" i="34" a="1"/>
  <c r="F133" i="34"/>
  <c r="F132" i="34" a="1"/>
  <c r="F132" i="34" s="1"/>
  <c r="F131" i="34" a="1"/>
  <c r="F131" i="34" s="1"/>
  <c r="F130" i="34" a="1"/>
  <c r="F130" i="34" s="1"/>
  <c r="F128" i="34" a="1"/>
  <c r="F128" i="34"/>
  <c r="F127" i="34" a="1"/>
  <c r="F127" i="34" s="1"/>
  <c r="F126" i="34" a="1"/>
  <c r="F126" i="34" s="1"/>
  <c r="F125" i="34" a="1"/>
  <c r="F125" i="34" s="1"/>
  <c r="F124" i="34" a="1"/>
  <c r="F124" i="34"/>
  <c r="F122" i="34" a="1"/>
  <c r="F122" i="34" s="1"/>
  <c r="F121" i="34" a="1"/>
  <c r="F121" i="34" s="1"/>
  <c r="F120" i="34" a="1"/>
  <c r="F120" i="34" s="1"/>
  <c r="F119" i="34" a="1"/>
  <c r="F119" i="34"/>
  <c r="F118" i="34" a="1"/>
  <c r="F118" i="34" s="1"/>
  <c r="F116" i="34" a="1"/>
  <c r="F116" i="34" s="1"/>
  <c r="F115" i="34" a="1"/>
  <c r="F115" i="34" s="1"/>
  <c r="F114" i="34" a="1"/>
  <c r="F114" i="34"/>
  <c r="F113" i="34" a="1"/>
  <c r="F113" i="34" s="1"/>
  <c r="F112" i="34" a="1"/>
  <c r="F112" i="34" s="1"/>
  <c r="F110" i="34" a="1"/>
  <c r="F110" i="34" s="1"/>
  <c r="F109" i="34" a="1"/>
  <c r="F109" i="34"/>
  <c r="F108" i="34" a="1"/>
  <c r="F108" i="34" s="1"/>
  <c r="F107" i="34" a="1"/>
  <c r="F107" i="34" s="1"/>
  <c r="F106" i="34" a="1"/>
  <c r="F106" i="34" s="1"/>
  <c r="F104" i="34" a="1"/>
  <c r="F104" i="34"/>
  <c r="F103" i="34" a="1"/>
  <c r="F103" i="34" s="1"/>
  <c r="F102" i="34" a="1"/>
  <c r="F102" i="34" s="1"/>
  <c r="F101" i="34" a="1"/>
  <c r="F101" i="34" s="1"/>
  <c r="F100" i="34" a="1"/>
  <c r="F100" i="34"/>
  <c r="F98" i="34" a="1"/>
  <c r="F98" i="34" s="1"/>
  <c r="F97" i="34" a="1"/>
  <c r="F97" i="34" s="1"/>
  <c r="F96" i="34" a="1"/>
  <c r="F96" i="34" s="1"/>
  <c r="F95" i="34" a="1"/>
  <c r="F95" i="34"/>
  <c r="F94" i="34" a="1"/>
  <c r="F94" i="34" s="1"/>
  <c r="F92" i="34" a="1"/>
  <c r="F92" i="34"/>
  <c r="F91" i="34" a="1"/>
  <c r="F91" i="34" s="1"/>
  <c r="F90" i="34" a="1"/>
  <c r="F90" i="34" s="1"/>
  <c r="F89" i="34" a="1"/>
  <c r="F89" i="34" s="1"/>
  <c r="F88" i="34" a="1"/>
  <c r="F88" i="34"/>
  <c r="F86" i="34" a="1"/>
  <c r="F86" i="34" s="1"/>
  <c r="F85" i="34" a="1"/>
  <c r="F85" i="34" s="1"/>
  <c r="F84" i="34" a="1"/>
  <c r="F84" i="34" s="1"/>
  <c r="F83" i="34" a="1"/>
  <c r="F83" i="34"/>
  <c r="F82" i="34" a="1"/>
  <c r="F82" i="34" s="1"/>
  <c r="F80" i="34" a="1"/>
  <c r="F80" i="34" s="1"/>
  <c r="F79" i="34" a="1"/>
  <c r="F79" i="34"/>
  <c r="F78" i="34" a="1"/>
  <c r="F78" i="34" s="1"/>
  <c r="F77" i="34" a="1"/>
  <c r="F77" i="34" s="1"/>
  <c r="F76" i="34" a="1"/>
  <c r="F76" i="34" s="1"/>
  <c r="F74" i="34" a="1"/>
  <c r="F74" i="34"/>
  <c r="F73" i="34" a="1"/>
  <c r="F73" i="34"/>
  <c r="F72" i="34" a="1"/>
  <c r="F72" i="34"/>
  <c r="F71" i="34" a="1"/>
  <c r="F71" i="34" s="1"/>
  <c r="F75" i="34" s="1"/>
  <c r="R66" i="37" s="1"/>
  <c r="F70" i="34" a="1"/>
  <c r="F70" i="34"/>
  <c r="F68" i="34" a="1"/>
  <c r="F68" i="34" s="1"/>
  <c r="F67" i="34" a="1"/>
  <c r="F67" i="34"/>
  <c r="F66" i="34" a="1"/>
  <c r="F66" i="34" s="1"/>
  <c r="F65" i="34" a="1"/>
  <c r="F65" i="34" s="1"/>
  <c r="F64" i="34" a="1"/>
  <c r="F64" i="34" s="1"/>
  <c r="F62" i="34" a="1"/>
  <c r="F62" i="34" s="1"/>
  <c r="F61" i="34" a="1"/>
  <c r="F61" i="34" s="1"/>
  <c r="F60" i="34" a="1"/>
  <c r="F60" i="34" s="1"/>
  <c r="F59" i="34" a="1"/>
  <c r="F59" i="34" s="1"/>
  <c r="F390" i="34" s="1"/>
  <c r="F58" i="34" a="1"/>
  <c r="F58" i="34" s="1"/>
  <c r="F56" i="34" a="1"/>
  <c r="F56" i="34" s="1"/>
  <c r="F55" i="34" a="1"/>
  <c r="F55" i="34" s="1"/>
  <c r="F54" i="34" a="1"/>
  <c r="F54" i="34"/>
  <c r="F53" i="34" a="1"/>
  <c r="F53" i="34" s="1"/>
  <c r="F52" i="34" a="1"/>
  <c r="F52" i="34" s="1"/>
  <c r="F50" i="34" a="1"/>
  <c r="F50" i="34"/>
  <c r="F49" i="34" a="1"/>
  <c r="F49" i="34"/>
  <c r="F48" i="34" a="1"/>
  <c r="F48" i="34"/>
  <c r="F47" i="34" a="1"/>
  <c r="F47" i="34"/>
  <c r="F46" i="34" a="1"/>
  <c r="F46" i="34"/>
  <c r="F44" i="34" a="1"/>
  <c r="F44" i="34"/>
  <c r="F43" i="34" a="1"/>
  <c r="F43" i="34"/>
  <c r="F42" i="34" a="1"/>
  <c r="F42" i="34"/>
  <c r="F41" i="34" a="1"/>
  <c r="F41" i="34"/>
  <c r="F40" i="34" a="1"/>
  <c r="F40" i="34"/>
  <c r="F38" i="34" a="1"/>
  <c r="F38" i="34"/>
  <c r="F37" i="34" a="1"/>
  <c r="F37" i="34"/>
  <c r="F36" i="34" a="1"/>
  <c r="F36" i="34"/>
  <c r="F35" i="34" a="1"/>
  <c r="F35" i="34"/>
  <c r="F34" i="34" a="1"/>
  <c r="F34" i="34"/>
  <c r="F32" i="34" a="1"/>
  <c r="F32" i="34"/>
  <c r="F31" i="34" a="1"/>
  <c r="F31" i="34"/>
  <c r="F30" i="34" a="1"/>
  <c r="F30" i="34"/>
  <c r="F29" i="34" a="1"/>
  <c r="F29" i="34"/>
  <c r="F28" i="34" a="1"/>
  <c r="F28" i="34"/>
  <c r="F26" i="34" a="1"/>
  <c r="F26" i="34"/>
  <c r="F25" i="34" a="1"/>
  <c r="F25" i="34"/>
  <c r="F24" i="34" a="1"/>
  <c r="F24" i="34"/>
  <c r="F23" i="34" a="1"/>
  <c r="F23" i="34"/>
  <c r="F22" i="34" a="1"/>
  <c r="F22" i="34"/>
  <c r="F20" i="34" a="1"/>
  <c r="F20" i="34"/>
  <c r="F19" i="34" a="1"/>
  <c r="F19" i="34"/>
  <c r="F18" i="34" a="1"/>
  <c r="F18" i="34"/>
  <c r="F17" i="34" a="1"/>
  <c r="F17" i="34"/>
  <c r="F16" i="34" a="1"/>
  <c r="F16" i="34"/>
  <c r="A3" i="42"/>
  <c r="A2" i="42"/>
  <c r="A1" i="42"/>
  <c r="A3" i="41"/>
  <c r="A2" i="41"/>
  <c r="A1" i="41"/>
  <c r="R65" i="40"/>
  <c r="V64" i="40"/>
  <c r="U64" i="40"/>
  <c r="T64" i="40"/>
  <c r="S64" i="40"/>
  <c r="R64" i="40"/>
  <c r="V63" i="40"/>
  <c r="U63" i="40"/>
  <c r="V62" i="40"/>
  <c r="T62" i="40"/>
  <c r="R60" i="40"/>
  <c r="R59" i="40"/>
  <c r="V58" i="40"/>
  <c r="T57" i="40"/>
  <c r="V56" i="40"/>
  <c r="V55" i="40"/>
  <c r="V54" i="40"/>
  <c r="S54" i="40"/>
  <c r="R53" i="40"/>
  <c r="V52" i="40"/>
  <c r="V51" i="40"/>
  <c r="T51" i="40"/>
  <c r="U48" i="40"/>
  <c r="T48" i="40"/>
  <c r="R48" i="40"/>
  <c r="V47" i="40"/>
  <c r="U47" i="40"/>
  <c r="T47" i="40"/>
  <c r="V46" i="40"/>
  <c r="S46" i="40"/>
  <c r="R46" i="40"/>
  <c r="U45" i="40"/>
  <c r="T45" i="40"/>
  <c r="R45" i="40"/>
  <c r="V44" i="40"/>
  <c r="U44" i="40"/>
  <c r="T44" i="40"/>
  <c r="S44" i="40"/>
  <c r="R44" i="40"/>
  <c r="V43" i="40"/>
  <c r="U43" i="40"/>
  <c r="T43" i="40"/>
  <c r="S43" i="40"/>
  <c r="R43" i="40"/>
  <c r="V42" i="40"/>
  <c r="U42" i="40"/>
  <c r="T42" i="40"/>
  <c r="S42" i="40"/>
  <c r="R42" i="40"/>
  <c r="V41" i="40"/>
  <c r="U41" i="40"/>
  <c r="T41" i="40"/>
  <c r="S41" i="40"/>
  <c r="R41" i="40"/>
  <c r="V40" i="40"/>
  <c r="U40" i="40"/>
  <c r="T40" i="40"/>
  <c r="S40" i="40"/>
  <c r="R40" i="40"/>
  <c r="V39" i="40"/>
  <c r="U39" i="40"/>
  <c r="T39" i="40"/>
  <c r="S39" i="40"/>
  <c r="R39" i="40"/>
  <c r="V38" i="40"/>
  <c r="U38" i="40"/>
  <c r="T38" i="40"/>
  <c r="S38" i="40"/>
  <c r="R38" i="40"/>
  <c r="V37" i="40"/>
  <c r="U37" i="40"/>
  <c r="T37" i="40"/>
  <c r="S37" i="40"/>
  <c r="R37" i="40"/>
  <c r="V36" i="40"/>
  <c r="U36" i="40"/>
  <c r="T36" i="40"/>
  <c r="S36" i="40"/>
  <c r="R36" i="40"/>
  <c r="V35" i="40"/>
  <c r="U35" i="40"/>
  <c r="T35" i="40"/>
  <c r="S35" i="40"/>
  <c r="R35" i="40"/>
  <c r="V34" i="40"/>
  <c r="U34" i="40"/>
  <c r="T34" i="40"/>
  <c r="S34" i="40"/>
  <c r="R34" i="40"/>
  <c r="V33" i="40"/>
  <c r="U33" i="40"/>
  <c r="T33" i="40"/>
  <c r="S33" i="40"/>
  <c r="R33" i="40"/>
  <c r="V32" i="40"/>
  <c r="U32" i="40"/>
  <c r="T32" i="40"/>
  <c r="S32" i="40"/>
  <c r="R32" i="40"/>
  <c r="V31" i="40"/>
  <c r="U31" i="40"/>
  <c r="T31" i="40"/>
  <c r="S31" i="40"/>
  <c r="R31" i="40"/>
  <c r="V30" i="40"/>
  <c r="U30" i="40"/>
  <c r="T30" i="40"/>
  <c r="S30" i="40"/>
  <c r="R30" i="40"/>
  <c r="V29" i="40"/>
  <c r="U29" i="40"/>
  <c r="T29" i="40"/>
  <c r="S29" i="40"/>
  <c r="R29" i="40"/>
  <c r="V28" i="40"/>
  <c r="U28" i="40"/>
  <c r="T28" i="40"/>
  <c r="S28" i="40"/>
  <c r="R28" i="40"/>
  <c r="V27" i="40"/>
  <c r="U27" i="40"/>
  <c r="T27" i="40"/>
  <c r="S27" i="40"/>
  <c r="R27" i="40"/>
  <c r="V26" i="40"/>
  <c r="U26" i="40"/>
  <c r="T26" i="40"/>
  <c r="S26" i="40"/>
  <c r="R26" i="40"/>
  <c r="V25" i="40"/>
  <c r="U25" i="40"/>
  <c r="T25" i="40"/>
  <c r="S25" i="40"/>
  <c r="R25" i="40"/>
  <c r="V24" i="40"/>
  <c r="U24" i="40"/>
  <c r="T24" i="40"/>
  <c r="S24" i="40"/>
  <c r="R24" i="40"/>
  <c r="V23" i="40"/>
  <c r="U23" i="40"/>
  <c r="T23" i="40"/>
  <c r="S23" i="40"/>
  <c r="R23" i="40"/>
  <c r="V22" i="40"/>
  <c r="U22" i="40"/>
  <c r="T22" i="40"/>
  <c r="S22" i="40"/>
  <c r="R22" i="40"/>
  <c r="V21" i="40"/>
  <c r="T21" i="40"/>
  <c r="S21" i="40"/>
  <c r="R21" i="40"/>
  <c r="V20" i="40"/>
  <c r="T20" i="40"/>
  <c r="R20" i="40"/>
  <c r="U19" i="40"/>
  <c r="T19" i="40"/>
  <c r="S19" i="40"/>
  <c r="R19" i="40"/>
  <c r="U17" i="40"/>
  <c r="S16" i="40"/>
  <c r="V14" i="40"/>
  <c r="R14" i="40"/>
  <c r="V11" i="40"/>
  <c r="U11" i="40"/>
  <c r="T11" i="40"/>
  <c r="S11" i="40"/>
  <c r="R11" i="40"/>
  <c r="V10" i="40"/>
  <c r="U10" i="40"/>
  <c r="T10" i="40"/>
  <c r="S10" i="40"/>
  <c r="R10" i="40"/>
  <c r="V9" i="40"/>
  <c r="U9" i="40"/>
  <c r="T9" i="40"/>
  <c r="S9" i="40"/>
  <c r="R9" i="40"/>
  <c r="V8" i="40"/>
  <c r="U8" i="40"/>
  <c r="T8" i="40"/>
  <c r="S8" i="40"/>
  <c r="R8" i="40"/>
  <c r="V7" i="40"/>
  <c r="U7" i="40"/>
  <c r="T7" i="40"/>
  <c r="S7" i="40"/>
  <c r="R7" i="40"/>
  <c r="V6" i="40"/>
  <c r="U6" i="40"/>
  <c r="T6" i="40"/>
  <c r="AM13" i="33"/>
  <c r="AM17" i="33" s="1"/>
  <c r="AM16" i="33"/>
  <c r="Q45" i="40" a="1"/>
  <c r="Q45" i="40" s="1"/>
  <c r="Q42" i="40" a="1"/>
  <c r="Q42" i="40" s="1"/>
  <c r="P42" i="40" a="1"/>
  <c r="P42" i="40" s="1"/>
  <c r="O42" i="40" a="1"/>
  <c r="O42" i="40" s="1"/>
  <c r="N42" i="40" a="1"/>
  <c r="N42" i="40" s="1"/>
  <c r="M42" i="40" a="1"/>
  <c r="M42" i="40" s="1"/>
  <c r="Q41" i="40" a="1"/>
  <c r="Q41" i="40" s="1"/>
  <c r="P41" i="40" a="1"/>
  <c r="P41" i="40" s="1"/>
  <c r="O41" i="40" a="1"/>
  <c r="O41" i="40" s="1"/>
  <c r="N41" i="40" a="1"/>
  <c r="N41" i="40" s="1"/>
  <c r="M41" i="40" a="1"/>
  <c r="M41" i="40" s="1"/>
  <c r="P40" i="40" a="1"/>
  <c r="P40" i="40" s="1"/>
  <c r="O40" i="40" a="1"/>
  <c r="O40" i="40" s="1"/>
  <c r="N40" i="40" a="1"/>
  <c r="N40" i="40" s="1"/>
  <c r="Q39" i="40" a="1"/>
  <c r="Q39" i="40" s="1"/>
  <c r="P39" i="40" a="1"/>
  <c r="P39" i="40" s="1"/>
  <c r="O39" i="40" a="1"/>
  <c r="O39" i="40" s="1"/>
  <c r="N39" i="40" a="1"/>
  <c r="N39" i="40" s="1"/>
  <c r="M39" i="40" a="1"/>
  <c r="M39" i="40" s="1"/>
  <c r="Q38" i="40" a="1"/>
  <c r="Q38" i="40" s="1"/>
  <c r="P38" i="40" a="1"/>
  <c r="P38" i="40" s="1"/>
  <c r="O38" i="40" a="1"/>
  <c r="O38" i="40" s="1"/>
  <c r="N38" i="40" a="1"/>
  <c r="N38" i="40" s="1"/>
  <c r="M38" i="40" a="1"/>
  <c r="M38" i="40" s="1"/>
  <c r="Q36" i="40" a="1"/>
  <c r="Q36" i="40" s="1"/>
  <c r="P36" i="40" a="1"/>
  <c r="P36" i="40" s="1"/>
  <c r="O36" i="40" a="1"/>
  <c r="O36" i="40" s="1"/>
  <c r="N36" i="40" a="1"/>
  <c r="N36" i="40" s="1"/>
  <c r="M36" i="40" a="1"/>
  <c r="M36" i="40" s="1"/>
  <c r="Q34" i="40" a="1"/>
  <c r="Q34" i="40" s="1"/>
  <c r="P34" i="40" a="1"/>
  <c r="P34" i="40" s="1"/>
  <c r="O34" i="40" a="1"/>
  <c r="O34" i="40" s="1"/>
  <c r="N34" i="40" a="1"/>
  <c r="N34" i="40" s="1"/>
  <c r="M34" i="40" a="1"/>
  <c r="M34" i="40" s="1"/>
  <c r="Q33" i="40" a="1"/>
  <c r="Q33" i="40" s="1"/>
  <c r="P33" i="40" a="1"/>
  <c r="P33" i="40" s="1"/>
  <c r="O33" i="40" a="1"/>
  <c r="O33" i="40" s="1"/>
  <c r="N33" i="40" a="1"/>
  <c r="N33" i="40" s="1"/>
  <c r="M33" i="40" a="1"/>
  <c r="M33" i="40" s="1"/>
  <c r="Q31" i="40" a="1"/>
  <c r="Q31" i="40" s="1"/>
  <c r="P31" i="40" a="1"/>
  <c r="P31" i="40" s="1"/>
  <c r="O31" i="40" a="1"/>
  <c r="O31" i="40" s="1"/>
  <c r="N31" i="40" a="1"/>
  <c r="N31" i="40" s="1"/>
  <c r="M31" i="40" a="1"/>
  <c r="M31" i="40" s="1"/>
  <c r="Q26" i="40" a="1"/>
  <c r="Q26" i="40" s="1"/>
  <c r="P26" i="40" a="1"/>
  <c r="P26" i="40" s="1"/>
  <c r="O26" i="40" a="1"/>
  <c r="O26" i="40" s="1"/>
  <c r="N26" i="40" a="1"/>
  <c r="N26" i="40" s="1"/>
  <c r="M26" i="40" a="1"/>
  <c r="M26" i="40" s="1"/>
  <c r="Q25" i="40" a="1"/>
  <c r="Q25" i="40" s="1"/>
  <c r="P25" i="40" a="1"/>
  <c r="P25" i="40" s="1"/>
  <c r="O25" i="40" a="1"/>
  <c r="O25" i="40" s="1"/>
  <c r="N25" i="40" a="1"/>
  <c r="N25" i="40" s="1"/>
  <c r="M25" i="40" a="1"/>
  <c r="M25" i="40" s="1"/>
  <c r="Q21" i="40" a="1"/>
  <c r="Q21" i="40" s="1"/>
  <c r="P21" i="40" a="1"/>
  <c r="P21" i="40" s="1"/>
  <c r="O21" i="40" a="1"/>
  <c r="O21" i="40" s="1"/>
  <c r="N21" i="40" a="1"/>
  <c r="N21" i="40" s="1"/>
  <c r="M21" i="40" a="1"/>
  <c r="M21" i="40" s="1"/>
  <c r="Q11" i="40" a="1"/>
  <c r="Q11" i="40" s="1"/>
  <c r="P11" i="40" a="1"/>
  <c r="P11" i="40" s="1"/>
  <c r="O11" i="40" a="1"/>
  <c r="O11" i="40" s="1"/>
  <c r="N11" i="40" a="1"/>
  <c r="N11" i="40" s="1"/>
  <c r="M11" i="40" a="1"/>
  <c r="M11" i="40" s="1"/>
  <c r="Q10" i="40" a="1"/>
  <c r="Q10" i="40" s="1"/>
  <c r="P10" i="40" a="1"/>
  <c r="P10" i="40" s="1"/>
  <c r="O10" i="40" a="1"/>
  <c r="O10" i="40" s="1"/>
  <c r="N10" i="40" a="1"/>
  <c r="N10" i="40" s="1"/>
  <c r="M10" i="40" a="1"/>
  <c r="M10" i="40" s="1"/>
  <c r="Q9" i="40" a="1"/>
  <c r="Q9" i="40" s="1"/>
  <c r="P9" i="40" a="1"/>
  <c r="P9" i="40" s="1"/>
  <c r="O9" i="40" a="1"/>
  <c r="O9" i="40" s="1"/>
  <c r="N9" i="40" a="1"/>
  <c r="N9" i="40" s="1"/>
  <c r="M9" i="40" a="1"/>
  <c r="M9" i="40" s="1"/>
  <c r="Q8" i="40" a="1"/>
  <c r="Q8" i="40" s="1"/>
  <c r="P8" i="40" a="1"/>
  <c r="P8" i="40" s="1"/>
  <c r="O8" i="40" a="1"/>
  <c r="O8" i="40" s="1"/>
  <c r="N8" i="40" a="1"/>
  <c r="N8" i="40" s="1"/>
  <c r="M8" i="40" a="1"/>
  <c r="M8" i="40" s="1"/>
  <c r="Q7" i="40" a="1"/>
  <c r="Q7" i="40" s="1"/>
  <c r="P7" i="40" a="1"/>
  <c r="P7" i="40" s="1"/>
  <c r="O7" i="40" a="1"/>
  <c r="O7" i="40" s="1"/>
  <c r="N7" i="40" a="1"/>
  <c r="N7" i="40" s="1"/>
  <c r="M7" i="40" a="1"/>
  <c r="M7" i="40" s="1"/>
  <c r="Y7" i="33"/>
  <c r="Y11" i="33"/>
  <c r="Q6" i="40" a="1"/>
  <c r="Q6" i="40" s="1"/>
  <c r="P6" i="40" a="1"/>
  <c r="P6" i="40" s="1"/>
  <c r="O6" i="40" a="1"/>
  <c r="O6" i="40" s="1"/>
  <c r="N6" i="40" a="1"/>
  <c r="N6" i="40" s="1"/>
  <c r="M6" i="40" a="1"/>
  <c r="M6" i="40" s="1"/>
  <c r="Y194" i="33"/>
  <c r="Y193" i="33"/>
  <c r="Y192" i="33"/>
  <c r="Y191" i="33"/>
  <c r="Y188" i="33"/>
  <c r="Y187" i="33"/>
  <c r="Y186" i="33"/>
  <c r="Y185" i="33"/>
  <c r="Y182" i="33"/>
  <c r="Y181" i="33"/>
  <c r="Y180" i="33"/>
  <c r="Y179" i="33"/>
  <c r="Y176" i="33"/>
  <c r="Y175" i="33"/>
  <c r="Y174" i="33"/>
  <c r="Y173" i="33"/>
  <c r="Y170" i="33"/>
  <c r="H11" i="40"/>
  <c r="Y169" i="33"/>
  <c r="Y168" i="33"/>
  <c r="Y167" i="33"/>
  <c r="R194" i="33"/>
  <c r="R193" i="33"/>
  <c r="R192" i="33"/>
  <c r="R191" i="33"/>
  <c r="R188" i="33"/>
  <c r="R187" i="33"/>
  <c r="R186" i="33"/>
  <c r="R185" i="33"/>
  <c r="R182" i="33"/>
  <c r="R181" i="33"/>
  <c r="R180" i="33"/>
  <c r="R179" i="33"/>
  <c r="R176" i="33"/>
  <c r="R175" i="33"/>
  <c r="R174" i="33"/>
  <c r="R173" i="33"/>
  <c r="R170" i="33"/>
  <c r="R169" i="33"/>
  <c r="R168" i="33"/>
  <c r="R167" i="33"/>
  <c r="I66" i="40"/>
  <c r="K62" i="40"/>
  <c r="I62" i="40"/>
  <c r="H62" i="40"/>
  <c r="L57" i="40"/>
  <c r="I57" i="40"/>
  <c r="H57" i="40"/>
  <c r="L52" i="40"/>
  <c r="H52" i="40"/>
  <c r="C21" i="40"/>
  <c r="K20" i="40"/>
  <c r="H20" i="40"/>
  <c r="I19" i="40"/>
  <c r="I15" i="40"/>
  <c r="H15" i="40"/>
  <c r="CC162" i="33"/>
  <c r="BV162" i="33"/>
  <c r="BO162" i="33"/>
  <c r="BH162" i="33"/>
  <c r="BA162" i="33"/>
  <c r="AT162" i="33"/>
  <c r="AM162" i="33"/>
  <c r="AF162" i="33"/>
  <c r="Y162" i="33"/>
  <c r="R162" i="33"/>
  <c r="CC161" i="33"/>
  <c r="BV161" i="33"/>
  <c r="BO161" i="33"/>
  <c r="BH161" i="33"/>
  <c r="BA161" i="33"/>
  <c r="AT161" i="33"/>
  <c r="AM161" i="33"/>
  <c r="AF161" i="33"/>
  <c r="Y161" i="33"/>
  <c r="R161" i="33"/>
  <c r="CC160" i="33"/>
  <c r="BV160" i="33"/>
  <c r="BO160" i="33"/>
  <c r="BH160" i="33"/>
  <c r="BA160" i="33"/>
  <c r="AT160" i="33"/>
  <c r="AM160" i="33"/>
  <c r="AF160" i="33"/>
  <c r="Y160" i="33"/>
  <c r="R160" i="33"/>
  <c r="CC159" i="33"/>
  <c r="BV159" i="33"/>
  <c r="BO159" i="33"/>
  <c r="BH159" i="33"/>
  <c r="BA159" i="33"/>
  <c r="AT159" i="33"/>
  <c r="AM159" i="33"/>
  <c r="AF159" i="33"/>
  <c r="Y159" i="33"/>
  <c r="R159" i="33"/>
  <c r="CC156" i="33"/>
  <c r="BV156" i="33"/>
  <c r="BO156" i="33"/>
  <c r="BH156" i="33"/>
  <c r="BA156" i="33"/>
  <c r="AT156" i="33"/>
  <c r="AM156" i="33"/>
  <c r="AF156" i="33"/>
  <c r="Y156" i="33"/>
  <c r="R156" i="33"/>
  <c r="CC155" i="33"/>
  <c r="BV155" i="33"/>
  <c r="BO155" i="33"/>
  <c r="BH155" i="33"/>
  <c r="BA155" i="33"/>
  <c r="AT155" i="33"/>
  <c r="AM155" i="33"/>
  <c r="AF155" i="33"/>
  <c r="Y155" i="33"/>
  <c r="R155" i="33"/>
  <c r="CC154" i="33"/>
  <c r="BV154" i="33"/>
  <c r="BO154" i="33"/>
  <c r="BH154" i="33"/>
  <c r="BA154" i="33"/>
  <c r="AT154" i="33"/>
  <c r="AM154" i="33"/>
  <c r="AF154" i="33"/>
  <c r="Y154" i="33"/>
  <c r="R154" i="33"/>
  <c r="CC153" i="33"/>
  <c r="BV153" i="33"/>
  <c r="BO153" i="33"/>
  <c r="BH153" i="33"/>
  <c r="BA153" i="33"/>
  <c r="AT153" i="33"/>
  <c r="AM153" i="33"/>
  <c r="AF153" i="33"/>
  <c r="Y153" i="33"/>
  <c r="R153" i="33"/>
  <c r="CC150" i="33"/>
  <c r="BV150" i="33"/>
  <c r="BO150" i="33"/>
  <c r="BH150" i="33"/>
  <c r="BA150" i="33"/>
  <c r="AT150" i="33"/>
  <c r="AM150" i="33"/>
  <c r="AF150" i="33"/>
  <c r="Y150" i="33"/>
  <c r="R150" i="33"/>
  <c r="CC149" i="33"/>
  <c r="BV149" i="33"/>
  <c r="BO149" i="33"/>
  <c r="BH149" i="33"/>
  <c r="BA149" i="33"/>
  <c r="AT149" i="33"/>
  <c r="AM149" i="33"/>
  <c r="AF149" i="33"/>
  <c r="Y149" i="33"/>
  <c r="R149" i="33"/>
  <c r="CC148" i="33"/>
  <c r="BV148" i="33"/>
  <c r="BO148" i="33"/>
  <c r="BH148" i="33"/>
  <c r="BA148" i="33"/>
  <c r="AT148" i="33"/>
  <c r="AM148" i="33"/>
  <c r="AF148" i="33"/>
  <c r="Y148" i="33"/>
  <c r="R148" i="33"/>
  <c r="CC147" i="33"/>
  <c r="BV147" i="33"/>
  <c r="BO147" i="33"/>
  <c r="BH147" i="33"/>
  <c r="BA147" i="33"/>
  <c r="AT147" i="33"/>
  <c r="AM147" i="33"/>
  <c r="AF147" i="33"/>
  <c r="Y147" i="33"/>
  <c r="R147" i="33"/>
  <c r="CC144" i="33"/>
  <c r="BV144" i="33"/>
  <c r="BO144" i="33"/>
  <c r="BH144" i="33"/>
  <c r="BA144" i="33"/>
  <c r="AT144" i="33"/>
  <c r="AM144" i="33"/>
  <c r="AF144" i="33"/>
  <c r="Y144" i="33"/>
  <c r="R144" i="33"/>
  <c r="CC143" i="33"/>
  <c r="BV143" i="33"/>
  <c r="BO143" i="33"/>
  <c r="BH143" i="33"/>
  <c r="BA143" i="33"/>
  <c r="AT143" i="33"/>
  <c r="AM143" i="33"/>
  <c r="AF143" i="33"/>
  <c r="Y143" i="33"/>
  <c r="R143" i="33"/>
  <c r="CC142" i="33"/>
  <c r="BV142" i="33"/>
  <c r="BO142" i="33"/>
  <c r="BH142" i="33"/>
  <c r="BA142" i="33"/>
  <c r="AT142" i="33"/>
  <c r="AM142" i="33"/>
  <c r="AF142" i="33"/>
  <c r="Y142" i="33"/>
  <c r="R142" i="33"/>
  <c r="CC141" i="33"/>
  <c r="BV141" i="33"/>
  <c r="BO141" i="33"/>
  <c r="BH141" i="33"/>
  <c r="BA141" i="33"/>
  <c r="AT141" i="33"/>
  <c r="AM141" i="33"/>
  <c r="AF141" i="33"/>
  <c r="Y141" i="33"/>
  <c r="R141" i="33"/>
  <c r="CI138" i="33"/>
  <c r="J144" i="33"/>
  <c r="CI144" i="33"/>
  <c r="J150" i="33"/>
  <c r="CI150" i="33"/>
  <c r="J156" i="33"/>
  <c r="CI156" i="33"/>
  <c r="J162" i="33"/>
  <c r="CI162" i="33"/>
  <c r="CH138" i="33"/>
  <c r="I144" i="33"/>
  <c r="CH144" i="33"/>
  <c r="I150" i="33"/>
  <c r="CH150" i="33"/>
  <c r="I156" i="33"/>
  <c r="CH156" i="33"/>
  <c r="I162" i="33"/>
  <c r="CH162" i="33"/>
  <c r="CG138" i="33"/>
  <c r="H144" i="33"/>
  <c r="CG144" i="33"/>
  <c r="H150" i="33"/>
  <c r="CG150" i="33"/>
  <c r="H156" i="33"/>
  <c r="CG156" i="33"/>
  <c r="H162" i="33"/>
  <c r="CG162" i="33"/>
  <c r="CF138" i="33"/>
  <c r="G144" i="33"/>
  <c r="CF144" i="33"/>
  <c r="G150" i="33"/>
  <c r="CF150" i="33"/>
  <c r="G156" i="33"/>
  <c r="CF156" i="33"/>
  <c r="G162" i="33"/>
  <c r="CF162" i="33"/>
  <c r="CE138" i="33"/>
  <c r="F144" i="33"/>
  <c r="CC138" i="33"/>
  <c r="BV138" i="33"/>
  <c r="BO138" i="33"/>
  <c r="BH138" i="33"/>
  <c r="BA138" i="33"/>
  <c r="AT138" i="33"/>
  <c r="AM138" i="33"/>
  <c r="AF138" i="33"/>
  <c r="Y138" i="33"/>
  <c r="R138" i="33"/>
  <c r="K138" i="33"/>
  <c r="CI137" i="33"/>
  <c r="J143" i="33"/>
  <c r="CI143" i="33"/>
  <c r="J149" i="33"/>
  <c r="CI149" i="33"/>
  <c r="J155" i="33"/>
  <c r="CI155" i="33"/>
  <c r="J161" i="33"/>
  <c r="CI161" i="33"/>
  <c r="CH137" i="33"/>
  <c r="I143" i="33"/>
  <c r="CH143" i="33"/>
  <c r="I149" i="33"/>
  <c r="CH149" i="33"/>
  <c r="I155" i="33"/>
  <c r="CH155" i="33"/>
  <c r="I161" i="33"/>
  <c r="CH161" i="33"/>
  <c r="CG137" i="33"/>
  <c r="H143" i="33"/>
  <c r="CG143" i="33"/>
  <c r="H149" i="33"/>
  <c r="CG149" i="33"/>
  <c r="H155" i="33"/>
  <c r="CG155" i="33"/>
  <c r="H161" i="33"/>
  <c r="CG161" i="33"/>
  <c r="CF137" i="33"/>
  <c r="G143" i="33"/>
  <c r="CF143" i="33"/>
  <c r="G149" i="33"/>
  <c r="CF149" i="33"/>
  <c r="G155" i="33"/>
  <c r="CF155" i="33"/>
  <c r="G161" i="33"/>
  <c r="CF161" i="33"/>
  <c r="CE137" i="33"/>
  <c r="F143" i="33"/>
  <c r="CC137" i="33"/>
  <c r="BV137" i="33"/>
  <c r="BO137" i="33"/>
  <c r="BH137" i="33"/>
  <c r="BA137" i="33"/>
  <c r="AT137" i="33"/>
  <c r="AM137" i="33"/>
  <c r="AF137" i="33"/>
  <c r="Y137" i="33"/>
  <c r="R137" i="33"/>
  <c r="K137" i="33"/>
  <c r="CI136" i="33"/>
  <c r="J142" i="33"/>
  <c r="CI142" i="33"/>
  <c r="J148" i="33"/>
  <c r="CI148" i="33"/>
  <c r="J154" i="33"/>
  <c r="CI154" i="33"/>
  <c r="J160" i="33"/>
  <c r="CI160" i="33"/>
  <c r="CH136" i="33"/>
  <c r="I142" i="33"/>
  <c r="CH142" i="33"/>
  <c r="I148" i="33"/>
  <c r="CH148" i="33"/>
  <c r="I154" i="33"/>
  <c r="CH154" i="33"/>
  <c r="I160" i="33"/>
  <c r="CH160" i="33"/>
  <c r="CG136" i="33"/>
  <c r="H142" i="33"/>
  <c r="CG142" i="33"/>
  <c r="H148" i="33"/>
  <c r="CG148" i="33"/>
  <c r="H154" i="33"/>
  <c r="CG154" i="33"/>
  <c r="H160" i="33"/>
  <c r="CG160" i="33"/>
  <c r="CF136" i="33"/>
  <c r="G142" i="33"/>
  <c r="CF142" i="33"/>
  <c r="G148" i="33"/>
  <c r="CF148" i="33"/>
  <c r="G154" i="33"/>
  <c r="CF154" i="33"/>
  <c r="G160" i="33"/>
  <c r="CF160" i="33"/>
  <c r="CE136" i="33"/>
  <c r="F142" i="33"/>
  <c r="CC136" i="33"/>
  <c r="BV136" i="33"/>
  <c r="BO136" i="33"/>
  <c r="BH136" i="33"/>
  <c r="BA136" i="33"/>
  <c r="AT136" i="33"/>
  <c r="AM136" i="33"/>
  <c r="AF136" i="33"/>
  <c r="Y136" i="33"/>
  <c r="R136" i="33"/>
  <c r="K136" i="33"/>
  <c r="CI135" i="33"/>
  <c r="CH135" i="33"/>
  <c r="CJ135" i="33"/>
  <c r="CG135" i="33"/>
  <c r="CF135" i="33"/>
  <c r="CE135" i="33"/>
  <c r="F141" i="33"/>
  <c r="CC135" i="33"/>
  <c r="BV135" i="33"/>
  <c r="BO135" i="33"/>
  <c r="BH135" i="33"/>
  <c r="BA135" i="33"/>
  <c r="AT135" i="33"/>
  <c r="AM135" i="33"/>
  <c r="AF135" i="33"/>
  <c r="Y135" i="33"/>
  <c r="R135" i="33"/>
  <c r="K135" i="33"/>
  <c r="CC130" i="33"/>
  <c r="BV130" i="33"/>
  <c r="BO130" i="33"/>
  <c r="BH130" i="33"/>
  <c r="BA130" i="33"/>
  <c r="AT130" i="33"/>
  <c r="AM130" i="33"/>
  <c r="AF130" i="33"/>
  <c r="Y130" i="33"/>
  <c r="R130" i="33"/>
  <c r="CC129" i="33"/>
  <c r="BV129" i="33"/>
  <c r="BO129" i="33"/>
  <c r="BH129" i="33"/>
  <c r="BA129" i="33"/>
  <c r="AT129" i="33"/>
  <c r="AM129" i="33"/>
  <c r="AF129" i="33"/>
  <c r="Y129" i="33"/>
  <c r="R129" i="33"/>
  <c r="CC128" i="33"/>
  <c r="BV128" i="33"/>
  <c r="BO128" i="33"/>
  <c r="BH128" i="33"/>
  <c r="BA128" i="33"/>
  <c r="AT128" i="33"/>
  <c r="AM128" i="33"/>
  <c r="AF128" i="33"/>
  <c r="Y128" i="33"/>
  <c r="R128" i="33"/>
  <c r="CC127" i="33"/>
  <c r="BV127" i="33"/>
  <c r="BO127" i="33"/>
  <c r="BH127" i="33"/>
  <c r="BA127" i="33"/>
  <c r="AT127" i="33"/>
  <c r="AM127" i="33"/>
  <c r="AF127" i="33"/>
  <c r="Y127" i="33"/>
  <c r="R127" i="33"/>
  <c r="CC124" i="33"/>
  <c r="BV124" i="33"/>
  <c r="BO124" i="33"/>
  <c r="BH124" i="33"/>
  <c r="BA124" i="33"/>
  <c r="AT124" i="33"/>
  <c r="AM124" i="33"/>
  <c r="AF124" i="33"/>
  <c r="Y124" i="33"/>
  <c r="R124" i="33"/>
  <c r="CC123" i="33"/>
  <c r="BV123" i="33"/>
  <c r="BO123" i="33"/>
  <c r="BH123" i="33"/>
  <c r="BA123" i="33"/>
  <c r="AT123" i="33"/>
  <c r="AM123" i="33"/>
  <c r="AF123" i="33"/>
  <c r="Y123" i="33"/>
  <c r="R123" i="33"/>
  <c r="CC122" i="33"/>
  <c r="BV122" i="33"/>
  <c r="BO122" i="33"/>
  <c r="BH122" i="33"/>
  <c r="BA122" i="33"/>
  <c r="AT122" i="33"/>
  <c r="AM122" i="33"/>
  <c r="AF122" i="33"/>
  <c r="Y122" i="33"/>
  <c r="R122" i="33"/>
  <c r="CC121" i="33"/>
  <c r="BV121" i="33"/>
  <c r="BO121" i="33"/>
  <c r="BH121" i="33"/>
  <c r="BA121" i="33"/>
  <c r="AT121" i="33"/>
  <c r="AM121" i="33"/>
  <c r="AF121" i="33"/>
  <c r="Y121" i="33"/>
  <c r="R121" i="33"/>
  <c r="CC118" i="33"/>
  <c r="BV118" i="33"/>
  <c r="BO118" i="33"/>
  <c r="BH118" i="33"/>
  <c r="BA118" i="33"/>
  <c r="AT118" i="33"/>
  <c r="AM118" i="33"/>
  <c r="AF118" i="33"/>
  <c r="Y118" i="33"/>
  <c r="R118" i="33"/>
  <c r="CC117" i="33"/>
  <c r="BV117" i="33"/>
  <c r="BO117" i="33"/>
  <c r="BH117" i="33"/>
  <c r="BA117" i="33"/>
  <c r="AT117" i="33"/>
  <c r="AM117" i="33"/>
  <c r="AF117" i="33"/>
  <c r="Y117" i="33"/>
  <c r="R117" i="33"/>
  <c r="CC116" i="33"/>
  <c r="BV116" i="33"/>
  <c r="BO116" i="33"/>
  <c r="BH116" i="33"/>
  <c r="BA116" i="33"/>
  <c r="AT116" i="33"/>
  <c r="AM116" i="33"/>
  <c r="AF116" i="33"/>
  <c r="Y116" i="33"/>
  <c r="R116" i="33"/>
  <c r="CC115" i="33"/>
  <c r="BV115" i="33"/>
  <c r="BO115" i="33"/>
  <c r="BH115" i="33"/>
  <c r="BA115" i="33"/>
  <c r="AT115" i="33"/>
  <c r="AM115" i="33"/>
  <c r="AF115" i="33"/>
  <c r="Y115" i="33"/>
  <c r="R115" i="33"/>
  <c r="CC112" i="33"/>
  <c r="BV112" i="33"/>
  <c r="BO112" i="33"/>
  <c r="BH112" i="33"/>
  <c r="BA112" i="33"/>
  <c r="AT112" i="33"/>
  <c r="AM112" i="33"/>
  <c r="AF112" i="33"/>
  <c r="Y112" i="33"/>
  <c r="I9" i="40"/>
  <c r="R112" i="33"/>
  <c r="CC111" i="33"/>
  <c r="BV111" i="33"/>
  <c r="BO111" i="33"/>
  <c r="BH111" i="33"/>
  <c r="BA111" i="33"/>
  <c r="AT111" i="33"/>
  <c r="AM111" i="33"/>
  <c r="AF111" i="33"/>
  <c r="Y111" i="33"/>
  <c r="R111" i="33"/>
  <c r="CC110" i="33"/>
  <c r="BV110" i="33"/>
  <c r="BO110" i="33"/>
  <c r="BH110" i="33"/>
  <c r="BA110" i="33"/>
  <c r="AT110" i="33"/>
  <c r="AM110" i="33"/>
  <c r="AF110" i="33"/>
  <c r="Y110" i="33"/>
  <c r="R110" i="33"/>
  <c r="I110" i="33"/>
  <c r="CH110" i="33"/>
  <c r="I116" i="33"/>
  <c r="CH116" i="33"/>
  <c r="I122" i="33"/>
  <c r="CH122" i="33"/>
  <c r="I128" i="33"/>
  <c r="CH128" i="33"/>
  <c r="G110" i="33"/>
  <c r="CF110" i="33"/>
  <c r="G116" i="33"/>
  <c r="CF116" i="33"/>
  <c r="G122" i="33"/>
  <c r="CF122" i="33"/>
  <c r="G128" i="33"/>
  <c r="CF128" i="33"/>
  <c r="F110" i="33"/>
  <c r="CE110" i="33"/>
  <c r="CC109" i="33"/>
  <c r="BV109" i="33"/>
  <c r="BO109" i="33"/>
  <c r="BH109" i="33"/>
  <c r="BA109" i="33"/>
  <c r="AT109" i="33"/>
  <c r="AM109" i="33"/>
  <c r="AF109" i="33"/>
  <c r="Y109" i="33"/>
  <c r="R109" i="33"/>
  <c r="G109" i="33"/>
  <c r="CF109" i="33"/>
  <c r="CI106" i="33"/>
  <c r="J112" i="33"/>
  <c r="CI112" i="33"/>
  <c r="J118" i="33"/>
  <c r="CI118" i="33"/>
  <c r="J124" i="33"/>
  <c r="CI124" i="33"/>
  <c r="J130" i="33"/>
  <c r="CI130" i="33"/>
  <c r="CH106" i="33"/>
  <c r="I112" i="33"/>
  <c r="CH112" i="33"/>
  <c r="I118" i="33"/>
  <c r="CH118" i="33"/>
  <c r="I124" i="33"/>
  <c r="CH124" i="33"/>
  <c r="I130" i="33"/>
  <c r="CH130" i="33"/>
  <c r="CG106" i="33"/>
  <c r="H112" i="33"/>
  <c r="CG112" i="33"/>
  <c r="H118" i="33"/>
  <c r="CG118" i="33"/>
  <c r="H124" i="33"/>
  <c r="CG124" i="33"/>
  <c r="H130" i="33"/>
  <c r="CG130" i="33"/>
  <c r="CF106" i="33"/>
  <c r="G112" i="33"/>
  <c r="CF112" i="33"/>
  <c r="G118" i="33"/>
  <c r="CF118" i="33"/>
  <c r="G124" i="33"/>
  <c r="CF124" i="33"/>
  <c r="G130" i="33"/>
  <c r="CF130" i="33"/>
  <c r="CE106" i="33"/>
  <c r="F112" i="33"/>
  <c r="CC106" i="33"/>
  <c r="BV106" i="33"/>
  <c r="BO106" i="33"/>
  <c r="BH106" i="33"/>
  <c r="BA106" i="33"/>
  <c r="AT106" i="33"/>
  <c r="AM106" i="33"/>
  <c r="AF106" i="33"/>
  <c r="Y106" i="33"/>
  <c r="R106" i="33"/>
  <c r="K106" i="33"/>
  <c r="CJ105" i="33"/>
  <c r="CI105" i="33"/>
  <c r="J111" i="33"/>
  <c r="CI111" i="33"/>
  <c r="J117" i="33"/>
  <c r="CI117" i="33"/>
  <c r="J123" i="33"/>
  <c r="CI123" i="33"/>
  <c r="J129" i="33"/>
  <c r="CI129" i="33"/>
  <c r="CH105" i="33"/>
  <c r="I111" i="33"/>
  <c r="CH111" i="33"/>
  <c r="I117" i="33"/>
  <c r="CH117" i="33"/>
  <c r="I123" i="33"/>
  <c r="CH123" i="33"/>
  <c r="I129" i="33"/>
  <c r="CH129" i="33"/>
  <c r="CG105" i="33"/>
  <c r="H111" i="33"/>
  <c r="CG111" i="33"/>
  <c r="H117" i="33"/>
  <c r="CG117" i="33"/>
  <c r="H123" i="33"/>
  <c r="CG123" i="33"/>
  <c r="H129" i="33"/>
  <c r="CG129" i="33"/>
  <c r="CF105" i="33"/>
  <c r="G111" i="33"/>
  <c r="CF111" i="33"/>
  <c r="G117" i="33"/>
  <c r="CF117" i="33"/>
  <c r="G123" i="33"/>
  <c r="CF123" i="33"/>
  <c r="G129" i="33"/>
  <c r="CF129" i="33"/>
  <c r="CE105" i="33"/>
  <c r="F111" i="33"/>
  <c r="CC105" i="33"/>
  <c r="BV105" i="33"/>
  <c r="BO105" i="33"/>
  <c r="BH105" i="33"/>
  <c r="BA105" i="33"/>
  <c r="AT105" i="33"/>
  <c r="AM105" i="33"/>
  <c r="AF105" i="33"/>
  <c r="Y105" i="33"/>
  <c r="R105" i="33"/>
  <c r="K105" i="33"/>
  <c r="CI104" i="33"/>
  <c r="J110" i="33"/>
  <c r="CI110" i="33"/>
  <c r="J116" i="33"/>
  <c r="CI116" i="33"/>
  <c r="J122" i="33"/>
  <c r="CI122" i="33"/>
  <c r="J128" i="33"/>
  <c r="CI128" i="33"/>
  <c r="CH104" i="33"/>
  <c r="CG104" i="33"/>
  <c r="H110" i="33"/>
  <c r="CG110" i="33"/>
  <c r="H116" i="33"/>
  <c r="CG116" i="33"/>
  <c r="H122" i="33"/>
  <c r="CG122" i="33"/>
  <c r="H128" i="33"/>
  <c r="CG128" i="33"/>
  <c r="CF104" i="33"/>
  <c r="CE104" i="33"/>
  <c r="CC104" i="33"/>
  <c r="BV104" i="33"/>
  <c r="BO104" i="33"/>
  <c r="BH104" i="33"/>
  <c r="BA104" i="33"/>
  <c r="AT104" i="33"/>
  <c r="AM104" i="33"/>
  <c r="AF104" i="33"/>
  <c r="Y104" i="33"/>
  <c r="R104" i="33"/>
  <c r="K104" i="33"/>
  <c r="CI103" i="33"/>
  <c r="CJ103" i="33"/>
  <c r="CH103" i="33"/>
  <c r="CG103" i="33"/>
  <c r="CF103" i="33"/>
  <c r="CE103" i="33"/>
  <c r="F109" i="33"/>
  <c r="CC103" i="33"/>
  <c r="BV103" i="33"/>
  <c r="BO103" i="33"/>
  <c r="BH103" i="33"/>
  <c r="BA103" i="33"/>
  <c r="AT103" i="33"/>
  <c r="AM103" i="33"/>
  <c r="AF103" i="33"/>
  <c r="Y103" i="33"/>
  <c r="R103" i="33"/>
  <c r="K103" i="33"/>
  <c r="CC98" i="33"/>
  <c r="BV98" i="33"/>
  <c r="BO98" i="33"/>
  <c r="BH98" i="33"/>
  <c r="BA98" i="33"/>
  <c r="AT98" i="33"/>
  <c r="AM98" i="33"/>
  <c r="AF98" i="33"/>
  <c r="Y98" i="33"/>
  <c r="R98" i="33"/>
  <c r="CC97" i="33"/>
  <c r="BV97" i="33"/>
  <c r="BO97" i="33"/>
  <c r="BH97" i="33"/>
  <c r="BA97" i="33"/>
  <c r="AT97" i="33"/>
  <c r="AM97" i="33"/>
  <c r="AF97" i="33"/>
  <c r="Y97" i="33"/>
  <c r="R97" i="33"/>
  <c r="CC96" i="33"/>
  <c r="BV96" i="33"/>
  <c r="BO96" i="33"/>
  <c r="BH96" i="33"/>
  <c r="BA96" i="33"/>
  <c r="AT96" i="33"/>
  <c r="AM96" i="33"/>
  <c r="AF96" i="33"/>
  <c r="Y96" i="33"/>
  <c r="R96" i="33"/>
  <c r="CC95" i="33"/>
  <c r="BV95" i="33"/>
  <c r="BO95" i="33"/>
  <c r="BH95" i="33"/>
  <c r="BA95" i="33"/>
  <c r="AT95" i="33"/>
  <c r="AM95" i="33"/>
  <c r="AF95" i="33"/>
  <c r="Y95" i="33"/>
  <c r="R95" i="33"/>
  <c r="CC92" i="33"/>
  <c r="BV92" i="33"/>
  <c r="BO92" i="33"/>
  <c r="BH92" i="33"/>
  <c r="BA92" i="33"/>
  <c r="AT92" i="33"/>
  <c r="AM92" i="33"/>
  <c r="AF92" i="33"/>
  <c r="Y92" i="33"/>
  <c r="R92" i="33"/>
  <c r="CC91" i="33"/>
  <c r="BV91" i="33"/>
  <c r="BO91" i="33"/>
  <c r="BH91" i="33"/>
  <c r="BA91" i="33"/>
  <c r="AT91" i="33"/>
  <c r="AM91" i="33"/>
  <c r="AF91" i="33"/>
  <c r="Y91" i="33"/>
  <c r="R91" i="33"/>
  <c r="CC90" i="33"/>
  <c r="BV90" i="33"/>
  <c r="BO90" i="33"/>
  <c r="BH90" i="33"/>
  <c r="BA90" i="33"/>
  <c r="AT90" i="33"/>
  <c r="AM90" i="33"/>
  <c r="AF90" i="33"/>
  <c r="Y90" i="33"/>
  <c r="R90" i="33"/>
  <c r="CC89" i="33"/>
  <c r="BV89" i="33"/>
  <c r="BO89" i="33"/>
  <c r="BH89" i="33"/>
  <c r="BA89" i="33"/>
  <c r="AT89" i="33"/>
  <c r="AM89" i="33"/>
  <c r="AF89" i="33"/>
  <c r="Y89" i="33"/>
  <c r="R89" i="33"/>
  <c r="CC86" i="33"/>
  <c r="BV86" i="33"/>
  <c r="BO86" i="33"/>
  <c r="BH86" i="33"/>
  <c r="BA86" i="33"/>
  <c r="AT86" i="33"/>
  <c r="AM86" i="33"/>
  <c r="AF86" i="33"/>
  <c r="Y86" i="33"/>
  <c r="J8" i="40"/>
  <c r="R86" i="33"/>
  <c r="CC85" i="33"/>
  <c r="BV85" i="33"/>
  <c r="BO85" i="33"/>
  <c r="BH85" i="33"/>
  <c r="BA85" i="33"/>
  <c r="AT85" i="33"/>
  <c r="AM85" i="33"/>
  <c r="AF85" i="33"/>
  <c r="Y85" i="33"/>
  <c r="R85" i="33"/>
  <c r="CC84" i="33"/>
  <c r="BV84" i="33"/>
  <c r="BO84" i="33"/>
  <c r="BH84" i="33"/>
  <c r="BA84" i="33"/>
  <c r="AT84" i="33"/>
  <c r="AM84" i="33"/>
  <c r="AF84" i="33"/>
  <c r="Y84" i="33"/>
  <c r="R84" i="33"/>
  <c r="CC83" i="33"/>
  <c r="BV83" i="33"/>
  <c r="BO83" i="33"/>
  <c r="BH83" i="33"/>
  <c r="BA83" i="33"/>
  <c r="AT83" i="33"/>
  <c r="AM83" i="33"/>
  <c r="AF83" i="33"/>
  <c r="Y83" i="33"/>
  <c r="R83" i="33"/>
  <c r="CC80" i="33"/>
  <c r="BV80" i="33"/>
  <c r="BO80" i="33"/>
  <c r="BH80" i="33"/>
  <c r="BA80" i="33"/>
  <c r="AT80" i="33"/>
  <c r="AM80" i="33"/>
  <c r="AF80" i="33"/>
  <c r="Y80" i="33"/>
  <c r="R80" i="33"/>
  <c r="G80" i="33"/>
  <c r="CF80" i="33"/>
  <c r="G86" i="33"/>
  <c r="CF86" i="33"/>
  <c r="G92" i="33"/>
  <c r="CF92" i="33"/>
  <c r="G98" i="33"/>
  <c r="CF98" i="33"/>
  <c r="CC79" i="33"/>
  <c r="BV79" i="33"/>
  <c r="BO79" i="33"/>
  <c r="BH79" i="33"/>
  <c r="BA79" i="33"/>
  <c r="AT79" i="33"/>
  <c r="AM79" i="33"/>
  <c r="AF79" i="33"/>
  <c r="Y79" i="33"/>
  <c r="I8" i="40"/>
  <c r="R79" i="33"/>
  <c r="CC78" i="33"/>
  <c r="BV78" i="33"/>
  <c r="BO78" i="33"/>
  <c r="BH78" i="33"/>
  <c r="BA78" i="33"/>
  <c r="AT78" i="33"/>
  <c r="AM78" i="33"/>
  <c r="AF78" i="33"/>
  <c r="Y78" i="33"/>
  <c r="R78" i="33"/>
  <c r="H78" i="33"/>
  <c r="CG78" i="33"/>
  <c r="H84" i="33"/>
  <c r="CG84" i="33"/>
  <c r="H90" i="33"/>
  <c r="CG90" i="33"/>
  <c r="H96" i="33"/>
  <c r="CG96" i="33"/>
  <c r="G78" i="33"/>
  <c r="CF78" i="33"/>
  <c r="G84" i="33"/>
  <c r="CF84" i="33"/>
  <c r="G90" i="33"/>
  <c r="CF90" i="33"/>
  <c r="G96" i="33"/>
  <c r="CF96" i="33"/>
  <c r="CH77" i="33"/>
  <c r="CC77" i="33"/>
  <c r="BV77" i="33"/>
  <c r="BO77" i="33"/>
  <c r="BH77" i="33"/>
  <c r="BA77" i="33"/>
  <c r="AT77" i="33"/>
  <c r="AM77" i="33"/>
  <c r="AF77" i="33"/>
  <c r="Y77" i="33"/>
  <c r="R77" i="33"/>
  <c r="I77" i="33"/>
  <c r="F77" i="33"/>
  <c r="CI74" i="33"/>
  <c r="J80" i="33"/>
  <c r="CI80" i="33"/>
  <c r="J86" i="33"/>
  <c r="CI86" i="33"/>
  <c r="J92" i="33"/>
  <c r="CI92" i="33"/>
  <c r="J98" i="33"/>
  <c r="CI98" i="33"/>
  <c r="CH74" i="33"/>
  <c r="I80" i="33"/>
  <c r="CH80" i="33"/>
  <c r="I86" i="33"/>
  <c r="CH86" i="33"/>
  <c r="I92" i="33"/>
  <c r="CH92" i="33"/>
  <c r="I98" i="33"/>
  <c r="CH98" i="33"/>
  <c r="CG74" i="33"/>
  <c r="H80" i="33"/>
  <c r="CG80" i="33"/>
  <c r="H86" i="33"/>
  <c r="CG86" i="33"/>
  <c r="H92" i="33"/>
  <c r="CG92" i="33"/>
  <c r="H98" i="33"/>
  <c r="CG98" i="33"/>
  <c r="CF74" i="33"/>
  <c r="CJ74" i="33"/>
  <c r="CE74" i="33"/>
  <c r="F80" i="33"/>
  <c r="CC74" i="33"/>
  <c r="BV74" i="33"/>
  <c r="BO74" i="33"/>
  <c r="BH74" i="33"/>
  <c r="BA74" i="33"/>
  <c r="AT74" i="33"/>
  <c r="AM74" i="33"/>
  <c r="AF74" i="33"/>
  <c r="Y74" i="33"/>
  <c r="R74" i="33"/>
  <c r="K74" i="33"/>
  <c r="CI73" i="33"/>
  <c r="J79" i="33"/>
  <c r="CI79" i="33"/>
  <c r="J85" i="33"/>
  <c r="CI85" i="33"/>
  <c r="J91" i="33"/>
  <c r="CI91" i="33"/>
  <c r="J97" i="33"/>
  <c r="CI97" i="33"/>
  <c r="CH73" i="33"/>
  <c r="I79" i="33"/>
  <c r="CH79" i="33"/>
  <c r="I85" i="33"/>
  <c r="CH85" i="33"/>
  <c r="I91" i="33"/>
  <c r="CH91" i="33"/>
  <c r="I97" i="33"/>
  <c r="CH97" i="33"/>
  <c r="CG73" i="33"/>
  <c r="H79" i="33"/>
  <c r="CG79" i="33"/>
  <c r="H85" i="33"/>
  <c r="CG85" i="33"/>
  <c r="H91" i="33"/>
  <c r="CG91" i="33"/>
  <c r="H97" i="33"/>
  <c r="CG97" i="33"/>
  <c r="CF73" i="33"/>
  <c r="G79" i="33"/>
  <c r="CF79" i="33"/>
  <c r="G85" i="33"/>
  <c r="CF85" i="33"/>
  <c r="G91" i="33"/>
  <c r="CF91" i="33"/>
  <c r="G97" i="33"/>
  <c r="CF97" i="33"/>
  <c r="CE73" i="33"/>
  <c r="F79" i="33"/>
  <c r="CC73" i="33"/>
  <c r="BV73" i="33"/>
  <c r="BO73" i="33"/>
  <c r="BH73" i="33"/>
  <c r="BA73" i="33"/>
  <c r="AT73" i="33"/>
  <c r="AM73" i="33"/>
  <c r="AF73" i="33"/>
  <c r="Y73" i="33"/>
  <c r="H8" i="40"/>
  <c r="R73" i="33"/>
  <c r="K73" i="33"/>
  <c r="CI72" i="33"/>
  <c r="J78" i="33"/>
  <c r="CI78" i="33"/>
  <c r="J84" i="33"/>
  <c r="CI84" i="33"/>
  <c r="J90" i="33"/>
  <c r="CI90" i="33"/>
  <c r="J96" i="33"/>
  <c r="CI96" i="33"/>
  <c r="CH72" i="33"/>
  <c r="I78" i="33"/>
  <c r="CH78" i="33"/>
  <c r="I84" i="33"/>
  <c r="CH84" i="33"/>
  <c r="I90" i="33"/>
  <c r="CH90" i="33"/>
  <c r="I96" i="33"/>
  <c r="CH96" i="33"/>
  <c r="CG72" i="33"/>
  <c r="CF72" i="33"/>
  <c r="CE72" i="33"/>
  <c r="CJ72" i="33"/>
  <c r="CC72" i="33"/>
  <c r="BV72" i="33"/>
  <c r="BO72" i="33"/>
  <c r="BH72" i="33"/>
  <c r="BA72" i="33"/>
  <c r="AT72" i="33"/>
  <c r="AM72" i="33"/>
  <c r="AF72" i="33"/>
  <c r="Y72" i="33"/>
  <c r="R72" i="33"/>
  <c r="K72" i="33"/>
  <c r="CI71" i="33"/>
  <c r="CH71" i="33"/>
  <c r="CG71" i="33"/>
  <c r="CF71" i="33"/>
  <c r="CJ71" i="33"/>
  <c r="CE71" i="33"/>
  <c r="CC71" i="33"/>
  <c r="BV71" i="33"/>
  <c r="BO71" i="33"/>
  <c r="BH71" i="33"/>
  <c r="BA71" i="33"/>
  <c r="AT71" i="33"/>
  <c r="AM71" i="33"/>
  <c r="AF71" i="33"/>
  <c r="Y71" i="33"/>
  <c r="R71" i="33"/>
  <c r="K71" i="33"/>
  <c r="L64" i="40"/>
  <c r="K64" i="40"/>
  <c r="I64" i="40"/>
  <c r="H64" i="40"/>
  <c r="L63" i="40"/>
  <c r="I63" i="40"/>
  <c r="H63" i="40"/>
  <c r="L62" i="40"/>
  <c r="L61" i="40"/>
  <c r="K61" i="40"/>
  <c r="I61" i="40"/>
  <c r="H61" i="40"/>
  <c r="L60" i="40"/>
  <c r="K60" i="40"/>
  <c r="I60" i="40"/>
  <c r="I59" i="40"/>
  <c r="H59" i="40"/>
  <c r="I58" i="40"/>
  <c r="L56" i="40"/>
  <c r="L55" i="40"/>
  <c r="I55" i="40"/>
  <c r="H55" i="40"/>
  <c r="L54" i="40"/>
  <c r="I54" i="40"/>
  <c r="H54" i="40"/>
  <c r="C54" i="40"/>
  <c r="K53" i="40"/>
  <c r="I53" i="40"/>
  <c r="H53" i="40"/>
  <c r="I52" i="40"/>
  <c r="L51" i="40"/>
  <c r="I51" i="40"/>
  <c r="H51" i="40"/>
  <c r="I50" i="40"/>
  <c r="H50" i="40"/>
  <c r="L49" i="40"/>
  <c r="K49" i="40"/>
  <c r="I49" i="40"/>
  <c r="H49" i="40"/>
  <c r="L48" i="40"/>
  <c r="K48" i="40"/>
  <c r="J48" i="40"/>
  <c r="I48" i="40"/>
  <c r="H48" i="40"/>
  <c r="L47" i="40"/>
  <c r="K47" i="40"/>
  <c r="J47" i="40"/>
  <c r="I47" i="40"/>
  <c r="H47" i="40"/>
  <c r="C47" i="40"/>
  <c r="K46" i="40"/>
  <c r="J46" i="40"/>
  <c r="I46" i="40"/>
  <c r="H46" i="40"/>
  <c r="L45" i="40"/>
  <c r="K45" i="40"/>
  <c r="J45" i="40"/>
  <c r="I45" i="40"/>
  <c r="H45" i="40"/>
  <c r="C45" i="40"/>
  <c r="L44" i="40"/>
  <c r="K44" i="40"/>
  <c r="J44" i="40"/>
  <c r="I44" i="40"/>
  <c r="H44" i="40"/>
  <c r="C44" i="40"/>
  <c r="L43" i="40"/>
  <c r="K43" i="40"/>
  <c r="J43" i="40"/>
  <c r="I43" i="40"/>
  <c r="H43" i="40"/>
  <c r="C43" i="40"/>
  <c r="L42" i="40"/>
  <c r="K42" i="40"/>
  <c r="J42" i="40"/>
  <c r="I42" i="40"/>
  <c r="H42" i="40"/>
  <c r="C42" i="40"/>
  <c r="L41" i="40"/>
  <c r="K41" i="40"/>
  <c r="J41" i="40"/>
  <c r="I41" i="40"/>
  <c r="H41" i="40"/>
  <c r="C41" i="40"/>
  <c r="L40" i="40"/>
  <c r="K40" i="40"/>
  <c r="J40" i="40"/>
  <c r="I40" i="40"/>
  <c r="H40" i="40"/>
  <c r="C40" i="40"/>
  <c r="L39" i="40"/>
  <c r="K39" i="40"/>
  <c r="J39" i="40"/>
  <c r="I39" i="40"/>
  <c r="H39" i="40"/>
  <c r="C39" i="40"/>
  <c r="L38" i="40"/>
  <c r="K38" i="40"/>
  <c r="J38" i="40"/>
  <c r="I38" i="40"/>
  <c r="H38" i="40"/>
  <c r="C38" i="40"/>
  <c r="L37" i="40"/>
  <c r="L36" i="40"/>
  <c r="K36" i="40"/>
  <c r="J36" i="40"/>
  <c r="I36" i="40"/>
  <c r="H36" i="40"/>
  <c r="C36" i="40"/>
  <c r="L35" i="40"/>
  <c r="K35" i="40"/>
  <c r="J35" i="40"/>
  <c r="I35" i="40"/>
  <c r="H35" i="40"/>
  <c r="C35" i="40"/>
  <c r="L34" i="40"/>
  <c r="K34" i="40"/>
  <c r="J34" i="40"/>
  <c r="I34" i="40"/>
  <c r="H34" i="40"/>
  <c r="C34" i="40"/>
  <c r="L33" i="40"/>
  <c r="K33" i="40"/>
  <c r="J33" i="40"/>
  <c r="I33" i="40"/>
  <c r="H33" i="40"/>
  <c r="C33" i="40"/>
  <c r="L32" i="40"/>
  <c r="K32" i="40"/>
  <c r="J32" i="40"/>
  <c r="I32" i="40"/>
  <c r="H32" i="40"/>
  <c r="C32" i="40"/>
  <c r="L31" i="40"/>
  <c r="K31" i="40"/>
  <c r="J31" i="40"/>
  <c r="I31" i="40"/>
  <c r="H31" i="40"/>
  <c r="C31" i="40"/>
  <c r="L30" i="40"/>
  <c r="K30" i="40"/>
  <c r="J30" i="40"/>
  <c r="I30" i="40"/>
  <c r="H30" i="40"/>
  <c r="C30" i="40"/>
  <c r="L29" i="40"/>
  <c r="K29" i="40"/>
  <c r="J29" i="40"/>
  <c r="I29" i="40"/>
  <c r="H29" i="40"/>
  <c r="C29" i="40"/>
  <c r="L28" i="40"/>
  <c r="K28" i="40"/>
  <c r="J28" i="40"/>
  <c r="I28" i="40"/>
  <c r="H28" i="40"/>
  <c r="C28" i="40"/>
  <c r="L27" i="40"/>
  <c r="K27" i="40"/>
  <c r="J27" i="40"/>
  <c r="I27" i="40"/>
  <c r="H27" i="40"/>
  <c r="C27" i="40"/>
  <c r="L26" i="40"/>
  <c r="K26" i="40"/>
  <c r="J26" i="40"/>
  <c r="I26" i="40"/>
  <c r="H26" i="40"/>
  <c r="C26" i="40"/>
  <c r="L25" i="40"/>
  <c r="K25" i="40"/>
  <c r="J25" i="40"/>
  <c r="I25" i="40"/>
  <c r="H25" i="40"/>
  <c r="C25" i="40"/>
  <c r="L24" i="40"/>
  <c r="K24" i="40"/>
  <c r="J24" i="40"/>
  <c r="I24" i="40"/>
  <c r="H24" i="40"/>
  <c r="C24" i="40"/>
  <c r="L23" i="40"/>
  <c r="K23" i="40"/>
  <c r="J23" i="40"/>
  <c r="I23" i="40"/>
  <c r="H23" i="40"/>
  <c r="C23" i="40"/>
  <c r="L22" i="40"/>
  <c r="K22" i="40"/>
  <c r="J22" i="40"/>
  <c r="I22" i="40"/>
  <c r="H22" i="40"/>
  <c r="C22" i="40"/>
  <c r="K21" i="40"/>
  <c r="H21" i="40"/>
  <c r="J20" i="40"/>
  <c r="I20" i="40"/>
  <c r="J19" i="40"/>
  <c r="H18" i="40"/>
  <c r="I14" i="40"/>
  <c r="L11" i="40"/>
  <c r="K11" i="40"/>
  <c r="I11" i="40"/>
  <c r="L10" i="40"/>
  <c r="K10" i="40"/>
  <c r="J10" i="40"/>
  <c r="I10" i="40"/>
  <c r="H10" i="40"/>
  <c r="C10" i="40"/>
  <c r="K9" i="40"/>
  <c r="H9" i="40"/>
  <c r="L8" i="40"/>
  <c r="K8" i="40"/>
  <c r="L7" i="40"/>
  <c r="K7" i="40"/>
  <c r="J7" i="40"/>
  <c r="I7" i="40"/>
  <c r="H7" i="40"/>
  <c r="G7" i="40"/>
  <c r="F7" i="40"/>
  <c r="E7" i="40"/>
  <c r="D7" i="40"/>
  <c r="C7" i="40"/>
  <c r="J11" i="40"/>
  <c r="H66" i="40"/>
  <c r="C64" i="40"/>
  <c r="C62" i="40"/>
  <c r="J64" i="40"/>
  <c r="L58" i="40"/>
  <c r="C20" i="40"/>
  <c r="L18" i="40"/>
  <c r="H16" i="40"/>
  <c r="C15" i="40"/>
  <c r="H13" i="40"/>
  <c r="J14" i="40"/>
  <c r="H12" i="40"/>
  <c r="CE141" i="33"/>
  <c r="CE142" i="33"/>
  <c r="K142" i="33"/>
  <c r="CE143" i="33"/>
  <c r="K143" i="33"/>
  <c r="K144" i="33"/>
  <c r="CE144" i="33"/>
  <c r="CJ137" i="33"/>
  <c r="G141" i="33"/>
  <c r="CJ138" i="33"/>
  <c r="H141" i="33"/>
  <c r="I141" i="33"/>
  <c r="J141" i="33"/>
  <c r="CJ136" i="33"/>
  <c r="F116" i="33"/>
  <c r="CJ110" i="33"/>
  <c r="CE109" i="33"/>
  <c r="CE111" i="33"/>
  <c r="K111" i="33"/>
  <c r="K112" i="33"/>
  <c r="CE112" i="33"/>
  <c r="G115" i="33"/>
  <c r="CF115" i="33"/>
  <c r="CJ106" i="33"/>
  <c r="H109" i="33"/>
  <c r="J9" i="40"/>
  <c r="I109" i="33"/>
  <c r="K110" i="33"/>
  <c r="C9" i="40"/>
  <c r="J109" i="33"/>
  <c r="L9" i="40"/>
  <c r="CJ104" i="33"/>
  <c r="K80" i="33"/>
  <c r="CE80" i="33"/>
  <c r="CE79" i="33"/>
  <c r="K79" i="33"/>
  <c r="CJ73" i="33"/>
  <c r="G77" i="33"/>
  <c r="C8" i="40"/>
  <c r="H77" i="33"/>
  <c r="J77" i="33"/>
  <c r="I83" i="33"/>
  <c r="CH83" i="33"/>
  <c r="F78" i="33"/>
  <c r="CE77" i="33"/>
  <c r="CG141" i="33"/>
  <c r="CF141" i="33"/>
  <c r="CJ144" i="33"/>
  <c r="F150" i="33"/>
  <c r="CH141" i="33"/>
  <c r="F149" i="33"/>
  <c r="CJ143" i="33"/>
  <c r="F148" i="33"/>
  <c r="CJ142" i="33"/>
  <c r="K141" i="33"/>
  <c r="D10" i="40"/>
  <c r="F147" i="33"/>
  <c r="CI141" i="33"/>
  <c r="CH109" i="33"/>
  <c r="CJ112" i="33"/>
  <c r="F118" i="33"/>
  <c r="CE116" i="33"/>
  <c r="K116" i="33"/>
  <c r="F117" i="33"/>
  <c r="CJ111" i="33"/>
  <c r="D9" i="40"/>
  <c r="F115" i="33"/>
  <c r="CG109" i="33"/>
  <c r="K109" i="33"/>
  <c r="CI109" i="33"/>
  <c r="G121" i="33"/>
  <c r="CF121" i="33"/>
  <c r="K78" i="33"/>
  <c r="CE78" i="33"/>
  <c r="CJ80" i="33"/>
  <c r="F86" i="33"/>
  <c r="CF77" i="33"/>
  <c r="CI77" i="33"/>
  <c r="F85" i="33"/>
  <c r="CJ79" i="33"/>
  <c r="CG77" i="33"/>
  <c r="I89" i="33"/>
  <c r="CH89" i="33"/>
  <c r="K77" i="33"/>
  <c r="D8" i="40"/>
  <c r="CJ77" i="33"/>
  <c r="F83" i="33"/>
  <c r="I147" i="33"/>
  <c r="CH147" i="33"/>
  <c r="CJ141" i="33"/>
  <c r="CE150" i="33"/>
  <c r="K150" i="33"/>
  <c r="G147" i="33"/>
  <c r="CF147" i="33"/>
  <c r="J147" i="33"/>
  <c r="CI147" i="33"/>
  <c r="CE148" i="33"/>
  <c r="K148" i="33"/>
  <c r="H147" i="33"/>
  <c r="CG147" i="33"/>
  <c r="CE147" i="33"/>
  <c r="CE149" i="33"/>
  <c r="K149" i="33"/>
  <c r="I115" i="33"/>
  <c r="CH115" i="33"/>
  <c r="CE117" i="33"/>
  <c r="K117" i="33"/>
  <c r="G127" i="33"/>
  <c r="CF127" i="33"/>
  <c r="CJ109" i="33"/>
  <c r="J115" i="33"/>
  <c r="CI115" i="33"/>
  <c r="H115" i="33"/>
  <c r="CG115" i="33"/>
  <c r="F122" i="33"/>
  <c r="CJ116" i="33"/>
  <c r="CE115" i="33"/>
  <c r="K118" i="33"/>
  <c r="CE118" i="33"/>
  <c r="J83" i="33"/>
  <c r="CI83" i="33"/>
  <c r="I95" i="33"/>
  <c r="CH95" i="33"/>
  <c r="G83" i="33"/>
  <c r="CF83" i="33"/>
  <c r="H83" i="33"/>
  <c r="CG83" i="33"/>
  <c r="CE86" i="33"/>
  <c r="K86" i="33"/>
  <c r="CE83" i="33"/>
  <c r="F84" i="33"/>
  <c r="CJ78" i="33"/>
  <c r="CE85" i="33"/>
  <c r="K85" i="33"/>
  <c r="G153" i="33"/>
  <c r="CF153" i="33"/>
  <c r="F155" i="33"/>
  <c r="CJ149" i="33"/>
  <c r="K147" i="33"/>
  <c r="F156" i="33"/>
  <c r="CJ150" i="33"/>
  <c r="F153" i="33"/>
  <c r="CJ147" i="33"/>
  <c r="E10" i="40"/>
  <c r="H153" i="33"/>
  <c r="CG153" i="33"/>
  <c r="F154" i="33"/>
  <c r="CJ148" i="33"/>
  <c r="I153" i="33"/>
  <c r="CH153" i="33"/>
  <c r="J153" i="33"/>
  <c r="CI153" i="33"/>
  <c r="I121" i="33"/>
  <c r="CH121" i="33"/>
  <c r="H121" i="33"/>
  <c r="CG121" i="33"/>
  <c r="F124" i="33"/>
  <c r="CJ118" i="33"/>
  <c r="K115" i="33"/>
  <c r="F123" i="33"/>
  <c r="CJ117" i="33"/>
  <c r="J121" i="33"/>
  <c r="CI121" i="33"/>
  <c r="F121" i="33"/>
  <c r="CJ115" i="33"/>
  <c r="E9" i="40"/>
  <c r="CE122" i="33"/>
  <c r="K122" i="33"/>
  <c r="H89" i="33"/>
  <c r="CG89" i="33"/>
  <c r="F92" i="33"/>
  <c r="CJ86" i="33"/>
  <c r="G89" i="33"/>
  <c r="CF89" i="33"/>
  <c r="F89" i="33"/>
  <c r="CJ83" i="33"/>
  <c r="E8" i="40"/>
  <c r="CJ85" i="33"/>
  <c r="F91" i="33"/>
  <c r="CE84" i="33"/>
  <c r="K84" i="33"/>
  <c r="K83" i="33"/>
  <c r="J89" i="33"/>
  <c r="CI89" i="33"/>
  <c r="H159" i="33"/>
  <c r="CG159" i="33"/>
  <c r="CE154" i="33"/>
  <c r="K154" i="33"/>
  <c r="K156" i="33"/>
  <c r="CE156" i="33"/>
  <c r="CE153" i="33"/>
  <c r="K153" i="33"/>
  <c r="J159" i="33"/>
  <c r="CI159" i="33"/>
  <c r="K155" i="33"/>
  <c r="CE155" i="33"/>
  <c r="I159" i="33"/>
  <c r="CH159" i="33"/>
  <c r="G159" i="33"/>
  <c r="CF159" i="33"/>
  <c r="H127" i="33"/>
  <c r="CG127" i="33"/>
  <c r="F128" i="33"/>
  <c r="CJ122" i="33"/>
  <c r="I127" i="33"/>
  <c r="CH127" i="33"/>
  <c r="K123" i="33"/>
  <c r="CE123" i="33"/>
  <c r="J127" i="33"/>
  <c r="CI127" i="33"/>
  <c r="K124" i="33"/>
  <c r="CE124" i="33"/>
  <c r="CE121" i="33"/>
  <c r="K121" i="33"/>
  <c r="CE89" i="33"/>
  <c r="K89" i="33"/>
  <c r="G95" i="33"/>
  <c r="CF95" i="33"/>
  <c r="J95" i="33"/>
  <c r="CI95" i="33"/>
  <c r="F90" i="33"/>
  <c r="CJ84" i="33"/>
  <c r="K91" i="33"/>
  <c r="CE91" i="33"/>
  <c r="K92" i="33"/>
  <c r="CE92" i="33"/>
  <c r="H95" i="33"/>
  <c r="CG95" i="33"/>
  <c r="F10" i="40"/>
  <c r="F159" i="33"/>
  <c r="CJ153" i="33"/>
  <c r="F161" i="33"/>
  <c r="CJ155" i="33"/>
  <c r="F162" i="33"/>
  <c r="CJ156" i="33"/>
  <c r="F160" i="33"/>
  <c r="CJ154" i="33"/>
  <c r="K128" i="33"/>
  <c r="CE128" i="33"/>
  <c r="CJ128" i="33"/>
  <c r="F130" i="33"/>
  <c r="CJ124" i="33"/>
  <c r="F129" i="33"/>
  <c r="CJ123" i="33"/>
  <c r="F9" i="40"/>
  <c r="F127" i="33"/>
  <c r="CJ121" i="33"/>
  <c r="F8" i="40"/>
  <c r="F95" i="33"/>
  <c r="CJ89" i="33"/>
  <c r="CE90" i="33"/>
  <c r="K90" i="33"/>
  <c r="F97" i="33"/>
  <c r="CJ91" i="33"/>
  <c r="F98" i="33"/>
  <c r="CJ92" i="33"/>
  <c r="CE162" i="33"/>
  <c r="CJ162" i="33"/>
  <c r="K162" i="33"/>
  <c r="CE161" i="33"/>
  <c r="CJ161" i="33"/>
  <c r="K161" i="33"/>
  <c r="CE159" i="33"/>
  <c r="K159" i="33"/>
  <c r="K160" i="33"/>
  <c r="CE160" i="33"/>
  <c r="CJ160" i="33"/>
  <c r="K127" i="33"/>
  <c r="CE127" i="33"/>
  <c r="CE130" i="33"/>
  <c r="CJ130" i="33"/>
  <c r="K130" i="33"/>
  <c r="CE129" i="33"/>
  <c r="CJ129" i="33"/>
  <c r="K129" i="33"/>
  <c r="CE97" i="33"/>
  <c r="CJ97" i="33"/>
  <c r="K97" i="33"/>
  <c r="CE98" i="33"/>
  <c r="CJ98" i="33"/>
  <c r="K98" i="33"/>
  <c r="F96" i="33"/>
  <c r="CJ90" i="33"/>
  <c r="CE95" i="33"/>
  <c r="K95" i="33"/>
  <c r="G10" i="40"/>
  <c r="CJ159" i="33"/>
  <c r="G9" i="40"/>
  <c r="CJ127" i="33"/>
  <c r="K96" i="33"/>
  <c r="CE96" i="33"/>
  <c r="CJ96" i="33"/>
  <c r="G8" i="40"/>
  <c r="CJ95" i="33"/>
  <c r="A2" i="39"/>
  <c r="E8" i="39" s="1"/>
  <c r="Q27" i="34" s="1"/>
  <c r="F31" i="36" s="1"/>
  <c r="V380" i="34" a="1"/>
  <c r="V380" i="34" s="1"/>
  <c r="U380" i="34" a="1"/>
  <c r="U380" i="34" s="1"/>
  <c r="T380" i="34" a="1"/>
  <c r="T380" i="34" s="1"/>
  <c r="K29" i="36" s="1"/>
  <c r="N380" i="34" a="1"/>
  <c r="N380" i="34" s="1"/>
  <c r="M380" i="34" a="1"/>
  <c r="M380" i="34" s="1"/>
  <c r="L380" i="34" a="1"/>
  <c r="L380" i="34"/>
  <c r="K380" i="34" a="1"/>
  <c r="K380" i="34" s="1"/>
  <c r="J380" i="34" a="1"/>
  <c r="J380" i="34" s="1"/>
  <c r="I380" i="34" a="1"/>
  <c r="I380" i="34" s="1"/>
  <c r="H380" i="34" a="1"/>
  <c r="H380" i="34" s="1"/>
  <c r="G380" i="34" a="1"/>
  <c r="G380" i="34"/>
  <c r="E380" i="34" a="1"/>
  <c r="E380" i="34" s="1"/>
  <c r="V379" i="34" a="1"/>
  <c r="V379" i="34"/>
  <c r="U379" i="34" a="1"/>
  <c r="U379" i="34" s="1"/>
  <c r="T379" i="34" a="1"/>
  <c r="T379" i="34" s="1"/>
  <c r="N379" i="34" a="1"/>
  <c r="N379" i="34" s="1"/>
  <c r="M379" i="34" a="1"/>
  <c r="M379" i="34" s="1"/>
  <c r="L379" i="34" a="1"/>
  <c r="L379" i="34" s="1"/>
  <c r="K379" i="34" a="1"/>
  <c r="K379" i="34" s="1"/>
  <c r="J379" i="34" a="1"/>
  <c r="J379" i="34" s="1"/>
  <c r="I379" i="34" a="1"/>
  <c r="I379" i="34" s="1"/>
  <c r="H379" i="34" a="1"/>
  <c r="H379" i="34" s="1"/>
  <c r="G379" i="34" a="1"/>
  <c r="G379" i="34" s="1"/>
  <c r="E379" i="34" a="1"/>
  <c r="E379" i="34" s="1"/>
  <c r="V378" i="34" a="1"/>
  <c r="V378" i="34" s="1"/>
  <c r="U378" i="34" a="1"/>
  <c r="U378" i="34" s="1"/>
  <c r="T378" i="34" a="1"/>
  <c r="T378" i="34" s="1"/>
  <c r="I29" i="36" s="1"/>
  <c r="N378" i="34" a="1"/>
  <c r="N378" i="34" s="1"/>
  <c r="M378" i="34" a="1"/>
  <c r="M378" i="34" s="1"/>
  <c r="L378" i="34" a="1"/>
  <c r="L378" i="34" s="1"/>
  <c r="K378" i="34" a="1"/>
  <c r="K378" i="34"/>
  <c r="J378" i="34" a="1"/>
  <c r="J378" i="34" s="1"/>
  <c r="I378" i="34" a="1"/>
  <c r="I378" i="34" s="1"/>
  <c r="H378" i="34" a="1"/>
  <c r="H378" i="34"/>
  <c r="G378" i="34" a="1"/>
  <c r="G378" i="34" s="1"/>
  <c r="E378" i="34" a="1"/>
  <c r="E378" i="34" s="1"/>
  <c r="V377" i="34" a="1"/>
  <c r="V377" i="34" s="1"/>
  <c r="U377" i="34" a="1"/>
  <c r="U377" i="34"/>
  <c r="P29" i="36" s="1"/>
  <c r="T377" i="34" a="1"/>
  <c r="T377" i="34" s="1"/>
  <c r="N377" i="34" a="1"/>
  <c r="N377" i="34"/>
  <c r="M377" i="34" a="1"/>
  <c r="M377" i="34" s="1"/>
  <c r="L377" i="34" a="1"/>
  <c r="L377" i="34" s="1"/>
  <c r="K377" i="34" a="1"/>
  <c r="K377" i="34" s="1"/>
  <c r="J377" i="34" a="1"/>
  <c r="J377" i="34" s="1"/>
  <c r="I377" i="34" a="1"/>
  <c r="I377" i="34"/>
  <c r="H377" i="34" a="1"/>
  <c r="H377" i="34" s="1"/>
  <c r="G377" i="34" a="1"/>
  <c r="G377" i="34" s="1"/>
  <c r="E377" i="34" a="1"/>
  <c r="E377" i="34" s="1"/>
  <c r="V376" i="34" a="1"/>
  <c r="V376" i="34" s="1"/>
  <c r="U376" i="34" a="1"/>
  <c r="U376" i="34" s="1"/>
  <c r="T376" i="34" a="1"/>
  <c r="T376" i="34" s="1"/>
  <c r="O376" i="34" a="1"/>
  <c r="O376" i="34" s="1"/>
  <c r="N376" i="34" a="1"/>
  <c r="N376" i="34" s="1"/>
  <c r="M376" i="34" a="1"/>
  <c r="M376" i="34" s="1"/>
  <c r="L376" i="34" a="1"/>
  <c r="L376" i="34" s="1"/>
  <c r="K376" i="34" a="1"/>
  <c r="K376" i="34" s="1"/>
  <c r="J376" i="34" a="1"/>
  <c r="J376" i="34" s="1"/>
  <c r="I376" i="34" a="1"/>
  <c r="I376" i="34" s="1"/>
  <c r="H376" i="34" a="1"/>
  <c r="H376" i="34" s="1"/>
  <c r="G376" i="34" a="1"/>
  <c r="G376" i="34" s="1"/>
  <c r="E376" i="34" a="1"/>
  <c r="E376" i="34" s="1"/>
  <c r="D376" i="34" a="1"/>
  <c r="D376" i="34" s="1"/>
  <c r="V374" i="34" a="1"/>
  <c r="V374" i="34" s="1"/>
  <c r="AA64" i="36" s="1"/>
  <c r="U374" i="34" a="1"/>
  <c r="U374" i="34" s="1"/>
  <c r="S64" i="36" s="1"/>
  <c r="T374" i="34" a="1"/>
  <c r="T374" i="34" s="1"/>
  <c r="N374" i="34" a="1"/>
  <c r="N374" i="34" s="1"/>
  <c r="M374" i="34" a="1"/>
  <c r="M374" i="34" s="1"/>
  <c r="L374" i="34" a="1"/>
  <c r="L374" i="34" s="1"/>
  <c r="K374" i="34" a="1"/>
  <c r="K374" i="34" s="1"/>
  <c r="J374" i="34" a="1"/>
  <c r="J374" i="34" s="1"/>
  <c r="I374" i="34" a="1"/>
  <c r="I374" i="34" s="1"/>
  <c r="H374" i="34" a="1"/>
  <c r="H374" i="34" s="1"/>
  <c r="G374" i="34" a="1"/>
  <c r="G374" i="34" s="1"/>
  <c r="E374" i="34" a="1"/>
  <c r="E374" i="34" s="1"/>
  <c r="V373" i="34" a="1"/>
  <c r="V373" i="34" s="1"/>
  <c r="Z64" i="36" s="1"/>
  <c r="U373" i="34" a="1"/>
  <c r="U373" i="34" s="1"/>
  <c r="R64" i="36" s="1"/>
  <c r="T373" i="34" a="1"/>
  <c r="T373" i="34" s="1"/>
  <c r="N373" i="34" a="1"/>
  <c r="N373" i="34" s="1"/>
  <c r="M373" i="34" a="1"/>
  <c r="M373" i="34"/>
  <c r="L373" i="34" a="1"/>
  <c r="L373" i="34" s="1"/>
  <c r="K373" i="34" a="1"/>
  <c r="K373" i="34" s="1"/>
  <c r="J373" i="34" a="1"/>
  <c r="J373" i="34" s="1"/>
  <c r="I373" i="34" a="1"/>
  <c r="I373" i="34" s="1"/>
  <c r="H373" i="34" a="1"/>
  <c r="H373" i="34" s="1"/>
  <c r="G373" i="34" a="1"/>
  <c r="G373" i="34" s="1"/>
  <c r="E373" i="34" a="1"/>
  <c r="E373" i="34" s="1"/>
  <c r="V372" i="34" a="1"/>
  <c r="V372" i="34"/>
  <c r="U372" i="34" a="1"/>
  <c r="U372" i="34" s="1"/>
  <c r="Q64" i="36" s="1"/>
  <c r="T372" i="34" a="1"/>
  <c r="T372" i="34" s="1"/>
  <c r="N372" i="34" a="1"/>
  <c r="N372" i="34" s="1"/>
  <c r="N375" i="34" s="1"/>
  <c r="Z124" i="37" s="1"/>
  <c r="M372" i="34" a="1"/>
  <c r="M372" i="34" s="1"/>
  <c r="L372" i="34" a="1"/>
  <c r="L372" i="34"/>
  <c r="K372" i="34" a="1"/>
  <c r="K372" i="34" s="1"/>
  <c r="J372" i="34" a="1"/>
  <c r="J372" i="34" s="1"/>
  <c r="I372" i="34" a="1"/>
  <c r="I372" i="34" s="1"/>
  <c r="H372" i="34" a="1"/>
  <c r="H372" i="34" s="1"/>
  <c r="G372" i="34" a="1"/>
  <c r="G372" i="34" s="1"/>
  <c r="E372" i="34" a="1"/>
  <c r="E372" i="34" s="1"/>
  <c r="V371" i="34" a="1"/>
  <c r="V371" i="34" s="1"/>
  <c r="U371" i="34" a="1"/>
  <c r="U371" i="34" s="1"/>
  <c r="P64" i="36" s="1"/>
  <c r="T371" i="34" a="1"/>
  <c r="T371" i="34" s="1"/>
  <c r="N371" i="34" a="1"/>
  <c r="N371" i="34" s="1"/>
  <c r="M371" i="34" a="1"/>
  <c r="M371" i="34" s="1"/>
  <c r="L371" i="34" a="1"/>
  <c r="L371" i="34" s="1"/>
  <c r="K371" i="34" a="1"/>
  <c r="K371" i="34" s="1"/>
  <c r="J371" i="34" a="1"/>
  <c r="J371" i="34" s="1"/>
  <c r="I371" i="34" a="1"/>
  <c r="I371" i="34" s="1"/>
  <c r="H371" i="34" a="1"/>
  <c r="H371" i="34" s="1"/>
  <c r="G371" i="34" a="1"/>
  <c r="G371" i="34" s="1"/>
  <c r="E371" i="34" a="1"/>
  <c r="E371" i="34" s="1"/>
  <c r="V370" i="34" a="1"/>
  <c r="V370" i="34"/>
  <c r="W64" i="36" s="1"/>
  <c r="U370" i="34" a="1"/>
  <c r="U370" i="34" s="1"/>
  <c r="T370" i="34" a="1"/>
  <c r="T370" i="34" s="1"/>
  <c r="N370" i="34" a="1"/>
  <c r="N370" i="34" s="1"/>
  <c r="M370" i="34" a="1"/>
  <c r="M370" i="34" s="1"/>
  <c r="L370" i="34" a="1"/>
  <c r="L370" i="34" s="1"/>
  <c r="K370" i="34" a="1"/>
  <c r="K370" i="34" s="1"/>
  <c r="J370" i="34" a="1"/>
  <c r="J370" i="34" s="1"/>
  <c r="I370" i="34" a="1"/>
  <c r="I370" i="34" s="1"/>
  <c r="H370" i="34" a="1"/>
  <c r="H370" i="34" s="1"/>
  <c r="G370" i="34" a="1"/>
  <c r="G370" i="34" s="1"/>
  <c r="E370" i="34" a="1"/>
  <c r="E370" i="34" s="1"/>
  <c r="E375" i="34" s="1"/>
  <c r="Q124" i="37" s="1"/>
  <c r="D370" i="34" a="1"/>
  <c r="D370" i="34" s="1"/>
  <c r="P124" i="37" s="1"/>
  <c r="V368" i="34" a="1"/>
  <c r="V368" i="34"/>
  <c r="U368" i="34" a="1"/>
  <c r="U368" i="34" s="1"/>
  <c r="T368" i="34" a="1"/>
  <c r="T368" i="34" s="1"/>
  <c r="N368" i="34" a="1"/>
  <c r="N368" i="34" s="1"/>
  <c r="M368" i="34" a="1"/>
  <c r="M368" i="34" s="1"/>
  <c r="L368" i="34" a="1"/>
  <c r="L368" i="34" s="1"/>
  <c r="K368" i="34" a="1"/>
  <c r="K368" i="34" s="1"/>
  <c r="J368" i="34" a="1"/>
  <c r="J368" i="34"/>
  <c r="I368" i="34" a="1"/>
  <c r="I368" i="34" s="1"/>
  <c r="H368" i="34" a="1"/>
  <c r="H368" i="34" s="1"/>
  <c r="G368" i="34" a="1"/>
  <c r="G368" i="34" s="1"/>
  <c r="E368" i="34" a="1"/>
  <c r="E368" i="34" s="1"/>
  <c r="V367" i="34" a="1"/>
  <c r="V367" i="34" s="1"/>
  <c r="U367" i="34" a="1"/>
  <c r="U367" i="34" s="1"/>
  <c r="T367" i="34" a="1"/>
  <c r="T367" i="34"/>
  <c r="N367" i="34" a="1"/>
  <c r="N367" i="34" s="1"/>
  <c r="M367" i="34" a="1"/>
  <c r="M367" i="34" s="1"/>
  <c r="L367" i="34" a="1"/>
  <c r="L367" i="34" s="1"/>
  <c r="K367" i="34" a="1"/>
  <c r="K367" i="34" s="1"/>
  <c r="J367" i="34" a="1"/>
  <c r="J367" i="34" s="1"/>
  <c r="I367" i="34" a="1"/>
  <c r="I367" i="34" s="1"/>
  <c r="H367" i="34" a="1"/>
  <c r="H367" i="34" s="1"/>
  <c r="G367" i="34" a="1"/>
  <c r="G367" i="34" s="1"/>
  <c r="E367" i="34" a="1"/>
  <c r="E367" i="34" s="1"/>
  <c r="V366" i="34" a="1"/>
  <c r="V366" i="34" s="1"/>
  <c r="U366" i="34" a="1"/>
  <c r="U366" i="34" s="1"/>
  <c r="T366" i="34" a="1"/>
  <c r="T366" i="34" s="1"/>
  <c r="N366" i="34" a="1"/>
  <c r="N366" i="34"/>
  <c r="M366" i="34" a="1"/>
  <c r="M366" i="34" s="1"/>
  <c r="L366" i="34" a="1"/>
  <c r="L366" i="34" s="1"/>
  <c r="K366" i="34" a="1"/>
  <c r="K366" i="34" s="1"/>
  <c r="J366" i="34" a="1"/>
  <c r="J366" i="34" s="1"/>
  <c r="I366" i="34" a="1"/>
  <c r="I366" i="34" s="1"/>
  <c r="H366" i="34" a="1"/>
  <c r="H366" i="34" s="1"/>
  <c r="G366" i="34" a="1"/>
  <c r="G366" i="34" s="1"/>
  <c r="E366" i="34" a="1"/>
  <c r="E366" i="34"/>
  <c r="V365" i="34" a="1"/>
  <c r="V365" i="34" s="1"/>
  <c r="U365" i="34" a="1"/>
  <c r="U365" i="34"/>
  <c r="T365" i="34" a="1"/>
  <c r="T365" i="34" s="1"/>
  <c r="N365" i="34" a="1"/>
  <c r="N365" i="34" s="1"/>
  <c r="M365" i="34" a="1"/>
  <c r="M365" i="34" s="1"/>
  <c r="L365" i="34" a="1"/>
  <c r="L365" i="34"/>
  <c r="K365" i="34" a="1"/>
  <c r="K365" i="34" s="1"/>
  <c r="J365" i="34" a="1"/>
  <c r="J365" i="34" s="1"/>
  <c r="I365" i="34" a="1"/>
  <c r="I365" i="34" s="1"/>
  <c r="H365" i="34" a="1"/>
  <c r="H365" i="34" s="1"/>
  <c r="G365" i="34" a="1"/>
  <c r="G365" i="34" s="1"/>
  <c r="E365" i="34" a="1"/>
  <c r="E365" i="34" s="1"/>
  <c r="V364" i="34" a="1"/>
  <c r="V364" i="34" s="1"/>
  <c r="W61" i="36" s="1"/>
  <c r="U364" i="34" a="1"/>
  <c r="U364" i="34" s="1"/>
  <c r="T364" i="34" a="1"/>
  <c r="T364" i="34" s="1"/>
  <c r="O364" i="34" a="1"/>
  <c r="O364" i="34"/>
  <c r="N364" i="34" a="1"/>
  <c r="N364" i="34" s="1"/>
  <c r="M364" i="34" a="1"/>
  <c r="M364" i="34" s="1"/>
  <c r="L364" i="34" a="1"/>
  <c r="L364" i="34" s="1"/>
  <c r="L369" i="34" s="1"/>
  <c r="X121" i="37" s="1"/>
  <c r="K364" i="34" a="1"/>
  <c r="K364" i="34" s="1"/>
  <c r="J364" i="34" a="1"/>
  <c r="J364" i="34"/>
  <c r="I364" i="34" a="1"/>
  <c r="I364" i="34" s="1"/>
  <c r="H364" i="34" a="1"/>
  <c r="H364" i="34" s="1"/>
  <c r="G364" i="34" a="1"/>
  <c r="G364" i="34" s="1"/>
  <c r="E364" i="34" a="1"/>
  <c r="E364" i="34" s="1"/>
  <c r="E369" i="34" s="1"/>
  <c r="Q121" i="37" s="1"/>
  <c r="D364" i="34" a="1"/>
  <c r="D364" i="34" s="1"/>
  <c r="V362" i="34" a="1"/>
  <c r="V362" i="34" s="1"/>
  <c r="U362" i="34" a="1"/>
  <c r="U362" i="34" s="1"/>
  <c r="S60" i="36" s="1"/>
  <c r="T362" i="34" a="1"/>
  <c r="T362" i="34"/>
  <c r="K60" i="36" s="1"/>
  <c r="N362" i="34" a="1"/>
  <c r="N362" i="34" s="1"/>
  <c r="M362" i="34" a="1"/>
  <c r="M362" i="34" s="1"/>
  <c r="L362" i="34" a="1"/>
  <c r="L362" i="34" s="1"/>
  <c r="K362" i="34" a="1"/>
  <c r="K362" i="34" s="1"/>
  <c r="J362" i="34" a="1"/>
  <c r="J362" i="34" s="1"/>
  <c r="I362" i="34" a="1"/>
  <c r="I362" i="34" s="1"/>
  <c r="H362" i="34" a="1"/>
  <c r="H362" i="34" s="1"/>
  <c r="G362" i="34" a="1"/>
  <c r="G362" i="34" s="1"/>
  <c r="E362" i="34" a="1"/>
  <c r="E362" i="34" s="1"/>
  <c r="V361" i="34" a="1"/>
  <c r="V361" i="34" s="1"/>
  <c r="U361" i="34" a="1"/>
  <c r="U361" i="34" s="1"/>
  <c r="T361" i="34" a="1"/>
  <c r="T361" i="34" s="1"/>
  <c r="N361" i="34" a="1"/>
  <c r="N361" i="34"/>
  <c r="M361" i="34" a="1"/>
  <c r="M361" i="34" s="1"/>
  <c r="L361" i="34" a="1"/>
  <c r="L361" i="34" s="1"/>
  <c r="K361" i="34" a="1"/>
  <c r="K361" i="34" s="1"/>
  <c r="J361" i="34" a="1"/>
  <c r="J361" i="34" s="1"/>
  <c r="I361" i="34" a="1"/>
  <c r="I361" i="34" s="1"/>
  <c r="H361" i="34" a="1"/>
  <c r="H361" i="34" s="1"/>
  <c r="G361" i="34" a="1"/>
  <c r="G361" i="34" s="1"/>
  <c r="E361" i="34" a="1"/>
  <c r="E361" i="34" s="1"/>
  <c r="V360" i="34" a="1"/>
  <c r="V360" i="34" s="1"/>
  <c r="U360" i="34" a="1"/>
  <c r="U360" i="34"/>
  <c r="T360" i="34" a="1"/>
  <c r="T360" i="34" s="1"/>
  <c r="N360" i="34" a="1"/>
  <c r="N360" i="34" s="1"/>
  <c r="M360" i="34" a="1"/>
  <c r="M360" i="34" s="1"/>
  <c r="L360" i="34" a="1"/>
  <c r="L360" i="34" s="1"/>
  <c r="K360" i="34" a="1"/>
  <c r="K360" i="34" s="1"/>
  <c r="J360" i="34" a="1"/>
  <c r="J360" i="34" s="1"/>
  <c r="I360" i="34" a="1"/>
  <c r="I360" i="34"/>
  <c r="H360" i="34" a="1"/>
  <c r="H360" i="34" s="1"/>
  <c r="G360" i="34" a="1"/>
  <c r="G360" i="34" s="1"/>
  <c r="E360" i="34" a="1"/>
  <c r="E360" i="34" s="1"/>
  <c r="V359" i="34" a="1"/>
  <c r="V359" i="34" s="1"/>
  <c r="X60" i="36" s="1"/>
  <c r="U359" i="34" a="1"/>
  <c r="U359" i="34" s="1"/>
  <c r="T359" i="34" a="1"/>
  <c r="T359" i="34" s="1"/>
  <c r="N359" i="34" a="1"/>
  <c r="N359" i="34" s="1"/>
  <c r="M359" i="34" a="1"/>
  <c r="M359" i="34" s="1"/>
  <c r="L359" i="34" a="1"/>
  <c r="L359" i="34" s="1"/>
  <c r="K359" i="34" a="1"/>
  <c r="K359" i="34" s="1"/>
  <c r="J359" i="34" a="1"/>
  <c r="J359" i="34" s="1"/>
  <c r="J363" i="34" s="1"/>
  <c r="V120" i="37" s="1"/>
  <c r="I359" i="34" a="1"/>
  <c r="I359" i="34" s="1"/>
  <c r="H359" i="34" a="1"/>
  <c r="H359" i="34" s="1"/>
  <c r="G359" i="34" a="1"/>
  <c r="G359" i="34"/>
  <c r="E359" i="34" a="1"/>
  <c r="E359" i="34" s="1"/>
  <c r="V358" i="34" a="1"/>
  <c r="V358" i="34" s="1"/>
  <c r="W60" i="36" s="1"/>
  <c r="U358" i="34" a="1"/>
  <c r="U358" i="34" s="1"/>
  <c r="T358" i="34" a="1"/>
  <c r="T358" i="34" s="1"/>
  <c r="G60" i="36" s="1"/>
  <c r="N358" i="34" a="1"/>
  <c r="N358" i="34" s="1"/>
  <c r="M358" i="34" a="1"/>
  <c r="M358" i="34"/>
  <c r="L358" i="34" a="1"/>
  <c r="L358" i="34" s="1"/>
  <c r="K358" i="34" a="1"/>
  <c r="K358" i="34" s="1"/>
  <c r="J358" i="34" a="1"/>
  <c r="J358" i="34" s="1"/>
  <c r="I358" i="34" a="1"/>
  <c r="I358" i="34" s="1"/>
  <c r="H358" i="34" a="1"/>
  <c r="H358" i="34"/>
  <c r="G358" i="34" a="1"/>
  <c r="G358" i="34" s="1"/>
  <c r="E358" i="34" a="1"/>
  <c r="E358" i="34" s="1"/>
  <c r="D358" i="34" a="1"/>
  <c r="D358" i="34" s="1"/>
  <c r="P120" i="37" s="1"/>
  <c r="V356" i="34" a="1"/>
  <c r="V356" i="34" s="1"/>
  <c r="U356" i="34" a="1"/>
  <c r="U356" i="34" s="1"/>
  <c r="T356" i="34" a="1"/>
  <c r="T356" i="34" s="1"/>
  <c r="K59" i="36" s="1"/>
  <c r="N356" i="34" a="1"/>
  <c r="N356" i="34" s="1"/>
  <c r="M356" i="34" a="1"/>
  <c r="M356" i="34" s="1"/>
  <c r="L356" i="34" a="1"/>
  <c r="L356" i="34" s="1"/>
  <c r="K356" i="34" a="1"/>
  <c r="K356" i="34" s="1"/>
  <c r="J356" i="34" a="1"/>
  <c r="J356" i="34" s="1"/>
  <c r="I356" i="34" a="1"/>
  <c r="I356" i="34" s="1"/>
  <c r="H356" i="34" a="1"/>
  <c r="H356" i="34" s="1"/>
  <c r="G356" i="34" a="1"/>
  <c r="G356" i="34" s="1"/>
  <c r="E356" i="34" a="1"/>
  <c r="E356" i="34"/>
  <c r="V355" i="34" a="1"/>
  <c r="V355" i="34" s="1"/>
  <c r="U355" i="34" a="1"/>
  <c r="U355" i="34"/>
  <c r="T355" i="34" a="1"/>
  <c r="T355" i="34" s="1"/>
  <c r="N355" i="34" a="1"/>
  <c r="N355" i="34" s="1"/>
  <c r="M355" i="34" a="1"/>
  <c r="M355" i="34" s="1"/>
  <c r="L355" i="34" a="1"/>
  <c r="L355" i="34"/>
  <c r="K355" i="34" a="1"/>
  <c r="K355" i="34" s="1"/>
  <c r="J355" i="34" a="1"/>
  <c r="J355" i="34" s="1"/>
  <c r="I355" i="34" a="1"/>
  <c r="I355" i="34"/>
  <c r="H355" i="34" a="1"/>
  <c r="H355" i="34" s="1"/>
  <c r="G355" i="34" a="1"/>
  <c r="G355" i="34" s="1"/>
  <c r="E355" i="34" a="1"/>
  <c r="E355" i="34" s="1"/>
  <c r="V354" i="34" a="1"/>
  <c r="V354" i="34" s="1"/>
  <c r="Y59" i="36" s="1"/>
  <c r="U354" i="34" a="1"/>
  <c r="U354" i="34" s="1"/>
  <c r="T354" i="34" a="1"/>
  <c r="T354" i="34" s="1"/>
  <c r="N354" i="34" a="1"/>
  <c r="N354" i="34" s="1"/>
  <c r="M354" i="34" a="1"/>
  <c r="M354" i="34" s="1"/>
  <c r="L354" i="34" a="1"/>
  <c r="L354" i="34" s="1"/>
  <c r="K354" i="34" a="1"/>
  <c r="K354" i="34" s="1"/>
  <c r="J354" i="34" a="1"/>
  <c r="J354" i="34" s="1"/>
  <c r="I354" i="34" a="1"/>
  <c r="I354" i="34" s="1"/>
  <c r="H354" i="34" a="1"/>
  <c r="H354" i="34" s="1"/>
  <c r="G354" i="34" a="1"/>
  <c r="G354" i="34"/>
  <c r="E354" i="34" a="1"/>
  <c r="E354" i="34" s="1"/>
  <c r="V353" i="34" a="1"/>
  <c r="V353" i="34" s="1"/>
  <c r="U353" i="34" a="1"/>
  <c r="U353" i="34" s="1"/>
  <c r="T353" i="34" a="1"/>
  <c r="T353" i="34" s="1"/>
  <c r="H59" i="36" s="1"/>
  <c r="N353" i="34" a="1"/>
  <c r="N353" i="34" s="1"/>
  <c r="M353" i="34" a="1"/>
  <c r="M353" i="34"/>
  <c r="L353" i="34" a="1"/>
  <c r="L353" i="34" s="1"/>
  <c r="K353" i="34" a="1"/>
  <c r="K353" i="34" s="1"/>
  <c r="J353" i="34" a="1"/>
  <c r="J353" i="34" s="1"/>
  <c r="I353" i="34" a="1"/>
  <c r="I353" i="34" s="1"/>
  <c r="H353" i="34" a="1"/>
  <c r="H353" i="34"/>
  <c r="G353" i="34" a="1"/>
  <c r="G353" i="34" s="1"/>
  <c r="E353" i="34" a="1"/>
  <c r="E353" i="34" s="1"/>
  <c r="V352" i="34" a="1"/>
  <c r="V352" i="34" s="1"/>
  <c r="U352" i="34" a="1"/>
  <c r="U352" i="34" s="1"/>
  <c r="T352" i="34" a="1"/>
  <c r="T352" i="34" s="1"/>
  <c r="N352" i="34" a="1"/>
  <c r="N352" i="34"/>
  <c r="M352" i="34" a="1"/>
  <c r="M352" i="34" s="1"/>
  <c r="L352" i="34" a="1"/>
  <c r="L352" i="34" s="1"/>
  <c r="K352" i="34" a="1"/>
  <c r="K352" i="34" s="1"/>
  <c r="J352" i="34" a="1"/>
  <c r="J352" i="34" s="1"/>
  <c r="I352" i="34" a="1"/>
  <c r="I352" i="34" s="1"/>
  <c r="H352" i="34" a="1"/>
  <c r="H352" i="34" s="1"/>
  <c r="G352" i="34" a="1"/>
  <c r="G352" i="34" s="1"/>
  <c r="E352" i="34" a="1"/>
  <c r="E352" i="34"/>
  <c r="D352" i="34" a="1"/>
  <c r="D352" i="34" s="1"/>
  <c r="V350" i="34" a="1"/>
  <c r="V350" i="34" s="1"/>
  <c r="U350" i="34" a="1"/>
  <c r="U350" i="34" s="1"/>
  <c r="S58" i="36" s="1"/>
  <c r="T350" i="34" a="1"/>
  <c r="T350" i="34" s="1"/>
  <c r="N350" i="34" a="1"/>
  <c r="N350" i="34" s="1"/>
  <c r="M350" i="34" a="1"/>
  <c r="M350" i="34" s="1"/>
  <c r="L350" i="34" a="1"/>
  <c r="L350" i="34"/>
  <c r="K350" i="34" a="1"/>
  <c r="K350" i="34" s="1"/>
  <c r="J350" i="34" a="1"/>
  <c r="J350" i="34" s="1"/>
  <c r="I350" i="34" a="1"/>
  <c r="I350" i="34" s="1"/>
  <c r="H350" i="34" a="1"/>
  <c r="H350" i="34" s="1"/>
  <c r="G350" i="34" a="1"/>
  <c r="G350" i="34" s="1"/>
  <c r="E350" i="34" a="1"/>
  <c r="E350" i="34" s="1"/>
  <c r="V349" i="34" a="1"/>
  <c r="V349" i="34"/>
  <c r="U349" i="34" a="1"/>
  <c r="U349" i="34" s="1"/>
  <c r="T349" i="34" a="1"/>
  <c r="T349" i="34" s="1"/>
  <c r="N349" i="34" a="1"/>
  <c r="N349" i="34" s="1"/>
  <c r="M349" i="34" a="1"/>
  <c r="M349" i="34" s="1"/>
  <c r="L349" i="34" a="1"/>
  <c r="L349" i="34" s="1"/>
  <c r="K349" i="34" a="1"/>
  <c r="K349" i="34" s="1"/>
  <c r="J349" i="34" a="1"/>
  <c r="J349" i="34"/>
  <c r="I349" i="34" a="1"/>
  <c r="I349" i="34" s="1"/>
  <c r="H349" i="34" a="1"/>
  <c r="H349" i="34" s="1"/>
  <c r="G349" i="34" a="1"/>
  <c r="G349" i="34"/>
  <c r="E349" i="34" a="1"/>
  <c r="E349" i="34" s="1"/>
  <c r="V348" i="34" a="1"/>
  <c r="V348" i="34" s="1"/>
  <c r="Y58" i="36" s="1"/>
  <c r="U348" i="34" a="1"/>
  <c r="U348" i="34" s="1"/>
  <c r="T348" i="34" a="1"/>
  <c r="T348" i="34"/>
  <c r="N348" i="34" a="1"/>
  <c r="N348" i="34" s="1"/>
  <c r="M348" i="34" a="1"/>
  <c r="M348" i="34"/>
  <c r="L348" i="34" a="1"/>
  <c r="L348" i="34" s="1"/>
  <c r="K348" i="34" a="1"/>
  <c r="K348" i="34" s="1"/>
  <c r="J348" i="34" a="1"/>
  <c r="J348" i="34" s="1"/>
  <c r="I348" i="34" a="1"/>
  <c r="I348" i="34" s="1"/>
  <c r="H348" i="34" a="1"/>
  <c r="H348" i="34" s="1"/>
  <c r="G348" i="34" a="1"/>
  <c r="G348" i="34" s="1"/>
  <c r="E348" i="34" a="1"/>
  <c r="E348" i="34" s="1"/>
  <c r="V347" i="34" a="1"/>
  <c r="V347" i="34" s="1"/>
  <c r="U347" i="34" a="1"/>
  <c r="U347" i="34" s="1"/>
  <c r="T347" i="34" a="1"/>
  <c r="T347" i="34" s="1"/>
  <c r="H58" i="36" s="1"/>
  <c r="N347" i="34" a="1"/>
  <c r="N347" i="34"/>
  <c r="M347" i="34" a="1"/>
  <c r="M347" i="34" s="1"/>
  <c r="L347" i="34" a="1"/>
  <c r="L347" i="34" s="1"/>
  <c r="K347" i="34" a="1"/>
  <c r="K347" i="34" s="1"/>
  <c r="K351" i="34" s="1"/>
  <c r="W118" i="37" s="1"/>
  <c r="J347" i="34" a="1"/>
  <c r="J347" i="34" s="1"/>
  <c r="I347" i="34" a="1"/>
  <c r="I347" i="34" s="1"/>
  <c r="H347" i="34" a="1"/>
  <c r="H347" i="34" s="1"/>
  <c r="G347" i="34" a="1"/>
  <c r="G347" i="34" s="1"/>
  <c r="E347" i="34" a="1"/>
  <c r="E347" i="34" s="1"/>
  <c r="V346" i="34" a="1"/>
  <c r="V346" i="34" s="1"/>
  <c r="U346" i="34" a="1"/>
  <c r="U346" i="34"/>
  <c r="T346" i="34" a="1"/>
  <c r="T346" i="34" s="1"/>
  <c r="N346" i="34" a="1"/>
  <c r="N346" i="34" s="1"/>
  <c r="N351" i="34" s="1"/>
  <c r="Z118" i="37" s="1"/>
  <c r="M346" i="34" a="1"/>
  <c r="M346" i="34" s="1"/>
  <c r="L346" i="34" a="1"/>
  <c r="L346" i="34"/>
  <c r="K346" i="34" a="1"/>
  <c r="K346" i="34" s="1"/>
  <c r="J346" i="34" a="1"/>
  <c r="J346" i="34" s="1"/>
  <c r="I346" i="34" a="1"/>
  <c r="I346" i="34"/>
  <c r="H346" i="34" a="1"/>
  <c r="H346" i="34" s="1"/>
  <c r="G346" i="34" a="1"/>
  <c r="G346" i="34" s="1"/>
  <c r="E346" i="34" a="1"/>
  <c r="E346" i="34" s="1"/>
  <c r="D346" i="34" a="1"/>
  <c r="D346" i="34" s="1"/>
  <c r="P118" i="37" s="1"/>
  <c r="D118" i="37" s="1"/>
  <c r="V344" i="34" a="1"/>
  <c r="V344" i="34" s="1"/>
  <c r="AA26" i="36" s="1"/>
  <c r="U344" i="34" a="1"/>
  <c r="U344" i="34" s="1"/>
  <c r="T344" i="34" a="1"/>
  <c r="T344" i="34" s="1"/>
  <c r="N344" i="34" a="1"/>
  <c r="N344" i="34" s="1"/>
  <c r="M344" i="34" a="1"/>
  <c r="M344" i="34" s="1"/>
  <c r="L344" i="34" a="1"/>
  <c r="L344" i="34" s="1"/>
  <c r="K344" i="34" a="1"/>
  <c r="K344" i="34" s="1"/>
  <c r="J344" i="34" a="1"/>
  <c r="J344" i="34" s="1"/>
  <c r="I344" i="34" a="1"/>
  <c r="I344" i="34" s="1"/>
  <c r="H344" i="34" a="1"/>
  <c r="H344" i="34" s="1"/>
  <c r="G344" i="34" a="1"/>
  <c r="G344" i="34" s="1"/>
  <c r="E344" i="34" a="1"/>
  <c r="E344" i="34" s="1"/>
  <c r="V343" i="34" a="1"/>
  <c r="V343" i="34" s="1"/>
  <c r="U343" i="34" a="1"/>
  <c r="U343" i="34" s="1"/>
  <c r="R26" i="36" s="1"/>
  <c r="T343" i="34" a="1"/>
  <c r="T343" i="34" s="1"/>
  <c r="J26" i="36" s="1"/>
  <c r="N343" i="34" a="1"/>
  <c r="N343" i="34" s="1"/>
  <c r="M343" i="34" a="1"/>
  <c r="M343" i="34" s="1"/>
  <c r="L343" i="34" a="1"/>
  <c r="L343" i="34" s="1"/>
  <c r="K343" i="34" a="1"/>
  <c r="K343" i="34" s="1"/>
  <c r="J343" i="34" a="1"/>
  <c r="J343" i="34" s="1"/>
  <c r="I343" i="34" a="1"/>
  <c r="I343" i="34" s="1"/>
  <c r="H343" i="34" a="1"/>
  <c r="H343" i="34" s="1"/>
  <c r="G343" i="34" a="1"/>
  <c r="G343" i="34" s="1"/>
  <c r="E343" i="34" a="1"/>
  <c r="E343" i="34" s="1"/>
  <c r="V342" i="34" a="1"/>
  <c r="V342" i="34" s="1"/>
  <c r="U342" i="34" a="1"/>
  <c r="U342" i="34" s="1"/>
  <c r="T342" i="34" a="1"/>
  <c r="T342" i="34" s="1"/>
  <c r="N342" i="34" a="1"/>
  <c r="N342" i="34" s="1"/>
  <c r="M342" i="34" a="1"/>
  <c r="M342" i="34" s="1"/>
  <c r="L342" i="34" a="1"/>
  <c r="L342" i="34" s="1"/>
  <c r="K342" i="34" a="1"/>
  <c r="K342" i="34"/>
  <c r="J342" i="34" a="1"/>
  <c r="J342" i="34" s="1"/>
  <c r="I342" i="34" a="1"/>
  <c r="I342" i="34" s="1"/>
  <c r="H342" i="34" a="1"/>
  <c r="H342" i="34" s="1"/>
  <c r="G342" i="34" a="1"/>
  <c r="G342" i="34" s="1"/>
  <c r="E342" i="34" a="1"/>
  <c r="E342" i="34"/>
  <c r="V341" i="34" a="1"/>
  <c r="V341" i="34" s="1"/>
  <c r="U341" i="34" a="1"/>
  <c r="U341" i="34"/>
  <c r="U345" i="34" s="1"/>
  <c r="T341" i="34" a="1"/>
  <c r="T341" i="34" s="1"/>
  <c r="N341" i="34" a="1"/>
  <c r="N341" i="34" s="1"/>
  <c r="M341" i="34" a="1"/>
  <c r="M341" i="34" s="1"/>
  <c r="L341" i="34" a="1"/>
  <c r="L341" i="34"/>
  <c r="K341" i="34" a="1"/>
  <c r="K341" i="34" s="1"/>
  <c r="J341" i="34" a="1"/>
  <c r="J341" i="34" s="1"/>
  <c r="I341" i="34" a="1"/>
  <c r="I341" i="34" s="1"/>
  <c r="H341" i="34" a="1"/>
  <c r="H341" i="34" s="1"/>
  <c r="G341" i="34" a="1"/>
  <c r="G341" i="34" s="1"/>
  <c r="E341" i="34" a="1"/>
  <c r="E341" i="34" s="1"/>
  <c r="V340" i="34" a="1"/>
  <c r="V340" i="34" s="1"/>
  <c r="W26" i="36" s="1"/>
  <c r="U340" i="34" a="1"/>
  <c r="U340" i="34" s="1"/>
  <c r="T340" i="34" a="1"/>
  <c r="T340" i="34" s="1"/>
  <c r="N340" i="34" a="1"/>
  <c r="N340" i="34" s="1"/>
  <c r="M340" i="34" a="1"/>
  <c r="M340" i="34" s="1"/>
  <c r="L340" i="34" a="1"/>
  <c r="L340" i="34" s="1"/>
  <c r="K340" i="34" a="1"/>
  <c r="K340" i="34" s="1"/>
  <c r="J340" i="34" a="1"/>
  <c r="J340" i="34"/>
  <c r="I340" i="34" a="1"/>
  <c r="I340" i="34" s="1"/>
  <c r="H340" i="34" a="1"/>
  <c r="H340" i="34" s="1"/>
  <c r="G340" i="34" a="1"/>
  <c r="G340" i="34" s="1"/>
  <c r="E340" i="34" a="1"/>
  <c r="E340" i="34" s="1"/>
  <c r="D340" i="34" a="1"/>
  <c r="D340" i="34" s="1"/>
  <c r="V338" i="34" a="1"/>
  <c r="V338" i="34" s="1"/>
  <c r="U338" i="34" a="1"/>
  <c r="U338" i="34" s="1"/>
  <c r="T338" i="34" a="1"/>
  <c r="T338" i="34" s="1"/>
  <c r="K23" i="36" s="1"/>
  <c r="N338" i="34" a="1"/>
  <c r="N338" i="34" s="1"/>
  <c r="M338" i="34" a="1"/>
  <c r="M338" i="34"/>
  <c r="L338" i="34" a="1"/>
  <c r="L338" i="34" s="1"/>
  <c r="K338" i="34" a="1"/>
  <c r="K338" i="34" s="1"/>
  <c r="J338" i="34" a="1"/>
  <c r="J338" i="34" s="1"/>
  <c r="I338" i="34" a="1"/>
  <c r="I338" i="34" s="1"/>
  <c r="H338" i="34" a="1"/>
  <c r="H338" i="34" s="1"/>
  <c r="G338" i="34" a="1"/>
  <c r="G338" i="34" s="1"/>
  <c r="E338" i="34" a="1"/>
  <c r="E338" i="34" s="1"/>
  <c r="V337" i="34" a="1"/>
  <c r="V337" i="34" s="1"/>
  <c r="U337" i="34" a="1"/>
  <c r="U337" i="34" s="1"/>
  <c r="T337" i="34" a="1"/>
  <c r="T337" i="34" s="1"/>
  <c r="N337" i="34" a="1"/>
  <c r="N337" i="34" s="1"/>
  <c r="M337" i="34" a="1"/>
  <c r="M337" i="34" s="1"/>
  <c r="L337" i="34" a="1"/>
  <c r="L337" i="34" s="1"/>
  <c r="K337" i="34" a="1"/>
  <c r="K337" i="34" s="1"/>
  <c r="J337" i="34" a="1"/>
  <c r="J337" i="34" s="1"/>
  <c r="I337" i="34" a="1"/>
  <c r="I337" i="34" s="1"/>
  <c r="H337" i="34" a="1"/>
  <c r="H337" i="34" s="1"/>
  <c r="G337" i="34" a="1"/>
  <c r="G337" i="34" s="1"/>
  <c r="E337" i="34" a="1"/>
  <c r="E337" i="34" s="1"/>
  <c r="V336" i="34" a="1"/>
  <c r="V336" i="34" s="1"/>
  <c r="U336" i="34" a="1"/>
  <c r="U336" i="34" s="1"/>
  <c r="T336" i="34" a="1"/>
  <c r="T336" i="34" s="1"/>
  <c r="N336" i="34" a="1"/>
  <c r="N336" i="34" s="1"/>
  <c r="M336" i="34" a="1"/>
  <c r="M336" i="34" s="1"/>
  <c r="L336" i="34" a="1"/>
  <c r="L336" i="34" s="1"/>
  <c r="K336" i="34" a="1"/>
  <c r="K336" i="34" s="1"/>
  <c r="J336" i="34" a="1"/>
  <c r="J336" i="34" s="1"/>
  <c r="I336" i="34" a="1"/>
  <c r="I336" i="34" s="1"/>
  <c r="H336" i="34" a="1"/>
  <c r="H336" i="34" s="1"/>
  <c r="G336" i="34" a="1"/>
  <c r="G336" i="34" s="1"/>
  <c r="E336" i="34" a="1"/>
  <c r="E336" i="34" s="1"/>
  <c r="V335" i="34" a="1"/>
  <c r="V335" i="34" s="1"/>
  <c r="X23" i="36" s="1"/>
  <c r="U335" i="34" a="1"/>
  <c r="U335" i="34" s="1"/>
  <c r="T335" i="34" a="1"/>
  <c r="T335" i="34" s="1"/>
  <c r="N335" i="34" a="1"/>
  <c r="N335" i="34" s="1"/>
  <c r="M335" i="34" a="1"/>
  <c r="M335" i="34" s="1"/>
  <c r="L335" i="34" a="1"/>
  <c r="L335" i="34" s="1"/>
  <c r="K335" i="34" a="1"/>
  <c r="K335" i="34" s="1"/>
  <c r="J335" i="34" a="1"/>
  <c r="J335" i="34" s="1"/>
  <c r="I335" i="34" a="1"/>
  <c r="I335" i="34" s="1"/>
  <c r="H335" i="34" a="1"/>
  <c r="H335" i="34" s="1"/>
  <c r="G335" i="34" a="1"/>
  <c r="G335" i="34" s="1"/>
  <c r="E335" i="34" a="1"/>
  <c r="E335" i="34" s="1"/>
  <c r="V334" i="34" a="1"/>
  <c r="V334" i="34" s="1"/>
  <c r="U334" i="34" a="1"/>
  <c r="U334" i="34" s="1"/>
  <c r="T334" i="34" a="1"/>
  <c r="T334" i="34" s="1"/>
  <c r="G23" i="36" s="1"/>
  <c r="N334" i="34" a="1"/>
  <c r="N334" i="34" s="1"/>
  <c r="M334" i="34" a="1"/>
  <c r="M334" i="34" s="1"/>
  <c r="L334" i="34" a="1"/>
  <c r="L334" i="34" s="1"/>
  <c r="K334" i="34" a="1"/>
  <c r="K334" i="34" s="1"/>
  <c r="J334" i="34" a="1"/>
  <c r="J334" i="34" s="1"/>
  <c r="I334" i="34" a="1"/>
  <c r="I334" i="34" s="1"/>
  <c r="H334" i="34" a="1"/>
  <c r="H334" i="34" s="1"/>
  <c r="G334" i="34" a="1"/>
  <c r="G334" i="34" s="1"/>
  <c r="E334" i="34" a="1"/>
  <c r="E334" i="34" s="1"/>
  <c r="D334" i="34" a="1"/>
  <c r="D334" i="34" s="1"/>
  <c r="V332" i="34" a="1"/>
  <c r="V332" i="34"/>
  <c r="AA20" i="36" s="1"/>
  <c r="U332" i="34" a="1"/>
  <c r="U332" i="34"/>
  <c r="T332" i="34" a="1"/>
  <c r="T332" i="34" s="1"/>
  <c r="K20" i="36" s="1"/>
  <c r="N332" i="34" a="1"/>
  <c r="N332" i="34" s="1"/>
  <c r="M332" i="34" a="1"/>
  <c r="M332" i="34"/>
  <c r="L332" i="34" a="1"/>
  <c r="L332" i="34"/>
  <c r="K332" i="34" a="1"/>
  <c r="K332" i="34" s="1"/>
  <c r="J332" i="34" a="1"/>
  <c r="J332" i="34"/>
  <c r="I332" i="34" a="1"/>
  <c r="I332" i="34"/>
  <c r="H332" i="34" a="1"/>
  <c r="H332" i="34" s="1"/>
  <c r="G332" i="34" a="1"/>
  <c r="G332" i="34" s="1"/>
  <c r="E332" i="34" a="1"/>
  <c r="E332" i="34" s="1"/>
  <c r="V331" i="34" a="1"/>
  <c r="V331" i="34" s="1"/>
  <c r="Z20" i="36" s="1"/>
  <c r="U331" i="34" a="1"/>
  <c r="U331" i="34" s="1"/>
  <c r="T331" i="34" a="1"/>
  <c r="T331" i="34" s="1"/>
  <c r="J20" i="36" s="1"/>
  <c r="N331" i="34" a="1"/>
  <c r="N331" i="34"/>
  <c r="M331" i="34" a="1"/>
  <c r="M331" i="34" s="1"/>
  <c r="L331" i="34" a="1"/>
  <c r="L331" i="34" s="1"/>
  <c r="K331" i="34" a="1"/>
  <c r="K331" i="34"/>
  <c r="J331" i="34" a="1"/>
  <c r="J331" i="34"/>
  <c r="I331" i="34" a="1"/>
  <c r="I331" i="34" s="1"/>
  <c r="H331" i="34" a="1"/>
  <c r="H331" i="34"/>
  <c r="G331" i="34" a="1"/>
  <c r="G331" i="34"/>
  <c r="E331" i="34" a="1"/>
  <c r="E331" i="34" s="1"/>
  <c r="V330" i="34" a="1"/>
  <c r="V330" i="34"/>
  <c r="U330" i="34" a="1"/>
  <c r="U330" i="34"/>
  <c r="T330" i="34" a="1"/>
  <c r="T330" i="34"/>
  <c r="N330" i="34" a="1"/>
  <c r="N330" i="34" s="1"/>
  <c r="M330" i="34" a="1"/>
  <c r="M330" i="34"/>
  <c r="L330" i="34" a="1"/>
  <c r="L330" i="34"/>
  <c r="K330" i="34" a="1"/>
  <c r="K330" i="34" s="1"/>
  <c r="J330" i="34" a="1"/>
  <c r="J330" i="34"/>
  <c r="I330" i="34" a="1"/>
  <c r="I330" i="34"/>
  <c r="H330" i="34" a="1"/>
  <c r="H330" i="34" s="1"/>
  <c r="G330" i="34" a="1"/>
  <c r="G330" i="34" s="1"/>
  <c r="E330" i="34" a="1"/>
  <c r="E330" i="34"/>
  <c r="V329" i="34" a="1"/>
  <c r="V329" i="34" s="1"/>
  <c r="X20" i="36" s="1"/>
  <c r="U329" i="34" a="1"/>
  <c r="U329" i="34" s="1"/>
  <c r="T329" i="34" a="1"/>
  <c r="T329" i="34" s="1"/>
  <c r="N329" i="34" a="1"/>
  <c r="N329" i="34" s="1"/>
  <c r="M329" i="34" a="1"/>
  <c r="M329" i="34" s="1"/>
  <c r="L329" i="34" a="1"/>
  <c r="L329" i="34" s="1"/>
  <c r="K329" i="34" a="1"/>
  <c r="K329" i="34"/>
  <c r="J329" i="34" a="1"/>
  <c r="J329" i="34"/>
  <c r="I329" i="34" a="1"/>
  <c r="I329" i="34" s="1"/>
  <c r="H329" i="34" a="1"/>
  <c r="H329" i="34"/>
  <c r="G329" i="34" a="1"/>
  <c r="G329" i="34"/>
  <c r="E329" i="34" a="1"/>
  <c r="E329" i="34" s="1"/>
  <c r="V328" i="34" a="1"/>
  <c r="V328" i="34" s="1"/>
  <c r="U328" i="34" a="1"/>
  <c r="U328" i="34"/>
  <c r="O20" i="36" s="1"/>
  <c r="T328" i="34" a="1"/>
  <c r="T328" i="34"/>
  <c r="N328" i="34" a="1"/>
  <c r="N328" i="34"/>
  <c r="M328" i="34" a="1"/>
  <c r="M328" i="34"/>
  <c r="L328" i="34" a="1"/>
  <c r="L328" i="34" s="1"/>
  <c r="K328" i="34" a="1"/>
  <c r="K328" i="34" s="1"/>
  <c r="J328" i="34" a="1"/>
  <c r="J328" i="34" s="1"/>
  <c r="J333" i="34" s="1"/>
  <c r="V80" i="37" s="1"/>
  <c r="I328" i="34" a="1"/>
  <c r="I328" i="34" s="1"/>
  <c r="H328" i="34" a="1"/>
  <c r="H328" i="34"/>
  <c r="H333" i="34" s="1"/>
  <c r="T80" i="37" s="1"/>
  <c r="G328" i="34" a="1"/>
  <c r="G328" i="34" s="1"/>
  <c r="E328" i="34" a="1"/>
  <c r="E328" i="34"/>
  <c r="D328" i="34" a="1"/>
  <c r="D328" i="34"/>
  <c r="V326" i="34" a="1"/>
  <c r="V326" i="34" s="1"/>
  <c r="U326" i="34" a="1"/>
  <c r="U326" i="34"/>
  <c r="T326" i="34" a="1"/>
  <c r="T326" i="34" s="1"/>
  <c r="N326" i="34" a="1"/>
  <c r="N326" i="34" s="1"/>
  <c r="M326" i="34" a="1"/>
  <c r="M326" i="34" s="1"/>
  <c r="L326" i="34" a="1"/>
  <c r="L326" i="34" s="1"/>
  <c r="K326" i="34" a="1"/>
  <c r="K326" i="34" s="1"/>
  <c r="J326" i="34" a="1"/>
  <c r="J326" i="34" s="1"/>
  <c r="I326" i="34" a="1"/>
  <c r="I326" i="34" s="1"/>
  <c r="I327" i="34" s="1"/>
  <c r="U74" i="37" s="1"/>
  <c r="H326" i="34" a="1"/>
  <c r="H326" i="34"/>
  <c r="G326" i="34" a="1"/>
  <c r="G326" i="34" s="1"/>
  <c r="E326" i="34" a="1"/>
  <c r="E326" i="34" s="1"/>
  <c r="V325" i="34" a="1"/>
  <c r="V325" i="34" s="1"/>
  <c r="U325" i="34" a="1"/>
  <c r="U325" i="34" s="1"/>
  <c r="T325" i="34" a="1"/>
  <c r="T325" i="34" s="1"/>
  <c r="N325" i="34" a="1"/>
  <c r="N325" i="34"/>
  <c r="M325" i="34" a="1"/>
  <c r="M325" i="34" s="1"/>
  <c r="L325" i="34" a="1"/>
  <c r="L325" i="34" s="1"/>
  <c r="K325" i="34" a="1"/>
  <c r="K325" i="34" s="1"/>
  <c r="J325" i="34" a="1"/>
  <c r="J325" i="34" s="1"/>
  <c r="I325" i="34" a="1"/>
  <c r="I325" i="34" s="1"/>
  <c r="H325" i="34" a="1"/>
  <c r="H325" i="34" s="1"/>
  <c r="G325" i="34" a="1"/>
  <c r="G325" i="34" s="1"/>
  <c r="E325" i="34" a="1"/>
  <c r="E325" i="34" s="1"/>
  <c r="V324" i="34" a="1"/>
  <c r="V324" i="34" s="1"/>
  <c r="Y14" i="36" s="1"/>
  <c r="U324" i="34" a="1"/>
  <c r="U324" i="34"/>
  <c r="T324" i="34" a="1"/>
  <c r="T324" i="34" s="1"/>
  <c r="N324" i="34" a="1"/>
  <c r="N324" i="34" s="1"/>
  <c r="M324" i="34" a="1"/>
  <c r="M324" i="34" s="1"/>
  <c r="L324" i="34" a="1"/>
  <c r="L324" i="34"/>
  <c r="K324" i="34" a="1"/>
  <c r="K324" i="34" s="1"/>
  <c r="K327" i="34" s="1"/>
  <c r="W74" i="37" s="1"/>
  <c r="J324" i="34" a="1"/>
  <c r="J324" i="34" s="1"/>
  <c r="I324" i="34" a="1"/>
  <c r="I324" i="34" s="1"/>
  <c r="H324" i="34" a="1"/>
  <c r="H324" i="34" s="1"/>
  <c r="G324" i="34" a="1"/>
  <c r="G324" i="34" s="1"/>
  <c r="E324" i="34" a="1"/>
  <c r="E324" i="34" s="1"/>
  <c r="V323" i="34" a="1"/>
  <c r="V323" i="34" s="1"/>
  <c r="U323" i="34" a="1"/>
  <c r="U323" i="34" s="1"/>
  <c r="T323" i="34" a="1"/>
  <c r="T323" i="34" s="1"/>
  <c r="N323" i="34" a="1"/>
  <c r="N323" i="34" s="1"/>
  <c r="M323" i="34" a="1"/>
  <c r="M323" i="34" s="1"/>
  <c r="L323" i="34" a="1"/>
  <c r="L323" i="34" s="1"/>
  <c r="K323" i="34" a="1"/>
  <c r="K323" i="34" s="1"/>
  <c r="J323" i="34" a="1"/>
  <c r="J323" i="34" s="1"/>
  <c r="J327" i="34" s="1"/>
  <c r="I323" i="34" a="1"/>
  <c r="I323" i="34" s="1"/>
  <c r="H323" i="34" a="1"/>
  <c r="H323" i="34" s="1"/>
  <c r="G323" i="34" a="1"/>
  <c r="G323" i="34" s="1"/>
  <c r="E323" i="34" a="1"/>
  <c r="E323" i="34" s="1"/>
  <c r="V322" i="34" a="1"/>
  <c r="V322" i="34" s="1"/>
  <c r="U322" i="34" a="1"/>
  <c r="U322" i="34" s="1"/>
  <c r="T322" i="34" a="1"/>
  <c r="T322" i="34" s="1"/>
  <c r="N322" i="34" a="1"/>
  <c r="N322" i="34" s="1"/>
  <c r="M322" i="34" a="1"/>
  <c r="M322" i="34" s="1"/>
  <c r="M327" i="34" s="1"/>
  <c r="Y74" i="37" s="1"/>
  <c r="L322" i="34" a="1"/>
  <c r="L322" i="34" s="1"/>
  <c r="K322" i="34" a="1"/>
  <c r="K322" i="34" s="1"/>
  <c r="J322" i="34" a="1"/>
  <c r="J322" i="34" s="1"/>
  <c r="I322" i="34" a="1"/>
  <c r="I322" i="34" s="1"/>
  <c r="H322" i="34" a="1"/>
  <c r="H322" i="34"/>
  <c r="G322" i="34" a="1"/>
  <c r="G322" i="34" s="1"/>
  <c r="G327" i="34" s="1"/>
  <c r="S74" i="37" s="1"/>
  <c r="E322" i="34" a="1"/>
  <c r="E322" i="34" s="1"/>
  <c r="D322" i="34" a="1"/>
  <c r="D322" i="34" s="1"/>
  <c r="V320" i="34" a="1"/>
  <c r="V320" i="34" s="1"/>
  <c r="U320" i="34" a="1"/>
  <c r="U320" i="34" s="1"/>
  <c r="T320" i="34" a="1"/>
  <c r="T320" i="34" s="1"/>
  <c r="N320" i="34" a="1"/>
  <c r="N320" i="34" s="1"/>
  <c r="M320" i="34" a="1"/>
  <c r="M320" i="34" s="1"/>
  <c r="L320" i="34" a="1"/>
  <c r="L320" i="34" s="1"/>
  <c r="K320" i="34" a="1"/>
  <c r="K320" i="34" s="1"/>
  <c r="J320" i="34" a="1"/>
  <c r="J320" i="34" s="1"/>
  <c r="I320" i="34" a="1"/>
  <c r="I320" i="34" s="1"/>
  <c r="H320" i="34" a="1"/>
  <c r="H320" i="34" s="1"/>
  <c r="G320" i="34" a="1"/>
  <c r="G320" i="34" s="1"/>
  <c r="E320" i="34" a="1"/>
  <c r="E320" i="34" s="1"/>
  <c r="V319" i="34" a="1"/>
  <c r="V319" i="34" s="1"/>
  <c r="U319" i="34" a="1"/>
  <c r="U319" i="34" s="1"/>
  <c r="T319" i="34" a="1"/>
  <c r="T319" i="34" s="1"/>
  <c r="N319" i="34" a="1"/>
  <c r="N319" i="34" s="1"/>
  <c r="M319" i="34" a="1"/>
  <c r="M319" i="34" s="1"/>
  <c r="L319" i="34" a="1"/>
  <c r="L319" i="34" s="1"/>
  <c r="K319" i="34" a="1"/>
  <c r="K319" i="34" s="1"/>
  <c r="J319" i="34" a="1"/>
  <c r="J319" i="34" s="1"/>
  <c r="I319" i="34" a="1"/>
  <c r="I319" i="34" s="1"/>
  <c r="H319" i="34" a="1"/>
  <c r="H319" i="34" s="1"/>
  <c r="G319" i="34" a="1"/>
  <c r="G319" i="34" s="1"/>
  <c r="E319" i="34" a="1"/>
  <c r="E319" i="34"/>
  <c r="V318" i="34" a="1"/>
  <c r="V318" i="34" s="1"/>
  <c r="U318" i="34" a="1"/>
  <c r="U318" i="34" s="1"/>
  <c r="T318" i="34" a="1"/>
  <c r="T318" i="34" s="1"/>
  <c r="N318" i="34" a="1"/>
  <c r="N318" i="34" s="1"/>
  <c r="M318" i="34" a="1"/>
  <c r="M318" i="34" s="1"/>
  <c r="M321" i="34" s="1"/>
  <c r="Y71" i="37" s="1"/>
  <c r="L318" i="34" a="1"/>
  <c r="L318" i="34" s="1"/>
  <c r="K318" i="34" a="1"/>
  <c r="K318" i="34" s="1"/>
  <c r="J318" i="34" a="1"/>
  <c r="J318" i="34" s="1"/>
  <c r="I318" i="34" a="1"/>
  <c r="I318" i="34" s="1"/>
  <c r="H318" i="34" a="1"/>
  <c r="H318" i="34" s="1"/>
  <c r="G318" i="34" a="1"/>
  <c r="G318" i="34" s="1"/>
  <c r="E318" i="34" a="1"/>
  <c r="E318" i="34" s="1"/>
  <c r="V317" i="34" a="1"/>
  <c r="V317" i="34" s="1"/>
  <c r="U317" i="34" a="1"/>
  <c r="U317" i="34" s="1"/>
  <c r="T317" i="34" a="1"/>
  <c r="T317" i="34" s="1"/>
  <c r="N317" i="34" a="1"/>
  <c r="N317" i="34"/>
  <c r="M317" i="34" a="1"/>
  <c r="M317" i="34" s="1"/>
  <c r="L317" i="34" a="1"/>
  <c r="L317" i="34" s="1"/>
  <c r="K317" i="34" a="1"/>
  <c r="K317" i="34" s="1"/>
  <c r="J317" i="34" a="1"/>
  <c r="J317" i="34" s="1"/>
  <c r="I317" i="34" a="1"/>
  <c r="I317" i="34"/>
  <c r="H317" i="34" a="1"/>
  <c r="H317" i="34" s="1"/>
  <c r="G317" i="34" a="1"/>
  <c r="G317" i="34" s="1"/>
  <c r="E317" i="34" a="1"/>
  <c r="E317" i="34" s="1"/>
  <c r="V316" i="34" a="1"/>
  <c r="V316" i="34" s="1"/>
  <c r="U316" i="34" a="1"/>
  <c r="U316" i="34" s="1"/>
  <c r="T316" i="34" a="1"/>
  <c r="T316" i="34" s="1"/>
  <c r="N316" i="34" a="1"/>
  <c r="N316" i="34" s="1"/>
  <c r="M316" i="34" a="1"/>
  <c r="M316" i="34" s="1"/>
  <c r="L316" i="34" a="1"/>
  <c r="L316" i="34" s="1"/>
  <c r="K316" i="34" a="1"/>
  <c r="K316" i="34" s="1"/>
  <c r="J316" i="34" a="1"/>
  <c r="J316" i="34" s="1"/>
  <c r="J321" i="34" s="1"/>
  <c r="V71" i="37" s="1"/>
  <c r="I316" i="34" a="1"/>
  <c r="I316" i="34" s="1"/>
  <c r="H316" i="34" a="1"/>
  <c r="H316" i="34" s="1"/>
  <c r="G316" i="34" a="1"/>
  <c r="G316" i="34" s="1"/>
  <c r="E316" i="34" a="1"/>
  <c r="E316" i="34" s="1"/>
  <c r="D316" i="34" a="1"/>
  <c r="D316" i="34"/>
  <c r="V314" i="34" a="1"/>
  <c r="V314" i="34" s="1"/>
  <c r="U314" i="34" a="1"/>
  <c r="U314" i="34" s="1"/>
  <c r="T314" i="34" a="1"/>
  <c r="T314" i="34" s="1"/>
  <c r="N314" i="34" a="1"/>
  <c r="N314" i="34" s="1"/>
  <c r="M314" i="34" a="1"/>
  <c r="M314" i="34" s="1"/>
  <c r="L314" i="34" a="1"/>
  <c r="L314" i="34" s="1"/>
  <c r="K314" i="34" a="1"/>
  <c r="K314" i="34" s="1"/>
  <c r="J314" i="34" a="1"/>
  <c r="J314" i="34" s="1"/>
  <c r="I314" i="34" a="1"/>
  <c r="I314" i="34" s="1"/>
  <c r="H314" i="34" a="1"/>
  <c r="H314" i="34"/>
  <c r="G314" i="34" a="1"/>
  <c r="G314" i="34" s="1"/>
  <c r="E314" i="34" a="1"/>
  <c r="E314" i="34" s="1"/>
  <c r="V313" i="34" a="1"/>
  <c r="V313" i="34" s="1"/>
  <c r="U313" i="34" a="1"/>
  <c r="U313" i="34"/>
  <c r="T313" i="34" a="1"/>
  <c r="T313" i="34" s="1"/>
  <c r="N313" i="34" a="1"/>
  <c r="N313" i="34" s="1"/>
  <c r="M313" i="34" a="1"/>
  <c r="M313" i="34" s="1"/>
  <c r="L313" i="34" a="1"/>
  <c r="L313" i="34" s="1"/>
  <c r="K313" i="34" a="1"/>
  <c r="K313" i="34" s="1"/>
  <c r="J313" i="34" a="1"/>
  <c r="J313" i="34" s="1"/>
  <c r="I313" i="34" a="1"/>
  <c r="I313" i="34" s="1"/>
  <c r="H313" i="34" a="1"/>
  <c r="H313" i="34" s="1"/>
  <c r="G313" i="34" a="1"/>
  <c r="G313" i="34" s="1"/>
  <c r="E313" i="34" a="1"/>
  <c r="E313" i="34"/>
  <c r="V312" i="34" a="1"/>
  <c r="V312" i="34" s="1"/>
  <c r="U312" i="34" a="1"/>
  <c r="U312" i="34" s="1"/>
  <c r="T312" i="34" a="1"/>
  <c r="T312" i="34" s="1"/>
  <c r="N312" i="34" a="1"/>
  <c r="N312" i="34" s="1"/>
  <c r="M312" i="34" a="1"/>
  <c r="M312" i="34" s="1"/>
  <c r="L312" i="34" a="1"/>
  <c r="L312" i="34" s="1"/>
  <c r="K312" i="34" a="1"/>
  <c r="K312" i="34" s="1"/>
  <c r="J312" i="34" a="1"/>
  <c r="J312" i="34" s="1"/>
  <c r="I312" i="34" a="1"/>
  <c r="I312" i="34" s="1"/>
  <c r="H312" i="34" a="1"/>
  <c r="H312" i="34" s="1"/>
  <c r="G312" i="34" a="1"/>
  <c r="G312" i="34" s="1"/>
  <c r="E312" i="34" a="1"/>
  <c r="E312" i="34" s="1"/>
  <c r="V311" i="34" a="1"/>
  <c r="V311" i="34"/>
  <c r="U311" i="34" a="1"/>
  <c r="U311" i="34" s="1"/>
  <c r="T311" i="34" a="1"/>
  <c r="T311" i="34" s="1"/>
  <c r="N311" i="34" a="1"/>
  <c r="N311" i="34" s="1"/>
  <c r="M311" i="34" a="1"/>
  <c r="M311" i="34" s="1"/>
  <c r="M315" i="34" s="1"/>
  <c r="L311" i="34" a="1"/>
  <c r="L311" i="34" s="1"/>
  <c r="K311" i="34" a="1"/>
  <c r="K311" i="34" s="1"/>
  <c r="J311" i="34" a="1"/>
  <c r="J311" i="34" s="1"/>
  <c r="I311" i="34" a="1"/>
  <c r="I311" i="34" s="1"/>
  <c r="H311" i="34" a="1"/>
  <c r="H311" i="34" s="1"/>
  <c r="G311" i="34" a="1"/>
  <c r="G311" i="34" s="1"/>
  <c r="E311" i="34" a="1"/>
  <c r="E311" i="34" s="1"/>
  <c r="V310" i="34" a="1"/>
  <c r="V310" i="34" s="1"/>
  <c r="U310" i="34" a="1"/>
  <c r="U310" i="34" s="1"/>
  <c r="T310" i="34" a="1"/>
  <c r="T310" i="34"/>
  <c r="N310" i="34" a="1"/>
  <c r="N310" i="34" s="1"/>
  <c r="M310" i="34" a="1"/>
  <c r="M310" i="34" s="1"/>
  <c r="L310" i="34" a="1"/>
  <c r="L310" i="34" s="1"/>
  <c r="K310" i="34" a="1"/>
  <c r="K310" i="34" s="1"/>
  <c r="K315" i="34" s="1"/>
  <c r="W77" i="37" s="1"/>
  <c r="J310" i="34" a="1"/>
  <c r="J310" i="34" s="1"/>
  <c r="I310" i="34" a="1"/>
  <c r="I310" i="34" s="1"/>
  <c r="H310" i="34" a="1"/>
  <c r="H310" i="34" s="1"/>
  <c r="G310" i="34" a="1"/>
  <c r="G310" i="34" s="1"/>
  <c r="E310" i="34" a="1"/>
  <c r="E310" i="34" s="1"/>
  <c r="D310" i="34" a="1"/>
  <c r="D310" i="34" s="1"/>
  <c r="V308" i="34" a="1"/>
  <c r="V308" i="34" s="1"/>
  <c r="U308" i="34" a="1"/>
  <c r="U308" i="34" s="1"/>
  <c r="T308" i="34" a="1"/>
  <c r="T308" i="34" s="1"/>
  <c r="N308" i="34" a="1"/>
  <c r="N308" i="34"/>
  <c r="M308" i="34" a="1"/>
  <c r="M308" i="34" s="1"/>
  <c r="L308" i="34" a="1"/>
  <c r="L308" i="34" s="1"/>
  <c r="K308" i="34" a="1"/>
  <c r="K308" i="34" s="1"/>
  <c r="J308" i="34" a="1"/>
  <c r="J308" i="34" s="1"/>
  <c r="I308" i="34" a="1"/>
  <c r="I308" i="34" s="1"/>
  <c r="H308" i="34" a="1"/>
  <c r="H308" i="34" s="1"/>
  <c r="G308" i="34" a="1"/>
  <c r="G308" i="34" s="1"/>
  <c r="E308" i="34" a="1"/>
  <c r="E308" i="34" s="1"/>
  <c r="V307" i="34" a="1"/>
  <c r="V307" i="34" s="1"/>
  <c r="U307" i="34" a="1"/>
  <c r="U307" i="34" s="1"/>
  <c r="T307" i="34" a="1"/>
  <c r="T307" i="34" s="1"/>
  <c r="N307" i="34" a="1"/>
  <c r="N307" i="34" s="1"/>
  <c r="M307" i="34" a="1"/>
  <c r="M307" i="34" s="1"/>
  <c r="L307" i="34" a="1"/>
  <c r="L307" i="34" s="1"/>
  <c r="K307" i="34" a="1"/>
  <c r="K307" i="34" s="1"/>
  <c r="J307" i="34" a="1"/>
  <c r="J307" i="34" s="1"/>
  <c r="I307" i="34" a="1"/>
  <c r="I307" i="34" s="1"/>
  <c r="H307" i="34" a="1"/>
  <c r="H307" i="34" s="1"/>
  <c r="G307" i="34" a="1"/>
  <c r="G307" i="34" s="1"/>
  <c r="E307" i="34" a="1"/>
  <c r="E307" i="34" s="1"/>
  <c r="V306" i="34" a="1"/>
  <c r="V306" i="34" s="1"/>
  <c r="U306" i="34" a="1"/>
  <c r="U306" i="34" s="1"/>
  <c r="T306" i="34" a="1"/>
  <c r="T306" i="34" s="1"/>
  <c r="N306" i="34" a="1"/>
  <c r="N306" i="34" s="1"/>
  <c r="M306" i="34" a="1"/>
  <c r="M306" i="34" s="1"/>
  <c r="M309" i="34" s="1"/>
  <c r="Y123" i="37" s="1"/>
  <c r="L306" i="34" a="1"/>
  <c r="L306" i="34" s="1"/>
  <c r="K306" i="34" a="1"/>
  <c r="K306" i="34" s="1"/>
  <c r="J306" i="34" a="1"/>
  <c r="J306" i="34" s="1"/>
  <c r="I306" i="34" a="1"/>
  <c r="I306" i="34" s="1"/>
  <c r="H306" i="34" a="1"/>
  <c r="H306" i="34" s="1"/>
  <c r="G306" i="34" a="1"/>
  <c r="G306" i="34" s="1"/>
  <c r="E306" i="34" a="1"/>
  <c r="E306" i="34" s="1"/>
  <c r="V305" i="34" a="1"/>
  <c r="V305" i="34" s="1"/>
  <c r="V309" i="34" s="1"/>
  <c r="U305" i="34" a="1"/>
  <c r="U305" i="34" s="1"/>
  <c r="T305" i="34" a="1"/>
  <c r="T305" i="34" s="1"/>
  <c r="N305" i="34" a="1"/>
  <c r="N305" i="34" s="1"/>
  <c r="M305" i="34" a="1"/>
  <c r="M305" i="34" s="1"/>
  <c r="L305" i="34" a="1"/>
  <c r="L305" i="34" s="1"/>
  <c r="K305" i="34" a="1"/>
  <c r="K305" i="34" s="1"/>
  <c r="J305" i="34" a="1"/>
  <c r="J305" i="34" s="1"/>
  <c r="I305" i="34" a="1"/>
  <c r="I305" i="34" s="1"/>
  <c r="I309" i="34" s="1"/>
  <c r="U123" i="37" s="1"/>
  <c r="H305" i="34" a="1"/>
  <c r="H305" i="34" s="1"/>
  <c r="G305" i="34" a="1"/>
  <c r="G305" i="34" s="1"/>
  <c r="E305" i="34" a="1"/>
  <c r="E305" i="34" s="1"/>
  <c r="V304" i="34" a="1"/>
  <c r="V304" i="34" s="1"/>
  <c r="U304" i="34" a="1"/>
  <c r="U304" i="34" s="1"/>
  <c r="O63" i="36" s="1"/>
  <c r="T304" i="34" a="1"/>
  <c r="T304" i="34" s="1"/>
  <c r="N304" i="34" a="1"/>
  <c r="N304" i="34" s="1"/>
  <c r="N309" i="34" s="1"/>
  <c r="Z123" i="37" s="1"/>
  <c r="M304" i="34" a="1"/>
  <c r="M304" i="34" s="1"/>
  <c r="L304" i="34" a="1"/>
  <c r="L304" i="34" s="1"/>
  <c r="K304" i="34" a="1"/>
  <c r="K304" i="34" s="1"/>
  <c r="J304" i="34" a="1"/>
  <c r="J304" i="34" s="1"/>
  <c r="I304" i="34" a="1"/>
  <c r="I304" i="34" s="1"/>
  <c r="H304" i="34" a="1"/>
  <c r="H304" i="34" s="1"/>
  <c r="G304" i="34" a="1"/>
  <c r="G304" i="34" s="1"/>
  <c r="E304" i="34" a="1"/>
  <c r="E304" i="34" s="1"/>
  <c r="E309" i="34" s="1"/>
  <c r="Q123" i="37" s="1"/>
  <c r="D304" i="34" a="1"/>
  <c r="D304" i="34" s="1"/>
  <c r="V302" i="34" a="1"/>
  <c r="V302" i="34" s="1"/>
  <c r="U302" i="34" a="1"/>
  <c r="U302" i="34" s="1"/>
  <c r="T302" i="34" a="1"/>
  <c r="T302" i="34" s="1"/>
  <c r="N302" i="34" a="1"/>
  <c r="N302" i="34" s="1"/>
  <c r="M302" i="34" a="1"/>
  <c r="M302" i="34" s="1"/>
  <c r="L302" i="34" a="1"/>
  <c r="L302" i="34" s="1"/>
  <c r="K302" i="34" a="1"/>
  <c r="K302" i="34" s="1"/>
  <c r="J302" i="34" a="1"/>
  <c r="J302" i="34" s="1"/>
  <c r="I302" i="34" a="1"/>
  <c r="I302" i="34" s="1"/>
  <c r="H302" i="34" a="1"/>
  <c r="H302" i="34" s="1"/>
  <c r="G302" i="34" a="1"/>
  <c r="G302" i="34" s="1"/>
  <c r="E302" i="34" a="1"/>
  <c r="E302" i="34" s="1"/>
  <c r="V301" i="34" a="1"/>
  <c r="V301" i="34"/>
  <c r="U301" i="34" a="1"/>
  <c r="U301" i="34" s="1"/>
  <c r="T301" i="34" a="1"/>
  <c r="T301" i="34" s="1"/>
  <c r="N301" i="34" a="1"/>
  <c r="N301" i="34" s="1"/>
  <c r="M301" i="34" a="1"/>
  <c r="M301" i="34"/>
  <c r="L301" i="34" a="1"/>
  <c r="L301" i="34" s="1"/>
  <c r="K301" i="34" a="1"/>
  <c r="K301" i="34" s="1"/>
  <c r="J301" i="34" a="1"/>
  <c r="J301" i="34" s="1"/>
  <c r="I301" i="34" a="1"/>
  <c r="I301" i="34" s="1"/>
  <c r="H301" i="34" a="1"/>
  <c r="H301" i="34" s="1"/>
  <c r="G301" i="34" a="1"/>
  <c r="G301" i="34" s="1"/>
  <c r="E301" i="34" a="1"/>
  <c r="E301" i="34" s="1"/>
  <c r="V300" i="34" a="1"/>
  <c r="V300" i="34" s="1"/>
  <c r="U300" i="34" a="1"/>
  <c r="U300" i="34" s="1"/>
  <c r="T300" i="34" a="1"/>
  <c r="T300" i="34" s="1"/>
  <c r="T303" i="34" s="1"/>
  <c r="N300" i="34" a="1"/>
  <c r="N300" i="34" s="1"/>
  <c r="M300" i="34" a="1"/>
  <c r="M300" i="34" s="1"/>
  <c r="L300" i="34" a="1"/>
  <c r="L300" i="34" s="1"/>
  <c r="K300" i="34" a="1"/>
  <c r="K300" i="34" s="1"/>
  <c r="J300" i="34" a="1"/>
  <c r="J300" i="34" s="1"/>
  <c r="I300" i="34" a="1"/>
  <c r="I300" i="34" s="1"/>
  <c r="H300" i="34" a="1"/>
  <c r="H300" i="34" s="1"/>
  <c r="G300" i="34" a="1"/>
  <c r="G300" i="34" s="1"/>
  <c r="E300" i="34" a="1"/>
  <c r="E300" i="34" s="1"/>
  <c r="V299" i="34" a="1"/>
  <c r="V299" i="34" s="1"/>
  <c r="U299" i="34" a="1"/>
  <c r="U299" i="34" s="1"/>
  <c r="T299" i="34" a="1"/>
  <c r="T299" i="34" s="1"/>
  <c r="N299" i="34" a="1"/>
  <c r="N299" i="34" s="1"/>
  <c r="M299" i="34" a="1"/>
  <c r="M299" i="34" s="1"/>
  <c r="L299" i="34" a="1"/>
  <c r="L299" i="34" s="1"/>
  <c r="K299" i="34" a="1"/>
  <c r="K299" i="34" s="1"/>
  <c r="J299" i="34" a="1"/>
  <c r="J299" i="34" s="1"/>
  <c r="I299" i="34" a="1"/>
  <c r="I299" i="34" s="1"/>
  <c r="H299" i="34" a="1"/>
  <c r="H299" i="34" s="1"/>
  <c r="G299" i="34" a="1"/>
  <c r="G299" i="34" s="1"/>
  <c r="E299" i="34" a="1"/>
  <c r="E299" i="34" s="1"/>
  <c r="V298" i="34" a="1"/>
  <c r="V298" i="34" s="1"/>
  <c r="U298" i="34" a="1"/>
  <c r="U298" i="34" s="1"/>
  <c r="T298" i="34" a="1"/>
  <c r="T298" i="34" s="1"/>
  <c r="N298" i="34" a="1"/>
  <c r="N298" i="34" s="1"/>
  <c r="M298" i="34" a="1"/>
  <c r="M298" i="34" s="1"/>
  <c r="L298" i="34" a="1"/>
  <c r="L298" i="34" s="1"/>
  <c r="K298" i="34" a="1"/>
  <c r="K298" i="34" s="1"/>
  <c r="J298" i="34" a="1"/>
  <c r="J298" i="34" s="1"/>
  <c r="I298" i="34" a="1"/>
  <c r="I298" i="34" s="1"/>
  <c r="I303" i="34" s="1"/>
  <c r="U122" i="37" s="1"/>
  <c r="H298" i="34" a="1"/>
  <c r="H298" i="34" s="1"/>
  <c r="G298" i="34" a="1"/>
  <c r="G298" i="34" s="1"/>
  <c r="E298" i="34" a="1"/>
  <c r="E298" i="34" s="1"/>
  <c r="D298" i="34" a="1"/>
  <c r="D298" i="34"/>
  <c r="V296" i="34" a="1"/>
  <c r="V296" i="34" s="1"/>
  <c r="U296" i="34" a="1"/>
  <c r="U296" i="34" s="1"/>
  <c r="T296" i="34" a="1"/>
  <c r="T296" i="34" s="1"/>
  <c r="N296" i="34" a="1"/>
  <c r="N296" i="34" s="1"/>
  <c r="M296" i="34" a="1"/>
  <c r="M296" i="34" s="1"/>
  <c r="L296" i="34" a="1"/>
  <c r="L296" i="34" s="1"/>
  <c r="K296" i="34" a="1"/>
  <c r="K296" i="34" s="1"/>
  <c r="J296" i="34" a="1"/>
  <c r="J296" i="34" s="1"/>
  <c r="I296" i="34" a="1"/>
  <c r="I296" i="34" s="1"/>
  <c r="H296" i="34" a="1"/>
  <c r="H296" i="34" s="1"/>
  <c r="G296" i="34" a="1"/>
  <c r="G296" i="34" s="1"/>
  <c r="E296" i="34" a="1"/>
  <c r="E296" i="34" s="1"/>
  <c r="V295" i="34" a="1"/>
  <c r="V295" i="34" s="1"/>
  <c r="V297" i="34" s="1"/>
  <c r="U295" i="34" a="1"/>
  <c r="U295" i="34" s="1"/>
  <c r="T295" i="34" a="1"/>
  <c r="T295" i="34" s="1"/>
  <c r="N295" i="34" a="1"/>
  <c r="N295" i="34" s="1"/>
  <c r="M295" i="34" a="1"/>
  <c r="M295" i="34" s="1"/>
  <c r="L295" i="34" a="1"/>
  <c r="L295" i="34" s="1"/>
  <c r="K295" i="34" a="1"/>
  <c r="K295" i="34" s="1"/>
  <c r="J295" i="34" a="1"/>
  <c r="J295" i="34" s="1"/>
  <c r="I295" i="34" a="1"/>
  <c r="I295" i="34" s="1"/>
  <c r="H295" i="34" a="1"/>
  <c r="H295" i="34" s="1"/>
  <c r="G295" i="34" a="1"/>
  <c r="G295" i="34" s="1"/>
  <c r="E295" i="34" a="1"/>
  <c r="E295" i="34" s="1"/>
  <c r="V294" i="34" a="1"/>
  <c r="V294" i="34" s="1"/>
  <c r="U294" i="34" a="1"/>
  <c r="U294" i="34" s="1"/>
  <c r="T294" i="34" a="1"/>
  <c r="T294" i="34" s="1"/>
  <c r="N294" i="34" a="1"/>
  <c r="N294" i="34" s="1"/>
  <c r="M294" i="34" a="1"/>
  <c r="M294" i="34" s="1"/>
  <c r="M297" i="34" s="1"/>
  <c r="Y117" i="37" s="1"/>
  <c r="L294" i="34" a="1"/>
  <c r="L294" i="34" s="1"/>
  <c r="K294" i="34" a="1"/>
  <c r="K294" i="34"/>
  <c r="J294" i="34" a="1"/>
  <c r="J294" i="34" s="1"/>
  <c r="I294" i="34" a="1"/>
  <c r="I294" i="34" s="1"/>
  <c r="H294" i="34" a="1"/>
  <c r="H294" i="34" s="1"/>
  <c r="G294" i="34" a="1"/>
  <c r="G294" i="34" s="1"/>
  <c r="E294" i="34" a="1"/>
  <c r="E294" i="34" s="1"/>
  <c r="E297" i="34" s="1"/>
  <c r="Q117" i="37" s="1"/>
  <c r="V293" i="34" a="1"/>
  <c r="V293" i="34" s="1"/>
  <c r="U293" i="34" a="1"/>
  <c r="U293" i="34" s="1"/>
  <c r="T293" i="34" a="1"/>
  <c r="T293" i="34" s="1"/>
  <c r="N293" i="34" a="1"/>
  <c r="N293" i="34" s="1"/>
  <c r="M293" i="34" a="1"/>
  <c r="M293" i="34" s="1"/>
  <c r="L293" i="34" a="1"/>
  <c r="L293" i="34" s="1"/>
  <c r="K293" i="34" a="1"/>
  <c r="K293" i="34" s="1"/>
  <c r="J293" i="34" a="1"/>
  <c r="J293" i="34" s="1"/>
  <c r="I293" i="34" a="1"/>
  <c r="I293" i="34" s="1"/>
  <c r="H293" i="34" a="1"/>
  <c r="H293" i="34" s="1"/>
  <c r="G293" i="34" a="1"/>
  <c r="G293" i="34" s="1"/>
  <c r="E293" i="34" a="1"/>
  <c r="E293" i="34" s="1"/>
  <c r="V292" i="34" a="1"/>
  <c r="V292" i="34" s="1"/>
  <c r="U292" i="34" a="1"/>
  <c r="U292" i="34" s="1"/>
  <c r="T292" i="34" a="1"/>
  <c r="T292" i="34" s="1"/>
  <c r="O292" i="34" a="1"/>
  <c r="O292" i="34" s="1"/>
  <c r="N292" i="34" a="1"/>
  <c r="N292" i="34" s="1"/>
  <c r="M292" i="34" a="1"/>
  <c r="M292" i="34" s="1"/>
  <c r="L292" i="34" a="1"/>
  <c r="L292" i="34" s="1"/>
  <c r="K292" i="34" a="1"/>
  <c r="K292" i="34"/>
  <c r="J292" i="34" a="1"/>
  <c r="J292" i="34" s="1"/>
  <c r="I292" i="34" a="1"/>
  <c r="I292" i="34" s="1"/>
  <c r="I297" i="34" s="1"/>
  <c r="U117" i="37" s="1"/>
  <c r="H292" i="34" a="1"/>
  <c r="H292" i="34" s="1"/>
  <c r="G292" i="34" a="1"/>
  <c r="G292" i="34"/>
  <c r="E292" i="34" a="1"/>
  <c r="E292" i="34" s="1"/>
  <c r="D292" i="34" a="1"/>
  <c r="D292" i="34" s="1"/>
  <c r="V290" i="34" a="1"/>
  <c r="V290" i="34" s="1"/>
  <c r="V405" i="34" s="1"/>
  <c r="U290" i="34" a="1"/>
  <c r="U290" i="34" s="1"/>
  <c r="T290" i="34" a="1"/>
  <c r="T290" i="34" s="1"/>
  <c r="N290" i="34" a="1"/>
  <c r="N290" i="34" s="1"/>
  <c r="M290" i="34" a="1"/>
  <c r="M290" i="34" s="1"/>
  <c r="L290" i="34" a="1"/>
  <c r="L290" i="34" s="1"/>
  <c r="K290" i="34" a="1"/>
  <c r="K290" i="34" s="1"/>
  <c r="J290" i="34" a="1"/>
  <c r="J290" i="34" s="1"/>
  <c r="I290" i="34" a="1"/>
  <c r="I290" i="34" s="1"/>
  <c r="H290" i="34" a="1"/>
  <c r="H290" i="34" s="1"/>
  <c r="G290" i="34" a="1"/>
  <c r="G290" i="34" s="1"/>
  <c r="E290" i="34" a="1"/>
  <c r="E290" i="34" s="1"/>
  <c r="V289" i="34" a="1"/>
  <c r="V289" i="34" s="1"/>
  <c r="U289" i="34" a="1"/>
  <c r="U289" i="34" s="1"/>
  <c r="T289" i="34" a="1"/>
  <c r="T289" i="34" s="1"/>
  <c r="N289" i="34" a="1"/>
  <c r="N289" i="34" s="1"/>
  <c r="M289" i="34" a="1"/>
  <c r="M289" i="34" s="1"/>
  <c r="M291" i="34" s="1"/>
  <c r="Y116" i="37" s="1"/>
  <c r="L289" i="34" a="1"/>
  <c r="L289" i="34" s="1"/>
  <c r="K289" i="34" a="1"/>
  <c r="K289" i="34"/>
  <c r="J289" i="34" a="1"/>
  <c r="J289" i="34" s="1"/>
  <c r="I289" i="34" a="1"/>
  <c r="I289" i="34" s="1"/>
  <c r="H289" i="34" a="1"/>
  <c r="H289" i="34" s="1"/>
  <c r="G289" i="34" a="1"/>
  <c r="G289" i="34"/>
  <c r="G404" i="34" s="1"/>
  <c r="E289" i="34" a="1"/>
  <c r="E289" i="34" s="1"/>
  <c r="V288" i="34" a="1"/>
  <c r="V288" i="34" s="1"/>
  <c r="U288" i="34" a="1"/>
  <c r="U288" i="34" s="1"/>
  <c r="Q56" i="36" s="1"/>
  <c r="T288" i="34" a="1"/>
  <c r="T288" i="34" s="1"/>
  <c r="N288" i="34" a="1"/>
  <c r="N288" i="34" s="1"/>
  <c r="M288" i="34" a="1"/>
  <c r="M288" i="34" s="1"/>
  <c r="L288" i="34" a="1"/>
  <c r="L288" i="34" s="1"/>
  <c r="L291" i="34" s="1"/>
  <c r="X116" i="37" s="1"/>
  <c r="K288" i="34" a="1"/>
  <c r="K288" i="34" s="1"/>
  <c r="J288" i="34" a="1"/>
  <c r="J288" i="34" s="1"/>
  <c r="I288" i="34" a="1"/>
  <c r="I288" i="34" s="1"/>
  <c r="H288" i="34" a="1"/>
  <c r="H288" i="34" s="1"/>
  <c r="G288" i="34" a="1"/>
  <c r="G288" i="34" s="1"/>
  <c r="E288" i="34" a="1"/>
  <c r="E288" i="34" s="1"/>
  <c r="V287" i="34" a="1"/>
  <c r="V287" i="34" s="1"/>
  <c r="U287" i="34" a="1"/>
  <c r="U287" i="34" s="1"/>
  <c r="P56" i="36" s="1"/>
  <c r="T287" i="34" a="1"/>
  <c r="T287" i="34" s="1"/>
  <c r="N287" i="34" a="1"/>
  <c r="N287" i="34" s="1"/>
  <c r="M287" i="34" a="1"/>
  <c r="M287" i="34" s="1"/>
  <c r="L287" i="34" a="1"/>
  <c r="L287" i="34" s="1"/>
  <c r="K287" i="34" a="1"/>
  <c r="K287" i="34" s="1"/>
  <c r="J287" i="34" a="1"/>
  <c r="J287" i="34" s="1"/>
  <c r="I287" i="34" a="1"/>
  <c r="I287" i="34" s="1"/>
  <c r="H287" i="34" a="1"/>
  <c r="H287" i="34" s="1"/>
  <c r="G287" i="34" a="1"/>
  <c r="G287" i="34" s="1"/>
  <c r="G291" i="34" s="1"/>
  <c r="S116" i="37" s="1"/>
  <c r="E287" i="34" a="1"/>
  <c r="E287" i="34" s="1"/>
  <c r="V286" i="34" a="1"/>
  <c r="V286" i="34" s="1"/>
  <c r="U286" i="34" a="1"/>
  <c r="U286" i="34" s="1"/>
  <c r="T286" i="34" a="1"/>
  <c r="T286" i="34" s="1"/>
  <c r="O286" i="34" a="1"/>
  <c r="O286" i="34" s="1"/>
  <c r="N286" i="34" a="1"/>
  <c r="N286" i="34" s="1"/>
  <c r="M286" i="34" a="1"/>
  <c r="M286" i="34"/>
  <c r="L286" i="34" a="1"/>
  <c r="L286" i="34" s="1"/>
  <c r="K286" i="34" a="1"/>
  <c r="K286" i="34" s="1"/>
  <c r="J286" i="34" a="1"/>
  <c r="J286" i="34" s="1"/>
  <c r="I286" i="34" a="1"/>
  <c r="I286" i="34" s="1"/>
  <c r="H286" i="34" a="1"/>
  <c r="H286" i="34" s="1"/>
  <c r="G286" i="34" a="1"/>
  <c r="G286" i="34" s="1"/>
  <c r="E286" i="34" a="1"/>
  <c r="E286" i="34" s="1"/>
  <c r="D286" i="34" a="1"/>
  <c r="D286" i="34" s="1"/>
  <c r="V284" i="34" a="1"/>
  <c r="V284" i="34" s="1"/>
  <c r="U284" i="34" a="1"/>
  <c r="U284" i="34" s="1"/>
  <c r="T284" i="34" a="1"/>
  <c r="T284" i="34" s="1"/>
  <c r="N284" i="34" a="1"/>
  <c r="N284" i="34" s="1"/>
  <c r="M284" i="34" a="1"/>
  <c r="M284" i="34" s="1"/>
  <c r="L284" i="34" a="1"/>
  <c r="L284" i="34" s="1"/>
  <c r="K284" i="34" a="1"/>
  <c r="K284" i="34" s="1"/>
  <c r="J284" i="34" a="1"/>
  <c r="J284" i="34" s="1"/>
  <c r="I284" i="34" a="1"/>
  <c r="I284" i="34" s="1"/>
  <c r="H284" i="34" a="1"/>
  <c r="H284" i="34" s="1"/>
  <c r="G284" i="34" a="1"/>
  <c r="G284" i="34" s="1"/>
  <c r="E284" i="34" a="1"/>
  <c r="E284" i="34" s="1"/>
  <c r="V283" i="34" a="1"/>
  <c r="V283" i="34" s="1"/>
  <c r="U283" i="34" a="1"/>
  <c r="U283" i="34" s="1"/>
  <c r="T283" i="34" a="1"/>
  <c r="T283" i="34" s="1"/>
  <c r="N283" i="34" a="1"/>
  <c r="N283" i="34" s="1"/>
  <c r="M283" i="34" a="1"/>
  <c r="M283" i="34"/>
  <c r="L283" i="34" a="1"/>
  <c r="L283" i="34" s="1"/>
  <c r="K283" i="34" a="1"/>
  <c r="K283" i="34" s="1"/>
  <c r="J283" i="34" a="1"/>
  <c r="J283" i="34" s="1"/>
  <c r="I283" i="34" a="1"/>
  <c r="I283" i="34"/>
  <c r="H283" i="34" a="1"/>
  <c r="H283" i="34" s="1"/>
  <c r="G283" i="34" a="1"/>
  <c r="G283" i="34" s="1"/>
  <c r="E283" i="34" a="1"/>
  <c r="E283" i="34" s="1"/>
  <c r="V282" i="34" a="1"/>
  <c r="V282" i="34" s="1"/>
  <c r="U282" i="34" a="1"/>
  <c r="U282" i="34" s="1"/>
  <c r="T282" i="34" a="1"/>
  <c r="T282" i="34" s="1"/>
  <c r="N282" i="34" a="1"/>
  <c r="N282" i="34" s="1"/>
  <c r="M282" i="34" a="1"/>
  <c r="M282" i="34" s="1"/>
  <c r="L282" i="34" a="1"/>
  <c r="L282" i="34" s="1"/>
  <c r="K282" i="34" a="1"/>
  <c r="K282" i="34" s="1"/>
  <c r="J282" i="34" a="1"/>
  <c r="J282" i="34" s="1"/>
  <c r="I282" i="34" a="1"/>
  <c r="I282" i="34" s="1"/>
  <c r="H282" i="34" a="1"/>
  <c r="H282" i="34" s="1"/>
  <c r="G282" i="34" a="1"/>
  <c r="G282" i="34" s="1"/>
  <c r="E282" i="34" a="1"/>
  <c r="E282" i="34" s="1"/>
  <c r="V281" i="34" a="1"/>
  <c r="V281" i="34" s="1"/>
  <c r="U281" i="34" a="1"/>
  <c r="U281" i="34" s="1"/>
  <c r="P55" i="36" s="1"/>
  <c r="T281" i="34" a="1"/>
  <c r="T281" i="34" s="1"/>
  <c r="N281" i="34" a="1"/>
  <c r="N281" i="34" s="1"/>
  <c r="M281" i="34" a="1"/>
  <c r="M281" i="34"/>
  <c r="L281" i="34" a="1"/>
  <c r="L281" i="34" s="1"/>
  <c r="K281" i="34" a="1"/>
  <c r="K281" i="34" s="1"/>
  <c r="J281" i="34" a="1"/>
  <c r="J281" i="34" s="1"/>
  <c r="I281" i="34" a="1"/>
  <c r="I281" i="34"/>
  <c r="H281" i="34" a="1"/>
  <c r="H281" i="34" s="1"/>
  <c r="G281" i="34" a="1"/>
  <c r="G281" i="34" s="1"/>
  <c r="E281" i="34" a="1"/>
  <c r="E281" i="34" s="1"/>
  <c r="V280" i="34" a="1"/>
  <c r="V280" i="34" s="1"/>
  <c r="U280" i="34" a="1"/>
  <c r="U280" i="34" s="1"/>
  <c r="T280" i="34" a="1"/>
  <c r="T280" i="34" s="1"/>
  <c r="N280" i="34" a="1"/>
  <c r="N280" i="34" s="1"/>
  <c r="M280" i="34" a="1"/>
  <c r="M280" i="34" s="1"/>
  <c r="L280" i="34" a="1"/>
  <c r="L280" i="34" s="1"/>
  <c r="K280" i="34" a="1"/>
  <c r="K280" i="34" s="1"/>
  <c r="J280" i="34" a="1"/>
  <c r="J280" i="34" s="1"/>
  <c r="I280" i="34" a="1"/>
  <c r="I280" i="34" s="1"/>
  <c r="H280" i="34" a="1"/>
  <c r="H280" i="34" s="1"/>
  <c r="G280" i="34" a="1"/>
  <c r="G280" i="34" s="1"/>
  <c r="E280" i="34" a="1"/>
  <c r="E280" i="34" s="1"/>
  <c r="D280" i="34" a="1"/>
  <c r="D280" i="34" s="1"/>
  <c r="V278" i="34" a="1"/>
  <c r="V278" i="34" s="1"/>
  <c r="U278" i="34" a="1"/>
  <c r="U278" i="34" s="1"/>
  <c r="T278" i="34" a="1"/>
  <c r="T278" i="34" s="1"/>
  <c r="N278" i="34" a="1"/>
  <c r="N278" i="34" s="1"/>
  <c r="M278" i="34" a="1"/>
  <c r="M278" i="34" s="1"/>
  <c r="L278" i="34" a="1"/>
  <c r="L278" i="34" s="1"/>
  <c r="K278" i="34" a="1"/>
  <c r="K278" i="34" s="1"/>
  <c r="J278" i="34" a="1"/>
  <c r="J278" i="34" s="1"/>
  <c r="I278" i="34" a="1"/>
  <c r="I278" i="34"/>
  <c r="H278" i="34" a="1"/>
  <c r="H278" i="34" s="1"/>
  <c r="G278" i="34" a="1"/>
  <c r="G278" i="34" s="1"/>
  <c r="E278" i="34" a="1"/>
  <c r="E278" i="34" s="1"/>
  <c r="V277" i="34" a="1"/>
  <c r="V277" i="34" s="1"/>
  <c r="U277" i="34" a="1"/>
  <c r="U277" i="34" s="1"/>
  <c r="T277" i="34" a="1"/>
  <c r="T277" i="34" s="1"/>
  <c r="N277" i="34" a="1"/>
  <c r="N277" i="34" s="1"/>
  <c r="M277" i="34" a="1"/>
  <c r="M277" i="34" s="1"/>
  <c r="L277" i="34" a="1"/>
  <c r="L277" i="34" s="1"/>
  <c r="K277" i="34" a="1"/>
  <c r="K277" i="34" s="1"/>
  <c r="J277" i="34" a="1"/>
  <c r="J277" i="34" s="1"/>
  <c r="I277" i="34" a="1"/>
  <c r="I277" i="34" s="1"/>
  <c r="H277" i="34" a="1"/>
  <c r="H277" i="34" s="1"/>
  <c r="G277" i="34" a="1"/>
  <c r="G277" i="34" s="1"/>
  <c r="E277" i="34" a="1"/>
  <c r="E277" i="34" s="1"/>
  <c r="V276" i="34" a="1"/>
  <c r="V276" i="34" s="1"/>
  <c r="U276" i="34" a="1"/>
  <c r="U276" i="34" s="1"/>
  <c r="Q54" i="36" s="1"/>
  <c r="T276" i="34" a="1"/>
  <c r="T276" i="34" s="1"/>
  <c r="N276" i="34" a="1"/>
  <c r="N276" i="34" s="1"/>
  <c r="M276" i="34" a="1"/>
  <c r="M276" i="34" s="1"/>
  <c r="L276" i="34" a="1"/>
  <c r="L276" i="34" s="1"/>
  <c r="K276" i="34" a="1"/>
  <c r="K276" i="34" s="1"/>
  <c r="J276" i="34" a="1"/>
  <c r="J276" i="34" s="1"/>
  <c r="I276" i="34" a="1"/>
  <c r="I276" i="34" s="1"/>
  <c r="H276" i="34" a="1"/>
  <c r="H276" i="34" s="1"/>
  <c r="G276" i="34" a="1"/>
  <c r="G276" i="34" s="1"/>
  <c r="E276" i="34" a="1"/>
  <c r="E276" i="34" s="1"/>
  <c r="V275" i="34" a="1"/>
  <c r="V275" i="34" s="1"/>
  <c r="U275" i="34" a="1"/>
  <c r="U275" i="34" s="1"/>
  <c r="T275" i="34" a="1"/>
  <c r="T275" i="34" s="1"/>
  <c r="N275" i="34" a="1"/>
  <c r="N275" i="34" s="1"/>
  <c r="M275" i="34" a="1"/>
  <c r="M275" i="34" s="1"/>
  <c r="L275" i="34" a="1"/>
  <c r="L275" i="34" s="1"/>
  <c r="K275" i="34" a="1"/>
  <c r="K275" i="34" s="1"/>
  <c r="J275" i="34" a="1"/>
  <c r="J275" i="34" s="1"/>
  <c r="I275" i="34" a="1"/>
  <c r="I275" i="34" s="1"/>
  <c r="H275" i="34" a="1"/>
  <c r="H275" i="34" s="1"/>
  <c r="G275" i="34" a="1"/>
  <c r="G275" i="34" s="1"/>
  <c r="E275" i="34" a="1"/>
  <c r="E275" i="34" s="1"/>
  <c r="V274" i="34" a="1"/>
  <c r="V274" i="34" s="1"/>
  <c r="U274" i="34" a="1"/>
  <c r="U274" i="34" s="1"/>
  <c r="T274" i="34" a="1"/>
  <c r="T274" i="34" s="1"/>
  <c r="O274" i="34" a="1"/>
  <c r="O274" i="34" s="1"/>
  <c r="N274" i="34" a="1"/>
  <c r="N274" i="34" s="1"/>
  <c r="M274" i="34" a="1"/>
  <c r="M274" i="34" s="1"/>
  <c r="L274" i="34" a="1"/>
  <c r="L274" i="34" s="1"/>
  <c r="K274" i="34" a="1"/>
  <c r="K274" i="34" s="1"/>
  <c r="J274" i="34" a="1"/>
  <c r="J274" i="34" s="1"/>
  <c r="I274" i="34" a="1"/>
  <c r="I274" i="34" s="1"/>
  <c r="I279" i="34" s="1"/>
  <c r="U114" i="37" s="1"/>
  <c r="H274" i="34" a="1"/>
  <c r="H274" i="34" s="1"/>
  <c r="G274" i="34" a="1"/>
  <c r="G274" i="34" s="1"/>
  <c r="E274" i="34" a="1"/>
  <c r="E274" i="34" s="1"/>
  <c r="D274" i="34" a="1"/>
  <c r="D274" i="34" s="1"/>
  <c r="V272" i="34" a="1"/>
  <c r="V272" i="34" s="1"/>
  <c r="U272" i="34" a="1"/>
  <c r="U272" i="34" s="1"/>
  <c r="T272" i="34" a="1"/>
  <c r="T272" i="34" s="1"/>
  <c r="N272" i="34" a="1"/>
  <c r="N272" i="34" s="1"/>
  <c r="M272" i="34" a="1"/>
  <c r="M272" i="34" s="1"/>
  <c r="L272" i="34" a="1"/>
  <c r="L272" i="34" s="1"/>
  <c r="K272" i="34" a="1"/>
  <c r="K272" i="34"/>
  <c r="J272" i="34" a="1"/>
  <c r="J272" i="34" s="1"/>
  <c r="I272" i="34" a="1"/>
  <c r="I272" i="34" s="1"/>
  <c r="H272" i="34" a="1"/>
  <c r="H272" i="34" s="1"/>
  <c r="G272" i="34" a="1"/>
  <c r="G272" i="34"/>
  <c r="E272" i="34" a="1"/>
  <c r="E272" i="34" s="1"/>
  <c r="V271" i="34" a="1"/>
  <c r="V271" i="34" s="1"/>
  <c r="U271" i="34" a="1"/>
  <c r="U271" i="34" s="1"/>
  <c r="R53" i="36" s="1"/>
  <c r="T271" i="34" a="1"/>
  <c r="T271" i="34" s="1"/>
  <c r="N271" i="34" a="1"/>
  <c r="N271" i="34" s="1"/>
  <c r="M271" i="34" a="1"/>
  <c r="M271" i="34" s="1"/>
  <c r="L271" i="34" a="1"/>
  <c r="L271" i="34" s="1"/>
  <c r="K271" i="34" a="1"/>
  <c r="K271" i="34" s="1"/>
  <c r="J271" i="34" a="1"/>
  <c r="J271" i="34" s="1"/>
  <c r="I271" i="34" a="1"/>
  <c r="I271" i="34" s="1"/>
  <c r="H271" i="34" a="1"/>
  <c r="H271" i="34" s="1"/>
  <c r="G271" i="34" a="1"/>
  <c r="G271" i="34" s="1"/>
  <c r="E271" i="34" a="1"/>
  <c r="E271" i="34" s="1"/>
  <c r="V270" i="34" a="1"/>
  <c r="V270" i="34" s="1"/>
  <c r="U270" i="34" a="1"/>
  <c r="U270" i="34" s="1"/>
  <c r="T270" i="34" a="1"/>
  <c r="T270" i="34" s="1"/>
  <c r="N270" i="34" a="1"/>
  <c r="N270" i="34" s="1"/>
  <c r="M270" i="34" a="1"/>
  <c r="M270" i="34" s="1"/>
  <c r="L270" i="34" a="1"/>
  <c r="L270" i="34" s="1"/>
  <c r="K270" i="34" a="1"/>
  <c r="K270" i="34"/>
  <c r="J270" i="34" a="1"/>
  <c r="J270" i="34" s="1"/>
  <c r="I270" i="34" a="1"/>
  <c r="I270" i="34" s="1"/>
  <c r="H270" i="34" a="1"/>
  <c r="H270" i="34" s="1"/>
  <c r="G270" i="34" a="1"/>
  <c r="G270" i="34" s="1"/>
  <c r="E270" i="34" a="1"/>
  <c r="E270" i="34" s="1"/>
  <c r="V269" i="34" a="1"/>
  <c r="V269" i="34" s="1"/>
  <c r="U269" i="34" a="1"/>
  <c r="U269" i="34" s="1"/>
  <c r="T269" i="34" a="1"/>
  <c r="T269" i="34" s="1"/>
  <c r="N269" i="34" a="1"/>
  <c r="N269" i="34" s="1"/>
  <c r="M269" i="34" a="1"/>
  <c r="M269" i="34" s="1"/>
  <c r="M273" i="34" s="1"/>
  <c r="L269" i="34" a="1"/>
  <c r="L269" i="34" s="1"/>
  <c r="K269" i="34" a="1"/>
  <c r="K269" i="34" s="1"/>
  <c r="J269" i="34" a="1"/>
  <c r="J269" i="34" s="1"/>
  <c r="I269" i="34" a="1"/>
  <c r="I269" i="34" s="1"/>
  <c r="H269" i="34" a="1"/>
  <c r="H269" i="34" s="1"/>
  <c r="G269" i="34" a="1"/>
  <c r="G269" i="34" s="1"/>
  <c r="E269" i="34" a="1"/>
  <c r="E269" i="34" s="1"/>
  <c r="V268" i="34" a="1"/>
  <c r="V268" i="34" s="1"/>
  <c r="U268" i="34" a="1"/>
  <c r="U268" i="34" s="1"/>
  <c r="T268" i="34" a="1"/>
  <c r="T268" i="34" s="1"/>
  <c r="O268" i="34" a="1"/>
  <c r="O268" i="34" s="1"/>
  <c r="N268" i="34" a="1"/>
  <c r="N268" i="34" s="1"/>
  <c r="M268" i="34" a="1"/>
  <c r="M268" i="34" s="1"/>
  <c r="L268" i="34" a="1"/>
  <c r="L268" i="34" s="1"/>
  <c r="K268" i="34" a="1"/>
  <c r="K268" i="34" s="1"/>
  <c r="J268" i="34" a="1"/>
  <c r="J268" i="34" s="1"/>
  <c r="I268" i="34" a="1"/>
  <c r="I268" i="34" s="1"/>
  <c r="H268" i="34" a="1"/>
  <c r="H268" i="34" s="1"/>
  <c r="G268" i="34" a="1"/>
  <c r="G268" i="34"/>
  <c r="E268" i="34" a="1"/>
  <c r="E268" i="34" s="1"/>
  <c r="D268" i="34" a="1"/>
  <c r="D268" i="34" s="1"/>
  <c r="V266" i="34" a="1"/>
  <c r="V266" i="34" s="1"/>
  <c r="U266" i="34" a="1"/>
  <c r="U266" i="34"/>
  <c r="T266" i="34" a="1"/>
  <c r="T266" i="34" s="1"/>
  <c r="N266" i="34" a="1"/>
  <c r="N266" i="34" s="1"/>
  <c r="M266" i="34" a="1"/>
  <c r="M266" i="34"/>
  <c r="L266" i="34" a="1"/>
  <c r="L266" i="34" s="1"/>
  <c r="K266" i="34" a="1"/>
  <c r="K266" i="34" s="1"/>
  <c r="J266" i="34" a="1"/>
  <c r="J266" i="34" s="1"/>
  <c r="I266" i="34" a="1"/>
  <c r="I266" i="34" s="1"/>
  <c r="I267" i="34" s="1"/>
  <c r="U112" i="37" s="1"/>
  <c r="H266" i="34" a="1"/>
  <c r="H266" i="34" s="1"/>
  <c r="G266" i="34" a="1"/>
  <c r="G266" i="34" s="1"/>
  <c r="E266" i="34" a="1"/>
  <c r="E266" i="34" s="1"/>
  <c r="V265" i="34" a="1"/>
  <c r="V265" i="34" s="1"/>
  <c r="U265" i="34" a="1"/>
  <c r="U265" i="34" s="1"/>
  <c r="T265" i="34" a="1"/>
  <c r="T265" i="34" s="1"/>
  <c r="N265" i="34" a="1"/>
  <c r="N265" i="34" s="1"/>
  <c r="M265" i="34" a="1"/>
  <c r="M265" i="34" s="1"/>
  <c r="L265" i="34" a="1"/>
  <c r="L265" i="34" s="1"/>
  <c r="K265" i="34" a="1"/>
  <c r="K265" i="34" s="1"/>
  <c r="J265" i="34" a="1"/>
  <c r="J265" i="34" s="1"/>
  <c r="I265" i="34" a="1"/>
  <c r="I265" i="34" s="1"/>
  <c r="H265" i="34" a="1"/>
  <c r="H265" i="34" s="1"/>
  <c r="G265" i="34" a="1"/>
  <c r="G265" i="34" s="1"/>
  <c r="E265" i="34" a="1"/>
  <c r="E265" i="34" s="1"/>
  <c r="V264" i="34" a="1"/>
  <c r="V264" i="34" s="1"/>
  <c r="U264" i="34" a="1"/>
  <c r="U264" i="34"/>
  <c r="T264" i="34" a="1"/>
  <c r="T264" i="34" s="1"/>
  <c r="N264" i="34" a="1"/>
  <c r="N264" i="34" s="1"/>
  <c r="M264" i="34" a="1"/>
  <c r="M264" i="34"/>
  <c r="L264" i="34" a="1"/>
  <c r="L264" i="34" s="1"/>
  <c r="K264" i="34" a="1"/>
  <c r="K264" i="34" s="1"/>
  <c r="J264" i="34" a="1"/>
  <c r="J264" i="34" s="1"/>
  <c r="I264" i="34" a="1"/>
  <c r="I264" i="34"/>
  <c r="H264" i="34" a="1"/>
  <c r="H264" i="34" s="1"/>
  <c r="G264" i="34" a="1"/>
  <c r="G264" i="34" s="1"/>
  <c r="E264" i="34" a="1"/>
  <c r="E264" i="34" s="1"/>
  <c r="V263" i="34" a="1"/>
  <c r="V263" i="34" s="1"/>
  <c r="U263" i="34" a="1"/>
  <c r="U263" i="34" s="1"/>
  <c r="T263" i="34" a="1"/>
  <c r="T263" i="34" s="1"/>
  <c r="N263" i="34" a="1"/>
  <c r="N263" i="34" s="1"/>
  <c r="M263" i="34" a="1"/>
  <c r="M263" i="34" s="1"/>
  <c r="L263" i="34" a="1"/>
  <c r="L263" i="34" s="1"/>
  <c r="K263" i="34" a="1"/>
  <c r="K263" i="34" s="1"/>
  <c r="J263" i="34" a="1"/>
  <c r="J263" i="34" s="1"/>
  <c r="I263" i="34" a="1"/>
  <c r="I263" i="34" s="1"/>
  <c r="H263" i="34" a="1"/>
  <c r="H263" i="34" s="1"/>
  <c r="G263" i="34" a="1"/>
  <c r="G263" i="34" s="1"/>
  <c r="E263" i="34" a="1"/>
  <c r="E263" i="34" s="1"/>
  <c r="V262" i="34" a="1"/>
  <c r="V262" i="34" s="1"/>
  <c r="U262" i="34" a="1"/>
  <c r="U262" i="34" s="1"/>
  <c r="U267" i="34" s="1"/>
  <c r="T262" i="34" a="1"/>
  <c r="T262" i="34" s="1"/>
  <c r="O262" i="34" a="1"/>
  <c r="O262" i="34" s="1"/>
  <c r="N262" i="34" a="1"/>
  <c r="N262" i="34" s="1"/>
  <c r="M262" i="34" a="1"/>
  <c r="M262" i="34"/>
  <c r="L262" i="34" a="1"/>
  <c r="L262" i="34" s="1"/>
  <c r="K262" i="34" a="1"/>
  <c r="K262" i="34" s="1"/>
  <c r="J262" i="34" a="1"/>
  <c r="J262" i="34" s="1"/>
  <c r="I262" i="34" a="1"/>
  <c r="I262" i="34"/>
  <c r="H262" i="34" a="1"/>
  <c r="H262" i="34" s="1"/>
  <c r="G262" i="34" a="1"/>
  <c r="G262" i="34" s="1"/>
  <c r="E262" i="34" a="1"/>
  <c r="E262" i="34" s="1"/>
  <c r="D262" i="34" a="1"/>
  <c r="D262" i="34"/>
  <c r="V260" i="34" a="1"/>
  <c r="V260" i="34" s="1"/>
  <c r="U260" i="34" a="1"/>
  <c r="U260" i="34" s="1"/>
  <c r="T260" i="34" a="1"/>
  <c r="T260" i="34" s="1"/>
  <c r="N260" i="34" a="1"/>
  <c r="N260" i="34" s="1"/>
  <c r="M260" i="34" a="1"/>
  <c r="M260" i="34" s="1"/>
  <c r="L260" i="34" a="1"/>
  <c r="L260" i="34" s="1"/>
  <c r="K260" i="34" a="1"/>
  <c r="K260" i="34"/>
  <c r="J260" i="34" a="1"/>
  <c r="J260" i="34" s="1"/>
  <c r="I260" i="34" a="1"/>
  <c r="I260" i="34" s="1"/>
  <c r="H260" i="34" a="1"/>
  <c r="H260" i="34" s="1"/>
  <c r="G260" i="34" a="1"/>
  <c r="G260" i="34" s="1"/>
  <c r="E260" i="34" a="1"/>
  <c r="E260" i="34" s="1"/>
  <c r="V259" i="34" a="1"/>
  <c r="V259" i="34" s="1"/>
  <c r="U259" i="34" a="1"/>
  <c r="U259" i="34" s="1"/>
  <c r="T259" i="34" a="1"/>
  <c r="T259" i="34" s="1"/>
  <c r="N259" i="34" a="1"/>
  <c r="N259" i="34" s="1"/>
  <c r="M259" i="34" a="1"/>
  <c r="M259" i="34" s="1"/>
  <c r="L259" i="34" a="1"/>
  <c r="L259" i="34" s="1"/>
  <c r="K259" i="34" a="1"/>
  <c r="K259" i="34" s="1"/>
  <c r="J259" i="34" a="1"/>
  <c r="J259" i="34" s="1"/>
  <c r="I259" i="34" a="1"/>
  <c r="I259" i="34"/>
  <c r="H259" i="34" a="1"/>
  <c r="H259" i="34" s="1"/>
  <c r="G259" i="34" a="1"/>
  <c r="G259" i="34" s="1"/>
  <c r="E259" i="34" a="1"/>
  <c r="E259" i="34" s="1"/>
  <c r="V258" i="34" a="1"/>
  <c r="V258" i="34" s="1"/>
  <c r="U258" i="34" a="1"/>
  <c r="U258" i="34" s="1"/>
  <c r="T258" i="34" a="1"/>
  <c r="T258" i="34" s="1"/>
  <c r="N258" i="34" a="1"/>
  <c r="N258" i="34" s="1"/>
  <c r="M258" i="34" a="1"/>
  <c r="M258" i="34" s="1"/>
  <c r="L258" i="34" a="1"/>
  <c r="L258" i="34" s="1"/>
  <c r="K258" i="34" a="1"/>
  <c r="K258" i="34" s="1"/>
  <c r="J258" i="34" a="1"/>
  <c r="J258" i="34" s="1"/>
  <c r="I258" i="34" a="1"/>
  <c r="I258" i="34" s="1"/>
  <c r="H258" i="34" a="1"/>
  <c r="H258" i="34" s="1"/>
  <c r="G258" i="34" a="1"/>
  <c r="G258" i="34"/>
  <c r="E258" i="34" a="1"/>
  <c r="E258" i="34" s="1"/>
  <c r="V257" i="34" a="1"/>
  <c r="V257" i="34" s="1"/>
  <c r="U257" i="34" a="1"/>
  <c r="U257" i="34" s="1"/>
  <c r="P51" i="36" s="1"/>
  <c r="T257" i="34" a="1"/>
  <c r="T257" i="34" s="1"/>
  <c r="N257" i="34" a="1"/>
  <c r="N257" i="34" s="1"/>
  <c r="M257" i="34" a="1"/>
  <c r="M257" i="34" s="1"/>
  <c r="L257" i="34" a="1"/>
  <c r="L257" i="34"/>
  <c r="K257" i="34" a="1"/>
  <c r="K257" i="34" s="1"/>
  <c r="J257" i="34" a="1"/>
  <c r="J257" i="34" s="1"/>
  <c r="I257" i="34" a="1"/>
  <c r="I257" i="34" s="1"/>
  <c r="H257" i="34" a="1"/>
  <c r="H257" i="34" s="1"/>
  <c r="G257" i="34" a="1"/>
  <c r="G257" i="34" s="1"/>
  <c r="E257" i="34" a="1"/>
  <c r="E257" i="34" s="1"/>
  <c r="V256" i="34" a="1"/>
  <c r="V256" i="34" s="1"/>
  <c r="U256" i="34" a="1"/>
  <c r="U256" i="34" s="1"/>
  <c r="T256" i="34" a="1"/>
  <c r="T256" i="34" s="1"/>
  <c r="O256" i="34" a="1"/>
  <c r="O256" i="34"/>
  <c r="N256" i="34" a="1"/>
  <c r="N256" i="34"/>
  <c r="M256" i="34" a="1"/>
  <c r="M256" i="34" s="1"/>
  <c r="L256" i="34" a="1"/>
  <c r="L256" i="34" s="1"/>
  <c r="K256" i="34" a="1"/>
  <c r="K256" i="34" s="1"/>
  <c r="J256" i="34" a="1"/>
  <c r="J256" i="34"/>
  <c r="I256" i="34" a="1"/>
  <c r="I256" i="34" s="1"/>
  <c r="H256" i="34" a="1"/>
  <c r="H256" i="34" s="1"/>
  <c r="G256" i="34" a="1"/>
  <c r="G256" i="34" s="1"/>
  <c r="E256" i="34" a="1"/>
  <c r="E256" i="34" s="1"/>
  <c r="D256" i="34" a="1"/>
  <c r="D256" i="34" s="1"/>
  <c r="V254" i="34" a="1"/>
  <c r="V254" i="34" s="1"/>
  <c r="U254" i="34" a="1"/>
  <c r="U254" i="34"/>
  <c r="T254" i="34" a="1"/>
  <c r="T254" i="34" s="1"/>
  <c r="K50" i="36" s="1"/>
  <c r="N254" i="34" a="1"/>
  <c r="N254" i="34" s="1"/>
  <c r="M254" i="34" a="1"/>
  <c r="M254" i="34"/>
  <c r="L254" i="34" a="1"/>
  <c r="L254" i="34"/>
  <c r="K254" i="34" a="1"/>
  <c r="K254" i="34" s="1"/>
  <c r="J254" i="34" a="1"/>
  <c r="J254" i="34" s="1"/>
  <c r="I254" i="34" a="1"/>
  <c r="I254" i="34" s="1"/>
  <c r="H254" i="34" a="1"/>
  <c r="H254" i="34" s="1"/>
  <c r="G254" i="34" a="1"/>
  <c r="G254" i="34" s="1"/>
  <c r="E254" i="34" a="1"/>
  <c r="E254" i="34" s="1"/>
  <c r="V253" i="34" a="1"/>
  <c r="V253" i="34" s="1"/>
  <c r="U253" i="34" a="1"/>
  <c r="U253" i="34" s="1"/>
  <c r="T253" i="34" a="1"/>
  <c r="T253" i="34" s="1"/>
  <c r="N253" i="34" a="1"/>
  <c r="N253" i="34" s="1"/>
  <c r="M253" i="34" a="1"/>
  <c r="M253" i="34" s="1"/>
  <c r="L253" i="34" a="1"/>
  <c r="L253" i="34" s="1"/>
  <c r="K253" i="34" a="1"/>
  <c r="K253" i="34" s="1"/>
  <c r="K255" i="34" s="1"/>
  <c r="W110" i="37" s="1"/>
  <c r="J253" i="34" a="1"/>
  <c r="J253" i="34"/>
  <c r="I253" i="34" a="1"/>
  <c r="I253" i="34" s="1"/>
  <c r="H253" i="34" a="1"/>
  <c r="H253" i="34" s="1"/>
  <c r="G253" i="34" a="1"/>
  <c r="G253" i="34" s="1"/>
  <c r="E253" i="34" a="1"/>
  <c r="E253" i="34" s="1"/>
  <c r="E255" i="34" s="1"/>
  <c r="Q110" i="37" s="1"/>
  <c r="V252" i="34" a="1"/>
  <c r="V252" i="34" s="1"/>
  <c r="U252" i="34" a="1"/>
  <c r="U252" i="34" s="1"/>
  <c r="Q50" i="36" s="1"/>
  <c r="T252" i="34" a="1"/>
  <c r="T252" i="34" s="1"/>
  <c r="N252" i="34" a="1"/>
  <c r="N252" i="34" s="1"/>
  <c r="M252" i="34" a="1"/>
  <c r="M252" i="34"/>
  <c r="L252" i="34" a="1"/>
  <c r="L252" i="34" s="1"/>
  <c r="K252" i="34" a="1"/>
  <c r="K252" i="34" s="1"/>
  <c r="J252" i="34" a="1"/>
  <c r="J252" i="34" s="1"/>
  <c r="I252" i="34" a="1"/>
  <c r="I252" i="34" s="1"/>
  <c r="H252" i="34" a="1"/>
  <c r="H252" i="34"/>
  <c r="G252" i="34" a="1"/>
  <c r="G252" i="34" s="1"/>
  <c r="E252" i="34" a="1"/>
  <c r="E252" i="34" s="1"/>
  <c r="V251" i="34" a="1"/>
  <c r="V251" i="34" s="1"/>
  <c r="U251" i="34" a="1"/>
  <c r="U251" i="34" s="1"/>
  <c r="T251" i="34" a="1"/>
  <c r="T251" i="34" s="1"/>
  <c r="N251" i="34" a="1"/>
  <c r="N251" i="34" s="1"/>
  <c r="N255" i="34" s="1"/>
  <c r="Z110" i="37" s="1"/>
  <c r="M251" i="34" a="1"/>
  <c r="M251" i="34" s="1"/>
  <c r="L251" i="34" a="1"/>
  <c r="L251" i="34" s="1"/>
  <c r="K251" i="34" a="1"/>
  <c r="K251" i="34"/>
  <c r="J251" i="34" a="1"/>
  <c r="J251" i="34" s="1"/>
  <c r="J255" i="34" s="1"/>
  <c r="V110" i="37" s="1"/>
  <c r="I251" i="34" a="1"/>
  <c r="I251" i="34" s="1"/>
  <c r="H251" i="34" a="1"/>
  <c r="H251" i="34" s="1"/>
  <c r="G251" i="34" a="1"/>
  <c r="G251" i="34" s="1"/>
  <c r="E251" i="34" a="1"/>
  <c r="E251" i="34"/>
  <c r="V250" i="34" a="1"/>
  <c r="V250" i="34" s="1"/>
  <c r="U250" i="34" a="1"/>
  <c r="U250" i="34" s="1"/>
  <c r="T250" i="34" a="1"/>
  <c r="T250" i="34" s="1"/>
  <c r="O250" i="34" a="1"/>
  <c r="O250" i="34" s="1"/>
  <c r="N250" i="34" a="1"/>
  <c r="N250" i="34" s="1"/>
  <c r="M250" i="34" a="1"/>
  <c r="M250" i="34" s="1"/>
  <c r="L250" i="34" a="1"/>
  <c r="L250" i="34" s="1"/>
  <c r="L255" i="34" s="1"/>
  <c r="X110" i="37" s="1"/>
  <c r="K250" i="34" a="1"/>
  <c r="K250" i="34" s="1"/>
  <c r="J250" i="34" a="1"/>
  <c r="J250" i="34" s="1"/>
  <c r="I250" i="34" a="1"/>
  <c r="I250" i="34"/>
  <c r="H250" i="34" a="1"/>
  <c r="H250" i="34" s="1"/>
  <c r="H255" i="34" s="1"/>
  <c r="T110" i="37" s="1"/>
  <c r="G250" i="34" a="1"/>
  <c r="G250" i="34" s="1"/>
  <c r="E250" i="34" a="1"/>
  <c r="E250" i="34" s="1"/>
  <c r="D250" i="34" a="1"/>
  <c r="D250" i="34" s="1"/>
  <c r="V248" i="34" a="1"/>
  <c r="V248" i="34" s="1"/>
  <c r="U248" i="34" a="1"/>
  <c r="U248" i="34" s="1"/>
  <c r="T248" i="34" a="1"/>
  <c r="T248" i="34" s="1"/>
  <c r="N248" i="34" a="1"/>
  <c r="N248" i="34" s="1"/>
  <c r="M248" i="34" a="1"/>
  <c r="M248" i="34" s="1"/>
  <c r="L248" i="34" a="1"/>
  <c r="L248" i="34" s="1"/>
  <c r="K248" i="34" a="1"/>
  <c r="K248" i="34"/>
  <c r="J248" i="34" a="1"/>
  <c r="J248" i="34" s="1"/>
  <c r="I248" i="34" a="1"/>
  <c r="I248" i="34" s="1"/>
  <c r="H248" i="34" a="1"/>
  <c r="H248" i="34" s="1"/>
  <c r="G248" i="34" a="1"/>
  <c r="G248" i="34"/>
  <c r="E248" i="34" a="1"/>
  <c r="E248" i="34" s="1"/>
  <c r="V247" i="34" a="1"/>
  <c r="V247" i="34" s="1"/>
  <c r="U247" i="34" a="1"/>
  <c r="U247" i="34"/>
  <c r="T247" i="34" a="1"/>
  <c r="T247" i="34" s="1"/>
  <c r="N247" i="34" a="1"/>
  <c r="N247" i="34" s="1"/>
  <c r="M247" i="34" a="1"/>
  <c r="M247" i="34"/>
  <c r="L247" i="34" a="1"/>
  <c r="L247" i="34" s="1"/>
  <c r="K247" i="34" a="1"/>
  <c r="K247" i="34" s="1"/>
  <c r="J247" i="34" a="1"/>
  <c r="J247" i="34" s="1"/>
  <c r="I247" i="34" a="1"/>
  <c r="I247" i="34"/>
  <c r="H247" i="34" a="1"/>
  <c r="H247" i="34" s="1"/>
  <c r="G247" i="34" a="1"/>
  <c r="G247" i="34" s="1"/>
  <c r="E247" i="34" a="1"/>
  <c r="E247" i="34" s="1"/>
  <c r="V246" i="34" a="1"/>
  <c r="V246" i="34" s="1"/>
  <c r="Y49" i="36" s="1"/>
  <c r="U246" i="34" a="1"/>
  <c r="U246" i="34" s="1"/>
  <c r="T246" i="34" a="1"/>
  <c r="T246" i="34" s="1"/>
  <c r="N246" i="34" a="1"/>
  <c r="N246" i="34" s="1"/>
  <c r="M246" i="34" a="1"/>
  <c r="M246" i="34" s="1"/>
  <c r="L246" i="34" a="1"/>
  <c r="L246" i="34" s="1"/>
  <c r="K246" i="34" a="1"/>
  <c r="K246" i="34"/>
  <c r="J246" i="34" a="1"/>
  <c r="J246" i="34" s="1"/>
  <c r="I246" i="34" a="1"/>
  <c r="I246" i="34" s="1"/>
  <c r="H246" i="34" a="1"/>
  <c r="H246" i="34" s="1"/>
  <c r="G246" i="34" a="1"/>
  <c r="G246" i="34"/>
  <c r="E246" i="34" a="1"/>
  <c r="E246" i="34" s="1"/>
  <c r="V245" i="34" a="1"/>
  <c r="V245" i="34" s="1"/>
  <c r="U245" i="34" a="1"/>
  <c r="U245" i="34"/>
  <c r="T245" i="34" a="1"/>
  <c r="T245" i="34" s="1"/>
  <c r="N245" i="34" a="1"/>
  <c r="N245" i="34" s="1"/>
  <c r="M245" i="34" a="1"/>
  <c r="M245" i="34"/>
  <c r="L245" i="34" a="1"/>
  <c r="L245" i="34" s="1"/>
  <c r="K245" i="34" a="1"/>
  <c r="K245" i="34" s="1"/>
  <c r="J245" i="34" a="1"/>
  <c r="J245" i="34" s="1"/>
  <c r="I245" i="34" a="1"/>
  <c r="I245" i="34"/>
  <c r="H245" i="34" a="1"/>
  <c r="H245" i="34" s="1"/>
  <c r="H249" i="34" s="1"/>
  <c r="G245" i="34" a="1"/>
  <c r="G245" i="34" s="1"/>
  <c r="E245" i="34" a="1"/>
  <c r="E245" i="34" s="1"/>
  <c r="V244" i="34" a="1"/>
  <c r="V244" i="34" s="1"/>
  <c r="W49" i="36" s="1"/>
  <c r="U244" i="34" a="1"/>
  <c r="U244" i="34" s="1"/>
  <c r="T244" i="34" a="1"/>
  <c r="T244" i="34" s="1"/>
  <c r="O244" i="34" a="1"/>
  <c r="O244" i="34"/>
  <c r="N244" i="34" a="1"/>
  <c r="N244" i="34" s="1"/>
  <c r="M244" i="34" a="1"/>
  <c r="M244" i="34" s="1"/>
  <c r="L244" i="34" a="1"/>
  <c r="L244" i="34" s="1"/>
  <c r="K244" i="34" a="1"/>
  <c r="K244" i="34"/>
  <c r="J244" i="34" a="1"/>
  <c r="J244" i="34" s="1"/>
  <c r="I244" i="34" a="1"/>
  <c r="I244" i="34" s="1"/>
  <c r="H244" i="34" a="1"/>
  <c r="H244" i="34" s="1"/>
  <c r="G244" i="34" a="1"/>
  <c r="G244" i="34"/>
  <c r="E244" i="34" a="1"/>
  <c r="E244" i="34" s="1"/>
  <c r="E249" i="34" s="1"/>
  <c r="D244" i="34" a="1"/>
  <c r="D244" i="34" s="1"/>
  <c r="V242" i="34" a="1"/>
  <c r="V242" i="34" s="1"/>
  <c r="U242" i="34" a="1"/>
  <c r="U242" i="34"/>
  <c r="T242" i="34" a="1"/>
  <c r="T242" i="34" s="1"/>
  <c r="N242" i="34" a="1"/>
  <c r="N242" i="34" s="1"/>
  <c r="M242" i="34" a="1"/>
  <c r="M242" i="34"/>
  <c r="L242" i="34" a="1"/>
  <c r="L242" i="34" s="1"/>
  <c r="K242" i="34" a="1"/>
  <c r="K242" i="34" s="1"/>
  <c r="J242" i="34" a="1"/>
  <c r="J242" i="34" s="1"/>
  <c r="I242" i="34" a="1"/>
  <c r="I242" i="34"/>
  <c r="H242" i="34" a="1"/>
  <c r="H242" i="34" s="1"/>
  <c r="G242" i="34" a="1"/>
  <c r="G242" i="34" s="1"/>
  <c r="E242" i="34" a="1"/>
  <c r="E242" i="34" s="1"/>
  <c r="V241" i="34" a="1"/>
  <c r="V241" i="34" s="1"/>
  <c r="Z48" i="36" s="1"/>
  <c r="U241" i="34" a="1"/>
  <c r="U241" i="34" s="1"/>
  <c r="T241" i="34" a="1"/>
  <c r="T241" i="34" s="1"/>
  <c r="N241" i="34" a="1"/>
  <c r="N241" i="34" s="1"/>
  <c r="M241" i="34" a="1"/>
  <c r="M241" i="34" s="1"/>
  <c r="L241" i="34" a="1"/>
  <c r="L241" i="34" s="1"/>
  <c r="K241" i="34" a="1"/>
  <c r="K241" i="34"/>
  <c r="J241" i="34" a="1"/>
  <c r="J241" i="34" s="1"/>
  <c r="I241" i="34" a="1"/>
  <c r="I241" i="34" s="1"/>
  <c r="H241" i="34" a="1"/>
  <c r="H241" i="34" s="1"/>
  <c r="G241" i="34" a="1"/>
  <c r="G241" i="34"/>
  <c r="E241" i="34" a="1"/>
  <c r="E241" i="34" s="1"/>
  <c r="V240" i="34" a="1"/>
  <c r="V240" i="34" s="1"/>
  <c r="U240" i="34" a="1"/>
  <c r="U240" i="34"/>
  <c r="T240" i="34" a="1"/>
  <c r="T240" i="34" s="1"/>
  <c r="N240" i="34" a="1"/>
  <c r="N240" i="34" s="1"/>
  <c r="M240" i="34" a="1"/>
  <c r="M240" i="34"/>
  <c r="L240" i="34" a="1"/>
  <c r="L240" i="34" s="1"/>
  <c r="K240" i="34" a="1"/>
  <c r="K240" i="34" s="1"/>
  <c r="J240" i="34" a="1"/>
  <c r="J240" i="34" s="1"/>
  <c r="I240" i="34" a="1"/>
  <c r="I240" i="34"/>
  <c r="H240" i="34" a="1"/>
  <c r="H240" i="34" s="1"/>
  <c r="G240" i="34" a="1"/>
  <c r="G240" i="34" s="1"/>
  <c r="E240" i="34" a="1"/>
  <c r="E240" i="34" s="1"/>
  <c r="V239" i="34" a="1"/>
  <c r="V239" i="34" s="1"/>
  <c r="U239" i="34" a="1"/>
  <c r="U239" i="34" s="1"/>
  <c r="T239" i="34" a="1"/>
  <c r="T239" i="34" s="1"/>
  <c r="N239" i="34" a="1"/>
  <c r="N239" i="34" s="1"/>
  <c r="M239" i="34" a="1"/>
  <c r="M239" i="34" s="1"/>
  <c r="L239" i="34" a="1"/>
  <c r="L239" i="34" s="1"/>
  <c r="K239" i="34" a="1"/>
  <c r="K239" i="34"/>
  <c r="J239" i="34" a="1"/>
  <c r="J239" i="34" s="1"/>
  <c r="I239" i="34" a="1"/>
  <c r="I239" i="34" s="1"/>
  <c r="H239" i="34" a="1"/>
  <c r="H239" i="34" s="1"/>
  <c r="G239" i="34" a="1"/>
  <c r="G239" i="34"/>
  <c r="E239" i="34" a="1"/>
  <c r="E239" i="34" s="1"/>
  <c r="V238" i="34" a="1"/>
  <c r="V238" i="34" s="1"/>
  <c r="U238" i="34" a="1"/>
  <c r="U238" i="34"/>
  <c r="T238" i="34" a="1"/>
  <c r="T238" i="34" s="1"/>
  <c r="O238" i="34" a="1"/>
  <c r="O238" i="34" s="1"/>
  <c r="N238" i="34" a="1"/>
  <c r="N238" i="34" s="1"/>
  <c r="M238" i="34" a="1"/>
  <c r="M238" i="34"/>
  <c r="L238" i="34" a="1"/>
  <c r="L238" i="34" s="1"/>
  <c r="K238" i="34" a="1"/>
  <c r="K238" i="34" s="1"/>
  <c r="J238" i="34" a="1"/>
  <c r="J238" i="34" s="1"/>
  <c r="I238" i="34" a="1"/>
  <c r="I238" i="34"/>
  <c r="H238" i="34" a="1"/>
  <c r="H238" i="34" s="1"/>
  <c r="G238" i="34" a="1"/>
  <c r="G238" i="34" s="1"/>
  <c r="E238" i="34" a="1"/>
  <c r="E238" i="34" s="1"/>
  <c r="D238" i="34" a="1"/>
  <c r="D238" i="34"/>
  <c r="V236" i="34" a="1"/>
  <c r="V236" i="34" s="1"/>
  <c r="U236" i="34" a="1"/>
  <c r="U236" i="34" s="1"/>
  <c r="T236" i="34" a="1"/>
  <c r="T236" i="34" s="1"/>
  <c r="N236" i="34" a="1"/>
  <c r="N236" i="34" s="1"/>
  <c r="M236" i="34" a="1"/>
  <c r="M236" i="34" s="1"/>
  <c r="L236" i="34" a="1"/>
  <c r="L236" i="34" s="1"/>
  <c r="K236" i="34" a="1"/>
  <c r="K236" i="34"/>
  <c r="J236" i="34" a="1"/>
  <c r="J236" i="34" s="1"/>
  <c r="I236" i="34" a="1"/>
  <c r="I236" i="34" s="1"/>
  <c r="H236" i="34" a="1"/>
  <c r="H236" i="34" s="1"/>
  <c r="G236" i="34" a="1"/>
  <c r="G236" i="34"/>
  <c r="E236" i="34" a="1"/>
  <c r="E236" i="34" s="1"/>
  <c r="V235" i="34" a="1"/>
  <c r="V235" i="34" s="1"/>
  <c r="U235" i="34" a="1"/>
  <c r="U235" i="34"/>
  <c r="T235" i="34" a="1"/>
  <c r="T235" i="34" s="1"/>
  <c r="J28" i="36" s="1"/>
  <c r="N235" i="34" a="1"/>
  <c r="N235" i="34" s="1"/>
  <c r="M235" i="34" a="1"/>
  <c r="M235" i="34"/>
  <c r="L235" i="34" a="1"/>
  <c r="L235" i="34" s="1"/>
  <c r="K235" i="34" a="1"/>
  <c r="K235" i="34" s="1"/>
  <c r="J235" i="34" a="1"/>
  <c r="J235" i="34" s="1"/>
  <c r="I235" i="34" a="1"/>
  <c r="I235" i="34"/>
  <c r="H235" i="34" a="1"/>
  <c r="H235" i="34" s="1"/>
  <c r="G235" i="34" a="1"/>
  <c r="G235" i="34" s="1"/>
  <c r="E235" i="34" a="1"/>
  <c r="E235" i="34" s="1"/>
  <c r="V234" i="34" a="1"/>
  <c r="V234" i="34" s="1"/>
  <c r="U234" i="34" a="1"/>
  <c r="U234" i="34" s="1"/>
  <c r="T234" i="34" a="1"/>
  <c r="T234" i="34" s="1"/>
  <c r="N234" i="34" a="1"/>
  <c r="N234" i="34" s="1"/>
  <c r="M234" i="34" a="1"/>
  <c r="M234" i="34" s="1"/>
  <c r="L234" i="34" a="1"/>
  <c r="L234" i="34" s="1"/>
  <c r="K234" i="34" a="1"/>
  <c r="K234" i="34"/>
  <c r="J234" i="34" a="1"/>
  <c r="J234" i="34" s="1"/>
  <c r="I234" i="34" a="1"/>
  <c r="I234" i="34" s="1"/>
  <c r="H234" i="34" a="1"/>
  <c r="H234" i="34" s="1"/>
  <c r="G234" i="34" a="1"/>
  <c r="G234" i="34"/>
  <c r="E234" i="34" a="1"/>
  <c r="E234" i="34" s="1"/>
  <c r="V233" i="34" a="1"/>
  <c r="V233" i="34" s="1"/>
  <c r="U233" i="34" a="1"/>
  <c r="U233" i="34"/>
  <c r="T233" i="34" a="1"/>
  <c r="T233" i="34" s="1"/>
  <c r="N233" i="34" a="1"/>
  <c r="N233" i="34" s="1"/>
  <c r="M233" i="34" a="1"/>
  <c r="M233" i="34"/>
  <c r="L233" i="34" a="1"/>
  <c r="L233" i="34" s="1"/>
  <c r="K233" i="34" a="1"/>
  <c r="K233" i="34" s="1"/>
  <c r="J233" i="34" a="1"/>
  <c r="J233" i="34" s="1"/>
  <c r="I233" i="34" a="1"/>
  <c r="I233" i="34"/>
  <c r="H233" i="34" a="1"/>
  <c r="H233" i="34" s="1"/>
  <c r="G233" i="34" a="1"/>
  <c r="G233" i="34" s="1"/>
  <c r="E233" i="34" a="1"/>
  <c r="E233" i="34" s="1"/>
  <c r="V232" i="34" a="1"/>
  <c r="V232" i="34" s="1"/>
  <c r="W28" i="36" s="1"/>
  <c r="U232" i="34" a="1"/>
  <c r="U232" i="34" s="1"/>
  <c r="T232" i="34" a="1"/>
  <c r="T232" i="34" s="1"/>
  <c r="O232" i="34" a="1"/>
  <c r="O232" i="34"/>
  <c r="N232" i="34" a="1"/>
  <c r="N232" i="34" s="1"/>
  <c r="M232" i="34" a="1"/>
  <c r="M232" i="34" s="1"/>
  <c r="L232" i="34" a="1"/>
  <c r="L232" i="34" s="1"/>
  <c r="K232" i="34" a="1"/>
  <c r="K232" i="34"/>
  <c r="J232" i="34" a="1"/>
  <c r="J232" i="34" s="1"/>
  <c r="I232" i="34" a="1"/>
  <c r="I232" i="34" s="1"/>
  <c r="H232" i="34" a="1"/>
  <c r="H232" i="34" s="1"/>
  <c r="G232" i="34" a="1"/>
  <c r="G232" i="34"/>
  <c r="E232" i="34" a="1"/>
  <c r="E232" i="34" s="1"/>
  <c r="D232" i="34" a="1"/>
  <c r="D232" i="34" s="1"/>
  <c r="V230" i="34" a="1"/>
  <c r="V230" i="34" s="1"/>
  <c r="U230" i="34" a="1"/>
  <c r="U230" i="34"/>
  <c r="T230" i="34" a="1"/>
  <c r="T230" i="34" s="1"/>
  <c r="N230" i="34" a="1"/>
  <c r="N230" i="34" s="1"/>
  <c r="M230" i="34" a="1"/>
  <c r="M230" i="34"/>
  <c r="L230" i="34" a="1"/>
  <c r="L230" i="34" s="1"/>
  <c r="K230" i="34" a="1"/>
  <c r="K230" i="34" s="1"/>
  <c r="J230" i="34" a="1"/>
  <c r="J230" i="34" s="1"/>
  <c r="I230" i="34" a="1"/>
  <c r="I230" i="34"/>
  <c r="H230" i="34" a="1"/>
  <c r="H230" i="34" s="1"/>
  <c r="G230" i="34" a="1"/>
  <c r="G230" i="34" s="1"/>
  <c r="E230" i="34" a="1"/>
  <c r="E230" i="34" s="1"/>
  <c r="V229" i="34" a="1"/>
  <c r="V229" i="34" s="1"/>
  <c r="U229" i="34" a="1"/>
  <c r="U229" i="34" s="1"/>
  <c r="T229" i="34" a="1"/>
  <c r="T229" i="34" s="1"/>
  <c r="N229" i="34" a="1"/>
  <c r="N229" i="34" s="1"/>
  <c r="M229" i="34" a="1"/>
  <c r="M229" i="34" s="1"/>
  <c r="L229" i="34" a="1"/>
  <c r="L229" i="34" s="1"/>
  <c r="K229" i="34" a="1"/>
  <c r="K229" i="34"/>
  <c r="J229" i="34" a="1"/>
  <c r="J229" i="34" s="1"/>
  <c r="I229" i="34" a="1"/>
  <c r="I229" i="34" s="1"/>
  <c r="H229" i="34" a="1"/>
  <c r="H229" i="34" s="1"/>
  <c r="G229" i="34" a="1"/>
  <c r="G229" i="34"/>
  <c r="E229" i="34" a="1"/>
  <c r="E229" i="34" s="1"/>
  <c r="V228" i="34" a="1"/>
  <c r="V228" i="34" s="1"/>
  <c r="U228" i="34" a="1"/>
  <c r="U228" i="34"/>
  <c r="T228" i="34" a="1"/>
  <c r="T228" i="34" s="1"/>
  <c r="N228" i="34" a="1"/>
  <c r="N228" i="34" s="1"/>
  <c r="M228" i="34" a="1"/>
  <c r="M228" i="34"/>
  <c r="L228" i="34" a="1"/>
  <c r="L228" i="34" s="1"/>
  <c r="K228" i="34" a="1"/>
  <c r="K228" i="34" s="1"/>
  <c r="J228" i="34" a="1"/>
  <c r="J228" i="34" s="1"/>
  <c r="I228" i="34" a="1"/>
  <c r="I228" i="34" s="1"/>
  <c r="H228" i="34" a="1"/>
  <c r="H228" i="34"/>
  <c r="G228" i="34" a="1"/>
  <c r="G228" i="34" s="1"/>
  <c r="E228" i="34" a="1"/>
  <c r="E228" i="34" s="1"/>
  <c r="V227" i="34" a="1"/>
  <c r="V227" i="34"/>
  <c r="U227" i="34" a="1"/>
  <c r="U227" i="34" s="1"/>
  <c r="T227" i="34" a="1"/>
  <c r="T227" i="34" s="1"/>
  <c r="N227" i="34" a="1"/>
  <c r="N227" i="34"/>
  <c r="M227" i="34" a="1"/>
  <c r="M227" i="34" s="1"/>
  <c r="L227" i="34" a="1"/>
  <c r="L227" i="34" s="1"/>
  <c r="K227" i="34" a="1"/>
  <c r="K227" i="34" s="1"/>
  <c r="J227" i="34" a="1"/>
  <c r="J227" i="34" s="1"/>
  <c r="I227" i="34" a="1"/>
  <c r="I227" i="34" s="1"/>
  <c r="H227" i="34" a="1"/>
  <c r="H227" i="34" s="1"/>
  <c r="G227" i="34" a="1"/>
  <c r="G227" i="34" s="1"/>
  <c r="E227" i="34" a="1"/>
  <c r="E227" i="34"/>
  <c r="V226" i="34" a="1"/>
  <c r="V226" i="34" s="1"/>
  <c r="U226" i="34" a="1"/>
  <c r="U226" i="34" s="1"/>
  <c r="T226" i="34" a="1"/>
  <c r="T226" i="34" s="1"/>
  <c r="O226" i="34" a="1"/>
  <c r="O226" i="34" s="1"/>
  <c r="N226" i="34" a="1"/>
  <c r="N226" i="34" s="1"/>
  <c r="M226" i="34" a="1"/>
  <c r="M226" i="34" s="1"/>
  <c r="L226" i="34" a="1"/>
  <c r="L226" i="34"/>
  <c r="K226" i="34" a="1"/>
  <c r="K226" i="34" s="1"/>
  <c r="J226" i="34" a="1"/>
  <c r="J226" i="34" s="1"/>
  <c r="I226" i="34" a="1"/>
  <c r="I226" i="34" s="1"/>
  <c r="H226" i="34" a="1"/>
  <c r="H226" i="34" s="1"/>
  <c r="G226" i="34" a="1"/>
  <c r="G226" i="34" s="1"/>
  <c r="E226" i="34" a="1"/>
  <c r="E226" i="34" s="1"/>
  <c r="D226" i="34" a="1"/>
  <c r="D226" i="34" s="1"/>
  <c r="V224" i="34" a="1"/>
  <c r="V224" i="34"/>
  <c r="U224" i="34" a="1"/>
  <c r="U224" i="34" s="1"/>
  <c r="T224" i="34" a="1"/>
  <c r="T224" i="34" s="1"/>
  <c r="N224" i="34" a="1"/>
  <c r="N224" i="34" s="1"/>
  <c r="M224" i="34" a="1"/>
  <c r="M224" i="34" s="1"/>
  <c r="L224" i="34" a="1"/>
  <c r="L224" i="34" s="1"/>
  <c r="K224" i="34" a="1"/>
  <c r="K224" i="34" s="1"/>
  <c r="J224" i="34" a="1"/>
  <c r="J224" i="34"/>
  <c r="I224" i="34" a="1"/>
  <c r="I224" i="34" s="1"/>
  <c r="H224" i="34" a="1"/>
  <c r="H224" i="34" s="1"/>
  <c r="G224" i="34" a="1"/>
  <c r="G224" i="34" s="1"/>
  <c r="E224" i="34" a="1"/>
  <c r="E224" i="34" s="1"/>
  <c r="V223" i="34" a="1"/>
  <c r="V223" i="34" s="1"/>
  <c r="U223" i="34" a="1"/>
  <c r="U223" i="34" s="1"/>
  <c r="T223" i="34" a="1"/>
  <c r="T223" i="34"/>
  <c r="N223" i="34" a="1"/>
  <c r="N223" i="34" s="1"/>
  <c r="M223" i="34" a="1"/>
  <c r="M223" i="34" s="1"/>
  <c r="L223" i="34" a="1"/>
  <c r="L223" i="34" s="1"/>
  <c r="L225" i="34" s="1"/>
  <c r="K223" i="34" a="1"/>
  <c r="K223" i="34" s="1"/>
  <c r="J223" i="34" a="1"/>
  <c r="J223" i="34" s="1"/>
  <c r="I223" i="34" a="1"/>
  <c r="I223" i="34" s="1"/>
  <c r="H223" i="34" a="1"/>
  <c r="H223" i="34"/>
  <c r="G223" i="34" a="1"/>
  <c r="G223" i="34" s="1"/>
  <c r="E223" i="34" a="1"/>
  <c r="E223" i="34" s="1"/>
  <c r="V222" i="34" a="1"/>
  <c r="V222" i="34" s="1"/>
  <c r="U222" i="34" a="1"/>
  <c r="U222" i="34" s="1"/>
  <c r="T222" i="34" a="1"/>
  <c r="T222" i="34" s="1"/>
  <c r="N222" i="34" a="1"/>
  <c r="N222" i="34"/>
  <c r="M222" i="34" a="1"/>
  <c r="M222" i="34" s="1"/>
  <c r="L222" i="34" a="1"/>
  <c r="L222" i="34" s="1"/>
  <c r="K222" i="34" a="1"/>
  <c r="K222" i="34" s="1"/>
  <c r="J222" i="34" a="1"/>
  <c r="J222" i="34" s="1"/>
  <c r="I222" i="34" a="1"/>
  <c r="I222" i="34" s="1"/>
  <c r="H222" i="34" a="1"/>
  <c r="H222" i="34" s="1"/>
  <c r="G222" i="34" a="1"/>
  <c r="G222" i="34" s="1"/>
  <c r="E222" i="34" a="1"/>
  <c r="E222" i="34"/>
  <c r="V221" i="34" a="1"/>
  <c r="V221" i="34" s="1"/>
  <c r="U221" i="34" a="1"/>
  <c r="U221" i="34" s="1"/>
  <c r="T221" i="34" a="1"/>
  <c r="T221" i="34" s="1"/>
  <c r="N221" i="34" a="1"/>
  <c r="N221" i="34" s="1"/>
  <c r="M221" i="34" a="1"/>
  <c r="M221" i="34" s="1"/>
  <c r="L221" i="34" a="1"/>
  <c r="L221" i="34"/>
  <c r="K221" i="34" a="1"/>
  <c r="K221" i="34" s="1"/>
  <c r="J221" i="34" a="1"/>
  <c r="J221" i="34" s="1"/>
  <c r="I221" i="34" a="1"/>
  <c r="I221" i="34" s="1"/>
  <c r="H221" i="34" a="1"/>
  <c r="H221" i="34" s="1"/>
  <c r="H225" i="34" s="1"/>
  <c r="G221" i="34" a="1"/>
  <c r="G221" i="34" s="1"/>
  <c r="E221" i="34" a="1"/>
  <c r="E221" i="34" s="1"/>
  <c r="V220" i="34" a="1"/>
  <c r="V220" i="34"/>
  <c r="U220" i="34" a="1"/>
  <c r="U220" i="34" s="1"/>
  <c r="T220" i="34" a="1"/>
  <c r="T220" i="34" s="1"/>
  <c r="O220" i="34" a="1"/>
  <c r="O220" i="34" s="1"/>
  <c r="N220" i="34" a="1"/>
  <c r="N220" i="34" s="1"/>
  <c r="N225" i="34" s="1"/>
  <c r="Z82" i="37" s="1"/>
  <c r="M220" i="34" a="1"/>
  <c r="M220" i="34" s="1"/>
  <c r="L220" i="34" a="1"/>
  <c r="L220" i="34" s="1"/>
  <c r="K220" i="34" a="1"/>
  <c r="K220" i="34" s="1"/>
  <c r="J220" i="34" a="1"/>
  <c r="J220" i="34"/>
  <c r="I220" i="34" a="1"/>
  <c r="I220" i="34" s="1"/>
  <c r="H220" i="34" a="1"/>
  <c r="H220" i="34" s="1"/>
  <c r="G220" i="34" a="1"/>
  <c r="G220" i="34" s="1"/>
  <c r="E220" i="34" a="1"/>
  <c r="E220" i="34" s="1"/>
  <c r="D220" i="34" a="1"/>
  <c r="D220" i="34" s="1"/>
  <c r="V218" i="34" a="1"/>
  <c r="V218" i="34" s="1"/>
  <c r="U218" i="34" a="1"/>
  <c r="U218" i="34" s="1"/>
  <c r="T218" i="34" a="1"/>
  <c r="T218" i="34"/>
  <c r="N218" i="34" a="1"/>
  <c r="N218" i="34" s="1"/>
  <c r="M218" i="34" a="1"/>
  <c r="M218" i="34" s="1"/>
  <c r="L218" i="34" a="1"/>
  <c r="L218" i="34" s="1"/>
  <c r="K218" i="34" a="1"/>
  <c r="K218" i="34" s="1"/>
  <c r="J218" i="34" a="1"/>
  <c r="J218" i="34" s="1"/>
  <c r="I218" i="34" a="1"/>
  <c r="I218" i="34" s="1"/>
  <c r="H218" i="34" a="1"/>
  <c r="H218" i="34" s="1"/>
  <c r="G218" i="34" a="1"/>
  <c r="G218" i="34" s="1"/>
  <c r="E218" i="34" a="1"/>
  <c r="E218" i="34" s="1"/>
  <c r="V217" i="34" a="1"/>
  <c r="V217" i="34" s="1"/>
  <c r="U217" i="34" a="1"/>
  <c r="U217" i="34" s="1"/>
  <c r="T217" i="34" a="1"/>
  <c r="T217" i="34"/>
  <c r="N217" i="34" a="1"/>
  <c r="N217" i="34"/>
  <c r="M217" i="34" a="1"/>
  <c r="M217" i="34" s="1"/>
  <c r="L217" i="34" a="1"/>
  <c r="L217" i="34" s="1"/>
  <c r="K217" i="34" a="1"/>
  <c r="K217" i="34" s="1"/>
  <c r="J217" i="34" a="1"/>
  <c r="J217" i="34" s="1"/>
  <c r="I217" i="34" a="1"/>
  <c r="I217" i="34" s="1"/>
  <c r="H217" i="34" a="1"/>
  <c r="H217" i="34"/>
  <c r="G217" i="34" a="1"/>
  <c r="G217" i="34"/>
  <c r="E217" i="34" a="1"/>
  <c r="E217" i="34"/>
  <c r="V216" i="34" a="1"/>
  <c r="V216" i="34" s="1"/>
  <c r="U216" i="34" a="1"/>
  <c r="U216" i="34" s="1"/>
  <c r="T216" i="34" a="1"/>
  <c r="T216" i="34" s="1"/>
  <c r="N216" i="34" a="1"/>
  <c r="N216" i="34"/>
  <c r="M216" i="34" a="1"/>
  <c r="M216" i="34"/>
  <c r="L216" i="34" a="1"/>
  <c r="L216" i="34"/>
  <c r="K216" i="34" a="1"/>
  <c r="K216" i="34" s="1"/>
  <c r="J216" i="34" a="1"/>
  <c r="J216" i="34" s="1"/>
  <c r="I216" i="34" a="1"/>
  <c r="I216" i="34" s="1"/>
  <c r="H216" i="34" a="1"/>
  <c r="H216" i="34" s="1"/>
  <c r="G216" i="34" a="1"/>
  <c r="G216" i="34" s="1"/>
  <c r="E216" i="34" a="1"/>
  <c r="E216" i="34"/>
  <c r="V215" i="34" a="1"/>
  <c r="V215" i="34"/>
  <c r="U215" i="34" a="1"/>
  <c r="U215" i="34" s="1"/>
  <c r="T215" i="34" a="1"/>
  <c r="T215" i="34" s="1"/>
  <c r="N215" i="34" a="1"/>
  <c r="N215" i="34" s="1"/>
  <c r="M215" i="34" a="1"/>
  <c r="M215" i="34" s="1"/>
  <c r="L215" i="34" a="1"/>
  <c r="L215" i="34"/>
  <c r="K215" i="34" a="1"/>
  <c r="K215" i="34"/>
  <c r="J215" i="34" a="1"/>
  <c r="J215" i="34"/>
  <c r="I215" i="34" a="1"/>
  <c r="I215" i="34" s="1"/>
  <c r="H215" i="34" a="1"/>
  <c r="H215" i="34" s="1"/>
  <c r="G215" i="34" a="1"/>
  <c r="G215" i="34" s="1"/>
  <c r="E215" i="34" a="1"/>
  <c r="E215" i="34" s="1"/>
  <c r="V214" i="34" a="1"/>
  <c r="V214" i="34"/>
  <c r="U214" i="34" a="1"/>
  <c r="U214" i="34"/>
  <c r="T214" i="34" a="1"/>
  <c r="T214" i="34"/>
  <c r="O214" i="34" a="1"/>
  <c r="O214" i="34" s="1"/>
  <c r="N214" i="34" a="1"/>
  <c r="N214" i="34" s="1"/>
  <c r="M214" i="34" a="1"/>
  <c r="M214" i="34" s="1"/>
  <c r="L214" i="34" a="1"/>
  <c r="L214" i="34" s="1"/>
  <c r="K214" i="34" a="1"/>
  <c r="K214" i="34" s="1"/>
  <c r="J214" i="34" a="1"/>
  <c r="J214" i="34"/>
  <c r="I214" i="34" a="1"/>
  <c r="I214" i="34"/>
  <c r="H214" i="34" a="1"/>
  <c r="H214" i="34"/>
  <c r="G214" i="34" a="1"/>
  <c r="G214" i="34" s="1"/>
  <c r="E214" i="34" a="1"/>
  <c r="E214" i="34" s="1"/>
  <c r="D214" i="34" a="1"/>
  <c r="D214" i="34" s="1"/>
  <c r="P79" i="37" s="1"/>
  <c r="D79" i="37" s="1"/>
  <c r="V212" i="34" a="1"/>
  <c r="V212" i="34" s="1"/>
  <c r="U212" i="34" a="1"/>
  <c r="U212" i="34" s="1"/>
  <c r="T212" i="34" a="1"/>
  <c r="T212" i="34"/>
  <c r="N212" i="34" a="1"/>
  <c r="N212" i="34"/>
  <c r="M212" i="34" a="1"/>
  <c r="M212" i="34" s="1"/>
  <c r="L212" i="34" a="1"/>
  <c r="L212" i="34" s="1"/>
  <c r="K212" i="34" a="1"/>
  <c r="K212" i="34" s="1"/>
  <c r="J212" i="34" a="1"/>
  <c r="J212" i="34" s="1"/>
  <c r="I212" i="34" a="1"/>
  <c r="I212" i="34" s="1"/>
  <c r="H212" i="34" a="1"/>
  <c r="H212" i="34"/>
  <c r="G212" i="34" a="1"/>
  <c r="G212" i="34"/>
  <c r="E212" i="34" a="1"/>
  <c r="E212" i="34"/>
  <c r="V211" i="34" a="1"/>
  <c r="V211" i="34" s="1"/>
  <c r="U211" i="34" a="1"/>
  <c r="U211" i="34" s="1"/>
  <c r="T211" i="34" a="1"/>
  <c r="T211" i="34" s="1"/>
  <c r="J24" i="36" s="1"/>
  <c r="N211" i="34" a="1"/>
  <c r="N211" i="34"/>
  <c r="M211" i="34" a="1"/>
  <c r="M211" i="34"/>
  <c r="L211" i="34" a="1"/>
  <c r="L211" i="34"/>
  <c r="K211" i="34" a="1"/>
  <c r="K211" i="34" s="1"/>
  <c r="J211" i="34" a="1"/>
  <c r="J211" i="34" s="1"/>
  <c r="I211" i="34" a="1"/>
  <c r="I211" i="34" s="1"/>
  <c r="I213" i="34" s="1"/>
  <c r="U84" i="37" s="1"/>
  <c r="H211" i="34" a="1"/>
  <c r="H211" i="34" s="1"/>
  <c r="G211" i="34" a="1"/>
  <c r="G211" i="34" s="1"/>
  <c r="E211" i="34" a="1"/>
  <c r="E211" i="34"/>
  <c r="V210" i="34" a="1"/>
  <c r="V210" i="34"/>
  <c r="U210" i="34" a="1"/>
  <c r="U210" i="34" s="1"/>
  <c r="T210" i="34" a="1"/>
  <c r="T210" i="34" s="1"/>
  <c r="N210" i="34" a="1"/>
  <c r="N210" i="34" s="1"/>
  <c r="M210" i="34" a="1"/>
  <c r="M210" i="34" s="1"/>
  <c r="L210" i="34" a="1"/>
  <c r="L210" i="34"/>
  <c r="K210" i="34" a="1"/>
  <c r="K210" i="34"/>
  <c r="J210" i="34" a="1"/>
  <c r="J210" i="34"/>
  <c r="I210" i="34" a="1"/>
  <c r="I210" i="34" s="1"/>
  <c r="H210" i="34" a="1"/>
  <c r="H210" i="34" s="1"/>
  <c r="G210" i="34" a="1"/>
  <c r="G210" i="34" s="1"/>
  <c r="E210" i="34" a="1"/>
  <c r="E210" i="34" s="1"/>
  <c r="V209" i="34" a="1"/>
  <c r="V209" i="34"/>
  <c r="U209" i="34" a="1"/>
  <c r="U209" i="34"/>
  <c r="T209" i="34" a="1"/>
  <c r="T209" i="34"/>
  <c r="N209" i="34" a="1"/>
  <c r="N209" i="34" s="1"/>
  <c r="N213" i="34" s="1"/>
  <c r="M209" i="34" a="1"/>
  <c r="M209" i="34" s="1"/>
  <c r="L209" i="34" a="1"/>
  <c r="L209" i="34" s="1"/>
  <c r="K209" i="34" a="1"/>
  <c r="K209" i="34" s="1"/>
  <c r="J209" i="34" a="1"/>
  <c r="J209" i="34"/>
  <c r="I209" i="34" a="1"/>
  <c r="I209" i="34"/>
  <c r="H209" i="34" a="1"/>
  <c r="H209" i="34"/>
  <c r="G209" i="34" a="1"/>
  <c r="G209" i="34" s="1"/>
  <c r="E209" i="34" a="1"/>
  <c r="E209" i="34" s="1"/>
  <c r="V208" i="34" a="1"/>
  <c r="V208" i="34" s="1"/>
  <c r="W24" i="36" s="1"/>
  <c r="U208" i="34" a="1"/>
  <c r="U208" i="34" s="1"/>
  <c r="T208" i="34" a="1"/>
  <c r="T208" i="34"/>
  <c r="O208" i="34" a="1"/>
  <c r="O208" i="34"/>
  <c r="N208" i="34" a="1"/>
  <c r="N208" i="34"/>
  <c r="M208" i="34" a="1"/>
  <c r="M208" i="34" s="1"/>
  <c r="L208" i="34" a="1"/>
  <c r="L208" i="34" s="1"/>
  <c r="K208" i="34" a="1"/>
  <c r="K208" i="34" s="1"/>
  <c r="J208" i="34" a="1"/>
  <c r="J208" i="34" s="1"/>
  <c r="I208" i="34" a="1"/>
  <c r="I208" i="34" s="1"/>
  <c r="H208" i="34" a="1"/>
  <c r="H208" i="34"/>
  <c r="G208" i="34" a="1"/>
  <c r="G208" i="34"/>
  <c r="E208" i="34" a="1"/>
  <c r="E208" i="34"/>
  <c r="D208" i="34" a="1"/>
  <c r="D208" i="34" s="1"/>
  <c r="V206" i="34" a="1"/>
  <c r="V206" i="34" s="1"/>
  <c r="AA21" i="36" s="1"/>
  <c r="U206" i="34" a="1"/>
  <c r="U206" i="34" s="1"/>
  <c r="T206" i="34" a="1"/>
  <c r="T206" i="34" s="1"/>
  <c r="N206" i="34" a="1"/>
  <c r="N206" i="34" s="1"/>
  <c r="M206" i="34" a="1"/>
  <c r="M206" i="34"/>
  <c r="L206" i="34" a="1"/>
  <c r="L206" i="34"/>
  <c r="K206" i="34" a="1"/>
  <c r="K206" i="34"/>
  <c r="J206" i="34" a="1"/>
  <c r="J206" i="34" s="1"/>
  <c r="I206" i="34" a="1"/>
  <c r="I206" i="34" s="1"/>
  <c r="H206" i="34" a="1"/>
  <c r="H206" i="34" s="1"/>
  <c r="G206" i="34" a="1"/>
  <c r="G206" i="34" s="1"/>
  <c r="E206" i="34" a="1"/>
  <c r="E206" i="34" s="1"/>
  <c r="V205" i="34" a="1"/>
  <c r="V205" i="34"/>
  <c r="U205" i="34" a="1"/>
  <c r="U205" i="34"/>
  <c r="T205" i="34" a="1"/>
  <c r="T205" i="34"/>
  <c r="N205" i="34" a="1"/>
  <c r="N205" i="34" s="1"/>
  <c r="M205" i="34" a="1"/>
  <c r="M205" i="34" s="1"/>
  <c r="L205" i="34" a="1"/>
  <c r="L205" i="34" s="1"/>
  <c r="K205" i="34" a="1"/>
  <c r="K205" i="34" s="1"/>
  <c r="J205" i="34" a="1"/>
  <c r="J205" i="34" s="1"/>
  <c r="I205" i="34" a="1"/>
  <c r="I205" i="34"/>
  <c r="H205" i="34" a="1"/>
  <c r="H205" i="34"/>
  <c r="G205" i="34" a="1"/>
  <c r="G205" i="34"/>
  <c r="E205" i="34" a="1"/>
  <c r="E205" i="34" s="1"/>
  <c r="V204" i="34" a="1"/>
  <c r="V204" i="34" s="1"/>
  <c r="Y21" i="36" s="1"/>
  <c r="U204" i="34" a="1"/>
  <c r="U204" i="34" s="1"/>
  <c r="T204" i="34" a="1"/>
  <c r="T204" i="34" s="1"/>
  <c r="N204" i="34" a="1"/>
  <c r="N204" i="34" s="1"/>
  <c r="M204" i="34" a="1"/>
  <c r="M204" i="34"/>
  <c r="L204" i="34" a="1"/>
  <c r="L204" i="34"/>
  <c r="K204" i="34" a="1"/>
  <c r="K204" i="34"/>
  <c r="J204" i="34" a="1"/>
  <c r="J204" i="34" s="1"/>
  <c r="I204" i="34" a="1"/>
  <c r="I204" i="34" s="1"/>
  <c r="H204" i="34" a="1"/>
  <c r="H204" i="34" s="1"/>
  <c r="G204" i="34" a="1"/>
  <c r="G204" i="34" s="1"/>
  <c r="E204" i="34" a="1"/>
  <c r="E204" i="34" s="1"/>
  <c r="V203" i="34" a="1"/>
  <c r="V203" i="34"/>
  <c r="U203" i="34" a="1"/>
  <c r="U203" i="34"/>
  <c r="T203" i="34" a="1"/>
  <c r="T203" i="34"/>
  <c r="N203" i="34" a="1"/>
  <c r="N203" i="34" s="1"/>
  <c r="M203" i="34" a="1"/>
  <c r="M203" i="34" s="1"/>
  <c r="L203" i="34" a="1"/>
  <c r="L203" i="34" s="1"/>
  <c r="K203" i="34" a="1"/>
  <c r="K203" i="34" s="1"/>
  <c r="J203" i="34" a="1"/>
  <c r="J203" i="34" s="1"/>
  <c r="I203" i="34" a="1"/>
  <c r="I203" i="34"/>
  <c r="H203" i="34" a="1"/>
  <c r="H203" i="34"/>
  <c r="G203" i="34" a="1"/>
  <c r="G203" i="34"/>
  <c r="E203" i="34" a="1"/>
  <c r="E203" i="34" s="1"/>
  <c r="V202" i="34" a="1"/>
  <c r="V202" i="34" s="1"/>
  <c r="U202" i="34" a="1"/>
  <c r="U202" i="34" s="1"/>
  <c r="T202" i="34" a="1"/>
  <c r="T202" i="34" s="1"/>
  <c r="N202" i="34" a="1"/>
  <c r="N202" i="34" s="1"/>
  <c r="M202" i="34" a="1"/>
  <c r="M202" i="34"/>
  <c r="L202" i="34" a="1"/>
  <c r="L202" i="34"/>
  <c r="K202" i="34" a="1"/>
  <c r="K202" i="34"/>
  <c r="J202" i="34" a="1"/>
  <c r="J202" i="34" s="1"/>
  <c r="I202" i="34" a="1"/>
  <c r="I202" i="34" s="1"/>
  <c r="H202" i="34" a="1"/>
  <c r="H202" i="34" s="1"/>
  <c r="G202" i="34" a="1"/>
  <c r="G202" i="34" s="1"/>
  <c r="E202" i="34" a="1"/>
  <c r="E202" i="34" s="1"/>
  <c r="D202" i="34" a="1"/>
  <c r="D202" i="34"/>
  <c r="V200" i="34" a="1"/>
  <c r="V200" i="34"/>
  <c r="U200" i="34" a="1"/>
  <c r="U200" i="34"/>
  <c r="T200" i="34" a="1"/>
  <c r="T200" i="34" s="1"/>
  <c r="N200" i="34" a="1"/>
  <c r="N200" i="34" s="1"/>
  <c r="M200" i="34" a="1"/>
  <c r="M200" i="34" s="1"/>
  <c r="L200" i="34" a="1"/>
  <c r="L200" i="34" s="1"/>
  <c r="K200" i="34" a="1"/>
  <c r="K200" i="34"/>
  <c r="J200" i="34" a="1"/>
  <c r="J200" i="34"/>
  <c r="I200" i="34" a="1"/>
  <c r="I200" i="34"/>
  <c r="H200" i="34" a="1"/>
  <c r="H200" i="34" s="1"/>
  <c r="G200" i="34" a="1"/>
  <c r="G200" i="34" s="1"/>
  <c r="E200" i="34" a="1"/>
  <c r="E200" i="34" s="1"/>
  <c r="V199" i="34" a="1"/>
  <c r="V199" i="34" s="1"/>
  <c r="U199" i="34" a="1"/>
  <c r="U199" i="34"/>
  <c r="T199" i="34" a="1"/>
  <c r="T199" i="34"/>
  <c r="N199" i="34" a="1"/>
  <c r="N199" i="34" s="1"/>
  <c r="M199" i="34" a="1"/>
  <c r="M199" i="34" s="1"/>
  <c r="L199" i="34" a="1"/>
  <c r="L199" i="34" s="1"/>
  <c r="K199" i="34" a="1"/>
  <c r="K199" i="34" s="1"/>
  <c r="J199" i="34" a="1"/>
  <c r="J199" i="34" s="1"/>
  <c r="I199" i="34" a="1"/>
  <c r="I199" i="34"/>
  <c r="H199" i="34" a="1"/>
  <c r="H199" i="34"/>
  <c r="G199" i="34" a="1"/>
  <c r="G199" i="34"/>
  <c r="E199" i="34" a="1"/>
  <c r="E199" i="34" s="1"/>
  <c r="V198" i="34" a="1"/>
  <c r="V198" i="34" s="1"/>
  <c r="Y18" i="36" s="1"/>
  <c r="U198" i="34" a="1"/>
  <c r="U198" i="34" s="1"/>
  <c r="Q18" i="36" s="1"/>
  <c r="T198" i="34" a="1"/>
  <c r="T198" i="34" s="1"/>
  <c r="N198" i="34" a="1"/>
  <c r="N198" i="34"/>
  <c r="M198" i="34" a="1"/>
  <c r="M198" i="34"/>
  <c r="L198" i="34" a="1"/>
  <c r="L198" i="34" s="1"/>
  <c r="K198" i="34" a="1"/>
  <c r="K198" i="34" s="1"/>
  <c r="J198" i="34" a="1"/>
  <c r="J198" i="34" s="1"/>
  <c r="J201" i="34" s="1"/>
  <c r="I198" i="34" a="1"/>
  <c r="I198" i="34" s="1"/>
  <c r="H198" i="34" a="1"/>
  <c r="H198" i="34" s="1"/>
  <c r="G198" i="34" a="1"/>
  <c r="G198" i="34"/>
  <c r="E198" i="34" a="1"/>
  <c r="E198" i="34"/>
  <c r="V197" i="34" a="1"/>
  <c r="V197" i="34" s="1"/>
  <c r="U197" i="34" a="1"/>
  <c r="U197" i="34" s="1"/>
  <c r="U201" i="34" s="1"/>
  <c r="T197" i="34" a="1"/>
  <c r="T197" i="34" s="1"/>
  <c r="N197" i="34" a="1"/>
  <c r="N197" i="34" s="1"/>
  <c r="M197" i="34" a="1"/>
  <c r="M197" i="34"/>
  <c r="L197" i="34" a="1"/>
  <c r="L197" i="34"/>
  <c r="K197" i="34" a="1"/>
  <c r="K197" i="34"/>
  <c r="J197" i="34" a="1"/>
  <c r="J197" i="34" s="1"/>
  <c r="I197" i="34" a="1"/>
  <c r="I197" i="34" s="1"/>
  <c r="H197" i="34" a="1"/>
  <c r="H197" i="34" s="1"/>
  <c r="G197" i="34" a="1"/>
  <c r="G197" i="34" s="1"/>
  <c r="E197" i="34" a="1"/>
  <c r="E197" i="34" s="1"/>
  <c r="V196" i="34" a="1"/>
  <c r="V196" i="34"/>
  <c r="U196" i="34" a="1"/>
  <c r="U196" i="34"/>
  <c r="T196" i="34" a="1"/>
  <c r="T196" i="34" s="1"/>
  <c r="O196" i="34" a="1"/>
  <c r="O196" i="34" s="1"/>
  <c r="N196" i="34" a="1"/>
  <c r="N196" i="34" s="1"/>
  <c r="M196" i="34" a="1"/>
  <c r="M196" i="34" s="1"/>
  <c r="L196" i="34" a="1"/>
  <c r="L196" i="34" s="1"/>
  <c r="K196" i="34" a="1"/>
  <c r="K196" i="34"/>
  <c r="J196" i="34" a="1"/>
  <c r="J196" i="34"/>
  <c r="I196" i="34" a="1"/>
  <c r="I196" i="34"/>
  <c r="H196" i="34" a="1"/>
  <c r="H196" i="34" s="1"/>
  <c r="G196" i="34" a="1"/>
  <c r="G196" i="34" s="1"/>
  <c r="G201" i="34" s="1"/>
  <c r="E196" i="34" a="1"/>
  <c r="E196" i="34" s="1"/>
  <c r="D196" i="34" a="1"/>
  <c r="D196" i="34" s="1"/>
  <c r="V194" i="34" a="1"/>
  <c r="V194" i="34" s="1"/>
  <c r="U194" i="34" a="1"/>
  <c r="U194" i="34"/>
  <c r="T194" i="34" a="1"/>
  <c r="T194" i="34"/>
  <c r="N194" i="34" a="1"/>
  <c r="N194" i="34" s="1"/>
  <c r="M194" i="34" a="1"/>
  <c r="M194" i="34" s="1"/>
  <c r="L194" i="34" a="1"/>
  <c r="L194" i="34" s="1"/>
  <c r="K194" i="34" a="1"/>
  <c r="K194" i="34" s="1"/>
  <c r="J194" i="34" a="1"/>
  <c r="J194" i="34" s="1"/>
  <c r="I194" i="34" a="1"/>
  <c r="I194" i="34"/>
  <c r="H194" i="34" a="1"/>
  <c r="H194" i="34"/>
  <c r="G194" i="34" a="1"/>
  <c r="G194" i="34"/>
  <c r="E194" i="34" a="1"/>
  <c r="E194" i="34" s="1"/>
  <c r="V193" i="34" a="1"/>
  <c r="V193" i="34" s="1"/>
  <c r="V195" i="34" s="1"/>
  <c r="U193" i="34" a="1"/>
  <c r="U193" i="34" s="1"/>
  <c r="R13" i="36" s="1"/>
  <c r="T193" i="34" a="1"/>
  <c r="T193" i="34" s="1"/>
  <c r="N193" i="34" a="1"/>
  <c r="N193" i="34"/>
  <c r="M193" i="34" a="1"/>
  <c r="M193" i="34"/>
  <c r="L193" i="34" a="1"/>
  <c r="L193" i="34" s="1"/>
  <c r="K193" i="34" a="1"/>
  <c r="K193" i="34" s="1"/>
  <c r="J193" i="34" a="1"/>
  <c r="J193" i="34" s="1"/>
  <c r="J195" i="34" s="1"/>
  <c r="V73" i="37" s="1"/>
  <c r="I193" i="34" a="1"/>
  <c r="I193" i="34" s="1"/>
  <c r="H193" i="34" a="1"/>
  <c r="H193" i="34" s="1"/>
  <c r="G193" i="34" a="1"/>
  <c r="G193" i="34"/>
  <c r="E193" i="34" a="1"/>
  <c r="E193" i="34"/>
  <c r="V192" i="34" a="1"/>
  <c r="V192" i="34" s="1"/>
  <c r="U192" i="34" a="1"/>
  <c r="U192" i="34" s="1"/>
  <c r="T192" i="34" a="1"/>
  <c r="T192" i="34" s="1"/>
  <c r="N192" i="34" a="1"/>
  <c r="N192" i="34" s="1"/>
  <c r="M192" i="34" a="1"/>
  <c r="M192" i="34"/>
  <c r="L192" i="34" a="1"/>
  <c r="L192" i="34"/>
  <c r="K192" i="34" a="1"/>
  <c r="K192" i="34"/>
  <c r="J192" i="34" a="1"/>
  <c r="J192" i="34" s="1"/>
  <c r="I192" i="34" a="1"/>
  <c r="I192" i="34" s="1"/>
  <c r="H192" i="34" a="1"/>
  <c r="H192" i="34" s="1"/>
  <c r="G192" i="34" a="1"/>
  <c r="G192" i="34" s="1"/>
  <c r="E192" i="34" a="1"/>
  <c r="E192" i="34" s="1"/>
  <c r="V191" i="34" a="1"/>
  <c r="V191" i="34"/>
  <c r="U191" i="34" a="1"/>
  <c r="U191" i="34"/>
  <c r="T191" i="34" a="1"/>
  <c r="T191" i="34" s="1"/>
  <c r="N191" i="34" a="1"/>
  <c r="N191" i="34" s="1"/>
  <c r="N195" i="34" s="1"/>
  <c r="M191" i="34" a="1"/>
  <c r="M191" i="34" s="1"/>
  <c r="L191" i="34" a="1"/>
  <c r="L191" i="34" s="1"/>
  <c r="K191" i="34" a="1"/>
  <c r="K191" i="34"/>
  <c r="J191" i="34" a="1"/>
  <c r="J191" i="34"/>
  <c r="I191" i="34" a="1"/>
  <c r="I191" i="34"/>
  <c r="H191" i="34" a="1"/>
  <c r="H191" i="34" s="1"/>
  <c r="G191" i="34" a="1"/>
  <c r="G191" i="34" s="1"/>
  <c r="E191" i="34" a="1"/>
  <c r="E191" i="34" s="1"/>
  <c r="V190" i="34" a="1"/>
  <c r="V190" i="34" s="1"/>
  <c r="U190" i="34" a="1"/>
  <c r="U190" i="34"/>
  <c r="T190" i="34" a="1"/>
  <c r="T190" i="34"/>
  <c r="O190" i="34" a="1"/>
  <c r="O190" i="34"/>
  <c r="N190" i="34" a="1"/>
  <c r="N190" i="34" s="1"/>
  <c r="M190" i="34" a="1"/>
  <c r="M190" i="34" s="1"/>
  <c r="L190" i="34" a="1"/>
  <c r="L190" i="34" s="1"/>
  <c r="K190" i="34" a="1"/>
  <c r="K190" i="34" s="1"/>
  <c r="J190" i="34" a="1"/>
  <c r="J190" i="34" s="1"/>
  <c r="I190" i="34" a="1"/>
  <c r="I190" i="34"/>
  <c r="H190" i="34" a="1"/>
  <c r="H190" i="34"/>
  <c r="G190" i="34" a="1"/>
  <c r="G190" i="34"/>
  <c r="E190" i="34" a="1"/>
  <c r="E190" i="34" s="1"/>
  <c r="D190" i="34" a="1"/>
  <c r="D190" i="34" s="1"/>
  <c r="V188" i="34" a="1"/>
  <c r="V188" i="34" s="1"/>
  <c r="U188" i="34" a="1"/>
  <c r="U188" i="34" s="1"/>
  <c r="T188" i="34" a="1"/>
  <c r="T188" i="34" s="1"/>
  <c r="N188" i="34" a="1"/>
  <c r="N188" i="34"/>
  <c r="M188" i="34" a="1"/>
  <c r="M188" i="34"/>
  <c r="L188" i="34" a="1"/>
  <c r="L188" i="34" s="1"/>
  <c r="K188" i="34" a="1"/>
  <c r="K188" i="34" s="1"/>
  <c r="J188" i="34" a="1"/>
  <c r="J188" i="34" s="1"/>
  <c r="I188" i="34" a="1"/>
  <c r="I188" i="34" s="1"/>
  <c r="H188" i="34" a="1"/>
  <c r="H188" i="34" s="1"/>
  <c r="G188" i="34" a="1"/>
  <c r="G188" i="34"/>
  <c r="E188" i="34" a="1"/>
  <c r="E188" i="34"/>
  <c r="V187" i="34" a="1"/>
  <c r="V187" i="34" s="1"/>
  <c r="U187" i="34" a="1"/>
  <c r="U187" i="34" s="1"/>
  <c r="T187" i="34" a="1"/>
  <c r="T187" i="34" s="1"/>
  <c r="N187" i="34" a="1"/>
  <c r="N187" i="34" s="1"/>
  <c r="M187" i="34" a="1"/>
  <c r="M187" i="34"/>
  <c r="L187" i="34" a="1"/>
  <c r="L187" i="34"/>
  <c r="K187" i="34" a="1"/>
  <c r="K187" i="34"/>
  <c r="J187" i="34" a="1"/>
  <c r="J187" i="34" s="1"/>
  <c r="I187" i="34" a="1"/>
  <c r="I187" i="34" s="1"/>
  <c r="H187" i="34" a="1"/>
  <c r="H187" i="34" s="1"/>
  <c r="G187" i="34" a="1"/>
  <c r="G187" i="34" s="1"/>
  <c r="E187" i="34" a="1"/>
  <c r="E187" i="34" s="1"/>
  <c r="V186" i="34" a="1"/>
  <c r="V186" i="34"/>
  <c r="U186" i="34" a="1"/>
  <c r="U186" i="34"/>
  <c r="T186" i="34" a="1"/>
  <c r="T186" i="34" s="1"/>
  <c r="N186" i="34" a="1"/>
  <c r="N186" i="34" s="1"/>
  <c r="N189" i="34" s="1"/>
  <c r="M186" i="34" a="1"/>
  <c r="M186" i="34" s="1"/>
  <c r="L186" i="34" a="1"/>
  <c r="L186" i="34" s="1"/>
  <c r="K186" i="34" a="1"/>
  <c r="K186" i="34"/>
  <c r="J186" i="34" a="1"/>
  <c r="J186" i="34"/>
  <c r="I186" i="34" a="1"/>
  <c r="I186" i="34"/>
  <c r="H186" i="34" a="1"/>
  <c r="H186" i="34" s="1"/>
  <c r="G186" i="34" a="1"/>
  <c r="G186" i="34" s="1"/>
  <c r="E186" i="34" a="1"/>
  <c r="E186" i="34" s="1"/>
  <c r="E189" i="34" s="1"/>
  <c r="Q70" i="37" s="1"/>
  <c r="V185" i="34" a="1"/>
  <c r="V185" i="34" s="1"/>
  <c r="U185" i="34" a="1"/>
  <c r="U185" i="34"/>
  <c r="T185" i="34" a="1"/>
  <c r="T185" i="34"/>
  <c r="N185" i="34" a="1"/>
  <c r="N185" i="34" s="1"/>
  <c r="M185" i="34" a="1"/>
  <c r="M185" i="34" s="1"/>
  <c r="L185" i="34" a="1"/>
  <c r="L185" i="34" s="1"/>
  <c r="K185" i="34" a="1"/>
  <c r="K185" i="34" s="1"/>
  <c r="J185" i="34" a="1"/>
  <c r="J185" i="34" s="1"/>
  <c r="I185" i="34" a="1"/>
  <c r="I185" i="34"/>
  <c r="H185" i="34" a="1"/>
  <c r="H185" i="34"/>
  <c r="G185" i="34" a="1"/>
  <c r="G185" i="34"/>
  <c r="E185" i="34" a="1"/>
  <c r="E185" i="34" s="1"/>
  <c r="V184" i="34" a="1"/>
  <c r="V184" i="34" s="1"/>
  <c r="U184" i="34" a="1"/>
  <c r="U184" i="34" s="1"/>
  <c r="T184" i="34" a="1"/>
  <c r="T184" i="34" s="1"/>
  <c r="O184" i="34" a="1"/>
  <c r="O184" i="34"/>
  <c r="N184" i="34" a="1"/>
  <c r="N184" i="34"/>
  <c r="M184" i="34" a="1"/>
  <c r="M184" i="34"/>
  <c r="L184" i="34" a="1"/>
  <c r="L184" i="34" s="1"/>
  <c r="K184" i="34" a="1"/>
  <c r="K184" i="34" s="1"/>
  <c r="J184" i="34" a="1"/>
  <c r="J184" i="34" s="1"/>
  <c r="I184" i="34" a="1"/>
  <c r="I184" i="34" s="1"/>
  <c r="H184" i="34" a="1"/>
  <c r="H184" i="34" s="1"/>
  <c r="G184" i="34" a="1"/>
  <c r="G184" i="34"/>
  <c r="E184" i="34" a="1"/>
  <c r="E184" i="34"/>
  <c r="D184" i="34" a="1"/>
  <c r="D184" i="34"/>
  <c r="V182" i="34" a="1"/>
  <c r="V182" i="34" s="1"/>
  <c r="U182" i="34" a="1"/>
  <c r="U182" i="34" s="1"/>
  <c r="S16" i="36" s="1"/>
  <c r="T182" i="34" a="1"/>
  <c r="T182" i="34" s="1"/>
  <c r="K16" i="36" s="1"/>
  <c r="N182" i="34" a="1"/>
  <c r="N182" i="34" s="1"/>
  <c r="M182" i="34" a="1"/>
  <c r="M182" i="34"/>
  <c r="L182" i="34" a="1"/>
  <c r="L182" i="34"/>
  <c r="K182" i="34" a="1"/>
  <c r="K182" i="34"/>
  <c r="J182" i="34" a="1"/>
  <c r="J182" i="34" s="1"/>
  <c r="I182" i="34" a="1"/>
  <c r="I182" i="34" s="1"/>
  <c r="H182" i="34" a="1"/>
  <c r="H182" i="34" s="1"/>
  <c r="G182" i="34" a="1"/>
  <c r="G182" i="34" s="1"/>
  <c r="E182" i="34" a="1"/>
  <c r="E182" i="34" s="1"/>
  <c r="V181" i="34" a="1"/>
  <c r="V181" i="34"/>
  <c r="U181" i="34" a="1"/>
  <c r="U181" i="34"/>
  <c r="T181" i="34" a="1"/>
  <c r="T181" i="34" s="1"/>
  <c r="N181" i="34" a="1"/>
  <c r="N181" i="34" s="1"/>
  <c r="N183" i="34" s="1"/>
  <c r="M181" i="34" a="1"/>
  <c r="M181" i="34" s="1"/>
  <c r="L181" i="34" a="1"/>
  <c r="L181" i="34" s="1"/>
  <c r="K181" i="34" a="1"/>
  <c r="K181" i="34"/>
  <c r="J181" i="34" a="1"/>
  <c r="J181" i="34"/>
  <c r="I181" i="34" a="1"/>
  <c r="I181" i="34"/>
  <c r="H181" i="34" a="1"/>
  <c r="H181" i="34" s="1"/>
  <c r="G181" i="34" a="1"/>
  <c r="G181" i="34" s="1"/>
  <c r="E181" i="34" a="1"/>
  <c r="E181" i="34" s="1"/>
  <c r="V180" i="34" a="1"/>
  <c r="V180" i="34" s="1"/>
  <c r="U180" i="34" a="1"/>
  <c r="U180" i="34"/>
  <c r="T180" i="34" a="1"/>
  <c r="T180" i="34"/>
  <c r="N180" i="34" a="1"/>
  <c r="N180" i="34" s="1"/>
  <c r="M180" i="34" a="1"/>
  <c r="M180" i="34" s="1"/>
  <c r="L180" i="34" a="1"/>
  <c r="L180" i="34" s="1"/>
  <c r="K180" i="34" a="1"/>
  <c r="K180" i="34" s="1"/>
  <c r="J180" i="34" a="1"/>
  <c r="J180" i="34" s="1"/>
  <c r="I180" i="34" a="1"/>
  <c r="I180" i="34"/>
  <c r="H180" i="34" a="1"/>
  <c r="H180" i="34"/>
  <c r="G180" i="34" a="1"/>
  <c r="G180" i="34"/>
  <c r="E180" i="34" a="1"/>
  <c r="E180" i="34" s="1"/>
  <c r="V179" i="34" a="1"/>
  <c r="V179" i="34" s="1"/>
  <c r="U179" i="34" a="1"/>
  <c r="U179" i="34" s="1"/>
  <c r="T179" i="34" a="1"/>
  <c r="T179" i="34" s="1"/>
  <c r="N179" i="34" a="1"/>
  <c r="N179" i="34"/>
  <c r="M179" i="34" a="1"/>
  <c r="M179" i="34"/>
  <c r="L179" i="34" a="1"/>
  <c r="L179" i="34" s="1"/>
  <c r="K179" i="34" a="1"/>
  <c r="K179" i="34" s="1"/>
  <c r="J179" i="34" a="1"/>
  <c r="J179" i="34" s="1"/>
  <c r="I179" i="34" a="1"/>
  <c r="I179" i="34" s="1"/>
  <c r="H179" i="34" a="1"/>
  <c r="H179" i="34" s="1"/>
  <c r="G179" i="34" a="1"/>
  <c r="G179" i="34"/>
  <c r="E179" i="34" a="1"/>
  <c r="E179" i="34"/>
  <c r="V178" i="34" a="1"/>
  <c r="V178" i="34" s="1"/>
  <c r="U178" i="34" a="1"/>
  <c r="U178" i="34" s="1"/>
  <c r="O16" i="36" s="1"/>
  <c r="T178" i="34" a="1"/>
  <c r="T178" i="34" s="1"/>
  <c r="T183" i="34" s="1"/>
  <c r="O178" i="34" a="1"/>
  <c r="O178" i="34" s="1"/>
  <c r="N178" i="34" a="1"/>
  <c r="N178" i="34" s="1"/>
  <c r="M178" i="34" a="1"/>
  <c r="M178" i="34"/>
  <c r="L178" i="34" a="1"/>
  <c r="L178" i="34"/>
  <c r="K178" i="34" a="1"/>
  <c r="K178" i="34"/>
  <c r="J178" i="34" a="1"/>
  <c r="J178" i="34" s="1"/>
  <c r="I178" i="34" a="1"/>
  <c r="I178" i="34" s="1"/>
  <c r="H178" i="34" a="1"/>
  <c r="H178" i="34" s="1"/>
  <c r="G178" i="34" a="1"/>
  <c r="G178" i="34" s="1"/>
  <c r="E178" i="34" a="1"/>
  <c r="E178" i="34" s="1"/>
  <c r="D178" i="34" a="1"/>
  <c r="D178" i="34"/>
  <c r="V176" i="34" a="1"/>
  <c r="V176" i="34"/>
  <c r="U176" i="34" a="1"/>
  <c r="U176" i="34"/>
  <c r="T176" i="34" a="1"/>
  <c r="T176" i="34" s="1"/>
  <c r="N176" i="34" a="1"/>
  <c r="N176" i="34" s="1"/>
  <c r="M176" i="34" a="1"/>
  <c r="M176" i="34" s="1"/>
  <c r="L176" i="34" a="1"/>
  <c r="L176" i="34" s="1"/>
  <c r="K176" i="34" a="1"/>
  <c r="K176" i="34"/>
  <c r="J176" i="34" a="1"/>
  <c r="J176" i="34"/>
  <c r="I176" i="34" a="1"/>
  <c r="I176" i="34"/>
  <c r="H176" i="34" a="1"/>
  <c r="H176" i="34" s="1"/>
  <c r="G176" i="34" a="1"/>
  <c r="G176" i="34" s="1"/>
  <c r="E176" i="34" a="1"/>
  <c r="E176" i="34" s="1"/>
  <c r="V175" i="34" a="1"/>
  <c r="V175" i="34" s="1"/>
  <c r="U175" i="34" a="1"/>
  <c r="U175" i="34"/>
  <c r="T175" i="34" a="1"/>
  <c r="T175" i="34"/>
  <c r="N175" i="34" a="1"/>
  <c r="N175" i="34" s="1"/>
  <c r="M175" i="34" a="1"/>
  <c r="M175" i="34" s="1"/>
  <c r="L175" i="34" a="1"/>
  <c r="L175" i="34" s="1"/>
  <c r="K175" i="34" a="1"/>
  <c r="K175" i="34" s="1"/>
  <c r="J175" i="34" a="1"/>
  <c r="J175" i="34" s="1"/>
  <c r="I175" i="34" a="1"/>
  <c r="I175" i="34"/>
  <c r="H175" i="34" a="1"/>
  <c r="H175" i="34"/>
  <c r="G175" i="34" a="1"/>
  <c r="G175" i="34"/>
  <c r="E175" i="34" a="1"/>
  <c r="E175" i="34" s="1"/>
  <c r="V174" i="34" a="1"/>
  <c r="V174" i="34" s="1"/>
  <c r="Y12" i="36" s="1"/>
  <c r="U174" i="34" a="1"/>
  <c r="U174" i="34" s="1"/>
  <c r="T174" i="34" a="1"/>
  <c r="T174" i="34" s="1"/>
  <c r="N174" i="34" a="1"/>
  <c r="N174" i="34"/>
  <c r="M174" i="34" a="1"/>
  <c r="M174" i="34"/>
  <c r="L174" i="34" a="1"/>
  <c r="L174" i="34" s="1"/>
  <c r="K174" i="34" a="1"/>
  <c r="K174" i="34" s="1"/>
  <c r="J174" i="34" a="1"/>
  <c r="J174" i="34" s="1"/>
  <c r="I174" i="34" a="1"/>
  <c r="I174" i="34" s="1"/>
  <c r="H174" i="34" a="1"/>
  <c r="H174" i="34" s="1"/>
  <c r="G174" i="34" a="1"/>
  <c r="G174" i="34"/>
  <c r="E174" i="34" a="1"/>
  <c r="E174" i="34"/>
  <c r="V173" i="34" a="1"/>
  <c r="V173" i="34" s="1"/>
  <c r="U173" i="34" a="1"/>
  <c r="U173" i="34" s="1"/>
  <c r="T173" i="34" a="1"/>
  <c r="T173" i="34" s="1"/>
  <c r="T177" i="34" s="1"/>
  <c r="N173" i="34" a="1"/>
  <c r="N173" i="34" s="1"/>
  <c r="M173" i="34" a="1"/>
  <c r="M173" i="34"/>
  <c r="L173" i="34" a="1"/>
  <c r="L173" i="34"/>
  <c r="K173" i="34" a="1"/>
  <c r="K173" i="34"/>
  <c r="J173" i="34" a="1"/>
  <c r="J173" i="34" s="1"/>
  <c r="I173" i="34" a="1"/>
  <c r="I173" i="34" s="1"/>
  <c r="H173" i="34" a="1"/>
  <c r="H173" i="34" s="1"/>
  <c r="G173" i="34" a="1"/>
  <c r="G173" i="34" s="1"/>
  <c r="E173" i="34" a="1"/>
  <c r="E173" i="34" s="1"/>
  <c r="V172" i="34" a="1"/>
  <c r="V172" i="34"/>
  <c r="U172" i="34" a="1"/>
  <c r="U172" i="34"/>
  <c r="T172" i="34" a="1"/>
  <c r="T172" i="34" s="1"/>
  <c r="O172" i="34" a="1"/>
  <c r="O172" i="34" s="1"/>
  <c r="N172" i="34" a="1"/>
  <c r="N172" i="34" s="1"/>
  <c r="M172" i="34" a="1"/>
  <c r="M172" i="34" s="1"/>
  <c r="M177" i="34" s="1"/>
  <c r="L172" i="34" a="1"/>
  <c r="L172" i="34" s="1"/>
  <c r="K172" i="34" a="1"/>
  <c r="K172" i="34"/>
  <c r="J172" i="34" a="1"/>
  <c r="J172" i="34"/>
  <c r="I172" i="34" a="1"/>
  <c r="I172" i="34"/>
  <c r="H172" i="34" a="1"/>
  <c r="H172" i="34" s="1"/>
  <c r="G172" i="34" a="1"/>
  <c r="G172" i="34" s="1"/>
  <c r="E172" i="34" a="1"/>
  <c r="E172" i="34" s="1"/>
  <c r="D172" i="34" a="1"/>
  <c r="D172" i="34" s="1"/>
  <c r="P72" i="37" s="1"/>
  <c r="V170" i="34" a="1"/>
  <c r="V170" i="34"/>
  <c r="U170" i="34" a="1"/>
  <c r="U170" i="34" s="1"/>
  <c r="T170" i="34" a="1"/>
  <c r="T170" i="34" s="1"/>
  <c r="N170" i="34" a="1"/>
  <c r="N170" i="34" s="1"/>
  <c r="M170" i="34" a="1"/>
  <c r="M170" i="34"/>
  <c r="L170" i="34" a="1"/>
  <c r="L170" i="34" s="1"/>
  <c r="K170" i="34" a="1"/>
  <c r="K170" i="34" s="1"/>
  <c r="J170" i="34" a="1"/>
  <c r="J170" i="34" s="1"/>
  <c r="I170" i="34" a="1"/>
  <c r="I170" i="34"/>
  <c r="H170" i="34" a="1"/>
  <c r="H170" i="34" s="1"/>
  <c r="G170" i="34" a="1"/>
  <c r="G170" i="34" s="1"/>
  <c r="E170" i="34" a="1"/>
  <c r="E170" i="34" s="1"/>
  <c r="V169" i="34" a="1"/>
  <c r="V169" i="34"/>
  <c r="U169" i="34" a="1"/>
  <c r="U169" i="34" s="1"/>
  <c r="T169" i="34" a="1"/>
  <c r="T169" i="34"/>
  <c r="N169" i="34" a="1"/>
  <c r="N169" i="34"/>
  <c r="M169" i="34" a="1"/>
  <c r="M169" i="34" s="1"/>
  <c r="L169" i="34" a="1"/>
  <c r="L169" i="34" s="1"/>
  <c r="K169" i="34" a="1"/>
  <c r="K169" i="34" s="1"/>
  <c r="J169" i="34" a="1"/>
  <c r="J169" i="34" s="1"/>
  <c r="I169" i="34" a="1"/>
  <c r="I169" i="34" s="1"/>
  <c r="H169" i="34" a="1"/>
  <c r="H169" i="34" s="1"/>
  <c r="G169" i="34" a="1"/>
  <c r="G169" i="34"/>
  <c r="E169" i="34" a="1"/>
  <c r="E169" i="34" s="1"/>
  <c r="V168" i="34" a="1"/>
  <c r="V168" i="34"/>
  <c r="U168" i="34" a="1"/>
  <c r="U168" i="34" s="1"/>
  <c r="T168" i="34" a="1"/>
  <c r="T168" i="34" s="1"/>
  <c r="N168" i="34" a="1"/>
  <c r="N168" i="34"/>
  <c r="M168" i="34" a="1"/>
  <c r="M168" i="34"/>
  <c r="L168" i="34" a="1"/>
  <c r="L168" i="34"/>
  <c r="K168" i="34" a="1"/>
  <c r="K168" i="34" s="1"/>
  <c r="J168" i="34" a="1"/>
  <c r="J168" i="34" s="1"/>
  <c r="I168" i="34" a="1"/>
  <c r="I168" i="34"/>
  <c r="H168" i="34" a="1"/>
  <c r="H168" i="34" s="1"/>
  <c r="G168" i="34" a="1"/>
  <c r="G168" i="34" s="1"/>
  <c r="E168" i="34" a="1"/>
  <c r="E168" i="34" s="1"/>
  <c r="V167" i="34" a="1"/>
  <c r="V167" i="34"/>
  <c r="U167" i="34" a="1"/>
  <c r="U167" i="34" s="1"/>
  <c r="T167" i="34" a="1"/>
  <c r="T167" i="34" s="1"/>
  <c r="N167" i="34" a="1"/>
  <c r="N167" i="34"/>
  <c r="M167" i="34" a="1"/>
  <c r="M167" i="34" s="1"/>
  <c r="L167" i="34" a="1"/>
  <c r="L167" i="34"/>
  <c r="K167" i="34" a="1"/>
  <c r="K167" i="34" s="1"/>
  <c r="J167" i="34" a="1"/>
  <c r="J167" i="34"/>
  <c r="I167" i="34" a="1"/>
  <c r="I167" i="34" s="1"/>
  <c r="H167" i="34" a="1"/>
  <c r="H167" i="34" s="1"/>
  <c r="G167" i="34" a="1"/>
  <c r="G167" i="34" s="1"/>
  <c r="E167" i="34" a="1"/>
  <c r="E167" i="34" s="1"/>
  <c r="V166" i="34" a="1"/>
  <c r="V166" i="34"/>
  <c r="U166" i="34" a="1"/>
  <c r="U166" i="34"/>
  <c r="T166" i="34" a="1"/>
  <c r="T166" i="34" s="1"/>
  <c r="O166" i="34" a="1"/>
  <c r="O166" i="34" s="1"/>
  <c r="N166" i="34" a="1"/>
  <c r="N166" i="34"/>
  <c r="M166" i="34" a="1"/>
  <c r="M166" i="34" s="1"/>
  <c r="L166" i="34" a="1"/>
  <c r="L166" i="34" s="1"/>
  <c r="K166" i="34" a="1"/>
  <c r="K166" i="34" s="1"/>
  <c r="J166" i="34" a="1"/>
  <c r="J166" i="34"/>
  <c r="I166" i="34" a="1"/>
  <c r="I166" i="34"/>
  <c r="H166" i="34" a="1"/>
  <c r="H166" i="34"/>
  <c r="G166" i="34" a="1"/>
  <c r="G166" i="34" s="1"/>
  <c r="E166" i="34" a="1"/>
  <c r="E166" i="34" s="1"/>
  <c r="D166" i="34" a="1"/>
  <c r="D166" i="34"/>
  <c r="V164" i="34" a="1"/>
  <c r="V164" i="34" s="1"/>
  <c r="U164" i="34" a="1"/>
  <c r="U164" i="34" s="1"/>
  <c r="T164" i="34" a="1"/>
  <c r="T164" i="34" s="1"/>
  <c r="N164" i="34" a="1"/>
  <c r="N164" i="34"/>
  <c r="M164" i="34" a="1"/>
  <c r="M164" i="34" s="1"/>
  <c r="L164" i="34" a="1"/>
  <c r="L164" i="34" s="1"/>
  <c r="K164" i="34" a="1"/>
  <c r="K164" i="34" s="1"/>
  <c r="J164" i="34" a="1"/>
  <c r="J164" i="34"/>
  <c r="I164" i="34" a="1"/>
  <c r="I164" i="34" s="1"/>
  <c r="H164" i="34" a="1"/>
  <c r="H164" i="34"/>
  <c r="G164" i="34" a="1"/>
  <c r="G164" i="34" s="1"/>
  <c r="E164" i="34" a="1"/>
  <c r="E164" i="34"/>
  <c r="V163" i="34" a="1"/>
  <c r="V163" i="34" s="1"/>
  <c r="U163" i="34" a="1"/>
  <c r="U163" i="34" s="1"/>
  <c r="T163" i="34" a="1"/>
  <c r="T163" i="34" s="1"/>
  <c r="N163" i="34" a="1"/>
  <c r="N163" i="34"/>
  <c r="M163" i="34" a="1"/>
  <c r="M163" i="34" s="1"/>
  <c r="L163" i="34" a="1"/>
  <c r="L163" i="34" s="1"/>
  <c r="K163" i="34" a="1"/>
  <c r="K163" i="34" s="1"/>
  <c r="J163" i="34" a="1"/>
  <c r="J163" i="34"/>
  <c r="I163" i="34" a="1"/>
  <c r="I163" i="34" s="1"/>
  <c r="H163" i="34" a="1"/>
  <c r="H163" i="34" s="1"/>
  <c r="G163" i="34" a="1"/>
  <c r="G163" i="34" s="1"/>
  <c r="E163" i="34" a="1"/>
  <c r="E163" i="34"/>
  <c r="V162" i="34" a="1"/>
  <c r="V162" i="34" s="1"/>
  <c r="U162" i="34" a="1"/>
  <c r="U162" i="34" s="1"/>
  <c r="T162" i="34" a="1"/>
  <c r="T162" i="34" s="1"/>
  <c r="N162" i="34" a="1"/>
  <c r="N162" i="34" s="1"/>
  <c r="M162" i="34" a="1"/>
  <c r="M162" i="34" s="1"/>
  <c r="L162" i="34" a="1"/>
  <c r="L162" i="34" s="1"/>
  <c r="K162" i="34" a="1"/>
  <c r="K162" i="34"/>
  <c r="J162" i="34" a="1"/>
  <c r="J162" i="34"/>
  <c r="I162" i="34" a="1"/>
  <c r="I162" i="34" s="1"/>
  <c r="H162" i="34" a="1"/>
  <c r="H162" i="34" s="1"/>
  <c r="G162" i="34" a="1"/>
  <c r="G162" i="34" s="1"/>
  <c r="E162" i="34" a="1"/>
  <c r="E162" i="34"/>
  <c r="V161" i="34" a="1"/>
  <c r="V161" i="34" s="1"/>
  <c r="U161" i="34" a="1"/>
  <c r="U161" i="34" s="1"/>
  <c r="T161" i="34" a="1"/>
  <c r="T161" i="34"/>
  <c r="N161" i="34" a="1"/>
  <c r="N161" i="34" s="1"/>
  <c r="M161" i="34" a="1"/>
  <c r="M161" i="34" s="1"/>
  <c r="L161" i="34" a="1"/>
  <c r="L161" i="34" s="1"/>
  <c r="K161" i="34" a="1"/>
  <c r="K161" i="34" s="1"/>
  <c r="J161" i="34" a="1"/>
  <c r="J161" i="34"/>
  <c r="I161" i="34" a="1"/>
  <c r="I161" i="34" s="1"/>
  <c r="H161" i="34" a="1"/>
  <c r="H161" i="34" s="1"/>
  <c r="G161" i="34" a="1"/>
  <c r="G161" i="34" s="1"/>
  <c r="E161" i="34" a="1"/>
  <c r="E161" i="34"/>
  <c r="V160" i="34" a="1"/>
  <c r="V160" i="34" s="1"/>
  <c r="U160" i="34" a="1"/>
  <c r="U160" i="34" s="1"/>
  <c r="T160" i="34" a="1"/>
  <c r="T160" i="34"/>
  <c r="O160" i="34" a="1"/>
  <c r="O160" i="34"/>
  <c r="N160" i="34" a="1"/>
  <c r="N160" i="34" s="1"/>
  <c r="M160" i="34" a="1"/>
  <c r="M160" i="34" s="1"/>
  <c r="L160" i="34" a="1"/>
  <c r="L160" i="34" s="1"/>
  <c r="K160" i="34" a="1"/>
  <c r="K160" i="34"/>
  <c r="J160" i="34" a="1"/>
  <c r="J160" i="34" s="1"/>
  <c r="I160" i="34" a="1"/>
  <c r="I160" i="34" s="1"/>
  <c r="H160" i="34" a="1"/>
  <c r="H160" i="34" s="1"/>
  <c r="G160" i="34" a="1"/>
  <c r="G160" i="34"/>
  <c r="E160" i="34" a="1"/>
  <c r="E160" i="34"/>
  <c r="D160" i="34" a="1"/>
  <c r="D160" i="34" s="1"/>
  <c r="V158" i="34" a="1"/>
  <c r="V158" i="34" s="1"/>
  <c r="U158" i="34" a="1"/>
  <c r="U158" i="34" s="1"/>
  <c r="T158" i="34" a="1"/>
  <c r="T158" i="34"/>
  <c r="N158" i="34" a="1"/>
  <c r="N158" i="34" s="1"/>
  <c r="M158" i="34" a="1"/>
  <c r="M158" i="34" s="1"/>
  <c r="L158" i="34" a="1"/>
  <c r="L158" i="34"/>
  <c r="K158" i="34" a="1"/>
  <c r="K158" i="34" s="1"/>
  <c r="J158" i="34" a="1"/>
  <c r="J158" i="34" s="1"/>
  <c r="I158" i="34" a="1"/>
  <c r="I158" i="34" s="1"/>
  <c r="H158" i="34" a="1"/>
  <c r="H158" i="34" s="1"/>
  <c r="G158" i="34" a="1"/>
  <c r="G158" i="34" s="1"/>
  <c r="E158" i="34" a="1"/>
  <c r="E158" i="34" s="1"/>
  <c r="V157" i="34" a="1"/>
  <c r="V157" i="34" s="1"/>
  <c r="U157" i="34" a="1"/>
  <c r="U157" i="34" s="1"/>
  <c r="T157" i="34" a="1"/>
  <c r="T157" i="34"/>
  <c r="N157" i="34" a="1"/>
  <c r="N157" i="34" s="1"/>
  <c r="M157" i="34" a="1"/>
  <c r="M157" i="34" s="1"/>
  <c r="L157" i="34" a="1"/>
  <c r="L157" i="34"/>
  <c r="K157" i="34" a="1"/>
  <c r="K157" i="34"/>
  <c r="J157" i="34" a="1"/>
  <c r="J157" i="34" s="1"/>
  <c r="I157" i="34" a="1"/>
  <c r="I157" i="34" s="1"/>
  <c r="H157" i="34" a="1"/>
  <c r="H157" i="34" s="1"/>
  <c r="G157" i="34" a="1"/>
  <c r="G157" i="34"/>
  <c r="E157" i="34" a="1"/>
  <c r="E157" i="34" s="1"/>
  <c r="V156" i="34" a="1"/>
  <c r="V156" i="34" s="1"/>
  <c r="U156" i="34" a="1"/>
  <c r="U156" i="34"/>
  <c r="T156" i="34" a="1"/>
  <c r="T156" i="34"/>
  <c r="N156" i="34" a="1"/>
  <c r="N156" i="34" s="1"/>
  <c r="M156" i="34" a="1"/>
  <c r="M156" i="34" s="1"/>
  <c r="L156" i="34" a="1"/>
  <c r="L156" i="34"/>
  <c r="K156" i="34" a="1"/>
  <c r="K156" i="34" s="1"/>
  <c r="J156" i="34" a="1"/>
  <c r="J156" i="34" s="1"/>
  <c r="I156" i="34" a="1"/>
  <c r="I156" i="34" s="1"/>
  <c r="H156" i="34" a="1"/>
  <c r="H156" i="34"/>
  <c r="G156" i="34" a="1"/>
  <c r="G156" i="34" s="1"/>
  <c r="E156" i="34" a="1"/>
  <c r="E156" i="34" s="1"/>
  <c r="V155" i="34" a="1"/>
  <c r="V155" i="34" s="1"/>
  <c r="U155" i="34" a="1"/>
  <c r="U155" i="34" s="1"/>
  <c r="T155" i="34" a="1"/>
  <c r="T155" i="34"/>
  <c r="N155" i="34" a="1"/>
  <c r="N155" i="34" s="1"/>
  <c r="M155" i="34" a="1"/>
  <c r="M155" i="34" s="1"/>
  <c r="L155" i="34" a="1"/>
  <c r="L155" i="34"/>
  <c r="K155" i="34" a="1"/>
  <c r="K155" i="34" s="1"/>
  <c r="J155" i="34" a="1"/>
  <c r="J155" i="34" s="1"/>
  <c r="I155" i="34" a="1"/>
  <c r="I155" i="34" s="1"/>
  <c r="H155" i="34" a="1"/>
  <c r="H155" i="34"/>
  <c r="G155" i="34" a="1"/>
  <c r="G155" i="34" s="1"/>
  <c r="E155" i="34" a="1"/>
  <c r="E155" i="34" s="1"/>
  <c r="V154" i="34" a="1"/>
  <c r="V154" i="34" s="1"/>
  <c r="U154" i="34" a="1"/>
  <c r="U154" i="34"/>
  <c r="T154" i="34" a="1"/>
  <c r="T154" i="34" s="1"/>
  <c r="O154" i="34" a="1"/>
  <c r="O154" i="34" s="1"/>
  <c r="N154" i="34" a="1"/>
  <c r="N154" i="34" s="1"/>
  <c r="M154" i="34" a="1"/>
  <c r="M154" i="34"/>
  <c r="L154" i="34" a="1"/>
  <c r="L154" i="34"/>
  <c r="K154" i="34" a="1"/>
  <c r="K154" i="34" s="1"/>
  <c r="J154" i="34" a="1"/>
  <c r="J154" i="34" s="1"/>
  <c r="I154" i="34" a="1"/>
  <c r="I154" i="34" s="1"/>
  <c r="H154" i="34" a="1"/>
  <c r="H154" i="34"/>
  <c r="G154" i="34" a="1"/>
  <c r="G154" i="34" s="1"/>
  <c r="E154" i="34" a="1"/>
  <c r="E154" i="34" s="1"/>
  <c r="D154" i="34" a="1"/>
  <c r="D154" i="34" s="1"/>
  <c r="V152" i="34" a="1"/>
  <c r="V152" i="34"/>
  <c r="U152" i="34" a="1"/>
  <c r="U152" i="34" s="1"/>
  <c r="T152" i="34" a="1"/>
  <c r="T152" i="34" s="1"/>
  <c r="N152" i="34" a="1"/>
  <c r="N152" i="34" s="1"/>
  <c r="M152" i="34" a="1"/>
  <c r="M152" i="34" s="1"/>
  <c r="L152" i="34" a="1"/>
  <c r="L152" i="34"/>
  <c r="K152" i="34" a="1"/>
  <c r="K152" i="34" s="1"/>
  <c r="J152" i="34" a="1"/>
  <c r="J152" i="34" s="1"/>
  <c r="I152" i="34" a="1"/>
  <c r="I152" i="34" s="1"/>
  <c r="H152" i="34" a="1"/>
  <c r="H152" i="34"/>
  <c r="G152" i="34" a="1"/>
  <c r="G152" i="34" s="1"/>
  <c r="E152" i="34" a="1"/>
  <c r="E152" i="34" s="1"/>
  <c r="V151" i="34" a="1"/>
  <c r="V151" i="34"/>
  <c r="U151" i="34" a="1"/>
  <c r="U151" i="34"/>
  <c r="T151" i="34" a="1"/>
  <c r="T151" i="34" s="1"/>
  <c r="N151" i="34" a="1"/>
  <c r="N151" i="34" s="1"/>
  <c r="M151" i="34" a="1"/>
  <c r="M151" i="34"/>
  <c r="L151" i="34" a="1"/>
  <c r="L151" i="34" s="1"/>
  <c r="K151" i="34" a="1"/>
  <c r="K151" i="34" s="1"/>
  <c r="J151" i="34" a="1"/>
  <c r="J151" i="34" s="1"/>
  <c r="I151" i="34" a="1"/>
  <c r="I151" i="34"/>
  <c r="H151" i="34" a="1"/>
  <c r="H151" i="34"/>
  <c r="G151" i="34" a="1"/>
  <c r="G151" i="34" s="1"/>
  <c r="E151" i="34" a="1"/>
  <c r="E151" i="34" s="1"/>
  <c r="V150" i="34" a="1"/>
  <c r="V150" i="34"/>
  <c r="U150" i="34" a="1"/>
  <c r="U150" i="34" s="1"/>
  <c r="T150" i="34" a="1"/>
  <c r="T150" i="34" s="1"/>
  <c r="N150" i="34" a="1"/>
  <c r="N150" i="34"/>
  <c r="M150" i="34" a="1"/>
  <c r="M150" i="34" s="1"/>
  <c r="L150" i="34" a="1"/>
  <c r="L150" i="34" s="1"/>
  <c r="K150" i="34" a="1"/>
  <c r="K150" i="34" s="1"/>
  <c r="J150" i="34" a="1"/>
  <c r="J150" i="34" s="1"/>
  <c r="I150" i="34" a="1"/>
  <c r="I150" i="34" s="1"/>
  <c r="H150" i="34" a="1"/>
  <c r="H150" i="34" s="1"/>
  <c r="G150" i="34" a="1"/>
  <c r="G150" i="34" s="1"/>
  <c r="E150" i="34" a="1"/>
  <c r="E150" i="34" s="1"/>
  <c r="V149" i="34" a="1"/>
  <c r="V149" i="34"/>
  <c r="U149" i="34" a="1"/>
  <c r="U149" i="34" s="1"/>
  <c r="T149" i="34" a="1"/>
  <c r="T149" i="34" s="1"/>
  <c r="N149" i="34" a="1"/>
  <c r="N149" i="34"/>
  <c r="M149" i="34" a="1"/>
  <c r="M149" i="34" s="1"/>
  <c r="L149" i="34" a="1"/>
  <c r="L149" i="34"/>
  <c r="K149" i="34" a="1"/>
  <c r="K149" i="34" s="1"/>
  <c r="J149" i="34" a="1"/>
  <c r="J149" i="34" s="1"/>
  <c r="I149" i="34" a="1"/>
  <c r="I149" i="34"/>
  <c r="H149" i="34" a="1"/>
  <c r="H149" i="34" s="1"/>
  <c r="G149" i="34" a="1"/>
  <c r="G149" i="34" s="1"/>
  <c r="E149" i="34" a="1"/>
  <c r="E149" i="34" s="1"/>
  <c r="V148" i="34" a="1"/>
  <c r="V148" i="34"/>
  <c r="U148" i="34" a="1"/>
  <c r="U148" i="34" s="1"/>
  <c r="T148" i="34" a="1"/>
  <c r="T148" i="34" s="1"/>
  <c r="O148" i="34" a="1"/>
  <c r="O148" i="34" s="1"/>
  <c r="N148" i="34" a="1"/>
  <c r="N148" i="34"/>
  <c r="M148" i="34" a="1"/>
  <c r="M148" i="34" s="1"/>
  <c r="L148" i="34" a="1"/>
  <c r="L148" i="34"/>
  <c r="K148" i="34" a="1"/>
  <c r="K148" i="34" s="1"/>
  <c r="J148" i="34" a="1"/>
  <c r="J148" i="34"/>
  <c r="I148" i="34" a="1"/>
  <c r="I148" i="34" s="1"/>
  <c r="H148" i="34" a="1"/>
  <c r="H148" i="34" s="1"/>
  <c r="G148" i="34" a="1"/>
  <c r="G148" i="34" s="1"/>
  <c r="E148" i="34" a="1"/>
  <c r="E148" i="34" s="1"/>
  <c r="D148" i="34" a="1"/>
  <c r="D148" i="34" s="1"/>
  <c r="V146" i="34" a="1"/>
  <c r="V146" i="34"/>
  <c r="U146" i="34" a="1"/>
  <c r="U146" i="34" s="1"/>
  <c r="T146" i="34" a="1"/>
  <c r="T146" i="34" s="1"/>
  <c r="N146" i="34" a="1"/>
  <c r="N146" i="34"/>
  <c r="M146" i="34" a="1"/>
  <c r="M146" i="34" s="1"/>
  <c r="L146" i="34" a="1"/>
  <c r="L146" i="34" s="1"/>
  <c r="K146" i="34" a="1"/>
  <c r="K146" i="34" s="1"/>
  <c r="J146" i="34" a="1"/>
  <c r="J146" i="34"/>
  <c r="I146" i="34" a="1"/>
  <c r="I146" i="34" s="1"/>
  <c r="I147" i="34" s="1"/>
  <c r="U105" i="37" s="1"/>
  <c r="H146" i="34" a="1"/>
  <c r="H146" i="34"/>
  <c r="G146" i="34" a="1"/>
  <c r="G146" i="34" s="1"/>
  <c r="E146" i="34" a="1"/>
  <c r="E146" i="34" s="1"/>
  <c r="V145" i="34" a="1"/>
  <c r="V145" i="34" s="1"/>
  <c r="U145" i="34" a="1"/>
  <c r="U145" i="34" s="1"/>
  <c r="T145" i="34" a="1"/>
  <c r="T145" i="34" s="1"/>
  <c r="N145" i="34" a="1"/>
  <c r="N145" i="34" s="1"/>
  <c r="N147" i="34" s="1"/>
  <c r="Z105" i="37" s="1"/>
  <c r="M145" i="34" a="1"/>
  <c r="M145" i="34" s="1"/>
  <c r="L145" i="34" a="1"/>
  <c r="L145" i="34" s="1"/>
  <c r="K145" i="34" a="1"/>
  <c r="K145" i="34" s="1"/>
  <c r="J145" i="34" a="1"/>
  <c r="J145" i="34"/>
  <c r="I145" i="34" a="1"/>
  <c r="I145" i="34" s="1"/>
  <c r="H145" i="34" a="1"/>
  <c r="H145" i="34"/>
  <c r="G145" i="34" a="1"/>
  <c r="G145" i="34" s="1"/>
  <c r="E145" i="34" a="1"/>
  <c r="E145" i="34"/>
  <c r="V144" i="34" a="1"/>
  <c r="V144" i="34" s="1"/>
  <c r="U144" i="34" a="1"/>
  <c r="U144" i="34" s="1"/>
  <c r="T144" i="34" a="1"/>
  <c r="T144" i="34" s="1"/>
  <c r="N144" i="34" a="1"/>
  <c r="N144" i="34"/>
  <c r="M144" i="34" a="1"/>
  <c r="M144" i="34"/>
  <c r="L144" i="34" a="1"/>
  <c r="L144" i="34" s="1"/>
  <c r="K144" i="34" a="1"/>
  <c r="K144" i="34" s="1"/>
  <c r="J144" i="34" a="1"/>
  <c r="J144" i="34"/>
  <c r="I144" i="34" a="1"/>
  <c r="I144" i="34" s="1"/>
  <c r="H144" i="34" a="1"/>
  <c r="H144" i="34" s="1"/>
  <c r="G144" i="34" a="1"/>
  <c r="G144" i="34" s="1"/>
  <c r="E144" i="34" a="1"/>
  <c r="E144" i="34"/>
  <c r="V143" i="34" a="1"/>
  <c r="V143" i="34" s="1"/>
  <c r="U143" i="34" a="1"/>
  <c r="U143" i="34" s="1"/>
  <c r="T143" i="34" a="1"/>
  <c r="T143" i="34" s="1"/>
  <c r="N143" i="34" a="1"/>
  <c r="N143" i="34" s="1"/>
  <c r="M143" i="34" a="1"/>
  <c r="M143" i="34" s="1"/>
  <c r="L143" i="34" a="1"/>
  <c r="L143" i="34" s="1"/>
  <c r="K143" i="34" a="1"/>
  <c r="K143" i="34"/>
  <c r="J143" i="34" a="1"/>
  <c r="J143" i="34"/>
  <c r="I143" i="34" a="1"/>
  <c r="I143" i="34" s="1"/>
  <c r="H143" i="34" a="1"/>
  <c r="H143" i="34" s="1"/>
  <c r="G143" i="34" a="1"/>
  <c r="G143" i="34" s="1"/>
  <c r="E143" i="34" a="1"/>
  <c r="E143" i="34"/>
  <c r="V142" i="34" a="1"/>
  <c r="V142" i="34" s="1"/>
  <c r="U142" i="34" a="1"/>
  <c r="U142" i="34" s="1"/>
  <c r="T142" i="34" a="1"/>
  <c r="T142" i="34"/>
  <c r="O142" i="34" a="1"/>
  <c r="O142" i="34" s="1"/>
  <c r="N142" i="34" a="1"/>
  <c r="N142" i="34" s="1"/>
  <c r="M142" i="34" a="1"/>
  <c r="M142" i="34" s="1"/>
  <c r="L142" i="34" a="1"/>
  <c r="L142" i="34" s="1"/>
  <c r="K142" i="34" a="1"/>
  <c r="K142" i="34" s="1"/>
  <c r="J142" i="34" a="1"/>
  <c r="J142" i="34"/>
  <c r="I142" i="34" a="1"/>
  <c r="I142" i="34" s="1"/>
  <c r="H142" i="34" a="1"/>
  <c r="H142" i="34" s="1"/>
  <c r="G142" i="34" a="1"/>
  <c r="G142" i="34" s="1"/>
  <c r="E142" i="34" a="1"/>
  <c r="E142" i="34" s="1"/>
  <c r="E147" i="34" s="1"/>
  <c r="Q105" i="37" s="1"/>
  <c r="D142" i="34" a="1"/>
  <c r="D142" i="34" s="1"/>
  <c r="V140" i="34" a="1"/>
  <c r="V140" i="34" s="1"/>
  <c r="U140" i="34" a="1"/>
  <c r="U140" i="34" s="1"/>
  <c r="T140" i="34" a="1"/>
  <c r="T140" i="34"/>
  <c r="N140" i="34" a="1"/>
  <c r="N140" i="34"/>
  <c r="M140" i="34" a="1"/>
  <c r="M140" i="34" s="1"/>
  <c r="L140" i="34" a="1"/>
  <c r="L140" i="34" s="1"/>
  <c r="K140" i="34" a="1"/>
  <c r="K140" i="34"/>
  <c r="J140" i="34" a="1"/>
  <c r="J140" i="34" s="1"/>
  <c r="I140" i="34" a="1"/>
  <c r="I140" i="34" s="1"/>
  <c r="H140" i="34" a="1"/>
  <c r="H140" i="34" s="1"/>
  <c r="G140" i="34" a="1"/>
  <c r="G140" i="34"/>
  <c r="E140" i="34" a="1"/>
  <c r="E140" i="34" s="1"/>
  <c r="E141" i="34" s="1"/>
  <c r="Q104" i="37" s="1"/>
  <c r="V139" i="34" a="1"/>
  <c r="V139" i="34" s="1"/>
  <c r="U139" i="34" a="1"/>
  <c r="U139" i="34"/>
  <c r="T139" i="34" a="1"/>
  <c r="T139" i="34"/>
  <c r="N139" i="34" a="1"/>
  <c r="N139" i="34" s="1"/>
  <c r="M139" i="34" a="1"/>
  <c r="M139" i="34"/>
  <c r="L139" i="34" a="1"/>
  <c r="L139" i="34" s="1"/>
  <c r="L141" i="34" s="1"/>
  <c r="X104" i="37" s="1"/>
  <c r="K139" i="34" a="1"/>
  <c r="K139" i="34" s="1"/>
  <c r="J139" i="34" a="1"/>
  <c r="J139" i="34" s="1"/>
  <c r="I139" i="34" a="1"/>
  <c r="I139" i="34"/>
  <c r="H139" i="34" a="1"/>
  <c r="H139" i="34" s="1"/>
  <c r="H141" i="34" s="1"/>
  <c r="T104" i="37" s="1"/>
  <c r="G139" i="34" a="1"/>
  <c r="G139" i="34" s="1"/>
  <c r="E139" i="34" a="1"/>
  <c r="E139" i="34" s="1"/>
  <c r="V138" i="34" a="1"/>
  <c r="V138" i="34"/>
  <c r="U138" i="34" a="1"/>
  <c r="U138" i="34" s="1"/>
  <c r="T138" i="34" a="1"/>
  <c r="T138" i="34" s="1"/>
  <c r="N138" i="34" a="1"/>
  <c r="N138" i="34" s="1"/>
  <c r="M138" i="34" a="1"/>
  <c r="M138" i="34" s="1"/>
  <c r="L138" i="34" a="1"/>
  <c r="L138" i="34" s="1"/>
  <c r="K138" i="34" a="1"/>
  <c r="K138" i="34"/>
  <c r="J138" i="34" a="1"/>
  <c r="J138" i="34" s="1"/>
  <c r="I138" i="34" a="1"/>
  <c r="I138" i="34" s="1"/>
  <c r="H138" i="34" a="1"/>
  <c r="H138" i="34" s="1"/>
  <c r="G138" i="34" a="1"/>
  <c r="G138" i="34"/>
  <c r="E138" i="34" a="1"/>
  <c r="E138" i="34"/>
  <c r="V137" i="34" a="1"/>
  <c r="V137" i="34" s="1"/>
  <c r="U137" i="34" a="1"/>
  <c r="U137" i="34"/>
  <c r="T137" i="34" a="1"/>
  <c r="T137" i="34"/>
  <c r="N137" i="34" a="1"/>
  <c r="N137" i="34" s="1"/>
  <c r="M137" i="34" a="1"/>
  <c r="M137" i="34"/>
  <c r="L137" i="34" a="1"/>
  <c r="L137" i="34"/>
  <c r="K137" i="34" a="1"/>
  <c r="K137" i="34" s="1"/>
  <c r="J137" i="34" a="1"/>
  <c r="J137" i="34" s="1"/>
  <c r="I137" i="34" a="1"/>
  <c r="I137" i="34"/>
  <c r="H137" i="34" a="1"/>
  <c r="H137" i="34"/>
  <c r="G137" i="34" a="1"/>
  <c r="G137" i="34" s="1"/>
  <c r="E137" i="34" a="1"/>
  <c r="E137" i="34" s="1"/>
  <c r="V136" i="34" a="1"/>
  <c r="V136" i="34" s="1"/>
  <c r="U136" i="34" a="1"/>
  <c r="U136" i="34" s="1"/>
  <c r="T136" i="34" a="1"/>
  <c r="T136" i="34" s="1"/>
  <c r="O136" i="34" a="1"/>
  <c r="O136" i="34"/>
  <c r="N136" i="34" a="1"/>
  <c r="N136" i="34" s="1"/>
  <c r="N141" i="34" s="1"/>
  <c r="Z104" i="37" s="1"/>
  <c r="M136" i="34" a="1"/>
  <c r="M136" i="34" s="1"/>
  <c r="L136" i="34" a="1"/>
  <c r="L136" i="34" s="1"/>
  <c r="K136" i="34" a="1"/>
  <c r="K136" i="34"/>
  <c r="J136" i="34" a="1"/>
  <c r="J136" i="34" s="1"/>
  <c r="J141" i="34" s="1"/>
  <c r="V104" i="37" s="1"/>
  <c r="I136" i="34" a="1"/>
  <c r="I136" i="34" s="1"/>
  <c r="H136" i="34" a="1"/>
  <c r="H136" i="34" s="1"/>
  <c r="G136" i="34" a="1"/>
  <c r="G136" i="34" s="1"/>
  <c r="G141" i="34" s="1"/>
  <c r="S104" i="37" s="1"/>
  <c r="E136" i="34" a="1"/>
  <c r="E136" i="34"/>
  <c r="D136" i="34" a="1"/>
  <c r="D136" i="34" s="1"/>
  <c r="V134" i="34" a="1"/>
  <c r="V134" i="34" s="1"/>
  <c r="U134" i="34" a="1"/>
  <c r="U134" i="34" s="1"/>
  <c r="S43" i="36" s="1"/>
  <c r="T134" i="34" a="1"/>
  <c r="T134" i="34" s="1"/>
  <c r="K43" i="36" s="1"/>
  <c r="N134" i="34" a="1"/>
  <c r="N134" i="34" s="1"/>
  <c r="M134" i="34" a="1"/>
  <c r="M134" i="34" s="1"/>
  <c r="L134" i="34" a="1"/>
  <c r="L134" i="34" s="1"/>
  <c r="K134" i="34" a="1"/>
  <c r="K134" i="34" s="1"/>
  <c r="J134" i="34" a="1"/>
  <c r="J134" i="34" s="1"/>
  <c r="I134" i="34" a="1"/>
  <c r="I134" i="34"/>
  <c r="H134" i="34" a="1"/>
  <c r="H134" i="34" s="1"/>
  <c r="G134" i="34" a="1"/>
  <c r="G134" i="34" s="1"/>
  <c r="E134" i="34" a="1"/>
  <c r="E134" i="34" s="1"/>
  <c r="V133" i="34" a="1"/>
  <c r="V133" i="34"/>
  <c r="U133" i="34" a="1"/>
  <c r="U133" i="34" s="1"/>
  <c r="T133" i="34" a="1"/>
  <c r="T133" i="34" s="1"/>
  <c r="N133" i="34" a="1"/>
  <c r="N133" i="34" s="1"/>
  <c r="N135" i="34" s="1"/>
  <c r="Z103" i="37" s="1"/>
  <c r="M133" i="34" a="1"/>
  <c r="M133" i="34" s="1"/>
  <c r="L133" i="34" a="1"/>
  <c r="L133" i="34" s="1"/>
  <c r="K133" i="34" a="1"/>
  <c r="K133" i="34" s="1"/>
  <c r="J133" i="34" a="1"/>
  <c r="J133" i="34" s="1"/>
  <c r="I133" i="34" a="1"/>
  <c r="I133" i="34" s="1"/>
  <c r="H133" i="34" a="1"/>
  <c r="H133" i="34" s="1"/>
  <c r="G133" i="34" a="1"/>
  <c r="G133" i="34"/>
  <c r="E133" i="34" a="1"/>
  <c r="E133" i="34" s="1"/>
  <c r="V132" i="34" a="1"/>
  <c r="V132" i="34" s="1"/>
  <c r="U132" i="34" a="1"/>
  <c r="U132" i="34" s="1"/>
  <c r="T132" i="34" a="1"/>
  <c r="T132" i="34"/>
  <c r="N132" i="34" a="1"/>
  <c r="N132" i="34" s="1"/>
  <c r="M132" i="34" a="1"/>
  <c r="M132" i="34" s="1"/>
  <c r="L132" i="34" a="1"/>
  <c r="L132" i="34" s="1"/>
  <c r="L135" i="34" s="1"/>
  <c r="X103" i="37" s="1"/>
  <c r="K132" i="34" a="1"/>
  <c r="K132" i="34" s="1"/>
  <c r="J132" i="34" a="1"/>
  <c r="J132" i="34" s="1"/>
  <c r="I132" i="34" a="1"/>
  <c r="I132" i="34" s="1"/>
  <c r="H132" i="34" a="1"/>
  <c r="H132" i="34" s="1"/>
  <c r="G132" i="34" a="1"/>
  <c r="G132" i="34" s="1"/>
  <c r="E132" i="34" a="1"/>
  <c r="E132" i="34" s="1"/>
  <c r="V131" i="34" a="1"/>
  <c r="V131" i="34" s="1"/>
  <c r="U131" i="34" a="1"/>
  <c r="U131" i="34" s="1"/>
  <c r="T131" i="34" a="1"/>
  <c r="T131" i="34" s="1"/>
  <c r="N131" i="34" a="1"/>
  <c r="N131" i="34"/>
  <c r="M131" i="34" a="1"/>
  <c r="M131" i="34" s="1"/>
  <c r="L131" i="34" a="1"/>
  <c r="L131" i="34" s="1"/>
  <c r="K131" i="34" a="1"/>
  <c r="K131" i="34" s="1"/>
  <c r="J131" i="34" a="1"/>
  <c r="J131" i="34" s="1"/>
  <c r="I131" i="34" a="1"/>
  <c r="I131" i="34" s="1"/>
  <c r="H131" i="34" a="1"/>
  <c r="H131" i="34" s="1"/>
  <c r="G131" i="34" a="1"/>
  <c r="G131" i="34" s="1"/>
  <c r="G135" i="34" s="1"/>
  <c r="S103" i="37" s="1"/>
  <c r="E131" i="34" a="1"/>
  <c r="E131" i="34" s="1"/>
  <c r="E135" i="34" s="1"/>
  <c r="Q103" i="37" s="1"/>
  <c r="V130" i="34" a="1"/>
  <c r="V130" i="34" s="1"/>
  <c r="U130" i="34" a="1"/>
  <c r="U130" i="34"/>
  <c r="T130" i="34" a="1"/>
  <c r="T130" i="34" s="1"/>
  <c r="O130" i="34" a="1"/>
  <c r="O130" i="34" s="1"/>
  <c r="N130" i="34" a="1"/>
  <c r="N130" i="34" s="1"/>
  <c r="M130" i="34" a="1"/>
  <c r="M130" i="34" s="1"/>
  <c r="L130" i="34" a="1"/>
  <c r="L130" i="34"/>
  <c r="K130" i="34" a="1"/>
  <c r="K130" i="34" s="1"/>
  <c r="J130" i="34" a="1"/>
  <c r="J130" i="34" s="1"/>
  <c r="I130" i="34" a="1"/>
  <c r="I130" i="34" s="1"/>
  <c r="H130" i="34" a="1"/>
  <c r="H130" i="34" s="1"/>
  <c r="G130" i="34" a="1"/>
  <c r="G130" i="34" s="1"/>
  <c r="E130" i="34" a="1"/>
  <c r="E130" i="34" s="1"/>
  <c r="D130" i="34" a="1"/>
  <c r="D130" i="34" s="1"/>
  <c r="P103" i="37" s="1"/>
  <c r="D103" i="37" s="1"/>
  <c r="V128" i="34" a="1"/>
  <c r="V128" i="34" s="1"/>
  <c r="AA40" i="36" s="1"/>
  <c r="U128" i="34" a="1"/>
  <c r="U128" i="34" s="1"/>
  <c r="T128" i="34" a="1"/>
  <c r="T128" i="34" s="1"/>
  <c r="N128" i="34" a="1"/>
  <c r="N128" i="34" s="1"/>
  <c r="M128" i="34" a="1"/>
  <c r="M128" i="34" s="1"/>
  <c r="L128" i="34" a="1"/>
  <c r="L128" i="34" s="1"/>
  <c r="K128" i="34" a="1"/>
  <c r="K128" i="34" s="1"/>
  <c r="J128" i="34" a="1"/>
  <c r="J128" i="34"/>
  <c r="I128" i="34" a="1"/>
  <c r="I128" i="34" s="1"/>
  <c r="H128" i="34" a="1"/>
  <c r="H128" i="34" s="1"/>
  <c r="G128" i="34" a="1"/>
  <c r="G128" i="34" s="1"/>
  <c r="E128" i="34" a="1"/>
  <c r="E128" i="34" s="1"/>
  <c r="V127" i="34" a="1"/>
  <c r="V127" i="34" s="1"/>
  <c r="U127" i="34" a="1"/>
  <c r="U127" i="34" s="1"/>
  <c r="R40" i="36" s="1"/>
  <c r="T127" i="34" a="1"/>
  <c r="T127" i="34" s="1"/>
  <c r="J40" i="36" s="1"/>
  <c r="N127" i="34" a="1"/>
  <c r="N127" i="34" s="1"/>
  <c r="M127" i="34" a="1"/>
  <c r="M127" i="34"/>
  <c r="L127" i="34" a="1"/>
  <c r="L127" i="34" s="1"/>
  <c r="K127" i="34" a="1"/>
  <c r="K127" i="34" s="1"/>
  <c r="J127" i="34" a="1"/>
  <c r="J127" i="34" s="1"/>
  <c r="I127" i="34" a="1"/>
  <c r="I127" i="34" s="1"/>
  <c r="I129" i="34" s="1"/>
  <c r="U100" i="37" s="1"/>
  <c r="H127" i="34" a="1"/>
  <c r="H127" i="34"/>
  <c r="G127" i="34" a="1"/>
  <c r="G127" i="34" s="1"/>
  <c r="E127" i="34" a="1"/>
  <c r="E127" i="34" s="1"/>
  <c r="V126" i="34" a="1"/>
  <c r="V126" i="34" s="1"/>
  <c r="U126" i="34" a="1"/>
  <c r="U126" i="34" s="1"/>
  <c r="T126" i="34" a="1"/>
  <c r="T126" i="34" s="1"/>
  <c r="N126" i="34" a="1"/>
  <c r="N126" i="34" s="1"/>
  <c r="M126" i="34" a="1"/>
  <c r="M126" i="34" s="1"/>
  <c r="L126" i="34" a="1"/>
  <c r="L126" i="34" s="1"/>
  <c r="K126" i="34" a="1"/>
  <c r="K126" i="34"/>
  <c r="J126" i="34" a="1"/>
  <c r="J126" i="34" s="1"/>
  <c r="I126" i="34" a="1"/>
  <c r="I126" i="34" s="1"/>
  <c r="H126" i="34" a="1"/>
  <c r="H126" i="34" s="1"/>
  <c r="G126" i="34" a="1"/>
  <c r="G126" i="34" s="1"/>
  <c r="G129" i="34" s="1"/>
  <c r="S100" i="37" s="1"/>
  <c r="E126" i="34" a="1"/>
  <c r="E126" i="34"/>
  <c r="V125" i="34" a="1"/>
  <c r="V125" i="34" s="1"/>
  <c r="U125" i="34" a="1"/>
  <c r="U125" i="34" s="1"/>
  <c r="T125" i="34" a="1"/>
  <c r="T125" i="34" s="1"/>
  <c r="N125" i="34" a="1"/>
  <c r="N125" i="34" s="1"/>
  <c r="M125" i="34" a="1"/>
  <c r="M125" i="34" s="1"/>
  <c r="M129" i="34" s="1"/>
  <c r="Y100" i="37" s="1"/>
  <c r="L125" i="34" a="1"/>
  <c r="L125" i="34" s="1"/>
  <c r="L129" i="34" s="1"/>
  <c r="X100" i="37" s="1"/>
  <c r="K125" i="34" a="1"/>
  <c r="K125" i="34" s="1"/>
  <c r="J125" i="34" a="1"/>
  <c r="J125" i="34" s="1"/>
  <c r="I125" i="34" a="1"/>
  <c r="I125" i="34"/>
  <c r="H125" i="34" a="1"/>
  <c r="H125" i="34" s="1"/>
  <c r="H129" i="34" s="1"/>
  <c r="T100" i="37" s="1"/>
  <c r="G125" i="34" a="1"/>
  <c r="G125" i="34" s="1"/>
  <c r="E125" i="34" a="1"/>
  <c r="E125" i="34" s="1"/>
  <c r="V124" i="34" a="1"/>
  <c r="V124" i="34"/>
  <c r="U124" i="34" a="1"/>
  <c r="U124" i="34" s="1"/>
  <c r="T124" i="34" a="1"/>
  <c r="T124" i="34" s="1"/>
  <c r="O124" i="34" a="1"/>
  <c r="O124" i="34" s="1"/>
  <c r="N124" i="34" a="1"/>
  <c r="N124" i="34" s="1"/>
  <c r="M124" i="34" a="1"/>
  <c r="M124" i="34" s="1"/>
  <c r="L124" i="34" a="1"/>
  <c r="L124" i="34" s="1"/>
  <c r="K124" i="34" a="1"/>
  <c r="K124" i="34" s="1"/>
  <c r="K129" i="34" s="1"/>
  <c r="W100" i="37" s="1"/>
  <c r="J124" i="34" a="1"/>
  <c r="J124" i="34" s="1"/>
  <c r="J129" i="34" s="1"/>
  <c r="V100" i="37" s="1"/>
  <c r="I124" i="34" a="1"/>
  <c r="I124" i="34" s="1"/>
  <c r="H124" i="34" a="1"/>
  <c r="H124" i="34" s="1"/>
  <c r="G124" i="34" a="1"/>
  <c r="G124" i="34"/>
  <c r="E124" i="34" a="1"/>
  <c r="E124" i="34" s="1"/>
  <c r="E129" i="34" s="1"/>
  <c r="Q100" i="37" s="1"/>
  <c r="D124" i="34" a="1"/>
  <c r="D124" i="34" s="1"/>
  <c r="V122" i="34" a="1"/>
  <c r="V122" i="34" s="1"/>
  <c r="U122" i="34" a="1"/>
  <c r="U122" i="34" s="1"/>
  <c r="S38" i="36" s="1"/>
  <c r="T122" i="34" a="1"/>
  <c r="T122" i="34"/>
  <c r="N122" i="34" a="1"/>
  <c r="N122" i="34" s="1"/>
  <c r="M122" i="34" a="1"/>
  <c r="M122" i="34" s="1"/>
  <c r="L122" i="34" a="1"/>
  <c r="L122" i="34" s="1"/>
  <c r="K122" i="34" a="1"/>
  <c r="K122" i="34" s="1"/>
  <c r="J122" i="34" a="1"/>
  <c r="J122" i="34" s="1"/>
  <c r="I122" i="34" a="1"/>
  <c r="I122" i="34" s="1"/>
  <c r="H122" i="34" a="1"/>
  <c r="H122" i="34" s="1"/>
  <c r="G122" i="34" a="1"/>
  <c r="G122" i="34" s="1"/>
  <c r="E122" i="34" a="1"/>
  <c r="E122" i="34" s="1"/>
  <c r="V121" i="34" a="1"/>
  <c r="V121" i="34" s="1"/>
  <c r="Z38" i="36" s="1"/>
  <c r="U121" i="34" a="1"/>
  <c r="U121" i="34" s="1"/>
  <c r="T121" i="34" a="1"/>
  <c r="T121" i="34" s="1"/>
  <c r="N121" i="34" a="1"/>
  <c r="N121" i="34"/>
  <c r="M121" i="34" a="1"/>
  <c r="M121" i="34" s="1"/>
  <c r="L121" i="34" a="1"/>
  <c r="L121" i="34" s="1"/>
  <c r="K121" i="34" a="1"/>
  <c r="K121" i="34" s="1"/>
  <c r="J121" i="34" a="1"/>
  <c r="J121" i="34" s="1"/>
  <c r="J123" i="34" s="1"/>
  <c r="V98" i="37" s="1"/>
  <c r="I121" i="34" a="1"/>
  <c r="I121" i="34" s="1"/>
  <c r="H121" i="34" a="1"/>
  <c r="H121" i="34" s="1"/>
  <c r="G121" i="34" a="1"/>
  <c r="G121" i="34" s="1"/>
  <c r="E121" i="34" a="1"/>
  <c r="E121" i="34" s="1"/>
  <c r="V120" i="34" a="1"/>
  <c r="V120" i="34" s="1"/>
  <c r="U120" i="34" a="1"/>
  <c r="U120" i="34"/>
  <c r="T120" i="34" a="1"/>
  <c r="T120" i="34" s="1"/>
  <c r="I38" i="36" s="1"/>
  <c r="N120" i="34" a="1"/>
  <c r="N120" i="34" s="1"/>
  <c r="M120" i="34" a="1"/>
  <c r="M120" i="34" s="1"/>
  <c r="M123" i="34" s="1"/>
  <c r="Y98" i="37" s="1"/>
  <c r="L120" i="34" a="1"/>
  <c r="L120" i="34"/>
  <c r="K120" i="34" a="1"/>
  <c r="K120" i="34" s="1"/>
  <c r="J120" i="34" a="1"/>
  <c r="J120" i="34" s="1"/>
  <c r="I120" i="34" a="1"/>
  <c r="I120" i="34" s="1"/>
  <c r="H120" i="34" a="1"/>
  <c r="H120" i="34" s="1"/>
  <c r="G120" i="34" a="1"/>
  <c r="G120" i="34" s="1"/>
  <c r="E120" i="34" a="1"/>
  <c r="E120" i="34" s="1"/>
  <c r="V119" i="34" a="1"/>
  <c r="V119" i="34" s="1"/>
  <c r="U119" i="34" a="1"/>
  <c r="U119" i="34" s="1"/>
  <c r="T119" i="34" a="1"/>
  <c r="T119" i="34" s="1"/>
  <c r="N119" i="34" a="1"/>
  <c r="N119" i="34" s="1"/>
  <c r="N123" i="34" s="1"/>
  <c r="Z98" i="37" s="1"/>
  <c r="M119" i="34" a="1"/>
  <c r="M119" i="34" s="1"/>
  <c r="L119" i="34" a="1"/>
  <c r="L119" i="34" s="1"/>
  <c r="K119" i="34" a="1"/>
  <c r="K119" i="34" s="1"/>
  <c r="K123" i="34" s="1"/>
  <c r="W98" i="37" s="1"/>
  <c r="J119" i="34" a="1"/>
  <c r="J119" i="34"/>
  <c r="I119" i="34" a="1"/>
  <c r="I119" i="34" s="1"/>
  <c r="H119" i="34" a="1"/>
  <c r="H119" i="34" s="1"/>
  <c r="G119" i="34" a="1"/>
  <c r="G119" i="34" s="1"/>
  <c r="E119" i="34" a="1"/>
  <c r="E119" i="34" s="1"/>
  <c r="V118" i="34" a="1"/>
  <c r="V118" i="34" s="1"/>
  <c r="U118" i="34" a="1"/>
  <c r="U118" i="34" s="1"/>
  <c r="T118" i="34" a="1"/>
  <c r="T118" i="34" s="1"/>
  <c r="O118" i="34" a="1"/>
  <c r="O118" i="34" s="1"/>
  <c r="N118" i="34" a="1"/>
  <c r="N118" i="34" s="1"/>
  <c r="M118" i="34" a="1"/>
  <c r="M118" i="34"/>
  <c r="L118" i="34" a="1"/>
  <c r="L118" i="34" s="1"/>
  <c r="K118" i="34" a="1"/>
  <c r="K118" i="34" s="1"/>
  <c r="J118" i="34" a="1"/>
  <c r="J118" i="34" s="1"/>
  <c r="I118" i="34" a="1"/>
  <c r="I118" i="34" s="1"/>
  <c r="H118" i="34" a="1"/>
  <c r="H118" i="34"/>
  <c r="G118" i="34" a="1"/>
  <c r="G118" i="34" s="1"/>
  <c r="E118" i="34" a="1"/>
  <c r="E118" i="34" s="1"/>
  <c r="D118" i="34" a="1"/>
  <c r="D118" i="34" s="1"/>
  <c r="P98" i="37" s="1"/>
  <c r="V116" i="34" a="1"/>
  <c r="V116" i="34" s="1"/>
  <c r="AA47" i="36" s="1"/>
  <c r="U116" i="34" a="1"/>
  <c r="U116" i="34" s="1"/>
  <c r="T116" i="34" a="1"/>
  <c r="T116" i="34" s="1"/>
  <c r="N116" i="34" a="1"/>
  <c r="N116" i="34" s="1"/>
  <c r="M116" i="34" a="1"/>
  <c r="M116" i="34" s="1"/>
  <c r="L116" i="34" a="1"/>
  <c r="L116" i="34" s="1"/>
  <c r="K116" i="34" a="1"/>
  <c r="K116" i="34"/>
  <c r="J116" i="34" a="1"/>
  <c r="J116" i="34" s="1"/>
  <c r="I116" i="34" a="1"/>
  <c r="I116" i="34" s="1"/>
  <c r="H116" i="34" a="1"/>
  <c r="H116" i="34" s="1"/>
  <c r="G116" i="34" a="1"/>
  <c r="G116" i="34" s="1"/>
  <c r="E116" i="34" a="1"/>
  <c r="E116" i="34"/>
  <c r="V115" i="34" a="1"/>
  <c r="V115" i="34" s="1"/>
  <c r="U115" i="34" a="1"/>
  <c r="U115" i="34" s="1"/>
  <c r="R47" i="36" s="1"/>
  <c r="T115" i="34" a="1"/>
  <c r="T115" i="34" s="1"/>
  <c r="N115" i="34" a="1"/>
  <c r="N115" i="34" s="1"/>
  <c r="M115" i="34" a="1"/>
  <c r="M115" i="34" s="1"/>
  <c r="L115" i="34" a="1"/>
  <c r="L115" i="34" s="1"/>
  <c r="K115" i="34" a="1"/>
  <c r="K115" i="34" s="1"/>
  <c r="J115" i="34" a="1"/>
  <c r="J115" i="34" s="1"/>
  <c r="I115" i="34" a="1"/>
  <c r="I115" i="34"/>
  <c r="H115" i="34" a="1"/>
  <c r="H115" i="34" s="1"/>
  <c r="G115" i="34" a="1"/>
  <c r="G115" i="34" s="1"/>
  <c r="E115" i="34" a="1"/>
  <c r="E115" i="34" s="1"/>
  <c r="V114" i="34" a="1"/>
  <c r="V114" i="34"/>
  <c r="U114" i="34" a="1"/>
  <c r="U114" i="34" s="1"/>
  <c r="T114" i="34" a="1"/>
  <c r="T114" i="34" s="1"/>
  <c r="N114" i="34" a="1"/>
  <c r="N114" i="34" s="1"/>
  <c r="M114" i="34" a="1"/>
  <c r="M114" i="34" s="1"/>
  <c r="L114" i="34" a="1"/>
  <c r="L114" i="34" s="1"/>
  <c r="K114" i="34" a="1"/>
  <c r="K114" i="34" s="1"/>
  <c r="J114" i="34" a="1"/>
  <c r="J114" i="34" s="1"/>
  <c r="I114" i="34" a="1"/>
  <c r="I114" i="34" s="1"/>
  <c r="H114" i="34" a="1"/>
  <c r="H114" i="34" s="1"/>
  <c r="G114" i="34" a="1"/>
  <c r="G114" i="34"/>
  <c r="E114" i="34" a="1"/>
  <c r="E114" i="34" s="1"/>
  <c r="V113" i="34" a="1"/>
  <c r="V113" i="34" s="1"/>
  <c r="U113" i="34" a="1"/>
  <c r="U113" i="34" s="1"/>
  <c r="T113" i="34" a="1"/>
  <c r="T113" i="34"/>
  <c r="N113" i="34" a="1"/>
  <c r="N113" i="34" s="1"/>
  <c r="M113" i="34" a="1"/>
  <c r="M113" i="34" s="1"/>
  <c r="L113" i="34" a="1"/>
  <c r="L113" i="34" s="1"/>
  <c r="K113" i="34" a="1"/>
  <c r="K113" i="34" s="1"/>
  <c r="J113" i="34" a="1"/>
  <c r="J113" i="34" s="1"/>
  <c r="I113" i="34" a="1"/>
  <c r="I113" i="34" s="1"/>
  <c r="I117" i="34" s="1"/>
  <c r="U107" i="37" s="1"/>
  <c r="H113" i="34" a="1"/>
  <c r="H113" i="34" s="1"/>
  <c r="H117" i="34" s="1"/>
  <c r="T107" i="37" s="1"/>
  <c r="G113" i="34" a="1"/>
  <c r="G113" i="34" s="1"/>
  <c r="E113" i="34" a="1"/>
  <c r="E113" i="34" s="1"/>
  <c r="V112" i="34" a="1"/>
  <c r="V112" i="34" s="1"/>
  <c r="U112" i="34" a="1"/>
  <c r="U112" i="34" s="1"/>
  <c r="T112" i="34" a="1"/>
  <c r="T112" i="34" s="1"/>
  <c r="O112" i="34" a="1"/>
  <c r="O112" i="34" s="1"/>
  <c r="N112" i="34" a="1"/>
  <c r="N112" i="34"/>
  <c r="M112" i="34" a="1"/>
  <c r="M112" i="34" s="1"/>
  <c r="L112" i="34" a="1"/>
  <c r="L112" i="34" s="1"/>
  <c r="K112" i="34" a="1"/>
  <c r="K112" i="34" s="1"/>
  <c r="J112" i="34" a="1"/>
  <c r="J112" i="34" s="1"/>
  <c r="I112" i="34" a="1"/>
  <c r="I112" i="34" s="1"/>
  <c r="H112" i="34" a="1"/>
  <c r="H112" i="34" s="1"/>
  <c r="G112" i="34" a="1"/>
  <c r="G112" i="34" s="1"/>
  <c r="E112" i="34" a="1"/>
  <c r="E112" i="34" s="1"/>
  <c r="E117" i="34" s="1"/>
  <c r="Q107" i="37" s="1"/>
  <c r="D112" i="34" a="1"/>
  <c r="D112" i="34" s="1"/>
  <c r="V110" i="34" a="1"/>
  <c r="V110" i="34" s="1"/>
  <c r="U110" i="34" a="1"/>
  <c r="U110" i="34"/>
  <c r="T110" i="34" a="1"/>
  <c r="T110" i="34" s="1"/>
  <c r="K41" i="36" s="1"/>
  <c r="N110" i="34" a="1"/>
  <c r="N110" i="34" s="1"/>
  <c r="M110" i="34" a="1"/>
  <c r="M110" i="34" s="1"/>
  <c r="L110" i="34" a="1"/>
  <c r="L110" i="34"/>
  <c r="K110" i="34" a="1"/>
  <c r="K110" i="34" s="1"/>
  <c r="J110" i="34" a="1"/>
  <c r="J110" i="34" s="1"/>
  <c r="I110" i="34" a="1"/>
  <c r="I110" i="34" s="1"/>
  <c r="H110" i="34" a="1"/>
  <c r="H110" i="34" s="1"/>
  <c r="G110" i="34" a="1"/>
  <c r="G110" i="34" s="1"/>
  <c r="E110" i="34" a="1"/>
  <c r="E110" i="34" s="1"/>
  <c r="V109" i="34" a="1"/>
  <c r="V109" i="34" s="1"/>
  <c r="Z41" i="36" s="1"/>
  <c r="U109" i="34" a="1"/>
  <c r="U109" i="34" s="1"/>
  <c r="T109" i="34" a="1"/>
  <c r="T109" i="34" s="1"/>
  <c r="N109" i="34" a="1"/>
  <c r="N109" i="34" s="1"/>
  <c r="M109" i="34" a="1"/>
  <c r="M109" i="34" s="1"/>
  <c r="L109" i="34" a="1"/>
  <c r="L109" i="34" s="1"/>
  <c r="K109" i="34" a="1"/>
  <c r="K109" i="34" s="1"/>
  <c r="K111" i="34" s="1"/>
  <c r="W101" i="37" s="1"/>
  <c r="J109" i="34" a="1"/>
  <c r="J109" i="34"/>
  <c r="I109" i="34" a="1"/>
  <c r="I109" i="34" s="1"/>
  <c r="H109" i="34" a="1"/>
  <c r="H109" i="34" s="1"/>
  <c r="G109" i="34" a="1"/>
  <c r="G109" i="34" s="1"/>
  <c r="E109" i="34" a="1"/>
  <c r="E109" i="34" s="1"/>
  <c r="E111" i="34" s="1"/>
  <c r="Q101" i="37" s="1"/>
  <c r="V108" i="34" a="1"/>
  <c r="V108" i="34" s="1"/>
  <c r="U108" i="34" a="1"/>
  <c r="U108" i="34" s="1"/>
  <c r="Q41" i="36" s="1"/>
  <c r="T108" i="34" a="1"/>
  <c r="T108" i="34" s="1"/>
  <c r="I41" i="36" s="1"/>
  <c r="N108" i="34" a="1"/>
  <c r="N108" i="34" s="1"/>
  <c r="M108" i="34" a="1"/>
  <c r="M108" i="34"/>
  <c r="L108" i="34" a="1"/>
  <c r="L108" i="34" s="1"/>
  <c r="K108" i="34" a="1"/>
  <c r="K108" i="34" s="1"/>
  <c r="J108" i="34" a="1"/>
  <c r="J108" i="34" s="1"/>
  <c r="I108" i="34" a="1"/>
  <c r="I108" i="34" s="1"/>
  <c r="I111" i="34" s="1"/>
  <c r="U101" i="37" s="1"/>
  <c r="H108" i="34" a="1"/>
  <c r="H108" i="34"/>
  <c r="G108" i="34" a="1"/>
  <c r="G108" i="34" s="1"/>
  <c r="E108" i="34" a="1"/>
  <c r="E108" i="34" s="1"/>
  <c r="V107" i="34" a="1"/>
  <c r="V107" i="34" s="1"/>
  <c r="U107" i="34" a="1"/>
  <c r="U107" i="34" s="1"/>
  <c r="T107" i="34" a="1"/>
  <c r="T107" i="34" s="1"/>
  <c r="N107" i="34" a="1"/>
  <c r="N107" i="34" s="1"/>
  <c r="N111" i="34" s="1"/>
  <c r="Z101" i="37" s="1"/>
  <c r="M107" i="34" a="1"/>
  <c r="M107" i="34" s="1"/>
  <c r="L107" i="34" a="1"/>
  <c r="L107" i="34" s="1"/>
  <c r="K107" i="34" a="1"/>
  <c r="K107" i="34"/>
  <c r="J107" i="34" a="1"/>
  <c r="J107" i="34" s="1"/>
  <c r="J111" i="34" s="1"/>
  <c r="V101" i="37" s="1"/>
  <c r="I107" i="34" a="1"/>
  <c r="I107" i="34" s="1"/>
  <c r="H107" i="34" a="1"/>
  <c r="H107" i="34" s="1"/>
  <c r="G107" i="34" a="1"/>
  <c r="G107" i="34" s="1"/>
  <c r="G111" i="34" s="1"/>
  <c r="S101" i="37" s="1"/>
  <c r="E107" i="34" a="1"/>
  <c r="E107" i="34"/>
  <c r="V106" i="34" a="1"/>
  <c r="V106" i="34" s="1"/>
  <c r="U106" i="34" a="1"/>
  <c r="U106" i="34" s="1"/>
  <c r="T106" i="34" a="1"/>
  <c r="T106" i="34" s="1"/>
  <c r="O106" i="34" a="1"/>
  <c r="O106" i="34" s="1"/>
  <c r="N106" i="34" a="1"/>
  <c r="N106" i="34" s="1"/>
  <c r="M106" i="34" a="1"/>
  <c r="M106" i="34" s="1"/>
  <c r="M111" i="34" s="1"/>
  <c r="Y101" i="37" s="1"/>
  <c r="L106" i="34" a="1"/>
  <c r="L106" i="34" s="1"/>
  <c r="L111" i="34" s="1"/>
  <c r="X101" i="37" s="1"/>
  <c r="K106" i="34" a="1"/>
  <c r="K106" i="34" s="1"/>
  <c r="J106" i="34" a="1"/>
  <c r="J106" i="34" s="1"/>
  <c r="I106" i="34" a="1"/>
  <c r="I106" i="34"/>
  <c r="H106" i="34" a="1"/>
  <c r="H106" i="34" s="1"/>
  <c r="G106" i="34" a="1"/>
  <c r="G106" i="34" s="1"/>
  <c r="E106" i="34" a="1"/>
  <c r="E106" i="34" s="1"/>
  <c r="D106" i="34" a="1"/>
  <c r="D106" i="34" s="1"/>
  <c r="P101" i="37" s="1"/>
  <c r="D101" i="37" s="1"/>
  <c r="V104" i="34" a="1"/>
  <c r="V104" i="34"/>
  <c r="U104" i="34" a="1"/>
  <c r="U104" i="34" s="1"/>
  <c r="T104" i="34" a="1"/>
  <c r="T104" i="34" s="1"/>
  <c r="N104" i="34" a="1"/>
  <c r="N104" i="34" s="1"/>
  <c r="M104" i="34" a="1"/>
  <c r="M104" i="34" s="1"/>
  <c r="L104" i="34" a="1"/>
  <c r="L104" i="34" s="1"/>
  <c r="K104" i="34" a="1"/>
  <c r="K104" i="34" s="1"/>
  <c r="J104" i="34" a="1"/>
  <c r="J104" i="34" s="1"/>
  <c r="I104" i="34" a="1"/>
  <c r="I104" i="34" s="1"/>
  <c r="H104" i="34" a="1"/>
  <c r="H104" i="34" s="1"/>
  <c r="G104" i="34" a="1"/>
  <c r="G104" i="34"/>
  <c r="E104" i="34" a="1"/>
  <c r="E104" i="34" s="1"/>
  <c r="V103" i="34" a="1"/>
  <c r="V103" i="34" s="1"/>
  <c r="U103" i="34" a="1"/>
  <c r="U103" i="34" s="1"/>
  <c r="T103" i="34" a="1"/>
  <c r="T103" i="34"/>
  <c r="N103" i="34" a="1"/>
  <c r="N103" i="34" s="1"/>
  <c r="M103" i="34" a="1"/>
  <c r="M103" i="34" s="1"/>
  <c r="L103" i="34" a="1"/>
  <c r="L103" i="34" s="1"/>
  <c r="L105" i="34" s="1"/>
  <c r="X102" i="37" s="1"/>
  <c r="K103" i="34" a="1"/>
  <c r="K103" i="34" s="1"/>
  <c r="J103" i="34" a="1"/>
  <c r="J103" i="34" s="1"/>
  <c r="I103" i="34" a="1"/>
  <c r="I103" i="34" s="1"/>
  <c r="H103" i="34" a="1"/>
  <c r="H103" i="34" s="1"/>
  <c r="G103" i="34" a="1"/>
  <c r="G103" i="34" s="1"/>
  <c r="E103" i="34" a="1"/>
  <c r="E103" i="34" s="1"/>
  <c r="V102" i="34" a="1"/>
  <c r="V102" i="34" s="1"/>
  <c r="Y42" i="36" s="1"/>
  <c r="U102" i="34" a="1"/>
  <c r="U102" i="34" s="1"/>
  <c r="T102" i="34" a="1"/>
  <c r="T102" i="34" s="1"/>
  <c r="N102" i="34" a="1"/>
  <c r="N102" i="34"/>
  <c r="M102" i="34" a="1"/>
  <c r="M102" i="34" s="1"/>
  <c r="L102" i="34" a="1"/>
  <c r="L102" i="34" s="1"/>
  <c r="K102" i="34" a="1"/>
  <c r="K102" i="34" s="1"/>
  <c r="J102" i="34" a="1"/>
  <c r="J102" i="34" s="1"/>
  <c r="I102" i="34" a="1"/>
  <c r="I102" i="34" s="1"/>
  <c r="H102" i="34" a="1"/>
  <c r="H102" i="34" s="1"/>
  <c r="G102" i="34" a="1"/>
  <c r="G102" i="34" s="1"/>
  <c r="E102" i="34" a="1"/>
  <c r="E102" i="34" s="1"/>
  <c r="V101" i="34" a="1"/>
  <c r="V101" i="34" s="1"/>
  <c r="U101" i="34" a="1"/>
  <c r="U101" i="34"/>
  <c r="T101" i="34" a="1"/>
  <c r="T101" i="34" s="1"/>
  <c r="N101" i="34" a="1"/>
  <c r="N101" i="34" s="1"/>
  <c r="M101" i="34" a="1"/>
  <c r="M101" i="34" s="1"/>
  <c r="M105" i="34" s="1"/>
  <c r="Y102" i="37" s="1"/>
  <c r="L101" i="34" a="1"/>
  <c r="L101" i="34"/>
  <c r="K101" i="34" a="1"/>
  <c r="K101" i="34" s="1"/>
  <c r="J101" i="34" a="1"/>
  <c r="J101" i="34" s="1"/>
  <c r="I101" i="34" a="1"/>
  <c r="I101" i="34" s="1"/>
  <c r="H101" i="34" a="1"/>
  <c r="H101" i="34" s="1"/>
  <c r="G101" i="34" a="1"/>
  <c r="G101" i="34" s="1"/>
  <c r="E101" i="34" a="1"/>
  <c r="E101" i="34" s="1"/>
  <c r="V100" i="34" a="1"/>
  <c r="V100" i="34" s="1"/>
  <c r="U100" i="34" a="1"/>
  <c r="U100" i="34" s="1"/>
  <c r="T100" i="34" a="1"/>
  <c r="T100" i="34" s="1"/>
  <c r="O100" i="34" a="1"/>
  <c r="O100" i="34"/>
  <c r="N100" i="34" a="1"/>
  <c r="N100" i="34" s="1"/>
  <c r="M100" i="34" a="1"/>
  <c r="M100" i="34" s="1"/>
  <c r="L100" i="34" a="1"/>
  <c r="L100" i="34" s="1"/>
  <c r="K100" i="34" a="1"/>
  <c r="K100" i="34" s="1"/>
  <c r="K105" i="34" s="1"/>
  <c r="W102" i="37" s="1"/>
  <c r="J100" i="34" a="1"/>
  <c r="J100" i="34"/>
  <c r="I100" i="34" a="1"/>
  <c r="I100" i="34" s="1"/>
  <c r="H100" i="34" a="1"/>
  <c r="H100" i="34" s="1"/>
  <c r="G100" i="34" a="1"/>
  <c r="G100" i="34" s="1"/>
  <c r="E100" i="34" a="1"/>
  <c r="E100" i="34" s="1"/>
  <c r="D100" i="34" a="1"/>
  <c r="D100" i="34" s="1"/>
  <c r="V98" i="34" a="1"/>
  <c r="V98" i="34" s="1"/>
  <c r="U98" i="34" a="1"/>
  <c r="U98" i="34" s="1"/>
  <c r="S39" i="36" s="1"/>
  <c r="T98" i="34" a="1"/>
  <c r="T98" i="34" s="1"/>
  <c r="N98" i="34" a="1"/>
  <c r="N98" i="34" s="1"/>
  <c r="M98" i="34" a="1"/>
  <c r="M98" i="34"/>
  <c r="L98" i="34" a="1"/>
  <c r="L98" i="34" s="1"/>
  <c r="K98" i="34" a="1"/>
  <c r="K98" i="34" s="1"/>
  <c r="J98" i="34" a="1"/>
  <c r="J98" i="34" s="1"/>
  <c r="I98" i="34" a="1"/>
  <c r="I98" i="34" s="1"/>
  <c r="I99" i="34" s="1"/>
  <c r="U99" i="37" s="1"/>
  <c r="H98" i="34" a="1"/>
  <c r="H98" i="34"/>
  <c r="G98" i="34" a="1"/>
  <c r="G98" i="34" s="1"/>
  <c r="E98" i="34" a="1"/>
  <c r="E98" i="34" s="1"/>
  <c r="V97" i="34" a="1"/>
  <c r="V97" i="34"/>
  <c r="U97" i="34" a="1"/>
  <c r="U97" i="34"/>
  <c r="T97" i="34" a="1"/>
  <c r="T97" i="34" s="1"/>
  <c r="N97" i="34" a="1"/>
  <c r="N97" i="34" s="1"/>
  <c r="N99" i="34" s="1"/>
  <c r="Z99" i="37" s="1"/>
  <c r="M97" i="34" a="1"/>
  <c r="M97" i="34"/>
  <c r="L97" i="34" a="1"/>
  <c r="L97" i="34" s="1"/>
  <c r="K97" i="34" a="1"/>
  <c r="K97" i="34"/>
  <c r="J97" i="34" a="1"/>
  <c r="J97" i="34"/>
  <c r="I97" i="34" a="1"/>
  <c r="I97" i="34"/>
  <c r="H97" i="34" a="1"/>
  <c r="H97" i="34" s="1"/>
  <c r="G97" i="34" a="1"/>
  <c r="G97" i="34" s="1"/>
  <c r="E97" i="34" a="1"/>
  <c r="E97" i="34" s="1"/>
  <c r="E99" i="34" s="1"/>
  <c r="Q99" i="37" s="1"/>
  <c r="V96" i="34" a="1"/>
  <c r="V96" i="34" s="1"/>
  <c r="U96" i="34" a="1"/>
  <c r="U96" i="34"/>
  <c r="T96" i="34" a="1"/>
  <c r="T96" i="34"/>
  <c r="N96" i="34" a="1"/>
  <c r="N96" i="34" s="1"/>
  <c r="M96" i="34" a="1"/>
  <c r="M96" i="34"/>
  <c r="L96" i="34" a="1"/>
  <c r="L96" i="34" s="1"/>
  <c r="L99" i="34" s="1"/>
  <c r="X99" i="37" s="1"/>
  <c r="K96" i="34" a="1"/>
  <c r="K96" i="34" s="1"/>
  <c r="J96" i="34" a="1"/>
  <c r="J96" i="34" s="1"/>
  <c r="I96" i="34" a="1"/>
  <c r="I96" i="34"/>
  <c r="H96" i="34" a="1"/>
  <c r="H96" i="34"/>
  <c r="G96" i="34" a="1"/>
  <c r="G96" i="34"/>
  <c r="E96" i="34" a="1"/>
  <c r="E96" i="34" s="1"/>
  <c r="V95" i="34" a="1"/>
  <c r="V95" i="34"/>
  <c r="U95" i="34" a="1"/>
  <c r="U95" i="34" s="1"/>
  <c r="P39" i="36" s="1"/>
  <c r="T95" i="34" a="1"/>
  <c r="T95" i="34" s="1"/>
  <c r="N95" i="34" a="1"/>
  <c r="N95" i="34"/>
  <c r="M95" i="34" a="1"/>
  <c r="M95" i="34"/>
  <c r="L95" i="34" a="1"/>
  <c r="L95" i="34" s="1"/>
  <c r="K95" i="34" a="1"/>
  <c r="K95" i="34" s="1"/>
  <c r="J95" i="34" a="1"/>
  <c r="J95" i="34" s="1"/>
  <c r="J99" i="34" s="1"/>
  <c r="V99" i="37" s="1"/>
  <c r="I95" i="34" a="1"/>
  <c r="I95" i="34"/>
  <c r="H95" i="34" a="1"/>
  <c r="H95" i="34" s="1"/>
  <c r="G95" i="34" a="1"/>
  <c r="G95" i="34"/>
  <c r="E95" i="34" a="1"/>
  <c r="E95" i="34"/>
  <c r="V94" i="34" a="1"/>
  <c r="V94" i="34" s="1"/>
  <c r="U94" i="34" a="1"/>
  <c r="U94" i="34" s="1"/>
  <c r="T94" i="34" a="1"/>
  <c r="T94" i="34" s="1"/>
  <c r="O94" i="34" a="1"/>
  <c r="O94" i="34" s="1"/>
  <c r="N94" i="34" a="1"/>
  <c r="N94" i="34" s="1"/>
  <c r="M94" i="34" a="1"/>
  <c r="M94" i="34"/>
  <c r="L94" i="34" a="1"/>
  <c r="L94" i="34"/>
  <c r="K94" i="34" a="1"/>
  <c r="K94" i="34"/>
  <c r="J94" i="34" a="1"/>
  <c r="J94" i="34" s="1"/>
  <c r="I94" i="34" a="1"/>
  <c r="I94" i="34"/>
  <c r="H94" i="34" a="1"/>
  <c r="H94" i="34" s="1"/>
  <c r="H99" i="34" s="1"/>
  <c r="T99" i="37" s="1"/>
  <c r="G94" i="34" a="1"/>
  <c r="G94" i="34" s="1"/>
  <c r="G99" i="34" s="1"/>
  <c r="S99" i="37" s="1"/>
  <c r="E94" i="34" a="1"/>
  <c r="E94" i="34" s="1"/>
  <c r="D94" i="34" a="1"/>
  <c r="D94" i="34"/>
  <c r="V92" i="34" a="1"/>
  <c r="V92" i="34"/>
  <c r="U92" i="34" a="1"/>
  <c r="U92" i="34" s="1"/>
  <c r="T92" i="34" a="1"/>
  <c r="T92" i="34"/>
  <c r="N92" i="34" a="1"/>
  <c r="N92" i="34"/>
  <c r="M92" i="34" a="1"/>
  <c r="M92" i="34" s="1"/>
  <c r="L92" i="34" a="1"/>
  <c r="L92" i="34"/>
  <c r="K92" i="34" a="1"/>
  <c r="K92" i="34"/>
  <c r="J92" i="34" a="1"/>
  <c r="J92" i="34"/>
  <c r="I92" i="34" a="1"/>
  <c r="I92" i="34" s="1"/>
  <c r="H92" i="34" a="1"/>
  <c r="H92" i="34"/>
  <c r="G92" i="34" a="1"/>
  <c r="G92" i="34" s="1"/>
  <c r="E92" i="34" a="1"/>
  <c r="E92" i="34"/>
  <c r="V91" i="34" a="1"/>
  <c r="V91" i="34" s="1"/>
  <c r="Z37" i="36" s="1"/>
  <c r="U91" i="34" a="1"/>
  <c r="U91" i="34" s="1"/>
  <c r="T91" i="34" a="1"/>
  <c r="T91" i="34"/>
  <c r="N91" i="34" a="1"/>
  <c r="N91" i="34" s="1"/>
  <c r="M91" i="34" a="1"/>
  <c r="M91" i="34" s="1"/>
  <c r="L91" i="34" a="1"/>
  <c r="L91" i="34"/>
  <c r="K91" i="34" a="1"/>
  <c r="K91" i="34" s="1"/>
  <c r="J91" i="34" a="1"/>
  <c r="J91" i="34" s="1"/>
  <c r="I91" i="34" a="1"/>
  <c r="I91" i="34" s="1"/>
  <c r="H91" i="34" a="1"/>
  <c r="H91" i="34"/>
  <c r="G91" i="34" a="1"/>
  <c r="G91" i="34" s="1"/>
  <c r="E91" i="34" a="1"/>
  <c r="E91" i="34" s="1"/>
  <c r="V90" i="34" a="1"/>
  <c r="V90" i="34"/>
  <c r="U90" i="34" a="1"/>
  <c r="U90" i="34" s="1"/>
  <c r="T90" i="34" a="1"/>
  <c r="T90" i="34" s="1"/>
  <c r="N90" i="34" a="1"/>
  <c r="N90" i="34"/>
  <c r="M90" i="34" a="1"/>
  <c r="M90" i="34" s="1"/>
  <c r="L90" i="34" a="1"/>
  <c r="L90" i="34" s="1"/>
  <c r="K90" i="34" a="1"/>
  <c r="K90" i="34" s="1"/>
  <c r="J90" i="34" a="1"/>
  <c r="J90" i="34"/>
  <c r="I90" i="34" a="1"/>
  <c r="I90" i="34" s="1"/>
  <c r="H90" i="34" a="1"/>
  <c r="H90" i="34" s="1"/>
  <c r="G90" i="34" a="1"/>
  <c r="G90" i="34" s="1"/>
  <c r="E90" i="34" a="1"/>
  <c r="E90" i="34"/>
  <c r="V89" i="34" a="1"/>
  <c r="V89" i="34" s="1"/>
  <c r="V93" i="34" s="1"/>
  <c r="U89" i="34" a="1"/>
  <c r="U89" i="34" s="1"/>
  <c r="P37" i="36" s="1"/>
  <c r="T89" i="34" a="1"/>
  <c r="T89" i="34"/>
  <c r="N89" i="34" a="1"/>
  <c r="N89" i="34" s="1"/>
  <c r="M89" i="34" a="1"/>
  <c r="M89" i="34" s="1"/>
  <c r="L89" i="34" a="1"/>
  <c r="L89" i="34"/>
  <c r="K89" i="34" a="1"/>
  <c r="K89" i="34" s="1"/>
  <c r="K93" i="34" s="1"/>
  <c r="W97" i="37" s="1"/>
  <c r="J89" i="34" a="1"/>
  <c r="J89" i="34" s="1"/>
  <c r="I89" i="34" a="1"/>
  <c r="I89" i="34" s="1"/>
  <c r="H89" i="34" a="1"/>
  <c r="H89" i="34"/>
  <c r="G89" i="34" a="1"/>
  <c r="G89" i="34" s="1"/>
  <c r="E89" i="34" a="1"/>
  <c r="E89" i="34" s="1"/>
  <c r="E93" i="34" s="1"/>
  <c r="V88" i="34" a="1"/>
  <c r="V88" i="34"/>
  <c r="U88" i="34" a="1"/>
  <c r="U88" i="34" s="1"/>
  <c r="T88" i="34" a="1"/>
  <c r="T88" i="34" s="1"/>
  <c r="N88" i="34" a="1"/>
  <c r="N88" i="34"/>
  <c r="M88" i="34" a="1"/>
  <c r="M88" i="34" s="1"/>
  <c r="L88" i="34" a="1"/>
  <c r="L88" i="34" s="1"/>
  <c r="K88" i="34" a="1"/>
  <c r="K88" i="34" s="1"/>
  <c r="J88" i="34" a="1"/>
  <c r="J88" i="34"/>
  <c r="I88" i="34" a="1"/>
  <c r="I88" i="34" s="1"/>
  <c r="H88" i="34" a="1"/>
  <c r="H88" i="34" s="1"/>
  <c r="G88" i="34" a="1"/>
  <c r="G88" i="34" s="1"/>
  <c r="E88" i="34" a="1"/>
  <c r="E88" i="34"/>
  <c r="D88" i="34" a="1"/>
  <c r="D88" i="34" s="1"/>
  <c r="P97" i="37" s="1"/>
  <c r="V86" i="34" a="1"/>
  <c r="V86" i="34" s="1"/>
  <c r="AA46" i="36" s="1"/>
  <c r="U86" i="34" a="1"/>
  <c r="U86" i="34" s="1"/>
  <c r="S46" i="36" s="1"/>
  <c r="T86" i="34" a="1"/>
  <c r="T86" i="34"/>
  <c r="N86" i="34" a="1"/>
  <c r="N86" i="34"/>
  <c r="M86" i="34" a="1"/>
  <c r="M86" i="34" s="1"/>
  <c r="L86" i="34" a="1"/>
  <c r="L86" i="34" s="1"/>
  <c r="K86" i="34" a="1"/>
  <c r="K86" i="34"/>
  <c r="J86" i="34" a="1"/>
  <c r="J86" i="34"/>
  <c r="I86" i="34" a="1"/>
  <c r="I86" i="34" s="1"/>
  <c r="H86" i="34" a="1"/>
  <c r="H86" i="34" s="1"/>
  <c r="G86" i="34" a="1"/>
  <c r="G86" i="34"/>
  <c r="E86" i="34" a="1"/>
  <c r="E86" i="34"/>
  <c r="V85" i="34" a="1"/>
  <c r="V85" i="34" s="1"/>
  <c r="U85" i="34" a="1"/>
  <c r="U85" i="34" s="1"/>
  <c r="R46" i="36" s="1"/>
  <c r="T85" i="34" a="1"/>
  <c r="T85" i="34"/>
  <c r="N85" i="34" a="1"/>
  <c r="N85" i="34"/>
  <c r="M85" i="34" a="1"/>
  <c r="M85" i="34" s="1"/>
  <c r="L85" i="34" a="1"/>
  <c r="L85" i="34" s="1"/>
  <c r="K85" i="34" a="1"/>
  <c r="K85" i="34"/>
  <c r="J85" i="34" a="1"/>
  <c r="J85" i="34"/>
  <c r="I85" i="34" a="1"/>
  <c r="I85" i="34" s="1"/>
  <c r="H85" i="34" a="1"/>
  <c r="H85" i="34" s="1"/>
  <c r="G85" i="34" a="1"/>
  <c r="G85" i="34"/>
  <c r="E85" i="34" a="1"/>
  <c r="E85" i="34"/>
  <c r="V84" i="34" a="1"/>
  <c r="V84" i="34" s="1"/>
  <c r="Y46" i="36" s="1"/>
  <c r="U84" i="34" a="1"/>
  <c r="U84" i="34" s="1"/>
  <c r="Q46" i="36" s="1"/>
  <c r="T84" i="34" a="1"/>
  <c r="T84" i="34"/>
  <c r="N84" i="34" a="1"/>
  <c r="N84" i="34"/>
  <c r="M84" i="34" a="1"/>
  <c r="M84" i="34" s="1"/>
  <c r="L84" i="34" a="1"/>
  <c r="L84" i="34" s="1"/>
  <c r="K84" i="34" a="1"/>
  <c r="K84" i="34"/>
  <c r="J84" i="34" a="1"/>
  <c r="J84" i="34"/>
  <c r="I84" i="34" a="1"/>
  <c r="I84" i="34" s="1"/>
  <c r="H84" i="34" a="1"/>
  <c r="H84" i="34" s="1"/>
  <c r="G84" i="34" a="1"/>
  <c r="G84" i="34"/>
  <c r="E84" i="34" a="1"/>
  <c r="E84" i="34"/>
  <c r="V83" i="34" a="1"/>
  <c r="V83" i="34" s="1"/>
  <c r="U83" i="34" a="1"/>
  <c r="U83" i="34" s="1"/>
  <c r="P46" i="36" s="1"/>
  <c r="T83" i="34" a="1"/>
  <c r="T83" i="34"/>
  <c r="N83" i="34" a="1"/>
  <c r="N83" i="34"/>
  <c r="M83" i="34" a="1"/>
  <c r="M83" i="34" s="1"/>
  <c r="L83" i="34" a="1"/>
  <c r="L83" i="34" s="1"/>
  <c r="K83" i="34" a="1"/>
  <c r="K83" i="34"/>
  <c r="J83" i="34" a="1"/>
  <c r="J83" i="34"/>
  <c r="I83" i="34" a="1"/>
  <c r="I83" i="34" s="1"/>
  <c r="H83" i="34" a="1"/>
  <c r="H83" i="34" s="1"/>
  <c r="G83" i="34" a="1"/>
  <c r="G83" i="34"/>
  <c r="E83" i="34" a="1"/>
  <c r="E83" i="34"/>
  <c r="V82" i="34" a="1"/>
  <c r="V82" i="34" s="1"/>
  <c r="U82" i="34" a="1"/>
  <c r="U82" i="34" s="1"/>
  <c r="T82" i="34" a="1"/>
  <c r="T82" i="34"/>
  <c r="N82" i="34" a="1"/>
  <c r="N82" i="34"/>
  <c r="M82" i="34" a="1"/>
  <c r="M82" i="34" s="1"/>
  <c r="L82" i="34" a="1"/>
  <c r="L82" i="34" s="1"/>
  <c r="K82" i="34" a="1"/>
  <c r="K82" i="34"/>
  <c r="J82" i="34" a="1"/>
  <c r="J82" i="34"/>
  <c r="I82" i="34" a="1"/>
  <c r="I82" i="34" s="1"/>
  <c r="H82" i="34" a="1"/>
  <c r="H82" i="34" s="1"/>
  <c r="G82" i="34" a="1"/>
  <c r="G82" i="34"/>
  <c r="E82" i="34" a="1"/>
  <c r="E82" i="34"/>
  <c r="D82" i="34" a="1"/>
  <c r="D82" i="34" s="1"/>
  <c r="P106" i="37" s="1"/>
  <c r="V80" i="34" a="1"/>
  <c r="V80" i="34" s="1"/>
  <c r="U80" i="34" a="1"/>
  <c r="U80" i="34" s="1"/>
  <c r="S27" i="36" s="1"/>
  <c r="T80" i="34" a="1"/>
  <c r="T80" i="34"/>
  <c r="N80" i="34" a="1"/>
  <c r="N80" i="34" s="1"/>
  <c r="M80" i="34" a="1"/>
  <c r="M80" i="34" s="1"/>
  <c r="L80" i="34" a="1"/>
  <c r="L80" i="34"/>
  <c r="K80" i="34" a="1"/>
  <c r="K80" i="34" s="1"/>
  <c r="J80" i="34" a="1"/>
  <c r="J80" i="34" s="1"/>
  <c r="I80" i="34" a="1"/>
  <c r="I80" i="34" s="1"/>
  <c r="H80" i="34" a="1"/>
  <c r="H80" i="34"/>
  <c r="G80" i="34" a="1"/>
  <c r="G80" i="34" s="1"/>
  <c r="E80" i="34" a="1"/>
  <c r="E80" i="34" s="1"/>
  <c r="V79" i="34" a="1"/>
  <c r="V79" i="34"/>
  <c r="U79" i="34" a="1"/>
  <c r="U79" i="34" s="1"/>
  <c r="R27" i="36" s="1"/>
  <c r="T79" i="34" a="1"/>
  <c r="T79" i="34" s="1"/>
  <c r="N79" i="34" a="1"/>
  <c r="N79" i="34"/>
  <c r="M79" i="34" a="1"/>
  <c r="M79" i="34" s="1"/>
  <c r="L79" i="34" a="1"/>
  <c r="L79" i="34" s="1"/>
  <c r="K79" i="34" a="1"/>
  <c r="K79" i="34" s="1"/>
  <c r="J79" i="34" a="1"/>
  <c r="J79" i="34"/>
  <c r="I79" i="34" a="1"/>
  <c r="I79" i="34" s="1"/>
  <c r="H79" i="34" a="1"/>
  <c r="H79" i="34" s="1"/>
  <c r="G79" i="34" a="1"/>
  <c r="G79" i="34" s="1"/>
  <c r="E79" i="34" a="1"/>
  <c r="E79" i="34"/>
  <c r="V78" i="34" a="1"/>
  <c r="V78" i="34" s="1"/>
  <c r="U78" i="34" a="1"/>
  <c r="U78" i="34" s="1"/>
  <c r="Q27" i="36" s="1"/>
  <c r="T78" i="34" a="1"/>
  <c r="T78" i="34"/>
  <c r="N78" i="34" a="1"/>
  <c r="N78" i="34" s="1"/>
  <c r="M78" i="34" a="1"/>
  <c r="M78" i="34" s="1"/>
  <c r="L78" i="34" a="1"/>
  <c r="L78" i="34"/>
  <c r="K78" i="34" a="1"/>
  <c r="K78" i="34" s="1"/>
  <c r="J78" i="34" a="1"/>
  <c r="J78" i="34" s="1"/>
  <c r="I78" i="34" a="1"/>
  <c r="I78" i="34" s="1"/>
  <c r="H78" i="34" a="1"/>
  <c r="H78" i="34"/>
  <c r="G78" i="34" a="1"/>
  <c r="G78" i="34" s="1"/>
  <c r="E78" i="34" a="1"/>
  <c r="E78" i="34" s="1"/>
  <c r="V77" i="34" a="1"/>
  <c r="V77" i="34"/>
  <c r="U77" i="34" a="1"/>
  <c r="U77" i="34" s="1"/>
  <c r="T77" i="34" a="1"/>
  <c r="T77" i="34" s="1"/>
  <c r="N77" i="34" a="1"/>
  <c r="N77" i="34"/>
  <c r="M77" i="34" a="1"/>
  <c r="M77" i="34" s="1"/>
  <c r="L77" i="34" a="1"/>
  <c r="L77" i="34" s="1"/>
  <c r="K77" i="34" a="1"/>
  <c r="K77" i="34" s="1"/>
  <c r="J77" i="34" a="1"/>
  <c r="J77" i="34"/>
  <c r="I77" i="34" a="1"/>
  <c r="I77" i="34" s="1"/>
  <c r="H77" i="34" a="1"/>
  <c r="H77" i="34" s="1"/>
  <c r="G77" i="34" a="1"/>
  <c r="G77" i="34" s="1"/>
  <c r="E77" i="34" a="1"/>
  <c r="E77" i="34"/>
  <c r="V76" i="34" a="1"/>
  <c r="V76" i="34" s="1"/>
  <c r="U76" i="34" a="1"/>
  <c r="U76" i="34" s="1"/>
  <c r="T76" i="34" a="1"/>
  <c r="T76" i="34"/>
  <c r="N76" i="34" a="1"/>
  <c r="N76" i="34" s="1"/>
  <c r="M76" i="34" a="1"/>
  <c r="M76" i="34" s="1"/>
  <c r="L76" i="34" a="1"/>
  <c r="L76" i="34"/>
  <c r="K76" i="34" a="1"/>
  <c r="K76" i="34" s="1"/>
  <c r="J76" i="34" a="1"/>
  <c r="J76" i="34" s="1"/>
  <c r="I76" i="34" a="1"/>
  <c r="I76" i="34" s="1"/>
  <c r="H76" i="34" a="1"/>
  <c r="H76" i="34"/>
  <c r="G76" i="34" a="1"/>
  <c r="G76" i="34" s="1"/>
  <c r="E76" i="34" a="1"/>
  <c r="E76" i="34" s="1"/>
  <c r="D76" i="34" a="1"/>
  <c r="D76" i="34" s="1"/>
  <c r="V74" i="34" a="1"/>
  <c r="V74" i="34" s="1"/>
  <c r="U74" i="34" a="1"/>
  <c r="U74" i="34" s="1"/>
  <c r="T74" i="34" a="1"/>
  <c r="T74" i="34"/>
  <c r="N74" i="34" a="1"/>
  <c r="N74" i="34" s="1"/>
  <c r="M74" i="34" a="1"/>
  <c r="M74" i="34" s="1"/>
  <c r="L74" i="34" a="1"/>
  <c r="L74" i="34"/>
  <c r="K74" i="34" a="1"/>
  <c r="K74" i="34" s="1"/>
  <c r="J74" i="34" a="1"/>
  <c r="J74" i="34" s="1"/>
  <c r="I74" i="34" a="1"/>
  <c r="I74" i="34" s="1"/>
  <c r="H74" i="34" a="1"/>
  <c r="H74" i="34"/>
  <c r="G74" i="34" a="1"/>
  <c r="G74" i="34" s="1"/>
  <c r="E74" i="34" a="1"/>
  <c r="E74" i="34" s="1"/>
  <c r="V73" i="34" a="1"/>
  <c r="V73" i="34"/>
  <c r="U73" i="34" a="1"/>
  <c r="U73" i="34" s="1"/>
  <c r="R6" i="36" s="1"/>
  <c r="T73" i="34" a="1"/>
  <c r="T73" i="34" s="1"/>
  <c r="N73" i="34" a="1"/>
  <c r="N73" i="34"/>
  <c r="M73" i="34" a="1"/>
  <c r="M73" i="34" s="1"/>
  <c r="L73" i="34" a="1"/>
  <c r="L73" i="34" s="1"/>
  <c r="K73" i="34" a="1"/>
  <c r="K73" i="34" s="1"/>
  <c r="J73" i="34" a="1"/>
  <c r="J73" i="34"/>
  <c r="I73" i="34" a="1"/>
  <c r="I73" i="34" s="1"/>
  <c r="H73" i="34" a="1"/>
  <c r="H73" i="34" s="1"/>
  <c r="G73" i="34" a="1"/>
  <c r="G73" i="34" s="1"/>
  <c r="E73" i="34" a="1"/>
  <c r="E73" i="34"/>
  <c r="V72" i="34" a="1"/>
  <c r="V72" i="34" s="1"/>
  <c r="Y6" i="36" s="1"/>
  <c r="U72" i="34" a="1"/>
  <c r="U72" i="34" s="1"/>
  <c r="T72" i="34" a="1"/>
  <c r="T72" i="34"/>
  <c r="N72" i="34" a="1"/>
  <c r="N72" i="34" s="1"/>
  <c r="M72" i="34" a="1"/>
  <c r="M72" i="34" s="1"/>
  <c r="L72" i="34" a="1"/>
  <c r="L72" i="34"/>
  <c r="K72" i="34" a="1"/>
  <c r="K72" i="34" s="1"/>
  <c r="J72" i="34" a="1"/>
  <c r="J72" i="34" s="1"/>
  <c r="I72" i="34" a="1"/>
  <c r="I72" i="34" s="1"/>
  <c r="H72" i="34" a="1"/>
  <c r="H72" i="34"/>
  <c r="G72" i="34" a="1"/>
  <c r="G72" i="34" s="1"/>
  <c r="E72" i="34" a="1"/>
  <c r="E72" i="34" s="1"/>
  <c r="V71" i="34" a="1"/>
  <c r="V71" i="34"/>
  <c r="U71" i="34" a="1"/>
  <c r="U71" i="34" s="1"/>
  <c r="P6" i="36" s="1"/>
  <c r="T71" i="34" a="1"/>
  <c r="T71" i="34" s="1"/>
  <c r="T75" i="34" s="1"/>
  <c r="N71" i="34" a="1"/>
  <c r="N71" i="34"/>
  <c r="M71" i="34" a="1"/>
  <c r="M71" i="34" s="1"/>
  <c r="L71" i="34" a="1"/>
  <c r="L71" i="34" s="1"/>
  <c r="L75" i="34" s="1"/>
  <c r="K71" i="34" a="1"/>
  <c r="K71" i="34" s="1"/>
  <c r="J71" i="34" a="1"/>
  <c r="J71" i="34"/>
  <c r="I71" i="34" a="1"/>
  <c r="I71" i="34" s="1"/>
  <c r="H71" i="34" a="1"/>
  <c r="H71" i="34" s="1"/>
  <c r="H75" i="34" s="1"/>
  <c r="G71" i="34" a="1"/>
  <c r="G71" i="34" s="1"/>
  <c r="E71" i="34" a="1"/>
  <c r="E71" i="34"/>
  <c r="V70" i="34" a="1"/>
  <c r="V70" i="34" s="1"/>
  <c r="U70" i="34" a="1"/>
  <c r="U70" i="34" s="1"/>
  <c r="T70" i="34" a="1"/>
  <c r="T70" i="34"/>
  <c r="N70" i="34" a="1"/>
  <c r="N70" i="34" s="1"/>
  <c r="N75" i="34" s="1"/>
  <c r="M70" i="34" a="1"/>
  <c r="M70" i="34" s="1"/>
  <c r="M75" i="34" s="1"/>
  <c r="L70" i="34" a="1"/>
  <c r="L70" i="34"/>
  <c r="K70" i="34" a="1"/>
  <c r="K70" i="34" s="1"/>
  <c r="J70" i="34" a="1"/>
  <c r="J70" i="34" s="1"/>
  <c r="I70" i="34" a="1"/>
  <c r="I70" i="34" s="1"/>
  <c r="H70" i="34" a="1"/>
  <c r="H70" i="34"/>
  <c r="G70" i="34" a="1"/>
  <c r="G70" i="34" s="1"/>
  <c r="E70" i="34" a="1"/>
  <c r="E70" i="34" s="1"/>
  <c r="D70" i="34" a="1"/>
  <c r="D70" i="34" s="1"/>
  <c r="V68" i="34" a="1"/>
  <c r="V68" i="34" s="1"/>
  <c r="U68" i="34" a="1"/>
  <c r="U68" i="34" s="1"/>
  <c r="T68" i="34" a="1"/>
  <c r="T68" i="34" s="1"/>
  <c r="K5" i="36" s="1"/>
  <c r="N68" i="34" a="1"/>
  <c r="N68" i="34" s="1"/>
  <c r="M68" i="34" a="1"/>
  <c r="M68" i="34" s="1"/>
  <c r="L68" i="34" a="1"/>
  <c r="L68" i="34" s="1"/>
  <c r="K68" i="34" a="1"/>
  <c r="K68" i="34"/>
  <c r="J68" i="34" a="1"/>
  <c r="J68" i="34" s="1"/>
  <c r="I68" i="34" a="1"/>
  <c r="I68" i="34" s="1"/>
  <c r="H68" i="34" a="1"/>
  <c r="H68" i="34" s="1"/>
  <c r="G68" i="34" a="1"/>
  <c r="G68" i="34"/>
  <c r="E68" i="34" a="1"/>
  <c r="E68" i="34" s="1"/>
  <c r="V67" i="34" a="1"/>
  <c r="V67" i="34" s="1"/>
  <c r="U67" i="34" a="1"/>
  <c r="U67" i="34"/>
  <c r="T67" i="34" a="1"/>
  <c r="T67" i="34" s="1"/>
  <c r="J5" i="36" s="1"/>
  <c r="N67" i="34" a="1"/>
  <c r="N67" i="34" s="1"/>
  <c r="M67" i="34" a="1"/>
  <c r="M67" i="34"/>
  <c r="L67" i="34" a="1"/>
  <c r="L67" i="34" s="1"/>
  <c r="K67" i="34" a="1"/>
  <c r="K67" i="34" s="1"/>
  <c r="J67" i="34" a="1"/>
  <c r="J67" i="34" s="1"/>
  <c r="I67" i="34" a="1"/>
  <c r="I67" i="34"/>
  <c r="H67" i="34" a="1"/>
  <c r="H67" i="34" s="1"/>
  <c r="G67" i="34" a="1"/>
  <c r="G67" i="34" s="1"/>
  <c r="E67" i="34" a="1"/>
  <c r="E67" i="34" s="1"/>
  <c r="V66" i="34" a="1"/>
  <c r="V66" i="34" s="1"/>
  <c r="Y5" i="36" s="1"/>
  <c r="U66" i="34" a="1"/>
  <c r="U66" i="34" s="1"/>
  <c r="T66" i="34" a="1"/>
  <c r="T66" i="34" s="1"/>
  <c r="I5" i="36" s="1"/>
  <c r="N66" i="34" a="1"/>
  <c r="N66" i="34" s="1"/>
  <c r="M66" i="34" a="1"/>
  <c r="M66" i="34" s="1"/>
  <c r="L66" i="34" a="1"/>
  <c r="L66" i="34" s="1"/>
  <c r="K66" i="34" a="1"/>
  <c r="K66" i="34"/>
  <c r="J66" i="34" a="1"/>
  <c r="J66" i="34" s="1"/>
  <c r="I66" i="34" a="1"/>
  <c r="I66" i="34" s="1"/>
  <c r="H66" i="34" a="1"/>
  <c r="H66" i="34" s="1"/>
  <c r="G66" i="34" a="1"/>
  <c r="G66" i="34"/>
  <c r="E66" i="34" a="1"/>
  <c r="E66" i="34" s="1"/>
  <c r="V65" i="34" a="1"/>
  <c r="V65" i="34" s="1"/>
  <c r="X5" i="36" s="1"/>
  <c r="U65" i="34" a="1"/>
  <c r="U65" i="34"/>
  <c r="T65" i="34" a="1"/>
  <c r="T65" i="34" s="1"/>
  <c r="N65" i="34" a="1"/>
  <c r="N65" i="34" s="1"/>
  <c r="M65" i="34" a="1"/>
  <c r="M65" i="34"/>
  <c r="L65" i="34" a="1"/>
  <c r="L65" i="34" s="1"/>
  <c r="K65" i="34" a="1"/>
  <c r="K65" i="34" s="1"/>
  <c r="J65" i="34" a="1"/>
  <c r="J65" i="34" s="1"/>
  <c r="I65" i="34" a="1"/>
  <c r="I65" i="34"/>
  <c r="H65" i="34" a="1"/>
  <c r="H65" i="34" s="1"/>
  <c r="G65" i="34" a="1"/>
  <c r="G65" i="34" s="1"/>
  <c r="E65" i="34" a="1"/>
  <c r="E65" i="34" s="1"/>
  <c r="V64" i="34" a="1"/>
  <c r="V64" i="34" s="1"/>
  <c r="W5" i="36" s="1"/>
  <c r="U64" i="34" a="1"/>
  <c r="U64" i="34" s="1"/>
  <c r="O5" i="36" s="1"/>
  <c r="T64" i="34" a="1"/>
  <c r="T64" i="34" s="1"/>
  <c r="G5" i="36" s="1"/>
  <c r="O64" i="34" a="1"/>
  <c r="O64" i="34"/>
  <c r="N64" i="34" a="1"/>
  <c r="N64" i="34" s="1"/>
  <c r="M64" i="34" a="1"/>
  <c r="M64" i="34" s="1"/>
  <c r="L64" i="34" a="1"/>
  <c r="L64" i="34" s="1"/>
  <c r="K64" i="34" a="1"/>
  <c r="K64" i="34"/>
  <c r="J64" i="34" a="1"/>
  <c r="J64" i="34" s="1"/>
  <c r="I64" i="34" a="1"/>
  <c r="I64" i="34" s="1"/>
  <c r="I69" i="34" s="1"/>
  <c r="H64" i="34" a="1"/>
  <c r="H64" i="34" s="1"/>
  <c r="G64" i="34" a="1"/>
  <c r="G64" i="34"/>
  <c r="E64" i="34" a="1"/>
  <c r="E64" i="34" s="1"/>
  <c r="E69" i="34" s="1"/>
  <c r="D64" i="34" a="1"/>
  <c r="D64" i="34" s="1"/>
  <c r="P65" i="37" s="1"/>
  <c r="V62" i="34" a="1"/>
  <c r="V62" i="34" s="1"/>
  <c r="U62" i="34" a="1"/>
  <c r="U62" i="34" s="1"/>
  <c r="T62" i="34" a="1"/>
  <c r="T62" i="34" s="1"/>
  <c r="N62" i="34" a="1"/>
  <c r="N62" i="34" s="1"/>
  <c r="M62" i="34" a="1"/>
  <c r="M62" i="34" s="1"/>
  <c r="L62" i="34" a="1"/>
  <c r="L62" i="34" s="1"/>
  <c r="K62" i="34" a="1"/>
  <c r="K62" i="34" s="1"/>
  <c r="J62" i="34" a="1"/>
  <c r="J62" i="34" s="1"/>
  <c r="I62" i="34" a="1"/>
  <c r="I62" i="34" s="1"/>
  <c r="H62" i="34" a="1"/>
  <c r="H62" i="34" s="1"/>
  <c r="G62" i="34" a="1"/>
  <c r="G62" i="34" s="1"/>
  <c r="E62" i="34" a="1"/>
  <c r="E62" i="34" s="1"/>
  <c r="V61" i="34" a="1"/>
  <c r="V61" i="34" s="1"/>
  <c r="U61" i="34" a="1"/>
  <c r="U61" i="34" s="1"/>
  <c r="T61" i="34" a="1"/>
  <c r="T61" i="34" s="1"/>
  <c r="N61" i="34" a="1"/>
  <c r="N61" i="34" s="1"/>
  <c r="N392" i="34" s="1"/>
  <c r="M61" i="34" a="1"/>
  <c r="M61" i="34" s="1"/>
  <c r="L61" i="34" a="1"/>
  <c r="L61" i="34" s="1"/>
  <c r="K61" i="34" a="1"/>
  <c r="K61" i="34" s="1"/>
  <c r="J61" i="34" a="1"/>
  <c r="J61" i="34" s="1"/>
  <c r="J392" i="34" s="1"/>
  <c r="I61" i="34" a="1"/>
  <c r="I61" i="34" s="1"/>
  <c r="H61" i="34" a="1"/>
  <c r="H61" i="34" s="1"/>
  <c r="G61" i="34" a="1"/>
  <c r="G61" i="34" s="1"/>
  <c r="G392" i="34" s="1"/>
  <c r="E61" i="34" a="1"/>
  <c r="E61" i="34" s="1"/>
  <c r="E392" i="34" s="1"/>
  <c r="V60" i="34" a="1"/>
  <c r="V60" i="34" s="1"/>
  <c r="U60" i="34" a="1"/>
  <c r="U60" i="34" s="1"/>
  <c r="T60" i="34" a="1"/>
  <c r="T60" i="34" s="1"/>
  <c r="N60" i="34" a="1"/>
  <c r="N60" i="34" s="1"/>
  <c r="M60" i="34" a="1"/>
  <c r="M60" i="34" s="1"/>
  <c r="L60" i="34" a="1"/>
  <c r="L60" i="34" s="1"/>
  <c r="K60" i="34" a="1"/>
  <c r="K60" i="34" s="1"/>
  <c r="J60" i="34" a="1"/>
  <c r="J60" i="34" s="1"/>
  <c r="I60" i="34" a="1"/>
  <c r="I60" i="34" s="1"/>
  <c r="H60" i="34" a="1"/>
  <c r="H60" i="34" s="1"/>
  <c r="G60" i="34" a="1"/>
  <c r="G60" i="34" s="1"/>
  <c r="E60" i="34" a="1"/>
  <c r="E60" i="34" s="1"/>
  <c r="V59" i="34" a="1"/>
  <c r="V59" i="34" s="1"/>
  <c r="U59" i="34" a="1"/>
  <c r="U59" i="34" s="1"/>
  <c r="T59" i="34" a="1"/>
  <c r="T59" i="34" s="1"/>
  <c r="N59" i="34" a="1"/>
  <c r="N59" i="34" s="1"/>
  <c r="N63" i="34" s="1"/>
  <c r="Z90" i="37" s="1"/>
  <c r="M59" i="34" a="1"/>
  <c r="M59" i="34" s="1"/>
  <c r="L59" i="34" a="1"/>
  <c r="L59" i="34" s="1"/>
  <c r="K59" i="34" a="1"/>
  <c r="K59" i="34" s="1"/>
  <c r="J59" i="34" a="1"/>
  <c r="J59" i="34" s="1"/>
  <c r="I59" i="34" a="1"/>
  <c r="I59" i="34" s="1"/>
  <c r="H59" i="34" a="1"/>
  <c r="H59" i="34" s="1"/>
  <c r="G59" i="34" a="1"/>
  <c r="G59" i="34" s="1"/>
  <c r="E59" i="34" a="1"/>
  <c r="E59" i="34" s="1"/>
  <c r="E390" i="34" s="1"/>
  <c r="V58" i="34" a="1"/>
  <c r="V58" i="34" s="1"/>
  <c r="U58" i="34" a="1"/>
  <c r="U58" i="34" s="1"/>
  <c r="T58" i="34" a="1"/>
  <c r="T58" i="34" s="1"/>
  <c r="N58" i="34" a="1"/>
  <c r="N58" i="34" s="1"/>
  <c r="M58" i="34" a="1"/>
  <c r="M58" i="34" s="1"/>
  <c r="L58" i="34" a="1"/>
  <c r="L58" i="34" s="1"/>
  <c r="L389" i="34" s="1"/>
  <c r="K58" i="34" a="1"/>
  <c r="K58" i="34" s="1"/>
  <c r="J58" i="34" a="1"/>
  <c r="J58" i="34" s="1"/>
  <c r="J389" i="34" s="1"/>
  <c r="I58" i="34" a="1"/>
  <c r="I58" i="34" s="1"/>
  <c r="H58" i="34" a="1"/>
  <c r="H58" i="34" s="1"/>
  <c r="G58" i="34" a="1"/>
  <c r="G58" i="34" s="1"/>
  <c r="E58" i="34" a="1"/>
  <c r="E58" i="34" s="1"/>
  <c r="D58" i="34" a="1"/>
  <c r="D58" i="34" s="1"/>
  <c r="V56" i="34" a="1"/>
  <c r="V56" i="34" s="1"/>
  <c r="AA36" i="36" s="1"/>
  <c r="U56" i="34" a="1"/>
  <c r="U56" i="34" s="1"/>
  <c r="T56" i="34" a="1"/>
  <c r="T56" i="34"/>
  <c r="N56" i="34" a="1"/>
  <c r="N56" i="34" s="1"/>
  <c r="M56" i="34" a="1"/>
  <c r="M56" i="34" s="1"/>
  <c r="L56" i="34" a="1"/>
  <c r="L56" i="34"/>
  <c r="K56" i="34" a="1"/>
  <c r="K56" i="34"/>
  <c r="J56" i="34" a="1"/>
  <c r="J56" i="34" s="1"/>
  <c r="I56" i="34" a="1"/>
  <c r="I56" i="34" s="1"/>
  <c r="H56" i="34" a="1"/>
  <c r="H56" i="34"/>
  <c r="G56" i="34" a="1"/>
  <c r="G56" i="34"/>
  <c r="E56" i="34" a="1"/>
  <c r="E56" i="34" s="1"/>
  <c r="V55" i="34" a="1"/>
  <c r="V55" i="34"/>
  <c r="U55" i="34" a="1"/>
  <c r="U55" i="34"/>
  <c r="T55" i="34" a="1"/>
  <c r="T55" i="34" s="1"/>
  <c r="J36" i="36" s="1"/>
  <c r="N55" i="34" a="1"/>
  <c r="N55" i="34"/>
  <c r="M55" i="34" a="1"/>
  <c r="M55" i="34"/>
  <c r="L55" i="34" a="1"/>
  <c r="L55" i="34" s="1"/>
  <c r="K55" i="34" a="1"/>
  <c r="K55" i="34" s="1"/>
  <c r="J55" i="34" a="1"/>
  <c r="J55" i="34"/>
  <c r="I55" i="34" a="1"/>
  <c r="I55" i="34"/>
  <c r="H55" i="34" a="1"/>
  <c r="H55" i="34" s="1"/>
  <c r="G55" i="34" a="1"/>
  <c r="G55" i="34" s="1"/>
  <c r="E55" i="34" a="1"/>
  <c r="E55" i="34"/>
  <c r="V54" i="34" a="1"/>
  <c r="V54" i="34" s="1"/>
  <c r="U54" i="34" a="1"/>
  <c r="U54" i="34" s="1"/>
  <c r="T54" i="34" a="1"/>
  <c r="T54" i="34"/>
  <c r="N54" i="34" a="1"/>
  <c r="N54" i="34" s="1"/>
  <c r="M54" i="34" a="1"/>
  <c r="M54" i="34" s="1"/>
  <c r="L54" i="34" a="1"/>
  <c r="L54" i="34"/>
  <c r="K54" i="34" a="1"/>
  <c r="K54" i="34"/>
  <c r="J54" i="34" a="1"/>
  <c r="J54" i="34" s="1"/>
  <c r="I54" i="34" a="1"/>
  <c r="I54" i="34" s="1"/>
  <c r="H54" i="34" a="1"/>
  <c r="H54" i="34"/>
  <c r="G54" i="34" a="1"/>
  <c r="G54" i="34"/>
  <c r="E54" i="34" a="1"/>
  <c r="E54" i="34" s="1"/>
  <c r="V53" i="34" a="1"/>
  <c r="V53" i="34"/>
  <c r="U53" i="34" a="1"/>
  <c r="U53" i="34"/>
  <c r="T53" i="34" a="1"/>
  <c r="T53" i="34" s="1"/>
  <c r="N53" i="34" a="1"/>
  <c r="N53" i="34"/>
  <c r="M53" i="34" a="1"/>
  <c r="M53" i="34"/>
  <c r="L53" i="34" a="1"/>
  <c r="L53" i="34" s="1"/>
  <c r="L57" i="34" s="1"/>
  <c r="K53" i="34" a="1"/>
  <c r="K53" i="34" s="1"/>
  <c r="J53" i="34" a="1"/>
  <c r="J53" i="34"/>
  <c r="I53" i="34" a="1"/>
  <c r="I53" i="34"/>
  <c r="H53" i="34" a="1"/>
  <c r="H53" i="34" s="1"/>
  <c r="G53" i="34" a="1"/>
  <c r="G53" i="34" s="1"/>
  <c r="G57" i="34" s="1"/>
  <c r="E53" i="34" a="1"/>
  <c r="E53" i="34"/>
  <c r="V52" i="34" a="1"/>
  <c r="V52" i="34" s="1"/>
  <c r="V57" i="34" s="1"/>
  <c r="U52" i="34" a="1"/>
  <c r="U52" i="34" s="1"/>
  <c r="T52" i="34" a="1"/>
  <c r="T52" i="34"/>
  <c r="N52" i="34" a="1"/>
  <c r="N52" i="34" s="1"/>
  <c r="M52" i="34" a="1"/>
  <c r="M52" i="34" s="1"/>
  <c r="L52" i="34" a="1"/>
  <c r="L52" i="34"/>
  <c r="K52" i="34" a="1"/>
  <c r="K52" i="34"/>
  <c r="J52" i="34" a="1"/>
  <c r="J52" i="34" s="1"/>
  <c r="J57" i="34" s="1"/>
  <c r="I52" i="34" a="1"/>
  <c r="I52" i="34" s="1"/>
  <c r="H52" i="34" a="1"/>
  <c r="H52" i="34"/>
  <c r="G52" i="34" a="1"/>
  <c r="G52" i="34"/>
  <c r="E52" i="34" a="1"/>
  <c r="E52" i="34" s="1"/>
  <c r="D52" i="34" a="1"/>
  <c r="D52" i="34" s="1"/>
  <c r="V50" i="34" a="1"/>
  <c r="V50" i="34"/>
  <c r="U50" i="34" a="1"/>
  <c r="U50" i="34"/>
  <c r="T50" i="34" a="1"/>
  <c r="T50" i="34"/>
  <c r="N50" i="34" a="1"/>
  <c r="N50" i="34"/>
  <c r="M50" i="34" a="1"/>
  <c r="M50" i="34"/>
  <c r="L50" i="34" a="1"/>
  <c r="L50" i="34"/>
  <c r="K50" i="34" a="1"/>
  <c r="K50" i="34"/>
  <c r="J50" i="34" a="1"/>
  <c r="J50" i="34"/>
  <c r="I50" i="34" a="1"/>
  <c r="I50" i="34"/>
  <c r="H50" i="34" a="1"/>
  <c r="H50" i="34"/>
  <c r="G50" i="34" a="1"/>
  <c r="G50" i="34"/>
  <c r="E50" i="34" a="1"/>
  <c r="E50" i="34"/>
  <c r="V49" i="34" a="1"/>
  <c r="V49" i="34"/>
  <c r="U49" i="34" a="1"/>
  <c r="U49" i="34"/>
  <c r="T49" i="34" a="1"/>
  <c r="T49" i="34"/>
  <c r="N49" i="34" a="1"/>
  <c r="N49" i="34"/>
  <c r="M49" i="34" a="1"/>
  <c r="M49" i="34"/>
  <c r="L49" i="34" a="1"/>
  <c r="L49" i="34"/>
  <c r="K49" i="34" a="1"/>
  <c r="K49" i="34"/>
  <c r="J49" i="34" a="1"/>
  <c r="J49" i="34"/>
  <c r="I49" i="34" a="1"/>
  <c r="I49" i="34"/>
  <c r="H49" i="34" a="1"/>
  <c r="H49" i="34"/>
  <c r="G49" i="34" a="1"/>
  <c r="G49" i="34"/>
  <c r="E49" i="34" a="1"/>
  <c r="E49" i="34"/>
  <c r="V48" i="34" a="1"/>
  <c r="V48" i="34"/>
  <c r="U48" i="34" a="1"/>
  <c r="U48" i="34"/>
  <c r="T48" i="34" a="1"/>
  <c r="T48" i="34"/>
  <c r="N48" i="34" a="1"/>
  <c r="N48" i="34"/>
  <c r="M48" i="34" a="1"/>
  <c r="M48" i="34"/>
  <c r="L48" i="34" a="1"/>
  <c r="L48" i="34"/>
  <c r="K48" i="34" a="1"/>
  <c r="K48" i="34"/>
  <c r="J48" i="34" a="1"/>
  <c r="J48" i="34"/>
  <c r="I48" i="34" a="1"/>
  <c r="I48" i="34"/>
  <c r="H48" i="34" a="1"/>
  <c r="H48" i="34"/>
  <c r="G48" i="34" a="1"/>
  <c r="G48" i="34"/>
  <c r="E48" i="34" a="1"/>
  <c r="E48" i="34"/>
  <c r="V47" i="34" a="1"/>
  <c r="V47" i="34"/>
  <c r="U47" i="34" a="1"/>
  <c r="U47" i="34"/>
  <c r="T47" i="34" a="1"/>
  <c r="T47" i="34"/>
  <c r="N47" i="34" a="1"/>
  <c r="N47" i="34"/>
  <c r="M47" i="34" a="1"/>
  <c r="M47" i="34"/>
  <c r="L47" i="34" a="1"/>
  <c r="L47" i="34"/>
  <c r="K47" i="34" a="1"/>
  <c r="K47" i="34"/>
  <c r="J47" i="34" a="1"/>
  <c r="J47" i="34"/>
  <c r="I47" i="34" a="1"/>
  <c r="I47" i="34"/>
  <c r="H47" i="34" a="1"/>
  <c r="H47" i="34"/>
  <c r="G47" i="34" a="1"/>
  <c r="G47" i="34"/>
  <c r="E47" i="34" a="1"/>
  <c r="E47" i="34"/>
  <c r="V46" i="34" a="1"/>
  <c r="V46" i="34"/>
  <c r="U46" i="34" a="1"/>
  <c r="U46" i="34"/>
  <c r="T46" i="34" a="1"/>
  <c r="T46" i="34"/>
  <c r="N46" i="34" a="1"/>
  <c r="N46" i="34"/>
  <c r="M46" i="34" a="1"/>
  <c r="M46" i="34"/>
  <c r="L46" i="34" a="1"/>
  <c r="L46" i="34"/>
  <c r="K46" i="34" a="1"/>
  <c r="K46" i="34"/>
  <c r="J46" i="34" a="1"/>
  <c r="J46" i="34"/>
  <c r="I46" i="34" a="1"/>
  <c r="I46" i="34"/>
  <c r="H46" i="34" a="1"/>
  <c r="H46" i="34"/>
  <c r="G46" i="34" a="1"/>
  <c r="G46" i="34"/>
  <c r="E46" i="34" a="1"/>
  <c r="E46" i="34"/>
  <c r="D46" i="34" a="1"/>
  <c r="D46" i="34" s="1"/>
  <c r="P95" i="37" s="1"/>
  <c r="D95" i="37" s="1"/>
  <c r="V44" i="34" a="1"/>
  <c r="V44" i="34"/>
  <c r="U44" i="34" a="1"/>
  <c r="U44" i="34"/>
  <c r="T44" i="34" a="1"/>
  <c r="T44" i="34"/>
  <c r="O44" i="34" a="1"/>
  <c r="O44" i="34"/>
  <c r="N44" i="34" a="1"/>
  <c r="N44" i="34"/>
  <c r="M44" i="34" a="1"/>
  <c r="M44" i="34"/>
  <c r="L44" i="34" a="1"/>
  <c r="L44" i="34"/>
  <c r="K44" i="34" a="1"/>
  <c r="K44" i="34"/>
  <c r="J44" i="34" a="1"/>
  <c r="J44" i="34"/>
  <c r="I44" i="34" a="1"/>
  <c r="I44" i="34"/>
  <c r="H44" i="34" a="1"/>
  <c r="H44" i="34"/>
  <c r="G44" i="34" a="1"/>
  <c r="G44" i="34"/>
  <c r="E44" i="34" a="1"/>
  <c r="E44" i="34"/>
  <c r="D44" i="34" a="1"/>
  <c r="D44" i="34"/>
  <c r="V43" i="34" a="1"/>
  <c r="V43" i="34"/>
  <c r="U43" i="34" a="1"/>
  <c r="U43" i="34"/>
  <c r="T43" i="34" a="1"/>
  <c r="T43" i="34"/>
  <c r="O43" i="34" a="1"/>
  <c r="O43" i="34"/>
  <c r="N43" i="34" a="1"/>
  <c r="N43" i="34"/>
  <c r="M43" i="34" a="1"/>
  <c r="M43" i="34"/>
  <c r="L43" i="34" a="1"/>
  <c r="L43" i="34"/>
  <c r="K43" i="34" a="1"/>
  <c r="K43" i="34"/>
  <c r="J43" i="34" a="1"/>
  <c r="J43" i="34"/>
  <c r="I43" i="34" a="1"/>
  <c r="I43" i="34"/>
  <c r="H43" i="34" a="1"/>
  <c r="H43" i="34"/>
  <c r="G43" i="34" a="1"/>
  <c r="G43" i="34"/>
  <c r="E43" i="34" a="1"/>
  <c r="E43" i="34"/>
  <c r="D43" i="34" a="1"/>
  <c r="D43" i="34"/>
  <c r="V42" i="34" a="1"/>
  <c r="V42" i="34"/>
  <c r="U42" i="34" a="1"/>
  <c r="U42" i="34"/>
  <c r="T42" i="34" a="1"/>
  <c r="T42" i="34"/>
  <c r="O42" i="34" a="1"/>
  <c r="O42" i="34"/>
  <c r="N42" i="34" a="1"/>
  <c r="N42" i="34"/>
  <c r="M42" i="34" a="1"/>
  <c r="M42" i="34"/>
  <c r="L42" i="34" a="1"/>
  <c r="L42" i="34"/>
  <c r="K42" i="34" a="1"/>
  <c r="K42" i="34"/>
  <c r="J42" i="34" a="1"/>
  <c r="J42" i="34"/>
  <c r="I42" i="34" a="1"/>
  <c r="I42" i="34"/>
  <c r="H42" i="34" a="1"/>
  <c r="H42" i="34"/>
  <c r="G42" i="34" a="1"/>
  <c r="G42" i="34"/>
  <c r="E42" i="34" a="1"/>
  <c r="E42" i="34"/>
  <c r="D42" i="34" a="1"/>
  <c r="D42" i="34"/>
  <c r="V41" i="34" a="1"/>
  <c r="V41" i="34"/>
  <c r="U41" i="34" a="1"/>
  <c r="U41" i="34"/>
  <c r="T41" i="34" a="1"/>
  <c r="T41" i="34"/>
  <c r="O41" i="34" a="1"/>
  <c r="O41" i="34"/>
  <c r="N41" i="34" a="1"/>
  <c r="N41" i="34"/>
  <c r="M41" i="34" a="1"/>
  <c r="M41" i="34"/>
  <c r="L41" i="34" a="1"/>
  <c r="L41" i="34"/>
  <c r="K41" i="34" a="1"/>
  <c r="K41" i="34"/>
  <c r="J41" i="34" a="1"/>
  <c r="J41" i="34"/>
  <c r="I41" i="34" a="1"/>
  <c r="I41" i="34"/>
  <c r="H41" i="34" a="1"/>
  <c r="H41" i="34"/>
  <c r="G41" i="34" a="1"/>
  <c r="G41" i="34"/>
  <c r="E41" i="34" a="1"/>
  <c r="E41" i="34"/>
  <c r="D41" i="34" a="1"/>
  <c r="D41" i="34"/>
  <c r="V40" i="34" a="1"/>
  <c r="V40" i="34"/>
  <c r="U40" i="34" a="1"/>
  <c r="U40" i="34"/>
  <c r="T40" i="34" a="1"/>
  <c r="T40" i="34"/>
  <c r="O40" i="34" a="1"/>
  <c r="O40" i="34"/>
  <c r="N40" i="34" a="1"/>
  <c r="N40" i="34"/>
  <c r="M40" i="34" a="1"/>
  <c r="M40" i="34"/>
  <c r="L40" i="34" a="1"/>
  <c r="L40" i="34"/>
  <c r="K40" i="34" a="1"/>
  <c r="K40" i="34"/>
  <c r="J40" i="34" a="1"/>
  <c r="J40" i="34"/>
  <c r="I40" i="34" a="1"/>
  <c r="I40" i="34"/>
  <c r="H40" i="34" a="1"/>
  <c r="H40" i="34"/>
  <c r="G40" i="34" a="1"/>
  <c r="G40" i="34"/>
  <c r="E40" i="34" a="1"/>
  <c r="E40" i="34"/>
  <c r="D40" i="34" a="1"/>
  <c r="D40" i="34"/>
  <c r="V38" i="34" a="1"/>
  <c r="V38" i="34"/>
  <c r="U38" i="34" a="1"/>
  <c r="U38" i="34"/>
  <c r="T38" i="34" a="1"/>
  <c r="T38" i="34"/>
  <c r="O38" i="34" a="1"/>
  <c r="O38" i="34"/>
  <c r="N38" i="34" a="1"/>
  <c r="N38" i="34"/>
  <c r="M38" i="34" a="1"/>
  <c r="M38" i="34"/>
  <c r="L38" i="34" a="1"/>
  <c r="L38" i="34"/>
  <c r="K38" i="34" a="1"/>
  <c r="K38" i="34"/>
  <c r="J38" i="34" a="1"/>
  <c r="J38" i="34"/>
  <c r="I38" i="34" a="1"/>
  <c r="I38" i="34"/>
  <c r="H38" i="34" a="1"/>
  <c r="H38" i="34"/>
  <c r="G38" i="34" a="1"/>
  <c r="G38" i="34"/>
  <c r="E38" i="34" a="1"/>
  <c r="E38" i="34"/>
  <c r="D38" i="34" a="1"/>
  <c r="D38" i="34"/>
  <c r="V37" i="34" a="1"/>
  <c r="V37" i="34"/>
  <c r="U37" i="34" a="1"/>
  <c r="U37" i="34"/>
  <c r="T37" i="34" a="1"/>
  <c r="T37" i="34"/>
  <c r="O37" i="34" a="1"/>
  <c r="O37" i="34"/>
  <c r="N37" i="34" a="1"/>
  <c r="N37" i="34"/>
  <c r="M37" i="34" a="1"/>
  <c r="M37" i="34"/>
  <c r="L37" i="34" a="1"/>
  <c r="L37" i="34"/>
  <c r="K37" i="34" a="1"/>
  <c r="K37" i="34"/>
  <c r="J37" i="34" a="1"/>
  <c r="J37" i="34"/>
  <c r="I37" i="34" a="1"/>
  <c r="I37" i="34"/>
  <c r="H37" i="34" a="1"/>
  <c r="H37" i="34"/>
  <c r="G37" i="34" a="1"/>
  <c r="G37" i="34"/>
  <c r="E37" i="34" a="1"/>
  <c r="E37" i="34"/>
  <c r="D37" i="34" a="1"/>
  <c r="D37" i="34"/>
  <c r="V36" i="34" a="1"/>
  <c r="V36" i="34"/>
  <c r="U36" i="34" a="1"/>
  <c r="U36" i="34"/>
  <c r="T36" i="34" a="1"/>
  <c r="T36" i="34"/>
  <c r="O36" i="34" a="1"/>
  <c r="O36" i="34"/>
  <c r="N36" i="34" a="1"/>
  <c r="N36" i="34"/>
  <c r="M36" i="34" a="1"/>
  <c r="M36" i="34"/>
  <c r="L36" i="34" a="1"/>
  <c r="L36" i="34"/>
  <c r="K36" i="34" a="1"/>
  <c r="K36" i="34"/>
  <c r="J36" i="34" a="1"/>
  <c r="J36" i="34"/>
  <c r="I36" i="34" a="1"/>
  <c r="I36" i="34"/>
  <c r="H36" i="34" a="1"/>
  <c r="H36" i="34"/>
  <c r="G36" i="34" a="1"/>
  <c r="G36" i="34"/>
  <c r="E36" i="34" a="1"/>
  <c r="E36" i="34"/>
  <c r="D36" i="34" a="1"/>
  <c r="D36" i="34"/>
  <c r="V35" i="34" a="1"/>
  <c r="V35" i="34"/>
  <c r="U35" i="34" a="1"/>
  <c r="U35" i="34"/>
  <c r="T35" i="34" a="1"/>
  <c r="T35" i="34"/>
  <c r="O35" i="34" a="1"/>
  <c r="O35" i="34"/>
  <c r="N35" i="34" a="1"/>
  <c r="N35" i="34"/>
  <c r="M35" i="34" a="1"/>
  <c r="M35" i="34"/>
  <c r="L35" i="34" a="1"/>
  <c r="L35" i="34"/>
  <c r="K35" i="34" a="1"/>
  <c r="K35" i="34"/>
  <c r="J35" i="34" a="1"/>
  <c r="J35" i="34"/>
  <c r="I35" i="34" a="1"/>
  <c r="I35" i="34"/>
  <c r="H35" i="34" a="1"/>
  <c r="H35" i="34"/>
  <c r="G35" i="34" a="1"/>
  <c r="G35" i="34"/>
  <c r="E35" i="34" a="1"/>
  <c r="E35" i="34"/>
  <c r="D35" i="34" a="1"/>
  <c r="D35" i="34"/>
  <c r="V34" i="34" a="1"/>
  <c r="V34" i="34"/>
  <c r="U34" i="34" a="1"/>
  <c r="U34" i="34"/>
  <c r="T34" i="34" a="1"/>
  <c r="T34" i="34"/>
  <c r="O34" i="34" a="1"/>
  <c r="O34" i="34"/>
  <c r="N34" i="34" a="1"/>
  <c r="N34" i="34"/>
  <c r="M34" i="34" a="1"/>
  <c r="M34" i="34"/>
  <c r="L34" i="34" a="1"/>
  <c r="L34" i="34"/>
  <c r="K34" i="34" a="1"/>
  <c r="K34" i="34"/>
  <c r="J34" i="34" a="1"/>
  <c r="J34" i="34"/>
  <c r="I34" i="34" a="1"/>
  <c r="I34" i="34"/>
  <c r="H34" i="34" a="1"/>
  <c r="H34" i="34"/>
  <c r="G34" i="34" a="1"/>
  <c r="G34" i="34"/>
  <c r="E34" i="34" a="1"/>
  <c r="E34" i="34"/>
  <c r="D34" i="34" a="1"/>
  <c r="D34" i="34"/>
  <c r="V32" i="34" a="1"/>
  <c r="V32" i="34"/>
  <c r="U32" i="34" a="1"/>
  <c r="U32" i="34"/>
  <c r="T32" i="34" a="1"/>
  <c r="T32" i="34"/>
  <c r="O32" i="34" a="1"/>
  <c r="O32" i="34"/>
  <c r="N32" i="34" a="1"/>
  <c r="N32" i="34"/>
  <c r="M32" i="34" a="1"/>
  <c r="M32" i="34"/>
  <c r="L32" i="34" a="1"/>
  <c r="L32" i="34"/>
  <c r="K32" i="34" a="1"/>
  <c r="K32" i="34"/>
  <c r="J32" i="34" a="1"/>
  <c r="J32" i="34"/>
  <c r="I32" i="34" a="1"/>
  <c r="I32" i="34"/>
  <c r="H32" i="34" a="1"/>
  <c r="H32" i="34"/>
  <c r="G32" i="34" a="1"/>
  <c r="G32" i="34"/>
  <c r="E32" i="34" a="1"/>
  <c r="E32" i="34"/>
  <c r="D32" i="34" a="1"/>
  <c r="D32" i="34"/>
  <c r="V31" i="34" a="1"/>
  <c r="V31" i="34"/>
  <c r="U31" i="34" a="1"/>
  <c r="U31" i="34"/>
  <c r="T31" i="34" a="1"/>
  <c r="T31" i="34"/>
  <c r="O31" i="34" a="1"/>
  <c r="O31" i="34"/>
  <c r="N31" i="34" a="1"/>
  <c r="N31" i="34"/>
  <c r="M31" i="34" a="1"/>
  <c r="M31" i="34"/>
  <c r="L31" i="34" a="1"/>
  <c r="L31" i="34"/>
  <c r="K31" i="34" a="1"/>
  <c r="K31" i="34"/>
  <c r="J31" i="34" a="1"/>
  <c r="J31" i="34"/>
  <c r="I31" i="34" a="1"/>
  <c r="I31" i="34"/>
  <c r="H31" i="34" a="1"/>
  <c r="H31" i="34"/>
  <c r="G31" i="34" a="1"/>
  <c r="G31" i="34"/>
  <c r="E31" i="34" a="1"/>
  <c r="E31" i="34"/>
  <c r="D31" i="34" a="1"/>
  <c r="D31" i="34"/>
  <c r="V30" i="34" a="1"/>
  <c r="V30" i="34"/>
  <c r="U30" i="34" a="1"/>
  <c r="U30" i="34"/>
  <c r="T30" i="34" a="1"/>
  <c r="T30" i="34"/>
  <c r="O30" i="34" a="1"/>
  <c r="O30" i="34"/>
  <c r="N30" i="34" a="1"/>
  <c r="N30" i="34"/>
  <c r="M30" i="34" a="1"/>
  <c r="M30" i="34"/>
  <c r="L30" i="34" a="1"/>
  <c r="L30" i="34"/>
  <c r="K30" i="34" a="1"/>
  <c r="K30" i="34"/>
  <c r="J30" i="34" a="1"/>
  <c r="J30" i="34"/>
  <c r="I30" i="34" a="1"/>
  <c r="I30" i="34"/>
  <c r="H30" i="34" a="1"/>
  <c r="H30" i="34"/>
  <c r="G30" i="34" a="1"/>
  <c r="G30" i="34"/>
  <c r="E30" i="34" a="1"/>
  <c r="E30" i="34"/>
  <c r="D30" i="34" a="1"/>
  <c r="D30" i="34"/>
  <c r="V29" i="34" a="1"/>
  <c r="V29" i="34"/>
  <c r="U29" i="34" a="1"/>
  <c r="U29" i="34"/>
  <c r="T29" i="34" a="1"/>
  <c r="T29" i="34"/>
  <c r="O29" i="34" a="1"/>
  <c r="O29" i="34"/>
  <c r="N29" i="34" a="1"/>
  <c r="N29" i="34"/>
  <c r="M29" i="34" a="1"/>
  <c r="M29" i="34"/>
  <c r="L29" i="34" a="1"/>
  <c r="L29" i="34"/>
  <c r="K29" i="34" a="1"/>
  <c r="K29" i="34"/>
  <c r="J29" i="34" a="1"/>
  <c r="J29" i="34"/>
  <c r="I29" i="34" a="1"/>
  <c r="I29" i="34"/>
  <c r="H29" i="34" a="1"/>
  <c r="H29" i="34"/>
  <c r="G29" i="34" a="1"/>
  <c r="G29" i="34"/>
  <c r="E29" i="34" a="1"/>
  <c r="E29" i="34"/>
  <c r="D29" i="34" a="1"/>
  <c r="D29" i="34"/>
  <c r="V28" i="34" a="1"/>
  <c r="V28" i="34"/>
  <c r="U28" i="34" a="1"/>
  <c r="U28" i="34"/>
  <c r="T28" i="34" a="1"/>
  <c r="T28" i="34"/>
  <c r="O28" i="34" a="1"/>
  <c r="O28" i="34"/>
  <c r="N28" i="34" a="1"/>
  <c r="N28" i="34"/>
  <c r="M28" i="34" a="1"/>
  <c r="M28" i="34"/>
  <c r="L28" i="34" a="1"/>
  <c r="L28" i="34"/>
  <c r="K28" i="34" a="1"/>
  <c r="K28" i="34"/>
  <c r="J28" i="34" a="1"/>
  <c r="J28" i="34"/>
  <c r="I28" i="34" a="1"/>
  <c r="I28" i="34"/>
  <c r="H28" i="34" a="1"/>
  <c r="H28" i="34"/>
  <c r="G28" i="34" a="1"/>
  <c r="G28" i="34"/>
  <c r="E28" i="34" a="1"/>
  <c r="E28" i="34"/>
  <c r="D28" i="34" a="1"/>
  <c r="D28" i="34"/>
  <c r="V26" i="34" a="1"/>
  <c r="V26" i="34"/>
  <c r="U26" i="34" a="1"/>
  <c r="U26" i="34"/>
  <c r="T26" i="34" a="1"/>
  <c r="T26" i="34"/>
  <c r="O26" i="34" a="1"/>
  <c r="O26" i="34"/>
  <c r="N26" i="34" a="1"/>
  <c r="N26" i="34"/>
  <c r="M26" i="34" a="1"/>
  <c r="M26" i="34"/>
  <c r="L26" i="34" a="1"/>
  <c r="L26" i="34"/>
  <c r="K26" i="34" a="1"/>
  <c r="K26" i="34"/>
  <c r="J26" i="34" a="1"/>
  <c r="J26" i="34"/>
  <c r="I26" i="34" a="1"/>
  <c r="I26" i="34"/>
  <c r="H26" i="34" a="1"/>
  <c r="H26" i="34"/>
  <c r="G26" i="34" a="1"/>
  <c r="G26" i="34"/>
  <c r="E26" i="34" a="1"/>
  <c r="E26" i="34"/>
  <c r="D26" i="34" a="1"/>
  <c r="D26" i="34"/>
  <c r="V25" i="34" a="1"/>
  <c r="V25" i="34"/>
  <c r="U25" i="34" a="1"/>
  <c r="U25" i="34"/>
  <c r="T25" i="34" a="1"/>
  <c r="T25" i="34"/>
  <c r="O25" i="34" a="1"/>
  <c r="O25" i="34"/>
  <c r="N25" i="34" a="1"/>
  <c r="N25" i="34"/>
  <c r="M25" i="34" a="1"/>
  <c r="M25" i="34"/>
  <c r="L25" i="34" a="1"/>
  <c r="L25" i="34"/>
  <c r="K25" i="34" a="1"/>
  <c r="K25" i="34"/>
  <c r="J25" i="34" a="1"/>
  <c r="J25" i="34"/>
  <c r="I25" i="34" a="1"/>
  <c r="I25" i="34"/>
  <c r="H25" i="34" a="1"/>
  <c r="H25" i="34"/>
  <c r="G25" i="34" a="1"/>
  <c r="G25" i="34"/>
  <c r="E25" i="34" a="1"/>
  <c r="E25" i="34"/>
  <c r="D25" i="34" a="1"/>
  <c r="D25" i="34"/>
  <c r="V24" i="34" a="1"/>
  <c r="V24" i="34"/>
  <c r="U24" i="34" a="1"/>
  <c r="U24" i="34"/>
  <c r="T24" i="34" a="1"/>
  <c r="T24" i="34"/>
  <c r="O24" i="34" a="1"/>
  <c r="O24" i="34"/>
  <c r="N24" i="34" a="1"/>
  <c r="N24" i="34"/>
  <c r="M24" i="34" a="1"/>
  <c r="M24" i="34"/>
  <c r="L24" i="34" a="1"/>
  <c r="L24" i="34"/>
  <c r="K24" i="34" a="1"/>
  <c r="K24" i="34"/>
  <c r="J24" i="34" a="1"/>
  <c r="J24" i="34"/>
  <c r="I24" i="34" a="1"/>
  <c r="I24" i="34"/>
  <c r="H24" i="34" a="1"/>
  <c r="H24" i="34"/>
  <c r="G24" i="34" a="1"/>
  <c r="G24" i="34"/>
  <c r="E24" i="34" a="1"/>
  <c r="E24" i="34"/>
  <c r="D24" i="34" a="1"/>
  <c r="D24" i="34"/>
  <c r="V23" i="34" a="1"/>
  <c r="V23" i="34"/>
  <c r="U23" i="34" a="1"/>
  <c r="U23" i="34"/>
  <c r="T23" i="34" a="1"/>
  <c r="T23" i="34"/>
  <c r="O23" i="34" a="1"/>
  <c r="O23" i="34"/>
  <c r="N23" i="34" a="1"/>
  <c r="N23" i="34"/>
  <c r="M23" i="34" a="1"/>
  <c r="M23" i="34"/>
  <c r="L23" i="34" a="1"/>
  <c r="L23" i="34"/>
  <c r="K23" i="34" a="1"/>
  <c r="K23" i="34"/>
  <c r="J23" i="34" a="1"/>
  <c r="J23" i="34"/>
  <c r="I23" i="34" a="1"/>
  <c r="I23" i="34"/>
  <c r="H23" i="34" a="1"/>
  <c r="H23" i="34"/>
  <c r="G23" i="34" a="1"/>
  <c r="G23" i="34"/>
  <c r="E23" i="34" a="1"/>
  <c r="E23" i="34"/>
  <c r="D23" i="34" a="1"/>
  <c r="D23" i="34"/>
  <c r="V22" i="34" a="1"/>
  <c r="V22" i="34"/>
  <c r="U22" i="34" a="1"/>
  <c r="U22" i="34"/>
  <c r="T22" i="34" a="1"/>
  <c r="T22" i="34"/>
  <c r="O22" i="34" a="1"/>
  <c r="O22" i="34"/>
  <c r="N22" i="34" a="1"/>
  <c r="N22" i="34"/>
  <c r="M22" i="34" a="1"/>
  <c r="M22" i="34"/>
  <c r="L22" i="34" a="1"/>
  <c r="L22" i="34"/>
  <c r="K22" i="34" a="1"/>
  <c r="K22" i="34"/>
  <c r="J22" i="34" a="1"/>
  <c r="J22" i="34"/>
  <c r="I22" i="34" a="1"/>
  <c r="I22" i="34"/>
  <c r="H22" i="34" a="1"/>
  <c r="H22" i="34"/>
  <c r="G22" i="34" a="1"/>
  <c r="G22" i="34"/>
  <c r="E22" i="34" a="1"/>
  <c r="E22" i="34"/>
  <c r="D22" i="34" a="1"/>
  <c r="D22" i="34"/>
  <c r="V20" i="34" a="1"/>
  <c r="V20" i="34"/>
  <c r="U20" i="34" a="1"/>
  <c r="U20" i="34"/>
  <c r="T20" i="34" a="1"/>
  <c r="T20" i="34"/>
  <c r="N20" i="34" a="1"/>
  <c r="N20" i="34"/>
  <c r="M20" i="34" a="1"/>
  <c r="M20" i="34"/>
  <c r="L20" i="34" a="1"/>
  <c r="L20" i="34"/>
  <c r="K20" i="34" a="1"/>
  <c r="K20" i="34"/>
  <c r="J20" i="34" a="1"/>
  <c r="J20" i="34"/>
  <c r="I20" i="34" a="1"/>
  <c r="I20" i="34"/>
  <c r="H20" i="34" a="1"/>
  <c r="H20" i="34"/>
  <c r="G20" i="34" a="1"/>
  <c r="G20" i="34"/>
  <c r="E20" i="34" a="1"/>
  <c r="E20" i="34"/>
  <c r="V19" i="34" a="1"/>
  <c r="V19" i="34"/>
  <c r="U19" i="34" a="1"/>
  <c r="U19" i="34"/>
  <c r="T19" i="34" a="1"/>
  <c r="T19" i="34"/>
  <c r="N19" i="34" a="1"/>
  <c r="N19" i="34"/>
  <c r="M19" i="34" a="1"/>
  <c r="M19" i="34"/>
  <c r="L19" i="34" a="1"/>
  <c r="L19" i="34"/>
  <c r="K19" i="34" a="1"/>
  <c r="K19" i="34"/>
  <c r="J19" i="34" a="1"/>
  <c r="J19" i="34"/>
  <c r="I19" i="34" a="1"/>
  <c r="I19" i="34"/>
  <c r="H19" i="34" a="1"/>
  <c r="H19" i="34"/>
  <c r="G19" i="34" a="1"/>
  <c r="G19" i="34"/>
  <c r="E19" i="34" a="1"/>
  <c r="E19" i="34"/>
  <c r="V18" i="34" a="1"/>
  <c r="V18" i="34"/>
  <c r="U18" i="34" a="1"/>
  <c r="U18" i="34"/>
  <c r="T18" i="34" a="1"/>
  <c r="T18" i="34"/>
  <c r="N18" i="34" a="1"/>
  <c r="N18" i="34"/>
  <c r="M18" i="34" a="1"/>
  <c r="M18" i="34"/>
  <c r="L18" i="34" a="1"/>
  <c r="L18" i="34"/>
  <c r="K18" i="34" a="1"/>
  <c r="K18" i="34"/>
  <c r="J18" i="34" a="1"/>
  <c r="J18" i="34"/>
  <c r="I18" i="34" a="1"/>
  <c r="I18" i="34"/>
  <c r="H18" i="34" a="1"/>
  <c r="H18" i="34"/>
  <c r="G18" i="34" a="1"/>
  <c r="G18" i="34"/>
  <c r="E18" i="34" a="1"/>
  <c r="E18" i="34"/>
  <c r="V17" i="34" a="1"/>
  <c r="V17" i="34"/>
  <c r="U17" i="34" a="1"/>
  <c r="U17" i="34"/>
  <c r="T17" i="34" a="1"/>
  <c r="T17" i="34"/>
  <c r="N17" i="34" a="1"/>
  <c r="N17" i="34"/>
  <c r="M17" i="34" a="1"/>
  <c r="M17" i="34"/>
  <c r="L17" i="34" a="1"/>
  <c r="L17" i="34"/>
  <c r="K17" i="34" a="1"/>
  <c r="K17" i="34"/>
  <c r="J17" i="34" a="1"/>
  <c r="J17" i="34"/>
  <c r="I17" i="34" a="1"/>
  <c r="I17" i="34"/>
  <c r="H17" i="34" a="1"/>
  <c r="H17" i="34" s="1"/>
  <c r="G17" i="34" a="1"/>
  <c r="G17" i="34"/>
  <c r="E17" i="34" a="1"/>
  <c r="E17" i="34"/>
  <c r="V16" i="34" a="1"/>
  <c r="V16" i="34"/>
  <c r="U16" i="34" a="1"/>
  <c r="U16" i="34"/>
  <c r="T16" i="34" a="1"/>
  <c r="T16" i="34"/>
  <c r="N16" i="34" a="1"/>
  <c r="N16" i="34"/>
  <c r="M16" i="34" a="1"/>
  <c r="M16" i="34"/>
  <c r="L16" i="34" a="1"/>
  <c r="L16" i="34"/>
  <c r="K16" i="34" a="1"/>
  <c r="K16" i="34"/>
  <c r="J16" i="34" a="1"/>
  <c r="J16" i="34"/>
  <c r="I16" i="34" a="1"/>
  <c r="I16" i="34"/>
  <c r="H16" i="34" a="1"/>
  <c r="H16" i="34"/>
  <c r="G16" i="34" a="1"/>
  <c r="G16" i="34"/>
  <c r="E16" i="34" a="1"/>
  <c r="E16" i="34"/>
  <c r="D16" i="34" a="1"/>
  <c r="D16" i="34" s="1"/>
  <c r="G67" i="39"/>
  <c r="S381" i="34" s="1"/>
  <c r="V29" i="36" s="1"/>
  <c r="D66" i="39"/>
  <c r="D88" i="39" s="1"/>
  <c r="F64" i="39"/>
  <c r="R363" i="34" s="1"/>
  <c r="N60" i="36" s="1"/>
  <c r="C63" i="39"/>
  <c r="E61" i="39"/>
  <c r="Q345" i="34" s="1"/>
  <c r="F26" i="36" s="1"/>
  <c r="G59" i="39"/>
  <c r="S333" i="34" s="1"/>
  <c r="V20" i="36" s="1"/>
  <c r="D58" i="39"/>
  <c r="F56" i="39"/>
  <c r="R315" i="34" s="1"/>
  <c r="N17" i="36" s="1"/>
  <c r="C55" i="39"/>
  <c r="E53" i="39"/>
  <c r="Q297" i="34" s="1"/>
  <c r="F57" i="36" s="1"/>
  <c r="G51" i="39"/>
  <c r="S285" i="34" s="1"/>
  <c r="V55" i="36" s="1"/>
  <c r="D50" i="39"/>
  <c r="F48" i="39"/>
  <c r="R267" i="34" s="1"/>
  <c r="N52" i="36" s="1"/>
  <c r="C47" i="39"/>
  <c r="E45" i="39"/>
  <c r="Q249" i="34" s="1"/>
  <c r="F49" i="36" s="1"/>
  <c r="G43" i="39"/>
  <c r="S237" i="34" s="1"/>
  <c r="V28" i="36" s="1"/>
  <c r="D42" i="39"/>
  <c r="F40" i="39"/>
  <c r="R219" i="34" s="1"/>
  <c r="N19" i="36" s="1"/>
  <c r="C39" i="39"/>
  <c r="E37" i="39"/>
  <c r="Q201" i="34" s="1"/>
  <c r="F18" i="36" s="1"/>
  <c r="G35" i="39"/>
  <c r="S189" i="34" s="1"/>
  <c r="V10" i="36" s="1"/>
  <c r="D34" i="39"/>
  <c r="F32" i="39"/>
  <c r="R171" i="34" s="1"/>
  <c r="N9" i="36" s="1"/>
  <c r="C31" i="39"/>
  <c r="E29" i="39"/>
  <c r="Q153" i="34" s="1"/>
  <c r="F7" i="36" s="1"/>
  <c r="G27" i="39"/>
  <c r="S141" i="34" s="1"/>
  <c r="V44" i="36" s="1"/>
  <c r="D26" i="39"/>
  <c r="F24" i="39"/>
  <c r="R123" i="34" s="1"/>
  <c r="N38" i="36" s="1"/>
  <c r="C23" i="39"/>
  <c r="E21" i="39"/>
  <c r="Q105" i="34" s="1"/>
  <c r="F42" i="36" s="1"/>
  <c r="G19" i="39"/>
  <c r="S93" i="34" s="1"/>
  <c r="V37" i="36" s="1"/>
  <c r="D18" i="39"/>
  <c r="F16" i="39"/>
  <c r="R75" i="34" s="1"/>
  <c r="N6" i="36" s="1"/>
  <c r="C15" i="39"/>
  <c r="D10" i="39"/>
  <c r="C7" i="39"/>
  <c r="C76" i="39" s="1"/>
  <c r="F67" i="39"/>
  <c r="R381" i="34" s="1"/>
  <c r="N29" i="36" s="1"/>
  <c r="C66" i="39"/>
  <c r="C88" i="39" s="1"/>
  <c r="E64" i="39"/>
  <c r="Q363" i="34" s="1"/>
  <c r="F60" i="36" s="1"/>
  <c r="G62" i="39"/>
  <c r="S351" i="34" s="1"/>
  <c r="V58" i="36" s="1"/>
  <c r="D61" i="39"/>
  <c r="F59" i="39"/>
  <c r="R333" i="34" s="1"/>
  <c r="N20" i="36" s="1"/>
  <c r="C58" i="39"/>
  <c r="E56" i="39"/>
  <c r="Q315" i="34" s="1"/>
  <c r="F17" i="36" s="1"/>
  <c r="G54" i="39"/>
  <c r="S303" i="34" s="1"/>
  <c r="V62" i="36" s="1"/>
  <c r="D53" i="39"/>
  <c r="F51" i="39"/>
  <c r="R285" i="34" s="1"/>
  <c r="N55" i="36" s="1"/>
  <c r="C50" i="39"/>
  <c r="E48" i="39"/>
  <c r="Q267" i="34" s="1"/>
  <c r="F52" i="36" s="1"/>
  <c r="G46" i="39"/>
  <c r="S255" i="34" s="1"/>
  <c r="V50" i="36" s="1"/>
  <c r="D45" i="39"/>
  <c r="F43" i="39"/>
  <c r="R237" i="34" s="1"/>
  <c r="N28" i="36" s="1"/>
  <c r="C42" i="39"/>
  <c r="E40" i="39"/>
  <c r="Q219" i="34" s="1"/>
  <c r="F19" i="36" s="1"/>
  <c r="G38" i="39"/>
  <c r="S207" i="34" s="1"/>
  <c r="V21" i="36" s="1"/>
  <c r="D37" i="39"/>
  <c r="F35" i="39"/>
  <c r="R189" i="34" s="1"/>
  <c r="N10" i="36" s="1"/>
  <c r="C34" i="39"/>
  <c r="E32" i="39"/>
  <c r="Q171" i="34" s="1"/>
  <c r="F9" i="36" s="1"/>
  <c r="G30" i="39"/>
  <c r="S159" i="34" s="1"/>
  <c r="V8" i="36" s="1"/>
  <c r="D29" i="39"/>
  <c r="F27" i="39"/>
  <c r="R141" i="34" s="1"/>
  <c r="N44" i="36" s="1"/>
  <c r="C26" i="39"/>
  <c r="E24" i="39"/>
  <c r="Q123" i="34" s="1"/>
  <c r="F38" i="36" s="1"/>
  <c r="G22" i="39"/>
  <c r="S111" i="34" s="1"/>
  <c r="V41" i="36" s="1"/>
  <c r="D21" i="39"/>
  <c r="F19" i="39"/>
  <c r="R93" i="34" s="1"/>
  <c r="N37" i="36" s="1"/>
  <c r="C18" i="39"/>
  <c r="E16" i="39"/>
  <c r="Q75" i="34" s="1"/>
  <c r="F6" i="36" s="1"/>
  <c r="D13" i="39"/>
  <c r="C10" i="39"/>
  <c r="F61" i="39"/>
  <c r="R345" i="34" s="1"/>
  <c r="N26" i="36" s="1"/>
  <c r="E67" i="39"/>
  <c r="G65" i="39"/>
  <c r="S369" i="34" s="1"/>
  <c r="V61" i="36" s="1"/>
  <c r="D64" i="39"/>
  <c r="F62" i="39"/>
  <c r="R351" i="34" s="1"/>
  <c r="N58" i="36" s="1"/>
  <c r="C61" i="39"/>
  <c r="E59" i="39"/>
  <c r="Q333" i="34" s="1"/>
  <c r="F20" i="36" s="1"/>
  <c r="G57" i="39"/>
  <c r="S321" i="34" s="1"/>
  <c r="V11" i="36" s="1"/>
  <c r="D56" i="39"/>
  <c r="F54" i="39"/>
  <c r="R303" i="34" s="1"/>
  <c r="N62" i="36" s="1"/>
  <c r="C53" i="39"/>
  <c r="E51" i="39"/>
  <c r="Q285" i="34" s="1"/>
  <c r="F55" i="36" s="1"/>
  <c r="G49" i="39"/>
  <c r="S273" i="34" s="1"/>
  <c r="V53" i="36" s="1"/>
  <c r="D48" i="39"/>
  <c r="F46" i="39"/>
  <c r="R255" i="34" s="1"/>
  <c r="N50" i="36" s="1"/>
  <c r="C45" i="39"/>
  <c r="E43" i="39"/>
  <c r="G41" i="39"/>
  <c r="S225" i="34" s="1"/>
  <c r="V22" i="36" s="1"/>
  <c r="D40" i="39"/>
  <c r="F38" i="39"/>
  <c r="R207" i="34" s="1"/>
  <c r="N21" i="36" s="1"/>
  <c r="C37" i="39"/>
  <c r="E35" i="39"/>
  <c r="G33" i="39"/>
  <c r="S177" i="34" s="1"/>
  <c r="V12" i="36" s="1"/>
  <c r="D32" i="39"/>
  <c r="F30" i="39"/>
  <c r="R159" i="34" s="1"/>
  <c r="N8" i="36" s="1"/>
  <c r="C29" i="39"/>
  <c r="E27" i="39"/>
  <c r="G25" i="39"/>
  <c r="S129" i="34" s="1"/>
  <c r="V40" i="36" s="1"/>
  <c r="D24" i="39"/>
  <c r="F22" i="39"/>
  <c r="R111" i="34" s="1"/>
  <c r="N41" i="36" s="1"/>
  <c r="C21" i="39"/>
  <c r="E19" i="39"/>
  <c r="G17" i="39"/>
  <c r="D16" i="39"/>
  <c r="C13" i="39"/>
  <c r="D8" i="39"/>
  <c r="D67" i="39"/>
  <c r="F65" i="39"/>
  <c r="C64" i="39"/>
  <c r="E62" i="39"/>
  <c r="G60" i="39"/>
  <c r="S339" i="34" s="1"/>
  <c r="V23" i="36" s="1"/>
  <c r="D59" i="39"/>
  <c r="F57" i="39"/>
  <c r="C56" i="39"/>
  <c r="E54" i="39"/>
  <c r="E55" i="39"/>
  <c r="G52" i="39"/>
  <c r="S291" i="34" s="1"/>
  <c r="V56" i="36" s="1"/>
  <c r="D51" i="39"/>
  <c r="F49" i="39"/>
  <c r="R273" i="34" s="1"/>
  <c r="N53" i="36" s="1"/>
  <c r="D49" i="39"/>
  <c r="E49" i="39"/>
  <c r="Q273" i="34" s="1"/>
  <c r="F53" i="36" s="1"/>
  <c r="C48" i="39"/>
  <c r="E46" i="39"/>
  <c r="Q255" i="34" s="1"/>
  <c r="F50" i="36" s="1"/>
  <c r="G44" i="39"/>
  <c r="S243" i="34" s="1"/>
  <c r="V48" i="36" s="1"/>
  <c r="D43" i="39"/>
  <c r="F41" i="39"/>
  <c r="R225" i="34" s="1"/>
  <c r="N22" i="36" s="1"/>
  <c r="C40" i="39"/>
  <c r="E38" i="39"/>
  <c r="Q207" i="34" s="1"/>
  <c r="F21" i="36" s="1"/>
  <c r="G36" i="39"/>
  <c r="S195" i="34" s="1"/>
  <c r="V13" i="36" s="1"/>
  <c r="D35" i="39"/>
  <c r="F33" i="39"/>
  <c r="R177" i="34" s="1"/>
  <c r="N12" i="36" s="1"/>
  <c r="C32" i="39"/>
  <c r="E30" i="39"/>
  <c r="Q159" i="34" s="1"/>
  <c r="F8" i="36" s="1"/>
  <c r="G28" i="39"/>
  <c r="S147" i="34" s="1"/>
  <c r="V45" i="36" s="1"/>
  <c r="D27" i="39"/>
  <c r="F25" i="39"/>
  <c r="R129" i="34" s="1"/>
  <c r="N40" i="36" s="1"/>
  <c r="C24" i="39"/>
  <c r="E22" i="39"/>
  <c r="G20" i="39"/>
  <c r="S99" i="34" s="1"/>
  <c r="V39" i="36" s="1"/>
  <c r="D19" i="39"/>
  <c r="F17" i="39"/>
  <c r="C16" i="39"/>
  <c r="D11" i="39"/>
  <c r="C8" i="39"/>
  <c r="C60" i="39"/>
  <c r="C67" i="39"/>
  <c r="E65" i="39"/>
  <c r="Q369" i="34" s="1"/>
  <c r="F61" i="36" s="1"/>
  <c r="G63" i="39"/>
  <c r="S357" i="34" s="1"/>
  <c r="V59" i="36" s="1"/>
  <c r="D62" i="39"/>
  <c r="F60" i="39"/>
  <c r="R339" i="34" s="1"/>
  <c r="N23" i="36" s="1"/>
  <c r="C59" i="39"/>
  <c r="E57" i="39"/>
  <c r="Q321" i="34" s="1"/>
  <c r="F11" i="36" s="1"/>
  <c r="G55" i="39"/>
  <c r="D54" i="39"/>
  <c r="D55" i="39"/>
  <c r="F52" i="39"/>
  <c r="R291" i="34" s="1"/>
  <c r="N56" i="36" s="1"/>
  <c r="C51" i="39"/>
  <c r="G47" i="39"/>
  <c r="S261" i="34" s="1"/>
  <c r="V51" i="36" s="1"/>
  <c r="D46" i="39"/>
  <c r="F44" i="39"/>
  <c r="R243" i="34" s="1"/>
  <c r="N48" i="36" s="1"/>
  <c r="C43" i="39"/>
  <c r="E41" i="39"/>
  <c r="Q225" i="34" s="1"/>
  <c r="F22" i="36" s="1"/>
  <c r="G39" i="39"/>
  <c r="S213" i="34" s="1"/>
  <c r="V24" i="36" s="1"/>
  <c r="D38" i="39"/>
  <c r="F36" i="39"/>
  <c r="R195" i="34" s="1"/>
  <c r="N13" i="36" s="1"/>
  <c r="C35" i="39"/>
  <c r="E33" i="39"/>
  <c r="Q177" i="34" s="1"/>
  <c r="F12" i="36" s="1"/>
  <c r="G31" i="39"/>
  <c r="S165" i="34" s="1"/>
  <c r="V15" i="36" s="1"/>
  <c r="D30" i="39"/>
  <c r="F28" i="39"/>
  <c r="C27" i="39"/>
  <c r="C28" i="39"/>
  <c r="E25" i="39"/>
  <c r="Q129" i="34" s="1"/>
  <c r="F40" i="36" s="1"/>
  <c r="D25" i="39"/>
  <c r="G23" i="39"/>
  <c r="D22" i="39"/>
  <c r="F20" i="39"/>
  <c r="R99" i="34" s="1"/>
  <c r="N39" i="36" s="1"/>
  <c r="C19" i="39"/>
  <c r="E17" i="39"/>
  <c r="Q81" i="34" s="1"/>
  <c r="F27" i="36" s="1"/>
  <c r="D17" i="39"/>
  <c r="G15" i="39"/>
  <c r="S69" i="34" s="1"/>
  <c r="V5" i="36" s="1"/>
  <c r="G16" i="39"/>
  <c r="G18" i="39"/>
  <c r="S87" i="34" s="1"/>
  <c r="V46" i="36" s="1"/>
  <c r="G21" i="39"/>
  <c r="G24" i="39"/>
  <c r="S123" i="34" s="1"/>
  <c r="V38" i="36" s="1"/>
  <c r="G26" i="39"/>
  <c r="S135" i="34" s="1"/>
  <c r="V43" i="36" s="1"/>
  <c r="D14" i="39"/>
  <c r="C11" i="39"/>
  <c r="G64" i="39"/>
  <c r="G56" i="39"/>
  <c r="S315" i="34" s="1"/>
  <c r="V17" i="36" s="1"/>
  <c r="F53" i="39"/>
  <c r="E50" i="39"/>
  <c r="Q279" i="34" s="1"/>
  <c r="F54" i="36" s="1"/>
  <c r="D47" i="39"/>
  <c r="C44" i="39"/>
  <c r="G40" i="39"/>
  <c r="S219" i="34" s="1"/>
  <c r="V19" i="36" s="1"/>
  <c r="C36" i="39"/>
  <c r="G32" i="39"/>
  <c r="S171" i="34" s="1"/>
  <c r="V9" i="36" s="1"/>
  <c r="F29" i="39"/>
  <c r="G29" i="39"/>
  <c r="S153" i="34" s="1"/>
  <c r="V7" i="36" s="1"/>
  <c r="F21" i="39"/>
  <c r="R105" i="34" s="1"/>
  <c r="N42" i="36" s="1"/>
  <c r="G66" i="39"/>
  <c r="D65" i="39"/>
  <c r="F63" i="39"/>
  <c r="R357" i="34" s="1"/>
  <c r="N59" i="36" s="1"/>
  <c r="C62" i="39"/>
  <c r="E60" i="39"/>
  <c r="G58" i="39"/>
  <c r="S327" i="34" s="1"/>
  <c r="V14" i="36" s="1"/>
  <c r="D57" i="39"/>
  <c r="F55" i="39"/>
  <c r="R309" i="34" s="1"/>
  <c r="N63" i="36" s="1"/>
  <c r="C54" i="39"/>
  <c r="E52" i="39"/>
  <c r="Q291" i="34" s="1"/>
  <c r="F56" i="36" s="1"/>
  <c r="G50" i="39"/>
  <c r="S279" i="34" s="1"/>
  <c r="V54" i="36" s="1"/>
  <c r="F47" i="39"/>
  <c r="C46" i="39"/>
  <c r="E44" i="39"/>
  <c r="Q243" i="34" s="1"/>
  <c r="F48" i="36" s="1"/>
  <c r="E47" i="39"/>
  <c r="Q261" i="34" s="1"/>
  <c r="F51" i="36" s="1"/>
  <c r="G42" i="39"/>
  <c r="S231" i="34" s="1"/>
  <c r="V25" i="36" s="1"/>
  <c r="D41" i="39"/>
  <c r="F39" i="39"/>
  <c r="C38" i="39"/>
  <c r="E36" i="39"/>
  <c r="Q195" i="34" s="1"/>
  <c r="F13" i="36" s="1"/>
  <c r="G34" i="39"/>
  <c r="S183" i="34" s="1"/>
  <c r="V16" i="36" s="1"/>
  <c r="D33" i="39"/>
  <c r="D31" i="39"/>
  <c r="D36" i="39"/>
  <c r="F31" i="39"/>
  <c r="R165" i="34" s="1"/>
  <c r="N15" i="36" s="1"/>
  <c r="C30" i="39"/>
  <c r="E28" i="39"/>
  <c r="Q147" i="34" s="1"/>
  <c r="F45" i="36" s="1"/>
  <c r="F23" i="39"/>
  <c r="C22" i="39"/>
  <c r="E20" i="39"/>
  <c r="Q99" i="34" s="1"/>
  <c r="F39" i="36" s="1"/>
  <c r="F15" i="39"/>
  <c r="R69" i="34" s="1"/>
  <c r="N5" i="36" s="1"/>
  <c r="C14" i="39"/>
  <c r="D9" i="39"/>
  <c r="D63" i="39"/>
  <c r="F37" i="39"/>
  <c r="R201" i="34" s="1"/>
  <c r="N18" i="36" s="1"/>
  <c r="E26" i="39"/>
  <c r="Q135" i="34" s="1"/>
  <c r="F43" i="36" s="1"/>
  <c r="F26" i="39"/>
  <c r="E18" i="39"/>
  <c r="Q87" i="34" s="1"/>
  <c r="F46" i="36" s="1"/>
  <c r="F66" i="39"/>
  <c r="R375" i="34" s="1"/>
  <c r="N64" i="36" s="1"/>
  <c r="C65" i="39"/>
  <c r="E63" i="39"/>
  <c r="G61" i="39"/>
  <c r="S345" i="34" s="1"/>
  <c r="V26" i="36" s="1"/>
  <c r="D60" i="39"/>
  <c r="F58" i="39"/>
  <c r="R327" i="34" s="1"/>
  <c r="N14" i="36" s="1"/>
  <c r="C57" i="39"/>
  <c r="G53" i="39"/>
  <c r="S297" i="34" s="1"/>
  <c r="V57" i="36" s="1"/>
  <c r="D52" i="39"/>
  <c r="F50" i="39"/>
  <c r="R279" i="34" s="1"/>
  <c r="N54" i="36" s="1"/>
  <c r="C49" i="39"/>
  <c r="G45" i="39"/>
  <c r="S249" i="34" s="1"/>
  <c r="V49" i="36" s="1"/>
  <c r="D44" i="39"/>
  <c r="F42" i="39"/>
  <c r="C41" i="39"/>
  <c r="E39" i="39"/>
  <c r="Q213" i="34" s="1"/>
  <c r="F24" i="36" s="1"/>
  <c r="G37" i="39"/>
  <c r="S201" i="34" s="1"/>
  <c r="V18" i="36" s="1"/>
  <c r="F34" i="39"/>
  <c r="R183" i="34" s="1"/>
  <c r="N16" i="36" s="1"/>
  <c r="C33" i="39"/>
  <c r="E31" i="39"/>
  <c r="Q165" i="34" s="1"/>
  <c r="F15" i="36" s="1"/>
  <c r="E34" i="39"/>
  <c r="Q183" i="34" s="1"/>
  <c r="F16" i="36" s="1"/>
  <c r="D28" i="39"/>
  <c r="C25" i="39"/>
  <c r="E23" i="39"/>
  <c r="D20" i="39"/>
  <c r="F18" i="39"/>
  <c r="R87" i="34" s="1"/>
  <c r="C17" i="39"/>
  <c r="E15" i="39"/>
  <c r="Q69" i="34" s="1"/>
  <c r="F5" i="36" s="1"/>
  <c r="D12" i="39"/>
  <c r="C9" i="39"/>
  <c r="E66" i="39"/>
  <c r="E88" i="39" s="1"/>
  <c r="E58" i="39"/>
  <c r="C52" i="39"/>
  <c r="G48" i="39"/>
  <c r="F45" i="39"/>
  <c r="R249" i="34" s="1"/>
  <c r="N49" i="36" s="1"/>
  <c r="E42" i="39"/>
  <c r="Q231" i="34" s="1"/>
  <c r="F25" i="36" s="1"/>
  <c r="D39" i="39"/>
  <c r="D23" i="39"/>
  <c r="C20" i="39"/>
  <c r="D15" i="39"/>
  <c r="C12" i="39"/>
  <c r="D7" i="39"/>
  <c r="D76" i="39" s="1"/>
  <c r="AO26" i="37"/>
  <c r="AP26" i="37"/>
  <c r="AP42" i="37"/>
  <c r="AW8" i="37"/>
  <c r="A67" i="36"/>
  <c r="A65" i="36"/>
  <c r="AU26" i="37"/>
  <c r="AT42" i="37"/>
  <c r="Y66" i="33"/>
  <c r="Y65" i="33"/>
  <c r="Y64" i="33"/>
  <c r="Y63" i="33"/>
  <c r="Y60" i="33"/>
  <c r="Y59" i="33"/>
  <c r="Y58" i="33"/>
  <c r="Y57" i="33"/>
  <c r="Y54" i="33"/>
  <c r="Y53" i="33"/>
  <c r="Y52" i="33"/>
  <c r="Y51" i="33"/>
  <c r="Y48" i="33"/>
  <c r="Y47" i="33"/>
  <c r="Y46" i="33"/>
  <c r="Y45" i="33"/>
  <c r="Y42" i="33"/>
  <c r="Y41" i="33"/>
  <c r="Y40" i="33"/>
  <c r="Y39" i="33"/>
  <c r="R66" i="33"/>
  <c r="R65" i="33"/>
  <c r="R64" i="33"/>
  <c r="R63" i="33"/>
  <c r="R60" i="33"/>
  <c r="R59" i="33"/>
  <c r="R58" i="33"/>
  <c r="R57" i="33"/>
  <c r="R54" i="33"/>
  <c r="R53" i="33"/>
  <c r="R52" i="33"/>
  <c r="R51" i="33"/>
  <c r="R48" i="33"/>
  <c r="R47" i="33"/>
  <c r="R46" i="33"/>
  <c r="R45" i="33"/>
  <c r="R42" i="33"/>
  <c r="R41" i="33"/>
  <c r="R40" i="33"/>
  <c r="R39" i="33"/>
  <c r="K42" i="33"/>
  <c r="K41" i="33"/>
  <c r="K40" i="33"/>
  <c r="K39" i="33"/>
  <c r="CC34" i="33"/>
  <c r="CC33" i="33"/>
  <c r="CC32" i="33"/>
  <c r="CC31" i="33"/>
  <c r="BV34" i="33"/>
  <c r="BV33" i="33"/>
  <c r="BV32" i="33"/>
  <c r="BV31" i="33"/>
  <c r="BO34" i="33"/>
  <c r="BO33" i="33"/>
  <c r="BO32" i="33"/>
  <c r="BO31" i="33"/>
  <c r="BH34" i="33"/>
  <c r="BH33" i="33"/>
  <c r="BH32" i="33"/>
  <c r="BH31" i="33"/>
  <c r="BA34" i="33"/>
  <c r="BA33" i="33"/>
  <c r="BA32" i="33"/>
  <c r="BA31" i="33"/>
  <c r="AT34" i="33"/>
  <c r="AT33" i="33"/>
  <c r="AT32" i="33"/>
  <c r="AT31" i="33"/>
  <c r="AM34" i="33"/>
  <c r="AM33" i="33"/>
  <c r="AM32" i="33"/>
  <c r="AM31" i="33"/>
  <c r="AF34" i="33"/>
  <c r="AF33" i="33"/>
  <c r="AF32" i="33"/>
  <c r="AF31" i="33"/>
  <c r="Y34" i="33"/>
  <c r="Y33" i="33"/>
  <c r="Y32" i="33"/>
  <c r="Y31" i="33"/>
  <c r="R34" i="33"/>
  <c r="R33" i="33"/>
  <c r="R32" i="33"/>
  <c r="R31" i="33"/>
  <c r="CC28" i="33"/>
  <c r="CC27" i="33"/>
  <c r="CC26" i="33"/>
  <c r="CC25" i="33"/>
  <c r="CC22" i="33"/>
  <c r="CC21" i="33"/>
  <c r="CC20" i="33"/>
  <c r="CC19" i="33"/>
  <c r="CC16" i="33"/>
  <c r="CC15" i="33"/>
  <c r="CC14" i="33"/>
  <c r="CC13" i="33"/>
  <c r="CC10" i="33"/>
  <c r="CC9" i="33"/>
  <c r="CC8" i="33"/>
  <c r="CC7" i="33"/>
  <c r="BV28" i="33"/>
  <c r="BV27" i="33"/>
  <c r="BV26" i="33"/>
  <c r="BV25" i="33"/>
  <c r="BV22" i="33"/>
  <c r="BV21" i="33"/>
  <c r="BV20" i="33"/>
  <c r="BV19" i="33"/>
  <c r="BV16" i="33"/>
  <c r="BV15" i="33"/>
  <c r="BV14" i="33"/>
  <c r="BV13" i="33"/>
  <c r="BV10" i="33"/>
  <c r="BV9" i="33"/>
  <c r="BV8" i="33"/>
  <c r="BV7" i="33"/>
  <c r="BO28" i="33"/>
  <c r="BO27" i="33"/>
  <c r="BO26" i="33"/>
  <c r="BO25" i="33"/>
  <c r="BO22" i="33"/>
  <c r="BO21" i="33"/>
  <c r="BO20" i="33"/>
  <c r="BO19" i="33"/>
  <c r="BO16" i="33"/>
  <c r="BO15" i="33"/>
  <c r="BO14" i="33"/>
  <c r="BO13" i="33"/>
  <c r="BO10" i="33"/>
  <c r="BO9" i="33"/>
  <c r="BO8" i="33"/>
  <c r="BO7" i="33"/>
  <c r="BH28" i="33"/>
  <c r="BH27" i="33"/>
  <c r="BH26" i="33"/>
  <c r="BH25" i="33"/>
  <c r="BH22" i="33"/>
  <c r="BH21" i="33"/>
  <c r="BH20" i="33"/>
  <c r="BH19" i="33"/>
  <c r="BH16" i="33"/>
  <c r="BH15" i="33"/>
  <c r="BH14" i="33"/>
  <c r="BH13" i="33"/>
  <c r="BH10" i="33"/>
  <c r="BH9" i="33"/>
  <c r="BH8" i="33"/>
  <c r="BH7" i="33"/>
  <c r="BA28" i="33"/>
  <c r="BA27" i="33"/>
  <c r="BA26" i="33"/>
  <c r="BA25" i="33"/>
  <c r="BA22" i="33"/>
  <c r="BA21" i="33"/>
  <c r="BA20" i="33"/>
  <c r="BA19" i="33"/>
  <c r="BA16" i="33"/>
  <c r="BA15" i="33"/>
  <c r="BA14" i="33"/>
  <c r="BA13" i="33"/>
  <c r="BA10" i="33"/>
  <c r="BA9" i="33"/>
  <c r="BA8" i="33"/>
  <c r="BA7" i="33"/>
  <c r="AT28" i="33"/>
  <c r="AT27" i="33"/>
  <c r="AT26" i="33"/>
  <c r="AT25" i="33"/>
  <c r="AT22" i="33"/>
  <c r="AT21" i="33"/>
  <c r="AT20" i="33"/>
  <c r="AT19" i="33"/>
  <c r="AT16" i="33"/>
  <c r="AT15" i="33"/>
  <c r="AT14" i="33"/>
  <c r="AT13" i="33"/>
  <c r="AT10" i="33"/>
  <c r="AT9" i="33"/>
  <c r="AT8" i="33"/>
  <c r="AT7" i="33"/>
  <c r="AM28" i="33"/>
  <c r="AM27" i="33"/>
  <c r="AM26" i="33"/>
  <c r="AM25" i="33"/>
  <c r="AM22" i="33"/>
  <c r="AM21" i="33"/>
  <c r="AM20" i="33"/>
  <c r="AM19" i="33"/>
  <c r="AM15" i="33"/>
  <c r="AM14" i="33"/>
  <c r="S6" i="40" s="1"/>
  <c r="AM10" i="33"/>
  <c r="AM9" i="33"/>
  <c r="AM8" i="33"/>
  <c r="AM11" i="33"/>
  <c r="AM7" i="33"/>
  <c r="AF28" i="33"/>
  <c r="AF27" i="33"/>
  <c r="AF26" i="33"/>
  <c r="AF25" i="33"/>
  <c r="AF22" i="33"/>
  <c r="AF21" i="33"/>
  <c r="AF20" i="33"/>
  <c r="AF19" i="33"/>
  <c r="AF16" i="33"/>
  <c r="AF15" i="33"/>
  <c r="AF14" i="33"/>
  <c r="AF13" i="33"/>
  <c r="AF10" i="33"/>
  <c r="AF9" i="33"/>
  <c r="AF8" i="33"/>
  <c r="AF7" i="33"/>
  <c r="Y28" i="33"/>
  <c r="Y27" i="33"/>
  <c r="Y26" i="33"/>
  <c r="Y25" i="33"/>
  <c r="Y22" i="33"/>
  <c r="Y21" i="33"/>
  <c r="Y20" i="33"/>
  <c r="Y19" i="33"/>
  <c r="Y16" i="33"/>
  <c r="Y15" i="33"/>
  <c r="Y14" i="33"/>
  <c r="Y13" i="33"/>
  <c r="Y10" i="33"/>
  <c r="Y9" i="33"/>
  <c r="Y8" i="33"/>
  <c r="R28" i="33"/>
  <c r="R27" i="33"/>
  <c r="R26" i="33"/>
  <c r="R25" i="33"/>
  <c r="R22" i="33"/>
  <c r="R21" i="33"/>
  <c r="R20" i="33"/>
  <c r="R19" i="33"/>
  <c r="R16" i="33"/>
  <c r="R15" i="33"/>
  <c r="R14" i="33"/>
  <c r="R13" i="33"/>
  <c r="R10" i="33"/>
  <c r="R9" i="33"/>
  <c r="R8" i="33"/>
  <c r="R7" i="33"/>
  <c r="K7" i="33"/>
  <c r="K8" i="33"/>
  <c r="K9" i="33"/>
  <c r="K11" i="33" s="1"/>
  <c r="K10" i="33"/>
  <c r="L17" i="40"/>
  <c r="H6" i="40"/>
  <c r="J6" i="40"/>
  <c r="L6" i="40"/>
  <c r="I6" i="40"/>
  <c r="K6" i="40"/>
  <c r="R11" i="33"/>
  <c r="AF11" i="33"/>
  <c r="AT11" i="33"/>
  <c r="BA11" i="33"/>
  <c r="BH11" i="33"/>
  <c r="BO11" i="33"/>
  <c r="BV11" i="33"/>
  <c r="CC11" i="33"/>
  <c r="I37" i="40"/>
  <c r="K65" i="40"/>
  <c r="J65" i="40"/>
  <c r="I65" i="40"/>
  <c r="H65" i="40"/>
  <c r="K37" i="40"/>
  <c r="J37" i="40"/>
  <c r="H37" i="40"/>
  <c r="H17" i="40"/>
  <c r="K17" i="40"/>
  <c r="J17" i="40"/>
  <c r="I17" i="40"/>
  <c r="AT19" i="37"/>
  <c r="AT18" i="37"/>
  <c r="AT17" i="37"/>
  <c r="AT16" i="37"/>
  <c r="AT15" i="37"/>
  <c r="AT14" i="37"/>
  <c r="AT13" i="37"/>
  <c r="AT12" i="37"/>
  <c r="AT11" i="37"/>
  <c r="AS19" i="37"/>
  <c r="AS18" i="37"/>
  <c r="AS17" i="37"/>
  <c r="AS16" i="37"/>
  <c r="AS15" i="37"/>
  <c r="AS14" i="37"/>
  <c r="AS13" i="37"/>
  <c r="AS12" i="37"/>
  <c r="AS11" i="37"/>
  <c r="AS10" i="37"/>
  <c r="AR19" i="37"/>
  <c r="AR18" i="37"/>
  <c r="AR17" i="37"/>
  <c r="AR16" i="37"/>
  <c r="AR15" i="37"/>
  <c r="AR14" i="37"/>
  <c r="AR13" i="37"/>
  <c r="AR12" i="37"/>
  <c r="AR11" i="37"/>
  <c r="AR10" i="37"/>
  <c r="AQ19" i="37"/>
  <c r="AW19" i="37" s="1"/>
  <c r="AT55" i="37" s="1"/>
  <c r="AQ18" i="37"/>
  <c r="AW18" i="37" s="1"/>
  <c r="AQ17" i="37"/>
  <c r="AW17" i="37" s="1"/>
  <c r="AW36" i="37" s="1"/>
  <c r="AQ16" i="37"/>
  <c r="AW16" i="37" s="1"/>
  <c r="AQ15" i="37"/>
  <c r="AW15" i="37" s="1"/>
  <c r="AU51" i="37" s="1"/>
  <c r="AQ14" i="37"/>
  <c r="AW14" i="37" s="1"/>
  <c r="AT50" i="37" s="1"/>
  <c r="AQ13" i="37"/>
  <c r="AW13" i="37" s="1"/>
  <c r="AW32" i="37" s="1"/>
  <c r="AQ12" i="37"/>
  <c r="AW12" i="37" s="1"/>
  <c r="AQ11" i="37"/>
  <c r="AW11" i="37" s="1"/>
  <c r="AT47" i="37" s="1"/>
  <c r="AP19" i="37"/>
  <c r="AP18" i="37"/>
  <c r="AP17" i="37"/>
  <c r="AP16" i="37"/>
  <c r="AP15" i="37"/>
  <c r="AP14" i="37"/>
  <c r="AP12" i="37"/>
  <c r="AP11" i="37"/>
  <c r="AP10" i="37"/>
  <c r="DE34" i="33"/>
  <c r="CX34" i="33"/>
  <c r="DE33" i="33"/>
  <c r="CX33" i="33"/>
  <c r="DE32" i="33"/>
  <c r="CX32" i="33"/>
  <c r="DE31" i="33"/>
  <c r="CX31" i="33"/>
  <c r="DE28" i="33"/>
  <c r="CX28" i="33"/>
  <c r="DE27" i="33"/>
  <c r="CX27" i="33"/>
  <c r="DE26" i="33"/>
  <c r="CX26" i="33"/>
  <c r="DE25" i="33"/>
  <c r="CX25" i="33"/>
  <c r="DE22" i="33"/>
  <c r="CX22" i="33"/>
  <c r="DE21" i="33"/>
  <c r="CX21" i="33"/>
  <c r="DE20" i="33"/>
  <c r="CX20" i="33"/>
  <c r="DE19" i="33"/>
  <c r="CX19" i="33"/>
  <c r="DE16" i="33"/>
  <c r="CX16" i="33"/>
  <c r="DE15" i="33"/>
  <c r="CX15" i="33"/>
  <c r="DE14" i="33"/>
  <c r="CX14" i="33"/>
  <c r="DE13" i="33"/>
  <c r="CX13" i="33"/>
  <c r="DD11" i="33"/>
  <c r="DC11" i="33"/>
  <c r="DB11" i="33"/>
  <c r="DA11" i="33"/>
  <c r="CZ11" i="33"/>
  <c r="CW11" i="33"/>
  <c r="CV11" i="33"/>
  <c r="CU11" i="33"/>
  <c r="CT11" i="33"/>
  <c r="CS11" i="33"/>
  <c r="DE10" i="33"/>
  <c r="CX10" i="33"/>
  <c r="CI10" i="33"/>
  <c r="J16" i="33" s="1"/>
  <c r="CI16" i="33"/>
  <c r="J22" i="33" s="1"/>
  <c r="CI22" i="33" s="1"/>
  <c r="J28" i="33" s="1"/>
  <c r="CI28" i="33" s="1"/>
  <c r="J34" i="33" s="1"/>
  <c r="CI34" i="33" s="1"/>
  <c r="CH10" i="33"/>
  <c r="I16" i="33"/>
  <c r="CH16" i="33"/>
  <c r="I22" i="33" s="1"/>
  <c r="CH22" i="33" s="1"/>
  <c r="I28" i="33" s="1"/>
  <c r="CH28" i="33" s="1"/>
  <c r="I34" i="33" s="1"/>
  <c r="CH34" i="33" s="1"/>
  <c r="CG10" i="33"/>
  <c r="H16" i="33" s="1"/>
  <c r="CF10" i="33"/>
  <c r="G16" i="33" s="1"/>
  <c r="CF16" i="33" s="1"/>
  <c r="G22" i="33" s="1"/>
  <c r="CF22" i="33" s="1"/>
  <c r="G28" i="33" s="1"/>
  <c r="CF28" i="33" s="1"/>
  <c r="G34" i="33" s="1"/>
  <c r="CF34" i="33" s="1"/>
  <c r="CE10" i="33"/>
  <c r="F16" i="33"/>
  <c r="DE9" i="33"/>
  <c r="CX9" i="33"/>
  <c r="CI9" i="33"/>
  <c r="J15" i="33" s="1"/>
  <c r="CI15" i="33"/>
  <c r="J21" i="33" s="1"/>
  <c r="CI21" i="33" s="1"/>
  <c r="J27" i="33" s="1"/>
  <c r="CI27" i="33" s="1"/>
  <c r="J33" i="33" s="1"/>
  <c r="CI33" i="33" s="1"/>
  <c r="CH9" i="33"/>
  <c r="I15" i="33"/>
  <c r="CH15" i="33"/>
  <c r="I21" i="33" s="1"/>
  <c r="CH21" i="33" s="1"/>
  <c r="I27" i="33" s="1"/>
  <c r="CH27" i="33" s="1"/>
  <c r="I33" i="33" s="1"/>
  <c r="CH33" i="33" s="1"/>
  <c r="CG9" i="33"/>
  <c r="H15" i="33" s="1"/>
  <c r="CG15" i="33" s="1"/>
  <c r="H21" i="33" s="1"/>
  <c r="CG21" i="33" s="1"/>
  <c r="H27" i="33" s="1"/>
  <c r="CG27" i="33" s="1"/>
  <c r="H33" i="33" s="1"/>
  <c r="CG33" i="33" s="1"/>
  <c r="CF9" i="33"/>
  <c r="CE9" i="33"/>
  <c r="F15" i="33"/>
  <c r="DE8" i="33"/>
  <c r="CX8" i="33"/>
  <c r="CI8" i="33"/>
  <c r="J14" i="33" s="1"/>
  <c r="CI14" i="33"/>
  <c r="J20" i="33" s="1"/>
  <c r="CI20" i="33" s="1"/>
  <c r="J26" i="33" s="1"/>
  <c r="CI26" i="33" s="1"/>
  <c r="J32" i="33" s="1"/>
  <c r="CI32" i="33" s="1"/>
  <c r="CH8" i="33"/>
  <c r="I14" i="33"/>
  <c r="CH14" i="33"/>
  <c r="I20" i="33" s="1"/>
  <c r="CH20" i="33" s="1"/>
  <c r="I26" i="33" s="1"/>
  <c r="CH26" i="33" s="1"/>
  <c r="I32" i="33" s="1"/>
  <c r="CH32" i="33" s="1"/>
  <c r="CG8" i="33"/>
  <c r="H14" i="33" s="1"/>
  <c r="CG14" i="33" s="1"/>
  <c r="H20" i="33" s="1"/>
  <c r="CG20" i="33" s="1"/>
  <c r="H26" i="33" s="1"/>
  <c r="CG26" i="33" s="1"/>
  <c r="H32" i="33" s="1"/>
  <c r="CG32" i="33" s="1"/>
  <c r="CF8" i="33"/>
  <c r="CE8" i="33"/>
  <c r="DE7" i="33"/>
  <c r="CX7" i="33"/>
  <c r="CI7" i="33"/>
  <c r="J13" i="33"/>
  <c r="J17" i="33" s="1"/>
  <c r="CH7" i="33"/>
  <c r="I13" i="33"/>
  <c r="CG7" i="33"/>
  <c r="CG11" i="33" s="1"/>
  <c r="CF7" i="33"/>
  <c r="CE7" i="33"/>
  <c r="C6" i="40" s="1"/>
  <c r="AT10" i="37"/>
  <c r="AQ10" i="37"/>
  <c r="AW10" i="37" s="1"/>
  <c r="AX29" i="37" s="1"/>
  <c r="P64" i="37"/>
  <c r="D64" i="37" s="1"/>
  <c r="AP9" i="37"/>
  <c r="AS56" i="37" s="1"/>
  <c r="AU9" i="37"/>
  <c r="DE11" i="33"/>
  <c r="F14" i="33"/>
  <c r="CX11" i="33"/>
  <c r="P91" i="37"/>
  <c r="CH13" i="33"/>
  <c r="CJ7" i="33"/>
  <c r="CH11" i="33"/>
  <c r="G13" i="33"/>
  <c r="CI11" i="33"/>
  <c r="CE14" i="33"/>
  <c r="E27" i="34"/>
  <c r="Q91" i="37"/>
  <c r="K27" i="34"/>
  <c r="W91" i="37"/>
  <c r="H27" i="34"/>
  <c r="T91" i="37"/>
  <c r="L27" i="34"/>
  <c r="X91" i="37"/>
  <c r="M27" i="34"/>
  <c r="Y91" i="37"/>
  <c r="P92" i="37"/>
  <c r="J27" i="34"/>
  <c r="V91" i="37"/>
  <c r="G27" i="34"/>
  <c r="S91" i="37"/>
  <c r="F27" i="34"/>
  <c r="R91" i="37"/>
  <c r="I27" i="34"/>
  <c r="U91" i="37"/>
  <c r="N27" i="34"/>
  <c r="Z91" i="37"/>
  <c r="H33" i="34"/>
  <c r="T92" i="37"/>
  <c r="L33" i="34"/>
  <c r="X92" i="37"/>
  <c r="J33" i="34"/>
  <c r="V92" i="37"/>
  <c r="M33" i="34"/>
  <c r="Y92" i="37"/>
  <c r="N33" i="34"/>
  <c r="Z92" i="37"/>
  <c r="G33" i="34"/>
  <c r="S92" i="37"/>
  <c r="E33" i="34"/>
  <c r="Q92" i="37"/>
  <c r="P93" i="37"/>
  <c r="F33" i="34"/>
  <c r="R92" i="37"/>
  <c r="I33" i="34"/>
  <c r="U92" i="37"/>
  <c r="K33" i="34"/>
  <c r="W92" i="37"/>
  <c r="J39" i="34"/>
  <c r="V93" i="37"/>
  <c r="J93" i="37" s="1"/>
  <c r="K39" i="34"/>
  <c r="W93" i="37"/>
  <c r="F39" i="34"/>
  <c r="R93" i="37"/>
  <c r="M39" i="34"/>
  <c r="Y93" i="37"/>
  <c r="I39" i="34"/>
  <c r="U93" i="37"/>
  <c r="E39" i="34"/>
  <c r="Q93" i="37"/>
  <c r="L39" i="34"/>
  <c r="X93" i="37"/>
  <c r="P94" i="37"/>
  <c r="D94" i="37" s="1"/>
  <c r="N39" i="34"/>
  <c r="Z93" i="37"/>
  <c r="H39" i="34"/>
  <c r="T93" i="37"/>
  <c r="G39" i="34"/>
  <c r="S93" i="37"/>
  <c r="G45" i="34"/>
  <c r="S94" i="37"/>
  <c r="I45" i="34"/>
  <c r="U94" i="37"/>
  <c r="N45" i="34"/>
  <c r="Z94" i="37"/>
  <c r="K45" i="34"/>
  <c r="W94" i="37"/>
  <c r="J45" i="34"/>
  <c r="V94" i="37"/>
  <c r="L45" i="34"/>
  <c r="X94" i="37"/>
  <c r="F45" i="34"/>
  <c r="R94" i="37"/>
  <c r="H45" i="34"/>
  <c r="T94" i="37"/>
  <c r="M45" i="34"/>
  <c r="Y94" i="37"/>
  <c r="E45" i="34"/>
  <c r="Q94" i="37"/>
  <c r="G51" i="34"/>
  <c r="S95" i="37"/>
  <c r="M51" i="34"/>
  <c r="Y95" i="37"/>
  <c r="F51" i="34"/>
  <c r="R95" i="37"/>
  <c r="I51" i="34"/>
  <c r="U95" i="37"/>
  <c r="K51" i="34"/>
  <c r="W95" i="37"/>
  <c r="N51" i="34"/>
  <c r="Z95" i="37"/>
  <c r="P96" i="37"/>
  <c r="J51" i="34"/>
  <c r="V95" i="37"/>
  <c r="E51" i="34"/>
  <c r="Q95" i="37"/>
  <c r="H51" i="34"/>
  <c r="T95" i="37"/>
  <c r="L51" i="34"/>
  <c r="X95" i="37"/>
  <c r="L95" i="37" s="1"/>
  <c r="DD195" i="33"/>
  <c r="DC195" i="33"/>
  <c r="DB195" i="33"/>
  <c r="DA195" i="33"/>
  <c r="CZ195" i="33"/>
  <c r="CW195" i="33"/>
  <c r="CV195" i="33"/>
  <c r="CU195" i="33"/>
  <c r="CT195" i="33"/>
  <c r="CS195" i="33"/>
  <c r="CP195" i="33"/>
  <c r="CO195" i="33"/>
  <c r="CN195" i="33"/>
  <c r="CM195" i="33"/>
  <c r="CL195" i="33"/>
  <c r="CB195" i="33"/>
  <c r="CA195" i="33"/>
  <c r="BZ195" i="33"/>
  <c r="BY195" i="33"/>
  <c r="BX195" i="33"/>
  <c r="BU195" i="33"/>
  <c r="BT195" i="33"/>
  <c r="BS195" i="33"/>
  <c r="BR195" i="33"/>
  <c r="BQ195" i="33"/>
  <c r="BN195" i="33"/>
  <c r="BM195" i="33"/>
  <c r="BL195" i="33"/>
  <c r="BK195" i="33"/>
  <c r="BJ195" i="33"/>
  <c r="BG195" i="33"/>
  <c r="BF195" i="33"/>
  <c r="BE195" i="33"/>
  <c r="BD195" i="33"/>
  <c r="BC195" i="33"/>
  <c r="AZ195" i="33"/>
  <c r="AY195" i="33"/>
  <c r="AX195" i="33"/>
  <c r="AW195" i="33"/>
  <c r="AV195" i="33"/>
  <c r="AS195" i="33"/>
  <c r="AR195" i="33"/>
  <c r="AQ195" i="33"/>
  <c r="AP195" i="33"/>
  <c r="AO195" i="33"/>
  <c r="AL195" i="33"/>
  <c r="AK195" i="33"/>
  <c r="AJ195" i="33"/>
  <c r="AI195" i="33"/>
  <c r="AH195" i="33"/>
  <c r="DE194" i="33"/>
  <c r="CX194" i="33"/>
  <c r="CC194" i="33"/>
  <c r="BV194" i="33"/>
  <c r="BO194" i="33"/>
  <c r="BH194" i="33"/>
  <c r="BA194" i="33"/>
  <c r="AT194" i="33"/>
  <c r="AM194" i="33"/>
  <c r="AF194" i="33"/>
  <c r="DE193" i="33"/>
  <c r="CX193" i="33"/>
  <c r="CC193" i="33"/>
  <c r="BV193" i="33"/>
  <c r="BO193" i="33"/>
  <c r="BH193" i="33"/>
  <c r="BA193" i="33"/>
  <c r="AT193" i="33"/>
  <c r="AM193" i="33"/>
  <c r="AF193" i="33"/>
  <c r="DE192" i="33"/>
  <c r="CX192" i="33"/>
  <c r="CC192" i="33"/>
  <c r="BV192" i="33"/>
  <c r="BO192" i="33"/>
  <c r="BH192" i="33"/>
  <c r="BA192" i="33"/>
  <c r="AT192" i="33"/>
  <c r="AM192" i="33"/>
  <c r="AF192" i="33"/>
  <c r="DE191" i="33"/>
  <c r="CX191" i="33"/>
  <c r="CC191" i="33"/>
  <c r="BV191" i="33"/>
  <c r="BO191" i="33"/>
  <c r="BH191" i="33"/>
  <c r="BA191" i="33"/>
  <c r="AT191" i="33"/>
  <c r="AM191" i="33"/>
  <c r="AF191" i="33"/>
  <c r="DD189" i="33"/>
  <c r="DC189" i="33"/>
  <c r="DB189" i="33"/>
  <c r="DA189" i="33"/>
  <c r="CZ189" i="33"/>
  <c r="CW189" i="33"/>
  <c r="CV189" i="33"/>
  <c r="CU189" i="33"/>
  <c r="CT189" i="33"/>
  <c r="CS189" i="33"/>
  <c r="CP189" i="33"/>
  <c r="CO189" i="33"/>
  <c r="CN189" i="33"/>
  <c r="CM189" i="33"/>
  <c r="CL189" i="33"/>
  <c r="CB189" i="33"/>
  <c r="CA189" i="33"/>
  <c r="BZ189" i="33"/>
  <c r="BY189" i="33"/>
  <c r="BX189" i="33"/>
  <c r="BU189" i="33"/>
  <c r="BT189" i="33"/>
  <c r="BS189" i="33"/>
  <c r="BR189" i="33"/>
  <c r="BQ189" i="33"/>
  <c r="BN189" i="33"/>
  <c r="BM189" i="33"/>
  <c r="BL189" i="33"/>
  <c r="BK189" i="33"/>
  <c r="BJ189" i="33"/>
  <c r="BG189" i="33"/>
  <c r="BF189" i="33"/>
  <c r="BE189" i="33"/>
  <c r="BD189" i="33"/>
  <c r="BC189" i="33"/>
  <c r="AZ189" i="33"/>
  <c r="AY189" i="33"/>
  <c r="AX189" i="33"/>
  <c r="AW189" i="33"/>
  <c r="AV189" i="33"/>
  <c r="AS189" i="33"/>
  <c r="AR189" i="33"/>
  <c r="AQ189" i="33"/>
  <c r="AP189" i="33"/>
  <c r="AO189" i="33"/>
  <c r="AL189" i="33"/>
  <c r="AK189" i="33"/>
  <c r="AJ189" i="33"/>
  <c r="AI189" i="33"/>
  <c r="AH189" i="33"/>
  <c r="DE188" i="33"/>
  <c r="CX188" i="33"/>
  <c r="CC188" i="33"/>
  <c r="BV188" i="33"/>
  <c r="BO188" i="33"/>
  <c r="BH188" i="33"/>
  <c r="BA188" i="33"/>
  <c r="AT188" i="33"/>
  <c r="AM188" i="33"/>
  <c r="AF188" i="33"/>
  <c r="DE187" i="33"/>
  <c r="CX187" i="33"/>
  <c r="CC187" i="33"/>
  <c r="BV187" i="33"/>
  <c r="BO187" i="33"/>
  <c r="BH187" i="33"/>
  <c r="BA187" i="33"/>
  <c r="AT187" i="33"/>
  <c r="AM187" i="33"/>
  <c r="AF187" i="33"/>
  <c r="DE186" i="33"/>
  <c r="CX186" i="33"/>
  <c r="CC186" i="33"/>
  <c r="BV186" i="33"/>
  <c r="BO186" i="33"/>
  <c r="BH186" i="33"/>
  <c r="BA186" i="33"/>
  <c r="AT186" i="33"/>
  <c r="AM186" i="33"/>
  <c r="AF186" i="33"/>
  <c r="DE185" i="33"/>
  <c r="CX185" i="33"/>
  <c r="CC185" i="33"/>
  <c r="BV185" i="33"/>
  <c r="BO185" i="33"/>
  <c r="BH185" i="33"/>
  <c r="BA185" i="33"/>
  <c r="AT185" i="33"/>
  <c r="AM185" i="33"/>
  <c r="AF185" i="33"/>
  <c r="DD183" i="33"/>
  <c r="DC183" i="33"/>
  <c r="DB183" i="33"/>
  <c r="DA183" i="33"/>
  <c r="CZ183" i="33"/>
  <c r="CW183" i="33"/>
  <c r="CV183" i="33"/>
  <c r="CU183" i="33"/>
  <c r="CT183" i="33"/>
  <c r="CS183" i="33"/>
  <c r="CP183" i="33"/>
  <c r="CO183" i="33"/>
  <c r="CN183" i="33"/>
  <c r="CM183" i="33"/>
  <c r="CL183" i="33"/>
  <c r="CB183" i="33"/>
  <c r="CA183" i="33"/>
  <c r="BZ183" i="33"/>
  <c r="BY183" i="33"/>
  <c r="BX183" i="33"/>
  <c r="BU183" i="33"/>
  <c r="BT183" i="33"/>
  <c r="BS183" i="33"/>
  <c r="BR183" i="33"/>
  <c r="BQ183" i="33"/>
  <c r="BN183" i="33"/>
  <c r="BM183" i="33"/>
  <c r="BL183" i="33"/>
  <c r="BK183" i="33"/>
  <c r="BJ183" i="33"/>
  <c r="BG183" i="33"/>
  <c r="BF183" i="33"/>
  <c r="BE183" i="33"/>
  <c r="BD183" i="33"/>
  <c r="BC183" i="33"/>
  <c r="AZ183" i="33"/>
  <c r="AY183" i="33"/>
  <c r="AX183" i="33"/>
  <c r="AW183" i="33"/>
  <c r="AV183" i="33"/>
  <c r="AS183" i="33"/>
  <c r="AR183" i="33"/>
  <c r="AQ183" i="33"/>
  <c r="AP183" i="33"/>
  <c r="AO183" i="33"/>
  <c r="AL183" i="33"/>
  <c r="AK183" i="33"/>
  <c r="AJ183" i="33"/>
  <c r="AI183" i="33"/>
  <c r="AH183" i="33"/>
  <c r="DE182" i="33"/>
  <c r="CX182" i="33"/>
  <c r="CC182" i="33"/>
  <c r="BV182" i="33"/>
  <c r="BO182" i="33"/>
  <c r="BH182" i="33"/>
  <c r="BA182" i="33"/>
  <c r="AT182" i="33"/>
  <c r="AM182" i="33"/>
  <c r="AF182" i="33"/>
  <c r="DE181" i="33"/>
  <c r="CX181" i="33"/>
  <c r="CC181" i="33"/>
  <c r="BV181" i="33"/>
  <c r="BO181" i="33"/>
  <c r="BH181" i="33"/>
  <c r="BA181" i="33"/>
  <c r="AT181" i="33"/>
  <c r="AM181" i="33"/>
  <c r="AF181" i="33"/>
  <c r="DE180" i="33"/>
  <c r="CX180" i="33"/>
  <c r="CC180" i="33"/>
  <c r="BV180" i="33"/>
  <c r="BO180" i="33"/>
  <c r="BH180" i="33"/>
  <c r="BA180" i="33"/>
  <c r="AT180" i="33"/>
  <c r="AM180" i="33"/>
  <c r="AF180" i="33"/>
  <c r="DE179" i="33"/>
  <c r="CX179" i="33"/>
  <c r="CC179" i="33"/>
  <c r="BV179" i="33"/>
  <c r="BO179" i="33"/>
  <c r="BH179" i="33"/>
  <c r="BA179" i="33"/>
  <c r="AT179" i="33"/>
  <c r="AM179" i="33"/>
  <c r="AF179" i="33"/>
  <c r="DD177" i="33"/>
  <c r="DC177" i="33"/>
  <c r="DB177" i="33"/>
  <c r="DA177" i="33"/>
  <c r="CZ177" i="33"/>
  <c r="CW177" i="33"/>
  <c r="CV177" i="33"/>
  <c r="CU177" i="33"/>
  <c r="CT177" i="33"/>
  <c r="CS177" i="33"/>
  <c r="CP177" i="33"/>
  <c r="CO177" i="33"/>
  <c r="CN177" i="33"/>
  <c r="CM177" i="33"/>
  <c r="CL177" i="33"/>
  <c r="CB177" i="33"/>
  <c r="CA177" i="33"/>
  <c r="BZ177" i="33"/>
  <c r="BY177" i="33"/>
  <c r="BX177" i="33"/>
  <c r="BU177" i="33"/>
  <c r="BT177" i="33"/>
  <c r="BS177" i="33"/>
  <c r="BR177" i="33"/>
  <c r="BQ177" i="33"/>
  <c r="BN177" i="33"/>
  <c r="BM177" i="33"/>
  <c r="BL177" i="33"/>
  <c r="BK177" i="33"/>
  <c r="BJ177" i="33"/>
  <c r="BG177" i="33"/>
  <c r="BF177" i="33"/>
  <c r="BE177" i="33"/>
  <c r="BD177" i="33"/>
  <c r="BC177" i="33"/>
  <c r="AZ177" i="33"/>
  <c r="AY177" i="33"/>
  <c r="AX177" i="33"/>
  <c r="AW177" i="33"/>
  <c r="AV177" i="33"/>
  <c r="AS177" i="33"/>
  <c r="AR177" i="33"/>
  <c r="AQ177" i="33"/>
  <c r="AP177" i="33"/>
  <c r="AO177" i="33"/>
  <c r="AL177" i="33"/>
  <c r="AK177" i="33"/>
  <c r="AJ177" i="33"/>
  <c r="AI177" i="33"/>
  <c r="AH177" i="33"/>
  <c r="DE176" i="33"/>
  <c r="CX176" i="33"/>
  <c r="CC176" i="33"/>
  <c r="BV176" i="33"/>
  <c r="BO176" i="33"/>
  <c r="BH176" i="33"/>
  <c r="BA176" i="33"/>
  <c r="AT176" i="33"/>
  <c r="AM176" i="33"/>
  <c r="AF176" i="33"/>
  <c r="DE175" i="33"/>
  <c r="CX175" i="33"/>
  <c r="CC175" i="33"/>
  <c r="BV175" i="33"/>
  <c r="BO175" i="33"/>
  <c r="BH175" i="33"/>
  <c r="BA175" i="33"/>
  <c r="AT175" i="33"/>
  <c r="AM175" i="33"/>
  <c r="AF175" i="33"/>
  <c r="DE174" i="33"/>
  <c r="CX174" i="33"/>
  <c r="CC174" i="33"/>
  <c r="BV174" i="33"/>
  <c r="BO174" i="33"/>
  <c r="BH174" i="33"/>
  <c r="BA174" i="33"/>
  <c r="AT174" i="33"/>
  <c r="AM174" i="33"/>
  <c r="AF174" i="33"/>
  <c r="DE173" i="33"/>
  <c r="CX173" i="33"/>
  <c r="CC173" i="33"/>
  <c r="BV173" i="33"/>
  <c r="BO173" i="33"/>
  <c r="BH173" i="33"/>
  <c r="BA173" i="33"/>
  <c r="AT173" i="33"/>
  <c r="AM173" i="33"/>
  <c r="AF173" i="33"/>
  <c r="DD171" i="33"/>
  <c r="DC171" i="33"/>
  <c r="DB171" i="33"/>
  <c r="DA171" i="33"/>
  <c r="CZ171" i="33"/>
  <c r="CW171" i="33"/>
  <c r="CV171" i="33"/>
  <c r="CU171" i="33"/>
  <c r="CT171" i="33"/>
  <c r="CS171" i="33"/>
  <c r="CP171" i="33"/>
  <c r="CO171" i="33"/>
  <c r="CN171" i="33"/>
  <c r="CM171" i="33"/>
  <c r="CL171" i="33"/>
  <c r="CB171" i="33"/>
  <c r="CA171" i="33"/>
  <c r="BZ171" i="33"/>
  <c r="BY171" i="33"/>
  <c r="BX171" i="33"/>
  <c r="BU171" i="33"/>
  <c r="BT171" i="33"/>
  <c r="BS171" i="33"/>
  <c r="BR171" i="33"/>
  <c r="BQ171" i="33"/>
  <c r="BN171" i="33"/>
  <c r="BM171" i="33"/>
  <c r="BL171" i="33"/>
  <c r="BK171" i="33"/>
  <c r="BJ171" i="33"/>
  <c r="BG171" i="33"/>
  <c r="BF171" i="33"/>
  <c r="BE171" i="33"/>
  <c r="BD171" i="33"/>
  <c r="BC171" i="33"/>
  <c r="AZ171" i="33"/>
  <c r="AY171" i="33"/>
  <c r="AX171" i="33"/>
  <c r="AW171" i="33"/>
  <c r="AV171" i="33"/>
  <c r="AS171" i="33"/>
  <c r="AR171" i="33"/>
  <c r="AQ171" i="33"/>
  <c r="AP171" i="33"/>
  <c r="AO171" i="33"/>
  <c r="AL171" i="33"/>
  <c r="AK171" i="33"/>
  <c r="AJ171" i="33"/>
  <c r="AI171" i="33"/>
  <c r="AH171" i="33"/>
  <c r="DE170" i="33"/>
  <c r="CX170" i="33"/>
  <c r="CI170" i="33"/>
  <c r="J176" i="33" s="1"/>
  <c r="CI176" i="33" s="1"/>
  <c r="J182" i="33" s="1"/>
  <c r="CI182" i="33" s="1"/>
  <c r="J188" i="33" s="1"/>
  <c r="CI188" i="33" s="1"/>
  <c r="J194" i="33" s="1"/>
  <c r="CI194" i="33" s="1"/>
  <c r="CH170" i="33"/>
  <c r="I176" i="33" s="1"/>
  <c r="CH176" i="33" s="1"/>
  <c r="I182" i="33" s="1"/>
  <c r="CH182" i="33" s="1"/>
  <c r="I188" i="33" s="1"/>
  <c r="CH188" i="33" s="1"/>
  <c r="I194" i="33" s="1"/>
  <c r="CH194" i="33" s="1"/>
  <c r="CG170" i="33"/>
  <c r="H176" i="33" s="1"/>
  <c r="CF170" i="33"/>
  <c r="G176" i="33" s="1"/>
  <c r="CF176" i="33" s="1"/>
  <c r="G182" i="33" s="1"/>
  <c r="CF182" i="33" s="1"/>
  <c r="G188" i="33" s="1"/>
  <c r="CF188" i="33" s="1"/>
  <c r="G194" i="33" s="1"/>
  <c r="CF194" i="33" s="1"/>
  <c r="CE170" i="33"/>
  <c r="F176" i="33" s="1"/>
  <c r="CC170" i="33"/>
  <c r="BV170" i="33"/>
  <c r="BO170" i="33"/>
  <c r="BH170" i="33"/>
  <c r="BA170" i="33"/>
  <c r="AT170" i="33"/>
  <c r="AM170" i="33"/>
  <c r="AF170" i="33"/>
  <c r="DE169" i="33"/>
  <c r="CX169" i="33"/>
  <c r="CI169" i="33"/>
  <c r="J175" i="33" s="1"/>
  <c r="CI175" i="33" s="1"/>
  <c r="J181" i="33" s="1"/>
  <c r="CH169" i="33"/>
  <c r="I175" i="33" s="1"/>
  <c r="CG169" i="33"/>
  <c r="H175" i="33" s="1"/>
  <c r="CG175" i="33" s="1"/>
  <c r="H181" i="33" s="1"/>
  <c r="CG181" i="33" s="1"/>
  <c r="H187" i="33" s="1"/>
  <c r="CF169" i="33"/>
  <c r="G175" i="33" s="1"/>
  <c r="CF175" i="33" s="1"/>
  <c r="G181" i="33" s="1"/>
  <c r="CF181" i="33" s="1"/>
  <c r="G187" i="33" s="1"/>
  <c r="CE169" i="33"/>
  <c r="CC169" i="33"/>
  <c r="BV169" i="33"/>
  <c r="BO169" i="33"/>
  <c r="BH169" i="33"/>
  <c r="BA169" i="33"/>
  <c r="AT169" i="33"/>
  <c r="AM169" i="33"/>
  <c r="AF169" i="33"/>
  <c r="DE168" i="33"/>
  <c r="CX168" i="33"/>
  <c r="CI168" i="33"/>
  <c r="J174" i="33" s="1"/>
  <c r="CI174" i="33" s="1"/>
  <c r="J180" i="33" s="1"/>
  <c r="CI180" i="33" s="1"/>
  <c r="J186" i="33" s="1"/>
  <c r="CI186" i="33" s="1"/>
  <c r="J192" i="33" s="1"/>
  <c r="CI192" i="33" s="1"/>
  <c r="CH168" i="33"/>
  <c r="I174" i="33" s="1"/>
  <c r="CH174" i="33" s="1"/>
  <c r="I180" i="33" s="1"/>
  <c r="CH180" i="33" s="1"/>
  <c r="I186" i="33" s="1"/>
  <c r="CH186" i="33" s="1"/>
  <c r="I192" i="33" s="1"/>
  <c r="CH192" i="33" s="1"/>
  <c r="CG168" i="33"/>
  <c r="H174" i="33" s="1"/>
  <c r="CG174" i="33" s="1"/>
  <c r="H180" i="33" s="1"/>
  <c r="CG180" i="33" s="1"/>
  <c r="H186" i="33" s="1"/>
  <c r="CG186" i="33" s="1"/>
  <c r="H192" i="33" s="1"/>
  <c r="CG192" i="33" s="1"/>
  <c r="CF168" i="33"/>
  <c r="G174" i="33" s="1"/>
  <c r="CE168" i="33"/>
  <c r="F174" i="33" s="1"/>
  <c r="CC168" i="33"/>
  <c r="BV168" i="33"/>
  <c r="BO168" i="33"/>
  <c r="BH168" i="33"/>
  <c r="BA168" i="33"/>
  <c r="AT168" i="33"/>
  <c r="AM168" i="33"/>
  <c r="AF168" i="33"/>
  <c r="DE167" i="33"/>
  <c r="CX167" i="33"/>
  <c r="CI167" i="33"/>
  <c r="J173" i="33" s="1"/>
  <c r="J177" i="33" s="1"/>
  <c r="CH167" i="33"/>
  <c r="I173" i="33" s="1"/>
  <c r="I177" i="33" s="1"/>
  <c r="CG167" i="33"/>
  <c r="H173" i="33" s="1"/>
  <c r="H177" i="33" s="1"/>
  <c r="CF167" i="33"/>
  <c r="CE167" i="33"/>
  <c r="CC167" i="33"/>
  <c r="BV167" i="33"/>
  <c r="BO167" i="33"/>
  <c r="BH167" i="33"/>
  <c r="BA167" i="33"/>
  <c r="AT167" i="33"/>
  <c r="AM167" i="33"/>
  <c r="AF167" i="33"/>
  <c r="DE162" i="33"/>
  <c r="CX162" i="33"/>
  <c r="DE161" i="33"/>
  <c r="CX161" i="33"/>
  <c r="DE160" i="33"/>
  <c r="CX160" i="33"/>
  <c r="DE159" i="33"/>
  <c r="CX159" i="33"/>
  <c r="DE156" i="33"/>
  <c r="CX156" i="33"/>
  <c r="DE155" i="33"/>
  <c r="CX155" i="33"/>
  <c r="DE154" i="33"/>
  <c r="CX154" i="33"/>
  <c r="DE153" i="33"/>
  <c r="CX153" i="33"/>
  <c r="DE150" i="33"/>
  <c r="CX150" i="33"/>
  <c r="DE149" i="33"/>
  <c r="CX149" i="33"/>
  <c r="DE148" i="33"/>
  <c r="CX148" i="33"/>
  <c r="DE147" i="33"/>
  <c r="CX147" i="33"/>
  <c r="DE144" i="33"/>
  <c r="CX144" i="33"/>
  <c r="DE143" i="33"/>
  <c r="CX143" i="33"/>
  <c r="DE142" i="33"/>
  <c r="CX142" i="33"/>
  <c r="DE141" i="33"/>
  <c r="CX141" i="33"/>
  <c r="DE138" i="33"/>
  <c r="CX138" i="33"/>
  <c r="DE137" i="33"/>
  <c r="CX137" i="33"/>
  <c r="DE136" i="33"/>
  <c r="CX136" i="33"/>
  <c r="DE135" i="33"/>
  <c r="CX135" i="33"/>
  <c r="DE130" i="33"/>
  <c r="CX130" i="33"/>
  <c r="DE129" i="33"/>
  <c r="CX129" i="33"/>
  <c r="DE128" i="33"/>
  <c r="CX128" i="33"/>
  <c r="DE127" i="33"/>
  <c r="CX127" i="33"/>
  <c r="DE124" i="33"/>
  <c r="CX124" i="33"/>
  <c r="DE123" i="33"/>
  <c r="CX123" i="33"/>
  <c r="DE122" i="33"/>
  <c r="CX122" i="33"/>
  <c r="DE121" i="33"/>
  <c r="CX121" i="33"/>
  <c r="DE118" i="33"/>
  <c r="CX118" i="33"/>
  <c r="DE117" i="33"/>
  <c r="CX117" i="33"/>
  <c r="DE116" i="33"/>
  <c r="CX116" i="33"/>
  <c r="DE115" i="33"/>
  <c r="CX115" i="33"/>
  <c r="DE112" i="33"/>
  <c r="CX112" i="33"/>
  <c r="DE111" i="33"/>
  <c r="CX111" i="33"/>
  <c r="DE110" i="33"/>
  <c r="CX110" i="33"/>
  <c r="DE109" i="33"/>
  <c r="CX109" i="33"/>
  <c r="DE106" i="33"/>
  <c r="CX106" i="33"/>
  <c r="DE105" i="33"/>
  <c r="CX105" i="33"/>
  <c r="DE104" i="33"/>
  <c r="CX104" i="33"/>
  <c r="DE103" i="33"/>
  <c r="CX103" i="33"/>
  <c r="DE98" i="33"/>
  <c r="CX98" i="33"/>
  <c r="DE97" i="33"/>
  <c r="CX97" i="33"/>
  <c r="DE96" i="33"/>
  <c r="CX96" i="33"/>
  <c r="DE95" i="33"/>
  <c r="CX95" i="33"/>
  <c r="DE92" i="33"/>
  <c r="CX92" i="33"/>
  <c r="DE91" i="33"/>
  <c r="CX91" i="33"/>
  <c r="DE90" i="33"/>
  <c r="CX90" i="33"/>
  <c r="DE89" i="33"/>
  <c r="CX89" i="33"/>
  <c r="DE86" i="33"/>
  <c r="CX86" i="33"/>
  <c r="DE85" i="33"/>
  <c r="CX85" i="33"/>
  <c r="DE84" i="33"/>
  <c r="CX84" i="33"/>
  <c r="DE83" i="33"/>
  <c r="CX83" i="33"/>
  <c r="DE80" i="33"/>
  <c r="CX80" i="33"/>
  <c r="DE79" i="33"/>
  <c r="CX79" i="33"/>
  <c r="DE78" i="33"/>
  <c r="CX78" i="33"/>
  <c r="DE77" i="33"/>
  <c r="CX77" i="33"/>
  <c r="DE74" i="33"/>
  <c r="CX74" i="33"/>
  <c r="DE73" i="33"/>
  <c r="CX73" i="33"/>
  <c r="DE72" i="33"/>
  <c r="CX72" i="33"/>
  <c r="DE71" i="33"/>
  <c r="CX71" i="33"/>
  <c r="DE66" i="33"/>
  <c r="CX66" i="33"/>
  <c r="CC66" i="33"/>
  <c r="BV66" i="33"/>
  <c r="BO66" i="33"/>
  <c r="BH66" i="33"/>
  <c r="BA66" i="33"/>
  <c r="AT66" i="33"/>
  <c r="AM66" i="33"/>
  <c r="AF66" i="33"/>
  <c r="DE65" i="33"/>
  <c r="CX65" i="33"/>
  <c r="CC65" i="33"/>
  <c r="BV65" i="33"/>
  <c r="BO65" i="33"/>
  <c r="BH65" i="33"/>
  <c r="BA65" i="33"/>
  <c r="AT65" i="33"/>
  <c r="AM65" i="33"/>
  <c r="AF65" i="33"/>
  <c r="DE64" i="33"/>
  <c r="CX64" i="33"/>
  <c r="CC64" i="33"/>
  <c r="BV64" i="33"/>
  <c r="BO64" i="33"/>
  <c r="BH64" i="33"/>
  <c r="BA64" i="33"/>
  <c r="AT64" i="33"/>
  <c r="AM64" i="33"/>
  <c r="AF64" i="33"/>
  <c r="DE63" i="33"/>
  <c r="CX63" i="33"/>
  <c r="CC63" i="33"/>
  <c r="BV63" i="33"/>
  <c r="BO63" i="33"/>
  <c r="BH63" i="33"/>
  <c r="BA63" i="33"/>
  <c r="AT63" i="33"/>
  <c r="AM63" i="33"/>
  <c r="AF63" i="33"/>
  <c r="DE60" i="33"/>
  <c r="CX60" i="33"/>
  <c r="CC60" i="33"/>
  <c r="BV60" i="33"/>
  <c r="BO60" i="33"/>
  <c r="BH60" i="33"/>
  <c r="BA60" i="33"/>
  <c r="AT60" i="33"/>
  <c r="AM60" i="33"/>
  <c r="AF60" i="33"/>
  <c r="DE59" i="33"/>
  <c r="CX59" i="33"/>
  <c r="CC59" i="33"/>
  <c r="BV59" i="33"/>
  <c r="BO59" i="33"/>
  <c r="BH59" i="33"/>
  <c r="BA59" i="33"/>
  <c r="AT59" i="33"/>
  <c r="AM59" i="33"/>
  <c r="AF59" i="33"/>
  <c r="DE58" i="33"/>
  <c r="CX58" i="33"/>
  <c r="CC58" i="33"/>
  <c r="BV58" i="33"/>
  <c r="BO58" i="33"/>
  <c r="BH58" i="33"/>
  <c r="BA58" i="33"/>
  <c r="AT58" i="33"/>
  <c r="AM58" i="33"/>
  <c r="AF58" i="33"/>
  <c r="DE57" i="33"/>
  <c r="CX57" i="33"/>
  <c r="CC57" i="33"/>
  <c r="BV57" i="33"/>
  <c r="BO57" i="33"/>
  <c r="BH57" i="33"/>
  <c r="BA57" i="33"/>
  <c r="AT57" i="33"/>
  <c r="AM57" i="33"/>
  <c r="AF57" i="33"/>
  <c r="DE54" i="33"/>
  <c r="CX54" i="33"/>
  <c r="CC54" i="33"/>
  <c r="BV54" i="33"/>
  <c r="BO54" i="33"/>
  <c r="BH54" i="33"/>
  <c r="BA54" i="33"/>
  <c r="AT54" i="33"/>
  <c r="AM54" i="33"/>
  <c r="AF54" i="33"/>
  <c r="DE53" i="33"/>
  <c r="CX53" i="33"/>
  <c r="CC53" i="33"/>
  <c r="BV53" i="33"/>
  <c r="BO53" i="33"/>
  <c r="BH53" i="33"/>
  <c r="BA53" i="33"/>
  <c r="AT53" i="33"/>
  <c r="AM53" i="33"/>
  <c r="AF53" i="33"/>
  <c r="DE52" i="33"/>
  <c r="CX52" i="33"/>
  <c r="CC52" i="33"/>
  <c r="BV52" i="33"/>
  <c r="BO52" i="33"/>
  <c r="BH52" i="33"/>
  <c r="BA52" i="33"/>
  <c r="AT52" i="33"/>
  <c r="AM52" i="33"/>
  <c r="AF52" i="33"/>
  <c r="DE51" i="33"/>
  <c r="CX51" i="33"/>
  <c r="CC51" i="33"/>
  <c r="BV51" i="33"/>
  <c r="BO51" i="33"/>
  <c r="BH51" i="33"/>
  <c r="BA51" i="33"/>
  <c r="AT51" i="33"/>
  <c r="AM51" i="33"/>
  <c r="AF51" i="33"/>
  <c r="DE48" i="33"/>
  <c r="CX48" i="33"/>
  <c r="CC48" i="33"/>
  <c r="BV48" i="33"/>
  <c r="BO48" i="33"/>
  <c r="BH48" i="33"/>
  <c r="BA48" i="33"/>
  <c r="AT48" i="33"/>
  <c r="AM48" i="33"/>
  <c r="AF48" i="33"/>
  <c r="DE47" i="33"/>
  <c r="CX47" i="33"/>
  <c r="CC47" i="33"/>
  <c r="BV47" i="33"/>
  <c r="BO47" i="33"/>
  <c r="BH47" i="33"/>
  <c r="BA47" i="33"/>
  <c r="AT47" i="33"/>
  <c r="AM47" i="33"/>
  <c r="AF47" i="33"/>
  <c r="DE46" i="33"/>
  <c r="CX46" i="33"/>
  <c r="CC46" i="33"/>
  <c r="BV46" i="33"/>
  <c r="BO46" i="33"/>
  <c r="BH46" i="33"/>
  <c r="BA46" i="33"/>
  <c r="AT46" i="33"/>
  <c r="AM46" i="33"/>
  <c r="AF46" i="33"/>
  <c r="DE45" i="33"/>
  <c r="CX45" i="33"/>
  <c r="CC45" i="33"/>
  <c r="BV45" i="33"/>
  <c r="BO45" i="33"/>
  <c r="BH45" i="33"/>
  <c r="BA45" i="33"/>
  <c r="AT45" i="33"/>
  <c r="AM45" i="33"/>
  <c r="AF45" i="33"/>
  <c r="DE42" i="33"/>
  <c r="CX42" i="33"/>
  <c r="CI42" i="33"/>
  <c r="CH42" i="33"/>
  <c r="CG42" i="33"/>
  <c r="CF42" i="33"/>
  <c r="CE42" i="33"/>
  <c r="F48" i="33"/>
  <c r="CC42" i="33"/>
  <c r="BV42" i="33"/>
  <c r="BO42" i="33"/>
  <c r="BH42" i="33"/>
  <c r="BA42" i="33"/>
  <c r="AT42" i="33"/>
  <c r="AM42" i="33"/>
  <c r="AF42" i="33"/>
  <c r="DE41" i="33"/>
  <c r="CX41" i="33"/>
  <c r="CI41" i="33"/>
  <c r="CH41" i="33"/>
  <c r="CG41" i="33"/>
  <c r="CF41" i="33"/>
  <c r="G47" i="33"/>
  <c r="CE41" i="33"/>
  <c r="F47" i="33"/>
  <c r="CC41" i="33"/>
  <c r="BV41" i="33"/>
  <c r="BO41" i="33"/>
  <c r="BH41" i="33"/>
  <c r="BA41" i="33"/>
  <c r="AT41" i="33"/>
  <c r="AM41" i="33"/>
  <c r="AF41" i="33"/>
  <c r="DE40" i="33"/>
  <c r="CX40" i="33"/>
  <c r="CI40" i="33"/>
  <c r="CH40" i="33"/>
  <c r="CG40" i="33"/>
  <c r="CF40" i="33"/>
  <c r="CE40" i="33"/>
  <c r="F46" i="33"/>
  <c r="CC40" i="33"/>
  <c r="BV40" i="33"/>
  <c r="BO40" i="33"/>
  <c r="BH40" i="33"/>
  <c r="BA40" i="33"/>
  <c r="AT40" i="33"/>
  <c r="AM40" i="33"/>
  <c r="AF40" i="33"/>
  <c r="DE39" i="33"/>
  <c r="CX39" i="33"/>
  <c r="CI39" i="33"/>
  <c r="J45" i="33"/>
  <c r="CH39" i="33"/>
  <c r="I45" i="33"/>
  <c r="CG39" i="33"/>
  <c r="H45" i="33"/>
  <c r="CF39" i="33"/>
  <c r="G45" i="33"/>
  <c r="CE39" i="33"/>
  <c r="CC39" i="33"/>
  <c r="BV39" i="33"/>
  <c r="BO39" i="33"/>
  <c r="BH39" i="33"/>
  <c r="BA39" i="33"/>
  <c r="AT39" i="33"/>
  <c r="AM39" i="33"/>
  <c r="AF39" i="33"/>
  <c r="C65" i="40"/>
  <c r="O370" i="34" a="1"/>
  <c r="O370" i="34" s="1"/>
  <c r="K56" i="40"/>
  <c r="J56" i="40"/>
  <c r="I56" i="40"/>
  <c r="H56" i="40"/>
  <c r="C56" i="40"/>
  <c r="O316" i="34" a="1"/>
  <c r="O316" i="34"/>
  <c r="C37" i="40"/>
  <c r="O202" i="34" a="1"/>
  <c r="O202" i="34"/>
  <c r="C17" i="40"/>
  <c r="O82" i="34" a="1"/>
  <c r="O82" i="34"/>
  <c r="CG46" i="33"/>
  <c r="H46" i="33"/>
  <c r="H47" i="33"/>
  <c r="H48" i="33"/>
  <c r="CG48" i="33"/>
  <c r="H54" i="33"/>
  <c r="CG54" i="33"/>
  <c r="CG176" i="33"/>
  <c r="H182" i="33" s="1"/>
  <c r="CG182" i="33" s="1"/>
  <c r="H188" i="33" s="1"/>
  <c r="CG188" i="33" s="1"/>
  <c r="H194" i="33" s="1"/>
  <c r="CG194" i="33" s="1"/>
  <c r="I46" i="33"/>
  <c r="CH46" i="33"/>
  <c r="I47" i="33"/>
  <c r="CH47" i="33"/>
  <c r="I48" i="33"/>
  <c r="CH48" i="33"/>
  <c r="G46" i="33"/>
  <c r="CF46" i="33"/>
  <c r="G48" i="33"/>
  <c r="CF48" i="33"/>
  <c r="F45" i="33"/>
  <c r="J46" i="33"/>
  <c r="CI46" i="33"/>
  <c r="CI47" i="33"/>
  <c r="J47" i="33"/>
  <c r="K48" i="33"/>
  <c r="J48" i="33"/>
  <c r="CI48" i="33"/>
  <c r="G389" i="34"/>
  <c r="K389" i="34"/>
  <c r="M393" i="34"/>
  <c r="F391" i="34"/>
  <c r="G391" i="34"/>
  <c r="K393" i="34"/>
  <c r="G390" i="34"/>
  <c r="L390" i="34"/>
  <c r="M392" i="34"/>
  <c r="L391" i="34"/>
  <c r="I393" i="34"/>
  <c r="N393" i="34"/>
  <c r="F393" i="34"/>
  <c r="L392" i="34"/>
  <c r="G393" i="34"/>
  <c r="F392" i="34"/>
  <c r="J393" i="34"/>
  <c r="M391" i="34"/>
  <c r="E391" i="34"/>
  <c r="I392" i="34"/>
  <c r="H391" i="34"/>
  <c r="J390" i="34"/>
  <c r="H393" i="34"/>
  <c r="N389" i="34"/>
  <c r="I391" i="34"/>
  <c r="I390" i="34"/>
  <c r="M390" i="34"/>
  <c r="K390" i="34"/>
  <c r="S31" i="36"/>
  <c r="K31" i="36"/>
  <c r="Y31" i="36"/>
  <c r="W31" i="36"/>
  <c r="X31" i="36"/>
  <c r="Z31" i="36"/>
  <c r="R31" i="36"/>
  <c r="G31" i="36"/>
  <c r="AA31" i="36"/>
  <c r="I31" i="36"/>
  <c r="H31" i="36"/>
  <c r="O31" i="36"/>
  <c r="Q31" i="36"/>
  <c r="P31" i="36"/>
  <c r="J31" i="36"/>
  <c r="S96" i="37"/>
  <c r="K57" i="34"/>
  <c r="W96" i="37" s="1"/>
  <c r="V96" i="37"/>
  <c r="M57" i="34"/>
  <c r="Y96" i="37"/>
  <c r="I57" i="34"/>
  <c r="U96" i="37" s="1"/>
  <c r="F57" i="34"/>
  <c r="R96" i="37"/>
  <c r="X96" i="37"/>
  <c r="CI181" i="33"/>
  <c r="J187" i="33" s="1"/>
  <c r="CI187" i="33" s="1"/>
  <c r="J193" i="33" s="1"/>
  <c r="CI193" i="33" s="1"/>
  <c r="J52" i="33"/>
  <c r="CI52" i="33"/>
  <c r="CI53" i="33"/>
  <c r="J53" i="33"/>
  <c r="J54" i="33"/>
  <c r="CI54" i="33"/>
  <c r="H52" i="33"/>
  <c r="CG52" i="33"/>
  <c r="I52" i="33"/>
  <c r="CH52" i="33"/>
  <c r="I53" i="33"/>
  <c r="CH53" i="33"/>
  <c r="I54" i="33"/>
  <c r="CH54" i="33"/>
  <c r="G52" i="33"/>
  <c r="CF52" i="33"/>
  <c r="G54" i="33"/>
  <c r="CF54" i="33"/>
  <c r="CX171" i="33"/>
  <c r="BV195" i="33"/>
  <c r="CC183" i="33"/>
  <c r="G21" i="34"/>
  <c r="S64" i="37"/>
  <c r="K21" i="34"/>
  <c r="W64" i="37"/>
  <c r="E21" i="34"/>
  <c r="Q64" i="37"/>
  <c r="I21" i="34"/>
  <c r="U64" i="37"/>
  <c r="M21" i="34"/>
  <c r="Y64" i="37"/>
  <c r="L21" i="34"/>
  <c r="X64" i="37"/>
  <c r="F21" i="34"/>
  <c r="R64" i="37"/>
  <c r="J21" i="34"/>
  <c r="V64" i="37"/>
  <c r="N21" i="34"/>
  <c r="Z64" i="37"/>
  <c r="BH171" i="33"/>
  <c r="AT171" i="33"/>
  <c r="CE171" i="33"/>
  <c r="BA195" i="33"/>
  <c r="CC195" i="33"/>
  <c r="CX195" i="33"/>
  <c r="DE171" i="33"/>
  <c r="DE177" i="33"/>
  <c r="DE189" i="33"/>
  <c r="CF174" i="33"/>
  <c r="G180" i="33" s="1"/>
  <c r="CF180" i="33" s="1"/>
  <c r="G186" i="33" s="1"/>
  <c r="CF186" i="33" s="1"/>
  <c r="G192" i="33" s="1"/>
  <c r="CF192" i="33" s="1"/>
  <c r="CG171" i="33"/>
  <c r="AM177" i="33"/>
  <c r="BO177" i="33"/>
  <c r="BA183" i="33"/>
  <c r="CJ42" i="33"/>
  <c r="BV171" i="33"/>
  <c r="AT195" i="33"/>
  <c r="AM171" i="33"/>
  <c r="BO171" i="33"/>
  <c r="BA177" i="33"/>
  <c r="CC177" i="33"/>
  <c r="AT177" i="33"/>
  <c r="BV177" i="33"/>
  <c r="BH177" i="33"/>
  <c r="BH183" i="33"/>
  <c r="DE183" i="33"/>
  <c r="AT189" i="33"/>
  <c r="BV189" i="33"/>
  <c r="BH189" i="33"/>
  <c r="BH195" i="33"/>
  <c r="DE195" i="33"/>
  <c r="CJ41" i="33"/>
  <c r="AM183" i="33"/>
  <c r="BO183" i="33"/>
  <c r="CX183" i="33"/>
  <c r="BA189" i="33"/>
  <c r="CC189" i="33"/>
  <c r="CX189" i="33"/>
  <c r="AM189" i="33"/>
  <c r="BO189" i="33"/>
  <c r="AM195" i="33"/>
  <c r="BO195" i="33"/>
  <c r="CE45" i="33"/>
  <c r="CI45" i="33"/>
  <c r="J51" i="33"/>
  <c r="CG45" i="33"/>
  <c r="H51" i="33"/>
  <c r="CH45" i="33"/>
  <c r="I51" i="33"/>
  <c r="CE46" i="33"/>
  <c r="F52" i="33"/>
  <c r="K52" i="33"/>
  <c r="CJ39" i="33"/>
  <c r="CE48" i="33"/>
  <c r="F54" i="33"/>
  <c r="CJ40" i="33"/>
  <c r="CF47" i="33"/>
  <c r="CH171" i="33"/>
  <c r="CI171" i="33"/>
  <c r="CE47" i="33"/>
  <c r="F53" i="33"/>
  <c r="CG173" i="33"/>
  <c r="H179" i="33" s="1"/>
  <c r="BA171" i="33"/>
  <c r="CC171" i="33"/>
  <c r="CJ170" i="33"/>
  <c r="CX177" i="33"/>
  <c r="AT183" i="33"/>
  <c r="BV183" i="33"/>
  <c r="J4" i="36"/>
  <c r="AS22" i="37"/>
  <c r="Q4" i="36"/>
  <c r="AR23" i="37"/>
  <c r="X4" i="36"/>
  <c r="AQ24" i="37"/>
  <c r="Y4" i="36"/>
  <c r="AR24" i="37"/>
  <c r="S4" i="36"/>
  <c r="AT23" i="37"/>
  <c r="Z4" i="36"/>
  <c r="AS24" i="37"/>
  <c r="H4" i="36"/>
  <c r="AQ22" i="37"/>
  <c r="K4" i="36"/>
  <c r="AT22" i="37"/>
  <c r="P4" i="36"/>
  <c r="AQ23" i="37"/>
  <c r="W4" i="36"/>
  <c r="AP24" i="37"/>
  <c r="D389" i="34"/>
  <c r="P126" i="37" s="1"/>
  <c r="P90" i="37"/>
  <c r="D90" i="37" s="1"/>
  <c r="I4" i="36"/>
  <c r="AR22" i="37"/>
  <c r="R4" i="36"/>
  <c r="AS23" i="37"/>
  <c r="K47" i="33"/>
  <c r="K54" i="33"/>
  <c r="O4" i="36"/>
  <c r="AP23" i="37"/>
  <c r="AA4" i="36"/>
  <c r="AT24" i="37"/>
  <c r="K46" i="33"/>
  <c r="CH175" i="33"/>
  <c r="I181" i="33" s="1"/>
  <c r="CG47" i="33"/>
  <c r="H53" i="33"/>
  <c r="CG53" i="33"/>
  <c r="CE174" i="33"/>
  <c r="K45" i="33"/>
  <c r="G63" i="34"/>
  <c r="G394" i="34" s="1"/>
  <c r="T27" i="34"/>
  <c r="I63" i="34"/>
  <c r="I394" i="34" s="1"/>
  <c r="K63" i="34"/>
  <c r="F63" i="34"/>
  <c r="F389" i="34"/>
  <c r="L63" i="34"/>
  <c r="U27" i="34"/>
  <c r="V27" i="34"/>
  <c r="J63" i="34"/>
  <c r="J394" i="34" s="1"/>
  <c r="M63" i="34"/>
  <c r="Y90" i="37" s="1"/>
  <c r="M389" i="34"/>
  <c r="H63" i="34"/>
  <c r="T90" i="37" s="1"/>
  <c r="L393" i="34"/>
  <c r="Z32" i="36"/>
  <c r="K32" i="36"/>
  <c r="AA32" i="36"/>
  <c r="K391" i="34"/>
  <c r="CG187" i="33"/>
  <c r="H193" i="33" s="1"/>
  <c r="CG193" i="33" s="1"/>
  <c r="CF187" i="33"/>
  <c r="G193" i="33" s="1"/>
  <c r="CF193" i="33" s="1"/>
  <c r="H59" i="33"/>
  <c r="CG59" i="33"/>
  <c r="I58" i="33"/>
  <c r="CH58" i="33"/>
  <c r="G60" i="33"/>
  <c r="CF60" i="33"/>
  <c r="J60" i="33"/>
  <c r="CI60" i="33"/>
  <c r="I60" i="33"/>
  <c r="CH60" i="33"/>
  <c r="CI58" i="33"/>
  <c r="J58" i="33"/>
  <c r="G58" i="33"/>
  <c r="CF58" i="33"/>
  <c r="I59" i="33"/>
  <c r="CH59" i="33"/>
  <c r="H60" i="33"/>
  <c r="CG60" i="33"/>
  <c r="H58" i="33"/>
  <c r="CG58" i="33"/>
  <c r="G53" i="33"/>
  <c r="CF53" i="33"/>
  <c r="F51" i="33"/>
  <c r="J59" i="33"/>
  <c r="CI59" i="33"/>
  <c r="R125" i="37"/>
  <c r="S125" i="37"/>
  <c r="V21" i="34"/>
  <c r="U21" i="34"/>
  <c r="CJ46" i="33"/>
  <c r="CJ47" i="33"/>
  <c r="CF45" i="33"/>
  <c r="G51" i="33"/>
  <c r="CJ48" i="33"/>
  <c r="F394" i="34"/>
  <c r="R90" i="37"/>
  <c r="M394" i="34"/>
  <c r="W90" i="37"/>
  <c r="K51" i="33"/>
  <c r="L394" i="34"/>
  <c r="L7" i="34" s="1"/>
  <c r="X90" i="37"/>
  <c r="S90" i="37"/>
  <c r="CH181" i="33"/>
  <c r="I187" i="33" s="1"/>
  <c r="CH187" i="33" s="1"/>
  <c r="I193" i="33" s="1"/>
  <c r="CH193" i="33" s="1"/>
  <c r="K53" i="33"/>
  <c r="W32" i="36"/>
  <c r="I32" i="36"/>
  <c r="S32" i="36"/>
  <c r="G32" i="36"/>
  <c r="H32" i="36"/>
  <c r="J32" i="36"/>
  <c r="Q32" i="36"/>
  <c r="P32" i="36"/>
  <c r="Y32" i="36"/>
  <c r="R32" i="36"/>
  <c r="O32" i="36"/>
  <c r="P66" i="37"/>
  <c r="O33" i="36"/>
  <c r="L69" i="34"/>
  <c r="X65" i="37" s="1"/>
  <c r="K33" i="36"/>
  <c r="J33" i="36"/>
  <c r="P33" i="36"/>
  <c r="S33" i="36"/>
  <c r="I33" i="36"/>
  <c r="R33" i="36"/>
  <c r="H33" i="36"/>
  <c r="W33" i="36"/>
  <c r="F69" i="34"/>
  <c r="Q65" i="37"/>
  <c r="J65" i="33"/>
  <c r="CI65" i="33"/>
  <c r="CF64" i="33"/>
  <c r="G64" i="33"/>
  <c r="G59" i="33"/>
  <c r="CF59" i="33"/>
  <c r="G66" i="33"/>
  <c r="CF66" i="33"/>
  <c r="I66" i="33"/>
  <c r="CH66" i="33"/>
  <c r="H66" i="33"/>
  <c r="CG66" i="33"/>
  <c r="H65" i="33"/>
  <c r="CG65" i="33"/>
  <c r="I65" i="33"/>
  <c r="CH65" i="33"/>
  <c r="J66" i="33"/>
  <c r="CI66" i="33"/>
  <c r="H64" i="33"/>
  <c r="CG64" i="33"/>
  <c r="J64" i="33"/>
  <c r="CI64" i="33"/>
  <c r="I64" i="33"/>
  <c r="CH64" i="33"/>
  <c r="CI51" i="33"/>
  <c r="J57" i="33"/>
  <c r="CG179" i="33"/>
  <c r="H185" i="33" s="1"/>
  <c r="CE54" i="33"/>
  <c r="F60" i="33"/>
  <c r="K60" i="33"/>
  <c r="CE53" i="33"/>
  <c r="F59" i="33"/>
  <c r="CE51" i="33"/>
  <c r="CG51" i="33"/>
  <c r="H57" i="33"/>
  <c r="CE52" i="33"/>
  <c r="F58" i="33"/>
  <c r="K58" i="33"/>
  <c r="CJ45" i="33"/>
  <c r="CH51" i="33"/>
  <c r="I57" i="33"/>
  <c r="F7" i="34"/>
  <c r="R126" i="37"/>
  <c r="K59" i="33"/>
  <c r="V33" i="34"/>
  <c r="X32" i="36"/>
  <c r="U33" i="34"/>
  <c r="T33" i="34"/>
  <c r="Z33" i="36"/>
  <c r="Q33" i="36"/>
  <c r="X33" i="36"/>
  <c r="Y33" i="36"/>
  <c r="AA33" i="36"/>
  <c r="T66" i="37"/>
  <c r="G75" i="34"/>
  <c r="S66" i="37"/>
  <c r="Z66" i="37"/>
  <c r="Y66" i="37"/>
  <c r="K75" i="34"/>
  <c r="W66" i="37" s="1"/>
  <c r="K34" i="36"/>
  <c r="S34" i="36"/>
  <c r="P34" i="36"/>
  <c r="Q34" i="36"/>
  <c r="Z34" i="36"/>
  <c r="I34" i="36"/>
  <c r="J34" i="36"/>
  <c r="AA34" i="36"/>
  <c r="G65" i="33"/>
  <c r="CF65" i="33"/>
  <c r="F57" i="33"/>
  <c r="CF51" i="33"/>
  <c r="CJ54" i="33"/>
  <c r="CJ53" i="33"/>
  <c r="CJ52" i="33"/>
  <c r="U39" i="34"/>
  <c r="T39" i="34"/>
  <c r="G33" i="36"/>
  <c r="V39" i="34"/>
  <c r="O34" i="36"/>
  <c r="H34" i="36"/>
  <c r="G34" i="36"/>
  <c r="Y34" i="36"/>
  <c r="W34" i="36"/>
  <c r="H81" i="34"/>
  <c r="T87" i="37" s="1"/>
  <c r="Y35" i="36"/>
  <c r="P35" i="36"/>
  <c r="N81" i="34"/>
  <c r="Z87" i="37" s="1"/>
  <c r="E81" i="34"/>
  <c r="Q87" i="37" s="1"/>
  <c r="CJ51" i="33"/>
  <c r="G57" i="33"/>
  <c r="K57" i="33"/>
  <c r="CH57" i="33"/>
  <c r="I63" i="33"/>
  <c r="CE59" i="33"/>
  <c r="F65" i="33"/>
  <c r="K65" i="33"/>
  <c r="CE60" i="33"/>
  <c r="F66" i="33"/>
  <c r="K66" i="33"/>
  <c r="CE57" i="33"/>
  <c r="CI57" i="33"/>
  <c r="J63" i="33"/>
  <c r="CE58" i="33"/>
  <c r="F64" i="33"/>
  <c r="K64" i="33"/>
  <c r="CG57" i="33"/>
  <c r="H63" i="33"/>
  <c r="V45" i="34"/>
  <c r="X34" i="36"/>
  <c r="U45" i="34"/>
  <c r="R34" i="36"/>
  <c r="T45" i="34"/>
  <c r="J35" i="36"/>
  <c r="Q35" i="36"/>
  <c r="AA35" i="36"/>
  <c r="X35" i="36"/>
  <c r="O35" i="36"/>
  <c r="K35" i="36"/>
  <c r="G35" i="36"/>
  <c r="Z35" i="36"/>
  <c r="I35" i="36"/>
  <c r="S35" i="36"/>
  <c r="R35" i="36"/>
  <c r="W35" i="36"/>
  <c r="H35" i="36"/>
  <c r="J87" i="34"/>
  <c r="V106" i="37"/>
  <c r="K87" i="34"/>
  <c r="W106" i="37"/>
  <c r="E87" i="34"/>
  <c r="Q106" i="37"/>
  <c r="N87" i="34"/>
  <c r="Z106" i="37"/>
  <c r="K36" i="36"/>
  <c r="H36" i="36"/>
  <c r="R36" i="36"/>
  <c r="G36" i="36"/>
  <c r="P36" i="36"/>
  <c r="X36" i="36"/>
  <c r="Q36" i="36"/>
  <c r="O36" i="36"/>
  <c r="Z36" i="36"/>
  <c r="S36" i="36"/>
  <c r="Y36" i="36"/>
  <c r="I36" i="36"/>
  <c r="G87" i="34"/>
  <c r="S106" i="37"/>
  <c r="F63" i="33"/>
  <c r="CJ60" i="33"/>
  <c r="CF57" i="33"/>
  <c r="CJ58" i="33"/>
  <c r="CJ59" i="33"/>
  <c r="T51" i="34"/>
  <c r="P99" i="37"/>
  <c r="D99" i="37" s="1"/>
  <c r="V51" i="34"/>
  <c r="U51" i="34"/>
  <c r="Q97" i="37"/>
  <c r="G93" i="34"/>
  <c r="S97" i="37" s="1"/>
  <c r="M93" i="34"/>
  <c r="Y97" i="37" s="1"/>
  <c r="T57" i="34"/>
  <c r="K30" i="36"/>
  <c r="H30" i="36"/>
  <c r="P30" i="36"/>
  <c r="I30" i="36"/>
  <c r="J30" i="36"/>
  <c r="R30" i="36"/>
  <c r="G30" i="36"/>
  <c r="Q30" i="36"/>
  <c r="W30" i="36"/>
  <c r="S30" i="36"/>
  <c r="H93" i="34"/>
  <c r="T97" i="37" s="1"/>
  <c r="N93" i="34"/>
  <c r="Z97" i="37"/>
  <c r="I93" i="34"/>
  <c r="U97" i="37" s="1"/>
  <c r="U57" i="34"/>
  <c r="CJ57" i="33"/>
  <c r="G63" i="33"/>
  <c r="K63" i="33"/>
  <c r="CH63" i="33"/>
  <c r="CE65" i="33"/>
  <c r="CJ65" i="33"/>
  <c r="CE64" i="33"/>
  <c r="CJ64" i="33"/>
  <c r="CG63" i="33"/>
  <c r="CE66" i="33"/>
  <c r="CJ66" i="33"/>
  <c r="CE63" i="33"/>
  <c r="CI63" i="33"/>
  <c r="V393" i="34"/>
  <c r="AA30" i="36"/>
  <c r="V392" i="34"/>
  <c r="Z30" i="36"/>
  <c r="V391" i="34"/>
  <c r="Y30" i="36"/>
  <c r="V390" i="34"/>
  <c r="X30" i="36"/>
  <c r="P102" i="37"/>
  <c r="T390" i="34"/>
  <c r="U393" i="34"/>
  <c r="T392" i="34"/>
  <c r="T391" i="34"/>
  <c r="U391" i="34"/>
  <c r="U392" i="34"/>
  <c r="U390" i="34"/>
  <c r="T393" i="34"/>
  <c r="V63" i="34"/>
  <c r="M99" i="34"/>
  <c r="Y99" i="37" s="1"/>
  <c r="T63" i="34"/>
  <c r="H5" i="36"/>
  <c r="Z5" i="36"/>
  <c r="S5" i="36"/>
  <c r="AA5" i="36"/>
  <c r="Q5" i="36"/>
  <c r="R5" i="36"/>
  <c r="P5" i="36"/>
  <c r="V389" i="34"/>
  <c r="F99" i="34"/>
  <c r="R99" i="37"/>
  <c r="CF63" i="33"/>
  <c r="U389" i="34"/>
  <c r="O30" i="36"/>
  <c r="U63" i="34"/>
  <c r="U394" i="34" s="1"/>
  <c r="F105" i="34"/>
  <c r="R102" i="37"/>
  <c r="U69" i="34"/>
  <c r="V69" i="34"/>
  <c r="T69" i="34"/>
  <c r="AA91" i="37"/>
  <c r="CJ63" i="33"/>
  <c r="O45" i="34"/>
  <c r="AA94" i="37"/>
  <c r="O33" i="34"/>
  <c r="AA92" i="37"/>
  <c r="O39" i="34"/>
  <c r="AA93" i="37"/>
  <c r="P107" i="37"/>
  <c r="J6" i="36"/>
  <c r="X6" i="36"/>
  <c r="O6" i="36"/>
  <c r="K6" i="36"/>
  <c r="G6" i="36"/>
  <c r="Z6" i="36"/>
  <c r="H6" i="36"/>
  <c r="W6" i="36"/>
  <c r="AA6" i="36"/>
  <c r="I6" i="36"/>
  <c r="F111" i="34"/>
  <c r="R101" i="37"/>
  <c r="O27" i="34"/>
  <c r="Z27" i="36"/>
  <c r="I27" i="36"/>
  <c r="W27" i="36"/>
  <c r="J27" i="36"/>
  <c r="X27" i="36"/>
  <c r="K27" i="36"/>
  <c r="G27" i="36"/>
  <c r="F117" i="34"/>
  <c r="R107" i="37" s="1"/>
  <c r="A2" i="13"/>
  <c r="P100" i="37"/>
  <c r="K46" i="36"/>
  <c r="G46" i="36"/>
  <c r="I46" i="36"/>
  <c r="J46" i="36"/>
  <c r="H46" i="36"/>
  <c r="F123" i="34"/>
  <c r="R98" i="37"/>
  <c r="T87" i="34"/>
  <c r="AA37" i="36"/>
  <c r="R37" i="36"/>
  <c r="I37" i="36"/>
  <c r="W37" i="36"/>
  <c r="K37" i="36"/>
  <c r="Y37" i="36"/>
  <c r="Q37" i="36"/>
  <c r="H37" i="36"/>
  <c r="S37" i="36"/>
  <c r="J37" i="36"/>
  <c r="F129" i="34"/>
  <c r="R100" i="37" s="1"/>
  <c r="Y39" i="36"/>
  <c r="AA39" i="36"/>
  <c r="R39" i="36"/>
  <c r="I39" i="36"/>
  <c r="W39" i="36"/>
  <c r="J39" i="36"/>
  <c r="X39" i="36"/>
  <c r="Z39" i="36"/>
  <c r="Q39" i="36"/>
  <c r="H39" i="36"/>
  <c r="F135" i="34"/>
  <c r="R103" i="37"/>
  <c r="P104" i="37"/>
  <c r="V99" i="34"/>
  <c r="AA42" i="36"/>
  <c r="I42" i="36"/>
  <c r="K42" i="36"/>
  <c r="P42" i="36"/>
  <c r="G42" i="36"/>
  <c r="Z42" i="36"/>
  <c r="Q42" i="36"/>
  <c r="X42" i="36"/>
  <c r="O42" i="36"/>
  <c r="S42" i="36"/>
  <c r="J42" i="36"/>
  <c r="K141" i="34"/>
  <c r="W104" i="37"/>
  <c r="M141" i="34"/>
  <c r="Y104" i="37"/>
  <c r="I141" i="34"/>
  <c r="U104" i="37" s="1"/>
  <c r="F141" i="34"/>
  <c r="R104" i="37"/>
  <c r="P105" i="37"/>
  <c r="Y41" i="36"/>
  <c r="P41" i="36"/>
  <c r="AA41" i="36"/>
  <c r="R41" i="36"/>
  <c r="W41" i="36"/>
  <c r="S41" i="36"/>
  <c r="J41" i="36"/>
  <c r="H41" i="36"/>
  <c r="K147" i="34"/>
  <c r="J147" i="34"/>
  <c r="H147" i="34"/>
  <c r="T105" i="37" s="1"/>
  <c r="F147" i="34"/>
  <c r="R105" i="37" s="1"/>
  <c r="M147" i="34"/>
  <c r="G147" i="34"/>
  <c r="L147" i="34"/>
  <c r="P67" i="37"/>
  <c r="Y105" i="37"/>
  <c r="V105" i="37"/>
  <c r="X105" i="37"/>
  <c r="W105" i="37"/>
  <c r="S105" i="37"/>
  <c r="I47" i="36"/>
  <c r="K47" i="36"/>
  <c r="Y47" i="36"/>
  <c r="G47" i="36"/>
  <c r="Z47" i="36"/>
  <c r="Q47" i="36"/>
  <c r="H47" i="36"/>
  <c r="X47" i="36"/>
  <c r="O47" i="36"/>
  <c r="S47" i="36"/>
  <c r="G153" i="34"/>
  <c r="S67" i="37" s="1"/>
  <c r="G67" i="37" s="1"/>
  <c r="K153" i="34"/>
  <c r="W67" i="37"/>
  <c r="I153" i="34"/>
  <c r="U67" i="37" s="1"/>
  <c r="E153" i="34"/>
  <c r="Q67" i="37"/>
  <c r="L153" i="34"/>
  <c r="X67" i="37" s="1"/>
  <c r="N153" i="34"/>
  <c r="Z67" i="37"/>
  <c r="P68" i="37"/>
  <c r="F153" i="34"/>
  <c r="J153" i="34"/>
  <c r="V67" i="37"/>
  <c r="K38" i="36"/>
  <c r="Y38" i="36"/>
  <c r="P38" i="36"/>
  <c r="AA38" i="36"/>
  <c r="R38" i="36"/>
  <c r="W38" i="36"/>
  <c r="J38" i="36"/>
  <c r="Q38" i="36"/>
  <c r="H38" i="36"/>
  <c r="L159" i="34"/>
  <c r="X68" i="37"/>
  <c r="F159" i="34"/>
  <c r="R68" i="37" s="1"/>
  <c r="K159" i="34"/>
  <c r="W68" i="37"/>
  <c r="N159" i="34"/>
  <c r="Z68" i="37" s="1"/>
  <c r="J159" i="34"/>
  <c r="V68" i="37"/>
  <c r="I159" i="34"/>
  <c r="U68" i="37"/>
  <c r="H159" i="34"/>
  <c r="T68" i="37"/>
  <c r="M159" i="34"/>
  <c r="Y68" i="37" s="1"/>
  <c r="P75" i="37"/>
  <c r="I40" i="36"/>
  <c r="W40" i="36"/>
  <c r="K40" i="36"/>
  <c r="G40" i="36"/>
  <c r="Z40" i="36"/>
  <c r="Q40" i="36"/>
  <c r="X40" i="36"/>
  <c r="O40" i="36"/>
  <c r="S40" i="36"/>
  <c r="K165" i="34"/>
  <c r="W75" i="37" s="1"/>
  <c r="L165" i="34"/>
  <c r="X75" i="37" s="1"/>
  <c r="N165" i="34"/>
  <c r="Z75" i="37"/>
  <c r="I165" i="34"/>
  <c r="U75" i="37"/>
  <c r="G165" i="34"/>
  <c r="S75" i="37" s="1"/>
  <c r="F165" i="34"/>
  <c r="R75" i="37" s="1"/>
  <c r="E165" i="34"/>
  <c r="Q75" i="37" s="1"/>
  <c r="I43" i="36"/>
  <c r="O43" i="36"/>
  <c r="W43" i="36"/>
  <c r="AA43" i="36"/>
  <c r="H165" i="34"/>
  <c r="T75" i="37"/>
  <c r="P69" i="37"/>
  <c r="M165" i="34"/>
  <c r="Y75" i="37" s="1"/>
  <c r="J165" i="34"/>
  <c r="V75" i="37"/>
  <c r="G44" i="36"/>
  <c r="J43" i="36"/>
  <c r="H43" i="36"/>
  <c r="P43" i="36"/>
  <c r="R43" i="36"/>
  <c r="Y43" i="36"/>
  <c r="Z43" i="36"/>
  <c r="N171" i="34"/>
  <c r="Z69" i="37"/>
  <c r="J171" i="34"/>
  <c r="V69" i="37"/>
  <c r="F171" i="34"/>
  <c r="R69" i="37" s="1"/>
  <c r="P44" i="36"/>
  <c r="S44" i="36"/>
  <c r="G171" i="34"/>
  <c r="S69" i="37" s="1"/>
  <c r="L171" i="34"/>
  <c r="X69" i="37"/>
  <c r="M171" i="34"/>
  <c r="Y69" i="37" s="1"/>
  <c r="K171" i="34"/>
  <c r="W69" i="37"/>
  <c r="E171" i="34"/>
  <c r="Q69" i="37" s="1"/>
  <c r="I171" i="34"/>
  <c r="U69" i="37"/>
  <c r="H44" i="36"/>
  <c r="Z44" i="36"/>
  <c r="O44" i="36"/>
  <c r="Q44" i="36"/>
  <c r="K44" i="36"/>
  <c r="I44" i="36"/>
  <c r="AA44" i="36"/>
  <c r="X44" i="36"/>
  <c r="Y44" i="36"/>
  <c r="R44" i="36"/>
  <c r="J44" i="36"/>
  <c r="E177" i="34"/>
  <c r="Q72" i="37" s="1"/>
  <c r="F177" i="34"/>
  <c r="R72" i="37" s="1"/>
  <c r="Y72" i="37"/>
  <c r="G177" i="34"/>
  <c r="S72" i="37" s="1"/>
  <c r="G72" i="37" s="1"/>
  <c r="G45" i="36"/>
  <c r="H45" i="36"/>
  <c r="W45" i="36"/>
  <c r="Y45" i="36"/>
  <c r="R45" i="36"/>
  <c r="P45" i="36"/>
  <c r="X45" i="36"/>
  <c r="Q45" i="36"/>
  <c r="S45" i="36"/>
  <c r="O45" i="36"/>
  <c r="I45" i="36"/>
  <c r="K45" i="36"/>
  <c r="J45" i="36"/>
  <c r="K177" i="34"/>
  <c r="H177" i="34"/>
  <c r="T72" i="37" s="1"/>
  <c r="N177" i="34"/>
  <c r="Z72" i="37" s="1"/>
  <c r="I177" i="34"/>
  <c r="U72" i="37" s="1"/>
  <c r="I72" i="37" s="1"/>
  <c r="J177" i="34"/>
  <c r="V72" i="37" s="1"/>
  <c r="P76" i="37"/>
  <c r="Z45" i="36"/>
  <c r="AA45" i="36"/>
  <c r="U141" i="34"/>
  <c r="T141" i="34"/>
  <c r="K183" i="34"/>
  <c r="W76" i="37" s="1"/>
  <c r="E183" i="34"/>
  <c r="Q76" i="37" s="1"/>
  <c r="H183" i="34"/>
  <c r="T76" i="37"/>
  <c r="U147" i="34"/>
  <c r="T147" i="34"/>
  <c r="F183" i="34"/>
  <c r="R76" i="37"/>
  <c r="J183" i="34"/>
  <c r="V76" i="37" s="1"/>
  <c r="Z76" i="37"/>
  <c r="I183" i="34"/>
  <c r="U76" i="37" s="1"/>
  <c r="G183" i="34"/>
  <c r="S76" i="37"/>
  <c r="P70" i="37"/>
  <c r="D70" i="37" s="1"/>
  <c r="V147" i="34"/>
  <c r="O7" i="36"/>
  <c r="Z7" i="36"/>
  <c r="Q7" i="36"/>
  <c r="P7" i="36"/>
  <c r="S7" i="36"/>
  <c r="K7" i="36"/>
  <c r="H7" i="36"/>
  <c r="W7" i="36"/>
  <c r="AA7" i="36"/>
  <c r="Y7" i="36"/>
  <c r="I7" i="36"/>
  <c r="X7" i="36"/>
  <c r="R7" i="36"/>
  <c r="G7" i="36"/>
  <c r="J7" i="36"/>
  <c r="T153" i="34"/>
  <c r="P73" i="37"/>
  <c r="Z8" i="36"/>
  <c r="S8" i="36"/>
  <c r="Q8" i="36"/>
  <c r="Y8" i="36"/>
  <c r="J8" i="36"/>
  <c r="W8" i="36"/>
  <c r="H8" i="36"/>
  <c r="AA8" i="36"/>
  <c r="X8" i="36"/>
  <c r="R8" i="36"/>
  <c r="P8" i="36"/>
  <c r="K8" i="36"/>
  <c r="G8" i="36"/>
  <c r="O8" i="36"/>
  <c r="I8" i="36"/>
  <c r="H189" i="34"/>
  <c r="T70" i="37"/>
  <c r="V153" i="34"/>
  <c r="M189" i="34"/>
  <c r="Y70" i="37" s="1"/>
  <c r="Z70" i="37"/>
  <c r="K189" i="34"/>
  <c r="W70" i="37" s="1"/>
  <c r="U153" i="34"/>
  <c r="J189" i="34"/>
  <c r="V70" i="37"/>
  <c r="F189" i="34"/>
  <c r="R70" i="37"/>
  <c r="I189" i="34"/>
  <c r="U70" i="37" s="1"/>
  <c r="L189" i="34"/>
  <c r="X70" i="37" s="1"/>
  <c r="T159" i="34"/>
  <c r="E195" i="34"/>
  <c r="Q73" i="37" s="1"/>
  <c r="G195" i="34"/>
  <c r="S73" i="37" s="1"/>
  <c r="M195" i="34"/>
  <c r="Y73" i="37" s="1"/>
  <c r="F195" i="34"/>
  <c r="R73" i="37"/>
  <c r="H195" i="34"/>
  <c r="T73" i="37" s="1"/>
  <c r="P78" i="37"/>
  <c r="Q15" i="36"/>
  <c r="X15" i="36"/>
  <c r="W15" i="36"/>
  <c r="Z15" i="36"/>
  <c r="AA15" i="36"/>
  <c r="J15" i="36"/>
  <c r="H15" i="36"/>
  <c r="O15" i="36"/>
  <c r="Y15" i="36"/>
  <c r="R15" i="36"/>
  <c r="K15" i="36"/>
  <c r="G15" i="36"/>
  <c r="S15" i="36"/>
  <c r="P15" i="36"/>
  <c r="I15" i="36"/>
  <c r="I195" i="34"/>
  <c r="U73" i="37" s="1"/>
  <c r="V159" i="34"/>
  <c r="U159" i="34"/>
  <c r="L195" i="34"/>
  <c r="X73" i="37" s="1"/>
  <c r="Z73" i="37"/>
  <c r="K195" i="34"/>
  <c r="W73" i="37"/>
  <c r="V165" i="34"/>
  <c r="U165" i="34"/>
  <c r="P81" i="37"/>
  <c r="N201" i="34"/>
  <c r="Z78" i="37" s="1"/>
  <c r="S78" i="37"/>
  <c r="E201" i="34"/>
  <c r="Q78" i="37" s="1"/>
  <c r="T165" i="34"/>
  <c r="I9" i="36"/>
  <c r="X9" i="36"/>
  <c r="O9" i="36"/>
  <c r="Y9" i="36"/>
  <c r="Z9" i="36"/>
  <c r="AA9" i="36"/>
  <c r="P9" i="36"/>
  <c r="R9" i="36"/>
  <c r="Q9" i="36"/>
  <c r="H9" i="36"/>
  <c r="S9" i="36"/>
  <c r="K9" i="36"/>
  <c r="G9" i="36"/>
  <c r="W9" i="36"/>
  <c r="J9" i="36"/>
  <c r="K201" i="34"/>
  <c r="W78" i="37" s="1"/>
  <c r="L201" i="34"/>
  <c r="X78" i="37" s="1"/>
  <c r="V78" i="37"/>
  <c r="I201" i="34"/>
  <c r="U78" i="37" s="1"/>
  <c r="F201" i="34"/>
  <c r="R78" i="37" s="1"/>
  <c r="H201" i="34"/>
  <c r="T78" i="37" s="1"/>
  <c r="T171" i="34"/>
  <c r="J207" i="34"/>
  <c r="V81" i="37"/>
  <c r="R12" i="36"/>
  <c r="G12" i="36"/>
  <c r="I12" i="36"/>
  <c r="S12" i="36"/>
  <c r="O12" i="36"/>
  <c r="J12" i="36"/>
  <c r="H12" i="36"/>
  <c r="P12" i="36"/>
  <c r="X12" i="36"/>
  <c r="K12" i="36"/>
  <c r="Z12" i="36"/>
  <c r="Q12" i="36"/>
  <c r="AA12" i="36"/>
  <c r="W12" i="36"/>
  <c r="M207" i="34"/>
  <c r="Y81" i="37" s="1"/>
  <c r="L207" i="34"/>
  <c r="X81" i="37"/>
  <c r="H207" i="34"/>
  <c r="T81" i="37" s="1"/>
  <c r="P84" i="37"/>
  <c r="U171" i="34"/>
  <c r="E207" i="34"/>
  <c r="Q81" i="37"/>
  <c r="V171" i="34"/>
  <c r="K207" i="34"/>
  <c r="W81" i="37" s="1"/>
  <c r="F207" i="34"/>
  <c r="R81" i="37"/>
  <c r="N207" i="34"/>
  <c r="Z81" i="37" s="1"/>
  <c r="J213" i="34"/>
  <c r="V84" i="37"/>
  <c r="G213" i="34"/>
  <c r="S84" i="37" s="1"/>
  <c r="K213" i="34"/>
  <c r="W84" i="37" s="1"/>
  <c r="Z84" i="37"/>
  <c r="L213" i="34"/>
  <c r="X84" i="37" s="1"/>
  <c r="V177" i="34"/>
  <c r="P16" i="36"/>
  <c r="H16" i="36"/>
  <c r="Q16" i="36"/>
  <c r="Y16" i="36"/>
  <c r="Z16" i="36"/>
  <c r="AA16" i="36"/>
  <c r="I16" i="36"/>
  <c r="X16" i="36"/>
  <c r="G16" i="36"/>
  <c r="W16" i="36"/>
  <c r="R16" i="36"/>
  <c r="J16" i="36"/>
  <c r="U177" i="34"/>
  <c r="H213" i="34"/>
  <c r="T84" i="37" s="1"/>
  <c r="M213" i="34"/>
  <c r="Y84" i="37"/>
  <c r="F213" i="34"/>
  <c r="R84" i="37" s="1"/>
  <c r="N219" i="34"/>
  <c r="Z79" i="37" s="1"/>
  <c r="L219" i="34"/>
  <c r="X79" i="37" s="1"/>
  <c r="V183" i="34"/>
  <c r="F219" i="34"/>
  <c r="R79" i="37"/>
  <c r="E219" i="34"/>
  <c r="Q79" i="37" s="1"/>
  <c r="G219" i="34"/>
  <c r="S79" i="37"/>
  <c r="Q10" i="36"/>
  <c r="K10" i="36"/>
  <c r="R10" i="36"/>
  <c r="H10" i="36"/>
  <c r="X10" i="36"/>
  <c r="O10" i="36"/>
  <c r="S10" i="36"/>
  <c r="P10" i="36"/>
  <c r="Y10" i="36"/>
  <c r="Z10" i="36"/>
  <c r="I10" i="36"/>
  <c r="G10" i="36"/>
  <c r="AA10" i="36"/>
  <c r="H219" i="34"/>
  <c r="T79" i="37" s="1"/>
  <c r="K219" i="34"/>
  <c r="W79" i="37" s="1"/>
  <c r="M219" i="34"/>
  <c r="Y79" i="37"/>
  <c r="I219" i="34"/>
  <c r="U79" i="37" s="1"/>
  <c r="P82" i="37"/>
  <c r="D82" i="37" s="1"/>
  <c r="U183" i="34"/>
  <c r="T82" i="37"/>
  <c r="G225" i="34"/>
  <c r="S82" i="37" s="1"/>
  <c r="X13" i="36"/>
  <c r="S13" i="36"/>
  <c r="P13" i="36"/>
  <c r="AA13" i="36"/>
  <c r="W13" i="36"/>
  <c r="H13" i="36"/>
  <c r="G13" i="36"/>
  <c r="Y13" i="36"/>
  <c r="Q13" i="36"/>
  <c r="O13" i="36"/>
  <c r="K13" i="36"/>
  <c r="I13" i="36"/>
  <c r="Z13" i="36"/>
  <c r="J13" i="36"/>
  <c r="M225" i="34"/>
  <c r="Y82" i="37" s="1"/>
  <c r="F225" i="34"/>
  <c r="R82" i="37"/>
  <c r="P85" i="37"/>
  <c r="U189" i="34"/>
  <c r="E225" i="34"/>
  <c r="Q82" i="37" s="1"/>
  <c r="K225" i="34"/>
  <c r="W82" i="37"/>
  <c r="I225" i="34"/>
  <c r="U82" i="37" s="1"/>
  <c r="X82" i="37"/>
  <c r="J225" i="34"/>
  <c r="V82" i="37" s="1"/>
  <c r="U195" i="34"/>
  <c r="N231" i="34"/>
  <c r="Z85" i="37" s="1"/>
  <c r="F231" i="34"/>
  <c r="R85" i="37"/>
  <c r="J231" i="34"/>
  <c r="V85" i="37" s="1"/>
  <c r="M231" i="34"/>
  <c r="Y85" i="37" s="1"/>
  <c r="I231" i="34"/>
  <c r="U85" i="37"/>
  <c r="J18" i="36"/>
  <c r="S18" i="36"/>
  <c r="Z18" i="36"/>
  <c r="X18" i="36"/>
  <c r="G18" i="36"/>
  <c r="K18" i="36"/>
  <c r="W18" i="36"/>
  <c r="R18" i="36"/>
  <c r="H18" i="36"/>
  <c r="O18" i="36"/>
  <c r="AA18" i="36"/>
  <c r="P18" i="36"/>
  <c r="I18" i="36"/>
  <c r="T195" i="34"/>
  <c r="G231" i="34"/>
  <c r="S85" i="37"/>
  <c r="H231" i="34"/>
  <c r="T85" i="37" s="1"/>
  <c r="K231" i="34"/>
  <c r="W85" i="37"/>
  <c r="E231" i="34"/>
  <c r="Q85" i="37" s="1"/>
  <c r="P88" i="37"/>
  <c r="D88" i="37" s="1"/>
  <c r="G237" i="34"/>
  <c r="S88" i="37" s="1"/>
  <c r="L237" i="34"/>
  <c r="X88" i="37"/>
  <c r="H237" i="34"/>
  <c r="T88" i="37" s="1"/>
  <c r="I237" i="34"/>
  <c r="U88" i="37"/>
  <c r="E237" i="34"/>
  <c r="Q88" i="37"/>
  <c r="V201" i="34"/>
  <c r="P108" i="37"/>
  <c r="D108" i="37" s="1"/>
  <c r="F237" i="34"/>
  <c r="R88" i="37"/>
  <c r="M237" i="34"/>
  <c r="Y88" i="37" s="1"/>
  <c r="K237" i="34"/>
  <c r="W88" i="37"/>
  <c r="T201" i="34"/>
  <c r="P21" i="36"/>
  <c r="Q21" i="36"/>
  <c r="R21" i="36"/>
  <c r="O21" i="36"/>
  <c r="S21" i="36"/>
  <c r="H21" i="36"/>
  <c r="J21" i="36"/>
  <c r="X21" i="36"/>
  <c r="Z21" i="36"/>
  <c r="K21" i="36"/>
  <c r="I21" i="36"/>
  <c r="N243" i="34"/>
  <c r="Z108" i="37" s="1"/>
  <c r="G24" i="36"/>
  <c r="Y24" i="36"/>
  <c r="X24" i="36"/>
  <c r="O24" i="36"/>
  <c r="K24" i="36"/>
  <c r="S24" i="36"/>
  <c r="I24" i="36"/>
  <c r="AA24" i="36"/>
  <c r="H24" i="36"/>
  <c r="P24" i="36"/>
  <c r="Z24" i="36"/>
  <c r="Q24" i="36"/>
  <c r="G243" i="34"/>
  <c r="S108" i="37"/>
  <c r="E243" i="34"/>
  <c r="Q108" i="37"/>
  <c r="M243" i="34"/>
  <c r="Y108" i="37"/>
  <c r="K243" i="34"/>
  <c r="W108" i="37" s="1"/>
  <c r="J243" i="34"/>
  <c r="V108" i="37" s="1"/>
  <c r="P109" i="37"/>
  <c r="D109" i="37" s="1"/>
  <c r="L243" i="34"/>
  <c r="X108" i="37" s="1"/>
  <c r="I243" i="34"/>
  <c r="U108" i="37"/>
  <c r="F243" i="34"/>
  <c r="R108" i="37" s="1"/>
  <c r="T109" i="37"/>
  <c r="K249" i="34"/>
  <c r="W109" i="37"/>
  <c r="F249" i="34"/>
  <c r="R109" i="37"/>
  <c r="V213" i="34"/>
  <c r="N249" i="34"/>
  <c r="Z109" i="37" s="1"/>
  <c r="J249" i="34"/>
  <c r="V109" i="37" s="1"/>
  <c r="P110" i="37"/>
  <c r="AA19" i="36"/>
  <c r="I19" i="36"/>
  <c r="G19" i="36"/>
  <c r="R19" i="36"/>
  <c r="K19" i="36"/>
  <c r="Q19" i="36"/>
  <c r="J19" i="36"/>
  <c r="W19" i="36"/>
  <c r="Z19" i="36"/>
  <c r="Y19" i="36"/>
  <c r="P19" i="36"/>
  <c r="X19" i="36"/>
  <c r="S19" i="36"/>
  <c r="O19" i="36"/>
  <c r="T213" i="34"/>
  <c r="I249" i="34"/>
  <c r="U109" i="37" s="1"/>
  <c r="Q109" i="37"/>
  <c r="M249" i="34"/>
  <c r="Y109" i="37"/>
  <c r="L249" i="34"/>
  <c r="X109" i="37" s="1"/>
  <c r="G249" i="34"/>
  <c r="S109" i="37" s="1"/>
  <c r="F255" i="34"/>
  <c r="R110" i="37"/>
  <c r="M255" i="34"/>
  <c r="Y110" i="37" s="1"/>
  <c r="J22" i="36"/>
  <c r="P22" i="36"/>
  <c r="S22" i="36"/>
  <c r="K22" i="36"/>
  <c r="R22" i="36"/>
  <c r="O22" i="36"/>
  <c r="Z22" i="36"/>
  <c r="I22" i="36"/>
  <c r="Q22" i="36"/>
  <c r="X22" i="36"/>
  <c r="Y22" i="36"/>
  <c r="G22" i="36"/>
  <c r="W22" i="36"/>
  <c r="H22" i="36"/>
  <c r="AA22" i="36"/>
  <c r="G255" i="34"/>
  <c r="S110" i="37" s="1"/>
  <c r="U219" i="34"/>
  <c r="P111" i="37"/>
  <c r="I255" i="34"/>
  <c r="U110" i="37"/>
  <c r="V219" i="34"/>
  <c r="L261" i="34"/>
  <c r="X111" i="37" s="1"/>
  <c r="I261" i="34"/>
  <c r="U111" i="37" s="1"/>
  <c r="J261" i="34"/>
  <c r="V111" i="37"/>
  <c r="N261" i="34"/>
  <c r="Z111" i="37"/>
  <c r="H261" i="34"/>
  <c r="T111" i="37" s="1"/>
  <c r="E261" i="34"/>
  <c r="Q111" i="37" s="1"/>
  <c r="V225" i="34"/>
  <c r="M261" i="34"/>
  <c r="Y111" i="37" s="1"/>
  <c r="F261" i="34"/>
  <c r="R111" i="37" s="1"/>
  <c r="P112" i="37"/>
  <c r="T225" i="34"/>
  <c r="R25" i="36"/>
  <c r="W25" i="36"/>
  <c r="S25" i="36"/>
  <c r="J25" i="36"/>
  <c r="I25" i="36"/>
  <c r="H25" i="36"/>
  <c r="X25" i="36"/>
  <c r="AA25" i="36"/>
  <c r="G25" i="36"/>
  <c r="Q25" i="36"/>
  <c r="O25" i="36"/>
  <c r="K25" i="36"/>
  <c r="Y25" i="36"/>
  <c r="P25" i="36"/>
  <c r="Z25" i="36"/>
  <c r="U225" i="34"/>
  <c r="U231" i="34"/>
  <c r="N267" i="34"/>
  <c r="Z112" i="37" s="1"/>
  <c r="E267" i="34"/>
  <c r="Q112" i="37"/>
  <c r="H267" i="34"/>
  <c r="T112" i="37"/>
  <c r="V231" i="34"/>
  <c r="G267" i="34"/>
  <c r="S112" i="37" s="1"/>
  <c r="F267" i="34"/>
  <c r="R112" i="37" s="1"/>
  <c r="T231" i="34"/>
  <c r="L267" i="34"/>
  <c r="X112" i="37"/>
  <c r="M267" i="34"/>
  <c r="Y112" i="37"/>
  <c r="J267" i="34"/>
  <c r="V112" i="37" s="1"/>
  <c r="P28" i="36"/>
  <c r="AA28" i="36"/>
  <c r="G28" i="36"/>
  <c r="Q28" i="36"/>
  <c r="O28" i="36"/>
  <c r="S28" i="36"/>
  <c r="K28" i="36"/>
  <c r="R28" i="36"/>
  <c r="Z28" i="36"/>
  <c r="X28" i="36"/>
  <c r="I28" i="36"/>
  <c r="Y28" i="36"/>
  <c r="H28" i="36"/>
  <c r="P113" i="37"/>
  <c r="F273" i="34"/>
  <c r="R113" i="37"/>
  <c r="Y113" i="37"/>
  <c r="L273" i="34"/>
  <c r="X113" i="37"/>
  <c r="V237" i="34"/>
  <c r="E273" i="34"/>
  <c r="Q113" i="37" s="1"/>
  <c r="K273" i="34"/>
  <c r="W113" i="37"/>
  <c r="P114" i="37"/>
  <c r="T237" i="34"/>
  <c r="J273" i="34"/>
  <c r="V113" i="37" s="1"/>
  <c r="H273" i="34"/>
  <c r="T113" i="37" s="1"/>
  <c r="N273" i="34"/>
  <c r="Z113" i="37" s="1"/>
  <c r="P48" i="36"/>
  <c r="X48" i="36"/>
  <c r="R48" i="36"/>
  <c r="O48" i="36"/>
  <c r="J48" i="36"/>
  <c r="Q48" i="36"/>
  <c r="Y48" i="36"/>
  <c r="K48" i="36"/>
  <c r="I48" i="36"/>
  <c r="H48" i="36"/>
  <c r="W48" i="36"/>
  <c r="G48" i="36"/>
  <c r="AA48" i="36"/>
  <c r="S48" i="36"/>
  <c r="U237" i="34"/>
  <c r="N279" i="34"/>
  <c r="Z114" i="37"/>
  <c r="L279" i="34"/>
  <c r="X114" i="37" s="1"/>
  <c r="V243" i="34"/>
  <c r="Z49" i="36"/>
  <c r="I49" i="36"/>
  <c r="J49" i="36"/>
  <c r="AA49" i="36"/>
  <c r="P49" i="36"/>
  <c r="H49" i="36"/>
  <c r="G49" i="36"/>
  <c r="X49" i="36"/>
  <c r="S49" i="36"/>
  <c r="O49" i="36"/>
  <c r="K49" i="36"/>
  <c r="Q49" i="36"/>
  <c r="R49" i="36"/>
  <c r="F279" i="34"/>
  <c r="R114" i="37"/>
  <c r="P115" i="37"/>
  <c r="D115" i="37" s="1"/>
  <c r="T243" i="34"/>
  <c r="H279" i="34"/>
  <c r="T114" i="37"/>
  <c r="E279" i="34"/>
  <c r="Q114" i="37" s="1"/>
  <c r="J279" i="34"/>
  <c r="V114" i="37" s="1"/>
  <c r="U243" i="34"/>
  <c r="E285" i="34"/>
  <c r="Q115" i="37" s="1"/>
  <c r="L285" i="34"/>
  <c r="X115" i="37" s="1"/>
  <c r="U249" i="34"/>
  <c r="K285" i="34"/>
  <c r="W115" i="37" s="1"/>
  <c r="H285" i="34"/>
  <c r="T115" i="37"/>
  <c r="N285" i="34"/>
  <c r="Z115" i="37" s="1"/>
  <c r="F285" i="34"/>
  <c r="R115" i="37" s="1"/>
  <c r="J285" i="34"/>
  <c r="V115" i="37"/>
  <c r="P116" i="37"/>
  <c r="I285" i="34"/>
  <c r="U115" i="37" s="1"/>
  <c r="M285" i="34"/>
  <c r="Y115" i="37"/>
  <c r="G50" i="36"/>
  <c r="R50" i="36"/>
  <c r="S50" i="36"/>
  <c r="Y50" i="36"/>
  <c r="J50" i="36"/>
  <c r="AA50" i="36"/>
  <c r="W50" i="36"/>
  <c r="I50" i="36"/>
  <c r="O50" i="36"/>
  <c r="H50" i="36"/>
  <c r="P50" i="36"/>
  <c r="V249" i="34"/>
  <c r="K291" i="34"/>
  <c r="W116" i="37"/>
  <c r="U255" i="34"/>
  <c r="E291" i="34"/>
  <c r="Q116" i="37" s="1"/>
  <c r="P117" i="37"/>
  <c r="N291" i="34"/>
  <c r="Z116" i="37"/>
  <c r="Q51" i="36"/>
  <c r="H51" i="36"/>
  <c r="O51" i="36"/>
  <c r="AA51" i="36"/>
  <c r="Z51" i="36"/>
  <c r="G51" i="36"/>
  <c r="J51" i="36"/>
  <c r="S51" i="36"/>
  <c r="R51" i="36"/>
  <c r="I51" i="36"/>
  <c r="X51" i="36"/>
  <c r="K51" i="36"/>
  <c r="Y51" i="36"/>
  <c r="J291" i="34"/>
  <c r="V116" i="37" s="1"/>
  <c r="I291" i="34"/>
  <c r="U116" i="37" s="1"/>
  <c r="V261" i="34"/>
  <c r="W52" i="36"/>
  <c r="R52" i="36"/>
  <c r="P52" i="36"/>
  <c r="Q52" i="36"/>
  <c r="K52" i="36"/>
  <c r="S52" i="36"/>
  <c r="I52" i="36"/>
  <c r="X52" i="36"/>
  <c r="O52" i="36"/>
  <c r="G52" i="36"/>
  <c r="Z52" i="36"/>
  <c r="Y52" i="36"/>
  <c r="AA52" i="36"/>
  <c r="H52" i="36"/>
  <c r="J52" i="36"/>
  <c r="U261" i="34"/>
  <c r="N297" i="34"/>
  <c r="Z117" i="37" s="1"/>
  <c r="L297" i="34"/>
  <c r="X117" i="37"/>
  <c r="G297" i="34"/>
  <c r="S117" i="37" s="1"/>
  <c r="P122" i="37"/>
  <c r="H297" i="34"/>
  <c r="T117" i="37" s="1"/>
  <c r="T261" i="34"/>
  <c r="E303" i="34"/>
  <c r="Q122" i="37" s="1"/>
  <c r="F303" i="34"/>
  <c r="R122" i="37" s="1"/>
  <c r="J303" i="34"/>
  <c r="V122" i="37"/>
  <c r="H303" i="34"/>
  <c r="T122" i="37" s="1"/>
  <c r="T267" i="34"/>
  <c r="X53" i="36"/>
  <c r="K53" i="36"/>
  <c r="H53" i="36"/>
  <c r="O53" i="36"/>
  <c r="G53" i="36"/>
  <c r="AA53" i="36"/>
  <c r="Q53" i="36"/>
  <c r="I53" i="36"/>
  <c r="W53" i="36"/>
  <c r="J53" i="36"/>
  <c r="Y53" i="36"/>
  <c r="Z53" i="36"/>
  <c r="S53" i="36"/>
  <c r="L303" i="34"/>
  <c r="X122" i="37" s="1"/>
  <c r="L405" i="34"/>
  <c r="L402" i="34"/>
  <c r="J405" i="34"/>
  <c r="I403" i="34"/>
  <c r="P123" i="37"/>
  <c r="E402" i="34"/>
  <c r="N403" i="34"/>
  <c r="E403" i="34"/>
  <c r="N401" i="34"/>
  <c r="F403" i="34"/>
  <c r="N404" i="34"/>
  <c r="J404" i="34"/>
  <c r="F401" i="34"/>
  <c r="F402" i="34"/>
  <c r="V267" i="34"/>
  <c r="G303" i="34"/>
  <c r="S122" i="37"/>
  <c r="D401" i="34"/>
  <c r="P128" i="37" s="1"/>
  <c r="D128" i="37" s="1"/>
  <c r="L309" i="34"/>
  <c r="X123" i="37" s="1"/>
  <c r="K309" i="34"/>
  <c r="W123" i="37" s="1"/>
  <c r="T273" i="34"/>
  <c r="P77" i="37"/>
  <c r="F309" i="34"/>
  <c r="R123" i="37" s="1"/>
  <c r="G309" i="34"/>
  <c r="S123" i="37" s="1"/>
  <c r="J401" i="34"/>
  <c r="L401" i="34"/>
  <c r="V273" i="34"/>
  <c r="I54" i="36"/>
  <c r="H54" i="36"/>
  <c r="K54" i="36"/>
  <c r="X54" i="36"/>
  <c r="O54" i="36"/>
  <c r="W54" i="36"/>
  <c r="AA54" i="36"/>
  <c r="J54" i="36"/>
  <c r="Y54" i="36"/>
  <c r="P54" i="36"/>
  <c r="G54" i="36"/>
  <c r="Z54" i="36"/>
  <c r="R54" i="36"/>
  <c r="V279" i="34"/>
  <c r="U279" i="34"/>
  <c r="F315" i="34"/>
  <c r="E315" i="34"/>
  <c r="Q77" i="37" s="1"/>
  <c r="T279" i="34"/>
  <c r="W55" i="36"/>
  <c r="Z55" i="36"/>
  <c r="H55" i="36"/>
  <c r="J55" i="36"/>
  <c r="K55" i="36"/>
  <c r="O55" i="36"/>
  <c r="Q55" i="36"/>
  <c r="AA55" i="36"/>
  <c r="X55" i="36"/>
  <c r="S55" i="36"/>
  <c r="I55" i="36"/>
  <c r="G55" i="36"/>
  <c r="Y55" i="36"/>
  <c r="I315" i="34"/>
  <c r="U77" i="37"/>
  <c r="G315" i="34"/>
  <c r="S77" i="37" s="1"/>
  <c r="N315" i="34"/>
  <c r="Z77" i="37"/>
  <c r="J315" i="34"/>
  <c r="V77" i="37" s="1"/>
  <c r="P71" i="37"/>
  <c r="H315" i="34"/>
  <c r="T77" i="37" s="1"/>
  <c r="L315" i="34"/>
  <c r="X77" i="37"/>
  <c r="N321" i="34"/>
  <c r="Z71" i="37" s="1"/>
  <c r="G321" i="34"/>
  <c r="S71" i="37" s="1"/>
  <c r="H321" i="34"/>
  <c r="T71" i="37" s="1"/>
  <c r="E321" i="34"/>
  <c r="Q71" i="37"/>
  <c r="V285" i="34"/>
  <c r="F321" i="34"/>
  <c r="R71" i="37" s="1"/>
  <c r="P74" i="37"/>
  <c r="AA56" i="36"/>
  <c r="Z56" i="36"/>
  <c r="X56" i="36"/>
  <c r="K56" i="36"/>
  <c r="W56" i="36"/>
  <c r="I56" i="36"/>
  <c r="S56" i="36"/>
  <c r="R56" i="36"/>
  <c r="G56" i="36"/>
  <c r="H56" i="36"/>
  <c r="J56" i="36"/>
  <c r="Y56" i="36"/>
  <c r="L321" i="34"/>
  <c r="X71" i="37"/>
  <c r="K321" i="34"/>
  <c r="W71" i="37" s="1"/>
  <c r="I321" i="34"/>
  <c r="U71" i="37"/>
  <c r="T285" i="34"/>
  <c r="E327" i="34"/>
  <c r="Q74" i="37"/>
  <c r="L327" i="34"/>
  <c r="X74" i="37" s="1"/>
  <c r="N327" i="34"/>
  <c r="Z74" i="37" s="1"/>
  <c r="H327" i="34"/>
  <c r="T74" i="37" s="1"/>
  <c r="P80" i="37"/>
  <c r="X57" i="36"/>
  <c r="I57" i="36"/>
  <c r="P57" i="36"/>
  <c r="R57" i="36"/>
  <c r="G57" i="36"/>
  <c r="S57" i="36"/>
  <c r="K57" i="36"/>
  <c r="T291" i="34"/>
  <c r="J57" i="36"/>
  <c r="AA57" i="36"/>
  <c r="Z57" i="36"/>
  <c r="Y57" i="36"/>
  <c r="W57" i="36"/>
  <c r="Q57" i="36"/>
  <c r="H57" i="36"/>
  <c r="O57" i="36"/>
  <c r="Q62" i="36"/>
  <c r="K62" i="36"/>
  <c r="AA62" i="36"/>
  <c r="G62" i="36"/>
  <c r="S62" i="36"/>
  <c r="Y62" i="36"/>
  <c r="H62" i="36"/>
  <c r="Z62" i="36"/>
  <c r="W62" i="36"/>
  <c r="X62" i="36"/>
  <c r="I62" i="36"/>
  <c r="O62" i="36"/>
  <c r="P62" i="36"/>
  <c r="J62" i="36"/>
  <c r="R62" i="36"/>
  <c r="T297" i="34"/>
  <c r="U297" i="34"/>
  <c r="U303" i="34"/>
  <c r="V303" i="34"/>
  <c r="G63" i="36"/>
  <c r="S63" i="36"/>
  <c r="H63" i="36"/>
  <c r="P63" i="36"/>
  <c r="I63" i="36"/>
  <c r="J63" i="36"/>
  <c r="Q63" i="36"/>
  <c r="K63" i="36"/>
  <c r="R63" i="36"/>
  <c r="P86" i="37"/>
  <c r="Z63" i="36"/>
  <c r="V403" i="34"/>
  <c r="Y63" i="36"/>
  <c r="W63" i="36"/>
  <c r="AA63" i="36"/>
  <c r="T405" i="34"/>
  <c r="T403" i="34"/>
  <c r="T402" i="34"/>
  <c r="T404" i="34"/>
  <c r="U309" i="34"/>
  <c r="S17" i="36"/>
  <c r="AA17" i="36"/>
  <c r="H17" i="36"/>
  <c r="X17" i="36"/>
  <c r="T309" i="34"/>
  <c r="J17" i="36"/>
  <c r="R17" i="36"/>
  <c r="I17" i="36"/>
  <c r="Z17" i="36"/>
  <c r="K17" i="36"/>
  <c r="G17" i="36"/>
  <c r="Y17" i="36"/>
  <c r="P17" i="36"/>
  <c r="W17" i="36"/>
  <c r="Q17" i="36"/>
  <c r="O17" i="36"/>
  <c r="AA11" i="36"/>
  <c r="H11" i="36"/>
  <c r="G11" i="36"/>
  <c r="P119" i="37"/>
  <c r="T315" i="34"/>
  <c r="V315" i="34"/>
  <c r="U315" i="34"/>
  <c r="X11" i="36"/>
  <c r="S11" i="36"/>
  <c r="Y11" i="36"/>
  <c r="J11" i="36"/>
  <c r="K11" i="36"/>
  <c r="R11" i="36"/>
  <c r="P11" i="36"/>
  <c r="Q11" i="36"/>
  <c r="O11" i="36"/>
  <c r="I11" i="36"/>
  <c r="W11" i="36"/>
  <c r="I14" i="36"/>
  <c r="Q14" i="36"/>
  <c r="X14" i="36"/>
  <c r="O14" i="36"/>
  <c r="J14" i="36"/>
  <c r="R14" i="36"/>
  <c r="S14" i="36"/>
  <c r="AA14" i="36"/>
  <c r="Z14" i="36"/>
  <c r="G14" i="36"/>
  <c r="K14" i="36"/>
  <c r="W14" i="36"/>
  <c r="H14" i="36"/>
  <c r="P14" i="36"/>
  <c r="T321" i="34"/>
  <c r="U321" i="34"/>
  <c r="U327" i="34"/>
  <c r="T327" i="34"/>
  <c r="I20" i="36"/>
  <c r="G20" i="36"/>
  <c r="Q20" i="36"/>
  <c r="S20" i="36"/>
  <c r="Y20" i="36"/>
  <c r="P121" i="37"/>
  <c r="V327" i="34"/>
  <c r="W23" i="36"/>
  <c r="Y23" i="36"/>
  <c r="AA23" i="36"/>
  <c r="J23" i="36"/>
  <c r="R23" i="36"/>
  <c r="P23" i="36"/>
  <c r="H23" i="36"/>
  <c r="G375" i="34"/>
  <c r="S124" i="37" s="1"/>
  <c r="P89" i="37"/>
  <c r="Z26" i="36"/>
  <c r="P26" i="36"/>
  <c r="X26" i="36"/>
  <c r="O26" i="36"/>
  <c r="G26" i="36"/>
  <c r="S26" i="36"/>
  <c r="Q26" i="36"/>
  <c r="K26" i="36"/>
  <c r="I26" i="36"/>
  <c r="K375" i="34"/>
  <c r="W124" i="37"/>
  <c r="P58" i="36"/>
  <c r="Z58" i="36"/>
  <c r="J58" i="36"/>
  <c r="AA58" i="36"/>
  <c r="W58" i="36"/>
  <c r="I58" i="36"/>
  <c r="R58" i="36"/>
  <c r="O58" i="36"/>
  <c r="Q59" i="36"/>
  <c r="X59" i="36"/>
  <c r="R59" i="36"/>
  <c r="O59" i="36"/>
  <c r="I59" i="36"/>
  <c r="S59" i="36"/>
  <c r="G59" i="36"/>
  <c r="J60" i="36"/>
  <c r="H60" i="36"/>
  <c r="Q60" i="36"/>
  <c r="Y60" i="36"/>
  <c r="P60" i="36"/>
  <c r="R60" i="36"/>
  <c r="AA60" i="36"/>
  <c r="Z59" i="36"/>
  <c r="Q61" i="36"/>
  <c r="G61" i="36"/>
  <c r="K61" i="36"/>
  <c r="P61" i="36"/>
  <c r="J61" i="36"/>
  <c r="AA61" i="36"/>
  <c r="X61" i="36"/>
  <c r="S61" i="36"/>
  <c r="Z61" i="36"/>
  <c r="I61" i="36"/>
  <c r="K64" i="36"/>
  <c r="J64" i="36"/>
  <c r="I64" i="36"/>
  <c r="G64" i="36"/>
  <c r="Y64" i="36"/>
  <c r="H64" i="36"/>
  <c r="O61" i="36"/>
  <c r="T375" i="34"/>
  <c r="O29" i="36"/>
  <c r="S29" i="36"/>
  <c r="W29" i="36"/>
  <c r="Q29" i="36"/>
  <c r="H29" i="36"/>
  <c r="J29" i="36"/>
  <c r="Y29" i="36"/>
  <c r="Z29" i="36"/>
  <c r="AA29" i="36"/>
  <c r="CE16" i="33"/>
  <c r="R6" i="40"/>
  <c r="G4" i="36"/>
  <c r="AP22" i="37"/>
  <c r="T21" i="34"/>
  <c r="T394" i="34"/>
  <c r="AR5" i="36" s="1"/>
  <c r="T389" i="34"/>
  <c r="H21" i="34"/>
  <c r="H389" i="34"/>
  <c r="AP13" i="37"/>
  <c r="CE15" i="33"/>
  <c r="T64" i="37"/>
  <c r="Q40" i="40" l="1" a="1"/>
  <c r="Q40" i="40" s="1"/>
  <c r="P18" i="40" a="1"/>
  <c r="P18" i="40" s="1"/>
  <c r="Q18" i="40" a="1"/>
  <c r="Q18" i="40" s="1"/>
  <c r="D78" i="39"/>
  <c r="C83" i="39"/>
  <c r="F75" i="39"/>
  <c r="G7" i="39"/>
  <c r="S21" i="34" s="1"/>
  <c r="V4" i="36" s="1"/>
  <c r="F7" i="39"/>
  <c r="R21" i="34" s="1"/>
  <c r="N4" i="36" s="1"/>
  <c r="E7" i="39"/>
  <c r="Q21" i="34" s="1"/>
  <c r="F4" i="36" s="1"/>
  <c r="G14" i="39"/>
  <c r="S63" i="34" s="1"/>
  <c r="V30" i="36" s="1"/>
  <c r="F14" i="39"/>
  <c r="R63" i="34" s="1"/>
  <c r="N30" i="36" s="1"/>
  <c r="E14" i="39"/>
  <c r="G13" i="39"/>
  <c r="S57" i="34" s="1"/>
  <c r="V36" i="36" s="1"/>
  <c r="F13" i="39"/>
  <c r="R57" i="34" s="1"/>
  <c r="N36" i="36" s="1"/>
  <c r="E13" i="39"/>
  <c r="G12" i="39"/>
  <c r="S51" i="34" s="1"/>
  <c r="V35" i="36" s="1"/>
  <c r="F12" i="39"/>
  <c r="R51" i="34" s="1"/>
  <c r="N35" i="36" s="1"/>
  <c r="E12" i="39"/>
  <c r="G11" i="39"/>
  <c r="S45" i="34" s="1"/>
  <c r="V34" i="36" s="1"/>
  <c r="F11" i="39"/>
  <c r="R45" i="34" s="1"/>
  <c r="N34" i="36" s="1"/>
  <c r="E11" i="39"/>
  <c r="Q45" i="34" s="1"/>
  <c r="F34" i="36" s="1"/>
  <c r="G10" i="39"/>
  <c r="S39" i="34" s="1"/>
  <c r="V33" i="36" s="1"/>
  <c r="F10" i="39"/>
  <c r="R39" i="34" s="1"/>
  <c r="N33" i="36" s="1"/>
  <c r="E10" i="39"/>
  <c r="G9" i="39"/>
  <c r="S33" i="34" s="1"/>
  <c r="V32" i="36" s="1"/>
  <c r="F9" i="39"/>
  <c r="R33" i="34" s="1"/>
  <c r="N32" i="36" s="1"/>
  <c r="E9" i="39"/>
  <c r="G8" i="39"/>
  <c r="S27" i="34" s="1"/>
  <c r="V31" i="36" s="1"/>
  <c r="F8" i="39"/>
  <c r="R27" i="34" s="1"/>
  <c r="N31" i="36" s="1"/>
  <c r="V13" i="40"/>
  <c r="R16" i="40"/>
  <c r="U49" i="40"/>
  <c r="U52" i="40"/>
  <c r="U59" i="40"/>
  <c r="U65" i="40"/>
  <c r="S14" i="40"/>
  <c r="R17" i="40"/>
  <c r="T17" i="40"/>
  <c r="U51" i="40"/>
  <c r="T65" i="40"/>
  <c r="CQ311" i="33"/>
  <c r="CQ1539" i="33"/>
  <c r="CQ1591" i="33"/>
  <c r="CQ1643" i="33"/>
  <c r="CQ1847" i="33"/>
  <c r="V15" i="40"/>
  <c r="U18" i="40"/>
  <c r="T49" i="40"/>
  <c r="U50" i="40"/>
  <c r="R51" i="40"/>
  <c r="S52" i="40"/>
  <c r="CQ221" i="33"/>
  <c r="CQ477" i="33"/>
  <c r="V45" i="40"/>
  <c r="U66" i="40"/>
  <c r="R49" i="40"/>
  <c r="S51" i="40"/>
  <c r="U57" i="40"/>
  <c r="S20" i="40"/>
  <c r="U58" i="40"/>
  <c r="S62" i="40"/>
  <c r="CE1935" i="33"/>
  <c r="K1935" i="33"/>
  <c r="I1939" i="33"/>
  <c r="CE1936" i="33"/>
  <c r="K1936" i="33"/>
  <c r="F381" i="34"/>
  <c r="R89" i="37" s="1"/>
  <c r="I381" i="34"/>
  <c r="U89" i="37" s="1"/>
  <c r="J1933" i="33"/>
  <c r="CH1934" i="33"/>
  <c r="I1940" i="33" s="1"/>
  <c r="CH1940" i="33" s="1"/>
  <c r="I1946" i="33" s="1"/>
  <c r="CH1946" i="33" s="1"/>
  <c r="I1952" i="33" s="1"/>
  <c r="CH1952" i="33" s="1"/>
  <c r="H1935" i="33"/>
  <c r="CG1935" i="33" s="1"/>
  <c r="H1941" i="33" s="1"/>
  <c r="CG1941" i="33" s="1"/>
  <c r="H1947" i="33" s="1"/>
  <c r="CG1947" i="33" s="1"/>
  <c r="H1953" i="33" s="1"/>
  <c r="CG1953" i="33" s="1"/>
  <c r="Y1955" i="33"/>
  <c r="AM1943" i="33"/>
  <c r="CJ1927" i="33"/>
  <c r="CJ1931" i="33" s="1"/>
  <c r="Y1949" i="33"/>
  <c r="K381" i="34"/>
  <c r="W89" i="37" s="1"/>
  <c r="J381" i="34"/>
  <c r="V89" i="37" s="1"/>
  <c r="C66" i="40"/>
  <c r="F1933" i="33"/>
  <c r="E381" i="34"/>
  <c r="Q89" i="37" s="1"/>
  <c r="G1933" i="33"/>
  <c r="F1934" i="33"/>
  <c r="L381" i="34"/>
  <c r="X89" i="37" s="1"/>
  <c r="H1933" i="33"/>
  <c r="M381" i="34"/>
  <c r="Y89" i="37" s="1"/>
  <c r="G381" i="34"/>
  <c r="S89" i="37" s="1"/>
  <c r="N381" i="34"/>
  <c r="Z89" i="37" s="1"/>
  <c r="CJ1930" i="33"/>
  <c r="CE1904" i="33"/>
  <c r="K1904" i="33"/>
  <c r="F375" i="34"/>
  <c r="R124" i="37" s="1"/>
  <c r="F1907" i="33"/>
  <c r="CH1901" i="33"/>
  <c r="I1905" i="33"/>
  <c r="CE1903" i="33"/>
  <c r="K1903" i="33"/>
  <c r="CH1899" i="33"/>
  <c r="J1901" i="33"/>
  <c r="Y1923" i="33"/>
  <c r="CI1899" i="33"/>
  <c r="J1903" i="33"/>
  <c r="CI1903" i="33" s="1"/>
  <c r="J1909" i="33" s="1"/>
  <c r="CI1909" i="33" s="1"/>
  <c r="J1915" i="33" s="1"/>
  <c r="CI1915" i="33" s="1"/>
  <c r="J1921" i="33" s="1"/>
  <c r="CI1921" i="33" s="1"/>
  <c r="AM1911" i="33"/>
  <c r="H375" i="34"/>
  <c r="T124" i="37" s="1"/>
  <c r="G1901" i="33"/>
  <c r="F1902" i="33"/>
  <c r="J375" i="34"/>
  <c r="V124" i="37" s="1"/>
  <c r="J124" i="37" s="1"/>
  <c r="H1901" i="33"/>
  <c r="CJ1898" i="33"/>
  <c r="CJ1899" i="33" s="1"/>
  <c r="F369" i="34"/>
  <c r="R121" i="37" s="1"/>
  <c r="Q64" i="40" a="1"/>
  <c r="Q64" i="40" s="1"/>
  <c r="P64" i="40" a="1"/>
  <c r="P64" i="40" s="1"/>
  <c r="O64" i="40" a="1"/>
  <c r="O64" i="40" s="1"/>
  <c r="N64" i="40" a="1"/>
  <c r="N64" i="40" s="1"/>
  <c r="M64" i="40" a="1"/>
  <c r="M64" i="40" s="1"/>
  <c r="CE1872" i="33"/>
  <c r="K1872" i="33"/>
  <c r="CE1871" i="33"/>
  <c r="K1871" i="33"/>
  <c r="CH1869" i="33"/>
  <c r="I1873" i="33"/>
  <c r="J1873" i="33"/>
  <c r="J369" i="34"/>
  <c r="V121" i="37" s="1"/>
  <c r="CI1869" i="33"/>
  <c r="K369" i="34"/>
  <c r="W121" i="37" s="1"/>
  <c r="K121" i="37" s="1"/>
  <c r="CJ1863" i="33"/>
  <c r="CJ1865" i="33"/>
  <c r="F1869" i="33"/>
  <c r="G1869" i="33"/>
  <c r="F1870" i="33"/>
  <c r="M369" i="34"/>
  <c r="Y121" i="37" s="1"/>
  <c r="M121" i="37" s="1"/>
  <c r="H369" i="34"/>
  <c r="T121" i="37" s="1"/>
  <c r="H121" i="37" s="1"/>
  <c r="H1869" i="33"/>
  <c r="CJ1866" i="33"/>
  <c r="CE1839" i="33"/>
  <c r="K1839" i="33"/>
  <c r="CE1840" i="33"/>
  <c r="K1840" i="33"/>
  <c r="CH1837" i="33"/>
  <c r="I1841" i="33"/>
  <c r="CI1841" i="33"/>
  <c r="J1843" i="33"/>
  <c r="E363" i="34"/>
  <c r="Q120" i="37" s="1"/>
  <c r="G363" i="34"/>
  <c r="S120" i="37" s="1"/>
  <c r="N363" i="34"/>
  <c r="Z120" i="37" s="1"/>
  <c r="H363" i="34"/>
  <c r="T120" i="37" s="1"/>
  <c r="H120" i="37" s="1"/>
  <c r="CJ1831" i="33"/>
  <c r="CJ1833" i="33"/>
  <c r="G94" i="37"/>
  <c r="F1837" i="33"/>
  <c r="J1841" i="33"/>
  <c r="I363" i="34"/>
  <c r="U120" i="37" s="1"/>
  <c r="J63" i="40"/>
  <c r="G1837" i="33"/>
  <c r="F1838" i="33"/>
  <c r="J94" i="37"/>
  <c r="L363" i="34"/>
  <c r="X120" i="37" s="1"/>
  <c r="L120" i="37" s="1"/>
  <c r="H1837" i="33"/>
  <c r="K363" i="34"/>
  <c r="W120" i="37" s="1"/>
  <c r="CJ1834" i="33"/>
  <c r="CH1805" i="33"/>
  <c r="I1809" i="33"/>
  <c r="CE1806" i="33"/>
  <c r="J1809" i="33"/>
  <c r="CE1807" i="33"/>
  <c r="K1807" i="33"/>
  <c r="F357" i="34"/>
  <c r="R119" i="37" s="1"/>
  <c r="F119" i="37" s="1"/>
  <c r="P62" i="40" a="1"/>
  <c r="P62" i="40" s="1"/>
  <c r="O62" i="40" a="1"/>
  <c r="O62" i="40" s="1"/>
  <c r="N62" i="40" a="1"/>
  <c r="N62" i="40" s="1"/>
  <c r="M62" i="40" a="1"/>
  <c r="M62" i="40" s="1"/>
  <c r="Q62" i="40" a="1"/>
  <c r="Q62" i="40" s="1"/>
  <c r="F1814" i="33"/>
  <c r="CJ1808" i="33"/>
  <c r="CI1805" i="33"/>
  <c r="G357" i="34"/>
  <c r="S119" i="37" s="1"/>
  <c r="N357" i="34"/>
  <c r="Z119" i="37" s="1"/>
  <c r="CJ1799" i="33"/>
  <c r="CJ1801" i="33"/>
  <c r="O352" i="34" a="1"/>
  <c r="O352" i="34" s="1"/>
  <c r="I357" i="34"/>
  <c r="U119" i="37" s="1"/>
  <c r="I119" i="37" s="1"/>
  <c r="F1805" i="33"/>
  <c r="K1808" i="33"/>
  <c r="G1805" i="33"/>
  <c r="K357" i="34"/>
  <c r="W119" i="37" s="1"/>
  <c r="H1805" i="33"/>
  <c r="G1806" i="33"/>
  <c r="CF1806" i="33" s="1"/>
  <c r="G1812" i="33" s="1"/>
  <c r="CF1812" i="33" s="1"/>
  <c r="G1818" i="33" s="1"/>
  <c r="CF1818" i="33" s="1"/>
  <c r="G1824" i="33" s="1"/>
  <c r="CF1824" i="33" s="1"/>
  <c r="Y1815" i="33"/>
  <c r="M357" i="34"/>
  <c r="Y119" i="37" s="1"/>
  <c r="M119" i="37" s="1"/>
  <c r="F1782" i="33"/>
  <c r="CJ1776" i="33"/>
  <c r="CH1773" i="33"/>
  <c r="I1777" i="33"/>
  <c r="CE1774" i="33"/>
  <c r="J1777" i="33"/>
  <c r="CE1775" i="33"/>
  <c r="K1775" i="33"/>
  <c r="H351" i="34"/>
  <c r="T118" i="37" s="1"/>
  <c r="CI1773" i="33"/>
  <c r="O346" i="34" a="1"/>
  <c r="O346" i="34" s="1"/>
  <c r="I351" i="34"/>
  <c r="U118" i="37" s="1"/>
  <c r="N111" i="37"/>
  <c r="J351" i="34"/>
  <c r="V118" i="37" s="1"/>
  <c r="J118" i="37" s="1"/>
  <c r="CJ1767" i="33"/>
  <c r="CJ1771" i="33" s="1"/>
  <c r="CJ1769" i="33"/>
  <c r="L351" i="34"/>
  <c r="X118" i="37" s="1"/>
  <c r="C61" i="40"/>
  <c r="F1773" i="33"/>
  <c r="K1776" i="33"/>
  <c r="G1773" i="33"/>
  <c r="H1773" i="33"/>
  <c r="G1774" i="33"/>
  <c r="CF1774" i="33" s="1"/>
  <c r="G1780" i="33" s="1"/>
  <c r="CF1780" i="33" s="1"/>
  <c r="G1786" i="33" s="1"/>
  <c r="CF1786" i="33" s="1"/>
  <c r="G1792" i="33" s="1"/>
  <c r="CF1792" i="33" s="1"/>
  <c r="Y1783" i="33"/>
  <c r="M351" i="34"/>
  <c r="Y118" i="37" s="1"/>
  <c r="CE1744" i="33"/>
  <c r="K1744" i="33"/>
  <c r="CH1741" i="33"/>
  <c r="I1745" i="33"/>
  <c r="J1745" i="33"/>
  <c r="CE1743" i="33"/>
  <c r="K1743" i="33"/>
  <c r="F345" i="34"/>
  <c r="R86" i="37" s="1"/>
  <c r="J345" i="34"/>
  <c r="V86" i="37" s="1"/>
  <c r="CI1741" i="33"/>
  <c r="L345" i="34"/>
  <c r="X86" i="37" s="1"/>
  <c r="CJ1735" i="33"/>
  <c r="CJ1737" i="33"/>
  <c r="C60" i="40"/>
  <c r="F1741" i="33"/>
  <c r="M345" i="34"/>
  <c r="Y86" i="37" s="1"/>
  <c r="G345" i="34"/>
  <c r="S86" i="37" s="1"/>
  <c r="G86" i="37" s="1"/>
  <c r="G1741" i="33"/>
  <c r="F1742" i="33"/>
  <c r="I345" i="34"/>
  <c r="U86" i="37" s="1"/>
  <c r="I86" i="37" s="1"/>
  <c r="H1741" i="33"/>
  <c r="Y1751" i="33"/>
  <c r="O340" i="34" a="1"/>
  <c r="O340" i="34" s="1"/>
  <c r="F410" i="34"/>
  <c r="CJ1738" i="33"/>
  <c r="CE1712" i="33"/>
  <c r="K1712" i="33"/>
  <c r="CH1709" i="33"/>
  <c r="I1713" i="33"/>
  <c r="F339" i="34"/>
  <c r="R83" i="37" s="1"/>
  <c r="CE1711" i="33"/>
  <c r="K1711" i="33"/>
  <c r="F408" i="34"/>
  <c r="CH1707" i="33"/>
  <c r="J1709" i="33"/>
  <c r="Y1731" i="33"/>
  <c r="F409" i="34"/>
  <c r="CI1707" i="33"/>
  <c r="AM1719" i="33"/>
  <c r="CJ1703" i="33"/>
  <c r="CJ1705" i="33"/>
  <c r="F411" i="34"/>
  <c r="F1709" i="33"/>
  <c r="C59" i="40"/>
  <c r="G1709" i="33"/>
  <c r="F1710" i="33"/>
  <c r="H1709" i="33"/>
  <c r="CJ1706" i="33"/>
  <c r="V333" i="34"/>
  <c r="W20" i="36"/>
  <c r="E333" i="34"/>
  <c r="Q80" i="37" s="1"/>
  <c r="CE1677" i="33"/>
  <c r="K1677" i="33"/>
  <c r="F1681" i="33"/>
  <c r="CH1677" i="33"/>
  <c r="I1681" i="33"/>
  <c r="N333" i="34"/>
  <c r="Z80" i="37" s="1"/>
  <c r="N80" i="37" s="1"/>
  <c r="J1681" i="33"/>
  <c r="CE1680" i="33"/>
  <c r="K1680" i="33"/>
  <c r="T333" i="34"/>
  <c r="H20" i="36"/>
  <c r="L20" i="36" s="1"/>
  <c r="M20" i="36" s="1"/>
  <c r="L333" i="34"/>
  <c r="X80" i="37" s="1"/>
  <c r="CE1679" i="33"/>
  <c r="K1679" i="33"/>
  <c r="N409" i="34"/>
  <c r="CI1677" i="33"/>
  <c r="CJ1671" i="33"/>
  <c r="CJ1673" i="33"/>
  <c r="O328" i="34" a="1"/>
  <c r="O328" i="34" s="1"/>
  <c r="C58" i="40"/>
  <c r="CE1675" i="33"/>
  <c r="G1677" i="33"/>
  <c r="F1678" i="33"/>
  <c r="J58" i="40"/>
  <c r="H1677" i="33"/>
  <c r="CJ1674" i="33"/>
  <c r="CE1648" i="33"/>
  <c r="K1648" i="33"/>
  <c r="CH1645" i="33"/>
  <c r="I1649" i="33"/>
  <c r="J1649" i="33"/>
  <c r="CE1647" i="33"/>
  <c r="F407" i="34"/>
  <c r="F327" i="34"/>
  <c r="R74" i="37" s="1"/>
  <c r="F74" i="37" s="1"/>
  <c r="Q57" i="40" a="1"/>
  <c r="Q57" i="40" s="1"/>
  <c r="P57" i="40" a="1"/>
  <c r="P57" i="40" s="1"/>
  <c r="O57" i="40" a="1"/>
  <c r="O57" i="40" s="1"/>
  <c r="N57" i="40" a="1"/>
  <c r="N57" i="40" s="1"/>
  <c r="M57" i="40" a="1"/>
  <c r="M57" i="40" s="1"/>
  <c r="CI1645" i="33"/>
  <c r="H1647" i="33"/>
  <c r="CG1647" i="33" s="1"/>
  <c r="H1653" i="33" s="1"/>
  <c r="CG1653" i="33" s="1"/>
  <c r="H1659" i="33" s="1"/>
  <c r="CG1659" i="33" s="1"/>
  <c r="H1665" i="33" s="1"/>
  <c r="CG1665" i="33" s="1"/>
  <c r="O322" i="34" a="1"/>
  <c r="O322" i="34" s="1"/>
  <c r="J57" i="40"/>
  <c r="CJ1639" i="33"/>
  <c r="F1645" i="33"/>
  <c r="G1645" i="33"/>
  <c r="F1646" i="33"/>
  <c r="C87" i="39"/>
  <c r="H35" i="39"/>
  <c r="C57" i="40"/>
  <c r="H1645" i="33"/>
  <c r="CJ1642" i="33"/>
  <c r="V321" i="34"/>
  <c r="Z11" i="36"/>
  <c r="CE1615" i="33"/>
  <c r="K1615" i="33"/>
  <c r="CH1617" i="33"/>
  <c r="I1619" i="33"/>
  <c r="Q56" i="40" a="1"/>
  <c r="Q56" i="40" s="1"/>
  <c r="P56" i="40" a="1"/>
  <c r="P56" i="40" s="1"/>
  <c r="O56" i="40" a="1"/>
  <c r="O56" i="40" s="1"/>
  <c r="N56" i="40" a="1"/>
  <c r="N56" i="40" s="1"/>
  <c r="M56" i="40" a="1"/>
  <c r="M56" i="40" s="1"/>
  <c r="CE1616" i="33"/>
  <c r="K1616" i="33"/>
  <c r="CI1613" i="33"/>
  <c r="CJ1607" i="33"/>
  <c r="CJ1609" i="33"/>
  <c r="I1617" i="33"/>
  <c r="K409" i="34"/>
  <c r="F1613" i="33"/>
  <c r="G1613" i="33"/>
  <c r="F1614" i="33"/>
  <c r="H1613" i="33"/>
  <c r="CJ1610" i="33"/>
  <c r="CH1581" i="33"/>
  <c r="I1585" i="33"/>
  <c r="CE1584" i="33"/>
  <c r="K1584" i="33"/>
  <c r="Q55" i="40" a="1"/>
  <c r="Q55" i="40" s="1"/>
  <c r="P55" i="40" a="1"/>
  <c r="P55" i="40" s="1"/>
  <c r="O55" i="40" a="1"/>
  <c r="O55" i="40" s="1"/>
  <c r="N55" i="40" a="1"/>
  <c r="N55" i="40" s="1"/>
  <c r="M55" i="40" a="1"/>
  <c r="M55" i="40" s="1"/>
  <c r="F1587" i="33"/>
  <c r="J1585" i="33"/>
  <c r="CE1583" i="33"/>
  <c r="K1583" i="33"/>
  <c r="H409" i="34"/>
  <c r="CI1581" i="33"/>
  <c r="I409" i="34"/>
  <c r="K410" i="34"/>
  <c r="L411" i="34"/>
  <c r="J55" i="40"/>
  <c r="G409" i="34"/>
  <c r="M411" i="34"/>
  <c r="N411" i="34"/>
  <c r="O310" i="34" a="1"/>
  <c r="O310" i="34" s="1"/>
  <c r="CJ1575" i="33"/>
  <c r="CJ1577" i="33"/>
  <c r="G411" i="34"/>
  <c r="G1581" i="33"/>
  <c r="F1582" i="33"/>
  <c r="I411" i="34"/>
  <c r="C55" i="40"/>
  <c r="H1581" i="33"/>
  <c r="E70" i="37"/>
  <c r="J409" i="34"/>
  <c r="H411" i="34"/>
  <c r="J411" i="34"/>
  <c r="CJ1578" i="33"/>
  <c r="CH1549" i="33"/>
  <c r="I1553" i="33"/>
  <c r="CE1550" i="33"/>
  <c r="J1553" i="33"/>
  <c r="CE1551" i="33"/>
  <c r="K1551" i="33"/>
  <c r="Q54" i="40" a="1"/>
  <c r="Q54" i="40" s="1"/>
  <c r="P54" i="40" a="1"/>
  <c r="P54" i="40" s="1"/>
  <c r="O54" i="40" a="1"/>
  <c r="O54" i="40" s="1"/>
  <c r="N54" i="40" a="1"/>
  <c r="N54" i="40" s="1"/>
  <c r="M54" i="40" a="1"/>
  <c r="M54" i="40" s="1"/>
  <c r="F1558" i="33"/>
  <c r="CJ1552" i="33"/>
  <c r="I51" i="39"/>
  <c r="E401" i="34"/>
  <c r="O304" i="34" a="1"/>
  <c r="O304" i="34" s="1"/>
  <c r="CI1549" i="33"/>
  <c r="J54" i="40"/>
  <c r="CJ1543" i="33"/>
  <c r="CJ1547" i="33" s="1"/>
  <c r="CJ1545" i="33"/>
  <c r="X63" i="36"/>
  <c r="AB63" i="36" s="1"/>
  <c r="F1549" i="33"/>
  <c r="K1552" i="33"/>
  <c r="V402" i="34"/>
  <c r="G1549" i="33"/>
  <c r="H1549" i="33"/>
  <c r="G1550" i="33"/>
  <c r="CF1550" i="33" s="1"/>
  <c r="G1556" i="33" s="1"/>
  <c r="CF1556" i="33" s="1"/>
  <c r="G1562" i="33" s="1"/>
  <c r="CF1562" i="33" s="1"/>
  <c r="G1568" i="33" s="1"/>
  <c r="CF1568" i="33" s="1"/>
  <c r="H309" i="34"/>
  <c r="T123" i="37" s="1"/>
  <c r="H123" i="37" s="1"/>
  <c r="N402" i="34"/>
  <c r="N303" i="34"/>
  <c r="Z122" i="37" s="1"/>
  <c r="N122" i="37" s="1"/>
  <c r="CE1519" i="33"/>
  <c r="CE1520" i="33"/>
  <c r="K1520" i="33"/>
  <c r="CH1517" i="33"/>
  <c r="I1521" i="33"/>
  <c r="O298" i="34" a="1"/>
  <c r="O298" i="34" s="1"/>
  <c r="CH1515" i="33"/>
  <c r="J1517" i="33"/>
  <c r="Y1539" i="33"/>
  <c r="CI1515" i="33"/>
  <c r="J1519" i="33"/>
  <c r="CI1519" i="33" s="1"/>
  <c r="J1525" i="33" s="1"/>
  <c r="CI1525" i="33" s="1"/>
  <c r="J1531" i="33" s="1"/>
  <c r="CI1531" i="33" s="1"/>
  <c r="J1537" i="33" s="1"/>
  <c r="CI1537" i="33" s="1"/>
  <c r="AM1527" i="33"/>
  <c r="CJ1511" i="33"/>
  <c r="F1517" i="33"/>
  <c r="G1517" i="33"/>
  <c r="F1518" i="33"/>
  <c r="M303" i="34"/>
  <c r="Y122" i="37" s="1"/>
  <c r="M122" i="37" s="1"/>
  <c r="H1517" i="33"/>
  <c r="J402" i="34"/>
  <c r="K303" i="34"/>
  <c r="W122" i="37" s="1"/>
  <c r="CJ1514" i="33"/>
  <c r="CE1487" i="33"/>
  <c r="K1487" i="33"/>
  <c r="Q52" i="40" a="1"/>
  <c r="Q52" i="40" s="1"/>
  <c r="P52" i="40" a="1"/>
  <c r="P52" i="40" s="1"/>
  <c r="O52" i="40" a="1"/>
  <c r="O52" i="40" s="1"/>
  <c r="N52" i="40" a="1"/>
  <c r="N52" i="40" s="1"/>
  <c r="M52" i="40" a="1"/>
  <c r="M52" i="40" s="1"/>
  <c r="CE1488" i="33"/>
  <c r="K1488" i="33"/>
  <c r="CH1485" i="33"/>
  <c r="I1489" i="33"/>
  <c r="G95" i="37"/>
  <c r="C52" i="40"/>
  <c r="CJ1479" i="33"/>
  <c r="CJ1483" i="33" s="1"/>
  <c r="CJ1481" i="33"/>
  <c r="CI1485" i="33"/>
  <c r="J52" i="40"/>
  <c r="F1485" i="33"/>
  <c r="J297" i="34"/>
  <c r="V117" i="37" s="1"/>
  <c r="H401" i="34"/>
  <c r="G1485" i="33"/>
  <c r="F1486" i="33"/>
  <c r="K297" i="34"/>
  <c r="W117" i="37" s="1"/>
  <c r="K117" i="37" s="1"/>
  <c r="H1485" i="33"/>
  <c r="F95" i="37"/>
  <c r="CJ1482" i="33"/>
  <c r="CE1455" i="33"/>
  <c r="K1455" i="33"/>
  <c r="Q51" i="40" a="1"/>
  <c r="Q51" i="40" s="1"/>
  <c r="P51" i="40" a="1"/>
  <c r="P51" i="40" s="1"/>
  <c r="O51" i="40" a="1"/>
  <c r="O51" i="40" s="1"/>
  <c r="N51" i="40" a="1"/>
  <c r="N51" i="40" s="1"/>
  <c r="M51" i="40" a="1"/>
  <c r="M51" i="40" s="1"/>
  <c r="CE1456" i="33"/>
  <c r="K1456" i="33"/>
  <c r="U401" i="34"/>
  <c r="O56" i="36"/>
  <c r="AE56" i="36" s="1"/>
  <c r="CH1453" i="33"/>
  <c r="I1457" i="33"/>
  <c r="J1457" i="33"/>
  <c r="CI1453" i="33"/>
  <c r="V291" i="34"/>
  <c r="V406" i="34" s="1"/>
  <c r="C51" i="40"/>
  <c r="CJ1447" i="33"/>
  <c r="CJ1449" i="33"/>
  <c r="M404" i="34"/>
  <c r="H291" i="34"/>
  <c r="T116" i="37" s="1"/>
  <c r="H116" i="37" s="1"/>
  <c r="H51" i="39"/>
  <c r="F1453" i="33"/>
  <c r="F405" i="34"/>
  <c r="H64" i="39"/>
  <c r="G1453" i="33"/>
  <c r="F1454" i="33"/>
  <c r="J51" i="40"/>
  <c r="H1453" i="33"/>
  <c r="U291" i="34"/>
  <c r="CJ1450" i="33"/>
  <c r="U285" i="34"/>
  <c r="R55" i="36"/>
  <c r="T55" i="36" s="1"/>
  <c r="U55" i="36" s="1"/>
  <c r="CE1424" i="33"/>
  <c r="K1424" i="33"/>
  <c r="CH1421" i="33"/>
  <c r="I1425" i="33"/>
  <c r="J1425" i="33"/>
  <c r="CE1423" i="33"/>
  <c r="K1423" i="33"/>
  <c r="CI1421" i="33"/>
  <c r="AM1431" i="33"/>
  <c r="J50" i="40"/>
  <c r="CJ1415" i="33"/>
  <c r="CJ1417" i="33"/>
  <c r="M403" i="34"/>
  <c r="G285" i="34"/>
  <c r="S115" i="37" s="1"/>
  <c r="O280" i="34" a="1"/>
  <c r="O280" i="34" s="1"/>
  <c r="F1421" i="33"/>
  <c r="G1421" i="33"/>
  <c r="F1422" i="33"/>
  <c r="H1421" i="33"/>
  <c r="AH31" i="36"/>
  <c r="G405" i="34"/>
  <c r="CJ1418" i="33"/>
  <c r="CH1389" i="33"/>
  <c r="I1393" i="33"/>
  <c r="CE1392" i="33"/>
  <c r="K1392" i="33"/>
  <c r="CE1391" i="33"/>
  <c r="K1391" i="33"/>
  <c r="Q49" i="40" a="1"/>
  <c r="Q49" i="40" s="1"/>
  <c r="P49" i="40" a="1"/>
  <c r="P49" i="40" s="1"/>
  <c r="O49" i="40" a="1"/>
  <c r="O49" i="40" s="1"/>
  <c r="N49" i="40" a="1"/>
  <c r="N49" i="40" s="1"/>
  <c r="M49" i="40" a="1"/>
  <c r="M49" i="40" s="1"/>
  <c r="AM1387" i="33"/>
  <c r="J1389" i="33"/>
  <c r="C49" i="40"/>
  <c r="CI1387" i="33"/>
  <c r="I75" i="37"/>
  <c r="K279" i="34"/>
  <c r="W114" i="37" s="1"/>
  <c r="K114" i="37" s="1"/>
  <c r="J1391" i="33"/>
  <c r="CI1391" i="33" s="1"/>
  <c r="J1397" i="33" s="1"/>
  <c r="CI1397" i="33" s="1"/>
  <c r="J1403" i="33" s="1"/>
  <c r="CI1403" i="33" s="1"/>
  <c r="J1409" i="33" s="1"/>
  <c r="CI1409" i="33" s="1"/>
  <c r="AM1399" i="33"/>
  <c r="M401" i="34"/>
  <c r="N405" i="34"/>
  <c r="F1389" i="33"/>
  <c r="G279" i="34"/>
  <c r="S114" i="37" s="1"/>
  <c r="G114" i="37" s="1"/>
  <c r="G1389" i="33"/>
  <c r="F1390" i="33"/>
  <c r="H1389" i="33"/>
  <c r="I404" i="34"/>
  <c r="CJ1386" i="33"/>
  <c r="CJ1387" i="33" s="1"/>
  <c r="CE1360" i="33"/>
  <c r="K1360" i="33"/>
  <c r="U402" i="34"/>
  <c r="U273" i="34"/>
  <c r="P53" i="36"/>
  <c r="T53" i="36" s="1"/>
  <c r="U53" i="36" s="1"/>
  <c r="CH1357" i="33"/>
  <c r="I1361" i="33"/>
  <c r="G273" i="34"/>
  <c r="S113" i="37" s="1"/>
  <c r="G113" i="37" s="1"/>
  <c r="G403" i="34"/>
  <c r="CE1359" i="33"/>
  <c r="K1359" i="33"/>
  <c r="L92" i="37"/>
  <c r="CH1355" i="33"/>
  <c r="J1357" i="33"/>
  <c r="K70" i="37"/>
  <c r="CJ1351" i="33"/>
  <c r="CJ1353" i="33"/>
  <c r="F1357" i="33"/>
  <c r="K405" i="34"/>
  <c r="G1357" i="33"/>
  <c r="F1358" i="33"/>
  <c r="H74" i="37"/>
  <c r="I405" i="34"/>
  <c r="H1357" i="33"/>
  <c r="CJ1354" i="33"/>
  <c r="I67" i="39"/>
  <c r="I35" i="39"/>
  <c r="U411" i="34"/>
  <c r="S23" i="36"/>
  <c r="AI23" i="36" s="1"/>
  <c r="M333" i="34"/>
  <c r="Y80" i="37" s="1"/>
  <c r="M80" i="37" s="1"/>
  <c r="M408" i="34"/>
  <c r="R20" i="36"/>
  <c r="AH20" i="36" s="1"/>
  <c r="U410" i="34"/>
  <c r="L407" i="34"/>
  <c r="L339" i="34"/>
  <c r="X83" i="37" s="1"/>
  <c r="E339" i="34"/>
  <c r="E408" i="34"/>
  <c r="I23" i="36"/>
  <c r="L23" i="36" s="1"/>
  <c r="T409" i="34"/>
  <c r="T339" i="34"/>
  <c r="J410" i="34"/>
  <c r="V409" i="34"/>
  <c r="V345" i="34"/>
  <c r="Y26" i="36"/>
  <c r="AB26" i="36" s="1"/>
  <c r="AC26" i="36" s="1"/>
  <c r="L410" i="34"/>
  <c r="E411" i="34"/>
  <c r="E351" i="34"/>
  <c r="Q118" i="37" s="1"/>
  <c r="E118" i="37" s="1"/>
  <c r="N410" i="34"/>
  <c r="T411" i="34"/>
  <c r="K58" i="36"/>
  <c r="AI58" i="36" s="1"/>
  <c r="V411" i="34"/>
  <c r="AA59" i="36"/>
  <c r="O60" i="36"/>
  <c r="AE60" i="36" s="1"/>
  <c r="U363" i="34"/>
  <c r="G369" i="34"/>
  <c r="S121" i="37" s="1"/>
  <c r="I375" i="34"/>
  <c r="U124" i="37" s="1"/>
  <c r="I124" i="37" s="1"/>
  <c r="V381" i="34"/>
  <c r="X29" i="36"/>
  <c r="AF29" i="36" s="1"/>
  <c r="I333" i="34"/>
  <c r="I408" i="34"/>
  <c r="P83" i="37"/>
  <c r="D407" i="34"/>
  <c r="P129" i="37" s="1"/>
  <c r="D129" i="37" s="1"/>
  <c r="M339" i="34"/>
  <c r="Y83" i="37" s="1"/>
  <c r="M407" i="34"/>
  <c r="N408" i="34"/>
  <c r="N339" i="34"/>
  <c r="Z83" i="37" s="1"/>
  <c r="Q23" i="36"/>
  <c r="U409" i="34"/>
  <c r="V339" i="34"/>
  <c r="V410" i="34"/>
  <c r="Z23" i="36"/>
  <c r="AB23" i="36" s="1"/>
  <c r="AC23" i="36" s="1"/>
  <c r="K345" i="34"/>
  <c r="W86" i="37" s="1"/>
  <c r="K86" i="37" s="1"/>
  <c r="N369" i="34"/>
  <c r="Z121" i="37" s="1"/>
  <c r="N121" i="37" s="1"/>
  <c r="O64" i="36"/>
  <c r="AE64" i="36" s="1"/>
  <c r="U375" i="34"/>
  <c r="E407" i="34"/>
  <c r="E345" i="34"/>
  <c r="Q86" i="37" s="1"/>
  <c r="E86" i="37" s="1"/>
  <c r="X64" i="36"/>
  <c r="AF64" i="36" s="1"/>
  <c r="V375" i="34"/>
  <c r="G351" i="34"/>
  <c r="S118" i="37" s="1"/>
  <c r="G118" i="37" s="1"/>
  <c r="G408" i="34"/>
  <c r="J407" i="34"/>
  <c r="J357" i="34"/>
  <c r="V119" i="37" s="1"/>
  <c r="J119" i="37" s="1"/>
  <c r="U357" i="34"/>
  <c r="P59" i="36"/>
  <c r="T59" i="36" s="1"/>
  <c r="M410" i="34"/>
  <c r="G339" i="34"/>
  <c r="S83" i="37" s="1"/>
  <c r="E410" i="34"/>
  <c r="M363" i="34"/>
  <c r="Y120" i="37" s="1"/>
  <c r="M120" i="37" s="1"/>
  <c r="I369" i="34"/>
  <c r="U121" i="37" s="1"/>
  <c r="I121" i="37" s="1"/>
  <c r="H61" i="36"/>
  <c r="L61" i="36" s="1"/>
  <c r="T369" i="34"/>
  <c r="R61" i="36"/>
  <c r="AH61" i="36" s="1"/>
  <c r="U369" i="34"/>
  <c r="L375" i="34"/>
  <c r="X124" i="37" s="1"/>
  <c r="L124" i="37" s="1"/>
  <c r="I410" i="34"/>
  <c r="K411" i="34"/>
  <c r="H339" i="34"/>
  <c r="T83" i="37" s="1"/>
  <c r="H407" i="34"/>
  <c r="V408" i="34"/>
  <c r="N407" i="34"/>
  <c r="N345" i="34"/>
  <c r="Z86" i="37" s="1"/>
  <c r="N86" i="37" s="1"/>
  <c r="T351" i="34"/>
  <c r="G58" i="36"/>
  <c r="AE58" i="36" s="1"/>
  <c r="U351" i="34"/>
  <c r="Q58" i="36"/>
  <c r="AG58" i="36" s="1"/>
  <c r="V407" i="34"/>
  <c r="V357" i="34"/>
  <c r="W59" i="36"/>
  <c r="AE59" i="36" s="1"/>
  <c r="L357" i="34"/>
  <c r="X119" i="37" s="1"/>
  <c r="L119" i="37" s="1"/>
  <c r="L408" i="34"/>
  <c r="E357" i="34"/>
  <c r="Q119" i="37" s="1"/>
  <c r="E119" i="37" s="1"/>
  <c r="E409" i="34"/>
  <c r="I60" i="36"/>
  <c r="L60" i="36" s="1"/>
  <c r="M60" i="36" s="1"/>
  <c r="T363" i="34"/>
  <c r="H381" i="34"/>
  <c r="T89" i="37" s="1"/>
  <c r="H89" i="37" s="1"/>
  <c r="R29" i="36"/>
  <c r="AH29" i="36" s="1"/>
  <c r="U381" i="34"/>
  <c r="K333" i="34"/>
  <c r="K407" i="34"/>
  <c r="U333" i="34"/>
  <c r="P20" i="36"/>
  <c r="U408" i="34"/>
  <c r="I407" i="34"/>
  <c r="I339" i="34"/>
  <c r="U83" i="37" s="1"/>
  <c r="I83" i="37" s="1"/>
  <c r="J339" i="34"/>
  <c r="V83" i="37" s="1"/>
  <c r="J408" i="34"/>
  <c r="L409" i="34"/>
  <c r="G410" i="34"/>
  <c r="H345" i="34"/>
  <c r="T86" i="37" s="1"/>
  <c r="H86" i="37" s="1"/>
  <c r="H408" i="34"/>
  <c r="H357" i="34"/>
  <c r="T119" i="37" s="1"/>
  <c r="H410" i="34"/>
  <c r="V369" i="34"/>
  <c r="Y61" i="36"/>
  <c r="AG61" i="36" s="1"/>
  <c r="G333" i="34"/>
  <c r="G407" i="34"/>
  <c r="U339" i="34"/>
  <c r="U407" i="34"/>
  <c r="O23" i="36"/>
  <c r="K408" i="34"/>
  <c r="K339" i="34"/>
  <c r="W83" i="37" s="1"/>
  <c r="M409" i="34"/>
  <c r="H26" i="36"/>
  <c r="AF26" i="36" s="1"/>
  <c r="T345" i="34"/>
  <c r="T408" i="34"/>
  <c r="V351" i="34"/>
  <c r="X58" i="36"/>
  <c r="T410" i="34"/>
  <c r="T357" i="34"/>
  <c r="J59" i="36"/>
  <c r="AH59" i="36" s="1"/>
  <c r="V363" i="34"/>
  <c r="Z60" i="36"/>
  <c r="AB60" i="36" s="1"/>
  <c r="M375" i="34"/>
  <c r="Y124" i="37" s="1"/>
  <c r="M124" i="37" s="1"/>
  <c r="G29" i="36"/>
  <c r="AE29" i="36" s="1"/>
  <c r="T381" i="34"/>
  <c r="S61" i="40"/>
  <c r="E74" i="37"/>
  <c r="P63" i="40" a="1"/>
  <c r="P63" i="40" s="1"/>
  <c r="O63" i="40" a="1"/>
  <c r="O63" i="40" s="1"/>
  <c r="N63" i="40" a="1"/>
  <c r="N63" i="40" s="1"/>
  <c r="M63" i="40" a="1"/>
  <c r="M63" i="40" s="1"/>
  <c r="T407" i="34"/>
  <c r="Q189" i="34"/>
  <c r="F10" i="36" s="1"/>
  <c r="AD10" i="36" s="1"/>
  <c r="G75" i="39"/>
  <c r="C63" i="40"/>
  <c r="M74" i="37"/>
  <c r="I88" i="37"/>
  <c r="E74" i="39"/>
  <c r="I16" i="39"/>
  <c r="F412" i="34"/>
  <c r="J81" i="37"/>
  <c r="O358" i="34" a="1"/>
  <c r="O358" i="34" s="1"/>
  <c r="F88" i="37"/>
  <c r="N92" i="37"/>
  <c r="Q381" i="34"/>
  <c r="F29" i="36" s="1"/>
  <c r="AD29" i="36" s="1"/>
  <c r="K59" i="40"/>
  <c r="G109" i="37"/>
  <c r="I48" i="39"/>
  <c r="Q63" i="40" a="1"/>
  <c r="Q63" i="40" s="1"/>
  <c r="T255" i="34"/>
  <c r="T401" i="34"/>
  <c r="X50" i="36"/>
  <c r="V255" i="34"/>
  <c r="I273" i="34"/>
  <c r="U113" i="37" s="1"/>
  <c r="I113" i="37" s="1"/>
  <c r="U405" i="34"/>
  <c r="S54" i="36"/>
  <c r="T54" i="36" s="1"/>
  <c r="U54" i="36" s="1"/>
  <c r="R77" i="37"/>
  <c r="F77" i="37" s="1"/>
  <c r="K261" i="34"/>
  <c r="W111" i="37" s="1"/>
  <c r="K111" i="37" s="1"/>
  <c r="M279" i="34"/>
  <c r="Y114" i="37" s="1"/>
  <c r="M114" i="37" s="1"/>
  <c r="Z50" i="36"/>
  <c r="AH50" i="36" s="1"/>
  <c r="V404" i="34"/>
  <c r="W51" i="36"/>
  <c r="AB51" i="36" s="1"/>
  <c r="AC51" i="36" s="1"/>
  <c r="V401" i="34"/>
  <c r="V74" i="37"/>
  <c r="J74" i="37" s="1"/>
  <c r="Y77" i="37"/>
  <c r="M77" i="37" s="1"/>
  <c r="G401" i="34"/>
  <c r="G261" i="34"/>
  <c r="S111" i="37" s="1"/>
  <c r="G111" i="37" s="1"/>
  <c r="J403" i="34"/>
  <c r="J309" i="34"/>
  <c r="V123" i="37" s="1"/>
  <c r="J123" i="37" s="1"/>
  <c r="K267" i="34"/>
  <c r="W112" i="37" s="1"/>
  <c r="K112" i="37" s="1"/>
  <c r="K402" i="34"/>
  <c r="E404" i="34"/>
  <c r="K55" i="40"/>
  <c r="V48" i="40"/>
  <c r="U404" i="34"/>
  <c r="M84" i="37"/>
  <c r="AE63" i="36"/>
  <c r="F71" i="37"/>
  <c r="J113" i="37"/>
  <c r="F113" i="37"/>
  <c r="L75" i="37"/>
  <c r="F104" i="37"/>
  <c r="N81" i="37"/>
  <c r="G88" i="37"/>
  <c r="M75" i="37"/>
  <c r="E75" i="37"/>
  <c r="K75" i="37"/>
  <c r="CE1299" i="33"/>
  <c r="K84" i="37"/>
  <c r="I104" i="37"/>
  <c r="I402" i="34"/>
  <c r="AF1259" i="33"/>
  <c r="I1297" i="33"/>
  <c r="F1297" i="33"/>
  <c r="CE1294" i="33"/>
  <c r="K1294" i="33"/>
  <c r="P45" i="40" a="1"/>
  <c r="P45" i="40" s="1"/>
  <c r="O45" i="40" a="1"/>
  <c r="O45" i="40" s="1"/>
  <c r="N45" i="40" a="1"/>
  <c r="N45" i="40" s="1"/>
  <c r="M45" i="40" a="1"/>
  <c r="M45" i="40" s="1"/>
  <c r="F1276" i="33"/>
  <c r="CI1291" i="33"/>
  <c r="J1293" i="33"/>
  <c r="C46" i="40"/>
  <c r="I1299" i="33"/>
  <c r="CH1297" i="33"/>
  <c r="CJ1262" i="33"/>
  <c r="H1267" i="33"/>
  <c r="CG1265" i="33"/>
  <c r="AM1283" i="33"/>
  <c r="T46" i="40"/>
  <c r="AM1265" i="33"/>
  <c r="S45" i="40"/>
  <c r="G1270" i="33"/>
  <c r="CF1270" i="33" s="1"/>
  <c r="G1276" i="33" s="1"/>
  <c r="CF1276" i="33" s="1"/>
  <c r="G1282" i="33" s="1"/>
  <c r="CF1282" i="33" s="1"/>
  <c r="CJ1264" i="33"/>
  <c r="H1327" i="33"/>
  <c r="CG1327" i="33" s="1"/>
  <c r="CJ1321" i="33"/>
  <c r="C50" i="40"/>
  <c r="F1263" i="33"/>
  <c r="F1265" i="33" s="1"/>
  <c r="CJ1257" i="33"/>
  <c r="K1264" i="33"/>
  <c r="BA1297" i="33"/>
  <c r="C48" i="40"/>
  <c r="V49" i="40"/>
  <c r="AM1329" i="33"/>
  <c r="S47" i="40"/>
  <c r="CC1259" i="33"/>
  <c r="G1261" i="33"/>
  <c r="K1261" i="33" s="1"/>
  <c r="AT1265" i="33"/>
  <c r="F1268" i="33"/>
  <c r="K1270" i="33"/>
  <c r="BH1277" i="33"/>
  <c r="G1293" i="33"/>
  <c r="AT1297" i="33"/>
  <c r="H1297" i="33"/>
  <c r="BH1303" i="33"/>
  <c r="AT1323" i="33"/>
  <c r="CG1323" i="33"/>
  <c r="H1325" i="33"/>
  <c r="F1331" i="33"/>
  <c r="CE1261" i="33"/>
  <c r="CJ1256" i="33"/>
  <c r="AF1271" i="33"/>
  <c r="CX1283" i="33"/>
  <c r="R1291" i="33"/>
  <c r="BV1291" i="33"/>
  <c r="F1296" i="33"/>
  <c r="CX1309" i="33"/>
  <c r="BH1315" i="33"/>
  <c r="CX1315" i="33"/>
  <c r="F1328" i="33"/>
  <c r="CJ1322" i="33"/>
  <c r="G1329" i="33"/>
  <c r="CE1259" i="33"/>
  <c r="J1261" i="33"/>
  <c r="Y1291" i="33"/>
  <c r="CC1291" i="33"/>
  <c r="DE1291" i="33"/>
  <c r="CE1295" i="33"/>
  <c r="K1295" i="33"/>
  <c r="CE1291" i="33"/>
  <c r="CJ1320" i="33"/>
  <c r="I1331" i="33"/>
  <c r="CH1329" i="33"/>
  <c r="CG1259" i="33"/>
  <c r="DE1265" i="33"/>
  <c r="Y1283" i="33"/>
  <c r="CC1283" i="33"/>
  <c r="CJ1287" i="33"/>
  <c r="CJ1288" i="33"/>
  <c r="CG1291" i="33"/>
  <c r="Y1303" i="33"/>
  <c r="CC1303" i="33"/>
  <c r="Y1309" i="33"/>
  <c r="CC1309" i="33"/>
  <c r="CJ1319" i="33"/>
  <c r="CJ1323" i="33" s="1"/>
  <c r="J1325" i="33"/>
  <c r="F1326" i="33"/>
  <c r="BA1259" i="33"/>
  <c r="I1265" i="33"/>
  <c r="CH1261" i="33"/>
  <c r="CH1259" i="33"/>
  <c r="AF1303" i="33"/>
  <c r="R1323" i="33"/>
  <c r="BV1323" i="33"/>
  <c r="BV1329" i="33"/>
  <c r="BH1271" i="33"/>
  <c r="AT1291" i="33"/>
  <c r="CG1297" i="33"/>
  <c r="H1299" i="33"/>
  <c r="AF1315" i="33"/>
  <c r="Y1323" i="33"/>
  <c r="CC1323" i="33"/>
  <c r="BA1323" i="33"/>
  <c r="AT1335" i="33"/>
  <c r="CJ1255" i="33"/>
  <c r="CJ1259" i="33" s="1"/>
  <c r="CX1271" i="33"/>
  <c r="CH1323" i="33"/>
  <c r="CF1331" i="33"/>
  <c r="G1335" i="33"/>
  <c r="CF1329" i="33"/>
  <c r="CE1333" i="33"/>
  <c r="CJ1289" i="33"/>
  <c r="F1329" i="33"/>
  <c r="CX1335" i="33"/>
  <c r="DE1347" i="33"/>
  <c r="BO1341" i="33"/>
  <c r="AM1335" i="33"/>
  <c r="DE1341" i="33"/>
  <c r="AT1347" i="33"/>
  <c r="CX1329" i="33"/>
  <c r="AF1329" i="33"/>
  <c r="M201" i="34"/>
  <c r="Y78" i="37" s="1"/>
  <c r="M78" i="37" s="1"/>
  <c r="U207" i="34"/>
  <c r="U406" i="34" s="1"/>
  <c r="AS7" i="36" s="1"/>
  <c r="E213" i="34"/>
  <c r="Q84" i="37" s="1"/>
  <c r="E84" i="37" s="1"/>
  <c r="U213" i="34"/>
  <c r="R24" i="36"/>
  <c r="AH24" i="36" s="1"/>
  <c r="F406" i="34"/>
  <c r="F9" i="34" s="1"/>
  <c r="K94" i="37"/>
  <c r="O401" i="34"/>
  <c r="H402" i="34"/>
  <c r="M405" i="34"/>
  <c r="G189" i="34"/>
  <c r="S70" i="37" s="1"/>
  <c r="G70" i="37" s="1"/>
  <c r="W21" i="36"/>
  <c r="AB21" i="36" s="1"/>
  <c r="AC21" i="36" s="1"/>
  <c r="V207" i="34"/>
  <c r="L231" i="34"/>
  <c r="X85" i="37" s="1"/>
  <c r="L85" i="37" s="1"/>
  <c r="N237" i="34"/>
  <c r="Z88" i="37" s="1"/>
  <c r="N88" i="37" s="1"/>
  <c r="T249" i="34"/>
  <c r="L82" i="37"/>
  <c r="L403" i="34"/>
  <c r="L183" i="34"/>
  <c r="X76" i="37" s="1"/>
  <c r="L76" i="37" s="1"/>
  <c r="T219" i="34"/>
  <c r="H19" i="36"/>
  <c r="AF19" i="36" s="1"/>
  <c r="N72" i="37"/>
  <c r="U403" i="34"/>
  <c r="M183" i="34"/>
  <c r="Y76" i="37" s="1"/>
  <c r="M76" i="37" s="1"/>
  <c r="K401" i="34"/>
  <c r="G207" i="34"/>
  <c r="S81" i="37" s="1"/>
  <c r="G81" i="37" s="1"/>
  <c r="J219" i="34"/>
  <c r="V79" i="37" s="1"/>
  <c r="J79" i="37" s="1"/>
  <c r="J237" i="34"/>
  <c r="V88" i="37" s="1"/>
  <c r="J88" i="37" s="1"/>
  <c r="AF55" i="36"/>
  <c r="F111" i="37"/>
  <c r="W72" i="37"/>
  <c r="K72" i="37" s="1"/>
  <c r="K403" i="34"/>
  <c r="I401" i="34"/>
  <c r="J10" i="36"/>
  <c r="AH10" i="36" s="1"/>
  <c r="T189" i="34"/>
  <c r="T406" i="34" s="1"/>
  <c r="H243" i="34"/>
  <c r="T108" i="37" s="1"/>
  <c r="H108" i="37" s="1"/>
  <c r="K404" i="34"/>
  <c r="W10" i="36"/>
  <c r="AB10" i="36" s="1"/>
  <c r="V189" i="34"/>
  <c r="I207" i="34"/>
  <c r="U81" i="37" s="1"/>
  <c r="I81" i="37" s="1"/>
  <c r="L404" i="34"/>
  <c r="L177" i="34"/>
  <c r="G21" i="36"/>
  <c r="T207" i="34"/>
  <c r="J104" i="37"/>
  <c r="AI11" i="36"/>
  <c r="M123" i="37"/>
  <c r="AH52" i="36"/>
  <c r="CJ847" i="33"/>
  <c r="F853" i="33"/>
  <c r="H405" i="34"/>
  <c r="O32" i="40" a="1"/>
  <c r="O32" i="40" s="1"/>
  <c r="N32" i="40" a="1"/>
  <c r="N32" i="40" s="1"/>
  <c r="M32" i="40" a="1"/>
  <c r="M32" i="40" s="1"/>
  <c r="Q32" i="40" a="1"/>
  <c r="Q32" i="40" s="1"/>
  <c r="P32" i="40" a="1"/>
  <c r="P32" i="40" s="1"/>
  <c r="L104" i="37"/>
  <c r="G849" i="33"/>
  <c r="CF845" i="33"/>
  <c r="H104" i="37"/>
  <c r="I849" i="33"/>
  <c r="CH845" i="33"/>
  <c r="BH843" i="33"/>
  <c r="J849" i="33"/>
  <c r="CI845" i="33"/>
  <c r="H845" i="33"/>
  <c r="DE887" i="33"/>
  <c r="F885" i="33"/>
  <c r="R899" i="33"/>
  <c r="BV899" i="33"/>
  <c r="CE910" i="33"/>
  <c r="K910" i="33"/>
  <c r="AM931" i="33"/>
  <c r="R951" i="33"/>
  <c r="BV951" i="33"/>
  <c r="CJ969" i="33"/>
  <c r="G975" i="33"/>
  <c r="K843" i="33"/>
  <c r="BO843" i="33"/>
  <c r="CJ839" i="33"/>
  <c r="Y899" i="33"/>
  <c r="CC899" i="33"/>
  <c r="BH907" i="33"/>
  <c r="CI907" i="33"/>
  <c r="DE913" i="33"/>
  <c r="F911" i="33"/>
  <c r="BO925" i="33"/>
  <c r="F945" i="33"/>
  <c r="F950" i="33"/>
  <c r="Y951" i="33"/>
  <c r="CC951" i="33"/>
  <c r="CF971" i="33"/>
  <c r="G973" i="33"/>
  <c r="CJ967" i="33"/>
  <c r="CJ971" i="33" s="1"/>
  <c r="CJ1066" i="33"/>
  <c r="F1072" i="33"/>
  <c r="CF843" i="33"/>
  <c r="K845" i="33"/>
  <c r="BO849" i="33"/>
  <c r="R861" i="33"/>
  <c r="BV861" i="33"/>
  <c r="AM875" i="33"/>
  <c r="CF875" i="33"/>
  <c r="R925" i="33"/>
  <c r="BV925" i="33"/>
  <c r="DE931" i="33"/>
  <c r="CH939" i="33"/>
  <c r="I941" i="33"/>
  <c r="CI945" i="33"/>
  <c r="J947" i="33"/>
  <c r="F948" i="33"/>
  <c r="CJ942" i="33"/>
  <c r="F846" i="33"/>
  <c r="F849" i="33" s="1"/>
  <c r="G881" i="33"/>
  <c r="H913" i="33"/>
  <c r="F987" i="33"/>
  <c r="AF843" i="33"/>
  <c r="CI843" i="33"/>
  <c r="CX861" i="33"/>
  <c r="BH867" i="33"/>
  <c r="CE880" i="33"/>
  <c r="K880" i="33"/>
  <c r="Y887" i="33"/>
  <c r="CC887" i="33"/>
  <c r="CX899" i="33"/>
  <c r="DE907" i="33"/>
  <c r="Y913" i="33"/>
  <c r="CC913" i="33"/>
  <c r="AT919" i="33"/>
  <c r="F982" i="33"/>
  <c r="CJ976" i="33"/>
  <c r="H985" i="33"/>
  <c r="CJ842" i="33"/>
  <c r="CE845" i="33"/>
  <c r="CE907" i="33"/>
  <c r="F909" i="33"/>
  <c r="CJ903" i="33"/>
  <c r="CX939" i="33"/>
  <c r="CE943" i="33"/>
  <c r="K943" i="33"/>
  <c r="K847" i="33"/>
  <c r="F848" i="33"/>
  <c r="K875" i="33"/>
  <c r="BO875" i="33"/>
  <c r="K879" i="33"/>
  <c r="AM887" i="33"/>
  <c r="CF909" i="33"/>
  <c r="G913" i="33"/>
  <c r="K912" i="33"/>
  <c r="CE912" i="33"/>
  <c r="CG913" i="33"/>
  <c r="H915" i="33"/>
  <c r="I977" i="33"/>
  <c r="CH843" i="33"/>
  <c r="CJ841" i="33"/>
  <c r="AM913" i="33"/>
  <c r="BH919" i="33"/>
  <c r="CI977" i="33"/>
  <c r="J979" i="33"/>
  <c r="K974" i="33"/>
  <c r="F877" i="33"/>
  <c r="CJ904" i="33"/>
  <c r="CJ906" i="33"/>
  <c r="I909" i="33"/>
  <c r="K942" i="33"/>
  <c r="I944" i="33"/>
  <c r="CH944" i="33" s="1"/>
  <c r="I950" i="33" s="1"/>
  <c r="CH950" i="33" s="1"/>
  <c r="I956" i="33" s="1"/>
  <c r="CH956" i="33" s="1"/>
  <c r="I962" i="33" s="1"/>
  <c r="CH962" i="33" s="1"/>
  <c r="BH957" i="33"/>
  <c r="CH977" i="33"/>
  <c r="I979" i="33"/>
  <c r="AF983" i="33"/>
  <c r="AT989" i="33"/>
  <c r="BH995" i="33"/>
  <c r="F1006" i="33"/>
  <c r="CJ1000" i="33"/>
  <c r="F1011" i="33"/>
  <c r="G1013" i="33"/>
  <c r="CJ1007" i="33"/>
  <c r="CJ1031" i="33"/>
  <c r="CE1035" i="33"/>
  <c r="F1037" i="33"/>
  <c r="G1039" i="33"/>
  <c r="CF1039" i="33" s="1"/>
  <c r="G1045" i="33" s="1"/>
  <c r="CF1045" i="33" s="1"/>
  <c r="G1051" i="33" s="1"/>
  <c r="CF1051" i="33" s="1"/>
  <c r="G1057" i="33" s="1"/>
  <c r="CF1057" i="33" s="1"/>
  <c r="CF1035" i="33"/>
  <c r="CF877" i="33"/>
  <c r="F878" i="33"/>
  <c r="J909" i="33"/>
  <c r="CJ935" i="33"/>
  <c r="CJ937" i="33"/>
  <c r="AF963" i="33"/>
  <c r="BA971" i="33"/>
  <c r="AM977" i="33"/>
  <c r="BA989" i="33"/>
  <c r="CX989" i="33"/>
  <c r="BH1003" i="33"/>
  <c r="CI1003" i="33"/>
  <c r="I1011" i="33"/>
  <c r="H877" i="33"/>
  <c r="CE941" i="33"/>
  <c r="K944" i="33"/>
  <c r="J945" i="33"/>
  <c r="CE980" i="33"/>
  <c r="CH971" i="33"/>
  <c r="CG974" i="33"/>
  <c r="H980" i="33" s="1"/>
  <c r="CG980" i="33" s="1"/>
  <c r="H986" i="33" s="1"/>
  <c r="CG986" i="33" s="1"/>
  <c r="H992" i="33" s="1"/>
  <c r="CG992" i="33" s="1"/>
  <c r="DE983" i="33"/>
  <c r="BH989" i="33"/>
  <c r="CI1005" i="33"/>
  <c r="J1009" i="33"/>
  <c r="CJ874" i="33"/>
  <c r="CJ875" i="33" s="1"/>
  <c r="I877" i="33"/>
  <c r="G941" i="33"/>
  <c r="I1009" i="33"/>
  <c r="CH1006" i="33"/>
  <c r="I1012" i="33" s="1"/>
  <c r="CH1012" i="33" s="1"/>
  <c r="I1018" i="33" s="1"/>
  <c r="CH1018" i="33" s="1"/>
  <c r="I1024" i="33" s="1"/>
  <c r="CH1024" i="33" s="1"/>
  <c r="J877" i="33"/>
  <c r="H941" i="33"/>
  <c r="AF957" i="33"/>
  <c r="BH983" i="33"/>
  <c r="CJ1001" i="33"/>
  <c r="CC1009" i="33"/>
  <c r="CJ936" i="33"/>
  <c r="J977" i="33"/>
  <c r="K976" i="33"/>
  <c r="CE971" i="33"/>
  <c r="F973" i="33"/>
  <c r="CJ1003" i="33"/>
  <c r="F1008" i="33"/>
  <c r="CJ1002" i="33"/>
  <c r="CH1043" i="33"/>
  <c r="I1047" i="33"/>
  <c r="I1073" i="33"/>
  <c r="CH1069" i="33"/>
  <c r="K1003" i="33"/>
  <c r="CX1009" i="33"/>
  <c r="BV1015" i="33"/>
  <c r="CF1037" i="33"/>
  <c r="G1041" i="33"/>
  <c r="BV1047" i="33"/>
  <c r="CJ1071" i="33"/>
  <c r="CH1003" i="33"/>
  <c r="BV1009" i="33"/>
  <c r="H1009" i="33"/>
  <c r="CC1021" i="33"/>
  <c r="F1040" i="33"/>
  <c r="CJ1034" i="33"/>
  <c r="CH1035" i="33"/>
  <c r="H1037" i="33"/>
  <c r="CX1053" i="33"/>
  <c r="H1113" i="33"/>
  <c r="CG1111" i="33"/>
  <c r="CJ1038" i="33"/>
  <c r="F1044" i="33"/>
  <c r="K1039" i="33"/>
  <c r="G1070" i="33"/>
  <c r="CF1070" i="33" s="1"/>
  <c r="G1076" i="33" s="1"/>
  <c r="CF1076" i="33" s="1"/>
  <c r="G1082" i="33" s="1"/>
  <c r="CF1082" i="33" s="1"/>
  <c r="G1088" i="33" s="1"/>
  <c r="CF1088" i="33" s="1"/>
  <c r="CF1067" i="33"/>
  <c r="R989" i="33"/>
  <c r="BV989" i="33"/>
  <c r="AF995" i="33"/>
  <c r="CE1019" i="33"/>
  <c r="K1007" i="33"/>
  <c r="DE1059" i="33"/>
  <c r="BV1067" i="33"/>
  <c r="F1109" i="33"/>
  <c r="G1005" i="33"/>
  <c r="CF1003" i="33"/>
  <c r="AT1015" i="33"/>
  <c r="AT1003" i="33"/>
  <c r="H1011" i="33"/>
  <c r="CG1009" i="33"/>
  <c r="AT1009" i="33"/>
  <c r="CX1021" i="33"/>
  <c r="BA1027" i="33"/>
  <c r="CE1039" i="33"/>
  <c r="BO1079" i="33"/>
  <c r="BH1027" i="33"/>
  <c r="CH1041" i="33"/>
  <c r="CG1071" i="33"/>
  <c r="H1077" i="33" s="1"/>
  <c r="CG1077" i="33" s="1"/>
  <c r="H1083" i="33" s="1"/>
  <c r="CG1083" i="33" s="1"/>
  <c r="H1089" i="33" s="1"/>
  <c r="CG1089" i="33" s="1"/>
  <c r="K1071" i="33"/>
  <c r="G1075" i="33"/>
  <c r="CF1073" i="33"/>
  <c r="CJ1064" i="33"/>
  <c r="CJ1067" i="33" s="1"/>
  <c r="CX1079" i="33"/>
  <c r="CE1101" i="33"/>
  <c r="K1101" i="33"/>
  <c r="J1142" i="33"/>
  <c r="CI1142" i="33" s="1"/>
  <c r="J1148" i="33" s="1"/>
  <c r="CI1148" i="33" s="1"/>
  <c r="J1154" i="33" s="1"/>
  <c r="CI1154" i="33" s="1"/>
  <c r="CI1137" i="33"/>
  <c r="J1069" i="33"/>
  <c r="BV1079" i="33"/>
  <c r="BH1079" i="33"/>
  <c r="CJ1098" i="33"/>
  <c r="F1104" i="33"/>
  <c r="J1105" i="33"/>
  <c r="CI1101" i="33"/>
  <c r="CG1003" i="33"/>
  <c r="J1037" i="33"/>
  <c r="CI1035" i="33"/>
  <c r="CE1077" i="33"/>
  <c r="K1077" i="33"/>
  <c r="CX1073" i="33"/>
  <c r="G1073" i="33"/>
  <c r="I1105" i="33"/>
  <c r="CH1101" i="33"/>
  <c r="J1103" i="33"/>
  <c r="CI1103" i="33" s="1"/>
  <c r="J1109" i="33" s="1"/>
  <c r="CI1109" i="33" s="1"/>
  <c r="J1115" i="33" s="1"/>
  <c r="CI1115" i="33" s="1"/>
  <c r="J1121" i="33" s="1"/>
  <c r="CI1121" i="33" s="1"/>
  <c r="CI1099" i="33"/>
  <c r="K1038" i="33"/>
  <c r="F1069" i="33"/>
  <c r="CE1067" i="33"/>
  <c r="CC1105" i="33"/>
  <c r="AM1111" i="33"/>
  <c r="CG1143" i="33"/>
  <c r="H1145" i="33"/>
  <c r="F1070" i="33"/>
  <c r="H1111" i="33"/>
  <c r="CG1105" i="33"/>
  <c r="J1145" i="33"/>
  <c r="CJ1033" i="33"/>
  <c r="H1069" i="33"/>
  <c r="CG1067" i="33"/>
  <c r="K1141" i="33"/>
  <c r="CE1141" i="33"/>
  <c r="AT1079" i="33"/>
  <c r="CX1085" i="33"/>
  <c r="BV1091" i="33"/>
  <c r="K1103" i="33"/>
  <c r="BA1111" i="33"/>
  <c r="CX1149" i="33"/>
  <c r="G1107" i="33"/>
  <c r="CF1105" i="33"/>
  <c r="AT1105" i="33"/>
  <c r="BH1099" i="33"/>
  <c r="F1102" i="33"/>
  <c r="CJ1096" i="33"/>
  <c r="CJ1099" i="33" s="1"/>
  <c r="CJ1097" i="33"/>
  <c r="H1105" i="33"/>
  <c r="BA1105" i="33"/>
  <c r="CE1133" i="33"/>
  <c r="K1133" i="33"/>
  <c r="CC1137" i="33"/>
  <c r="AM1143" i="33"/>
  <c r="H1143" i="33"/>
  <c r="CG1137" i="33"/>
  <c r="K1166" i="33"/>
  <c r="CE1166" i="33"/>
  <c r="BV1117" i="33"/>
  <c r="J1143" i="33"/>
  <c r="CG1163" i="33"/>
  <c r="CJ1135" i="33"/>
  <c r="CJ1161" i="33"/>
  <c r="F1167" i="33"/>
  <c r="G1105" i="33"/>
  <c r="AM1117" i="33"/>
  <c r="BH1117" i="33"/>
  <c r="BO1123" i="33"/>
  <c r="CF1133" i="33"/>
  <c r="G1137" i="33"/>
  <c r="CH1131" i="33"/>
  <c r="K1135" i="33"/>
  <c r="DE1149" i="33"/>
  <c r="I1198" i="33"/>
  <c r="CH1198" i="33" s="1"/>
  <c r="I1204" i="33" s="1"/>
  <c r="CH1204" i="33" s="1"/>
  <c r="I1210" i="33" s="1"/>
  <c r="CH1210" i="33" s="1"/>
  <c r="I1216" i="33" s="1"/>
  <c r="CH1216" i="33" s="1"/>
  <c r="CH1195" i="33"/>
  <c r="CJ1193" i="33"/>
  <c r="F1199" i="33"/>
  <c r="G1203" i="33"/>
  <c r="AT1117" i="33"/>
  <c r="CI1131" i="33"/>
  <c r="AT1137" i="33"/>
  <c r="AM1155" i="33"/>
  <c r="H1137" i="33"/>
  <c r="BA1137" i="33"/>
  <c r="H1169" i="33"/>
  <c r="CG1165" i="33"/>
  <c r="CC1169" i="33"/>
  <c r="CE1099" i="33"/>
  <c r="BH1131" i="33"/>
  <c r="F1134" i="33"/>
  <c r="CJ1128" i="33"/>
  <c r="CJ1131" i="33" s="1"/>
  <c r="CJ1129" i="33"/>
  <c r="I1133" i="33"/>
  <c r="CX1137" i="33"/>
  <c r="F1136" i="33"/>
  <c r="I1169" i="33"/>
  <c r="CH1165" i="33"/>
  <c r="CJ1160" i="33"/>
  <c r="CF1165" i="33"/>
  <c r="AM1175" i="33"/>
  <c r="DE1181" i="33"/>
  <c r="BO1117" i="33"/>
  <c r="CX1117" i="33"/>
  <c r="J1137" i="33"/>
  <c r="F1165" i="33"/>
  <c r="CE1163" i="33"/>
  <c r="CJ1159" i="33"/>
  <c r="CC1181" i="33"/>
  <c r="CJ1191" i="33"/>
  <c r="F1197" i="33"/>
  <c r="CE1195" i="33"/>
  <c r="BV1201" i="33"/>
  <c r="I1232" i="33"/>
  <c r="CH1232" i="33" s="1"/>
  <c r="I1238" i="33" s="1"/>
  <c r="CH1238" i="33" s="1"/>
  <c r="I1244" i="33" s="1"/>
  <c r="CJ1226" i="33"/>
  <c r="CJ1162" i="33"/>
  <c r="H1201" i="33"/>
  <c r="CG1197" i="33"/>
  <c r="CE1131" i="33"/>
  <c r="F1168" i="33"/>
  <c r="CC1175" i="33"/>
  <c r="CE1204" i="33"/>
  <c r="I1230" i="33"/>
  <c r="CH1230" i="33" s="1"/>
  <c r="I1236" i="33" s="1"/>
  <c r="CH1236" i="33" s="1"/>
  <c r="I1242" i="33" s="1"/>
  <c r="CH1242" i="33" s="1"/>
  <c r="I1248" i="33" s="1"/>
  <c r="CH1248" i="33" s="1"/>
  <c r="CJ1224" i="33"/>
  <c r="F1236" i="33"/>
  <c r="CJ1230" i="33"/>
  <c r="F1235" i="33"/>
  <c r="BH1163" i="33"/>
  <c r="J1165" i="33"/>
  <c r="CI1163" i="33"/>
  <c r="CX1181" i="33"/>
  <c r="CC1187" i="33"/>
  <c r="BH1195" i="33"/>
  <c r="J1201" i="33"/>
  <c r="CI1197" i="33"/>
  <c r="G1201" i="33"/>
  <c r="CF1198" i="33"/>
  <c r="G1204" i="33" s="1"/>
  <c r="CF1204" i="33" s="1"/>
  <c r="G1210" i="33" s="1"/>
  <c r="CF1210" i="33" s="1"/>
  <c r="G1216" i="33" s="1"/>
  <c r="CF1216" i="33" s="1"/>
  <c r="BH1201" i="33"/>
  <c r="AM1219" i="33"/>
  <c r="G1239" i="33"/>
  <c r="CF1235" i="33"/>
  <c r="CX1239" i="33"/>
  <c r="CJ1192" i="33"/>
  <c r="CJ1194" i="33"/>
  <c r="DE1201" i="33"/>
  <c r="CX1207" i="33"/>
  <c r="AT1219" i="33"/>
  <c r="CC1227" i="33"/>
  <c r="CJ1225" i="33"/>
  <c r="DE1251" i="33"/>
  <c r="CF1195" i="33"/>
  <c r="AM1201" i="33"/>
  <c r="DE1207" i="33"/>
  <c r="BA1219" i="33"/>
  <c r="CJ1223" i="33"/>
  <c r="BO1251" i="33"/>
  <c r="CG1195" i="33"/>
  <c r="AT1201" i="33"/>
  <c r="AM1213" i="33"/>
  <c r="CX1219" i="33"/>
  <c r="AM1227" i="33"/>
  <c r="K1229" i="33"/>
  <c r="BH1233" i="33"/>
  <c r="DE1233" i="33"/>
  <c r="CC1239" i="33"/>
  <c r="DE1245" i="33"/>
  <c r="CE1200" i="33"/>
  <c r="K1200" i="33"/>
  <c r="I1201" i="33"/>
  <c r="CH1197" i="33"/>
  <c r="H1229" i="33"/>
  <c r="CG1227" i="33"/>
  <c r="G1233" i="33"/>
  <c r="BO1245" i="33"/>
  <c r="CI1195" i="33"/>
  <c r="BA1213" i="33"/>
  <c r="BA1227" i="33"/>
  <c r="CH1229" i="33"/>
  <c r="K1232" i="33"/>
  <c r="BO1201" i="33"/>
  <c r="J1235" i="33"/>
  <c r="CI1233" i="33"/>
  <c r="CC1233" i="33"/>
  <c r="J1233" i="33"/>
  <c r="F1231" i="33"/>
  <c r="CH1227" i="33"/>
  <c r="CI1227" i="33"/>
  <c r="K99" i="34"/>
  <c r="W99" i="37" s="1"/>
  <c r="K99" i="37" s="1"/>
  <c r="Q43" i="36"/>
  <c r="T43" i="36" s="1"/>
  <c r="U135" i="34"/>
  <c r="K39" i="36"/>
  <c r="AI39" i="36" s="1"/>
  <c r="T399" i="34"/>
  <c r="X38" i="36"/>
  <c r="AF38" i="36" s="1"/>
  <c r="V123" i="34"/>
  <c r="M135" i="34"/>
  <c r="Y103" i="37" s="1"/>
  <c r="M103" i="37" s="1"/>
  <c r="M153" i="34"/>
  <c r="M402" i="34"/>
  <c r="G159" i="34"/>
  <c r="G402" i="34"/>
  <c r="U105" i="34"/>
  <c r="R42" i="36"/>
  <c r="AH42" i="36" s="1"/>
  <c r="G117" i="34"/>
  <c r="S107" i="37" s="1"/>
  <c r="G107" i="37" s="1"/>
  <c r="U117" i="34"/>
  <c r="P47" i="36"/>
  <c r="T47" i="36" s="1"/>
  <c r="I123" i="34"/>
  <c r="U98" i="37" s="1"/>
  <c r="I98" i="37" s="1"/>
  <c r="G38" i="36"/>
  <c r="T123" i="34"/>
  <c r="H403" i="34"/>
  <c r="H153" i="34"/>
  <c r="V105" i="34"/>
  <c r="W42" i="36"/>
  <c r="AB42" i="36" s="1"/>
  <c r="O38" i="36"/>
  <c r="T38" i="36" s="1"/>
  <c r="U38" i="36" s="1"/>
  <c r="U123" i="34"/>
  <c r="H135" i="34"/>
  <c r="T103" i="37" s="1"/>
  <c r="H103" i="37" s="1"/>
  <c r="N103" i="37"/>
  <c r="J47" i="36"/>
  <c r="AH47" i="36" s="1"/>
  <c r="T117" i="34"/>
  <c r="H123" i="34"/>
  <c r="T98" i="37" s="1"/>
  <c r="H98" i="37" s="1"/>
  <c r="N129" i="34"/>
  <c r="Z100" i="37" s="1"/>
  <c r="N100" i="37" s="1"/>
  <c r="H40" i="36"/>
  <c r="L40" i="36" s="1"/>
  <c r="M40" i="36" s="1"/>
  <c r="T129" i="34"/>
  <c r="Y40" i="36"/>
  <c r="AG40" i="36" s="1"/>
  <c r="V129" i="34"/>
  <c r="I135" i="34"/>
  <c r="U103" i="37" s="1"/>
  <c r="I103" i="37" s="1"/>
  <c r="G43" i="36"/>
  <c r="AE43" i="36" s="1"/>
  <c r="T135" i="34"/>
  <c r="J135" i="34"/>
  <c r="V103" i="37" s="1"/>
  <c r="J103" i="37" s="1"/>
  <c r="V135" i="34"/>
  <c r="X43" i="36"/>
  <c r="AB43" i="36" s="1"/>
  <c r="T99" i="34"/>
  <c r="G39" i="36"/>
  <c r="T395" i="34"/>
  <c r="E105" i="34"/>
  <c r="Q102" i="37" s="1"/>
  <c r="E102" i="37" s="1"/>
  <c r="H111" i="34"/>
  <c r="T101" i="37" s="1"/>
  <c r="H101" i="37" s="1"/>
  <c r="J117" i="34"/>
  <c r="V107" i="37" s="1"/>
  <c r="J107" i="37" s="1"/>
  <c r="J395" i="34"/>
  <c r="L117" i="34"/>
  <c r="X107" i="37" s="1"/>
  <c r="L107" i="37" s="1"/>
  <c r="N117" i="34"/>
  <c r="Z107" i="37" s="1"/>
  <c r="N107" i="37" s="1"/>
  <c r="L123" i="34"/>
  <c r="X98" i="37" s="1"/>
  <c r="L98" i="37" s="1"/>
  <c r="E123" i="34"/>
  <c r="Q98" i="37" s="1"/>
  <c r="E98" i="37" s="1"/>
  <c r="U129" i="34"/>
  <c r="P40" i="36"/>
  <c r="T40" i="36" s="1"/>
  <c r="U40" i="36" s="1"/>
  <c r="K135" i="34"/>
  <c r="W103" i="37" s="1"/>
  <c r="K103" i="37" s="1"/>
  <c r="V141" i="34"/>
  <c r="W44" i="36"/>
  <c r="AE44" i="36" s="1"/>
  <c r="O39" i="36"/>
  <c r="U99" i="34"/>
  <c r="G105" i="34"/>
  <c r="S102" i="37" s="1"/>
  <c r="G102" i="37" s="1"/>
  <c r="N105" i="34"/>
  <c r="Z102" i="37" s="1"/>
  <c r="N102" i="37" s="1"/>
  <c r="H105" i="34"/>
  <c r="T102" i="37" s="1"/>
  <c r="H102" i="37" s="1"/>
  <c r="T105" i="34"/>
  <c r="H42" i="36"/>
  <c r="L42" i="36" s="1"/>
  <c r="M42" i="36" s="1"/>
  <c r="J105" i="34"/>
  <c r="V102" i="37" s="1"/>
  <c r="J102" i="37" s="1"/>
  <c r="T111" i="34"/>
  <c r="G41" i="36"/>
  <c r="L41" i="36" s="1"/>
  <c r="V111" i="34"/>
  <c r="X41" i="36"/>
  <c r="AB41" i="36" s="1"/>
  <c r="AC41" i="36" s="1"/>
  <c r="K117" i="34"/>
  <c r="W107" i="37" s="1"/>
  <c r="K107" i="37" s="1"/>
  <c r="W47" i="36"/>
  <c r="AE47" i="36" s="1"/>
  <c r="V117" i="34"/>
  <c r="M117" i="34"/>
  <c r="Y107" i="37" s="1"/>
  <c r="M107" i="37" s="1"/>
  <c r="G123" i="34"/>
  <c r="S98" i="37" s="1"/>
  <c r="G98" i="37" s="1"/>
  <c r="H171" i="34"/>
  <c r="T69" i="37" s="1"/>
  <c r="H69" i="37" s="1"/>
  <c r="H404" i="34"/>
  <c r="I105" i="34"/>
  <c r="U102" i="37" s="1"/>
  <c r="I102" i="37" s="1"/>
  <c r="U111" i="34"/>
  <c r="O41" i="36"/>
  <c r="T41" i="36" s="1"/>
  <c r="U41" i="36" s="1"/>
  <c r="E159" i="34"/>
  <c r="E405" i="34"/>
  <c r="I54" i="39"/>
  <c r="H67" i="39"/>
  <c r="H399" i="34"/>
  <c r="N398" i="34"/>
  <c r="CG433" i="33"/>
  <c r="H435" i="33"/>
  <c r="H538" i="33"/>
  <c r="CG538" i="33" s="1"/>
  <c r="H544" i="33" s="1"/>
  <c r="CG544" i="33" s="1"/>
  <c r="CJ532" i="33"/>
  <c r="F533" i="33"/>
  <c r="CJ527" i="33"/>
  <c r="L54" i="36"/>
  <c r="M54" i="36" s="1"/>
  <c r="L81" i="37"/>
  <c r="R67" i="37"/>
  <c r="F67" i="37" s="1"/>
  <c r="K399" i="34"/>
  <c r="T397" i="34"/>
  <c r="AE50" i="36"/>
  <c r="J72" i="37"/>
  <c r="I406" i="34"/>
  <c r="L4" i="36"/>
  <c r="H72" i="37"/>
  <c r="E72" i="37"/>
  <c r="AT49" i="37"/>
  <c r="D72" i="37"/>
  <c r="K123" i="37"/>
  <c r="N19" i="40" a="1"/>
  <c r="N19" i="40" s="1"/>
  <c r="M19" i="40" a="1"/>
  <c r="M19" i="40" s="1"/>
  <c r="I433" i="33"/>
  <c r="E398" i="34"/>
  <c r="CH433" i="33"/>
  <c r="I435" i="33"/>
  <c r="J499" i="33"/>
  <c r="CI497" i="33"/>
  <c r="F433" i="33"/>
  <c r="CJ426" i="33"/>
  <c r="BA433" i="33"/>
  <c r="CE461" i="33"/>
  <c r="Y503" i="33"/>
  <c r="J21" i="40"/>
  <c r="K538" i="33"/>
  <c r="CE538" i="33"/>
  <c r="Y497" i="33"/>
  <c r="I21" i="40"/>
  <c r="G567" i="33"/>
  <c r="CF563" i="33"/>
  <c r="BH427" i="33"/>
  <c r="C19" i="40"/>
  <c r="CI427" i="33"/>
  <c r="J429" i="33"/>
  <c r="K429" i="33" s="1"/>
  <c r="BO439" i="33"/>
  <c r="Y459" i="33"/>
  <c r="CG497" i="33"/>
  <c r="H499" i="33"/>
  <c r="BO561" i="33"/>
  <c r="CJ423" i="33"/>
  <c r="Y451" i="33"/>
  <c r="L19" i="40"/>
  <c r="BA459" i="33"/>
  <c r="I461" i="33"/>
  <c r="CH459" i="33"/>
  <c r="BH477" i="33"/>
  <c r="J529" i="33"/>
  <c r="CI525" i="33"/>
  <c r="CI523" i="33"/>
  <c r="CG528" i="33"/>
  <c r="H534" i="33" s="1"/>
  <c r="CG534" i="33" s="1"/>
  <c r="H540" i="33" s="1"/>
  <c r="CG540" i="33" s="1"/>
  <c r="H546" i="33" s="1"/>
  <c r="CG546" i="33" s="1"/>
  <c r="H529" i="33"/>
  <c r="CX427" i="33"/>
  <c r="CH427" i="33"/>
  <c r="F438" i="33"/>
  <c r="CJ432" i="33"/>
  <c r="K19" i="40"/>
  <c r="Y445" i="33"/>
  <c r="H465" i="33"/>
  <c r="J497" i="33"/>
  <c r="CI459" i="33"/>
  <c r="J461" i="33"/>
  <c r="CE462" i="33"/>
  <c r="K462" i="33"/>
  <c r="F502" i="33"/>
  <c r="CJ496" i="33"/>
  <c r="CG529" i="33"/>
  <c r="H531" i="33"/>
  <c r="K432" i="33"/>
  <c r="R451" i="33"/>
  <c r="BV451" i="33"/>
  <c r="K459" i="33"/>
  <c r="BO459" i="33"/>
  <c r="CJ455" i="33"/>
  <c r="CJ459" i="33" s="1"/>
  <c r="CJ457" i="33"/>
  <c r="F495" i="33"/>
  <c r="CJ489" i="33"/>
  <c r="CJ490" i="33"/>
  <c r="CI491" i="33"/>
  <c r="BH509" i="33"/>
  <c r="CJ424" i="33"/>
  <c r="AT445" i="33"/>
  <c r="AM465" i="33"/>
  <c r="CG461" i="33"/>
  <c r="F464" i="33"/>
  <c r="AM477" i="33"/>
  <c r="CC477" i="33"/>
  <c r="AF491" i="33"/>
  <c r="CE491" i="33"/>
  <c r="F493" i="33"/>
  <c r="CJ487" i="33"/>
  <c r="CJ488" i="33"/>
  <c r="CE523" i="33"/>
  <c r="F525" i="33"/>
  <c r="CJ519" i="33"/>
  <c r="K527" i="33"/>
  <c r="K532" i="33"/>
  <c r="CX471" i="33"/>
  <c r="AT477" i="33"/>
  <c r="BO483" i="33"/>
  <c r="CF493" i="33"/>
  <c r="G497" i="33"/>
  <c r="CH497" i="33"/>
  <c r="CX503" i="33"/>
  <c r="AF509" i="33"/>
  <c r="R515" i="33"/>
  <c r="BV515" i="33"/>
  <c r="G525" i="33"/>
  <c r="CF523" i="33"/>
  <c r="K526" i="33"/>
  <c r="R535" i="33"/>
  <c r="BV535" i="33"/>
  <c r="BO605" i="33"/>
  <c r="CE429" i="33"/>
  <c r="F430" i="33"/>
  <c r="F431" i="33"/>
  <c r="Y439" i="33"/>
  <c r="CC439" i="33"/>
  <c r="CE459" i="33"/>
  <c r="CE463" i="33"/>
  <c r="K463" i="33"/>
  <c r="BO471" i="33"/>
  <c r="BO497" i="33"/>
  <c r="K496" i="33"/>
  <c r="BA503" i="33"/>
  <c r="AM509" i="33"/>
  <c r="Y515" i="33"/>
  <c r="CC515" i="33"/>
  <c r="BO515" i="33"/>
  <c r="F528" i="33"/>
  <c r="CJ522" i="33"/>
  <c r="CF429" i="33"/>
  <c r="AT451" i="33"/>
  <c r="G461" i="33"/>
  <c r="CF459" i="33"/>
  <c r="CJ456" i="33"/>
  <c r="BV471" i="33"/>
  <c r="K494" i="33"/>
  <c r="CE494" i="33"/>
  <c r="BV497" i="33"/>
  <c r="I503" i="33"/>
  <c r="CH499" i="33"/>
  <c r="CJ526" i="33"/>
  <c r="AM529" i="33"/>
  <c r="CX459" i="33"/>
  <c r="DE471" i="33"/>
  <c r="BO477" i="33"/>
  <c r="CG491" i="33"/>
  <c r="R503" i="33"/>
  <c r="BV503" i="33"/>
  <c r="DE503" i="33"/>
  <c r="BA523" i="33"/>
  <c r="CH523" i="33"/>
  <c r="I525" i="33"/>
  <c r="BH535" i="33"/>
  <c r="R541" i="33"/>
  <c r="BV541" i="33"/>
  <c r="DE541" i="33"/>
  <c r="CX541" i="33"/>
  <c r="CX555" i="33"/>
  <c r="CE559" i="33"/>
  <c r="K559" i="33"/>
  <c r="AM579" i="33"/>
  <c r="CF624" i="33"/>
  <c r="G630" i="33" s="1"/>
  <c r="CF630" i="33" s="1"/>
  <c r="G636" i="33" s="1"/>
  <c r="CF636" i="33" s="1"/>
  <c r="G642" i="33" s="1"/>
  <c r="CF642" i="33" s="1"/>
  <c r="K624" i="33"/>
  <c r="CF790" i="33"/>
  <c r="G796" i="33" s="1"/>
  <c r="CF796" i="33" s="1"/>
  <c r="G802" i="33" s="1"/>
  <c r="CF802" i="33" s="1"/>
  <c r="K790" i="33"/>
  <c r="K491" i="33"/>
  <c r="BO491" i="33"/>
  <c r="R509" i="33"/>
  <c r="BV509" i="33"/>
  <c r="DE509" i="33"/>
  <c r="BA515" i="33"/>
  <c r="AF541" i="33"/>
  <c r="AM547" i="33"/>
  <c r="G561" i="33"/>
  <c r="DE567" i="33"/>
  <c r="CC593" i="33"/>
  <c r="R483" i="33"/>
  <c r="BV483" i="33"/>
  <c r="H497" i="33"/>
  <c r="AM503" i="33"/>
  <c r="CX523" i="33"/>
  <c r="F560" i="33"/>
  <c r="CJ554" i="33"/>
  <c r="H561" i="33"/>
  <c r="K589" i="33"/>
  <c r="CE589" i="33"/>
  <c r="CG593" i="33"/>
  <c r="CG595" i="33"/>
  <c r="H599" i="33"/>
  <c r="I657" i="33"/>
  <c r="CH653" i="33"/>
  <c r="AT503" i="33"/>
  <c r="DE523" i="33"/>
  <c r="CJ521" i="33"/>
  <c r="BA547" i="33"/>
  <c r="AT547" i="33"/>
  <c r="CG561" i="33"/>
  <c r="H563" i="33"/>
  <c r="CI555" i="33"/>
  <c r="AT561" i="33"/>
  <c r="G589" i="33"/>
  <c r="CF587" i="33"/>
  <c r="I591" i="33"/>
  <c r="CH591" i="33" s="1"/>
  <c r="I597" i="33" s="1"/>
  <c r="CH597" i="33" s="1"/>
  <c r="I603" i="33" s="1"/>
  <c r="CH603" i="33" s="1"/>
  <c r="I609" i="33" s="1"/>
  <c r="CH609" i="33" s="1"/>
  <c r="CH587" i="33"/>
  <c r="CJ586" i="33"/>
  <c r="F592" i="33"/>
  <c r="F593" i="33" s="1"/>
  <c r="CH555" i="33"/>
  <c r="I557" i="33"/>
  <c r="CJ552" i="33"/>
  <c r="F558" i="33"/>
  <c r="CE555" i="33"/>
  <c r="CI557" i="33"/>
  <c r="J561" i="33"/>
  <c r="CF561" i="33"/>
  <c r="BH561" i="33"/>
  <c r="I593" i="33"/>
  <c r="CH589" i="33"/>
  <c r="CE591" i="33"/>
  <c r="K591" i="33"/>
  <c r="CJ551" i="33"/>
  <c r="CJ553" i="33"/>
  <c r="AT567" i="33"/>
  <c r="K590" i="33"/>
  <c r="CE590" i="33"/>
  <c r="BO619" i="33"/>
  <c r="I631" i="33"/>
  <c r="CH627" i="33"/>
  <c r="K628" i="33"/>
  <c r="CE557" i="33"/>
  <c r="BA579" i="33"/>
  <c r="J589" i="33"/>
  <c r="CI587" i="33"/>
  <c r="DE611" i="33"/>
  <c r="BA663" i="33"/>
  <c r="BV587" i="33"/>
  <c r="CX587" i="33"/>
  <c r="AM605" i="33"/>
  <c r="G623" i="33"/>
  <c r="CF623" i="33" s="1"/>
  <c r="CJ617" i="33"/>
  <c r="CE621" i="33"/>
  <c r="F625" i="33"/>
  <c r="K634" i="33"/>
  <c r="K653" i="33"/>
  <c r="CE653" i="33"/>
  <c r="F657" i="33"/>
  <c r="CG555" i="33"/>
  <c r="R567" i="33"/>
  <c r="BV567" i="33"/>
  <c r="AT573" i="33"/>
  <c r="CJ585" i="33"/>
  <c r="H593" i="33"/>
  <c r="AT599" i="33"/>
  <c r="G621" i="33"/>
  <c r="CF619" i="33"/>
  <c r="CJ615" i="33"/>
  <c r="CJ619" i="33" s="1"/>
  <c r="H627" i="33"/>
  <c r="CG625" i="33"/>
  <c r="J665" i="33"/>
  <c r="CI663" i="33"/>
  <c r="Y579" i="33"/>
  <c r="CC579" i="33"/>
  <c r="CJ583" i="33"/>
  <c r="CJ584" i="33"/>
  <c r="BA599" i="33"/>
  <c r="BA605" i="33"/>
  <c r="F630" i="33"/>
  <c r="CJ624" i="33"/>
  <c r="I625" i="33"/>
  <c r="H625" i="33"/>
  <c r="AM643" i="33"/>
  <c r="BV605" i="33"/>
  <c r="BH625" i="33"/>
  <c r="AT643" i="33"/>
  <c r="K654" i="33"/>
  <c r="CE654" i="33"/>
  <c r="CE668" i="33"/>
  <c r="K655" i="33"/>
  <c r="G656" i="33"/>
  <c r="CJ682" i="33"/>
  <c r="G688" i="33"/>
  <c r="CF688" i="33" s="1"/>
  <c r="G694" i="33" s="1"/>
  <c r="CF694" i="33" s="1"/>
  <c r="G700" i="33" s="1"/>
  <c r="CF700" i="33" s="1"/>
  <c r="G706" i="33" s="1"/>
  <c r="CF706" i="33" s="1"/>
  <c r="J691" i="33"/>
  <c r="CI689" i="33"/>
  <c r="CC707" i="33"/>
  <c r="I720" i="33"/>
  <c r="CH720" i="33" s="1"/>
  <c r="I726" i="33" s="1"/>
  <c r="CH726" i="33" s="1"/>
  <c r="I732" i="33" s="1"/>
  <c r="CH732" i="33" s="1"/>
  <c r="I738" i="33" s="1"/>
  <c r="CH738" i="33" s="1"/>
  <c r="CJ714" i="33"/>
  <c r="CE640" i="33"/>
  <c r="CJ640" i="33" s="1"/>
  <c r="K640" i="33"/>
  <c r="CE619" i="33"/>
  <c r="J621" i="33"/>
  <c r="CJ622" i="33"/>
  <c r="AT631" i="33"/>
  <c r="CJ651" i="33"/>
  <c r="J663" i="33"/>
  <c r="AM689" i="33"/>
  <c r="CX611" i="33"/>
  <c r="K619" i="33"/>
  <c r="BV625" i="33"/>
  <c r="CJ634" i="33"/>
  <c r="BH599" i="33"/>
  <c r="BV611" i="33"/>
  <c r="CH619" i="33"/>
  <c r="BH631" i="33"/>
  <c r="CX631" i="33"/>
  <c r="CX637" i="33"/>
  <c r="BO643" i="33"/>
  <c r="DE689" i="33"/>
  <c r="K693" i="33"/>
  <c r="CE693" i="33"/>
  <c r="CX599" i="33"/>
  <c r="AT605" i="33"/>
  <c r="K622" i="33"/>
  <c r="CJ628" i="33"/>
  <c r="BH637" i="33"/>
  <c r="CF687" i="33"/>
  <c r="G693" i="33" s="1"/>
  <c r="CF693" i="33" s="1"/>
  <c r="G699" i="33" s="1"/>
  <c r="CF699" i="33" s="1"/>
  <c r="G705" i="33" s="1"/>
  <c r="CF705" i="33" s="1"/>
  <c r="G689" i="33"/>
  <c r="K717" i="33"/>
  <c r="F721" i="33"/>
  <c r="CE717" i="33"/>
  <c r="BV599" i="33"/>
  <c r="CE641" i="33"/>
  <c r="AM651" i="33"/>
  <c r="G653" i="33"/>
  <c r="CF651" i="33"/>
  <c r="CJ648" i="33"/>
  <c r="AT657" i="33"/>
  <c r="AM663" i="33"/>
  <c r="AT675" i="33"/>
  <c r="CE685" i="33"/>
  <c r="F689" i="33"/>
  <c r="CC675" i="33"/>
  <c r="AM683" i="33"/>
  <c r="G691" i="33"/>
  <c r="CF689" i="33"/>
  <c r="AT689" i="33"/>
  <c r="K687" i="33"/>
  <c r="CX707" i="33"/>
  <c r="CG653" i="33"/>
  <c r="CE655" i="33"/>
  <c r="CC669" i="33"/>
  <c r="H685" i="33"/>
  <c r="K685" i="33" s="1"/>
  <c r="K689" i="33" s="1"/>
  <c r="CF783" i="33"/>
  <c r="K783" i="33"/>
  <c r="CH651" i="33"/>
  <c r="AM675" i="33"/>
  <c r="I685" i="33"/>
  <c r="CH683" i="33"/>
  <c r="K688" i="33"/>
  <c r="CE688" i="33"/>
  <c r="J689" i="33"/>
  <c r="CX689" i="33"/>
  <c r="CX695" i="33"/>
  <c r="BA715" i="33"/>
  <c r="CH715" i="33"/>
  <c r="CI721" i="33"/>
  <c r="CG781" i="33"/>
  <c r="H785" i="33"/>
  <c r="BA675" i="33"/>
  <c r="K683" i="33"/>
  <c r="BO683" i="33"/>
  <c r="CJ679" i="33"/>
  <c r="CF683" i="33"/>
  <c r="CJ680" i="33"/>
  <c r="F692" i="33"/>
  <c r="CJ686" i="33"/>
  <c r="DE701" i="33"/>
  <c r="CX721" i="33"/>
  <c r="J752" i="33"/>
  <c r="CI752" i="33" s="1"/>
  <c r="J758" i="33" s="1"/>
  <c r="CI758" i="33" s="1"/>
  <c r="J764" i="33" s="1"/>
  <c r="CI764" i="33" s="1"/>
  <c r="J770" i="33" s="1"/>
  <c r="CI770" i="33" s="1"/>
  <c r="CJ746" i="33"/>
  <c r="CJ747" i="33" s="1"/>
  <c r="J753" i="33"/>
  <c r="CJ775" i="33"/>
  <c r="CF779" i="33"/>
  <c r="G781" i="33"/>
  <c r="BA669" i="33"/>
  <c r="BV683" i="33"/>
  <c r="CC689" i="33"/>
  <c r="DE695" i="33"/>
  <c r="CX715" i="33"/>
  <c r="I718" i="33"/>
  <c r="CH718" i="33" s="1"/>
  <c r="I724" i="33" s="1"/>
  <c r="CH724" i="33" s="1"/>
  <c r="I730" i="33" s="1"/>
  <c r="CH730" i="33" s="1"/>
  <c r="I736" i="33" s="1"/>
  <c r="CH736" i="33" s="1"/>
  <c r="CJ712" i="33"/>
  <c r="BO721" i="33"/>
  <c r="DE721" i="33"/>
  <c r="K725" i="33"/>
  <c r="I755" i="33"/>
  <c r="CC663" i="33"/>
  <c r="BO675" i="33"/>
  <c r="CC683" i="33"/>
  <c r="CX683" i="33"/>
  <c r="CJ687" i="33"/>
  <c r="K718" i="33"/>
  <c r="CE718" i="33"/>
  <c r="K719" i="33"/>
  <c r="K731" i="33"/>
  <c r="CE731" i="33"/>
  <c r="CE720" i="33"/>
  <c r="I723" i="33"/>
  <c r="BA733" i="33"/>
  <c r="CJ745" i="33"/>
  <c r="F751" i="33"/>
  <c r="BO753" i="33"/>
  <c r="CX759" i="33"/>
  <c r="AT779" i="33"/>
  <c r="CG779" i="33"/>
  <c r="J787" i="33"/>
  <c r="CI785" i="33"/>
  <c r="G717" i="33"/>
  <c r="J723" i="33"/>
  <c r="H717" i="33"/>
  <c r="CG715" i="33"/>
  <c r="CF715" i="33"/>
  <c r="DE733" i="33"/>
  <c r="AM747" i="33"/>
  <c r="G749" i="33"/>
  <c r="CF747" i="33"/>
  <c r="CE747" i="33"/>
  <c r="H788" i="33"/>
  <c r="CJ782" i="33"/>
  <c r="K686" i="33"/>
  <c r="CC727" i="33"/>
  <c r="AT747" i="33"/>
  <c r="CG749" i="33"/>
  <c r="H753" i="33"/>
  <c r="CE758" i="33"/>
  <c r="K758" i="33"/>
  <c r="K752" i="33"/>
  <c r="BV759" i="33"/>
  <c r="CJ725" i="33"/>
  <c r="CC733" i="33"/>
  <c r="CE750" i="33"/>
  <c r="K750" i="33"/>
  <c r="CI750" i="33"/>
  <c r="J756" i="33" s="1"/>
  <c r="CI756" i="33" s="1"/>
  <c r="J762" i="33" s="1"/>
  <c r="CI762" i="33" s="1"/>
  <c r="J768" i="33" s="1"/>
  <c r="CI768" i="33" s="1"/>
  <c r="CH751" i="33"/>
  <c r="I757" i="33" s="1"/>
  <c r="CH757" i="33" s="1"/>
  <c r="I763" i="33" s="1"/>
  <c r="CH763" i="33" s="1"/>
  <c r="I769" i="33" s="1"/>
  <c r="CH769" i="33" s="1"/>
  <c r="BV779" i="33"/>
  <c r="BH797" i="33"/>
  <c r="CE683" i="33"/>
  <c r="CJ713" i="33"/>
  <c r="CJ715" i="33" s="1"/>
  <c r="CJ719" i="33"/>
  <c r="J755" i="33"/>
  <c r="CC779" i="33"/>
  <c r="BO791" i="33"/>
  <c r="K747" i="33"/>
  <c r="BO747" i="33"/>
  <c r="F749" i="33"/>
  <c r="CE781" i="33"/>
  <c r="K781" i="33"/>
  <c r="K816" i="33"/>
  <c r="CE816" i="33"/>
  <c r="CJ815" i="33"/>
  <c r="F821" i="33"/>
  <c r="BA771" i="33"/>
  <c r="CJ776" i="33"/>
  <c r="CJ777" i="33"/>
  <c r="AT785" i="33"/>
  <c r="BA791" i="33"/>
  <c r="AM803" i="33"/>
  <c r="BO811" i="33"/>
  <c r="CC817" i="33"/>
  <c r="CE819" i="33"/>
  <c r="AM759" i="33"/>
  <c r="AM765" i="33"/>
  <c r="BA779" i="33"/>
  <c r="I781" i="33"/>
  <c r="CH779" i="33"/>
  <c r="CE796" i="33"/>
  <c r="K796" i="33"/>
  <c r="CG747" i="33"/>
  <c r="CC771" i="33"/>
  <c r="DE771" i="33"/>
  <c r="BV785" i="33"/>
  <c r="J813" i="33"/>
  <c r="CI811" i="33"/>
  <c r="BA759" i="33"/>
  <c r="BA765" i="33"/>
  <c r="BO779" i="33"/>
  <c r="CJ784" i="33"/>
  <c r="AM823" i="33"/>
  <c r="CI747" i="33"/>
  <c r="AM771" i="33"/>
  <c r="H817" i="33"/>
  <c r="CG813" i="33"/>
  <c r="DE835" i="33"/>
  <c r="BO803" i="33"/>
  <c r="K811" i="33"/>
  <c r="I813" i="33"/>
  <c r="DE817" i="33"/>
  <c r="AT823" i="33"/>
  <c r="BV829" i="33"/>
  <c r="AT791" i="33"/>
  <c r="CJ807" i="33"/>
  <c r="CJ808" i="33"/>
  <c r="CE811" i="33"/>
  <c r="K815" i="33"/>
  <c r="K782" i="33"/>
  <c r="G813" i="33"/>
  <c r="CF811" i="33"/>
  <c r="BV817" i="33"/>
  <c r="CX829" i="33"/>
  <c r="AT835" i="33"/>
  <c r="CX797" i="33"/>
  <c r="AT803" i="33"/>
  <c r="AT817" i="33"/>
  <c r="CC823" i="33"/>
  <c r="DE829" i="33"/>
  <c r="BV797" i="33"/>
  <c r="K814" i="33"/>
  <c r="CE814" i="33"/>
  <c r="CE817" i="33" s="1"/>
  <c r="K813" i="33"/>
  <c r="K817" i="33" s="1"/>
  <c r="F817" i="33"/>
  <c r="BV823" i="33"/>
  <c r="CX835" i="33"/>
  <c r="M73" i="37"/>
  <c r="E94" i="37"/>
  <c r="F93" i="34"/>
  <c r="R97" i="37" s="1"/>
  <c r="F97" i="37" s="1"/>
  <c r="K398" i="33"/>
  <c r="L28" i="36"/>
  <c r="G84" i="37"/>
  <c r="L93" i="34"/>
  <c r="X97" i="37" s="1"/>
  <c r="L97" i="37" s="1"/>
  <c r="CE399" i="33"/>
  <c r="I401" i="33"/>
  <c r="AE61" i="36"/>
  <c r="H401" i="33"/>
  <c r="CG397" i="33"/>
  <c r="CE400" i="33"/>
  <c r="K400" i="33"/>
  <c r="J109" i="37"/>
  <c r="L45" i="36"/>
  <c r="M45" i="36" s="1"/>
  <c r="X37" i="36"/>
  <c r="AB37" i="36" s="1"/>
  <c r="AC37" i="36" s="1"/>
  <c r="G37" i="36"/>
  <c r="L37" i="36" s="1"/>
  <c r="T93" i="34"/>
  <c r="O37" i="36"/>
  <c r="T37" i="36" s="1"/>
  <c r="U93" i="34"/>
  <c r="J396" i="34"/>
  <c r="J93" i="34"/>
  <c r="V97" i="37" s="1"/>
  <c r="J97" i="37" s="1"/>
  <c r="CI397" i="33"/>
  <c r="J401" i="33"/>
  <c r="CE397" i="33"/>
  <c r="C18" i="40"/>
  <c r="CF395" i="33"/>
  <c r="G397" i="33"/>
  <c r="CE398" i="33"/>
  <c r="N113" i="37"/>
  <c r="N110" i="37"/>
  <c r="K88" i="37"/>
  <c r="L7" i="36"/>
  <c r="M7" i="36" s="1"/>
  <c r="L46" i="36"/>
  <c r="M46" i="36" s="1"/>
  <c r="G66" i="37"/>
  <c r="CG395" i="33"/>
  <c r="K113" i="37"/>
  <c r="G103" i="37"/>
  <c r="L397" i="34"/>
  <c r="J18" i="40"/>
  <c r="R18" i="40"/>
  <c r="CH397" i="33"/>
  <c r="G399" i="33"/>
  <c r="CF399" i="33" s="1"/>
  <c r="G405" i="33" s="1"/>
  <c r="CF405" i="33" s="1"/>
  <c r="G411" i="33" s="1"/>
  <c r="CF411" i="33" s="1"/>
  <c r="G417" i="33" s="1"/>
  <c r="CF417" i="33" s="1"/>
  <c r="AM401" i="33"/>
  <c r="AM407" i="33"/>
  <c r="AM413" i="33"/>
  <c r="AM419" i="33"/>
  <c r="F94" i="37"/>
  <c r="M92" i="37"/>
  <c r="O88" i="34" a="1"/>
  <c r="O88" i="34" s="1"/>
  <c r="M18" i="40" a="1"/>
  <c r="M18" i="40" s="1"/>
  <c r="CI395" i="33"/>
  <c r="F401" i="33"/>
  <c r="N18" i="40" a="1"/>
  <c r="N18" i="40" s="1"/>
  <c r="O18" i="40" a="1"/>
  <c r="O18" i="40" s="1"/>
  <c r="F398" i="34"/>
  <c r="H398" i="34"/>
  <c r="L399" i="34"/>
  <c r="L87" i="34"/>
  <c r="X106" i="37" s="1"/>
  <c r="L106" i="37" s="1"/>
  <c r="L395" i="34"/>
  <c r="D83" i="34" a="1"/>
  <c r="D83" i="34" s="1"/>
  <c r="G369" i="33"/>
  <c r="CF365" i="33"/>
  <c r="M87" i="34"/>
  <c r="Y106" i="37" s="1"/>
  <c r="M106" i="37" s="1"/>
  <c r="V396" i="34"/>
  <c r="V384" i="34" s="1"/>
  <c r="X46" i="36"/>
  <c r="Q17" i="40" a="1"/>
  <c r="Q17" i="40" s="1"/>
  <c r="P17" i="40" a="1"/>
  <c r="P17" i="40" s="1"/>
  <c r="O17" i="40" a="1"/>
  <c r="O17" i="40" s="1"/>
  <c r="N17" i="40" a="1"/>
  <c r="N17" i="40" s="1"/>
  <c r="M17" i="40" a="1"/>
  <c r="M17" i="40" s="1"/>
  <c r="CE368" i="33"/>
  <c r="K368" i="33"/>
  <c r="H87" i="34"/>
  <c r="T106" i="37" s="1"/>
  <c r="H106" i="37" s="1"/>
  <c r="I369" i="33"/>
  <c r="CH365" i="33"/>
  <c r="K366" i="33"/>
  <c r="CE366" i="33"/>
  <c r="I87" i="34"/>
  <c r="U106" i="37" s="1"/>
  <c r="I106" i="37" s="1"/>
  <c r="CI365" i="33"/>
  <c r="J369" i="33"/>
  <c r="K367" i="33"/>
  <c r="W46" i="36"/>
  <c r="V87" i="34"/>
  <c r="Z46" i="36"/>
  <c r="AH46" i="36" s="1"/>
  <c r="V398" i="34"/>
  <c r="F87" i="34"/>
  <c r="R106" i="37" s="1"/>
  <c r="F106" i="37" s="1"/>
  <c r="O46" i="36"/>
  <c r="T46" i="36" s="1"/>
  <c r="U87" i="34"/>
  <c r="K365" i="33"/>
  <c r="K369" i="33" s="1"/>
  <c r="V399" i="34"/>
  <c r="V387" i="34" s="1"/>
  <c r="CE365" i="33"/>
  <c r="V17" i="40"/>
  <c r="CF363" i="33"/>
  <c r="AE30" i="36"/>
  <c r="CG365" i="33"/>
  <c r="CE367" i="33"/>
  <c r="F109" i="37"/>
  <c r="N106" i="37"/>
  <c r="K106" i="37"/>
  <c r="J64" i="37"/>
  <c r="AM363" i="33"/>
  <c r="CH363" i="33"/>
  <c r="AM369" i="33"/>
  <c r="AM375" i="33"/>
  <c r="L67" i="37"/>
  <c r="G397" i="34"/>
  <c r="CI363" i="33"/>
  <c r="F369" i="33"/>
  <c r="AU49" i="37"/>
  <c r="AF22" i="36"/>
  <c r="AH39" i="36"/>
  <c r="O92" i="37"/>
  <c r="E64" i="37"/>
  <c r="F397" i="34"/>
  <c r="M109" i="37"/>
  <c r="AX32" i="37"/>
  <c r="E109" i="37"/>
  <c r="AX38" i="37"/>
  <c r="I398" i="34"/>
  <c r="T16" i="36"/>
  <c r="U16" i="36" s="1"/>
  <c r="AI36" i="36"/>
  <c r="D67" i="37"/>
  <c r="K67" i="37"/>
  <c r="E104" i="37"/>
  <c r="D104" i="37"/>
  <c r="CJ331" i="33"/>
  <c r="AH56" i="36"/>
  <c r="AG59" i="36"/>
  <c r="G81" i="34"/>
  <c r="S87" i="37" s="1"/>
  <c r="G395" i="34"/>
  <c r="M81" i="34"/>
  <c r="Y87" i="37" s="1"/>
  <c r="O395" i="34"/>
  <c r="H337" i="33"/>
  <c r="CG333" i="33"/>
  <c r="CE336" i="33"/>
  <c r="K336" i="33"/>
  <c r="I337" i="33"/>
  <c r="CI333" i="33"/>
  <c r="J337" i="33"/>
  <c r="T81" i="34"/>
  <c r="H27" i="36"/>
  <c r="L27" i="36" s="1"/>
  <c r="K334" i="33"/>
  <c r="CE334" i="33"/>
  <c r="N93" i="37"/>
  <c r="F93" i="37"/>
  <c r="J81" i="34"/>
  <c r="V87" i="37" s="1"/>
  <c r="U81" i="34"/>
  <c r="U395" i="34"/>
  <c r="U383" i="34" s="1"/>
  <c r="O27" i="36"/>
  <c r="AE27" i="36" s="1"/>
  <c r="V397" i="34"/>
  <c r="Y27" i="36"/>
  <c r="AH34" i="36"/>
  <c r="K81" i="34"/>
  <c r="W87" i="37" s="1"/>
  <c r="K395" i="34"/>
  <c r="Q16" i="40" a="1"/>
  <c r="Q16" i="40" s="1"/>
  <c r="P16" i="40" a="1"/>
  <c r="P16" i="40" s="1"/>
  <c r="O16" i="40" a="1"/>
  <c r="O16" i="40" s="1"/>
  <c r="N16" i="40" a="1"/>
  <c r="N16" i="40" s="1"/>
  <c r="M16" i="40" a="1"/>
  <c r="M16" i="40" s="1"/>
  <c r="I81" i="34"/>
  <c r="U87" i="37" s="1"/>
  <c r="I395" i="34"/>
  <c r="P27" i="36"/>
  <c r="U396" i="34"/>
  <c r="U384" i="34" s="1"/>
  <c r="V81" i="34"/>
  <c r="AA27" i="36"/>
  <c r="P87" i="37"/>
  <c r="D87" i="37" s="1"/>
  <c r="D395" i="34"/>
  <c r="L81" i="34"/>
  <c r="X87" i="37" s="1"/>
  <c r="F81" i="34"/>
  <c r="R87" i="37" s="1"/>
  <c r="I396" i="34"/>
  <c r="T400" i="34"/>
  <c r="T8" i="34" s="1"/>
  <c r="I397" i="34"/>
  <c r="CE333" i="33"/>
  <c r="J98" i="37"/>
  <c r="J99" i="37"/>
  <c r="AE5" i="36"/>
  <c r="CF331" i="33"/>
  <c r="G333" i="33"/>
  <c r="D77" i="34" s="1" a="1"/>
  <c r="D77" i="34" s="1"/>
  <c r="H64" i="37"/>
  <c r="L64" i="37"/>
  <c r="E396" i="34"/>
  <c r="K397" i="34"/>
  <c r="K398" i="34"/>
  <c r="CG331" i="33"/>
  <c r="F335" i="33"/>
  <c r="AI56" i="36"/>
  <c r="AE52" i="36"/>
  <c r="AG24" i="36"/>
  <c r="L24" i="36"/>
  <c r="M24" i="36" s="1"/>
  <c r="L12" i="36"/>
  <c r="M12" i="36" s="1"/>
  <c r="AF6" i="36"/>
  <c r="AG31" i="36"/>
  <c r="AM331" i="33"/>
  <c r="CH333" i="33"/>
  <c r="L56" i="36"/>
  <c r="M56" i="36" s="1"/>
  <c r="AF51" i="36"/>
  <c r="M117" i="37"/>
  <c r="M64" i="37"/>
  <c r="E397" i="34"/>
  <c r="M398" i="34"/>
  <c r="G399" i="34"/>
  <c r="C16" i="40"/>
  <c r="CI331" i="33"/>
  <c r="AU13" i="37"/>
  <c r="AR32" i="37" s="1"/>
  <c r="AB20" i="36"/>
  <c r="AC20" i="36" s="1"/>
  <c r="L14" i="36"/>
  <c r="AI63" i="36"/>
  <c r="L57" i="36"/>
  <c r="M57" i="36" s="1"/>
  <c r="I71" i="37"/>
  <c r="E71" i="37"/>
  <c r="AI22" i="36"/>
  <c r="J69" i="37"/>
  <c r="K105" i="37"/>
  <c r="AE33" i="36"/>
  <c r="H92" i="37"/>
  <c r="M396" i="34"/>
  <c r="K333" i="33"/>
  <c r="N397" i="34"/>
  <c r="AE54" i="36"/>
  <c r="AG48" i="36"/>
  <c r="L109" i="37"/>
  <c r="F75" i="37"/>
  <c r="AH41" i="36"/>
  <c r="AI41" i="36"/>
  <c r="T398" i="34"/>
  <c r="AR6" i="36"/>
  <c r="I82" i="37"/>
  <c r="H82" i="37"/>
  <c r="AE23" i="36"/>
  <c r="J82" i="37"/>
  <c r="AH15" i="36"/>
  <c r="N82" i="37"/>
  <c r="L115" i="37"/>
  <c r="AB9" i="36"/>
  <c r="AC9" i="36" s="1"/>
  <c r="J307" i="33"/>
  <c r="S6" i="36"/>
  <c r="AI6" i="36" s="1"/>
  <c r="U399" i="34"/>
  <c r="O15" i="40" a="1"/>
  <c r="O15" i="40" s="1"/>
  <c r="N15" i="40" a="1"/>
  <c r="N15" i="40" s="1"/>
  <c r="M15" i="40" a="1"/>
  <c r="M15" i="40" s="1"/>
  <c r="Q15" i="40" a="1"/>
  <c r="Q15" i="40" s="1"/>
  <c r="P15" i="40" a="1"/>
  <c r="P15" i="40" s="1"/>
  <c r="CI302" i="33"/>
  <c r="J308" i="33" s="1"/>
  <c r="CI308" i="33" s="1"/>
  <c r="J314" i="33" s="1"/>
  <c r="CI314" i="33" s="1"/>
  <c r="J320" i="33" s="1"/>
  <c r="CI320" i="33" s="1"/>
  <c r="J305" i="33"/>
  <c r="CE303" i="33"/>
  <c r="AH28" i="36"/>
  <c r="AF25" i="36"/>
  <c r="U398" i="34"/>
  <c r="AU17" i="37"/>
  <c r="AR36" i="37" s="1"/>
  <c r="AU12" i="37"/>
  <c r="AS31" i="37" s="1"/>
  <c r="I75" i="34"/>
  <c r="U66" i="37" s="1"/>
  <c r="I66" i="37" s="1"/>
  <c r="Q6" i="36"/>
  <c r="AG6" i="36" s="1"/>
  <c r="U397" i="34"/>
  <c r="U385" i="34" s="1"/>
  <c r="D117" i="37"/>
  <c r="E111" i="37"/>
  <c r="T396" i="34"/>
  <c r="J75" i="34"/>
  <c r="V66" i="37" s="1"/>
  <c r="J66" i="37" s="1"/>
  <c r="U75" i="34"/>
  <c r="U400" i="34" s="1"/>
  <c r="T49" i="36"/>
  <c r="U49" i="36" s="1"/>
  <c r="AH49" i="36"/>
  <c r="T48" i="36"/>
  <c r="U48" i="36" s="1"/>
  <c r="AI24" i="36"/>
  <c r="V75" i="34"/>
  <c r="V395" i="34"/>
  <c r="V383" i="34" s="1"/>
  <c r="H305" i="33"/>
  <c r="CG301" i="33"/>
  <c r="CE304" i="33"/>
  <c r="K304" i="33"/>
  <c r="E82" i="37"/>
  <c r="G104" i="37"/>
  <c r="D93" i="37"/>
  <c r="K104" i="37"/>
  <c r="AH62" i="36"/>
  <c r="L400" i="34"/>
  <c r="X66" i="37"/>
  <c r="L66" i="37" s="1"/>
  <c r="I305" i="33"/>
  <c r="CH301" i="33"/>
  <c r="K302" i="33"/>
  <c r="CE302" i="33"/>
  <c r="K93" i="37"/>
  <c r="AG53" i="36"/>
  <c r="AH14" i="36"/>
  <c r="AB4" i="36"/>
  <c r="E75" i="34"/>
  <c r="Q66" i="37" s="1"/>
  <c r="E66" i="37" s="1"/>
  <c r="E395" i="34"/>
  <c r="M397" i="34"/>
  <c r="I399" i="34"/>
  <c r="CE301" i="33"/>
  <c r="J399" i="34"/>
  <c r="J15" i="40"/>
  <c r="R15" i="40"/>
  <c r="CF299" i="33"/>
  <c r="G301" i="33"/>
  <c r="AE11" i="36"/>
  <c r="AH17" i="36"/>
  <c r="K71" i="37"/>
  <c r="AI49" i="36"/>
  <c r="AH12" i="36"/>
  <c r="AG7" i="36"/>
  <c r="N68" i="37"/>
  <c r="AG38" i="36"/>
  <c r="F98" i="37"/>
  <c r="O91" i="37"/>
  <c r="AB34" i="36"/>
  <c r="AX33" i="37"/>
  <c r="AU15" i="37"/>
  <c r="AQ51" i="37" s="1"/>
  <c r="AS51" i="37" s="1"/>
  <c r="H396" i="34"/>
  <c r="N396" i="34"/>
  <c r="H397" i="34"/>
  <c r="J398" i="34"/>
  <c r="F395" i="34"/>
  <c r="CG299" i="33"/>
  <c r="F396" i="34"/>
  <c r="CH299" i="33"/>
  <c r="G303" i="33"/>
  <c r="CF303" i="33" s="1"/>
  <c r="G309" i="33" s="1"/>
  <c r="CF309" i="33" s="1"/>
  <c r="G315" i="33" s="1"/>
  <c r="CF315" i="33" s="1"/>
  <c r="G321" i="33" s="1"/>
  <c r="CF321" i="33" s="1"/>
  <c r="AG62" i="36"/>
  <c r="L13" i="36"/>
  <c r="M13" i="36" s="1"/>
  <c r="G82" i="37"/>
  <c r="AF9" i="36"/>
  <c r="K98" i="37"/>
  <c r="AH27" i="36"/>
  <c r="AI5" i="36"/>
  <c r="AG35" i="36"/>
  <c r="L96" i="37"/>
  <c r="G96" i="37"/>
  <c r="J397" i="34"/>
  <c r="L398" i="34"/>
  <c r="E399" i="34"/>
  <c r="CJ295" i="33"/>
  <c r="CJ299" i="33" s="1"/>
  <c r="F305" i="33"/>
  <c r="AG63" i="36"/>
  <c r="I115" i="37"/>
  <c r="I110" i="37"/>
  <c r="K82" i="37"/>
  <c r="E106" i="37"/>
  <c r="AE35" i="36"/>
  <c r="M399" i="34"/>
  <c r="K301" i="33"/>
  <c r="AE12" i="36"/>
  <c r="N70" i="37"/>
  <c r="T44" i="36"/>
  <c r="U44" i="36" s="1"/>
  <c r="AH43" i="36"/>
  <c r="AF5" i="36"/>
  <c r="G398" i="34"/>
  <c r="N399" i="34"/>
  <c r="L396" i="34"/>
  <c r="F399" i="34"/>
  <c r="AI20" i="36"/>
  <c r="AI57" i="36"/>
  <c r="AG50" i="36"/>
  <c r="J116" i="37"/>
  <c r="AI28" i="36"/>
  <c r="T18" i="36"/>
  <c r="U18" i="36" s="1"/>
  <c r="AH18" i="36"/>
  <c r="AI13" i="36"/>
  <c r="T12" i="36"/>
  <c r="U12" i="36" s="1"/>
  <c r="AE15" i="36"/>
  <c r="AB15" i="36"/>
  <c r="AC15" i="36" s="1"/>
  <c r="M70" i="37"/>
  <c r="AH44" i="36"/>
  <c r="AB31" i="36"/>
  <c r="K69" i="34"/>
  <c r="K396" i="34"/>
  <c r="I273" i="33"/>
  <c r="CH269" i="33"/>
  <c r="K270" i="33"/>
  <c r="CE270" i="33"/>
  <c r="K271" i="33"/>
  <c r="AH63" i="36"/>
  <c r="AH48" i="36"/>
  <c r="AB25" i="36"/>
  <c r="AC25" i="36" s="1"/>
  <c r="I112" i="37"/>
  <c r="AG12" i="36"/>
  <c r="T45" i="36"/>
  <c r="AI43" i="36"/>
  <c r="CI269" i="33"/>
  <c r="J273" i="33"/>
  <c r="L64" i="36"/>
  <c r="AF58" i="36"/>
  <c r="AI26" i="36"/>
  <c r="AF23" i="36"/>
  <c r="AH57" i="36"/>
  <c r="F123" i="37"/>
  <c r="AH51" i="36"/>
  <c r="T51" i="36"/>
  <c r="AF48" i="36"/>
  <c r="AH21" i="36"/>
  <c r="M88" i="37"/>
  <c r="E88" i="37"/>
  <c r="L88" i="37"/>
  <c r="AF18" i="36"/>
  <c r="AG16" i="36"/>
  <c r="AG44" i="36"/>
  <c r="T11" i="36"/>
  <c r="L17" i="36"/>
  <c r="M17" i="36" s="1"/>
  <c r="AI45" i="36"/>
  <c r="M395" i="34"/>
  <c r="M69" i="34"/>
  <c r="G396" i="34"/>
  <c r="G69" i="34"/>
  <c r="H273" i="33"/>
  <c r="AF61" i="36"/>
  <c r="AF60" i="36"/>
  <c r="AE26" i="36"/>
  <c r="AG17" i="36"/>
  <c r="T57" i="36"/>
  <c r="G74" i="37"/>
  <c r="J71" i="37"/>
  <c r="AF54" i="36"/>
  <c r="AB28" i="36"/>
  <c r="AC28" i="36" s="1"/>
  <c r="AB24" i="36"/>
  <c r="AC24" i="36" s="1"/>
  <c r="AB18" i="36"/>
  <c r="AC18" i="36" s="1"/>
  <c r="AI8" i="36"/>
  <c r="R65" i="37"/>
  <c r="F65" i="37" s="1"/>
  <c r="F400" i="34"/>
  <c r="N69" i="34"/>
  <c r="N395" i="34"/>
  <c r="AI29" i="36"/>
  <c r="AH64" i="36"/>
  <c r="AG14" i="36"/>
  <c r="AB11" i="36"/>
  <c r="AC11" i="36" s="1"/>
  <c r="AH11" i="36"/>
  <c r="AI62" i="36"/>
  <c r="AB56" i="36"/>
  <c r="AC56" i="36" s="1"/>
  <c r="AG54" i="36"/>
  <c r="AH53" i="36"/>
  <c r="AI51" i="36"/>
  <c r="AB49" i="36"/>
  <c r="AC49" i="36" s="1"/>
  <c r="AG49" i="36"/>
  <c r="AE13" i="36"/>
  <c r="AG15" i="36"/>
  <c r="AE31" i="36"/>
  <c r="H69" i="34"/>
  <c r="H395" i="34"/>
  <c r="AB62" i="36"/>
  <c r="AC62" i="36" s="1"/>
  <c r="AE57" i="36"/>
  <c r="U65" i="37"/>
  <c r="I65" i="37" s="1"/>
  <c r="I400" i="34"/>
  <c r="G273" i="33"/>
  <c r="CF269" i="33"/>
  <c r="CE272" i="33"/>
  <c r="K272" i="33"/>
  <c r="AG11" i="36"/>
  <c r="AI53" i="36"/>
  <c r="AG52" i="36"/>
  <c r="L49" i="36"/>
  <c r="M49" i="36" s="1"/>
  <c r="AE25" i="36"/>
  <c r="AH25" i="36"/>
  <c r="M111" i="37"/>
  <c r="H111" i="37"/>
  <c r="L111" i="37"/>
  <c r="L22" i="36"/>
  <c r="M22" i="36" s="1"/>
  <c r="AG21" i="36"/>
  <c r="AG13" i="36"/>
  <c r="AE16" i="36"/>
  <c r="AE9" i="36"/>
  <c r="AI44" i="36"/>
  <c r="AH40" i="36"/>
  <c r="J69" i="34"/>
  <c r="AI34" i="36"/>
  <c r="AI33" i="36"/>
  <c r="H90" i="37"/>
  <c r="AG4" i="36"/>
  <c r="F64" i="37"/>
  <c r="N94" i="37"/>
  <c r="T14" i="40"/>
  <c r="CJ264" i="33"/>
  <c r="CJ266" i="33"/>
  <c r="CJ267" i="33" s="1"/>
  <c r="CE267" i="33"/>
  <c r="F269" i="33"/>
  <c r="C14" i="40"/>
  <c r="U14" i="40"/>
  <c r="CF267" i="33"/>
  <c r="CG269" i="33"/>
  <c r="CE271" i="33"/>
  <c r="AH37" i="36"/>
  <c r="N97" i="37"/>
  <c r="CH267" i="33"/>
  <c r="AM273" i="33"/>
  <c r="AF36" i="36"/>
  <c r="AF35" i="36"/>
  <c r="AB32" i="36"/>
  <c r="AU46" i="37"/>
  <c r="CI267" i="33"/>
  <c r="AG37" i="36"/>
  <c r="T30" i="36"/>
  <c r="AT53" i="37"/>
  <c r="AG41" i="36"/>
  <c r="AE32" i="36"/>
  <c r="I64" i="37"/>
  <c r="G7" i="34"/>
  <c r="S126" i="37"/>
  <c r="G126" i="37" s="1"/>
  <c r="U7" i="34"/>
  <c r="AS5" i="36"/>
  <c r="U126" i="37"/>
  <c r="I126" i="37" s="1"/>
  <c r="I7" i="34"/>
  <c r="V126" i="37"/>
  <c r="J126" i="37" s="1"/>
  <c r="J7" i="34"/>
  <c r="AB7" i="36"/>
  <c r="AC7" i="36" s="1"/>
  <c r="AW31" i="37"/>
  <c r="AX31" i="37"/>
  <c r="CI237" i="33"/>
  <c r="J241" i="33"/>
  <c r="L25" i="36"/>
  <c r="M25" i="36" s="1"/>
  <c r="AI64" i="36"/>
  <c r="AG64" i="36"/>
  <c r="AF17" i="36"/>
  <c r="AG57" i="36"/>
  <c r="AG56" i="36"/>
  <c r="AG55" i="36"/>
  <c r="L52" i="36"/>
  <c r="M52" i="36" s="1"/>
  <c r="AB19" i="36"/>
  <c r="AC19" i="36" s="1"/>
  <c r="AG18" i="36"/>
  <c r="AB13" i="36"/>
  <c r="AC13" i="36" s="1"/>
  <c r="AI10" i="36"/>
  <c r="AH16" i="36"/>
  <c r="AI9" i="36"/>
  <c r="AG9" i="36"/>
  <c r="AI7" i="36"/>
  <c r="AI46" i="36"/>
  <c r="O93" i="37"/>
  <c r="AH36" i="36"/>
  <c r="X126" i="37"/>
  <c r="L126" i="37" s="1"/>
  <c r="AI32" i="36"/>
  <c r="N390" i="34"/>
  <c r="AW38" i="37"/>
  <c r="AB55" i="36"/>
  <c r="AC55" i="36" s="1"/>
  <c r="AB16" i="36"/>
  <c r="AC16" i="36" s="1"/>
  <c r="AH7" i="36"/>
  <c r="AG46" i="36"/>
  <c r="L35" i="36"/>
  <c r="U90" i="37"/>
  <c r="I90" i="37" s="1"/>
  <c r="E63" i="34"/>
  <c r="Q90" i="37" s="1"/>
  <c r="E90" i="37" s="1"/>
  <c r="AU10" i="37"/>
  <c r="AS29" i="37" s="1"/>
  <c r="AU19" i="37"/>
  <c r="AQ55" i="37" s="1"/>
  <c r="AS55" i="37" s="1"/>
  <c r="AU16" i="37"/>
  <c r="AS35" i="37" s="1"/>
  <c r="AU14" i="37"/>
  <c r="AS33" i="37" s="1"/>
  <c r="K238" i="33"/>
  <c r="AE55" i="36"/>
  <c r="L15" i="36"/>
  <c r="M15" i="36" s="1"/>
  <c r="L48" i="36"/>
  <c r="M48" i="36" s="1"/>
  <c r="AH58" i="36"/>
  <c r="AI17" i="36"/>
  <c r="AI55" i="36"/>
  <c r="K77" i="37"/>
  <c r="AI48" i="36"/>
  <c r="AF28" i="36"/>
  <c r="AF24" i="36"/>
  <c r="M82" i="37"/>
  <c r="AH13" i="36"/>
  <c r="AI16" i="36"/>
  <c r="AG8" i="36"/>
  <c r="AG45" i="36"/>
  <c r="AB45" i="36"/>
  <c r="AE40" i="36"/>
  <c r="AH38" i="36"/>
  <c r="T5" i="36"/>
  <c r="U5" i="36" s="1"/>
  <c r="L36" i="36"/>
  <c r="AB33" i="36"/>
  <c r="T4" i="36"/>
  <c r="AT48" i="37"/>
  <c r="AU11" i="37"/>
  <c r="AQ47" i="37" s="1"/>
  <c r="AS47" i="37" s="1"/>
  <c r="K239" i="33"/>
  <c r="CE239" i="33"/>
  <c r="L50" i="36"/>
  <c r="M50" i="36" s="1"/>
  <c r="L63" i="36"/>
  <c r="T17" i="36"/>
  <c r="U17" i="36" s="1"/>
  <c r="AE17" i="36"/>
  <c r="AE7" i="36"/>
  <c r="AI47" i="36"/>
  <c r="AF30" i="36"/>
  <c r="T36" i="36"/>
  <c r="AH35" i="36"/>
  <c r="I241" i="33"/>
  <c r="L11" i="36"/>
  <c r="M11" i="36" s="1"/>
  <c r="AF56" i="36"/>
  <c r="AH55" i="36"/>
  <c r="AH54" i="36"/>
  <c r="AG51" i="36"/>
  <c r="T28" i="36"/>
  <c r="U28" i="36" s="1"/>
  <c r="AG25" i="36"/>
  <c r="AE22" i="36"/>
  <c r="AI19" i="36"/>
  <c r="AF21" i="36"/>
  <c r="L18" i="36"/>
  <c r="M18" i="36" s="1"/>
  <c r="L55" i="36"/>
  <c r="M55" i="36" s="1"/>
  <c r="AI61" i="36"/>
  <c r="AB58" i="36"/>
  <c r="AC58" i="36" s="1"/>
  <c r="T26" i="36"/>
  <c r="U26" i="36" s="1"/>
  <c r="AE20" i="36"/>
  <c r="AF14" i="36"/>
  <c r="T63" i="36"/>
  <c r="U63" i="36" s="1"/>
  <c r="AF62" i="36"/>
  <c r="AF49" i="36"/>
  <c r="AG28" i="36"/>
  <c r="AB22" i="36"/>
  <c r="AC22" i="36" s="1"/>
  <c r="AH19" i="36"/>
  <c r="AI21" i="36"/>
  <c r="AI18" i="36"/>
  <c r="L16" i="36"/>
  <c r="M16" i="36" s="1"/>
  <c r="AF16" i="36"/>
  <c r="AH9" i="36"/>
  <c r="T9" i="36"/>
  <c r="U9" i="36" s="1"/>
  <c r="K81" i="37"/>
  <c r="AE45" i="36"/>
  <c r="AI40" i="36"/>
  <c r="AI38" i="36"/>
  <c r="AI42" i="36"/>
  <c r="AG39" i="36"/>
  <c r="L6" i="36"/>
  <c r="M6" i="36" s="1"/>
  <c r="AH5" i="36"/>
  <c r="AI30" i="36"/>
  <c r="T33" i="36"/>
  <c r="AH33" i="36"/>
  <c r="AG32" i="36"/>
  <c r="L31" i="36"/>
  <c r="M31" i="36" s="1"/>
  <c r="AU55" i="37"/>
  <c r="AW33" i="37"/>
  <c r="AU50" i="37"/>
  <c r="L62" i="36"/>
  <c r="AE49" i="36"/>
  <c r="L9" i="36"/>
  <c r="M9" i="36" s="1"/>
  <c r="AH26" i="36"/>
  <c r="AE14" i="36"/>
  <c r="AB57" i="36"/>
  <c r="T62" i="36"/>
  <c r="U62" i="36" s="1"/>
  <c r="AE62" i="36"/>
  <c r="AB54" i="36"/>
  <c r="AC54" i="36" s="1"/>
  <c r="AE53" i="36"/>
  <c r="AB52" i="36"/>
  <c r="AE18" i="36"/>
  <c r="AI12" i="36"/>
  <c r="AH8" i="36"/>
  <c r="AF7" i="36"/>
  <c r="AG47" i="36"/>
  <c r="H105" i="37"/>
  <c r="L32" i="36"/>
  <c r="V90" i="37"/>
  <c r="J90" i="37" s="1"/>
  <c r="M13" i="40" a="1"/>
  <c r="M13" i="40" s="1"/>
  <c r="Q13" i="40" a="1"/>
  <c r="Q13" i="40" s="1"/>
  <c r="P13" i="40" a="1"/>
  <c r="P13" i="40" s="1"/>
  <c r="O13" i="40" a="1"/>
  <c r="O13" i="40" s="1"/>
  <c r="N13" i="40" a="1"/>
  <c r="N13" i="40" s="1"/>
  <c r="H241" i="33"/>
  <c r="CG237" i="33"/>
  <c r="CE240" i="33"/>
  <c r="K240" i="33"/>
  <c r="AE4" i="36"/>
  <c r="L51" i="36"/>
  <c r="L53" i="36"/>
  <c r="M53" i="36" s="1"/>
  <c r="AI60" i="36"/>
  <c r="AG20" i="36"/>
  <c r="AI14" i="36"/>
  <c r="T14" i="36"/>
  <c r="U14" i="36" s="1"/>
  <c r="AF57" i="36"/>
  <c r="I74" i="37"/>
  <c r="N123" i="37"/>
  <c r="AB53" i="36"/>
  <c r="AC53" i="36" s="1"/>
  <c r="AI50" i="36"/>
  <c r="AE28" i="36"/>
  <c r="AG22" i="36"/>
  <c r="AG19" i="36"/>
  <c r="G85" i="37"/>
  <c r="AF15" i="36"/>
  <c r="AH45" i="36"/>
  <c r="L44" i="36"/>
  <c r="AG42" i="36"/>
  <c r="AH6" i="36"/>
  <c r="AF34" i="36"/>
  <c r="AW30" i="37"/>
  <c r="AU48" i="37"/>
  <c r="J391" i="34"/>
  <c r="CE237" i="33"/>
  <c r="I13" i="40"/>
  <c r="CF235" i="33"/>
  <c r="G237" i="33"/>
  <c r="CE238" i="33"/>
  <c r="J13" i="40"/>
  <c r="CG235" i="33"/>
  <c r="I389" i="34"/>
  <c r="K392" i="34"/>
  <c r="L13" i="40"/>
  <c r="R13" i="40"/>
  <c r="CH237" i="33"/>
  <c r="G239" i="33"/>
  <c r="CF239" i="33" s="1"/>
  <c r="G245" i="33" s="1"/>
  <c r="CF245" i="33" s="1"/>
  <c r="G251" i="33" s="1"/>
  <c r="CF251" i="33" s="1"/>
  <c r="G257" i="33" s="1"/>
  <c r="CF257" i="33" s="1"/>
  <c r="O58" i="34" a="1"/>
  <c r="O58" i="34" s="1"/>
  <c r="D59" i="34" a="1"/>
  <c r="D59" i="34" s="1"/>
  <c r="CJ231" i="33"/>
  <c r="CJ235" i="33" s="1"/>
  <c r="CI235" i="33"/>
  <c r="F241" i="33"/>
  <c r="AI31" i="36"/>
  <c r="E389" i="34"/>
  <c r="V394" i="34"/>
  <c r="N391" i="34"/>
  <c r="H392" i="34"/>
  <c r="E393" i="34"/>
  <c r="AG29" i="36"/>
  <c r="T7" i="34"/>
  <c r="AB14" i="36"/>
  <c r="AC14" i="36" s="1"/>
  <c r="L8" i="36"/>
  <c r="M8" i="36" s="1"/>
  <c r="AB8" i="36"/>
  <c r="AC8" i="36" s="1"/>
  <c r="AF45" i="36"/>
  <c r="AU54" i="37"/>
  <c r="AT54" i="37"/>
  <c r="AW37" i="37"/>
  <c r="AX37" i="37"/>
  <c r="N71" i="37"/>
  <c r="AF52" i="36"/>
  <c r="AE19" i="36"/>
  <c r="T19" i="36"/>
  <c r="U19" i="36" s="1"/>
  <c r="N69" i="37"/>
  <c r="AG5" i="36"/>
  <c r="L5" i="36"/>
  <c r="L30" i="36"/>
  <c r="AH30" i="36"/>
  <c r="T35" i="36"/>
  <c r="T32" i="36"/>
  <c r="M7" i="34"/>
  <c r="Y126" i="37"/>
  <c r="M126" i="37" s="1"/>
  <c r="AB17" i="36"/>
  <c r="G123" i="37"/>
  <c r="AI52" i="36"/>
  <c r="T50" i="36"/>
  <c r="T25" i="36"/>
  <c r="AH22" i="36"/>
  <c r="T21" i="36"/>
  <c r="AF12" i="36"/>
  <c r="AB12" i="36"/>
  <c r="T15" i="36"/>
  <c r="AI15" i="36"/>
  <c r="AB6" i="36"/>
  <c r="AE48" i="36"/>
  <c r="AB48" i="36"/>
  <c r="AI25" i="36"/>
  <c r="AE24" i="36"/>
  <c r="AF13" i="36"/>
  <c r="T13" i="36"/>
  <c r="AG10" i="36"/>
  <c r="T10" i="36"/>
  <c r="U10" i="36" s="1"/>
  <c r="AG30" i="36"/>
  <c r="AB30" i="36"/>
  <c r="AB35" i="36"/>
  <c r="AI35" i="36"/>
  <c r="AF11" i="36"/>
  <c r="T22" i="36"/>
  <c r="U22" i="36" s="1"/>
  <c r="AF39" i="36"/>
  <c r="AB39" i="36"/>
  <c r="AI37" i="36"/>
  <c r="L34" i="36"/>
  <c r="AG34" i="36"/>
  <c r="AG33" i="36"/>
  <c r="L33" i="36"/>
  <c r="AH4" i="36"/>
  <c r="N118" i="37"/>
  <c r="T52" i="36"/>
  <c r="U52" i="36" s="1"/>
  <c r="AF10" i="36"/>
  <c r="AX35" i="37"/>
  <c r="AT52" i="37"/>
  <c r="AU52" i="37"/>
  <c r="AW35" i="37"/>
  <c r="J89" i="37"/>
  <c r="T8" i="36"/>
  <c r="U8" i="36" s="1"/>
  <c r="AF8" i="36"/>
  <c r="L69" i="37"/>
  <c r="M69" i="37"/>
  <c r="M105" i="37"/>
  <c r="T7" i="36"/>
  <c r="AF44" i="36"/>
  <c r="AE6" i="36"/>
  <c r="AB5" i="36"/>
  <c r="W36" i="36"/>
  <c r="K394" i="34"/>
  <c r="AF4" i="36"/>
  <c r="T31" i="36"/>
  <c r="AU47" i="37"/>
  <c r="G122" i="37"/>
  <c r="M113" i="37"/>
  <c r="G110" i="37"/>
  <c r="F82" i="37"/>
  <c r="L84" i="37"/>
  <c r="AE8" i="36"/>
  <c r="AF32" i="36"/>
  <c r="AX34" i="37"/>
  <c r="AX30" i="37"/>
  <c r="Q12" i="40" a="1"/>
  <c r="Q12" i="40" s="1"/>
  <c r="P12" i="40" a="1"/>
  <c r="P12" i="40" s="1"/>
  <c r="O12" i="40" a="1"/>
  <c r="O12" i="40" s="1"/>
  <c r="N12" i="40" a="1"/>
  <c r="N12" i="40" s="1"/>
  <c r="M12" i="40" a="1"/>
  <c r="M12" i="40" s="1"/>
  <c r="CE208" i="33"/>
  <c r="K208" i="33"/>
  <c r="AE34" i="36"/>
  <c r="E57" i="34"/>
  <c r="N57" i="34"/>
  <c r="I209" i="33"/>
  <c r="CH205" i="33"/>
  <c r="K206" i="33"/>
  <c r="CE206" i="33"/>
  <c r="N73" i="37"/>
  <c r="AH32" i="36"/>
  <c r="AF31" i="36"/>
  <c r="AI4" i="36"/>
  <c r="F96" i="37"/>
  <c r="AW29" i="37"/>
  <c r="AX36" i="37"/>
  <c r="CI205" i="33"/>
  <c r="J209" i="33"/>
  <c r="H57" i="34"/>
  <c r="T96" i="37" s="1"/>
  <c r="H96" i="37" s="1"/>
  <c r="AT46" i="37"/>
  <c r="AT51" i="37"/>
  <c r="AU53" i="37"/>
  <c r="AW34" i="37"/>
  <c r="K207" i="33"/>
  <c r="T34" i="36"/>
  <c r="AG36" i="36"/>
  <c r="AF33" i="36"/>
  <c r="N66" i="37"/>
  <c r="N112" i="37"/>
  <c r="I78" i="37"/>
  <c r="AU18" i="37"/>
  <c r="D53" i="34" a="1"/>
  <c r="D53" i="34" s="1"/>
  <c r="CE205" i="33"/>
  <c r="I12" i="40"/>
  <c r="CF203" i="33"/>
  <c r="G205" i="33"/>
  <c r="L12" i="40"/>
  <c r="R12" i="40"/>
  <c r="CG205" i="33"/>
  <c r="CE207" i="33"/>
  <c r="K12" i="40"/>
  <c r="S12" i="40"/>
  <c r="CH203" i="33"/>
  <c r="CI203" i="33"/>
  <c r="F209" i="33"/>
  <c r="H390" i="34"/>
  <c r="C12" i="40"/>
  <c r="L114" i="37"/>
  <c r="D76" i="37"/>
  <c r="J76" i="37"/>
  <c r="N76" i="37"/>
  <c r="H189" i="33"/>
  <c r="F103" i="37"/>
  <c r="F110" i="37"/>
  <c r="E79" i="37"/>
  <c r="F112" i="37"/>
  <c r="D105" i="37"/>
  <c r="F115" i="37"/>
  <c r="M110" i="37"/>
  <c r="M112" i="37"/>
  <c r="L118" i="37"/>
  <c r="F118" i="37"/>
  <c r="M118" i="37"/>
  <c r="K73" i="37"/>
  <c r="G75" i="37"/>
  <c r="N75" i="37"/>
  <c r="F105" i="37"/>
  <c r="L65" i="37"/>
  <c r="J110" i="37"/>
  <c r="J68" i="37"/>
  <c r="H68" i="37"/>
  <c r="E103" i="37"/>
  <c r="CG185" i="33"/>
  <c r="L110" i="37"/>
  <c r="F76" i="37"/>
  <c r="D86" i="37"/>
  <c r="F84" i="37"/>
  <c r="L122" i="37"/>
  <c r="N84" i="37"/>
  <c r="F86" i="37"/>
  <c r="G76" i="37"/>
  <c r="F114" i="37"/>
  <c r="E113" i="37"/>
  <c r="F121" i="37"/>
  <c r="H113" i="37"/>
  <c r="N79" i="37"/>
  <c r="J70" i="37"/>
  <c r="F70" i="37"/>
  <c r="F72" i="37"/>
  <c r="M72" i="37"/>
  <c r="K68" i="37"/>
  <c r="N98" i="37"/>
  <c r="M98" i="37"/>
  <c r="K97" i="37"/>
  <c r="E65" i="37"/>
  <c r="CG177" i="33"/>
  <c r="F180" i="33"/>
  <c r="CJ174" i="33"/>
  <c r="CJ168" i="33"/>
  <c r="O46" i="34" a="1"/>
  <c r="O46" i="34" s="1"/>
  <c r="C11" i="40"/>
  <c r="CJ167" i="33"/>
  <c r="CJ171" i="33" s="1"/>
  <c r="F173" i="33"/>
  <c r="K174" i="33"/>
  <c r="F175" i="33"/>
  <c r="CJ169" i="33"/>
  <c r="K176" i="33"/>
  <c r="CE176" i="33"/>
  <c r="F116" i="37"/>
  <c r="L103" i="37"/>
  <c r="G105" i="37"/>
  <c r="D84" i="37"/>
  <c r="N114" i="37"/>
  <c r="K76" i="37"/>
  <c r="D85" i="37"/>
  <c r="I76" i="37"/>
  <c r="F79" i="37"/>
  <c r="H118" i="37"/>
  <c r="I118" i="37"/>
  <c r="K118" i="37"/>
  <c r="D77" i="37"/>
  <c r="I77" i="37"/>
  <c r="N77" i="37"/>
  <c r="H88" i="37"/>
  <c r="E85" i="37"/>
  <c r="H79" i="37"/>
  <c r="D81" i="37"/>
  <c r="CG183" i="33"/>
  <c r="D65" i="37"/>
  <c r="CI173" i="33"/>
  <c r="CF171" i="33"/>
  <c r="G173" i="33"/>
  <c r="H76" i="37"/>
  <c r="I84" i="37"/>
  <c r="J84" i="37"/>
  <c r="I114" i="37"/>
  <c r="M86" i="37"/>
  <c r="N105" i="37"/>
  <c r="H84" i="37"/>
  <c r="D121" i="37"/>
  <c r="D122" i="37"/>
  <c r="I122" i="37"/>
  <c r="F122" i="37"/>
  <c r="J122" i="37"/>
  <c r="CH173" i="33"/>
  <c r="F91" i="37"/>
  <c r="I91" i="37"/>
  <c r="H183" i="33"/>
  <c r="E114" i="37"/>
  <c r="L121" i="37"/>
  <c r="E110" i="37"/>
  <c r="H122" i="37"/>
  <c r="E76" i="37"/>
  <c r="K110" i="37"/>
  <c r="E105" i="37"/>
  <c r="I85" i="37"/>
  <c r="G71" i="37"/>
  <c r="J80" i="37"/>
  <c r="H77" i="37"/>
  <c r="D111" i="37"/>
  <c r="J111" i="37"/>
  <c r="I111" i="37"/>
  <c r="D110" i="37"/>
  <c r="I109" i="37"/>
  <c r="K109" i="37"/>
  <c r="F81" i="37"/>
  <c r="E93" i="37"/>
  <c r="H93" i="37"/>
  <c r="E117" i="37"/>
  <c r="G117" i="37"/>
  <c r="I117" i="37"/>
  <c r="L116" i="37"/>
  <c r="K116" i="37"/>
  <c r="D116" i="37"/>
  <c r="N108" i="37"/>
  <c r="K108" i="37"/>
  <c r="F108" i="37"/>
  <c r="M79" i="37"/>
  <c r="I79" i="37"/>
  <c r="K79" i="37"/>
  <c r="J78" i="37"/>
  <c r="D78" i="37"/>
  <c r="G78" i="37"/>
  <c r="H78" i="37"/>
  <c r="F100" i="37"/>
  <c r="I100" i="37"/>
  <c r="N95" i="37"/>
  <c r="M95" i="37"/>
  <c r="J95" i="37"/>
  <c r="K95" i="37"/>
  <c r="G77" i="37"/>
  <c r="E77" i="37"/>
  <c r="E123" i="37"/>
  <c r="L123" i="37"/>
  <c r="D112" i="37"/>
  <c r="E112" i="37"/>
  <c r="J112" i="37"/>
  <c r="E108" i="37"/>
  <c r="J67" i="37"/>
  <c r="M104" i="37"/>
  <c r="N104" i="37"/>
  <c r="H100" i="37"/>
  <c r="E100" i="37"/>
  <c r="M100" i="37"/>
  <c r="K90" i="37"/>
  <c r="M90" i="37"/>
  <c r="F90" i="37"/>
  <c r="I95" i="37"/>
  <c r="K91" i="37"/>
  <c r="D80" i="37"/>
  <c r="D113" i="37"/>
  <c r="M101" i="37"/>
  <c r="L101" i="37"/>
  <c r="H124" i="37"/>
  <c r="J86" i="37"/>
  <c r="L80" i="37"/>
  <c r="J114" i="37"/>
  <c r="L113" i="37"/>
  <c r="L108" i="37"/>
  <c r="H85" i="37"/>
  <c r="K101" i="37"/>
  <c r="E107" i="37"/>
  <c r="F107" i="37"/>
  <c r="F66" i="37"/>
  <c r="K66" i="37"/>
  <c r="D96" i="37"/>
  <c r="I96" i="37"/>
  <c r="K96" i="37"/>
  <c r="E91" i="37"/>
  <c r="G91" i="37"/>
  <c r="N91" i="37"/>
  <c r="M91" i="37"/>
  <c r="H80" i="37"/>
  <c r="F80" i="37"/>
  <c r="L86" i="37"/>
  <c r="D114" i="37"/>
  <c r="E80" i="37"/>
  <c r="J121" i="37"/>
  <c r="E121" i="37"/>
  <c r="G121" i="37"/>
  <c r="G115" i="37"/>
  <c r="G79" i="37"/>
  <c r="F78" i="37"/>
  <c r="E101" i="37"/>
  <c r="N101" i="37"/>
  <c r="I101" i="37"/>
  <c r="F126" i="37"/>
  <c r="G90" i="37"/>
  <c r="D126" i="37"/>
  <c r="H95" i="37"/>
  <c r="F89" i="37"/>
  <c r="D89" i="37"/>
  <c r="N115" i="37"/>
  <c r="K115" i="37"/>
  <c r="M115" i="37"/>
  <c r="E78" i="37"/>
  <c r="H73" i="37"/>
  <c r="J73" i="37"/>
  <c r="G69" i="37"/>
  <c r="K69" i="37"/>
  <c r="F69" i="37"/>
  <c r="L100" i="37"/>
  <c r="J100" i="37"/>
  <c r="G100" i="37"/>
  <c r="L79" i="37"/>
  <c r="K78" i="37"/>
  <c r="I70" i="37"/>
  <c r="L70" i="37"/>
  <c r="H70" i="37"/>
  <c r="D100" i="37"/>
  <c r="F101" i="37"/>
  <c r="J101" i="37"/>
  <c r="G101" i="37"/>
  <c r="E97" i="37"/>
  <c r="I97" i="37"/>
  <c r="N90" i="37"/>
  <c r="L90" i="37"/>
  <c r="I94" i="37"/>
  <c r="E122" i="37"/>
  <c r="H109" i="37"/>
  <c r="O94" i="37"/>
  <c r="N99" i="37"/>
  <c r="F21" i="33"/>
  <c r="N124" i="37"/>
  <c r="D119" i="37"/>
  <c r="G119" i="37"/>
  <c r="K119" i="37"/>
  <c r="H119" i="37"/>
  <c r="N119" i="37"/>
  <c r="F20" i="33"/>
  <c r="E124" i="37"/>
  <c r="G124" i="37"/>
  <c r="K124" i="37"/>
  <c r="D124" i="37"/>
  <c r="F124" i="37"/>
  <c r="E120" i="37"/>
  <c r="J120" i="37"/>
  <c r="I120" i="37"/>
  <c r="D120" i="37"/>
  <c r="K120" i="37"/>
  <c r="F120" i="37"/>
  <c r="G120" i="37"/>
  <c r="N120" i="37"/>
  <c r="F22" i="33"/>
  <c r="CG16" i="33"/>
  <c r="H22" i="33" s="1"/>
  <c r="CG22" i="33" s="1"/>
  <c r="H28" i="33" s="1"/>
  <c r="CG28" i="33" s="1"/>
  <c r="H34" i="33" s="1"/>
  <c r="CG34" i="33" s="1"/>
  <c r="K16" i="33"/>
  <c r="N74" i="37"/>
  <c r="H71" i="37"/>
  <c r="L77" i="37"/>
  <c r="N117" i="37"/>
  <c r="E116" i="37"/>
  <c r="J115" i="37"/>
  <c r="H115" i="37"/>
  <c r="G112" i="37"/>
  <c r="D75" i="37"/>
  <c r="L68" i="37"/>
  <c r="D98" i="37"/>
  <c r="M93" i="37"/>
  <c r="L93" i="37"/>
  <c r="I93" i="37"/>
  <c r="D92" i="37"/>
  <c r="K92" i="37"/>
  <c r="J92" i="37"/>
  <c r="I19" i="33"/>
  <c r="CH17" i="33"/>
  <c r="D102" i="37"/>
  <c r="M102" i="37"/>
  <c r="K102" i="37"/>
  <c r="H94" i="37"/>
  <c r="L94" i="37"/>
  <c r="I92" i="37"/>
  <c r="E92" i="37"/>
  <c r="CI13" i="33"/>
  <c r="D91" i="37"/>
  <c r="H91" i="37"/>
  <c r="L91" i="37"/>
  <c r="J91" i="37"/>
  <c r="AR45" i="37"/>
  <c r="AQ28" i="37"/>
  <c r="AT28" i="37" s="1"/>
  <c r="AR56" i="37"/>
  <c r="O16" i="34" a="1"/>
  <c r="O16" i="34" s="1"/>
  <c r="N89" i="37"/>
  <c r="M71" i="37"/>
  <c r="D71" i="37"/>
  <c r="D123" i="37"/>
  <c r="K122" i="37"/>
  <c r="G116" i="37"/>
  <c r="M116" i="37"/>
  <c r="L112" i="37"/>
  <c r="J85" i="37"/>
  <c r="F85" i="37"/>
  <c r="M85" i="37"/>
  <c r="N67" i="37"/>
  <c r="D106" i="37"/>
  <c r="J106" i="37"/>
  <c r="G106" i="37"/>
  <c r="G93" i="37"/>
  <c r="H13" i="33"/>
  <c r="L74" i="37"/>
  <c r="E89" i="37"/>
  <c r="M89" i="37"/>
  <c r="I89" i="37"/>
  <c r="K89" i="37"/>
  <c r="N116" i="37"/>
  <c r="I108" i="37"/>
  <c r="M108" i="37"/>
  <c r="G73" i="37"/>
  <c r="M68" i="37"/>
  <c r="F68" i="37"/>
  <c r="J105" i="37"/>
  <c r="L105" i="37"/>
  <c r="J96" i="37"/>
  <c r="M96" i="37"/>
  <c r="CF13" i="33"/>
  <c r="G64" i="37"/>
  <c r="N64" i="37"/>
  <c r="K64" i="37"/>
  <c r="F13" i="33"/>
  <c r="CE11" i="33"/>
  <c r="G14" i="33"/>
  <c r="CJ8" i="33"/>
  <c r="G15" i="33"/>
  <c r="CJ9" i="33"/>
  <c r="L89" i="37"/>
  <c r="L71" i="37"/>
  <c r="J77" i="37"/>
  <c r="I123" i="37"/>
  <c r="H117" i="37"/>
  <c r="I116" i="37"/>
  <c r="E115" i="37"/>
  <c r="H112" i="37"/>
  <c r="N109" i="37"/>
  <c r="J108" i="37"/>
  <c r="G108" i="37"/>
  <c r="I73" i="37"/>
  <c r="J75" i="37"/>
  <c r="D69" i="37"/>
  <c r="E69" i="37"/>
  <c r="I69" i="37"/>
  <c r="I68" i="37"/>
  <c r="I105" i="37"/>
  <c r="F102" i="37"/>
  <c r="H99" i="37"/>
  <c r="E99" i="37"/>
  <c r="M66" i="37"/>
  <c r="F92" i="37"/>
  <c r="G92" i="37"/>
  <c r="AS45" i="37"/>
  <c r="J117" i="37"/>
  <c r="F117" i="37"/>
  <c r="G89" i="37"/>
  <c r="D74" i="37"/>
  <c r="L117" i="37"/>
  <c r="H114" i="37"/>
  <c r="K85" i="37"/>
  <c r="N85" i="37"/>
  <c r="D73" i="37"/>
  <c r="E73" i="37"/>
  <c r="F73" i="37"/>
  <c r="L73" i="37"/>
  <c r="H75" i="37"/>
  <c r="I99" i="37"/>
  <c r="F99" i="37"/>
  <c r="M99" i="37"/>
  <c r="L99" i="37"/>
  <c r="G99" i="37"/>
  <c r="G97" i="37"/>
  <c r="H97" i="37"/>
  <c r="D97" i="37"/>
  <c r="M97" i="37"/>
  <c r="D66" i="37"/>
  <c r="H66" i="37"/>
  <c r="CF11" i="33"/>
  <c r="K74" i="37"/>
  <c r="H110" i="37"/>
  <c r="H81" i="37"/>
  <c r="E81" i="37"/>
  <c r="M81" i="37"/>
  <c r="D68" i="37"/>
  <c r="E67" i="37"/>
  <c r="I67" i="37"/>
  <c r="D107" i="37"/>
  <c r="I107" i="37"/>
  <c r="H107" i="37"/>
  <c r="L102" i="37"/>
  <c r="M94" i="37"/>
  <c r="CJ10" i="33"/>
  <c r="CJ11" i="33" s="1"/>
  <c r="I17" i="33"/>
  <c r="L78" i="37"/>
  <c r="N78" i="37"/>
  <c r="K100" i="37"/>
  <c r="E95" i="37"/>
  <c r="D83" i="39"/>
  <c r="C77" i="39"/>
  <c r="E87" i="39"/>
  <c r="I59" i="39"/>
  <c r="I40" i="39"/>
  <c r="D80" i="39"/>
  <c r="H59" i="39"/>
  <c r="S267" i="34"/>
  <c r="V52" i="36" s="1"/>
  <c r="E78" i="39"/>
  <c r="G77" i="39"/>
  <c r="H56" i="39"/>
  <c r="I62" i="39"/>
  <c r="H43" i="39"/>
  <c r="H48" i="39"/>
  <c r="S75" i="34"/>
  <c r="V6" i="36" s="1"/>
  <c r="G86" i="39"/>
  <c r="D87" i="39"/>
  <c r="Q303" i="34"/>
  <c r="F62" i="36" s="1"/>
  <c r="AD62" i="36" s="1"/>
  <c r="I53" i="39"/>
  <c r="C73" i="39"/>
  <c r="C80" i="39"/>
  <c r="E77" i="39"/>
  <c r="H46" i="39"/>
  <c r="I17" i="39"/>
  <c r="H41" i="39"/>
  <c r="Q309" i="34"/>
  <c r="F63" i="36" s="1"/>
  <c r="H40" i="39"/>
  <c r="H24" i="39"/>
  <c r="I63" i="39"/>
  <c r="I50" i="39"/>
  <c r="H50" i="39"/>
  <c r="I23" i="39"/>
  <c r="E73" i="39"/>
  <c r="H30" i="39"/>
  <c r="I24" i="39"/>
  <c r="I43" i="39"/>
  <c r="I37" i="39"/>
  <c r="H37" i="39"/>
  <c r="Q351" i="34"/>
  <c r="F58" i="36" s="1"/>
  <c r="H36" i="39"/>
  <c r="Q357" i="34"/>
  <c r="F59" i="36" s="1"/>
  <c r="H44" i="39"/>
  <c r="H60" i="39"/>
  <c r="I33" i="39"/>
  <c r="H34" i="39"/>
  <c r="H33" i="39"/>
  <c r="C72" i="39"/>
  <c r="D86" i="39"/>
  <c r="I27" i="39"/>
  <c r="C84" i="39"/>
  <c r="H61" i="39"/>
  <c r="D70" i="39"/>
  <c r="H38" i="39"/>
  <c r="I30" i="39"/>
  <c r="S363" i="34"/>
  <c r="V60" i="36" s="1"/>
  <c r="D82" i="39"/>
  <c r="I64" i="39"/>
  <c r="H32" i="39"/>
  <c r="H54" i="39"/>
  <c r="H18" i="39"/>
  <c r="I39" i="39"/>
  <c r="F84" i="39"/>
  <c r="C82" i="39"/>
  <c r="I32" i="39"/>
  <c r="C85" i="39"/>
  <c r="R297" i="34"/>
  <c r="N57" i="36" s="1"/>
  <c r="I49" i="39"/>
  <c r="C69" i="39"/>
  <c r="G74" i="39"/>
  <c r="E82" i="39"/>
  <c r="H47" i="39"/>
  <c r="G79" i="39"/>
  <c r="D73" i="39"/>
  <c r="I52" i="39"/>
  <c r="R261" i="34"/>
  <c r="N51" i="36" s="1"/>
  <c r="AD51" i="36" s="1"/>
  <c r="I25" i="39"/>
  <c r="I29" i="39"/>
  <c r="AD19" i="36"/>
  <c r="I47" i="39"/>
  <c r="Q339" i="34"/>
  <c r="F23" i="36" s="1"/>
  <c r="I61" i="39"/>
  <c r="F77" i="39"/>
  <c r="H63" i="39"/>
  <c r="G85" i="39"/>
  <c r="I15" i="39"/>
  <c r="I60" i="39"/>
  <c r="I45" i="39"/>
  <c r="H22" i="39"/>
  <c r="C79" i="39"/>
  <c r="I38" i="39"/>
  <c r="E83" i="39"/>
  <c r="H49" i="39"/>
  <c r="F79" i="39"/>
  <c r="I31" i="39"/>
  <c r="I36" i="39"/>
  <c r="H53" i="39"/>
  <c r="R81" i="34"/>
  <c r="N27" i="36" s="1"/>
  <c r="S81" i="34"/>
  <c r="V27" i="36" s="1"/>
  <c r="F74" i="39"/>
  <c r="H15" i="39"/>
  <c r="R213" i="34"/>
  <c r="N24" i="36" s="1"/>
  <c r="I57" i="39"/>
  <c r="AD15" i="36"/>
  <c r="AD5" i="36"/>
  <c r="AD50" i="36"/>
  <c r="AD54" i="36"/>
  <c r="I19" i="39"/>
  <c r="F72" i="39"/>
  <c r="Q93" i="34"/>
  <c r="F37" i="36" s="1"/>
  <c r="D75" i="39"/>
  <c r="AD21" i="36"/>
  <c r="I34" i="39"/>
  <c r="H42" i="39"/>
  <c r="H52" i="39"/>
  <c r="G84" i="39"/>
  <c r="F88" i="39"/>
  <c r="E75" i="39"/>
  <c r="F87" i="39"/>
  <c r="H17" i="39"/>
  <c r="D77" i="39"/>
  <c r="H19" i="39"/>
  <c r="H27" i="39"/>
  <c r="E71" i="39"/>
  <c r="H16" i="39"/>
  <c r="H39" i="39"/>
  <c r="H20" i="39"/>
  <c r="R321" i="34"/>
  <c r="N11" i="36" s="1"/>
  <c r="F80" i="39"/>
  <c r="G73" i="39"/>
  <c r="Q237" i="34"/>
  <c r="F28" i="36" s="1"/>
  <c r="Q141" i="34"/>
  <c r="F44" i="36" s="1"/>
  <c r="E79" i="39"/>
  <c r="I44" i="39"/>
  <c r="G78" i="39"/>
  <c r="H31" i="39"/>
  <c r="I41" i="39"/>
  <c r="E86" i="39"/>
  <c r="H45" i="39"/>
  <c r="H57" i="39"/>
  <c r="Q117" i="34"/>
  <c r="F47" i="36" s="1"/>
  <c r="C78" i="39"/>
  <c r="I20" i="39"/>
  <c r="I22" i="39"/>
  <c r="D74" i="39"/>
  <c r="AD17" i="36"/>
  <c r="R135" i="34"/>
  <c r="N43" i="36" s="1"/>
  <c r="H26" i="39"/>
  <c r="I26" i="39"/>
  <c r="AD40" i="36"/>
  <c r="D85" i="39"/>
  <c r="H62" i="39"/>
  <c r="F82" i="39"/>
  <c r="AD56" i="36"/>
  <c r="AD9" i="36"/>
  <c r="C75" i="39"/>
  <c r="C70" i="39"/>
  <c r="G80" i="39"/>
  <c r="I56" i="39"/>
  <c r="G72" i="39"/>
  <c r="AD8" i="36"/>
  <c r="N46" i="36"/>
  <c r="AD46" i="36" s="1"/>
  <c r="R147" i="34"/>
  <c r="N45" i="36" s="1"/>
  <c r="F86" i="39"/>
  <c r="H28" i="39"/>
  <c r="I28" i="39"/>
  <c r="S309" i="34"/>
  <c r="V63" i="36" s="1"/>
  <c r="G87" i="39"/>
  <c r="G71" i="39"/>
  <c r="I55" i="39"/>
  <c r="H55" i="39"/>
  <c r="H58" i="39"/>
  <c r="AD39" i="36"/>
  <c r="AD38" i="36"/>
  <c r="AD20" i="36"/>
  <c r="I58" i="39"/>
  <c r="Q327" i="34"/>
  <c r="E72" i="39"/>
  <c r="E80" i="39"/>
  <c r="R231" i="34"/>
  <c r="N25" i="36" s="1"/>
  <c r="AD25" i="36" s="1"/>
  <c r="F73" i="39"/>
  <c r="I42" i="39"/>
  <c r="I21" i="39"/>
  <c r="H21" i="39"/>
  <c r="S105" i="34"/>
  <c r="G70" i="39"/>
  <c r="G82" i="39"/>
  <c r="AD48" i="36"/>
  <c r="AD49" i="36"/>
  <c r="AD13" i="36"/>
  <c r="AD18" i="36"/>
  <c r="D79" i="39"/>
  <c r="D71" i="39"/>
  <c r="AD53" i="36"/>
  <c r="AD26" i="36"/>
  <c r="D69" i="39"/>
  <c r="D81" i="39"/>
  <c r="H23" i="39"/>
  <c r="F70" i="39"/>
  <c r="R117" i="34"/>
  <c r="N47" i="36" s="1"/>
  <c r="F83" i="39"/>
  <c r="S117" i="34"/>
  <c r="V47" i="36" s="1"/>
  <c r="G83" i="39"/>
  <c r="AD12" i="36"/>
  <c r="AD22" i="36"/>
  <c r="AD55" i="36"/>
  <c r="AD16" i="36"/>
  <c r="G88" i="39"/>
  <c r="S375" i="34"/>
  <c r="V64" i="36" s="1"/>
  <c r="I66" i="39"/>
  <c r="I88" i="39" s="1"/>
  <c r="H29" i="39"/>
  <c r="F78" i="39"/>
  <c r="R153" i="34"/>
  <c r="F71" i="39"/>
  <c r="H66" i="39"/>
  <c r="H88" i="39" s="1"/>
  <c r="C74" i="39"/>
  <c r="D72" i="39"/>
  <c r="I65" i="39"/>
  <c r="I18" i="39"/>
  <c r="Q111" i="34"/>
  <c r="F41" i="36" s="1"/>
  <c r="E85" i="39"/>
  <c r="C86" i="39"/>
  <c r="C71" i="39"/>
  <c r="E70" i="39"/>
  <c r="H65" i="39"/>
  <c r="C81" i="39"/>
  <c r="I46" i="39"/>
  <c r="R369" i="34"/>
  <c r="F85" i="39"/>
  <c r="D84" i="39"/>
  <c r="H25" i="39"/>
  <c r="E84" i="39"/>
  <c r="Q375" i="34"/>
  <c r="F64" i="36" s="1"/>
  <c r="G76" i="39" l="1"/>
  <c r="AC4" i="36"/>
  <c r="U33" i="36"/>
  <c r="U36" i="36"/>
  <c r="AC35" i="36"/>
  <c r="AC33" i="36"/>
  <c r="AC31" i="36"/>
  <c r="U34" i="36"/>
  <c r="AD4" i="36"/>
  <c r="U32" i="36"/>
  <c r="H10" i="39"/>
  <c r="AD31" i="36"/>
  <c r="AK31" i="36" s="1"/>
  <c r="H7" i="39"/>
  <c r="H76" i="39" s="1"/>
  <c r="H9" i="39"/>
  <c r="E76" i="39"/>
  <c r="U30" i="36"/>
  <c r="I7" i="39"/>
  <c r="I76" i="39" s="1"/>
  <c r="AC32" i="36"/>
  <c r="U31" i="36"/>
  <c r="M34" i="36"/>
  <c r="F76" i="39"/>
  <c r="I8" i="39"/>
  <c r="AD34" i="36"/>
  <c r="AK34" i="36" s="1"/>
  <c r="AC34" i="36"/>
  <c r="H11" i="39"/>
  <c r="I11" i="39"/>
  <c r="H12" i="39"/>
  <c r="F69" i="39"/>
  <c r="F68" i="39" s="1"/>
  <c r="F90" i="39" s="1"/>
  <c r="M4" i="36"/>
  <c r="D68" i="39"/>
  <c r="D90" i="39" s="1"/>
  <c r="F81" i="39"/>
  <c r="E81" i="39"/>
  <c r="Q33" i="34"/>
  <c r="I9" i="39"/>
  <c r="Q39" i="34"/>
  <c r="F33" i="36" s="1"/>
  <c r="AD33" i="36" s="1"/>
  <c r="AK33" i="36" s="1"/>
  <c r="I10" i="39"/>
  <c r="S394" i="34"/>
  <c r="AP5" i="36" s="1"/>
  <c r="C68" i="39"/>
  <c r="C91" i="39" s="1"/>
  <c r="G81" i="39"/>
  <c r="H8" i="39"/>
  <c r="H14" i="39"/>
  <c r="Q63" i="34"/>
  <c r="F30" i="36" s="1"/>
  <c r="AD30" i="36" s="1"/>
  <c r="AK30" i="36" s="1"/>
  <c r="I14" i="39"/>
  <c r="R394" i="34"/>
  <c r="AO5" i="36" s="1"/>
  <c r="E69" i="39"/>
  <c r="E68" i="39" s="1"/>
  <c r="E91" i="39" s="1"/>
  <c r="Q51" i="34"/>
  <c r="F35" i="36" s="1"/>
  <c r="AD35" i="36" s="1"/>
  <c r="AK35" i="36" s="1"/>
  <c r="I12" i="39"/>
  <c r="G69" i="39"/>
  <c r="G68" i="39" s="1"/>
  <c r="G91" i="39" s="1"/>
  <c r="AC30" i="36"/>
  <c r="Q57" i="34"/>
  <c r="F36" i="36" s="1"/>
  <c r="AD36" i="36" s="1"/>
  <c r="I13" i="39"/>
  <c r="H13" i="39"/>
  <c r="CG1933" i="33"/>
  <c r="H1937" i="33"/>
  <c r="K83" i="37"/>
  <c r="J83" i="37"/>
  <c r="CF1933" i="33"/>
  <c r="G1937" i="33"/>
  <c r="F1942" i="33"/>
  <c r="CJ1936" i="33"/>
  <c r="T60" i="36"/>
  <c r="U60" i="36" s="1"/>
  <c r="CH1939" i="33"/>
  <c r="I1943" i="33"/>
  <c r="CE1934" i="33"/>
  <c r="K1934" i="33"/>
  <c r="AE10" i="36"/>
  <c r="CE1933" i="33"/>
  <c r="K1933" i="33"/>
  <c r="F1937" i="33"/>
  <c r="CH1937" i="33"/>
  <c r="AF47" i="36"/>
  <c r="J1937" i="33"/>
  <c r="CI1933" i="33"/>
  <c r="F1941" i="33"/>
  <c r="CJ1935" i="33"/>
  <c r="CG1901" i="33"/>
  <c r="H1905" i="33"/>
  <c r="CH1905" i="33"/>
  <c r="I1907" i="33"/>
  <c r="CE1902" i="33"/>
  <c r="K1902" i="33"/>
  <c r="F1905" i="33"/>
  <c r="CF1901" i="33"/>
  <c r="G1905" i="33"/>
  <c r="J1905" i="33"/>
  <c r="CI1901" i="33"/>
  <c r="CE1907" i="33"/>
  <c r="F1909" i="33"/>
  <c r="CJ1903" i="33"/>
  <c r="M83" i="37"/>
  <c r="K1901" i="33"/>
  <c r="F1910" i="33"/>
  <c r="CJ1904" i="33"/>
  <c r="I77" i="39"/>
  <c r="U412" i="34"/>
  <c r="U10" i="34" s="1"/>
  <c r="CI1873" i="33"/>
  <c r="J1875" i="33"/>
  <c r="F1878" i="33"/>
  <c r="CJ1872" i="33"/>
  <c r="T384" i="34"/>
  <c r="CG1869" i="33"/>
  <c r="H1873" i="33"/>
  <c r="CE1870" i="33"/>
  <c r="K1870" i="33"/>
  <c r="H87" i="37"/>
  <c r="CF1869" i="33"/>
  <c r="G1873" i="33"/>
  <c r="CE1869" i="33"/>
  <c r="K1869" i="33"/>
  <c r="K1873" i="33" s="1"/>
  <c r="F1873" i="33"/>
  <c r="CH1873" i="33"/>
  <c r="I1875" i="33"/>
  <c r="CJ1867" i="33"/>
  <c r="F1877" i="33"/>
  <c r="CJ1871" i="33"/>
  <c r="AH23" i="36"/>
  <c r="CE1838" i="33"/>
  <c r="K1838" i="33"/>
  <c r="CJ1835" i="33"/>
  <c r="L412" i="34"/>
  <c r="L10" i="34" s="1"/>
  <c r="CF1837" i="33"/>
  <c r="G1841" i="33"/>
  <c r="CH1841" i="33"/>
  <c r="I1843" i="33"/>
  <c r="CI1843" i="33"/>
  <c r="J1847" i="33"/>
  <c r="T42" i="36"/>
  <c r="U42" i="36" s="1"/>
  <c r="T56" i="36"/>
  <c r="U56" i="36" s="1"/>
  <c r="F1846" i="33"/>
  <c r="CJ1840" i="33"/>
  <c r="CG1837" i="33"/>
  <c r="H1841" i="33"/>
  <c r="F1841" i="33"/>
  <c r="CE1837" i="33"/>
  <c r="K1837" i="33"/>
  <c r="K1841" i="33" s="1"/>
  <c r="F1845" i="33"/>
  <c r="CJ1839" i="33"/>
  <c r="CI1809" i="33"/>
  <c r="J1811" i="33"/>
  <c r="CE1805" i="33"/>
  <c r="K1805" i="33"/>
  <c r="F1809" i="33"/>
  <c r="AB47" i="36"/>
  <c r="CE1814" i="33"/>
  <c r="K1814" i="33"/>
  <c r="F1813" i="33"/>
  <c r="CJ1807" i="33"/>
  <c r="AS32" i="37"/>
  <c r="F83" i="37"/>
  <c r="AP49" i="37"/>
  <c r="AR49" i="37" s="1"/>
  <c r="G83" i="37"/>
  <c r="K1806" i="33"/>
  <c r="E87" i="37"/>
  <c r="AQ49" i="37"/>
  <c r="AS49" i="37" s="1"/>
  <c r="CG1805" i="33"/>
  <c r="H1809" i="33"/>
  <c r="CJ1803" i="33"/>
  <c r="F1812" i="33"/>
  <c r="CJ1806" i="33"/>
  <c r="CF1805" i="33"/>
  <c r="G1809" i="33"/>
  <c r="CH1809" i="33"/>
  <c r="I1811" i="33"/>
  <c r="CG1773" i="33"/>
  <c r="H1777" i="33"/>
  <c r="CF1773" i="33"/>
  <c r="G1777" i="33"/>
  <c r="K1774" i="33"/>
  <c r="F1781" i="33"/>
  <c r="CJ1775" i="33"/>
  <c r="T29" i="36"/>
  <c r="U29" i="36" s="1"/>
  <c r="F1780" i="33"/>
  <c r="CJ1774" i="33"/>
  <c r="D83" i="37"/>
  <c r="AF59" i="36"/>
  <c r="CE1773" i="33"/>
  <c r="K1773" i="33"/>
  <c r="F1777" i="33"/>
  <c r="T412" i="34"/>
  <c r="T10" i="34" s="1"/>
  <c r="CI1777" i="33"/>
  <c r="J1779" i="33"/>
  <c r="CH1777" i="33"/>
  <c r="I1779" i="33"/>
  <c r="T61" i="36"/>
  <c r="T386" i="34"/>
  <c r="AF43" i="36"/>
  <c r="CE1782" i="33"/>
  <c r="K1782" i="33"/>
  <c r="CE1741" i="33"/>
  <c r="K1741" i="33"/>
  <c r="F1745" i="33"/>
  <c r="F1749" i="33"/>
  <c r="CJ1743" i="33"/>
  <c r="CG1741" i="33"/>
  <c r="H1745" i="33"/>
  <c r="CJ1739" i="33"/>
  <c r="CE1742" i="33"/>
  <c r="K1742" i="33"/>
  <c r="CH1745" i="33"/>
  <c r="I1747" i="33"/>
  <c r="CF1741" i="33"/>
  <c r="G1745" i="33"/>
  <c r="CI1745" i="33"/>
  <c r="J1747" i="33"/>
  <c r="M63" i="36"/>
  <c r="H412" i="34"/>
  <c r="H10" i="34" s="1"/>
  <c r="F1750" i="33"/>
  <c r="CJ1744" i="33"/>
  <c r="CJ1707" i="33"/>
  <c r="L26" i="36"/>
  <c r="M26" i="36" s="1"/>
  <c r="T387" i="34"/>
  <c r="CG1709" i="33"/>
  <c r="H1713" i="33"/>
  <c r="F1717" i="33"/>
  <c r="CJ1711" i="33"/>
  <c r="CE1710" i="33"/>
  <c r="K1710" i="33"/>
  <c r="CF1709" i="33"/>
  <c r="G1713" i="33"/>
  <c r="CH1713" i="33"/>
  <c r="I1715" i="33"/>
  <c r="CE1709" i="33"/>
  <c r="K1709" i="33"/>
  <c r="F1713" i="33"/>
  <c r="J1713" i="33"/>
  <c r="CI1709" i="33"/>
  <c r="F1718" i="33"/>
  <c r="CJ1712" i="33"/>
  <c r="CH1681" i="33"/>
  <c r="I1683" i="33"/>
  <c r="F1685" i="33"/>
  <c r="CJ1679" i="33"/>
  <c r="AB44" i="36"/>
  <c r="AC44" i="36" s="1"/>
  <c r="T385" i="34"/>
  <c r="AS8" i="36"/>
  <c r="CG1677" i="33"/>
  <c r="H1681" i="33"/>
  <c r="CJ1675" i="33"/>
  <c r="F1683" i="33"/>
  <c r="O407" i="34"/>
  <c r="AF20" i="36"/>
  <c r="AK20" i="36" s="1"/>
  <c r="CI1681" i="33"/>
  <c r="J1683" i="33"/>
  <c r="F1686" i="33"/>
  <c r="CJ1680" i="33"/>
  <c r="AG43" i="36"/>
  <c r="V386" i="34"/>
  <c r="H83" i="37"/>
  <c r="N83" i="37"/>
  <c r="CE1678" i="33"/>
  <c r="CE1681" i="33" s="1"/>
  <c r="K1678" i="33"/>
  <c r="K1681" i="33" s="1"/>
  <c r="AB61" i="36"/>
  <c r="AC61" i="36" s="1"/>
  <c r="CF1677" i="33"/>
  <c r="G1681" i="33"/>
  <c r="CI1649" i="33"/>
  <c r="J1651" i="33"/>
  <c r="K1647" i="33"/>
  <c r="CE1646" i="33"/>
  <c r="K1646" i="33"/>
  <c r="F1653" i="33"/>
  <c r="CJ1647" i="33"/>
  <c r="CF1645" i="33"/>
  <c r="G1649" i="33"/>
  <c r="CE1645" i="33"/>
  <c r="K1645" i="33"/>
  <c r="F1649" i="33"/>
  <c r="CG1645" i="33"/>
  <c r="H1649" i="33"/>
  <c r="CJ1643" i="33"/>
  <c r="CH1649" i="33"/>
  <c r="I1651" i="33"/>
  <c r="F1654" i="33"/>
  <c r="CJ1648" i="33"/>
  <c r="CJ1611" i="33"/>
  <c r="CG1613" i="33"/>
  <c r="H1617" i="33"/>
  <c r="CI1617" i="33"/>
  <c r="J1619" i="33"/>
  <c r="CH1619" i="33"/>
  <c r="I1623" i="33"/>
  <c r="CE1614" i="33"/>
  <c r="K1614" i="33"/>
  <c r="CF1613" i="33"/>
  <c r="G1617" i="33"/>
  <c r="F1622" i="33"/>
  <c r="CJ1616" i="33"/>
  <c r="CE1613" i="33"/>
  <c r="K1613" i="33"/>
  <c r="F1617" i="33"/>
  <c r="F1621" i="33"/>
  <c r="CJ1615" i="33"/>
  <c r="AE41" i="36"/>
  <c r="T383" i="34"/>
  <c r="CE1582" i="33"/>
  <c r="K1582" i="33"/>
  <c r="F1585" i="33"/>
  <c r="T24" i="36"/>
  <c r="AJ24" i="36" s="1"/>
  <c r="V385" i="34"/>
  <c r="CF1581" i="33"/>
  <c r="G1585" i="33"/>
  <c r="CJ1579" i="33"/>
  <c r="CE1587" i="33"/>
  <c r="F1590" i="33"/>
  <c r="CJ1584" i="33"/>
  <c r="F1589" i="33"/>
  <c r="CJ1583" i="33"/>
  <c r="CG1581" i="33"/>
  <c r="H1585" i="33"/>
  <c r="K1581" i="33"/>
  <c r="K1585" i="33" s="1"/>
  <c r="AE46" i="36"/>
  <c r="CI1585" i="33"/>
  <c r="J1587" i="33"/>
  <c r="CH1585" i="33"/>
  <c r="I1587" i="33"/>
  <c r="F1557" i="33"/>
  <c r="CJ1551" i="33"/>
  <c r="AF63" i="36"/>
  <c r="CG1549" i="33"/>
  <c r="H1553" i="33"/>
  <c r="CE1558" i="33"/>
  <c r="K1558" i="33"/>
  <c r="CF1549" i="33"/>
  <c r="G1553" i="33"/>
  <c r="K1550" i="33"/>
  <c r="F1556" i="33"/>
  <c r="CJ1550" i="33"/>
  <c r="CI1553" i="33"/>
  <c r="J1555" i="33"/>
  <c r="CE1549" i="33"/>
  <c r="F1553" i="33"/>
  <c r="K1549" i="33"/>
  <c r="K1553" i="33" s="1"/>
  <c r="CH1553" i="33"/>
  <c r="I1555" i="33"/>
  <c r="CJ1515" i="33"/>
  <c r="AE51" i="36"/>
  <c r="AK51" i="36" s="1"/>
  <c r="CH1521" i="33"/>
  <c r="I1523" i="33"/>
  <c r="CG1517" i="33"/>
  <c r="H1521" i="33"/>
  <c r="F1526" i="33"/>
  <c r="CJ1520" i="33"/>
  <c r="G87" i="37"/>
  <c r="K1519" i="33"/>
  <c r="AB64" i="36"/>
  <c r="AC64" i="36" s="1"/>
  <c r="CE1518" i="33"/>
  <c r="K1518" i="33"/>
  <c r="J1521" i="33"/>
  <c r="CI1517" i="33"/>
  <c r="F1525" i="33"/>
  <c r="CJ1519" i="33"/>
  <c r="CF1517" i="33"/>
  <c r="G1521" i="33"/>
  <c r="U386" i="34"/>
  <c r="CE1517" i="33"/>
  <c r="K1517" i="33"/>
  <c r="K1521" i="33" s="1"/>
  <c r="F1521" i="33"/>
  <c r="AF41" i="36"/>
  <c r="L59" i="36"/>
  <c r="M59" i="36" s="1"/>
  <c r="L87" i="37"/>
  <c r="CE1486" i="33"/>
  <c r="K1486" i="33"/>
  <c r="CF1485" i="33"/>
  <c r="G1489" i="33"/>
  <c r="CI1489" i="33"/>
  <c r="J1491" i="33"/>
  <c r="AI54" i="36"/>
  <c r="AK54" i="36" s="1"/>
  <c r="AB50" i="36"/>
  <c r="AC50" i="36" s="1"/>
  <c r="AB59" i="36"/>
  <c r="AC59" i="36" s="1"/>
  <c r="AB38" i="36"/>
  <c r="L43" i="36"/>
  <c r="M43" i="36" s="1"/>
  <c r="T23" i="36"/>
  <c r="U23" i="36" s="1"/>
  <c r="L83" i="37"/>
  <c r="F1494" i="33"/>
  <c r="CJ1488" i="33"/>
  <c r="S65" i="36"/>
  <c r="CE1485" i="33"/>
  <c r="F1489" i="33"/>
  <c r="K1485" i="33"/>
  <c r="K1489" i="33" s="1"/>
  <c r="CH1489" i="33"/>
  <c r="I1491" i="33"/>
  <c r="CG1485" i="33"/>
  <c r="H1489" i="33"/>
  <c r="F1493" i="33"/>
  <c r="CJ1487" i="33"/>
  <c r="AT7" i="36"/>
  <c r="V9" i="34"/>
  <c r="U45" i="36"/>
  <c r="L29" i="36"/>
  <c r="M29" i="36" s="1"/>
  <c r="AF53" i="36"/>
  <c r="AK53" i="36" s="1"/>
  <c r="AE38" i="36"/>
  <c r="AK38" i="36" s="1"/>
  <c r="AI59" i="36"/>
  <c r="CI1457" i="33"/>
  <c r="J1459" i="33"/>
  <c r="AF50" i="36"/>
  <c r="AA65" i="36"/>
  <c r="CG1453" i="33"/>
  <c r="O287" i="34" s="1" a="1"/>
  <c r="O287" i="34" s="1"/>
  <c r="H1457" i="33"/>
  <c r="F1462" i="33"/>
  <c r="CJ1456" i="33"/>
  <c r="AG26" i="36"/>
  <c r="AK26" i="36" s="1"/>
  <c r="CH1457" i="33"/>
  <c r="I1459" i="33"/>
  <c r="CE1453" i="33"/>
  <c r="K1453" i="33"/>
  <c r="K1457" i="33" s="1"/>
  <c r="F1457" i="33"/>
  <c r="CE1454" i="33"/>
  <c r="K1454" i="33"/>
  <c r="AF42" i="36"/>
  <c r="U388" i="34"/>
  <c r="AS4" i="36" s="1"/>
  <c r="P65" i="36"/>
  <c r="CF1453" i="33"/>
  <c r="G1457" i="33"/>
  <c r="CJ1451" i="33"/>
  <c r="F1461" i="33"/>
  <c r="CJ1455" i="33"/>
  <c r="T20" i="36"/>
  <c r="AJ20" i="36" s="1"/>
  <c r="AE42" i="36"/>
  <c r="AG23" i="36"/>
  <c r="F1429" i="33"/>
  <c r="CJ1423" i="33"/>
  <c r="CG1421" i="33"/>
  <c r="H1425" i="33"/>
  <c r="CJ1419" i="33"/>
  <c r="CH1425" i="33"/>
  <c r="I1427" i="33"/>
  <c r="AP52" i="37"/>
  <c r="AR52" i="37" s="1"/>
  <c r="CE1422" i="33"/>
  <c r="K1422" i="33"/>
  <c r="AF40" i="36"/>
  <c r="AK40" i="36" s="1"/>
  <c r="AE37" i="36"/>
  <c r="R128" i="37"/>
  <c r="F128" i="37" s="1"/>
  <c r="CF1421" i="33"/>
  <c r="G1425" i="33"/>
  <c r="F1430" i="33"/>
  <c r="CJ1424" i="33"/>
  <c r="CE1421" i="33"/>
  <c r="K1421" i="33"/>
  <c r="K1425" i="33" s="1"/>
  <c r="F1425" i="33"/>
  <c r="CI1425" i="33"/>
  <c r="J1427" i="33"/>
  <c r="CE1389" i="33"/>
  <c r="K1389" i="33"/>
  <c r="F1393" i="33"/>
  <c r="AB40" i="36"/>
  <c r="AC40" i="36" s="1"/>
  <c r="AH60" i="36"/>
  <c r="T58" i="36"/>
  <c r="U58" i="36" s="1"/>
  <c r="L10" i="36"/>
  <c r="M10" i="36" s="1"/>
  <c r="L38" i="36"/>
  <c r="M38" i="36" s="1"/>
  <c r="J1393" i="33"/>
  <c r="CI1389" i="33"/>
  <c r="F1397" i="33"/>
  <c r="CJ1391" i="33"/>
  <c r="AB29" i="36"/>
  <c r="AC29" i="36" s="1"/>
  <c r="L39" i="36"/>
  <c r="M39" i="36" s="1"/>
  <c r="T27" i="36"/>
  <c r="U27" i="36" s="1"/>
  <c r="I65" i="36"/>
  <c r="K65" i="36"/>
  <c r="Y65" i="36"/>
  <c r="X65" i="36"/>
  <c r="F1398" i="33"/>
  <c r="CJ1392" i="33"/>
  <c r="T64" i="36"/>
  <c r="U64" i="36" s="1"/>
  <c r="L58" i="36"/>
  <c r="M58" i="36" s="1"/>
  <c r="U9" i="34"/>
  <c r="CG1389" i="33"/>
  <c r="H1393" i="33"/>
  <c r="CE1390" i="33"/>
  <c r="K1390" i="33"/>
  <c r="AG60" i="36"/>
  <c r="CF1389" i="33"/>
  <c r="G1393" i="33"/>
  <c r="CH1393" i="33"/>
  <c r="I1395" i="33"/>
  <c r="CJ1355" i="33"/>
  <c r="CE1358" i="33"/>
  <c r="K1358" i="33"/>
  <c r="J1361" i="33"/>
  <c r="CI1357" i="33"/>
  <c r="CH1361" i="33"/>
  <c r="I1363" i="33"/>
  <c r="CF1357" i="33"/>
  <c r="G1361" i="33"/>
  <c r="AK29" i="36"/>
  <c r="CE1357" i="33"/>
  <c r="K1357" i="33"/>
  <c r="K1361" i="33" s="1"/>
  <c r="F1361" i="33"/>
  <c r="F1365" i="33"/>
  <c r="CJ1359" i="33"/>
  <c r="CG1357" i="33"/>
  <c r="H1361" i="33"/>
  <c r="F1366" i="33"/>
  <c r="CJ1360" i="33"/>
  <c r="AR34" i="37"/>
  <c r="N65" i="40" a="1"/>
  <c r="N65" i="40" s="1"/>
  <c r="M65" i="40" a="1"/>
  <c r="M65" i="40" s="1"/>
  <c r="Q65" i="40" a="1"/>
  <c r="Q65" i="40" s="1"/>
  <c r="P65" i="40" a="1"/>
  <c r="P65" i="40" s="1"/>
  <c r="O65" i="40" a="1"/>
  <c r="O65" i="40" s="1"/>
  <c r="J412" i="34"/>
  <c r="AE39" i="36"/>
  <c r="AK39" i="36" s="1"/>
  <c r="G65" i="36"/>
  <c r="Q66" i="40" a="1"/>
  <c r="Q66" i="40" s="1"/>
  <c r="P66" i="40" a="1"/>
  <c r="P66" i="40" s="1"/>
  <c r="O66" i="40" a="1"/>
  <c r="O66" i="40" s="1"/>
  <c r="N66" i="40" a="1"/>
  <c r="N66" i="40" s="1"/>
  <c r="M66" i="40" a="1"/>
  <c r="M66" i="40" s="1"/>
  <c r="O377" i="34" a="1"/>
  <c r="O377" i="34" s="1"/>
  <c r="D377" i="34" a="1"/>
  <c r="D377" i="34" s="1"/>
  <c r="O347" i="34" a="1"/>
  <c r="O347" i="34" s="1"/>
  <c r="Q61" i="40" a="1"/>
  <c r="Q61" i="40" s="1"/>
  <c r="P61" i="40" a="1"/>
  <c r="P61" i="40" s="1"/>
  <c r="O61" i="40" a="1"/>
  <c r="O61" i="40" s="1"/>
  <c r="N61" i="40" a="1"/>
  <c r="N61" i="40" s="1"/>
  <c r="M61" i="40" a="1"/>
  <c r="M61" i="40" s="1"/>
  <c r="M412" i="34"/>
  <c r="D371" i="34" a="1"/>
  <c r="D371" i="34" s="1"/>
  <c r="O60" i="40" a="1"/>
  <c r="O60" i="40" s="1"/>
  <c r="N60" i="40" a="1"/>
  <c r="N60" i="40" s="1"/>
  <c r="M60" i="40" a="1"/>
  <c r="M60" i="40" s="1"/>
  <c r="Q60" i="40" a="1"/>
  <c r="Q60" i="40" s="1"/>
  <c r="P60" i="40" a="1"/>
  <c r="P60" i="40" s="1"/>
  <c r="AK55" i="36"/>
  <c r="H65" i="36"/>
  <c r="AF27" i="36"/>
  <c r="N87" i="37"/>
  <c r="O341" i="34" a="1"/>
  <c r="O341" i="34" s="1"/>
  <c r="M28" i="36"/>
  <c r="AC63" i="36"/>
  <c r="AP51" i="37"/>
  <c r="AR51" i="37" s="1"/>
  <c r="T6" i="36"/>
  <c r="U6" i="36" s="1"/>
  <c r="AJ4" i="36"/>
  <c r="AI27" i="36"/>
  <c r="M87" i="37"/>
  <c r="L19" i="36"/>
  <c r="M19" i="36" s="1"/>
  <c r="D359" i="34" a="1"/>
  <c r="D359" i="34" s="1"/>
  <c r="G412" i="34"/>
  <c r="S80" i="37"/>
  <c r="G80" i="37" s="1"/>
  <c r="V412" i="34"/>
  <c r="AK15" i="36"/>
  <c r="AJ45" i="36"/>
  <c r="D347" i="34" a="1"/>
  <c r="D347" i="34" s="1"/>
  <c r="D365" i="34" a="1"/>
  <c r="D365" i="34" s="1"/>
  <c r="D335" i="34" a="1"/>
  <c r="D335" i="34" s="1"/>
  <c r="D353" i="34" a="1"/>
  <c r="D353" i="34" s="1"/>
  <c r="D329" i="34" a="1"/>
  <c r="D329" i="34" s="1"/>
  <c r="R129" i="37"/>
  <c r="F129" i="37" s="1"/>
  <c r="F10" i="34"/>
  <c r="Q83" i="37"/>
  <c r="E83" i="37" s="1"/>
  <c r="E412" i="34"/>
  <c r="AS34" i="37"/>
  <c r="D341" i="34" a="1"/>
  <c r="D341" i="34" s="1"/>
  <c r="Q59" i="40" a="1"/>
  <c r="Q59" i="40" s="1"/>
  <c r="P59" i="40" a="1"/>
  <c r="P59" i="40" s="1"/>
  <c r="O59" i="40" a="1"/>
  <c r="O59" i="40" s="1"/>
  <c r="N59" i="40" a="1"/>
  <c r="N59" i="40" s="1"/>
  <c r="M59" i="40" a="1"/>
  <c r="M59" i="40" s="1"/>
  <c r="N412" i="34"/>
  <c r="Q58" i="40" a="1"/>
  <c r="Q58" i="40" s="1"/>
  <c r="P58" i="40" a="1"/>
  <c r="P58" i="40" s="1"/>
  <c r="O58" i="40" a="1"/>
  <c r="O58" i="40" s="1"/>
  <c r="N58" i="40" a="1"/>
  <c r="N58" i="40" s="1"/>
  <c r="M58" i="40" a="1"/>
  <c r="M58" i="40" s="1"/>
  <c r="W80" i="37"/>
  <c r="K80" i="37" s="1"/>
  <c r="K412" i="34"/>
  <c r="U80" i="37"/>
  <c r="I80" i="37" s="1"/>
  <c r="I412" i="34"/>
  <c r="AJ60" i="36"/>
  <c r="AJ57" i="36"/>
  <c r="L21" i="36"/>
  <c r="M21" i="36" s="1"/>
  <c r="D311" i="34" a="1"/>
  <c r="D311" i="34" s="1"/>
  <c r="P53" i="40" a="1"/>
  <c r="P53" i="40" s="1"/>
  <c r="O53" i="40" a="1"/>
  <c r="O53" i="40" s="1"/>
  <c r="N53" i="40" a="1"/>
  <c r="N53" i="40" s="1"/>
  <c r="M53" i="40" a="1"/>
  <c r="M53" i="40" s="1"/>
  <c r="Q53" i="40" a="1"/>
  <c r="Q53" i="40" s="1"/>
  <c r="O50" i="40" a="1"/>
  <c r="O50" i="40" s="1"/>
  <c r="N50" i="40" a="1"/>
  <c r="N50" i="40" s="1"/>
  <c r="M50" i="40" a="1"/>
  <c r="M50" i="40" s="1"/>
  <c r="Q50" i="40" a="1"/>
  <c r="Q50" i="40" s="1"/>
  <c r="P50" i="40" a="1"/>
  <c r="P50" i="40" s="1"/>
  <c r="D281" i="34" a="1"/>
  <c r="D281" i="34" s="1"/>
  <c r="CH1331" i="33"/>
  <c r="I1335" i="33"/>
  <c r="J1265" i="33"/>
  <c r="CI1261" i="33"/>
  <c r="D269" i="34" a="1"/>
  <c r="D269" i="34" s="1"/>
  <c r="J1297" i="33"/>
  <c r="CI1293" i="33"/>
  <c r="F1300" i="33"/>
  <c r="CJ1294" i="33"/>
  <c r="D52" i="40"/>
  <c r="D293" i="34" a="1"/>
  <c r="D293" i="34" s="1"/>
  <c r="N47" i="40" a="1"/>
  <c r="N47" i="40" s="1"/>
  <c r="M47" i="40" a="1"/>
  <c r="M47" i="40" s="1"/>
  <c r="Q47" i="40" a="1"/>
  <c r="Q47" i="40" s="1"/>
  <c r="P47" i="40" a="1"/>
  <c r="P47" i="40" s="1"/>
  <c r="O47" i="40" a="1"/>
  <c r="O47" i="40" s="1"/>
  <c r="Q46" i="40" a="1"/>
  <c r="Q46" i="40" s="1"/>
  <c r="P46" i="40" a="1"/>
  <c r="P46" i="40" s="1"/>
  <c r="O46" i="40" a="1"/>
  <c r="O46" i="40" s="1"/>
  <c r="N46" i="40" a="1"/>
  <c r="N46" i="40" s="1"/>
  <c r="M46" i="40" a="1"/>
  <c r="M46" i="40" s="1"/>
  <c r="I87" i="39"/>
  <c r="AE21" i="36"/>
  <c r="AK21" i="36" s="1"/>
  <c r="O65" i="36"/>
  <c r="U387" i="34"/>
  <c r="CG1299" i="33"/>
  <c r="H1303" i="33"/>
  <c r="D275" i="34" a="1"/>
  <c r="D275" i="34" s="1"/>
  <c r="CE1328" i="33"/>
  <c r="K1328" i="33"/>
  <c r="CE1331" i="33"/>
  <c r="CF1293" i="33"/>
  <c r="K1293" i="33"/>
  <c r="G1297" i="33"/>
  <c r="D257" i="34" a="1"/>
  <c r="D257" i="34" s="1"/>
  <c r="CE1276" i="33"/>
  <c r="K1276" i="33"/>
  <c r="F1305" i="33"/>
  <c r="AK25" i="36"/>
  <c r="AB46" i="36"/>
  <c r="K406" i="34"/>
  <c r="K9" i="34" s="1"/>
  <c r="D299" i="34" a="1"/>
  <c r="D299" i="34" s="1"/>
  <c r="F1267" i="33"/>
  <c r="D45" i="40"/>
  <c r="O251" i="34" a="1"/>
  <c r="O251" i="34" s="1"/>
  <c r="H1329" i="33"/>
  <c r="CG1325" i="33"/>
  <c r="D263" i="34" a="1"/>
  <c r="D263" i="34" s="1"/>
  <c r="H1333" i="33"/>
  <c r="CJ1327" i="33"/>
  <c r="H1271" i="33"/>
  <c r="CG1267" i="33"/>
  <c r="AF37" i="36"/>
  <c r="J65" i="36"/>
  <c r="D287" i="34" a="1"/>
  <c r="D287" i="34" s="1"/>
  <c r="F1339" i="33"/>
  <c r="K1327" i="33"/>
  <c r="K1326" i="33"/>
  <c r="CE1326" i="33"/>
  <c r="F1301" i="33"/>
  <c r="CJ1295" i="33"/>
  <c r="K1268" i="33"/>
  <c r="CE1268" i="33"/>
  <c r="G1337" i="33"/>
  <c r="CF1335" i="33"/>
  <c r="T39" i="36"/>
  <c r="U39" i="36" s="1"/>
  <c r="D305" i="34" a="1"/>
  <c r="D305" i="34" s="1"/>
  <c r="Q48" i="40" a="1"/>
  <c r="Q48" i="40" s="1"/>
  <c r="P48" i="40" a="1"/>
  <c r="P48" i="40" s="1"/>
  <c r="O48" i="40" a="1"/>
  <c r="O48" i="40" s="1"/>
  <c r="N48" i="40" a="1"/>
  <c r="N48" i="40" s="1"/>
  <c r="M48" i="40" a="1"/>
  <c r="M48" i="40" s="1"/>
  <c r="K1325" i="33"/>
  <c r="J1329" i="33"/>
  <c r="CI1325" i="33"/>
  <c r="CJ1291" i="33"/>
  <c r="K1296" i="33"/>
  <c r="CE1296" i="33"/>
  <c r="CE1297" i="33" s="1"/>
  <c r="CJ1270" i="33"/>
  <c r="U57" i="36"/>
  <c r="U4" i="36"/>
  <c r="L47" i="36"/>
  <c r="D323" i="34" a="1"/>
  <c r="D323" i="34" s="1"/>
  <c r="D317" i="34" a="1"/>
  <c r="D317" i="34" s="1"/>
  <c r="I1267" i="33"/>
  <c r="CH1265" i="33"/>
  <c r="CF1261" i="33"/>
  <c r="CJ1261" i="33" s="1"/>
  <c r="G1265" i="33"/>
  <c r="D251" i="34" a="1"/>
  <c r="D251" i="34" s="1"/>
  <c r="CE1263" i="33"/>
  <c r="K1263" i="33"/>
  <c r="K1265" i="33" s="1"/>
  <c r="CH1299" i="33"/>
  <c r="I1303" i="33"/>
  <c r="AR7" i="36"/>
  <c r="T9" i="34"/>
  <c r="CI1235" i="33"/>
  <c r="J1239" i="33"/>
  <c r="CG1201" i="33"/>
  <c r="H1203" i="33"/>
  <c r="CE1165" i="33"/>
  <c r="K1165" i="33"/>
  <c r="F1169" i="33"/>
  <c r="D233" i="34" a="1"/>
  <c r="D233" i="34" s="1"/>
  <c r="CJ1141" i="33"/>
  <c r="F1147" i="33"/>
  <c r="N37" i="40" a="1"/>
  <c r="N37" i="40" s="1"/>
  <c r="M37" i="40" a="1"/>
  <c r="M37" i="40" s="1"/>
  <c r="Q37" i="40" a="1"/>
  <c r="Q37" i="40" s="1"/>
  <c r="P37" i="40" a="1"/>
  <c r="P37" i="40" s="1"/>
  <c r="O37" i="40" a="1"/>
  <c r="O37" i="40" s="1"/>
  <c r="CG1113" i="33"/>
  <c r="H1117" i="33"/>
  <c r="CF1041" i="33"/>
  <c r="G1043" i="33"/>
  <c r="K878" i="33"/>
  <c r="CE878" i="33"/>
  <c r="CF1013" i="33"/>
  <c r="K1013" i="33"/>
  <c r="CH979" i="33"/>
  <c r="I983" i="33"/>
  <c r="CF913" i="33"/>
  <c r="G915" i="33"/>
  <c r="H989" i="33"/>
  <c r="CG985" i="33"/>
  <c r="CI947" i="33"/>
  <c r="J951" i="33"/>
  <c r="J1107" i="33"/>
  <c r="CI1105" i="33"/>
  <c r="CJ1039" i="33"/>
  <c r="F1045" i="33"/>
  <c r="I1049" i="33"/>
  <c r="CH1047" i="33"/>
  <c r="CG941" i="33"/>
  <c r="H945" i="33"/>
  <c r="J1011" i="33"/>
  <c r="CI1009" i="33"/>
  <c r="G883" i="33"/>
  <c r="CF881" i="33"/>
  <c r="CE1011" i="33"/>
  <c r="K877" i="33"/>
  <c r="K881" i="33" s="1"/>
  <c r="F881" i="33"/>
  <c r="CE877" i="33"/>
  <c r="D179" i="34" a="1"/>
  <c r="D179" i="34" s="1"/>
  <c r="F949" i="33"/>
  <c r="CJ943" i="33"/>
  <c r="CG983" i="33"/>
  <c r="CF973" i="33"/>
  <c r="G977" i="33"/>
  <c r="K911" i="33"/>
  <c r="CE911" i="33"/>
  <c r="F916" i="33"/>
  <c r="CJ910" i="33"/>
  <c r="AC60" i="36"/>
  <c r="K1231" i="33"/>
  <c r="CE1231" i="33"/>
  <c r="F1206" i="33"/>
  <c r="CJ1200" i="33"/>
  <c r="F1233" i="33"/>
  <c r="K1238" i="33"/>
  <c r="CJ1232" i="33"/>
  <c r="J1169" i="33"/>
  <c r="CI1165" i="33"/>
  <c r="K1197" i="33"/>
  <c r="F1201" i="33"/>
  <c r="CE1197" i="33"/>
  <c r="D239" i="34" a="1"/>
  <c r="D239" i="34" s="1"/>
  <c r="CH1169" i="33"/>
  <c r="I1171" i="33"/>
  <c r="CE1134" i="33"/>
  <c r="K1134" i="33"/>
  <c r="K1137" i="33" s="1"/>
  <c r="F1137" i="33"/>
  <c r="CE1102" i="33"/>
  <c r="K1102" i="33"/>
  <c r="D221" i="34" a="1"/>
  <c r="D221" i="34" s="1"/>
  <c r="J1073" i="33"/>
  <c r="CI1069" i="33"/>
  <c r="H1041" i="33"/>
  <c r="CG1037" i="33"/>
  <c r="CI877" i="33"/>
  <c r="J881" i="33"/>
  <c r="CE945" i="33"/>
  <c r="F947" i="33"/>
  <c r="O191" i="34" a="1"/>
  <c r="O191" i="34" s="1"/>
  <c r="CG977" i="33"/>
  <c r="P35" i="40" a="1"/>
  <c r="P35" i="40" s="1"/>
  <c r="O35" i="40" a="1"/>
  <c r="O35" i="40" s="1"/>
  <c r="N35" i="40" a="1"/>
  <c r="N35" i="40" s="1"/>
  <c r="M35" i="40" a="1"/>
  <c r="M35" i="40" s="1"/>
  <c r="Q35" i="40" a="1"/>
  <c r="Q35" i="40" s="1"/>
  <c r="CE987" i="33"/>
  <c r="CH941" i="33"/>
  <c r="I945" i="33"/>
  <c r="CJ1238" i="33"/>
  <c r="CJ1227" i="33"/>
  <c r="J1203" i="33"/>
  <c r="CI1201" i="33"/>
  <c r="K1204" i="33"/>
  <c r="CJ1195" i="33"/>
  <c r="CF1201" i="33"/>
  <c r="K1198" i="33"/>
  <c r="CG1069" i="33"/>
  <c r="H1073" i="33"/>
  <c r="CE1070" i="33"/>
  <c r="K1070" i="33"/>
  <c r="CE1069" i="33"/>
  <c r="K1069" i="33"/>
  <c r="F1073" i="33"/>
  <c r="D215" i="34" a="1"/>
  <c r="D215" i="34" s="1"/>
  <c r="K1104" i="33"/>
  <c r="CE1104" i="33"/>
  <c r="G1079" i="33"/>
  <c r="CF1075" i="33"/>
  <c r="CE1008" i="33"/>
  <c r="K1008" i="33"/>
  <c r="H881" i="33"/>
  <c r="CG877" i="33"/>
  <c r="CI979" i="33"/>
  <c r="J983" i="33"/>
  <c r="CG915" i="33"/>
  <c r="H919" i="33"/>
  <c r="CJ907" i="33"/>
  <c r="CE982" i="33"/>
  <c r="K982" i="33"/>
  <c r="CF975" i="33"/>
  <c r="K975" i="33"/>
  <c r="CH849" i="33"/>
  <c r="I851" i="33"/>
  <c r="F87" i="37"/>
  <c r="CE1235" i="33"/>
  <c r="F1210" i="33"/>
  <c r="CJ1204" i="33"/>
  <c r="CH1244" i="33"/>
  <c r="K1244" i="33"/>
  <c r="P43" i="40" a="1"/>
  <c r="P43" i="40" s="1"/>
  <c r="O43" i="40" a="1"/>
  <c r="O43" i="40" s="1"/>
  <c r="N43" i="40" a="1"/>
  <c r="N43" i="40" s="1"/>
  <c r="M43" i="40" a="1"/>
  <c r="M43" i="40" s="1"/>
  <c r="Q43" i="40" a="1"/>
  <c r="Q43" i="40" s="1"/>
  <c r="CF1203" i="33"/>
  <c r="G1207" i="33"/>
  <c r="K1167" i="33"/>
  <c r="CE1167" i="33"/>
  <c r="F1172" i="33"/>
  <c r="CJ1166" i="33"/>
  <c r="F1139" i="33"/>
  <c r="CE1137" i="33"/>
  <c r="H1149" i="33"/>
  <c r="CG1145" i="33"/>
  <c r="CF1005" i="33"/>
  <c r="G1009" i="33"/>
  <c r="D203" i="34" a="1"/>
  <c r="D203" i="34" s="1"/>
  <c r="K1005" i="33"/>
  <c r="CH1009" i="33"/>
  <c r="F1041" i="33"/>
  <c r="CE1037" i="33"/>
  <c r="K1037" i="33"/>
  <c r="D209" i="34" a="1"/>
  <c r="D209" i="34" s="1"/>
  <c r="CE1006" i="33"/>
  <c r="K1006" i="33"/>
  <c r="F1009" i="33"/>
  <c r="CE909" i="33"/>
  <c r="K909" i="33"/>
  <c r="K913" i="33" s="1"/>
  <c r="F913" i="33"/>
  <c r="D185" i="34" a="1"/>
  <c r="D185" i="34" s="1"/>
  <c r="F886" i="33"/>
  <c r="CJ880" i="33"/>
  <c r="K849" i="33"/>
  <c r="K885" i="33"/>
  <c r="CE885" i="33"/>
  <c r="AP29" i="37"/>
  <c r="AP46" i="37"/>
  <c r="AR46" i="37" s="1"/>
  <c r="AS36" i="37"/>
  <c r="G1241" i="33"/>
  <c r="CF1239" i="33"/>
  <c r="K1136" i="33"/>
  <c r="CE1136" i="33"/>
  <c r="CE1199" i="33"/>
  <c r="K1199" i="33"/>
  <c r="F1083" i="33"/>
  <c r="CJ1077" i="33"/>
  <c r="K1109" i="33"/>
  <c r="CE1109" i="33"/>
  <c r="F1025" i="33"/>
  <c r="K1044" i="33"/>
  <c r="CE1044" i="33"/>
  <c r="CE1040" i="33"/>
  <c r="K1040" i="33"/>
  <c r="CE973" i="33"/>
  <c r="K973" i="33"/>
  <c r="F977" i="33"/>
  <c r="D197" i="34" a="1"/>
  <c r="D197" i="34" s="1"/>
  <c r="CF941" i="33"/>
  <c r="CJ941" i="33" s="1"/>
  <c r="CJ945" i="33" s="1"/>
  <c r="K941" i="33"/>
  <c r="K945" i="33" s="1"/>
  <c r="G945" i="33"/>
  <c r="D191" i="34" a="1"/>
  <c r="D191" i="34" s="1"/>
  <c r="CH1011" i="33"/>
  <c r="I1015" i="33"/>
  <c r="F918" i="33"/>
  <c r="CJ912" i="33"/>
  <c r="K846" i="33"/>
  <c r="CE846" i="33"/>
  <c r="CE849" i="33" s="1"/>
  <c r="CJ944" i="33"/>
  <c r="AJ15" i="36"/>
  <c r="AQ46" i="37"/>
  <c r="AS46" i="37" s="1"/>
  <c r="AP53" i="37"/>
  <c r="AR53" i="37" s="1"/>
  <c r="I1235" i="33"/>
  <c r="CH1233" i="33"/>
  <c r="CG1229" i="33"/>
  <c r="H1233" i="33"/>
  <c r="D245" i="34" a="1"/>
  <c r="D245" i="34" s="1"/>
  <c r="Q44" i="40" a="1"/>
  <c r="Q44" i="40" s="1"/>
  <c r="P44" i="40" a="1"/>
  <c r="P44" i="40" s="1"/>
  <c r="O44" i="40" a="1"/>
  <c r="O44" i="40" s="1"/>
  <c r="N44" i="40" a="1"/>
  <c r="N44" i="40" s="1"/>
  <c r="M44" i="40" a="1"/>
  <c r="M44" i="40" s="1"/>
  <c r="CE1236" i="33"/>
  <c r="K1236" i="33"/>
  <c r="K1168" i="33"/>
  <c r="CE1168" i="33"/>
  <c r="K1230" i="33"/>
  <c r="K1233" i="33" s="1"/>
  <c r="CJ1163" i="33"/>
  <c r="G1139" i="33"/>
  <c r="CF1137" i="33"/>
  <c r="CF1107" i="33"/>
  <c r="G1111" i="33"/>
  <c r="CI1143" i="33"/>
  <c r="K1105" i="33"/>
  <c r="CJ1103" i="33"/>
  <c r="I1075" i="33"/>
  <c r="CH1073" i="33"/>
  <c r="CH877" i="33"/>
  <c r="I881" i="33"/>
  <c r="F986" i="33"/>
  <c r="CJ980" i="33"/>
  <c r="CJ939" i="33"/>
  <c r="CJ1035" i="33"/>
  <c r="I913" i="33"/>
  <c r="CH909" i="33"/>
  <c r="K848" i="33"/>
  <c r="CE848" i="33"/>
  <c r="F851" i="33"/>
  <c r="D32" i="40"/>
  <c r="K1072" i="33"/>
  <c r="CE1072" i="33"/>
  <c r="CE950" i="33"/>
  <c r="K950" i="33"/>
  <c r="H849" i="33"/>
  <c r="CG845" i="33"/>
  <c r="O173" i="34" s="1" a="1"/>
  <c r="O173" i="34" s="1"/>
  <c r="D173" i="34" a="1"/>
  <c r="D173" i="34" s="1"/>
  <c r="CF849" i="33"/>
  <c r="G851" i="33"/>
  <c r="N406" i="34"/>
  <c r="I1233" i="33"/>
  <c r="I1203" i="33"/>
  <c r="CH1201" i="33"/>
  <c r="CJ1198" i="33"/>
  <c r="CF1169" i="33"/>
  <c r="G1171" i="33"/>
  <c r="I1137" i="33"/>
  <c r="CH1133" i="33"/>
  <c r="D41" i="40" s="1"/>
  <c r="D227" i="34" a="1"/>
  <c r="D227" i="34" s="1"/>
  <c r="CG1169" i="33"/>
  <c r="H1171" i="33"/>
  <c r="J1149" i="33"/>
  <c r="CI1145" i="33"/>
  <c r="F1105" i="33"/>
  <c r="I1107" i="33"/>
  <c r="CH1105" i="33"/>
  <c r="CI1037" i="33"/>
  <c r="J1041" i="33"/>
  <c r="F1107" i="33"/>
  <c r="CE1105" i="33"/>
  <c r="CJ1101" i="33"/>
  <c r="D40" i="40"/>
  <c r="O221" i="34" a="1"/>
  <c r="O221" i="34" s="1"/>
  <c r="CG1011" i="33"/>
  <c r="H1015" i="33"/>
  <c r="H983" i="33"/>
  <c r="CJ974" i="33"/>
  <c r="K980" i="33"/>
  <c r="J913" i="33"/>
  <c r="CI909" i="33"/>
  <c r="K948" i="33"/>
  <c r="CE948" i="33"/>
  <c r="CJ843" i="33"/>
  <c r="CI849" i="33"/>
  <c r="J851" i="33"/>
  <c r="K853" i="33"/>
  <c r="CE853" i="33"/>
  <c r="L406" i="34"/>
  <c r="X72" i="37"/>
  <c r="L72" i="37" s="1"/>
  <c r="J406" i="34"/>
  <c r="M37" i="36"/>
  <c r="AJ12" i="36"/>
  <c r="AR29" i="37"/>
  <c r="G817" i="33"/>
  <c r="CF813" i="33"/>
  <c r="D167" i="34" a="1"/>
  <c r="D167" i="34" s="1"/>
  <c r="CJ811" i="33"/>
  <c r="CJ790" i="33"/>
  <c r="F825" i="33"/>
  <c r="O30" i="40" a="1"/>
  <c r="O30" i="40" s="1"/>
  <c r="N30" i="40" a="1"/>
  <c r="N30" i="40" s="1"/>
  <c r="M30" i="40" a="1"/>
  <c r="M30" i="40" s="1"/>
  <c r="Q30" i="40" a="1"/>
  <c r="Q30" i="40" s="1"/>
  <c r="P30" i="40" a="1"/>
  <c r="P30" i="40" s="1"/>
  <c r="F764" i="33"/>
  <c r="CJ758" i="33"/>
  <c r="K788" i="33"/>
  <c r="CG788" i="33"/>
  <c r="H721" i="33"/>
  <c r="CG717" i="33"/>
  <c r="CJ731" i="33"/>
  <c r="F737" i="33"/>
  <c r="K720" i="33"/>
  <c r="CJ683" i="33"/>
  <c r="CJ655" i="33"/>
  <c r="F661" i="33"/>
  <c r="CJ693" i="33"/>
  <c r="F699" i="33"/>
  <c r="F597" i="33"/>
  <c r="CJ591" i="33"/>
  <c r="CJ523" i="33"/>
  <c r="I439" i="33"/>
  <c r="CH435" i="33"/>
  <c r="CI813" i="33"/>
  <c r="J817" i="33"/>
  <c r="K785" i="33"/>
  <c r="CJ752" i="33"/>
  <c r="N27" i="40" a="1"/>
  <c r="N27" i="40" s="1"/>
  <c r="M27" i="40" a="1"/>
  <c r="M27" i="40" s="1"/>
  <c r="Q27" i="40" a="1"/>
  <c r="Q27" i="40" s="1"/>
  <c r="P27" i="40" a="1"/>
  <c r="P27" i="40" s="1"/>
  <c r="O27" i="40" a="1"/>
  <c r="O27" i="40" s="1"/>
  <c r="H659" i="33"/>
  <c r="CG657" i="33"/>
  <c r="CF621" i="33"/>
  <c r="D25" i="40" s="1"/>
  <c r="G625" i="33"/>
  <c r="D131" i="34" a="1"/>
  <c r="D131" i="34" s="1"/>
  <c r="G629" i="33"/>
  <c r="CJ623" i="33"/>
  <c r="CH593" i="33"/>
  <c r="I595" i="33"/>
  <c r="CE558" i="33"/>
  <c r="K558" i="33"/>
  <c r="F595" i="33"/>
  <c r="CH503" i="33"/>
  <c r="I505" i="33"/>
  <c r="CF461" i="33"/>
  <c r="D20" i="40" s="1"/>
  <c r="G465" i="33"/>
  <c r="K461" i="33"/>
  <c r="D101" i="34" a="1"/>
  <c r="D101" i="34" s="1"/>
  <c r="CE525" i="33"/>
  <c r="F529" i="33"/>
  <c r="K525" i="33"/>
  <c r="D113" i="34" a="1"/>
  <c r="D113" i="34" s="1"/>
  <c r="F468" i="33"/>
  <c r="CJ462" i="33"/>
  <c r="CE438" i="33"/>
  <c r="K438" i="33"/>
  <c r="CG499" i="33"/>
  <c r="H503" i="33"/>
  <c r="CF567" i="33"/>
  <c r="G569" i="33"/>
  <c r="CJ461" i="33"/>
  <c r="CE465" i="33"/>
  <c r="F467" i="33"/>
  <c r="CE533" i="33"/>
  <c r="K533" i="33"/>
  <c r="S68" i="37"/>
  <c r="G68" i="37" s="1"/>
  <c r="G406" i="34"/>
  <c r="F802" i="33"/>
  <c r="CJ796" i="33"/>
  <c r="F787" i="33"/>
  <c r="CE785" i="33"/>
  <c r="CI753" i="33"/>
  <c r="H755" i="33"/>
  <c r="CG753" i="33"/>
  <c r="J727" i="33"/>
  <c r="CI723" i="33"/>
  <c r="G785" i="33"/>
  <c r="CF781" i="33"/>
  <c r="O161" i="34" s="1" a="1"/>
  <c r="O161" i="34" s="1"/>
  <c r="D161" i="34" a="1"/>
  <c r="D161" i="34" s="1"/>
  <c r="I721" i="33"/>
  <c r="F659" i="33"/>
  <c r="CE657" i="33"/>
  <c r="D26" i="40"/>
  <c r="O137" i="34" a="1"/>
  <c r="O137" i="34" s="1"/>
  <c r="CI589" i="33"/>
  <c r="CJ589" i="33" s="1"/>
  <c r="J593" i="33"/>
  <c r="F596" i="33"/>
  <c r="CJ590" i="33"/>
  <c r="G593" i="33"/>
  <c r="CF589" i="33"/>
  <c r="D125" i="34" a="1"/>
  <c r="D125" i="34" s="1"/>
  <c r="G499" i="33"/>
  <c r="CF497" i="33"/>
  <c r="CE464" i="33"/>
  <c r="K464" i="33"/>
  <c r="J465" i="33"/>
  <c r="CI461" i="33"/>
  <c r="F465" i="33"/>
  <c r="CJ814" i="33"/>
  <c r="F820" i="33"/>
  <c r="F753" i="33"/>
  <c r="CE749" i="33"/>
  <c r="K749" i="33"/>
  <c r="K753" i="33" s="1"/>
  <c r="D155" i="34" a="1"/>
  <c r="D155" i="34" s="1"/>
  <c r="CI755" i="33"/>
  <c r="J759" i="33"/>
  <c r="Q29" i="40" a="1"/>
  <c r="Q29" i="40" s="1"/>
  <c r="P29" i="40" a="1"/>
  <c r="P29" i="40" s="1"/>
  <c r="O29" i="40" a="1"/>
  <c r="O29" i="40" s="1"/>
  <c r="M29" i="40" a="1"/>
  <c r="M29" i="40" s="1"/>
  <c r="N29" i="40" a="1"/>
  <c r="N29" i="40" s="1"/>
  <c r="CF749" i="33"/>
  <c r="G753" i="33"/>
  <c r="G721" i="33"/>
  <c r="CF717" i="33"/>
  <c r="CJ717" i="33" s="1"/>
  <c r="CJ721" i="33" s="1"/>
  <c r="D149" i="34" a="1"/>
  <c r="D149" i="34" s="1"/>
  <c r="CE751" i="33"/>
  <c r="K751" i="33"/>
  <c r="Q28" i="40" a="1"/>
  <c r="Q28" i="40" s="1"/>
  <c r="P28" i="40" a="1"/>
  <c r="P28" i="40" s="1"/>
  <c r="O28" i="40" a="1"/>
  <c r="O28" i="40" s="1"/>
  <c r="N28" i="40" a="1"/>
  <c r="N28" i="40" s="1"/>
  <c r="M28" i="40" a="1"/>
  <c r="M28" i="40" s="1"/>
  <c r="G789" i="33"/>
  <c r="CJ783" i="33"/>
  <c r="CF656" i="33"/>
  <c r="K656" i="33"/>
  <c r="K657" i="33" s="1"/>
  <c r="CE630" i="33"/>
  <c r="K630" i="33"/>
  <c r="CH557" i="33"/>
  <c r="O119" i="34" s="1" a="1"/>
  <c r="O119" i="34" s="1"/>
  <c r="I561" i="33"/>
  <c r="K557" i="33"/>
  <c r="D119" i="34" a="1"/>
  <c r="D119" i="34" s="1"/>
  <c r="K593" i="33"/>
  <c r="G435" i="33"/>
  <c r="CF433" i="33"/>
  <c r="CE431" i="33"/>
  <c r="K431" i="33"/>
  <c r="CF525" i="33"/>
  <c r="G529" i="33"/>
  <c r="H467" i="33"/>
  <c r="CG465" i="33"/>
  <c r="CE495" i="33"/>
  <c r="K495" i="33"/>
  <c r="P19" i="40" a="1"/>
  <c r="P19" i="40" s="1"/>
  <c r="O19" i="40" a="1"/>
  <c r="O19" i="40" s="1"/>
  <c r="I465" i="33"/>
  <c r="CH461" i="33"/>
  <c r="Q20" i="40" a="1"/>
  <c r="Q20" i="40" s="1"/>
  <c r="P20" i="40" a="1"/>
  <c r="P20" i="40" s="1"/>
  <c r="O20" i="40" a="1"/>
  <c r="O20" i="40" s="1"/>
  <c r="N20" i="40" a="1"/>
  <c r="N20" i="40" s="1"/>
  <c r="M20" i="40" a="1"/>
  <c r="M20" i="40" s="1"/>
  <c r="Q68" i="37"/>
  <c r="E68" i="37" s="1"/>
  <c r="E406" i="34"/>
  <c r="Y67" i="37"/>
  <c r="M67" i="37" s="1"/>
  <c r="M406" i="34"/>
  <c r="Q65" i="36"/>
  <c r="I785" i="33"/>
  <c r="CH781" i="33"/>
  <c r="CJ718" i="33"/>
  <c r="F724" i="33"/>
  <c r="CH753" i="33"/>
  <c r="CJ779" i="33"/>
  <c r="CJ688" i="33"/>
  <c r="F694" i="33"/>
  <c r="CH721" i="33"/>
  <c r="G657" i="33"/>
  <c r="CF653" i="33"/>
  <c r="D137" i="34" a="1"/>
  <c r="D137" i="34" s="1"/>
  <c r="F723" i="33"/>
  <c r="CE721" i="33"/>
  <c r="D28" i="40"/>
  <c r="K623" i="33"/>
  <c r="CI665" i="33"/>
  <c r="J669" i="33"/>
  <c r="M24" i="40" a="1"/>
  <c r="M24" i="40" s="1"/>
  <c r="Q24" i="40" a="1"/>
  <c r="Q24" i="40" s="1"/>
  <c r="P24" i="40" a="1"/>
  <c r="P24" i="40" s="1"/>
  <c r="O24" i="40" a="1"/>
  <c r="O24" i="40" s="1"/>
  <c r="N24" i="40" a="1"/>
  <c r="N24" i="40" s="1"/>
  <c r="F563" i="33"/>
  <c r="D23" i="40"/>
  <c r="I659" i="33"/>
  <c r="CH657" i="33"/>
  <c r="F500" i="33"/>
  <c r="CJ494" i="33"/>
  <c r="CE430" i="33"/>
  <c r="K430" i="33"/>
  <c r="K433" i="33" s="1"/>
  <c r="CJ491" i="33"/>
  <c r="CG531" i="33"/>
  <c r="H535" i="33"/>
  <c r="Q19" i="40" a="1"/>
  <c r="Q19" i="40" s="1"/>
  <c r="H439" i="33"/>
  <c r="CG435" i="33"/>
  <c r="K821" i="33"/>
  <c r="CE821" i="33"/>
  <c r="CI787" i="33"/>
  <c r="J791" i="33"/>
  <c r="I759" i="33"/>
  <c r="CH755" i="33"/>
  <c r="CE692" i="33"/>
  <c r="K692" i="33"/>
  <c r="H787" i="33"/>
  <c r="CG785" i="33"/>
  <c r="H689" i="33"/>
  <c r="CG685" i="33"/>
  <c r="CJ685" i="33" s="1"/>
  <c r="CJ689" i="33" s="1"/>
  <c r="D143" i="34" a="1"/>
  <c r="D143" i="34" s="1"/>
  <c r="F691" i="33"/>
  <c r="CE689" i="33"/>
  <c r="D27" i="40"/>
  <c r="O143" i="34" a="1"/>
  <c r="O143" i="34" s="1"/>
  <c r="K592" i="33"/>
  <c r="CE592" i="33"/>
  <c r="CE593" i="33" s="1"/>
  <c r="H567" i="33"/>
  <c r="CG563" i="33"/>
  <c r="I529" i="33"/>
  <c r="CH525" i="33"/>
  <c r="K528" i="33"/>
  <c r="CE528" i="33"/>
  <c r="F435" i="33"/>
  <c r="CE433" i="33"/>
  <c r="F497" i="33"/>
  <c r="CE493" i="33"/>
  <c r="K493" i="33"/>
  <c r="K497" i="33" s="1"/>
  <c r="D107" i="34" a="1"/>
  <c r="D107" i="34" s="1"/>
  <c r="J433" i="33"/>
  <c r="CI429" i="33"/>
  <c r="O95" i="34" s="1" a="1"/>
  <c r="O95" i="34" s="1"/>
  <c r="D95" i="34" a="1"/>
  <c r="D95" i="34" s="1"/>
  <c r="F544" i="33"/>
  <c r="CJ538" i="33"/>
  <c r="H819" i="33"/>
  <c r="CG817" i="33"/>
  <c r="I727" i="33"/>
  <c r="CH723" i="33"/>
  <c r="K721" i="33"/>
  <c r="J625" i="33"/>
  <c r="CI621" i="33"/>
  <c r="F674" i="33"/>
  <c r="CG627" i="33"/>
  <c r="H631" i="33"/>
  <c r="F627" i="33"/>
  <c r="CE625" i="33"/>
  <c r="I633" i="33"/>
  <c r="CH631" i="33"/>
  <c r="CJ555" i="33"/>
  <c r="CI561" i="33"/>
  <c r="J563" i="33"/>
  <c r="CE560" i="33"/>
  <c r="K560" i="33"/>
  <c r="F565" i="33"/>
  <c r="CJ559" i="33"/>
  <c r="I9" i="34"/>
  <c r="U128" i="37"/>
  <c r="I128" i="37" s="1"/>
  <c r="H406" i="34"/>
  <c r="T67" i="37"/>
  <c r="H67" i="37" s="1"/>
  <c r="I817" i="33"/>
  <c r="CH813" i="33"/>
  <c r="F822" i="33"/>
  <c r="CJ816" i="33"/>
  <c r="F756" i="33"/>
  <c r="CJ750" i="33"/>
  <c r="CJ720" i="33"/>
  <c r="F726" i="33"/>
  <c r="I689" i="33"/>
  <c r="CH685" i="33"/>
  <c r="CF691" i="33"/>
  <c r="G695" i="33"/>
  <c r="J695" i="33"/>
  <c r="CI691" i="33"/>
  <c r="CJ654" i="33"/>
  <c r="F660" i="33"/>
  <c r="CJ587" i="33"/>
  <c r="K621" i="33"/>
  <c r="K625" i="33" s="1"/>
  <c r="F561" i="33"/>
  <c r="H601" i="33"/>
  <c r="CG599" i="33"/>
  <c r="O22" i="40" a="1"/>
  <c r="O22" i="40" s="1"/>
  <c r="N22" i="40" a="1"/>
  <c r="N22" i="40" s="1"/>
  <c r="M22" i="40" a="1"/>
  <c r="M22" i="40" s="1"/>
  <c r="P22" i="40" a="1"/>
  <c r="P22" i="40" s="1"/>
  <c r="Q22" i="40" a="1"/>
  <c r="Q22" i="40" s="1"/>
  <c r="Q23" i="40" a="1"/>
  <c r="Q23" i="40" s="1"/>
  <c r="P23" i="40" a="1"/>
  <c r="P23" i="40" s="1"/>
  <c r="O23" i="40" a="1"/>
  <c r="O23" i="40" s="1"/>
  <c r="N23" i="40" a="1"/>
  <c r="N23" i="40" s="1"/>
  <c r="M23" i="40" a="1"/>
  <c r="M23" i="40" s="1"/>
  <c r="F469" i="33"/>
  <c r="CJ463" i="33"/>
  <c r="CE502" i="33"/>
  <c r="K502" i="33"/>
  <c r="J531" i="33"/>
  <c r="CI529" i="33"/>
  <c r="CJ427" i="33"/>
  <c r="CI499" i="33"/>
  <c r="J503" i="33"/>
  <c r="AQ53" i="37"/>
  <c r="AS53" i="37" s="1"/>
  <c r="AK19" i="36"/>
  <c r="AJ54" i="36"/>
  <c r="J403" i="33"/>
  <c r="CI401" i="33"/>
  <c r="AJ37" i="36"/>
  <c r="CJ398" i="33"/>
  <c r="F404" i="33"/>
  <c r="I403" i="33"/>
  <c r="CH401" i="33"/>
  <c r="U47" i="36"/>
  <c r="AJ42" i="36"/>
  <c r="G401" i="33"/>
  <c r="CF397" i="33"/>
  <c r="K397" i="33"/>
  <c r="AK49" i="36"/>
  <c r="X127" i="37"/>
  <c r="K87" i="37"/>
  <c r="F406" i="33"/>
  <c r="CJ400" i="33"/>
  <c r="CJ399" i="33"/>
  <c r="F405" i="33"/>
  <c r="AK48" i="36"/>
  <c r="AC38" i="36"/>
  <c r="L8" i="34"/>
  <c r="H403" i="33"/>
  <c r="CG401" i="33"/>
  <c r="K399" i="33"/>
  <c r="AJ55" i="36"/>
  <c r="D89" i="34" a="1"/>
  <c r="D89" i="34" s="1"/>
  <c r="D18" i="40"/>
  <c r="CJ397" i="33"/>
  <c r="CJ401" i="33" s="1"/>
  <c r="F403" i="33"/>
  <c r="CE401" i="33"/>
  <c r="O89" i="34" a="1"/>
  <c r="O89" i="34" s="1"/>
  <c r="AK16" i="36"/>
  <c r="AK17" i="36"/>
  <c r="AC45" i="36"/>
  <c r="AJ40" i="36"/>
  <c r="AQ52" i="37"/>
  <c r="AS52" i="37" s="1"/>
  <c r="CJ367" i="33"/>
  <c r="F373" i="33"/>
  <c r="V400" i="34"/>
  <c r="AK18" i="36"/>
  <c r="AK8" i="36"/>
  <c r="M23" i="36"/>
  <c r="AC52" i="36"/>
  <c r="AB27" i="36"/>
  <c r="AR31" i="37"/>
  <c r="H371" i="33"/>
  <c r="CG369" i="33"/>
  <c r="J371" i="33"/>
  <c r="CI369" i="33"/>
  <c r="F374" i="33"/>
  <c r="CJ368" i="33"/>
  <c r="AQ50" i="37"/>
  <c r="AS50" i="37" s="1"/>
  <c r="AK9" i="36"/>
  <c r="AJ18" i="36"/>
  <c r="AF46" i="36"/>
  <c r="AK46" i="36" s="1"/>
  <c r="AQ48" i="37"/>
  <c r="AS48" i="37" s="1"/>
  <c r="AG27" i="36"/>
  <c r="G371" i="33"/>
  <c r="CF369" i="33"/>
  <c r="AK62" i="36"/>
  <c r="AJ41" i="36"/>
  <c r="AP48" i="37"/>
  <c r="AR48" i="37" s="1"/>
  <c r="CJ366" i="33"/>
  <c r="F372" i="33"/>
  <c r="AK22" i="36"/>
  <c r="U37" i="36"/>
  <c r="D17" i="40"/>
  <c r="O83" i="34" a="1"/>
  <c r="O83" i="34" s="1"/>
  <c r="CJ365" i="33"/>
  <c r="F371" i="33"/>
  <c r="CE369" i="33"/>
  <c r="I371" i="33"/>
  <c r="CH369" i="33"/>
  <c r="U43" i="36"/>
  <c r="U20" i="36"/>
  <c r="AP50" i="37"/>
  <c r="AR50" i="37" s="1"/>
  <c r="H339" i="33"/>
  <c r="CG337" i="33"/>
  <c r="I339" i="33"/>
  <c r="CH337" i="33"/>
  <c r="F339" i="33"/>
  <c r="CE337" i="33"/>
  <c r="AJ61" i="36"/>
  <c r="AS38" i="37"/>
  <c r="AK50" i="36"/>
  <c r="AC39" i="36"/>
  <c r="AJ63" i="36"/>
  <c r="G337" i="33"/>
  <c r="CF333" i="33"/>
  <c r="D16" i="40" s="1"/>
  <c r="J87" i="37"/>
  <c r="J339" i="33"/>
  <c r="CI337" i="33"/>
  <c r="K335" i="33"/>
  <c r="K337" i="33" s="1"/>
  <c r="CE335" i="33"/>
  <c r="U15" i="36"/>
  <c r="AJ51" i="36"/>
  <c r="F337" i="33"/>
  <c r="I87" i="37"/>
  <c r="AC43" i="36"/>
  <c r="P127" i="37"/>
  <c r="P125" i="37"/>
  <c r="CJ334" i="33"/>
  <c r="F340" i="33"/>
  <c r="F342" i="33"/>
  <c r="CJ336" i="33"/>
  <c r="AR33" i="37"/>
  <c r="AJ28" i="36"/>
  <c r="O71" i="34" a="1"/>
  <c r="O71" i="34" s="1"/>
  <c r="F307" i="33"/>
  <c r="CE305" i="33"/>
  <c r="D15" i="40"/>
  <c r="CJ303" i="33"/>
  <c r="F309" i="33"/>
  <c r="F310" i="33"/>
  <c r="CJ304" i="33"/>
  <c r="K303" i="33"/>
  <c r="K305" i="33" s="1"/>
  <c r="AJ25" i="36"/>
  <c r="AR35" i="37"/>
  <c r="AP55" i="37"/>
  <c r="AR55" i="37" s="1"/>
  <c r="H307" i="33"/>
  <c r="CG305" i="33"/>
  <c r="G305" i="33"/>
  <c r="CF301" i="33"/>
  <c r="E400" i="34"/>
  <c r="CJ302" i="33"/>
  <c r="F308" i="33"/>
  <c r="AS6" i="36"/>
  <c r="U8" i="34"/>
  <c r="U6" i="34" s="1"/>
  <c r="CI305" i="33"/>
  <c r="D71" i="34" a="1"/>
  <c r="D71" i="34" s="1"/>
  <c r="AJ52" i="36"/>
  <c r="CI307" i="33"/>
  <c r="J311" i="33"/>
  <c r="I307" i="33"/>
  <c r="CH305" i="33"/>
  <c r="M51" i="36"/>
  <c r="CJ271" i="33"/>
  <c r="F277" i="33"/>
  <c r="AJ49" i="36"/>
  <c r="G275" i="33"/>
  <c r="CF273" i="33"/>
  <c r="G400" i="34"/>
  <c r="S65" i="37"/>
  <c r="G65" i="37" s="1"/>
  <c r="H275" i="33"/>
  <c r="CG273" i="33"/>
  <c r="AJ35" i="36"/>
  <c r="M14" i="40" a="1"/>
  <c r="M14" i="40" s="1"/>
  <c r="Q14" i="40" a="1"/>
  <c r="Q14" i="40" s="1"/>
  <c r="P14" i="40" a="1"/>
  <c r="P14" i="40" s="1"/>
  <c r="O14" i="40" a="1"/>
  <c r="O14" i="40" s="1"/>
  <c r="N14" i="40" a="1"/>
  <c r="N14" i="40" s="1"/>
  <c r="I8" i="34"/>
  <c r="U127" i="37"/>
  <c r="Z65" i="37"/>
  <c r="N65" i="37" s="1"/>
  <c r="N400" i="34"/>
  <c r="Y65" i="37"/>
  <c r="M65" i="37" s="1"/>
  <c r="M400" i="34"/>
  <c r="CJ270" i="33"/>
  <c r="F276" i="33"/>
  <c r="AJ11" i="36"/>
  <c r="J400" i="34"/>
  <c r="V65" i="37"/>
  <c r="J65" i="37" s="1"/>
  <c r="T65" i="37"/>
  <c r="H65" i="37" s="1"/>
  <c r="H400" i="34"/>
  <c r="F8" i="34"/>
  <c r="R127" i="37"/>
  <c r="AJ62" i="36"/>
  <c r="I275" i="33"/>
  <c r="CH273" i="33"/>
  <c r="K269" i="33"/>
  <c r="K273" i="33" s="1"/>
  <c r="F273" i="33"/>
  <c r="D65" i="34" a="1"/>
  <c r="D65" i="34" s="1"/>
  <c r="CE269" i="33"/>
  <c r="AJ17" i="36"/>
  <c r="AJ53" i="36"/>
  <c r="AC57" i="36"/>
  <c r="AJ22" i="36"/>
  <c r="AJ31" i="36"/>
  <c r="F278" i="33"/>
  <c r="CJ272" i="33"/>
  <c r="J275" i="33"/>
  <c r="CI273" i="33"/>
  <c r="W65" i="37"/>
  <c r="K65" i="37" s="1"/>
  <c r="K400" i="34"/>
  <c r="AC48" i="36"/>
  <c r="AJ33" i="36"/>
  <c r="AJ23" i="36"/>
  <c r="AJ5" i="36"/>
  <c r="AR38" i="37"/>
  <c r="AJ9" i="36"/>
  <c r="AC12" i="36"/>
  <c r="AJ13" i="36"/>
  <c r="V7" i="34"/>
  <c r="AT5" i="36"/>
  <c r="AU5" i="36" s="1"/>
  <c r="U59" i="36"/>
  <c r="AJ34" i="36"/>
  <c r="AJ14" i="36"/>
  <c r="CJ238" i="33"/>
  <c r="F244" i="33"/>
  <c r="AJ26" i="36"/>
  <c r="U35" i="36"/>
  <c r="AJ32" i="36"/>
  <c r="I243" i="33"/>
  <c r="CH241" i="33"/>
  <c r="G241" i="33"/>
  <c r="CF237" i="33"/>
  <c r="AJ16" i="36"/>
  <c r="K237" i="33"/>
  <c r="K241" i="33" s="1"/>
  <c r="CJ239" i="33"/>
  <c r="F245" i="33"/>
  <c r="J243" i="33"/>
  <c r="CI241" i="33"/>
  <c r="F246" i="33"/>
  <c r="CJ240" i="33"/>
  <c r="CJ237" i="33"/>
  <c r="CJ241" i="33" s="1"/>
  <c r="F243" i="33"/>
  <c r="CE241" i="33"/>
  <c r="D13" i="40"/>
  <c r="O59" i="34" a="1"/>
  <c r="O59" i="34" s="1"/>
  <c r="H243" i="33"/>
  <c r="CG241" i="33"/>
  <c r="AP47" i="37"/>
  <c r="AR47" i="37" s="1"/>
  <c r="AS30" i="37"/>
  <c r="AR30" i="37"/>
  <c r="AK5" i="36"/>
  <c r="H211" i="33"/>
  <c r="CG209" i="33"/>
  <c r="J211" i="33"/>
  <c r="CI209" i="33"/>
  <c r="N394" i="34"/>
  <c r="Z96" i="37"/>
  <c r="N96" i="37" s="1"/>
  <c r="AE36" i="36"/>
  <c r="AB36" i="36"/>
  <c r="W65" i="36"/>
  <c r="AC10" i="36"/>
  <c r="AJ8" i="36"/>
  <c r="AQ54" i="37"/>
  <c r="AS54" i="37" s="1"/>
  <c r="AR37" i="37"/>
  <c r="AP54" i="37"/>
  <c r="AR54" i="37" s="1"/>
  <c r="AS37" i="37"/>
  <c r="M5" i="36"/>
  <c r="AC6" i="36"/>
  <c r="G209" i="33"/>
  <c r="CF205" i="33"/>
  <c r="CJ205" i="33"/>
  <c r="CJ209" i="33" s="1"/>
  <c r="F211" i="33"/>
  <c r="CE209" i="33"/>
  <c r="Q96" i="37"/>
  <c r="E96" i="37" s="1"/>
  <c r="Q125" i="37"/>
  <c r="E394" i="34"/>
  <c r="U13" i="36"/>
  <c r="AT17" i="36"/>
  <c r="AK12" i="36"/>
  <c r="M27" i="36"/>
  <c r="U21" i="36"/>
  <c r="K205" i="33"/>
  <c r="K209" i="33" s="1"/>
  <c r="AC5" i="36"/>
  <c r="I211" i="33"/>
  <c r="CH209" i="33"/>
  <c r="AC17" i="36"/>
  <c r="U50" i="36"/>
  <c r="CJ207" i="33"/>
  <c r="F213" i="33"/>
  <c r="K7" i="34"/>
  <c r="W126" i="37"/>
  <c r="K126" i="37" s="1"/>
  <c r="AJ7" i="36"/>
  <c r="AK56" i="36"/>
  <c r="CJ206" i="33"/>
  <c r="F212" i="33"/>
  <c r="F214" i="33"/>
  <c r="CJ208" i="33"/>
  <c r="H394" i="34"/>
  <c r="AJ48" i="36"/>
  <c r="AK13" i="36"/>
  <c r="AK10" i="36"/>
  <c r="M61" i="36"/>
  <c r="AJ30" i="36"/>
  <c r="D47" i="34" a="1"/>
  <c r="D47" i="34" s="1"/>
  <c r="K173" i="33"/>
  <c r="K177" i="33" s="1"/>
  <c r="CE173" i="33"/>
  <c r="F177" i="33"/>
  <c r="G177" i="33"/>
  <c r="CF173" i="33"/>
  <c r="J179" i="33"/>
  <c r="CI177" i="33"/>
  <c r="F182" i="33"/>
  <c r="CJ176" i="33"/>
  <c r="I179" i="33"/>
  <c r="CH177" i="33"/>
  <c r="H191" i="33"/>
  <c r="CG189" i="33"/>
  <c r="K175" i="33"/>
  <c r="CE175" i="33"/>
  <c r="K180" i="33"/>
  <c r="CE180" i="33"/>
  <c r="CF15" i="33"/>
  <c r="K15" i="33"/>
  <c r="G17" i="33"/>
  <c r="K22" i="33"/>
  <c r="CE22" i="33"/>
  <c r="CI17" i="33"/>
  <c r="J19" i="33"/>
  <c r="CF17" i="33"/>
  <c r="G19" i="33"/>
  <c r="CJ16" i="33"/>
  <c r="K14" i="33"/>
  <c r="CF14" i="33"/>
  <c r="F17" i="33"/>
  <c r="D17" i="34" a="1"/>
  <c r="D17" i="34" s="1"/>
  <c r="K13" i="33"/>
  <c r="CE13" i="33"/>
  <c r="O389" i="34"/>
  <c r="AP20" i="37"/>
  <c r="CE21" i="33"/>
  <c r="H17" i="33"/>
  <c r="CG13" i="33"/>
  <c r="I23" i="33"/>
  <c r="CH19" i="33"/>
  <c r="CE20" i="33"/>
  <c r="H74" i="39"/>
  <c r="AD52" i="36"/>
  <c r="AK52" i="36" s="1"/>
  <c r="H75" i="39"/>
  <c r="M62" i="36"/>
  <c r="AP17" i="36"/>
  <c r="AD6" i="36"/>
  <c r="AK6" i="36" s="1"/>
  <c r="AD58" i="36"/>
  <c r="AK58" i="36" s="1"/>
  <c r="AN20" i="36"/>
  <c r="AD60" i="36"/>
  <c r="I86" i="39"/>
  <c r="AD59" i="36"/>
  <c r="I85" i="39"/>
  <c r="H77" i="39"/>
  <c r="I75" i="39"/>
  <c r="H80" i="39"/>
  <c r="I78" i="39"/>
  <c r="I74" i="39"/>
  <c r="H83" i="39"/>
  <c r="H86" i="39"/>
  <c r="Q406" i="34"/>
  <c r="AN7" i="36" s="1"/>
  <c r="U51" i="36"/>
  <c r="AN18" i="36"/>
  <c r="I73" i="39"/>
  <c r="I79" i="39"/>
  <c r="H79" i="39"/>
  <c r="AD57" i="36"/>
  <c r="AK57" i="36" s="1"/>
  <c r="H87" i="39"/>
  <c r="AD24" i="36"/>
  <c r="AK24" i="36" s="1"/>
  <c r="H84" i="39"/>
  <c r="I84" i="39"/>
  <c r="AP18" i="36"/>
  <c r="AD28" i="36"/>
  <c r="AK28" i="36" s="1"/>
  <c r="H82" i="39"/>
  <c r="I82" i="39"/>
  <c r="H73" i="39"/>
  <c r="AD27" i="36"/>
  <c r="AD23" i="36"/>
  <c r="AK23" i="36" s="1"/>
  <c r="U11" i="36"/>
  <c r="AD11" i="36"/>
  <c r="AK11" i="36" s="1"/>
  <c r="AD37" i="36"/>
  <c r="AD43" i="36"/>
  <c r="AK43" i="36" s="1"/>
  <c r="AO19" i="36"/>
  <c r="S412" i="34"/>
  <c r="AP8" i="36" s="1"/>
  <c r="M44" i="36"/>
  <c r="AD44" i="36"/>
  <c r="AK44" i="36" s="1"/>
  <c r="N61" i="36"/>
  <c r="AO20" i="36" s="1"/>
  <c r="R412" i="34"/>
  <c r="H70" i="39"/>
  <c r="I72" i="39"/>
  <c r="I80" i="39"/>
  <c r="Q400" i="34"/>
  <c r="AD47" i="36"/>
  <c r="AK47" i="36" s="1"/>
  <c r="S400" i="34"/>
  <c r="V42" i="36"/>
  <c r="AD41" i="36"/>
  <c r="M41" i="36"/>
  <c r="I83" i="39"/>
  <c r="I70" i="39"/>
  <c r="F14" i="36"/>
  <c r="Q412" i="34"/>
  <c r="M64" i="36"/>
  <c r="AD64" i="36"/>
  <c r="AK64" i="36" s="1"/>
  <c r="R406" i="34"/>
  <c r="N7" i="36"/>
  <c r="H78" i="39"/>
  <c r="H71" i="39"/>
  <c r="I71" i="39"/>
  <c r="R400" i="34"/>
  <c r="AD45" i="36"/>
  <c r="AK45" i="36" s="1"/>
  <c r="AC47" i="36"/>
  <c r="AP20" i="36"/>
  <c r="U46" i="36"/>
  <c r="S406" i="34"/>
  <c r="AD63" i="36"/>
  <c r="AK63" i="36" s="1"/>
  <c r="H72" i="39"/>
  <c r="U25" i="36"/>
  <c r="AO18" i="36"/>
  <c r="H85" i="39"/>
  <c r="S7" i="34" l="1"/>
  <c r="C92" i="39"/>
  <c r="D91" i="39"/>
  <c r="D92" i="39"/>
  <c r="C90" i="39"/>
  <c r="AK4" i="36"/>
  <c r="R7" i="34"/>
  <c r="F91" i="39"/>
  <c r="I81" i="39"/>
  <c r="F92" i="39"/>
  <c r="AK36" i="36"/>
  <c r="H81" i="39"/>
  <c r="E92" i="39"/>
  <c r="E90" i="39"/>
  <c r="I69" i="39"/>
  <c r="I68" i="39" s="1"/>
  <c r="M33" i="36"/>
  <c r="S388" i="34"/>
  <c r="AP16" i="36" s="1"/>
  <c r="H69" i="39"/>
  <c r="H68" i="39" s="1"/>
  <c r="H91" i="39" s="1"/>
  <c r="R388" i="34"/>
  <c r="AO4" i="36" s="1"/>
  <c r="F32" i="36"/>
  <c r="F65" i="36" s="1"/>
  <c r="M65" i="36" s="1"/>
  <c r="Q394" i="34"/>
  <c r="M35" i="36"/>
  <c r="G92" i="39"/>
  <c r="M30" i="36"/>
  <c r="M36" i="36"/>
  <c r="G90" i="39"/>
  <c r="CE1937" i="33"/>
  <c r="F1939" i="33"/>
  <c r="CJ1933" i="33"/>
  <c r="CE1941" i="33"/>
  <c r="K1941" i="33"/>
  <c r="CE1942" i="33"/>
  <c r="K1942" i="33"/>
  <c r="CI1937" i="33"/>
  <c r="J1939" i="33"/>
  <c r="F1940" i="33"/>
  <c r="CJ1934" i="33"/>
  <c r="CF1937" i="33"/>
  <c r="G1939" i="33"/>
  <c r="CH1943" i="33"/>
  <c r="I1945" i="33"/>
  <c r="K1937" i="33"/>
  <c r="CG1937" i="33"/>
  <c r="H1939" i="33"/>
  <c r="AK59" i="36"/>
  <c r="AJ47" i="36"/>
  <c r="CE1909" i="33"/>
  <c r="K1909" i="33"/>
  <c r="U24" i="36"/>
  <c r="F1913" i="33"/>
  <c r="CF1905" i="33"/>
  <c r="G1907" i="33"/>
  <c r="CJ1901" i="33"/>
  <c r="F1908" i="33"/>
  <c r="CJ1902" i="33"/>
  <c r="CE1905" i="33"/>
  <c r="AJ56" i="36"/>
  <c r="CH1907" i="33"/>
  <c r="I1911" i="33"/>
  <c r="CE1910" i="33"/>
  <c r="K1910" i="33"/>
  <c r="CI1905" i="33"/>
  <c r="J1907" i="33"/>
  <c r="X129" i="37"/>
  <c r="L129" i="37" s="1"/>
  <c r="K1905" i="33"/>
  <c r="D65" i="40"/>
  <c r="CG1905" i="33"/>
  <c r="H1907" i="33"/>
  <c r="CG1873" i="33"/>
  <c r="H1875" i="33"/>
  <c r="AH65" i="36"/>
  <c r="V388" i="34"/>
  <c r="CE1877" i="33"/>
  <c r="K1877" i="33"/>
  <c r="CF1873" i="33"/>
  <c r="G1875" i="33"/>
  <c r="CE1878" i="33"/>
  <c r="K1878" i="33"/>
  <c r="CI1875" i="33"/>
  <c r="J1879" i="33"/>
  <c r="CH1875" i="33"/>
  <c r="I1879" i="33"/>
  <c r="CE1873" i="33"/>
  <c r="F1875" i="33"/>
  <c r="CJ1869" i="33"/>
  <c r="CJ1873" i="33" s="1"/>
  <c r="AJ19" i="36"/>
  <c r="F1876" i="33"/>
  <c r="CJ1870" i="33"/>
  <c r="AJ58" i="36"/>
  <c r="AS16" i="36"/>
  <c r="K1845" i="33"/>
  <c r="CE1845" i="33"/>
  <c r="CE1846" i="33"/>
  <c r="K1846" i="33"/>
  <c r="CF1841" i="33"/>
  <c r="G1843" i="33"/>
  <c r="CE1841" i="33"/>
  <c r="F1843" i="33"/>
  <c r="CJ1837" i="33"/>
  <c r="CI1847" i="33"/>
  <c r="J1849" i="33"/>
  <c r="D63" i="40"/>
  <c r="CG1841" i="33"/>
  <c r="H1843" i="33"/>
  <c r="I1847" i="33"/>
  <c r="CH1843" i="33"/>
  <c r="F1844" i="33"/>
  <c r="CJ1838" i="33"/>
  <c r="AI65" i="36"/>
  <c r="CF1809" i="33"/>
  <c r="G1811" i="33"/>
  <c r="F1820" i="33"/>
  <c r="CJ1814" i="33"/>
  <c r="AT19" i="36"/>
  <c r="K1812" i="33"/>
  <c r="CE1812" i="33"/>
  <c r="T129" i="37"/>
  <c r="H129" i="37" s="1"/>
  <c r="K1809" i="33"/>
  <c r="CE1809" i="33"/>
  <c r="F1811" i="33"/>
  <c r="CJ1805" i="33"/>
  <c r="CJ1809" i="33" s="1"/>
  <c r="CH1811" i="33"/>
  <c r="I1815" i="33"/>
  <c r="CG1809" i="33"/>
  <c r="H1811" i="33"/>
  <c r="CI1811" i="33"/>
  <c r="J1815" i="33"/>
  <c r="AJ44" i="36"/>
  <c r="CE1813" i="33"/>
  <c r="K1813" i="33"/>
  <c r="AJ6" i="36"/>
  <c r="AJ50" i="36"/>
  <c r="K1777" i="33"/>
  <c r="CE1781" i="33"/>
  <c r="K1781" i="33"/>
  <c r="AS20" i="36"/>
  <c r="T388" i="34"/>
  <c r="AR4" i="36" s="1"/>
  <c r="CE1777" i="33"/>
  <c r="F1779" i="33"/>
  <c r="CJ1773" i="33"/>
  <c r="CJ1777" i="33" s="1"/>
  <c r="AS17" i="36"/>
  <c r="T6" i="34"/>
  <c r="AR8" i="36"/>
  <c r="CH1779" i="33"/>
  <c r="I1783" i="33"/>
  <c r="F1788" i="33"/>
  <c r="CJ1782" i="33"/>
  <c r="CF1777" i="33"/>
  <c r="G1779" i="33"/>
  <c r="F6" i="34"/>
  <c r="CI1779" i="33"/>
  <c r="J1783" i="33"/>
  <c r="K1780" i="33"/>
  <c r="CE1780" i="33"/>
  <c r="CG1777" i="33"/>
  <c r="H1779" i="33"/>
  <c r="CG1745" i="33"/>
  <c r="H1747" i="33"/>
  <c r="CI1747" i="33"/>
  <c r="J1751" i="33"/>
  <c r="CF1745" i="33"/>
  <c r="G1747" i="33"/>
  <c r="CH1747" i="33"/>
  <c r="I1751" i="33"/>
  <c r="CE1749" i="33"/>
  <c r="K1749" i="33"/>
  <c r="CE1750" i="33"/>
  <c r="K1750" i="33"/>
  <c r="K1745" i="33"/>
  <c r="AR18" i="36"/>
  <c r="F1748" i="33"/>
  <c r="CJ1742" i="33"/>
  <c r="CE1745" i="33"/>
  <c r="F1747" i="33"/>
  <c r="CJ1741" i="33"/>
  <c r="CE1718" i="33"/>
  <c r="K1718" i="33"/>
  <c r="AJ27" i="36"/>
  <c r="CI1713" i="33"/>
  <c r="J1715" i="33"/>
  <c r="CF1713" i="33"/>
  <c r="G1715" i="33"/>
  <c r="CE1717" i="33"/>
  <c r="K1717" i="33"/>
  <c r="CG1713" i="33"/>
  <c r="H1715" i="33"/>
  <c r="K1713" i="33"/>
  <c r="CE1713" i="33"/>
  <c r="F1715" i="33"/>
  <c r="CJ1709" i="33"/>
  <c r="CJ1713" i="33" s="1"/>
  <c r="AJ10" i="36"/>
  <c r="CH1715" i="33"/>
  <c r="I1719" i="33"/>
  <c r="F1716" i="33"/>
  <c r="CJ1710" i="33"/>
  <c r="CF1681" i="33"/>
  <c r="G1683" i="33"/>
  <c r="CJ1677" i="33"/>
  <c r="AK41" i="36"/>
  <c r="F1687" i="33"/>
  <c r="CE1683" i="33"/>
  <c r="CE1686" i="33"/>
  <c r="K1686" i="33"/>
  <c r="F1684" i="33"/>
  <c r="CJ1678" i="33"/>
  <c r="CI1683" i="33"/>
  <c r="J1687" i="33"/>
  <c r="CE1685" i="33"/>
  <c r="K1685" i="33"/>
  <c r="I1687" i="33"/>
  <c r="CH1683" i="33"/>
  <c r="CG1681" i="33"/>
  <c r="H1683" i="33"/>
  <c r="K1683" i="33" s="1"/>
  <c r="CF1649" i="33"/>
  <c r="G1651" i="33"/>
  <c r="CG1649" i="33"/>
  <c r="H1651" i="33"/>
  <c r="F1652" i="33"/>
  <c r="CJ1646" i="33"/>
  <c r="CE1653" i="33"/>
  <c r="K1653" i="33"/>
  <c r="K1649" i="33"/>
  <c r="CE1654" i="33"/>
  <c r="K1654" i="33"/>
  <c r="CE1649" i="33"/>
  <c r="F1651" i="33"/>
  <c r="CJ1645" i="33"/>
  <c r="CJ1649" i="33" s="1"/>
  <c r="CI1651" i="33"/>
  <c r="J1655" i="33"/>
  <c r="AK60" i="36"/>
  <c r="CH1651" i="33"/>
  <c r="I1655" i="33"/>
  <c r="CH1623" i="33"/>
  <c r="I1625" i="33"/>
  <c r="CE1622" i="33"/>
  <c r="K1622" i="33"/>
  <c r="CI1619" i="33"/>
  <c r="J1623" i="33"/>
  <c r="CF1617" i="33"/>
  <c r="G1619" i="33"/>
  <c r="CE1621" i="33"/>
  <c r="K1621" i="33"/>
  <c r="CG1617" i="33"/>
  <c r="H1619" i="33"/>
  <c r="F1620" i="33"/>
  <c r="CJ1614" i="33"/>
  <c r="K1617" i="33"/>
  <c r="CE1617" i="33"/>
  <c r="F1619" i="33"/>
  <c r="CJ1613" i="33"/>
  <c r="CI1587" i="33"/>
  <c r="J1591" i="33"/>
  <c r="CE1589" i="33"/>
  <c r="K1589" i="33"/>
  <c r="CF1585" i="33"/>
  <c r="G1587" i="33"/>
  <c r="CJ1581" i="33"/>
  <c r="CE1590" i="33"/>
  <c r="K1590" i="33"/>
  <c r="F1593" i="33"/>
  <c r="CG1585" i="33"/>
  <c r="H1587" i="33"/>
  <c r="F1588" i="33"/>
  <c r="CJ1582" i="33"/>
  <c r="CE1585" i="33"/>
  <c r="CH1587" i="33"/>
  <c r="I1591" i="33"/>
  <c r="CI1555" i="33"/>
  <c r="J1559" i="33"/>
  <c r="F1564" i="33"/>
  <c r="CJ1558" i="33"/>
  <c r="CH1555" i="33"/>
  <c r="I1559" i="33"/>
  <c r="CG1553" i="33"/>
  <c r="H1555" i="33"/>
  <c r="K1556" i="33"/>
  <c r="CE1556" i="33"/>
  <c r="CE1557" i="33"/>
  <c r="K1557" i="33"/>
  <c r="CE1553" i="33"/>
  <c r="F1555" i="33"/>
  <c r="CJ1549" i="33"/>
  <c r="CJ1553" i="33" s="1"/>
  <c r="CF1553" i="33"/>
  <c r="G1555" i="33"/>
  <c r="AK37" i="36"/>
  <c r="AJ59" i="36"/>
  <c r="CE1521" i="33"/>
  <c r="F1523" i="33"/>
  <c r="CJ1517" i="33"/>
  <c r="CJ1521" i="33" s="1"/>
  <c r="CG1521" i="33"/>
  <c r="H1523" i="33"/>
  <c r="F1524" i="33"/>
  <c r="CJ1518" i="33"/>
  <c r="AT20" i="36"/>
  <c r="CH1523" i="33"/>
  <c r="I1527" i="33"/>
  <c r="AR20" i="36"/>
  <c r="D53" i="40"/>
  <c r="CF1521" i="33"/>
  <c r="G1523" i="33"/>
  <c r="CE1525" i="33"/>
  <c r="K1525" i="33"/>
  <c r="O299" i="34" a="1"/>
  <c r="O299" i="34" s="1"/>
  <c r="CI1521" i="33"/>
  <c r="J1523" i="33"/>
  <c r="CE1526" i="33"/>
  <c r="K1526" i="33"/>
  <c r="AU7" i="36"/>
  <c r="AG65" i="36"/>
  <c r="CE1493" i="33"/>
  <c r="K1493" i="33"/>
  <c r="CE1489" i="33"/>
  <c r="F1491" i="33"/>
  <c r="CJ1485" i="33"/>
  <c r="CJ1489" i="33" s="1"/>
  <c r="CF1489" i="33"/>
  <c r="G1491" i="33"/>
  <c r="CG1489" i="33"/>
  <c r="H1491" i="33"/>
  <c r="F1492" i="33"/>
  <c r="CJ1486" i="33"/>
  <c r="AJ43" i="36"/>
  <c r="CE1494" i="33"/>
  <c r="K1494" i="33"/>
  <c r="AR19" i="36"/>
  <c r="CH1491" i="33"/>
  <c r="I1495" i="33"/>
  <c r="CI1491" i="33"/>
  <c r="J1495" i="33"/>
  <c r="F1460" i="33"/>
  <c r="CJ1454" i="33"/>
  <c r="D51" i="40"/>
  <c r="CF1457" i="33"/>
  <c r="G1459" i="33"/>
  <c r="CE1462" i="33"/>
  <c r="K1462" i="33"/>
  <c r="AS18" i="36"/>
  <c r="CE1457" i="33"/>
  <c r="F1459" i="33"/>
  <c r="CJ1453" i="33"/>
  <c r="CJ1457" i="33" s="1"/>
  <c r="AR17" i="36"/>
  <c r="L65" i="36"/>
  <c r="CH1459" i="33"/>
  <c r="I1463" i="33"/>
  <c r="AJ64" i="36"/>
  <c r="CE1461" i="33"/>
  <c r="K1461" i="33"/>
  <c r="CG1457" i="33"/>
  <c r="H1459" i="33"/>
  <c r="CI1459" i="33"/>
  <c r="J1463" i="33"/>
  <c r="AJ46" i="36"/>
  <c r="CG1425" i="33"/>
  <c r="H1427" i="33"/>
  <c r="CE1425" i="33"/>
  <c r="F1427" i="33"/>
  <c r="CJ1421" i="33"/>
  <c r="AC46" i="36"/>
  <c r="F1428" i="33"/>
  <c r="CJ1422" i="33"/>
  <c r="CE1429" i="33"/>
  <c r="K1429" i="33"/>
  <c r="CE1430" i="33"/>
  <c r="K1430" i="33"/>
  <c r="CH1427" i="33"/>
  <c r="I1431" i="33"/>
  <c r="AJ29" i="36"/>
  <c r="CI1427" i="33"/>
  <c r="J1431" i="33"/>
  <c r="CF1425" i="33"/>
  <c r="G1427" i="33"/>
  <c r="CH1395" i="33"/>
  <c r="I1399" i="33"/>
  <c r="CE1398" i="33"/>
  <c r="K1398" i="33"/>
  <c r="CG1393" i="33"/>
  <c r="H1395" i="33"/>
  <c r="CF1393" i="33"/>
  <c r="G1395" i="33"/>
  <c r="CE1397" i="33"/>
  <c r="K1397" i="33"/>
  <c r="AT29" i="37"/>
  <c r="AP30" i="37" s="1"/>
  <c r="AT30" i="37" s="1"/>
  <c r="AP31" i="37" s="1"/>
  <c r="AT31" i="37" s="1"/>
  <c r="AP32" i="37" s="1"/>
  <c r="AT32" i="37" s="1"/>
  <c r="AP33" i="37" s="1"/>
  <c r="AT33" i="37" s="1"/>
  <c r="AP34" i="37" s="1"/>
  <c r="AT34" i="37" s="1"/>
  <c r="AP35" i="37" s="1"/>
  <c r="AT35" i="37" s="1"/>
  <c r="AP36" i="37" s="1"/>
  <c r="AT36" i="37" s="1"/>
  <c r="AP37" i="37" s="1"/>
  <c r="AT37" i="37" s="1"/>
  <c r="AP38" i="37" s="1"/>
  <c r="AT38" i="37" s="1"/>
  <c r="W128" i="37"/>
  <c r="K128" i="37" s="1"/>
  <c r="AJ38" i="36"/>
  <c r="CI1393" i="33"/>
  <c r="J1395" i="33"/>
  <c r="K1393" i="33"/>
  <c r="F1396" i="33"/>
  <c r="CJ1390" i="33"/>
  <c r="CE1393" i="33"/>
  <c r="F1395" i="33"/>
  <c r="CJ1389" i="33"/>
  <c r="CG1361" i="33"/>
  <c r="H1363" i="33"/>
  <c r="CF1361" i="33"/>
  <c r="G1363" i="33"/>
  <c r="AS19" i="36"/>
  <c r="CH1363" i="33"/>
  <c r="I1367" i="33"/>
  <c r="CE1365" i="33"/>
  <c r="K1365" i="33"/>
  <c r="CI1361" i="33"/>
  <c r="J1363" i="33"/>
  <c r="AJ39" i="36"/>
  <c r="CE1361" i="33"/>
  <c r="F1363" i="33"/>
  <c r="CJ1357" i="33"/>
  <c r="CJ1361" i="33" s="1"/>
  <c r="CE1366" i="33"/>
  <c r="K1366" i="33"/>
  <c r="F1364" i="33"/>
  <c r="CJ1358" i="33"/>
  <c r="M47" i="36"/>
  <c r="AT8" i="36"/>
  <c r="AU8" i="36" s="1"/>
  <c r="V10" i="34"/>
  <c r="V6" i="34" s="1"/>
  <c r="T3" i="34" s="1"/>
  <c r="Y129" i="37"/>
  <c r="M129" i="37" s="1"/>
  <c r="M10" i="34"/>
  <c r="V129" i="37"/>
  <c r="J129" i="37" s="1"/>
  <c r="J10" i="34"/>
  <c r="O335" i="34" a="1"/>
  <c r="O335" i="34" s="1"/>
  <c r="D59" i="40"/>
  <c r="U129" i="37"/>
  <c r="I129" i="37" s="1"/>
  <c r="I10" i="34"/>
  <c r="I6" i="34" s="1"/>
  <c r="O371" i="34" a="1"/>
  <c r="O371" i="34" s="1"/>
  <c r="U125" i="37"/>
  <c r="I125" i="37" s="1"/>
  <c r="S129" i="37"/>
  <c r="G129" i="37" s="1"/>
  <c r="G10" i="34"/>
  <c r="D66" i="40"/>
  <c r="O353" i="34" a="1"/>
  <c r="O353" i="34" s="1"/>
  <c r="K10" i="34"/>
  <c r="K6" i="34" s="1"/>
  <c r="W129" i="37"/>
  <c r="K129" i="37" s="1"/>
  <c r="O359" i="34" a="1"/>
  <c r="O359" i="34" s="1"/>
  <c r="E10" i="34"/>
  <c r="Q129" i="37"/>
  <c r="E129" i="37" s="1"/>
  <c r="O329" i="34" a="1"/>
  <c r="O329" i="34" s="1"/>
  <c r="D58" i="40"/>
  <c r="D64" i="40"/>
  <c r="O365" i="34" a="1"/>
  <c r="O365" i="34" s="1"/>
  <c r="D62" i="40"/>
  <c r="Z129" i="37"/>
  <c r="N129" i="37" s="1"/>
  <c r="N10" i="34"/>
  <c r="D378" i="34" a="1"/>
  <c r="D378" i="34" s="1"/>
  <c r="AJ21" i="36"/>
  <c r="D348" i="34" a="1"/>
  <c r="D348" i="34" s="1"/>
  <c r="D60" i="40"/>
  <c r="D61" i="40"/>
  <c r="CE1305" i="33"/>
  <c r="D50" i="40"/>
  <c r="O281" i="34" a="1"/>
  <c r="O281" i="34" s="1"/>
  <c r="CH1303" i="33"/>
  <c r="I1305" i="33"/>
  <c r="D54" i="40"/>
  <c r="O305" i="34" a="1"/>
  <c r="O305" i="34" s="1"/>
  <c r="F1337" i="33"/>
  <c r="O293" i="34" a="1"/>
  <c r="O293" i="34" s="1"/>
  <c r="K1300" i="33"/>
  <c r="CE1300" i="33"/>
  <c r="J1267" i="33"/>
  <c r="CI1265" i="33"/>
  <c r="D408" i="34"/>
  <c r="I1271" i="33"/>
  <c r="CH1267" i="33"/>
  <c r="AT18" i="36"/>
  <c r="CF1337" i="33"/>
  <c r="G1341" i="33"/>
  <c r="K1267" i="33"/>
  <c r="F1271" i="33"/>
  <c r="CE1267" i="33"/>
  <c r="F1282" i="33"/>
  <c r="CJ1276" i="33"/>
  <c r="CG1303" i="33"/>
  <c r="H1305" i="33"/>
  <c r="CI1297" i="33"/>
  <c r="J1299" i="33"/>
  <c r="F1269" i="33"/>
  <c r="CJ1263" i="33"/>
  <c r="CJ1265" i="33" s="1"/>
  <c r="O317" i="34" a="1"/>
  <c r="O317" i="34" s="1"/>
  <c r="D56" i="40"/>
  <c r="K1329" i="33"/>
  <c r="CE1301" i="33"/>
  <c r="K1301" i="33"/>
  <c r="CG1333" i="33"/>
  <c r="K1333" i="33"/>
  <c r="CE1265" i="33"/>
  <c r="H1273" i="33"/>
  <c r="CG1271" i="33"/>
  <c r="T65" i="36"/>
  <c r="F1332" i="33"/>
  <c r="CJ1326" i="33"/>
  <c r="CE1329" i="33"/>
  <c r="F1334" i="33"/>
  <c r="CJ1328" i="33"/>
  <c r="CH1335" i="33"/>
  <c r="I1337" i="33"/>
  <c r="D55" i="40"/>
  <c r="O311" i="34" a="1"/>
  <c r="O311" i="34" s="1"/>
  <c r="H1331" i="33"/>
  <c r="CG1329" i="33"/>
  <c r="D47" i="40"/>
  <c r="O263" i="34" a="1"/>
  <c r="O263" i="34" s="1"/>
  <c r="CJ1325" i="33"/>
  <c r="K1297" i="33"/>
  <c r="D48" i="40"/>
  <c r="O269" i="34" a="1"/>
  <c r="O269" i="34" s="1"/>
  <c r="CF1265" i="33"/>
  <c r="G1267" i="33"/>
  <c r="F1274" i="33"/>
  <c r="CJ1268" i="33"/>
  <c r="CF1297" i="33"/>
  <c r="G1299" i="33"/>
  <c r="O257" i="34" a="1"/>
  <c r="O257" i="34" s="1"/>
  <c r="CJ1293" i="33"/>
  <c r="D46" i="40"/>
  <c r="D288" i="34" a="1"/>
  <c r="D288" i="34" s="1"/>
  <c r="O323" i="34" a="1"/>
  <c r="O323" i="34" s="1"/>
  <c r="D57" i="40"/>
  <c r="F1302" i="33"/>
  <c r="CJ1296" i="33"/>
  <c r="J1331" i="33"/>
  <c r="CI1329" i="33"/>
  <c r="CE1339" i="33"/>
  <c r="D49" i="40"/>
  <c r="O275" i="34" a="1"/>
  <c r="O275" i="34" s="1"/>
  <c r="I1111" i="33"/>
  <c r="CH1107" i="33"/>
  <c r="G855" i="33"/>
  <c r="CF851" i="33"/>
  <c r="CH913" i="33"/>
  <c r="I915" i="33"/>
  <c r="CF1139" i="33"/>
  <c r="G1143" i="33"/>
  <c r="I1239" i="33"/>
  <c r="CH1235" i="33"/>
  <c r="CE918" i="33"/>
  <c r="K918" i="33"/>
  <c r="CE1025" i="33"/>
  <c r="CE1210" i="33"/>
  <c r="K1210" i="33"/>
  <c r="I855" i="33"/>
  <c r="CH851" i="33"/>
  <c r="CG919" i="33"/>
  <c r="H921" i="33"/>
  <c r="F1076" i="33"/>
  <c r="CJ1070" i="33"/>
  <c r="F993" i="33"/>
  <c r="F1140" i="33"/>
  <c r="CJ1134" i="33"/>
  <c r="F1017" i="33"/>
  <c r="CG989" i="33"/>
  <c r="H991" i="33"/>
  <c r="F884" i="33"/>
  <c r="CJ878" i="33"/>
  <c r="F1171" i="33"/>
  <c r="CE1169" i="33"/>
  <c r="CJ1165" i="33"/>
  <c r="D42" i="40"/>
  <c r="O233" i="34" a="1"/>
  <c r="O233" i="34" s="1"/>
  <c r="L9" i="34"/>
  <c r="L6" i="34" s="1"/>
  <c r="X128" i="37"/>
  <c r="L128" i="37" s="1"/>
  <c r="J915" i="33"/>
  <c r="CI913" i="33"/>
  <c r="G1175" i="33"/>
  <c r="CF1171" i="33"/>
  <c r="I1079" i="33"/>
  <c r="CH1075" i="33"/>
  <c r="K977" i="33"/>
  <c r="F1115" i="33"/>
  <c r="CJ1109" i="33"/>
  <c r="F1012" i="33"/>
  <c r="CJ1006" i="33"/>
  <c r="CE1009" i="33"/>
  <c r="CE1139" i="33"/>
  <c r="CJ1104" i="33"/>
  <c r="F1110" i="33"/>
  <c r="J1207" i="33"/>
  <c r="CI1203" i="33"/>
  <c r="D35" i="40"/>
  <c r="J1075" i="33"/>
  <c r="CI1073" i="33"/>
  <c r="I1175" i="33"/>
  <c r="CH1171" i="33"/>
  <c r="K949" i="33"/>
  <c r="CE949" i="33"/>
  <c r="CH1049" i="33"/>
  <c r="I1053" i="33"/>
  <c r="H1207" i="33"/>
  <c r="CG1203" i="33"/>
  <c r="CJ853" i="33"/>
  <c r="F859" i="33"/>
  <c r="J1151" i="33"/>
  <c r="CI1149" i="33"/>
  <c r="I1017" i="33"/>
  <c r="CH1015" i="33"/>
  <c r="CE977" i="33"/>
  <c r="F979" i="33"/>
  <c r="CJ973" i="33"/>
  <c r="D36" i="40"/>
  <c r="O197" i="34" a="1"/>
  <c r="O197" i="34" s="1"/>
  <c r="G1245" i="33"/>
  <c r="CF1241" i="33"/>
  <c r="K886" i="33"/>
  <c r="CE886" i="33"/>
  <c r="G1011" i="33"/>
  <c r="CF1009" i="33"/>
  <c r="D37" i="40"/>
  <c r="O203" i="34" a="1"/>
  <c r="O203" i="34" s="1"/>
  <c r="CJ1005" i="33"/>
  <c r="F1241" i="33"/>
  <c r="J985" i="33"/>
  <c r="CI983" i="33"/>
  <c r="CG1073" i="33"/>
  <c r="H1075" i="33"/>
  <c r="CE916" i="33"/>
  <c r="K916" i="33"/>
  <c r="CE1045" i="33"/>
  <c r="K1045" i="33"/>
  <c r="CF915" i="33"/>
  <c r="G919" i="33"/>
  <c r="CF1043" i="33"/>
  <c r="G1047" i="33"/>
  <c r="CG849" i="33"/>
  <c r="H851" i="33"/>
  <c r="CJ845" i="33"/>
  <c r="CJ849" i="33" s="1"/>
  <c r="CJ1168" i="33"/>
  <c r="F1174" i="33"/>
  <c r="K1041" i="33"/>
  <c r="H1151" i="33"/>
  <c r="CG1149" i="33"/>
  <c r="CE1172" i="33"/>
  <c r="K1172" i="33"/>
  <c r="G981" i="33"/>
  <c r="CJ975" i="33"/>
  <c r="CG881" i="33"/>
  <c r="H883" i="33"/>
  <c r="F951" i="33"/>
  <c r="CE947" i="33"/>
  <c r="F917" i="33"/>
  <c r="CJ911" i="33"/>
  <c r="CE881" i="33"/>
  <c r="F883" i="33"/>
  <c r="CJ877" i="33"/>
  <c r="CJ881" i="33" s="1"/>
  <c r="D33" i="40"/>
  <c r="O179" i="34" a="1"/>
  <c r="O179" i="34" s="1"/>
  <c r="CF883" i="33"/>
  <c r="G887" i="33"/>
  <c r="K1147" i="33"/>
  <c r="CE1147" i="33"/>
  <c r="AF65" i="36"/>
  <c r="J855" i="33"/>
  <c r="CI851" i="33"/>
  <c r="CE1107" i="33"/>
  <c r="K1107" i="33"/>
  <c r="F1111" i="33"/>
  <c r="H1175" i="33"/>
  <c r="CG1171" i="33"/>
  <c r="F1046" i="33"/>
  <c r="CJ1040" i="33"/>
  <c r="CE1083" i="33"/>
  <c r="K1083" i="33"/>
  <c r="CE1041" i="33"/>
  <c r="F1043" i="33"/>
  <c r="CJ1037" i="33"/>
  <c r="CJ1041" i="33" s="1"/>
  <c r="D38" i="40"/>
  <c r="O209" i="34" a="1"/>
  <c r="O209" i="34" s="1"/>
  <c r="F1173" i="33"/>
  <c r="CJ1167" i="33"/>
  <c r="F1203" i="33"/>
  <c r="CE1201" i="33"/>
  <c r="CJ1197" i="33"/>
  <c r="D43" i="40"/>
  <c r="O239" i="34" a="1"/>
  <c r="O239" i="34" s="1"/>
  <c r="J1241" i="33"/>
  <c r="CI1239" i="33"/>
  <c r="D402" i="34"/>
  <c r="CH1203" i="33"/>
  <c r="I1207" i="33"/>
  <c r="K851" i="33"/>
  <c r="CE851" i="33"/>
  <c r="CE986" i="33"/>
  <c r="K986" i="33"/>
  <c r="F852" i="33"/>
  <c r="F855" i="33" s="1"/>
  <c r="CJ846" i="33"/>
  <c r="CJ1044" i="33"/>
  <c r="F1050" i="33"/>
  <c r="O227" i="34" a="1"/>
  <c r="O227" i="34" s="1"/>
  <c r="F988" i="33"/>
  <c r="CJ982" i="33"/>
  <c r="K1073" i="33"/>
  <c r="X125" i="37"/>
  <c r="L125" i="37" s="1"/>
  <c r="F1108" i="33"/>
  <c r="CJ1102" i="33"/>
  <c r="CJ1105" i="33" s="1"/>
  <c r="CE1206" i="33"/>
  <c r="K1206" i="33"/>
  <c r="CI1011" i="33"/>
  <c r="J1015" i="33"/>
  <c r="J1111" i="33"/>
  <c r="CI1107" i="33"/>
  <c r="CH983" i="33"/>
  <c r="I985" i="33"/>
  <c r="H1119" i="33"/>
  <c r="CG1117" i="33"/>
  <c r="J1043" i="33"/>
  <c r="CI1041" i="33"/>
  <c r="F956" i="33"/>
  <c r="CJ950" i="33"/>
  <c r="CJ848" i="33"/>
  <c r="F854" i="33"/>
  <c r="CF1111" i="33"/>
  <c r="G1113" i="33"/>
  <c r="CJ1236" i="33"/>
  <c r="F1242" i="33"/>
  <c r="H1235" i="33"/>
  <c r="CG1233" i="33"/>
  <c r="D44" i="40"/>
  <c r="O245" i="34" a="1"/>
  <c r="O245" i="34" s="1"/>
  <c r="CJ1229" i="33"/>
  <c r="CF945" i="33"/>
  <c r="G947" i="33"/>
  <c r="F1205" i="33"/>
  <c r="CJ1199" i="33"/>
  <c r="F891" i="33"/>
  <c r="CJ885" i="33"/>
  <c r="CE913" i="33"/>
  <c r="F915" i="33"/>
  <c r="CJ909" i="33"/>
  <c r="CJ913" i="33" s="1"/>
  <c r="D34" i="40"/>
  <c r="O185" i="34" a="1"/>
  <c r="O185" i="34" s="1"/>
  <c r="I1250" i="33"/>
  <c r="CJ1244" i="33"/>
  <c r="F1014" i="33"/>
  <c r="CJ1008" i="33"/>
  <c r="CE1073" i="33"/>
  <c r="F1075" i="33"/>
  <c r="CJ1069" i="33"/>
  <c r="D39" i="40"/>
  <c r="O215" i="34" a="1"/>
  <c r="O215" i="34" s="1"/>
  <c r="CI881" i="33"/>
  <c r="J883" i="33"/>
  <c r="K1201" i="33"/>
  <c r="CJ1231" i="33"/>
  <c r="F1237" i="33"/>
  <c r="CE1233" i="33"/>
  <c r="G979" i="33"/>
  <c r="CF977" i="33"/>
  <c r="V128" i="37"/>
  <c r="J128" i="37" s="1"/>
  <c r="J9" i="34"/>
  <c r="F954" i="33"/>
  <c r="CJ948" i="33"/>
  <c r="H1017" i="33"/>
  <c r="CG1015" i="33"/>
  <c r="I1139" i="33"/>
  <c r="D228" i="34" s="1" a="1"/>
  <c r="D228" i="34" s="1"/>
  <c r="CH1137" i="33"/>
  <c r="N9" i="34"/>
  <c r="Z128" i="37"/>
  <c r="N128" i="37" s="1"/>
  <c r="F1078" i="33"/>
  <c r="CJ1072" i="33"/>
  <c r="CH881" i="33"/>
  <c r="I883" i="33"/>
  <c r="CJ1136" i="33"/>
  <c r="F1142" i="33"/>
  <c r="K1009" i="33"/>
  <c r="CJ1133" i="33"/>
  <c r="G1209" i="33"/>
  <c r="CF1207" i="33"/>
  <c r="G1081" i="33"/>
  <c r="CF1079" i="33"/>
  <c r="CH945" i="33"/>
  <c r="I947" i="33"/>
  <c r="H1043" i="33"/>
  <c r="CG1041" i="33"/>
  <c r="J1171" i="33"/>
  <c r="CI1169" i="33"/>
  <c r="CG945" i="33"/>
  <c r="H947" i="33"/>
  <c r="CI951" i="33"/>
  <c r="J953" i="33"/>
  <c r="G1019" i="33"/>
  <c r="CJ1013" i="33"/>
  <c r="K1169" i="33"/>
  <c r="J567" i="33"/>
  <c r="CI563" i="33"/>
  <c r="CE596" i="33"/>
  <c r="K596" i="33"/>
  <c r="F127" i="37"/>
  <c r="G697" i="33"/>
  <c r="CF695" i="33"/>
  <c r="CE822" i="33"/>
  <c r="K822" i="33"/>
  <c r="K565" i="33"/>
  <c r="CE565" i="33"/>
  <c r="O131" i="34" a="1"/>
  <c r="O131" i="34" s="1"/>
  <c r="CE674" i="33"/>
  <c r="CH529" i="33"/>
  <c r="I531" i="33"/>
  <c r="F436" i="33"/>
  <c r="CJ430" i="33"/>
  <c r="CJ557" i="33"/>
  <c r="J671" i="33"/>
  <c r="CI669" i="33"/>
  <c r="G659" i="33"/>
  <c r="CF657" i="33"/>
  <c r="CJ431" i="33"/>
  <c r="F437" i="33"/>
  <c r="G595" i="33"/>
  <c r="CF593" i="33"/>
  <c r="CJ781" i="33"/>
  <c r="CJ785" i="33" s="1"/>
  <c r="CF629" i="33"/>
  <c r="K629" i="33"/>
  <c r="G819" i="33"/>
  <c r="CF817" i="33"/>
  <c r="D31" i="40"/>
  <c r="O167" i="34" a="1"/>
  <c r="O167" i="34" s="1"/>
  <c r="CJ813" i="33"/>
  <c r="CJ817" i="33" s="1"/>
  <c r="CJ502" i="33"/>
  <c r="F508" i="33"/>
  <c r="I691" i="33"/>
  <c r="CH689" i="33"/>
  <c r="I819" i="33"/>
  <c r="CH817" i="33"/>
  <c r="J627" i="33"/>
  <c r="CI625" i="33"/>
  <c r="CE544" i="33"/>
  <c r="CJ544" i="33" s="1"/>
  <c r="K544" i="33"/>
  <c r="F698" i="33"/>
  <c r="CJ692" i="33"/>
  <c r="CG439" i="33"/>
  <c r="H441" i="33"/>
  <c r="CE563" i="33"/>
  <c r="I787" i="33"/>
  <c r="CH785" i="33"/>
  <c r="J761" i="33"/>
  <c r="CI759" i="33"/>
  <c r="J467" i="33"/>
  <c r="CI465" i="33"/>
  <c r="K659" i="33"/>
  <c r="CE659" i="33"/>
  <c r="F663" i="33"/>
  <c r="CE467" i="33"/>
  <c r="F444" i="33"/>
  <c r="CJ438" i="33"/>
  <c r="K465" i="33"/>
  <c r="CE595" i="33"/>
  <c r="CI433" i="33"/>
  <c r="J435" i="33"/>
  <c r="F566" i="33"/>
  <c r="CJ560" i="33"/>
  <c r="H569" i="33"/>
  <c r="CG567" i="33"/>
  <c r="CE691" i="33"/>
  <c r="F695" i="33"/>
  <c r="I761" i="33"/>
  <c r="CH759" i="33"/>
  <c r="CE500" i="33"/>
  <c r="K500" i="33"/>
  <c r="O149" i="34" a="1"/>
  <c r="O149" i="34" s="1"/>
  <c r="CJ495" i="33"/>
  <c r="F501" i="33"/>
  <c r="G439" i="33"/>
  <c r="CF435" i="33"/>
  <c r="F636" i="33"/>
  <c r="CJ630" i="33"/>
  <c r="G755" i="33"/>
  <c r="CF753" i="33"/>
  <c r="CJ653" i="33"/>
  <c r="CG755" i="33"/>
  <c r="H759" i="33"/>
  <c r="CE802" i="33"/>
  <c r="CJ802" i="33" s="1"/>
  <c r="K802" i="33"/>
  <c r="CE764" i="33"/>
  <c r="K764" i="33"/>
  <c r="K694" i="33"/>
  <c r="CE694" i="33"/>
  <c r="G9" i="34"/>
  <c r="S128" i="37"/>
  <c r="G128" i="37" s="1"/>
  <c r="CJ465" i="33"/>
  <c r="CE468" i="33"/>
  <c r="K468" i="33"/>
  <c r="G467" i="33"/>
  <c r="CF465" i="33"/>
  <c r="G627" i="33"/>
  <c r="CF625" i="33"/>
  <c r="K597" i="33"/>
  <c r="CE597" i="33"/>
  <c r="K737" i="33"/>
  <c r="CE737" i="33"/>
  <c r="CJ737" i="33" s="1"/>
  <c r="CE825" i="33"/>
  <c r="AC27" i="36"/>
  <c r="J505" i="33"/>
  <c r="CI503" i="33"/>
  <c r="H9" i="34"/>
  <c r="T128" i="37"/>
  <c r="H128" i="37" s="1"/>
  <c r="CJ621" i="33"/>
  <c r="CJ625" i="33" s="1"/>
  <c r="CH727" i="33"/>
  <c r="I729" i="33"/>
  <c r="D19" i="40"/>
  <c r="F598" i="33"/>
  <c r="F599" i="33" s="1"/>
  <c r="CJ592" i="33"/>
  <c r="CJ593" i="33" s="1"/>
  <c r="CG689" i="33"/>
  <c r="H691" i="33"/>
  <c r="K691" i="33" s="1"/>
  <c r="K695" i="33" s="1"/>
  <c r="I663" i="33"/>
  <c r="CH659" i="33"/>
  <c r="M9" i="34"/>
  <c r="Y128" i="37"/>
  <c r="M128" i="37" s="1"/>
  <c r="H471" i="33"/>
  <c r="CG467" i="33"/>
  <c r="G662" i="33"/>
  <c r="CJ656" i="33"/>
  <c r="CJ749" i="33"/>
  <c r="CJ753" i="33" s="1"/>
  <c r="F755" i="33"/>
  <c r="CE753" i="33"/>
  <c r="D29" i="40"/>
  <c r="O155" i="34" a="1"/>
  <c r="O155" i="34" s="1"/>
  <c r="CJ464" i="33"/>
  <c r="F470" i="33"/>
  <c r="F471" i="33" s="1"/>
  <c r="CF569" i="33"/>
  <c r="G573" i="33"/>
  <c r="I509" i="33"/>
  <c r="CH505" i="33"/>
  <c r="F564" i="33"/>
  <c r="CJ558" i="33"/>
  <c r="K699" i="33"/>
  <c r="CE699" i="33"/>
  <c r="J697" i="33"/>
  <c r="CI695" i="33"/>
  <c r="CE435" i="33"/>
  <c r="K435" i="33"/>
  <c r="F439" i="33"/>
  <c r="J793" i="33"/>
  <c r="CI791" i="33"/>
  <c r="H537" i="33"/>
  <c r="CG535" i="33"/>
  <c r="CH465" i="33"/>
  <c r="I467" i="33"/>
  <c r="K561" i="33"/>
  <c r="F757" i="33"/>
  <c r="CJ751" i="33"/>
  <c r="J595" i="33"/>
  <c r="D126" i="34" s="1" a="1"/>
  <c r="D126" i="34" s="1"/>
  <c r="CI593" i="33"/>
  <c r="G787" i="33"/>
  <c r="CF785" i="33"/>
  <c r="D30" i="40"/>
  <c r="K529" i="33"/>
  <c r="I599" i="33"/>
  <c r="CH595" i="33"/>
  <c r="H663" i="33"/>
  <c r="CG659" i="33"/>
  <c r="H723" i="33"/>
  <c r="CG721" i="33"/>
  <c r="CE469" i="33"/>
  <c r="K469" i="33"/>
  <c r="K660" i="33"/>
  <c r="CE660" i="33"/>
  <c r="CE756" i="33"/>
  <c r="K756" i="33"/>
  <c r="H633" i="33"/>
  <c r="CG631" i="33"/>
  <c r="F534" i="33"/>
  <c r="CJ528" i="33"/>
  <c r="CJ821" i="33"/>
  <c r="F827" i="33"/>
  <c r="CE561" i="33"/>
  <c r="CE723" i="33"/>
  <c r="F727" i="33"/>
  <c r="E9" i="34"/>
  <c r="Q128" i="37"/>
  <c r="E128" i="37" s="1"/>
  <c r="CF529" i="33"/>
  <c r="G531" i="33"/>
  <c r="CF789" i="33"/>
  <c r="K789" i="33"/>
  <c r="K820" i="33"/>
  <c r="CE820" i="33"/>
  <c r="F823" i="33"/>
  <c r="CF499" i="33"/>
  <c r="G503" i="33"/>
  <c r="F539" i="33"/>
  <c r="CJ533" i="33"/>
  <c r="O125" i="34" a="1"/>
  <c r="O125" i="34" s="1"/>
  <c r="J819" i="33"/>
  <c r="CI817" i="33"/>
  <c r="K726" i="33"/>
  <c r="CE726" i="33"/>
  <c r="K627" i="33"/>
  <c r="K631" i="33" s="1"/>
  <c r="F631" i="33"/>
  <c r="CE627" i="33"/>
  <c r="D132" i="34" a="1"/>
  <c r="D132" i="34" s="1"/>
  <c r="CJ429" i="33"/>
  <c r="CJ433" i="33" s="1"/>
  <c r="CI531" i="33"/>
  <c r="J535" i="33"/>
  <c r="H605" i="33"/>
  <c r="CG601" i="33"/>
  <c r="CH633" i="33"/>
  <c r="I637" i="33"/>
  <c r="H823" i="33"/>
  <c r="CG819" i="33"/>
  <c r="CE497" i="33"/>
  <c r="F499" i="33"/>
  <c r="CJ493" i="33"/>
  <c r="CJ497" i="33" s="1"/>
  <c r="D21" i="40"/>
  <c r="O107" i="34" a="1"/>
  <c r="O107" i="34" s="1"/>
  <c r="CG787" i="33"/>
  <c r="H791" i="33"/>
  <c r="K724" i="33"/>
  <c r="CE724" i="33"/>
  <c r="CH561" i="33"/>
  <c r="I563" i="33"/>
  <c r="K563" i="33" s="1"/>
  <c r="CF721" i="33"/>
  <c r="G723" i="33"/>
  <c r="K723" i="33" s="1"/>
  <c r="K727" i="33" s="1"/>
  <c r="CI727" i="33"/>
  <c r="J729" i="33"/>
  <c r="F791" i="33"/>
  <c r="CE787" i="33"/>
  <c r="K787" i="33"/>
  <c r="K791" i="33" s="1"/>
  <c r="D162" i="34" a="1"/>
  <c r="D162" i="34" s="1"/>
  <c r="O101" i="34" a="1"/>
  <c r="O101" i="34" s="1"/>
  <c r="H505" i="33"/>
  <c r="CG503" i="33"/>
  <c r="F531" i="33"/>
  <c r="CJ525" i="33"/>
  <c r="CJ529" i="33" s="1"/>
  <c r="CE529" i="33"/>
  <c r="D22" i="40"/>
  <c r="O113" i="34" a="1"/>
  <c r="O113" i="34" s="1"/>
  <c r="D24" i="40"/>
  <c r="I441" i="33"/>
  <c r="CH439" i="33"/>
  <c r="K661" i="33"/>
  <c r="CE661" i="33"/>
  <c r="H794" i="33"/>
  <c r="CJ788" i="33"/>
  <c r="CI403" i="33"/>
  <c r="J407" i="33"/>
  <c r="K403" i="33"/>
  <c r="F407" i="33"/>
  <c r="CE403" i="33"/>
  <c r="D90" i="34" a="1"/>
  <c r="D90" i="34" s="1"/>
  <c r="CE406" i="33"/>
  <c r="K406" i="33"/>
  <c r="H407" i="33"/>
  <c r="CG403" i="33"/>
  <c r="E125" i="37"/>
  <c r="V8" i="34"/>
  <c r="I407" i="33"/>
  <c r="CH403" i="33"/>
  <c r="AT6" i="36"/>
  <c r="K404" i="33"/>
  <c r="CE404" i="33"/>
  <c r="AK27" i="36"/>
  <c r="K401" i="33"/>
  <c r="K405" i="33"/>
  <c r="CE405" i="33"/>
  <c r="G403" i="33"/>
  <c r="CF401" i="33"/>
  <c r="AT4" i="36"/>
  <c r="AT16" i="36"/>
  <c r="H375" i="33"/>
  <c r="CG371" i="33"/>
  <c r="CJ369" i="33"/>
  <c r="K373" i="33"/>
  <c r="CE373" i="33"/>
  <c r="D84" i="34" a="1"/>
  <c r="D84" i="34" s="1"/>
  <c r="K371" i="33"/>
  <c r="F375" i="33"/>
  <c r="CE371" i="33"/>
  <c r="G375" i="33"/>
  <c r="CF371" i="33"/>
  <c r="I375" i="33"/>
  <c r="CH371" i="33"/>
  <c r="CE374" i="33"/>
  <c r="K374" i="33"/>
  <c r="CI371" i="33"/>
  <c r="J375" i="33"/>
  <c r="K372" i="33"/>
  <c r="CE372" i="33"/>
  <c r="K339" i="33"/>
  <c r="CE339" i="33"/>
  <c r="F125" i="37"/>
  <c r="D125" i="37"/>
  <c r="G125" i="37"/>
  <c r="CJ335" i="33"/>
  <c r="F341" i="33"/>
  <c r="O77" i="34" a="1"/>
  <c r="O77" i="34" s="1"/>
  <c r="D127" i="37"/>
  <c r="L127" i="37"/>
  <c r="CJ333" i="33"/>
  <c r="CJ337" i="33" s="1"/>
  <c r="AU6" i="36"/>
  <c r="CI339" i="33"/>
  <c r="J343" i="33"/>
  <c r="I343" i="33"/>
  <c r="CH339" i="33"/>
  <c r="I127" i="37"/>
  <c r="CE342" i="33"/>
  <c r="K342" i="33"/>
  <c r="K340" i="33"/>
  <c r="CE340" i="33"/>
  <c r="G339" i="33"/>
  <c r="CF337" i="33"/>
  <c r="H343" i="33"/>
  <c r="CG339" i="33"/>
  <c r="G307" i="33"/>
  <c r="CF305" i="33"/>
  <c r="K307" i="33"/>
  <c r="F311" i="33"/>
  <c r="D72" i="34" a="1"/>
  <c r="D72" i="34" s="1"/>
  <c r="CE307" i="33"/>
  <c r="CJ301" i="33"/>
  <c r="CJ305" i="33" s="1"/>
  <c r="CE310" i="33"/>
  <c r="K310" i="33"/>
  <c r="H311" i="33"/>
  <c r="CG307" i="33"/>
  <c r="K309" i="33"/>
  <c r="CE309" i="33"/>
  <c r="I311" i="33"/>
  <c r="CH307" i="33"/>
  <c r="K308" i="33"/>
  <c r="CE308" i="33"/>
  <c r="AE65" i="36"/>
  <c r="AE66" i="36" s="1"/>
  <c r="D396" i="34"/>
  <c r="J313" i="33"/>
  <c r="CI311" i="33"/>
  <c r="Q127" i="37"/>
  <c r="E127" i="37" s="1"/>
  <c r="E8" i="34"/>
  <c r="O65" i="34" a="1"/>
  <c r="O65" i="34" s="1"/>
  <c r="D14" i="40"/>
  <c r="CJ269" i="33"/>
  <c r="CJ273" i="33" s="1"/>
  <c r="F275" i="33"/>
  <c r="CE273" i="33"/>
  <c r="J8" i="34"/>
  <c r="V127" i="37"/>
  <c r="J127" i="37" s="1"/>
  <c r="V125" i="37"/>
  <c r="J125" i="37" s="1"/>
  <c r="W127" i="37"/>
  <c r="K127" i="37" s="1"/>
  <c r="K8" i="34"/>
  <c r="K277" i="33"/>
  <c r="CE277" i="33"/>
  <c r="H279" i="33"/>
  <c r="CG275" i="33"/>
  <c r="K276" i="33"/>
  <c r="CE276" i="33"/>
  <c r="CI275" i="33"/>
  <c r="J279" i="33"/>
  <c r="W125" i="37"/>
  <c r="K125" i="37" s="1"/>
  <c r="H8" i="34"/>
  <c r="T127" i="37"/>
  <c r="H127" i="37" s="1"/>
  <c r="M8" i="34"/>
  <c r="Y127" i="37"/>
  <c r="M127" i="37" s="1"/>
  <c r="Y125" i="37"/>
  <c r="M125" i="37" s="1"/>
  <c r="G8" i="34"/>
  <c r="S127" i="37"/>
  <c r="G127" i="37" s="1"/>
  <c r="CE278" i="33"/>
  <c r="K278" i="33"/>
  <c r="I279" i="33"/>
  <c r="CH275" i="33"/>
  <c r="N8" i="34"/>
  <c r="Z127" i="37"/>
  <c r="N127" i="37" s="1"/>
  <c r="G279" i="33"/>
  <c r="CF275" i="33"/>
  <c r="AU17" i="36"/>
  <c r="K245" i="33"/>
  <c r="CE245" i="33"/>
  <c r="F247" i="33"/>
  <c r="CE243" i="33"/>
  <c r="I247" i="33"/>
  <c r="CH243" i="33"/>
  <c r="CE246" i="33"/>
  <c r="K246" i="33"/>
  <c r="H247" i="33"/>
  <c r="CG243" i="33"/>
  <c r="G243" i="33"/>
  <c r="CF241" i="33"/>
  <c r="K244" i="33"/>
  <c r="CE244" i="33"/>
  <c r="CI243" i="33"/>
  <c r="J247" i="33"/>
  <c r="T126" i="37"/>
  <c r="H126" i="37" s="1"/>
  <c r="H7" i="34"/>
  <c r="T125" i="37"/>
  <c r="H125" i="37" s="1"/>
  <c r="N7" i="34"/>
  <c r="Z126" i="37"/>
  <c r="N126" i="37" s="1"/>
  <c r="Z125" i="37"/>
  <c r="N125" i="37" s="1"/>
  <c r="Q126" i="37"/>
  <c r="E126" i="37" s="1"/>
  <c r="E7" i="34"/>
  <c r="G211" i="33"/>
  <c r="CF209" i="33"/>
  <c r="CE214" i="33"/>
  <c r="K214" i="33"/>
  <c r="CI211" i="33"/>
  <c r="J215" i="33"/>
  <c r="K212" i="33"/>
  <c r="CE212" i="33"/>
  <c r="K213" i="33"/>
  <c r="CE213" i="33"/>
  <c r="I215" i="33"/>
  <c r="CH211" i="33"/>
  <c r="H215" i="33"/>
  <c r="CG211" i="33"/>
  <c r="K211" i="33"/>
  <c r="K215" i="33" s="1"/>
  <c r="F215" i="33"/>
  <c r="D54" i="34" a="1"/>
  <c r="D54" i="34" s="1"/>
  <c r="CE211" i="33"/>
  <c r="AJ36" i="36"/>
  <c r="AC36" i="36"/>
  <c r="D12" i="40"/>
  <c r="O53" i="34" a="1"/>
  <c r="O53" i="34" s="1"/>
  <c r="AB65" i="36"/>
  <c r="F181" i="33"/>
  <c r="CJ175" i="33"/>
  <c r="K182" i="33"/>
  <c r="CE182" i="33"/>
  <c r="J183" i="33"/>
  <c r="CI179" i="33"/>
  <c r="H195" i="33"/>
  <c r="CG191" i="33"/>
  <c r="CG195" i="33" s="1"/>
  <c r="G179" i="33"/>
  <c r="CF177" i="33"/>
  <c r="I183" i="33"/>
  <c r="CH179" i="33"/>
  <c r="F186" i="33"/>
  <c r="CJ180" i="33"/>
  <c r="F179" i="33"/>
  <c r="D11" i="40"/>
  <c r="O47" i="34" a="1"/>
  <c r="O47" i="34" s="1"/>
  <c r="CJ173" i="33"/>
  <c r="CJ177" i="33" s="1"/>
  <c r="CE177" i="33"/>
  <c r="CE17" i="33"/>
  <c r="D6" i="40"/>
  <c r="F19" i="33"/>
  <c r="CJ13" i="33"/>
  <c r="O17" i="34" a="1"/>
  <c r="O17" i="34" s="1"/>
  <c r="CG17" i="33"/>
  <c r="H19" i="33"/>
  <c r="K17" i="33"/>
  <c r="J23" i="33"/>
  <c r="CI19" i="33"/>
  <c r="D390" i="34"/>
  <c r="AQ9" i="37"/>
  <c r="AW9" i="37" s="1"/>
  <c r="AV28" i="37" s="1"/>
  <c r="AY28" i="37" s="1"/>
  <c r="AU29" i="37" s="1"/>
  <c r="AY29" i="37" s="1"/>
  <c r="AU30" i="37" s="1"/>
  <c r="AY30" i="37" s="1"/>
  <c r="AU31" i="37" s="1"/>
  <c r="AY31" i="37" s="1"/>
  <c r="AU32" i="37" s="1"/>
  <c r="AY32" i="37" s="1"/>
  <c r="AU33" i="37" s="1"/>
  <c r="AY33" i="37" s="1"/>
  <c r="AU34" i="37" s="1"/>
  <c r="AY34" i="37" s="1"/>
  <c r="AU35" i="37" s="1"/>
  <c r="AY35" i="37" s="1"/>
  <c r="AU36" i="37" s="1"/>
  <c r="AY36" i="37" s="1"/>
  <c r="AU37" i="37" s="1"/>
  <c r="AY37" i="37" s="1"/>
  <c r="AU38" i="37" s="1"/>
  <c r="AY38" i="37" s="1"/>
  <c r="F27" i="33"/>
  <c r="CJ22" i="33"/>
  <c r="F28" i="33"/>
  <c r="G20" i="33"/>
  <c r="CJ14" i="33"/>
  <c r="F26" i="33"/>
  <c r="CH23" i="33"/>
  <c r="I25" i="33"/>
  <c r="G23" i="33"/>
  <c r="CF19" i="33"/>
  <c r="G21" i="33"/>
  <c r="CJ15" i="33"/>
  <c r="Q9" i="34"/>
  <c r="AQ18" i="36"/>
  <c r="AQ20" i="36"/>
  <c r="S10" i="34"/>
  <c r="AO6" i="36"/>
  <c r="R8" i="34"/>
  <c r="U7" i="36"/>
  <c r="AD7" i="36"/>
  <c r="N65" i="36"/>
  <c r="U65" i="36" s="1"/>
  <c r="AO17" i="36"/>
  <c r="S9" i="34"/>
  <c r="AP7" i="36"/>
  <c r="R9" i="34"/>
  <c r="AO7" i="36"/>
  <c r="AN8" i="36"/>
  <c r="Q10" i="34"/>
  <c r="AC42" i="36"/>
  <c r="AD42" i="36"/>
  <c r="AK42" i="36" s="1"/>
  <c r="AP19" i="36"/>
  <c r="V65" i="36"/>
  <c r="AC65" i="36" s="1"/>
  <c r="M14" i="36"/>
  <c r="AD14" i="36"/>
  <c r="AK14" i="36" s="1"/>
  <c r="AN17" i="36"/>
  <c r="AP6" i="36"/>
  <c r="S8" i="34"/>
  <c r="R10" i="34"/>
  <c r="AO8" i="36"/>
  <c r="U61" i="36"/>
  <c r="AD61" i="36"/>
  <c r="AK61" i="36" s="1"/>
  <c r="Q8" i="34"/>
  <c r="AN6" i="36"/>
  <c r="AP4" i="36" l="1"/>
  <c r="AO16" i="36"/>
  <c r="AQ7" i="36"/>
  <c r="S6" i="34"/>
  <c r="R6" i="34"/>
  <c r="AQ6" i="36"/>
  <c r="Q388" i="34"/>
  <c r="AN5" i="36"/>
  <c r="AQ5" i="36" s="1"/>
  <c r="Q7" i="34"/>
  <c r="Q6" i="34" s="1"/>
  <c r="AD32" i="36"/>
  <c r="AK32" i="36" s="1"/>
  <c r="AN19" i="36"/>
  <c r="AQ19" i="36" s="1"/>
  <c r="M32" i="36"/>
  <c r="AQ8" i="36"/>
  <c r="I1949" i="33"/>
  <c r="CH1945" i="33"/>
  <c r="F1948" i="33"/>
  <c r="CJ1942" i="33"/>
  <c r="G1943" i="33"/>
  <c r="CF1939" i="33"/>
  <c r="F1947" i="33"/>
  <c r="CJ1941" i="33"/>
  <c r="CJ1937" i="33"/>
  <c r="H1943" i="33"/>
  <c r="CG1939" i="33"/>
  <c r="K1940" i="33"/>
  <c r="CE1940" i="33"/>
  <c r="K1939" i="33"/>
  <c r="K1943" i="33" s="1"/>
  <c r="F1943" i="33"/>
  <c r="CE1939" i="33"/>
  <c r="CI1939" i="33"/>
  <c r="J1943" i="33"/>
  <c r="CE1913" i="33"/>
  <c r="CI1907" i="33"/>
  <c r="J1911" i="33"/>
  <c r="CH1911" i="33"/>
  <c r="I1913" i="33"/>
  <c r="K1908" i="33"/>
  <c r="CE1908" i="33"/>
  <c r="F1911" i="33"/>
  <c r="CJ1905" i="33"/>
  <c r="F1915" i="33"/>
  <c r="CJ1909" i="33"/>
  <c r="H1911" i="33"/>
  <c r="CG1907" i="33"/>
  <c r="F1916" i="33"/>
  <c r="CJ1910" i="33"/>
  <c r="G1911" i="33"/>
  <c r="CF1907" i="33"/>
  <c r="K1907" i="33"/>
  <c r="K1875" i="33"/>
  <c r="F1879" i="33"/>
  <c r="CE1875" i="33"/>
  <c r="AU19" i="36"/>
  <c r="CH1879" i="33"/>
  <c r="I1881" i="33"/>
  <c r="F1883" i="33"/>
  <c r="CJ1877" i="33"/>
  <c r="G1879" i="33"/>
  <c r="CF1875" i="33"/>
  <c r="K1876" i="33"/>
  <c r="CE1876" i="33"/>
  <c r="CI1879" i="33"/>
  <c r="J1881" i="33"/>
  <c r="H1879" i="33"/>
  <c r="CG1875" i="33"/>
  <c r="F1884" i="33"/>
  <c r="CJ1878" i="33"/>
  <c r="H1847" i="33"/>
  <c r="CG1843" i="33"/>
  <c r="G1847" i="33"/>
  <c r="CF1843" i="33"/>
  <c r="CH1847" i="33"/>
  <c r="I1849" i="33"/>
  <c r="K1843" i="33"/>
  <c r="F1847" i="33"/>
  <c r="CE1843" i="33"/>
  <c r="J1853" i="33"/>
  <c r="CI1849" i="33"/>
  <c r="F1852" i="33"/>
  <c r="CJ1846" i="33"/>
  <c r="F1851" i="33"/>
  <c r="CJ1845" i="33"/>
  <c r="K1844" i="33"/>
  <c r="CE1844" i="33"/>
  <c r="CJ1841" i="33"/>
  <c r="F1818" i="33"/>
  <c r="CJ1812" i="33"/>
  <c r="CH1815" i="33"/>
  <c r="I1817" i="33"/>
  <c r="F1819" i="33"/>
  <c r="CJ1813" i="33"/>
  <c r="K1811" i="33"/>
  <c r="K1815" i="33" s="1"/>
  <c r="F1815" i="33"/>
  <c r="CE1811" i="33"/>
  <c r="K1820" i="33"/>
  <c r="CE1820" i="33"/>
  <c r="G1815" i="33"/>
  <c r="CF1811" i="33"/>
  <c r="CI1815" i="33"/>
  <c r="J1817" i="33"/>
  <c r="H1815" i="33"/>
  <c r="CG1811" i="33"/>
  <c r="F1786" i="33"/>
  <c r="CJ1780" i="33"/>
  <c r="AR16" i="36"/>
  <c r="AU16" i="36" s="1"/>
  <c r="CH1783" i="33"/>
  <c r="I1785" i="33"/>
  <c r="CI1783" i="33"/>
  <c r="J1785" i="33"/>
  <c r="K1788" i="33"/>
  <c r="CE1788" i="33"/>
  <c r="F1787" i="33"/>
  <c r="CJ1781" i="33"/>
  <c r="G1783" i="33"/>
  <c r="CF1779" i="33"/>
  <c r="H1783" i="33"/>
  <c r="CG1779" i="33"/>
  <c r="E61" i="40" s="1"/>
  <c r="K1779" i="33"/>
  <c r="K1783" i="33" s="1"/>
  <c r="F1783" i="33"/>
  <c r="CE1779" i="33"/>
  <c r="K1748" i="33"/>
  <c r="CE1748" i="33"/>
  <c r="CH1751" i="33"/>
  <c r="I1753" i="33"/>
  <c r="G1751" i="33"/>
  <c r="CF1747" i="33"/>
  <c r="CJ1745" i="33"/>
  <c r="F1756" i="33"/>
  <c r="CJ1750" i="33"/>
  <c r="CI1751" i="33"/>
  <c r="J1753" i="33"/>
  <c r="K1747" i="33"/>
  <c r="F1751" i="33"/>
  <c r="CE1747" i="33"/>
  <c r="H1751" i="33"/>
  <c r="CG1747" i="33"/>
  <c r="F1755" i="33"/>
  <c r="CJ1749" i="33"/>
  <c r="G1719" i="33"/>
  <c r="CF1715" i="33"/>
  <c r="K1715" i="33"/>
  <c r="F1719" i="33"/>
  <c r="CE1715" i="33"/>
  <c r="CI1715" i="33"/>
  <c r="J1719" i="33"/>
  <c r="F1723" i="33"/>
  <c r="CJ1717" i="33"/>
  <c r="AU20" i="36"/>
  <c r="K1716" i="33"/>
  <c r="CE1716" i="33"/>
  <c r="H1719" i="33"/>
  <c r="CG1715" i="33"/>
  <c r="CH1719" i="33"/>
  <c r="I1721" i="33"/>
  <c r="F1724" i="33"/>
  <c r="CJ1718" i="33"/>
  <c r="CJ1685" i="33"/>
  <c r="F1691" i="33"/>
  <c r="F1689" i="33"/>
  <c r="CJ1683" i="33"/>
  <c r="H1687" i="33"/>
  <c r="CG1683" i="33"/>
  <c r="CI1687" i="33"/>
  <c r="J1689" i="33"/>
  <c r="CJ1681" i="33"/>
  <c r="CH1687" i="33"/>
  <c r="I1689" i="33"/>
  <c r="K1684" i="33"/>
  <c r="K1687" i="33" s="1"/>
  <c r="CE1684" i="33"/>
  <c r="G1687" i="33"/>
  <c r="CF1683" i="33"/>
  <c r="F1692" i="33"/>
  <c r="CJ1686" i="33"/>
  <c r="CI1655" i="33"/>
  <c r="J1657" i="33"/>
  <c r="F1659" i="33"/>
  <c r="CJ1653" i="33"/>
  <c r="K1651" i="33"/>
  <c r="F1655" i="33"/>
  <c r="CE1651" i="33"/>
  <c r="K1652" i="33"/>
  <c r="CE1652" i="33"/>
  <c r="H1655" i="33"/>
  <c r="CG1651" i="33"/>
  <c r="CH1655" i="33"/>
  <c r="I1657" i="33"/>
  <c r="F1660" i="33"/>
  <c r="CJ1654" i="33"/>
  <c r="G1655" i="33"/>
  <c r="CF1651" i="33"/>
  <c r="AU18" i="36"/>
  <c r="G1623" i="33"/>
  <c r="CF1619" i="33"/>
  <c r="K1620" i="33"/>
  <c r="CE1620" i="33"/>
  <c r="CI1623" i="33"/>
  <c r="J1625" i="33"/>
  <c r="H1623" i="33"/>
  <c r="CG1619" i="33"/>
  <c r="F1628" i="33"/>
  <c r="CJ1622" i="33"/>
  <c r="CJ1617" i="33"/>
  <c r="I1629" i="33"/>
  <c r="CH1625" i="33"/>
  <c r="K1619" i="33"/>
  <c r="K1623" i="33" s="1"/>
  <c r="F1623" i="33"/>
  <c r="CE1619" i="33"/>
  <c r="F1627" i="33"/>
  <c r="CJ1621" i="33"/>
  <c r="K1588" i="33"/>
  <c r="CE1588" i="33"/>
  <c r="F1591" i="33"/>
  <c r="CJ1585" i="33"/>
  <c r="H1591" i="33"/>
  <c r="CG1587" i="33"/>
  <c r="G1591" i="33"/>
  <c r="CF1587" i="33"/>
  <c r="K1587" i="33"/>
  <c r="K1591" i="33" s="1"/>
  <c r="AF66" i="36"/>
  <c r="AG66" i="36" s="1"/>
  <c r="AH66" i="36" s="1"/>
  <c r="AI66" i="36" s="1"/>
  <c r="F1596" i="33"/>
  <c r="CJ1590" i="33"/>
  <c r="CE1593" i="33"/>
  <c r="F1595" i="33"/>
  <c r="CJ1589" i="33"/>
  <c r="CH1591" i="33"/>
  <c r="I1593" i="33"/>
  <c r="E6" i="34"/>
  <c r="CI1591" i="33"/>
  <c r="J1593" i="33"/>
  <c r="H1559" i="33"/>
  <c r="CG1555" i="33"/>
  <c r="K1555" i="33"/>
  <c r="K1559" i="33" s="1"/>
  <c r="F1559" i="33"/>
  <c r="CE1555" i="33"/>
  <c r="CH1559" i="33"/>
  <c r="I1561" i="33"/>
  <c r="F1563" i="33"/>
  <c r="CJ1557" i="33"/>
  <c r="K1564" i="33"/>
  <c r="CE1564" i="33"/>
  <c r="F1562" i="33"/>
  <c r="CJ1556" i="33"/>
  <c r="G1559" i="33"/>
  <c r="CF1555" i="33"/>
  <c r="CI1559" i="33"/>
  <c r="J1561" i="33"/>
  <c r="G1527" i="33"/>
  <c r="CF1523" i="33"/>
  <c r="K1524" i="33"/>
  <c r="CE1524" i="33"/>
  <c r="H1527" i="33"/>
  <c r="CG1523" i="33"/>
  <c r="F1532" i="33"/>
  <c r="CJ1526" i="33"/>
  <c r="CI1523" i="33"/>
  <c r="J1527" i="33"/>
  <c r="K1523" i="33"/>
  <c r="K1527" i="33" s="1"/>
  <c r="F1527" i="33"/>
  <c r="CE1523" i="33"/>
  <c r="CH1527" i="33"/>
  <c r="I1529" i="33"/>
  <c r="F1531" i="33"/>
  <c r="CJ1525" i="33"/>
  <c r="F1500" i="33"/>
  <c r="CJ1494" i="33"/>
  <c r="K1491" i="33"/>
  <c r="F1495" i="33"/>
  <c r="CE1491" i="33"/>
  <c r="CI1495" i="33"/>
  <c r="J1497" i="33"/>
  <c r="K1492" i="33"/>
  <c r="CE1492" i="33"/>
  <c r="H1495" i="33"/>
  <c r="CG1491" i="33"/>
  <c r="F1499" i="33"/>
  <c r="CJ1493" i="33"/>
  <c r="CH1495" i="33"/>
  <c r="I1497" i="33"/>
  <c r="G1495" i="33"/>
  <c r="CF1491" i="33"/>
  <c r="CH1463" i="33"/>
  <c r="I1465" i="33"/>
  <c r="F1468" i="33"/>
  <c r="CJ1462" i="33"/>
  <c r="CI1463" i="33"/>
  <c r="J1465" i="33"/>
  <c r="G1463" i="33"/>
  <c r="CF1459" i="33"/>
  <c r="H1463" i="33"/>
  <c r="CG1459" i="33"/>
  <c r="K1459" i="33"/>
  <c r="F1463" i="33"/>
  <c r="CE1459" i="33"/>
  <c r="F1467" i="33"/>
  <c r="CJ1461" i="33"/>
  <c r="K1460" i="33"/>
  <c r="CE1460" i="33"/>
  <c r="K1428" i="33"/>
  <c r="CE1428" i="33"/>
  <c r="AJ65" i="36"/>
  <c r="CH1431" i="33"/>
  <c r="I1433" i="33"/>
  <c r="CJ1425" i="33"/>
  <c r="M6" i="34"/>
  <c r="K1427" i="33"/>
  <c r="K1431" i="33" s="1"/>
  <c r="F1431" i="33"/>
  <c r="CE1427" i="33"/>
  <c r="G1431" i="33"/>
  <c r="CF1427" i="33"/>
  <c r="F1436" i="33"/>
  <c r="CJ1430" i="33"/>
  <c r="H1431" i="33"/>
  <c r="CG1427" i="33"/>
  <c r="F1435" i="33"/>
  <c r="CJ1429" i="33"/>
  <c r="CI1431" i="33"/>
  <c r="J1433" i="33"/>
  <c r="G1399" i="33"/>
  <c r="CF1395" i="33"/>
  <c r="CI1395" i="33"/>
  <c r="J1399" i="33"/>
  <c r="H1399" i="33"/>
  <c r="CG1395" i="33"/>
  <c r="CJ1393" i="33"/>
  <c r="K1395" i="33"/>
  <c r="F1399" i="33"/>
  <c r="CE1395" i="33"/>
  <c r="F1404" i="33"/>
  <c r="CJ1398" i="33"/>
  <c r="K1396" i="33"/>
  <c r="CE1396" i="33"/>
  <c r="F1403" i="33"/>
  <c r="CJ1397" i="33"/>
  <c r="CH1399" i="33"/>
  <c r="I1401" i="33"/>
  <c r="F1371" i="33"/>
  <c r="CJ1365" i="33"/>
  <c r="K1363" i="33"/>
  <c r="F1367" i="33"/>
  <c r="CE1363" i="33"/>
  <c r="CH1367" i="33"/>
  <c r="I1369" i="33"/>
  <c r="F1372" i="33"/>
  <c r="CJ1366" i="33"/>
  <c r="G1367" i="33"/>
  <c r="CF1363" i="33"/>
  <c r="CI1363" i="33"/>
  <c r="J1367" i="33"/>
  <c r="AU4" i="36"/>
  <c r="K1364" i="33"/>
  <c r="CE1364" i="33"/>
  <c r="H1367" i="33"/>
  <c r="CG1363" i="33"/>
  <c r="D354" i="34" a="1"/>
  <c r="D354" i="34" s="1"/>
  <c r="D360" i="34" a="1"/>
  <c r="D360" i="34" s="1"/>
  <c r="O378" i="34" a="1"/>
  <c r="O378" i="34" s="1"/>
  <c r="D330" i="34" a="1"/>
  <c r="D330" i="34" s="1"/>
  <c r="O360" i="34" a="1"/>
  <c r="O360" i="34" s="1"/>
  <c r="O372" i="34" a="1"/>
  <c r="O372" i="34" s="1"/>
  <c r="D372" i="34" a="1"/>
  <c r="D372" i="34" s="1"/>
  <c r="D366" i="34" a="1"/>
  <c r="D366" i="34" s="1"/>
  <c r="D342" i="34" a="1"/>
  <c r="D342" i="34" s="1"/>
  <c r="E65" i="40"/>
  <c r="D336" i="34" a="1"/>
  <c r="D336" i="34" s="1"/>
  <c r="J6" i="34"/>
  <c r="CE1334" i="33"/>
  <c r="K1334" i="33"/>
  <c r="CJ1301" i="33"/>
  <c r="F1307" i="33"/>
  <c r="F1311" i="33"/>
  <c r="D324" i="34" a="1"/>
  <c r="D324" i="34" s="1"/>
  <c r="CE1274" i="33"/>
  <c r="K1274" i="33"/>
  <c r="CE1269" i="33"/>
  <c r="K1269" i="33"/>
  <c r="K1271" i="33" s="1"/>
  <c r="D282" i="34" a="1"/>
  <c r="D282" i="34" s="1"/>
  <c r="O408" i="34"/>
  <c r="D306" i="34" a="1"/>
  <c r="D306" i="34" s="1"/>
  <c r="CI1331" i="33"/>
  <c r="J1335" i="33"/>
  <c r="H1335" i="33"/>
  <c r="CG1331" i="33"/>
  <c r="D264" i="34" a="1"/>
  <c r="D264" i="34" s="1"/>
  <c r="K1331" i="33"/>
  <c r="CI1299" i="33"/>
  <c r="J1303" i="33"/>
  <c r="CF1341" i="33"/>
  <c r="G1343" i="33"/>
  <c r="D276" i="34" a="1"/>
  <c r="D276" i="34" s="1"/>
  <c r="F1345" i="33"/>
  <c r="D312" i="34" a="1"/>
  <c r="D312" i="34" s="1"/>
  <c r="I1341" i="33"/>
  <c r="CH1337" i="33"/>
  <c r="J1271" i="33"/>
  <c r="CI1267" i="33"/>
  <c r="CE1337" i="33"/>
  <c r="CH1305" i="33"/>
  <c r="I1309" i="33"/>
  <c r="CE1302" i="33"/>
  <c r="K1302" i="33"/>
  <c r="CJ1297" i="33"/>
  <c r="G1271" i="33"/>
  <c r="CF1267" i="33"/>
  <c r="E53" i="40"/>
  <c r="D300" i="34" a="1"/>
  <c r="D300" i="34" s="1"/>
  <c r="H1277" i="33"/>
  <c r="CG1273" i="33"/>
  <c r="H1309" i="33"/>
  <c r="CG1305" i="33"/>
  <c r="F1303" i="33"/>
  <c r="CE1332" i="33"/>
  <c r="K1332" i="33"/>
  <c r="F1335" i="33"/>
  <c r="E52" i="40"/>
  <c r="D294" i="34" a="1"/>
  <c r="D294" i="34" s="1"/>
  <c r="D270" i="34" a="1"/>
  <c r="D270" i="34" s="1"/>
  <c r="O300" i="34" a="1"/>
  <c r="O300" i="34" s="1"/>
  <c r="D252" i="34" a="1"/>
  <c r="D252" i="34" s="1"/>
  <c r="CH1271" i="33"/>
  <c r="I1273" i="33"/>
  <c r="F1306" i="33"/>
  <c r="CJ1300" i="33"/>
  <c r="CE1303" i="33"/>
  <c r="O288" i="34" a="1"/>
  <c r="O288" i="34" s="1"/>
  <c r="G1303" i="33"/>
  <c r="CF1299" i="33"/>
  <c r="D258" i="34" a="1"/>
  <c r="D258" i="34" s="1"/>
  <c r="K1299" i="33"/>
  <c r="CJ1329" i="33"/>
  <c r="H1339" i="33"/>
  <c r="CJ1333" i="33"/>
  <c r="D318" i="34" a="1"/>
  <c r="D318" i="34" s="1"/>
  <c r="K1282" i="33"/>
  <c r="CE1282" i="33"/>
  <c r="CJ1282" i="33" s="1"/>
  <c r="CE1271" i="33"/>
  <c r="F1273" i="33"/>
  <c r="CJ1267" i="33"/>
  <c r="E45" i="40"/>
  <c r="O252" i="34" a="1"/>
  <c r="O252" i="34" s="1"/>
  <c r="CJ1137" i="33"/>
  <c r="J887" i="33"/>
  <c r="CI883" i="33"/>
  <c r="CE1014" i="33"/>
  <c r="K1014" i="33"/>
  <c r="CG1119" i="33"/>
  <c r="CG1123" i="33" s="1"/>
  <c r="H1123" i="33"/>
  <c r="F1212" i="33"/>
  <c r="CJ1206" i="33"/>
  <c r="K1050" i="33"/>
  <c r="CE1050" i="33"/>
  <c r="CG1175" i="33"/>
  <c r="H1177" i="33"/>
  <c r="CE883" i="33"/>
  <c r="K883" i="33"/>
  <c r="F887" i="33"/>
  <c r="D180" i="34" a="1"/>
  <c r="D180" i="34" s="1"/>
  <c r="H887" i="33"/>
  <c r="CG883" i="33"/>
  <c r="J1155" i="33"/>
  <c r="CI1151" i="33"/>
  <c r="CI1155" i="33" s="1"/>
  <c r="F955" i="33"/>
  <c r="CJ949" i="33"/>
  <c r="CH915" i="33"/>
  <c r="I919" i="33"/>
  <c r="CF1019" i="33"/>
  <c r="K1019" i="33"/>
  <c r="H1047" i="33"/>
  <c r="CG1043" i="33"/>
  <c r="CE891" i="33"/>
  <c r="K891" i="33"/>
  <c r="I989" i="33"/>
  <c r="CH985" i="33"/>
  <c r="F1153" i="33"/>
  <c r="CJ1147" i="33"/>
  <c r="K1174" i="33"/>
  <c r="CE1174" i="33"/>
  <c r="CF919" i="33"/>
  <c r="G921" i="33"/>
  <c r="J989" i="33"/>
  <c r="CI985" i="33"/>
  <c r="K1110" i="33"/>
  <c r="CE1110" i="33"/>
  <c r="CE1012" i="33"/>
  <c r="K1012" i="33"/>
  <c r="F1015" i="33"/>
  <c r="CE1171" i="33"/>
  <c r="K1171" i="33"/>
  <c r="F1175" i="33"/>
  <c r="D234" i="34" a="1"/>
  <c r="D234" i="34" s="1"/>
  <c r="CE1076" i="33"/>
  <c r="K1076" i="33"/>
  <c r="G6" i="34"/>
  <c r="J957" i="33"/>
  <c r="CI953" i="33"/>
  <c r="I951" i="33"/>
  <c r="CH947" i="33"/>
  <c r="K1142" i="33"/>
  <c r="CE1142" i="33"/>
  <c r="CH1250" i="33"/>
  <c r="CJ1250" i="33" s="1"/>
  <c r="K1250" i="33"/>
  <c r="H1239" i="33"/>
  <c r="CG1235" i="33"/>
  <c r="K1235" i="33"/>
  <c r="D246" i="34" a="1"/>
  <c r="D246" i="34" s="1"/>
  <c r="CE956" i="33"/>
  <c r="K956" i="33"/>
  <c r="CE1108" i="33"/>
  <c r="O222" i="34" s="1" a="1"/>
  <c r="O222" i="34" s="1"/>
  <c r="K1108" i="33"/>
  <c r="CJ1201" i="33"/>
  <c r="F1047" i="33"/>
  <c r="CE1043" i="33"/>
  <c r="K1043" i="33"/>
  <c r="D210" i="34" a="1"/>
  <c r="D210" i="34" s="1"/>
  <c r="D222" i="34" a="1"/>
  <c r="D222" i="34" s="1"/>
  <c r="CJ977" i="33"/>
  <c r="K859" i="33"/>
  <c r="CE859" i="33"/>
  <c r="CH1175" i="33"/>
  <c r="I1177" i="33"/>
  <c r="CI915" i="33"/>
  <c r="J919" i="33"/>
  <c r="CE1017" i="33"/>
  <c r="H925" i="33"/>
  <c r="CG921" i="33"/>
  <c r="CF855" i="33"/>
  <c r="G857" i="33"/>
  <c r="K1205" i="33"/>
  <c r="CE1205" i="33"/>
  <c r="K1242" i="33"/>
  <c r="CE1242" i="33"/>
  <c r="J1113" i="33"/>
  <c r="CI1111" i="33"/>
  <c r="I1209" i="33"/>
  <c r="CH1207" i="33"/>
  <c r="CE917" i="33"/>
  <c r="K917" i="33"/>
  <c r="CF981" i="33"/>
  <c r="K981" i="33"/>
  <c r="CF1011" i="33"/>
  <c r="G1015" i="33"/>
  <c r="K1011" i="33"/>
  <c r="K1015" i="33" s="1"/>
  <c r="D204" i="34" a="1"/>
  <c r="D204" i="34" s="1"/>
  <c r="K979" i="33"/>
  <c r="K983" i="33" s="1"/>
  <c r="F983" i="33"/>
  <c r="CE979" i="33"/>
  <c r="D198" i="34" a="1"/>
  <c r="D198" i="34" s="1"/>
  <c r="CE1115" i="33"/>
  <c r="K1115" i="33"/>
  <c r="CE884" i="33"/>
  <c r="K884" i="33"/>
  <c r="F924" i="33"/>
  <c r="CJ918" i="33"/>
  <c r="I1143" i="33"/>
  <c r="CH1139" i="33"/>
  <c r="E41" i="40" s="1"/>
  <c r="G983" i="33"/>
  <c r="CF979" i="33"/>
  <c r="K852" i="33"/>
  <c r="K855" i="33" s="1"/>
  <c r="CE852" i="33"/>
  <c r="CE855" i="33" s="1"/>
  <c r="CJ1045" i="33"/>
  <c r="F1051" i="33"/>
  <c r="H951" i="33"/>
  <c r="CG947" i="33"/>
  <c r="I887" i="33"/>
  <c r="CH883" i="33"/>
  <c r="CJ1073" i="33"/>
  <c r="G951" i="33"/>
  <c r="CF947" i="33"/>
  <c r="CJ947" i="33" s="1"/>
  <c r="CJ951" i="33" s="1"/>
  <c r="CI1043" i="33"/>
  <c r="J1047" i="33"/>
  <c r="CE1203" i="33"/>
  <c r="F1207" i="33"/>
  <c r="K1203" i="33"/>
  <c r="D240" i="34" a="1"/>
  <c r="D240" i="34" s="1"/>
  <c r="K1111" i="33"/>
  <c r="CF887" i="33"/>
  <c r="G889" i="33"/>
  <c r="D192" i="34" a="1"/>
  <c r="D192" i="34" s="1"/>
  <c r="H855" i="33"/>
  <c r="CG851" i="33"/>
  <c r="F892" i="33"/>
  <c r="CJ886" i="33"/>
  <c r="H1209" i="33"/>
  <c r="CG1207" i="33"/>
  <c r="F1143" i="33"/>
  <c r="CG991" i="33"/>
  <c r="CG995" i="33" s="1"/>
  <c r="H995" i="33"/>
  <c r="CE1140" i="33"/>
  <c r="K1140" i="33"/>
  <c r="CH855" i="33"/>
  <c r="I857" i="33"/>
  <c r="I1241" i="33"/>
  <c r="CH1239" i="33"/>
  <c r="I1113" i="33"/>
  <c r="CH1111" i="33"/>
  <c r="G1085" i="33"/>
  <c r="CF1081" i="33"/>
  <c r="H1021" i="33"/>
  <c r="CG1017" i="33"/>
  <c r="K1237" i="33"/>
  <c r="CE1237" i="33"/>
  <c r="F1239" i="33"/>
  <c r="F1079" i="33"/>
  <c r="CE1075" i="33"/>
  <c r="K1075" i="33"/>
  <c r="D216" i="34" a="1"/>
  <c r="D216" i="34" s="1"/>
  <c r="G1117" i="33"/>
  <c r="CF1113" i="33"/>
  <c r="CJ986" i="33"/>
  <c r="F992" i="33"/>
  <c r="F1089" i="33"/>
  <c r="CJ1083" i="33"/>
  <c r="F1113" i="33"/>
  <c r="CJ1107" i="33"/>
  <c r="E40" i="40"/>
  <c r="CE951" i="33"/>
  <c r="F953" i="33"/>
  <c r="O192" i="34" a="1"/>
  <c r="O192" i="34" s="1"/>
  <c r="F1178" i="33"/>
  <c r="CJ1172" i="33"/>
  <c r="F922" i="33"/>
  <c r="CJ916" i="33"/>
  <c r="CE1241" i="33"/>
  <c r="CI1075" i="33"/>
  <c r="J1079" i="33"/>
  <c r="K1139" i="33"/>
  <c r="K1143" i="33" s="1"/>
  <c r="I1081" i="33"/>
  <c r="CH1079" i="33"/>
  <c r="F919" i="33"/>
  <c r="CE915" i="33"/>
  <c r="K915" i="33"/>
  <c r="K919" i="33" s="1"/>
  <c r="D186" i="34" a="1"/>
  <c r="D186" i="34" s="1"/>
  <c r="CJ1233" i="33"/>
  <c r="J1017" i="33"/>
  <c r="CI1015" i="33"/>
  <c r="K988" i="33"/>
  <c r="CE988" i="33"/>
  <c r="D174" i="34" a="1"/>
  <c r="D174" i="34" s="1"/>
  <c r="K1173" i="33"/>
  <c r="CE1173" i="33"/>
  <c r="CI855" i="33"/>
  <c r="J857" i="33"/>
  <c r="CG1075" i="33"/>
  <c r="H1079" i="33"/>
  <c r="G1247" i="33"/>
  <c r="CF1245" i="33"/>
  <c r="I1021" i="33"/>
  <c r="CH1017" i="33"/>
  <c r="F1145" i="33"/>
  <c r="CE1143" i="33"/>
  <c r="CJ1139" i="33"/>
  <c r="O228" i="34" a="1"/>
  <c r="O228" i="34" s="1"/>
  <c r="J1175" i="33"/>
  <c r="CI1171" i="33"/>
  <c r="CF1209" i="33"/>
  <c r="G1213" i="33"/>
  <c r="CE1078" i="33"/>
  <c r="K1078" i="33"/>
  <c r="CE954" i="33"/>
  <c r="K954" i="33"/>
  <c r="K854" i="33"/>
  <c r="CE854" i="33"/>
  <c r="CJ851" i="33"/>
  <c r="F857" i="33"/>
  <c r="O174" i="34" a="1"/>
  <c r="O174" i="34" s="1"/>
  <c r="CI1241" i="33"/>
  <c r="J1245" i="33"/>
  <c r="CE1046" i="33"/>
  <c r="K1046" i="33"/>
  <c r="K947" i="33"/>
  <c r="K951" i="33" s="1"/>
  <c r="CG1151" i="33"/>
  <c r="CG1155" i="33" s="1"/>
  <c r="H1155" i="33"/>
  <c r="CF1047" i="33"/>
  <c r="G1049" i="33"/>
  <c r="CJ1009" i="33"/>
  <c r="CH1053" i="33"/>
  <c r="I1055" i="33"/>
  <c r="J1209" i="33"/>
  <c r="CI1207" i="33"/>
  <c r="G1177" i="33"/>
  <c r="CF1175" i="33"/>
  <c r="CJ1169" i="33"/>
  <c r="CE993" i="33"/>
  <c r="F1216" i="33"/>
  <c r="CJ1210" i="33"/>
  <c r="G1145" i="33"/>
  <c r="CF1143" i="33"/>
  <c r="F535" i="33"/>
  <c r="CE531" i="33"/>
  <c r="K531" i="33"/>
  <c r="K535" i="33" s="1"/>
  <c r="D114" i="34" a="1"/>
  <c r="D114" i="34" s="1"/>
  <c r="J733" i="33"/>
  <c r="CI729" i="33"/>
  <c r="CE534" i="33"/>
  <c r="K534" i="33"/>
  <c r="CJ469" i="33"/>
  <c r="F475" i="33"/>
  <c r="I471" i="33"/>
  <c r="CH467" i="33"/>
  <c r="K564" i="33"/>
  <c r="K567" i="33" s="1"/>
  <c r="CE564" i="33"/>
  <c r="D144" i="34" a="1"/>
  <c r="D144" i="34" s="1"/>
  <c r="J439" i="33"/>
  <c r="CI435" i="33"/>
  <c r="CE444" i="33"/>
  <c r="K444" i="33"/>
  <c r="F569" i="33"/>
  <c r="CI671" i="33"/>
  <c r="CI675" i="33" s="1"/>
  <c r="J675" i="33"/>
  <c r="H793" i="33"/>
  <c r="CG791" i="33"/>
  <c r="F633" i="33"/>
  <c r="CE631" i="33"/>
  <c r="F441" i="33"/>
  <c r="I511" i="33"/>
  <c r="CH509" i="33"/>
  <c r="I733" i="33"/>
  <c r="CH729" i="33"/>
  <c r="H761" i="33"/>
  <c r="CG759" i="33"/>
  <c r="K501" i="33"/>
  <c r="CE501" i="33"/>
  <c r="D102" i="34" a="1"/>
  <c r="D102" i="34" s="1"/>
  <c r="CJ561" i="33"/>
  <c r="F571" i="33"/>
  <c r="CJ565" i="33"/>
  <c r="F602" i="33"/>
  <c r="CJ596" i="33"/>
  <c r="I445" i="33"/>
  <c r="CH441" i="33"/>
  <c r="CG505" i="33"/>
  <c r="H509" i="33"/>
  <c r="G727" i="33"/>
  <c r="CF723" i="33"/>
  <c r="I639" i="33"/>
  <c r="CH637" i="33"/>
  <c r="K539" i="33"/>
  <c r="CE539" i="33"/>
  <c r="G795" i="33"/>
  <c r="CJ789" i="33"/>
  <c r="F729" i="33"/>
  <c r="CE727" i="33"/>
  <c r="O150" i="34" a="1"/>
  <c r="O150" i="34" s="1"/>
  <c r="CG633" i="33"/>
  <c r="H637" i="33"/>
  <c r="H727" i="33"/>
  <c r="CG723" i="33"/>
  <c r="CF787" i="33"/>
  <c r="G791" i="33"/>
  <c r="F759" i="33"/>
  <c r="CE755" i="33"/>
  <c r="K755" i="33"/>
  <c r="D156" i="34" a="1"/>
  <c r="D156" i="34" s="1"/>
  <c r="I665" i="33"/>
  <c r="CH663" i="33"/>
  <c r="F831" i="33"/>
  <c r="CF627" i="33"/>
  <c r="O132" i="34" s="1" a="1"/>
  <c r="O132" i="34" s="1"/>
  <c r="G631" i="33"/>
  <c r="CJ694" i="33"/>
  <c r="F700" i="33"/>
  <c r="CJ657" i="33"/>
  <c r="CE471" i="33"/>
  <c r="F473" i="33"/>
  <c r="CJ467" i="33"/>
  <c r="CI467" i="33"/>
  <c r="J471" i="33"/>
  <c r="F567" i="33"/>
  <c r="J631" i="33"/>
  <c r="CI627" i="33"/>
  <c r="G599" i="33"/>
  <c r="CF595" i="33"/>
  <c r="O126" i="34" s="1" a="1"/>
  <c r="O126" i="34" s="1"/>
  <c r="CI567" i="33"/>
  <c r="J569" i="33"/>
  <c r="CG605" i="33"/>
  <c r="H607" i="33"/>
  <c r="CF531" i="33"/>
  <c r="G535" i="33"/>
  <c r="H665" i="33"/>
  <c r="CG663" i="33"/>
  <c r="H541" i="33"/>
  <c r="CG537" i="33"/>
  <c r="J701" i="33"/>
  <c r="CI697" i="33"/>
  <c r="O402" i="34"/>
  <c r="F697" i="33"/>
  <c r="CE695" i="33"/>
  <c r="CJ595" i="33"/>
  <c r="F601" i="33"/>
  <c r="CE599" i="33"/>
  <c r="K467" i="33"/>
  <c r="H445" i="33"/>
  <c r="CG441" i="33"/>
  <c r="CE437" i="33"/>
  <c r="K437" i="33"/>
  <c r="CE436" i="33"/>
  <c r="CE439" i="33" s="1"/>
  <c r="K436" i="33"/>
  <c r="K439" i="33" s="1"/>
  <c r="I567" i="33"/>
  <c r="CH563" i="33"/>
  <c r="E23" i="40" s="1"/>
  <c r="CJ726" i="33"/>
  <c r="F732" i="33"/>
  <c r="K827" i="33"/>
  <c r="CE827" i="33"/>
  <c r="CJ756" i="33"/>
  <c r="F762" i="33"/>
  <c r="J599" i="33"/>
  <c r="CI595" i="33"/>
  <c r="CF573" i="33"/>
  <c r="G575" i="33"/>
  <c r="H695" i="33"/>
  <c r="CG691" i="33"/>
  <c r="CJ691" i="33" s="1"/>
  <c r="CJ695" i="33" s="1"/>
  <c r="CF467" i="33"/>
  <c r="G471" i="33"/>
  <c r="CF755" i="33"/>
  <c r="G759" i="33"/>
  <c r="J765" i="33"/>
  <c r="CI761" i="33"/>
  <c r="I823" i="33"/>
  <c r="CH819" i="33"/>
  <c r="CH531" i="33"/>
  <c r="I535" i="33"/>
  <c r="CJ822" i="33"/>
  <c r="F828" i="33"/>
  <c r="F503" i="33"/>
  <c r="CE499" i="33"/>
  <c r="K499" i="33"/>
  <c r="K503" i="33" s="1"/>
  <c r="D108" i="34" a="1"/>
  <c r="D108" i="34" s="1"/>
  <c r="CF503" i="33"/>
  <c r="G505" i="33"/>
  <c r="CJ660" i="33"/>
  <c r="F666" i="33"/>
  <c r="CH599" i="33"/>
  <c r="I601" i="33"/>
  <c r="J797" i="33"/>
  <c r="CI793" i="33"/>
  <c r="CJ699" i="33"/>
  <c r="F705" i="33"/>
  <c r="K470" i="33"/>
  <c r="CE470" i="33"/>
  <c r="CF662" i="33"/>
  <c r="K662" i="33"/>
  <c r="K663" i="33" s="1"/>
  <c r="F770" i="33"/>
  <c r="CJ764" i="33"/>
  <c r="F506" i="33"/>
  <c r="CJ500" i="33"/>
  <c r="CG569" i="33"/>
  <c r="H573" i="33"/>
  <c r="K595" i="33"/>
  <c r="D138" i="34" a="1"/>
  <c r="D138" i="34" s="1"/>
  <c r="G823" i="33"/>
  <c r="CF819" i="33"/>
  <c r="D168" i="34" a="1"/>
  <c r="D168" i="34" s="1"/>
  <c r="K819" i="33"/>
  <c r="K823" i="33" s="1"/>
  <c r="CG794" i="33"/>
  <c r="K794" i="33"/>
  <c r="CE791" i="33"/>
  <c r="F793" i="33"/>
  <c r="E30" i="40"/>
  <c r="CJ724" i="33"/>
  <c r="F730" i="33"/>
  <c r="CI535" i="33"/>
  <c r="J537" i="33"/>
  <c r="CE757" i="33"/>
  <c r="K757" i="33"/>
  <c r="D96" i="34" a="1"/>
  <c r="D96" i="34" s="1"/>
  <c r="CG471" i="33"/>
  <c r="H473" i="33"/>
  <c r="F474" i="33"/>
  <c r="CJ468" i="33"/>
  <c r="CE636" i="33"/>
  <c r="K636" i="33"/>
  <c r="I791" i="33"/>
  <c r="CH787" i="33"/>
  <c r="O162" i="34" s="1" a="1"/>
  <c r="O162" i="34" s="1"/>
  <c r="CE698" i="33"/>
  <c r="K698" i="33"/>
  <c r="I695" i="33"/>
  <c r="CH691" i="33"/>
  <c r="G663" i="33"/>
  <c r="CF659" i="33"/>
  <c r="CJ659" i="33" s="1"/>
  <c r="CF697" i="33"/>
  <c r="G701" i="33"/>
  <c r="CJ661" i="33"/>
  <c r="F667" i="33"/>
  <c r="H825" i="33"/>
  <c r="CG823" i="33"/>
  <c r="CI819" i="33"/>
  <c r="J823" i="33"/>
  <c r="CJ820" i="33"/>
  <c r="F826" i="33"/>
  <c r="CE823" i="33"/>
  <c r="D150" i="34" a="1"/>
  <c r="D150" i="34" s="1"/>
  <c r="K598" i="33"/>
  <c r="CE598" i="33"/>
  <c r="CI505" i="33"/>
  <c r="J509" i="33"/>
  <c r="F603" i="33"/>
  <c r="CJ597" i="33"/>
  <c r="CF439" i="33"/>
  <c r="G441" i="33"/>
  <c r="I765" i="33"/>
  <c r="CH761" i="33"/>
  <c r="CE566" i="33"/>
  <c r="K566" i="33"/>
  <c r="CE663" i="33"/>
  <c r="F665" i="33"/>
  <c r="D120" i="34" a="1"/>
  <c r="D120" i="34" s="1"/>
  <c r="K508" i="33"/>
  <c r="CE508" i="33"/>
  <c r="G635" i="33"/>
  <c r="CJ629" i="33"/>
  <c r="CJ405" i="33"/>
  <c r="F411" i="33"/>
  <c r="F412" i="33"/>
  <c r="CJ406" i="33"/>
  <c r="I409" i="33"/>
  <c r="CH407" i="33"/>
  <c r="CJ403" i="33"/>
  <c r="O90" i="34" a="1"/>
  <c r="O90" i="34" s="1"/>
  <c r="F409" i="33"/>
  <c r="CE407" i="33"/>
  <c r="K407" i="33"/>
  <c r="H409" i="33"/>
  <c r="CG407" i="33"/>
  <c r="CJ404" i="33"/>
  <c r="F410" i="33"/>
  <c r="J409" i="33"/>
  <c r="CI407" i="33"/>
  <c r="G407" i="33"/>
  <c r="CF403" i="33"/>
  <c r="CJ372" i="33"/>
  <c r="F378" i="33"/>
  <c r="G377" i="33"/>
  <c r="CF375" i="33"/>
  <c r="CJ371" i="33"/>
  <c r="E17" i="40"/>
  <c r="O84" i="34" a="1"/>
  <c r="O84" i="34" s="1"/>
  <c r="F377" i="33"/>
  <c r="CE375" i="33"/>
  <c r="H377" i="33"/>
  <c r="CG375" i="33"/>
  <c r="J377" i="33"/>
  <c r="CI375" i="33"/>
  <c r="K375" i="33"/>
  <c r="F380" i="33"/>
  <c r="CJ374" i="33"/>
  <c r="I377" i="33"/>
  <c r="CH375" i="33"/>
  <c r="CJ373" i="33"/>
  <c r="F379" i="33"/>
  <c r="F348" i="33"/>
  <c r="CJ342" i="33"/>
  <c r="H345" i="33"/>
  <c r="CG343" i="33"/>
  <c r="I345" i="33"/>
  <c r="CH343" i="33"/>
  <c r="O78" i="34" a="1"/>
  <c r="O78" i="34" s="1"/>
  <c r="CJ339" i="33"/>
  <c r="E16" i="40"/>
  <c r="F345" i="33"/>
  <c r="G343" i="33"/>
  <c r="CF339" i="33"/>
  <c r="D78" i="34" a="1"/>
  <c r="D78" i="34" s="1"/>
  <c r="CJ340" i="33"/>
  <c r="F346" i="33"/>
  <c r="J345" i="33"/>
  <c r="CI343" i="33"/>
  <c r="K341" i="33"/>
  <c r="CE341" i="33"/>
  <c r="CE343" i="33" s="1"/>
  <c r="F343" i="33"/>
  <c r="K343" i="33"/>
  <c r="CJ309" i="33"/>
  <c r="F315" i="33"/>
  <c r="CI313" i="33"/>
  <c r="J317" i="33"/>
  <c r="O72" i="34" a="1"/>
  <c r="O72" i="34" s="1"/>
  <c r="CJ307" i="33"/>
  <c r="CJ311" i="33" s="1"/>
  <c r="E15" i="40"/>
  <c r="F313" i="33"/>
  <c r="CE311" i="33"/>
  <c r="H313" i="33"/>
  <c r="CG311" i="33"/>
  <c r="H6" i="34"/>
  <c r="CJ308" i="33"/>
  <c r="F314" i="33"/>
  <c r="K311" i="33"/>
  <c r="F316" i="33"/>
  <c r="CJ310" i="33"/>
  <c r="I313" i="33"/>
  <c r="CH311" i="33"/>
  <c r="G311" i="33"/>
  <c r="CF307" i="33"/>
  <c r="H281" i="33"/>
  <c r="CG279" i="33"/>
  <c r="G281" i="33"/>
  <c r="CF279" i="33"/>
  <c r="F284" i="33"/>
  <c r="CJ278" i="33"/>
  <c r="N6" i="34"/>
  <c r="J281" i="33"/>
  <c r="CI279" i="33"/>
  <c r="CJ277" i="33"/>
  <c r="F283" i="33"/>
  <c r="D66" i="34" a="1"/>
  <c r="D66" i="34" s="1"/>
  <c r="K275" i="33"/>
  <c r="K279" i="33" s="1"/>
  <c r="F279" i="33"/>
  <c r="CE275" i="33"/>
  <c r="I281" i="33"/>
  <c r="CH279" i="33"/>
  <c r="CJ276" i="33"/>
  <c r="F282" i="33"/>
  <c r="O396" i="34"/>
  <c r="G247" i="33"/>
  <c r="CF243" i="33"/>
  <c r="D60" i="34" a="1"/>
  <c r="D60" i="34" s="1"/>
  <c r="H249" i="33"/>
  <c r="CG247" i="33"/>
  <c r="F249" i="33"/>
  <c r="CE247" i="33"/>
  <c r="K243" i="33"/>
  <c r="K247" i="33" s="1"/>
  <c r="J249" i="33"/>
  <c r="CI247" i="33"/>
  <c r="CJ245" i="33"/>
  <c r="F251" i="33"/>
  <c r="CJ244" i="33"/>
  <c r="F250" i="33"/>
  <c r="F252" i="33"/>
  <c r="CJ246" i="33"/>
  <c r="I249" i="33"/>
  <c r="CH247" i="33"/>
  <c r="J217" i="33"/>
  <c r="CI215" i="33"/>
  <c r="I217" i="33"/>
  <c r="CH215" i="33"/>
  <c r="F220" i="33"/>
  <c r="CJ214" i="33"/>
  <c r="O54" i="34" a="1"/>
  <c r="O54" i="34" s="1"/>
  <c r="F217" i="33"/>
  <c r="CE215" i="33"/>
  <c r="CJ213" i="33"/>
  <c r="F219" i="33"/>
  <c r="H217" i="33"/>
  <c r="CG215" i="33"/>
  <c r="G215" i="33"/>
  <c r="CF211" i="33"/>
  <c r="CJ212" i="33"/>
  <c r="F218" i="33"/>
  <c r="F183" i="33"/>
  <c r="K179" i="33"/>
  <c r="D48" i="34" a="1"/>
  <c r="D48" i="34" s="1"/>
  <c r="CE179" i="33"/>
  <c r="CI183" i="33"/>
  <c r="J185" i="33"/>
  <c r="K186" i="33"/>
  <c r="CE186" i="33"/>
  <c r="F188" i="33"/>
  <c r="CJ182" i="33"/>
  <c r="I185" i="33"/>
  <c r="CH183" i="33"/>
  <c r="G183" i="33"/>
  <c r="CF179" i="33"/>
  <c r="K181" i="33"/>
  <c r="CE181" i="33"/>
  <c r="G25" i="33"/>
  <c r="CE28" i="33"/>
  <c r="K28" i="33"/>
  <c r="H23" i="33"/>
  <c r="CG19" i="33"/>
  <c r="I29" i="33"/>
  <c r="CH25" i="33"/>
  <c r="CE27" i="33"/>
  <c r="O390" i="34"/>
  <c r="AQ20" i="37"/>
  <c r="AW20" i="37" s="1"/>
  <c r="AV39" i="37" s="1"/>
  <c r="CE26" i="33"/>
  <c r="CJ17" i="33"/>
  <c r="F23" i="33"/>
  <c r="CE19" i="33"/>
  <c r="K19" i="33"/>
  <c r="D18" i="34" a="1"/>
  <c r="D18" i="34" s="1"/>
  <c r="CI23" i="33"/>
  <c r="J25" i="33"/>
  <c r="CF21" i="33"/>
  <c r="K21" i="33"/>
  <c r="CF20" i="33"/>
  <c r="K20" i="33"/>
  <c r="H90" i="39"/>
  <c r="H92" i="39"/>
  <c r="AK7" i="36"/>
  <c r="I91" i="39"/>
  <c r="I90" i="39"/>
  <c r="I92" i="39"/>
  <c r="AQ17" i="36"/>
  <c r="T2" i="34" l="1"/>
  <c r="T4" i="34" s="1"/>
  <c r="AD65" i="36"/>
  <c r="AS11" i="36" s="1"/>
  <c r="AN4" i="36"/>
  <c r="AQ4" i="36" s="1"/>
  <c r="AN16" i="36"/>
  <c r="AQ16" i="36" s="1"/>
  <c r="CE1943" i="33"/>
  <c r="F1945" i="33"/>
  <c r="CJ1939" i="33"/>
  <c r="CJ1943" i="33" s="1"/>
  <c r="K1947" i="33"/>
  <c r="CE1947" i="33"/>
  <c r="G1945" i="33"/>
  <c r="CF1943" i="33"/>
  <c r="E66" i="40"/>
  <c r="F1946" i="33"/>
  <c r="CJ1940" i="33"/>
  <c r="CG1943" i="33"/>
  <c r="H1945" i="33"/>
  <c r="K1948" i="33"/>
  <c r="CE1948" i="33"/>
  <c r="CH1949" i="33"/>
  <c r="I1951" i="33"/>
  <c r="CI1943" i="33"/>
  <c r="J1945" i="33"/>
  <c r="K1916" i="33"/>
  <c r="CE1916" i="33"/>
  <c r="CG1911" i="33"/>
  <c r="H1913" i="33"/>
  <c r="I1917" i="33"/>
  <c r="CH1913" i="33"/>
  <c r="K1911" i="33"/>
  <c r="K1915" i="33"/>
  <c r="CE1915" i="33"/>
  <c r="CI1911" i="33"/>
  <c r="J1913" i="33"/>
  <c r="G1913" i="33"/>
  <c r="CF1911" i="33"/>
  <c r="CJ1907" i="33"/>
  <c r="F1914" i="33"/>
  <c r="CJ1908" i="33"/>
  <c r="CE1911" i="33"/>
  <c r="F1919" i="33"/>
  <c r="J1885" i="33"/>
  <c r="CI1881" i="33"/>
  <c r="I1885" i="33"/>
  <c r="CH1881" i="33"/>
  <c r="CG1879" i="33"/>
  <c r="H1881" i="33"/>
  <c r="K1883" i="33"/>
  <c r="CE1883" i="33"/>
  <c r="F1882" i="33"/>
  <c r="CJ1876" i="33"/>
  <c r="CE1879" i="33"/>
  <c r="F1881" i="33"/>
  <c r="CJ1875" i="33"/>
  <c r="CJ1879" i="33" s="1"/>
  <c r="G1881" i="33"/>
  <c r="CF1879" i="33"/>
  <c r="K1884" i="33"/>
  <c r="CE1884" i="33"/>
  <c r="K1879" i="33"/>
  <c r="K1847" i="33"/>
  <c r="K1851" i="33"/>
  <c r="CE1851" i="33"/>
  <c r="I1853" i="33"/>
  <c r="CH1849" i="33"/>
  <c r="K1852" i="33"/>
  <c r="CE1852" i="33"/>
  <c r="G1849" i="33"/>
  <c r="CF1847" i="33"/>
  <c r="J1855" i="33"/>
  <c r="CI1853" i="33"/>
  <c r="H1849" i="33"/>
  <c r="CG1847" i="33"/>
  <c r="F1850" i="33"/>
  <c r="CJ1844" i="33"/>
  <c r="CE1847" i="33"/>
  <c r="F1849" i="33"/>
  <c r="CJ1843" i="33"/>
  <c r="J1821" i="33"/>
  <c r="CI1817" i="33"/>
  <c r="G1817" i="33"/>
  <c r="CF1815" i="33"/>
  <c r="K1819" i="33"/>
  <c r="CE1819" i="33"/>
  <c r="I1821" i="33"/>
  <c r="CH1817" i="33"/>
  <c r="F1826" i="33"/>
  <c r="CJ1820" i="33"/>
  <c r="CG1815" i="33"/>
  <c r="H1817" i="33"/>
  <c r="CE1815" i="33"/>
  <c r="F1817" i="33"/>
  <c r="CJ1811" i="33"/>
  <c r="CJ1815" i="33" s="1"/>
  <c r="CE1818" i="33"/>
  <c r="K1818" i="33"/>
  <c r="J1789" i="33"/>
  <c r="CI1785" i="33"/>
  <c r="G1785" i="33"/>
  <c r="CF1783" i="33"/>
  <c r="I1789" i="33"/>
  <c r="CH1785" i="33"/>
  <c r="CG1783" i="33"/>
  <c r="H1785" i="33"/>
  <c r="D349" i="34" s="1" a="1"/>
  <c r="D349" i="34" s="1"/>
  <c r="CE1783" i="33"/>
  <c r="F1785" i="33"/>
  <c r="CJ1779" i="33"/>
  <c r="CJ1783" i="33" s="1"/>
  <c r="K1787" i="33"/>
  <c r="CE1787" i="33"/>
  <c r="F1794" i="33"/>
  <c r="CJ1788" i="33"/>
  <c r="CE1786" i="33"/>
  <c r="K1786" i="33"/>
  <c r="K1756" i="33"/>
  <c r="CE1756" i="33"/>
  <c r="CE1751" i="33"/>
  <c r="F1753" i="33"/>
  <c r="CJ1747" i="33"/>
  <c r="CJ1751" i="33" s="1"/>
  <c r="G1753" i="33"/>
  <c r="CF1751" i="33"/>
  <c r="CG1751" i="33"/>
  <c r="H1753" i="33"/>
  <c r="D343" i="34" s="1" a="1"/>
  <c r="D343" i="34" s="1"/>
  <c r="E60" i="40"/>
  <c r="K1751" i="33"/>
  <c r="I1757" i="33"/>
  <c r="CH1753" i="33"/>
  <c r="O342" i="34" a="1"/>
  <c r="O342" i="34" s="1"/>
  <c r="J1757" i="33"/>
  <c r="CI1753" i="33"/>
  <c r="F1754" i="33"/>
  <c r="CJ1748" i="33"/>
  <c r="K1755" i="33"/>
  <c r="CE1755" i="33"/>
  <c r="I1725" i="33"/>
  <c r="CH1721" i="33"/>
  <c r="K1723" i="33"/>
  <c r="CE1723" i="33"/>
  <c r="CG1719" i="33"/>
  <c r="H1721" i="33"/>
  <c r="CI1719" i="33"/>
  <c r="J1721" i="33"/>
  <c r="CE1719" i="33"/>
  <c r="F1721" i="33"/>
  <c r="CJ1715" i="33"/>
  <c r="F1722" i="33"/>
  <c r="CJ1716" i="33"/>
  <c r="K1719" i="33"/>
  <c r="G1721" i="33"/>
  <c r="CF1719" i="33"/>
  <c r="K1724" i="33"/>
  <c r="CE1724" i="33"/>
  <c r="CG1687" i="33"/>
  <c r="H1689" i="33"/>
  <c r="F1690" i="33"/>
  <c r="CJ1684" i="33"/>
  <c r="I1693" i="33"/>
  <c r="CH1689" i="33"/>
  <c r="CE1689" i="33"/>
  <c r="K1689" i="33"/>
  <c r="CE1687" i="33"/>
  <c r="CJ1687" i="33"/>
  <c r="K1691" i="33"/>
  <c r="CE1691" i="33"/>
  <c r="K1692" i="33"/>
  <c r="CE1692" i="33"/>
  <c r="J1693" i="33"/>
  <c r="CI1689" i="33"/>
  <c r="G1689" i="33"/>
  <c r="CF1687" i="33"/>
  <c r="CE1655" i="33"/>
  <c r="F1657" i="33"/>
  <c r="CJ1651" i="33"/>
  <c r="CJ1655" i="33" s="1"/>
  <c r="K1660" i="33"/>
  <c r="CE1660" i="33"/>
  <c r="I1661" i="33"/>
  <c r="CH1657" i="33"/>
  <c r="K1655" i="33"/>
  <c r="CG1655" i="33"/>
  <c r="H1657" i="33"/>
  <c r="K1659" i="33"/>
  <c r="CE1659" i="33"/>
  <c r="J1661" i="33"/>
  <c r="CI1657" i="33"/>
  <c r="G1657" i="33"/>
  <c r="CF1655" i="33"/>
  <c r="F1658" i="33"/>
  <c r="CJ1652" i="33"/>
  <c r="J1629" i="33"/>
  <c r="CI1625" i="33"/>
  <c r="CH1629" i="33"/>
  <c r="I1631" i="33"/>
  <c r="F1626" i="33"/>
  <c r="CJ1620" i="33"/>
  <c r="G1625" i="33"/>
  <c r="CF1623" i="33"/>
  <c r="K1627" i="33"/>
  <c r="CE1627" i="33"/>
  <c r="K1628" i="33"/>
  <c r="CE1628" i="33"/>
  <c r="CE1623" i="33"/>
  <c r="F1625" i="33"/>
  <c r="CJ1619" i="33"/>
  <c r="CG1623" i="33"/>
  <c r="H1625" i="33"/>
  <c r="K1595" i="33"/>
  <c r="CE1595" i="33"/>
  <c r="G1593" i="33"/>
  <c r="CF1591" i="33"/>
  <c r="CJ1587" i="33"/>
  <c r="CJ1591" i="33" s="1"/>
  <c r="J1597" i="33"/>
  <c r="CI1593" i="33"/>
  <c r="CG1591" i="33"/>
  <c r="H1593" i="33"/>
  <c r="F1599" i="33"/>
  <c r="I1597" i="33"/>
  <c r="CH1593" i="33"/>
  <c r="K1596" i="33"/>
  <c r="CE1596" i="33"/>
  <c r="F1594" i="33"/>
  <c r="CJ1588" i="33"/>
  <c r="CE1591" i="33"/>
  <c r="K1563" i="33"/>
  <c r="CE1563" i="33"/>
  <c r="G1561" i="33"/>
  <c r="CF1559" i="33"/>
  <c r="I1565" i="33"/>
  <c r="CH1561" i="33"/>
  <c r="CE1559" i="33"/>
  <c r="F1561" i="33"/>
  <c r="CJ1555" i="33"/>
  <c r="CJ1559" i="33" s="1"/>
  <c r="CE1562" i="33"/>
  <c r="K1562" i="33"/>
  <c r="F1570" i="33"/>
  <c r="CJ1564" i="33"/>
  <c r="CG1559" i="33"/>
  <c r="H1561" i="33"/>
  <c r="J1565" i="33"/>
  <c r="CI1561" i="33"/>
  <c r="K1531" i="33"/>
  <c r="CE1531" i="33"/>
  <c r="I1533" i="33"/>
  <c r="CH1529" i="33"/>
  <c r="K1532" i="33"/>
  <c r="CE1532" i="33"/>
  <c r="CG1527" i="33"/>
  <c r="H1529" i="33"/>
  <c r="CE1527" i="33"/>
  <c r="F1529" i="33"/>
  <c r="CJ1523" i="33"/>
  <c r="F1530" i="33"/>
  <c r="CJ1524" i="33"/>
  <c r="G1529" i="33"/>
  <c r="CF1527" i="33"/>
  <c r="CI1527" i="33"/>
  <c r="J1529" i="33"/>
  <c r="I1501" i="33"/>
  <c r="CH1497" i="33"/>
  <c r="J1501" i="33"/>
  <c r="CI1497" i="33"/>
  <c r="CE1495" i="33"/>
  <c r="F1497" i="33"/>
  <c r="CJ1491" i="33"/>
  <c r="K1499" i="33"/>
  <c r="CE1499" i="33"/>
  <c r="H1497" i="33"/>
  <c r="CG1495" i="33"/>
  <c r="K1495" i="33"/>
  <c r="G1497" i="33"/>
  <c r="CF1495" i="33"/>
  <c r="F1498" i="33"/>
  <c r="CJ1492" i="33"/>
  <c r="K1500" i="33"/>
  <c r="CE1500" i="33"/>
  <c r="K1467" i="33"/>
  <c r="CE1467" i="33"/>
  <c r="J1469" i="33"/>
  <c r="CI1465" i="33"/>
  <c r="CE1463" i="33"/>
  <c r="F1465" i="33"/>
  <c r="CJ1459" i="33"/>
  <c r="CJ1463" i="33" s="1"/>
  <c r="G1465" i="33"/>
  <c r="CF1463" i="33"/>
  <c r="K1463" i="33"/>
  <c r="K1468" i="33"/>
  <c r="CE1468" i="33"/>
  <c r="CG1463" i="33"/>
  <c r="H1465" i="33"/>
  <c r="I1469" i="33"/>
  <c r="CH1465" i="33"/>
  <c r="F1466" i="33"/>
  <c r="CJ1460" i="33"/>
  <c r="K1436" i="33"/>
  <c r="CE1436" i="33"/>
  <c r="I1437" i="33"/>
  <c r="CH1433" i="33"/>
  <c r="J1437" i="33"/>
  <c r="CI1433" i="33"/>
  <c r="G1433" i="33"/>
  <c r="CF1431" i="33"/>
  <c r="CE1431" i="33"/>
  <c r="F1433" i="33"/>
  <c r="CJ1427" i="33"/>
  <c r="F1434" i="33"/>
  <c r="CJ1428" i="33"/>
  <c r="CG1431" i="33"/>
  <c r="H1433" i="33"/>
  <c r="K1435" i="33"/>
  <c r="CE1435" i="33"/>
  <c r="K1399" i="33"/>
  <c r="K1403" i="33"/>
  <c r="CE1403" i="33"/>
  <c r="F1402" i="33"/>
  <c r="CJ1396" i="33"/>
  <c r="CG1399" i="33"/>
  <c r="H1401" i="33"/>
  <c r="K1404" i="33"/>
  <c r="CE1404" i="33"/>
  <c r="CI1399" i="33"/>
  <c r="J1401" i="33"/>
  <c r="I1405" i="33"/>
  <c r="CH1401" i="33"/>
  <c r="CE1399" i="33"/>
  <c r="F1401" i="33"/>
  <c r="CJ1395" i="33"/>
  <c r="G1401" i="33"/>
  <c r="CF1399" i="33"/>
  <c r="I1373" i="33"/>
  <c r="CH1369" i="33"/>
  <c r="K1372" i="33"/>
  <c r="CE1372" i="33"/>
  <c r="CE1367" i="33"/>
  <c r="F1369" i="33"/>
  <c r="CJ1363" i="33"/>
  <c r="CJ1367" i="33" s="1"/>
  <c r="CI1367" i="33"/>
  <c r="J1369" i="33"/>
  <c r="G1369" i="33"/>
  <c r="CF1367" i="33"/>
  <c r="K1367" i="33"/>
  <c r="F1370" i="33"/>
  <c r="CJ1364" i="33"/>
  <c r="CG1367" i="33"/>
  <c r="H1369" i="33"/>
  <c r="K1371" i="33"/>
  <c r="CE1371" i="33"/>
  <c r="E59" i="40"/>
  <c r="O336" i="34" a="1"/>
  <c r="O336" i="34" s="1"/>
  <c r="E62" i="40"/>
  <c r="O366" i="34" a="1"/>
  <c r="O366" i="34" s="1"/>
  <c r="E64" i="40"/>
  <c r="E63" i="40"/>
  <c r="O348" i="34" a="1"/>
  <c r="O348" i="34" s="1"/>
  <c r="E58" i="40"/>
  <c r="O330" i="34" a="1"/>
  <c r="O330" i="34" s="1"/>
  <c r="D373" i="34" a="1"/>
  <c r="D373" i="34" s="1"/>
  <c r="O354" i="34" a="1"/>
  <c r="O354" i="34" s="1"/>
  <c r="CI1303" i="33"/>
  <c r="J1305" i="33"/>
  <c r="E57" i="40"/>
  <c r="O324" i="34" a="1"/>
  <c r="O324" i="34" s="1"/>
  <c r="G1305" i="33"/>
  <c r="CF1303" i="33"/>
  <c r="CJ1299" i="33"/>
  <c r="E46" i="40"/>
  <c r="O258" i="34" a="1"/>
  <c r="O258" i="34" s="1"/>
  <c r="CI1271" i="33"/>
  <c r="J1273" i="33"/>
  <c r="F1338" i="33"/>
  <c r="CJ1332" i="33"/>
  <c r="CE1335" i="33"/>
  <c r="CG1309" i="33"/>
  <c r="H1311" i="33"/>
  <c r="G1273" i="33"/>
  <c r="CF1271" i="33"/>
  <c r="CH1341" i="33"/>
  <c r="I1343" i="33"/>
  <c r="CE1345" i="33"/>
  <c r="K1306" i="33"/>
  <c r="CE1306" i="33"/>
  <c r="E48" i="40"/>
  <c r="O270" i="34" a="1"/>
  <c r="O270" i="34" s="1"/>
  <c r="I1311" i="33"/>
  <c r="CH1309" i="33"/>
  <c r="G1347" i="33"/>
  <c r="CF1343" i="33"/>
  <c r="CF1347" i="33" s="1"/>
  <c r="O306" i="34" a="1"/>
  <c r="O306" i="34" s="1"/>
  <c r="E54" i="40"/>
  <c r="F1275" i="33"/>
  <c r="CJ1269" i="33"/>
  <c r="CJ1274" i="33"/>
  <c r="F1280" i="33"/>
  <c r="O318" i="34" a="1"/>
  <c r="O318" i="34" s="1"/>
  <c r="E56" i="40"/>
  <c r="CH1273" i="33"/>
  <c r="I1277" i="33"/>
  <c r="D409" i="34"/>
  <c r="E50" i="40"/>
  <c r="O282" i="34" a="1"/>
  <c r="O282" i="34" s="1"/>
  <c r="D301" i="34" a="1"/>
  <c r="D301" i="34" s="1"/>
  <c r="O294" i="34" a="1"/>
  <c r="O294" i="34" s="1"/>
  <c r="K1335" i="33"/>
  <c r="CJ1271" i="33"/>
  <c r="CG1339" i="33"/>
  <c r="K1339" i="33"/>
  <c r="CG1277" i="33"/>
  <c r="H1279" i="33"/>
  <c r="F1308" i="33"/>
  <c r="F1309" i="33" s="1"/>
  <c r="CJ1302" i="33"/>
  <c r="CJ1334" i="33"/>
  <c r="F1340" i="33"/>
  <c r="CE1273" i="33"/>
  <c r="K1273" i="33"/>
  <c r="D253" i="34" a="1"/>
  <c r="D253" i="34" s="1"/>
  <c r="K1303" i="33"/>
  <c r="E51" i="40"/>
  <c r="F1343" i="33"/>
  <c r="E55" i="40"/>
  <c r="O312" i="34" a="1"/>
  <c r="O312" i="34" s="1"/>
  <c r="E49" i="40"/>
  <c r="O276" i="34" a="1"/>
  <c r="O276" i="34" s="1"/>
  <c r="CG1335" i="33"/>
  <c r="H1337" i="33"/>
  <c r="CJ1331" i="33"/>
  <c r="E47" i="40"/>
  <c r="O264" i="34" a="1"/>
  <c r="O264" i="34" s="1"/>
  <c r="J1337" i="33"/>
  <c r="CI1335" i="33"/>
  <c r="CE1311" i="33"/>
  <c r="CE1307" i="33"/>
  <c r="K1307" i="33"/>
  <c r="CE919" i="33"/>
  <c r="E34" i="40"/>
  <c r="CJ915" i="33"/>
  <c r="CJ919" i="33" s="1"/>
  <c r="F921" i="33"/>
  <c r="O186" i="34" a="1"/>
  <c r="O186" i="34" s="1"/>
  <c r="E32" i="40"/>
  <c r="G1251" i="33"/>
  <c r="CF1247" i="33"/>
  <c r="CF1251" i="33" s="1"/>
  <c r="F994" i="33"/>
  <c r="CJ988" i="33"/>
  <c r="F1247" i="33"/>
  <c r="F890" i="33"/>
  <c r="CJ884" i="33"/>
  <c r="CH1209" i="33"/>
  <c r="I1213" i="33"/>
  <c r="G861" i="33"/>
  <c r="CF857" i="33"/>
  <c r="J1213" i="33"/>
  <c r="CI1209" i="33"/>
  <c r="CE857" i="33"/>
  <c r="CJ954" i="33"/>
  <c r="F960" i="33"/>
  <c r="CE1111" i="33"/>
  <c r="K1079" i="33"/>
  <c r="G1087" i="33"/>
  <c r="CF1085" i="33"/>
  <c r="CE892" i="33"/>
  <c r="K892" i="33"/>
  <c r="K1207" i="33"/>
  <c r="CH887" i="33"/>
  <c r="I889" i="33"/>
  <c r="G985" i="33"/>
  <c r="CF983" i="33"/>
  <c r="CI919" i="33"/>
  <c r="J921" i="33"/>
  <c r="K1047" i="33"/>
  <c r="F1018" i="33"/>
  <c r="CJ1012" i="33"/>
  <c r="CE1015" i="33"/>
  <c r="CG1047" i="33"/>
  <c r="H1049" i="33"/>
  <c r="K887" i="33"/>
  <c r="CE1212" i="33"/>
  <c r="K1212" i="33"/>
  <c r="CE1216" i="33"/>
  <c r="CJ1216" i="33" s="1"/>
  <c r="K1216" i="33"/>
  <c r="CH1055" i="33"/>
  <c r="CH1059" i="33" s="1"/>
  <c r="I1059" i="33"/>
  <c r="H1081" i="33"/>
  <c r="CG1079" i="33"/>
  <c r="F957" i="33"/>
  <c r="CE953" i="33"/>
  <c r="D193" i="34" a="1"/>
  <c r="D193" i="34" s="1"/>
  <c r="CE1079" i="33"/>
  <c r="CJ1075" i="33"/>
  <c r="F1081" i="33"/>
  <c r="E39" i="40"/>
  <c r="O216" i="34" a="1"/>
  <c r="O216" i="34" s="1"/>
  <c r="F1146" i="33"/>
  <c r="CJ1140" i="33"/>
  <c r="CJ1143" i="33" s="1"/>
  <c r="CG855" i="33"/>
  <c r="H857" i="33"/>
  <c r="K857" i="33" s="1"/>
  <c r="F1121" i="33"/>
  <c r="CJ1115" i="33"/>
  <c r="G1017" i="33"/>
  <c r="CF1015" i="33"/>
  <c r="E37" i="40"/>
  <c r="O204" i="34" a="1"/>
  <c r="O204" i="34" s="1"/>
  <c r="CJ1011" i="33"/>
  <c r="CJ1015" i="33" s="1"/>
  <c r="CI1113" i="33"/>
  <c r="J1117" i="33"/>
  <c r="H927" i="33"/>
  <c r="CG925" i="33"/>
  <c r="I1181" i="33"/>
  <c r="CH1177" i="33"/>
  <c r="CE1047" i="33"/>
  <c r="F1049" i="33"/>
  <c r="CJ1043" i="33"/>
  <c r="CJ1047" i="33" s="1"/>
  <c r="E38" i="40"/>
  <c r="O210" i="34" a="1"/>
  <c r="O210" i="34" s="1"/>
  <c r="K1239" i="33"/>
  <c r="CH951" i="33"/>
  <c r="I953" i="33"/>
  <c r="F1082" i="33"/>
  <c r="CJ1076" i="33"/>
  <c r="CJ1110" i="33"/>
  <c r="F1116" i="33"/>
  <c r="CE887" i="33"/>
  <c r="F889" i="33"/>
  <c r="CJ883" i="33"/>
  <c r="CJ887" i="33" s="1"/>
  <c r="O180" i="34" a="1"/>
  <c r="O180" i="34" s="1"/>
  <c r="E33" i="40"/>
  <c r="J1247" i="33"/>
  <c r="CI1245" i="33"/>
  <c r="F1084" i="33"/>
  <c r="CJ1078" i="33"/>
  <c r="J861" i="33"/>
  <c r="CI857" i="33"/>
  <c r="J1021" i="33"/>
  <c r="CI1017" i="33"/>
  <c r="CH1081" i="33"/>
  <c r="I1085" i="33"/>
  <c r="F1209" i="33"/>
  <c r="CE1207" i="33"/>
  <c r="CJ1203" i="33"/>
  <c r="E43" i="40"/>
  <c r="O240" i="34" a="1"/>
  <c r="O240" i="34" s="1"/>
  <c r="H953" i="33"/>
  <c r="CG951" i="33"/>
  <c r="CH1143" i="33"/>
  <c r="I1145" i="33"/>
  <c r="CJ1242" i="33"/>
  <c r="F1248" i="33"/>
  <c r="H1241" i="33"/>
  <c r="CG1239" i="33"/>
  <c r="CJ1235" i="33"/>
  <c r="CJ1239" i="33" s="1"/>
  <c r="O246" i="34" a="1"/>
  <c r="O246" i="34" s="1"/>
  <c r="E44" i="40"/>
  <c r="CE1153" i="33"/>
  <c r="CJ1153" i="33" s="1"/>
  <c r="K1153" i="33"/>
  <c r="H1181" i="33"/>
  <c r="CG1177" i="33"/>
  <c r="J1177" i="33"/>
  <c r="CI1175" i="33"/>
  <c r="CF1177" i="33"/>
  <c r="G1181" i="33"/>
  <c r="CJ859" i="33"/>
  <c r="F865" i="33"/>
  <c r="J959" i="33"/>
  <c r="CI957" i="33"/>
  <c r="J991" i="33"/>
  <c r="CI989" i="33"/>
  <c r="G1025" i="33"/>
  <c r="CJ1019" i="33"/>
  <c r="CJ1046" i="33"/>
  <c r="F1052" i="33"/>
  <c r="CJ855" i="33"/>
  <c r="CE1089" i="33"/>
  <c r="CJ1089" i="33" s="1"/>
  <c r="K1089" i="33"/>
  <c r="CE1145" i="33"/>
  <c r="K1145" i="33"/>
  <c r="D229" i="34" a="1"/>
  <c r="D229" i="34" s="1"/>
  <c r="K922" i="33"/>
  <c r="CE922" i="33"/>
  <c r="K992" i="33"/>
  <c r="CE992" i="33"/>
  <c r="CJ992" i="33" s="1"/>
  <c r="CH1113" i="33"/>
  <c r="I1117" i="33"/>
  <c r="CE983" i="33"/>
  <c r="F985" i="33"/>
  <c r="CJ979" i="33"/>
  <c r="E36" i="40"/>
  <c r="O198" i="34" a="1"/>
  <c r="O198" i="34" s="1"/>
  <c r="G987" i="33"/>
  <c r="CJ981" i="33"/>
  <c r="CF1049" i="33"/>
  <c r="G1053" i="33"/>
  <c r="CJ854" i="33"/>
  <c r="F860" i="33"/>
  <c r="G1215" i="33"/>
  <c r="CF1213" i="33"/>
  <c r="CH1021" i="33"/>
  <c r="I1023" i="33"/>
  <c r="CJ1173" i="33"/>
  <c r="F1179" i="33"/>
  <c r="CJ1237" i="33"/>
  <c r="F1243" i="33"/>
  <c r="CE1239" i="33"/>
  <c r="CF889" i="33"/>
  <c r="G893" i="33"/>
  <c r="J1049" i="33"/>
  <c r="CI1047" i="33"/>
  <c r="CE1051" i="33"/>
  <c r="K1051" i="33"/>
  <c r="CJ1205" i="33"/>
  <c r="F1211" i="33"/>
  <c r="K1175" i="33"/>
  <c r="I991" i="33"/>
  <c r="CH989" i="33"/>
  <c r="CG887" i="33"/>
  <c r="H889" i="33"/>
  <c r="F1020" i="33"/>
  <c r="CJ1014" i="33"/>
  <c r="J1081" i="33"/>
  <c r="CI1079" i="33"/>
  <c r="CE1178" i="33"/>
  <c r="K1178" i="33"/>
  <c r="G1119" i="33"/>
  <c r="CF1117" i="33"/>
  <c r="I1245" i="33"/>
  <c r="CH1241" i="33"/>
  <c r="CF951" i="33"/>
  <c r="G953" i="33"/>
  <c r="CE924" i="33"/>
  <c r="K924" i="33"/>
  <c r="F923" i="33"/>
  <c r="CJ917" i="33"/>
  <c r="F1023" i="33"/>
  <c r="CJ1108" i="33"/>
  <c r="CJ1111" i="33" s="1"/>
  <c r="F1114" i="33"/>
  <c r="F1117" i="33" s="1"/>
  <c r="F1177" i="33"/>
  <c r="CE1175" i="33"/>
  <c r="CJ1171" i="33"/>
  <c r="E42" i="40"/>
  <c r="O234" i="34" a="1"/>
  <c r="O234" i="34" s="1"/>
  <c r="G925" i="33"/>
  <c r="CF921" i="33"/>
  <c r="CH919" i="33"/>
  <c r="I921" i="33"/>
  <c r="CJ1050" i="33"/>
  <c r="F1056" i="33"/>
  <c r="J889" i="33"/>
  <c r="CI887" i="33"/>
  <c r="H1023" i="33"/>
  <c r="CG1021" i="33"/>
  <c r="I861" i="33"/>
  <c r="CH857" i="33"/>
  <c r="H1213" i="33"/>
  <c r="CG1209" i="33"/>
  <c r="CJ852" i="33"/>
  <c r="F858" i="33"/>
  <c r="CF1145" i="33"/>
  <c r="G1149" i="33"/>
  <c r="E35" i="40"/>
  <c r="K1113" i="33"/>
  <c r="CE1113" i="33"/>
  <c r="F962" i="33"/>
  <c r="CJ956" i="33"/>
  <c r="CJ1142" i="33"/>
  <c r="F1148" i="33"/>
  <c r="CJ1174" i="33"/>
  <c r="F1180" i="33"/>
  <c r="F897" i="33"/>
  <c r="CJ891" i="33"/>
  <c r="CE955" i="33"/>
  <c r="K955" i="33"/>
  <c r="CI797" i="33"/>
  <c r="J799" i="33"/>
  <c r="F604" i="33"/>
  <c r="CJ598" i="33"/>
  <c r="F669" i="33"/>
  <c r="CE665" i="33"/>
  <c r="D403" i="34"/>
  <c r="K667" i="33"/>
  <c r="CE667" i="33"/>
  <c r="CE474" i="33"/>
  <c r="K474" i="33"/>
  <c r="K730" i="33"/>
  <c r="CE730" i="33"/>
  <c r="H800" i="33"/>
  <c r="CJ794" i="33"/>
  <c r="H575" i="33"/>
  <c r="CG573" i="33"/>
  <c r="G761" i="33"/>
  <c r="CF759" i="33"/>
  <c r="K471" i="33"/>
  <c r="CI569" i="33"/>
  <c r="J573" i="33"/>
  <c r="K700" i="33"/>
  <c r="CE700" i="33"/>
  <c r="G793" i="33"/>
  <c r="CF791" i="33"/>
  <c r="CE602" i="33"/>
  <c r="K602" i="33"/>
  <c r="H765" i="33"/>
  <c r="CG761" i="33"/>
  <c r="CG793" i="33"/>
  <c r="H797" i="33"/>
  <c r="CE569" i="33"/>
  <c r="H697" i="33"/>
  <c r="CG695" i="33"/>
  <c r="H477" i="33"/>
  <c r="CG473" i="33"/>
  <c r="K705" i="33"/>
  <c r="CE705" i="33"/>
  <c r="CJ705" i="33" s="1"/>
  <c r="G509" i="33"/>
  <c r="CF505" i="33"/>
  <c r="K762" i="33"/>
  <c r="CE762" i="33"/>
  <c r="J473" i="33"/>
  <c r="CI471" i="33"/>
  <c r="H729" i="33"/>
  <c r="CG727" i="33"/>
  <c r="CE729" i="33"/>
  <c r="F733" i="33"/>
  <c r="CF727" i="33"/>
  <c r="G729" i="33"/>
  <c r="CH733" i="33"/>
  <c r="I735" i="33"/>
  <c r="CE441" i="33"/>
  <c r="CI733" i="33"/>
  <c r="J735" i="33"/>
  <c r="CF635" i="33"/>
  <c r="K635" i="33"/>
  <c r="CE603" i="33"/>
  <c r="K603" i="33"/>
  <c r="K826" i="33"/>
  <c r="CE826" i="33"/>
  <c r="F829" i="33"/>
  <c r="F704" i="33"/>
  <c r="CJ698" i="33"/>
  <c r="CE506" i="33"/>
  <c r="K506" i="33"/>
  <c r="CH535" i="33"/>
  <c r="I537" i="33"/>
  <c r="G473" i="33"/>
  <c r="CF471" i="33"/>
  <c r="E24" i="40"/>
  <c r="CE697" i="33"/>
  <c r="F701" i="33"/>
  <c r="CG665" i="33"/>
  <c r="H669" i="33"/>
  <c r="G601" i="33"/>
  <c r="CF599" i="33"/>
  <c r="O102" i="34" a="1"/>
  <c r="O102" i="34" s="1"/>
  <c r="CH665" i="33"/>
  <c r="I669" i="33"/>
  <c r="CE571" i="33"/>
  <c r="K571" i="33"/>
  <c r="CH471" i="33"/>
  <c r="I473" i="33"/>
  <c r="CJ827" i="33"/>
  <c r="F833" i="33"/>
  <c r="G633" i="33"/>
  <c r="CF631" i="33"/>
  <c r="CF795" i="33"/>
  <c r="K795" i="33"/>
  <c r="E25" i="40"/>
  <c r="CJ444" i="33"/>
  <c r="F450" i="33"/>
  <c r="CJ566" i="33"/>
  <c r="F572" i="33"/>
  <c r="CI509" i="33"/>
  <c r="J511" i="33"/>
  <c r="G703" i="33"/>
  <c r="CF701" i="33"/>
  <c r="F797" i="33"/>
  <c r="CE793" i="33"/>
  <c r="K770" i="33"/>
  <c r="CE770" i="33"/>
  <c r="CJ770" i="33" s="1"/>
  <c r="F605" i="33"/>
  <c r="CE601" i="33"/>
  <c r="CF535" i="33"/>
  <c r="G537" i="33"/>
  <c r="E20" i="40"/>
  <c r="K759" i="33"/>
  <c r="H639" i="33"/>
  <c r="CG637" i="33"/>
  <c r="F545" i="33"/>
  <c r="CJ539" i="33"/>
  <c r="H511" i="33"/>
  <c r="CG509" i="33"/>
  <c r="I515" i="33"/>
  <c r="CH511" i="33"/>
  <c r="CH515" i="33" s="1"/>
  <c r="O120" i="34" a="1"/>
  <c r="O120" i="34" s="1"/>
  <c r="J441" i="33"/>
  <c r="CI439" i="33"/>
  <c r="K475" i="33"/>
  <c r="CE475" i="33"/>
  <c r="CJ508" i="33"/>
  <c r="F514" i="33"/>
  <c r="CH791" i="33"/>
  <c r="I793" i="33"/>
  <c r="K793" i="33" s="1"/>
  <c r="K797" i="33" s="1"/>
  <c r="G825" i="33"/>
  <c r="CF823" i="33"/>
  <c r="CJ819" i="33"/>
  <c r="CJ823" i="33" s="1"/>
  <c r="E31" i="40"/>
  <c r="O168" i="34" a="1"/>
  <c r="O168" i="34" s="1"/>
  <c r="F442" i="33"/>
  <c r="CJ436" i="33"/>
  <c r="I767" i="33"/>
  <c r="CH765" i="33"/>
  <c r="G665" i="33"/>
  <c r="CF663" i="33"/>
  <c r="CJ757" i="33"/>
  <c r="F763" i="33"/>
  <c r="CH601" i="33"/>
  <c r="I605" i="33"/>
  <c r="CE503" i="33"/>
  <c r="CJ499" i="33"/>
  <c r="E21" i="40"/>
  <c r="F505" i="33"/>
  <c r="O108" i="34" a="1"/>
  <c r="O108" i="34" s="1"/>
  <c r="CI765" i="33"/>
  <c r="J767" i="33"/>
  <c r="G579" i="33"/>
  <c r="CF575" i="33"/>
  <c r="CF579" i="33" s="1"/>
  <c r="K732" i="33"/>
  <c r="CE732" i="33"/>
  <c r="F443" i="33"/>
  <c r="CJ437" i="33"/>
  <c r="CJ599" i="33"/>
  <c r="J703" i="33"/>
  <c r="CI701" i="33"/>
  <c r="H611" i="33"/>
  <c r="CG607" i="33"/>
  <c r="CG611" i="33" s="1"/>
  <c r="J633" i="33"/>
  <c r="CI631" i="33"/>
  <c r="F477" i="33"/>
  <c r="CE473" i="33"/>
  <c r="K473" i="33"/>
  <c r="CE759" i="33"/>
  <c r="F761" i="33"/>
  <c r="CJ755" i="33"/>
  <c r="E29" i="40"/>
  <c r="O156" i="34" a="1"/>
  <c r="O156" i="34" s="1"/>
  <c r="CH445" i="33"/>
  <c r="I447" i="33"/>
  <c r="F507" i="33"/>
  <c r="CJ501" i="33"/>
  <c r="O96" i="34" a="1"/>
  <c r="O96" i="34" s="1"/>
  <c r="K633" i="33"/>
  <c r="K637" i="33" s="1"/>
  <c r="CE633" i="33"/>
  <c r="F637" i="33"/>
  <c r="F537" i="33"/>
  <c r="CJ531" i="33"/>
  <c r="E22" i="40"/>
  <c r="CE535" i="33"/>
  <c r="O114" i="34" a="1"/>
  <c r="O114" i="34" s="1"/>
  <c r="I825" i="33"/>
  <c r="CH823" i="33"/>
  <c r="J825" i="33"/>
  <c r="CI823" i="33"/>
  <c r="CJ787" i="33"/>
  <c r="CJ791" i="33" s="1"/>
  <c r="O138" i="34" a="1"/>
  <c r="O138" i="34" s="1"/>
  <c r="F642" i="33"/>
  <c r="CJ636" i="33"/>
  <c r="J541" i="33"/>
  <c r="CI537" i="33"/>
  <c r="K599" i="33"/>
  <c r="G668" i="33"/>
  <c r="CJ662" i="33"/>
  <c r="CJ663" i="33" s="1"/>
  <c r="H447" i="33"/>
  <c r="CG445" i="33"/>
  <c r="O144" i="34" a="1"/>
  <c r="O144" i="34" s="1"/>
  <c r="E28" i="40"/>
  <c r="E19" i="40"/>
  <c r="CJ627" i="33"/>
  <c r="CJ631" i="33" s="1"/>
  <c r="CE567" i="33"/>
  <c r="E26" i="40"/>
  <c r="G445" i="33"/>
  <c r="CF441" i="33"/>
  <c r="H829" i="33"/>
  <c r="CG825" i="33"/>
  <c r="I697" i="33"/>
  <c r="D145" i="34" s="1" a="1"/>
  <c r="D145" i="34" s="1"/>
  <c r="CH695" i="33"/>
  <c r="F476" i="33"/>
  <c r="CJ470" i="33"/>
  <c r="CJ471" i="33" s="1"/>
  <c r="K666" i="33"/>
  <c r="CE666" i="33"/>
  <c r="CE828" i="33"/>
  <c r="K828" i="33"/>
  <c r="J601" i="33"/>
  <c r="K601" i="33" s="1"/>
  <c r="CI599" i="33"/>
  <c r="I569" i="33"/>
  <c r="CH567" i="33"/>
  <c r="E27" i="40"/>
  <c r="H543" i="33"/>
  <c r="CG541" i="33"/>
  <c r="CE831" i="33"/>
  <c r="CJ723" i="33"/>
  <c r="CJ727" i="33" s="1"/>
  <c r="CH639" i="33"/>
  <c r="CH643" i="33" s="1"/>
  <c r="I643" i="33"/>
  <c r="CJ435" i="33"/>
  <c r="CJ439" i="33" s="1"/>
  <c r="CJ563" i="33"/>
  <c r="CJ567" i="33" s="1"/>
  <c r="CJ564" i="33"/>
  <c r="F570" i="33"/>
  <c r="F573" i="33" s="1"/>
  <c r="F540" i="33"/>
  <c r="CJ534" i="33"/>
  <c r="CJ407" i="33"/>
  <c r="H413" i="33"/>
  <c r="CG409" i="33"/>
  <c r="I413" i="33"/>
  <c r="CH409" i="33"/>
  <c r="K410" i="33"/>
  <c r="CE410" i="33"/>
  <c r="G409" i="33"/>
  <c r="CF407" i="33"/>
  <c r="CE412" i="33"/>
  <c r="K412" i="33"/>
  <c r="K409" i="33"/>
  <c r="F413" i="33"/>
  <c r="D91" i="34" a="1"/>
  <c r="D91" i="34" s="1"/>
  <c r="CE409" i="33"/>
  <c r="K411" i="33"/>
  <c r="CE411" i="33"/>
  <c r="CI409" i="33"/>
  <c r="J413" i="33"/>
  <c r="E18" i="40"/>
  <c r="K377" i="33"/>
  <c r="F381" i="33"/>
  <c r="D85" i="34" a="1"/>
  <c r="D85" i="34" s="1"/>
  <c r="CE377" i="33"/>
  <c r="CJ375" i="33"/>
  <c r="K379" i="33"/>
  <c r="CE379" i="33"/>
  <c r="CI377" i="33"/>
  <c r="J381" i="33"/>
  <c r="CE380" i="33"/>
  <c r="K380" i="33"/>
  <c r="G381" i="33"/>
  <c r="CF377" i="33"/>
  <c r="H381" i="33"/>
  <c r="CG377" i="33"/>
  <c r="K378" i="33"/>
  <c r="CE378" i="33"/>
  <c r="I381" i="33"/>
  <c r="CH377" i="33"/>
  <c r="CE348" i="33"/>
  <c r="K348" i="33"/>
  <c r="I349" i="33"/>
  <c r="CH345" i="33"/>
  <c r="D397" i="34"/>
  <c r="G345" i="33"/>
  <c r="CF343" i="33"/>
  <c r="H349" i="33"/>
  <c r="CG345" i="33"/>
  <c r="K346" i="33"/>
  <c r="CE346" i="33"/>
  <c r="CJ341" i="33"/>
  <c r="CJ343" i="33" s="1"/>
  <c r="F347" i="33"/>
  <c r="CI345" i="33"/>
  <c r="J349" i="33"/>
  <c r="CE345" i="33"/>
  <c r="F317" i="33"/>
  <c r="CE313" i="33"/>
  <c r="G313" i="33"/>
  <c r="CF311" i="33"/>
  <c r="J319" i="33"/>
  <c r="CI317" i="33"/>
  <c r="I317" i="33"/>
  <c r="CH313" i="33"/>
  <c r="H317" i="33"/>
  <c r="CG313" i="33"/>
  <c r="K315" i="33"/>
  <c r="CE315" i="33"/>
  <c r="CE316" i="33"/>
  <c r="K316" i="33"/>
  <c r="K314" i="33"/>
  <c r="CE314" i="33"/>
  <c r="H285" i="33"/>
  <c r="CG281" i="33"/>
  <c r="I285" i="33"/>
  <c r="CH281" i="33"/>
  <c r="CI281" i="33"/>
  <c r="J285" i="33"/>
  <c r="K282" i="33"/>
  <c r="CE282" i="33"/>
  <c r="CJ275" i="33"/>
  <c r="CJ279" i="33" s="1"/>
  <c r="E14" i="40"/>
  <c r="O66" i="34" a="1"/>
  <c r="O66" i="34" s="1"/>
  <c r="F281" i="33"/>
  <c r="CE279" i="33"/>
  <c r="CE284" i="33"/>
  <c r="K284" i="33"/>
  <c r="G285" i="33"/>
  <c r="CF281" i="33"/>
  <c r="K283" i="33"/>
  <c r="CE283" i="33"/>
  <c r="G249" i="33"/>
  <c r="CF247" i="33"/>
  <c r="K250" i="33"/>
  <c r="CE250" i="33"/>
  <c r="E13" i="40"/>
  <c r="CE252" i="33"/>
  <c r="K252" i="33"/>
  <c r="K251" i="33"/>
  <c r="CE251" i="33"/>
  <c r="O60" i="34" a="1"/>
  <c r="O60" i="34" s="1"/>
  <c r="CJ243" i="33"/>
  <c r="CJ247" i="33" s="1"/>
  <c r="I253" i="33"/>
  <c r="CH249" i="33"/>
  <c r="CI249" i="33"/>
  <c r="J253" i="33"/>
  <c r="H253" i="33"/>
  <c r="CG249" i="33"/>
  <c r="K249" i="33"/>
  <c r="F253" i="33"/>
  <c r="CE249" i="33"/>
  <c r="K219" i="33"/>
  <c r="CE219" i="33"/>
  <c r="CE220" i="33"/>
  <c r="K220" i="33"/>
  <c r="K218" i="33"/>
  <c r="CE218" i="33"/>
  <c r="I221" i="33"/>
  <c r="CH217" i="33"/>
  <c r="F221" i="33"/>
  <c r="CE217" i="33"/>
  <c r="G217" i="33"/>
  <c r="CF215" i="33"/>
  <c r="CJ211" i="33"/>
  <c r="CJ215" i="33" s="1"/>
  <c r="CI217" i="33"/>
  <c r="J221" i="33"/>
  <c r="H221" i="33"/>
  <c r="CG217" i="33"/>
  <c r="E12" i="40"/>
  <c r="F192" i="33"/>
  <c r="CJ186" i="33"/>
  <c r="J189" i="33"/>
  <c r="CI185" i="33"/>
  <c r="G185" i="33"/>
  <c r="CF183" i="33"/>
  <c r="E11" i="40"/>
  <c r="O48" i="34" a="1"/>
  <c r="O48" i="34" s="1"/>
  <c r="F185" i="33"/>
  <c r="CJ179" i="33"/>
  <c r="CJ183" i="33" s="1"/>
  <c r="CE183" i="33"/>
  <c r="I189" i="33"/>
  <c r="CH185" i="33"/>
  <c r="K183" i="33"/>
  <c r="F187" i="33"/>
  <c r="CJ181" i="33"/>
  <c r="K188" i="33"/>
  <c r="CE188" i="33"/>
  <c r="CH29" i="33"/>
  <c r="I31" i="33"/>
  <c r="CI25" i="33"/>
  <c r="J29" i="33"/>
  <c r="F32" i="33"/>
  <c r="H25" i="33"/>
  <c r="CG23" i="33"/>
  <c r="AR9" i="37"/>
  <c r="D391" i="34"/>
  <c r="K23" i="33"/>
  <c r="F34" i="33"/>
  <c r="CJ28" i="33"/>
  <c r="G27" i="33"/>
  <c r="CJ21" i="33"/>
  <c r="CE23" i="33"/>
  <c r="F25" i="33"/>
  <c r="E6" i="40"/>
  <c r="O18" i="34" a="1"/>
  <c r="O18" i="34" s="1"/>
  <c r="CJ19" i="33"/>
  <c r="F33" i="33"/>
  <c r="CF25" i="33"/>
  <c r="G26" i="33"/>
  <c r="G29" i="33" s="1"/>
  <c r="CJ20" i="33"/>
  <c r="CF23" i="33"/>
  <c r="AP11" i="36" l="1"/>
  <c r="AK65" i="36"/>
  <c r="AR11" i="36"/>
  <c r="AQ11" i="36"/>
  <c r="AO11" i="36"/>
  <c r="AO12" i="36" s="1"/>
  <c r="F1954" i="33"/>
  <c r="CJ1948" i="33"/>
  <c r="CF1945" i="33"/>
  <c r="G1949" i="33"/>
  <c r="F1953" i="33"/>
  <c r="CJ1947" i="33"/>
  <c r="H1949" i="33"/>
  <c r="CG1945" i="33"/>
  <c r="CH1951" i="33"/>
  <c r="CH1955" i="33" s="1"/>
  <c r="I1955" i="33"/>
  <c r="J1949" i="33"/>
  <c r="CI1945" i="33"/>
  <c r="CE1945" i="33"/>
  <c r="K1945" i="33"/>
  <c r="F1949" i="33"/>
  <c r="CE1946" i="33"/>
  <c r="K1946" i="33"/>
  <c r="CE1914" i="33"/>
  <c r="K1914" i="33"/>
  <c r="F1917" i="33"/>
  <c r="CJ1911" i="33"/>
  <c r="CH1917" i="33"/>
  <c r="I1919" i="33"/>
  <c r="CF1913" i="33"/>
  <c r="G1917" i="33"/>
  <c r="K1913" i="33"/>
  <c r="H1917" i="33"/>
  <c r="CG1913" i="33"/>
  <c r="CE1919" i="33"/>
  <c r="J1917" i="33"/>
  <c r="CI1913" i="33"/>
  <c r="F1922" i="33"/>
  <c r="CJ1916" i="33"/>
  <c r="F1921" i="33"/>
  <c r="CJ1915" i="33"/>
  <c r="CF1881" i="33"/>
  <c r="G1885" i="33"/>
  <c r="H1885" i="33"/>
  <c r="CG1881" i="33"/>
  <c r="CE1881" i="33"/>
  <c r="K1881" i="33"/>
  <c r="K1885" i="33" s="1"/>
  <c r="F1885" i="33"/>
  <c r="CH1885" i="33"/>
  <c r="I1887" i="33"/>
  <c r="F1889" i="33"/>
  <c r="CJ1883" i="33"/>
  <c r="J1887" i="33"/>
  <c r="CI1885" i="33"/>
  <c r="F1890" i="33"/>
  <c r="CJ1884" i="33"/>
  <c r="CE1882" i="33"/>
  <c r="K1882" i="33"/>
  <c r="F1858" i="33"/>
  <c r="CJ1852" i="33"/>
  <c r="CE1850" i="33"/>
  <c r="K1850" i="33"/>
  <c r="CH1853" i="33"/>
  <c r="I1855" i="33"/>
  <c r="H1853" i="33"/>
  <c r="CG1849" i="33"/>
  <c r="CF1849" i="33"/>
  <c r="G1853" i="33"/>
  <c r="F1857" i="33"/>
  <c r="CJ1851" i="33"/>
  <c r="CJ1847" i="33"/>
  <c r="CI1855" i="33"/>
  <c r="CI1859" i="33" s="1"/>
  <c r="J1859" i="33"/>
  <c r="CE1849" i="33"/>
  <c r="K1849" i="33"/>
  <c r="F1853" i="33"/>
  <c r="F1824" i="33"/>
  <c r="CJ1818" i="33"/>
  <c r="CH1821" i="33"/>
  <c r="I1823" i="33"/>
  <c r="CE1817" i="33"/>
  <c r="K1817" i="33"/>
  <c r="K1821" i="33" s="1"/>
  <c r="F1821" i="33"/>
  <c r="F1825" i="33"/>
  <c r="CJ1819" i="33"/>
  <c r="H1821" i="33"/>
  <c r="CG1817" i="33"/>
  <c r="CF1817" i="33"/>
  <c r="G1821" i="33"/>
  <c r="J1823" i="33"/>
  <c r="CI1821" i="33"/>
  <c r="CE1826" i="33"/>
  <c r="CJ1826" i="33" s="1"/>
  <c r="K1826" i="33"/>
  <c r="CE1794" i="33"/>
  <c r="CJ1794" i="33" s="1"/>
  <c r="K1794" i="33"/>
  <c r="CH1789" i="33"/>
  <c r="I1791" i="33"/>
  <c r="H1789" i="33"/>
  <c r="CG1785" i="33"/>
  <c r="F1793" i="33"/>
  <c r="CJ1787" i="33"/>
  <c r="F1792" i="33"/>
  <c r="CJ1786" i="33"/>
  <c r="CF1785" i="33"/>
  <c r="G1789" i="33"/>
  <c r="CE1785" i="33"/>
  <c r="K1785" i="33"/>
  <c r="K1789" i="33" s="1"/>
  <c r="F1789" i="33"/>
  <c r="J1791" i="33"/>
  <c r="CI1789" i="33"/>
  <c r="CF1753" i="33"/>
  <c r="G1757" i="33"/>
  <c r="CH1757" i="33"/>
  <c r="I1759" i="33"/>
  <c r="J1759" i="33"/>
  <c r="CI1757" i="33"/>
  <c r="F1761" i="33"/>
  <c r="CJ1755" i="33"/>
  <c r="CE1753" i="33"/>
  <c r="K1753" i="33"/>
  <c r="F1757" i="33"/>
  <c r="F1762" i="33"/>
  <c r="CJ1756" i="33"/>
  <c r="CE1754" i="33"/>
  <c r="K1754" i="33"/>
  <c r="H1757" i="33"/>
  <c r="CG1753" i="33"/>
  <c r="J1725" i="33"/>
  <c r="CI1721" i="33"/>
  <c r="CF1721" i="33"/>
  <c r="G1725" i="33"/>
  <c r="H1725" i="33"/>
  <c r="CG1721" i="33"/>
  <c r="CE1722" i="33"/>
  <c r="K1722" i="33"/>
  <c r="F1729" i="33"/>
  <c r="CJ1723" i="33"/>
  <c r="CJ1719" i="33"/>
  <c r="F1730" i="33"/>
  <c r="CJ1724" i="33"/>
  <c r="CE1721" i="33"/>
  <c r="K1721" i="33"/>
  <c r="F1725" i="33"/>
  <c r="CH1725" i="33"/>
  <c r="I1727" i="33"/>
  <c r="F1698" i="33"/>
  <c r="CJ1692" i="33"/>
  <c r="CE1693" i="33"/>
  <c r="F1695" i="33"/>
  <c r="CH1693" i="33"/>
  <c r="I1695" i="33"/>
  <c r="F1697" i="33"/>
  <c r="CJ1691" i="33"/>
  <c r="CE1690" i="33"/>
  <c r="K1690" i="33"/>
  <c r="K1693" i="33" s="1"/>
  <c r="CF1689" i="33"/>
  <c r="G1693" i="33"/>
  <c r="H1693" i="33"/>
  <c r="CG1689" i="33"/>
  <c r="J1695" i="33"/>
  <c r="CI1693" i="33"/>
  <c r="F1693" i="33"/>
  <c r="CF1657" i="33"/>
  <c r="G1661" i="33"/>
  <c r="CH1661" i="33"/>
  <c r="I1663" i="33"/>
  <c r="F1666" i="33"/>
  <c r="CJ1660" i="33"/>
  <c r="F1665" i="33"/>
  <c r="CJ1659" i="33"/>
  <c r="H1661" i="33"/>
  <c r="CG1657" i="33"/>
  <c r="CE1657" i="33"/>
  <c r="K1657" i="33"/>
  <c r="K1661" i="33" s="1"/>
  <c r="F1661" i="33"/>
  <c r="J1663" i="33"/>
  <c r="CI1661" i="33"/>
  <c r="CE1658" i="33"/>
  <c r="K1658" i="33"/>
  <c r="CJ1623" i="33"/>
  <c r="CF1625" i="33"/>
  <c r="G1629" i="33"/>
  <c r="CE1626" i="33"/>
  <c r="K1626" i="33"/>
  <c r="F1634" i="33"/>
  <c r="CJ1628" i="33"/>
  <c r="CH1631" i="33"/>
  <c r="CH1635" i="33" s="1"/>
  <c r="I1635" i="33"/>
  <c r="CE1625" i="33"/>
  <c r="K1625" i="33"/>
  <c r="F1629" i="33"/>
  <c r="F1633" i="33"/>
  <c r="CJ1627" i="33"/>
  <c r="J1631" i="33"/>
  <c r="CI1629" i="33"/>
  <c r="H1629" i="33"/>
  <c r="CG1625" i="33"/>
  <c r="F1602" i="33"/>
  <c r="CJ1596" i="33"/>
  <c r="J1599" i="33"/>
  <c r="CI1597" i="33"/>
  <c r="CH1597" i="33"/>
  <c r="I1599" i="33"/>
  <c r="CE1599" i="33"/>
  <c r="CF1593" i="33"/>
  <c r="G1597" i="33"/>
  <c r="K1593" i="33"/>
  <c r="F1601" i="33"/>
  <c r="CJ1595" i="33"/>
  <c r="CE1594" i="33"/>
  <c r="K1594" i="33"/>
  <c r="F1597" i="33"/>
  <c r="H1597" i="33"/>
  <c r="CG1593" i="33"/>
  <c r="CE1561" i="33"/>
  <c r="K1561" i="33"/>
  <c r="K1565" i="33" s="1"/>
  <c r="F1565" i="33"/>
  <c r="H1565" i="33"/>
  <c r="CG1561" i="33"/>
  <c r="CH1565" i="33"/>
  <c r="I1567" i="33"/>
  <c r="CE1570" i="33"/>
  <c r="CJ1570" i="33" s="1"/>
  <c r="K1570" i="33"/>
  <c r="CF1561" i="33"/>
  <c r="G1565" i="33"/>
  <c r="F1568" i="33"/>
  <c r="CJ1562" i="33"/>
  <c r="F1569" i="33"/>
  <c r="CJ1563" i="33"/>
  <c r="J1567" i="33"/>
  <c r="CI1565" i="33"/>
  <c r="H1533" i="33"/>
  <c r="CG1529" i="33"/>
  <c r="CF1529" i="33"/>
  <c r="G1533" i="33"/>
  <c r="F1538" i="33"/>
  <c r="CJ1532" i="33"/>
  <c r="CE1530" i="33"/>
  <c r="K1530" i="33"/>
  <c r="CH1533" i="33"/>
  <c r="I1535" i="33"/>
  <c r="CJ1527" i="33"/>
  <c r="CE1529" i="33"/>
  <c r="K1529" i="33"/>
  <c r="F1533" i="33"/>
  <c r="F1537" i="33"/>
  <c r="CJ1531" i="33"/>
  <c r="J1533" i="33"/>
  <c r="CI1529" i="33"/>
  <c r="CE1498" i="33"/>
  <c r="K1498" i="33"/>
  <c r="CJ1495" i="33"/>
  <c r="CE1497" i="33"/>
  <c r="K1497" i="33"/>
  <c r="K1501" i="33" s="1"/>
  <c r="F1501" i="33"/>
  <c r="CF1497" i="33"/>
  <c r="G1501" i="33"/>
  <c r="J1503" i="33"/>
  <c r="CI1501" i="33"/>
  <c r="F1506" i="33"/>
  <c r="CJ1500" i="33"/>
  <c r="H1501" i="33"/>
  <c r="CG1497" i="33"/>
  <c r="CH1501" i="33"/>
  <c r="I1503" i="33"/>
  <c r="F1505" i="33"/>
  <c r="CJ1499" i="33"/>
  <c r="H1469" i="33"/>
  <c r="CG1465" i="33"/>
  <c r="CE1465" i="33"/>
  <c r="K1465" i="33"/>
  <c r="K1469" i="33" s="1"/>
  <c r="F1469" i="33"/>
  <c r="CF1465" i="33"/>
  <c r="G1469" i="33"/>
  <c r="CH1469" i="33"/>
  <c r="I1471" i="33"/>
  <c r="F1474" i="33"/>
  <c r="CJ1468" i="33"/>
  <c r="J1471" i="33"/>
  <c r="CI1469" i="33"/>
  <c r="F1473" i="33"/>
  <c r="CJ1467" i="33"/>
  <c r="CE1466" i="33"/>
  <c r="K1466" i="33"/>
  <c r="F1442" i="33"/>
  <c r="CJ1436" i="33"/>
  <c r="H1437" i="33"/>
  <c r="CG1433" i="33"/>
  <c r="CF1433" i="33"/>
  <c r="G1437" i="33"/>
  <c r="CE1433" i="33"/>
  <c r="K1433" i="33"/>
  <c r="K1437" i="33" s="1"/>
  <c r="F1437" i="33"/>
  <c r="J1439" i="33"/>
  <c r="CI1437" i="33"/>
  <c r="F1441" i="33"/>
  <c r="CJ1435" i="33"/>
  <c r="CE1434" i="33"/>
  <c r="K1434" i="33"/>
  <c r="CH1437" i="33"/>
  <c r="I1439" i="33"/>
  <c r="CJ1431" i="33"/>
  <c r="CJ1399" i="33"/>
  <c r="CE1401" i="33"/>
  <c r="K1401" i="33"/>
  <c r="K1405" i="33" s="1"/>
  <c r="F1405" i="33"/>
  <c r="H1405" i="33"/>
  <c r="CG1401" i="33"/>
  <c r="CH1405" i="33"/>
  <c r="I1407" i="33"/>
  <c r="CE1402" i="33"/>
  <c r="K1402" i="33"/>
  <c r="J1405" i="33"/>
  <c r="CI1401" i="33"/>
  <c r="F1409" i="33"/>
  <c r="CJ1403" i="33"/>
  <c r="CF1401" i="33"/>
  <c r="G1405" i="33"/>
  <c r="F1410" i="33"/>
  <c r="CJ1404" i="33"/>
  <c r="H1373" i="33"/>
  <c r="CG1369" i="33"/>
  <c r="CE1369" i="33"/>
  <c r="K1369" i="33"/>
  <c r="F1373" i="33"/>
  <c r="CE1370" i="33"/>
  <c r="K1370" i="33"/>
  <c r="F1378" i="33"/>
  <c r="CJ1372" i="33"/>
  <c r="F1377" i="33"/>
  <c r="CJ1371" i="33"/>
  <c r="CF1369" i="33"/>
  <c r="G1373" i="33"/>
  <c r="CH1373" i="33"/>
  <c r="I1375" i="33"/>
  <c r="J1373" i="33"/>
  <c r="CI1369" i="33"/>
  <c r="D361" i="34" a="1"/>
  <c r="D361" i="34" s="1"/>
  <c r="D355" i="34" a="1"/>
  <c r="D355" i="34" s="1"/>
  <c r="F63" i="40"/>
  <c r="F65" i="40"/>
  <c r="D367" i="34" a="1"/>
  <c r="D367" i="34" s="1"/>
  <c r="F62" i="40"/>
  <c r="O355" i="34" a="1"/>
  <c r="O355" i="34" s="1"/>
  <c r="D337" i="34" a="1"/>
  <c r="D337" i="34" s="1"/>
  <c r="D331" i="34" a="1"/>
  <c r="D331" i="34" s="1"/>
  <c r="D379" i="34" a="1"/>
  <c r="D379" i="34" s="1"/>
  <c r="H1283" i="33"/>
  <c r="CG1279" i="33"/>
  <c r="CG1283" i="33" s="1"/>
  <c r="J1277" i="33"/>
  <c r="CI1273" i="33"/>
  <c r="CJ1303" i="33"/>
  <c r="K1340" i="33"/>
  <c r="CE1340" i="33"/>
  <c r="D295" i="34" a="1"/>
  <c r="D295" i="34" s="1"/>
  <c r="D319" i="34" a="1"/>
  <c r="D319" i="34" s="1"/>
  <c r="F1312" i="33"/>
  <c r="CJ1306" i="33"/>
  <c r="D325" i="34" a="1"/>
  <c r="D325" i="34" s="1"/>
  <c r="CI1337" i="33"/>
  <c r="J1341" i="33"/>
  <c r="H1345" i="33"/>
  <c r="CJ1339" i="33"/>
  <c r="CH1277" i="33"/>
  <c r="I1279" i="33"/>
  <c r="K1275" i="33"/>
  <c r="CE1275" i="33"/>
  <c r="H1315" i="33"/>
  <c r="CG1311" i="33"/>
  <c r="CG1315" i="33" s="1"/>
  <c r="D289" i="34" a="1"/>
  <c r="D289" i="34" s="1"/>
  <c r="G1309" i="33"/>
  <c r="CF1305" i="33"/>
  <c r="K1305" i="33"/>
  <c r="D259" i="34" a="1"/>
  <c r="D259" i="34" s="1"/>
  <c r="J1309" i="33"/>
  <c r="CI1305" i="33"/>
  <c r="D313" i="34" a="1"/>
  <c r="D313" i="34" s="1"/>
  <c r="F1313" i="33"/>
  <c r="CJ1307" i="33"/>
  <c r="D277" i="34" a="1"/>
  <c r="D277" i="34" s="1"/>
  <c r="K1277" i="33"/>
  <c r="F53" i="40"/>
  <c r="I1347" i="33"/>
  <c r="CH1343" i="33"/>
  <c r="CH1347" i="33" s="1"/>
  <c r="CJ1335" i="33"/>
  <c r="F1279" i="33"/>
  <c r="CE1277" i="33"/>
  <c r="O253" i="34" a="1"/>
  <c r="O253" i="34" s="1"/>
  <c r="K1308" i="33"/>
  <c r="CE1308" i="33"/>
  <c r="D283" i="34" a="1"/>
  <c r="D283" i="34" s="1"/>
  <c r="CG1337" i="33"/>
  <c r="H1341" i="33"/>
  <c r="K1337" i="33"/>
  <c r="D265" i="34" a="1"/>
  <c r="D265" i="34" s="1"/>
  <c r="F1277" i="33"/>
  <c r="CH1311" i="33"/>
  <c r="CH1315" i="33" s="1"/>
  <c r="I1315" i="33"/>
  <c r="CE1338" i="33"/>
  <c r="K1338" i="33"/>
  <c r="F1341" i="33"/>
  <c r="O409" i="34"/>
  <c r="CE1343" i="33"/>
  <c r="K1280" i="33"/>
  <c r="CE1280" i="33"/>
  <c r="CJ1280" i="33" s="1"/>
  <c r="D307" i="34" a="1"/>
  <c r="D307" i="34" s="1"/>
  <c r="D271" i="34" a="1"/>
  <c r="D271" i="34" s="1"/>
  <c r="O295" i="34" a="1"/>
  <c r="O295" i="34" s="1"/>
  <c r="G1277" i="33"/>
  <c r="CF1273" i="33"/>
  <c r="F45" i="40" s="1"/>
  <c r="CG1023" i="33"/>
  <c r="CG1027" i="33" s="1"/>
  <c r="H1027" i="33"/>
  <c r="I1087" i="33"/>
  <c r="CH1085" i="33"/>
  <c r="CI1247" i="33"/>
  <c r="CI1251" i="33" s="1"/>
  <c r="J1251" i="33"/>
  <c r="K858" i="33"/>
  <c r="K861" i="33" s="1"/>
  <c r="CE858" i="33"/>
  <c r="CE861" i="33" s="1"/>
  <c r="F1184" i="33"/>
  <c r="CJ1178" i="33"/>
  <c r="CH991" i="33"/>
  <c r="CH995" i="33" s="1"/>
  <c r="I995" i="33"/>
  <c r="CG953" i="33"/>
  <c r="H957" i="33"/>
  <c r="CI1021" i="33"/>
  <c r="J1023" i="33"/>
  <c r="CE1082" i="33"/>
  <c r="K1082" i="33"/>
  <c r="D223" i="34" a="1"/>
  <c r="D223" i="34" s="1"/>
  <c r="CF953" i="33"/>
  <c r="G957" i="33"/>
  <c r="CF893" i="33"/>
  <c r="G895" i="33"/>
  <c r="CI991" i="33"/>
  <c r="CI995" i="33" s="1"/>
  <c r="J995" i="33"/>
  <c r="J1181" i="33"/>
  <c r="CI1177" i="33"/>
  <c r="I957" i="33"/>
  <c r="CH953" i="33"/>
  <c r="I1183" i="33"/>
  <c r="CH1181" i="33"/>
  <c r="CE1146" i="33"/>
  <c r="K1146" i="33"/>
  <c r="K1149" i="33" s="1"/>
  <c r="CE957" i="33"/>
  <c r="F959" i="33"/>
  <c r="F35" i="40"/>
  <c r="CE1018" i="33"/>
  <c r="K1018" i="33"/>
  <c r="F1021" i="33"/>
  <c r="CE1247" i="33"/>
  <c r="CJ1113" i="33"/>
  <c r="F1119" i="33"/>
  <c r="CI889" i="33"/>
  <c r="J893" i="33"/>
  <c r="D175" i="34" a="1"/>
  <c r="D175" i="34" s="1"/>
  <c r="K921" i="33"/>
  <c r="F925" i="33"/>
  <c r="CE921" i="33"/>
  <c r="D187" i="34" a="1"/>
  <c r="D187" i="34" s="1"/>
  <c r="K897" i="33"/>
  <c r="CE897" i="33"/>
  <c r="CJ897" i="33" s="1"/>
  <c r="H1215" i="33"/>
  <c r="CG1213" i="33"/>
  <c r="CF1215" i="33"/>
  <c r="CF1219" i="33" s="1"/>
  <c r="G1219" i="33"/>
  <c r="CJ983" i="33"/>
  <c r="F1218" i="33"/>
  <c r="CJ1212" i="33"/>
  <c r="CI921" i="33"/>
  <c r="J925" i="33"/>
  <c r="F898" i="33"/>
  <c r="CJ892" i="33"/>
  <c r="CJ857" i="33"/>
  <c r="F863" i="33"/>
  <c r="O175" i="34" a="1"/>
  <c r="O175" i="34" s="1"/>
  <c r="I1215" i="33"/>
  <c r="CH1213" i="33"/>
  <c r="CF1149" i="33"/>
  <c r="G1151" i="33"/>
  <c r="CE985" i="33"/>
  <c r="F989" i="33"/>
  <c r="K985" i="33"/>
  <c r="D199" i="34" a="1"/>
  <c r="D199" i="34" s="1"/>
  <c r="CE865" i="33"/>
  <c r="CJ865" i="33" s="1"/>
  <c r="K865" i="33"/>
  <c r="CI1049" i="33"/>
  <c r="J1053" i="33"/>
  <c r="CI1081" i="33"/>
  <c r="J1085" i="33"/>
  <c r="K1211" i="33"/>
  <c r="CE1211" i="33"/>
  <c r="F928" i="33"/>
  <c r="CJ922" i="33"/>
  <c r="H1183" i="33"/>
  <c r="CG1181" i="33"/>
  <c r="H1245" i="33"/>
  <c r="CG1241" i="33"/>
  <c r="D247" i="34" a="1"/>
  <c r="D247" i="34" s="1"/>
  <c r="K1241" i="33"/>
  <c r="K1245" i="33" s="1"/>
  <c r="J863" i="33"/>
  <c r="CI861" i="33"/>
  <c r="K1180" i="33"/>
  <c r="CE1180" i="33"/>
  <c r="K1056" i="33"/>
  <c r="CE1056" i="33"/>
  <c r="CJ1056" i="33" s="1"/>
  <c r="CJ1175" i="33"/>
  <c r="I1247" i="33"/>
  <c r="CH1245" i="33"/>
  <c r="K1243" i="33"/>
  <c r="CE1243" i="33"/>
  <c r="F1245" i="33"/>
  <c r="K860" i="33"/>
  <c r="CE860" i="33"/>
  <c r="CI959" i="33"/>
  <c r="CI963" i="33" s="1"/>
  <c r="J963" i="33"/>
  <c r="K1248" i="33"/>
  <c r="CE1248" i="33"/>
  <c r="CJ1248" i="33" s="1"/>
  <c r="CJ1207" i="33"/>
  <c r="F893" i="33"/>
  <c r="CE889" i="33"/>
  <c r="K889" i="33"/>
  <c r="D181" i="34" a="1"/>
  <c r="D181" i="34" s="1"/>
  <c r="G1021" i="33"/>
  <c r="CF1017" i="33"/>
  <c r="K1017" i="33"/>
  <c r="D205" i="34" a="1"/>
  <c r="D205" i="34" s="1"/>
  <c r="CH861" i="33"/>
  <c r="I863" i="33"/>
  <c r="CE1023" i="33"/>
  <c r="K1020" i="33"/>
  <c r="CE1020" i="33"/>
  <c r="CE1052" i="33"/>
  <c r="K1052" i="33"/>
  <c r="CG927" i="33"/>
  <c r="CG931" i="33" s="1"/>
  <c r="H931" i="33"/>
  <c r="K1081" i="33"/>
  <c r="K1085" i="33" s="1"/>
  <c r="F1085" i="33"/>
  <c r="CE1081" i="33"/>
  <c r="D217" i="34" a="1"/>
  <c r="D217" i="34" s="1"/>
  <c r="CG1081" i="33"/>
  <c r="H1085" i="33"/>
  <c r="F861" i="33"/>
  <c r="CE994" i="33"/>
  <c r="CJ994" i="33" s="1"/>
  <c r="K994" i="33"/>
  <c r="K1148" i="33"/>
  <c r="CE1148" i="33"/>
  <c r="I925" i="33"/>
  <c r="CH921" i="33"/>
  <c r="CE1177" i="33"/>
  <c r="K1177" i="33"/>
  <c r="K1181" i="33" s="1"/>
  <c r="F1181" i="33"/>
  <c r="D235" i="34" a="1"/>
  <c r="D235" i="34" s="1"/>
  <c r="CG889" i="33"/>
  <c r="H893" i="33"/>
  <c r="F1057" i="33"/>
  <c r="CJ1051" i="33"/>
  <c r="K1179" i="33"/>
  <c r="CE1179" i="33"/>
  <c r="F1149" i="33"/>
  <c r="I1149" i="33"/>
  <c r="CH1145" i="33"/>
  <c r="O229" i="34" s="1" a="1"/>
  <c r="O229" i="34" s="1"/>
  <c r="CE1209" i="33"/>
  <c r="F1213" i="33"/>
  <c r="K1209" i="33"/>
  <c r="D241" i="34" a="1"/>
  <c r="D241" i="34" s="1"/>
  <c r="CE1084" i="33"/>
  <c r="K1084" i="33"/>
  <c r="CE1116" i="33"/>
  <c r="CE1117" i="33" s="1"/>
  <c r="K1116" i="33"/>
  <c r="CE1121" i="33"/>
  <c r="CJ1121" i="33" s="1"/>
  <c r="K1121" i="33"/>
  <c r="CJ1079" i="33"/>
  <c r="H1053" i="33"/>
  <c r="CG1049" i="33"/>
  <c r="G1091" i="33"/>
  <c r="CF1087" i="33"/>
  <c r="CF1091" i="33" s="1"/>
  <c r="CE890" i="33"/>
  <c r="K890" i="33"/>
  <c r="CE1114" i="33"/>
  <c r="K1114" i="33"/>
  <c r="K1117" i="33" s="1"/>
  <c r="K923" i="33"/>
  <c r="CE923" i="33"/>
  <c r="G1123" i="33"/>
  <c r="CF1119" i="33"/>
  <c r="CF1123" i="33" s="1"/>
  <c r="CF1053" i="33"/>
  <c r="G1055" i="33"/>
  <c r="J1119" i="33"/>
  <c r="CI1117" i="33"/>
  <c r="H861" i="33"/>
  <c r="CG857" i="33"/>
  <c r="CF985" i="33"/>
  <c r="G989" i="33"/>
  <c r="J1215" i="33"/>
  <c r="CI1213" i="33"/>
  <c r="I1119" i="33"/>
  <c r="CH1117" i="33"/>
  <c r="CF1025" i="33"/>
  <c r="CJ1025" i="33" s="1"/>
  <c r="K1025" i="33"/>
  <c r="G1183" i="33"/>
  <c r="CF1181" i="33"/>
  <c r="CH889" i="33"/>
  <c r="I893" i="33"/>
  <c r="CF925" i="33"/>
  <c r="G927" i="33"/>
  <c r="CH1023" i="33"/>
  <c r="CH1027" i="33" s="1"/>
  <c r="I1027" i="33"/>
  <c r="F1151" i="33"/>
  <c r="CJ1145" i="33"/>
  <c r="F1053" i="33"/>
  <c r="CE1049" i="33"/>
  <c r="K1049" i="33"/>
  <c r="D211" i="34" a="1"/>
  <c r="D211" i="34" s="1"/>
  <c r="F961" i="33"/>
  <c r="CJ955" i="33"/>
  <c r="CE962" i="33"/>
  <c r="CJ962" i="33" s="1"/>
  <c r="K962" i="33"/>
  <c r="CJ924" i="33"/>
  <c r="F930" i="33"/>
  <c r="CF987" i="33"/>
  <c r="K987" i="33"/>
  <c r="K953" i="33"/>
  <c r="K957" i="33" s="1"/>
  <c r="K960" i="33"/>
  <c r="CE960" i="33"/>
  <c r="CJ960" i="33" s="1"/>
  <c r="CF861" i="33"/>
  <c r="G863" i="33"/>
  <c r="F639" i="33"/>
  <c r="CE637" i="33"/>
  <c r="F481" i="33"/>
  <c r="CJ475" i="33"/>
  <c r="CG511" i="33"/>
  <c r="CG515" i="33" s="1"/>
  <c r="H515" i="33"/>
  <c r="F799" i="33"/>
  <c r="CE797" i="33"/>
  <c r="I671" i="33"/>
  <c r="CH669" i="33"/>
  <c r="K697" i="33"/>
  <c r="K701" i="33" s="1"/>
  <c r="CJ506" i="33"/>
  <c r="F512" i="33"/>
  <c r="I739" i="33"/>
  <c r="CH735" i="33"/>
  <c r="CH739" i="33" s="1"/>
  <c r="F575" i="33"/>
  <c r="G765" i="33"/>
  <c r="CF761" i="33"/>
  <c r="F480" i="33"/>
  <c r="CJ474" i="33"/>
  <c r="H831" i="33"/>
  <c r="CG829" i="33"/>
  <c r="CE443" i="33"/>
  <c r="K443" i="33"/>
  <c r="F509" i="33"/>
  <c r="CE505" i="33"/>
  <c r="K505" i="33"/>
  <c r="K509" i="33" s="1"/>
  <c r="D109" i="34" a="1"/>
  <c r="D109" i="34" s="1"/>
  <c r="D127" i="34" a="1"/>
  <c r="D127" i="34" s="1"/>
  <c r="K450" i="33"/>
  <c r="CE450" i="33"/>
  <c r="CJ450" i="33" s="1"/>
  <c r="K833" i="33"/>
  <c r="CE833" i="33"/>
  <c r="CJ833" i="33" s="1"/>
  <c r="F703" i="33"/>
  <c r="CE701" i="33"/>
  <c r="G641" i="33"/>
  <c r="CJ635" i="33"/>
  <c r="H733" i="33"/>
  <c r="CG729" i="33"/>
  <c r="CF793" i="33"/>
  <c r="G797" i="33"/>
  <c r="CJ667" i="33"/>
  <c r="F673" i="33"/>
  <c r="CE604" i="33"/>
  <c r="K604" i="33"/>
  <c r="K605" i="33" s="1"/>
  <c r="CJ828" i="33"/>
  <c r="F834" i="33"/>
  <c r="CG543" i="33"/>
  <c r="CG547" i="33" s="1"/>
  <c r="H547" i="33"/>
  <c r="CJ666" i="33"/>
  <c r="F672" i="33"/>
  <c r="CF445" i="33"/>
  <c r="G447" i="33"/>
  <c r="CE642" i="33"/>
  <c r="CJ642" i="33" s="1"/>
  <c r="K642" i="33"/>
  <c r="CJ759" i="33"/>
  <c r="J637" i="33"/>
  <c r="CI633" i="33"/>
  <c r="CJ732" i="33"/>
  <c r="F738" i="33"/>
  <c r="G669" i="33"/>
  <c r="CF665" i="33"/>
  <c r="CE545" i="33"/>
  <c r="CJ545" i="33" s="1"/>
  <c r="K545" i="33"/>
  <c r="F607" i="33"/>
  <c r="CE704" i="33"/>
  <c r="CJ704" i="33" s="1"/>
  <c r="K704" i="33"/>
  <c r="J739" i="33"/>
  <c r="CI735" i="33"/>
  <c r="CI739" i="33" s="1"/>
  <c r="G733" i="33"/>
  <c r="CF729" i="33"/>
  <c r="H479" i="33"/>
  <c r="CG477" i="33"/>
  <c r="CJ700" i="33"/>
  <c r="F706" i="33"/>
  <c r="CG575" i="33"/>
  <c r="CG579" i="33" s="1"/>
  <c r="H579" i="33"/>
  <c r="J803" i="33"/>
  <c r="CI799" i="33"/>
  <c r="CI803" i="33" s="1"/>
  <c r="CG447" i="33"/>
  <c r="CG451" i="33" s="1"/>
  <c r="H451" i="33"/>
  <c r="F765" i="33"/>
  <c r="CE761" i="33"/>
  <c r="K761" i="33"/>
  <c r="D157" i="34" a="1"/>
  <c r="D157" i="34" s="1"/>
  <c r="CJ503" i="33"/>
  <c r="G829" i="33"/>
  <c r="CF825" i="33"/>
  <c r="K825" i="33"/>
  <c r="K829" i="33" s="1"/>
  <c r="D169" i="34" a="1"/>
  <c r="D169" i="34" s="1"/>
  <c r="J445" i="33"/>
  <c r="CI441" i="33"/>
  <c r="I477" i="33"/>
  <c r="CH473" i="33"/>
  <c r="G605" i="33"/>
  <c r="CF601" i="33"/>
  <c r="CI473" i="33"/>
  <c r="J477" i="33"/>
  <c r="H799" i="33"/>
  <c r="CG797" i="33"/>
  <c r="I829" i="33"/>
  <c r="CH825" i="33"/>
  <c r="CJ535" i="33"/>
  <c r="CE507" i="33"/>
  <c r="K507" i="33"/>
  <c r="I771" i="33"/>
  <c r="CH767" i="33"/>
  <c r="CH771" i="33" s="1"/>
  <c r="CH793" i="33"/>
  <c r="CJ793" i="33" s="1"/>
  <c r="CJ797" i="33" s="1"/>
  <c r="I797" i="33"/>
  <c r="CG639" i="33"/>
  <c r="CG643" i="33" s="1"/>
  <c r="H643" i="33"/>
  <c r="CF703" i="33"/>
  <c r="CF707" i="33" s="1"/>
  <c r="G707" i="33"/>
  <c r="CF473" i="33"/>
  <c r="G477" i="33"/>
  <c r="CJ826" i="33"/>
  <c r="F832" i="33"/>
  <c r="CE829" i="33"/>
  <c r="D97" i="34" a="1"/>
  <c r="D97" i="34" s="1"/>
  <c r="D151" i="34" a="1"/>
  <c r="D151" i="34" s="1"/>
  <c r="F768" i="33"/>
  <c r="CJ762" i="33"/>
  <c r="CG765" i="33"/>
  <c r="H767" i="33"/>
  <c r="CG800" i="33"/>
  <c r="CJ800" i="33" s="1"/>
  <c r="K800" i="33"/>
  <c r="D139" i="34" a="1"/>
  <c r="D139" i="34" s="1"/>
  <c r="CE540" i="33"/>
  <c r="K540" i="33"/>
  <c r="I573" i="33"/>
  <c r="CH569" i="33"/>
  <c r="O121" i="34" s="1" a="1"/>
  <c r="O121" i="34" s="1"/>
  <c r="CE476" i="33"/>
  <c r="K476" i="33"/>
  <c r="K477" i="33" s="1"/>
  <c r="CF668" i="33"/>
  <c r="K668" i="33"/>
  <c r="K537" i="33"/>
  <c r="K541" i="33" s="1"/>
  <c r="F541" i="33"/>
  <c r="CE537" i="33"/>
  <c r="D115" i="34" a="1"/>
  <c r="D115" i="34" s="1"/>
  <c r="I451" i="33"/>
  <c r="CH447" i="33"/>
  <c r="CH451" i="33" s="1"/>
  <c r="D103" i="34" a="1"/>
  <c r="D103" i="34" s="1"/>
  <c r="CI511" i="33"/>
  <c r="CI515" i="33" s="1"/>
  <c r="J515" i="33"/>
  <c r="G801" i="33"/>
  <c r="CJ795" i="33"/>
  <c r="H671" i="33"/>
  <c r="CG669" i="33"/>
  <c r="I541" i="33"/>
  <c r="CH537" i="33"/>
  <c r="K441" i="33"/>
  <c r="K445" i="33" s="1"/>
  <c r="H701" i="33"/>
  <c r="CG697" i="33"/>
  <c r="F27" i="40" s="1"/>
  <c r="CI573" i="33"/>
  <c r="J575" i="33"/>
  <c r="CJ730" i="33"/>
  <c r="F736" i="33"/>
  <c r="K665" i="33"/>
  <c r="K669" i="33" s="1"/>
  <c r="CE570" i="33"/>
  <c r="K570" i="33"/>
  <c r="CI825" i="33"/>
  <c r="J829" i="33"/>
  <c r="D133" i="34" a="1"/>
  <c r="D133" i="34" s="1"/>
  <c r="J707" i="33"/>
  <c r="CI703" i="33"/>
  <c r="CI707" i="33" s="1"/>
  <c r="J771" i="33"/>
  <c r="CI767" i="33"/>
  <c r="CI771" i="33" s="1"/>
  <c r="CH605" i="33"/>
  <c r="I607" i="33"/>
  <c r="CE442" i="33"/>
  <c r="CE445" i="33" s="1"/>
  <c r="K442" i="33"/>
  <c r="CE514" i="33"/>
  <c r="CJ514" i="33" s="1"/>
  <c r="K514" i="33"/>
  <c r="F577" i="33"/>
  <c r="CJ571" i="33"/>
  <c r="F447" i="33"/>
  <c r="F19" i="40"/>
  <c r="CJ441" i="33"/>
  <c r="K729" i="33"/>
  <c r="K733" i="33" s="1"/>
  <c r="CF509" i="33"/>
  <c r="G511" i="33"/>
  <c r="D121" i="34" a="1"/>
  <c r="D121" i="34" s="1"/>
  <c r="CJ665" i="33"/>
  <c r="F671" i="33"/>
  <c r="CE669" i="33"/>
  <c r="CI601" i="33"/>
  <c r="O127" i="34" s="1" a="1"/>
  <c r="O127" i="34" s="1"/>
  <c r="J605" i="33"/>
  <c r="I701" i="33"/>
  <c r="CH697" i="33"/>
  <c r="CI541" i="33"/>
  <c r="J543" i="33"/>
  <c r="O403" i="34"/>
  <c r="CE477" i="33"/>
  <c r="CJ473" i="33"/>
  <c r="F479" i="33"/>
  <c r="F20" i="40"/>
  <c r="O103" i="34" a="1"/>
  <c r="O103" i="34" s="1"/>
  <c r="K763" i="33"/>
  <c r="CE763" i="33"/>
  <c r="G541" i="33"/>
  <c r="CF537" i="33"/>
  <c r="D163" i="34" a="1"/>
  <c r="D163" i="34" s="1"/>
  <c r="CE572" i="33"/>
  <c r="K572" i="33"/>
  <c r="CF633" i="33"/>
  <c r="CJ633" i="33" s="1"/>
  <c r="CJ637" i="33" s="1"/>
  <c r="G637" i="33"/>
  <c r="F609" i="33"/>
  <c r="CJ603" i="33"/>
  <c r="F445" i="33"/>
  <c r="F735" i="33"/>
  <c r="CE733" i="33"/>
  <c r="CJ729" i="33"/>
  <c r="CJ733" i="33" s="1"/>
  <c r="F28" i="40"/>
  <c r="K569" i="33"/>
  <c r="F608" i="33"/>
  <c r="CJ602" i="33"/>
  <c r="F415" i="33"/>
  <c r="CE413" i="33"/>
  <c r="O91" i="34" a="1"/>
  <c r="O91" i="34" s="1"/>
  <c r="CJ410" i="33"/>
  <c r="F416" i="33"/>
  <c r="H415" i="33"/>
  <c r="CG413" i="33"/>
  <c r="J415" i="33"/>
  <c r="CI413" i="33"/>
  <c r="F418" i="33"/>
  <c r="CJ412" i="33"/>
  <c r="I415" i="33"/>
  <c r="CH413" i="33"/>
  <c r="K413" i="33"/>
  <c r="CJ411" i="33"/>
  <c r="F417" i="33"/>
  <c r="G413" i="33"/>
  <c r="CF409" i="33"/>
  <c r="CJ379" i="33"/>
  <c r="F385" i="33"/>
  <c r="F17" i="40"/>
  <c r="CJ377" i="33"/>
  <c r="O85" i="34" a="1"/>
  <c r="O85" i="34" s="1"/>
  <c r="F383" i="33"/>
  <c r="CE381" i="33"/>
  <c r="H383" i="33"/>
  <c r="CG381" i="33"/>
  <c r="F386" i="33"/>
  <c r="CJ380" i="33"/>
  <c r="CJ378" i="33"/>
  <c r="F384" i="33"/>
  <c r="G383" i="33"/>
  <c r="CF381" i="33"/>
  <c r="I383" i="33"/>
  <c r="CH381" i="33"/>
  <c r="J383" i="33"/>
  <c r="CI381" i="33"/>
  <c r="K381" i="33"/>
  <c r="G349" i="33"/>
  <c r="CF345" i="33"/>
  <c r="I351" i="33"/>
  <c r="CH349" i="33"/>
  <c r="K347" i="33"/>
  <c r="CE347" i="33"/>
  <c r="CJ345" i="33"/>
  <c r="O79" i="34" a="1"/>
  <c r="O79" i="34" s="1"/>
  <c r="F351" i="33"/>
  <c r="K345" i="33"/>
  <c r="H351" i="33"/>
  <c r="CG349" i="33"/>
  <c r="D79" i="34" a="1"/>
  <c r="D79" i="34" s="1"/>
  <c r="CJ346" i="33"/>
  <c r="F352" i="33"/>
  <c r="F349" i="33"/>
  <c r="F354" i="33"/>
  <c r="CJ348" i="33"/>
  <c r="J351" i="33"/>
  <c r="CI349" i="33"/>
  <c r="F322" i="33"/>
  <c r="CJ316" i="33"/>
  <c r="CJ315" i="33"/>
  <c r="F321" i="33"/>
  <c r="CI319" i="33"/>
  <c r="CI323" i="33" s="1"/>
  <c r="J323" i="33"/>
  <c r="H319" i="33"/>
  <c r="CG317" i="33"/>
  <c r="G317" i="33"/>
  <c r="CF313" i="33"/>
  <c r="F15" i="40"/>
  <c r="CJ313" i="33"/>
  <c r="O73" i="34" a="1"/>
  <c r="O73" i="34" s="1"/>
  <c r="F319" i="33"/>
  <c r="CE317" i="33"/>
  <c r="CJ314" i="33"/>
  <c r="F320" i="33"/>
  <c r="I319" i="33"/>
  <c r="CH317" i="33"/>
  <c r="K313" i="33"/>
  <c r="K317" i="33" s="1"/>
  <c r="D73" i="34" a="1"/>
  <c r="D73" i="34" s="1"/>
  <c r="O397" i="34"/>
  <c r="H287" i="33"/>
  <c r="CG285" i="33"/>
  <c r="G287" i="33"/>
  <c r="CF285" i="33"/>
  <c r="CJ282" i="33"/>
  <c r="F288" i="33"/>
  <c r="F290" i="33"/>
  <c r="CJ284" i="33"/>
  <c r="J287" i="33"/>
  <c r="CI285" i="33"/>
  <c r="K281" i="33"/>
  <c r="K285" i="33" s="1"/>
  <c r="F285" i="33"/>
  <c r="D67" i="34" a="1"/>
  <c r="D67" i="34" s="1"/>
  <c r="CE281" i="33"/>
  <c r="I287" i="33"/>
  <c r="CH285" i="33"/>
  <c r="CJ283" i="33"/>
  <c r="F289" i="33"/>
  <c r="K253" i="33"/>
  <c r="H255" i="33"/>
  <c r="CG253" i="33"/>
  <c r="CJ251" i="33"/>
  <c r="F257" i="33"/>
  <c r="G253" i="33"/>
  <c r="CF249" i="33"/>
  <c r="J255" i="33"/>
  <c r="CI253" i="33"/>
  <c r="F258" i="33"/>
  <c r="CJ252" i="33"/>
  <c r="CJ249" i="33"/>
  <c r="F13" i="40"/>
  <c r="F255" i="33"/>
  <c r="CE253" i="33"/>
  <c r="O61" i="34" a="1"/>
  <c r="O61" i="34" s="1"/>
  <c r="I255" i="33"/>
  <c r="CH253" i="33"/>
  <c r="D61" i="34" a="1"/>
  <c r="D61" i="34" s="1"/>
  <c r="CJ250" i="33"/>
  <c r="F256" i="33"/>
  <c r="G221" i="33"/>
  <c r="CF217" i="33"/>
  <c r="H223" i="33"/>
  <c r="CG221" i="33"/>
  <c r="F226" i="33"/>
  <c r="CJ220" i="33"/>
  <c r="CJ217" i="33"/>
  <c r="O55" i="34" a="1"/>
  <c r="O55" i="34" s="1"/>
  <c r="F223" i="33"/>
  <c r="CE221" i="33"/>
  <c r="F12" i="40"/>
  <c r="K217" i="33"/>
  <c r="K221" i="33" s="1"/>
  <c r="CJ219" i="33"/>
  <c r="F225" i="33"/>
  <c r="D55" i="34" a="1"/>
  <c r="D55" i="34" s="1"/>
  <c r="CJ218" i="33"/>
  <c r="F224" i="33"/>
  <c r="J223" i="33"/>
  <c r="CI221" i="33"/>
  <c r="I223" i="33"/>
  <c r="CH221" i="33"/>
  <c r="K187" i="33"/>
  <c r="CE187" i="33"/>
  <c r="I191" i="33"/>
  <c r="CH189" i="33"/>
  <c r="G189" i="33"/>
  <c r="CF185" i="33"/>
  <c r="F194" i="33"/>
  <c r="CJ188" i="33"/>
  <c r="J191" i="33"/>
  <c r="CI189" i="33"/>
  <c r="D49" i="34" a="1"/>
  <c r="D49" i="34" s="1"/>
  <c r="F189" i="33"/>
  <c r="K185" i="33"/>
  <c r="CE185" i="33"/>
  <c r="K192" i="33"/>
  <c r="CE192" i="33"/>
  <c r="CJ192" i="33" s="1"/>
  <c r="G31" i="33"/>
  <c r="CE32" i="33"/>
  <c r="CJ23" i="33"/>
  <c r="CE34" i="33"/>
  <c r="CJ34" i="33" s="1"/>
  <c r="K34" i="33"/>
  <c r="AR20" i="37"/>
  <c r="O391" i="34"/>
  <c r="CI29" i="33"/>
  <c r="J31" i="33"/>
  <c r="CH31" i="33"/>
  <c r="CH35" i="33" s="1"/>
  <c r="I35" i="33"/>
  <c r="H29" i="33"/>
  <c r="CG25" i="33"/>
  <c r="CF27" i="33"/>
  <c r="K27" i="33"/>
  <c r="CE33" i="33"/>
  <c r="CF26" i="33"/>
  <c r="K26" i="33"/>
  <c r="F29" i="33"/>
  <c r="CE25" i="33"/>
  <c r="K25" i="33"/>
  <c r="D19" i="34" a="1"/>
  <c r="D19" i="34" s="1"/>
  <c r="AP12" i="36" l="1"/>
  <c r="AQ12" i="36" s="1"/>
  <c r="AR12" i="36" s="1"/>
  <c r="AS12" i="36" s="1"/>
  <c r="CE1954" i="33"/>
  <c r="CJ1954" i="33" s="1"/>
  <c r="K1954" i="33"/>
  <c r="K1949" i="33"/>
  <c r="CG1949" i="33"/>
  <c r="H1951" i="33"/>
  <c r="CE1949" i="33"/>
  <c r="F1951" i="33"/>
  <c r="CJ1945" i="33"/>
  <c r="CJ1949" i="33" s="1"/>
  <c r="CE1953" i="33"/>
  <c r="CJ1953" i="33" s="1"/>
  <c r="K1953" i="33"/>
  <c r="F1952" i="33"/>
  <c r="CJ1946" i="33"/>
  <c r="J1951" i="33"/>
  <c r="CI1949" i="33"/>
  <c r="CF1949" i="33"/>
  <c r="G1951" i="33"/>
  <c r="CF1917" i="33"/>
  <c r="G1919" i="33"/>
  <c r="CJ1913" i="33"/>
  <c r="J1919" i="33"/>
  <c r="CI1917" i="33"/>
  <c r="CH1919" i="33"/>
  <c r="CH1923" i="33" s="1"/>
  <c r="I1923" i="33"/>
  <c r="CE1921" i="33"/>
  <c r="CJ1921" i="33" s="1"/>
  <c r="K1921" i="33"/>
  <c r="CG1917" i="33"/>
  <c r="H1919" i="33"/>
  <c r="O373" i="34" a="1"/>
  <c r="O373" i="34" s="1"/>
  <c r="CE1922" i="33"/>
  <c r="CJ1922" i="33" s="1"/>
  <c r="K1922" i="33"/>
  <c r="K1917" i="33"/>
  <c r="F1920" i="33"/>
  <c r="CJ1914" i="33"/>
  <c r="CE1917" i="33"/>
  <c r="CE1890" i="33"/>
  <c r="CJ1890" i="33" s="1"/>
  <c r="K1890" i="33"/>
  <c r="CE1885" i="33"/>
  <c r="F1887" i="33"/>
  <c r="CJ1881" i="33"/>
  <c r="CI1887" i="33"/>
  <c r="CI1891" i="33" s="1"/>
  <c r="J1891" i="33"/>
  <c r="CG1885" i="33"/>
  <c r="H1887" i="33"/>
  <c r="CE1889" i="33"/>
  <c r="CJ1889" i="33" s="1"/>
  <c r="K1889" i="33"/>
  <c r="F1888" i="33"/>
  <c r="CJ1882" i="33"/>
  <c r="CH1887" i="33"/>
  <c r="CH1891" i="33" s="1"/>
  <c r="I1891" i="33"/>
  <c r="CF1885" i="33"/>
  <c r="G1887" i="33"/>
  <c r="CE1853" i="33"/>
  <c r="F1855" i="33"/>
  <c r="CJ1849" i="33"/>
  <c r="CG1853" i="33"/>
  <c r="H1855" i="33"/>
  <c r="CH1855" i="33"/>
  <c r="CH1859" i="33" s="1"/>
  <c r="I1859" i="33"/>
  <c r="CE1857" i="33"/>
  <c r="CJ1857" i="33" s="1"/>
  <c r="K1857" i="33"/>
  <c r="F1856" i="33"/>
  <c r="CJ1850" i="33"/>
  <c r="K1853" i="33"/>
  <c r="CF1853" i="33"/>
  <c r="G1855" i="33"/>
  <c r="CE1858" i="33"/>
  <c r="CJ1858" i="33" s="1"/>
  <c r="K1858" i="33"/>
  <c r="CE1825" i="33"/>
  <c r="CJ1825" i="33" s="1"/>
  <c r="K1825" i="33"/>
  <c r="CI1823" i="33"/>
  <c r="CI1827" i="33" s="1"/>
  <c r="J1827" i="33"/>
  <c r="CE1821" i="33"/>
  <c r="F1823" i="33"/>
  <c r="CJ1817" i="33"/>
  <c r="CJ1821" i="33" s="1"/>
  <c r="CF1821" i="33"/>
  <c r="G1823" i="33"/>
  <c r="CH1823" i="33"/>
  <c r="CH1827" i="33" s="1"/>
  <c r="I1827" i="33"/>
  <c r="CG1821" i="33"/>
  <c r="H1823" i="33"/>
  <c r="CE1824" i="33"/>
  <c r="CJ1824" i="33" s="1"/>
  <c r="K1824" i="33"/>
  <c r="CE1793" i="33"/>
  <c r="CJ1793" i="33" s="1"/>
  <c r="K1793" i="33"/>
  <c r="CI1791" i="33"/>
  <c r="CI1795" i="33" s="1"/>
  <c r="J1795" i="33"/>
  <c r="CG1789" i="33"/>
  <c r="H1791" i="33"/>
  <c r="CE1789" i="33"/>
  <c r="F1791" i="33"/>
  <c r="CJ1785" i="33"/>
  <c r="CJ1789" i="33" s="1"/>
  <c r="CH1791" i="33"/>
  <c r="CH1795" i="33" s="1"/>
  <c r="I1795" i="33"/>
  <c r="CF1789" i="33"/>
  <c r="G1791" i="33"/>
  <c r="CE1792" i="33"/>
  <c r="CJ1792" i="33" s="1"/>
  <c r="K1792" i="33"/>
  <c r="CE1761" i="33"/>
  <c r="CJ1761" i="33" s="1"/>
  <c r="K1761" i="33"/>
  <c r="F1760" i="33"/>
  <c r="D344" i="34" s="1" a="1"/>
  <c r="D344" i="34" s="1"/>
  <c r="CJ1754" i="33"/>
  <c r="CI1759" i="33"/>
  <c r="CI1763" i="33" s="1"/>
  <c r="J1763" i="33"/>
  <c r="CE1762" i="33"/>
  <c r="CJ1762" i="33" s="1"/>
  <c r="K1762" i="33"/>
  <c r="CH1759" i="33"/>
  <c r="CH1763" i="33" s="1"/>
  <c r="I1763" i="33"/>
  <c r="K1757" i="33"/>
  <c r="CG1757" i="33"/>
  <c r="H1759" i="33"/>
  <c r="CE1757" i="33"/>
  <c r="F1759" i="33"/>
  <c r="CJ1753" i="33"/>
  <c r="CJ1757" i="33" s="1"/>
  <c r="CF1757" i="33"/>
  <c r="G1759" i="33"/>
  <c r="K1725" i="33"/>
  <c r="F1728" i="33"/>
  <c r="CJ1722" i="33"/>
  <c r="CE1725" i="33"/>
  <c r="F1727" i="33"/>
  <c r="CJ1721" i="33"/>
  <c r="CG1725" i="33"/>
  <c r="H1727" i="33"/>
  <c r="CE1730" i="33"/>
  <c r="CJ1730" i="33" s="1"/>
  <c r="K1730" i="33"/>
  <c r="CF1725" i="33"/>
  <c r="G1727" i="33"/>
  <c r="CH1727" i="33"/>
  <c r="CH1731" i="33" s="1"/>
  <c r="I1731" i="33"/>
  <c r="J1727" i="33"/>
  <c r="CI1725" i="33"/>
  <c r="CE1729" i="33"/>
  <c r="CJ1729" i="33" s="1"/>
  <c r="K1729" i="33"/>
  <c r="CH1695" i="33"/>
  <c r="CH1699" i="33" s="1"/>
  <c r="I1699" i="33"/>
  <c r="CG1693" i="33"/>
  <c r="H1695" i="33"/>
  <c r="CJ1689" i="33"/>
  <c r="CF1693" i="33"/>
  <c r="G1695" i="33"/>
  <c r="F1699" i="33"/>
  <c r="CE1695" i="33"/>
  <c r="F1696" i="33"/>
  <c r="CJ1690" i="33"/>
  <c r="CE1698" i="33"/>
  <c r="CJ1698" i="33" s="1"/>
  <c r="K1698" i="33"/>
  <c r="CI1695" i="33"/>
  <c r="CI1699" i="33" s="1"/>
  <c r="J1699" i="33"/>
  <c r="CE1697" i="33"/>
  <c r="CJ1697" i="33" s="1"/>
  <c r="K1697" i="33"/>
  <c r="F1664" i="33"/>
  <c r="CJ1658" i="33"/>
  <c r="CE1665" i="33"/>
  <c r="CJ1665" i="33" s="1"/>
  <c r="K1665" i="33"/>
  <c r="CI1663" i="33"/>
  <c r="CI1667" i="33" s="1"/>
  <c r="J1667" i="33"/>
  <c r="CE1666" i="33"/>
  <c r="CJ1666" i="33" s="1"/>
  <c r="K1666" i="33"/>
  <c r="CH1663" i="33"/>
  <c r="CH1667" i="33" s="1"/>
  <c r="I1667" i="33"/>
  <c r="CE1661" i="33"/>
  <c r="F1663" i="33"/>
  <c r="CJ1657" i="33"/>
  <c r="CJ1661" i="33" s="1"/>
  <c r="CG1661" i="33"/>
  <c r="H1663" i="33"/>
  <c r="CF1661" i="33"/>
  <c r="G1663" i="33"/>
  <c r="CI1631" i="33"/>
  <c r="CI1635" i="33" s="1"/>
  <c r="J1635" i="33"/>
  <c r="CE1634" i="33"/>
  <c r="CJ1634" i="33" s="1"/>
  <c r="K1634" i="33"/>
  <c r="CE1633" i="33"/>
  <c r="CJ1633" i="33" s="1"/>
  <c r="K1633" i="33"/>
  <c r="F1632" i="33"/>
  <c r="CJ1626" i="33"/>
  <c r="K1629" i="33"/>
  <c r="CG1629" i="33"/>
  <c r="H1631" i="33"/>
  <c r="CE1629" i="33"/>
  <c r="F1631" i="33"/>
  <c r="CJ1625" i="33"/>
  <c r="CF1629" i="33"/>
  <c r="G1631" i="33"/>
  <c r="F1600" i="33"/>
  <c r="CJ1594" i="33"/>
  <c r="CE1597" i="33"/>
  <c r="CH1599" i="33"/>
  <c r="CH1603" i="33" s="1"/>
  <c r="I1603" i="33"/>
  <c r="CE1601" i="33"/>
  <c r="CJ1601" i="33" s="1"/>
  <c r="K1601" i="33"/>
  <c r="K1597" i="33"/>
  <c r="CG1597" i="33"/>
  <c r="H1599" i="33"/>
  <c r="CI1599" i="33"/>
  <c r="CI1603" i="33" s="1"/>
  <c r="J1603" i="33"/>
  <c r="CF1597" i="33"/>
  <c r="G1599" i="33"/>
  <c r="CJ1593" i="33"/>
  <c r="CE1602" i="33"/>
  <c r="CJ1602" i="33" s="1"/>
  <c r="K1602" i="33"/>
  <c r="CI1567" i="33"/>
  <c r="CI1571" i="33" s="1"/>
  <c r="J1571" i="33"/>
  <c r="CH1567" i="33"/>
  <c r="CH1571" i="33" s="1"/>
  <c r="I1571" i="33"/>
  <c r="CE1569" i="33"/>
  <c r="CJ1569" i="33" s="1"/>
  <c r="K1569" i="33"/>
  <c r="CG1565" i="33"/>
  <c r="H1567" i="33"/>
  <c r="CE1568" i="33"/>
  <c r="CJ1568" i="33" s="1"/>
  <c r="K1568" i="33"/>
  <c r="CF1565" i="33"/>
  <c r="G1567" i="33"/>
  <c r="CE1565" i="33"/>
  <c r="F1567" i="33"/>
  <c r="CJ1561" i="33"/>
  <c r="CJ1565" i="33" s="1"/>
  <c r="CE1537" i="33"/>
  <c r="CJ1537" i="33" s="1"/>
  <c r="K1537" i="33"/>
  <c r="F1536" i="33"/>
  <c r="CJ1530" i="33"/>
  <c r="K1533" i="33"/>
  <c r="CE1538" i="33"/>
  <c r="CJ1538" i="33" s="1"/>
  <c r="K1538" i="33"/>
  <c r="CE1533" i="33"/>
  <c r="F1535" i="33"/>
  <c r="CJ1529" i="33"/>
  <c r="CF1533" i="33"/>
  <c r="G1535" i="33"/>
  <c r="J1535" i="33"/>
  <c r="CI1533" i="33"/>
  <c r="CH1535" i="33"/>
  <c r="CH1539" i="33" s="1"/>
  <c r="I1539" i="33"/>
  <c r="CG1533" i="33"/>
  <c r="H1535" i="33"/>
  <c r="CF1501" i="33"/>
  <c r="G1503" i="33"/>
  <c r="CG1501" i="33"/>
  <c r="H1503" i="33"/>
  <c r="CE1501" i="33"/>
  <c r="F1503" i="33"/>
  <c r="CJ1497" i="33"/>
  <c r="CJ1501" i="33" s="1"/>
  <c r="CH1503" i="33"/>
  <c r="CH1507" i="33" s="1"/>
  <c r="I1507" i="33"/>
  <c r="CE1506" i="33"/>
  <c r="CJ1506" i="33" s="1"/>
  <c r="K1506" i="33"/>
  <c r="CE1505" i="33"/>
  <c r="CJ1505" i="33" s="1"/>
  <c r="K1505" i="33"/>
  <c r="CI1503" i="33"/>
  <c r="CI1507" i="33" s="1"/>
  <c r="J1507" i="33"/>
  <c r="F1504" i="33"/>
  <c r="CJ1498" i="33"/>
  <c r="CE1473" i="33"/>
  <c r="CJ1473" i="33" s="1"/>
  <c r="K1473" i="33"/>
  <c r="F1472" i="33"/>
  <c r="CJ1466" i="33"/>
  <c r="CF1469" i="33"/>
  <c r="G1471" i="33"/>
  <c r="CI1471" i="33"/>
  <c r="CI1475" i="33" s="1"/>
  <c r="J1475" i="33"/>
  <c r="CE1469" i="33"/>
  <c r="F1471" i="33"/>
  <c r="CJ1465" i="33"/>
  <c r="CE1474" i="33"/>
  <c r="CJ1474" i="33" s="1"/>
  <c r="K1474" i="33"/>
  <c r="CG1469" i="33"/>
  <c r="H1471" i="33"/>
  <c r="O289" i="34" a="1"/>
  <c r="O289" i="34" s="1"/>
  <c r="CH1471" i="33"/>
  <c r="CH1475" i="33" s="1"/>
  <c r="I1475" i="33"/>
  <c r="CE1437" i="33"/>
  <c r="F1439" i="33"/>
  <c r="CJ1433" i="33"/>
  <c r="CH1439" i="33"/>
  <c r="CH1443" i="33" s="1"/>
  <c r="I1443" i="33"/>
  <c r="CE1442" i="33"/>
  <c r="CJ1442" i="33" s="1"/>
  <c r="K1442" i="33"/>
  <c r="F1440" i="33"/>
  <c r="CJ1434" i="33"/>
  <c r="CF1437" i="33"/>
  <c r="G1439" i="33"/>
  <c r="CE1441" i="33"/>
  <c r="CJ1441" i="33" s="1"/>
  <c r="K1441" i="33"/>
  <c r="CG1437" i="33"/>
  <c r="H1439" i="33"/>
  <c r="CI1439" i="33"/>
  <c r="CI1443" i="33" s="1"/>
  <c r="J1443" i="33"/>
  <c r="CH1407" i="33"/>
  <c r="CH1411" i="33" s="1"/>
  <c r="I1411" i="33"/>
  <c r="CF1405" i="33"/>
  <c r="G1407" i="33"/>
  <c r="CG1405" i="33"/>
  <c r="H1407" i="33"/>
  <c r="CE1409" i="33"/>
  <c r="CJ1409" i="33" s="1"/>
  <c r="K1409" i="33"/>
  <c r="J1407" i="33"/>
  <c r="CI1405" i="33"/>
  <c r="CE1405" i="33"/>
  <c r="F1407" i="33"/>
  <c r="CJ1401" i="33"/>
  <c r="CE1410" i="33"/>
  <c r="CJ1410" i="33" s="1"/>
  <c r="K1410" i="33"/>
  <c r="F1408" i="33"/>
  <c r="CJ1402" i="33"/>
  <c r="CH1375" i="33"/>
  <c r="CH1379" i="33" s="1"/>
  <c r="I1379" i="33"/>
  <c r="CE1378" i="33"/>
  <c r="CJ1378" i="33" s="1"/>
  <c r="K1378" i="33"/>
  <c r="F1376" i="33"/>
  <c r="CJ1370" i="33"/>
  <c r="CF1373" i="33"/>
  <c r="G1375" i="33"/>
  <c r="K1373" i="33"/>
  <c r="CE1373" i="33"/>
  <c r="F1375" i="33"/>
  <c r="CJ1369" i="33"/>
  <c r="CJ1373" i="33" s="1"/>
  <c r="CE1377" i="33"/>
  <c r="CJ1377" i="33" s="1"/>
  <c r="K1377" i="33"/>
  <c r="CG1373" i="33"/>
  <c r="H1375" i="33"/>
  <c r="J1375" i="33"/>
  <c r="CI1373" i="33"/>
  <c r="F60" i="40"/>
  <c r="O361" i="34" a="1"/>
  <c r="O361" i="34" s="1"/>
  <c r="F61" i="40"/>
  <c r="O349" i="34" a="1"/>
  <c r="O349" i="34" s="1"/>
  <c r="F59" i="40"/>
  <c r="O337" i="34" a="1"/>
  <c r="O337" i="34" s="1"/>
  <c r="D356" i="34" a="1"/>
  <c r="D356" i="34" s="1"/>
  <c r="D410" i="34"/>
  <c r="O379" i="34" a="1"/>
  <c r="O379" i="34" s="1"/>
  <c r="F66" i="40"/>
  <c r="D362" i="34" a="1"/>
  <c r="D362" i="34" s="1"/>
  <c r="O331" i="34" a="1"/>
  <c r="O331" i="34" s="1"/>
  <c r="F58" i="40"/>
  <c r="F64" i="40"/>
  <c r="O367" i="34" a="1"/>
  <c r="O367" i="34" s="1"/>
  <c r="O343" i="34" a="1"/>
  <c r="O343" i="34" s="1"/>
  <c r="D380" i="34" a="1"/>
  <c r="D380" i="34" s="1"/>
  <c r="CJ1273" i="33"/>
  <c r="K1309" i="33"/>
  <c r="F48" i="40"/>
  <c r="O271" i="34" a="1"/>
  <c r="O271" i="34" s="1"/>
  <c r="F1314" i="33"/>
  <c r="CJ1308" i="33"/>
  <c r="CE1313" i="33"/>
  <c r="CJ1313" i="33" s="1"/>
  <c r="K1313" i="33"/>
  <c r="G1311" i="33"/>
  <c r="CF1309" i="33"/>
  <c r="CJ1305" i="33"/>
  <c r="F46" i="40"/>
  <c r="O259" i="34" a="1"/>
  <c r="O259" i="34" s="1"/>
  <c r="CG1345" i="33"/>
  <c r="CJ1345" i="33" s="1"/>
  <c r="K1345" i="33"/>
  <c r="F54" i="40"/>
  <c r="O307" i="34" a="1"/>
  <c r="O307" i="34" s="1"/>
  <c r="D302" i="34" a="1"/>
  <c r="D302" i="34" s="1"/>
  <c r="F55" i="40"/>
  <c r="O313" i="34" a="1"/>
  <c r="O313" i="34" s="1"/>
  <c r="CE1309" i="33"/>
  <c r="CI1277" i="33"/>
  <c r="J1279" i="33"/>
  <c r="G1279" i="33"/>
  <c r="CF1277" i="33"/>
  <c r="CE1279" i="33"/>
  <c r="K1279" i="33"/>
  <c r="J1343" i="33"/>
  <c r="CI1341" i="33"/>
  <c r="CJ1338" i="33"/>
  <c r="F1344" i="33"/>
  <c r="CE1341" i="33"/>
  <c r="K1341" i="33"/>
  <c r="F50" i="40"/>
  <c r="O283" i="34" a="1"/>
  <c r="O283" i="34" s="1"/>
  <c r="F51" i="40"/>
  <c r="F57" i="40"/>
  <c r="O325" i="34" a="1"/>
  <c r="O325" i="34" s="1"/>
  <c r="K1312" i="33"/>
  <c r="CE1312" i="33"/>
  <c r="F1315" i="33"/>
  <c r="F52" i="40"/>
  <c r="CI1309" i="33"/>
  <c r="J1311" i="33"/>
  <c r="CJ1275" i="33"/>
  <c r="F1281" i="33"/>
  <c r="D254" i="34" s="1" a="1"/>
  <c r="D254" i="34" s="1"/>
  <c r="F1346" i="33"/>
  <c r="CJ1340" i="33"/>
  <c r="CH1279" i="33"/>
  <c r="CH1283" i="33" s="1"/>
  <c r="I1283" i="33"/>
  <c r="H1343" i="33"/>
  <c r="CG1341" i="33"/>
  <c r="CJ1337" i="33"/>
  <c r="F47" i="40"/>
  <c r="O265" i="34" a="1"/>
  <c r="O265" i="34" s="1"/>
  <c r="O301" i="34" a="1"/>
  <c r="O301" i="34" s="1"/>
  <c r="F49" i="40"/>
  <c r="O277" i="34" a="1"/>
  <c r="O277" i="34" s="1"/>
  <c r="F56" i="40"/>
  <c r="O319" i="34" a="1"/>
  <c r="O319" i="34" s="1"/>
  <c r="CG1053" i="33"/>
  <c r="H1055" i="33"/>
  <c r="CF927" i="33"/>
  <c r="CF931" i="33" s="1"/>
  <c r="G931" i="33"/>
  <c r="F1183" i="33"/>
  <c r="CE1181" i="33"/>
  <c r="CJ1177" i="33"/>
  <c r="F42" i="40"/>
  <c r="O235" i="34" a="1"/>
  <c r="O235" i="34" s="1"/>
  <c r="CJ860" i="33"/>
  <c r="F866" i="33"/>
  <c r="F41" i="40"/>
  <c r="CH1119" i="33"/>
  <c r="CH1123" i="33" s="1"/>
  <c r="I1123" i="33"/>
  <c r="CI1119" i="33"/>
  <c r="CI1123" i="33" s="1"/>
  <c r="J1123" i="33"/>
  <c r="K1213" i="33"/>
  <c r="H1087" i="33"/>
  <c r="CG1085" i="33"/>
  <c r="CH863" i="33"/>
  <c r="CH867" i="33" s="1"/>
  <c r="I867" i="33"/>
  <c r="CE893" i="33"/>
  <c r="F895" i="33"/>
  <c r="F33" i="40"/>
  <c r="CJ889" i="33"/>
  <c r="CJ893" i="33" s="1"/>
  <c r="O181" i="34" a="1"/>
  <c r="O181" i="34" s="1"/>
  <c r="H1247" i="33"/>
  <c r="CG1245" i="33"/>
  <c r="F44" i="40"/>
  <c r="O247" i="34" a="1"/>
  <c r="O247" i="34" s="1"/>
  <c r="CJ1241" i="33"/>
  <c r="F867" i="33"/>
  <c r="CE863" i="33"/>
  <c r="D176" i="34" a="1"/>
  <c r="D176" i="34" s="1"/>
  <c r="CE1218" i="33"/>
  <c r="CJ1218" i="33" s="1"/>
  <c r="K1218" i="33"/>
  <c r="CE959" i="33"/>
  <c r="F963" i="33"/>
  <c r="F1120" i="33"/>
  <c r="CJ1114" i="33"/>
  <c r="CJ1117" i="33" s="1"/>
  <c r="CE1057" i="33"/>
  <c r="CJ1057" i="33" s="1"/>
  <c r="K1057" i="33"/>
  <c r="CJ1052" i="33"/>
  <c r="F1058" i="33"/>
  <c r="J1087" i="33"/>
  <c r="CI1085" i="33"/>
  <c r="F991" i="33"/>
  <c r="CE989" i="33"/>
  <c r="F36" i="40"/>
  <c r="CJ985" i="33"/>
  <c r="CJ989" i="33" s="1"/>
  <c r="O199" i="34" a="1"/>
  <c r="O199" i="34" s="1"/>
  <c r="CE925" i="33"/>
  <c r="F927" i="33"/>
  <c r="CJ921" i="33"/>
  <c r="F34" i="40"/>
  <c r="O187" i="34" a="1"/>
  <c r="O187" i="34" s="1"/>
  <c r="F40" i="40"/>
  <c r="CJ1081" i="33"/>
  <c r="CE1085" i="33"/>
  <c r="F1087" i="33"/>
  <c r="F39" i="40"/>
  <c r="O217" i="34" a="1"/>
  <c r="O217" i="34" s="1"/>
  <c r="CJ1243" i="33"/>
  <c r="F1249" i="33"/>
  <c r="CE1245" i="33"/>
  <c r="CJ1180" i="33"/>
  <c r="F1186" i="33"/>
  <c r="CF1151" i="33"/>
  <c r="CF1155" i="33" s="1"/>
  <c r="G1155" i="33"/>
  <c r="J1183" i="33"/>
  <c r="CI1181" i="33"/>
  <c r="CF957" i="33"/>
  <c r="G959" i="33"/>
  <c r="CG957" i="33"/>
  <c r="H959" i="33"/>
  <c r="D194" i="34" s="1" a="1"/>
  <c r="D194" i="34" s="1"/>
  <c r="CJ1148" i="33"/>
  <c r="CJ1149" i="33" s="1"/>
  <c r="F1154" i="33"/>
  <c r="CE961" i="33"/>
  <c r="CJ961" i="33" s="1"/>
  <c r="K961" i="33"/>
  <c r="CE1149" i="33"/>
  <c r="F896" i="33"/>
  <c r="CJ890" i="33"/>
  <c r="I1151" i="33"/>
  <c r="CH1149" i="33"/>
  <c r="CG893" i="33"/>
  <c r="H895" i="33"/>
  <c r="K1021" i="33"/>
  <c r="H1187" i="33"/>
  <c r="CG1183" i="33"/>
  <c r="CG1187" i="33" s="1"/>
  <c r="J1055" i="33"/>
  <c r="CI1053" i="33"/>
  <c r="K925" i="33"/>
  <c r="K1119" i="33"/>
  <c r="CE1119" i="33"/>
  <c r="D224" i="34" a="1"/>
  <c r="D224" i="34" s="1"/>
  <c r="CJ1146" i="33"/>
  <c r="F1152" i="33"/>
  <c r="K930" i="33"/>
  <c r="CE930" i="33"/>
  <c r="CJ930" i="33" s="1"/>
  <c r="CH893" i="33"/>
  <c r="I895" i="33"/>
  <c r="J1219" i="33"/>
  <c r="CI1215" i="33"/>
  <c r="CI1219" i="33" s="1"/>
  <c r="CF1055" i="33"/>
  <c r="CF1059" i="33" s="1"/>
  <c r="G1059" i="33"/>
  <c r="CJ1020" i="33"/>
  <c r="F1026" i="33"/>
  <c r="CE1151" i="33"/>
  <c r="F1155" i="33"/>
  <c r="K1151" i="33"/>
  <c r="D230" i="34" a="1"/>
  <c r="D230" i="34" s="1"/>
  <c r="CF989" i="33"/>
  <c r="G991" i="33"/>
  <c r="F1122" i="33"/>
  <c r="F1123" i="33" s="1"/>
  <c r="CJ1116" i="33"/>
  <c r="CE898" i="33"/>
  <c r="CJ898" i="33" s="1"/>
  <c r="K898" i="33"/>
  <c r="CH1087" i="33"/>
  <c r="CH1091" i="33" s="1"/>
  <c r="I1091" i="33"/>
  <c r="F1215" i="33"/>
  <c r="CE1213" i="33"/>
  <c r="CJ1209" i="33"/>
  <c r="CJ1213" i="33" s="1"/>
  <c r="F43" i="40"/>
  <c r="O241" i="34" a="1"/>
  <c r="O241" i="34" s="1"/>
  <c r="CF1183" i="33"/>
  <c r="CF1187" i="33" s="1"/>
  <c r="G1187" i="33"/>
  <c r="CF1021" i="33"/>
  <c r="G1023" i="33"/>
  <c r="CJ1017" i="33"/>
  <c r="F37" i="40"/>
  <c r="O205" i="34" a="1"/>
  <c r="O205" i="34" s="1"/>
  <c r="F1024" i="33"/>
  <c r="CJ1018" i="33"/>
  <c r="CE1021" i="33"/>
  <c r="G993" i="33"/>
  <c r="CJ987" i="33"/>
  <c r="K1053" i="33"/>
  <c r="CG861" i="33"/>
  <c r="H863" i="33"/>
  <c r="I1251" i="33"/>
  <c r="CH1247" i="33"/>
  <c r="CH1251" i="33" s="1"/>
  <c r="CI863" i="33"/>
  <c r="CI867" i="33" s="1"/>
  <c r="J867" i="33"/>
  <c r="CE928" i="33"/>
  <c r="CJ928" i="33" s="1"/>
  <c r="K928" i="33"/>
  <c r="CH1215" i="33"/>
  <c r="CH1219" i="33" s="1"/>
  <c r="I1219" i="33"/>
  <c r="H1219" i="33"/>
  <c r="CG1215" i="33"/>
  <c r="CG1219" i="33" s="1"/>
  <c r="O193" i="34" a="1"/>
  <c r="O193" i="34" s="1"/>
  <c r="I1187" i="33"/>
  <c r="CH1183" i="33"/>
  <c r="CH1187" i="33" s="1"/>
  <c r="F929" i="33"/>
  <c r="CJ923" i="33"/>
  <c r="I959" i="33"/>
  <c r="CH957" i="33"/>
  <c r="F1088" i="33"/>
  <c r="CJ1082" i="33"/>
  <c r="CE1184" i="33"/>
  <c r="CJ1184" i="33" s="1"/>
  <c r="K1184" i="33"/>
  <c r="CJ1049" i="33"/>
  <c r="CJ1053" i="33" s="1"/>
  <c r="CE1053" i="33"/>
  <c r="F1055" i="33"/>
  <c r="F38" i="40"/>
  <c r="O211" i="34" a="1"/>
  <c r="O211" i="34" s="1"/>
  <c r="F1090" i="33"/>
  <c r="CJ1084" i="33"/>
  <c r="K893" i="33"/>
  <c r="K989" i="33"/>
  <c r="F32" i="40"/>
  <c r="CI893" i="33"/>
  <c r="J895" i="33"/>
  <c r="CJ953" i="33"/>
  <c r="CJ957" i="33" s="1"/>
  <c r="G899" i="33"/>
  <c r="CF895" i="33"/>
  <c r="CF899" i="33" s="1"/>
  <c r="J1027" i="33"/>
  <c r="CI1023" i="33"/>
  <c r="CI1027" i="33" s="1"/>
  <c r="CJ858" i="33"/>
  <c r="CJ861" i="33" s="1"/>
  <c r="F864" i="33"/>
  <c r="CF863" i="33"/>
  <c r="CF867" i="33" s="1"/>
  <c r="G867" i="33"/>
  <c r="CJ1179" i="33"/>
  <c r="F1185" i="33"/>
  <c r="CJ1211" i="33"/>
  <c r="F1217" i="33"/>
  <c r="CI925" i="33"/>
  <c r="J927" i="33"/>
  <c r="CH925" i="33"/>
  <c r="I927" i="33"/>
  <c r="O223" i="34" a="1"/>
  <c r="O223" i="34" s="1"/>
  <c r="I611" i="33"/>
  <c r="CH607" i="33"/>
  <c r="CH611" i="33" s="1"/>
  <c r="F513" i="33"/>
  <c r="CJ507" i="33"/>
  <c r="G607" i="33"/>
  <c r="CF605" i="33"/>
  <c r="G831" i="33"/>
  <c r="CF829" i="33"/>
  <c r="F31" i="40"/>
  <c r="O169" i="34" a="1"/>
  <c r="O169" i="34" s="1"/>
  <c r="CJ825" i="33"/>
  <c r="CJ829" i="33" s="1"/>
  <c r="G671" i="33"/>
  <c r="CF669" i="33"/>
  <c r="CE834" i="33"/>
  <c r="CJ834" i="33" s="1"/>
  <c r="K834" i="33"/>
  <c r="H735" i="33"/>
  <c r="CG733" i="33"/>
  <c r="CE703" i="33"/>
  <c r="F707" i="33"/>
  <c r="CE480" i="33"/>
  <c r="CJ480" i="33" s="1"/>
  <c r="K480" i="33"/>
  <c r="F30" i="40"/>
  <c r="CJ572" i="33"/>
  <c r="F578" i="33"/>
  <c r="G674" i="33"/>
  <c r="CJ668" i="33"/>
  <c r="CJ669" i="33" s="1"/>
  <c r="CJ505" i="33"/>
  <c r="CJ509" i="33" s="1"/>
  <c r="F511" i="33"/>
  <c r="CE509" i="33"/>
  <c r="F21" i="40"/>
  <c r="O109" i="34" a="1"/>
  <c r="O109" i="34" s="1"/>
  <c r="G767" i="33"/>
  <c r="CF765" i="33"/>
  <c r="CE479" i="33"/>
  <c r="G515" i="33"/>
  <c r="CF511" i="33"/>
  <c r="CF515" i="33" s="1"/>
  <c r="K736" i="33"/>
  <c r="CE736" i="33"/>
  <c r="CJ736" i="33" s="1"/>
  <c r="K832" i="33"/>
  <c r="CE832" i="33"/>
  <c r="F835" i="33"/>
  <c r="CH829" i="33"/>
  <c r="I831" i="33"/>
  <c r="CH477" i="33"/>
  <c r="I479" i="33"/>
  <c r="CG479" i="33"/>
  <c r="CG483" i="33" s="1"/>
  <c r="H483" i="33"/>
  <c r="F24" i="40"/>
  <c r="K738" i="33"/>
  <c r="CE738" i="33"/>
  <c r="CJ738" i="33" s="1"/>
  <c r="CF447" i="33"/>
  <c r="CF451" i="33" s="1"/>
  <c r="G451" i="33"/>
  <c r="CE512" i="33"/>
  <c r="CJ512" i="33" s="1"/>
  <c r="K512" i="33"/>
  <c r="O133" i="34" a="1"/>
  <c r="O133" i="34" s="1"/>
  <c r="I703" i="33"/>
  <c r="CH701" i="33"/>
  <c r="CI605" i="33"/>
  <c r="J607" i="33"/>
  <c r="K607" i="33" s="1"/>
  <c r="CE577" i="33"/>
  <c r="CJ577" i="33" s="1"/>
  <c r="K577" i="33"/>
  <c r="F482" i="33"/>
  <c r="CJ476" i="33"/>
  <c r="CJ477" i="33" s="1"/>
  <c r="H771" i="33"/>
  <c r="CG767" i="33"/>
  <c r="CG771" i="33" s="1"/>
  <c r="CF733" i="33"/>
  <c r="G735" i="33"/>
  <c r="K735" i="33" s="1"/>
  <c r="K739" i="33" s="1"/>
  <c r="CE607" i="33"/>
  <c r="F611" i="33"/>
  <c r="D128" i="34" a="1"/>
  <c r="D128" i="34" s="1"/>
  <c r="F610" i="33"/>
  <c r="CJ604" i="33"/>
  <c r="CF641" i="33"/>
  <c r="CJ641" i="33" s="1"/>
  <c r="K641" i="33"/>
  <c r="CE799" i="33"/>
  <c r="F803" i="33"/>
  <c r="F25" i="40"/>
  <c r="J831" i="33"/>
  <c r="CI829" i="33"/>
  <c r="CE735" i="33"/>
  <c r="F739" i="33"/>
  <c r="D152" i="34" a="1"/>
  <c r="D152" i="34" s="1"/>
  <c r="CE608" i="33"/>
  <c r="CJ608" i="33" s="1"/>
  <c r="K608" i="33"/>
  <c r="J579" i="33"/>
  <c r="CI575" i="33"/>
  <c r="CI579" i="33" s="1"/>
  <c r="H675" i="33"/>
  <c r="CG671" i="33"/>
  <c r="CG675" i="33" s="1"/>
  <c r="CH573" i="33"/>
  <c r="I575" i="33"/>
  <c r="D122" i="34" s="1" a="1"/>
  <c r="D122" i="34" s="1"/>
  <c r="I799" i="33"/>
  <c r="CH797" i="33"/>
  <c r="CI445" i="33"/>
  <c r="J447" i="33"/>
  <c r="K765" i="33"/>
  <c r="CE605" i="33"/>
  <c r="J639" i="33"/>
  <c r="CI637" i="33"/>
  <c r="CE672" i="33"/>
  <c r="CJ672" i="33" s="1"/>
  <c r="K672" i="33"/>
  <c r="K673" i="33"/>
  <c r="CE673" i="33"/>
  <c r="CJ673" i="33" s="1"/>
  <c r="O145" i="34" a="1"/>
  <c r="O145" i="34" s="1"/>
  <c r="F449" i="33"/>
  <c r="CJ443" i="33"/>
  <c r="F23" i="40"/>
  <c r="K573" i="33"/>
  <c r="F26" i="40"/>
  <c r="O97" i="34" a="1"/>
  <c r="O97" i="34" s="1"/>
  <c r="CE541" i="33"/>
  <c r="F543" i="33"/>
  <c r="CJ537" i="33"/>
  <c r="F22" i="40"/>
  <c r="O115" i="34" a="1"/>
  <c r="O115" i="34" s="1"/>
  <c r="CF477" i="33"/>
  <c r="G479" i="33"/>
  <c r="CG799" i="33"/>
  <c r="CG803" i="33" s="1"/>
  <c r="H803" i="33"/>
  <c r="F767" i="33"/>
  <c r="CJ761" i="33"/>
  <c r="CE765" i="33"/>
  <c r="F29" i="40"/>
  <c r="O157" i="34" a="1"/>
  <c r="O157" i="34" s="1"/>
  <c r="CJ601" i="33"/>
  <c r="CJ605" i="33" s="1"/>
  <c r="CJ569" i="33"/>
  <c r="F643" i="33"/>
  <c r="CE639" i="33"/>
  <c r="I543" i="33"/>
  <c r="CH541" i="33"/>
  <c r="O139" i="34" a="1"/>
  <c r="O139" i="34" s="1"/>
  <c r="K609" i="33"/>
  <c r="CE609" i="33"/>
  <c r="CJ609" i="33" s="1"/>
  <c r="O151" i="34" a="1"/>
  <c r="O151" i="34" s="1"/>
  <c r="CJ763" i="33"/>
  <c r="F769" i="33"/>
  <c r="J547" i="33"/>
  <c r="CI543" i="33"/>
  <c r="CI547" i="33" s="1"/>
  <c r="H703" i="33"/>
  <c r="K703" i="33" s="1"/>
  <c r="K707" i="33" s="1"/>
  <c r="CG701" i="33"/>
  <c r="CF801" i="33"/>
  <c r="CJ801" i="33" s="1"/>
  <c r="K801" i="33"/>
  <c r="CE768" i="33"/>
  <c r="CJ768" i="33" s="1"/>
  <c r="K768" i="33"/>
  <c r="CJ697" i="33"/>
  <c r="CJ701" i="33" s="1"/>
  <c r="H835" i="33"/>
  <c r="CG831" i="33"/>
  <c r="CG835" i="33" s="1"/>
  <c r="CE575" i="33"/>
  <c r="CH671" i="33"/>
  <c r="CH675" i="33" s="1"/>
  <c r="I675" i="33"/>
  <c r="CE447" i="33"/>
  <c r="K447" i="33"/>
  <c r="D98" i="34" a="1"/>
  <c r="D98" i="34" s="1"/>
  <c r="CF541" i="33"/>
  <c r="G543" i="33"/>
  <c r="G639" i="33"/>
  <c r="CF637" i="33"/>
  <c r="F675" i="33"/>
  <c r="K671" i="33"/>
  <c r="CE671" i="33"/>
  <c r="D140" i="34" a="1"/>
  <c r="D140" i="34" s="1"/>
  <c r="F448" i="33"/>
  <c r="CJ442" i="33"/>
  <c r="CJ445" i="33" s="1"/>
  <c r="F576" i="33"/>
  <c r="CJ570" i="33"/>
  <c r="CJ540" i="33"/>
  <c r="F546" i="33"/>
  <c r="D404" i="34"/>
  <c r="J479" i="33"/>
  <c r="K479" i="33" s="1"/>
  <c r="CI477" i="33"/>
  <c r="K706" i="33"/>
  <c r="CE706" i="33"/>
  <c r="CJ706" i="33" s="1"/>
  <c r="G799" i="33"/>
  <c r="CF797" i="33"/>
  <c r="CE573" i="33"/>
  <c r="O163" i="34" a="1"/>
  <c r="O163" i="34" s="1"/>
  <c r="CE481" i="33"/>
  <c r="CJ481" i="33" s="1"/>
  <c r="K481" i="33"/>
  <c r="H419" i="33"/>
  <c r="CG415" i="33"/>
  <c r="CG419" i="33" s="1"/>
  <c r="K416" i="33"/>
  <c r="CE416" i="33"/>
  <c r="CJ416" i="33" s="1"/>
  <c r="G415" i="33"/>
  <c r="CF413" i="33"/>
  <c r="CE418" i="33"/>
  <c r="CJ418" i="33" s="1"/>
  <c r="K418" i="33"/>
  <c r="I419" i="33"/>
  <c r="CH415" i="33"/>
  <c r="CH419" i="33" s="1"/>
  <c r="K415" i="33"/>
  <c r="F419" i="33"/>
  <c r="CE415" i="33"/>
  <c r="D92" i="34" a="1"/>
  <c r="D92" i="34" s="1"/>
  <c r="K417" i="33"/>
  <c r="CE417" i="33"/>
  <c r="CJ417" i="33" s="1"/>
  <c r="CI415" i="33"/>
  <c r="CI419" i="33" s="1"/>
  <c r="J419" i="33"/>
  <c r="F18" i="40"/>
  <c r="CJ409" i="33"/>
  <c r="CJ413" i="33" s="1"/>
  <c r="G387" i="33"/>
  <c r="CF383" i="33"/>
  <c r="CF387" i="33" s="1"/>
  <c r="K383" i="33"/>
  <c r="F387" i="33"/>
  <c r="D86" i="34" a="1"/>
  <c r="D86" i="34" s="1"/>
  <c r="CE383" i="33"/>
  <c r="I387" i="33"/>
  <c r="CH383" i="33"/>
  <c r="CH387" i="33" s="1"/>
  <c r="K384" i="33"/>
  <c r="CE384" i="33"/>
  <c r="CJ384" i="33" s="1"/>
  <c r="H387" i="33"/>
  <c r="CG383" i="33"/>
  <c r="CG387" i="33" s="1"/>
  <c r="CJ381" i="33"/>
  <c r="CI383" i="33"/>
  <c r="CI387" i="33" s="1"/>
  <c r="J387" i="33"/>
  <c r="CE386" i="33"/>
  <c r="CJ386" i="33" s="1"/>
  <c r="K386" i="33"/>
  <c r="K385" i="33"/>
  <c r="CE385" i="33"/>
  <c r="CJ385" i="33" s="1"/>
  <c r="CI351" i="33"/>
  <c r="CI355" i="33" s="1"/>
  <c r="J355" i="33"/>
  <c r="CJ347" i="33"/>
  <c r="CJ349" i="33" s="1"/>
  <c r="F353" i="33"/>
  <c r="H355" i="33"/>
  <c r="CG351" i="33"/>
  <c r="CG355" i="33" s="1"/>
  <c r="K349" i="33"/>
  <c r="I355" i="33"/>
  <c r="CH351" i="33"/>
  <c r="CH355" i="33" s="1"/>
  <c r="CE354" i="33"/>
  <c r="CJ354" i="33" s="1"/>
  <c r="K354" i="33"/>
  <c r="CE349" i="33"/>
  <c r="K351" i="33"/>
  <c r="F355" i="33"/>
  <c r="D80" i="34" a="1"/>
  <c r="D80" i="34" s="1"/>
  <c r="CE351" i="33"/>
  <c r="G351" i="33"/>
  <c r="CF349" i="33"/>
  <c r="K352" i="33"/>
  <c r="CE352" i="33"/>
  <c r="CJ352" i="33" s="1"/>
  <c r="F16" i="40"/>
  <c r="H323" i="33"/>
  <c r="CG319" i="33"/>
  <c r="CG323" i="33" s="1"/>
  <c r="F323" i="33"/>
  <c r="CE319" i="33"/>
  <c r="CJ317" i="33"/>
  <c r="K321" i="33"/>
  <c r="CE321" i="33"/>
  <c r="CJ321" i="33" s="1"/>
  <c r="D398" i="34"/>
  <c r="I323" i="33"/>
  <c r="CH319" i="33"/>
  <c r="CH323" i="33" s="1"/>
  <c r="G319" i="33"/>
  <c r="CF317" i="33"/>
  <c r="K320" i="33"/>
  <c r="CE320" i="33"/>
  <c r="CJ320" i="33" s="1"/>
  <c r="CE322" i="33"/>
  <c r="CJ322" i="33" s="1"/>
  <c r="K322" i="33"/>
  <c r="CI287" i="33"/>
  <c r="CI291" i="33" s="1"/>
  <c r="J291" i="33"/>
  <c r="H291" i="33"/>
  <c r="CG287" i="33"/>
  <c r="CG291" i="33" s="1"/>
  <c r="I291" i="33"/>
  <c r="CH287" i="33"/>
  <c r="CH291" i="33" s="1"/>
  <c r="CE290" i="33"/>
  <c r="CJ290" i="33" s="1"/>
  <c r="K290" i="33"/>
  <c r="O67" i="34" a="1"/>
  <c r="O67" i="34" s="1"/>
  <c r="F14" i="40"/>
  <c r="CJ281" i="33"/>
  <c r="CJ285" i="33" s="1"/>
  <c r="F287" i="33"/>
  <c r="CE285" i="33"/>
  <c r="K288" i="33"/>
  <c r="CE288" i="33"/>
  <c r="CJ288" i="33" s="1"/>
  <c r="G291" i="33"/>
  <c r="CF287" i="33"/>
  <c r="CF291" i="33" s="1"/>
  <c r="K289" i="33"/>
  <c r="CE289" i="33"/>
  <c r="CJ289" i="33" s="1"/>
  <c r="CE258" i="33"/>
  <c r="CJ258" i="33" s="1"/>
  <c r="K258" i="33"/>
  <c r="G255" i="33"/>
  <c r="D62" i="34" s="1" a="1"/>
  <c r="D62" i="34" s="1"/>
  <c r="CF253" i="33"/>
  <c r="I259" i="33"/>
  <c r="CH255" i="33"/>
  <c r="CH259" i="33" s="1"/>
  <c r="F259" i="33"/>
  <c r="CE255" i="33"/>
  <c r="K256" i="33"/>
  <c r="CE256" i="33"/>
  <c r="CJ256" i="33" s="1"/>
  <c r="CJ253" i="33"/>
  <c r="H259" i="33"/>
  <c r="CG255" i="33"/>
  <c r="CG259" i="33" s="1"/>
  <c r="K257" i="33"/>
  <c r="CE257" i="33"/>
  <c r="CJ257" i="33" s="1"/>
  <c r="CI255" i="33"/>
  <c r="CI259" i="33" s="1"/>
  <c r="J259" i="33"/>
  <c r="CJ221" i="33"/>
  <c r="K225" i="33"/>
  <c r="CE225" i="33"/>
  <c r="CJ225" i="33" s="1"/>
  <c r="CE226" i="33"/>
  <c r="CJ226" i="33" s="1"/>
  <c r="K226" i="33"/>
  <c r="I227" i="33"/>
  <c r="CH223" i="33"/>
  <c r="CH227" i="33" s="1"/>
  <c r="H227" i="33"/>
  <c r="CG223" i="33"/>
  <c r="CG227" i="33" s="1"/>
  <c r="CI223" i="33"/>
  <c r="CI227" i="33" s="1"/>
  <c r="J227" i="33"/>
  <c r="G223" i="33"/>
  <c r="D56" i="34" s="1" a="1"/>
  <c r="D56" i="34" s="1"/>
  <c r="CF221" i="33"/>
  <c r="K224" i="33"/>
  <c r="CE224" i="33"/>
  <c r="CJ224" i="33" s="1"/>
  <c r="F227" i="33"/>
  <c r="CE223" i="33"/>
  <c r="J195" i="33"/>
  <c r="CI191" i="33"/>
  <c r="CI195" i="33" s="1"/>
  <c r="CE194" i="33"/>
  <c r="CJ194" i="33" s="1"/>
  <c r="K194" i="33"/>
  <c r="I195" i="33"/>
  <c r="CH191" i="33"/>
  <c r="CH195" i="33" s="1"/>
  <c r="O49" i="34" a="1"/>
  <c r="O49" i="34" s="1"/>
  <c r="F191" i="33"/>
  <c r="F11" i="40"/>
  <c r="CE189" i="33"/>
  <c r="CJ185" i="33"/>
  <c r="G191" i="33"/>
  <c r="CF189" i="33"/>
  <c r="K189" i="33"/>
  <c r="F193" i="33"/>
  <c r="CJ187" i="33"/>
  <c r="CE29" i="33"/>
  <c r="O19" i="34" a="1"/>
  <c r="O19" i="34" s="1"/>
  <c r="CJ25" i="33"/>
  <c r="F31" i="33"/>
  <c r="F6" i="40"/>
  <c r="G32" i="33"/>
  <c r="CJ26" i="33"/>
  <c r="J35" i="33"/>
  <c r="CI31" i="33"/>
  <c r="CI35" i="33" s="1"/>
  <c r="AS9" i="37"/>
  <c r="D392" i="34"/>
  <c r="CF31" i="33"/>
  <c r="CG29" i="33"/>
  <c r="H31" i="33"/>
  <c r="K29" i="33"/>
  <c r="G33" i="33"/>
  <c r="CJ27" i="33"/>
  <c r="CF29" i="33"/>
  <c r="F1955" i="33" l="1"/>
  <c r="CE1951" i="33"/>
  <c r="K1951" i="33"/>
  <c r="CF1951" i="33"/>
  <c r="CF1955" i="33" s="1"/>
  <c r="G1955" i="33"/>
  <c r="CI1951" i="33"/>
  <c r="CI1955" i="33" s="1"/>
  <c r="J1955" i="33"/>
  <c r="CG1951" i="33"/>
  <c r="CG1955" i="33" s="1"/>
  <c r="H1955" i="33"/>
  <c r="CE1952" i="33"/>
  <c r="CJ1952" i="33" s="1"/>
  <c r="K1952" i="33"/>
  <c r="CG1919" i="33"/>
  <c r="CG1923" i="33" s="1"/>
  <c r="H1923" i="33"/>
  <c r="CI1919" i="33"/>
  <c r="CI1923" i="33" s="1"/>
  <c r="J1923" i="33"/>
  <c r="CJ1917" i="33"/>
  <c r="CE1920" i="33"/>
  <c r="K1920" i="33"/>
  <c r="F1923" i="33"/>
  <c r="CF1919" i="33"/>
  <c r="G1923" i="33"/>
  <c r="K1919" i="33"/>
  <c r="K1923" i="33" s="1"/>
  <c r="CJ1885" i="33"/>
  <c r="CE1888" i="33"/>
  <c r="CJ1888" i="33" s="1"/>
  <c r="K1888" i="33"/>
  <c r="F1891" i="33"/>
  <c r="CE1887" i="33"/>
  <c r="K1887" i="33"/>
  <c r="K1891" i="33" s="1"/>
  <c r="CF1887" i="33"/>
  <c r="CF1891" i="33" s="1"/>
  <c r="G1891" i="33"/>
  <c r="CG1887" i="33"/>
  <c r="CG1891" i="33" s="1"/>
  <c r="H1891" i="33"/>
  <c r="G1859" i="33"/>
  <c r="CF1855" i="33"/>
  <c r="CF1859" i="33" s="1"/>
  <c r="CG1855" i="33"/>
  <c r="CG1859" i="33" s="1"/>
  <c r="H1859" i="33"/>
  <c r="CJ1853" i="33"/>
  <c r="CE1856" i="33"/>
  <c r="CJ1856" i="33" s="1"/>
  <c r="K1856" i="33"/>
  <c r="F1859" i="33"/>
  <c r="CE1855" i="33"/>
  <c r="K1855" i="33"/>
  <c r="CF1823" i="33"/>
  <c r="CF1827" i="33" s="1"/>
  <c r="G1827" i="33"/>
  <c r="F1827" i="33"/>
  <c r="CE1823" i="33"/>
  <c r="K1823" i="33"/>
  <c r="K1827" i="33" s="1"/>
  <c r="CG1823" i="33"/>
  <c r="CG1827" i="33" s="1"/>
  <c r="H1827" i="33"/>
  <c r="CG1791" i="33"/>
  <c r="CG1795" i="33" s="1"/>
  <c r="H1795" i="33"/>
  <c r="CF1791" i="33"/>
  <c r="CF1795" i="33" s="1"/>
  <c r="G1795" i="33"/>
  <c r="F1795" i="33"/>
  <c r="CE1791" i="33"/>
  <c r="K1791" i="33"/>
  <c r="K1795" i="33" s="1"/>
  <c r="F1763" i="33"/>
  <c r="CE1759" i="33"/>
  <c r="K1759" i="33"/>
  <c r="K1763" i="33" s="1"/>
  <c r="CG1759" i="33"/>
  <c r="CG1763" i="33" s="1"/>
  <c r="H1763" i="33"/>
  <c r="CE1760" i="33"/>
  <c r="CJ1760" i="33" s="1"/>
  <c r="K1760" i="33"/>
  <c r="CF1759" i="33"/>
  <c r="CF1763" i="33" s="1"/>
  <c r="G1763" i="33"/>
  <c r="CI1727" i="33"/>
  <c r="CI1731" i="33" s="1"/>
  <c r="J1731" i="33"/>
  <c r="CG1727" i="33"/>
  <c r="CG1731" i="33" s="1"/>
  <c r="H1731" i="33"/>
  <c r="CJ1725" i="33"/>
  <c r="F1731" i="33"/>
  <c r="CE1727" i="33"/>
  <c r="K1727" i="33"/>
  <c r="K1731" i="33" s="1"/>
  <c r="CF1727" i="33"/>
  <c r="CF1731" i="33" s="1"/>
  <c r="G1731" i="33"/>
  <c r="CE1728" i="33"/>
  <c r="CJ1728" i="33" s="1"/>
  <c r="K1728" i="33"/>
  <c r="CJ1693" i="33"/>
  <c r="CG1695" i="33"/>
  <c r="CG1699" i="33" s="1"/>
  <c r="H1699" i="33"/>
  <c r="CF1695" i="33"/>
  <c r="CF1699" i="33" s="1"/>
  <c r="G1699" i="33"/>
  <c r="CE1696" i="33"/>
  <c r="CJ1696" i="33" s="1"/>
  <c r="K1696" i="33"/>
  <c r="CJ1695" i="33"/>
  <c r="CJ1699" i="33" s="1"/>
  <c r="K1695" i="33"/>
  <c r="CG1663" i="33"/>
  <c r="CG1667" i="33" s="1"/>
  <c r="H1667" i="33"/>
  <c r="F1667" i="33"/>
  <c r="CE1663" i="33"/>
  <c r="K1663" i="33"/>
  <c r="K1667" i="33" s="1"/>
  <c r="CF1663" i="33"/>
  <c r="CF1667" i="33" s="1"/>
  <c r="G1667" i="33"/>
  <c r="CE1664" i="33"/>
  <c r="CJ1664" i="33" s="1"/>
  <c r="K1664" i="33"/>
  <c r="CF1631" i="33"/>
  <c r="CF1635" i="33" s="1"/>
  <c r="G1635" i="33"/>
  <c r="CE1632" i="33"/>
  <c r="CJ1632" i="33" s="1"/>
  <c r="K1632" i="33"/>
  <c r="CJ1629" i="33"/>
  <c r="F1635" i="33"/>
  <c r="CE1631" i="33"/>
  <c r="K1631" i="33"/>
  <c r="K1635" i="33" s="1"/>
  <c r="CG1631" i="33"/>
  <c r="CG1635" i="33" s="1"/>
  <c r="H1635" i="33"/>
  <c r="CF1599" i="33"/>
  <c r="G1603" i="33"/>
  <c r="K1599" i="33"/>
  <c r="CG1599" i="33"/>
  <c r="CG1603" i="33" s="1"/>
  <c r="H1603" i="33"/>
  <c r="CE1600" i="33"/>
  <c r="K1600" i="33"/>
  <c r="F1603" i="33"/>
  <c r="CJ1597" i="33"/>
  <c r="CG1567" i="33"/>
  <c r="CG1571" i="33" s="1"/>
  <c r="H1571" i="33"/>
  <c r="F1571" i="33"/>
  <c r="CE1567" i="33"/>
  <c r="K1567" i="33"/>
  <c r="K1571" i="33" s="1"/>
  <c r="CF1567" i="33"/>
  <c r="CF1571" i="33" s="1"/>
  <c r="G1571" i="33"/>
  <c r="CI1535" i="33"/>
  <c r="CI1539" i="33" s="1"/>
  <c r="J1539" i="33"/>
  <c r="CF1535" i="33"/>
  <c r="CF1539" i="33" s="1"/>
  <c r="G1539" i="33"/>
  <c r="CE1536" i="33"/>
  <c r="CJ1536" i="33" s="1"/>
  <c r="K1536" i="33"/>
  <c r="CG1535" i="33"/>
  <c r="CG1539" i="33" s="1"/>
  <c r="H1539" i="33"/>
  <c r="CJ1533" i="33"/>
  <c r="F1539" i="33"/>
  <c r="CE1535" i="33"/>
  <c r="K1535" i="33"/>
  <c r="CE1504" i="33"/>
  <c r="CJ1504" i="33" s="1"/>
  <c r="K1504" i="33"/>
  <c r="F1507" i="33"/>
  <c r="K1503" i="33"/>
  <c r="K1507" i="33" s="1"/>
  <c r="CE1503" i="33"/>
  <c r="CG1503" i="33"/>
  <c r="CG1507" i="33" s="1"/>
  <c r="H1507" i="33"/>
  <c r="G1507" i="33"/>
  <c r="CF1503" i="33"/>
  <c r="CF1507" i="33" s="1"/>
  <c r="CG1471" i="33"/>
  <c r="CG1475" i="33" s="1"/>
  <c r="H1475" i="33"/>
  <c r="CF1471" i="33"/>
  <c r="CF1475" i="33" s="1"/>
  <c r="G1475" i="33"/>
  <c r="CJ1469" i="33"/>
  <c r="CE1472" i="33"/>
  <c r="CJ1472" i="33" s="1"/>
  <c r="K1472" i="33"/>
  <c r="F1475" i="33"/>
  <c r="CE1471" i="33"/>
  <c r="K1471" i="33"/>
  <c r="CE1440" i="33"/>
  <c r="CJ1440" i="33" s="1"/>
  <c r="K1440" i="33"/>
  <c r="CG1439" i="33"/>
  <c r="CG1443" i="33" s="1"/>
  <c r="H1443" i="33"/>
  <c r="CF1439" i="33"/>
  <c r="CF1443" i="33" s="1"/>
  <c r="G1443" i="33"/>
  <c r="CJ1437" i="33"/>
  <c r="F1443" i="33"/>
  <c r="CE1439" i="33"/>
  <c r="K1439" i="33"/>
  <c r="K1443" i="33" s="1"/>
  <c r="CE1408" i="33"/>
  <c r="CJ1408" i="33" s="1"/>
  <c r="K1408" i="33"/>
  <c r="CG1407" i="33"/>
  <c r="CG1411" i="33" s="1"/>
  <c r="H1411" i="33"/>
  <c r="CJ1405" i="33"/>
  <c r="F1411" i="33"/>
  <c r="CE1407" i="33"/>
  <c r="K1407" i="33"/>
  <c r="CF1407" i="33"/>
  <c r="CF1411" i="33" s="1"/>
  <c r="G1411" i="33"/>
  <c r="CI1407" i="33"/>
  <c r="CI1411" i="33" s="1"/>
  <c r="J1411" i="33"/>
  <c r="CF1375" i="33"/>
  <c r="CF1379" i="33" s="1"/>
  <c r="G1379" i="33"/>
  <c r="CG1375" i="33"/>
  <c r="CG1379" i="33" s="1"/>
  <c r="H1379" i="33"/>
  <c r="CE1376" i="33"/>
  <c r="CJ1376" i="33" s="1"/>
  <c r="K1376" i="33"/>
  <c r="F1379" i="33"/>
  <c r="CE1375" i="33"/>
  <c r="K1375" i="33"/>
  <c r="K1379" i="33" s="1"/>
  <c r="CI1375" i="33"/>
  <c r="CI1379" i="33" s="1"/>
  <c r="J1379" i="33"/>
  <c r="D368" i="34" a="1"/>
  <c r="D368" i="34" s="1"/>
  <c r="O350" i="34" a="1"/>
  <c r="O350" i="34" s="1"/>
  <c r="AA118" i="37" s="1"/>
  <c r="O118" i="37" s="1"/>
  <c r="D350" i="34" a="1"/>
  <c r="D350" i="34" s="1"/>
  <c r="D374" i="34" a="1"/>
  <c r="D374" i="34" s="1"/>
  <c r="D332" i="34" a="1"/>
  <c r="D332" i="34" s="1"/>
  <c r="D338" i="34" a="1"/>
  <c r="D338" i="34" s="1"/>
  <c r="D290" i="34" a="1"/>
  <c r="D290" i="34" s="1"/>
  <c r="H1347" i="33"/>
  <c r="CG1343" i="33"/>
  <c r="K1343" i="33"/>
  <c r="D266" i="34" a="1"/>
  <c r="D266" i="34" s="1"/>
  <c r="CJ1312" i="33"/>
  <c r="G1283" i="33"/>
  <c r="CF1279" i="33"/>
  <c r="CF1283" i="33" s="1"/>
  <c r="CF1311" i="33"/>
  <c r="G1315" i="33"/>
  <c r="K1311" i="33"/>
  <c r="D260" i="34" a="1"/>
  <c r="D260" i="34" s="1"/>
  <c r="O296" i="34" a="1"/>
  <c r="O296" i="34" s="1"/>
  <c r="D296" i="34" a="1"/>
  <c r="D296" i="34" s="1"/>
  <c r="J1315" i="33"/>
  <c r="CI1311" i="33"/>
  <c r="CI1315" i="33" s="1"/>
  <c r="K1344" i="33"/>
  <c r="CE1344" i="33"/>
  <c r="F1347" i="33"/>
  <c r="D308" i="34" a="1"/>
  <c r="D308" i="34" s="1"/>
  <c r="CE1281" i="33"/>
  <c r="CJ1281" i="33" s="1"/>
  <c r="K1281" i="33"/>
  <c r="D284" i="34" a="1"/>
  <c r="D284" i="34" s="1"/>
  <c r="F1283" i="33"/>
  <c r="J1283" i="33"/>
  <c r="CI1279" i="33"/>
  <c r="CI1283" i="33" s="1"/>
  <c r="O410" i="34"/>
  <c r="CJ1277" i="33"/>
  <c r="K1283" i="33"/>
  <c r="CE1314" i="33"/>
  <c r="CJ1314" i="33" s="1"/>
  <c r="K1314" i="33"/>
  <c r="D320" i="34" a="1"/>
  <c r="D320" i="34" s="1"/>
  <c r="CE1346" i="33"/>
  <c r="CJ1346" i="33" s="1"/>
  <c r="K1346" i="33"/>
  <c r="CI1343" i="33"/>
  <c r="CI1347" i="33" s="1"/>
  <c r="J1347" i="33"/>
  <c r="CE1283" i="33"/>
  <c r="CJ1279" i="33"/>
  <c r="CJ1283" i="33" s="1"/>
  <c r="G45" i="40"/>
  <c r="O254" i="34" a="1"/>
  <c r="O254" i="34" s="1"/>
  <c r="D272" i="34" a="1"/>
  <c r="D272" i="34" s="1"/>
  <c r="D278" i="34" a="1"/>
  <c r="D278" i="34" s="1"/>
  <c r="CJ1341" i="33"/>
  <c r="D326" i="34" a="1"/>
  <c r="D326" i="34" s="1"/>
  <c r="D314" i="34" a="1"/>
  <c r="D314" i="34" s="1"/>
  <c r="CJ1309" i="33"/>
  <c r="K1217" i="33"/>
  <c r="CE1217" i="33"/>
  <c r="CJ1217" i="33" s="1"/>
  <c r="CE1088" i="33"/>
  <c r="CJ1088" i="33" s="1"/>
  <c r="K1088" i="33"/>
  <c r="K1155" i="33"/>
  <c r="I899" i="33"/>
  <c r="CH895" i="33"/>
  <c r="CH899" i="33" s="1"/>
  <c r="J1187" i="33"/>
  <c r="CI1183" i="33"/>
  <c r="CI1187" i="33" s="1"/>
  <c r="K1185" i="33"/>
  <c r="CE1185" i="33"/>
  <c r="CJ1185" i="33" s="1"/>
  <c r="F1059" i="33"/>
  <c r="K1055" i="33"/>
  <c r="CE1055" i="33"/>
  <c r="D212" i="34" a="1"/>
  <c r="D212" i="34" s="1"/>
  <c r="CH959" i="33"/>
  <c r="CH963" i="33" s="1"/>
  <c r="I963" i="33"/>
  <c r="CG863" i="33"/>
  <c r="CG867" i="33" s="1"/>
  <c r="H867" i="33"/>
  <c r="G41" i="40"/>
  <c r="O230" i="34" a="1"/>
  <c r="O230" i="34" s="1"/>
  <c r="K1154" i="33"/>
  <c r="CE1154" i="33"/>
  <c r="CJ1154" i="33" s="1"/>
  <c r="F995" i="33"/>
  <c r="CE991" i="33"/>
  <c r="K991" i="33"/>
  <c r="D200" i="34" a="1"/>
  <c r="D200" i="34" s="1"/>
  <c r="CE1120" i="33"/>
  <c r="CJ1120" i="33" s="1"/>
  <c r="K1120" i="33"/>
  <c r="K1123" i="33" s="1"/>
  <c r="K863" i="33"/>
  <c r="CG1087" i="33"/>
  <c r="CG1091" i="33" s="1"/>
  <c r="H1091" i="33"/>
  <c r="K1026" i="33"/>
  <c r="CE1026" i="33"/>
  <c r="CJ1026" i="33" s="1"/>
  <c r="CJ925" i="33"/>
  <c r="CJ863" i="33"/>
  <c r="CE1183" i="33"/>
  <c r="K1183" i="33"/>
  <c r="K1187" i="33" s="1"/>
  <c r="F1187" i="33"/>
  <c r="D236" i="34" a="1"/>
  <c r="D236" i="34" s="1"/>
  <c r="CH1151" i="33"/>
  <c r="CH1155" i="33" s="1"/>
  <c r="I1155" i="33"/>
  <c r="CE1122" i="33"/>
  <c r="CJ1122" i="33" s="1"/>
  <c r="K1122" i="33"/>
  <c r="G995" i="33"/>
  <c r="CF991" i="33"/>
  <c r="CF995" i="33" s="1"/>
  <c r="K1152" i="33"/>
  <c r="CE1152" i="33"/>
  <c r="CJ1152" i="33" s="1"/>
  <c r="K1186" i="33"/>
  <c r="CE1186" i="33"/>
  <c r="CJ1186" i="33" s="1"/>
  <c r="K1058" i="33"/>
  <c r="CE1058" i="33"/>
  <c r="CJ1058" i="33" s="1"/>
  <c r="CE963" i="33"/>
  <c r="CJ959" i="33"/>
  <c r="CJ963" i="33" s="1"/>
  <c r="CJ1245" i="33"/>
  <c r="K895" i="33"/>
  <c r="K899" i="33" s="1"/>
  <c r="F899" i="33"/>
  <c r="CE895" i="33"/>
  <c r="D182" i="34" a="1"/>
  <c r="D182" i="34" s="1"/>
  <c r="I931" i="33"/>
  <c r="CH927" i="33"/>
  <c r="CH931" i="33" s="1"/>
  <c r="CE929" i="33"/>
  <c r="CJ929" i="33" s="1"/>
  <c r="K929" i="33"/>
  <c r="H963" i="33"/>
  <c r="CG959" i="33"/>
  <c r="CG963" i="33" s="1"/>
  <c r="K1087" i="33"/>
  <c r="F1091" i="33"/>
  <c r="CE1087" i="33"/>
  <c r="D218" i="34" a="1"/>
  <c r="D218" i="34" s="1"/>
  <c r="CE927" i="33"/>
  <c r="K927" i="33"/>
  <c r="K931" i="33" s="1"/>
  <c r="F931" i="33"/>
  <c r="D188" i="34" a="1"/>
  <c r="D188" i="34" s="1"/>
  <c r="CI1087" i="33"/>
  <c r="CI1091" i="33" s="1"/>
  <c r="J1091" i="33"/>
  <c r="CJ1021" i="33"/>
  <c r="CI1055" i="33"/>
  <c r="CI1059" i="33" s="1"/>
  <c r="J1059" i="33"/>
  <c r="J931" i="33"/>
  <c r="CI927" i="33"/>
  <c r="CI931" i="33" s="1"/>
  <c r="CE864" i="33"/>
  <c r="CJ864" i="33" s="1"/>
  <c r="K864" i="33"/>
  <c r="CF993" i="33"/>
  <c r="CJ993" i="33" s="1"/>
  <c r="K993" i="33"/>
  <c r="G1027" i="33"/>
  <c r="CF1023" i="33"/>
  <c r="K1023" i="33"/>
  <c r="D206" i="34" a="1"/>
  <c r="D206" i="34" s="1"/>
  <c r="CE1215" i="33"/>
  <c r="F1219" i="33"/>
  <c r="K1215" i="33"/>
  <c r="K1219" i="33" s="1"/>
  <c r="D242" i="34" a="1"/>
  <c r="D242" i="34" s="1"/>
  <c r="K896" i="33"/>
  <c r="CE896" i="33"/>
  <c r="CJ896" i="33" s="1"/>
  <c r="CF959" i="33"/>
  <c r="CF963" i="33" s="1"/>
  <c r="G963" i="33"/>
  <c r="CJ1085" i="33"/>
  <c r="K959" i="33"/>
  <c r="K963" i="33" s="1"/>
  <c r="H1059" i="33"/>
  <c r="CG1055" i="33"/>
  <c r="CG1059" i="33" s="1"/>
  <c r="CE1090" i="33"/>
  <c r="CJ1090" i="33" s="1"/>
  <c r="K1090" i="33"/>
  <c r="CJ1119" i="33"/>
  <c r="CJ1123" i="33" s="1"/>
  <c r="CE1123" i="33"/>
  <c r="G40" i="40"/>
  <c r="O224" i="34" a="1"/>
  <c r="O224" i="34" s="1"/>
  <c r="AA82" i="37" s="1"/>
  <c r="O82" i="37" s="1"/>
  <c r="K1249" i="33"/>
  <c r="CE1249" i="33"/>
  <c r="F1251" i="33"/>
  <c r="CI895" i="33"/>
  <c r="CI899" i="33" s="1"/>
  <c r="J899" i="33"/>
  <c r="CE1024" i="33"/>
  <c r="K1024" i="33"/>
  <c r="F1027" i="33"/>
  <c r="H899" i="33"/>
  <c r="CG895" i="33"/>
  <c r="CG899" i="33" s="1"/>
  <c r="H1251" i="33"/>
  <c r="CG1247" i="33"/>
  <c r="D248" i="34" a="1"/>
  <c r="D248" i="34" s="1"/>
  <c r="K1247" i="33"/>
  <c r="K1251" i="33" s="1"/>
  <c r="CE866" i="33"/>
  <c r="CJ866" i="33" s="1"/>
  <c r="K866" i="33"/>
  <c r="CJ1181" i="33"/>
  <c r="CF799" i="33"/>
  <c r="CF803" i="33" s="1"/>
  <c r="G803" i="33"/>
  <c r="CH799" i="33"/>
  <c r="CH803" i="33" s="1"/>
  <c r="I803" i="33"/>
  <c r="K610" i="33"/>
  <c r="K611" i="33" s="1"/>
  <c r="CE610" i="33"/>
  <c r="CJ610" i="33" s="1"/>
  <c r="K511" i="33"/>
  <c r="F515" i="33"/>
  <c r="CE511" i="33"/>
  <c r="D110" i="34" a="1"/>
  <c r="D110" i="34" s="1"/>
  <c r="CE576" i="33"/>
  <c r="CJ576" i="33" s="1"/>
  <c r="K576" i="33"/>
  <c r="D164" i="34" a="1"/>
  <c r="D164" i="34" s="1"/>
  <c r="I707" i="33"/>
  <c r="CH703" i="33"/>
  <c r="CH707" i="33" s="1"/>
  <c r="CJ832" i="33"/>
  <c r="CE835" i="33"/>
  <c r="D146" i="34" a="1"/>
  <c r="D146" i="34" s="1"/>
  <c r="G611" i="33"/>
  <c r="CF607" i="33"/>
  <c r="CF611" i="33" s="1"/>
  <c r="I547" i="33"/>
  <c r="CH543" i="33"/>
  <c r="CH547" i="33" s="1"/>
  <c r="K769" i="33"/>
  <c r="CE769" i="33"/>
  <c r="CJ769" i="33" s="1"/>
  <c r="J643" i="33"/>
  <c r="CI639" i="33"/>
  <c r="CI643" i="33" s="1"/>
  <c r="K799" i="33"/>
  <c r="K803" i="33" s="1"/>
  <c r="CE482" i="33"/>
  <c r="CJ482" i="33" s="1"/>
  <c r="K482" i="33"/>
  <c r="K483" i="33" s="1"/>
  <c r="F483" i="33"/>
  <c r="CF671" i="33"/>
  <c r="G675" i="33"/>
  <c r="CF639" i="33"/>
  <c r="CF643" i="33" s="1"/>
  <c r="G643" i="33"/>
  <c r="D134" i="34" a="1"/>
  <c r="D134" i="34" s="1"/>
  <c r="CE448" i="33"/>
  <c r="CJ448" i="33" s="1"/>
  <c r="K448" i="33"/>
  <c r="CF543" i="33"/>
  <c r="CF547" i="33" s="1"/>
  <c r="G547" i="33"/>
  <c r="CE643" i="33"/>
  <c r="O134" i="34" a="1"/>
  <c r="O134" i="34" s="1"/>
  <c r="AA103" i="37" s="1"/>
  <c r="O103" i="37" s="1"/>
  <c r="CJ765" i="33"/>
  <c r="CJ541" i="33"/>
  <c r="CE449" i="33"/>
  <c r="CJ449" i="33" s="1"/>
  <c r="K449" i="33"/>
  <c r="CE611" i="33"/>
  <c r="O128" i="34" a="1"/>
  <c r="O128" i="34" s="1"/>
  <c r="CF674" i="33"/>
  <c r="CJ674" i="33" s="1"/>
  <c r="K674" i="33"/>
  <c r="K513" i="33"/>
  <c r="CE513" i="33"/>
  <c r="CJ513" i="33" s="1"/>
  <c r="CI479" i="33"/>
  <c r="CI483" i="33" s="1"/>
  <c r="J483" i="33"/>
  <c r="F579" i="33"/>
  <c r="O404" i="34"/>
  <c r="CE767" i="33"/>
  <c r="F771" i="33"/>
  <c r="K767" i="33"/>
  <c r="K771" i="33" s="1"/>
  <c r="D158" i="34" a="1"/>
  <c r="D158" i="34" s="1"/>
  <c r="CE543" i="33"/>
  <c r="K543" i="33"/>
  <c r="F547" i="33"/>
  <c r="D116" i="34" a="1"/>
  <c r="D116" i="34" s="1"/>
  <c r="CE739" i="33"/>
  <c r="G28" i="40"/>
  <c r="CE803" i="33"/>
  <c r="CJ799" i="33"/>
  <c r="CJ803" i="33" s="1"/>
  <c r="O164" i="34" a="1"/>
  <c r="O164" i="34" s="1"/>
  <c r="AA75" i="37" s="1"/>
  <c r="O75" i="37" s="1"/>
  <c r="G30" i="40"/>
  <c r="I483" i="33"/>
  <c r="CH479" i="33"/>
  <c r="CH483" i="33" s="1"/>
  <c r="CF767" i="33"/>
  <c r="CF771" i="33" s="1"/>
  <c r="G771" i="33"/>
  <c r="K578" i="33"/>
  <c r="CE578" i="33"/>
  <c r="CJ578" i="33" s="1"/>
  <c r="CE707" i="33"/>
  <c r="O165" i="34"/>
  <c r="CJ575" i="33"/>
  <c r="K639" i="33"/>
  <c r="K643" i="33" s="1"/>
  <c r="J451" i="33"/>
  <c r="CI447" i="33"/>
  <c r="CI451" i="33" s="1"/>
  <c r="G739" i="33"/>
  <c r="CF735" i="33"/>
  <c r="CF739" i="33" s="1"/>
  <c r="J611" i="33"/>
  <c r="CI607" i="33"/>
  <c r="CI611" i="33" s="1"/>
  <c r="I579" i="33"/>
  <c r="CH575" i="33"/>
  <c r="CH579" i="33" s="1"/>
  <c r="K546" i="33"/>
  <c r="CE546" i="33"/>
  <c r="CJ546" i="33" s="1"/>
  <c r="CJ671" i="33"/>
  <c r="CJ675" i="33" s="1"/>
  <c r="CE675" i="33"/>
  <c r="G26" i="40"/>
  <c r="O140" i="34" a="1"/>
  <c r="O140" i="34" s="1"/>
  <c r="AA104" i="37" s="1"/>
  <c r="O104" i="37" s="1"/>
  <c r="F451" i="33"/>
  <c r="K575" i="33"/>
  <c r="K579" i="33" s="1"/>
  <c r="CJ573" i="33"/>
  <c r="CI831" i="33"/>
  <c r="CI835" i="33" s="1"/>
  <c r="J835" i="33"/>
  <c r="I835" i="33"/>
  <c r="CH831" i="33"/>
  <c r="CH835" i="33" s="1"/>
  <c r="H739" i="33"/>
  <c r="CG735" i="33"/>
  <c r="CG739" i="33" s="1"/>
  <c r="K675" i="33"/>
  <c r="K451" i="33"/>
  <c r="H707" i="33"/>
  <c r="CG703" i="33"/>
  <c r="CG707" i="33" s="1"/>
  <c r="O141" i="34"/>
  <c r="CF479" i="33"/>
  <c r="CF483" i="33" s="1"/>
  <c r="G483" i="33"/>
  <c r="D104" i="34" a="1"/>
  <c r="D104" i="34" s="1"/>
  <c r="G835" i="33"/>
  <c r="CF831" i="33"/>
  <c r="D170" i="34" a="1"/>
  <c r="D170" i="34" s="1"/>
  <c r="K831" i="33"/>
  <c r="K835" i="33" s="1"/>
  <c r="CE419" i="33"/>
  <c r="G419" i="33"/>
  <c r="CF415" i="33"/>
  <c r="CF419" i="33" s="1"/>
  <c r="K419" i="33"/>
  <c r="G17" i="40"/>
  <c r="CJ383" i="33"/>
  <c r="CJ387" i="33" s="1"/>
  <c r="O86" i="34" a="1"/>
  <c r="O86" i="34" s="1"/>
  <c r="CE387" i="33"/>
  <c r="K387" i="33"/>
  <c r="K355" i="33"/>
  <c r="K353" i="33"/>
  <c r="CE353" i="33"/>
  <c r="CJ353" i="33" s="1"/>
  <c r="G355" i="33"/>
  <c r="CF351" i="33"/>
  <c r="CF355" i="33" s="1"/>
  <c r="O80" i="34" a="1"/>
  <c r="O80" i="34" s="1"/>
  <c r="G16" i="40"/>
  <c r="CJ351" i="33"/>
  <c r="CJ355" i="33" s="1"/>
  <c r="CE355" i="33"/>
  <c r="G323" i="33"/>
  <c r="CF319" i="33"/>
  <c r="CF323" i="33" s="1"/>
  <c r="O74" i="34" a="1"/>
  <c r="O74" i="34" s="1"/>
  <c r="CJ319" i="33"/>
  <c r="CJ323" i="33" s="1"/>
  <c r="G15" i="40"/>
  <c r="CE323" i="33"/>
  <c r="D74" i="34" a="1"/>
  <c r="D74" i="34" s="1"/>
  <c r="K319" i="33"/>
  <c r="K323" i="33" s="1"/>
  <c r="O398" i="34"/>
  <c r="D68" i="34" a="1"/>
  <c r="D68" i="34" s="1"/>
  <c r="K287" i="33"/>
  <c r="K291" i="33" s="1"/>
  <c r="F291" i="33"/>
  <c r="CE287" i="33"/>
  <c r="G13" i="40"/>
  <c r="CJ255" i="33"/>
  <c r="CJ259" i="33" s="1"/>
  <c r="O62" i="34" a="1"/>
  <c r="O62" i="34" s="1"/>
  <c r="CE259" i="33"/>
  <c r="G259" i="33"/>
  <c r="CF255" i="33"/>
  <c r="CF259" i="33" s="1"/>
  <c r="K255" i="33"/>
  <c r="K259" i="33" s="1"/>
  <c r="CE227" i="33"/>
  <c r="G227" i="33"/>
  <c r="CF223" i="33"/>
  <c r="CF227" i="33" s="1"/>
  <c r="K223" i="33"/>
  <c r="K227" i="33" s="1"/>
  <c r="K191" i="33"/>
  <c r="K195" i="33" s="1"/>
  <c r="D50" i="34" a="1"/>
  <c r="D50" i="34" s="1"/>
  <c r="F195" i="33"/>
  <c r="CE191" i="33"/>
  <c r="K193" i="33"/>
  <c r="CE193" i="33"/>
  <c r="CJ193" i="33" s="1"/>
  <c r="G195" i="33"/>
  <c r="CF191" i="33"/>
  <c r="CF195" i="33" s="1"/>
  <c r="CJ189" i="33"/>
  <c r="CF32" i="33"/>
  <c r="CJ32" i="33" s="1"/>
  <c r="K32" i="33"/>
  <c r="G35" i="33"/>
  <c r="AS20" i="37"/>
  <c r="O392" i="34"/>
  <c r="AW48" i="37"/>
  <c r="AW55" i="37"/>
  <c r="AW53" i="37"/>
  <c r="AW54" i="37"/>
  <c r="AW50" i="37"/>
  <c r="AW49" i="37"/>
  <c r="AV48" i="37"/>
  <c r="AV53" i="37"/>
  <c r="AV54" i="37"/>
  <c r="AV50" i="37"/>
  <c r="AW47" i="37"/>
  <c r="AV51" i="37"/>
  <c r="AW46" i="37"/>
  <c r="AW52" i="37"/>
  <c r="AV47" i="37"/>
  <c r="AV55" i="37"/>
  <c r="AV52" i="37"/>
  <c r="AW51" i="37"/>
  <c r="AV49" i="37"/>
  <c r="AV46" i="37"/>
  <c r="F35" i="33"/>
  <c r="D20" i="34" a="1"/>
  <c r="D20" i="34" s="1"/>
  <c r="K31" i="33"/>
  <c r="K35" i="33" s="1"/>
  <c r="CE31" i="33"/>
  <c r="CF33" i="33"/>
  <c r="CJ33" i="33" s="1"/>
  <c r="K33" i="33"/>
  <c r="CJ29" i="33"/>
  <c r="CG31" i="33"/>
  <c r="CG35" i="33" s="1"/>
  <c r="H35" i="33"/>
  <c r="K1955" i="33" l="1"/>
  <c r="CE1955" i="33"/>
  <c r="CJ1951" i="33"/>
  <c r="CJ1955" i="33" s="1"/>
  <c r="CJ1920" i="33"/>
  <c r="CE1923" i="33"/>
  <c r="CF1923" i="33"/>
  <c r="CJ1919" i="33"/>
  <c r="CJ1923" i="33" s="1"/>
  <c r="CE1891" i="33"/>
  <c r="CJ1887" i="33"/>
  <c r="CJ1891" i="33" s="1"/>
  <c r="G63" i="40"/>
  <c r="K1859" i="33"/>
  <c r="O362" i="34" a="1"/>
  <c r="O362" i="34" s="1"/>
  <c r="O363" i="34" s="1"/>
  <c r="CJ1855" i="33"/>
  <c r="CJ1859" i="33" s="1"/>
  <c r="CE1859" i="33"/>
  <c r="CE1827" i="33"/>
  <c r="CJ1823" i="33"/>
  <c r="CJ1827" i="33" s="1"/>
  <c r="CE1795" i="33"/>
  <c r="CJ1791" i="33"/>
  <c r="CJ1795" i="33" s="1"/>
  <c r="CE1763" i="33"/>
  <c r="CJ1759" i="33"/>
  <c r="CJ1763" i="33" s="1"/>
  <c r="CE1731" i="33"/>
  <c r="CJ1727" i="33"/>
  <c r="CJ1731" i="33" s="1"/>
  <c r="K1699" i="33"/>
  <c r="CE1699" i="33"/>
  <c r="CE1667" i="33"/>
  <c r="CJ1663" i="33"/>
  <c r="CJ1667" i="33" s="1"/>
  <c r="CE1635" i="33"/>
  <c r="CJ1631" i="33"/>
  <c r="CJ1635" i="33" s="1"/>
  <c r="CJ1600" i="33"/>
  <c r="CE1603" i="33"/>
  <c r="K1603" i="33"/>
  <c r="CF1603" i="33"/>
  <c r="CJ1599" i="33"/>
  <c r="CJ1603" i="33" s="1"/>
  <c r="CJ1567" i="33"/>
  <c r="CJ1571" i="33" s="1"/>
  <c r="CE1571" i="33"/>
  <c r="K1539" i="33"/>
  <c r="CE1539" i="33"/>
  <c r="CJ1535" i="33"/>
  <c r="CJ1539" i="33" s="1"/>
  <c r="CJ1503" i="33"/>
  <c r="CJ1507" i="33" s="1"/>
  <c r="CE1507" i="33"/>
  <c r="G51" i="40"/>
  <c r="K1475" i="33"/>
  <c r="CE1475" i="33"/>
  <c r="CJ1471" i="33"/>
  <c r="CJ1475" i="33" s="1"/>
  <c r="CE1443" i="33"/>
  <c r="CJ1439" i="33"/>
  <c r="CJ1443" i="33" s="1"/>
  <c r="K1411" i="33"/>
  <c r="CE1411" i="33"/>
  <c r="CJ1407" i="33"/>
  <c r="CJ1411" i="33" s="1"/>
  <c r="CE1379" i="33"/>
  <c r="CJ1375" i="33"/>
  <c r="CJ1379" i="33" s="1"/>
  <c r="AA120" i="37"/>
  <c r="O120" i="37" s="1"/>
  <c r="G66" i="40"/>
  <c r="O374" i="34" a="1"/>
  <c r="O374" i="34" s="1"/>
  <c r="G64" i="40"/>
  <c r="O368" i="34" a="1"/>
  <c r="O368" i="34" s="1"/>
  <c r="O380" i="34" a="1"/>
  <c r="O380" i="34" s="1"/>
  <c r="G65" i="40"/>
  <c r="G61" i="40"/>
  <c r="O356" i="34" a="1"/>
  <c r="O356" i="34" s="1"/>
  <c r="G62" i="40"/>
  <c r="G58" i="40"/>
  <c r="O332" i="34" a="1"/>
  <c r="O332" i="34" s="1"/>
  <c r="G60" i="40"/>
  <c r="O351" i="34"/>
  <c r="D411" i="34"/>
  <c r="G59" i="40"/>
  <c r="O338" i="34" a="1"/>
  <c r="O338" i="34" s="1"/>
  <c r="O344" i="34" a="1"/>
  <c r="O344" i="34" s="1"/>
  <c r="AA117" i="37"/>
  <c r="O117" i="37" s="1"/>
  <c r="O297" i="34"/>
  <c r="CE1315" i="33"/>
  <c r="G55" i="40"/>
  <c r="O314" i="34" a="1"/>
  <c r="O314" i="34" s="1"/>
  <c r="G49" i="40"/>
  <c r="O278" i="34" a="1"/>
  <c r="O278" i="34" s="1"/>
  <c r="G48" i="40"/>
  <c r="O272" i="34" a="1"/>
  <c r="O272" i="34" s="1"/>
  <c r="G54" i="40"/>
  <c r="O308" i="34" a="1"/>
  <c r="O308" i="34" s="1"/>
  <c r="CJ1344" i="33"/>
  <c r="CE1347" i="33"/>
  <c r="K1315" i="33"/>
  <c r="K1347" i="33"/>
  <c r="O302" i="34" a="1"/>
  <c r="O302" i="34" s="1"/>
  <c r="CG1347" i="33"/>
  <c r="CJ1343" i="33"/>
  <c r="G47" i="40"/>
  <c r="O266" i="34" a="1"/>
  <c r="O266" i="34" s="1"/>
  <c r="G50" i="40"/>
  <c r="O284" i="34" a="1"/>
  <c r="O284" i="34" s="1"/>
  <c r="G53" i="40"/>
  <c r="CF1315" i="33"/>
  <c r="G46" i="40"/>
  <c r="CJ1311" i="33"/>
  <c r="CJ1315" i="33" s="1"/>
  <c r="O260" i="34" a="1"/>
  <c r="O260" i="34" s="1"/>
  <c r="AA110" i="37"/>
  <c r="O110" i="37" s="1"/>
  <c r="O255" i="34"/>
  <c r="O320" i="34" a="1"/>
  <c r="O320" i="34" s="1"/>
  <c r="G56" i="40"/>
  <c r="G52" i="40"/>
  <c r="G57" i="40"/>
  <c r="O326" i="34" a="1"/>
  <c r="O326" i="34" s="1"/>
  <c r="O290" i="34" a="1"/>
  <c r="O290" i="34" s="1"/>
  <c r="K995" i="33"/>
  <c r="CE1219" i="33"/>
  <c r="CJ1215" i="33"/>
  <c r="CJ1219" i="33" s="1"/>
  <c r="G43" i="40"/>
  <c r="O242" i="34" a="1"/>
  <c r="O242" i="34" s="1"/>
  <c r="G32" i="40"/>
  <c r="CE1155" i="33"/>
  <c r="K1059" i="33"/>
  <c r="D405" i="34"/>
  <c r="K1027" i="33"/>
  <c r="CJ867" i="33"/>
  <c r="K867" i="33"/>
  <c r="CF1027" i="33"/>
  <c r="CJ1023" i="33"/>
  <c r="CJ1027" i="33" s="1"/>
  <c r="G37" i="40"/>
  <c r="O206" i="34" a="1"/>
  <c r="O206" i="34" s="1"/>
  <c r="CE867" i="33"/>
  <c r="CG1251" i="33"/>
  <c r="CJ1247" i="33"/>
  <c r="G44" i="40"/>
  <c r="O248" i="34" a="1"/>
  <c r="O248" i="34" s="1"/>
  <c r="O176" i="34" a="1"/>
  <c r="O176" i="34" s="1"/>
  <c r="CJ1249" i="33"/>
  <c r="CE1251" i="33"/>
  <c r="CE931" i="33"/>
  <c r="CJ927" i="33"/>
  <c r="CJ931" i="33" s="1"/>
  <c r="G34" i="40"/>
  <c r="O188" i="34" a="1"/>
  <c r="O188" i="34" s="1"/>
  <c r="O194" i="34" a="1"/>
  <c r="O194" i="34" s="1"/>
  <c r="G35" i="40"/>
  <c r="CJ1087" i="33"/>
  <c r="CJ1091" i="33" s="1"/>
  <c r="CE1091" i="33"/>
  <c r="G39" i="40"/>
  <c r="O218" i="34" a="1"/>
  <c r="O218" i="34" s="1"/>
  <c r="AA85" i="37"/>
  <c r="O85" i="37" s="1"/>
  <c r="O231" i="34"/>
  <c r="CJ1024" i="33"/>
  <c r="CE1027" i="33"/>
  <c r="K1091" i="33"/>
  <c r="CE899" i="33"/>
  <c r="CJ895" i="33"/>
  <c r="CJ899" i="33" s="1"/>
  <c r="G33" i="40"/>
  <c r="O182" i="34" a="1"/>
  <c r="O182" i="34" s="1"/>
  <c r="CE1187" i="33"/>
  <c r="CJ1183" i="33"/>
  <c r="CJ1187" i="33" s="1"/>
  <c r="G42" i="40"/>
  <c r="O236" i="34" a="1"/>
  <c r="O236" i="34" s="1"/>
  <c r="O225" i="34"/>
  <c r="CJ991" i="33"/>
  <c r="CJ995" i="33" s="1"/>
  <c r="CE995" i="33"/>
  <c r="O200" i="34" a="1"/>
  <c r="O200" i="34" s="1"/>
  <c r="G36" i="40"/>
  <c r="CJ1151" i="33"/>
  <c r="CJ1155" i="33" s="1"/>
  <c r="CJ1055" i="33"/>
  <c r="CJ1059" i="33" s="1"/>
  <c r="CE1059" i="33"/>
  <c r="G38" i="40"/>
  <c r="O212" i="34" a="1"/>
  <c r="O212" i="34" s="1"/>
  <c r="G20" i="40"/>
  <c r="O98" i="34" a="1"/>
  <c r="O98" i="34" s="1"/>
  <c r="CJ579" i="33"/>
  <c r="K547" i="33"/>
  <c r="G24" i="40"/>
  <c r="G25" i="40"/>
  <c r="CE483" i="33"/>
  <c r="CJ447" i="33"/>
  <c r="CJ451" i="33" s="1"/>
  <c r="CE579" i="33"/>
  <c r="CF835" i="33"/>
  <c r="CJ831" i="33"/>
  <c r="CJ835" i="33" s="1"/>
  <c r="O170" i="34" a="1"/>
  <c r="O170" i="34" s="1"/>
  <c r="G31" i="40"/>
  <c r="CE547" i="33"/>
  <c r="CJ543" i="33"/>
  <c r="CJ547" i="33" s="1"/>
  <c r="G22" i="40"/>
  <c r="O116" i="34" a="1"/>
  <c r="O116" i="34" s="1"/>
  <c r="CJ479" i="33"/>
  <c r="CJ483" i="33" s="1"/>
  <c r="G19" i="40"/>
  <c r="O152" i="34" a="1"/>
  <c r="O152" i="34" s="1"/>
  <c r="CJ607" i="33"/>
  <c r="CJ611" i="33" s="1"/>
  <c r="CJ639" i="33"/>
  <c r="CJ643" i="33" s="1"/>
  <c r="CE451" i="33"/>
  <c r="AA100" i="37"/>
  <c r="O100" i="37" s="1"/>
  <c r="O129" i="34"/>
  <c r="O146" i="34" a="1"/>
  <c r="O146" i="34" s="1"/>
  <c r="CJ735" i="33"/>
  <c r="CJ739" i="33" s="1"/>
  <c r="CF675" i="33"/>
  <c r="CJ511" i="33"/>
  <c r="CJ515" i="33" s="1"/>
  <c r="CE515" i="33"/>
  <c r="G21" i="40"/>
  <c r="O110" i="34" a="1"/>
  <c r="O110" i="34" s="1"/>
  <c r="G27" i="40"/>
  <c r="O122" i="34" a="1"/>
  <c r="O122" i="34" s="1"/>
  <c r="CJ703" i="33"/>
  <c r="CJ707" i="33" s="1"/>
  <c r="CE771" i="33"/>
  <c r="CJ767" i="33"/>
  <c r="CJ771" i="33" s="1"/>
  <c r="G29" i="40"/>
  <c r="O158" i="34" a="1"/>
  <c r="O158" i="34" s="1"/>
  <c r="O135" i="34"/>
  <c r="K515" i="33"/>
  <c r="G23" i="40"/>
  <c r="O104" i="34" a="1"/>
  <c r="O104" i="34" s="1"/>
  <c r="O92" i="34" a="1"/>
  <c r="O92" i="34" s="1"/>
  <c r="CJ415" i="33"/>
  <c r="CJ419" i="33" s="1"/>
  <c r="G18" i="40"/>
  <c r="AA106" i="37"/>
  <c r="O106" i="37" s="1"/>
  <c r="O87" i="34"/>
  <c r="AA87" i="37"/>
  <c r="O87" i="37" s="1"/>
  <c r="O81" i="34"/>
  <c r="AA66" i="37"/>
  <c r="O66" i="37" s="1"/>
  <c r="O75" i="34"/>
  <c r="D399" i="34"/>
  <c r="CJ287" i="33"/>
  <c r="CJ291" i="33" s="1"/>
  <c r="G14" i="40"/>
  <c r="O68" i="34" a="1"/>
  <c r="O68" i="34" s="1"/>
  <c r="CE291" i="33"/>
  <c r="AA90" i="37"/>
  <c r="O90" i="37" s="1"/>
  <c r="O63" i="34"/>
  <c r="CJ223" i="33"/>
  <c r="CJ227" i="33" s="1"/>
  <c r="G12" i="40"/>
  <c r="O56" i="34" a="1"/>
  <c r="O56" i="34" s="1"/>
  <c r="O50" i="34" a="1"/>
  <c r="O50" i="34" s="1"/>
  <c r="G11" i="40"/>
  <c r="CE195" i="33"/>
  <c r="CJ191" i="33"/>
  <c r="CJ195" i="33" s="1"/>
  <c r="CE35" i="33"/>
  <c r="G6" i="40"/>
  <c r="O20" i="34" a="1"/>
  <c r="O20" i="34" s="1"/>
  <c r="CJ31" i="33"/>
  <c r="CJ35" i="33" s="1"/>
  <c r="AT9" i="37"/>
  <c r="D393" i="34"/>
  <c r="CF35" i="33"/>
  <c r="AA83" i="37" l="1"/>
  <c r="O83" i="37" s="1"/>
  <c r="O339" i="34"/>
  <c r="AA80" i="37"/>
  <c r="O80" i="37" s="1"/>
  <c r="O333" i="34"/>
  <c r="AA124" i="37"/>
  <c r="O124" i="37" s="1"/>
  <c r="O375" i="34"/>
  <c r="AA86" i="37"/>
  <c r="O86" i="37" s="1"/>
  <c r="O345" i="34"/>
  <c r="AA119" i="37"/>
  <c r="O119" i="37" s="1"/>
  <c r="O357" i="34"/>
  <c r="AA89" i="37"/>
  <c r="O89" i="37" s="1"/>
  <c r="O381" i="34"/>
  <c r="AA121" i="37"/>
  <c r="O121" i="37" s="1"/>
  <c r="O369" i="34"/>
  <c r="CJ1347" i="33"/>
  <c r="AA115" i="37"/>
  <c r="O115" i="37" s="1"/>
  <c r="O285" i="34"/>
  <c r="AA116" i="37"/>
  <c r="O116" i="37" s="1"/>
  <c r="O291" i="34"/>
  <c r="AA113" i="37"/>
  <c r="O113" i="37" s="1"/>
  <c r="O273" i="34"/>
  <c r="O411" i="34"/>
  <c r="AA129" i="37" s="1"/>
  <c r="O129" i="37" s="1"/>
  <c r="AA77" i="37"/>
  <c r="O77" i="37" s="1"/>
  <c r="O315" i="34"/>
  <c r="AA111" i="37"/>
  <c r="O111" i="37" s="1"/>
  <c r="O261" i="34"/>
  <c r="AA122" i="37"/>
  <c r="O122" i="37" s="1"/>
  <c r="O303" i="34"/>
  <c r="AA123" i="37"/>
  <c r="O123" i="37" s="1"/>
  <c r="O309" i="34"/>
  <c r="AA74" i="37"/>
  <c r="O74" i="37" s="1"/>
  <c r="O327" i="34"/>
  <c r="AA71" i="37"/>
  <c r="O71" i="37" s="1"/>
  <c r="O321" i="34"/>
  <c r="AA114" i="37"/>
  <c r="O114" i="37" s="1"/>
  <c r="O279" i="34"/>
  <c r="AA112" i="37"/>
  <c r="O112" i="37" s="1"/>
  <c r="O267" i="34"/>
  <c r="AA79" i="37"/>
  <c r="O79" i="37" s="1"/>
  <c r="O219" i="34"/>
  <c r="AA84" i="37"/>
  <c r="O84" i="37" s="1"/>
  <c r="O213" i="34"/>
  <c r="AA81" i="37"/>
  <c r="O81" i="37" s="1"/>
  <c r="O207" i="34"/>
  <c r="AA108" i="37"/>
  <c r="O108" i="37" s="1"/>
  <c r="O243" i="34"/>
  <c r="AA88" i="37"/>
  <c r="O88" i="37" s="1"/>
  <c r="O237" i="34"/>
  <c r="AA72" i="37"/>
  <c r="O72" i="37" s="1"/>
  <c r="O177" i="34"/>
  <c r="AA73" i="37"/>
  <c r="O73" i="37" s="1"/>
  <c r="O195" i="34"/>
  <c r="AA109" i="37"/>
  <c r="O109" i="37" s="1"/>
  <c r="O249" i="34"/>
  <c r="AA70" i="37"/>
  <c r="O70" i="37" s="1"/>
  <c r="O189" i="34"/>
  <c r="AA78" i="37"/>
  <c r="O78" i="37" s="1"/>
  <c r="O201" i="34"/>
  <c r="CJ1251" i="33"/>
  <c r="AA76" i="37"/>
  <c r="O76" i="37" s="1"/>
  <c r="O183" i="34"/>
  <c r="AA68" i="37"/>
  <c r="O68" i="37" s="1"/>
  <c r="O159" i="34"/>
  <c r="O405" i="34"/>
  <c r="AA128" i="37" s="1"/>
  <c r="O128" i="37" s="1"/>
  <c r="AA67" i="37"/>
  <c r="O67" i="37" s="1"/>
  <c r="O153" i="34"/>
  <c r="AA69" i="37"/>
  <c r="O69" i="37" s="1"/>
  <c r="O171" i="34"/>
  <c r="AA102" i="37"/>
  <c r="O102" i="37" s="1"/>
  <c r="O105" i="34"/>
  <c r="AA98" i="37"/>
  <c r="O98" i="37" s="1"/>
  <c r="O123" i="34"/>
  <c r="AA105" i="37"/>
  <c r="O105" i="37" s="1"/>
  <c r="O147" i="34"/>
  <c r="AA99" i="37"/>
  <c r="O99" i="37" s="1"/>
  <c r="O99" i="34"/>
  <c r="AA101" i="37"/>
  <c r="O101" i="37" s="1"/>
  <c r="O111" i="34"/>
  <c r="AA107" i="37"/>
  <c r="O107" i="37" s="1"/>
  <c r="O117" i="34"/>
  <c r="AA97" i="37"/>
  <c r="O97" i="37" s="1"/>
  <c r="O93" i="34"/>
  <c r="AA65" i="37"/>
  <c r="O65" i="37" s="1"/>
  <c r="O399" i="34"/>
  <c r="AA127" i="37" s="1"/>
  <c r="O127" i="37" s="1"/>
  <c r="O69" i="34"/>
  <c r="AA96" i="37"/>
  <c r="O96" i="37" s="1"/>
  <c r="O57" i="34"/>
  <c r="AA95" i="37"/>
  <c r="O95" i="37" s="1"/>
  <c r="O51" i="34"/>
  <c r="AA64" i="37"/>
  <c r="O64" i="37" s="1"/>
  <c r="AT20" i="37"/>
  <c r="AU20" i="37" s="1"/>
  <c r="AQ39" i="37" s="1"/>
  <c r="O393" i="34"/>
  <c r="O21" i="34"/>
  <c r="AA126" i="37" l="1"/>
  <c r="O126" i="37" s="1"/>
  <c r="AA125" i="37"/>
  <c r="O125" i="3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<sst xmlns="http://schemas.openxmlformats.org/spreadsheetml/2006/main" count="4314" uniqueCount="256">
  <si>
    <t>NARM Reporting Pack</t>
  </si>
  <si>
    <t>Version</t>
  </si>
  <si>
    <t>DNO Name:</t>
  </si>
  <si>
    <t>Reporting year (e.g. enter 2024 for 2023/24):</t>
  </si>
  <si>
    <t>DNO Name</t>
  </si>
  <si>
    <t>ENWL</t>
  </si>
  <si>
    <t>NPgN</t>
  </si>
  <si>
    <t>NPgY</t>
  </si>
  <si>
    <t>WMID</t>
  </si>
  <si>
    <t>EMID</t>
  </si>
  <si>
    <t>SWALES</t>
  </si>
  <si>
    <t>SWEST</t>
  </si>
  <si>
    <t>LPN</t>
  </si>
  <si>
    <t>SPN</t>
  </si>
  <si>
    <t>EPN</t>
  </si>
  <si>
    <t>SPD</t>
  </si>
  <si>
    <t>SPMW</t>
  </si>
  <si>
    <t>SSEH</t>
  </si>
  <si>
    <t>SSES</t>
  </si>
  <si>
    <t>Reporting year</t>
  </si>
  <si>
    <t>Key</t>
  </si>
  <si>
    <t>Input cells</t>
  </si>
  <si>
    <t>Within worksheet formula cells (eg totals, averages)</t>
  </si>
  <si>
    <t>Link to cells within worksheet</t>
  </si>
  <si>
    <t>Link to other worksheets</t>
  </si>
  <si>
    <t>Link to other reporting packs</t>
  </si>
  <si>
    <t>Fixed values</t>
  </si>
  <si>
    <t>Check cells</t>
  </si>
  <si>
    <t>No Input</t>
  </si>
  <si>
    <t>Descriptions and pack data</t>
  </si>
  <si>
    <t>Sheets (linked)</t>
  </si>
  <si>
    <t>Full Name</t>
  </si>
  <si>
    <t>Cover Sheet</t>
  </si>
  <si>
    <t>Changes Log</t>
  </si>
  <si>
    <t>NARM1 - Risk Index Weightings</t>
  </si>
  <si>
    <t>NARM4 - ED2 NARW Risk Movements</t>
  </si>
  <si>
    <t>NARM5 - ED2 Actuals</t>
  </si>
  <si>
    <t>NARM6 - Risk Summary</t>
  </si>
  <si>
    <t>NARM7 - Dashboard</t>
  </si>
  <si>
    <t>NARM8 - Variance Analysis</t>
  </si>
  <si>
    <t>Data Assurance</t>
  </si>
  <si>
    <t>Date</t>
  </si>
  <si>
    <t>Who made change</t>
  </si>
  <si>
    <t>Amendment (inc. cell reference)</t>
  </si>
  <si>
    <t>15.03.2024</t>
  </si>
  <si>
    <t>DNO</t>
  </si>
  <si>
    <t>On the NARM5 sheet, the green "total" rows (e.g. row 11) were missing a formula, which should be the sum of the four rows above. This has been corrected, as per issue 1 of the ENA Annex D log</t>
  </si>
  <si>
    <t>In NARM5 there was a formula missing from column CQ that summates the five cells to the left. This has been corrected as per issue 2 of the ENA Annex D log</t>
  </si>
  <si>
    <t>On the NARM6 sheet, row 388 was not formulated correctly so what it lists as risk movements did not match the sum of the five rows above for rows E, F and G. This has been corrected as per issue 3 of the ENA Annex D log</t>
  </si>
  <si>
    <t>This workbook has been reduced from 9MB to 2MB by removing unused “Names” from the Name Manager. This is as per issue 4 of the ENA Annex D log</t>
  </si>
  <si>
    <t>RIIO-ED2 Network Asset Risk Workbook</t>
  </si>
  <si>
    <t>ASSET CATEGORY</t>
  </si>
  <si>
    <t>RISK INDEX - LONG TERM RISK (£)</t>
  </si>
  <si>
    <t>LV poles</t>
  </si>
  <si>
    <t>HI 1</t>
  </si>
  <si>
    <t>HI 2</t>
  </si>
  <si>
    <t>HI 3</t>
  </si>
  <si>
    <t>HI 4</t>
  </si>
  <si>
    <t>HI 5</t>
  </si>
  <si>
    <t>C1</t>
  </si>
  <si>
    <t>C2</t>
  </si>
  <si>
    <t>C3</t>
  </si>
  <si>
    <t>C4</t>
  </si>
  <si>
    <t>LV Circuit Breaker</t>
  </si>
  <si>
    <t>LV Pillar (ID)</t>
  </si>
  <si>
    <t>LV Pillar (OD at Substation)</t>
  </si>
  <si>
    <t>LV Pillar (OD not at a Substation)</t>
  </si>
  <si>
    <t>LV Board (WM)</t>
  </si>
  <si>
    <t>LV Board (X-Type Network) (WM)</t>
  </si>
  <si>
    <t>LV UGB</t>
  </si>
  <si>
    <t>6.6/11kV Poles</t>
  </si>
  <si>
    <t>20kV Poles</t>
  </si>
  <si>
    <t>HV Sub Cable</t>
  </si>
  <si>
    <t>6.6/11kV CB (GM) Primary</t>
  </si>
  <si>
    <t>6.6/11kV CB (GM) Secondary</t>
  </si>
  <si>
    <t>6.6/11kV Switch (GM)</t>
  </si>
  <si>
    <t>6.6/11kV RMU</t>
  </si>
  <si>
    <t xml:space="preserve">6.6/11kV X-type RMU </t>
  </si>
  <si>
    <t>20kV CB (GM) Primary</t>
  </si>
  <si>
    <t>20kV CB (GM) Secondary</t>
  </si>
  <si>
    <t>20kV Switch (GM)</t>
  </si>
  <si>
    <t>20kV RMU</t>
  </si>
  <si>
    <t>6.6/11kV Transformer (GM)</t>
  </si>
  <si>
    <t>20kV Transformer (GM)</t>
  </si>
  <si>
    <t>33kV Pole</t>
  </si>
  <si>
    <t>66kV Pole</t>
  </si>
  <si>
    <t>33kV OHL (Tower line) Conductor</t>
  </si>
  <si>
    <t>33kV Tower</t>
  </si>
  <si>
    <t>33kV Fittings</t>
  </si>
  <si>
    <t>66kV OHL (Tower Line) Conductor</t>
  </si>
  <si>
    <t>66kV Tower</t>
  </si>
  <si>
    <t>66kV Fittings</t>
  </si>
  <si>
    <t>33kV UG Cable (Non Pressurised)</t>
  </si>
  <si>
    <t>33kV UG Cable (Oil)</t>
  </si>
  <si>
    <t>33kV UG Cable (Gas)</t>
  </si>
  <si>
    <t>66kV UG Cable (Non Pressurised)</t>
  </si>
  <si>
    <t>66kV UG Cable (Oil)</t>
  </si>
  <si>
    <t>66kV UG Cable (Gas)</t>
  </si>
  <si>
    <t>EHV Sub Cable</t>
  </si>
  <si>
    <t>33kV CB (Air Insulated Busbars) (ID) (GM)</t>
  </si>
  <si>
    <t>33kV CB (Air Insulated Busbars) (OD) (GM)</t>
  </si>
  <si>
    <t>33kV CB (Gas Insulated Busbars) (ID) (GM)</t>
  </si>
  <si>
    <t>33kV CB (Gas Insulated Busbars) (OD) (GM)</t>
  </si>
  <si>
    <t>33kV Switch (GM)</t>
  </si>
  <si>
    <t>33kV RMU</t>
  </si>
  <si>
    <t>66kV CB (Air Insulated Busbars) (ID) (GM)</t>
  </si>
  <si>
    <t>66kV CB (Air Insulated Busbars) (OD) (GM)</t>
  </si>
  <si>
    <t>66kV CB (Gas Insulated Busbars) (ID) (GM)</t>
  </si>
  <si>
    <t>66kV CB (Gas Insulated Busbars) (OD) (GM)</t>
  </si>
  <si>
    <t xml:space="preserve">33kV Transformer (GM) </t>
  </si>
  <si>
    <t xml:space="preserve">66kV Transformer (GM) </t>
  </si>
  <si>
    <t>132kV OHL (Tower Line) Conductor</t>
  </si>
  <si>
    <t>132kV Tower</t>
  </si>
  <si>
    <t>132kV Fittings</t>
  </si>
  <si>
    <t>132kV UG Cable (Non Pressurised)</t>
  </si>
  <si>
    <t>132kV UG Cable (Oil)</t>
  </si>
  <si>
    <t>132kV UG Cable (Gas)</t>
  </si>
  <si>
    <t>132kV CB (Air Insulated Busbars) (ID) (GM)</t>
  </si>
  <si>
    <t>132kV CB (Air Insulated Busbars) (OD) (GM)</t>
  </si>
  <si>
    <t>132kV CB (Gas Insulated Busbars) (ID) (GM)</t>
  </si>
  <si>
    <t>132kV CB (Gas Insulated Busbars) (OD) (GM)</t>
  </si>
  <si>
    <t>132kV Transformer (GM)</t>
  </si>
  <si>
    <t>132kV Sub Cable</t>
  </si>
  <si>
    <t>RISK INDEX - LONG TERM RISK (Impact upon 2028 profile)</t>
  </si>
  <si>
    <t>Forecast Start of ED2 Population Risk</t>
  </si>
  <si>
    <t>Forecast End of ED2 Population Risk (No ED2 Intervention)</t>
  </si>
  <si>
    <t>Risk Movement Due To Asset Replacement</t>
  </si>
  <si>
    <t>Risk Movement Due To Refurbishment (NARM)</t>
  </si>
  <si>
    <t>Risk Movement Due To HVP (Asset Replacement and Refurbishment (NARM))</t>
  </si>
  <si>
    <t>Forecast End of ED2 Population Risk (With ED2 NARM Interventions)</t>
  </si>
  <si>
    <t>ED2 Risk Movement  Delivered Through NARM Interventions</t>
  </si>
  <si>
    <t>Total</t>
  </si>
  <si>
    <t>LV Network</t>
  </si>
  <si>
    <t>HV Network</t>
  </si>
  <si>
    <t>EHV Network</t>
  </si>
  <si>
    <t>132kV Network</t>
  </si>
  <si>
    <t>EHV Cable</t>
  </si>
  <si>
    <t>132kV Cable</t>
  </si>
  <si>
    <t>Sub Cable</t>
  </si>
  <si>
    <t>LV Poles</t>
  </si>
  <si>
    <t>HV Poles</t>
  </si>
  <si>
    <t>EHV Poles</t>
  </si>
  <si>
    <t>EHV Overhead Tower Line</t>
  </si>
  <si>
    <t>132kV Overhead Tower Line</t>
  </si>
  <si>
    <t>LV Switchgear</t>
  </si>
  <si>
    <t>HV Secondary Switchgear</t>
  </si>
  <si>
    <t>HV Primary Switchgear</t>
  </si>
  <si>
    <t>EHV Switchgear</t>
  </si>
  <si>
    <t>132kV Switchgear</t>
  </si>
  <si>
    <t>HV Transformer</t>
  </si>
  <si>
    <t>EHV Transformer</t>
  </si>
  <si>
    <t>132kV Transformer</t>
  </si>
  <si>
    <t>Check - Total</t>
  </si>
  <si>
    <t>Check - Total voltages</t>
  </si>
  <si>
    <t>Check - Total asset sub categories</t>
  </si>
  <si>
    <t>REFERENCE DATA FROM NARW</t>
  </si>
  <si>
    <t>NPGN</t>
  </si>
  <si>
    <t>NPGY</t>
  </si>
  <si>
    <t>Start of year</t>
  </si>
  <si>
    <t>Impact on volumes of data cleansing</t>
  </si>
  <si>
    <t xml:space="preserve">Impact of deterioration </t>
  </si>
  <si>
    <t>Variance due to Other Non-Intervention Risk Changes</t>
  </si>
  <si>
    <t>Movements due to Asset Replacement</t>
  </si>
  <si>
    <t>Movements due to Refurbishment activity</t>
  </si>
  <si>
    <t>Movements due to General Reinforcement activity</t>
  </si>
  <si>
    <t>Movements due to Fault activity</t>
  </si>
  <si>
    <t>Movements due to HVP activity - Asset Repl. &amp; Refurb. Drivers</t>
  </si>
  <si>
    <t>Movements due to HVP activity - Other drivers</t>
  </si>
  <si>
    <t>Movements due to "All other" activity</t>
  </si>
  <si>
    <t>End of year</t>
  </si>
  <si>
    <t>Forecast movements due to Asset Replacement upon 2028 Profile</t>
  </si>
  <si>
    <t>Forecast movements due to Refurbishment upon 2028 Profile</t>
  </si>
  <si>
    <t>Forecast movements due to HVP (Asset Replacement and Refurbishment) upon 2028 Profile</t>
  </si>
  <si>
    <t>LV Pillar (OD not at Substation)</t>
  </si>
  <si>
    <t>6.6/11kV X-type RMU</t>
  </si>
  <si>
    <t>33kV Poles</t>
  </si>
  <si>
    <t>66kV Poles</t>
  </si>
  <si>
    <t>33kV Transformer (GM)</t>
  </si>
  <si>
    <t>66kV Transformer (GM)</t>
  </si>
  <si>
    <t xml:space="preserve">BASELINE NETWORK RISK OUTPUT: </t>
  </si>
  <si>
    <t xml:space="preserve">NETWORK RISK OUTPUT TO DATE: </t>
  </si>
  <si>
    <t>Summary - RIIO-ED2 Long-term Monetised Risk movements to date</t>
  </si>
  <si>
    <r>
      <t xml:space="preserve">ANNUAL RISK MOVEMENTS
</t>
    </r>
    <r>
      <rPr>
        <i/>
        <sz val="10"/>
        <color theme="1"/>
        <rFont val="Verdana"/>
        <family val="2"/>
      </rPr>
      <t>(LONG-TERM MONETISED RISK)</t>
    </r>
  </si>
  <si>
    <r>
      <t xml:space="preserve">SUMMARY OF RISK MOVEMENTS ASSOCIATED WITH NARM ASSET INTERVENTIONS
</t>
    </r>
    <r>
      <rPr>
        <i/>
        <sz val="10"/>
        <color theme="1"/>
        <rFont val="Verdana"/>
        <family val="2"/>
      </rPr>
      <t>(LONG-TERM MONETISED RISK)</t>
    </r>
  </si>
  <si>
    <t>Regulatory year</t>
  </si>
  <si>
    <t xml:space="preserve">Impact on volumes of data cleansing </t>
  </si>
  <si>
    <t>Impact of deterioration</t>
  </si>
  <si>
    <t>Monetised risk movements for Asset Replacement</t>
  </si>
  <si>
    <t>Monetised risk movements due to Refurbishment activity</t>
  </si>
  <si>
    <t>Monetised risk movements due to General Reinforcement activity</t>
  </si>
  <si>
    <t>Monetised risk movements due to Fault activity</t>
  </si>
  <si>
    <t>Monetised risk movements due to HVP activity - Asset Repl. &amp; Refurb. Drivers</t>
  </si>
  <si>
    <t>Monetised risk movements due to HVP activity - Other Drivers</t>
  </si>
  <si>
    <t>Monetised risk movements due to "All other" activity (new)</t>
  </si>
  <si>
    <t>NARW</t>
  </si>
  <si>
    <t>Actuals</t>
  </si>
  <si>
    <t>Asset Replacement</t>
  </si>
  <si>
    <t>Asset Refurbishment</t>
  </si>
  <si>
    <t>HVP</t>
  </si>
  <si>
    <t>GROUPING</t>
  </si>
  <si>
    <t>VOLTAGE</t>
  </si>
  <si>
    <t>TOTAL</t>
  </si>
  <si>
    <t>Voltage</t>
  </si>
  <si>
    <t>BASELINE NETWORK RISK OUTPUT</t>
  </si>
  <si>
    <t>NETWORK RISK OUTPUT TO DATE</t>
  </si>
  <si>
    <t>ED2</t>
  </si>
  <si>
    <t>Overhead Lines</t>
  </si>
  <si>
    <t>LV</t>
  </si>
  <si>
    <t>HV</t>
  </si>
  <si>
    <t>EHV</t>
  </si>
  <si>
    <t>132kV</t>
  </si>
  <si>
    <t xml:space="preserve">% NARMs output delivered to date: </t>
  </si>
  <si>
    <t>in year</t>
  </si>
  <si>
    <t>cumulative</t>
  </si>
  <si>
    <t>Asset grouping</t>
  </si>
  <si>
    <t>Cables</t>
  </si>
  <si>
    <t>Distribution Plant</t>
  </si>
  <si>
    <t>Primary Plant</t>
  </si>
  <si>
    <t/>
  </si>
  <si>
    <t>Select Asset Category</t>
  </si>
  <si>
    <t>Select Comparison Year</t>
  </si>
  <si>
    <t>Chosen year</t>
  </si>
  <si>
    <t>Long-term Monetised Risk movements in current year</t>
  </si>
  <si>
    <t>Data cleanse</t>
  </si>
  <si>
    <t>Deterioration</t>
  </si>
  <si>
    <t>Other Non-Intervention Risk Changes</t>
  </si>
  <si>
    <t>Refurbishment</t>
  </si>
  <si>
    <t>General Reinforcement</t>
  </si>
  <si>
    <t>Fault activity</t>
  </si>
  <si>
    <t>HVP (Replacement &amp; Refurb)</t>
  </si>
  <si>
    <t>HVP (Other)</t>
  </si>
  <si>
    <t>"All other" activity</t>
  </si>
  <si>
    <t>Impact on 2028</t>
  </si>
  <si>
    <t>Asset Replacement (2028)</t>
  </si>
  <si>
    <t>Refurbishment (2028)</t>
  </si>
  <si>
    <t>HVP (2028)</t>
  </si>
  <si>
    <t>Blanks</t>
  </si>
  <si>
    <t>Risk Increases</t>
  </si>
  <si>
    <t>Risk Decreases</t>
  </si>
  <si>
    <t>Finish</t>
  </si>
  <si>
    <t>Impact on Current Year</t>
  </si>
  <si>
    <t>Start of period</t>
  </si>
  <si>
    <t>No SD contribution</t>
  </si>
  <si>
    <t>SD contribution</t>
  </si>
  <si>
    <t>End of period</t>
  </si>
  <si>
    <t>Long-term Monetised Risk</t>
  </si>
  <si>
    <t>Long-term Monetised Risk (% of Year 0)</t>
  </si>
  <si>
    <t>Long-term Monetised Risk (£s)</t>
  </si>
  <si>
    <t>Reference</t>
  </si>
  <si>
    <t>Asset Category</t>
  </si>
  <si>
    <t>Data assurance</t>
  </si>
  <si>
    <t>ASSET CATEGORIES</t>
  </si>
  <si>
    <t>1. No negatives in end of year profile</t>
  </si>
  <si>
    <t>2. No movement in Criticality due to deterioration</t>
  </si>
  <si>
    <t>3. No change in asset totals due to refurbishment or deterioration</t>
  </si>
  <si>
    <t>4. Criticality movements reported in current year asset replacement matches future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</si>
</sst>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00_);_(&quot;£&quot;* \(#,##0.00\);_(&quot;£&quot;* &quot;-&quot;??_);_(@_)"/>
    <numFmt numFmtId="171" formatCode="#,##0_);[Red]\(#,##0\);\-"/>
    <numFmt numFmtId="172" formatCode="[$$-409]#,##0.00"/>
    <numFmt numFmtId="173" formatCode="#,##0.0\ ;\(#,##0.0\)"/>
    <numFmt numFmtId="174" formatCode="#,##0_);[Red]\(#,##0\);&quot;-&quot;"/>
    <numFmt numFmtId="175" formatCode="mmmm\ d\,\ yyyy"/>
    <numFmt numFmtId="176" formatCode="_(&quot;$&quot;#,##0_)&quot;millions&quot;;\(&quot;$&quot;#,##0\)&quot; millions&quot;"/>
    <numFmt numFmtId="177" formatCode="&quot;$&quot;#,##0.00_)\ \ \ ;\(&quot;$&quot;#,##0.00\)\ \ \ "/>
    <numFmt numFmtId="178" formatCode="&quot;$&quot;#,##0.00&quot;*&quot;\ \ ;\(&quot;$&quot;#,##0.00\)&quot;*&quot;\ \ "/>
    <numFmt numFmtId="179" formatCode="&quot;$&quot;#,##0.00\A_)\ ;\(&quot;$&quot;#,##0.00\A\)\ \ "/>
    <numFmt numFmtId="180" formatCode="&quot;$&quot;@\ "/>
    <numFmt numFmtId="181" formatCode="[$-809]d\ mmmm\ yyyy;@"/>
    <numFmt numFmtId="182" formatCode="_-[$€-2]* #,##0.00_-;\-[$€-2]* #,##0.00_-;_-[$€-2]* &quot;-&quot;??_-"/>
    <numFmt numFmtId="183" formatCode="000\-00\-0000\ "/>
    <numFmt numFmtId="184" formatCode="_(* #,##0_);_(* \(#,##0\);_(* &quot;0&quot;_);_(@_)"/>
    <numFmt numFmtId="185" formatCode="#,##0.0_);\(#,##0.0\)"/>
    <numFmt numFmtId="186" formatCode="&quot;$&quot;_(#,##0.00_);&quot;$&quot;\(#,##0.00\)"/>
    <numFmt numFmtId="187" formatCode="_-&quot;$&quot;* #,##0.0_-;\-&quot;$&quot;* #,##0.0_-;_-&quot;$&quot;* &quot;-&quot;??_-;_-@_-"/>
    <numFmt numFmtId="188" formatCode="#,##0_);\(#,##0\);&quot;-  &quot;;&quot; &quot;@&quot; &quot;"/>
    <numFmt numFmtId="189" formatCode="#,##0.0_)\x;\(#,##0.0\)\x"/>
    <numFmt numFmtId="190" formatCode="&quot;$&quot;#,##0"/>
    <numFmt numFmtId="191" formatCode="#,##0.0_)_x;\(#,##0.0\)_x"/>
    <numFmt numFmtId="192" formatCode="_(&quot;$&quot;* #,##0_);_(&quot;$&quot;* \(#,##0\);_(&quot;$&quot;* &quot;-&quot;??_);_(@_)"/>
    <numFmt numFmtId="193" formatCode="0.0_)\%;\(0.0\)\%"/>
    <numFmt numFmtId="194" formatCode="_-* #,##0.000_-;\-* #,##0.000_-;_-* &quot;-&quot;??_-;_-@_-"/>
    <numFmt numFmtId="195" formatCode="#,##0.0_)_%;\(#,##0.0\)_%"/>
    <numFmt numFmtId="196" formatCode="_(&quot;$&quot;* #,##0.0_);_(&quot;$&quot;* \(#,##0.0\);_(&quot;$&quot;* &quot;-&quot;?_);_(@_)"/>
    <numFmt numFmtId="197" formatCode="#,##0.0_);[Red]\(#,##0.0\)"/>
    <numFmt numFmtId="198" formatCode="_-&quot;£&quot;* #,##0.0_-;_-&quot;£&quot;* \(#,##0.0\)"/>
    <numFmt numFmtId="199" formatCode="\£\ #,##0_);[Red]\(\£\ #,##0\)"/>
    <numFmt numFmtId="200" formatCode="#,##0.00;[Red]\(#,##0.00\);\-"/>
    <numFmt numFmtId="201" formatCode="\¥\ #,##0_);[Red]\(\¥\ #,##0\)"/>
    <numFmt numFmtId="202" formatCode="_-\€* #,##0.0_-;_-\€* \(#,##0.0\)"/>
    <numFmt numFmtId="203" formatCode="#,##0;\(#,##0\)"/>
    <numFmt numFmtId="204" formatCode="0;[Red]\(0\);\-"/>
    <numFmt numFmtId="205" formatCode="#,##0;[Red]\(#,##0\);\-"/>
    <numFmt numFmtId="206" formatCode="#,##0,_);[Red]\(#,##0,\)"/>
    <numFmt numFmtId="207" formatCode="0.0;\(0.0\);\-"/>
    <numFmt numFmtId="208" formatCode="0.00;\(0.00\);\-"/>
    <numFmt numFmtId="209" formatCode="0.00;[Red]\(0.00\);\-"/>
    <numFmt numFmtId="210" formatCode="0.000;\(0.000\);\-"/>
    <numFmt numFmtId="211" formatCode="0\A"/>
    <numFmt numFmtId="212" formatCode="m\-d\-yy"/>
    <numFmt numFmtId="213" formatCode="0.0_)"/>
    <numFmt numFmtId="214" formatCode="_ &quot;R&quot;\ * #,##0_ ;_ &quot;R&quot;\ * \-#,##0_ ;_ &quot;R&quot;\ * &quot;-&quot;_ ;_ @_ "/>
    <numFmt numFmtId="215" formatCode="0.00\ "/>
    <numFmt numFmtId="216" formatCode="#,##0.0,,,&quot;bn&quot;"/>
    <numFmt numFmtId="217" formatCode="0.0%_);[Red]\(0.0%\)"/>
    <numFmt numFmtId="218" formatCode="0.0%;\(0.0\)%"/>
    <numFmt numFmtId="219" formatCode="0&quot; bp&quot;"/>
    <numFmt numFmtId="220" formatCode="_(* #,##0.0_);_(* \(#,##0.0\);_(* &quot;-&quot;?_);@_)"/>
    <numFmt numFmtId="221" formatCode="\•\ \ @"/>
    <numFmt numFmtId="222" formatCode="#,##0_);[Red]\(#,##0\);&quot;-&quot;_);[Blue]&quot;Error-&quot;@"/>
    <numFmt numFmtId="223" formatCode="#,##0.0_);[Red]\(#,##0.0\);&quot;-&quot;_);[Blue]&quot;Error-&quot;@"/>
    <numFmt numFmtId="224" formatCode="#,##0.00_);[Red]\(#,##0.00\);&quot;-&quot;_);[Blue]&quot;Error-&quot;@"/>
    <numFmt numFmtId="225" formatCode="&quot;£&quot;* #,##0_);[Red]&quot;£&quot;* \(#,##0\);&quot;£&quot;* &quot;-&quot;_);[Blue]&quot;Error-&quot;@"/>
    <numFmt numFmtId="226" formatCode="&quot;£&quot;* #,##0.0_);[Red]&quot;£&quot;* \(#,##0.0\);&quot;£&quot;* &quot;-&quot;_);[Blue]&quot;Error-&quot;@"/>
    <numFmt numFmtId="227" formatCode="&quot;£&quot;* #,##0.00_);[Red]&quot;£&quot;* \(#,##0.00\);&quot;£&quot;* &quot;-&quot;_);[Blue]&quot;Error-&quot;@"/>
    <numFmt numFmtId="228" formatCode="dd\ mmm\ yyyy_)"/>
    <numFmt numFmtId="229" formatCode="dd/mm/yy_)"/>
    <numFmt numFmtId="230" formatCode="0%_);[Red]\-0%_);0%_);[Blue]&quot;Error-&quot;@"/>
    <numFmt numFmtId="231" formatCode="0.0%_);[Red]\-0.0%_);0.0%_);[Blue]&quot;Error-&quot;@"/>
    <numFmt numFmtId="232" formatCode="0.00%_);[Red]\-0.00%_);0.00%_);[Blue]&quot;Error-&quot;@"/>
    <numFmt numFmtId="233" formatCode="_-* #,##0_-;* \(#,##0\)_-;_-@_-"/>
    <numFmt numFmtId="234" formatCode="0.0"/>
    <numFmt numFmtId="235" formatCode="0.000_)"/>
    <numFmt numFmtId="236" formatCode="#,##0.000;[Red]\(#,##0.000\);\-"/>
    <numFmt numFmtId="237" formatCode="#,##0_%_);\(#,##0\)_%;**;@_%_)"/>
    <numFmt numFmtId="238" formatCode="#,##0.000_ ;\-#,##0.000\ "/>
    <numFmt numFmtId="239" formatCode="\$#,##0.0,,,&quot;bn&quot;"/>
    <numFmt numFmtId="240" formatCode="_-* #,##0.0000_-;\-* #,##0.0000_-;_-* &quot;-&quot;??_-;_-@_-"/>
    <numFmt numFmtId="241" formatCode="0.0%"/>
    <numFmt numFmtId="242" formatCode="0.0_x_)_);&quot;NM&quot;_x_)_);0.0_x_)_);@_%_)"/>
    <numFmt numFmtId="243" formatCode="0.0\ \x;\(0.0\ \x\)"/>
    <numFmt numFmtId="244" formatCode="0.0_ ;\(0.0\)_ \ "/>
    <numFmt numFmtId="245" formatCode="#,##0.0_);\(#,##0.0\);&quot;--&quot;_)"/>
    <numFmt numFmtId="246" formatCode="#,##0.00_);\(#,##0.00\);&quot;--&quot;_)"/>
    <numFmt numFmtId="247" formatCode="#,##0.0_);\(#,##0.0\);\-_)"/>
    <numFmt numFmtId="248" formatCode="General_)"/>
    <numFmt numFmtId="249" formatCode="#,##0.0"/>
    <numFmt numFmtId="250" formatCode="m/d"/>
    <numFmt numFmtId="251" formatCode="0.0\ \ \x\ ;\(0.0\)\ \ \x\ "/>
    <numFmt numFmtId="252" formatCode="@\ \ \ \ \ "/>
    <numFmt numFmtId="253" formatCode="\ \ _•\–\ \ \ \ @"/>
    <numFmt numFmtId="254" formatCode="000"/>
    <numFmt numFmtId="255" formatCode="#,##0.00;[Red]\(#,##0.00\)"/>
    <numFmt numFmtId="256" formatCode="d\-mmm\-yyyy"/>
    <numFmt numFmtId="257" formatCode="&quot;$&quot;#,##0.0;[Red]&quot;$&quot;#,##0.0"/>
    <numFmt numFmtId="258" formatCode="dd/mmm/yyyy_);;&quot;-  &quot;;&quot; &quot;@"/>
    <numFmt numFmtId="259" formatCode="dd/mmm/yyyy_);;&quot;-  &quot;;&quot; &quot;@&quot; &quot;"/>
    <numFmt numFmtId="260" formatCode="dd/mmm/yy_);;&quot;-  &quot;;&quot; &quot;@"/>
    <numFmt numFmtId="261" formatCode="dd/mmm/yy_);;&quot;-  &quot;;&quot; &quot;@&quot; &quot;"/>
    <numFmt numFmtId="262" formatCode="0.00,,;[Red]\(0.00,,\);\-"/>
    <numFmt numFmtId="263" formatCode="_(* #,##0_);_(* \(#,##0\);_(* &quot;&quot;\ \-\ &quot;&quot;_);_(@_)"/>
    <numFmt numFmtId="264" formatCode="_-* #,##0\ _D_M_-;\-* #,##0\ _D_M_-;_-* &quot;-&quot;\ _D_M_-;_-@_-"/>
    <numFmt numFmtId="265" formatCode="_-* #,##0.00\ _D_M_-;\-* #,##0.00\ _D_M_-;_-* &quot;-&quot;??\ _D_M_-;_-@_-"/>
    <numFmt numFmtId="266" formatCode="#,##0.00_)\ \ \ \ \ ;\(#,##0.00\)\ \ \ \ \ "/>
    <numFmt numFmtId="267" formatCode="&quot;$&quot;#,##0.00_)\ \ \ \ \ ;\(&quot;$&quot;#,##0.00\)\ \ \ \ \ "/>
    <numFmt numFmtId="268" formatCode="&quot;$&quot;#,##0.00\A\ \ \ \ ;\(&quot;$&quot;#,##0.00\A\)\ \ \ \ "/>
    <numFmt numFmtId="269" formatCode="&quot;$&quot;#,##0.00&quot;E&quot;\ \ \ \ ;\(&quot;$&quot;#,##0.00&quot;E&quot;\)\ \ \ \ "/>
    <numFmt numFmtId="270" formatCode="#,##0.00\A\ \ \ \ ;\(#,##0.00\A\)\ \ \ \ "/>
    <numFmt numFmtId="271" formatCode="#,##0.00&quot;E&quot;\ \ \ \ ;\(#,##0.00&quot;E&quot;\)\ \ \ \ "/>
    <numFmt numFmtId="272" formatCode="\€#,##0.0,,,&quot;bn&quot;"/>
    <numFmt numFmtId="273" formatCode="\€#,##0.0,,&quot;m&quot;"/>
    <numFmt numFmtId="274" formatCode="\€#,##0.0,&quot;k&quot;"/>
    <numFmt numFmtId="275" formatCode="[Magenta]&quot;Err&quot;;[Magenta]&quot;Err&quot;;[Blue]&quot;OK&quot;"/>
    <numFmt numFmtId="276" formatCode="[Blue]&quot;,&quot;;;[Red]&quot;/&quot;"/>
    <numFmt numFmtId="277" formatCode="General\ &quot;.&quot;"/>
    <numFmt numFmtId="278" formatCode="#,##0_);[Red]\(#,##0\);\-_)"/>
    <numFmt numFmtId="279" formatCode="0.0_)%;\(0.0%\);0.0_)%"/>
    <numFmt numFmtId="280" formatCode="#,##0_);\(#,##0\);\-_)"/>
    <numFmt numFmtId="281" formatCode="0.0_)%;[Red]\(0.0%\);0.0_)%"/>
    <numFmt numFmtId="282" formatCode="[Red][&gt;1]&quot;&gt;100 %&quot;;[Red]\(0.0%\);0.0_)%"/>
    <numFmt numFmtId="283" formatCode="#,##0.0000_);\(#,##0.0000\);&quot;-  &quot;;&quot; &quot;@"/>
    <numFmt numFmtId="284" formatCode="#,##0.0000_);\(#,##0.0000\);&quot;-  &quot;;&quot; &quot;@&quot; &quot;"/>
    <numFmt numFmtId="285" formatCode="0%\ \ \ \ \ \ \ "/>
    <numFmt numFmtId="286" formatCode="\£#,##0.00"/>
    <numFmt numFmtId="287" formatCode="\£#,##0.0,,,&quot;bn&quot;"/>
    <numFmt numFmtId="288" formatCode="\£#,##0.0,,&quot;m&quot;"/>
    <numFmt numFmtId="289" formatCode="\£#,##0.0,&quot;k&quot;"/>
    <numFmt numFmtId="290" formatCode="0.00%;\(0.00%\)"/>
    <numFmt numFmtId="291" formatCode="0.00_)"/>
    <numFmt numFmtId="292" formatCode="\ ;\ ;"/>
    <numFmt numFmtId="293" formatCode="_-* #,##0_-;\-* #,##0_-;_-* &quot;-&quot;??_-;_-@_-"/>
    <numFmt numFmtId="294" formatCode="#,##0.0;\(#,##0.0\);\-"/>
    <numFmt numFmtId="295" formatCode="&quot;$&quot;#,##0\ &quot;MM&quot;;\(&quot;$&quot;#,##0.00\ &quot;MM&quot;\)"/>
    <numFmt numFmtId="296" formatCode="_(&quot;$&quot;* #,##0_)\ &quot;millions&quot;;_(&quot;$&quot;* \(#,##0\)&quot; millions&quot;"/>
    <numFmt numFmtId="297" formatCode="#,##0.0,,&quot;m&quot;"/>
    <numFmt numFmtId="298" formatCode="#,##0\ &quot;MM&quot;"/>
    <numFmt numFmtId="299" formatCode="&quot;Cr$&quot;#,##0_);[Red]\(&quot;Cr$&quot;#,##0\)"/>
    <numFmt numFmtId="300" formatCode="&quot;Cr$&quot;#,##0.00_);[Red]\(&quot;Cr$&quot;#,##0.00\)"/>
    <numFmt numFmtId="301" formatCode="mmm\-yyyy"/>
    <numFmt numFmtId="302" formatCode="0.0\x"/>
    <numFmt numFmtId="303" formatCode="0.0\ \x"/>
    <numFmt numFmtId="304" formatCode="0%_);\(0%\);0%_);@_%_)"/>
    <numFmt numFmtId="305" formatCode="[Blue]#,##0;[Red]\(#,##0\);\-"/>
    <numFmt numFmtId="306" formatCode="[Blue]#,##0.0;[Red]\(#,##0.0\);\-"/>
    <numFmt numFmtId="307" formatCode="[Blue]#,##0.00;[Red]\(#,##0.00\);\-"/>
    <numFmt numFmtId="308" formatCode="[Blue]#,##0.000;[Red]\(#,##0.000\);\-"/>
    <numFmt numFmtId="309" formatCode="#,##0_);\-#,##0_);\-_)"/>
    <numFmt numFmtId="310" formatCode="#,##0.00_);\-#,##0.00_);\-_)"/>
    <numFmt numFmtId="311" formatCode="#,##0.0;[Red]\(#,##0.0\);\-"/>
    <numFmt numFmtId="312" formatCode="#,##0_ ;[Red]\(#,##0\);\-\ "/>
    <numFmt numFmtId="313" formatCode="#,##0;[Red]\(#,##0\)"/>
    <numFmt numFmtId="314" formatCode="#,##0.0;[Red]\(#,##0.0\)"/>
    <numFmt numFmtId="315" formatCode="0.0\ \ \ \ \ \ "/>
    <numFmt numFmtId="316" formatCode="0.0%\ \ \ \ \ "/>
    <numFmt numFmtId="317" formatCode="0.00%;[Red]\(0.00%\);\-"/>
    <numFmt numFmtId="318" formatCode="_-* #,##0.00%_-;* \(#,##0.00\)%_-;_-@_-"/>
    <numFmt numFmtId="319" formatCode="0.0\ \x\ ;\(0.0\)\ \x\ "/>
    <numFmt numFmtId="320" formatCode="0.0%;\(0.0%\);\-"/>
    <numFmt numFmtId="321" formatCode="0.00%;\(0.00%\);\-"/>
    <numFmt numFmtId="322" formatCode="#,##0.0%_);\(#,##0.0%\);&quot;--&quot;\%_)"/>
    <numFmt numFmtId="323" formatCode="#,##0.00%_);\(#,##0.00%\);&quot;--&quot;\%_)"/>
    <numFmt numFmtId="324" formatCode="#,##0.00;[Red]\-#,##0.00;\-"/>
    <numFmt numFmtId="325" formatCode="0.000000"/>
    <numFmt numFmtId="326" formatCode="0;\-0;;@"/>
    <numFmt numFmtId="327" formatCode="&quot;$&quot;#\-##/##"/>
    <numFmt numFmtId="328" formatCode="0.00\ \ \ \ "/>
    <numFmt numFmtId="329" formatCode="#,##0.0,;\(#,##0.0,\)"/>
    <numFmt numFmtId="330" formatCode="&quot;$&quot;@"/>
    <numFmt numFmtId="331" formatCode="#,##0.00;[Red]#,##0.00;\-"/>
    <numFmt numFmtId="332" formatCode="#,##0.0_);[Red]\(#,##0.0\);\-"/>
    <numFmt numFmtId="333" formatCode="#,##0.0;[Red]\-#,##0.0;\-"/>
    <numFmt numFmtId="334" formatCode="#,##0.0_);\-#,##0.0_);\-_)"/>
    <numFmt numFmtId="335" formatCode="_(* #,##0.00%_);_(* \(#,##0.00%\);_(* #,##0.00%_);_(@_)"/>
    <numFmt numFmtId="336" formatCode="#,###,##0,&quot;k&quot;"/>
    <numFmt numFmtId="337" formatCode="0____"/>
    <numFmt numFmtId="338" formatCode="_ * #,##0.0_);_ * \(#,##0.0\)"/>
    <numFmt numFmtId="339" formatCode="0.00\ ;\-0.00\ ;&quot;- &quot;"/>
    <numFmt numFmtId="340" formatCode="\$#,##0.0,,&quot;m&quot;"/>
    <numFmt numFmtId="341" formatCode="\$#,##0.0,&quot;k&quot;"/>
    <numFmt numFmtId="342" formatCode="_(&quot;£&quot;* #,##0_);_(&quot;£&quot;* \(#,##0\);_(&quot;£&quot;* &quot;-&quot;_);_(@_)"/>
    <numFmt numFmtId="343" formatCode="dd\ mmm\ yyyy"/>
    <numFmt numFmtId="344" formatCode="_-* #,##0.0_-;\-* #,##0.0_-;_-* &quot;-&quot;?_-;_-@_-"/>
    <numFmt numFmtId="345" formatCode="#,##0.00;[Red]\-#,##0.00;0.00"/>
    <numFmt numFmtId="346" formatCode="_-&quot;$&quot;* #,##0_-;\-&quot;$&quot;* #,##0_-;_-&quot;$&quot;* &quot;-&quot;_-;_-@_-"/>
    <numFmt numFmtId="347" formatCode="_-&quot;$&quot;* #,##0.00_-;\-&quot;$&quot;* #,##0.00_-;_-&quot;$&quot;* &quot;-&quot;??_-;_-@_-"/>
    <numFmt numFmtId="348" formatCode="#,##0;[Red]#,##0"/>
    <numFmt numFmtId="349" formatCode="\(0.0%\)"/>
  </numFmts>
  <fonts count="251">
    <font>
      <sz val="10"/>
      <color theme="1"/>
      <name val="Verdana"/>
      <family val="2"/>
    </font>
    <font>
      <sz val="9"/>
      <color theme="1"/>
      <name val="Calibri"/>
      <family val="2"/>
    </font>
    <font>
      <b/>
      <sz val="10"/>
      <color indexed="8"/>
      <name val="Arial"/>
      <family val="2"/>
    </font>
    <font>
      <sz val="10"/>
      <color indexed="8"/>
      <name val="Arial"/>
      <family val="2"/>
    </font>
    <font>
      <b/>
      <sz val="10"/>
      <name val="Arial"/>
      <family val="2"/>
    </font>
    <font>
      <sz val="10"/>
      <name val="Arial"/>
      <family val="2"/>
    </font>
    <font>
      <i/>
      <sz val="10"/>
      <name val="Arial"/>
      <family val="2"/>
    </font>
    <font>
      <sz val="11"/>
      <name val="CG Omega"/>
      <family val="2"/>
    </font>
    <font>
      <sz val="10"/>
      <color theme="1"/>
      <name val="Verdana"/>
      <family val="2"/>
    </font>
    <font>
      <sz val="10"/>
      <color rgb="FF9C0006"/>
      <name val="Verdana"/>
      <family val="2"/>
    </font>
    <font>
      <b/>
      <sz val="10"/>
      <color theme="1"/>
      <name val="Verdana"/>
      <family val="2"/>
    </font>
    <font>
      <b/>
      <sz val="10"/>
      <name val="Verdana"/>
      <family val="2"/>
    </font>
    <font>
      <b/>
      <sz val="12"/>
      <name val="Arial"/>
      <family val="2"/>
    </font>
    <font>
      <sz val="9"/>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sz val="11"/>
      <name val="CG Omega"/>
      <family val="2"/>
    </font>
    <font>
      <b/>
      <sz val="10"/>
      <color indexed="12"/>
      <name val="Tms Rmn"/>
    </font>
    <font>
      <sz val="10"/>
      <name val="Tms Rmn"/>
    </font>
    <font>
      <sz val="10"/>
      <name val="Times"/>
      <family val="1"/>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indexed="8"/>
      <name val="Verdana"/>
      <family val="2"/>
    </font>
    <font>
      <sz val="11"/>
      <color theme="1"/>
      <name val="Calibri"/>
      <family val="2"/>
      <scheme val="minor"/>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0"/>
      <color theme="10"/>
      <name val="Verdana"/>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10"/>
      <name val="Verdana"/>
      <family val="2"/>
    </font>
    <font>
      <sz val="10"/>
      <color theme="1"/>
      <name val="Arial"/>
      <family val="2"/>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9"/>
      <color indexed="48"/>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0"/>
      <color rgb="FF000000"/>
      <name val="Verdana"/>
      <family val="2"/>
    </font>
    <font>
      <u/>
      <sz val="10"/>
      <name val="Verdana"/>
      <family val="2"/>
    </font>
    <font>
      <sz val="14"/>
      <name val="Verdana"/>
      <family val="2"/>
    </font>
    <font>
      <sz val="11"/>
      <name val="CG Omega"/>
    </font>
    <font>
      <sz val="8"/>
      <name val="Tahoma"/>
      <family val="2"/>
    </font>
    <font>
      <sz val="12"/>
      <name val="Helv"/>
    </font>
    <font>
      <b/>
      <sz val="10"/>
      <color indexed="8"/>
      <name val="Verdana"/>
      <family val="2"/>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b/>
      <sz val="16"/>
      <color theme="1"/>
      <name val="Verdana"/>
      <family val="2"/>
    </font>
    <font>
      <sz val="10"/>
      <color theme="0" tint="-0.249977111117893"/>
      <name val="Calibri"/>
      <family val="2"/>
      <scheme val="minor"/>
    </font>
    <font>
      <i/>
      <sz val="10"/>
      <color theme="1"/>
      <name val="Verdana"/>
      <family val="2"/>
    </font>
    <font>
      <b/>
      <sz val="16"/>
      <color theme="0"/>
      <name val="Verdana"/>
      <family val="2"/>
    </font>
    <font>
      <b/>
      <sz val="12"/>
      <color theme="0"/>
      <name val="Verdana"/>
      <family val="2"/>
    </font>
    <font>
      <b/>
      <u/>
      <sz val="10"/>
      <color theme="1"/>
      <name val="Verdana"/>
      <family val="2"/>
    </font>
    <font>
      <sz val="10"/>
      <name val="CG Omega"/>
      <family val="2"/>
    </font>
    <font>
      <b/>
      <sz val="12"/>
      <color theme="1"/>
      <name val="Verdana"/>
      <family val="2"/>
    </font>
    <font>
      <sz val="10"/>
      <color theme="1" tint="0.34998626667073579"/>
      <name val="Calibri"/>
      <family val="2"/>
      <scheme val="minor"/>
    </font>
    <font>
      <i/>
      <sz val="10"/>
      <color theme="1" tint="0.34998626667073579"/>
      <name val="Verdana"/>
      <family val="2"/>
    </font>
  </fonts>
  <fills count="127">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C7CE"/>
      </patternFill>
    </fill>
    <fill>
      <patternFill patternType="solid">
        <fgColor rgb="FFCCFFFF"/>
        <bgColor indexed="64"/>
      </patternFill>
    </fill>
    <fill>
      <patternFill patternType="solid">
        <fgColor theme="0" tint="-0.499984740745262"/>
        <bgColor indexed="64"/>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50"/>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66FFFF"/>
        <bgColor indexed="64"/>
      </patternFill>
    </fill>
    <fill>
      <patternFill patternType="solid">
        <fgColor rgb="FFFFCC99"/>
        <bgColor indexed="64"/>
      </patternFill>
    </fill>
    <fill>
      <patternFill patternType="darkUp">
        <fgColor theme="0" tint="-0.14996795556505021"/>
        <bgColor indexed="65"/>
      </patternFill>
    </fill>
    <fill>
      <patternFill patternType="solid">
        <fgColor theme="0" tint="-0.14996795556505021"/>
        <bgColor indexed="64"/>
      </patternFill>
    </fill>
    <fill>
      <patternFill patternType="solid">
        <fgColor indexed="55"/>
        <bgColor indexed="64"/>
      </patternFill>
    </fill>
    <fill>
      <patternFill patternType="solid">
        <fgColor theme="1"/>
        <bgColor indexed="64"/>
      </patternFill>
    </fill>
    <fill>
      <patternFill patternType="lightUp">
        <bgColor rgb="FFCCFFFF"/>
      </patternFill>
    </fill>
    <fill>
      <patternFill patternType="solid">
        <fgColor theme="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indexed="65"/>
        <bgColor indexed="64"/>
      </patternFill>
    </fill>
    <fill>
      <patternFill patternType="solid">
        <fgColor theme="4"/>
        <bgColor indexed="64"/>
      </patternFill>
    </fill>
  </fills>
  <borders count="201">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right/>
      <top/>
      <bottom style="medium">
        <color indexed="2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hair">
        <color auto="1"/>
      </right>
      <top style="medium">
        <color indexed="64"/>
      </top>
      <bottom style="hair">
        <color auto="1"/>
      </bottom>
      <diagonal/>
    </border>
    <border>
      <left style="thin">
        <color indexed="64"/>
      </left>
      <right style="hair">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style="hair">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right style="double">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auto="1"/>
      </right>
      <top style="medium">
        <color auto="1"/>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top/>
      <bottom style="medium">
        <color auto="1"/>
      </bottom>
      <diagonal/>
    </border>
    <border>
      <left style="thin">
        <color indexed="64"/>
      </left>
      <right style="thin">
        <color indexed="64"/>
      </right>
      <top/>
      <bottom style="medium">
        <color indexed="64"/>
      </bottom>
      <diagonal/>
    </border>
  </borders>
  <cellStyleXfs count="48435">
    <xf numFmtId="0" fontId="0" fillId="0" borderId="0"/>
    <xf numFmtId="0" fontId="7" fillId="0" borderId="0">
      <alignment vertical="top"/>
    </xf>
    <xf numFmtId="0" fontId="7"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2" fontId="5" fillId="0" borderId="0">
      <alignment vertical="top"/>
    </xf>
    <xf numFmtId="172" fontId="5" fillId="0" borderId="0">
      <alignment vertical="top"/>
    </xf>
    <xf numFmtId="173" fontId="13" fillId="0" borderId="0"/>
    <xf numFmtId="174" fontId="5" fillId="0" borderId="0"/>
    <xf numFmtId="174" fontId="5" fillId="0" borderId="0"/>
    <xf numFmtId="174" fontId="5" fillId="0" borderId="0"/>
    <xf numFmtId="174" fontId="5" fillId="0" borderId="0"/>
    <xf numFmtId="174" fontId="5" fillId="0" borderId="0"/>
    <xf numFmtId="172" fontId="14" fillId="0" borderId="0"/>
    <xf numFmtId="173" fontId="13" fillId="0" borderId="0"/>
    <xf numFmtId="174" fontId="5" fillId="0" borderId="0"/>
    <xf numFmtId="174" fontId="5" fillId="0" borderId="0"/>
    <xf numFmtId="174" fontId="5" fillId="0" borderId="0"/>
    <xf numFmtId="174" fontId="5" fillId="0" borderId="0"/>
    <xf numFmtId="174" fontId="5" fillId="0" borderId="0"/>
    <xf numFmtId="175" fontId="15" fillId="0" borderId="0" applyFont="0" applyFill="0" applyBorder="0" applyAlignment="0" applyProtection="0">
      <protection locked="0"/>
    </xf>
    <xf numFmtId="176" fontId="14" fillId="0" borderId="0">
      <alignment horizontal="right"/>
    </xf>
    <xf numFmtId="177" fontId="14" fillId="7" borderId="0"/>
    <xf numFmtId="178" fontId="14" fillId="7" borderId="0"/>
    <xf numFmtId="179" fontId="14" fillId="7" borderId="0"/>
    <xf numFmtId="180" fontId="14" fillId="7" borderId="0">
      <alignment horizontal="right"/>
    </xf>
    <xf numFmtId="0" fontId="7" fillId="0" borderId="0"/>
    <xf numFmtId="0" fontId="7" fillId="0" borderId="0"/>
    <xf numFmtId="181" fontId="7" fillId="0" borderId="0"/>
    <xf numFmtId="181"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172" fontId="5" fillId="0" borderId="0"/>
    <xf numFmtId="0" fontId="5" fillId="0" borderId="0"/>
    <xf numFmtId="172" fontId="7" fillId="0" borderId="0"/>
    <xf numFmtId="172"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172" fontId="7" fillId="0" borderId="0"/>
    <xf numFmtId="0" fontId="5" fillId="0" borderId="0"/>
    <xf numFmtId="0" fontId="5" fillId="0" borderId="0"/>
    <xf numFmtId="0" fontId="5" fillId="0" borderId="0"/>
    <xf numFmtId="18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172" fontId="5" fillId="0" borderId="0" applyBorder="0"/>
    <xf numFmtId="172" fontId="16" fillId="0" borderId="0" applyNumberFormat="0" applyFont="0" applyFill="0" applyBorder="0" applyAlignment="0" applyProtection="0"/>
    <xf numFmtId="167" fontId="5" fillId="0" borderId="0" applyFont="0" applyFill="0" applyBorder="0" applyAlignment="0" applyProtection="0"/>
    <xf numFmtId="172" fontId="17" fillId="0" borderId="0" applyNumberFormat="0" applyFill="0" applyBorder="0" applyAlignment="0" applyProtection="0">
      <alignment vertical="top"/>
      <protection locked="0"/>
    </xf>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18" fillId="0" borderId="0">
      <alignment horizontal="right" vertical="center"/>
    </xf>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172" fontId="19" fillId="0" borderId="0"/>
    <xf numFmtId="38" fontId="20" fillId="0" borderId="0" applyFont="0" applyFill="0" applyBorder="0" applyAlignment="0" applyProtection="0"/>
    <xf numFmtId="38" fontId="20"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38" fontId="20" fillId="0" borderId="0" applyFont="0" applyFill="0" applyBorder="0" applyAlignment="0" applyProtection="0"/>
    <xf numFmtId="38" fontId="20" fillId="0" borderId="0" applyFont="0" applyFill="0" applyBorder="0" applyAlignment="0" applyProtection="0"/>
    <xf numFmtId="172" fontId="19" fillId="0" borderId="0"/>
    <xf numFmtId="172" fontId="5" fillId="0" borderId="0" applyFont="0" applyFill="0" applyBorder="0" applyAlignment="0" applyProtection="0"/>
    <xf numFmtId="172" fontId="19" fillId="0" borderId="0"/>
    <xf numFmtId="172" fontId="19" fillId="0" borderId="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5" fillId="0" borderId="0" applyFont="0" applyFill="0" applyBorder="0" applyAlignment="0" applyProtection="0"/>
    <xf numFmtId="0" fontId="19" fillId="0" borderId="0"/>
    <xf numFmtId="172" fontId="5" fillId="0" borderId="0"/>
    <xf numFmtId="172" fontId="5" fillId="0" borderId="0"/>
    <xf numFmtId="172"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20" fillId="0" borderId="0" applyFont="0" applyFill="0" applyBorder="0" applyAlignment="0" applyProtection="0"/>
    <xf numFmtId="185" fontId="5" fillId="0" borderId="0" applyFont="0" applyFill="0" applyBorder="0" applyAlignment="0" applyProtection="0"/>
    <xf numFmtId="172" fontId="13" fillId="0" borderId="0" applyFont="0" applyFill="0" applyBorder="0" applyAlignment="0" applyProtection="0"/>
    <xf numFmtId="185" fontId="5" fillId="0" borderId="0" applyFont="0" applyFill="0" applyBorder="0" applyAlignment="0" applyProtection="0"/>
    <xf numFmtId="172" fontId="5" fillId="0" borderId="0"/>
    <xf numFmtId="172" fontId="5" fillId="0" borderId="0"/>
    <xf numFmtId="0" fontId="5" fillId="0" borderId="0"/>
    <xf numFmtId="172" fontId="19" fillId="0" borderId="0"/>
    <xf numFmtId="0" fontId="5"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186" fontId="5" fillId="0" borderId="0" applyFont="0" applyFill="0" applyBorder="0" applyAlignment="0" applyProtection="0"/>
    <xf numFmtId="172" fontId="13" fillId="0" borderId="0" applyFont="0" applyFill="0" applyBorder="0" applyAlignment="0" applyProtection="0"/>
    <xf numFmtId="187"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39" fontId="5" fillId="0" borderId="0" applyFont="0" applyFill="0" applyBorder="0" applyAlignment="0" applyProtection="0"/>
    <xf numFmtId="172" fontId="13" fillId="0" borderId="0" applyFont="0" applyFill="0" applyBorder="0" applyAlignment="0" applyProtection="0"/>
    <xf numFmtId="39" fontId="5" fillId="0" borderId="0" applyFont="0" applyFill="0" applyBorder="0" applyAlignment="0" applyProtection="0"/>
    <xf numFmtId="172" fontId="5" fillId="0" borderId="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2" fontId="19" fillId="0" borderId="0"/>
    <xf numFmtId="172" fontId="17" fillId="0" borderId="0"/>
    <xf numFmtId="172" fontId="17" fillId="0" borderId="0"/>
    <xf numFmtId="38" fontId="20" fillId="0" borderId="0" applyAlignment="0" applyProtection="0"/>
    <xf numFmtId="38" fontId="20" fillId="0" borderId="0" applyFont="0" applyBorder="0" applyAlignment="0" applyProtection="0"/>
    <xf numFmtId="188" fontId="5" fillId="0" borderId="0" applyFont="0" applyFill="0" applyBorder="0" applyProtection="0">
      <alignment vertical="top"/>
    </xf>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2" fontId="19" fillId="0" borderId="0"/>
    <xf numFmtId="172"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9" fillId="0" borderId="0"/>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72" fontId="19"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xf numFmtId="38" fontId="21" fillId="0" borderId="0" applyAlignment="0" applyProtection="0"/>
    <xf numFmtId="0" fontId="5" fillId="0" borderId="0" applyFont="0" applyFill="0" applyBorder="0" applyAlignment="0" applyProtection="0"/>
    <xf numFmtId="188" fontId="5" fillId="0" borderId="0" applyFont="0" applyFill="0" applyBorder="0" applyProtection="0">
      <alignment vertical="top"/>
    </xf>
    <xf numFmtId="38" fontId="21" fillId="0" borderId="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 fillId="0" borderId="0"/>
    <xf numFmtId="172" fontId="19" fillId="0" borderId="0"/>
    <xf numFmtId="189" fontId="5" fillId="0" borderId="0" applyFont="0" applyFill="0" applyBorder="0" applyAlignment="0" applyProtection="0"/>
    <xf numFmtId="172" fontId="13" fillId="0" borderId="0" applyFont="0" applyFill="0" applyBorder="0" applyAlignment="0" applyProtection="0"/>
    <xf numFmtId="190"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172" fontId="13" fillId="0" borderId="0" applyFont="0" applyFill="0" applyBorder="0" applyAlignment="0" applyProtection="0"/>
    <xf numFmtId="192" fontId="5"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0" fontId="5" fillId="0" borderId="0" applyFont="0" applyFill="0" applyBorder="0" applyAlignment="0" applyProtection="0"/>
    <xf numFmtId="172" fontId="19" fillId="0" borderId="0"/>
    <xf numFmtId="172" fontId="19" fillId="0" borderId="0"/>
    <xf numFmtId="172" fontId="5" fillId="0" borderId="0"/>
    <xf numFmtId="0" fontId="5" fillId="0" borderId="0" applyFont="0" applyFill="0" applyBorder="0" applyAlignment="0" applyProtection="0"/>
    <xf numFmtId="172" fontId="19" fillId="0" borderId="0"/>
    <xf numFmtId="38" fontId="21" fillId="0" borderId="0" applyAlignment="0" applyProtection="0"/>
    <xf numFmtId="172" fontId="5" fillId="0" borderId="0"/>
    <xf numFmtId="172" fontId="5" fillId="0" borderId="0"/>
    <xf numFmtId="38" fontId="20" fillId="0" borderId="0" applyFont="0" applyFill="0" applyBorder="0" applyAlignment="0" applyProtection="0"/>
    <xf numFmtId="38" fontId="20" fillId="0" borderId="0" applyFont="0" applyFill="0" applyBorder="0" applyAlignment="0" applyProtection="0"/>
    <xf numFmtId="193" fontId="5" fillId="0" borderId="0" applyFont="0" applyFill="0" applyBorder="0" applyAlignment="0" applyProtection="0"/>
    <xf numFmtId="172" fontId="13" fillId="0" borderId="0" applyFont="0" applyFill="0" applyBorder="0" applyAlignment="0" applyProtection="0"/>
    <xf numFmtId="194"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72" fontId="13" fillId="0" borderId="0" applyFont="0" applyFill="0" applyBorder="0" applyAlignment="0" applyProtection="0"/>
    <xf numFmtId="196" fontId="5" fillId="0" borderId="0" applyFont="0" applyFill="0" applyBorder="0" applyAlignment="0" applyProtection="0"/>
    <xf numFmtId="195" fontId="5" fillId="0" borderId="0" applyFont="0" applyFill="0" applyBorder="0" applyAlignment="0" applyProtection="0"/>
    <xf numFmtId="196" fontId="5" fillId="0" borderId="0" applyFont="0" applyFill="0" applyBorder="0" applyAlignment="0" applyProtection="0"/>
    <xf numFmtId="172" fontId="22" fillId="0" borderId="0"/>
    <xf numFmtId="172" fontId="22" fillId="0" borderId="0"/>
    <xf numFmtId="172" fontId="22" fillId="0" borderId="0"/>
    <xf numFmtId="172" fontId="5"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19" fillId="0" borderId="0"/>
    <xf numFmtId="0" fontId="5" fillId="0" borderId="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72" fontId="5" fillId="0" borderId="0" applyFont="0" applyFill="0" applyBorder="0" applyAlignment="0" applyProtection="0"/>
    <xf numFmtId="0" fontId="5"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5" fillId="0" borderId="0" applyFont="0" applyFill="0" applyBorder="0" applyAlignment="0" applyProtection="0"/>
    <xf numFmtId="172" fontId="23" fillId="0" borderId="0" applyNumberFormat="0" applyFill="0" applyBorder="0" applyProtection="0">
      <alignment horizontal="left"/>
    </xf>
    <xf numFmtId="172" fontId="24" fillId="0" borderId="0" applyNumberFormat="0" applyFill="0" applyBorder="0" applyProtection="0">
      <alignment horizontal="centerContinuous"/>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2" fontId="22" fillId="0" borderId="0"/>
    <xf numFmtId="172" fontId="22" fillId="0" borderId="0"/>
    <xf numFmtId="197" fontId="25" fillId="0" borderId="0"/>
    <xf numFmtId="172" fontId="17" fillId="0" borderId="0"/>
    <xf numFmtId="172" fontId="17" fillId="0" borderId="0"/>
    <xf numFmtId="172" fontId="22" fillId="0" borderId="0"/>
    <xf numFmtId="172" fontId="22" fillId="0" borderId="0"/>
    <xf numFmtId="172" fontId="22" fillId="0" borderId="0"/>
    <xf numFmtId="0" fontId="5" fillId="0" borderId="0" applyFont="0" applyFill="0" applyBorder="0" applyAlignment="0" applyProtection="0"/>
    <xf numFmtId="172" fontId="5" fillId="0" borderId="0"/>
    <xf numFmtId="172" fontId="19" fillId="0" borderId="0"/>
    <xf numFmtId="197" fontId="2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98" fontId="26" fillId="0" borderId="0" applyFont="0" applyFill="0" applyBorder="0" applyAlignment="0" applyProtection="0"/>
    <xf numFmtId="199" fontId="17" fillId="0" borderId="0" applyFont="0" applyFill="0" applyBorder="0" applyAlignment="0" applyProtection="0"/>
    <xf numFmtId="200" fontId="27" fillId="0" borderId="0"/>
    <xf numFmtId="201" fontId="17" fillId="0" borderId="0" applyFont="0" applyFill="0" applyBorder="0" applyAlignment="0" applyProtection="0"/>
    <xf numFmtId="202" fontId="26" fillId="0" borderId="0" applyFont="0" applyFill="0" applyBorder="0" applyAlignment="0" applyProtection="0"/>
    <xf numFmtId="0" fontId="7" fillId="0" borderId="0"/>
    <xf numFmtId="0" fontId="5" fillId="0" borderId="0"/>
    <xf numFmtId="0" fontId="5" fillId="0" borderId="0"/>
    <xf numFmtId="0"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72" fontId="5" fillId="0" borderId="0"/>
    <xf numFmtId="203" fontId="5" fillId="0" borderId="0" applyBorder="0"/>
    <xf numFmtId="0" fontId="5" fillId="0" borderId="0"/>
    <xf numFmtId="0" fontId="5" fillId="0" borderId="0"/>
    <xf numFmtId="172" fontId="5" fillId="0" borderId="0" applyBorder="0"/>
    <xf numFmtId="203" fontId="5" fillId="0" borderId="0" applyBorder="0"/>
    <xf numFmtId="197" fontId="25" fillId="0" borderId="0"/>
    <xf numFmtId="204" fontId="27" fillId="0" borderId="0"/>
    <xf numFmtId="204" fontId="29" fillId="0" borderId="0"/>
    <xf numFmtId="205" fontId="27" fillId="0" borderId="0"/>
    <xf numFmtId="206" fontId="15" fillId="0" borderId="0" applyFont="0" applyFill="0" applyBorder="0" applyAlignment="0" applyProtection="0">
      <protection locked="0"/>
    </xf>
    <xf numFmtId="207" fontId="30" fillId="0" borderId="0"/>
    <xf numFmtId="172" fontId="29" fillId="0" borderId="0"/>
    <xf numFmtId="207" fontId="31" fillId="0" borderId="0"/>
    <xf numFmtId="0" fontId="3" fillId="8"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182" fontId="33" fillId="9"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182" fontId="33" fillId="11"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182" fontId="33" fillId="13"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82" fontId="33" fillId="15"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182" fontId="33" fillId="17"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 fillId="11"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182" fontId="33" fillId="18" borderId="0" applyNumberFormat="0" applyBorder="0" applyAlignment="0" applyProtection="0"/>
    <xf numFmtId="208" fontId="27" fillId="0" borderId="0"/>
    <xf numFmtId="209" fontId="29" fillId="0" borderId="0"/>
    <xf numFmtId="208" fontId="34" fillId="0" borderId="0"/>
    <xf numFmtId="0" fontId="5" fillId="0" borderId="0"/>
    <xf numFmtId="0" fontId="5" fillId="0" borderId="0"/>
    <xf numFmtId="210" fontId="27" fillId="0" borderId="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182" fontId="33" fillId="16"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182" fontId="33" fillId="10"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182" fontId="33" fillId="21"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 fillId="22"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82" fontId="33" fillId="15"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 fillId="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182" fontId="33" fillId="16"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 fillId="18"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182" fontId="33" fillId="23"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19"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82" fontId="37" fillId="24"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182" fontId="37" fillId="10"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182" fontId="37" fillId="21"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22"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82" fontId="37" fillId="25"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182" fontId="37" fillId="26"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5" fillId="18"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182" fontId="37" fillId="27" borderId="0" applyNumberFormat="0" applyBorder="0" applyAlignment="0" applyProtection="0"/>
    <xf numFmtId="0" fontId="13" fillId="0" borderId="0"/>
    <xf numFmtId="0" fontId="3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182" fontId="37"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182" fontId="37"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6" fillId="31"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3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82" fontId="37" fillId="20"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6" fillId="31"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4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82" fontId="37" fillId="25" borderId="0" applyNumberFormat="0" applyBorder="0" applyAlignment="0" applyProtection="0"/>
    <xf numFmtId="0" fontId="32" fillId="28" borderId="0" applyNumberFormat="0" applyBorder="0" applyAlignment="0" applyProtection="0"/>
    <xf numFmtId="0" fontId="32" fillId="42"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6" fillId="30"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4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182" fontId="37" fillId="2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37" borderId="0" applyNumberFormat="0" applyBorder="0" applyAlignment="0" applyProtection="0"/>
    <xf numFmtId="0" fontId="32" fillId="48"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82" fontId="37" fillId="50" borderId="0" applyNumberFormat="0" applyBorder="0" applyAlignment="0" applyProtection="0"/>
    <xf numFmtId="211" fontId="38" fillId="0" borderId="34">
      <alignment horizontal="centerContinuous"/>
    </xf>
    <xf numFmtId="212" fontId="4" fillId="51" borderId="35">
      <alignment horizontal="center" vertical="center"/>
    </xf>
    <xf numFmtId="203" fontId="15" fillId="0" borderId="0" applyFont="0" applyFill="0" applyBorder="0" applyAlignment="0" applyProtection="0"/>
    <xf numFmtId="172" fontId="15" fillId="0" borderId="0" applyFont="0" applyFill="0" applyBorder="0" applyAlignment="0" applyProtection="0"/>
    <xf numFmtId="197" fontId="39" fillId="0" borderId="0" applyNumberFormat="0" applyFont="0" applyFill="0" applyBorder="0" applyProtection="0">
      <alignment horizontal="center"/>
    </xf>
    <xf numFmtId="213" fontId="40" fillId="0" borderId="0">
      <alignment horizontal="left"/>
    </xf>
    <xf numFmtId="0" fontId="30" fillId="0" borderId="0"/>
    <xf numFmtId="214" fontId="41" fillId="0" borderId="0" applyFont="0" applyFill="0" applyBorder="0" applyAlignment="0" applyProtection="0"/>
    <xf numFmtId="172" fontId="15" fillId="0" borderId="0" applyFont="0" applyFill="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1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1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1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1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11"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9" fillId="4"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182" fontId="45" fillId="11" borderId="0" applyNumberFormat="0" applyBorder="0" applyAlignment="0" applyProtection="0"/>
    <xf numFmtId="215" fontId="46" fillId="52" borderId="36" applyNumberFormat="0" applyBorder="0" applyAlignment="0">
      <alignment horizontal="centerContinuous" vertical="center"/>
      <protection hidden="1"/>
    </xf>
    <xf numFmtId="1" fontId="47" fillId="53" borderId="21" applyNumberFormat="0" applyBorder="0" applyAlignment="0">
      <alignment horizontal="center" vertical="top" wrapText="1"/>
      <protection hidden="1"/>
    </xf>
    <xf numFmtId="216" fontId="5" fillId="0" borderId="0" applyFont="0" applyFill="0" applyBorder="0" applyAlignment="0" applyProtection="0"/>
    <xf numFmtId="185" fontId="5" fillId="0" borderId="0" applyNumberFormat="0" applyFont="0" applyAlignment="0" applyProtection="0"/>
    <xf numFmtId="172" fontId="48" fillId="54" borderId="0">
      <alignment horizontal="left"/>
    </xf>
    <xf numFmtId="217" fontId="49" fillId="0" borderId="0" applyFill="0" applyBorder="0" applyAlignment="0" applyProtection="0"/>
    <xf numFmtId="2" fontId="50" fillId="55" borderId="15" applyProtection="0">
      <alignment horizontal="left"/>
      <protection locked="0"/>
    </xf>
    <xf numFmtId="172" fontId="4" fillId="51" borderId="0" applyNumberFormat="0" applyFont="0" applyAlignment="0">
      <alignment horizontal="center"/>
    </xf>
    <xf numFmtId="218" fontId="12" fillId="51" borderId="0" applyFont="0" applyFill="0" applyBorder="0" applyAlignment="0" applyProtection="0"/>
    <xf numFmtId="172" fontId="51" fillId="0" borderId="0" applyNumberFormat="0" applyFill="0" applyBorder="0" applyAlignment="0" applyProtection="0"/>
    <xf numFmtId="172" fontId="52" fillId="0" borderId="34" applyNumberFormat="0" applyFill="0" applyAlignment="0" applyProtection="0"/>
    <xf numFmtId="172" fontId="27" fillId="0" borderId="0"/>
    <xf numFmtId="219" fontId="53" fillId="56" borderId="0" applyFont="0" applyFill="0" applyBorder="0" applyAlignment="0" applyProtection="0"/>
    <xf numFmtId="220" fontId="13" fillId="0" borderId="0" applyAlignment="0" applyProtection="0"/>
    <xf numFmtId="49" fontId="25" fillId="0" borderId="0" applyNumberFormat="0" applyAlignment="0" applyProtection="0">
      <alignment horizontal="left"/>
    </xf>
    <xf numFmtId="49" fontId="54" fillId="0" borderId="37" applyNumberFormat="0" applyAlignment="0" applyProtection="0">
      <alignment horizontal="left" wrapText="1"/>
    </xf>
    <xf numFmtId="49" fontId="55" fillId="0" borderId="0" applyAlignment="0" applyProtection="0">
      <alignment horizontal="left"/>
    </xf>
    <xf numFmtId="221" fontId="17" fillId="0" borderId="0" applyFont="0" applyFill="0" applyBorder="0" applyAlignment="0" applyProtection="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6" fillId="0" borderId="0"/>
    <xf numFmtId="172" fontId="57" fillId="0" borderId="0"/>
    <xf numFmtId="222" fontId="13" fillId="0" borderId="0"/>
    <xf numFmtId="223" fontId="13" fillId="0" borderId="0"/>
    <xf numFmtId="224" fontId="13" fillId="0" borderId="0"/>
    <xf numFmtId="222" fontId="13" fillId="0" borderId="38"/>
    <xf numFmtId="223" fontId="13" fillId="0" borderId="38"/>
    <xf numFmtId="223" fontId="13" fillId="0" borderId="38"/>
    <xf numFmtId="224" fontId="13" fillId="0" borderId="38"/>
    <xf numFmtId="224" fontId="13" fillId="0" borderId="38"/>
    <xf numFmtId="222" fontId="13" fillId="0" borderId="38"/>
    <xf numFmtId="222" fontId="13" fillId="0" borderId="38"/>
    <xf numFmtId="222" fontId="13" fillId="0" borderId="0"/>
    <xf numFmtId="225" fontId="13" fillId="0" borderId="0"/>
    <xf numFmtId="172" fontId="15" fillId="0" borderId="0" applyFill="0" applyBorder="0" applyAlignment="0"/>
    <xf numFmtId="226" fontId="13" fillId="0" borderId="0"/>
    <xf numFmtId="227" fontId="13" fillId="0" borderId="0"/>
    <xf numFmtId="225" fontId="13" fillId="0" borderId="38"/>
    <xf numFmtId="226" fontId="13" fillId="0" borderId="38"/>
    <xf numFmtId="226" fontId="13" fillId="0" borderId="38"/>
    <xf numFmtId="227" fontId="13" fillId="0" borderId="38"/>
    <xf numFmtId="227" fontId="13" fillId="0" borderId="38"/>
    <xf numFmtId="225" fontId="13" fillId="0" borderId="38"/>
    <xf numFmtId="225" fontId="13" fillId="0" borderId="38"/>
    <xf numFmtId="225" fontId="13" fillId="0" borderId="0"/>
    <xf numFmtId="228" fontId="13" fillId="0" borderId="0">
      <alignment horizontal="right"/>
      <protection locked="0"/>
    </xf>
    <xf numFmtId="229" fontId="13" fillId="0" borderId="0">
      <alignment horizontal="right"/>
      <protection locked="0"/>
    </xf>
    <xf numFmtId="230" fontId="13" fillId="0" borderId="0"/>
    <xf numFmtId="231" fontId="13" fillId="0" borderId="0"/>
    <xf numFmtId="232" fontId="13" fillId="0" borderId="0"/>
    <xf numFmtId="230" fontId="13" fillId="0" borderId="38"/>
    <xf numFmtId="231" fontId="13" fillId="0" borderId="38"/>
    <xf numFmtId="231" fontId="13" fillId="0" borderId="38"/>
    <xf numFmtId="232" fontId="13" fillId="0" borderId="38"/>
    <xf numFmtId="232" fontId="13" fillId="0" borderId="38"/>
    <xf numFmtId="230" fontId="13" fillId="0" borderId="38"/>
    <xf numFmtId="230" fontId="13" fillId="0" borderId="38"/>
    <xf numFmtId="230" fontId="13" fillId="0" borderId="0"/>
    <xf numFmtId="233" fontId="5" fillId="7" borderId="0"/>
    <xf numFmtId="172" fontId="5" fillId="0" borderId="0">
      <alignment vertical="center"/>
    </xf>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8" fillId="57" borderId="39" applyNumberFormat="0" applyAlignment="0" applyProtection="0"/>
    <xf numFmtId="0" fontId="59" fillId="22"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8" fillId="57"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0" fontId="59" fillId="22" borderId="39" applyNumberFormat="0" applyAlignment="0" applyProtection="0"/>
    <xf numFmtId="182" fontId="60" fillId="22" borderId="39" applyNumberFormat="0" applyAlignment="0" applyProtection="0"/>
    <xf numFmtId="182" fontId="60" fillId="22" borderId="39" applyNumberFormat="0" applyAlignment="0" applyProtection="0"/>
    <xf numFmtId="38" fontId="61" fillId="0" borderId="0" applyNumberFormat="0" applyFill="0" applyBorder="0" applyAlignment="0" applyProtection="0"/>
    <xf numFmtId="0" fontId="62" fillId="39"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39"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58" borderId="40" applyNumberFormat="0" applyAlignment="0" applyProtection="0"/>
    <xf numFmtId="0" fontId="62" fillId="58" borderId="40" applyNumberFormat="0" applyAlignment="0" applyProtection="0"/>
    <xf numFmtId="182" fontId="63" fillId="58" borderId="40" applyNumberFormat="0" applyAlignment="0" applyProtection="0"/>
    <xf numFmtId="38" fontId="5" fillId="0" borderId="0" applyNumberFormat="0" applyFill="0" applyBorder="0" applyAlignment="0" applyProtection="0">
      <protection locked="0"/>
    </xf>
    <xf numFmtId="38" fontId="5" fillId="0" borderId="0" applyNumberFormat="0" applyFill="0" applyBorder="0" applyAlignment="0" applyProtection="0">
      <protection locked="0"/>
    </xf>
    <xf numFmtId="38" fontId="5" fillId="0" borderId="0" applyNumberFormat="0" applyFill="0" applyBorder="0" applyAlignment="0" applyProtection="0">
      <protection locked="0"/>
    </xf>
    <xf numFmtId="37" fontId="4" fillId="0" borderId="34">
      <alignment horizontal="center"/>
    </xf>
    <xf numFmtId="37" fontId="4" fillId="0" borderId="0">
      <alignment horizontal="center" vertical="center" wrapText="1"/>
    </xf>
    <xf numFmtId="1" fontId="64" fillId="0" borderId="16">
      <alignment vertical="top"/>
    </xf>
    <xf numFmtId="234" fontId="65" fillId="0" borderId="0" applyBorder="0">
      <alignment horizontal="right"/>
    </xf>
    <xf numFmtId="234" fontId="65" fillId="0" borderId="30" applyAlignment="0">
      <alignment horizontal="right"/>
    </xf>
    <xf numFmtId="235" fontId="17" fillId="0" borderId="0"/>
    <xf numFmtId="235" fontId="17" fillId="0" borderId="0"/>
    <xf numFmtId="235" fontId="17" fillId="0" borderId="0"/>
    <xf numFmtId="235" fontId="17" fillId="0" borderId="0"/>
    <xf numFmtId="235" fontId="17" fillId="0" borderId="0"/>
    <xf numFmtId="235" fontId="17" fillId="0" borderId="0"/>
    <xf numFmtId="235" fontId="17" fillId="0" borderId="0"/>
    <xf numFmtId="235" fontId="17" fillId="0" borderId="0"/>
    <xf numFmtId="38" fontId="5" fillId="0" borderId="0" applyFont="0" applyFill="0" applyBorder="0" applyAlignment="0" applyProtection="0"/>
    <xf numFmtId="197" fontId="15" fillId="0" borderId="0" applyFont="0" applyFill="0" applyBorder="0" applyAlignment="0" applyProtection="0">
      <protection locked="0"/>
    </xf>
    <xf numFmtId="40" fontId="15" fillId="0" borderId="0" applyFont="0" applyFill="0" applyBorder="0" applyAlignment="0" applyProtection="0">
      <protection locked="0"/>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NumberFormat="0" applyFont="0" applyBorder="0" applyAlignment="0"/>
    <xf numFmtId="200" fontId="27" fillId="0" borderId="0"/>
    <xf numFmtId="236" fontId="30" fillId="0" borderId="0"/>
    <xf numFmtId="172" fontId="66" fillId="0" borderId="0" applyFont="0" applyFill="0" applyBorder="0" applyAlignment="0" applyProtection="0">
      <alignment horizontal="right"/>
    </xf>
    <xf numFmtId="237" fontId="66" fillId="0" borderId="0" applyFont="0" applyFill="0" applyBorder="0" applyAlignment="0" applyProtection="0"/>
    <xf numFmtId="172" fontId="66" fillId="0" borderId="0" applyFont="0" applyFill="0" applyBorder="0" applyAlignment="0" applyProtection="0">
      <alignment horizontal="right"/>
    </xf>
    <xf numFmtId="0"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236" fontId="7" fillId="0" borderId="0" applyFont="0" applyFill="0" applyBorder="0" applyAlignment="0" applyProtection="0"/>
    <xf numFmtId="181" fontId="7" fillId="0" borderId="0" applyFont="0" applyFill="0" applyBorder="0" applyAlignment="0" applyProtection="0"/>
    <xf numFmtId="185" fontId="7" fillId="0" borderId="0" applyFont="0" applyFill="0" applyBorder="0" applyAlignment="0" applyProtection="0"/>
    <xf numFmtId="18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38" fontId="7" fillId="0" borderId="0" applyFont="0" applyFill="0" applyBorder="0" applyAlignment="0" applyProtection="0"/>
    <xf numFmtId="239" fontId="7" fillId="0" borderId="0" applyFont="0" applyFill="0" applyBorder="0" applyAlignment="0" applyProtection="0"/>
    <xf numFmtId="239" fontId="7" fillId="0" borderId="0" applyFont="0" applyFill="0" applyBorder="0" applyAlignment="0" applyProtection="0"/>
    <xf numFmtId="234" fontId="7" fillId="0" borderId="0" applyFont="0" applyFill="0" applyBorder="0" applyAlignment="0" applyProtection="0"/>
    <xf numFmtId="180" fontId="7" fillId="0" borderId="0" applyFont="0" applyFill="0" applyBorder="0" applyAlignment="0" applyProtection="0"/>
    <xf numFmtId="240" fontId="7" fillId="0" borderId="0" applyFont="0" applyFill="0" applyBorder="0" applyAlignment="0" applyProtection="0"/>
    <xf numFmtId="240" fontId="7" fillId="0" borderId="0" applyFont="0" applyFill="0" applyBorder="0" applyAlignment="0" applyProtection="0"/>
    <xf numFmtId="240" fontId="7" fillId="0" borderId="0" applyFont="0" applyFill="0" applyBorder="0" applyAlignment="0" applyProtection="0"/>
    <xf numFmtId="234" fontId="7" fillId="0" borderId="0" applyFont="0" applyFill="0" applyBorder="0" applyAlignment="0" applyProtection="0"/>
    <xf numFmtId="234"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32"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9"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242" fontId="5" fillId="0" borderId="0" applyFont="0" applyFill="0" applyBorder="0" applyAlignment="0" applyProtection="0"/>
    <xf numFmtId="169" fontId="7"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43" fontId="5" fillId="0" borderId="0" applyFont="0" applyFill="0" applyBorder="0" applyAlignment="0" applyProtection="0"/>
    <xf numFmtId="169" fontId="3"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7"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5"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8"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4" fontId="5" fillId="0" borderId="0" applyFont="0" applyFill="0" applyBorder="0" applyAlignment="0" applyProtection="0"/>
    <xf numFmtId="38" fontId="17" fillId="0" borderId="0" applyFill="0" applyBorder="0" applyProtection="0">
      <alignment horizontal="center"/>
    </xf>
    <xf numFmtId="172" fontId="69" fillId="0" borderId="0">
      <protection locked="0"/>
    </xf>
    <xf numFmtId="245" fontId="5" fillId="0" borderId="0" applyBorder="0"/>
    <xf numFmtId="246" fontId="25" fillId="0" borderId="0" applyBorder="0"/>
    <xf numFmtId="247" fontId="70" fillId="59" borderId="0" applyBorder="0">
      <alignment vertical="center"/>
    </xf>
    <xf numFmtId="248" fontId="5" fillId="0" borderId="0" applyFill="0" applyBorder="0">
      <alignment horizontal="left"/>
    </xf>
    <xf numFmtId="172" fontId="71" fillId="0" borderId="0" applyNumberFormat="0" applyAlignment="0">
      <alignment horizontal="left"/>
    </xf>
    <xf numFmtId="37" fontId="5" fillId="60" borderId="0" applyFont="0" applyBorder="0" applyAlignment="0" applyProtection="0"/>
    <xf numFmtId="185" fontId="22" fillId="60" borderId="0" applyFont="0" applyBorder="0" applyAlignment="0" applyProtection="0"/>
    <xf numFmtId="39" fontId="22" fillId="60" borderId="0" applyFont="0" applyBorder="0" applyAlignment="0" applyProtection="0"/>
    <xf numFmtId="249" fontId="72" fillId="0" borderId="0"/>
    <xf numFmtId="164" fontId="15" fillId="0" borderId="0" applyFont="0" applyFill="0" applyBorder="0" applyAlignment="0" applyProtection="0">
      <protection locked="0"/>
    </xf>
    <xf numFmtId="165" fontId="15" fillId="0" borderId="0" applyFont="0" applyFill="0" applyBorder="0" applyAlignment="0" applyProtection="0">
      <protection locked="0"/>
    </xf>
    <xf numFmtId="166" fontId="5" fillId="0" borderId="0">
      <alignment horizontal="right"/>
    </xf>
    <xf numFmtId="172" fontId="66" fillId="0" borderId="0" applyFont="0" applyFill="0" applyBorder="0" applyAlignment="0" applyProtection="0">
      <alignment horizontal="right"/>
    </xf>
    <xf numFmtId="170" fontId="68" fillId="0" borderId="0" applyFont="0" applyFill="0" applyBorder="0" applyAlignment="0" applyProtection="0"/>
    <xf numFmtId="250" fontId="5" fillId="0" borderId="0" applyFont="0" applyFill="0" applyBorder="0" applyAlignment="0" applyProtection="0"/>
    <xf numFmtId="172" fontId="66" fillId="0" borderId="0" applyFont="0" applyFill="0" applyBorder="0" applyAlignment="0" applyProtection="0">
      <alignment horizontal="right"/>
    </xf>
    <xf numFmtId="170" fontId="32" fillId="0" borderId="0" applyFont="0" applyFill="0" applyBorder="0" applyAlignment="0" applyProtection="0"/>
    <xf numFmtId="248" fontId="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251" fontId="5" fillId="0" borderId="0" applyFont="0" applyFill="0" applyBorder="0" applyAlignment="0" applyProtection="0"/>
    <xf numFmtId="172" fontId="5" fillId="0" borderId="0" applyFont="0" applyFill="0" applyBorder="0" applyAlignment="0" applyProtection="0"/>
    <xf numFmtId="49" fontId="73" fillId="61" borderId="0" applyAlignment="0" applyProtection="0">
      <alignment vertical="center"/>
    </xf>
    <xf numFmtId="252" fontId="14" fillId="7" borderId="15">
      <alignment horizontal="right"/>
    </xf>
    <xf numFmtId="253" fontId="17" fillId="0" borderId="0" applyFont="0" applyFill="0" applyBorder="0" applyAlignment="0" applyProtection="0"/>
    <xf numFmtId="222" fontId="13" fillId="56" borderId="41">
      <protection locked="0"/>
    </xf>
    <xf numFmtId="223" fontId="13" fillId="56" borderId="41">
      <protection locked="0"/>
    </xf>
    <xf numFmtId="224" fontId="13" fillId="56" borderId="41">
      <protection locked="0"/>
    </xf>
    <xf numFmtId="222" fontId="13" fillId="56" borderId="41">
      <protection locked="0"/>
    </xf>
    <xf numFmtId="225" fontId="13" fillId="56" borderId="41">
      <protection locked="0"/>
    </xf>
    <xf numFmtId="226" fontId="13" fillId="56" borderId="41">
      <protection locked="0"/>
    </xf>
    <xf numFmtId="227" fontId="13" fillId="56" borderId="41">
      <protection locked="0"/>
    </xf>
    <xf numFmtId="225" fontId="13" fillId="56" borderId="41">
      <protection locked="0"/>
    </xf>
    <xf numFmtId="228" fontId="13" fillId="62" borderId="41">
      <alignment horizontal="right"/>
      <protection locked="0"/>
    </xf>
    <xf numFmtId="229" fontId="13" fillId="62" borderId="41">
      <alignment horizontal="right"/>
      <protection locked="0"/>
    </xf>
    <xf numFmtId="0" fontId="13" fillId="63" borderId="41">
      <alignment horizontal="left"/>
      <protection locked="0"/>
    </xf>
    <xf numFmtId="49" fontId="13" fillId="64" borderId="41">
      <alignment horizontal="left" vertical="top" wrapText="1"/>
      <protection locked="0"/>
    </xf>
    <xf numFmtId="230" fontId="13" fillId="56" borderId="41">
      <protection locked="0"/>
    </xf>
    <xf numFmtId="231" fontId="13" fillId="56" borderId="41">
      <protection locked="0"/>
    </xf>
    <xf numFmtId="232" fontId="13" fillId="56" borderId="41">
      <protection locked="0"/>
    </xf>
    <xf numFmtId="230" fontId="13" fillId="56" borderId="41">
      <protection locked="0"/>
    </xf>
    <xf numFmtId="49" fontId="13" fillId="64" borderId="41">
      <alignment horizontal="left"/>
      <protection locked="0"/>
    </xf>
    <xf numFmtId="254" fontId="13" fillId="56" borderId="41">
      <alignment horizontal="left" indent="1"/>
      <protection locked="0"/>
    </xf>
    <xf numFmtId="255" fontId="5" fillId="56" borderId="42"/>
    <xf numFmtId="255" fontId="5" fillId="56" borderId="42"/>
    <xf numFmtId="255" fontId="5" fillId="56" borderId="42"/>
    <xf numFmtId="255" fontId="5" fillId="56" borderId="42"/>
    <xf numFmtId="255" fontId="5" fillId="56" borderId="42"/>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256" fontId="5" fillId="0" borderId="0" applyFill="0" applyBorder="0"/>
    <xf numFmtId="172" fontId="66" fillId="0" borderId="0" applyFont="0" applyFill="0" applyBorder="0" applyAlignment="0" applyProtection="0"/>
    <xf numFmtId="257" fontId="5" fillId="0" borderId="0" applyFont="0" applyFill="0" applyBorder="0" applyAlignment="0" applyProtection="0"/>
    <xf numFmtId="172" fontId="66" fillId="0" borderId="0" applyFont="0" applyFill="0" applyBorder="0" applyAlignment="0" applyProtection="0"/>
    <xf numFmtId="172" fontId="65" fillId="55" borderId="0">
      <alignment horizontal="left"/>
    </xf>
    <xf numFmtId="256" fontId="5" fillId="0" borderId="0" applyFill="0" applyBorder="0"/>
    <xf numFmtId="14" fontId="5" fillId="0" borderId="0"/>
    <xf numFmtId="258" fontId="5" fillId="0" borderId="0" applyFont="0" applyFill="0" applyBorder="0" applyAlignment="0" applyProtection="0"/>
    <xf numFmtId="259" fontId="5" fillId="0" borderId="0" applyFont="0" applyFill="0" applyBorder="0" applyProtection="0">
      <alignment vertical="top"/>
    </xf>
    <xf numFmtId="259" fontId="5" fillId="0" borderId="0" applyFont="0" applyFill="0" applyBorder="0" applyProtection="0">
      <alignment vertical="top"/>
    </xf>
    <xf numFmtId="259" fontId="5" fillId="0" borderId="0" applyFont="0" applyFill="0" applyBorder="0" applyProtection="0">
      <alignment vertical="top"/>
    </xf>
    <xf numFmtId="260" fontId="5" fillId="0" borderId="0" applyFont="0" applyFill="0" applyBorder="0" applyAlignment="0" applyProtection="0"/>
    <xf numFmtId="259" fontId="5" fillId="0" borderId="0" applyFont="0" applyFill="0" applyBorder="0" applyProtection="0">
      <alignment vertical="top"/>
    </xf>
    <xf numFmtId="260" fontId="5" fillId="0" borderId="0" applyFont="0" applyFill="0" applyBorder="0" applyAlignment="0" applyProtection="0"/>
    <xf numFmtId="261" fontId="5" fillId="0" borderId="0" applyFont="0" applyFill="0" applyBorder="0" applyProtection="0">
      <alignment vertical="top"/>
    </xf>
    <xf numFmtId="261" fontId="5" fillId="0" borderId="0" applyFont="0" applyFill="0" applyBorder="0" applyProtection="0">
      <alignment vertical="top"/>
    </xf>
    <xf numFmtId="261" fontId="5" fillId="0" borderId="0" applyFont="0" applyFill="0" applyBorder="0" applyProtection="0">
      <alignment vertical="top"/>
    </xf>
    <xf numFmtId="261" fontId="5" fillId="0" borderId="0" applyFont="0" applyFill="0" applyBorder="0" applyProtection="0">
      <alignment vertical="top"/>
    </xf>
    <xf numFmtId="205" fontId="30" fillId="0" borderId="0">
      <alignment horizontal="right"/>
    </xf>
    <xf numFmtId="200" fontId="30" fillId="0" borderId="0">
      <alignment horizontal="right"/>
      <protection locked="0"/>
    </xf>
    <xf numFmtId="200" fontId="30" fillId="0" borderId="0"/>
    <xf numFmtId="262" fontId="30" fillId="0" borderId="0">
      <alignment horizontal="right"/>
      <protection locked="0"/>
    </xf>
    <xf numFmtId="200" fontId="31" fillId="0" borderId="0"/>
    <xf numFmtId="263" fontId="25" fillId="65" borderId="0" applyAlignment="0" applyProtection="0">
      <alignment horizontal="right"/>
    </xf>
    <xf numFmtId="264" fontId="5" fillId="0" borderId="0" applyFont="0" applyFill="0" applyBorder="0" applyAlignment="0" applyProtection="0"/>
    <xf numFmtId="265" fontId="5" fillId="0" borderId="0" applyFont="0" applyFill="0" applyBorder="0" applyAlignment="0" applyProtection="0"/>
    <xf numFmtId="197" fontId="39" fillId="7" borderId="0" applyNumberFormat="0" applyFont="0" applyBorder="0" applyAlignment="0" applyProtection="0"/>
    <xf numFmtId="165" fontId="17" fillId="0" borderId="0" applyFill="0" applyBorder="0" applyProtection="0">
      <alignment horizontal="center"/>
    </xf>
    <xf numFmtId="164" fontId="17" fillId="0" borderId="0">
      <alignment horizontal="center"/>
    </xf>
    <xf numFmtId="165" fontId="17" fillId="0" borderId="0" applyFill="0" applyBorder="0" applyProtection="0">
      <alignment horizontal="center"/>
    </xf>
    <xf numFmtId="248" fontId="6" fillId="0" borderId="0">
      <alignment horizontal="center"/>
    </xf>
    <xf numFmtId="172" fontId="66" fillId="0" borderId="43" applyNumberFormat="0" applyFont="0" applyFill="0" applyAlignment="0" applyProtection="0"/>
    <xf numFmtId="203" fontId="74" fillId="0" borderId="38"/>
    <xf numFmtId="204" fontId="30" fillId="0" borderId="0"/>
    <xf numFmtId="38" fontId="20" fillId="0" borderId="0" applyFont="0" applyFill="0" applyBorder="0" applyAlignment="0" applyProtection="0"/>
    <xf numFmtId="172" fontId="75" fillId="0" borderId="0" applyFont="0" applyFill="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172" fontId="77" fillId="0" borderId="0" applyNumberFormat="0" applyAlignment="0">
      <alignment horizontal="left"/>
    </xf>
    <xf numFmtId="266" fontId="14" fillId="0" borderId="0"/>
    <xf numFmtId="267" fontId="14" fillId="0" borderId="0"/>
    <xf numFmtId="268" fontId="14" fillId="0" borderId="0"/>
    <xf numFmtId="269" fontId="14" fillId="0" borderId="0"/>
    <xf numFmtId="270" fontId="14" fillId="0" borderId="0"/>
    <xf numFmtId="271" fontId="14" fillId="0" borderId="0"/>
    <xf numFmtId="182" fontId="20"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272" fontId="5" fillId="0" borderId="0" applyFont="0" applyFill="0" applyBorder="0" applyAlignment="0" applyProtection="0"/>
    <xf numFmtId="273" fontId="5" fillId="0" borderId="0" applyFont="0" applyFill="0" applyBorder="0" applyAlignment="0" applyProtection="0"/>
    <xf numFmtId="274" fontId="5" fillId="0" borderId="0" applyFont="0" applyFill="0" applyBorder="0" applyAlignment="0" applyProtection="0"/>
    <xf numFmtId="172" fontId="5" fillId="0" borderId="0" applyFon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82" fontId="80" fillId="0" borderId="0" applyNumberFormat="0" applyFill="0" applyBorder="0" applyAlignment="0" applyProtection="0"/>
    <xf numFmtId="0" fontId="17" fillId="58" borderId="0" applyNumberFormat="0" applyFont="0" applyBorder="0" applyAlignment="0" applyProtection="0"/>
    <xf numFmtId="0" fontId="17" fillId="58" borderId="0" applyNumberFormat="0" applyFont="0" applyBorder="0" applyAlignment="0" applyProtection="0"/>
    <xf numFmtId="0" fontId="81" fillId="0" borderId="0" applyNumberFormat="0" applyFill="0" applyBorder="0" applyAlignment="0" applyProtection="0"/>
    <xf numFmtId="275" fontId="82" fillId="0" borderId="0" applyFill="0" applyBorder="0"/>
    <xf numFmtId="15" fontId="3" fillId="0" borderId="0" applyFill="0" applyBorder="0" applyProtection="0">
      <alignment horizontal="center"/>
    </xf>
    <xf numFmtId="0" fontId="17" fillId="11" borderId="0" applyNumberFormat="0" applyFont="0" applyBorder="0" applyAlignment="0" applyProtection="0"/>
    <xf numFmtId="0" fontId="17" fillId="11" borderId="0" applyNumberFormat="0" applyFont="0" applyBorder="0" applyAlignment="0" applyProtection="0"/>
    <xf numFmtId="276" fontId="83" fillId="0" borderId="0" applyFill="0" applyBorder="0" applyProtection="0"/>
    <xf numFmtId="277" fontId="84" fillId="22" borderId="44" applyAlignment="0" applyProtection="0"/>
    <xf numFmtId="277" fontId="84" fillId="22" borderId="44" applyAlignment="0" applyProtection="0"/>
    <xf numFmtId="278" fontId="85" fillId="0" borderId="0" applyNumberFormat="0" applyFill="0" applyBorder="0" applyAlignment="0" applyProtection="0"/>
    <xf numFmtId="278" fontId="86" fillId="0" borderId="0" applyNumberFormat="0" applyFill="0" applyBorder="0" applyAlignment="0" applyProtection="0"/>
    <xf numFmtId="15" fontId="81" fillId="56" borderId="41">
      <alignment horizontal="center"/>
      <protection locked="0"/>
    </xf>
    <xf numFmtId="279" fontId="81" fillId="56" borderId="41" applyAlignment="0">
      <protection locked="0"/>
    </xf>
    <xf numFmtId="280" fontId="81" fillId="56" borderId="41" applyAlignment="0">
      <protection locked="0"/>
    </xf>
    <xf numFmtId="280" fontId="3" fillId="0" borderId="0" applyFill="0" applyBorder="0" applyAlignment="0" applyProtection="0"/>
    <xf numFmtId="281" fontId="3" fillId="0" borderId="0" applyFill="0" applyBorder="0" applyAlignment="0" applyProtection="0"/>
    <xf numFmtId="281" fontId="3" fillId="0" borderId="0" applyFill="0" applyBorder="0" applyAlignment="0" applyProtection="0"/>
    <xf numFmtId="282" fontId="3" fillId="0" borderId="0" applyFill="0" applyBorder="0" applyAlignment="0" applyProtection="0"/>
    <xf numFmtId="0" fontId="17" fillId="0" borderId="45" applyNumberFormat="0" applyFont="0" applyAlignment="0" applyProtection="0"/>
    <xf numFmtId="0" fontId="17" fillId="0" borderId="45" applyNumberFormat="0" applyFont="0" applyAlignment="0" applyProtection="0"/>
    <xf numFmtId="0" fontId="17" fillId="0" borderId="45" applyNumberFormat="0" applyFont="0" applyAlignment="0" applyProtection="0"/>
    <xf numFmtId="0" fontId="17" fillId="0" borderId="45" applyNumberFormat="0" applyFont="0" applyAlignment="0" applyProtection="0"/>
    <xf numFmtId="0" fontId="17" fillId="0" borderId="46" applyNumberFormat="0" applyFont="0" applyAlignment="0" applyProtection="0"/>
    <xf numFmtId="0" fontId="17" fillId="0" borderId="46" applyNumberFormat="0" applyFont="0" applyAlignment="0" applyProtection="0"/>
    <xf numFmtId="0" fontId="17" fillId="0" borderId="46" applyNumberFormat="0" applyFont="0" applyAlignment="0" applyProtection="0"/>
    <xf numFmtId="0" fontId="17" fillId="0" borderId="46" applyNumberFormat="0" applyFont="0" applyAlignment="0" applyProtection="0"/>
    <xf numFmtId="0" fontId="17" fillId="21" borderId="0" applyNumberFormat="0" applyFont="0" applyBorder="0" applyAlignment="0" applyProtection="0"/>
    <xf numFmtId="0" fontId="17" fillId="21" borderId="0" applyNumberFormat="0" applyFont="0" applyBorder="0" applyAlignment="0" applyProtection="0"/>
    <xf numFmtId="167" fontId="5" fillId="0" borderId="0" applyFont="0" applyFill="0" applyBorder="0" applyAlignment="0" applyProtection="0"/>
    <xf numFmtId="169" fontId="5" fillId="0" borderId="0" applyFont="0" applyFill="0" applyBorder="0" applyAlignment="0" applyProtection="0"/>
    <xf numFmtId="283" fontId="5" fillId="0" borderId="0" applyFont="0" applyFill="0" applyBorder="0" applyAlignment="0" applyProtection="0"/>
    <xf numFmtId="284" fontId="5" fillId="0" borderId="0" applyFont="0" applyFill="0" applyBorder="0" applyProtection="0">
      <alignment vertical="top"/>
    </xf>
    <xf numFmtId="284" fontId="5" fillId="0" borderId="0" applyFont="0" applyFill="0" applyBorder="0" applyProtection="0">
      <alignment vertical="top"/>
    </xf>
    <xf numFmtId="284" fontId="5" fillId="0" borderId="0" applyFont="0" applyFill="0" applyBorder="0" applyProtection="0">
      <alignment vertical="top"/>
    </xf>
    <xf numFmtId="284" fontId="5" fillId="0" borderId="0" applyFont="0" applyFill="0" applyBorder="0" applyProtection="0">
      <alignment vertical="top"/>
    </xf>
    <xf numFmtId="1" fontId="87" fillId="69" borderId="47" applyNumberFormat="0" applyBorder="0" applyAlignment="0">
      <alignment horizontal="centerContinuous" vertical="center"/>
      <protection locked="0"/>
    </xf>
    <xf numFmtId="172" fontId="69" fillId="0" borderId="0">
      <protection locked="0"/>
    </xf>
    <xf numFmtId="248" fontId="88" fillId="0" borderId="0"/>
    <xf numFmtId="248" fontId="88" fillId="0" borderId="0"/>
    <xf numFmtId="172" fontId="89" fillId="0" borderId="0"/>
    <xf numFmtId="172" fontId="90" fillId="0" borderId="0" applyFill="0" applyBorder="0" applyProtection="0">
      <alignment horizontal="left"/>
    </xf>
    <xf numFmtId="4" fontId="91" fillId="0" borderId="0">
      <protection locked="0"/>
    </xf>
    <xf numFmtId="0" fontId="73" fillId="8" borderId="0" applyAlignment="0" applyProtection="0">
      <alignment horizontal="right" vertical="center"/>
    </xf>
    <xf numFmtId="249" fontId="92" fillId="0" borderId="0"/>
    <xf numFmtId="267" fontId="14" fillId="0" borderId="48"/>
    <xf numFmtId="285" fontId="14" fillId="7" borderId="15">
      <alignment horizontal="right"/>
    </xf>
    <xf numFmtId="286" fontId="5" fillId="0" borderId="0" applyFont="0" applyFill="0" applyBorder="0" applyAlignment="0" applyProtection="0"/>
    <xf numFmtId="287" fontId="93" fillId="0" borderId="0" applyFont="0" applyFill="0" applyBorder="0" applyAlignment="0" applyProtection="0"/>
    <xf numFmtId="288" fontId="5" fillId="0" borderId="0" applyFont="0" applyFill="0" applyBorder="0" applyAlignment="0" applyProtection="0"/>
    <xf numFmtId="289" fontId="93"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70"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182" fontId="95" fillId="13" borderId="0" applyNumberFormat="0" applyBorder="0" applyAlignment="0" applyProtection="0"/>
    <xf numFmtId="2" fontId="96" fillId="55" borderId="15" applyProtection="0">
      <alignment horizontal="left"/>
      <protection locked="0"/>
    </xf>
    <xf numFmtId="38" fontId="25" fillId="7" borderId="0" applyNumberFormat="0" applyBorder="0" applyAlignment="0" applyProtection="0"/>
    <xf numFmtId="0" fontId="5" fillId="22" borderId="0" applyNumberFormat="0" applyFont="0" applyBorder="0" applyAlignment="0" applyProtection="0"/>
    <xf numFmtId="290" fontId="65" fillId="71" borderId="6" applyNumberFormat="0" applyFont="0" applyAlignment="0"/>
    <xf numFmtId="172" fontId="66" fillId="0" borderId="0" applyFont="0" applyFill="0" applyBorder="0" applyAlignment="0" applyProtection="0">
      <alignment horizontal="right"/>
    </xf>
    <xf numFmtId="172" fontId="97" fillId="0" borderId="0" applyProtection="0">
      <alignment horizontal="right"/>
    </xf>
    <xf numFmtId="172" fontId="12" fillId="0" borderId="23" applyNumberFormat="0" applyAlignment="0" applyProtection="0">
      <alignment horizontal="left" vertical="center"/>
    </xf>
    <xf numFmtId="172" fontId="12" fillId="0" borderId="44">
      <alignment horizontal="left" vertical="center"/>
    </xf>
    <xf numFmtId="2" fontId="47" fillId="53" borderId="0" applyAlignment="0">
      <alignment horizontal="right"/>
      <protection locked="0"/>
    </xf>
    <xf numFmtId="0" fontId="98" fillId="0" borderId="49"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8" fillId="0" borderId="49"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0" fontId="99" fillId="0" borderId="50" applyNumberFormat="0" applyFill="0" applyAlignment="0" applyProtection="0"/>
    <xf numFmtId="182" fontId="100" fillId="0" borderId="50"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1"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0" fontId="102" fillId="0" borderId="51" applyNumberFormat="0" applyFill="0" applyAlignment="0" applyProtection="0"/>
    <xf numFmtId="182" fontId="103" fillId="0" borderId="51"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4" fillId="0" borderId="37"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82" fontId="106" fillId="0" borderId="52"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82" fontId="106" fillId="0" borderId="0" applyNumberFormat="0" applyFill="0" applyBorder="0" applyAlignment="0" applyProtection="0"/>
    <xf numFmtId="172" fontId="17" fillId="0" borderId="0">
      <protection locked="0"/>
    </xf>
    <xf numFmtId="172" fontId="17" fillId="0" borderId="0">
      <protection locked="0"/>
    </xf>
    <xf numFmtId="291" fontId="107" fillId="0" borderId="0">
      <alignment horizontal="right"/>
    </xf>
    <xf numFmtId="292" fontId="35" fillId="0" borderId="0" applyAlignment="0">
      <alignment horizontal="right"/>
      <protection hidden="1"/>
    </xf>
    <xf numFmtId="172" fontId="81" fillId="0" borderId="53" applyNumberFormat="0" applyFill="0" applyAlignment="0" applyProtection="0"/>
    <xf numFmtId="197"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182" fontId="113"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7" fillId="0" borderId="0" applyNumberFormat="0" applyFill="0" applyBorder="0" applyAlignment="0" applyProtection="0">
      <alignment vertical="top"/>
      <protection locked="0"/>
    </xf>
    <xf numFmtId="172" fontId="118" fillId="0" borderId="0">
      <alignment wrapText="1"/>
    </xf>
    <xf numFmtId="10" fontId="25" fillId="71" borderId="6" applyNumberFormat="0" applyBorder="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19" fillId="48" borderId="39" applyNumberFormat="0" applyAlignment="0" applyProtection="0"/>
    <xf numFmtId="0" fontId="120" fillId="1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19" fillId="4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0" fontId="120" fillId="18" borderId="39" applyNumberFormat="0" applyAlignment="0" applyProtection="0"/>
    <xf numFmtId="182" fontId="121" fillId="18" borderId="39" applyNumberFormat="0" applyAlignment="0" applyProtection="0"/>
    <xf numFmtId="182" fontId="121" fillId="18" borderId="39" applyNumberFormat="0" applyAlignment="0" applyProtection="0"/>
    <xf numFmtId="0" fontId="25" fillId="0" borderId="0" applyNumberFormat="0" applyFill="0" applyBorder="0" applyAlignment="0">
      <protection locked="0"/>
    </xf>
    <xf numFmtId="0" fontId="122" fillId="12" borderId="0"/>
    <xf numFmtId="233" fontId="4" fillId="72" borderId="0">
      <protection locked="0"/>
    </xf>
    <xf numFmtId="293" fontId="17" fillId="0" borderId="0"/>
    <xf numFmtId="0" fontId="123" fillId="0" borderId="0"/>
    <xf numFmtId="38" fontId="124" fillId="0" borderId="0"/>
    <xf numFmtId="38" fontId="125" fillId="0" borderId="0"/>
    <xf numFmtId="38" fontId="126" fillId="0" borderId="0"/>
    <xf numFmtId="38" fontId="127" fillId="0" borderId="0"/>
    <xf numFmtId="0" fontId="41" fillId="0" borderId="0"/>
    <xf numFmtId="0" fontId="41" fillId="0" borderId="0"/>
    <xf numFmtId="0" fontId="41" fillId="0" borderId="0"/>
    <xf numFmtId="0" fontId="13" fillId="0" borderId="0"/>
    <xf numFmtId="0" fontId="128" fillId="0" borderId="0"/>
    <xf numFmtId="0" fontId="129" fillId="0" borderId="0">
      <alignment horizontal="center"/>
    </xf>
    <xf numFmtId="294" fontId="130" fillId="0" borderId="0" applyFont="0" applyFill="0" applyBorder="0" applyAlignment="0" applyProtection="0"/>
    <xf numFmtId="172" fontId="5" fillId="0" borderId="0" applyNumberFormat="0" applyFont="0" applyFill="0" applyBorder="0" applyProtection="0">
      <alignment horizontal="left" vertical="center"/>
    </xf>
    <xf numFmtId="247" fontId="131" fillId="6" borderId="0"/>
    <xf numFmtId="247" fontId="132" fillId="73" borderId="0"/>
    <xf numFmtId="247" fontId="70" fillId="74" borderId="0"/>
    <xf numFmtId="172" fontId="25" fillId="7" borderId="0"/>
    <xf numFmtId="38" fontId="133" fillId="0" borderId="0" applyNumberFormat="0" applyFill="0" applyBorder="0" applyAlignment="0" applyProtection="0"/>
    <xf numFmtId="0" fontId="134" fillId="0" borderId="54"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82" fontId="136" fillId="0" borderId="55" applyNumberFormat="0" applyFill="0" applyAlignment="0" applyProtection="0"/>
    <xf numFmtId="0" fontId="73" fillId="75" borderId="0" applyAlignment="0" applyProtection="0">
      <alignment horizontal="right" vertical="center"/>
    </xf>
    <xf numFmtId="189" fontId="26" fillId="0" borderId="0" applyFont="0" applyFill="0" applyBorder="0" applyAlignment="0" applyProtection="0">
      <alignment horizontal="right"/>
    </xf>
    <xf numFmtId="295"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296"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172" fontId="14" fillId="0" borderId="0">
      <alignment horizontal="right"/>
    </xf>
    <xf numFmtId="40" fontId="137" fillId="0" borderId="0">
      <alignment horizontal="right"/>
    </xf>
    <xf numFmtId="37" fontId="138" fillId="0" borderId="0"/>
    <xf numFmtId="172" fontId="139" fillId="0" borderId="0">
      <alignment vertical="center"/>
    </xf>
    <xf numFmtId="172" fontId="5" fillId="0" borderId="0" applyNumberForma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297" fontId="5" fillId="0" borderId="0" applyFont="0" applyFill="0" applyBorder="0" applyAlignment="0" applyProtection="0"/>
    <xf numFmtId="298" fontId="14" fillId="0" borderId="0">
      <alignment horizontal="right"/>
    </xf>
    <xf numFmtId="172" fontId="140" fillId="0" borderId="30"/>
    <xf numFmtId="299" fontId="20" fillId="0" borderId="0" applyFont="0" applyFill="0" applyBorder="0" applyAlignment="0" applyProtection="0"/>
    <xf numFmtId="300" fontId="20"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301" fontId="25" fillId="71" borderId="0">
      <alignment horizontal="center"/>
    </xf>
    <xf numFmtId="302" fontId="17" fillId="0" borderId="0" applyFill="0" applyBorder="0" applyProtection="0">
      <alignment horizontal="center"/>
    </xf>
    <xf numFmtId="303" fontId="17" fillId="0" borderId="0" applyFont="0" applyFill="0" applyBorder="0" applyAlignment="0" applyProtection="0">
      <alignment horizontal="centerContinuous"/>
      <protection locked="0"/>
    </xf>
    <xf numFmtId="49" fontId="141" fillId="61" borderId="0" applyAlignment="0" applyProtection="0">
      <alignment horizontal="centerContinuous" vertical="center"/>
    </xf>
    <xf numFmtId="304" fontId="25" fillId="0" borderId="0" applyFont="0" applyFill="0" applyBorder="0" applyAlignment="0" applyProtection="0">
      <alignment horizontal="right"/>
    </xf>
    <xf numFmtId="0" fontId="53" fillId="0" borderId="0">
      <alignment horizontal="right"/>
    </xf>
    <xf numFmtId="0" fontId="142" fillId="48"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48"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0" fontId="142" fillId="76" borderId="0" applyNumberFormat="0" applyBorder="0" applyAlignment="0" applyProtection="0"/>
    <xf numFmtId="182" fontId="143" fillId="76" borderId="0" applyNumberFormat="0" applyBorder="0" applyAlignment="0" applyProtection="0"/>
    <xf numFmtId="37" fontId="144" fillId="0" borderId="0"/>
    <xf numFmtId="291" fontId="145" fillId="0" borderId="0"/>
    <xf numFmtId="0" fontId="5" fillId="0" borderId="0"/>
    <xf numFmtId="305" fontId="15" fillId="0" borderId="0"/>
    <xf numFmtId="305" fontId="15" fillId="0" borderId="34"/>
    <xf numFmtId="305" fontId="15" fillId="0" borderId="56"/>
    <xf numFmtId="305" fontId="15" fillId="0" borderId="0"/>
    <xf numFmtId="306" fontId="30" fillId="0" borderId="0"/>
    <xf numFmtId="307" fontId="30" fillId="0" borderId="0"/>
    <xf numFmtId="308" fontId="30" fillId="0" borderId="0"/>
    <xf numFmtId="309" fontId="25" fillId="0" borderId="0"/>
    <xf numFmtId="310" fontId="25" fillId="0" borderId="0"/>
    <xf numFmtId="38" fontId="5" fillId="0" borderId="0" applyFont="0" applyFill="0" applyBorder="0" applyAlignment="0" applyProtection="0"/>
    <xf numFmtId="0" fontId="8" fillId="0" borderId="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67" fillId="0" borderId="0"/>
    <xf numFmtId="0" fontId="67" fillId="0" borderId="0"/>
    <xf numFmtId="0" fontId="67" fillId="0" borderId="0"/>
    <xf numFmtId="0" fontId="67" fillId="0" borderId="0"/>
    <xf numFmtId="0" fontId="6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6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7" fillId="0" borderId="0"/>
    <xf numFmtId="0" fontId="32" fillId="0" borderId="0"/>
    <xf numFmtId="18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32" fillId="0" borderId="0"/>
    <xf numFmtId="0" fontId="32" fillId="0" borderId="0"/>
    <xf numFmtId="0" fontId="32" fillId="0" borderId="0"/>
    <xf numFmtId="0" fontId="32" fillId="0" borderId="0"/>
    <xf numFmtId="0" fontId="5" fillId="0" borderId="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2" fillId="0" borderId="0"/>
    <xf numFmtId="0" fontId="32" fillId="0" borderId="0"/>
    <xf numFmtId="0" fontId="32" fillId="0" borderId="0"/>
    <xf numFmtId="0" fontId="5" fillId="0" borderId="0"/>
    <xf numFmtId="17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applyFont="0" applyFill="0" applyBorder="0" applyAlignment="0" applyProtection="0"/>
    <xf numFmtId="0" fontId="32" fillId="0" borderId="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67" fillId="0" borderId="0"/>
    <xf numFmtId="0" fontId="32" fillId="0" borderId="0"/>
    <xf numFmtId="0" fontId="32" fillId="0" borderId="0"/>
    <xf numFmtId="0" fontId="32" fillId="0" borderId="0"/>
    <xf numFmtId="0" fontId="32"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7" fillId="0" borderId="0"/>
    <xf numFmtId="0" fontId="7" fillId="0" borderId="0"/>
    <xf numFmtId="0" fontId="7" fillId="0" borderId="0"/>
    <xf numFmtId="0" fontId="7" fillId="0" borderId="0"/>
    <xf numFmtId="0" fontId="7" fillId="0" borderId="0"/>
    <xf numFmtId="172"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5" fillId="0" borderId="0"/>
    <xf numFmtId="0" fontId="7" fillId="0" borderId="0" applyFont="0" applyFill="0" applyBorder="0" applyAlignment="0" applyProtection="0"/>
    <xf numFmtId="0" fontId="7" fillId="0" borderId="0" applyFont="0" applyFill="0" applyBorder="0" applyAlignment="0" applyProtection="0"/>
    <xf numFmtId="0" fontId="5"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5" fillId="0" borderId="0"/>
    <xf numFmtId="0" fontId="7" fillId="0" borderId="0" applyFont="0" applyFill="0" applyBorder="0" applyAlignment="0" applyProtection="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applyFont="0" applyFill="0" applyBorder="0" applyAlignment="0" applyProtection="0"/>
    <xf numFmtId="0" fontId="5" fillId="0" borderId="0"/>
    <xf numFmtId="0" fontId="5" fillId="0" borderId="0"/>
    <xf numFmtId="0" fontId="7" fillId="0" borderId="0" applyFont="0" applyFill="0" applyBorder="0" applyAlignment="0" applyProtection="0"/>
    <xf numFmtId="0" fontId="5" fillId="0" borderId="0"/>
    <xf numFmtId="0" fontId="7" fillId="0" borderId="0"/>
    <xf numFmtId="0" fontId="5" fillId="0" borderId="0"/>
    <xf numFmtId="0" fontId="7" fillId="0" borderId="0" applyFont="0" applyFill="0" applyBorder="0" applyAlignment="0" applyProtection="0"/>
    <xf numFmtId="0" fontId="5" fillId="0" borderId="0"/>
    <xf numFmtId="0" fontId="5" fillId="0" borderId="0"/>
    <xf numFmtId="0" fontId="7" fillId="0" borderId="0" applyFont="0" applyFill="0" applyBorder="0" applyAlignment="0" applyProtection="0"/>
    <xf numFmtId="0" fontId="5" fillId="0" borderId="0"/>
    <xf numFmtId="0" fontId="7" fillId="0" borderId="0"/>
    <xf numFmtId="0" fontId="7" fillId="0" borderId="0"/>
    <xf numFmtId="0" fontId="7"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5" fillId="0" borderId="0"/>
    <xf numFmtId="0" fontId="7" fillId="0" borderId="0"/>
    <xf numFmtId="0" fontId="7" fillId="0" borderId="0"/>
    <xf numFmtId="0" fontId="6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5" fillId="0" borderId="0"/>
    <xf numFmtId="0" fontId="7" fillId="0" borderId="0">
      <alignment vertical="top"/>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 fillId="0" borderId="0">
      <alignment vertical="top"/>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8" fillId="0" borderId="0"/>
    <xf numFmtId="0" fontId="67"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 fillId="0" borderId="0">
      <alignment vertical="top"/>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2" fillId="0" borderId="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5" fillId="0" borderId="0" applyNumberFormat="0" applyFont="0" applyFill="0" applyBorder="0" applyAlignment="0" applyProtection="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5" fillId="0" borderId="0" applyNumberFormat="0" applyFont="0" applyFill="0" applyBorder="0" applyAlignment="0" applyProtection="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5" fillId="0" borderId="0" applyNumberFormat="0" applyFont="0" applyFill="0" applyBorder="0" applyAlignment="0" applyProtection="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5" fillId="0" borderId="0" applyNumberFormat="0" applyFont="0" applyFill="0" applyBorder="0" applyAlignment="0" applyProtection="0"/>
    <xf numFmtId="0" fontId="67" fillId="0" borderId="0"/>
    <xf numFmtId="0" fontId="67" fillId="0" borderId="0"/>
    <xf numFmtId="0" fontId="67" fillId="0" borderId="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67" fillId="0" borderId="0"/>
    <xf numFmtId="0" fontId="67" fillId="0" borderId="0"/>
    <xf numFmtId="0" fontId="67" fillId="0" borderId="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182" fontId="14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8" fillId="0" borderId="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2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28"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147" fillId="0" borderId="0"/>
    <xf numFmtId="182" fontId="14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xf numFmtId="0" fontId="5" fillId="0" borderId="0"/>
    <xf numFmtId="0" fontId="5" fillId="0" borderId="0" applyNumberFormat="0" applyFont="0" applyFill="0" applyBorder="0" applyAlignment="0" applyProtection="0"/>
    <xf numFmtId="0" fontId="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applyProtection="0"/>
    <xf numFmtId="0" fontId="32" fillId="0" borderId="0"/>
    <xf numFmtId="0" fontId="32" fillId="0" borderId="0"/>
    <xf numFmtId="0" fontId="32" fillId="0" borderId="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7" fillId="0" borderId="0"/>
    <xf numFmtId="0" fontId="5" fillId="0" borderId="0"/>
    <xf numFmtId="172" fontId="5" fillId="0" borderId="0">
      <alignment vertical="center"/>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46" fillId="0" borderId="0"/>
    <xf numFmtId="0" fontId="146" fillId="0" borderId="0"/>
    <xf numFmtId="0" fontId="146" fillId="0" borderId="0"/>
    <xf numFmtId="0" fontId="1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 fillId="0" borderId="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xf numFmtId="0" fontId="67" fillId="0" borderId="0"/>
    <xf numFmtId="0" fontId="8" fillId="0" borderId="0"/>
    <xf numFmtId="0" fontId="67" fillId="0" borderId="0"/>
    <xf numFmtId="0" fontId="67" fillId="0" borderId="0"/>
    <xf numFmtId="0" fontId="67" fillId="0" borderId="0"/>
    <xf numFmtId="0" fontId="67" fillId="0" borderId="0"/>
    <xf numFmtId="182"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81" fontId="8" fillId="0" borderId="0"/>
    <xf numFmtId="181" fontId="67" fillId="0" borderId="0"/>
    <xf numFmtId="181" fontId="67" fillId="0" borderId="0"/>
    <xf numFmtId="181" fontId="67" fillId="0" borderId="0"/>
    <xf numFmtId="181" fontId="67" fillId="0" borderId="0"/>
    <xf numFmtId="181" fontId="67" fillId="0" borderId="0"/>
    <xf numFmtId="181" fontId="8" fillId="0" borderId="0"/>
    <xf numFmtId="181" fontId="67" fillId="0" borderId="0"/>
    <xf numFmtId="181" fontId="67" fillId="0" borderId="0"/>
    <xf numFmtId="181" fontId="67" fillId="0" borderId="0"/>
    <xf numFmtId="181" fontId="67" fillId="0" borderId="0"/>
    <xf numFmtId="181" fontId="8" fillId="0" borderId="0"/>
    <xf numFmtId="181" fontId="8" fillId="0" borderId="0"/>
    <xf numFmtId="181" fontId="8" fillId="0" borderId="0"/>
    <xf numFmtId="181" fontId="8" fillId="0" borderId="0"/>
    <xf numFmtId="181" fontId="67" fillId="0" borderId="0"/>
    <xf numFmtId="181" fontId="67" fillId="0" borderId="0"/>
    <xf numFmtId="181" fontId="67" fillId="0" borderId="0"/>
    <xf numFmtId="181" fontId="67" fillId="0" borderId="0"/>
    <xf numFmtId="181" fontId="8" fillId="0" borderId="0"/>
    <xf numFmtId="181" fontId="8" fillId="0" borderId="0"/>
    <xf numFmtId="181" fontId="8" fillId="0" borderId="0"/>
    <xf numFmtId="181" fontId="8" fillId="0" borderId="0"/>
    <xf numFmtId="181" fontId="67" fillId="0" borderId="0"/>
    <xf numFmtId="181" fontId="67" fillId="0" borderId="0"/>
    <xf numFmtId="181" fontId="67" fillId="0" borderId="0"/>
    <xf numFmtId="0" fontId="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82" fontId="8" fillId="0" borderId="0"/>
    <xf numFmtId="0" fontId="68" fillId="0" borderId="0" applyFill="0" applyBorder="0" applyAlignment="0" applyProtection="0"/>
    <xf numFmtId="0" fontId="68"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8" fillId="0" borderId="0"/>
    <xf numFmtId="0" fontId="68" fillId="0" borderId="0"/>
    <xf numFmtId="0" fontId="68" fillId="0" borderId="0" applyFill="0" applyBorder="0" applyAlignment="0" applyProtection="0"/>
    <xf numFmtId="0" fontId="68"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67" fillId="0" borderId="0"/>
    <xf numFmtId="0" fontId="5" fillId="0" borderId="0"/>
    <xf numFmtId="0" fontId="5" fillId="0" borderId="0"/>
    <xf numFmtId="0" fontId="8" fillId="0" borderId="0"/>
    <xf numFmtId="0" fontId="5" fillId="0" borderId="0"/>
    <xf numFmtId="0" fontId="6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4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 fillId="0" borderId="0"/>
    <xf numFmtId="0" fontId="5" fillId="0" borderId="0" applyNumberFormat="0" applyFont="0" applyFill="0" applyBorder="0" applyAlignment="0" applyProtection="0"/>
    <xf numFmtId="0" fontId="3" fillId="0" borderId="0"/>
    <xf numFmtId="0" fontId="3" fillId="0" borderId="0"/>
    <xf numFmtId="0" fontId="3" fillId="0" borderId="0"/>
    <xf numFmtId="0" fontId="148" fillId="0" borderId="0"/>
    <xf numFmtId="0" fontId="68" fillId="0" borderId="0"/>
    <xf numFmtId="0" fontId="5" fillId="0" borderId="0" applyNumberFormat="0" applyFont="0" applyFill="0" applyBorder="0" applyAlignment="0" applyProtection="0"/>
    <xf numFmtId="0" fontId="68" fillId="0" borderId="0"/>
    <xf numFmtId="0" fontId="28" fillId="0" borderId="0"/>
    <xf numFmtId="0" fontId="7" fillId="0" borderId="0"/>
    <xf numFmtId="0" fontId="28" fillId="0" borderId="0"/>
    <xf numFmtId="0" fontId="28" fillId="0" borderId="0"/>
    <xf numFmtId="0" fontId="28" fillId="0" borderId="0"/>
    <xf numFmtId="0" fontId="8" fillId="0" borderId="0"/>
    <xf numFmtId="0" fontId="8" fillId="0" borderId="0"/>
    <xf numFmtId="0" fontId="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32" fillId="0" borderId="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8"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8"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2"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0" borderId="0">
      <alignment vertical="top"/>
    </xf>
    <xf numFmtId="311" fontId="27" fillId="0" borderId="56"/>
    <xf numFmtId="0" fontId="81" fillId="0" borderId="0" applyFill="0" applyBorder="0">
      <protection locked="0"/>
    </xf>
    <xf numFmtId="172" fontId="5" fillId="0" borderId="0"/>
    <xf numFmtId="172" fontId="149" fillId="0" borderId="0"/>
    <xf numFmtId="172" fontId="150" fillId="0" borderId="0"/>
    <xf numFmtId="172" fontId="151" fillId="0" borderId="0"/>
    <xf numFmtId="172" fontId="152" fillId="0" borderId="0"/>
    <xf numFmtId="172" fontId="22" fillId="0" borderId="0"/>
    <xf numFmtId="38" fontId="153" fillId="0" borderId="0"/>
    <xf numFmtId="0" fontId="5" fillId="47"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7" fillId="12"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12"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12" borderId="57" applyNumberFormat="0" applyFont="0" applyAlignment="0" applyProtection="0"/>
    <xf numFmtId="0" fontId="7" fillId="12"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 fillId="12" borderId="57"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0" borderId="0" applyNumberFormat="0" applyFont="0" applyFill="0" applyBorder="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47" borderId="57" applyNumberFormat="0" applyFont="0" applyAlignment="0" applyProtection="0"/>
    <xf numFmtId="0" fontId="5"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0" fontId="7" fillId="12" borderId="57" applyNumberFormat="0" applyFont="0" applyAlignment="0" applyProtection="0"/>
    <xf numFmtId="182" fontId="5" fillId="12" borderId="57" applyNumberFormat="0" applyFont="0" applyAlignment="0" applyProtection="0"/>
    <xf numFmtId="182" fontId="5" fillId="12" borderId="57" applyNumberFormat="0" applyFont="0" applyAlignment="0" applyProtection="0"/>
    <xf numFmtId="0" fontId="154" fillId="65" borderId="0" applyAlignment="0" applyProtection="0">
      <alignment horizontal="left" vertical="top" wrapText="1"/>
    </xf>
    <xf numFmtId="278" fontId="5" fillId="56" borderId="58" applyFont="0" applyFill="0" applyBorder="0" applyAlignment="0" applyProtection="0">
      <protection locked="0"/>
    </xf>
    <xf numFmtId="37" fontId="5" fillId="0" borderId="0"/>
    <xf numFmtId="312" fontId="21" fillId="55" borderId="59" applyNumberFormat="0">
      <alignment vertical="center"/>
    </xf>
    <xf numFmtId="312" fontId="21" fillId="77" borderId="59" applyNumberFormat="0">
      <alignment vertical="center"/>
    </xf>
    <xf numFmtId="312" fontId="21" fillId="51" borderId="59" applyNumberFormat="0">
      <alignment vertical="center"/>
    </xf>
    <xf numFmtId="312" fontId="21" fillId="64" borderId="59" applyNumberFormat="0">
      <alignment vertical="center"/>
    </xf>
    <xf numFmtId="312" fontId="21" fillId="78" borderId="59" applyNumberFormat="0">
      <alignment vertical="center"/>
    </xf>
    <xf numFmtId="312" fontId="21" fillId="7" borderId="59" applyNumberFormat="0">
      <alignment vertical="center"/>
    </xf>
    <xf numFmtId="312" fontId="21" fillId="79" borderId="59" applyNumberFormat="0">
      <alignment vertical="center"/>
    </xf>
    <xf numFmtId="312" fontId="21" fillId="60" borderId="59" applyNumberFormat="0">
      <alignment vertical="center"/>
    </xf>
    <xf numFmtId="312" fontId="21" fillId="80" borderId="59" applyNumberFormat="0">
      <alignment vertical="center"/>
    </xf>
    <xf numFmtId="312" fontId="21" fillId="81" borderId="59" applyNumberFormat="0">
      <alignment vertical="center"/>
    </xf>
    <xf numFmtId="312" fontId="155" fillId="56" borderId="59">
      <protection locked="0"/>
    </xf>
    <xf numFmtId="312" fontId="155" fillId="62" borderId="59">
      <protection locked="0"/>
    </xf>
    <xf numFmtId="312" fontId="156" fillId="62" borderId="60" applyNumberFormat="0" applyFont="0" applyFill="0" applyAlignment="0" applyProtection="0">
      <protection locked="0"/>
    </xf>
    <xf numFmtId="312" fontId="53" fillId="0" borderId="0" applyNumberFormat="0" applyFill="0">
      <alignment horizontal="left" vertical="top"/>
    </xf>
    <xf numFmtId="0" fontId="157" fillId="82" borderId="0" applyNumberFormat="0">
      <alignment horizontal="left" vertical="center" indent="1"/>
    </xf>
    <xf numFmtId="0" fontId="158" fillId="83" borderId="0" applyNumberFormat="0">
      <alignment vertical="center"/>
    </xf>
    <xf numFmtId="0" fontId="12" fillId="7" borderId="0">
      <alignment vertical="center"/>
    </xf>
    <xf numFmtId="0" fontId="159" fillId="0" borderId="61">
      <alignment vertical="center"/>
    </xf>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84" borderId="0">
      <alignment horizontal="right"/>
    </xf>
    <xf numFmtId="0" fontId="160" fillId="0" borderId="0">
      <alignment horizontal="left"/>
    </xf>
    <xf numFmtId="3" fontId="161" fillId="0" borderId="0" applyFill="0" applyBorder="0" applyAlignment="0" applyProtection="0"/>
    <xf numFmtId="172" fontId="162" fillId="31" borderId="62" applyNumberFormat="0" applyBorder="0" applyAlignment="0">
      <alignment horizontal="center"/>
      <protection hidden="1"/>
    </xf>
    <xf numFmtId="172" fontId="163" fillId="0" borderId="62" applyNumberFormat="0" applyBorder="0" applyAlignment="0">
      <alignment horizontal="center"/>
      <protection locked="0"/>
    </xf>
    <xf numFmtId="2" fontId="164" fillId="55" borderId="15">
      <alignment horizontal="left"/>
    </xf>
    <xf numFmtId="0" fontId="165" fillId="57" borderId="63"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5" fillId="0" borderId="0" applyNumberFormat="0" applyFont="0" applyFill="0" applyBorder="0" applyAlignment="0" applyProtection="0"/>
    <xf numFmtId="0" fontId="165" fillId="22"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165" fillId="57" borderId="63" applyNumberFormat="0" applyAlignment="0" applyProtection="0"/>
    <xf numFmtId="0" fontId="5" fillId="0" borderId="0" applyNumberFormat="0" applyFont="0" applyFill="0" applyBorder="0" applyAlignment="0" applyProtection="0"/>
    <xf numFmtId="0" fontId="165" fillId="57"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57" borderId="63" applyNumberFormat="0" applyAlignment="0" applyProtection="0"/>
    <xf numFmtId="0" fontId="165" fillId="22" borderId="63" applyNumberFormat="0" applyAlignment="0" applyProtection="0"/>
    <xf numFmtId="0" fontId="5" fillId="0" borderId="0" applyNumberFormat="0" applyFont="0" applyFill="0" applyBorder="0" applyAlignment="0" applyProtection="0"/>
    <xf numFmtId="0" fontId="165" fillId="22" borderId="63" applyNumberFormat="0" applyAlignment="0" applyProtection="0"/>
    <xf numFmtId="0" fontId="5" fillId="0" borderId="0" applyNumberFormat="0" applyFont="0" applyFill="0" applyBorder="0" applyAlignment="0" applyProtection="0"/>
    <xf numFmtId="0" fontId="165" fillId="57" borderId="63"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0" fontId="165" fillId="22" borderId="63" applyNumberFormat="0" applyAlignment="0" applyProtection="0"/>
    <xf numFmtId="182" fontId="166" fillId="22" borderId="63" applyNumberFormat="0" applyAlignment="0" applyProtection="0"/>
    <xf numFmtId="182" fontId="166" fillId="22" borderId="63" applyNumberFormat="0" applyAlignment="0" applyProtection="0"/>
    <xf numFmtId="40" fontId="3" fillId="14" borderId="0">
      <alignment horizontal="right"/>
    </xf>
    <xf numFmtId="172" fontId="167" fillId="85" borderId="0">
      <alignment horizontal="center"/>
    </xf>
    <xf numFmtId="172" fontId="168" fillId="86" borderId="0"/>
    <xf numFmtId="172" fontId="169" fillId="14" borderId="0" applyBorder="0">
      <alignment horizontal="centerContinuous"/>
    </xf>
    <xf numFmtId="172" fontId="170" fillId="86" borderId="0" applyBorder="0">
      <alignment horizontal="centerContinuous"/>
    </xf>
    <xf numFmtId="313" fontId="5" fillId="0" borderId="0"/>
    <xf numFmtId="313" fontId="5" fillId="0" borderId="0"/>
    <xf numFmtId="313" fontId="5" fillId="0" borderId="0"/>
    <xf numFmtId="313" fontId="5" fillId="0" borderId="0"/>
    <xf numFmtId="314" fontId="5" fillId="0" borderId="0"/>
    <xf numFmtId="314" fontId="5" fillId="0" borderId="0"/>
    <xf numFmtId="314" fontId="5" fillId="0" borderId="0"/>
    <xf numFmtId="314" fontId="5" fillId="0" borderId="0"/>
    <xf numFmtId="314" fontId="5" fillId="0" borderId="0"/>
    <xf numFmtId="313" fontId="5" fillId="0" borderId="0"/>
    <xf numFmtId="172" fontId="17" fillId="87" borderId="0" applyNumberFormat="0" applyFont="0" applyBorder="0" applyAlignment="0"/>
    <xf numFmtId="1" fontId="171" fillId="0" borderId="0" applyProtection="0">
      <alignment horizontal="right" vertical="center"/>
    </xf>
    <xf numFmtId="185" fontId="172" fillId="0" borderId="0">
      <alignment horizontal="left"/>
    </xf>
    <xf numFmtId="315" fontId="14" fillId="0" borderId="0"/>
    <xf numFmtId="316" fontId="14" fillId="0" borderId="0"/>
    <xf numFmtId="166" fontId="5" fillId="0" borderId="0" applyFont="0" applyFill="0" applyBorder="0" applyAlignment="0" applyProtection="0"/>
    <xf numFmtId="168" fontId="5" fillId="0" borderId="0" applyFont="0" applyFill="0" applyBorder="0" applyAlignment="0" applyProtection="0"/>
    <xf numFmtId="241" fontId="15" fillId="0" borderId="0" applyFont="0" applyFill="0" applyBorder="0" applyAlignment="0" applyProtection="0">
      <protection locked="0"/>
    </xf>
    <xf numFmtId="10" fontId="15" fillId="0" borderId="0" applyFont="0" applyFill="0" applyBorder="0" applyAlignment="0" applyProtection="0">
      <protection locked="0"/>
    </xf>
    <xf numFmtId="10" fontId="5"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7" fontId="30" fillId="0" borderId="0"/>
    <xf numFmtId="9" fontId="6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318" fontId="4" fillId="60" borderId="0" applyBorder="0" applyAlignment="0">
      <protection locked="0"/>
    </xf>
    <xf numFmtId="9" fontId="30" fillId="0" borderId="0"/>
    <xf numFmtId="241" fontId="30" fillId="0" borderId="0"/>
    <xf numFmtId="10" fontId="30" fillId="0" borderId="0"/>
    <xf numFmtId="319" fontId="5" fillId="0" borderId="0" applyFont="0" applyFill="0" applyBorder="0" applyAlignment="0" applyProtection="0"/>
    <xf numFmtId="320" fontId="27" fillId="0" borderId="0"/>
    <xf numFmtId="321" fontId="27" fillId="0" borderId="0"/>
    <xf numFmtId="321" fontId="30" fillId="0" borderId="0"/>
    <xf numFmtId="322" fontId="5" fillId="0" borderId="0" applyBorder="0">
      <alignment horizontal="right"/>
    </xf>
    <xf numFmtId="323" fontId="25" fillId="0" borderId="0" applyBorder="0"/>
    <xf numFmtId="10" fontId="5" fillId="55" borderId="0"/>
    <xf numFmtId="172" fontId="5" fillId="0" borderId="0">
      <protection locked="0"/>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5"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8" fillId="88"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325" fontId="67" fillId="79" borderId="6">
      <alignment vertical="center"/>
    </xf>
    <xf numFmtId="324" fontId="8" fillId="88"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325" fontId="67" fillId="88" borderId="6">
      <alignment vertical="center"/>
    </xf>
    <xf numFmtId="324" fontId="8" fillId="88" borderId="6">
      <alignment vertical="center"/>
    </xf>
    <xf numFmtId="325" fontId="67" fillId="88" borderId="6">
      <alignment vertical="center"/>
    </xf>
    <xf numFmtId="324" fontId="8" fillId="88" borderId="6">
      <alignment vertical="center"/>
    </xf>
    <xf numFmtId="325" fontId="67" fillId="88" borderId="6">
      <alignment vertical="center"/>
    </xf>
    <xf numFmtId="324" fontId="8" fillId="88" borderId="6">
      <alignment vertical="center"/>
    </xf>
    <xf numFmtId="325" fontId="67" fillId="88" borderId="6">
      <alignment vertical="center"/>
    </xf>
    <xf numFmtId="324"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88" borderId="6">
      <alignment vertical="center"/>
    </xf>
    <xf numFmtId="0" fontId="67"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67" fillId="88" borderId="6">
      <alignment vertical="center"/>
    </xf>
    <xf numFmtId="0" fontId="67"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8" fillId="88" borderId="6">
      <alignment vertical="center"/>
    </xf>
    <xf numFmtId="0"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8" fillId="88" borderId="6">
      <alignment vertical="center"/>
    </xf>
    <xf numFmtId="0" fontId="67" fillId="79" borderId="6">
      <alignment vertical="center"/>
    </xf>
    <xf numFmtId="0" fontId="67" fillId="79" borderId="6">
      <alignment vertical="center"/>
    </xf>
    <xf numFmtId="0" fontId="67" fillId="79"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8" fillId="88" borderId="6">
      <alignment vertical="center"/>
    </xf>
    <xf numFmtId="0" fontId="8" fillId="88" borderId="6">
      <alignment vertical="center"/>
    </xf>
    <xf numFmtId="314" fontId="8" fillId="88" borderId="6">
      <alignment vertical="center"/>
    </xf>
    <xf numFmtId="324" fontId="8" fillId="88" borderId="6">
      <alignment vertical="center"/>
    </xf>
    <xf numFmtId="0" fontId="67" fillId="79" borderId="6">
      <alignment vertical="center"/>
    </xf>
    <xf numFmtId="0" fontId="8" fillId="88" borderId="6">
      <alignment vertical="center"/>
    </xf>
    <xf numFmtId="0" fontId="67" fillId="79" borderId="6">
      <alignment vertical="center"/>
    </xf>
    <xf numFmtId="0" fontId="8" fillId="88" borderId="6">
      <alignment vertical="center"/>
    </xf>
    <xf numFmtId="0"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0" fontId="5" fillId="16" borderId="64" applyNumberFormat="0" applyProtection="0">
      <alignment horizontal="left" vertical="center" indent="1"/>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67" fillId="79"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0" fontId="5" fillId="0" borderId="0" applyNumberFormat="0" applyFont="0" applyFill="0" applyBorder="0" applyAlignment="0" applyProtection="0"/>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88" borderId="6">
      <alignment vertical="center"/>
    </xf>
    <xf numFmtId="314" fontId="8" fillId="88" borderId="6">
      <alignment vertical="center"/>
    </xf>
    <xf numFmtId="314" fontId="67" fillId="88" borderId="6">
      <alignment vertical="center"/>
    </xf>
    <xf numFmtId="314" fontId="8" fillId="88" borderId="6">
      <alignment vertical="center"/>
    </xf>
    <xf numFmtId="314" fontId="67" fillId="88" borderId="6">
      <alignment vertical="center"/>
    </xf>
    <xf numFmtId="314" fontId="8"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24" fontId="67" fillId="79"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14" fontId="67" fillId="88" borderId="6">
      <alignment vertical="center"/>
    </xf>
    <xf numFmtId="324" fontId="8" fillId="88" borderId="6">
      <alignment vertical="center"/>
    </xf>
    <xf numFmtId="314" fontId="67" fillId="88" borderId="6">
      <alignment vertical="center"/>
    </xf>
    <xf numFmtId="324" fontId="8" fillId="88" borderId="6">
      <alignment vertical="center"/>
    </xf>
    <xf numFmtId="314" fontId="67" fillId="88" borderId="6">
      <alignment vertical="center"/>
    </xf>
    <xf numFmtId="324" fontId="8" fillId="88" borderId="6">
      <alignment vertical="center"/>
    </xf>
    <xf numFmtId="314" fontId="67" fillId="88" borderId="6">
      <alignment vertical="center"/>
    </xf>
    <xf numFmtId="324" fontId="8" fillId="88" borderId="6">
      <alignment vertical="center"/>
    </xf>
    <xf numFmtId="314" fontId="8" fillId="88" borderId="6">
      <alignment vertical="center"/>
    </xf>
    <xf numFmtId="314" fontId="8" fillId="88" borderId="6">
      <alignment vertical="center"/>
    </xf>
    <xf numFmtId="31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1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14" fontId="67" fillId="79" borderId="6">
      <alignment vertical="center"/>
    </xf>
    <xf numFmtId="324" fontId="8" fillId="88" borderId="6">
      <alignment vertical="center"/>
    </xf>
    <xf numFmtId="314" fontId="67" fillId="79" borderId="6">
      <alignment vertical="center"/>
    </xf>
    <xf numFmtId="324" fontId="8" fillId="88" borderId="6">
      <alignment vertical="center"/>
    </xf>
    <xf numFmtId="32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67" fillId="79"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67" fillId="79"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0" fontId="5" fillId="0" borderId="0" applyNumberFormat="0" applyFont="0" applyFill="0" applyBorder="0" applyAlignment="0" applyProtection="0"/>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67" fillId="79"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88" borderId="6">
      <alignment vertical="center"/>
    </xf>
    <xf numFmtId="326" fontId="8" fillId="88" borderId="6">
      <alignment vertical="center"/>
    </xf>
    <xf numFmtId="314" fontId="67" fillId="88" borderId="6">
      <alignment vertical="center"/>
    </xf>
    <xf numFmtId="326" fontId="8" fillId="88" borderId="6">
      <alignment vertical="center"/>
    </xf>
    <xf numFmtId="314" fontId="67" fillId="88" borderId="6">
      <alignment vertical="center"/>
    </xf>
    <xf numFmtId="326" fontId="8" fillId="88" borderId="6">
      <alignment vertical="center"/>
    </xf>
    <xf numFmtId="314" fontId="67" fillId="88" borderId="6">
      <alignment vertical="center"/>
    </xf>
    <xf numFmtId="326" fontId="8" fillId="88" borderId="6">
      <alignment vertical="center"/>
    </xf>
    <xf numFmtId="314" fontId="8" fillId="88" borderId="6">
      <alignment vertical="center"/>
    </xf>
    <xf numFmtId="314" fontId="8" fillId="88" borderId="6">
      <alignment vertical="center"/>
    </xf>
    <xf numFmtId="314" fontId="8"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88" borderId="6">
      <alignment vertical="center"/>
    </xf>
    <xf numFmtId="326" fontId="67"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88" borderId="6">
      <alignment vertical="center"/>
    </xf>
    <xf numFmtId="326" fontId="67"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26" fontId="8" fillId="88" borderId="6">
      <alignment vertical="center"/>
    </xf>
    <xf numFmtId="326"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67" fillId="79" borderId="6">
      <alignment vertical="center"/>
    </xf>
    <xf numFmtId="326" fontId="67" fillId="79" borderId="6">
      <alignment vertical="center"/>
    </xf>
    <xf numFmtId="326" fontId="67" fillId="79" borderId="6">
      <alignment vertical="center"/>
    </xf>
    <xf numFmtId="326" fontId="67" fillId="79" borderId="6">
      <alignment vertical="center"/>
    </xf>
    <xf numFmtId="314" fontId="67" fillId="79" borderId="6">
      <alignment vertical="center"/>
    </xf>
    <xf numFmtId="326" fontId="67" fillId="79" borderId="6">
      <alignment vertical="center"/>
    </xf>
    <xf numFmtId="326" fontId="8" fillId="88" borderId="6">
      <alignment vertical="center"/>
    </xf>
    <xf numFmtId="326" fontId="8" fillId="88" borderId="6">
      <alignment vertical="center"/>
    </xf>
    <xf numFmtId="326" fontId="8" fillId="88" borderId="6">
      <alignment vertical="center"/>
    </xf>
    <xf numFmtId="326" fontId="8" fillId="88" borderId="6">
      <alignment vertical="center"/>
    </xf>
    <xf numFmtId="326" fontId="67" fillId="79" borderId="6">
      <alignment vertical="center"/>
    </xf>
    <xf numFmtId="314" fontId="67" fillId="79" borderId="6">
      <alignment vertical="center"/>
    </xf>
    <xf numFmtId="326" fontId="8" fillId="88" borderId="6">
      <alignment vertical="center"/>
    </xf>
    <xf numFmtId="314" fontId="67" fillId="79" borderId="6">
      <alignment vertical="center"/>
    </xf>
    <xf numFmtId="326" fontId="8" fillId="88" borderId="6">
      <alignment vertical="center"/>
    </xf>
    <xf numFmtId="314"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0" fontId="5" fillId="0" borderId="0" applyNumberFormat="0" applyFont="0" applyFill="0" applyBorder="0" applyAlignment="0" applyProtection="0"/>
    <xf numFmtId="325" fontId="8" fillId="88" borderId="6">
      <alignment vertical="center"/>
    </xf>
    <xf numFmtId="325" fontId="67" fillId="79" borderId="6">
      <alignment vertical="center"/>
    </xf>
    <xf numFmtId="325" fontId="8" fillId="88" borderId="6">
      <alignment vertical="center"/>
    </xf>
    <xf numFmtId="325" fontId="67" fillId="79" borderId="6">
      <alignment vertical="center"/>
    </xf>
    <xf numFmtId="325" fontId="8" fillId="88" borderId="6">
      <alignment vertical="center"/>
    </xf>
    <xf numFmtId="325" fontId="67" fillId="79" borderId="6">
      <alignment vertical="center"/>
    </xf>
    <xf numFmtId="325" fontId="8" fillId="88" borderId="6">
      <alignment vertical="center"/>
    </xf>
    <xf numFmtId="325" fontId="67" fillId="79" borderId="6">
      <alignment vertical="center"/>
    </xf>
    <xf numFmtId="325" fontId="8" fillId="88" borderId="6">
      <alignment vertical="center"/>
    </xf>
    <xf numFmtId="325" fontId="67" fillId="79"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325" fontId="67" fillId="79"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0" fontId="5" fillId="0" borderId="0" applyNumberFormat="0" applyFont="0" applyFill="0" applyBorder="0" applyAlignment="0" applyProtection="0"/>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67" fillId="79"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88" borderId="6">
      <alignment vertical="center"/>
    </xf>
    <xf numFmtId="314" fontId="8" fillId="88" borderId="6">
      <alignment vertical="center"/>
    </xf>
    <xf numFmtId="325" fontId="67" fillId="88" borderId="6">
      <alignment vertical="center"/>
    </xf>
    <xf numFmtId="314" fontId="8" fillId="88" borderId="6">
      <alignment vertical="center"/>
    </xf>
    <xf numFmtId="325" fontId="67" fillId="88" borderId="6">
      <alignment vertical="center"/>
    </xf>
    <xf numFmtId="314" fontId="8" fillId="88" borderId="6">
      <alignment vertical="center"/>
    </xf>
    <xf numFmtId="325" fontId="67" fillId="88" borderId="6">
      <alignment vertical="center"/>
    </xf>
    <xf numFmtId="314" fontId="8" fillId="88" borderId="6">
      <alignment vertical="center"/>
    </xf>
    <xf numFmtId="325" fontId="8" fillId="88" borderId="6">
      <alignment vertical="center"/>
    </xf>
    <xf numFmtId="325" fontId="8" fillId="88" borderId="6">
      <alignment vertical="center"/>
    </xf>
    <xf numFmtId="325"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88" borderId="6">
      <alignment vertical="center"/>
    </xf>
    <xf numFmtId="314"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88" borderId="6">
      <alignment vertical="center"/>
    </xf>
    <xf numFmtId="314" fontId="67"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14" fontId="8" fillId="88" borderId="6">
      <alignment vertical="center"/>
    </xf>
    <xf numFmtId="31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5" fontId="8" fillId="88" borderId="6">
      <alignment vertical="center"/>
    </xf>
    <xf numFmtId="325"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14" fontId="67" fillId="79" borderId="6">
      <alignment vertical="center"/>
    </xf>
    <xf numFmtId="314" fontId="67" fillId="79" borderId="6">
      <alignment vertical="center"/>
    </xf>
    <xf numFmtId="314" fontId="67" fillId="79" borderId="6">
      <alignment vertical="center"/>
    </xf>
    <xf numFmtId="325" fontId="67" fillId="79" borderId="6">
      <alignment vertical="center"/>
    </xf>
    <xf numFmtId="314" fontId="67" fillId="79" borderId="6">
      <alignment vertical="center"/>
    </xf>
    <xf numFmtId="314" fontId="8" fillId="88" borderId="6">
      <alignment vertical="center"/>
    </xf>
    <xf numFmtId="314" fontId="8" fillId="88" borderId="6">
      <alignment vertical="center"/>
    </xf>
    <xf numFmtId="314" fontId="8" fillId="88" borderId="6">
      <alignment vertical="center"/>
    </xf>
    <xf numFmtId="314" fontId="8" fillId="88" borderId="6">
      <alignment vertical="center"/>
    </xf>
    <xf numFmtId="314" fontId="67" fillId="79" borderId="6">
      <alignment vertical="center"/>
    </xf>
    <xf numFmtId="325" fontId="67" fillId="79" borderId="6">
      <alignment vertical="center"/>
    </xf>
    <xf numFmtId="314" fontId="8" fillId="88" borderId="6">
      <alignment vertical="center"/>
    </xf>
    <xf numFmtId="325" fontId="67" fillId="79" borderId="6">
      <alignment vertical="center"/>
    </xf>
    <xf numFmtId="314" fontId="8" fillId="88" borderId="6">
      <alignment vertical="center"/>
    </xf>
    <xf numFmtId="325" fontId="67" fillId="79"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88" borderId="6">
      <alignment vertical="center"/>
    </xf>
    <xf numFmtId="324"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88" borderId="6">
      <alignment vertical="center"/>
    </xf>
    <xf numFmtId="324" fontId="67"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88" borderId="6">
      <alignment vertical="center"/>
    </xf>
    <xf numFmtId="325" fontId="67"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8" fillId="88" borderId="6">
      <alignment vertical="center"/>
    </xf>
    <xf numFmtId="324" fontId="67" fillId="79" borderId="6">
      <alignment vertical="center"/>
    </xf>
    <xf numFmtId="324" fontId="67" fillId="79" borderId="6">
      <alignment vertical="center"/>
    </xf>
    <xf numFmtId="324" fontId="67" fillId="79" borderId="6">
      <alignment vertical="center"/>
    </xf>
    <xf numFmtId="324" fontId="67" fillId="79" borderId="6">
      <alignment vertical="center"/>
    </xf>
    <xf numFmtId="325" fontId="67" fillId="88" borderId="6">
      <alignment vertical="center"/>
    </xf>
    <xf numFmtId="325" fontId="67"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325" fontId="8" fillId="88" borderId="6">
      <alignment vertical="center"/>
    </xf>
    <xf numFmtId="0" fontId="5" fillId="0" borderId="0" applyNumberFormat="0" applyFont="0" applyFill="0" applyBorder="0" applyAlignment="0" applyProtection="0"/>
    <xf numFmtId="324" fontId="8" fillId="88" borderId="6">
      <alignment vertical="center"/>
    </xf>
    <xf numFmtId="324" fontId="8" fillId="88" borderId="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79" borderId="6">
      <alignment vertical="center"/>
    </xf>
    <xf numFmtId="327" fontId="14" fillId="0" borderId="0">
      <alignment horizontal="right"/>
    </xf>
    <xf numFmtId="40" fontId="5" fillId="0" borderId="0"/>
    <xf numFmtId="1" fontId="173" fillId="7" borderId="0">
      <alignment horizontal="center"/>
    </xf>
    <xf numFmtId="172"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172" fontId="174" fillId="0" borderId="30">
      <alignment horizontal="center"/>
    </xf>
    <xf numFmtId="3" fontId="20" fillId="0" borderId="0" applyFont="0" applyFill="0" applyBorder="0" applyAlignment="0" applyProtection="0"/>
    <xf numFmtId="172" fontId="20" fillId="89" borderId="0" applyNumberFormat="0" applyFont="0" applyBorder="0" applyAlignment="0" applyProtection="0"/>
    <xf numFmtId="328" fontId="14" fillId="7" borderId="0"/>
    <xf numFmtId="329" fontId="175" fillId="7" borderId="0" applyFill="0"/>
    <xf numFmtId="172" fontId="176" fillId="0" borderId="0">
      <alignment horizontal="left" indent="7"/>
    </xf>
    <xf numFmtId="172" fontId="175" fillId="0" borderId="0" applyFill="0">
      <alignment horizontal="left" indent="7"/>
    </xf>
    <xf numFmtId="329" fontId="4" fillId="0" borderId="65">
      <alignment horizontal="right"/>
    </xf>
    <xf numFmtId="172" fontId="4" fillId="0" borderId="66" applyNumberFormat="0" applyFont="0" applyBorder="0">
      <alignment horizontal="right"/>
    </xf>
    <xf numFmtId="172" fontId="177" fillId="0" borderId="0" applyFill="0"/>
    <xf numFmtId="172" fontId="4" fillId="0" borderId="0" applyFill="0"/>
    <xf numFmtId="329" fontId="178" fillId="0" borderId="65" applyFill="0"/>
    <xf numFmtId="172" fontId="5" fillId="0" borderId="0" applyNumberFormat="0" applyFont="0" applyBorder="0" applyAlignment="0"/>
    <xf numFmtId="172" fontId="179" fillId="0" borderId="0" applyFill="0">
      <alignment horizontal="left" indent="1"/>
    </xf>
    <xf numFmtId="172" fontId="178" fillId="0" borderId="0">
      <alignment horizontal="left" indent="1"/>
    </xf>
    <xf numFmtId="329" fontId="4" fillId="0" borderId="65" applyFill="0"/>
    <xf numFmtId="172" fontId="5" fillId="0" borderId="0" applyNumberFormat="0" applyFont="0" applyFill="0" applyBorder="0" applyAlignment="0"/>
    <xf numFmtId="172" fontId="177" fillId="0" borderId="0" applyFill="0">
      <alignment horizontal="left" indent="2"/>
    </xf>
    <xf numFmtId="172" fontId="4" fillId="0" borderId="0" applyFill="0">
      <alignment horizontal="left" indent="2"/>
    </xf>
    <xf numFmtId="329" fontId="178" fillId="0" borderId="65" applyFill="0"/>
    <xf numFmtId="172" fontId="5" fillId="0" borderId="0" applyNumberFormat="0" applyFont="0" applyBorder="0" applyAlignment="0"/>
    <xf numFmtId="172" fontId="179" fillId="0" borderId="0">
      <alignment horizontal="left" indent="3"/>
    </xf>
    <xf numFmtId="172" fontId="178" fillId="0" borderId="0" applyFill="0">
      <alignment horizontal="left" indent="3"/>
    </xf>
    <xf numFmtId="329" fontId="4" fillId="0" borderId="65" applyFill="0"/>
    <xf numFmtId="172" fontId="5" fillId="0" borderId="0" applyNumberFormat="0" applyFont="0" applyBorder="0" applyAlignment="0"/>
    <xf numFmtId="172" fontId="177" fillId="0" borderId="0">
      <alignment horizontal="left" indent="4"/>
    </xf>
    <xf numFmtId="172" fontId="4" fillId="0" borderId="0" applyFill="0">
      <alignment horizontal="left" indent="4"/>
    </xf>
    <xf numFmtId="329" fontId="178" fillId="0" borderId="65" applyFill="0"/>
    <xf numFmtId="172" fontId="5" fillId="0" borderId="0" applyNumberFormat="0" applyFont="0" applyBorder="0" applyAlignment="0"/>
    <xf numFmtId="172" fontId="179" fillId="0" borderId="0">
      <alignment horizontal="left" indent="5"/>
    </xf>
    <xf numFmtId="172" fontId="178" fillId="0" borderId="0" applyFill="0">
      <alignment horizontal="left" indent="5"/>
    </xf>
    <xf numFmtId="329" fontId="4" fillId="0" borderId="65" applyFill="0"/>
    <xf numFmtId="172" fontId="5" fillId="0" borderId="0" applyNumberFormat="0" applyFont="0" applyFill="0" applyBorder="0" applyAlignment="0"/>
    <xf numFmtId="172" fontId="4" fillId="0" borderId="0" applyFill="0">
      <alignment horizontal="left" indent="6"/>
    </xf>
    <xf numFmtId="330" fontId="14" fillId="7" borderId="15">
      <alignment horizontal="right"/>
    </xf>
    <xf numFmtId="0" fontId="180" fillId="0" borderId="0"/>
    <xf numFmtId="14" fontId="181" fillId="0" borderId="0" applyNumberFormat="0" applyFill="0" applyBorder="0" applyAlignment="0" applyProtection="0">
      <alignment horizontal="left"/>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8"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67" fillId="0" borderId="0">
      <protection locked="0"/>
    </xf>
    <xf numFmtId="331" fontId="67"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31" fontId="8" fillId="0" borderId="0">
      <protection locked="0"/>
    </xf>
    <xf numFmtId="331" fontId="67" fillId="0" borderId="0">
      <protection locked="0"/>
    </xf>
    <xf numFmtId="331" fontId="8" fillId="0" borderId="0">
      <protection locked="0"/>
    </xf>
    <xf numFmtId="331" fontId="8" fillId="0" borderId="0">
      <protection locked="0"/>
    </xf>
    <xf numFmtId="331" fontId="8" fillId="0" borderId="0">
      <protection locked="0"/>
    </xf>
    <xf numFmtId="331" fontId="67" fillId="0" borderId="0">
      <protection locked="0"/>
    </xf>
    <xf numFmtId="331" fontId="67" fillId="0" borderId="0">
      <protection locked="0"/>
    </xf>
    <xf numFmtId="331" fontId="67" fillId="0" borderId="0">
      <protection locked="0"/>
    </xf>
    <xf numFmtId="331" fontId="67" fillId="0" borderId="0">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32"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8" fillId="2"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2" borderId="66">
      <alignment vertical="center"/>
      <protection locked="0"/>
    </xf>
    <xf numFmtId="0" fontId="67"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8" fillId="2" borderId="66">
      <alignment vertical="center"/>
      <protection locked="0"/>
    </xf>
    <xf numFmtId="0"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8" fillId="2" borderId="66">
      <alignment vertical="center"/>
      <protection locked="0"/>
    </xf>
    <xf numFmtId="0" fontId="67" fillId="71"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0" fontId="8" fillId="2" borderId="66">
      <alignment vertical="center"/>
      <protection locked="0"/>
    </xf>
    <xf numFmtId="0"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8" fillId="2" borderId="66">
      <alignment vertical="center"/>
      <protection locked="0"/>
    </xf>
    <xf numFmtId="332" fontId="67" fillId="71"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71"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2" borderId="66">
      <alignment vertical="center"/>
      <protection locked="0"/>
    </xf>
    <xf numFmtId="314" fontId="8" fillId="2" borderId="66">
      <alignment vertical="center"/>
      <protection locked="0"/>
    </xf>
    <xf numFmtId="324" fontId="67" fillId="2" borderId="66">
      <alignment vertical="center"/>
      <protection locked="0"/>
    </xf>
    <xf numFmtId="314" fontId="8" fillId="2" borderId="66">
      <alignment vertical="center"/>
      <protection locked="0"/>
    </xf>
    <xf numFmtId="324" fontId="67" fillId="2" borderId="66">
      <alignment vertical="center"/>
      <protection locked="0"/>
    </xf>
    <xf numFmtId="314" fontId="8" fillId="2" borderId="66">
      <alignment vertical="center"/>
      <protection locked="0"/>
    </xf>
    <xf numFmtId="324" fontId="67" fillId="2" borderId="66">
      <alignment vertical="center"/>
      <protection locked="0"/>
    </xf>
    <xf numFmtId="31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2" borderId="66">
      <alignment vertical="center"/>
      <protection locked="0"/>
    </xf>
    <xf numFmtId="314" fontId="67"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2" borderId="66">
      <alignment vertical="center"/>
      <protection locked="0"/>
    </xf>
    <xf numFmtId="314" fontId="67"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2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14" fontId="8" fillId="2" borderId="66">
      <alignment vertical="center"/>
      <protection locked="0"/>
    </xf>
    <xf numFmtId="324" fontId="67" fillId="71"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67" fillId="2" borderId="66">
      <alignment vertical="center"/>
      <protection locked="0"/>
    </xf>
    <xf numFmtId="332"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32" fontId="8" fillId="2"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324"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2" borderId="66">
      <alignment vertical="center"/>
      <protection locked="0"/>
    </xf>
    <xf numFmtId="241" fontId="67"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241" fontId="8" fillId="2" borderId="66">
      <alignment vertical="center"/>
      <protection locked="0"/>
    </xf>
    <xf numFmtId="241"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8" fillId="2" borderId="66">
      <alignment vertical="center"/>
      <protection locked="0"/>
    </xf>
    <xf numFmtId="241" fontId="67" fillId="71"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241" fontId="8" fillId="2" borderId="66">
      <alignment vertical="center"/>
      <protection locked="0"/>
    </xf>
    <xf numFmtId="241"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2" borderId="66">
      <alignment vertical="center"/>
      <protection locked="0"/>
    </xf>
    <xf numFmtId="324" fontId="8" fillId="2" borderId="66">
      <alignment vertical="center"/>
      <protection locked="0"/>
    </xf>
    <xf numFmtId="324" fontId="67" fillId="2" borderId="66">
      <alignment vertical="center"/>
      <protection locked="0"/>
    </xf>
    <xf numFmtId="324" fontId="8" fillId="2" borderId="66">
      <alignment vertical="center"/>
      <protection locked="0"/>
    </xf>
    <xf numFmtId="324" fontId="67" fillId="2" borderId="66">
      <alignment vertical="center"/>
      <protection locked="0"/>
    </xf>
    <xf numFmtId="324" fontId="8"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8" fillId="2" borderId="66">
      <alignment vertical="center"/>
      <protection locked="0"/>
    </xf>
    <xf numFmtId="32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2" borderId="66">
      <alignment vertical="center"/>
      <protection locked="0"/>
    </xf>
    <xf numFmtId="314" fontId="67"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2" borderId="66">
      <alignment vertical="center"/>
      <protection locked="0"/>
    </xf>
    <xf numFmtId="314" fontId="67"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67" fillId="71"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8" fillId="2" borderId="66">
      <alignment vertical="center"/>
      <protection locked="0"/>
    </xf>
    <xf numFmtId="314" fontId="67" fillId="71"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0" fontId="5" fillId="0" borderId="0" applyNumberFormat="0" applyFont="0" applyFill="0" applyBorder="0" applyAlignment="0" applyProtection="0"/>
    <xf numFmtId="314" fontId="8" fillId="2" borderId="66">
      <alignment vertical="center"/>
      <protection locked="0"/>
    </xf>
    <xf numFmtId="314" fontId="67" fillId="71" borderId="66">
      <alignment vertical="center"/>
      <protection locked="0"/>
    </xf>
    <xf numFmtId="324" fontId="67" fillId="71"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2" borderId="66">
      <alignment vertical="center"/>
      <protection locked="0"/>
    </xf>
    <xf numFmtId="332" fontId="67"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2" borderId="66">
      <alignment vertical="center"/>
      <protection locked="0"/>
    </xf>
    <xf numFmtId="324" fontId="67" fillId="2" borderId="66">
      <alignment vertical="center"/>
      <protection locked="0"/>
    </xf>
    <xf numFmtId="324" fontId="67"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8" fillId="2"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32" fontId="67" fillId="71"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324"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332" fontId="8" fillId="2" borderId="66">
      <alignment vertical="center"/>
      <protection locked="0"/>
    </xf>
    <xf numFmtId="332" fontId="8" fillId="2" borderId="66">
      <alignmen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71" borderId="66">
      <alignment vertical="center"/>
      <protection locked="0"/>
    </xf>
    <xf numFmtId="324" fontId="67" fillId="71" borderId="66">
      <alignment vertical="center"/>
      <protection locked="0"/>
    </xf>
    <xf numFmtId="333"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8" fillId="90"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33" fontId="67" fillId="64"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24"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64" borderId="66">
      <alignment vertical="center"/>
    </xf>
    <xf numFmtId="332" fontId="8" fillId="90" borderId="66">
      <alignment vertical="center"/>
    </xf>
    <xf numFmtId="324" fontId="67"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8" fillId="90" borderId="66">
      <alignment vertical="center"/>
    </xf>
    <xf numFmtId="332" fontId="67" fillId="64" borderId="66">
      <alignment vertical="center"/>
    </xf>
    <xf numFmtId="332" fontId="8" fillId="90" borderId="66">
      <alignment vertical="center"/>
    </xf>
    <xf numFmtId="332" fontId="67" fillId="64" borderId="66">
      <alignment vertical="center"/>
    </xf>
    <xf numFmtId="324" fontId="67" fillId="90" borderId="66">
      <alignment vertical="center"/>
    </xf>
    <xf numFmtId="332" fontId="8" fillId="90" borderId="66">
      <alignment vertical="center"/>
    </xf>
    <xf numFmtId="324" fontId="67" fillId="90" borderId="66">
      <alignment vertical="center"/>
    </xf>
    <xf numFmtId="332" fontId="8" fillId="90" borderId="66">
      <alignment vertical="center"/>
    </xf>
    <xf numFmtId="324" fontId="67" fillId="90" borderId="66">
      <alignment vertical="center"/>
    </xf>
    <xf numFmtId="332"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90" borderId="66">
      <alignment vertical="center"/>
    </xf>
    <xf numFmtId="326" fontId="67" fillId="90"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90" borderId="66">
      <alignment vertical="center"/>
    </xf>
    <xf numFmtId="326" fontId="67"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0" fontId="5" fillId="0" borderId="0" applyNumberFormat="0" applyFont="0" applyFill="0" applyBorder="0" applyAlignment="0" applyProtection="0"/>
    <xf numFmtId="326" fontId="8" fillId="90" borderId="66">
      <alignment vertical="center"/>
    </xf>
    <xf numFmtId="326" fontId="67" fillId="64" borderId="66">
      <alignment vertical="center"/>
    </xf>
    <xf numFmtId="326" fontId="8" fillId="90" borderId="66">
      <alignment vertical="center"/>
    </xf>
    <xf numFmtId="326" fontId="67" fillId="64" borderId="66">
      <alignment vertical="center"/>
    </xf>
    <xf numFmtId="326" fontId="8" fillId="90" borderId="66">
      <alignment vertical="center"/>
    </xf>
    <xf numFmtId="326" fontId="67" fillId="64" borderId="66">
      <alignment vertical="center"/>
    </xf>
    <xf numFmtId="326" fontId="8" fillId="90" borderId="66">
      <alignment vertical="center"/>
    </xf>
    <xf numFmtId="326" fontId="67" fillId="64" borderId="66">
      <alignment vertical="center"/>
    </xf>
    <xf numFmtId="326" fontId="8" fillId="90" borderId="66">
      <alignment vertical="center"/>
    </xf>
    <xf numFmtId="326" fontId="67" fillId="64"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326" fontId="67" fillId="64" borderId="66">
      <alignment vertical="center"/>
    </xf>
    <xf numFmtId="0" fontId="5" fillId="0" borderId="0" applyNumberFormat="0" applyFont="0" applyFill="0" applyBorder="0" applyAlignment="0" applyProtection="0"/>
    <xf numFmtId="326" fontId="8" fillId="90" borderId="66">
      <alignment vertical="center"/>
    </xf>
    <xf numFmtId="326"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67" fillId="64" borderId="66">
      <alignment vertical="center"/>
    </xf>
    <xf numFmtId="326" fontId="67" fillId="64" borderId="66">
      <alignment vertical="center"/>
    </xf>
    <xf numFmtId="326" fontId="67" fillId="64" borderId="66">
      <alignment vertical="center"/>
    </xf>
    <xf numFmtId="326" fontId="67" fillId="64" borderId="66">
      <alignment vertical="center"/>
    </xf>
    <xf numFmtId="0" fontId="5" fillId="0" borderId="0" applyNumberFormat="0" applyFont="0" applyFill="0" applyBorder="0" applyAlignment="0" applyProtection="0"/>
    <xf numFmtId="326" fontId="67" fillId="64" borderId="66">
      <alignment vertical="center"/>
    </xf>
    <xf numFmtId="326" fontId="8" fillId="90" borderId="66">
      <alignment vertical="center"/>
    </xf>
    <xf numFmtId="326" fontId="8" fillId="90" borderId="66">
      <alignment vertical="center"/>
    </xf>
    <xf numFmtId="326" fontId="8" fillId="90" borderId="66">
      <alignment vertical="center"/>
    </xf>
    <xf numFmtId="326" fontId="8" fillId="90" borderId="66">
      <alignment vertical="center"/>
    </xf>
    <xf numFmtId="326" fontId="67" fillId="64"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0" fontId="5" fillId="0" borderId="0" applyNumberFormat="0" applyFont="0" applyFill="0" applyBorder="0" applyAlignment="0" applyProtection="0"/>
    <xf numFmtId="326" fontId="8" fillId="90" borderId="66">
      <alignment vertical="center"/>
    </xf>
    <xf numFmtId="326" fontId="67" fillId="64"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64" borderId="66">
      <alignment vertical="center"/>
    </xf>
    <xf numFmtId="332" fontId="8" fillId="90" borderId="66">
      <alignment vertical="center"/>
    </xf>
    <xf numFmtId="314" fontId="67" fillId="90" borderId="66">
      <alignment vertical="center"/>
    </xf>
    <xf numFmtId="332" fontId="8" fillId="90" borderId="66">
      <alignment vertical="center"/>
    </xf>
    <xf numFmtId="314" fontId="67" fillId="90" borderId="66">
      <alignment vertical="center"/>
    </xf>
    <xf numFmtId="332" fontId="8" fillId="90" borderId="66">
      <alignment vertical="center"/>
    </xf>
    <xf numFmtId="314" fontId="67" fillId="90" borderId="66">
      <alignment vertical="center"/>
    </xf>
    <xf numFmtId="332" fontId="8" fillId="90" borderId="66">
      <alignment vertical="center"/>
    </xf>
    <xf numFmtId="314" fontId="67" fillId="90" borderId="66">
      <alignment vertical="center"/>
    </xf>
    <xf numFmtId="332"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0" fontId="5" fillId="0" borderId="0" applyNumberFormat="0" applyFont="0" applyFill="0" applyBorder="0" applyAlignment="0" applyProtection="0"/>
    <xf numFmtId="314" fontId="8" fillId="90" borderId="66">
      <alignment vertical="center"/>
    </xf>
    <xf numFmtId="314" fontId="67" fillId="64" borderId="66">
      <alignment vertical="center"/>
    </xf>
    <xf numFmtId="314" fontId="8" fillId="90" borderId="66">
      <alignment vertical="center"/>
    </xf>
    <xf numFmtId="314" fontId="67" fillId="64" borderId="66">
      <alignment vertical="center"/>
    </xf>
    <xf numFmtId="314" fontId="8" fillId="90" borderId="66">
      <alignment vertical="center"/>
    </xf>
    <xf numFmtId="314" fontId="67" fillId="64" borderId="66">
      <alignment vertical="center"/>
    </xf>
    <xf numFmtId="314" fontId="8" fillId="90" borderId="66">
      <alignment vertical="center"/>
    </xf>
    <xf numFmtId="314" fontId="67" fillId="64" borderId="66">
      <alignment vertical="center"/>
    </xf>
    <xf numFmtId="314" fontId="8" fillId="90" borderId="66">
      <alignment vertical="center"/>
    </xf>
    <xf numFmtId="314" fontId="67" fillId="64"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14" fontId="67" fillId="64"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0" fontId="5" fillId="0" borderId="0" applyNumberFormat="0" applyFont="0" applyFill="0" applyBorder="0" applyAlignment="0" applyProtection="0"/>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64" borderId="66">
      <alignment vertical="center"/>
    </xf>
    <xf numFmtId="314"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14"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14" fontId="67" fillId="64" borderId="66">
      <alignment vertical="center"/>
    </xf>
    <xf numFmtId="332" fontId="8" fillId="90" borderId="66">
      <alignment vertical="center"/>
    </xf>
    <xf numFmtId="31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0" borderId="66">
      <alignment vertical="center"/>
    </xf>
    <xf numFmtId="325" fontId="67"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90" borderId="66">
      <alignment vertical="center"/>
    </xf>
    <xf numFmtId="325" fontId="67"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0" fontId="5" fillId="0" borderId="0" applyNumberFormat="0" applyFont="0" applyFill="0" applyBorder="0" applyAlignment="0" applyProtection="0"/>
    <xf numFmtId="325" fontId="8" fillId="90" borderId="66">
      <alignment vertical="center"/>
    </xf>
    <xf numFmtId="325" fontId="67" fillId="64" borderId="66">
      <alignment vertical="center"/>
    </xf>
    <xf numFmtId="325" fontId="8" fillId="90" borderId="66">
      <alignment vertical="center"/>
    </xf>
    <xf numFmtId="325" fontId="67" fillId="64" borderId="66">
      <alignment vertical="center"/>
    </xf>
    <xf numFmtId="325" fontId="8" fillId="90" borderId="66">
      <alignment vertical="center"/>
    </xf>
    <xf numFmtId="325" fontId="67" fillId="64" borderId="66">
      <alignment vertical="center"/>
    </xf>
    <xf numFmtId="325" fontId="8" fillId="90" borderId="66">
      <alignment vertical="center"/>
    </xf>
    <xf numFmtId="325" fontId="67" fillId="64" borderId="66">
      <alignment vertical="center"/>
    </xf>
    <xf numFmtId="325" fontId="8" fillId="90" borderId="66">
      <alignment vertical="center"/>
    </xf>
    <xf numFmtId="325" fontId="67" fillId="64"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325" fontId="67" fillId="64"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0" fontId="5" fillId="0" borderId="0" applyNumberFormat="0" applyFont="0" applyFill="0" applyBorder="0" applyAlignment="0" applyProtection="0"/>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67" fillId="64"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90" borderId="66">
      <alignment vertical="center"/>
    </xf>
    <xf numFmtId="314" fontId="8" fillId="90" borderId="66">
      <alignment vertical="center"/>
    </xf>
    <xf numFmtId="325" fontId="67" fillId="90" borderId="66">
      <alignment vertical="center"/>
    </xf>
    <xf numFmtId="314" fontId="8" fillId="90" borderId="66">
      <alignment vertical="center"/>
    </xf>
    <xf numFmtId="325" fontId="67" fillId="90" borderId="66">
      <alignment vertical="center"/>
    </xf>
    <xf numFmtId="314" fontId="8" fillId="90" borderId="66">
      <alignment vertical="center"/>
    </xf>
    <xf numFmtId="325" fontId="67" fillId="90" borderId="66">
      <alignment vertical="center"/>
    </xf>
    <xf numFmtId="314"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0" borderId="66">
      <alignment vertical="center"/>
    </xf>
    <xf numFmtId="325" fontId="67" fillId="90" borderId="66">
      <alignment vertical="center"/>
    </xf>
    <xf numFmtId="325" fontId="67"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0" borderId="66">
      <alignment vertical="center"/>
    </xf>
    <xf numFmtId="325"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5" fontId="67" fillId="90" borderId="66">
      <alignment vertical="center"/>
    </xf>
    <xf numFmtId="325" fontId="67"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0" borderId="66">
      <alignment vertical="center"/>
    </xf>
    <xf numFmtId="325" fontId="67"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64" borderId="66">
      <alignment vertical="center"/>
    </xf>
    <xf numFmtId="325" fontId="67" fillId="90" borderId="66">
      <alignment vertical="center"/>
    </xf>
    <xf numFmtId="325" fontId="67"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325" fontId="8" fillId="90" borderId="66">
      <alignment vertical="center"/>
    </xf>
    <xf numFmtId="325"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5"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25" fontId="67" fillId="64" borderId="66">
      <alignment vertical="center"/>
    </xf>
    <xf numFmtId="314" fontId="8" fillId="90" borderId="66">
      <alignment vertical="center"/>
    </xf>
    <xf numFmtId="325" fontId="67" fillId="64" borderId="66">
      <alignment vertical="center"/>
    </xf>
    <xf numFmtId="314" fontId="8" fillId="90" borderId="66">
      <alignment vertical="center"/>
    </xf>
    <xf numFmtId="325" fontId="67" fillId="64"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32" fontId="67" fillId="90" borderId="66">
      <alignment vertical="center"/>
    </xf>
    <xf numFmtId="332"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90" borderId="66">
      <alignment vertical="center"/>
    </xf>
    <xf numFmtId="332" fontId="67"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8" fillId="90" borderId="66">
      <alignment vertical="center"/>
    </xf>
    <xf numFmtId="332" fontId="67" fillId="64" borderId="66">
      <alignment vertical="center"/>
    </xf>
    <xf numFmtId="332" fontId="67" fillId="64" borderId="66">
      <alignment vertical="center"/>
    </xf>
    <xf numFmtId="332" fontId="67" fillId="64" borderId="66">
      <alignment vertical="center"/>
    </xf>
    <xf numFmtId="332"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32" fontId="8" fillId="90" borderId="66">
      <alignment vertical="center"/>
    </xf>
    <xf numFmtId="332"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0" borderId="66">
      <alignment vertical="center"/>
    </xf>
    <xf numFmtId="0" fontId="67"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90" borderId="66">
      <alignment vertical="center"/>
    </xf>
    <xf numFmtId="0" fontId="67"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8" fillId="90" borderId="66">
      <alignment vertical="center"/>
    </xf>
    <xf numFmtId="0"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67" fillId="64" borderId="66">
      <alignment vertical="center"/>
    </xf>
    <xf numFmtId="0" fontId="8" fillId="90" borderId="66">
      <alignment vertical="center"/>
    </xf>
    <xf numFmtId="0" fontId="8" fillId="90" borderId="66">
      <alignment vertical="center"/>
    </xf>
    <xf numFmtId="0" fontId="8" fillId="90" borderId="66">
      <alignment vertical="center"/>
    </xf>
    <xf numFmtId="0" fontId="8" fillId="90" borderId="66">
      <alignment vertical="center"/>
    </xf>
    <xf numFmtId="0" fontId="67" fillId="64" borderId="66">
      <alignment vertical="center"/>
    </xf>
    <xf numFmtId="0" fontId="67" fillId="64" borderId="66">
      <alignment vertical="center"/>
    </xf>
    <xf numFmtId="0" fontId="8" fillId="90" borderId="66">
      <alignment vertical="center"/>
    </xf>
    <xf numFmtId="0" fontId="67" fillId="64" borderId="66">
      <alignment vertical="center"/>
    </xf>
    <xf numFmtId="0" fontId="8" fillId="90" borderId="66">
      <alignment vertical="center"/>
    </xf>
    <xf numFmtId="0"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67" fillId="64"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0" fontId="5" fillId="0" borderId="0" applyNumberFormat="0" applyFont="0" applyFill="0" applyBorder="0" applyAlignment="0" applyProtection="0"/>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90" borderId="66">
      <alignment vertical="center"/>
    </xf>
    <xf numFmtId="314" fontId="8" fillId="90" borderId="66">
      <alignment vertical="center"/>
    </xf>
    <xf numFmtId="324" fontId="67" fillId="90" borderId="66">
      <alignment vertical="center"/>
    </xf>
    <xf numFmtId="314" fontId="8" fillId="90" borderId="66">
      <alignment vertical="center"/>
    </xf>
    <xf numFmtId="324" fontId="67" fillId="90" borderId="66">
      <alignment vertical="center"/>
    </xf>
    <xf numFmtId="314" fontId="8" fillId="90" borderId="66">
      <alignment vertical="center"/>
    </xf>
    <xf numFmtId="324" fontId="67" fillId="90" borderId="66">
      <alignment vertical="center"/>
    </xf>
    <xf numFmtId="31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0" borderId="66">
      <alignment vertical="center"/>
    </xf>
    <xf numFmtId="314"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90" borderId="66">
      <alignment vertical="center"/>
    </xf>
    <xf numFmtId="314" fontId="67"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14" fontId="8" fillId="90" borderId="66">
      <alignment vertical="center"/>
    </xf>
    <xf numFmtId="31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14" fontId="67" fillId="64" borderId="66">
      <alignment vertical="center"/>
    </xf>
    <xf numFmtId="314" fontId="67" fillId="64" borderId="66">
      <alignment vertical="center"/>
    </xf>
    <xf numFmtId="314" fontId="67" fillId="64" borderId="66">
      <alignment vertical="center"/>
    </xf>
    <xf numFmtId="324" fontId="67" fillId="64" borderId="66">
      <alignment vertical="center"/>
    </xf>
    <xf numFmtId="314" fontId="67" fillId="64" borderId="66">
      <alignment vertical="center"/>
    </xf>
    <xf numFmtId="314" fontId="8" fillId="90" borderId="66">
      <alignment vertical="center"/>
    </xf>
    <xf numFmtId="314" fontId="8" fillId="90" borderId="66">
      <alignment vertical="center"/>
    </xf>
    <xf numFmtId="314" fontId="8" fillId="90" borderId="66">
      <alignment vertical="center"/>
    </xf>
    <xf numFmtId="314" fontId="8" fillId="90" borderId="66">
      <alignment vertical="center"/>
    </xf>
    <xf numFmtId="314" fontId="67" fillId="64" borderId="66">
      <alignment vertical="center"/>
    </xf>
    <xf numFmtId="324" fontId="67" fillId="64" borderId="66">
      <alignment vertical="center"/>
    </xf>
    <xf numFmtId="314" fontId="8" fillId="90" borderId="66">
      <alignment vertical="center"/>
    </xf>
    <xf numFmtId="324" fontId="67" fillId="64" borderId="66">
      <alignment vertical="center"/>
    </xf>
    <xf numFmtId="314" fontId="8" fillId="90" borderId="66">
      <alignment vertical="center"/>
    </xf>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67" fillId="64"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0" borderId="66">
      <alignment vertical="center"/>
    </xf>
    <xf numFmtId="324" fontId="67"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64" borderId="66">
      <alignment vertical="center"/>
    </xf>
    <xf numFmtId="324" fontId="67" fillId="90" borderId="66">
      <alignment vertical="center"/>
    </xf>
    <xf numFmtId="324" fontId="67"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324" fontId="8" fillId="90" borderId="66">
      <alignment vertical="center"/>
    </xf>
    <xf numFmtId="324" fontId="8" fillId="90" borderId="66">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64" borderId="66">
      <alignment vertical="center"/>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2" borderId="66">
      <alignment horizontal="right" vertical="center"/>
      <protection locked="0"/>
    </xf>
    <xf numFmtId="326" fontId="8" fillId="92" borderId="66">
      <alignment horizontal="right" vertical="center"/>
      <protection locked="0"/>
    </xf>
    <xf numFmtId="314" fontId="67" fillId="92" borderId="66">
      <alignment horizontal="right" vertical="center"/>
      <protection locked="0"/>
    </xf>
    <xf numFmtId="326" fontId="8" fillId="92" borderId="66">
      <alignment horizontal="right" vertical="center"/>
      <protection locked="0"/>
    </xf>
    <xf numFmtId="314" fontId="67" fillId="92" borderId="66">
      <alignment horizontal="right" vertical="center"/>
      <protection locked="0"/>
    </xf>
    <xf numFmtId="326" fontId="8" fillId="92" borderId="66">
      <alignment horizontal="right" vertical="center"/>
      <protection locked="0"/>
    </xf>
    <xf numFmtId="314" fontId="67" fillId="92" borderId="66">
      <alignment horizontal="right" vertical="center"/>
      <protection locked="0"/>
    </xf>
    <xf numFmtId="326"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67" fillId="92" borderId="66">
      <alignment horizontal="right" vertical="center"/>
      <protection locked="0"/>
    </xf>
    <xf numFmtId="326" fontId="67"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2" borderId="66">
      <alignment horizontal="right" vertical="center"/>
      <protection locked="0"/>
    </xf>
    <xf numFmtId="326" fontId="67"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26" fontId="8" fillId="92" borderId="66">
      <alignment horizontal="right" vertical="center"/>
      <protection locked="0"/>
    </xf>
    <xf numFmtId="326"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26" fontId="67" fillId="91" borderId="66">
      <alignment horizontal="right" vertical="center"/>
      <protection locked="0"/>
    </xf>
    <xf numFmtId="314" fontId="67" fillId="91" borderId="66">
      <alignment horizontal="right" vertical="center"/>
      <protection locked="0"/>
    </xf>
    <xf numFmtId="326" fontId="67" fillId="91"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8" fillId="92" borderId="66">
      <alignment horizontal="right" vertical="center"/>
      <protection locked="0"/>
    </xf>
    <xf numFmtId="326" fontId="67" fillId="91"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6" fontId="8" fillId="92" borderId="66">
      <alignment horizontal="right" vertical="center"/>
      <protection locked="0"/>
    </xf>
    <xf numFmtId="314" fontId="67" fillId="91"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2" borderId="66">
      <alignment horizontal="right" vertical="center"/>
      <protection locked="0"/>
    </xf>
    <xf numFmtId="0" fontId="8" fillId="92" borderId="66">
      <alignment horizontal="right" vertical="center"/>
      <protection locked="0"/>
    </xf>
    <xf numFmtId="325" fontId="67" fillId="92" borderId="66">
      <alignment horizontal="right" vertical="center"/>
      <protection locked="0"/>
    </xf>
    <xf numFmtId="0" fontId="8" fillId="92" borderId="66">
      <alignment horizontal="right" vertical="center"/>
      <protection locked="0"/>
    </xf>
    <xf numFmtId="325" fontId="67" fillId="92" borderId="66">
      <alignment horizontal="right" vertical="center"/>
      <protection locked="0"/>
    </xf>
    <xf numFmtId="0" fontId="8" fillId="92" borderId="66">
      <alignment horizontal="right" vertical="center"/>
      <protection locked="0"/>
    </xf>
    <xf numFmtId="325" fontId="67" fillId="92" borderId="66">
      <alignment horizontal="right" vertical="center"/>
      <protection locked="0"/>
    </xf>
    <xf numFmtId="0"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2" borderId="66">
      <alignment horizontal="right" vertical="center"/>
      <protection locked="0"/>
    </xf>
    <xf numFmtId="314" fontId="8" fillId="92" borderId="66">
      <alignment horizontal="right" vertical="center"/>
      <protection locked="0"/>
    </xf>
    <xf numFmtId="325" fontId="67" fillId="92" borderId="66">
      <alignment horizontal="right" vertical="center"/>
      <protection locked="0"/>
    </xf>
    <xf numFmtId="314" fontId="8" fillId="92" borderId="66">
      <alignment horizontal="right" vertical="center"/>
      <protection locked="0"/>
    </xf>
    <xf numFmtId="325" fontId="67" fillId="92" borderId="66">
      <alignment horizontal="right" vertical="center"/>
      <protection locked="0"/>
    </xf>
    <xf numFmtId="314" fontId="8" fillId="92" borderId="66">
      <alignment horizontal="right" vertical="center"/>
      <protection locked="0"/>
    </xf>
    <xf numFmtId="325" fontId="67" fillId="92" borderId="66">
      <alignment horizontal="right" vertical="center"/>
      <protection locked="0"/>
    </xf>
    <xf numFmtId="314"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5"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14" fontId="8" fillId="92"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2" borderId="66">
      <alignment horizontal="right" vertical="center"/>
      <protection locked="0"/>
    </xf>
    <xf numFmtId="0" fontId="67"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1" borderId="66">
      <alignment horizontal="right" vertical="center"/>
      <protection locked="0"/>
    </xf>
    <xf numFmtId="325"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8" fillId="92" borderId="66">
      <alignment horizontal="right" vertical="center"/>
      <protection locked="0"/>
    </xf>
    <xf numFmtId="0"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1" borderId="66">
      <alignment horizontal="right" vertical="center"/>
      <protection locked="0"/>
    </xf>
    <xf numFmtId="325" fontId="67" fillId="92" borderId="66">
      <alignment horizontal="right" vertical="center"/>
      <protection locked="0"/>
    </xf>
    <xf numFmtId="325" fontId="67"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325" fontId="8" fillId="92" borderId="66">
      <alignment horizontal="right" vertical="center"/>
      <protection locked="0"/>
    </xf>
    <xf numFmtId="325"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0" fontId="67" fillId="91" borderId="66">
      <alignment horizontal="right" vertical="center"/>
      <protection locked="0"/>
    </xf>
    <xf numFmtId="325" fontId="67" fillId="91" borderId="66">
      <alignment horizontal="right" vertical="center"/>
      <protection locked="0"/>
    </xf>
    <xf numFmtId="0" fontId="67" fillId="91"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8" fillId="92" borderId="66">
      <alignment horizontal="right" vertical="center"/>
      <protection locked="0"/>
    </xf>
    <xf numFmtId="0" fontId="67" fillId="91" borderId="66">
      <alignment horizontal="right" vertical="center"/>
      <protection locked="0"/>
    </xf>
    <xf numFmtId="325" fontId="67" fillId="91" borderId="66">
      <alignment horizontal="right" vertical="center"/>
      <protection locked="0"/>
    </xf>
    <xf numFmtId="0" fontId="8" fillId="92" borderId="66">
      <alignment horizontal="right" vertical="center"/>
      <protection locked="0"/>
    </xf>
    <xf numFmtId="325" fontId="67" fillId="91"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2" borderId="66">
      <alignment horizontal="right" vertical="center"/>
      <protection locked="0"/>
    </xf>
    <xf numFmtId="314" fontId="8" fillId="92" borderId="66">
      <alignment horizontal="right" vertical="center"/>
      <protection locked="0"/>
    </xf>
    <xf numFmtId="324" fontId="67" fillId="92" borderId="66">
      <alignment horizontal="right" vertical="center"/>
      <protection locked="0"/>
    </xf>
    <xf numFmtId="314" fontId="8" fillId="92" borderId="66">
      <alignment horizontal="right" vertical="center"/>
      <protection locked="0"/>
    </xf>
    <xf numFmtId="324" fontId="67" fillId="92" borderId="66">
      <alignment horizontal="right" vertical="center"/>
      <protection locked="0"/>
    </xf>
    <xf numFmtId="314" fontId="8" fillId="92" borderId="66">
      <alignment horizontal="right" vertical="center"/>
      <protection locked="0"/>
    </xf>
    <xf numFmtId="324" fontId="67" fillId="92" borderId="66">
      <alignment horizontal="right" vertical="center"/>
      <protection locked="0"/>
    </xf>
    <xf numFmtId="31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2" borderId="66">
      <alignment horizontal="right" vertical="center"/>
      <protection locked="0"/>
    </xf>
    <xf numFmtId="314" fontId="67"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14" fontId="8" fillId="92" borderId="66">
      <alignment horizontal="right" vertical="center"/>
      <protection locked="0"/>
    </xf>
    <xf numFmtId="31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14" fontId="67" fillId="91" borderId="66">
      <alignment horizontal="right" vertical="center"/>
      <protection locked="0"/>
    </xf>
    <xf numFmtId="324" fontId="67" fillId="91" borderId="66">
      <alignment horizontal="right" vertical="center"/>
      <protection locked="0"/>
    </xf>
    <xf numFmtId="314" fontId="67" fillId="91"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8" fillId="92" borderId="66">
      <alignment horizontal="right" vertical="center"/>
      <protection locked="0"/>
    </xf>
    <xf numFmtId="314" fontId="67" fillId="91"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1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1" borderId="66">
      <alignment horizontal="right" vertical="center"/>
      <protection locked="0"/>
    </xf>
    <xf numFmtId="324" fontId="67" fillId="92" borderId="66">
      <alignment horizontal="right" vertical="center"/>
      <protection locked="0"/>
    </xf>
    <xf numFmtId="324" fontId="67"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324" fontId="8" fillId="92" borderId="66">
      <alignment horizontal="right" vertical="center"/>
      <protection locked="0"/>
    </xf>
    <xf numFmtId="324" fontId="8" fillId="92" borderId="66">
      <alignment horizontal="right" vertical="center"/>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324" fontId="67" fillId="91" borderId="66">
      <alignment horizontal="right" vertical="center"/>
      <protection locked="0"/>
    </xf>
    <xf numFmtId="331" fontId="67" fillId="0" borderId="0">
      <protection locked="0"/>
    </xf>
    <xf numFmtId="334" fontId="182" fillId="0" borderId="0"/>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protection locked="0"/>
    </xf>
    <xf numFmtId="172" fontId="183" fillId="0" borderId="67">
      <protection locked="0"/>
    </xf>
    <xf numFmtId="172" fontId="183" fillId="0" borderId="67">
      <protection locked="0"/>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protection locked="0"/>
    </xf>
    <xf numFmtId="172" fontId="183" fillId="0" borderId="67">
      <protection locked="0"/>
    </xf>
    <xf numFmtId="172" fontId="183" fillId="0" borderId="67">
      <protection locked="0"/>
    </xf>
    <xf numFmtId="185" fontId="183" fillId="0" borderId="0"/>
    <xf numFmtId="172" fontId="183" fillId="0" borderId="67">
      <protection locked="0"/>
    </xf>
    <xf numFmtId="172" fontId="183" fillId="0" borderId="67">
      <protection locked="0"/>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protection locked="0"/>
    </xf>
    <xf numFmtId="185" fontId="183" fillId="0" borderId="0"/>
    <xf numFmtId="172" fontId="183" fillId="0" borderId="0"/>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protection locked="0"/>
    </xf>
    <xf numFmtId="172" fontId="183" fillId="0" borderId="67">
      <protection locked="0"/>
    </xf>
    <xf numFmtId="172" fontId="183" fillId="0" borderId="67">
      <protection locked="0"/>
    </xf>
    <xf numFmtId="172" fontId="183" fillId="0" borderId="67">
      <protection locked="0"/>
    </xf>
    <xf numFmtId="185" fontId="183" fillId="0" borderId="0"/>
    <xf numFmtId="172" fontId="183" fillId="0" borderId="67">
      <protection locked="0"/>
    </xf>
    <xf numFmtId="172" fontId="183" fillId="0" borderId="67">
      <protection locked="0"/>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protection locked="0"/>
    </xf>
    <xf numFmtId="172" fontId="183" fillId="0" borderId="67">
      <protection locked="0"/>
    </xf>
    <xf numFmtId="172" fontId="183" fillId="0" borderId="67">
      <protection locked="0"/>
    </xf>
    <xf numFmtId="172" fontId="183" fillId="0" borderId="67">
      <protection locked="0"/>
    </xf>
    <xf numFmtId="172" fontId="183" fillId="0" borderId="67">
      <protection locked="0"/>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alignment horizontal="centerContinuous"/>
    </xf>
    <xf numFmtId="172" fontId="183" fillId="0" borderId="67">
      <alignment horizontal="centerContinuous"/>
    </xf>
    <xf numFmtId="172" fontId="183" fillId="0" borderId="67">
      <protection locked="0"/>
    </xf>
    <xf numFmtId="172" fontId="183" fillId="0" borderId="67">
      <alignment horizontal="centerContinuous"/>
    </xf>
    <xf numFmtId="172" fontId="183" fillId="0" borderId="67">
      <alignment horizontal="centerContinuous"/>
    </xf>
    <xf numFmtId="172" fontId="183" fillId="0" borderId="67">
      <alignment horizontal="centerContinuous"/>
    </xf>
    <xf numFmtId="185" fontId="183" fillId="0" borderId="0"/>
    <xf numFmtId="172" fontId="183" fillId="0" borderId="67">
      <protection locked="0"/>
    </xf>
    <xf numFmtId="172" fontId="183" fillId="0" borderId="67">
      <protection locked="0"/>
    </xf>
    <xf numFmtId="172" fontId="184" fillId="0" borderId="68">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84" fillId="56" borderId="64" applyNumberFormat="0" applyProtection="0">
      <alignment vertical="center"/>
    </xf>
    <xf numFmtId="4" fontId="84" fillId="5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2" fillId="76" borderId="64" applyNumberFormat="0" applyProtection="0">
      <alignment vertical="center"/>
    </xf>
    <xf numFmtId="4" fontId="84" fillId="5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85" fillId="56" borderId="64" applyNumberFormat="0" applyProtection="0">
      <alignment vertical="center"/>
    </xf>
    <xf numFmtId="4" fontId="185" fillId="5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78" fillId="76" borderId="64" applyNumberFormat="0" applyProtection="0">
      <alignment vertical="center"/>
    </xf>
    <xf numFmtId="4" fontId="185" fillId="56" borderId="64" applyNumberFormat="0" applyProtection="0">
      <alignment vertical="center"/>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186" fillId="56" borderId="64" applyNumberFormat="0" applyProtection="0">
      <alignment horizontal="left" vertical="center" indent="1"/>
    </xf>
    <xf numFmtId="4" fontId="186" fillId="5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2" fillId="76" borderId="64" applyNumberFormat="0" applyProtection="0">
      <alignment horizontal="left" vertical="center" indent="1"/>
    </xf>
    <xf numFmtId="4" fontId="186" fillId="56" borderId="64" applyNumberFormat="0" applyProtection="0">
      <alignment horizontal="left" vertical="center"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0" fontId="2" fillId="76" borderId="64" applyNumberFormat="0" applyProtection="0">
      <alignment horizontal="left" vertical="top" indent="1"/>
    </xf>
    <xf numFmtId="4" fontId="2" fillId="8" borderId="0" applyNumberFormat="0" applyProtection="0">
      <alignment horizontal="left" vertical="center" indent="1"/>
    </xf>
    <xf numFmtId="4" fontId="186" fillId="93" borderId="0" applyNumberFormat="0" applyProtection="0">
      <alignment horizontal="left" vertical="center" indent="1"/>
    </xf>
    <xf numFmtId="4" fontId="186" fillId="93" borderId="0" applyNumberFormat="0" applyProtection="0">
      <alignment horizontal="left" vertical="center" indent="1"/>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186" fillId="94" borderId="64" applyNumberFormat="0" applyProtection="0">
      <alignment horizontal="right" vertical="center"/>
    </xf>
    <xf numFmtId="4" fontId="186" fillId="94"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3" fillId="11" borderId="64" applyNumberFormat="0" applyProtection="0">
      <alignment horizontal="right" vertical="center"/>
    </xf>
    <xf numFmtId="4" fontId="186" fillId="94"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186" fillId="78" borderId="64" applyNumberFormat="0" applyProtection="0">
      <alignment horizontal="right" vertical="center"/>
    </xf>
    <xf numFmtId="4" fontId="186" fillId="78"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3" fillId="10" borderId="64" applyNumberFormat="0" applyProtection="0">
      <alignment horizontal="right" vertical="center"/>
    </xf>
    <xf numFmtId="4" fontId="186" fillId="78"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186" fillId="72" borderId="64" applyNumberFormat="0" applyProtection="0">
      <alignment horizontal="right" vertical="center"/>
    </xf>
    <xf numFmtId="4" fontId="186" fillId="72"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3" fillId="41" borderId="64" applyNumberFormat="0" applyProtection="0">
      <alignment horizontal="right" vertical="center"/>
    </xf>
    <xf numFmtId="4" fontId="186" fillId="72"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186" fillId="64" borderId="64" applyNumberFormat="0" applyProtection="0">
      <alignment horizontal="right" vertical="center"/>
    </xf>
    <xf numFmtId="4" fontId="186" fillId="64"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3" fillId="23" borderId="64" applyNumberFormat="0" applyProtection="0">
      <alignment horizontal="right" vertical="center"/>
    </xf>
    <xf numFmtId="4" fontId="186" fillId="64"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186" fillId="79" borderId="64" applyNumberFormat="0" applyProtection="0">
      <alignment horizontal="right" vertical="center"/>
    </xf>
    <xf numFmtId="4" fontId="186" fillId="79"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3" fillId="27" borderId="64" applyNumberFormat="0" applyProtection="0">
      <alignment horizontal="right" vertical="center"/>
    </xf>
    <xf numFmtId="4" fontId="186" fillId="79"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186" fillId="62" borderId="64" applyNumberFormat="0" applyProtection="0">
      <alignment horizontal="right" vertical="center"/>
    </xf>
    <xf numFmtId="4" fontId="186" fillId="62"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3" fillId="50" borderId="64" applyNumberFormat="0" applyProtection="0">
      <alignment horizontal="right" vertical="center"/>
    </xf>
    <xf numFmtId="4" fontId="186" fillId="62"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186" fillId="80" borderId="64" applyNumberFormat="0" applyProtection="0">
      <alignment horizontal="right" vertical="center"/>
    </xf>
    <xf numFmtId="4" fontId="186" fillId="8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3" fillId="20" borderId="64" applyNumberFormat="0" applyProtection="0">
      <alignment horizontal="right" vertical="center"/>
    </xf>
    <xf numFmtId="4" fontId="186" fillId="80"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186" fillId="96" borderId="64" applyNumberFormat="0" applyProtection="0">
      <alignment horizontal="right" vertical="center"/>
    </xf>
    <xf numFmtId="4" fontId="186" fillId="96"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3" fillId="95" borderId="64" applyNumberFormat="0" applyProtection="0">
      <alignment horizontal="right" vertical="center"/>
    </xf>
    <xf numFmtId="4" fontId="186" fillId="96"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186" fillId="84" borderId="64" applyNumberFormat="0" applyProtection="0">
      <alignment horizontal="right" vertical="center"/>
    </xf>
    <xf numFmtId="4" fontId="186" fillId="84"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3" fillId="21" borderId="64" applyNumberFormat="0" applyProtection="0">
      <alignment horizontal="right" vertical="center"/>
    </xf>
    <xf numFmtId="4" fontId="186" fillId="84" borderId="64" applyNumberFormat="0" applyProtection="0">
      <alignment horizontal="right" vertical="center"/>
    </xf>
    <xf numFmtId="4" fontId="2" fillId="97" borderId="69" applyNumberFormat="0" applyProtection="0">
      <alignment horizontal="left" vertical="center" indent="1"/>
    </xf>
    <xf numFmtId="4" fontId="84" fillId="98" borderId="69" applyNumberFormat="0" applyProtection="0">
      <alignment horizontal="left" vertical="center" indent="1"/>
    </xf>
    <xf numFmtId="4" fontId="84" fillId="98" borderId="69" applyNumberFormat="0" applyProtection="0">
      <alignment horizontal="left" vertical="center" indent="1"/>
    </xf>
    <xf numFmtId="4" fontId="3" fillId="99" borderId="0" applyNumberFormat="0" applyProtection="0">
      <alignment horizontal="left" vertical="center" indent="1"/>
    </xf>
    <xf numFmtId="4" fontId="84" fillId="51" borderId="0" applyNumberFormat="0" applyProtection="0">
      <alignment horizontal="left" vertical="center" indent="1"/>
    </xf>
    <xf numFmtId="4" fontId="84" fillId="51" borderId="0" applyNumberFormat="0" applyProtection="0">
      <alignment horizontal="left" vertical="center" indent="1"/>
    </xf>
    <xf numFmtId="4" fontId="84" fillId="19" borderId="0" applyNumberFormat="0" applyProtection="0">
      <alignment horizontal="left" vertical="center" indent="1"/>
    </xf>
    <xf numFmtId="4" fontId="84" fillId="93" borderId="0" applyNumberFormat="0" applyProtection="0">
      <alignment horizontal="left" vertical="center" indent="1"/>
    </xf>
    <xf numFmtId="4" fontId="84" fillId="93" borderId="0" applyNumberFormat="0" applyProtection="0">
      <alignment horizontal="left" vertical="center" indent="1"/>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186" fillId="51" borderId="64" applyNumberFormat="0" applyProtection="0">
      <alignment horizontal="right" vertical="center"/>
    </xf>
    <xf numFmtId="4" fontId="186" fillId="51"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3" fillId="8" borderId="64" applyNumberFormat="0" applyProtection="0">
      <alignment horizontal="right" vertical="center"/>
    </xf>
    <xf numFmtId="4" fontId="186" fillId="51" borderId="64" applyNumberFormat="0" applyProtection="0">
      <alignment horizontal="right" vertical="center"/>
    </xf>
    <xf numFmtId="4" fontId="3" fillId="99" borderId="0" applyNumberFormat="0" applyProtection="0">
      <alignment horizontal="left" vertical="center" indent="1"/>
    </xf>
    <xf numFmtId="4" fontId="3" fillId="99" borderId="0" applyNumberFormat="0" applyProtection="0">
      <alignment horizontal="left" vertical="center" indent="1"/>
    </xf>
    <xf numFmtId="4" fontId="25" fillId="99" borderId="70" applyNumberFormat="0" applyProtection="0">
      <alignment horizontal="left" vertical="center" indent="1"/>
    </xf>
    <xf numFmtId="4" fontId="3" fillId="8" borderId="0" applyNumberFormat="0" applyProtection="0">
      <alignment horizontal="left" vertical="center" indent="1"/>
    </xf>
    <xf numFmtId="4" fontId="3" fillId="8" borderId="0" applyNumberFormat="0" applyProtection="0">
      <alignment horizontal="left" vertical="center" indent="1"/>
    </xf>
    <xf numFmtId="4" fontId="25" fillId="8" borderId="70"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5" fillId="19" borderId="64" applyNumberFormat="0" applyProtection="0">
      <alignment horizontal="left" vertical="center" indent="1"/>
    </xf>
    <xf numFmtId="0" fontId="25" fillId="22" borderId="71" applyNumberFormat="0" applyProtection="0">
      <alignment horizontal="left" vertical="center"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5" fillId="19" borderId="64" applyNumberFormat="0" applyProtection="0">
      <alignment horizontal="left" vertical="top" indent="1"/>
    </xf>
    <xf numFmtId="0" fontId="25" fillId="19" borderId="64" applyNumberFormat="0" applyProtection="0">
      <alignment horizontal="left" vertical="top"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5" fillId="8" borderId="64" applyNumberFormat="0" applyProtection="0">
      <alignment horizontal="left" vertical="center" indent="1"/>
    </xf>
    <xf numFmtId="0" fontId="25" fillId="65" borderId="71" applyNumberFormat="0" applyProtection="0">
      <alignment horizontal="left" vertical="center"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5" fillId="8" borderId="64" applyNumberFormat="0" applyProtection="0">
      <alignment horizontal="left" vertical="top" indent="1"/>
    </xf>
    <xf numFmtId="0" fontId="25" fillId="8" borderId="64" applyNumberFormat="0" applyProtection="0">
      <alignment horizontal="left" vertical="top"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5" fillId="16" borderId="64" applyNumberFormat="0" applyProtection="0">
      <alignment horizontal="left" vertical="center" indent="1"/>
    </xf>
    <xf numFmtId="0" fontId="25" fillId="16" borderId="71" applyNumberFormat="0" applyProtection="0">
      <alignment horizontal="left" vertical="center"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5" fillId="16" borderId="64" applyNumberFormat="0" applyProtection="0">
      <alignment horizontal="left" vertical="top" indent="1"/>
    </xf>
    <xf numFmtId="0" fontId="25" fillId="16" borderId="64" applyNumberFormat="0" applyProtection="0">
      <alignment horizontal="left" vertical="top"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5" fillId="99" borderId="64" applyNumberFormat="0" applyProtection="0">
      <alignment horizontal="left" vertical="center" indent="1"/>
    </xf>
    <xf numFmtId="0" fontId="25" fillId="99" borderId="71" applyNumberFormat="0" applyProtection="0">
      <alignment horizontal="left" vertical="center"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5" fillId="99" borderId="64" applyNumberFormat="0" applyProtection="0">
      <alignment horizontal="left" vertical="top" indent="1"/>
    </xf>
    <xf numFmtId="0" fontId="25" fillId="99" borderId="64" applyNumberFormat="0" applyProtection="0">
      <alignment horizontal="left" vertical="top" indent="1"/>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0" borderId="0" applyNumberFormat="0" applyFont="0" applyFill="0" applyBorder="0" applyAlignment="0" applyProtection="0"/>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5" fillId="14" borderId="6" applyNumberFormat="0">
      <protection locked="0"/>
    </xf>
    <xf numFmtId="0" fontId="25" fillId="14" borderId="72" applyNumberFormat="0">
      <protection locked="0"/>
    </xf>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0" fontId="65" fillId="19" borderId="73" applyBorder="0"/>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186" fillId="100" borderId="64" applyNumberFormat="0" applyProtection="0">
      <alignment vertical="center"/>
    </xf>
    <xf numFmtId="4" fontId="186" fillId="100"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3" fillId="12" borderId="64" applyNumberFormat="0" applyProtection="0">
      <alignment vertical="center"/>
    </xf>
    <xf numFmtId="4" fontId="186" fillId="100"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87" fillId="100" borderId="64" applyNumberFormat="0" applyProtection="0">
      <alignment vertical="center"/>
    </xf>
    <xf numFmtId="4" fontId="187" fillId="100"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75" fillId="12" borderId="64" applyNumberFormat="0" applyProtection="0">
      <alignment vertical="center"/>
    </xf>
    <xf numFmtId="4" fontId="187" fillId="100" borderId="64" applyNumberFormat="0" applyProtection="0">
      <alignment vertical="center"/>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84" fillId="51" borderId="74" applyNumberFormat="0" applyProtection="0">
      <alignment horizontal="left" vertical="center" indent="1"/>
    </xf>
    <xf numFmtId="4" fontId="84" fillId="51" borderId="7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3" fillId="12" borderId="64" applyNumberFormat="0" applyProtection="0">
      <alignment horizontal="left" vertical="center" indent="1"/>
    </xf>
    <xf numFmtId="4" fontId="84" fillId="51" borderId="74" applyNumberFormat="0" applyProtection="0">
      <alignment horizontal="left" vertical="center"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0" fontId="3" fillId="12" borderId="64" applyNumberFormat="0" applyProtection="0">
      <alignment horizontal="left" vertical="top" indent="1"/>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186" fillId="100" borderId="64" applyNumberFormat="0" applyProtection="0">
      <alignment horizontal="right" vertical="center"/>
    </xf>
    <xf numFmtId="4" fontId="186" fillId="100"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3" fillId="99" borderId="64" applyNumberFormat="0" applyProtection="0">
      <alignment horizontal="right" vertical="center"/>
    </xf>
    <xf numFmtId="4" fontId="186" fillId="100"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87" fillId="100" borderId="64" applyNumberFormat="0" applyProtection="0">
      <alignment horizontal="right" vertical="center"/>
    </xf>
    <xf numFmtId="4" fontId="187" fillId="100"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75" fillId="99" borderId="64" applyNumberFormat="0" applyProtection="0">
      <alignment horizontal="right" vertical="center"/>
    </xf>
    <xf numFmtId="4" fontId="187" fillId="100" borderId="64" applyNumberFormat="0" applyProtection="0">
      <alignment horizontal="right" vertical="center"/>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84" fillId="51" borderId="64" applyNumberFormat="0" applyProtection="0">
      <alignment horizontal="left" vertical="center" indent="1"/>
    </xf>
    <xf numFmtId="4" fontId="84" fillId="51"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3" fillId="8" borderId="64" applyNumberFormat="0" applyProtection="0">
      <alignment horizontal="left" vertical="center" indent="1"/>
    </xf>
    <xf numFmtId="4" fontId="84" fillId="51" borderId="64" applyNumberFormat="0" applyProtection="0">
      <alignment horizontal="left" vertical="center"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0" fontId="3" fillId="8" borderId="64" applyNumberFormat="0" applyProtection="0">
      <alignment horizontal="left" vertical="top" indent="1"/>
    </xf>
    <xf numFmtId="4" fontId="188" fillId="101" borderId="0" applyNumberFormat="0" applyProtection="0">
      <alignment horizontal="left" vertical="center" indent="1"/>
    </xf>
    <xf numFmtId="4" fontId="188" fillId="102" borderId="74" applyNumberFormat="0" applyProtection="0">
      <alignment horizontal="left" vertical="center" indent="1"/>
    </xf>
    <xf numFmtId="4" fontId="188" fillId="102" borderId="74" applyNumberFormat="0" applyProtection="0">
      <alignment horizontal="left" vertical="center" indent="1"/>
    </xf>
    <xf numFmtId="4" fontId="188" fillId="102" borderId="74" applyNumberFormat="0" applyProtection="0">
      <alignment horizontal="left" vertical="center" indent="1"/>
    </xf>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25" fillId="103" borderId="6"/>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25" fillId="103" borderId="6"/>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25" fillId="103" borderId="6"/>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5" fillId="0" borderId="0" applyNumberFormat="0" applyFont="0" applyFill="0" applyBorder="0" applyAlignment="0" applyProtection="0"/>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0" fontId="25" fillId="103" borderId="6"/>
    <xf numFmtId="172" fontId="25" fillId="103" borderId="6"/>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0" fontId="5" fillId="0" borderId="0" applyNumberFormat="0" applyFont="0" applyFill="0" applyBorder="0" applyAlignment="0" applyProtection="0"/>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0" fontId="5" fillId="0" borderId="0" applyNumberFormat="0" applyFont="0" applyFill="0" applyBorder="0" applyAlignment="0" applyProtection="0"/>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89" fillId="99" borderId="64" applyNumberFormat="0" applyProtection="0">
      <alignment horizontal="right" vertical="center"/>
    </xf>
    <xf numFmtId="4" fontId="190" fillId="100" borderId="64" applyNumberFormat="0" applyProtection="0">
      <alignment horizontal="right" vertical="center"/>
    </xf>
    <xf numFmtId="38" fontId="191" fillId="0" borderId="75">
      <alignment horizontal="center"/>
    </xf>
    <xf numFmtId="172" fontId="192" fillId="104" borderId="0"/>
    <xf numFmtId="172" fontId="12" fillId="0" borderId="0"/>
    <xf numFmtId="38" fontId="20" fillId="0" borderId="0" applyFont="0" applyFill="0" applyBorder="0" applyAlignment="0" applyProtection="0"/>
    <xf numFmtId="40" fontId="123" fillId="0" borderId="0" applyFont="0" applyFill="0" applyBorder="0" applyAlignment="0" applyProtection="0"/>
    <xf numFmtId="311" fontId="27" fillId="105" borderId="0" applyFont="0"/>
    <xf numFmtId="172" fontId="193" fillId="0" borderId="0"/>
    <xf numFmtId="0" fontId="194" fillId="0" borderId="0" applyNumberFormat="0" applyFill="0" applyBorder="0" applyAlignment="0" applyProtection="0"/>
    <xf numFmtId="0" fontId="5" fillId="0" borderId="0" applyNumberFormat="0" applyFon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5" fillId="0" borderId="0" applyNumberFormat="0" applyFont="0" applyFill="0" applyBorder="0" applyAlignment="0" applyProtection="0"/>
    <xf numFmtId="0" fontId="194"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 fontId="5" fillId="0" borderId="0"/>
    <xf numFmtId="172" fontId="20" fillId="0" borderId="0">
      <alignment textRotation="90"/>
    </xf>
    <xf numFmtId="0" fontId="73" fillId="61" borderId="0" applyAlignment="0" applyProtection="0">
      <alignment horizontal="right" vertical="center"/>
    </xf>
    <xf numFmtId="183" fontId="31" fillId="0" borderId="0">
      <alignment vertical="center"/>
    </xf>
    <xf numFmtId="0" fontId="5" fillId="106" borderId="0"/>
    <xf numFmtId="335" fontId="3" fillId="0" borderId="0" applyFill="0" applyBorder="0" applyAlignment="0"/>
    <xf numFmtId="0" fontId="5" fillId="0" borderId="0" applyFont="0" applyFill="0" applyBorder="0" applyAlignment="0" applyProtection="0"/>
    <xf numFmtId="0" fontId="5" fillId="0" borderId="0" applyNumberFormat="0" applyFont="0" applyFill="0" applyBorder="0" applyAlignment="0" applyProtection="0"/>
    <xf numFmtId="0"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Font="0" applyFill="0" applyBorder="0" applyAlignment="0" applyProtection="0"/>
    <xf numFmtId="0" fontId="5" fillId="0" borderId="0" applyNumberFormat="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2" fontId="5" fillId="0" borderId="0" applyFont="0" applyFill="0" applyBorder="0" applyAlignment="0" applyProtection="0"/>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38" fontId="5" fillId="0" borderId="0" applyFont="0" applyFill="0" applyBorder="0" applyAlignment="0" applyProtection="0"/>
    <xf numFmtId="172" fontId="5" fillId="0" borderId="0">
      <alignment vertical="top"/>
    </xf>
    <xf numFmtId="172" fontId="196" fillId="55" borderId="0" applyNumberFormat="0" applyProtection="0">
      <alignment horizontal="center" vertical="center"/>
    </xf>
    <xf numFmtId="4" fontId="3" fillId="55" borderId="0" applyProtection="0">
      <alignment horizontal="center" vertical="center"/>
    </xf>
    <xf numFmtId="172" fontId="197" fillId="55" borderId="0" applyNumberFormat="0" applyProtection="0">
      <alignment horizontal="center" vertical="center"/>
    </xf>
    <xf numFmtId="4" fontId="175" fillId="55" borderId="0" applyProtection="0">
      <alignment horizontal="center" vertical="center"/>
    </xf>
    <xf numFmtId="172" fontId="198" fillId="107" borderId="0" applyNumberFormat="0" applyProtection="0">
      <alignment horizontal="center" vertical="center"/>
    </xf>
    <xf numFmtId="4" fontId="189" fillId="107" borderId="0" applyProtection="0">
      <alignment horizontal="center" vertical="center"/>
    </xf>
    <xf numFmtId="172" fontId="195" fillId="55" borderId="0" applyNumberFormat="0" applyProtection="0">
      <alignment horizontal="center" vertical="center"/>
    </xf>
    <xf numFmtId="4" fontId="199" fillId="55" borderId="0" applyProtection="0">
      <alignment horizontal="center" vertical="center"/>
    </xf>
    <xf numFmtId="172" fontId="200" fillId="108" borderId="0" applyNumberFormat="0" applyProtection="0">
      <alignment horizontal="center" vertical="center"/>
    </xf>
    <xf numFmtId="4" fontId="35" fillId="108" borderId="0" applyProtection="0">
      <alignment horizontal="center" vertical="center"/>
    </xf>
    <xf numFmtId="172" fontId="2" fillId="55" borderId="0" applyNumberFormat="0" applyProtection="0">
      <alignment horizontal="center" vertical="center" wrapText="1"/>
    </xf>
    <xf numFmtId="172" fontId="178" fillId="55" borderId="0" applyNumberFormat="0" applyProtection="0">
      <alignment horizontal="center" vertical="center" wrapText="1"/>
    </xf>
    <xf numFmtId="172" fontId="118" fillId="107" borderId="0" applyNumberFormat="0" applyProtection="0">
      <alignment horizontal="center" vertical="center" wrapText="1"/>
    </xf>
    <xf numFmtId="172" fontId="201" fillId="55" borderId="0" applyNumberFormat="0" applyProtection="0">
      <alignment horizontal="center" vertical="center" wrapText="1"/>
    </xf>
    <xf numFmtId="172" fontId="2" fillId="55" borderId="0" applyNumberFormat="0" applyProtection="0">
      <alignment horizontal="center" vertical="center" wrapText="1"/>
    </xf>
    <xf numFmtId="4" fontId="202" fillId="55" borderId="0" applyProtection="0">
      <alignment horizontal="center" vertical="top" wrapText="1"/>
    </xf>
    <xf numFmtId="172" fontId="178" fillId="55" borderId="0" applyNumberFormat="0" applyProtection="0">
      <alignment horizontal="center" vertical="center" wrapText="1"/>
    </xf>
    <xf numFmtId="4" fontId="203" fillId="55" borderId="0" applyProtection="0">
      <alignment horizontal="center" vertical="top" wrapText="1"/>
    </xf>
    <xf numFmtId="172" fontId="118" fillId="107" borderId="0" applyNumberFormat="0" applyProtection="0">
      <alignment horizontal="center" vertical="center" wrapText="1"/>
    </xf>
    <xf numFmtId="4" fontId="204" fillId="107" borderId="0" applyProtection="0">
      <alignment horizontal="center" vertical="top" wrapText="1"/>
    </xf>
    <xf numFmtId="172" fontId="201" fillId="55" borderId="0" applyNumberFormat="0" applyProtection="0">
      <alignment horizontal="center" vertical="center" wrapText="1"/>
    </xf>
    <xf numFmtId="4" fontId="205" fillId="55" borderId="0" applyProtection="0">
      <alignment horizontal="center" vertical="top" wrapText="1"/>
    </xf>
    <xf numFmtId="172" fontId="168" fillId="108" borderId="0" applyNumberFormat="0" applyProtection="0">
      <alignment horizontal="center" vertical="center" wrapText="1"/>
    </xf>
    <xf numFmtId="4" fontId="206" fillId="108" borderId="0" applyProtection="0">
      <alignment horizontal="center" vertical="top" wrapText="1"/>
    </xf>
    <xf numFmtId="172" fontId="2" fillId="94" borderId="0" applyNumberFormat="0" applyProtection="0">
      <alignment horizontal="center" vertical="center" wrapText="1"/>
    </xf>
    <xf numFmtId="4" fontId="202" fillId="94" borderId="0" applyProtection="0">
      <alignment horizontal="center" vertical="top" wrapText="1"/>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 fontId="195" fillId="55" borderId="0" applyProtection="0">
      <alignment horizontal="center" vertical="center"/>
    </xf>
    <xf numFmtId="172" fontId="207" fillId="0" borderId="0"/>
    <xf numFmtId="172" fontId="208" fillId="51" borderId="0"/>
    <xf numFmtId="172" fontId="209" fillId="0" borderId="0">
      <alignment horizontal="left" vertical="center"/>
    </xf>
    <xf numFmtId="249" fontId="12" fillId="0" borderId="0"/>
    <xf numFmtId="172" fontId="82" fillId="0" borderId="0"/>
    <xf numFmtId="172" fontId="12" fillId="0" borderId="0">
      <alignment horizontal="center"/>
    </xf>
    <xf numFmtId="37" fontId="4" fillId="0" borderId="38" applyNumberFormat="0"/>
    <xf numFmtId="40" fontId="5" fillId="0" borderId="0" applyBorder="0">
      <alignment horizontal="right"/>
    </xf>
    <xf numFmtId="37" fontId="4" fillId="0" borderId="38" applyNumberFormat="0"/>
    <xf numFmtId="40" fontId="210" fillId="0" borderId="0" applyBorder="0">
      <alignment horizontal="right"/>
    </xf>
    <xf numFmtId="0" fontId="211" fillId="0" borderId="76"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02" fillId="7" borderId="6">
      <protection locked="0"/>
    </xf>
    <xf numFmtId="0" fontId="202" fillId="7" borderId="6">
      <protection locked="0"/>
    </xf>
    <xf numFmtId="172" fontId="212" fillId="0" borderId="0" applyBorder="0" applyProtection="0">
      <alignment vertical="center"/>
    </xf>
    <xf numFmtId="172" fontId="212" fillId="0" borderId="34" applyBorder="0" applyProtection="0">
      <alignment horizontal="right" vertical="center"/>
    </xf>
    <xf numFmtId="172" fontId="213" fillId="109" borderId="0" applyBorder="0" applyProtection="0">
      <alignment horizontal="centerContinuous" vertical="center"/>
    </xf>
    <xf numFmtId="172" fontId="213" fillId="108" borderId="34" applyBorder="0" applyProtection="0">
      <alignment horizontal="centerContinuous" vertical="center"/>
    </xf>
    <xf numFmtId="172" fontId="214" fillId="0" borderId="0"/>
    <xf numFmtId="172" fontId="150" fillId="0" borderId="0"/>
    <xf numFmtId="172" fontId="215" fillId="0" borderId="0" applyFill="0" applyBorder="0" applyProtection="0">
      <alignment horizontal="left"/>
    </xf>
    <xf numFmtId="172" fontId="90" fillId="0" borderId="21" applyFill="0" applyBorder="0" applyProtection="0">
      <alignment horizontal="left" vertical="top"/>
    </xf>
    <xf numFmtId="172" fontId="216" fillId="0" borderId="0">
      <alignment horizontal="centerContinuous"/>
    </xf>
    <xf numFmtId="49" fontId="217" fillId="0" borderId="0"/>
    <xf numFmtId="49" fontId="17" fillId="0" borderId="0" applyFont="0" applyFill="0" applyBorder="0" applyAlignment="0" applyProtection="0"/>
    <xf numFmtId="172" fontId="218" fillId="0" borderId="0"/>
    <xf numFmtId="49" fontId="17" fillId="0" borderId="0" applyFont="0" applyFill="0" applyBorder="0" applyAlignment="0" applyProtection="0"/>
    <xf numFmtId="172" fontId="219" fillId="0" borderId="0"/>
    <xf numFmtId="0" fontId="65" fillId="65" borderId="0" applyAlignment="0" applyProtection="0"/>
    <xf numFmtId="0" fontId="25" fillId="65" borderId="0" applyAlignment="0" applyProtection="0">
      <alignment horizontal="left"/>
    </xf>
    <xf numFmtId="0" fontId="25" fillId="65" borderId="0" applyAlignment="0" applyProtection="0">
      <alignment horizontal="left" indent="1"/>
    </xf>
    <xf numFmtId="0" fontId="25" fillId="65" borderId="0" applyAlignment="0" applyProtection="0">
      <alignment horizontal="left" vertical="center" indent="2"/>
    </xf>
    <xf numFmtId="336" fontId="12" fillId="0" borderId="0" applyFont="0" applyFill="0" applyBorder="0" applyAlignment="0" applyProtection="0"/>
    <xf numFmtId="0" fontId="220" fillId="0" borderId="0">
      <alignment horizontal="center"/>
    </xf>
    <xf numFmtId="15" fontId="220" fillId="0" borderId="0">
      <alignment horizontal="center"/>
    </xf>
    <xf numFmtId="0" fontId="194"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21"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82" fontId="221" fillId="0" borderId="0" applyNumberFormat="0" applyFill="0" applyBorder="0" applyAlignment="0" applyProtection="0"/>
    <xf numFmtId="0" fontId="5" fillId="0" borderId="0" applyNumberFormat="0" applyFont="0" applyFill="0" applyBorder="0" applyAlignment="0" applyProtection="0"/>
    <xf numFmtId="172" fontId="222" fillId="71" borderId="0">
      <alignment horizontal="right"/>
    </xf>
    <xf numFmtId="234" fontId="163" fillId="0" borderId="0"/>
    <xf numFmtId="172" fontId="223" fillId="0" borderId="0"/>
    <xf numFmtId="337" fontId="224" fillId="0" borderId="0"/>
    <xf numFmtId="185" fontId="5" fillId="0" borderId="38" applyNumberFormat="0" applyFont="0" applyFill="0" applyAlignment="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203" fontId="4" fillId="0" borderId="44" applyFill="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203" fontId="4" fillId="0" borderId="44" applyFill="0"/>
    <xf numFmtId="0" fontId="76" fillId="0" borderId="77"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5" fillId="0" borderId="0" applyNumberFormat="0" applyFont="0" applyFill="0" applyBorder="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76" fillId="0" borderId="77"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6" fillId="0" borderId="78"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82" fontId="225" fillId="0" borderId="78" applyNumberFormat="0" applyFill="0" applyAlignment="0" applyProtection="0"/>
    <xf numFmtId="182" fontId="225" fillId="0" borderId="78" applyNumberFormat="0" applyFill="0" applyAlignment="0" applyProtection="0"/>
    <xf numFmtId="0" fontId="5" fillId="0" borderId="0" applyNumberFormat="0" applyFont="0" applyFill="0" applyBorder="0" applyAlignment="0" applyProtection="0"/>
    <xf numFmtId="37" fontId="4" fillId="0" borderId="79" applyNumberFormat="0" applyFill="0"/>
    <xf numFmtId="309" fontId="64" fillId="0" borderId="80" applyAlignment="0"/>
    <xf numFmtId="310" fontId="64" fillId="0" borderId="80" applyAlignment="0"/>
    <xf numFmtId="234" fontId="23" fillId="0" borderId="80"/>
    <xf numFmtId="338" fontId="26" fillId="0" borderId="0" applyFont="0" applyFill="0" applyBorder="0" applyAlignment="0" applyProtection="0">
      <alignment horizontal="right"/>
    </xf>
    <xf numFmtId="172" fontId="226" fillId="0" borderId="0">
      <alignment horizontal="fill"/>
    </xf>
    <xf numFmtId="37" fontId="25" fillId="56" borderId="0" applyNumberFormat="0" applyBorder="0" applyAlignment="0" applyProtection="0"/>
    <xf numFmtId="37" fontId="25" fillId="0" borderId="0"/>
    <xf numFmtId="37" fontId="25" fillId="7" borderId="0" applyNumberFormat="0" applyBorder="0" applyAlignment="0" applyProtection="0"/>
    <xf numFmtId="3" fontId="108" fillId="0" borderId="53" applyProtection="0"/>
    <xf numFmtId="4" fontId="23" fillId="0" borderId="0">
      <protection locked="0"/>
    </xf>
    <xf numFmtId="339" fontId="173" fillId="7" borderId="21" applyBorder="0">
      <alignment horizontal="right" vertical="center"/>
      <protection locked="0"/>
    </xf>
    <xf numFmtId="172" fontId="5" fillId="0" borderId="0">
      <alignment vertical="top"/>
    </xf>
    <xf numFmtId="172" fontId="227" fillId="0" borderId="0" applyFont="0" applyFill="0" applyBorder="0" applyAlignment="0" applyProtection="0"/>
    <xf numFmtId="239" fontId="93" fillId="0" borderId="0" applyFont="0" applyFill="0" applyBorder="0" applyAlignment="0" applyProtection="0"/>
    <xf numFmtId="340" fontId="93" fillId="0" borderId="0" applyFont="0" applyFill="0" applyBorder="0" applyAlignment="0" applyProtection="0"/>
    <xf numFmtId="341" fontId="93" fillId="0" borderId="0" applyFont="0" applyFill="0" applyBorder="0" applyAlignment="0" applyProtection="0"/>
    <xf numFmtId="197" fontId="25" fillId="0" borderId="0"/>
    <xf numFmtId="172" fontId="228" fillId="0" borderId="0"/>
    <xf numFmtId="342" fontId="5" fillId="0" borderId="0" applyFont="0" applyFill="0" applyBorder="0" applyAlignment="0" applyProtection="0"/>
    <xf numFmtId="170" fontId="5" fillId="0" borderId="0" applyFont="0" applyFill="0" applyBorder="0" applyAlignment="0" applyProtection="0"/>
    <xf numFmtId="0" fontId="229"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29" fillId="0" borderId="0" applyNumberFormat="0" applyFill="0" applyBorder="0" applyAlignment="0" applyProtection="0"/>
    <xf numFmtId="0" fontId="5" fillId="12" borderId="0" applyNumberFormat="0" applyFont="0" applyBorder="0" applyAlignment="0" applyProtection="0"/>
    <xf numFmtId="0" fontId="8" fillId="0" borderId="0"/>
    <xf numFmtId="0" fontId="8" fillId="0" borderId="0"/>
    <xf numFmtId="0" fontId="232" fillId="115" borderId="6" applyNumberFormat="0" applyFont="0" applyAlignment="0">
      <alignment vertical="center"/>
    </xf>
    <xf numFmtId="0" fontId="232" fillId="56" borderId="6" applyNumberFormat="0" applyFont="0" applyAlignment="0">
      <alignment vertical="center"/>
    </xf>
    <xf numFmtId="0" fontId="232" fillId="62" borderId="6" applyNumberFormat="0" applyFont="0" applyAlignment="0">
      <alignment vertical="center"/>
    </xf>
    <xf numFmtId="0" fontId="232" fillId="116" borderId="6" applyNumberFormat="0" applyFont="0" applyAlignment="0">
      <alignment vertical="center"/>
    </xf>
    <xf numFmtId="0" fontId="7" fillId="0" borderId="0"/>
    <xf numFmtId="0" fontId="5" fillId="0" borderId="0"/>
    <xf numFmtId="0" fontId="5" fillId="0" borderId="0"/>
    <xf numFmtId="0" fontId="5" fillId="0" borderId="0"/>
    <xf numFmtId="0" fontId="5" fillId="0" borderId="0"/>
    <xf numFmtId="0" fontId="234" fillId="0" borderId="0">
      <alignment vertical="center"/>
    </xf>
    <xf numFmtId="0" fontId="234" fillId="0" borderId="0">
      <alignment vertical="center"/>
    </xf>
    <xf numFmtId="0" fontId="234" fillId="0" borderId="0">
      <alignment vertical="center"/>
    </xf>
    <xf numFmtId="169" fontId="5" fillId="0" borderId="0" applyFont="0" applyFill="0" applyBorder="0" applyAlignment="0" applyProtection="0"/>
    <xf numFmtId="170" fontId="5" fillId="0" borderId="0" applyFont="0" applyFill="0" applyBorder="0" applyAlignment="0" applyProtection="0"/>
    <xf numFmtId="0" fontId="109" fillId="0" borderId="0" applyNumberFormat="0" applyFill="0" applyBorder="0" applyAlignment="0" applyProtection="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alignment horizontal="left" vertical="center" indent="1"/>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 fillId="0" borderId="0"/>
    <xf numFmtId="0" fontId="5" fillId="0" borderId="0">
      <alignment vertical="center"/>
    </xf>
    <xf numFmtId="0" fontId="68"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0" fontId="234" fillId="0" borderId="6">
      <alignment horizontal="left" vertical="center" indent="1"/>
    </xf>
    <xf numFmtId="0" fontId="234" fillId="0" borderId="6">
      <alignment horizontal="left" vertical="center" indent="1"/>
    </xf>
    <xf numFmtId="167" fontId="5" fillId="0" borderId="0" applyFont="0" applyFill="0" applyBorder="0" applyAlignment="0" applyProtection="0"/>
    <xf numFmtId="169" fontId="5" fillId="0" borderId="0" applyFont="0" applyFill="0" applyBorder="0" applyAlignment="0" applyProtection="0"/>
    <xf numFmtId="346" fontId="5" fillId="0" borderId="0" applyFont="0" applyFill="0" applyBorder="0" applyAlignment="0" applyProtection="0"/>
    <xf numFmtId="347" fontId="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0" fontId="7" fillId="0" borderId="0"/>
    <xf numFmtId="0" fontId="7" fillId="0" borderId="0"/>
    <xf numFmtId="0" fontId="233" fillId="0" borderId="0"/>
    <xf numFmtId="169" fontId="5" fillId="0" borderId="0" applyFont="0" applyFill="0" applyBorder="0" applyAlignment="0" applyProtection="0"/>
    <xf numFmtId="169" fontId="148" fillId="0" borderId="0" applyFont="0" applyFill="0" applyBorder="0" applyAlignment="0" applyProtection="0"/>
    <xf numFmtId="0" fontId="68" fillId="0" borderId="0"/>
    <xf numFmtId="0" fontId="8" fillId="0" borderId="0"/>
    <xf numFmtId="0" fontId="148" fillId="0" borderId="0"/>
    <xf numFmtId="0" fontId="68" fillId="0" borderId="0"/>
    <xf numFmtId="0" fontId="8" fillId="0" borderId="0"/>
    <xf numFmtId="0" fontId="8" fillId="0" borderId="0"/>
    <xf numFmtId="324" fontId="8" fillId="2" borderId="6">
      <alignment vertical="center"/>
      <protection locked="0"/>
    </xf>
    <xf numFmtId="324" fontId="8" fillId="2" borderId="6">
      <alignment vertical="center"/>
      <protection locked="0"/>
    </xf>
    <xf numFmtId="324" fontId="8" fillId="2" borderId="6">
      <alignment vertical="center"/>
      <protection locked="0"/>
    </xf>
    <xf numFmtId="324" fontId="8" fillId="90" borderId="6">
      <alignment vertical="center"/>
    </xf>
    <xf numFmtId="324" fontId="8" fillId="92" borderId="6">
      <alignment horizontal="right" vertical="center"/>
      <protection locked="0"/>
    </xf>
    <xf numFmtId="9" fontId="8" fillId="0" borderId="0" applyFont="0" applyFill="0" applyBorder="0" applyAlignment="0" applyProtection="0"/>
    <xf numFmtId="0" fontId="109" fillId="0" borderId="0" applyNumberFormat="0" applyFill="0" applyBorder="0" applyAlignment="0" applyProtection="0"/>
  </cellStyleXfs>
  <cellXfs count="652">
    <xf numFmtId="0" fontId="0" fillId="0" borderId="0" xfId="0"/>
    <xf numFmtId="1" fontId="5" fillId="0" borderId="7" xfId="1" applyNumberFormat="1" applyFont="1" applyBorder="1" applyAlignment="1" applyProtection="1">
      <alignment horizontal="center" vertical="center"/>
      <protection locked="0"/>
    </xf>
    <xf numFmtId="1" fontId="5" fillId="2" borderId="3" xfId="1" applyNumberFormat="1" applyFont="1" applyFill="1" applyBorder="1" applyAlignment="1" applyProtection="1">
      <alignment horizontal="center" vertical="center"/>
      <protection locked="0"/>
    </xf>
    <xf numFmtId="1" fontId="5" fillId="2" borderId="8" xfId="1" applyNumberFormat="1" applyFont="1" applyFill="1" applyBorder="1" applyAlignment="1" applyProtection="1">
      <alignment horizontal="center" vertical="center"/>
      <protection locked="0"/>
    </xf>
    <xf numFmtId="171" fontId="4" fillId="3" borderId="9" xfId="3" applyNumberFormat="1" applyFont="1" applyFill="1" applyBorder="1" applyAlignment="1" applyProtection="1">
      <alignment horizontal="center" vertical="center"/>
      <protection locked="0"/>
    </xf>
    <xf numFmtId="1" fontId="5" fillId="0" borderId="10" xfId="1" applyNumberFormat="1" applyFont="1" applyBorder="1" applyAlignment="1" applyProtection="1">
      <alignment horizontal="center" vertical="center"/>
      <protection locked="0"/>
    </xf>
    <xf numFmtId="1" fontId="5" fillId="2" borderId="4" xfId="1" applyNumberFormat="1" applyFont="1" applyFill="1" applyBorder="1" applyAlignment="1" applyProtection="1">
      <alignment horizontal="center" vertical="center"/>
      <protection locked="0"/>
    </xf>
    <xf numFmtId="1" fontId="5" fillId="2" borderId="6" xfId="1" applyNumberFormat="1" applyFont="1" applyFill="1" applyBorder="1" applyAlignment="1" applyProtection="1">
      <alignment horizontal="center" vertical="center"/>
      <protection locked="0"/>
    </xf>
    <xf numFmtId="171" fontId="4" fillId="3" borderId="11" xfId="3" applyNumberFormat="1" applyFont="1" applyFill="1" applyBorder="1" applyAlignment="1" applyProtection="1">
      <alignment horizontal="center" vertical="center"/>
      <protection locked="0"/>
    </xf>
    <xf numFmtId="1" fontId="5" fillId="0" borderId="12" xfId="1" applyNumberFormat="1" applyFont="1" applyBorder="1" applyAlignment="1" applyProtection="1">
      <alignment horizontal="center" vertical="center"/>
      <protection locked="0"/>
    </xf>
    <xf numFmtId="171" fontId="4" fillId="3" borderId="5" xfId="3" applyNumberFormat="1" applyFont="1" applyFill="1" applyBorder="1" applyAlignment="1" applyProtection="1">
      <alignment horizontal="center" vertical="center"/>
      <protection locked="0"/>
    </xf>
    <xf numFmtId="171" fontId="4" fillId="3" borderId="13" xfId="3" applyNumberFormat="1" applyFont="1" applyFill="1" applyBorder="1" applyAlignment="1" applyProtection="1">
      <alignment horizontal="center" vertical="center"/>
      <protection locked="0"/>
    </xf>
    <xf numFmtId="0" fontId="10" fillId="0" borderId="0" xfId="0" applyFont="1"/>
    <xf numFmtId="1" fontId="5" fillId="0" borderId="1" xfId="1" applyNumberFormat="1" applyFont="1" applyBorder="1" applyAlignment="1" applyProtection="1">
      <alignment horizontal="center" vertical="center"/>
      <protection locked="0"/>
    </xf>
    <xf numFmtId="1" fontId="5" fillId="0" borderId="2" xfId="1" applyNumberFormat="1" applyFont="1" applyBorder="1" applyAlignment="1" applyProtection="1">
      <alignment horizontal="center" vertical="center"/>
      <protection locked="0"/>
    </xf>
    <xf numFmtId="171" fontId="4" fillId="3" borderId="25" xfId="3" applyNumberFormat="1" applyFont="1" applyFill="1" applyBorder="1" applyAlignment="1" applyProtection="1">
      <alignment horizontal="center" vertical="center"/>
      <protection locked="0"/>
    </xf>
    <xf numFmtId="171" fontId="4" fillId="3" borderId="26" xfId="3" applyNumberFormat="1" applyFont="1" applyFill="1" applyBorder="1" applyAlignment="1" applyProtection="1">
      <alignment horizontal="center" vertical="center"/>
      <protection locked="0"/>
    </xf>
    <xf numFmtId="1" fontId="5" fillId="0" borderId="27" xfId="1" applyNumberFormat="1" applyFont="1" applyBorder="1" applyAlignment="1" applyProtection="1">
      <alignment horizontal="center" vertical="center"/>
      <protection locked="0"/>
    </xf>
    <xf numFmtId="1" fontId="4" fillId="0" borderId="28" xfId="2" applyNumberFormat="1" applyFont="1" applyBorder="1" applyAlignment="1" applyProtection="1">
      <alignment horizontal="center" vertical="center"/>
      <protection locked="0"/>
    </xf>
    <xf numFmtId="1" fontId="4" fillId="0" borderId="29" xfId="2" applyNumberFormat="1" applyFont="1" applyBorder="1" applyAlignment="1" applyProtection="1">
      <alignment horizontal="center" vertical="center"/>
      <protection locked="0"/>
    </xf>
    <xf numFmtId="0" fontId="0" fillId="6" borderId="0" xfId="0" applyFill="1"/>
    <xf numFmtId="171" fontId="4" fillId="110" borderId="3" xfId="3" applyNumberFormat="1" applyFont="1" applyFill="1" applyBorder="1" applyAlignment="1" applyProtection="1">
      <alignment horizontal="center" vertical="center"/>
      <protection locked="0"/>
    </xf>
    <xf numFmtId="171" fontId="4" fillId="110" borderId="8" xfId="3" applyNumberFormat="1" applyFont="1" applyFill="1" applyBorder="1" applyAlignment="1" applyProtection="1">
      <alignment horizontal="center" vertical="center"/>
      <protection locked="0"/>
    </xf>
    <xf numFmtId="171" fontId="4" fillId="110" borderId="4" xfId="3" applyNumberFormat="1" applyFont="1" applyFill="1" applyBorder="1" applyAlignment="1" applyProtection="1">
      <alignment horizontal="center" vertical="center"/>
      <protection locked="0"/>
    </xf>
    <xf numFmtId="171" fontId="4" fillId="110" borderId="6" xfId="3" applyNumberFormat="1" applyFont="1" applyFill="1" applyBorder="1" applyAlignment="1" applyProtection="1">
      <alignment horizontal="center" vertical="center"/>
      <protection locked="0"/>
    </xf>
    <xf numFmtId="171" fontId="4" fillId="3" borderId="17" xfId="3" applyNumberFormat="1" applyFont="1" applyFill="1" applyBorder="1" applyAlignment="1" applyProtection="1">
      <alignment horizontal="center" vertical="center"/>
      <protection locked="0"/>
    </xf>
    <xf numFmtId="171" fontId="4" fillId="3" borderId="3" xfId="3" applyNumberFormat="1" applyFont="1" applyFill="1" applyBorder="1" applyAlignment="1" applyProtection="1">
      <alignment horizontal="center" vertical="center"/>
      <protection locked="0"/>
    </xf>
    <xf numFmtId="171" fontId="4" fillId="3" borderId="8" xfId="3" applyNumberFormat="1" applyFont="1" applyFill="1" applyBorder="1" applyAlignment="1" applyProtection="1">
      <alignment horizontal="center" vertical="center"/>
      <protection locked="0"/>
    </xf>
    <xf numFmtId="171" fontId="4" fillId="3" borderId="4" xfId="3" applyNumberFormat="1" applyFont="1" applyFill="1" applyBorder="1" applyAlignment="1" applyProtection="1">
      <alignment horizontal="center" vertical="center"/>
      <protection locked="0"/>
    </xf>
    <xf numFmtId="171" fontId="4" fillId="3" borderId="6" xfId="3" applyNumberFormat="1" applyFont="1" applyFill="1" applyBorder="1" applyAlignment="1" applyProtection="1">
      <alignment horizontal="center" vertical="center"/>
      <protection locked="0"/>
    </xf>
    <xf numFmtId="0" fontId="230" fillId="111" borderId="0" xfId="5033" applyFont="1" applyFill="1"/>
    <xf numFmtId="0" fontId="147" fillId="111" borderId="0" xfId="5033" applyFont="1" applyFill="1"/>
    <xf numFmtId="0" fontId="11" fillId="111" borderId="0" xfId="5033" applyFont="1" applyFill="1"/>
    <xf numFmtId="234" fontId="230" fillId="111" borderId="0" xfId="5033" applyNumberFormat="1" applyFont="1" applyFill="1" applyAlignment="1">
      <alignment horizontal="left"/>
    </xf>
    <xf numFmtId="247" fontId="231" fillId="111" borderId="0" xfId="5033" applyNumberFormat="1" applyFont="1" applyFill="1" applyAlignment="1">
      <alignment vertical="center"/>
    </xf>
    <xf numFmtId="247" fontId="8" fillId="111" borderId="0" xfId="5033" applyNumberFormat="1" applyFont="1" applyFill="1" applyAlignment="1">
      <alignment vertical="center"/>
    </xf>
    <xf numFmtId="0" fontId="8" fillId="111" borderId="0" xfId="5033" applyFont="1" applyFill="1" applyAlignment="1">
      <alignment vertical="center"/>
    </xf>
    <xf numFmtId="343" fontId="8" fillId="111" borderId="0" xfId="5033" applyNumberFormat="1" applyFont="1" applyFill="1" applyAlignment="1">
      <alignment vertical="center"/>
    </xf>
    <xf numFmtId="0" fontId="147" fillId="0" borderId="0" xfId="14660" applyFont="1"/>
    <xf numFmtId="0" fontId="8" fillId="0" borderId="31" xfId="1147" applyFont="1" applyBorder="1"/>
    <xf numFmtId="0" fontId="8" fillId="0" borderId="32" xfId="1147" applyFont="1" applyBorder="1"/>
    <xf numFmtId="0" fontId="147" fillId="0" borderId="32" xfId="14660" applyFont="1" applyBorder="1"/>
    <xf numFmtId="0" fontId="147" fillId="0" borderId="33" xfId="14660" applyFont="1" applyBorder="1"/>
    <xf numFmtId="0" fontId="11" fillId="0" borderId="0" xfId="1147" applyFont="1"/>
    <xf numFmtId="0" fontId="11" fillId="0" borderId="24" xfId="14660" applyFont="1" applyBorder="1" applyAlignment="1">
      <alignment horizontal="left" indent="3"/>
    </xf>
    <xf numFmtId="0" fontId="8" fillId="0" borderId="0" xfId="1147" applyFont="1"/>
    <xf numFmtId="0" fontId="147" fillId="0" borderId="83" xfId="14660" applyFont="1" applyBorder="1"/>
    <xf numFmtId="0" fontId="8" fillId="0" borderId="24" xfId="1147" applyFont="1" applyBorder="1"/>
    <xf numFmtId="0" fontId="8" fillId="0" borderId="0" xfId="1147" applyFont="1" applyAlignment="1">
      <alignment horizontal="center"/>
    </xf>
    <xf numFmtId="0" fontId="8" fillId="0" borderId="0" xfId="1147" applyFont="1" applyAlignment="1">
      <alignment horizontal="right"/>
    </xf>
    <xf numFmtId="0" fontId="10" fillId="2" borderId="0" xfId="1147" applyFont="1" applyFill="1" applyAlignment="1">
      <alignment horizontal="center"/>
    </xf>
    <xf numFmtId="0" fontId="8" fillId="0" borderId="84" xfId="1147" applyFont="1" applyBorder="1"/>
    <xf numFmtId="0" fontId="147" fillId="0" borderId="85" xfId="14660" applyFont="1" applyBorder="1"/>
    <xf numFmtId="0" fontId="147" fillId="0" borderId="0" xfId="14660" quotePrefix="1" applyFont="1"/>
    <xf numFmtId="0" fontId="147" fillId="0" borderId="31" xfId="14660" applyFont="1" applyBorder="1"/>
    <xf numFmtId="0" fontId="147" fillId="0" borderId="32" xfId="14660" quotePrefix="1" applyFont="1" applyBorder="1"/>
    <xf numFmtId="0" fontId="147" fillId="0" borderId="24" xfId="14660" applyFont="1" applyBorder="1"/>
    <xf numFmtId="3" fontId="147" fillId="0" borderId="0" xfId="12125" applyNumberFormat="1" applyFont="1"/>
    <xf numFmtId="0" fontId="147" fillId="0" borderId="84" xfId="14660" applyFont="1" applyBorder="1"/>
    <xf numFmtId="0" fontId="147" fillId="0" borderId="0" xfId="14660" applyFont="1" applyAlignment="1">
      <alignment horizontal="left"/>
    </xf>
    <xf numFmtId="3" fontId="147" fillId="0" borderId="32" xfId="12125" applyNumberFormat="1" applyFont="1" applyBorder="1"/>
    <xf numFmtId="171" fontId="4" fillId="3" borderId="81" xfId="3" applyNumberFormat="1" applyFont="1" applyFill="1" applyBorder="1" applyAlignment="1" applyProtection="1">
      <alignment horizontal="center" vertical="center"/>
      <protection locked="0"/>
    </xf>
    <xf numFmtId="171" fontId="4" fillId="3" borderId="28" xfId="3" applyNumberFormat="1" applyFont="1" applyFill="1" applyBorder="1" applyAlignment="1" applyProtection="1">
      <alignment horizontal="center" vertical="center"/>
      <protection locked="0"/>
    </xf>
    <xf numFmtId="171" fontId="4" fillId="3" borderId="29" xfId="3" applyNumberFormat="1" applyFont="1" applyFill="1" applyBorder="1" applyAlignment="1" applyProtection="1">
      <alignment horizontal="center" vertical="center"/>
      <protection locked="0"/>
    </xf>
    <xf numFmtId="171" fontId="0" fillId="5" borderId="6" xfId="0" applyNumberFormat="1" applyFill="1" applyBorder="1"/>
    <xf numFmtId="171" fontId="0" fillId="5" borderId="11" xfId="0" applyNumberFormat="1" applyFill="1" applyBorder="1"/>
    <xf numFmtId="171" fontId="10" fillId="3" borderId="6" xfId="0" applyNumberFormat="1" applyFont="1" applyFill="1" applyBorder="1"/>
    <xf numFmtId="171" fontId="0" fillId="3" borderId="6" xfId="0" applyNumberFormat="1" applyFill="1" applyBorder="1"/>
    <xf numFmtId="0" fontId="0" fillId="0" borderId="0" xfId="1147" applyFont="1" applyAlignment="1">
      <alignment horizontal="right"/>
    </xf>
    <xf numFmtId="0" fontId="147" fillId="2" borderId="6" xfId="0" applyFont="1" applyFill="1" applyBorder="1"/>
    <xf numFmtId="0" fontId="147" fillId="3" borderId="6" xfId="0" applyFont="1" applyFill="1" applyBorder="1"/>
    <xf numFmtId="167" fontId="147" fillId="110" borderId="6" xfId="0" applyNumberFormat="1" applyFont="1" applyFill="1" applyBorder="1"/>
    <xf numFmtId="344" fontId="147" fillId="5" borderId="6" xfId="0" applyNumberFormat="1" applyFont="1" applyFill="1" applyBorder="1"/>
    <xf numFmtId="0" fontId="147" fillId="112" borderId="6" xfId="0" applyFont="1" applyFill="1" applyBorder="1"/>
    <xf numFmtId="345" fontId="147" fillId="74" borderId="6" xfId="12125" applyNumberFormat="1" applyFont="1" applyFill="1" applyBorder="1" applyAlignment="1">
      <alignment horizontal="center" vertical="center"/>
    </xf>
    <xf numFmtId="0" fontId="147" fillId="113" borderId="6" xfId="0" applyFont="1" applyFill="1" applyBorder="1"/>
    <xf numFmtId="0" fontId="233" fillId="114" borderId="6" xfId="14770" applyFont="1" applyFill="1" applyBorder="1"/>
    <xf numFmtId="0" fontId="233" fillId="0" borderId="6" xfId="14770" applyFont="1" applyBorder="1"/>
    <xf numFmtId="171" fontId="0" fillId="3" borderId="36" xfId="0" applyNumberFormat="1" applyFill="1" applyBorder="1"/>
    <xf numFmtId="171" fontId="10" fillId="3" borderId="90" xfId="0" applyNumberFormat="1" applyFont="1" applyFill="1" applyBorder="1"/>
    <xf numFmtId="171" fontId="0" fillId="3" borderId="90" xfId="0" applyNumberFormat="1" applyFill="1" applyBorder="1"/>
    <xf numFmtId="171" fontId="0" fillId="3" borderId="11" xfId="0" applyNumberFormat="1" applyFill="1" applyBorder="1"/>
    <xf numFmtId="171" fontId="0" fillId="3" borderId="4" xfId="0" applyNumberFormat="1" applyFill="1" applyBorder="1"/>
    <xf numFmtId="171" fontId="0" fillId="117" borderId="36" xfId="0" applyNumberFormat="1" applyFill="1" applyBorder="1"/>
    <xf numFmtId="171" fontId="0" fillId="117" borderId="11" xfId="0" applyNumberFormat="1" applyFill="1" applyBorder="1"/>
    <xf numFmtId="3" fontId="5" fillId="2" borderId="3" xfId="1" applyNumberFormat="1" applyFont="1" applyFill="1" applyBorder="1" applyAlignment="1" applyProtection="1">
      <alignment horizontal="center" vertical="center"/>
      <protection locked="0"/>
    </xf>
    <xf numFmtId="3" fontId="5" fillId="2" borderId="8" xfId="1" applyNumberFormat="1" applyFont="1" applyFill="1" applyBorder="1" applyAlignment="1" applyProtection="1">
      <alignment horizontal="center" vertical="center"/>
      <protection locked="0"/>
    </xf>
    <xf numFmtId="3" fontId="5" fillId="2" borderId="4" xfId="1" applyNumberFormat="1" applyFont="1" applyFill="1" applyBorder="1" applyAlignment="1" applyProtection="1">
      <alignment horizontal="center" vertical="center"/>
      <protection locked="0"/>
    </xf>
    <xf numFmtId="3" fontId="5" fillId="2" borderId="6" xfId="1" applyNumberFormat="1" applyFont="1" applyFill="1" applyBorder="1" applyAlignment="1" applyProtection="1">
      <alignment horizontal="center" vertical="center"/>
      <protection locked="0"/>
    </xf>
    <xf numFmtId="0" fontId="0" fillId="0" borderId="0" xfId="0" applyAlignment="1">
      <alignment horizontal="center"/>
    </xf>
    <xf numFmtId="0" fontId="11" fillId="0" borderId="17" xfId="1" applyFont="1" applyBorder="1" applyAlignment="1" applyProtection="1">
      <alignment horizontal="center" vertical="center" wrapText="1"/>
      <protection locked="0"/>
    </xf>
    <xf numFmtId="0" fontId="0" fillId="0" borderId="6" xfId="0" applyBorder="1" applyAlignment="1">
      <alignment horizontal="center"/>
    </xf>
    <xf numFmtId="0" fontId="10" fillId="0" borderId="6" xfId="0" applyFont="1" applyBorder="1" applyAlignment="1">
      <alignment horizontal="center"/>
    </xf>
    <xf numFmtId="0" fontId="5" fillId="0" borderId="4" xfId="0" applyFont="1" applyBorder="1" applyAlignment="1" applyProtection="1">
      <alignment vertical="center"/>
      <protection locked="0"/>
    </xf>
    <xf numFmtId="0" fontId="10" fillId="0" borderId="0" xfId="0" applyFont="1" applyAlignment="1">
      <alignment horizontal="center"/>
    </xf>
    <xf numFmtId="0" fontId="5" fillId="0" borderId="3" xfId="0" applyFont="1" applyBorder="1" applyAlignment="1" applyProtection="1">
      <alignment vertical="center"/>
      <protection locked="0"/>
    </xf>
    <xf numFmtId="0" fontId="0" fillId="0" borderId="8" xfId="0" applyBorder="1" applyAlignment="1">
      <alignment horizontal="center"/>
    </xf>
    <xf numFmtId="171" fontId="0" fillId="5" borderId="8" xfId="0" applyNumberFormat="1" applyFill="1" applyBorder="1"/>
    <xf numFmtId="171" fontId="0" fillId="5" borderId="9" xfId="0" applyNumberFormat="1" applyFill="1" applyBorder="1"/>
    <xf numFmtId="0" fontId="5" fillId="0" borderId="95" xfId="0" applyFont="1" applyBorder="1" applyAlignment="1" applyProtection="1">
      <alignment vertical="center"/>
      <protection locked="0"/>
    </xf>
    <xf numFmtId="0" fontId="0" fillId="0" borderId="88" xfId="0" applyBorder="1" applyAlignment="1">
      <alignment horizontal="center"/>
    </xf>
    <xf numFmtId="171" fontId="0" fillId="5" borderId="88" xfId="0" applyNumberFormat="1" applyFill="1" applyBorder="1"/>
    <xf numFmtId="171" fontId="0" fillId="5" borderId="89" xfId="0" applyNumberFormat="1" applyFill="1" applyBorder="1"/>
    <xf numFmtId="0" fontId="5" fillId="0" borderId="96" xfId="0" applyFont="1" applyBorder="1" applyAlignment="1" applyProtection="1">
      <alignment vertical="center"/>
      <protection locked="0"/>
    </xf>
    <xf numFmtId="0" fontId="10" fillId="0" borderId="97" xfId="0" applyFont="1" applyBorder="1" applyAlignment="1">
      <alignment horizontal="center"/>
    </xf>
    <xf numFmtId="171" fontId="0" fillId="117" borderId="98" xfId="0" applyNumberFormat="1" applyFill="1" applyBorder="1"/>
    <xf numFmtId="171" fontId="0" fillId="3" borderId="98" xfId="0" applyNumberFormat="1" applyFill="1" applyBorder="1"/>
    <xf numFmtId="171" fontId="0" fillId="3" borderId="96" xfId="0" applyNumberFormat="1" applyFill="1" applyBorder="1"/>
    <xf numFmtId="171" fontId="0" fillId="3" borderId="99" xfId="0" applyNumberFormat="1" applyFill="1" applyBorder="1"/>
    <xf numFmtId="171" fontId="0" fillId="3" borderId="97" xfId="0" applyNumberFormat="1" applyFill="1" applyBorder="1"/>
    <xf numFmtId="171" fontId="0" fillId="118" borderId="4" xfId="0" applyNumberFormat="1" applyFill="1" applyBorder="1"/>
    <xf numFmtId="171" fontId="0" fillId="118" borderId="6" xfId="0" applyNumberFormat="1" applyFill="1" applyBorder="1"/>
    <xf numFmtId="171" fontId="0" fillId="118" borderId="95" xfId="0" applyNumberFormat="1" applyFill="1" applyBorder="1"/>
    <xf numFmtId="171" fontId="0" fillId="118" borderId="88" xfId="0" applyNumberFormat="1" applyFill="1" applyBorder="1"/>
    <xf numFmtId="171" fontId="0" fillId="5" borderId="90" xfId="0" applyNumberFormat="1" applyFill="1" applyBorder="1"/>
    <xf numFmtId="171" fontId="0" fillId="5" borderId="100" xfId="0" applyNumberFormat="1" applyFill="1" applyBorder="1"/>
    <xf numFmtId="171" fontId="0" fillId="5" borderId="101" xfId="0" applyNumberFormat="1" applyFill="1" applyBorder="1"/>
    <xf numFmtId="171" fontId="0" fillId="3" borderId="102" xfId="0" applyNumberFormat="1" applyFill="1" applyBorder="1"/>
    <xf numFmtId="0" fontId="0" fillId="0" borderId="0" xfId="14660" applyFont="1"/>
    <xf numFmtId="171" fontId="0" fillId="118" borderId="106" xfId="0" applyNumberFormat="1" applyFill="1" applyBorder="1"/>
    <xf numFmtId="171" fontId="0" fillId="118" borderId="105" xfId="0" applyNumberFormat="1" applyFill="1" applyBorder="1"/>
    <xf numFmtId="171" fontId="0" fillId="3" borderId="107" xfId="0" applyNumberFormat="1" applyFill="1" applyBorder="1"/>
    <xf numFmtId="171" fontId="0" fillId="3" borderId="106" xfId="0" applyNumberFormat="1" applyFill="1" applyBorder="1"/>
    <xf numFmtId="0" fontId="10" fillId="6" borderId="0" xfId="0" applyFont="1" applyFill="1" applyAlignment="1">
      <alignment horizontal="center"/>
    </xf>
    <xf numFmtId="0" fontId="5" fillId="0" borderId="5" xfId="0" applyFont="1" applyBorder="1" applyAlignment="1" applyProtection="1">
      <alignment vertical="center"/>
      <protection locked="0"/>
    </xf>
    <xf numFmtId="0" fontId="10" fillId="0" borderId="13" xfId="0" applyFont="1" applyBorder="1" applyAlignment="1">
      <alignment horizontal="center"/>
    </xf>
    <xf numFmtId="171" fontId="0" fillId="117" borderId="81" xfId="0" applyNumberFormat="1" applyFill="1" applyBorder="1"/>
    <xf numFmtId="171" fontId="0" fillId="3" borderId="81" xfId="0" applyNumberFormat="1" applyFill="1" applyBorder="1"/>
    <xf numFmtId="171" fontId="0" fillId="117" borderId="14" xfId="0" applyNumberFormat="1" applyFill="1" applyBorder="1"/>
    <xf numFmtId="0" fontId="10" fillId="0" borderId="92" xfId="0" applyFont="1" applyBorder="1" applyAlignment="1">
      <alignment horizontal="center"/>
    </xf>
    <xf numFmtId="171" fontId="0" fillId="117" borderId="47" xfId="0" applyNumberFormat="1" applyFill="1" applyBorder="1"/>
    <xf numFmtId="171" fontId="0" fillId="3" borderId="47" xfId="0" applyNumberFormat="1" applyFill="1" applyBorder="1"/>
    <xf numFmtId="171" fontId="0" fillId="3" borderId="93" xfId="0" applyNumberFormat="1" applyFill="1" applyBorder="1"/>
    <xf numFmtId="171" fontId="0" fillId="3" borderId="91" xfId="0" applyNumberFormat="1" applyFill="1" applyBorder="1"/>
    <xf numFmtId="0" fontId="0" fillId="6" borderId="22" xfId="0" applyFill="1" applyBorder="1"/>
    <xf numFmtId="0" fontId="0" fillId="6" borderId="23" xfId="0" applyFill="1" applyBorder="1" applyAlignment="1">
      <alignment horizontal="center"/>
    </xf>
    <xf numFmtId="0" fontId="0" fillId="6" borderId="23" xfId="0" applyFill="1" applyBorder="1"/>
    <xf numFmtId="0" fontId="0" fillId="6" borderId="111" xfId="0" applyFill="1" applyBorder="1"/>
    <xf numFmtId="171" fontId="0" fillId="3" borderId="5" xfId="0" applyNumberFormat="1" applyFill="1" applyBorder="1"/>
    <xf numFmtId="171" fontId="0" fillId="3" borderId="13" xfId="0" applyNumberFormat="1" applyFill="1" applyBorder="1"/>
    <xf numFmtId="171" fontId="0" fillId="3" borderId="108" xfId="0" applyNumberFormat="1" applyFill="1" applyBorder="1"/>
    <xf numFmtId="171" fontId="0" fillId="3" borderId="94" xfId="0" applyNumberFormat="1" applyFill="1" applyBorder="1"/>
    <xf numFmtId="171" fontId="0" fillId="3" borderId="14" xfId="0" applyNumberFormat="1" applyFill="1" applyBorder="1"/>
    <xf numFmtId="0" fontId="10" fillId="0" borderId="0" xfId="0" applyFont="1" applyAlignment="1">
      <alignment horizontal="right" indent="1"/>
    </xf>
    <xf numFmtId="171" fontId="0" fillId="0" borderId="0" xfId="0" applyNumberFormat="1"/>
    <xf numFmtId="234" fontId="5" fillId="2" borderId="3" xfId="1" applyNumberFormat="1" applyFont="1" applyFill="1" applyBorder="1" applyAlignment="1" applyProtection="1">
      <alignment horizontal="center" vertical="center"/>
      <protection locked="0"/>
    </xf>
    <xf numFmtId="234" fontId="5" fillId="2" borderId="8" xfId="1" applyNumberFormat="1" applyFont="1" applyFill="1" applyBorder="1" applyAlignment="1" applyProtection="1">
      <alignment horizontal="center" vertical="center"/>
      <protection locked="0"/>
    </xf>
    <xf numFmtId="234" fontId="5" fillId="2" borderId="4" xfId="1" applyNumberFormat="1" applyFont="1" applyFill="1" applyBorder="1" applyAlignment="1" applyProtection="1">
      <alignment horizontal="center" vertical="center"/>
      <protection locked="0"/>
    </xf>
    <xf numFmtId="234" fontId="5" fillId="2" borderId="6" xfId="1" applyNumberFormat="1" applyFont="1" applyFill="1" applyBorder="1" applyAlignment="1" applyProtection="1">
      <alignment horizontal="center" vertical="center"/>
      <protection locked="0"/>
    </xf>
    <xf numFmtId="0" fontId="237" fillId="0" borderId="0" xfId="0" applyFont="1"/>
    <xf numFmtId="0" fontId="238" fillId="0" borderId="0" xfId="0" applyFont="1"/>
    <xf numFmtId="0" fontId="238" fillId="74" borderId="4" xfId="0" applyFont="1" applyFill="1" applyBorder="1" applyAlignment="1">
      <alignment horizontal="center" vertical="center" wrapText="1"/>
    </xf>
    <xf numFmtId="0" fontId="238" fillId="0" borderId="6" xfId="0" applyFont="1" applyBorder="1" applyAlignment="1">
      <alignment horizontal="center" vertical="center" wrapText="1"/>
    </xf>
    <xf numFmtId="0" fontId="237" fillId="0" borderId="115" xfId="0" applyFont="1" applyBorder="1" applyAlignment="1">
      <alignment horizontal="left" indent="1"/>
    </xf>
    <xf numFmtId="0" fontId="237" fillId="0" borderId="56" xfId="0" applyFont="1" applyBorder="1" applyAlignment="1">
      <alignment horizontal="left" indent="1"/>
    </xf>
    <xf numFmtId="0" fontId="237" fillId="0" borderId="116" xfId="0" applyFont="1" applyBorder="1" applyAlignment="1">
      <alignment horizontal="left" indent="1"/>
    </xf>
    <xf numFmtId="171" fontId="240" fillId="74" borderId="115" xfId="3" applyNumberFormat="1" applyFont="1" applyFill="1" applyBorder="1" applyAlignment="1" applyProtection="1">
      <alignment horizontal="center" vertical="center"/>
      <protection locked="0"/>
    </xf>
    <xf numFmtId="348" fontId="240" fillId="0" borderId="56" xfId="3" applyNumberFormat="1" applyFont="1" applyBorder="1" applyAlignment="1" applyProtection="1">
      <alignment horizontal="center" vertical="center"/>
      <protection locked="0"/>
    </xf>
    <xf numFmtId="348" fontId="240" fillId="0" borderId="117" xfId="3" applyNumberFormat="1" applyFont="1" applyBorder="1" applyAlignment="1" applyProtection="1">
      <alignment horizontal="center" vertical="center"/>
      <protection locked="0"/>
    </xf>
    <xf numFmtId="348" fontId="240" fillId="0" borderId="118" xfId="3" applyNumberFormat="1" applyFont="1" applyBorder="1" applyAlignment="1" applyProtection="1">
      <alignment horizontal="center" vertical="center"/>
      <protection locked="0"/>
    </xf>
    <xf numFmtId="348" fontId="240" fillId="119" borderId="116" xfId="3" applyNumberFormat="1" applyFont="1" applyFill="1" applyBorder="1" applyAlignment="1" applyProtection="1">
      <alignment horizontal="center" vertical="center"/>
      <protection locked="0"/>
    </xf>
    <xf numFmtId="349" fontId="240" fillId="119" borderId="119" xfId="18373" applyNumberFormat="1" applyFont="1" applyFill="1" applyBorder="1" applyAlignment="1" applyProtection="1">
      <alignment horizontal="center" vertical="center"/>
      <protection locked="0"/>
    </xf>
    <xf numFmtId="171" fontId="240" fillId="74" borderId="120" xfId="3" applyNumberFormat="1" applyFont="1" applyFill="1" applyBorder="1" applyAlignment="1" applyProtection="1">
      <alignment horizontal="center" vertical="center"/>
      <protection locked="0"/>
    </xf>
    <xf numFmtId="348" fontId="240" fillId="0" borderId="121" xfId="3" applyNumberFormat="1" applyFont="1" applyBorder="1" applyAlignment="1" applyProtection="1">
      <alignment horizontal="center" vertical="center"/>
      <protection locked="0"/>
    </xf>
    <xf numFmtId="348" fontId="240" fillId="0" borderId="122" xfId="3" applyNumberFormat="1" applyFont="1" applyBorder="1" applyAlignment="1" applyProtection="1">
      <alignment horizontal="center" vertical="center"/>
      <protection locked="0"/>
    </xf>
    <xf numFmtId="348" fontId="240" fillId="119" borderId="56" xfId="3" applyNumberFormat="1" applyFont="1" applyFill="1" applyBorder="1" applyAlignment="1" applyProtection="1">
      <alignment horizontal="center" vertical="center"/>
      <protection locked="0"/>
    </xf>
    <xf numFmtId="0" fontId="237" fillId="0" borderId="123" xfId="0" applyFont="1" applyBorder="1" applyAlignment="1">
      <alignment horizontal="left" indent="1"/>
    </xf>
    <xf numFmtId="0" fontId="237" fillId="0" borderId="42" xfId="0" applyFont="1" applyBorder="1" applyAlignment="1">
      <alignment horizontal="left" indent="1"/>
    </xf>
    <xf numFmtId="0" fontId="237" fillId="0" borderId="124" xfId="0" applyFont="1" applyBorder="1" applyAlignment="1">
      <alignment horizontal="left" indent="1"/>
    </xf>
    <xf numFmtId="171" fontId="240" fillId="74" borderId="123" xfId="3" applyNumberFormat="1" applyFont="1" applyFill="1" applyBorder="1" applyAlignment="1" applyProtection="1">
      <alignment horizontal="center" vertical="center"/>
      <protection locked="0"/>
    </xf>
    <xf numFmtId="348" fontId="240" fillId="0" borderId="42" xfId="3" applyNumberFormat="1" applyFont="1" applyBorder="1" applyAlignment="1" applyProtection="1">
      <alignment horizontal="center" vertical="center"/>
      <protection locked="0"/>
    </xf>
    <xf numFmtId="348" fontId="240" fillId="0" borderId="41" xfId="3" applyNumberFormat="1" applyFont="1" applyBorder="1" applyAlignment="1" applyProtection="1">
      <alignment horizontal="center" vertical="center"/>
      <protection locked="0"/>
    </xf>
    <xf numFmtId="348" fontId="240" fillId="0" borderId="125" xfId="3" applyNumberFormat="1" applyFont="1" applyBorder="1" applyAlignment="1" applyProtection="1">
      <alignment horizontal="center" vertical="center"/>
      <protection locked="0"/>
    </xf>
    <xf numFmtId="348" fontId="240" fillId="119" borderId="124" xfId="3" applyNumberFormat="1" applyFont="1" applyFill="1" applyBorder="1" applyAlignment="1" applyProtection="1">
      <alignment horizontal="center" vertical="center"/>
      <protection locked="0"/>
    </xf>
    <xf numFmtId="349" fontId="240" fillId="119" borderId="126" xfId="18373" applyNumberFormat="1" applyFont="1" applyFill="1" applyBorder="1" applyAlignment="1" applyProtection="1">
      <alignment horizontal="center" vertical="center"/>
      <protection locked="0"/>
    </xf>
    <xf numFmtId="171" fontId="240" fillId="74" borderId="127" xfId="3" applyNumberFormat="1" applyFont="1" applyFill="1" applyBorder="1" applyAlignment="1" applyProtection="1">
      <alignment horizontal="center" vertical="center"/>
      <protection locked="0"/>
    </xf>
    <xf numFmtId="348" fontId="240" fillId="0" borderId="128" xfId="3" applyNumberFormat="1" applyFont="1" applyBorder="1" applyAlignment="1" applyProtection="1">
      <alignment horizontal="center" vertical="center"/>
      <protection locked="0"/>
    </xf>
    <xf numFmtId="348" fontId="240" fillId="119" borderId="42" xfId="3" applyNumberFormat="1" applyFont="1" applyFill="1" applyBorder="1" applyAlignment="1" applyProtection="1">
      <alignment horizontal="center" vertical="center"/>
      <protection locked="0"/>
    </xf>
    <xf numFmtId="0" fontId="237" fillId="0" borderId="136" xfId="0" applyFont="1" applyBorder="1" applyAlignment="1">
      <alignment horizontal="left" indent="1"/>
    </xf>
    <xf numFmtId="0" fontId="237" fillId="0" borderId="137" xfId="0" applyFont="1" applyBorder="1" applyAlignment="1">
      <alignment horizontal="left" indent="1"/>
    </xf>
    <xf numFmtId="0" fontId="237" fillId="0" borderId="138" xfId="0" applyFont="1" applyBorder="1" applyAlignment="1">
      <alignment horizontal="left" indent="1"/>
    </xf>
    <xf numFmtId="171" fontId="240" fillId="74" borderId="136" xfId="3" applyNumberFormat="1" applyFont="1" applyFill="1" applyBorder="1" applyAlignment="1" applyProtection="1">
      <alignment horizontal="center" vertical="center"/>
      <protection locked="0"/>
    </xf>
    <xf numFmtId="348" fontId="240" fillId="0" borderId="137" xfId="3" applyNumberFormat="1" applyFont="1" applyBorder="1" applyAlignment="1" applyProtection="1">
      <alignment horizontal="center" vertical="center"/>
      <protection locked="0"/>
    </xf>
    <xf numFmtId="348" fontId="240" fillId="0" borderId="139" xfId="3" applyNumberFormat="1" applyFont="1" applyBorder="1" applyAlignment="1" applyProtection="1">
      <alignment horizontal="center" vertical="center"/>
      <protection locked="0"/>
    </xf>
    <xf numFmtId="348" fontId="240" fillId="0" borderId="140" xfId="3" applyNumberFormat="1" applyFont="1" applyBorder="1" applyAlignment="1" applyProtection="1">
      <alignment horizontal="center" vertical="center"/>
      <protection locked="0"/>
    </xf>
    <xf numFmtId="348" fontId="240" fillId="119" borderId="138" xfId="3" applyNumberFormat="1" applyFont="1" applyFill="1" applyBorder="1" applyAlignment="1" applyProtection="1">
      <alignment horizontal="center" vertical="center"/>
      <protection locked="0"/>
    </xf>
    <xf numFmtId="349" fontId="240" fillId="119" borderId="141" xfId="18373" applyNumberFormat="1" applyFont="1" applyFill="1" applyBorder="1" applyAlignment="1" applyProtection="1">
      <alignment horizontal="center" vertical="center"/>
      <protection locked="0"/>
    </xf>
    <xf numFmtId="171" fontId="240" fillId="74" borderId="142" xfId="3" applyNumberFormat="1" applyFont="1" applyFill="1" applyBorder="1" applyAlignment="1" applyProtection="1">
      <alignment horizontal="center" vertical="center"/>
      <protection locked="0"/>
    </xf>
    <xf numFmtId="348" fontId="240" fillId="0" borderId="143" xfId="3" applyNumberFormat="1" applyFont="1" applyBorder="1" applyAlignment="1" applyProtection="1">
      <alignment horizontal="center" vertical="center"/>
      <protection locked="0"/>
    </xf>
    <xf numFmtId="348" fontId="240" fillId="119" borderId="137" xfId="3" applyNumberFormat="1" applyFont="1" applyFill="1" applyBorder="1" applyAlignment="1" applyProtection="1">
      <alignment horizontal="center" vertical="center"/>
      <protection locked="0"/>
    </xf>
    <xf numFmtId="348" fontId="240" fillId="0" borderId="144" xfId="3" applyNumberFormat="1" applyFont="1" applyBorder="1" applyAlignment="1" applyProtection="1">
      <alignment horizontal="center" vertical="center"/>
      <protection locked="0"/>
    </xf>
    <xf numFmtId="0" fontId="237" fillId="0" borderId="145" xfId="0" applyFont="1" applyBorder="1" applyAlignment="1">
      <alignment horizontal="left" indent="1"/>
    </xf>
    <xf numFmtId="0" fontId="237" fillId="0" borderId="146" xfId="0" applyFont="1" applyBorder="1" applyAlignment="1">
      <alignment horizontal="left" indent="1"/>
    </xf>
    <xf numFmtId="0" fontId="237" fillId="0" borderId="147" xfId="0" applyFont="1" applyBorder="1" applyAlignment="1">
      <alignment horizontal="left" indent="1"/>
    </xf>
    <xf numFmtId="171" fontId="240" fillId="74" borderId="145" xfId="3" applyNumberFormat="1" applyFont="1" applyFill="1" applyBorder="1" applyAlignment="1" applyProtection="1">
      <alignment horizontal="center" vertical="center"/>
      <protection locked="0"/>
    </xf>
    <xf numFmtId="348" fontId="240" fillId="0" borderId="146" xfId="3" applyNumberFormat="1" applyFont="1" applyBorder="1" applyAlignment="1" applyProtection="1">
      <alignment horizontal="center" vertical="center"/>
      <protection locked="0"/>
    </xf>
    <xf numFmtId="348" fontId="240" fillId="0" borderId="148" xfId="3" applyNumberFormat="1" applyFont="1" applyBorder="1" applyAlignment="1" applyProtection="1">
      <alignment horizontal="center" vertical="center"/>
      <protection locked="0"/>
    </xf>
    <xf numFmtId="348" fontId="240" fillId="0" borderId="149" xfId="3" applyNumberFormat="1" applyFont="1" applyBorder="1" applyAlignment="1" applyProtection="1">
      <alignment horizontal="center" vertical="center"/>
      <protection locked="0"/>
    </xf>
    <xf numFmtId="348" fontId="240" fillId="119" borderId="150" xfId="3" applyNumberFormat="1" applyFont="1" applyFill="1" applyBorder="1" applyAlignment="1" applyProtection="1">
      <alignment horizontal="center" vertical="center"/>
      <protection locked="0"/>
    </xf>
    <xf numFmtId="349" fontId="240" fillId="119" borderId="85" xfId="18373" applyNumberFormat="1" applyFont="1" applyFill="1" applyBorder="1" applyAlignment="1" applyProtection="1">
      <alignment horizontal="center" vertical="center"/>
      <protection locked="0"/>
    </xf>
    <xf numFmtId="171" fontId="240" fillId="74" borderId="151" xfId="3" applyNumberFormat="1" applyFont="1" applyFill="1" applyBorder="1" applyAlignment="1" applyProtection="1">
      <alignment horizontal="center" vertical="center"/>
      <protection locked="0"/>
    </xf>
    <xf numFmtId="348" fontId="240" fillId="0" borderId="152" xfId="3" applyNumberFormat="1" applyFont="1" applyBorder="1" applyAlignment="1" applyProtection="1">
      <alignment horizontal="center" vertical="center"/>
      <protection locked="0"/>
    </xf>
    <xf numFmtId="171" fontId="238" fillId="0" borderId="0" xfId="0" applyNumberFormat="1" applyFont="1" applyAlignment="1">
      <alignment horizontal="center"/>
    </xf>
    <xf numFmtId="241" fontId="238" fillId="0" borderId="0" xfId="48433" applyNumberFormat="1" applyFont="1" applyAlignment="1">
      <alignment horizontal="center"/>
    </xf>
    <xf numFmtId="241" fontId="237" fillId="0" borderId="0" xfId="48433" applyNumberFormat="1" applyFont="1" applyAlignment="1">
      <alignment horizontal="center"/>
    </xf>
    <xf numFmtId="241" fontId="237" fillId="0" borderId="0" xfId="0" applyNumberFormat="1" applyFont="1" applyAlignment="1">
      <alignment horizontal="center"/>
    </xf>
    <xf numFmtId="0" fontId="0" fillId="0" borderId="0" xfId="0" applyAlignment="1">
      <alignment horizontal="left" wrapText="1" indent="1"/>
    </xf>
    <xf numFmtId="182" fontId="8" fillId="0" borderId="0" xfId="16568"/>
    <xf numFmtId="0" fontId="8" fillId="0" borderId="0" xfId="16568" applyNumberFormat="1"/>
    <xf numFmtId="0" fontId="8" fillId="0" borderId="0" xfId="16568" applyNumberFormat="1" applyAlignment="1">
      <alignment horizontal="center"/>
    </xf>
    <xf numFmtId="0" fontId="10" fillId="74" borderId="18" xfId="16568" applyNumberFormat="1" applyFont="1" applyFill="1" applyBorder="1" applyAlignment="1">
      <alignment horizontal="center"/>
    </xf>
    <xf numFmtId="0" fontId="10" fillId="0" borderId="112" xfId="16568" applyNumberFormat="1" applyFont="1" applyBorder="1" applyAlignment="1">
      <alignment horizontal="center"/>
    </xf>
    <xf numFmtId="0" fontId="10" fillId="0" borderId="86" xfId="16568" applyNumberFormat="1" applyFont="1" applyBorder="1" applyAlignment="1">
      <alignment horizontal="center"/>
    </xf>
    <xf numFmtId="0" fontId="10" fillId="74" borderId="153" xfId="16568" applyNumberFormat="1" applyFont="1" applyFill="1" applyBorder="1" applyAlignment="1">
      <alignment horizontal="center"/>
    </xf>
    <xf numFmtId="0" fontId="10" fillId="74" borderId="7" xfId="16568" applyNumberFormat="1" applyFont="1" applyFill="1" applyBorder="1" applyAlignment="1">
      <alignment horizontal="center"/>
    </xf>
    <xf numFmtId="182" fontId="10" fillId="0" borderId="8" xfId="16568" applyFont="1" applyBorder="1" applyAlignment="1">
      <alignment horizontal="right" vertical="center" wrapText="1"/>
    </xf>
    <xf numFmtId="171" fontId="10" fillId="0" borderId="8" xfId="16568" applyNumberFormat="1" applyFont="1" applyBorder="1" applyAlignment="1">
      <alignment horizontal="center"/>
    </xf>
    <xf numFmtId="171" fontId="10" fillId="74" borderId="9" xfId="16568" applyNumberFormat="1" applyFont="1" applyFill="1" applyBorder="1" applyAlignment="1">
      <alignment horizontal="center"/>
    </xf>
    <xf numFmtId="171" fontId="8" fillId="0" borderId="109" xfId="16568" applyNumberFormat="1" applyBorder="1" applyAlignment="1">
      <alignment horizontal="center"/>
    </xf>
    <xf numFmtId="182" fontId="5" fillId="0" borderId="88" xfId="16568" applyFont="1" applyBorder="1" applyAlignment="1">
      <alignment horizontal="right" vertical="center" wrapText="1"/>
    </xf>
    <xf numFmtId="171" fontId="8" fillId="0" borderId="88" xfId="16568" applyNumberFormat="1" applyBorder="1" applyAlignment="1">
      <alignment horizontal="center"/>
    </xf>
    <xf numFmtId="171" fontId="10" fillId="74" borderId="89" xfId="16568" applyNumberFormat="1" applyFont="1" applyFill="1" applyBorder="1" applyAlignment="1">
      <alignment horizontal="center"/>
    </xf>
    <xf numFmtId="182" fontId="5" fillId="0" borderId="6" xfId="16568" applyFont="1" applyBorder="1" applyAlignment="1">
      <alignment horizontal="right" vertical="center" wrapText="1"/>
    </xf>
    <xf numFmtId="171" fontId="8" fillId="0" borderId="6" xfId="16568" applyNumberFormat="1" applyBorder="1" applyAlignment="1">
      <alignment horizontal="center"/>
    </xf>
    <xf numFmtId="171" fontId="10" fillId="74" borderId="11" xfId="16568" applyNumberFormat="1" applyFont="1" applyFill="1" applyBorder="1" applyAlignment="1">
      <alignment horizontal="center"/>
    </xf>
    <xf numFmtId="182" fontId="10" fillId="0" borderId="13" xfId="16568" applyFont="1" applyBorder="1" applyAlignment="1">
      <alignment horizontal="right" vertical="center" wrapText="1"/>
    </xf>
    <xf numFmtId="171" fontId="10" fillId="0" borderId="13" xfId="16568" applyNumberFormat="1" applyFont="1" applyBorder="1" applyAlignment="1">
      <alignment horizontal="center"/>
    </xf>
    <xf numFmtId="171" fontId="10" fillId="74" borderId="14" xfId="16568" applyNumberFormat="1" applyFont="1" applyFill="1" applyBorder="1" applyAlignment="1">
      <alignment horizontal="center"/>
    </xf>
    <xf numFmtId="171" fontId="8" fillId="0" borderId="20" xfId="16568" applyNumberFormat="1" applyBorder="1" applyAlignment="1">
      <alignment horizontal="center"/>
    </xf>
    <xf numFmtId="182" fontId="8" fillId="0" borderId="0" xfId="16568" applyAlignment="1">
      <alignment horizontal="right" vertical="center" wrapText="1"/>
    </xf>
    <xf numFmtId="182" fontId="5" fillId="0" borderId="8" xfId="16568" applyFont="1" applyBorder="1" applyAlignment="1">
      <alignment horizontal="right" vertical="center" wrapText="1"/>
    </xf>
    <xf numFmtId="171" fontId="8" fillId="0" borderId="8" xfId="16568" applyNumberFormat="1" applyBorder="1" applyAlignment="1">
      <alignment horizontal="center"/>
    </xf>
    <xf numFmtId="171" fontId="8" fillId="120" borderId="9" xfId="16568" applyNumberFormat="1" applyFill="1" applyBorder="1" applyAlignment="1">
      <alignment horizontal="center"/>
    </xf>
    <xf numFmtId="182" fontId="5" fillId="0" borderId="13" xfId="16568" applyFont="1" applyBorder="1" applyAlignment="1">
      <alignment horizontal="right" vertical="center" wrapText="1"/>
    </xf>
    <xf numFmtId="171" fontId="8" fillId="0" borderId="13" xfId="16568" applyNumberFormat="1" applyBorder="1" applyAlignment="1">
      <alignment horizontal="center"/>
    </xf>
    <xf numFmtId="171" fontId="8" fillId="120" borderId="14" xfId="16568" applyNumberFormat="1" applyFill="1" applyBorder="1" applyAlignment="1">
      <alignment horizontal="center"/>
    </xf>
    <xf numFmtId="182" fontId="10" fillId="0" borderId="3" xfId="16568" applyFont="1" applyBorder="1" applyAlignment="1">
      <alignment horizontal="center" vertical="center" wrapText="1"/>
    </xf>
    <xf numFmtId="182" fontId="10" fillId="0" borderId="8" xfId="16568" applyFont="1" applyBorder="1" applyAlignment="1">
      <alignment horizontal="center" vertical="center" wrapText="1"/>
    </xf>
    <xf numFmtId="182" fontId="10" fillId="121" borderId="8" xfId="16568" applyFont="1" applyFill="1" applyBorder="1" applyAlignment="1">
      <alignment horizontal="center" vertical="center" wrapText="1"/>
    </xf>
    <xf numFmtId="182" fontId="10" fillId="122" borderId="8" xfId="16568" applyFont="1" applyFill="1" applyBorder="1" applyAlignment="1">
      <alignment horizontal="center" vertical="center" wrapText="1"/>
    </xf>
    <xf numFmtId="182" fontId="10" fillId="0" borderId="9" xfId="16568" applyFont="1" applyBorder="1" applyAlignment="1">
      <alignment horizontal="center" vertical="center" wrapText="1"/>
    </xf>
    <xf numFmtId="182" fontId="10" fillId="74" borderId="154" xfId="16568" applyFont="1" applyFill="1" applyBorder="1" applyAlignment="1">
      <alignment horizontal="right" vertical="center" wrapText="1"/>
    </xf>
    <xf numFmtId="171" fontId="10" fillId="74" borderId="4" xfId="16568" applyNumberFormat="1" applyFont="1" applyFill="1" applyBorder="1" applyAlignment="1">
      <alignment horizontal="center" vertical="center"/>
    </xf>
    <xf numFmtId="171" fontId="10" fillId="74" borderId="6" xfId="16568" applyNumberFormat="1" applyFont="1" applyFill="1" applyBorder="1" applyAlignment="1">
      <alignment horizontal="center" vertical="center"/>
    </xf>
    <xf numFmtId="171" fontId="10" fillId="74" borderId="11" xfId="16568" applyNumberFormat="1" applyFont="1" applyFill="1" applyBorder="1" applyAlignment="1">
      <alignment horizontal="center" vertical="center"/>
    </xf>
    <xf numFmtId="182" fontId="5" fillId="123" borderId="155" xfId="16568" applyFont="1" applyFill="1" applyBorder="1" applyAlignment="1">
      <alignment horizontal="right" vertical="center" wrapText="1"/>
    </xf>
    <xf numFmtId="171" fontId="0" fillId="0" borderId="156" xfId="16568" applyNumberFormat="1" applyFont="1" applyBorder="1" applyAlignment="1">
      <alignment horizontal="center" vertical="center"/>
    </xf>
    <xf numFmtId="171" fontId="0" fillId="0" borderId="157" xfId="16568" applyNumberFormat="1" applyFont="1" applyBorder="1" applyAlignment="1">
      <alignment horizontal="center" vertical="center"/>
    </xf>
    <xf numFmtId="171" fontId="0" fillId="0" borderId="158" xfId="16568" applyNumberFormat="1" applyFont="1" applyBorder="1" applyAlignment="1">
      <alignment horizontal="center" vertical="center"/>
    </xf>
    <xf numFmtId="182" fontId="5" fillId="123" borderId="124" xfId="16568" applyFont="1" applyFill="1" applyBorder="1" applyAlignment="1">
      <alignment horizontal="right" vertical="center" wrapText="1"/>
    </xf>
    <xf numFmtId="171" fontId="0" fillId="0" borderId="123" xfId="16568" applyNumberFormat="1" applyFont="1" applyBorder="1" applyAlignment="1">
      <alignment horizontal="center" vertical="center"/>
    </xf>
    <xf numFmtId="171" fontId="0" fillId="0" borderId="159" xfId="16568" applyNumberFormat="1" applyFont="1" applyBorder="1" applyAlignment="1">
      <alignment horizontal="center" vertical="center"/>
    </xf>
    <xf numFmtId="171" fontId="0" fillId="0" borderId="160" xfId="16568" applyNumberFormat="1" applyFont="1" applyBorder="1" applyAlignment="1">
      <alignment horizontal="center" vertical="center"/>
    </xf>
    <xf numFmtId="182" fontId="5" fillId="124" borderId="124" xfId="16568" applyFont="1" applyFill="1" applyBorder="1" applyAlignment="1">
      <alignment horizontal="right" vertical="center" wrapText="1"/>
    </xf>
    <xf numFmtId="182" fontId="5" fillId="123" borderId="161" xfId="16568" applyFont="1" applyFill="1" applyBorder="1" applyAlignment="1">
      <alignment horizontal="right" vertical="center" wrapText="1"/>
    </xf>
    <xf numFmtId="171" fontId="0" fillId="0" borderId="162" xfId="16568" applyNumberFormat="1" applyFont="1" applyBorder="1" applyAlignment="1">
      <alignment horizontal="center" vertical="center"/>
    </xf>
    <xf numFmtId="171" fontId="0" fillId="0" borderId="163" xfId="16568" applyNumberFormat="1" applyFont="1" applyBorder="1" applyAlignment="1">
      <alignment horizontal="center" vertical="center"/>
    </xf>
    <xf numFmtId="171" fontId="0" fillId="0" borderId="164" xfId="16568" applyNumberFormat="1" applyFont="1" applyBorder="1" applyAlignment="1">
      <alignment horizontal="center" vertical="center"/>
    </xf>
    <xf numFmtId="182" fontId="10" fillId="74" borderId="81" xfId="16568" applyFont="1" applyFill="1" applyBorder="1" applyAlignment="1">
      <alignment horizontal="right" vertical="center" wrapText="1"/>
    </xf>
    <xf numFmtId="171" fontId="10" fillId="74" borderId="5" xfId="16568" applyNumberFormat="1" applyFont="1" applyFill="1" applyBorder="1" applyAlignment="1">
      <alignment horizontal="center" vertical="center"/>
    </xf>
    <xf numFmtId="171" fontId="10" fillId="74" borderId="13" xfId="16568" applyNumberFormat="1" applyFont="1" applyFill="1" applyBorder="1" applyAlignment="1">
      <alignment horizontal="center" vertical="center"/>
    </xf>
    <xf numFmtId="171" fontId="10" fillId="74" borderId="14" xfId="16568" applyNumberFormat="1" applyFont="1" applyFill="1" applyBorder="1" applyAlignment="1">
      <alignment horizontal="center" vertical="center"/>
    </xf>
    <xf numFmtId="182" fontId="10" fillId="121" borderId="3" xfId="16568" applyFont="1" applyFill="1" applyBorder="1" applyAlignment="1">
      <alignment horizontal="center" vertical="center" wrapText="1"/>
    </xf>
    <xf numFmtId="182" fontId="10" fillId="122" borderId="9" xfId="16568" applyFont="1" applyFill="1" applyBorder="1" applyAlignment="1">
      <alignment horizontal="center" vertical="center" wrapText="1"/>
    </xf>
    <xf numFmtId="182" fontId="10" fillId="122" borderId="6" xfId="16568" applyFont="1" applyFill="1" applyBorder="1" applyAlignment="1">
      <alignment horizontal="center" vertical="center" wrapText="1"/>
    </xf>
    <xf numFmtId="182" fontId="10" fillId="121" borderId="101" xfId="16568" applyFont="1" applyFill="1" applyBorder="1" applyAlignment="1">
      <alignment horizontal="center" vertical="center" wrapText="1"/>
    </xf>
    <xf numFmtId="171" fontId="10" fillId="74" borderId="165" xfId="16568" applyNumberFormat="1" applyFont="1" applyFill="1" applyBorder="1" applyAlignment="1">
      <alignment horizontal="center" vertical="center"/>
    </xf>
    <xf numFmtId="171" fontId="10" fillId="74" borderId="166" xfId="16568" applyNumberFormat="1" applyFont="1" applyFill="1" applyBorder="1" applyAlignment="1">
      <alignment horizontal="center" vertical="center"/>
    </xf>
    <xf numFmtId="241" fontId="10" fillId="74" borderId="167" xfId="48433" applyNumberFormat="1" applyFont="1" applyFill="1" applyBorder="1" applyAlignment="1">
      <alignment horizontal="center" vertical="center"/>
    </xf>
    <xf numFmtId="241" fontId="10" fillId="74" borderId="166" xfId="48433" applyNumberFormat="1" applyFont="1" applyFill="1" applyBorder="1" applyAlignment="1">
      <alignment horizontal="center" vertical="center"/>
    </xf>
    <xf numFmtId="171" fontId="10" fillId="74" borderId="167" xfId="16568" applyNumberFormat="1" applyFont="1" applyFill="1" applyBorder="1" applyAlignment="1">
      <alignment horizontal="center" vertical="center"/>
    </xf>
    <xf numFmtId="171" fontId="8" fillId="0" borderId="168" xfId="16568" applyNumberFormat="1" applyBorder="1" applyAlignment="1">
      <alignment horizontal="center" vertical="center"/>
    </xf>
    <xf numFmtId="171" fontId="8" fillId="0" borderId="134" xfId="16568" applyNumberFormat="1" applyBorder="1" applyAlignment="1">
      <alignment horizontal="center" vertical="center"/>
    </xf>
    <xf numFmtId="241" fontId="0" fillId="0" borderId="133" xfId="48433" applyNumberFormat="1" applyFont="1" applyFill="1" applyBorder="1" applyAlignment="1">
      <alignment horizontal="center" vertical="center"/>
    </xf>
    <xf numFmtId="241" fontId="0" fillId="0" borderId="134" xfId="48433" applyNumberFormat="1" applyFont="1" applyFill="1" applyBorder="1" applyAlignment="1">
      <alignment horizontal="center" vertical="center"/>
    </xf>
    <xf numFmtId="171" fontId="8" fillId="0" borderId="133" xfId="16568" applyNumberFormat="1" applyBorder="1" applyAlignment="1">
      <alignment horizontal="center" vertical="center"/>
    </xf>
    <xf numFmtId="171" fontId="8" fillId="0" borderId="169" xfId="16568" applyNumberFormat="1" applyBorder="1" applyAlignment="1">
      <alignment horizontal="center" vertical="center"/>
    </xf>
    <xf numFmtId="171" fontId="8" fillId="0" borderId="170" xfId="16568" applyNumberFormat="1" applyBorder="1" applyAlignment="1">
      <alignment horizontal="center" vertical="center"/>
    </xf>
    <xf numFmtId="241" fontId="0" fillId="0" borderId="125" xfId="48433" applyNumberFormat="1" applyFont="1" applyFill="1" applyBorder="1" applyAlignment="1">
      <alignment horizontal="center" vertical="center"/>
    </xf>
    <xf numFmtId="241" fontId="0" fillId="0" borderId="170" xfId="48433" applyNumberFormat="1" applyFont="1" applyFill="1" applyBorder="1" applyAlignment="1">
      <alignment horizontal="center" vertical="center"/>
    </xf>
    <xf numFmtId="171" fontId="8" fillId="0" borderId="125" xfId="16568" applyNumberFormat="1" applyBorder="1" applyAlignment="1">
      <alignment horizontal="center" vertical="center"/>
    </xf>
    <xf numFmtId="171" fontId="8" fillId="0" borderId="171" xfId="16568" applyNumberFormat="1" applyBorder="1" applyAlignment="1">
      <alignment horizontal="center" vertical="center"/>
    </xf>
    <xf numFmtId="171" fontId="8" fillId="0" borderId="131" xfId="16568" applyNumberFormat="1" applyBorder="1" applyAlignment="1">
      <alignment horizontal="center" vertical="center"/>
    </xf>
    <xf numFmtId="241" fontId="0" fillId="0" borderId="130" xfId="48433" applyNumberFormat="1" applyFont="1" applyFill="1" applyBorder="1" applyAlignment="1">
      <alignment horizontal="center" vertical="center"/>
    </xf>
    <xf numFmtId="241" fontId="0" fillId="0" borderId="131" xfId="48433" applyNumberFormat="1" applyFont="1" applyFill="1" applyBorder="1" applyAlignment="1">
      <alignment horizontal="center" vertical="center"/>
    </xf>
    <xf numFmtId="171" fontId="8" fillId="0" borderId="130" xfId="16568" applyNumberFormat="1" applyBorder="1" applyAlignment="1">
      <alignment horizontal="center" vertical="center"/>
    </xf>
    <xf numFmtId="171" fontId="10" fillId="74" borderId="172" xfId="16568" applyNumberFormat="1" applyFont="1" applyFill="1" applyBorder="1" applyAlignment="1">
      <alignment horizontal="center" vertical="center"/>
    </xf>
    <xf numFmtId="171" fontId="10" fillId="74" borderId="173" xfId="16568" applyNumberFormat="1" applyFont="1" applyFill="1" applyBorder="1" applyAlignment="1">
      <alignment horizontal="center" vertical="center"/>
    </xf>
    <xf numFmtId="241" fontId="10" fillId="74" borderId="174" xfId="48433" applyNumberFormat="1" applyFont="1" applyFill="1" applyBorder="1" applyAlignment="1">
      <alignment horizontal="center" vertical="center"/>
    </xf>
    <xf numFmtId="241" fontId="10" fillId="74" borderId="173" xfId="48433" applyNumberFormat="1" applyFont="1" applyFill="1" applyBorder="1" applyAlignment="1">
      <alignment horizontal="center" vertical="center"/>
    </xf>
    <xf numFmtId="171" fontId="10" fillId="74" borderId="174" xfId="16568" applyNumberFormat="1" applyFont="1" applyFill="1" applyBorder="1" applyAlignment="1">
      <alignment horizontal="center" vertical="center"/>
    </xf>
    <xf numFmtId="182" fontId="10" fillId="0" borderId="7" xfId="16568" applyFont="1" applyBorder="1" applyAlignment="1">
      <alignment vertical="center" wrapText="1"/>
    </xf>
    <xf numFmtId="9" fontId="0" fillId="125" borderId="175" xfId="48433" applyFont="1" applyFill="1" applyBorder="1" applyAlignment="1">
      <alignment horizontal="center" vertical="center"/>
    </xf>
    <xf numFmtId="241" fontId="0" fillId="125" borderId="176" xfId="48433" applyNumberFormat="1" applyFont="1" applyFill="1" applyBorder="1" applyAlignment="1">
      <alignment horizontal="center" vertical="center"/>
    </xf>
    <xf numFmtId="241" fontId="0" fillId="125" borderId="177" xfId="48433" applyNumberFormat="1" applyFont="1" applyFill="1" applyBorder="1" applyAlignment="1">
      <alignment horizontal="center" vertical="center"/>
    </xf>
    <xf numFmtId="171" fontId="8" fillId="125" borderId="175" xfId="16568" applyNumberFormat="1" applyFill="1" applyBorder="1" applyAlignment="1">
      <alignment horizontal="center" vertical="center"/>
    </xf>
    <xf numFmtId="171" fontId="8" fillId="125" borderId="176" xfId="16568" applyNumberFormat="1" applyFill="1" applyBorder="1" applyAlignment="1">
      <alignment horizontal="center" vertical="center"/>
    </xf>
    <xf numFmtId="171" fontId="8" fillId="125" borderId="177" xfId="16568" applyNumberFormat="1" applyFill="1" applyBorder="1" applyAlignment="1">
      <alignment horizontal="center" vertical="center"/>
    </xf>
    <xf numFmtId="9" fontId="0" fillId="125" borderId="127" xfId="48433" applyFont="1" applyFill="1" applyBorder="1" applyAlignment="1">
      <alignment horizontal="center" vertical="center"/>
    </xf>
    <xf numFmtId="241" fontId="0" fillId="125" borderId="169" xfId="48433" applyNumberFormat="1" applyFont="1" applyFill="1" applyBorder="1" applyAlignment="1">
      <alignment horizontal="center" vertical="center"/>
    </xf>
    <xf numFmtId="241" fontId="0" fillId="125" borderId="160" xfId="48433" applyNumberFormat="1" applyFont="1" applyFill="1" applyBorder="1" applyAlignment="1">
      <alignment horizontal="center" vertical="center"/>
    </xf>
    <xf numFmtId="171" fontId="8" fillId="125" borderId="127" xfId="16568" applyNumberFormat="1" applyFill="1" applyBorder="1" applyAlignment="1">
      <alignment horizontal="center" vertical="center"/>
    </xf>
    <xf numFmtId="171" fontId="8" fillId="125" borderId="169" xfId="16568" applyNumberFormat="1" applyFill="1" applyBorder="1" applyAlignment="1">
      <alignment horizontal="center" vertical="center"/>
    </xf>
    <xf numFmtId="171" fontId="8" fillId="125" borderId="160" xfId="16568" applyNumberFormat="1" applyFill="1" applyBorder="1" applyAlignment="1">
      <alignment horizontal="center" vertical="center"/>
    </xf>
    <xf numFmtId="9" fontId="0" fillId="125" borderId="120" xfId="48433" applyFont="1" applyFill="1" applyBorder="1" applyAlignment="1">
      <alignment horizontal="center" vertical="center"/>
    </xf>
    <xf numFmtId="241" fontId="0" fillId="125" borderId="180" xfId="48433" applyNumberFormat="1" applyFont="1" applyFill="1" applyBorder="1" applyAlignment="1">
      <alignment horizontal="center" vertical="center"/>
    </xf>
    <xf numFmtId="241" fontId="0" fillId="125" borderId="181" xfId="48433" applyNumberFormat="1" applyFont="1" applyFill="1" applyBorder="1" applyAlignment="1">
      <alignment horizontal="center" vertical="center"/>
    </xf>
    <xf numFmtId="171" fontId="8" fillId="125" borderId="120" xfId="16568" applyNumberFormat="1" applyFill="1" applyBorder="1" applyAlignment="1">
      <alignment horizontal="center" vertical="center"/>
    </xf>
    <xf numFmtId="171" fontId="8" fillId="125" borderId="180" xfId="16568" applyNumberFormat="1" applyFill="1" applyBorder="1" applyAlignment="1">
      <alignment horizontal="center" vertical="center"/>
    </xf>
    <xf numFmtId="171" fontId="8" fillId="125" borderId="181" xfId="16568" applyNumberFormat="1" applyFill="1" applyBorder="1" applyAlignment="1">
      <alignment horizontal="center" vertical="center"/>
    </xf>
    <xf numFmtId="9" fontId="0" fillId="125" borderId="182" xfId="48433" applyFont="1" applyFill="1" applyBorder="1" applyAlignment="1">
      <alignment horizontal="center" vertical="center"/>
    </xf>
    <xf numFmtId="241" fontId="0" fillId="125" borderId="183" xfId="48433" applyNumberFormat="1" applyFont="1" applyFill="1" applyBorder="1" applyAlignment="1">
      <alignment horizontal="center" vertical="center"/>
    </xf>
    <xf numFmtId="241" fontId="0" fillId="125" borderId="184" xfId="48433" applyNumberFormat="1" applyFont="1" applyFill="1" applyBorder="1" applyAlignment="1">
      <alignment horizontal="center" vertical="center"/>
    </xf>
    <xf numFmtId="171" fontId="8" fillId="125" borderId="182" xfId="16568" applyNumberFormat="1" applyFill="1" applyBorder="1" applyAlignment="1">
      <alignment horizontal="center" vertical="center"/>
    </xf>
    <xf numFmtId="171" fontId="8" fillId="125" borderId="183" xfId="16568" applyNumberFormat="1" applyFill="1" applyBorder="1" applyAlignment="1">
      <alignment horizontal="center" vertical="center"/>
    </xf>
    <xf numFmtId="171" fontId="8" fillId="125" borderId="184" xfId="16568" applyNumberFormat="1" applyFill="1" applyBorder="1" applyAlignment="1">
      <alignment horizontal="center" vertical="center"/>
    </xf>
    <xf numFmtId="0" fontId="0" fillId="0" borderId="4" xfId="0" applyBorder="1"/>
    <xf numFmtId="0" fontId="0" fillId="0" borderId="5" xfId="0" applyBorder="1"/>
    <xf numFmtId="0" fontId="4" fillId="0" borderId="9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03" xfId="0" applyFont="1" applyBorder="1" applyAlignment="1">
      <alignment horizontal="center" vertical="center" wrapText="1"/>
    </xf>
    <xf numFmtId="0" fontId="238" fillId="0" borderId="3" xfId="0" applyFont="1" applyBorder="1" applyAlignment="1">
      <alignment horizontal="center" vertical="center" wrapText="1"/>
    </xf>
    <xf numFmtId="0" fontId="238" fillId="0" borderId="8" xfId="0" applyFont="1" applyBorder="1" applyAlignment="1">
      <alignment horizontal="center" vertical="center" wrapText="1"/>
    </xf>
    <xf numFmtId="0" fontId="238" fillId="0" borderId="9" xfId="0" applyFont="1" applyBorder="1" applyAlignment="1">
      <alignment horizontal="center" vertical="center" wrapText="1"/>
    </xf>
    <xf numFmtId="0" fontId="242" fillId="0" borderId="0" xfId="0" applyFont="1"/>
    <xf numFmtId="241" fontId="237" fillId="0" borderId="6" xfId="48433" applyNumberFormat="1" applyFont="1" applyBorder="1" applyAlignment="1">
      <alignment horizontal="center" vertical="center" wrapText="1"/>
    </xf>
    <xf numFmtId="241" fontId="237" fillId="0" borderId="11" xfId="48433" applyNumberFormat="1" applyFont="1" applyBorder="1" applyAlignment="1">
      <alignment horizontal="center" vertical="center" wrapText="1"/>
    </xf>
    <xf numFmtId="241" fontId="237" fillId="0" borderId="13" xfId="48433" applyNumberFormat="1" applyFont="1" applyBorder="1" applyAlignment="1">
      <alignment horizontal="center" vertical="center" wrapText="1"/>
    </xf>
    <xf numFmtId="241" fontId="237" fillId="0" borderId="14" xfId="48433" applyNumberFormat="1" applyFont="1" applyBorder="1" applyAlignment="1">
      <alignment horizontal="center" vertical="center" wrapText="1"/>
    </xf>
    <xf numFmtId="171" fontId="0" fillId="0" borderId="6" xfId="0" applyNumberFormat="1" applyBorder="1" applyAlignment="1">
      <alignment horizontal="center"/>
    </xf>
    <xf numFmtId="171" fontId="0" fillId="0" borderId="90" xfId="0" applyNumberFormat="1" applyBorder="1" applyAlignment="1">
      <alignment horizontal="center"/>
    </xf>
    <xf numFmtId="171" fontId="0" fillId="0" borderId="13" xfId="0" applyNumberFormat="1" applyBorder="1" applyAlignment="1">
      <alignment horizontal="center"/>
    </xf>
    <xf numFmtId="171" fontId="0" fillId="0" borderId="94" xfId="0" applyNumberFormat="1" applyBorder="1" applyAlignment="1">
      <alignment horizontal="center"/>
    </xf>
    <xf numFmtId="171" fontId="0" fillId="3" borderId="88" xfId="0" applyNumberFormat="1" applyFill="1" applyBorder="1"/>
    <xf numFmtId="171" fontId="0" fillId="3" borderId="100" xfId="0" applyNumberFormat="1" applyFill="1" applyBorder="1"/>
    <xf numFmtId="171" fontId="0" fillId="3" borderId="105" xfId="0" applyNumberFormat="1" applyFill="1" applyBorder="1"/>
    <xf numFmtId="171" fontId="10" fillId="3" borderId="3" xfId="0" applyNumberFormat="1" applyFont="1" applyFill="1" applyBorder="1"/>
    <xf numFmtId="171" fontId="10" fillId="3" borderId="8" xfId="0" applyNumberFormat="1" applyFont="1" applyFill="1" applyBorder="1"/>
    <xf numFmtId="171" fontId="10" fillId="3" borderId="188" xfId="0" applyNumberFormat="1" applyFont="1" applyFill="1" applyBorder="1"/>
    <xf numFmtId="171" fontId="10" fillId="3" borderId="101" xfId="0" applyNumberFormat="1" applyFont="1" applyFill="1" applyBorder="1"/>
    <xf numFmtId="171" fontId="10" fillId="3" borderId="9" xfId="0" applyNumberFormat="1" applyFont="1" applyFill="1" applyBorder="1"/>
    <xf numFmtId="171" fontId="0" fillId="3" borderId="95" xfId="0" applyNumberFormat="1" applyFill="1" applyBorder="1"/>
    <xf numFmtId="171" fontId="0" fillId="3" borderId="89" xfId="0" applyNumberFormat="1" applyFill="1" applyBorder="1"/>
    <xf numFmtId="0" fontId="0" fillId="119" borderId="1" xfId="0" applyFill="1" applyBorder="1"/>
    <xf numFmtId="0" fontId="0" fillId="119" borderId="16" xfId="0" applyFill="1" applyBorder="1"/>
    <xf numFmtId="0" fontId="10" fillId="119" borderId="101" xfId="0" applyFont="1" applyFill="1" applyBorder="1" applyAlignment="1">
      <alignment horizontal="right"/>
    </xf>
    <xf numFmtId="171" fontId="0" fillId="3" borderId="9" xfId="0" applyNumberFormat="1" applyFill="1" applyBorder="1" applyAlignment="1">
      <alignment horizontal="center"/>
    </xf>
    <xf numFmtId="171" fontId="0" fillId="3" borderId="91" xfId="0" applyNumberFormat="1" applyFill="1" applyBorder="1" applyAlignment="1">
      <alignment horizontal="center"/>
    </xf>
    <xf numFmtId="9" fontId="0" fillId="125" borderId="142" xfId="48433" applyFont="1" applyFill="1" applyBorder="1" applyAlignment="1">
      <alignment horizontal="center" vertical="center"/>
    </xf>
    <xf numFmtId="241" fontId="0" fillId="125" borderId="189" xfId="48433" applyNumberFormat="1" applyFont="1" applyFill="1" applyBorder="1" applyAlignment="1">
      <alignment horizontal="center" vertical="center"/>
    </xf>
    <xf numFmtId="241" fontId="0" fillId="125" borderId="190" xfId="48433" applyNumberFormat="1" applyFont="1" applyFill="1" applyBorder="1" applyAlignment="1">
      <alignment horizontal="center" vertical="center"/>
    </xf>
    <xf numFmtId="171" fontId="8" fillId="125" borderId="142" xfId="16568" applyNumberFormat="1" applyFill="1" applyBorder="1" applyAlignment="1">
      <alignment horizontal="center" vertical="center"/>
    </xf>
    <xf numFmtId="171" fontId="8" fillId="125" borderId="189" xfId="16568" applyNumberFormat="1" applyFill="1" applyBorder="1" applyAlignment="1">
      <alignment horizontal="center" vertical="center"/>
    </xf>
    <xf numFmtId="171" fontId="8" fillId="125" borderId="190" xfId="16568" applyNumberFormat="1" applyFill="1" applyBorder="1" applyAlignment="1">
      <alignment horizontal="center" vertical="center"/>
    </xf>
    <xf numFmtId="171" fontId="8" fillId="120" borderId="11" xfId="16568" applyNumberFormat="1" applyFill="1" applyBorder="1" applyAlignment="1">
      <alignment horizontal="center"/>
    </xf>
    <xf numFmtId="0" fontId="0" fillId="0" borderId="6" xfId="0" applyBorder="1" applyAlignment="1">
      <alignment horizontal="right"/>
    </xf>
    <xf numFmtId="0" fontId="237" fillId="0" borderId="191" xfId="0" applyFont="1" applyBorder="1" applyAlignment="1">
      <alignment horizontal="left" indent="1"/>
    </xf>
    <xf numFmtId="0" fontId="237" fillId="74" borderId="192" xfId="0" applyFont="1" applyFill="1" applyBorder="1" applyAlignment="1">
      <alignment horizontal="left" indent="1"/>
    </xf>
    <xf numFmtId="9" fontId="0" fillId="74" borderId="175" xfId="48433" applyFont="1" applyFill="1" applyBorder="1" applyAlignment="1">
      <alignment horizontal="center" vertical="center"/>
    </xf>
    <xf numFmtId="241" fontId="0" fillId="74" borderId="176" xfId="48433" applyNumberFormat="1" applyFont="1" applyFill="1" applyBorder="1" applyAlignment="1">
      <alignment horizontal="center" vertical="center"/>
    </xf>
    <xf numFmtId="241" fontId="0" fillId="74" borderId="177" xfId="48433" applyNumberFormat="1" applyFont="1" applyFill="1" applyBorder="1" applyAlignment="1">
      <alignment horizontal="center" vertical="center"/>
    </xf>
    <xf numFmtId="171" fontId="8" fillId="74" borderId="175" xfId="16568" applyNumberFormat="1" applyFill="1" applyBorder="1" applyAlignment="1">
      <alignment horizontal="center" vertical="center"/>
    </xf>
    <xf numFmtId="171" fontId="8" fillId="74" borderId="176" xfId="16568" applyNumberFormat="1" applyFill="1" applyBorder="1" applyAlignment="1">
      <alignment horizontal="center" vertical="center"/>
    </xf>
    <xf numFmtId="171" fontId="8" fillId="74" borderId="177" xfId="16568" applyNumberFormat="1" applyFill="1" applyBorder="1" applyAlignment="1">
      <alignment horizontal="center" vertical="center"/>
    </xf>
    <xf numFmtId="0" fontId="237" fillId="74" borderId="123" xfId="0" applyFont="1" applyFill="1" applyBorder="1" applyAlignment="1">
      <alignment horizontal="left" indent="1"/>
    </xf>
    <xf numFmtId="9" fontId="0" fillId="74" borderId="127" xfId="48433" applyFont="1" applyFill="1" applyBorder="1" applyAlignment="1">
      <alignment horizontal="center" vertical="center"/>
    </xf>
    <xf numFmtId="241" fontId="0" fillId="74" borderId="169" xfId="48433" applyNumberFormat="1" applyFont="1" applyFill="1" applyBorder="1" applyAlignment="1">
      <alignment horizontal="center" vertical="center"/>
    </xf>
    <xf numFmtId="241" fontId="0" fillId="74" borderId="160" xfId="48433" applyNumberFormat="1" applyFont="1" applyFill="1" applyBorder="1" applyAlignment="1">
      <alignment horizontal="center" vertical="center"/>
    </xf>
    <xf numFmtId="171" fontId="8" fillId="74" borderId="127" xfId="16568" applyNumberFormat="1" applyFill="1" applyBorder="1" applyAlignment="1">
      <alignment horizontal="center" vertical="center"/>
    </xf>
    <xf numFmtId="171" fontId="8" fillId="74" borderId="169" xfId="16568" applyNumberFormat="1" applyFill="1" applyBorder="1" applyAlignment="1">
      <alignment horizontal="center" vertical="center"/>
    </xf>
    <xf numFmtId="171" fontId="8" fillId="74" borderId="160" xfId="16568" applyNumberFormat="1" applyFill="1" applyBorder="1" applyAlignment="1">
      <alignment horizontal="center" vertical="center"/>
    </xf>
    <xf numFmtId="0" fontId="237" fillId="74" borderId="145" xfId="0" applyFont="1" applyFill="1" applyBorder="1" applyAlignment="1">
      <alignment horizontal="left" indent="1"/>
    </xf>
    <xf numFmtId="9" fontId="0" fillId="74" borderId="151" xfId="48433" applyFont="1" applyFill="1" applyBorder="1" applyAlignment="1">
      <alignment horizontal="center" vertical="center"/>
    </xf>
    <xf numFmtId="241" fontId="0" fillId="74" borderId="178" xfId="48433" applyNumberFormat="1" applyFont="1" applyFill="1" applyBorder="1" applyAlignment="1">
      <alignment horizontal="center" vertical="center"/>
    </xf>
    <xf numFmtId="241" fontId="0" fillId="74" borderId="179" xfId="48433" applyNumberFormat="1" applyFont="1" applyFill="1" applyBorder="1" applyAlignment="1">
      <alignment horizontal="center" vertical="center"/>
    </xf>
    <xf numFmtId="171" fontId="8" fillId="74" borderId="151" xfId="16568" applyNumberFormat="1" applyFill="1" applyBorder="1" applyAlignment="1">
      <alignment horizontal="center" vertical="center"/>
    </xf>
    <xf numFmtId="171" fontId="8" fillId="74" borderId="178" xfId="16568" applyNumberFormat="1" applyFill="1" applyBorder="1" applyAlignment="1">
      <alignment horizontal="center" vertical="center"/>
    </xf>
    <xf numFmtId="171" fontId="8" fillId="74" borderId="179" xfId="16568" applyNumberFormat="1" applyFill="1" applyBorder="1" applyAlignment="1">
      <alignment horizontal="center" vertical="center"/>
    </xf>
    <xf numFmtId="241" fontId="10" fillId="3" borderId="195" xfId="48433" applyNumberFormat="1" applyFont="1" applyFill="1" applyBorder="1" applyAlignment="1">
      <alignment horizontal="center"/>
    </xf>
    <xf numFmtId="0" fontId="0" fillId="0" borderId="0" xfId="0" applyAlignment="1">
      <alignment vertical="center" wrapText="1"/>
    </xf>
    <xf numFmtId="0" fontId="244" fillId="126" borderId="0" xfId="0" applyFont="1" applyFill="1"/>
    <xf numFmtId="0" fontId="0" fillId="126" borderId="0" xfId="0" applyFill="1"/>
    <xf numFmtId="0" fontId="245" fillId="126" borderId="0" xfId="0" applyFont="1" applyFill="1"/>
    <xf numFmtId="2" fontId="11" fillId="0" borderId="0" xfId="0" applyNumberFormat="1" applyFont="1"/>
    <xf numFmtId="0" fontId="0" fillId="0" borderId="0" xfId="0" applyAlignment="1">
      <alignment horizontal="center" wrapText="1"/>
    </xf>
    <xf numFmtId="0" fontId="0" fillId="0" borderId="0" xfId="0" applyAlignment="1">
      <alignment wrapText="1"/>
    </xf>
    <xf numFmtId="0" fontId="0" fillId="0" borderId="24" xfId="0" applyBorder="1"/>
    <xf numFmtId="0" fontId="67" fillId="0" borderId="1" xfId="0" applyFont="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1" fontId="11" fillId="0" borderId="28" xfId="2" applyNumberFormat="1" applyFont="1" applyBorder="1" applyAlignment="1" applyProtection="1">
      <alignment horizontal="center" vertical="center"/>
      <protection locked="0"/>
    </xf>
    <xf numFmtId="1" fontId="11" fillId="0" borderId="29" xfId="2" applyNumberFormat="1" applyFont="1" applyBorder="1" applyAlignment="1" applyProtection="1">
      <alignment horizontal="center" vertical="center"/>
      <protection locked="0"/>
    </xf>
    <xf numFmtId="1" fontId="11" fillId="0" borderId="82" xfId="2" applyNumberFormat="1" applyFont="1" applyBorder="1" applyAlignment="1" applyProtection="1">
      <alignment horizontal="center" vertical="center"/>
      <protection locked="0"/>
    </xf>
    <xf numFmtId="0" fontId="67" fillId="0" borderId="2" xfId="0" applyFont="1" applyBorder="1" applyAlignment="1" applyProtection="1">
      <alignment horizontal="center" vertical="center" wrapText="1"/>
      <protection locked="0"/>
    </xf>
    <xf numFmtId="0" fontId="67" fillId="0" borderId="10" xfId="0" applyFont="1" applyBorder="1" applyAlignment="1" applyProtection="1">
      <alignment vertical="center" wrapText="1"/>
      <protection locked="0"/>
    </xf>
    <xf numFmtId="1" fontId="147" fillId="0" borderId="7" xfId="1" applyNumberFormat="1" applyFont="1" applyBorder="1" applyAlignment="1" applyProtection="1">
      <alignment horizontal="center" vertical="center"/>
      <protection locked="0"/>
    </xf>
    <xf numFmtId="1" fontId="147" fillId="0" borderId="10" xfId="1" applyNumberFormat="1" applyFont="1" applyBorder="1" applyAlignment="1" applyProtection="1">
      <alignment horizontal="center" vertical="center"/>
      <protection locked="0"/>
    </xf>
    <xf numFmtId="0" fontId="67" fillId="0" borderId="27" xfId="0" applyFont="1" applyBorder="1" applyAlignment="1" applyProtection="1">
      <alignment horizontal="center" vertical="center" wrapText="1"/>
      <protection locked="0"/>
    </xf>
    <xf numFmtId="0" fontId="67" fillId="0" borderId="12" xfId="0" applyFont="1" applyBorder="1" applyAlignment="1" applyProtection="1">
      <alignment vertical="center" wrapText="1"/>
      <protection locked="0"/>
    </xf>
    <xf numFmtId="1" fontId="147" fillId="0" borderId="12" xfId="1" applyNumberFormat="1" applyFont="1" applyBorder="1" applyAlignment="1" applyProtection="1">
      <alignment horizontal="center" vertical="center"/>
      <protection locked="0"/>
    </xf>
    <xf numFmtId="1" fontId="147" fillId="0" borderId="109" xfId="1" applyNumberFormat="1" applyFont="1" applyBorder="1" applyAlignment="1" applyProtection="1">
      <alignment horizontal="center" vertical="center"/>
      <protection locked="0"/>
    </xf>
    <xf numFmtId="0" fontId="0" fillId="113" borderId="6" xfId="0" applyFill="1" applyBorder="1"/>
    <xf numFmtId="344" fontId="236" fillId="64" borderId="12" xfId="0" applyNumberFormat="1" applyFont="1" applyFill="1" applyBorder="1"/>
    <xf numFmtId="344" fontId="236" fillId="64" borderId="14" xfId="0" applyNumberFormat="1" applyFont="1" applyFill="1" applyBorder="1"/>
    <xf numFmtId="344" fontId="236" fillId="64" borderId="13" xfId="0" applyNumberFormat="1" applyFont="1" applyFill="1" applyBorder="1"/>
    <xf numFmtId="344" fontId="236" fillId="64" borderId="5" xfId="0" applyNumberFormat="1" applyFont="1" applyFill="1" applyBorder="1"/>
    <xf numFmtId="0" fontId="4" fillId="74" borderId="27" xfId="0" applyFont="1" applyFill="1" applyBorder="1" applyAlignment="1" applyProtection="1">
      <alignment horizontal="left" vertical="center" indent="1"/>
      <protection locked="0"/>
    </xf>
    <xf numFmtId="344" fontId="236" fillId="64" borderId="10" xfId="0" applyNumberFormat="1" applyFont="1" applyFill="1" applyBorder="1"/>
    <xf numFmtId="344" fontId="236" fillId="64" borderId="11" xfId="0" applyNumberFormat="1" applyFont="1" applyFill="1" applyBorder="1"/>
    <xf numFmtId="344" fontId="236" fillId="64" borderId="6" xfId="0" applyNumberFormat="1" applyFont="1" applyFill="1" applyBorder="1"/>
    <xf numFmtId="344" fontId="236" fillId="64" borderId="4" xfId="0" applyNumberFormat="1" applyFont="1" applyFill="1" applyBorder="1"/>
    <xf numFmtId="0" fontId="4" fillId="74" borderId="2" xfId="0" applyFont="1" applyFill="1" applyBorder="1" applyAlignment="1" applyProtection="1">
      <alignment horizontal="left" vertical="center" indent="1"/>
      <protection locked="0"/>
    </xf>
    <xf numFmtId="344" fontId="236" fillId="64" borderId="109" xfId="0" applyNumberFormat="1" applyFont="1" applyFill="1" applyBorder="1"/>
    <xf numFmtId="344" fontId="236" fillId="64" borderId="9" xfId="0" applyNumberFormat="1" applyFont="1" applyFill="1" applyBorder="1"/>
    <xf numFmtId="344" fontId="236" fillId="64" borderId="8" xfId="0" applyNumberFormat="1" applyFont="1" applyFill="1" applyBorder="1"/>
    <xf numFmtId="344" fontId="236" fillId="64" borderId="3" xfId="0" applyNumberFormat="1" applyFont="1" applyFill="1" applyBorder="1"/>
    <xf numFmtId="344" fontId="236" fillId="64" borderId="7" xfId="0" applyNumberFormat="1" applyFont="1" applyFill="1" applyBorder="1"/>
    <xf numFmtId="0" fontId="4" fillId="74" borderId="197" xfId="0" applyFont="1" applyFill="1" applyBorder="1" applyAlignment="1" applyProtection="1">
      <alignment horizontal="left" vertical="center" indent="1"/>
      <protection locked="0"/>
    </xf>
    <xf numFmtId="344" fontId="236" fillId="64" borderId="91" xfId="0" applyNumberFormat="1" applyFont="1" applyFill="1" applyBorder="1"/>
    <xf numFmtId="344" fontId="236" fillId="64" borderId="92" xfId="0" applyNumberFormat="1" applyFont="1" applyFill="1" applyBorder="1"/>
    <xf numFmtId="344" fontId="236" fillId="64" borderId="132" xfId="0" applyNumberFormat="1" applyFont="1" applyFill="1" applyBorder="1"/>
    <xf numFmtId="344" fontId="236" fillId="64" borderId="198" xfId="0" applyNumberFormat="1" applyFont="1" applyFill="1" applyBorder="1"/>
    <xf numFmtId="344" fontId="236" fillId="64" borderId="89" xfId="0" applyNumberFormat="1" applyFont="1" applyFill="1" applyBorder="1"/>
    <xf numFmtId="344" fontId="236" fillId="64" borderId="88" xfId="0" applyNumberFormat="1" applyFont="1" applyFill="1" applyBorder="1"/>
    <xf numFmtId="344" fontId="236" fillId="64" borderId="95" xfId="0" applyNumberFormat="1" applyFont="1" applyFill="1" applyBorder="1"/>
    <xf numFmtId="0" fontId="4" fillId="74" borderId="1" xfId="0" applyFont="1" applyFill="1" applyBorder="1" applyAlignment="1" applyProtection="1">
      <alignment horizontal="left" vertical="center" indent="1"/>
      <protection locked="0"/>
    </xf>
    <xf numFmtId="0" fontId="4" fillId="74" borderId="84" xfId="0" applyFont="1" applyFill="1" applyBorder="1" applyAlignment="1" applyProtection="1">
      <alignment horizontal="left" vertical="center" indent="1"/>
      <protection locked="0"/>
    </xf>
    <xf numFmtId="0" fontId="4" fillId="74" borderId="24" xfId="0" applyFont="1" applyFill="1" applyBorder="1" applyAlignment="1" applyProtection="1">
      <alignment horizontal="left" vertical="center" indent="1"/>
      <protection locked="0"/>
    </xf>
    <xf numFmtId="0" fontId="4" fillId="74" borderId="193" xfId="0" applyFont="1" applyFill="1" applyBorder="1" applyAlignment="1" applyProtection="1">
      <alignment horizontal="left" vertical="center" indent="1"/>
      <protection locked="0"/>
    </xf>
    <xf numFmtId="344" fontId="147" fillId="5" borderId="81" xfId="0" applyNumberFormat="1" applyFont="1" applyFill="1" applyBorder="1" applyAlignment="1">
      <alignment horizontal="center"/>
    </xf>
    <xf numFmtId="344" fontId="147" fillId="5" borderId="13" xfId="0" applyNumberFormat="1" applyFont="1" applyFill="1" applyBorder="1" applyAlignment="1">
      <alignment horizontal="center"/>
    </xf>
    <xf numFmtId="344" fontId="147" fillId="5" borderId="94" xfId="0" applyNumberFormat="1" applyFont="1" applyFill="1" applyBorder="1" applyAlignment="1">
      <alignment horizontal="center"/>
    </xf>
    <xf numFmtId="344" fontId="147" fillId="5" borderId="12" xfId="0" applyNumberFormat="1" applyFont="1" applyFill="1" applyBorder="1" applyAlignment="1">
      <alignment horizontal="center"/>
    </xf>
    <xf numFmtId="344" fontId="147" fillId="5" borderId="27" xfId="0" applyNumberFormat="1" applyFont="1" applyFill="1" applyBorder="1" applyAlignment="1">
      <alignment horizontal="center"/>
    </xf>
    <xf numFmtId="0" fontId="4" fillId="0" borderId="193" xfId="0" applyFont="1" applyBorder="1" applyAlignment="1" applyProtection="1">
      <alignment horizontal="left" vertical="center" indent="1"/>
      <protection locked="0"/>
    </xf>
    <xf numFmtId="344" fontId="147" fillId="5" borderId="36" xfId="0" applyNumberFormat="1" applyFont="1" applyFill="1" applyBorder="1" applyAlignment="1">
      <alignment horizontal="center"/>
    </xf>
    <xf numFmtId="344" fontId="147" fillId="5" borderId="6" xfId="0" applyNumberFormat="1" applyFont="1" applyFill="1" applyBorder="1" applyAlignment="1">
      <alignment horizontal="center"/>
    </xf>
    <xf numFmtId="344" fontId="147" fillId="5" borderId="90" xfId="0" applyNumberFormat="1" applyFont="1" applyFill="1" applyBorder="1" applyAlignment="1">
      <alignment horizontal="center"/>
    </xf>
    <xf numFmtId="344" fontId="147" fillId="5" borderId="10" xfId="0" applyNumberFormat="1" applyFont="1" applyFill="1" applyBorder="1" applyAlignment="1">
      <alignment horizontal="center"/>
    </xf>
    <xf numFmtId="344" fontId="147" fillId="5" borderId="2" xfId="0" applyNumberFormat="1" applyFont="1" applyFill="1" applyBorder="1" applyAlignment="1">
      <alignment horizontal="center"/>
    </xf>
    <xf numFmtId="0" fontId="4" fillId="0" borderId="2" xfId="0" applyFont="1" applyBorder="1" applyAlignment="1" applyProtection="1">
      <alignment horizontal="left" vertical="center" indent="1"/>
      <protection locked="0"/>
    </xf>
    <xf numFmtId="344" fontId="147" fillId="5" borderId="154" xfId="0" applyNumberFormat="1" applyFont="1" applyFill="1" applyBorder="1" applyAlignment="1">
      <alignment horizontal="center"/>
    </xf>
    <xf numFmtId="344" fontId="147" fillId="5" borderId="8" xfId="0" applyNumberFormat="1" applyFont="1" applyFill="1" applyBorder="1" applyAlignment="1">
      <alignment horizontal="center"/>
    </xf>
    <xf numFmtId="344" fontId="147" fillId="5" borderId="101" xfId="0" applyNumberFormat="1" applyFont="1" applyFill="1" applyBorder="1" applyAlignment="1">
      <alignment horizontal="center"/>
    </xf>
    <xf numFmtId="344" fontId="147" fillId="5" borderId="7" xfId="0" applyNumberFormat="1" applyFont="1" applyFill="1" applyBorder="1" applyAlignment="1">
      <alignment horizontal="center"/>
    </xf>
    <xf numFmtId="344" fontId="147" fillId="5" borderId="1" xfId="0" applyNumberFormat="1" applyFont="1" applyFill="1" applyBorder="1" applyAlignment="1">
      <alignment horizontal="center"/>
    </xf>
    <xf numFmtId="0" fontId="4" fillId="0" borderId="197" xfId="0" applyFont="1" applyBorder="1" applyAlignment="1" applyProtection="1">
      <alignment horizontal="left" vertical="center" indent="1"/>
      <protection locked="0"/>
    </xf>
    <xf numFmtId="0" fontId="147" fillId="0" borderId="20" xfId="0" applyFont="1" applyBorder="1" applyAlignment="1">
      <alignment horizontal="center" vertical="center" wrapText="1"/>
    </xf>
    <xf numFmtId="0" fontId="0" fillId="0" borderId="199" xfId="0" applyBorder="1" applyAlignment="1">
      <alignment horizontal="center" vertical="center" wrapText="1"/>
    </xf>
    <xf numFmtId="0" fontId="147" fillId="0" borderId="195" xfId="0" applyFont="1" applyBorder="1" applyAlignment="1">
      <alignment horizontal="center" vertical="center" wrapText="1"/>
    </xf>
    <xf numFmtId="0" fontId="147" fillId="0" borderId="200" xfId="0" applyFont="1" applyBorder="1" applyAlignment="1">
      <alignment horizontal="center" vertical="center" wrapText="1"/>
    </xf>
    <xf numFmtId="0" fontId="147" fillId="0" borderId="135" xfId="0" applyFont="1" applyBorder="1" applyAlignment="1">
      <alignment horizontal="center" vertical="center" wrapText="1"/>
    </xf>
    <xf numFmtId="0" fontId="0" fillId="0" borderId="84" xfId="0" applyBorder="1" applyAlignment="1">
      <alignment horizontal="center" vertical="center" wrapText="1"/>
    </xf>
    <xf numFmtId="344" fontId="147" fillId="5" borderId="9" xfId="0" applyNumberFormat="1" applyFont="1" applyFill="1" applyBorder="1" applyAlignment="1">
      <alignment horizontal="center"/>
    </xf>
    <xf numFmtId="344" fontId="147" fillId="5" borderId="11" xfId="0" applyNumberFormat="1" applyFont="1" applyFill="1" applyBorder="1" applyAlignment="1">
      <alignment horizontal="center"/>
    </xf>
    <xf numFmtId="0" fontId="4" fillId="0" borderId="27" xfId="0" applyFont="1" applyBorder="1" applyAlignment="1" applyProtection="1">
      <alignment horizontal="left" vertical="center" indent="1"/>
      <protection locked="0"/>
    </xf>
    <xf numFmtId="344" fontId="147" fillId="5" borderId="14" xfId="0" applyNumberFormat="1" applyFont="1" applyFill="1" applyBorder="1" applyAlignment="1">
      <alignment horizontal="center"/>
    </xf>
    <xf numFmtId="0" fontId="246" fillId="0" borderId="0" xfId="0" applyFont="1"/>
    <xf numFmtId="0" fontId="0" fillId="74" borderId="4" xfId="0" applyFill="1" applyBorder="1"/>
    <xf numFmtId="171" fontId="10" fillId="74" borderId="6" xfId="0" applyNumberFormat="1" applyFont="1" applyFill="1" applyBorder="1" applyAlignment="1">
      <alignment horizontal="center"/>
    </xf>
    <xf numFmtId="171" fontId="10" fillId="74" borderId="103" xfId="0" applyNumberFormat="1" applyFont="1" applyFill="1" applyBorder="1" applyAlignment="1">
      <alignment horizontal="center"/>
    </xf>
    <xf numFmtId="171" fontId="10" fillId="74" borderId="90" xfId="0" applyNumberFormat="1" applyFont="1" applyFill="1" applyBorder="1" applyAlignment="1">
      <alignment horizontal="center"/>
    </xf>
    <xf numFmtId="171" fontId="10" fillId="74" borderId="26" xfId="0" applyNumberFormat="1" applyFont="1" applyFill="1" applyBorder="1" applyAlignment="1">
      <alignment horizontal="center"/>
    </xf>
    <xf numFmtId="171" fontId="10" fillId="74" borderId="187" xfId="0" applyNumberFormat="1" applyFont="1" applyFill="1" applyBorder="1" applyAlignment="1">
      <alignment horizontal="center"/>
    </xf>
    <xf numFmtId="171" fontId="10" fillId="74" borderId="186" xfId="0" applyNumberFormat="1" applyFont="1" applyFill="1" applyBorder="1" applyAlignment="1">
      <alignment horizontal="center"/>
    </xf>
    <xf numFmtId="344" fontId="147" fillId="0" borderId="14" xfId="0" applyNumberFormat="1" applyFont="1" applyBorder="1"/>
    <xf numFmtId="344" fontId="147" fillId="0" borderId="13" xfId="0" applyNumberFormat="1" applyFont="1" applyBorder="1"/>
    <xf numFmtId="344" fontId="147" fillId="0" borderId="5" xfId="0" applyNumberFormat="1" applyFont="1" applyBorder="1"/>
    <xf numFmtId="0" fontId="3" fillId="0" borderId="20" xfId="0" applyFont="1" applyBorder="1" applyAlignment="1" applyProtection="1">
      <alignment vertical="center"/>
      <protection locked="0"/>
    </xf>
    <xf numFmtId="344" fontId="147" fillId="0" borderId="11" xfId="0" applyNumberFormat="1" applyFont="1" applyBorder="1"/>
    <xf numFmtId="344" fontId="147" fillId="0" borderId="6" xfId="0" applyNumberFormat="1" applyFont="1" applyBorder="1"/>
    <xf numFmtId="344" fontId="147" fillId="0" borderId="4" xfId="0" applyNumberFormat="1" applyFont="1" applyBorder="1"/>
    <xf numFmtId="0" fontId="3" fillId="0" borderId="109" xfId="0" applyFont="1" applyBorder="1" applyAlignment="1" applyProtection="1">
      <alignment vertical="center"/>
      <protection locked="0"/>
    </xf>
    <xf numFmtId="0" fontId="0" fillId="0" borderId="82" xfId="0" applyBorder="1" applyAlignment="1">
      <alignment horizontal="center" vertical="center" wrapText="1"/>
    </xf>
    <xf numFmtId="0" fontId="0" fillId="0" borderId="29" xfId="0" applyBorder="1" applyAlignment="1">
      <alignment horizontal="center" vertical="center" wrapText="1"/>
    </xf>
    <xf numFmtId="0" fontId="0" fillId="0" borderId="28" xfId="0" applyBorder="1" applyAlignment="1">
      <alignment horizontal="center" vertical="center"/>
    </xf>
    <xf numFmtId="0" fontId="3" fillId="0" borderId="7" xfId="0" applyFont="1" applyBorder="1" applyAlignment="1" applyProtection="1">
      <alignment vertical="center"/>
      <protection locked="0"/>
    </xf>
    <xf numFmtId="344" fontId="147" fillId="0" borderId="3" xfId="0" applyNumberFormat="1" applyFont="1" applyBorder="1"/>
    <xf numFmtId="344" fontId="147" fillId="0" borderId="8" xfId="0" applyNumberFormat="1" applyFont="1" applyBorder="1"/>
    <xf numFmtId="344" fontId="147" fillId="0" borderId="9" xfId="0" applyNumberFormat="1" applyFont="1" applyBorder="1"/>
    <xf numFmtId="2" fontId="11" fillId="0" borderId="0" xfId="0" applyNumberFormat="1" applyFont="1" applyAlignment="1">
      <alignment horizontal="left" indent="1"/>
    </xf>
    <xf numFmtId="0" fontId="7" fillId="0" borderId="0" xfId="1" applyAlignment="1" applyProtection="1">
      <alignment horizontal="left" vertical="center" indent="1"/>
      <protection locked="0"/>
    </xf>
    <xf numFmtId="0" fontId="247" fillId="0" borderId="0" xfId="1" applyFont="1" applyAlignment="1" applyProtection="1">
      <alignment horizontal="left" vertical="center" indent="1"/>
      <protection locked="0"/>
    </xf>
    <xf numFmtId="0" fontId="0" fillId="0" borderId="0" xfId="0" applyAlignment="1">
      <alignment horizontal="left" indent="1"/>
    </xf>
    <xf numFmtId="49" fontId="11" fillId="0" borderId="0" xfId="0" applyNumberFormat="1" applyFont="1"/>
    <xf numFmtId="182" fontId="10" fillId="0" borderId="3" xfId="16568" applyFont="1" applyBorder="1" applyAlignment="1">
      <alignment vertical="center" wrapText="1"/>
    </xf>
    <xf numFmtId="182" fontId="10" fillId="0" borderId="8" xfId="16568" applyFont="1" applyBorder="1" applyAlignment="1">
      <alignment vertical="center" wrapText="1"/>
    </xf>
    <xf numFmtId="182" fontId="10" fillId="0" borderId="9" xfId="16568" applyFont="1" applyBorder="1" applyAlignment="1">
      <alignment vertical="center" wrapText="1"/>
    </xf>
    <xf numFmtId="0" fontId="8" fillId="0" borderId="199" xfId="1147" applyFont="1" applyBorder="1"/>
    <xf numFmtId="0" fontId="147" fillId="0" borderId="199" xfId="14660" applyFont="1" applyBorder="1"/>
    <xf numFmtId="3" fontId="147" fillId="0" borderId="199" xfId="12125" applyNumberFormat="1" applyFont="1" applyBorder="1"/>
    <xf numFmtId="0" fontId="147" fillId="0" borderId="199" xfId="14660" quotePrefix="1" applyFont="1" applyBorder="1"/>
    <xf numFmtId="1" fontId="4" fillId="0" borderId="196" xfId="2" applyNumberFormat="1" applyFont="1" applyBorder="1" applyAlignment="1" applyProtection="1">
      <alignment horizontal="center" vertical="center"/>
      <protection locked="0"/>
    </xf>
    <xf numFmtId="171" fontId="4" fillId="3" borderId="132" xfId="3" applyNumberFormat="1" applyFont="1" applyFill="1" applyBorder="1" applyAlignment="1" applyProtection="1">
      <alignment horizontal="center" vertical="center"/>
      <protection locked="0"/>
    </xf>
    <xf numFmtId="171" fontId="4" fillId="3" borderId="92" xfId="3" applyNumberFormat="1" applyFont="1" applyFill="1" applyBorder="1" applyAlignment="1" applyProtection="1">
      <alignment horizontal="center" vertical="center"/>
      <protection locked="0"/>
    </xf>
    <xf numFmtId="171" fontId="4" fillId="3" borderId="91" xfId="3" applyNumberFormat="1" applyFont="1" applyFill="1" applyBorder="1" applyAlignment="1" applyProtection="1">
      <alignment horizontal="center" vertical="center"/>
      <protection locked="0"/>
    </xf>
    <xf numFmtId="0" fontId="5" fillId="0" borderId="132" xfId="0" applyFont="1" applyBorder="1" applyAlignment="1" applyProtection="1">
      <alignment vertical="center"/>
      <protection locked="0"/>
    </xf>
    <xf numFmtId="0" fontId="0" fillId="6" borderId="196" xfId="0" applyFill="1" applyBorder="1"/>
    <xf numFmtId="348" fontId="240" fillId="119" borderId="199" xfId="3" applyNumberFormat="1" applyFont="1" applyFill="1" applyBorder="1" applyAlignment="1" applyProtection="1">
      <alignment horizontal="center" vertical="center"/>
      <protection locked="0"/>
    </xf>
    <xf numFmtId="0" fontId="68" fillId="0" borderId="0" xfId="5033"/>
    <xf numFmtId="167" fontId="8" fillId="71" borderId="6" xfId="5033" applyNumberFormat="1" applyFont="1" applyFill="1" applyBorder="1" applyAlignment="1">
      <alignment horizontal="center"/>
    </xf>
    <xf numFmtId="14" fontId="8" fillId="71" borderId="6" xfId="0" applyNumberFormat="1" applyFont="1" applyFill="1" applyBorder="1" applyAlignment="1">
      <alignment horizontal="center"/>
    </xf>
    <xf numFmtId="167" fontId="0" fillId="71" borderId="6" xfId="5033" applyNumberFormat="1" applyFont="1" applyFill="1" applyBorder="1" applyAlignment="1">
      <alignment horizontal="center"/>
    </xf>
    <xf numFmtId="14" fontId="0" fillId="71" borderId="6" xfId="0" applyNumberFormat="1" applyFill="1" applyBorder="1" applyAlignment="1">
      <alignment horizontal="center"/>
    </xf>
    <xf numFmtId="14" fontId="8" fillId="71" borderId="6" xfId="5033" applyNumberFormat="1" applyFont="1" applyFill="1" applyBorder="1" applyAlignment="1">
      <alignment horizontal="center"/>
    </xf>
    <xf numFmtId="167" fontId="0" fillId="71" borderId="6" xfId="5033" applyNumberFormat="1" applyFont="1" applyFill="1" applyBorder="1" applyAlignment="1">
      <alignment horizontal="center" wrapText="1"/>
    </xf>
    <xf numFmtId="0" fontId="11" fillId="0" borderId="6" xfId="5033" applyFont="1" applyBorder="1" applyAlignment="1">
      <alignment horizontal="centerContinuous"/>
    </xf>
    <xf numFmtId="0" fontId="11" fillId="0" borderId="6" xfId="0" applyFont="1" applyBorder="1" applyAlignment="1">
      <alignment horizontal="center" wrapText="1"/>
    </xf>
    <xf numFmtId="0" fontId="11" fillId="0" borderId="6" xfId="5033" applyFont="1" applyBorder="1" applyAlignment="1">
      <alignment horizontal="center"/>
    </xf>
    <xf numFmtId="0" fontId="230" fillId="111" borderId="0" xfId="0" applyFont="1" applyFill="1" applyAlignment="1">
      <alignment horizontal="left"/>
    </xf>
    <xf numFmtId="0" fontId="230" fillId="111" borderId="0" xfId="0" applyFont="1" applyFill="1"/>
    <xf numFmtId="0" fontId="8" fillId="0" borderId="0" xfId="5033" applyFont="1"/>
    <xf numFmtId="0" fontId="109" fillId="0" borderId="0" xfId="5033" applyFont="1"/>
    <xf numFmtId="0" fontId="109" fillId="0" borderId="0" xfId="48434"/>
    <xf numFmtId="0" fontId="0" fillId="0" borderId="0" xfId="5033" applyFont="1"/>
    <xf numFmtId="3" fontId="0" fillId="0" borderId="0" xfId="0" applyNumberFormat="1"/>
    <xf numFmtId="3" fontId="11" fillId="0" borderId="110" xfId="2" applyNumberFormat="1" applyFont="1" applyBorder="1" applyAlignment="1" applyProtection="1">
      <alignment horizontal="center" vertical="center"/>
      <protection locked="0"/>
    </xf>
    <xf numFmtId="3" fontId="11" fillId="0" borderId="29" xfId="2" applyNumberFormat="1" applyFont="1" applyBorder="1" applyAlignment="1" applyProtection="1">
      <alignment horizontal="center" vertical="center"/>
      <protection locked="0"/>
    </xf>
    <xf numFmtId="3" fontId="11" fillId="0" borderId="82" xfId="2" applyNumberFormat="1" applyFont="1" applyBorder="1" applyAlignment="1" applyProtection="1">
      <alignment horizontal="center" vertical="center"/>
      <protection locked="0"/>
    </xf>
    <xf numFmtId="3" fontId="147" fillId="74" borderId="6" xfId="1" applyNumberFormat="1" applyFont="1" applyFill="1" applyBorder="1" applyAlignment="1" applyProtection="1">
      <alignment horizontal="center" vertical="center"/>
      <protection locked="0"/>
    </xf>
    <xf numFmtId="3" fontId="147" fillId="74" borderId="11" xfId="1" applyNumberFormat="1" applyFont="1" applyFill="1" applyBorder="1" applyAlignment="1" applyProtection="1">
      <alignment horizontal="center" vertical="center"/>
      <protection locked="0"/>
    </xf>
    <xf numFmtId="3" fontId="147" fillId="74" borderId="13" xfId="1" applyNumberFormat="1" applyFont="1" applyFill="1" applyBorder="1" applyAlignment="1" applyProtection="1">
      <alignment horizontal="center" vertical="center"/>
      <protection locked="0"/>
    </xf>
    <xf numFmtId="3" fontId="147" fillId="74" borderId="14" xfId="1" applyNumberFormat="1" applyFont="1" applyFill="1" applyBorder="1" applyAlignment="1" applyProtection="1">
      <alignment horizontal="center" vertical="center"/>
      <protection locked="0"/>
    </xf>
    <xf numFmtId="3" fontId="147" fillId="74" borderId="100" xfId="1" applyNumberFormat="1" applyFont="1" applyFill="1" applyBorder="1" applyAlignment="1" applyProtection="1">
      <alignment horizontal="center" vertical="center"/>
      <protection locked="0"/>
    </xf>
    <xf numFmtId="3" fontId="147" fillId="74" borderId="88" xfId="1" applyNumberFormat="1" applyFont="1" applyFill="1" applyBorder="1" applyAlignment="1" applyProtection="1">
      <alignment horizontal="center" vertical="center"/>
      <protection locked="0"/>
    </xf>
    <xf numFmtId="3" fontId="147" fillId="74" borderId="89" xfId="1" applyNumberFormat="1" applyFont="1" applyFill="1" applyBorder="1" applyAlignment="1" applyProtection="1">
      <alignment horizontal="center" vertical="center"/>
      <protection locked="0"/>
    </xf>
    <xf numFmtId="3" fontId="147" fillId="74" borderId="90" xfId="1" applyNumberFormat="1" applyFont="1" applyFill="1" applyBorder="1" applyAlignment="1" applyProtection="1">
      <alignment horizontal="center" vertical="center"/>
      <protection locked="0"/>
    </xf>
    <xf numFmtId="3" fontId="147" fillId="74" borderId="94" xfId="1" applyNumberFormat="1" applyFont="1" applyFill="1" applyBorder="1" applyAlignment="1" applyProtection="1">
      <alignment horizontal="center" vertical="center"/>
      <protection locked="0"/>
    </xf>
    <xf numFmtId="1" fontId="0" fillId="0" borderId="0" xfId="0" applyNumberFormat="1"/>
    <xf numFmtId="234" fontId="10" fillId="2" borderId="0" xfId="1147" applyNumberFormat="1" applyFont="1" applyFill="1" applyAlignment="1">
      <alignment horizontal="center"/>
    </xf>
    <xf numFmtId="0" fontId="10" fillId="119" borderId="193" xfId="0" applyFont="1" applyFill="1" applyBorder="1" applyAlignment="1">
      <alignment horizontal="centerContinuous" vertical="center"/>
    </xf>
    <xf numFmtId="0" fontId="10" fillId="119" borderId="38" xfId="0" applyFont="1" applyFill="1" applyBorder="1" applyAlignment="1">
      <alignment horizontal="centerContinuous" vertical="center"/>
    </xf>
    <xf numFmtId="0" fontId="10" fillId="119" borderId="93" xfId="0" applyFont="1" applyFill="1" applyBorder="1" applyAlignment="1">
      <alignment horizontal="centerContinuous" vertical="center"/>
    </xf>
    <xf numFmtId="0" fontId="10" fillId="119" borderId="84" xfId="0" applyFont="1" applyFill="1" applyBorder="1" applyAlignment="1">
      <alignment horizontal="centerContinuous" vertical="center"/>
    </xf>
    <xf numFmtId="0" fontId="10" fillId="119" borderId="199" xfId="0" applyFont="1" applyFill="1" applyBorder="1" applyAlignment="1">
      <alignment horizontal="centerContinuous" vertical="center"/>
    </xf>
    <xf numFmtId="0" fontId="10" fillId="119" borderId="194" xfId="0" applyFont="1" applyFill="1" applyBorder="1" applyAlignment="1">
      <alignment horizontal="centerContinuous" vertical="center"/>
    </xf>
    <xf numFmtId="0" fontId="248" fillId="126" borderId="0" xfId="0" applyFont="1" applyFill="1"/>
    <xf numFmtId="171" fontId="0" fillId="117" borderId="99" xfId="0" applyNumberFormat="1" applyFill="1" applyBorder="1"/>
    <xf numFmtId="171" fontId="0" fillId="117" borderId="91" xfId="0" applyNumberFormat="1" applyFill="1" applyBorder="1"/>
    <xf numFmtId="0" fontId="249" fillId="0" borderId="0" xfId="0" applyFont="1"/>
    <xf numFmtId="182" fontId="250" fillId="0" borderId="0" xfId="16568" applyFont="1" applyAlignment="1">
      <alignment horizontal="center"/>
    </xf>
    <xf numFmtId="0" fontId="250" fillId="0" borderId="0" xfId="16568" applyNumberFormat="1" applyFont="1" applyAlignment="1">
      <alignment horizontal="center"/>
    </xf>
    <xf numFmtId="14" fontId="8" fillId="71" borderId="6" xfId="5033" applyNumberFormat="1" applyFont="1" applyFill="1" applyBorder="1" applyAlignment="1">
      <alignment horizontal="center" vertical="center"/>
    </xf>
    <xf numFmtId="14" fontId="8" fillId="71" borderId="6" xfId="0" applyNumberFormat="1" applyFont="1" applyFill="1" applyBorder="1" applyAlignment="1">
      <alignment horizontal="center" vertical="center"/>
    </xf>
    <xf numFmtId="167" fontId="0" fillId="71" borderId="6" xfId="5033" applyNumberFormat="1" applyFont="1" applyFill="1" applyBorder="1" applyAlignment="1">
      <alignment horizontal="left" vertical="center" wrapText="1"/>
    </xf>
    <xf numFmtId="49" fontId="0" fillId="71" borderId="6" xfId="5033" applyNumberFormat="1" applyFont="1" applyFill="1" applyBorder="1" applyAlignment="1">
      <alignment horizontal="left" vertical="center" wrapText="1"/>
    </xf>
    <xf numFmtId="0" fontId="0" fillId="71" borderId="6" xfId="5033" applyFont="1" applyFill="1" applyBorder="1" applyAlignment="1">
      <alignment horizontal="left" vertical="center" wrapText="1"/>
    </xf>
    <xf numFmtId="0" fontId="0" fillId="0" borderId="0" xfId="0" applyAlignment="1">
      <alignment horizontal="center"/>
    </xf>
    <xf numFmtId="0" fontId="10" fillId="0" borderId="22" xfId="0" applyFont="1" applyBorder="1" applyAlignment="1">
      <alignment horizontal="center" vertical="center" wrapText="1"/>
    </xf>
    <xf numFmtId="0" fontId="10" fillId="0" borderId="196" xfId="0" applyFont="1" applyBorder="1" applyAlignment="1">
      <alignment horizontal="center" vertical="center" wrapText="1"/>
    </xf>
    <xf numFmtId="0" fontId="236" fillId="0" borderId="22" xfId="0" applyFont="1" applyBorder="1" applyAlignment="1" applyProtection="1">
      <alignment horizontal="center" vertical="center"/>
      <protection locked="0"/>
    </xf>
    <xf numFmtId="0" fontId="236" fillId="0" borderId="23" xfId="0" applyFont="1" applyBorder="1" applyAlignment="1" applyProtection="1">
      <alignment horizontal="center" vertical="center"/>
      <protection locked="0"/>
    </xf>
    <xf numFmtId="0" fontId="236" fillId="0" borderId="196" xfId="0" applyFont="1" applyBorder="1" applyAlignment="1" applyProtection="1">
      <alignment horizontal="center" vertical="center"/>
      <protection locked="0"/>
    </xf>
    <xf numFmtId="0" fontId="10" fillId="0" borderId="18" xfId="0" applyFont="1" applyBorder="1" applyAlignment="1">
      <alignment horizontal="center" vertical="center"/>
    </xf>
    <xf numFmtId="0" fontId="10" fillId="0" borderId="20"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96"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196" xfId="0" applyFont="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96" xfId="0" applyFont="1" applyBorder="1" applyAlignment="1">
      <alignment horizontal="center"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196" xfId="0" applyBorder="1" applyAlignment="1">
      <alignment horizontal="center" vertical="center"/>
    </xf>
    <xf numFmtId="0" fontId="10" fillId="0" borderId="19" xfId="0" applyFont="1" applyBorder="1" applyAlignment="1">
      <alignment horizontal="center" vertical="center"/>
    </xf>
    <xf numFmtId="0" fontId="5" fillId="0" borderId="92" xfId="0" applyFont="1" applyBorder="1" applyAlignment="1">
      <alignment horizontal="center" vertical="center" wrapText="1"/>
    </xf>
    <xf numFmtId="0" fontId="5" fillId="0" borderId="88"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5"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100"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105" xfId="0" applyFont="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5" fillId="0" borderId="132"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3"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0" fillId="0" borderId="86" xfId="0" applyBorder="1" applyAlignment="1">
      <alignment horizontal="center" vertical="center" wrapText="1"/>
    </xf>
    <xf numFmtId="0" fontId="0" fillId="0" borderId="87" xfId="0" applyBorder="1" applyAlignment="1">
      <alignment horizontal="center" vertical="center" wrapText="1"/>
    </xf>
    <xf numFmtId="0" fontId="0" fillId="0" borderId="88" xfId="0"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239" fillId="0" borderId="3" xfId="0" applyFont="1" applyBorder="1" applyAlignment="1">
      <alignment horizontal="center" vertical="center"/>
    </xf>
    <xf numFmtId="0" fontId="239" fillId="0" borderId="8" xfId="0" applyFont="1" applyBorder="1" applyAlignment="1">
      <alignment horizontal="center" vertical="center"/>
    </xf>
    <xf numFmtId="0" fontId="239" fillId="0" borderId="9" xfId="0" applyFont="1" applyBorder="1" applyAlignment="1">
      <alignment horizontal="center" vertical="center"/>
    </xf>
    <xf numFmtId="0" fontId="238" fillId="0" borderId="6" xfId="0" applyFont="1" applyBorder="1" applyAlignment="1">
      <alignment horizontal="center" vertical="center" wrapText="1"/>
    </xf>
    <xf numFmtId="0" fontId="238" fillId="0" borderId="11" xfId="0" applyFont="1" applyBorder="1" applyAlignment="1">
      <alignment horizontal="center" vertical="center" wrapText="1"/>
    </xf>
    <xf numFmtId="0" fontId="238" fillId="0" borderId="112" xfId="0" applyFont="1" applyBorder="1" applyAlignment="1">
      <alignment horizontal="center" vertical="center"/>
    </xf>
    <xf numFmtId="0" fontId="238" fillId="0" borderId="95" xfId="0" applyFont="1" applyBorder="1" applyAlignment="1">
      <alignment horizontal="center" vertical="center"/>
    </xf>
    <xf numFmtId="0" fontId="238" fillId="0" borderId="32" xfId="0" applyFont="1" applyBorder="1" applyAlignment="1">
      <alignment horizontal="center" vertical="center" wrapText="1"/>
    </xf>
    <xf numFmtId="0" fontId="238" fillId="0" borderId="34" xfId="0" applyFont="1" applyBorder="1" applyAlignment="1">
      <alignment horizontal="center" vertical="center" wrapText="1"/>
    </xf>
    <xf numFmtId="0" fontId="238" fillId="0" borderId="113" xfId="0" applyFont="1" applyBorder="1" applyAlignment="1">
      <alignment horizontal="center" vertical="center" wrapText="1"/>
    </xf>
    <xf numFmtId="0" fontId="238" fillId="0" borderId="114" xfId="0" applyFont="1" applyBorder="1" applyAlignment="1">
      <alignment horizontal="center" vertical="center" wrapText="1"/>
    </xf>
    <xf numFmtId="0" fontId="10" fillId="0" borderId="112" xfId="0" applyFont="1" applyBorder="1" applyAlignment="1">
      <alignment horizontal="center" vertical="center"/>
    </xf>
    <xf numFmtId="0" fontId="10" fillId="0" borderId="95" xfId="0" applyFont="1" applyBorder="1" applyAlignment="1">
      <alignment horizontal="center" vertical="center"/>
    </xf>
    <xf numFmtId="0" fontId="4" fillId="0" borderId="15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85" xfId="0" applyFont="1" applyBorder="1" applyAlignment="1">
      <alignment horizontal="center" vertical="center" wrapText="1"/>
    </xf>
    <xf numFmtId="0" fontId="4" fillId="0" borderId="25" xfId="0" applyFont="1" applyBorder="1" applyAlignment="1">
      <alignment horizontal="center" vertical="center" wrapText="1"/>
    </xf>
    <xf numFmtId="0" fontId="238" fillId="0" borderId="132" xfId="0" applyFont="1" applyBorder="1" applyAlignment="1">
      <alignment horizontal="right" vertical="center" wrapText="1"/>
    </xf>
    <xf numFmtId="0" fontId="238" fillId="0" borderId="135" xfId="0" applyFont="1" applyBorder="1" applyAlignment="1">
      <alignment horizontal="right" vertical="center" wrapText="1"/>
    </xf>
    <xf numFmtId="182" fontId="10" fillId="0" borderId="22" xfId="16568" applyFont="1" applyBorder="1" applyAlignment="1">
      <alignment horizontal="center"/>
    </xf>
    <xf numFmtId="182" fontId="10" fillId="0" borderId="196" xfId="16568" applyFont="1" applyBorder="1" applyAlignment="1">
      <alignment horizontal="center"/>
    </xf>
    <xf numFmtId="182" fontId="10" fillId="0" borderId="33" xfId="16568" applyFont="1" applyBorder="1" applyAlignment="1">
      <alignment horizontal="center"/>
    </xf>
    <xf numFmtId="182" fontId="10" fillId="0" borderId="112" xfId="16568" applyFont="1" applyBorder="1" applyAlignment="1">
      <alignment horizontal="center" vertical="center" wrapText="1"/>
    </xf>
    <xf numFmtId="182" fontId="10" fillId="0" borderId="129" xfId="16568" applyFont="1" applyBorder="1" applyAlignment="1">
      <alignment horizontal="center" vertical="center" wrapText="1"/>
    </xf>
    <xf numFmtId="182" fontId="10" fillId="0" borderId="135" xfId="16568" applyFont="1" applyBorder="1" applyAlignment="1">
      <alignment horizontal="center" vertical="center" wrapText="1"/>
    </xf>
    <xf numFmtId="182" fontId="10" fillId="0" borderId="22" xfId="16568" applyFont="1" applyBorder="1" applyAlignment="1">
      <alignment horizontal="center" vertical="center"/>
    </xf>
    <xf numFmtId="182" fontId="10" fillId="0" borderId="23" xfId="16568" applyFont="1" applyBorder="1" applyAlignment="1">
      <alignment horizontal="center" vertical="center"/>
    </xf>
    <xf numFmtId="182" fontId="10" fillId="0" borderId="196" xfId="16568" applyFont="1" applyBorder="1" applyAlignment="1">
      <alignment horizontal="center" vertical="center"/>
    </xf>
    <xf numFmtId="182" fontId="241" fillId="119" borderId="31" xfId="16568" applyFont="1" applyFill="1" applyBorder="1" applyAlignment="1">
      <alignment horizontal="left" vertical="top"/>
    </xf>
    <xf numFmtId="182" fontId="241" fillId="119" borderId="32" xfId="16568" applyFont="1" applyFill="1" applyBorder="1" applyAlignment="1">
      <alignment horizontal="left" vertical="top"/>
    </xf>
    <xf numFmtId="182" fontId="241" fillId="119" borderId="33" xfId="16568" applyFont="1" applyFill="1" applyBorder="1" applyAlignment="1">
      <alignment horizontal="left" vertical="top"/>
    </xf>
    <xf numFmtId="182" fontId="241" fillId="119" borderId="24" xfId="16568" applyFont="1" applyFill="1" applyBorder="1" applyAlignment="1">
      <alignment horizontal="left" vertical="top"/>
    </xf>
    <xf numFmtId="182" fontId="241" fillId="119" borderId="0" xfId="16568" applyFont="1" applyFill="1" applyAlignment="1">
      <alignment horizontal="left" vertical="top"/>
    </xf>
    <xf numFmtId="182" fontId="241" fillId="119" borderId="83" xfId="16568" applyFont="1" applyFill="1" applyBorder="1" applyAlignment="1">
      <alignment horizontal="left" vertical="top"/>
    </xf>
    <xf numFmtId="182" fontId="241" fillId="119" borderId="84" xfId="16568" applyFont="1" applyFill="1" applyBorder="1" applyAlignment="1">
      <alignment horizontal="left" vertical="top"/>
    </xf>
    <xf numFmtId="182" fontId="241" fillId="119" borderId="199" xfId="16568" applyFont="1" applyFill="1" applyBorder="1" applyAlignment="1">
      <alignment horizontal="left" vertical="top"/>
    </xf>
    <xf numFmtId="182" fontId="241" fillId="119" borderId="85" xfId="16568" applyFont="1" applyFill="1" applyBorder="1" applyAlignment="1">
      <alignment horizontal="left" vertical="top"/>
    </xf>
    <xf numFmtId="0" fontId="10" fillId="0" borderId="112" xfId="16568" applyNumberFormat="1" applyFont="1" applyBorder="1" applyAlignment="1">
      <alignment horizontal="center" vertical="center"/>
    </xf>
    <xf numFmtId="0" fontId="10" fillId="0" borderId="135" xfId="16568" applyNumberFormat="1" applyFont="1" applyBorder="1" applyAlignment="1">
      <alignment horizontal="center" vertical="center"/>
    </xf>
    <xf numFmtId="182" fontId="10" fillId="0" borderId="33" xfId="16568" applyFont="1" applyBorder="1" applyAlignment="1">
      <alignment horizontal="center" vertical="center"/>
    </xf>
    <xf numFmtId="182" fontId="10" fillId="0" borderId="85" xfId="16568" applyFont="1" applyBorder="1" applyAlignment="1">
      <alignment horizontal="center" vertical="center"/>
    </xf>
    <xf numFmtId="182" fontId="5" fillId="123" borderId="6" xfId="16568" applyFont="1" applyFill="1" applyBorder="1" applyAlignment="1">
      <alignment horizontal="center" vertical="center"/>
    </xf>
    <xf numFmtId="182" fontId="5" fillId="124" borderId="6" xfId="16568" applyFont="1" applyFill="1" applyBorder="1" applyAlignment="1">
      <alignment horizontal="center" vertical="center"/>
    </xf>
    <xf numFmtId="182" fontId="241" fillId="119" borderId="31" xfId="16568" applyFont="1" applyFill="1" applyBorder="1" applyAlignment="1">
      <alignment horizontal="center" vertical="top"/>
    </xf>
    <xf numFmtId="182" fontId="241" fillId="119" borderId="32" xfId="16568" applyFont="1" applyFill="1" applyBorder="1" applyAlignment="1">
      <alignment horizontal="center" vertical="top"/>
    </xf>
    <xf numFmtId="182" fontId="241" fillId="119" borderId="33" xfId="16568" applyFont="1" applyFill="1" applyBorder="1" applyAlignment="1">
      <alignment horizontal="center" vertical="top"/>
    </xf>
    <xf numFmtId="182" fontId="241" fillId="119" borderId="24" xfId="16568" applyFont="1" applyFill="1" applyBorder="1" applyAlignment="1">
      <alignment horizontal="center" vertical="top"/>
    </xf>
    <xf numFmtId="182" fontId="241" fillId="119" borderId="0" xfId="16568" applyFont="1" applyFill="1" applyAlignment="1">
      <alignment horizontal="center" vertical="top"/>
    </xf>
    <xf numFmtId="182" fontId="241" fillId="119" borderId="83" xfId="16568" applyFont="1" applyFill="1" applyBorder="1" applyAlignment="1">
      <alignment horizontal="center" vertical="top"/>
    </xf>
    <xf numFmtId="182" fontId="241" fillId="119" borderId="84" xfId="16568" applyFont="1" applyFill="1" applyBorder="1" applyAlignment="1">
      <alignment horizontal="center" vertical="top"/>
    </xf>
    <xf numFmtId="182" fontId="241" fillId="119" borderId="199" xfId="16568" applyFont="1" applyFill="1" applyBorder="1" applyAlignment="1">
      <alignment horizontal="center" vertical="top"/>
    </xf>
    <xf numFmtId="182" fontId="241" fillId="119" borderId="85" xfId="16568" applyFont="1" applyFill="1" applyBorder="1" applyAlignment="1">
      <alignment horizontal="center" vertical="top"/>
    </xf>
    <xf numFmtId="0" fontId="10" fillId="0" borderId="23" xfId="0" applyFont="1" applyBorder="1" applyAlignment="1">
      <alignment horizontal="center" vertical="center" wrapText="1"/>
    </xf>
  </cellXfs>
  <cellStyles count="48435">
    <cellStyle name=" 1" xfId="4" xr:uid="{00000000-0005-0000-0000-000000000000}"/>
    <cellStyle name=" 1 10" xfId="5" xr:uid="{00000000-0005-0000-0000-000001000000}"/>
    <cellStyle name=" 1 10 2" xfId="6" xr:uid="{00000000-0005-0000-0000-000002000000}"/>
    <cellStyle name=" 1 10 3" xfId="7" xr:uid="{00000000-0005-0000-0000-000003000000}"/>
    <cellStyle name=" 1 10 4" xfId="8" xr:uid="{00000000-0005-0000-0000-000004000000}"/>
    <cellStyle name=" 1 10 5" xfId="9" xr:uid="{00000000-0005-0000-0000-000005000000}"/>
    <cellStyle name=" 1 10 6" xfId="10" xr:uid="{00000000-0005-0000-0000-000006000000}"/>
    <cellStyle name=" 1 10 7" xfId="11" xr:uid="{00000000-0005-0000-0000-000007000000}"/>
    <cellStyle name=" 1 10 8" xfId="12" xr:uid="{00000000-0005-0000-0000-000008000000}"/>
    <cellStyle name=" 1 11" xfId="13" xr:uid="{00000000-0005-0000-0000-000009000000}"/>
    <cellStyle name=" 1 11 2" xfId="14" xr:uid="{00000000-0005-0000-0000-00000A000000}"/>
    <cellStyle name=" 1 11 3" xfId="15" xr:uid="{00000000-0005-0000-0000-00000B000000}"/>
    <cellStyle name=" 1 11 4" xfId="16" xr:uid="{00000000-0005-0000-0000-00000C000000}"/>
    <cellStyle name=" 1 11 5" xfId="17" xr:uid="{00000000-0005-0000-0000-00000D000000}"/>
    <cellStyle name=" 1 11 6" xfId="18" xr:uid="{00000000-0005-0000-0000-00000E000000}"/>
    <cellStyle name=" 1 11 7" xfId="19" xr:uid="{00000000-0005-0000-0000-00000F000000}"/>
    <cellStyle name=" 1 11 8" xfId="20" xr:uid="{00000000-0005-0000-0000-000010000000}"/>
    <cellStyle name=" 1 12" xfId="21" xr:uid="{00000000-0005-0000-0000-000011000000}"/>
    <cellStyle name=" 1 12 2" xfId="22" xr:uid="{00000000-0005-0000-0000-000012000000}"/>
    <cellStyle name=" 1 12 3" xfId="23" xr:uid="{00000000-0005-0000-0000-000013000000}"/>
    <cellStyle name=" 1 12 4" xfId="24" xr:uid="{00000000-0005-0000-0000-000014000000}"/>
    <cellStyle name=" 1 12 5" xfId="25" xr:uid="{00000000-0005-0000-0000-000015000000}"/>
    <cellStyle name=" 1 12 6" xfId="26" xr:uid="{00000000-0005-0000-0000-000016000000}"/>
    <cellStyle name=" 1 12 7" xfId="27" xr:uid="{00000000-0005-0000-0000-000017000000}"/>
    <cellStyle name=" 1 12 8" xfId="28" xr:uid="{00000000-0005-0000-0000-000018000000}"/>
    <cellStyle name=" 1 13" xfId="29" xr:uid="{00000000-0005-0000-0000-000019000000}"/>
    <cellStyle name=" 1 13 2" xfId="30" xr:uid="{00000000-0005-0000-0000-00001A000000}"/>
    <cellStyle name=" 1 13 3" xfId="31" xr:uid="{00000000-0005-0000-0000-00001B000000}"/>
    <cellStyle name=" 1 13 4" xfId="32" xr:uid="{00000000-0005-0000-0000-00001C000000}"/>
    <cellStyle name=" 1 13 5" xfId="33" xr:uid="{00000000-0005-0000-0000-00001D000000}"/>
    <cellStyle name=" 1 13 6" xfId="34" xr:uid="{00000000-0005-0000-0000-00001E000000}"/>
    <cellStyle name=" 1 13 7" xfId="35" xr:uid="{00000000-0005-0000-0000-00001F000000}"/>
    <cellStyle name=" 1 13 8" xfId="36" xr:uid="{00000000-0005-0000-0000-000020000000}"/>
    <cellStyle name=" 1 14" xfId="37" xr:uid="{00000000-0005-0000-0000-000021000000}"/>
    <cellStyle name=" 1 14 2" xfId="38" xr:uid="{00000000-0005-0000-0000-000022000000}"/>
    <cellStyle name=" 1 14 3" xfId="39" xr:uid="{00000000-0005-0000-0000-000023000000}"/>
    <cellStyle name=" 1 14 4" xfId="40" xr:uid="{00000000-0005-0000-0000-000024000000}"/>
    <cellStyle name=" 1 14 5" xfId="41" xr:uid="{00000000-0005-0000-0000-000025000000}"/>
    <cellStyle name=" 1 14 6" xfId="42" xr:uid="{00000000-0005-0000-0000-000026000000}"/>
    <cellStyle name=" 1 14 7" xfId="43" xr:uid="{00000000-0005-0000-0000-000027000000}"/>
    <cellStyle name=" 1 14 8" xfId="44" xr:uid="{00000000-0005-0000-0000-000028000000}"/>
    <cellStyle name=" 1 15" xfId="45" xr:uid="{00000000-0005-0000-0000-000029000000}"/>
    <cellStyle name=" 1 15 2" xfId="46" xr:uid="{00000000-0005-0000-0000-00002A000000}"/>
    <cellStyle name=" 1 15 3" xfId="47" xr:uid="{00000000-0005-0000-0000-00002B000000}"/>
    <cellStyle name=" 1 15 4" xfId="48" xr:uid="{00000000-0005-0000-0000-00002C000000}"/>
    <cellStyle name=" 1 15 5" xfId="49" xr:uid="{00000000-0005-0000-0000-00002D000000}"/>
    <cellStyle name=" 1 15 6" xfId="50" xr:uid="{00000000-0005-0000-0000-00002E000000}"/>
    <cellStyle name=" 1 15 7" xfId="51" xr:uid="{00000000-0005-0000-0000-00002F000000}"/>
    <cellStyle name=" 1 15 8" xfId="52" xr:uid="{00000000-0005-0000-0000-000030000000}"/>
    <cellStyle name=" 1 16" xfId="53" xr:uid="{00000000-0005-0000-0000-000031000000}"/>
    <cellStyle name=" 1 16 2" xfId="54" xr:uid="{00000000-0005-0000-0000-000032000000}"/>
    <cellStyle name=" 1 16 3" xfId="55" xr:uid="{00000000-0005-0000-0000-000033000000}"/>
    <cellStyle name=" 1 16 4" xfId="56" xr:uid="{00000000-0005-0000-0000-000034000000}"/>
    <cellStyle name=" 1 16 5" xfId="57" xr:uid="{00000000-0005-0000-0000-000035000000}"/>
    <cellStyle name=" 1 16 6" xfId="58" xr:uid="{00000000-0005-0000-0000-000036000000}"/>
    <cellStyle name=" 1 16 7" xfId="59" xr:uid="{00000000-0005-0000-0000-000037000000}"/>
    <cellStyle name=" 1 16 8" xfId="60" xr:uid="{00000000-0005-0000-0000-000038000000}"/>
    <cellStyle name=" 1 17" xfId="61" xr:uid="{00000000-0005-0000-0000-000039000000}"/>
    <cellStyle name=" 1 17 2" xfId="62" xr:uid="{00000000-0005-0000-0000-00003A000000}"/>
    <cellStyle name=" 1 17 3" xfId="63" xr:uid="{00000000-0005-0000-0000-00003B000000}"/>
    <cellStyle name=" 1 17 4" xfId="64" xr:uid="{00000000-0005-0000-0000-00003C000000}"/>
    <cellStyle name=" 1 17 5" xfId="65" xr:uid="{00000000-0005-0000-0000-00003D000000}"/>
    <cellStyle name=" 1 17 6" xfId="66" xr:uid="{00000000-0005-0000-0000-00003E000000}"/>
    <cellStyle name=" 1 17 7" xfId="67" xr:uid="{00000000-0005-0000-0000-00003F000000}"/>
    <cellStyle name=" 1 17 8" xfId="68" xr:uid="{00000000-0005-0000-0000-000040000000}"/>
    <cellStyle name=" 1 18" xfId="69" xr:uid="{00000000-0005-0000-0000-000041000000}"/>
    <cellStyle name=" 1 18 2" xfId="70" xr:uid="{00000000-0005-0000-0000-000042000000}"/>
    <cellStyle name=" 1 18 3" xfId="71" xr:uid="{00000000-0005-0000-0000-000043000000}"/>
    <cellStyle name=" 1 18 4" xfId="72" xr:uid="{00000000-0005-0000-0000-000044000000}"/>
    <cellStyle name=" 1 18 5" xfId="73" xr:uid="{00000000-0005-0000-0000-000045000000}"/>
    <cellStyle name=" 1 18 6" xfId="74" xr:uid="{00000000-0005-0000-0000-000046000000}"/>
    <cellStyle name=" 1 18 7" xfId="75" xr:uid="{00000000-0005-0000-0000-000047000000}"/>
    <cellStyle name=" 1 18 8" xfId="76" xr:uid="{00000000-0005-0000-0000-000048000000}"/>
    <cellStyle name=" 1 19" xfId="77" xr:uid="{00000000-0005-0000-0000-000049000000}"/>
    <cellStyle name=" 1 19 2" xfId="78" xr:uid="{00000000-0005-0000-0000-00004A000000}"/>
    <cellStyle name=" 1 19 3" xfId="79" xr:uid="{00000000-0005-0000-0000-00004B000000}"/>
    <cellStyle name=" 1 19 4" xfId="80" xr:uid="{00000000-0005-0000-0000-00004C000000}"/>
    <cellStyle name=" 1 19 5" xfId="81" xr:uid="{00000000-0005-0000-0000-00004D000000}"/>
    <cellStyle name=" 1 19 6" xfId="82" xr:uid="{00000000-0005-0000-0000-00004E000000}"/>
    <cellStyle name=" 1 19 7" xfId="83" xr:uid="{00000000-0005-0000-0000-00004F000000}"/>
    <cellStyle name=" 1 19 8" xfId="84" xr:uid="{00000000-0005-0000-0000-000050000000}"/>
    <cellStyle name=" 1 2" xfId="85" xr:uid="{00000000-0005-0000-0000-000051000000}"/>
    <cellStyle name=" 1 2 10" xfId="86" xr:uid="{00000000-0005-0000-0000-000052000000}"/>
    <cellStyle name=" 1 2 11" xfId="87" xr:uid="{00000000-0005-0000-0000-000053000000}"/>
    <cellStyle name=" 1 2 12" xfId="88" xr:uid="{00000000-0005-0000-0000-000054000000}"/>
    <cellStyle name=" 1 2 2" xfId="89" xr:uid="{00000000-0005-0000-0000-000055000000}"/>
    <cellStyle name=" 1 2 2 2" xfId="90" xr:uid="{00000000-0005-0000-0000-000056000000}"/>
    <cellStyle name=" 1 2 2 3" xfId="91" xr:uid="{00000000-0005-0000-0000-000057000000}"/>
    <cellStyle name=" 1 2 2 4" xfId="92" xr:uid="{00000000-0005-0000-0000-000058000000}"/>
    <cellStyle name=" 1 2 2 5" xfId="93" xr:uid="{00000000-0005-0000-0000-000059000000}"/>
    <cellStyle name=" 1 2 2 6" xfId="94" xr:uid="{00000000-0005-0000-0000-00005A000000}"/>
    <cellStyle name=" 1 2 3" xfId="95" xr:uid="{00000000-0005-0000-0000-00005B000000}"/>
    <cellStyle name=" 1 2 3 2" xfId="96" xr:uid="{00000000-0005-0000-0000-00005C000000}"/>
    <cellStyle name=" 1 2 3 3" xfId="97" xr:uid="{00000000-0005-0000-0000-00005D000000}"/>
    <cellStyle name=" 1 2 3 4" xfId="98" xr:uid="{00000000-0005-0000-0000-00005E000000}"/>
    <cellStyle name=" 1 2 3 5" xfId="99" xr:uid="{00000000-0005-0000-0000-00005F000000}"/>
    <cellStyle name=" 1 2 3 6" xfId="100" xr:uid="{00000000-0005-0000-0000-000060000000}"/>
    <cellStyle name=" 1 2 4" xfId="101" xr:uid="{00000000-0005-0000-0000-000061000000}"/>
    <cellStyle name=" 1 2 4 2" xfId="102" xr:uid="{00000000-0005-0000-0000-000062000000}"/>
    <cellStyle name=" 1 2 4 3" xfId="103" xr:uid="{00000000-0005-0000-0000-000063000000}"/>
    <cellStyle name=" 1 2 4 4" xfId="104" xr:uid="{00000000-0005-0000-0000-000064000000}"/>
    <cellStyle name=" 1 2 4 5" xfId="105" xr:uid="{00000000-0005-0000-0000-000065000000}"/>
    <cellStyle name=" 1 2 4 6" xfId="106" xr:uid="{00000000-0005-0000-0000-000066000000}"/>
    <cellStyle name=" 1 2 5" xfId="107" xr:uid="{00000000-0005-0000-0000-000067000000}"/>
    <cellStyle name=" 1 2 5 2" xfId="108" xr:uid="{00000000-0005-0000-0000-000068000000}"/>
    <cellStyle name=" 1 2 5 3" xfId="109" xr:uid="{00000000-0005-0000-0000-000069000000}"/>
    <cellStyle name=" 1 2 5 4" xfId="110" xr:uid="{00000000-0005-0000-0000-00006A000000}"/>
    <cellStyle name=" 1 2 5 5" xfId="111" xr:uid="{00000000-0005-0000-0000-00006B000000}"/>
    <cellStyle name=" 1 2 5 6" xfId="112" xr:uid="{00000000-0005-0000-0000-00006C000000}"/>
    <cellStyle name=" 1 2 6" xfId="113" xr:uid="{00000000-0005-0000-0000-00006D000000}"/>
    <cellStyle name=" 1 2 6 2" xfId="114" xr:uid="{00000000-0005-0000-0000-00006E000000}"/>
    <cellStyle name=" 1 2 6 3" xfId="115" xr:uid="{00000000-0005-0000-0000-00006F000000}"/>
    <cellStyle name=" 1 2 6 4" xfId="116" xr:uid="{00000000-0005-0000-0000-000070000000}"/>
    <cellStyle name=" 1 2 6 5" xfId="117" xr:uid="{00000000-0005-0000-0000-000071000000}"/>
    <cellStyle name=" 1 2 7" xfId="118" xr:uid="{00000000-0005-0000-0000-000072000000}"/>
    <cellStyle name=" 1 2 8" xfId="119" xr:uid="{00000000-0005-0000-0000-000073000000}"/>
    <cellStyle name=" 1 2 9" xfId="120" xr:uid="{00000000-0005-0000-0000-000074000000}"/>
    <cellStyle name=" 1 20" xfId="121" xr:uid="{00000000-0005-0000-0000-000075000000}"/>
    <cellStyle name=" 1 20 2" xfId="122" xr:uid="{00000000-0005-0000-0000-000076000000}"/>
    <cellStyle name=" 1 20 3" xfId="123" xr:uid="{00000000-0005-0000-0000-000077000000}"/>
    <cellStyle name=" 1 20 4" xfId="124" xr:uid="{00000000-0005-0000-0000-000078000000}"/>
    <cellStyle name=" 1 20 5" xfId="125" xr:uid="{00000000-0005-0000-0000-000079000000}"/>
    <cellStyle name=" 1 20 6" xfId="126" xr:uid="{00000000-0005-0000-0000-00007A000000}"/>
    <cellStyle name=" 1 20 7" xfId="127" xr:uid="{00000000-0005-0000-0000-00007B000000}"/>
    <cellStyle name=" 1 20 8" xfId="128" xr:uid="{00000000-0005-0000-0000-00007C000000}"/>
    <cellStyle name=" 1 21" xfId="129" xr:uid="{00000000-0005-0000-0000-00007D000000}"/>
    <cellStyle name=" 1 21 2" xfId="130" xr:uid="{00000000-0005-0000-0000-00007E000000}"/>
    <cellStyle name=" 1 21 3" xfId="131" xr:uid="{00000000-0005-0000-0000-00007F000000}"/>
    <cellStyle name=" 1 21 4" xfId="132" xr:uid="{00000000-0005-0000-0000-000080000000}"/>
    <cellStyle name=" 1 21 5" xfId="133" xr:uid="{00000000-0005-0000-0000-000081000000}"/>
    <cellStyle name=" 1 21 6" xfId="134" xr:uid="{00000000-0005-0000-0000-000082000000}"/>
    <cellStyle name=" 1 21 7" xfId="135" xr:uid="{00000000-0005-0000-0000-000083000000}"/>
    <cellStyle name=" 1 21 8" xfId="136" xr:uid="{00000000-0005-0000-0000-000084000000}"/>
    <cellStyle name=" 1 22" xfId="137" xr:uid="{00000000-0005-0000-0000-000085000000}"/>
    <cellStyle name=" 1 22 2" xfId="138" xr:uid="{00000000-0005-0000-0000-000086000000}"/>
    <cellStyle name=" 1 22 3" xfId="139" xr:uid="{00000000-0005-0000-0000-000087000000}"/>
    <cellStyle name=" 1 22 4" xfId="140" xr:uid="{00000000-0005-0000-0000-000088000000}"/>
    <cellStyle name=" 1 22 5" xfId="141" xr:uid="{00000000-0005-0000-0000-000089000000}"/>
    <cellStyle name=" 1 22 6" xfId="142" xr:uid="{00000000-0005-0000-0000-00008A000000}"/>
    <cellStyle name=" 1 22 7" xfId="143" xr:uid="{00000000-0005-0000-0000-00008B000000}"/>
    <cellStyle name=" 1 22 8" xfId="144" xr:uid="{00000000-0005-0000-0000-00008C000000}"/>
    <cellStyle name=" 1 23" xfId="145" xr:uid="{00000000-0005-0000-0000-00008D000000}"/>
    <cellStyle name=" 1 23 2" xfId="146" xr:uid="{00000000-0005-0000-0000-00008E000000}"/>
    <cellStyle name=" 1 23 3" xfId="147" xr:uid="{00000000-0005-0000-0000-00008F000000}"/>
    <cellStyle name=" 1 23 4" xfId="148" xr:uid="{00000000-0005-0000-0000-000090000000}"/>
    <cellStyle name=" 1 23 5" xfId="149" xr:uid="{00000000-0005-0000-0000-000091000000}"/>
    <cellStyle name=" 1 23 6" xfId="150" xr:uid="{00000000-0005-0000-0000-000092000000}"/>
    <cellStyle name=" 1 23 7" xfId="151" xr:uid="{00000000-0005-0000-0000-000093000000}"/>
    <cellStyle name=" 1 23 8" xfId="152" xr:uid="{00000000-0005-0000-0000-000094000000}"/>
    <cellStyle name=" 1 24" xfId="153" xr:uid="{00000000-0005-0000-0000-000095000000}"/>
    <cellStyle name=" 1 24 2" xfId="154" xr:uid="{00000000-0005-0000-0000-000096000000}"/>
    <cellStyle name=" 1 24 3" xfId="155" xr:uid="{00000000-0005-0000-0000-000097000000}"/>
    <cellStyle name=" 1 24 4" xfId="156" xr:uid="{00000000-0005-0000-0000-000098000000}"/>
    <cellStyle name=" 1 24 5" xfId="157" xr:uid="{00000000-0005-0000-0000-000099000000}"/>
    <cellStyle name=" 1 25" xfId="158" xr:uid="{00000000-0005-0000-0000-00009A000000}"/>
    <cellStyle name=" 1 25 2" xfId="159" xr:uid="{00000000-0005-0000-0000-00009B000000}"/>
    <cellStyle name=" 1 25 3" xfId="160" xr:uid="{00000000-0005-0000-0000-00009C000000}"/>
    <cellStyle name=" 1 25 4" xfId="161" xr:uid="{00000000-0005-0000-0000-00009D000000}"/>
    <cellStyle name=" 1 25 5" xfId="162" xr:uid="{00000000-0005-0000-0000-00009E000000}"/>
    <cellStyle name=" 1 3" xfId="163" xr:uid="{00000000-0005-0000-0000-00009F000000}"/>
    <cellStyle name=" 1 3 10" xfId="164" xr:uid="{00000000-0005-0000-0000-0000A0000000}"/>
    <cellStyle name=" 1 3 11" xfId="165" xr:uid="{00000000-0005-0000-0000-0000A1000000}"/>
    <cellStyle name=" 1 3 2" xfId="166" xr:uid="{00000000-0005-0000-0000-0000A2000000}"/>
    <cellStyle name=" 1 3 2 2" xfId="167" xr:uid="{00000000-0005-0000-0000-0000A3000000}"/>
    <cellStyle name=" 1 3 2 3" xfId="168" xr:uid="{00000000-0005-0000-0000-0000A4000000}"/>
    <cellStyle name=" 1 3 2 4" xfId="169" xr:uid="{00000000-0005-0000-0000-0000A5000000}"/>
    <cellStyle name=" 1 3 2 5" xfId="170" xr:uid="{00000000-0005-0000-0000-0000A6000000}"/>
    <cellStyle name=" 1 3 2 6" xfId="171" xr:uid="{00000000-0005-0000-0000-0000A7000000}"/>
    <cellStyle name=" 1 3 3" xfId="172" xr:uid="{00000000-0005-0000-0000-0000A8000000}"/>
    <cellStyle name=" 1 3 3 2" xfId="173" xr:uid="{00000000-0005-0000-0000-0000A9000000}"/>
    <cellStyle name=" 1 3 3 3" xfId="174" xr:uid="{00000000-0005-0000-0000-0000AA000000}"/>
    <cellStyle name=" 1 3 3 4" xfId="175" xr:uid="{00000000-0005-0000-0000-0000AB000000}"/>
    <cellStyle name=" 1 3 3 5" xfId="176" xr:uid="{00000000-0005-0000-0000-0000AC000000}"/>
    <cellStyle name=" 1 3 3 6" xfId="177" xr:uid="{00000000-0005-0000-0000-0000AD000000}"/>
    <cellStyle name=" 1 3 4" xfId="178" xr:uid="{00000000-0005-0000-0000-0000AE000000}"/>
    <cellStyle name=" 1 3 4 2" xfId="179" xr:uid="{00000000-0005-0000-0000-0000AF000000}"/>
    <cellStyle name=" 1 3 4 3" xfId="180" xr:uid="{00000000-0005-0000-0000-0000B0000000}"/>
    <cellStyle name=" 1 3 4 4" xfId="181" xr:uid="{00000000-0005-0000-0000-0000B1000000}"/>
    <cellStyle name=" 1 3 4 5" xfId="182" xr:uid="{00000000-0005-0000-0000-0000B2000000}"/>
    <cellStyle name=" 1 3 4 6" xfId="183" xr:uid="{00000000-0005-0000-0000-0000B3000000}"/>
    <cellStyle name=" 1 3 5" xfId="184" xr:uid="{00000000-0005-0000-0000-0000B4000000}"/>
    <cellStyle name=" 1 3 5 2" xfId="185" xr:uid="{00000000-0005-0000-0000-0000B5000000}"/>
    <cellStyle name=" 1 3 5 3" xfId="186" xr:uid="{00000000-0005-0000-0000-0000B6000000}"/>
    <cellStyle name=" 1 3 5 4" xfId="187" xr:uid="{00000000-0005-0000-0000-0000B7000000}"/>
    <cellStyle name=" 1 3 5 5" xfId="188" xr:uid="{00000000-0005-0000-0000-0000B8000000}"/>
    <cellStyle name=" 1 3 5 6" xfId="189" xr:uid="{00000000-0005-0000-0000-0000B9000000}"/>
    <cellStyle name=" 1 3 6" xfId="190" xr:uid="{00000000-0005-0000-0000-0000BA000000}"/>
    <cellStyle name=" 1 3 7" xfId="191" xr:uid="{00000000-0005-0000-0000-0000BB000000}"/>
    <cellStyle name=" 1 3 8" xfId="192" xr:uid="{00000000-0005-0000-0000-0000BC000000}"/>
    <cellStyle name=" 1 3 9" xfId="193" xr:uid="{00000000-0005-0000-0000-0000BD000000}"/>
    <cellStyle name=" 1 4" xfId="194" xr:uid="{00000000-0005-0000-0000-0000BE000000}"/>
    <cellStyle name=" 1 4 2" xfId="195" xr:uid="{00000000-0005-0000-0000-0000BF000000}"/>
    <cellStyle name=" 1 4 3" xfId="196" xr:uid="{00000000-0005-0000-0000-0000C0000000}"/>
    <cellStyle name=" 1 4 4" xfId="197" xr:uid="{00000000-0005-0000-0000-0000C1000000}"/>
    <cellStyle name=" 1 4 5" xfId="198" xr:uid="{00000000-0005-0000-0000-0000C2000000}"/>
    <cellStyle name=" 1 4 6" xfId="199" xr:uid="{00000000-0005-0000-0000-0000C3000000}"/>
    <cellStyle name=" 1 4 7" xfId="200" xr:uid="{00000000-0005-0000-0000-0000C4000000}"/>
    <cellStyle name=" 1 4 8" xfId="201" xr:uid="{00000000-0005-0000-0000-0000C5000000}"/>
    <cellStyle name=" 1 5" xfId="202" xr:uid="{00000000-0005-0000-0000-0000C6000000}"/>
    <cellStyle name=" 1 5 2" xfId="203" xr:uid="{00000000-0005-0000-0000-0000C7000000}"/>
    <cellStyle name=" 1 5 3" xfId="204" xr:uid="{00000000-0005-0000-0000-0000C8000000}"/>
    <cellStyle name=" 1 5 4" xfId="205" xr:uid="{00000000-0005-0000-0000-0000C9000000}"/>
    <cellStyle name=" 1 5 5" xfId="206" xr:uid="{00000000-0005-0000-0000-0000CA000000}"/>
    <cellStyle name=" 1 5 6" xfId="207" xr:uid="{00000000-0005-0000-0000-0000CB000000}"/>
    <cellStyle name=" 1 5 7" xfId="208" xr:uid="{00000000-0005-0000-0000-0000CC000000}"/>
    <cellStyle name=" 1 5 8" xfId="209" xr:uid="{00000000-0005-0000-0000-0000CD000000}"/>
    <cellStyle name=" 1 6" xfId="210" xr:uid="{00000000-0005-0000-0000-0000CE000000}"/>
    <cellStyle name=" 1 6 2" xfId="211" xr:uid="{00000000-0005-0000-0000-0000CF000000}"/>
    <cellStyle name=" 1 6 3" xfId="212" xr:uid="{00000000-0005-0000-0000-0000D0000000}"/>
    <cellStyle name=" 1 6 4" xfId="213" xr:uid="{00000000-0005-0000-0000-0000D1000000}"/>
    <cellStyle name=" 1 6 5" xfId="214" xr:uid="{00000000-0005-0000-0000-0000D2000000}"/>
    <cellStyle name=" 1 6 6" xfId="215" xr:uid="{00000000-0005-0000-0000-0000D3000000}"/>
    <cellStyle name=" 1 6 7" xfId="216" xr:uid="{00000000-0005-0000-0000-0000D4000000}"/>
    <cellStyle name=" 1 6 8" xfId="217" xr:uid="{00000000-0005-0000-0000-0000D5000000}"/>
    <cellStyle name=" 1 7" xfId="218" xr:uid="{00000000-0005-0000-0000-0000D6000000}"/>
    <cellStyle name=" 1 7 2" xfId="219" xr:uid="{00000000-0005-0000-0000-0000D7000000}"/>
    <cellStyle name=" 1 7 3" xfId="220" xr:uid="{00000000-0005-0000-0000-0000D8000000}"/>
    <cellStyle name=" 1 7 4" xfId="221" xr:uid="{00000000-0005-0000-0000-0000D9000000}"/>
    <cellStyle name=" 1 7 5" xfId="222" xr:uid="{00000000-0005-0000-0000-0000DA000000}"/>
    <cellStyle name=" 1 7 6" xfId="223" xr:uid="{00000000-0005-0000-0000-0000DB000000}"/>
    <cellStyle name=" 1 7 7" xfId="224" xr:uid="{00000000-0005-0000-0000-0000DC000000}"/>
    <cellStyle name=" 1 7 8" xfId="225" xr:uid="{00000000-0005-0000-0000-0000DD000000}"/>
    <cellStyle name=" 1 8" xfId="226" xr:uid="{00000000-0005-0000-0000-0000DE000000}"/>
    <cellStyle name=" 1 8 2" xfId="227" xr:uid="{00000000-0005-0000-0000-0000DF000000}"/>
    <cellStyle name=" 1 8 3" xfId="228" xr:uid="{00000000-0005-0000-0000-0000E0000000}"/>
    <cellStyle name=" 1 8 4" xfId="229" xr:uid="{00000000-0005-0000-0000-0000E1000000}"/>
    <cellStyle name=" 1 8 5" xfId="230" xr:uid="{00000000-0005-0000-0000-0000E2000000}"/>
    <cellStyle name=" 1 8 6" xfId="231" xr:uid="{00000000-0005-0000-0000-0000E3000000}"/>
    <cellStyle name=" 1 8 7" xfId="232" xr:uid="{00000000-0005-0000-0000-0000E4000000}"/>
    <cellStyle name=" 1 8 8" xfId="233" xr:uid="{00000000-0005-0000-0000-0000E5000000}"/>
    <cellStyle name=" 1 9" xfId="234" xr:uid="{00000000-0005-0000-0000-0000E6000000}"/>
    <cellStyle name=" 1 9 2" xfId="235" xr:uid="{00000000-0005-0000-0000-0000E7000000}"/>
    <cellStyle name=" 1 9 3" xfId="236" xr:uid="{00000000-0005-0000-0000-0000E8000000}"/>
    <cellStyle name=" 1 9 4" xfId="237" xr:uid="{00000000-0005-0000-0000-0000E9000000}"/>
    <cellStyle name=" 1 9 5" xfId="238" xr:uid="{00000000-0005-0000-0000-0000EA000000}"/>
    <cellStyle name=" 1 9 6" xfId="239" xr:uid="{00000000-0005-0000-0000-0000EB000000}"/>
    <cellStyle name=" 1 9 7" xfId="240" xr:uid="{00000000-0005-0000-0000-0000EC000000}"/>
    <cellStyle name=" 1 9 8" xfId="241" xr:uid="{00000000-0005-0000-0000-0000ED000000}"/>
    <cellStyle name=" 2" xfId="242" xr:uid="{00000000-0005-0000-0000-0000EE000000}"/>
    <cellStyle name=" 3" xfId="243" xr:uid="{00000000-0005-0000-0000-0000EF000000}"/>
    <cellStyle name="$" xfId="244" xr:uid="{00000000-0005-0000-0000-0000F0000000}"/>
    <cellStyle name="$_DCF Shell 2" xfId="245" xr:uid="{00000000-0005-0000-0000-0000F1000000}"/>
    <cellStyle name="$_DCF Shell 2_Draft RIIO plan presentation template - Customer Opsx Centre V7" xfId="246" xr:uid="{00000000-0005-0000-0000-0000F2000000}"/>
    <cellStyle name="$_DCF Shell 2_Spreadsheet to populate plan slides 120810" xfId="247" xr:uid="{00000000-0005-0000-0000-0000F3000000}"/>
    <cellStyle name="$_DCF Shell 2_SS templates" xfId="248" xr:uid="{00000000-0005-0000-0000-0000F4000000}"/>
    <cellStyle name="$_DCF Shell 2_Total summary" xfId="249" xr:uid="{00000000-0005-0000-0000-0000F5000000}"/>
    <cellStyle name="$_Marathon SOP Backup_v10" xfId="250" xr:uid="{00000000-0005-0000-0000-0000F6000000}"/>
    <cellStyle name="$_Model_Sep_2_02" xfId="251" xr:uid="{00000000-0005-0000-0000-0000F7000000}"/>
    <cellStyle name="$_Pipeline Model v1 (09_09_02) v3" xfId="252" xr:uid="{00000000-0005-0000-0000-0000F8000000}"/>
    <cellStyle name="$_Pipeline Model v1 (09_09_02) v3_Draft RIIO plan presentation template - Customer Opsx Centre V7" xfId="253" xr:uid="{00000000-0005-0000-0000-0000F9000000}"/>
    <cellStyle name="$_Pipeline Model v1 (09_09_02) v3_Spreadsheet to populate plan slides 120810" xfId="254" xr:uid="{00000000-0005-0000-0000-0000FA000000}"/>
    <cellStyle name="$_Pipeline Model v1 (09_09_02) v3_SS templates" xfId="255" xr:uid="{00000000-0005-0000-0000-0000FB000000}"/>
    <cellStyle name="$_Pipeline Model v1 (09_09_02) v3_Total summary" xfId="256" xr:uid="{00000000-0005-0000-0000-0000FC000000}"/>
    <cellStyle name="$1000s (0)" xfId="257" xr:uid="{00000000-0005-0000-0000-0000FD000000}"/>
    <cellStyle name="$m" xfId="258" xr:uid="{00000000-0005-0000-0000-0000FE000000}"/>
    <cellStyle name="$q" xfId="259" xr:uid="{00000000-0005-0000-0000-0000FF000000}"/>
    <cellStyle name="$q*" xfId="260" xr:uid="{00000000-0005-0000-0000-000000010000}"/>
    <cellStyle name="$qA" xfId="261" xr:uid="{00000000-0005-0000-0000-000001010000}"/>
    <cellStyle name="$qRange" xfId="262" xr:uid="{00000000-0005-0000-0000-000002010000}"/>
    <cellStyle name="%" xfId="263" xr:uid="{00000000-0005-0000-0000-000003010000}"/>
    <cellStyle name="% 10" xfId="264" xr:uid="{00000000-0005-0000-0000-000004010000}"/>
    <cellStyle name="% 10 2" xfId="265" xr:uid="{00000000-0005-0000-0000-000005010000}"/>
    <cellStyle name="% 10 2 2" xfId="266" xr:uid="{00000000-0005-0000-0000-000006010000}"/>
    <cellStyle name="% 100" xfId="267" xr:uid="{00000000-0005-0000-0000-000007010000}"/>
    <cellStyle name="% 101" xfId="268" xr:uid="{00000000-0005-0000-0000-000008010000}"/>
    <cellStyle name="% 102" xfId="269" xr:uid="{00000000-0005-0000-0000-000009010000}"/>
    <cellStyle name="% 103" xfId="270" xr:uid="{00000000-0005-0000-0000-00000A010000}"/>
    <cellStyle name="% 104" xfId="271" xr:uid="{00000000-0005-0000-0000-00000B010000}"/>
    <cellStyle name="% 105" xfId="272" xr:uid="{00000000-0005-0000-0000-00000C010000}"/>
    <cellStyle name="% 106" xfId="273" xr:uid="{00000000-0005-0000-0000-00000D010000}"/>
    <cellStyle name="% 107" xfId="274" xr:uid="{00000000-0005-0000-0000-00000E010000}"/>
    <cellStyle name="% 108" xfId="275" xr:uid="{00000000-0005-0000-0000-00000F010000}"/>
    <cellStyle name="% 109" xfId="276" xr:uid="{00000000-0005-0000-0000-000010010000}"/>
    <cellStyle name="% 11" xfId="277" xr:uid="{00000000-0005-0000-0000-000011010000}"/>
    <cellStyle name="% 110" xfId="278" xr:uid="{00000000-0005-0000-0000-000012010000}"/>
    <cellStyle name="% 111" xfId="279" xr:uid="{00000000-0005-0000-0000-000013010000}"/>
    <cellStyle name="% 112" xfId="280" xr:uid="{00000000-0005-0000-0000-000014010000}"/>
    <cellStyle name="% 113" xfId="281" xr:uid="{00000000-0005-0000-0000-000015010000}"/>
    <cellStyle name="% 12" xfId="282" xr:uid="{00000000-0005-0000-0000-000016010000}"/>
    <cellStyle name="% 13" xfId="283" xr:uid="{00000000-0005-0000-0000-000017010000}"/>
    <cellStyle name="% 14" xfId="284" xr:uid="{00000000-0005-0000-0000-000018010000}"/>
    <cellStyle name="% 15" xfId="285" xr:uid="{00000000-0005-0000-0000-000019010000}"/>
    <cellStyle name="% 16" xfId="286" xr:uid="{00000000-0005-0000-0000-00001A010000}"/>
    <cellStyle name="% 17" xfId="287" xr:uid="{00000000-0005-0000-0000-00001B010000}"/>
    <cellStyle name="% 18" xfId="288" xr:uid="{00000000-0005-0000-0000-00001C010000}"/>
    <cellStyle name="% 19" xfId="289" xr:uid="{00000000-0005-0000-0000-00001D010000}"/>
    <cellStyle name="% 2" xfId="290" xr:uid="{00000000-0005-0000-0000-00001E010000}"/>
    <cellStyle name="% 2 10" xfId="291" xr:uid="{00000000-0005-0000-0000-00001F010000}"/>
    <cellStyle name="% 2 11" xfId="292" xr:uid="{00000000-0005-0000-0000-000020010000}"/>
    <cellStyle name="% 2 12" xfId="293" xr:uid="{00000000-0005-0000-0000-000021010000}"/>
    <cellStyle name="% 2 13" xfId="294" xr:uid="{00000000-0005-0000-0000-000022010000}"/>
    <cellStyle name="% 2 14" xfId="295" xr:uid="{00000000-0005-0000-0000-000023010000}"/>
    <cellStyle name="% 2 15" xfId="296" xr:uid="{00000000-0005-0000-0000-000024010000}"/>
    <cellStyle name="% 2 16" xfId="297" xr:uid="{00000000-0005-0000-0000-000025010000}"/>
    <cellStyle name="% 2 17" xfId="298" xr:uid="{00000000-0005-0000-0000-000026010000}"/>
    <cellStyle name="% 2 18" xfId="299" xr:uid="{00000000-0005-0000-0000-000027010000}"/>
    <cellStyle name="% 2 19" xfId="300" xr:uid="{00000000-0005-0000-0000-000028010000}"/>
    <cellStyle name="% 2 2" xfId="301" xr:uid="{00000000-0005-0000-0000-000029010000}"/>
    <cellStyle name="% 2 2 2" xfId="302" xr:uid="{00000000-0005-0000-0000-00002A010000}"/>
    <cellStyle name="% 2 2 2 2" xfId="303" xr:uid="{00000000-0005-0000-0000-00002B010000}"/>
    <cellStyle name="% 2 2 2 3" xfId="304" xr:uid="{00000000-0005-0000-0000-00002C010000}"/>
    <cellStyle name="% 2 2 2 4" xfId="305" xr:uid="{00000000-0005-0000-0000-00002D010000}"/>
    <cellStyle name="% 2 2 2 5" xfId="306" xr:uid="{00000000-0005-0000-0000-00002E010000}"/>
    <cellStyle name="% 2 2 2 6" xfId="307" xr:uid="{00000000-0005-0000-0000-00002F010000}"/>
    <cellStyle name="% 2 2 2 7" xfId="308" xr:uid="{00000000-0005-0000-0000-000030010000}"/>
    <cellStyle name="% 2 2 2 8" xfId="309" xr:uid="{00000000-0005-0000-0000-000031010000}"/>
    <cellStyle name="% 2 2 3" xfId="310" xr:uid="{00000000-0005-0000-0000-000032010000}"/>
    <cellStyle name="% 2 2 3 2" xfId="311" xr:uid="{00000000-0005-0000-0000-000033010000}"/>
    <cellStyle name="% 2 2_3.1.2 DB Pension Detail" xfId="312" xr:uid="{00000000-0005-0000-0000-000034010000}"/>
    <cellStyle name="% 2 20" xfId="313" xr:uid="{00000000-0005-0000-0000-000035010000}"/>
    <cellStyle name="% 2 21" xfId="314" xr:uid="{00000000-0005-0000-0000-000036010000}"/>
    <cellStyle name="% 2 22" xfId="315" xr:uid="{00000000-0005-0000-0000-000037010000}"/>
    <cellStyle name="% 2 23" xfId="316" xr:uid="{00000000-0005-0000-0000-000038010000}"/>
    <cellStyle name="% 2 24" xfId="317" xr:uid="{00000000-0005-0000-0000-000039010000}"/>
    <cellStyle name="% 2 25" xfId="318" xr:uid="{00000000-0005-0000-0000-00003A010000}"/>
    <cellStyle name="% 2 26" xfId="319" xr:uid="{00000000-0005-0000-0000-00003B010000}"/>
    <cellStyle name="% 2 27" xfId="320" xr:uid="{00000000-0005-0000-0000-00003C010000}"/>
    <cellStyle name="% 2 28" xfId="321" xr:uid="{00000000-0005-0000-0000-00003D010000}"/>
    <cellStyle name="% 2 29" xfId="322" xr:uid="{00000000-0005-0000-0000-00003E010000}"/>
    <cellStyle name="% 2 3" xfId="323" xr:uid="{00000000-0005-0000-0000-00003F010000}"/>
    <cellStyle name="% 2 30" xfId="324" xr:uid="{00000000-0005-0000-0000-000040010000}"/>
    <cellStyle name="% 2 31" xfId="325" xr:uid="{00000000-0005-0000-0000-000041010000}"/>
    <cellStyle name="% 2 32" xfId="326" xr:uid="{00000000-0005-0000-0000-000042010000}"/>
    <cellStyle name="% 2 33" xfId="327" xr:uid="{00000000-0005-0000-0000-000043010000}"/>
    <cellStyle name="% 2 34" xfId="328" xr:uid="{00000000-0005-0000-0000-000044010000}"/>
    <cellStyle name="% 2 35" xfId="329" xr:uid="{00000000-0005-0000-0000-000045010000}"/>
    <cellStyle name="% 2 36" xfId="330" xr:uid="{00000000-0005-0000-0000-000046010000}"/>
    <cellStyle name="% 2 37" xfId="331" xr:uid="{00000000-0005-0000-0000-000047010000}"/>
    <cellStyle name="% 2 38" xfId="332" xr:uid="{00000000-0005-0000-0000-000048010000}"/>
    <cellStyle name="% 2 39" xfId="333" xr:uid="{00000000-0005-0000-0000-000049010000}"/>
    <cellStyle name="% 2 4" xfId="334" xr:uid="{00000000-0005-0000-0000-00004A010000}"/>
    <cellStyle name="% 2 40" xfId="335" xr:uid="{00000000-0005-0000-0000-00004B010000}"/>
    <cellStyle name="% 2 41" xfId="336" xr:uid="{00000000-0005-0000-0000-00004C010000}"/>
    <cellStyle name="% 2 42" xfId="337" xr:uid="{00000000-0005-0000-0000-00004D010000}"/>
    <cellStyle name="% 2 43" xfId="338" xr:uid="{00000000-0005-0000-0000-00004E010000}"/>
    <cellStyle name="% 2 44" xfId="339" xr:uid="{00000000-0005-0000-0000-00004F010000}"/>
    <cellStyle name="% 2 45" xfId="340" xr:uid="{00000000-0005-0000-0000-000050010000}"/>
    <cellStyle name="% 2 46" xfId="341" xr:uid="{00000000-0005-0000-0000-000051010000}"/>
    <cellStyle name="% 2 47" xfId="342" xr:uid="{00000000-0005-0000-0000-000052010000}"/>
    <cellStyle name="% 2 5" xfId="343" xr:uid="{00000000-0005-0000-0000-000053010000}"/>
    <cellStyle name="% 2 6" xfId="344" xr:uid="{00000000-0005-0000-0000-000054010000}"/>
    <cellStyle name="% 2 7" xfId="345" xr:uid="{00000000-0005-0000-0000-000055010000}"/>
    <cellStyle name="% 2 8" xfId="346" xr:uid="{00000000-0005-0000-0000-000056010000}"/>
    <cellStyle name="% 2 9" xfId="347" xr:uid="{00000000-0005-0000-0000-000057010000}"/>
    <cellStyle name="% 2_1.3s Accounting C Costs Scots" xfId="348" xr:uid="{00000000-0005-0000-0000-000058010000}"/>
    <cellStyle name="% 20" xfId="349" xr:uid="{00000000-0005-0000-0000-000059010000}"/>
    <cellStyle name="% 21" xfId="350" xr:uid="{00000000-0005-0000-0000-00005A010000}"/>
    <cellStyle name="% 22" xfId="351" xr:uid="{00000000-0005-0000-0000-00005B010000}"/>
    <cellStyle name="% 23" xfId="352" xr:uid="{00000000-0005-0000-0000-00005C010000}"/>
    <cellStyle name="% 24" xfId="353" xr:uid="{00000000-0005-0000-0000-00005D010000}"/>
    <cellStyle name="% 25" xfId="354" xr:uid="{00000000-0005-0000-0000-00005E010000}"/>
    <cellStyle name="% 26" xfId="355" xr:uid="{00000000-0005-0000-0000-00005F010000}"/>
    <cellStyle name="% 27" xfId="356" xr:uid="{00000000-0005-0000-0000-000060010000}"/>
    <cellStyle name="% 28" xfId="357" xr:uid="{00000000-0005-0000-0000-000061010000}"/>
    <cellStyle name="% 29" xfId="358" xr:uid="{00000000-0005-0000-0000-000062010000}"/>
    <cellStyle name="% 3" xfId="359" xr:uid="{00000000-0005-0000-0000-000063010000}"/>
    <cellStyle name="% 3 10" xfId="360" xr:uid="{00000000-0005-0000-0000-000064010000}"/>
    <cellStyle name="% 3 11" xfId="361" xr:uid="{00000000-0005-0000-0000-000065010000}"/>
    <cellStyle name="% 3 12" xfId="362" xr:uid="{00000000-0005-0000-0000-000066010000}"/>
    <cellStyle name="% 3 13" xfId="363" xr:uid="{00000000-0005-0000-0000-000067010000}"/>
    <cellStyle name="% 3 14" xfId="364" xr:uid="{00000000-0005-0000-0000-000068010000}"/>
    <cellStyle name="% 3 15" xfId="365" xr:uid="{00000000-0005-0000-0000-000069010000}"/>
    <cellStyle name="% 3 16" xfId="366" xr:uid="{00000000-0005-0000-0000-00006A010000}"/>
    <cellStyle name="% 3 17" xfId="367" xr:uid="{00000000-0005-0000-0000-00006B010000}"/>
    <cellStyle name="% 3 18" xfId="368" xr:uid="{00000000-0005-0000-0000-00006C010000}"/>
    <cellStyle name="% 3 19" xfId="369" xr:uid="{00000000-0005-0000-0000-00006D010000}"/>
    <cellStyle name="% 3 2" xfId="370" xr:uid="{00000000-0005-0000-0000-00006E010000}"/>
    <cellStyle name="% 3 2 10" xfId="371" xr:uid="{00000000-0005-0000-0000-00006F010000}"/>
    <cellStyle name="% 3 2 11" xfId="372" xr:uid="{00000000-0005-0000-0000-000070010000}"/>
    <cellStyle name="% 3 2 12" xfId="373" xr:uid="{00000000-0005-0000-0000-000071010000}"/>
    <cellStyle name="% 3 2 13" xfId="374" xr:uid="{00000000-0005-0000-0000-000072010000}"/>
    <cellStyle name="% 3 2 14" xfId="375" xr:uid="{00000000-0005-0000-0000-000073010000}"/>
    <cellStyle name="% 3 2 15" xfId="376" xr:uid="{00000000-0005-0000-0000-000074010000}"/>
    <cellStyle name="% 3 2 16" xfId="377" xr:uid="{00000000-0005-0000-0000-000075010000}"/>
    <cellStyle name="% 3 2 17" xfId="378" xr:uid="{00000000-0005-0000-0000-000076010000}"/>
    <cellStyle name="% 3 2 18" xfId="379" xr:uid="{00000000-0005-0000-0000-000077010000}"/>
    <cellStyle name="% 3 2 19" xfId="380" xr:uid="{00000000-0005-0000-0000-000078010000}"/>
    <cellStyle name="% 3 2 2" xfId="381" xr:uid="{00000000-0005-0000-0000-000079010000}"/>
    <cellStyle name="% 3 2 2 10" xfId="382" xr:uid="{00000000-0005-0000-0000-00007A010000}"/>
    <cellStyle name="% 3 2 2 11" xfId="383" xr:uid="{00000000-0005-0000-0000-00007B010000}"/>
    <cellStyle name="% 3 2 2 12" xfId="384" xr:uid="{00000000-0005-0000-0000-00007C010000}"/>
    <cellStyle name="% 3 2 2 13" xfId="385" xr:uid="{00000000-0005-0000-0000-00007D010000}"/>
    <cellStyle name="% 3 2 2 14" xfId="386" xr:uid="{00000000-0005-0000-0000-00007E010000}"/>
    <cellStyle name="% 3 2 2 15" xfId="387" xr:uid="{00000000-0005-0000-0000-00007F010000}"/>
    <cellStyle name="% 3 2 2 16" xfId="388" xr:uid="{00000000-0005-0000-0000-000080010000}"/>
    <cellStyle name="% 3 2 2 17" xfId="389" xr:uid="{00000000-0005-0000-0000-000081010000}"/>
    <cellStyle name="% 3 2 2 2" xfId="390" xr:uid="{00000000-0005-0000-0000-000082010000}"/>
    <cellStyle name="% 3 2 2 3" xfId="391" xr:uid="{00000000-0005-0000-0000-000083010000}"/>
    <cellStyle name="% 3 2 2 4" xfId="392" xr:uid="{00000000-0005-0000-0000-000084010000}"/>
    <cellStyle name="% 3 2 2 5" xfId="393" xr:uid="{00000000-0005-0000-0000-000085010000}"/>
    <cellStyle name="% 3 2 2 6" xfId="394" xr:uid="{00000000-0005-0000-0000-000086010000}"/>
    <cellStyle name="% 3 2 2 7" xfId="395" xr:uid="{00000000-0005-0000-0000-000087010000}"/>
    <cellStyle name="% 3 2 2 8" xfId="396" xr:uid="{00000000-0005-0000-0000-000088010000}"/>
    <cellStyle name="% 3 2 2 9" xfId="397" xr:uid="{00000000-0005-0000-0000-000089010000}"/>
    <cellStyle name="% 3 2 20" xfId="398" xr:uid="{00000000-0005-0000-0000-00008A010000}"/>
    <cellStyle name="% 3 2 21" xfId="399" xr:uid="{00000000-0005-0000-0000-00008B010000}"/>
    <cellStyle name="% 3 2 22" xfId="400" xr:uid="{00000000-0005-0000-0000-00008C010000}"/>
    <cellStyle name="% 3 2 23" xfId="401" xr:uid="{00000000-0005-0000-0000-00008D010000}"/>
    <cellStyle name="% 3 2 24" xfId="402" xr:uid="{00000000-0005-0000-0000-00008E010000}"/>
    <cellStyle name="% 3 2 25" xfId="403" xr:uid="{00000000-0005-0000-0000-00008F010000}"/>
    <cellStyle name="% 3 2 26" xfId="404" xr:uid="{00000000-0005-0000-0000-000090010000}"/>
    <cellStyle name="% 3 2 27" xfId="405" xr:uid="{00000000-0005-0000-0000-000091010000}"/>
    <cellStyle name="% 3 2 28" xfId="406" xr:uid="{00000000-0005-0000-0000-000092010000}"/>
    <cellStyle name="% 3 2 29" xfId="407" xr:uid="{00000000-0005-0000-0000-000093010000}"/>
    <cellStyle name="% 3 2 3" xfId="408" xr:uid="{00000000-0005-0000-0000-000094010000}"/>
    <cellStyle name="% 3 2 30" xfId="409" xr:uid="{00000000-0005-0000-0000-000095010000}"/>
    <cellStyle name="% 3 2 31" xfId="410" xr:uid="{00000000-0005-0000-0000-000096010000}"/>
    <cellStyle name="% 3 2 32" xfId="411" xr:uid="{00000000-0005-0000-0000-000097010000}"/>
    <cellStyle name="% 3 2 33" xfId="412" xr:uid="{00000000-0005-0000-0000-000098010000}"/>
    <cellStyle name="% 3 2 34" xfId="413" xr:uid="{00000000-0005-0000-0000-000099010000}"/>
    <cellStyle name="% 3 2 35" xfId="414" xr:uid="{00000000-0005-0000-0000-00009A010000}"/>
    <cellStyle name="% 3 2 36" xfId="415" xr:uid="{00000000-0005-0000-0000-00009B010000}"/>
    <cellStyle name="% 3 2 37" xfId="416" xr:uid="{00000000-0005-0000-0000-00009C010000}"/>
    <cellStyle name="% 3 2 38" xfId="417" xr:uid="{00000000-0005-0000-0000-00009D010000}"/>
    <cellStyle name="% 3 2 39" xfId="418" xr:uid="{00000000-0005-0000-0000-00009E010000}"/>
    <cellStyle name="% 3 2 4" xfId="419" xr:uid="{00000000-0005-0000-0000-00009F010000}"/>
    <cellStyle name="% 3 2 40" xfId="420" xr:uid="{00000000-0005-0000-0000-0000A0010000}"/>
    <cellStyle name="% 3 2 41" xfId="421" xr:uid="{00000000-0005-0000-0000-0000A1010000}"/>
    <cellStyle name="% 3 2 42" xfId="422" xr:uid="{00000000-0005-0000-0000-0000A2010000}"/>
    <cellStyle name="% 3 2 43" xfId="423" xr:uid="{00000000-0005-0000-0000-0000A3010000}"/>
    <cellStyle name="% 3 2 44" xfId="424" xr:uid="{00000000-0005-0000-0000-0000A4010000}"/>
    <cellStyle name="% 3 2 45" xfId="425" xr:uid="{00000000-0005-0000-0000-0000A5010000}"/>
    <cellStyle name="% 3 2 46" xfId="426" xr:uid="{00000000-0005-0000-0000-0000A6010000}"/>
    <cellStyle name="% 3 2 47" xfId="427" xr:uid="{00000000-0005-0000-0000-0000A7010000}"/>
    <cellStyle name="% 3 2 48" xfId="428" xr:uid="{00000000-0005-0000-0000-0000A8010000}"/>
    <cellStyle name="% 3 2 49" xfId="429" xr:uid="{00000000-0005-0000-0000-0000A9010000}"/>
    <cellStyle name="% 3 2 5" xfId="430" xr:uid="{00000000-0005-0000-0000-0000AA010000}"/>
    <cellStyle name="% 3 2 50" xfId="431" xr:uid="{00000000-0005-0000-0000-0000AB010000}"/>
    <cellStyle name="% 3 2 51" xfId="432" xr:uid="{00000000-0005-0000-0000-0000AC010000}"/>
    <cellStyle name="% 3 2 52" xfId="433" xr:uid="{00000000-0005-0000-0000-0000AD010000}"/>
    <cellStyle name="% 3 2 53" xfId="434" xr:uid="{00000000-0005-0000-0000-0000AE010000}"/>
    <cellStyle name="% 3 2 54" xfId="435" xr:uid="{00000000-0005-0000-0000-0000AF010000}"/>
    <cellStyle name="% 3 2 55" xfId="436" xr:uid="{00000000-0005-0000-0000-0000B0010000}"/>
    <cellStyle name="% 3 2 56" xfId="437" xr:uid="{00000000-0005-0000-0000-0000B1010000}"/>
    <cellStyle name="% 3 2 57" xfId="438" xr:uid="{00000000-0005-0000-0000-0000B2010000}"/>
    <cellStyle name="% 3 2 58" xfId="439" xr:uid="{00000000-0005-0000-0000-0000B3010000}"/>
    <cellStyle name="% 3 2 59" xfId="440" xr:uid="{00000000-0005-0000-0000-0000B4010000}"/>
    <cellStyle name="% 3 2 6" xfId="441" xr:uid="{00000000-0005-0000-0000-0000B5010000}"/>
    <cellStyle name="% 3 2 60" xfId="442" xr:uid="{00000000-0005-0000-0000-0000B6010000}"/>
    <cellStyle name="% 3 2 61" xfId="443" xr:uid="{00000000-0005-0000-0000-0000B7010000}"/>
    <cellStyle name="% 3 2 62" xfId="444" xr:uid="{00000000-0005-0000-0000-0000B8010000}"/>
    <cellStyle name="% 3 2 63" xfId="445" xr:uid="{00000000-0005-0000-0000-0000B9010000}"/>
    <cellStyle name="% 3 2 64" xfId="446" xr:uid="{00000000-0005-0000-0000-0000BA010000}"/>
    <cellStyle name="% 3 2 65" xfId="447" xr:uid="{00000000-0005-0000-0000-0000BB010000}"/>
    <cellStyle name="% 3 2 66" xfId="448" xr:uid="{00000000-0005-0000-0000-0000BC010000}"/>
    <cellStyle name="% 3 2 67" xfId="449" xr:uid="{00000000-0005-0000-0000-0000BD010000}"/>
    <cellStyle name="% 3 2 68" xfId="450" xr:uid="{00000000-0005-0000-0000-0000BE010000}"/>
    <cellStyle name="% 3 2 69" xfId="451" xr:uid="{00000000-0005-0000-0000-0000BF010000}"/>
    <cellStyle name="% 3 2 7" xfId="452" xr:uid="{00000000-0005-0000-0000-0000C0010000}"/>
    <cellStyle name="% 3 2 70" xfId="453" xr:uid="{00000000-0005-0000-0000-0000C1010000}"/>
    <cellStyle name="% 3 2 71" xfId="454" xr:uid="{00000000-0005-0000-0000-0000C2010000}"/>
    <cellStyle name="% 3 2 72" xfId="455" xr:uid="{00000000-0005-0000-0000-0000C3010000}"/>
    <cellStyle name="% 3 2 73" xfId="456" xr:uid="{00000000-0005-0000-0000-0000C4010000}"/>
    <cellStyle name="% 3 2 74" xfId="457" xr:uid="{00000000-0005-0000-0000-0000C5010000}"/>
    <cellStyle name="% 3 2 75" xfId="458" xr:uid="{00000000-0005-0000-0000-0000C6010000}"/>
    <cellStyle name="% 3 2 76" xfId="459" xr:uid="{00000000-0005-0000-0000-0000C7010000}"/>
    <cellStyle name="% 3 2 77" xfId="460" xr:uid="{00000000-0005-0000-0000-0000C8010000}"/>
    <cellStyle name="% 3 2 78" xfId="461" xr:uid="{00000000-0005-0000-0000-0000C9010000}"/>
    <cellStyle name="% 3 2 8" xfId="462" xr:uid="{00000000-0005-0000-0000-0000CA010000}"/>
    <cellStyle name="% 3 2 9" xfId="463" xr:uid="{00000000-0005-0000-0000-0000CB010000}"/>
    <cellStyle name="% 3 20" xfId="464" xr:uid="{00000000-0005-0000-0000-0000CC010000}"/>
    <cellStyle name="% 3 21" xfId="465" xr:uid="{00000000-0005-0000-0000-0000CD010000}"/>
    <cellStyle name="% 3 22" xfId="466" xr:uid="{00000000-0005-0000-0000-0000CE010000}"/>
    <cellStyle name="% 3 23" xfId="467" xr:uid="{00000000-0005-0000-0000-0000CF010000}"/>
    <cellStyle name="% 3 24" xfId="468" xr:uid="{00000000-0005-0000-0000-0000D0010000}"/>
    <cellStyle name="% 3 25" xfId="469" xr:uid="{00000000-0005-0000-0000-0000D1010000}"/>
    <cellStyle name="% 3 26" xfId="470" xr:uid="{00000000-0005-0000-0000-0000D2010000}"/>
    <cellStyle name="% 3 27" xfId="471" xr:uid="{00000000-0005-0000-0000-0000D3010000}"/>
    <cellStyle name="% 3 28" xfId="472" xr:uid="{00000000-0005-0000-0000-0000D4010000}"/>
    <cellStyle name="% 3 29" xfId="473" xr:uid="{00000000-0005-0000-0000-0000D5010000}"/>
    <cellStyle name="% 3 3" xfId="474" xr:uid="{00000000-0005-0000-0000-0000D6010000}"/>
    <cellStyle name="% 3 3 10" xfId="475" xr:uid="{00000000-0005-0000-0000-0000D7010000}"/>
    <cellStyle name="% 3 3 11" xfId="476" xr:uid="{00000000-0005-0000-0000-0000D8010000}"/>
    <cellStyle name="% 3 3 12" xfId="477" xr:uid="{00000000-0005-0000-0000-0000D9010000}"/>
    <cellStyle name="% 3 3 13" xfId="478" xr:uid="{00000000-0005-0000-0000-0000DA010000}"/>
    <cellStyle name="% 3 3 14" xfId="479" xr:uid="{00000000-0005-0000-0000-0000DB010000}"/>
    <cellStyle name="% 3 3 15" xfId="480" xr:uid="{00000000-0005-0000-0000-0000DC010000}"/>
    <cellStyle name="% 3 3 16" xfId="481" xr:uid="{00000000-0005-0000-0000-0000DD010000}"/>
    <cellStyle name="% 3 3 17" xfId="482" xr:uid="{00000000-0005-0000-0000-0000DE010000}"/>
    <cellStyle name="% 3 3 2" xfId="483" xr:uid="{00000000-0005-0000-0000-0000DF010000}"/>
    <cellStyle name="% 3 3 3" xfId="484" xr:uid="{00000000-0005-0000-0000-0000E0010000}"/>
    <cellStyle name="% 3 3 4" xfId="485" xr:uid="{00000000-0005-0000-0000-0000E1010000}"/>
    <cellStyle name="% 3 3 5" xfId="486" xr:uid="{00000000-0005-0000-0000-0000E2010000}"/>
    <cellStyle name="% 3 3 6" xfId="487" xr:uid="{00000000-0005-0000-0000-0000E3010000}"/>
    <cellStyle name="% 3 3 7" xfId="488" xr:uid="{00000000-0005-0000-0000-0000E4010000}"/>
    <cellStyle name="% 3 3 8" xfId="489" xr:uid="{00000000-0005-0000-0000-0000E5010000}"/>
    <cellStyle name="% 3 3 9" xfId="490" xr:uid="{00000000-0005-0000-0000-0000E6010000}"/>
    <cellStyle name="% 3 30" xfId="491" xr:uid="{00000000-0005-0000-0000-0000E7010000}"/>
    <cellStyle name="% 3 31" xfId="492" xr:uid="{00000000-0005-0000-0000-0000E8010000}"/>
    <cellStyle name="% 3 32" xfId="493" xr:uid="{00000000-0005-0000-0000-0000E9010000}"/>
    <cellStyle name="% 3 33" xfId="494" xr:uid="{00000000-0005-0000-0000-0000EA010000}"/>
    <cellStyle name="% 3 34" xfId="495" xr:uid="{00000000-0005-0000-0000-0000EB010000}"/>
    <cellStyle name="% 3 35" xfId="496" xr:uid="{00000000-0005-0000-0000-0000EC010000}"/>
    <cellStyle name="% 3 36" xfId="497" xr:uid="{00000000-0005-0000-0000-0000ED010000}"/>
    <cellStyle name="% 3 37" xfId="498" xr:uid="{00000000-0005-0000-0000-0000EE010000}"/>
    <cellStyle name="% 3 38" xfId="499" xr:uid="{00000000-0005-0000-0000-0000EF010000}"/>
    <cellStyle name="% 3 39" xfId="500" xr:uid="{00000000-0005-0000-0000-0000F0010000}"/>
    <cellStyle name="% 3 4" xfId="501" xr:uid="{00000000-0005-0000-0000-0000F1010000}"/>
    <cellStyle name="% 3 4 10" xfId="502" xr:uid="{00000000-0005-0000-0000-0000F2010000}"/>
    <cellStyle name="% 3 4 11" xfId="503" xr:uid="{00000000-0005-0000-0000-0000F3010000}"/>
    <cellStyle name="% 3 4 12" xfId="504" xr:uid="{00000000-0005-0000-0000-0000F4010000}"/>
    <cellStyle name="% 3 4 13" xfId="505" xr:uid="{00000000-0005-0000-0000-0000F5010000}"/>
    <cellStyle name="% 3 4 14" xfId="506" xr:uid="{00000000-0005-0000-0000-0000F6010000}"/>
    <cellStyle name="% 3 4 15" xfId="507" xr:uid="{00000000-0005-0000-0000-0000F7010000}"/>
    <cellStyle name="% 3 4 16" xfId="508" xr:uid="{00000000-0005-0000-0000-0000F8010000}"/>
    <cellStyle name="% 3 4 17" xfId="509" xr:uid="{00000000-0005-0000-0000-0000F9010000}"/>
    <cellStyle name="% 3 4 2" xfId="510" xr:uid="{00000000-0005-0000-0000-0000FA010000}"/>
    <cellStyle name="% 3 4 3" xfId="511" xr:uid="{00000000-0005-0000-0000-0000FB010000}"/>
    <cellStyle name="% 3 4 4" xfId="512" xr:uid="{00000000-0005-0000-0000-0000FC010000}"/>
    <cellStyle name="% 3 4 5" xfId="513" xr:uid="{00000000-0005-0000-0000-0000FD010000}"/>
    <cellStyle name="% 3 4 6" xfId="514" xr:uid="{00000000-0005-0000-0000-0000FE010000}"/>
    <cellStyle name="% 3 4 7" xfId="515" xr:uid="{00000000-0005-0000-0000-0000FF010000}"/>
    <cellStyle name="% 3 4 8" xfId="516" xr:uid="{00000000-0005-0000-0000-000000020000}"/>
    <cellStyle name="% 3 4 9" xfId="517" xr:uid="{00000000-0005-0000-0000-000001020000}"/>
    <cellStyle name="% 3 40" xfId="518" xr:uid="{00000000-0005-0000-0000-000002020000}"/>
    <cellStyle name="% 3 41" xfId="519" xr:uid="{00000000-0005-0000-0000-000003020000}"/>
    <cellStyle name="% 3 42" xfId="520" xr:uid="{00000000-0005-0000-0000-000004020000}"/>
    <cellStyle name="% 3 43" xfId="521" xr:uid="{00000000-0005-0000-0000-000005020000}"/>
    <cellStyle name="% 3 44" xfId="522" xr:uid="{00000000-0005-0000-0000-000006020000}"/>
    <cellStyle name="% 3 45" xfId="523" xr:uid="{00000000-0005-0000-0000-000007020000}"/>
    <cellStyle name="% 3 46" xfId="524" xr:uid="{00000000-0005-0000-0000-000008020000}"/>
    <cellStyle name="% 3 47" xfId="525" xr:uid="{00000000-0005-0000-0000-000009020000}"/>
    <cellStyle name="% 3 48" xfId="526" xr:uid="{00000000-0005-0000-0000-00000A020000}"/>
    <cellStyle name="% 3 49" xfId="527" xr:uid="{00000000-0005-0000-0000-00000B020000}"/>
    <cellStyle name="% 3 5" xfId="528" xr:uid="{00000000-0005-0000-0000-00000C020000}"/>
    <cellStyle name="% 3 50" xfId="529" xr:uid="{00000000-0005-0000-0000-00000D020000}"/>
    <cellStyle name="% 3 51" xfId="530" xr:uid="{00000000-0005-0000-0000-00000E020000}"/>
    <cellStyle name="% 3 52" xfId="531" xr:uid="{00000000-0005-0000-0000-00000F020000}"/>
    <cellStyle name="% 3 53" xfId="532" xr:uid="{00000000-0005-0000-0000-000010020000}"/>
    <cellStyle name="% 3 54" xfId="533" xr:uid="{00000000-0005-0000-0000-000011020000}"/>
    <cellStyle name="% 3 55" xfId="534" xr:uid="{00000000-0005-0000-0000-000012020000}"/>
    <cellStyle name="% 3 56" xfId="535" xr:uid="{00000000-0005-0000-0000-000013020000}"/>
    <cellStyle name="% 3 57" xfId="536" xr:uid="{00000000-0005-0000-0000-000014020000}"/>
    <cellStyle name="% 3 58" xfId="537" xr:uid="{00000000-0005-0000-0000-000015020000}"/>
    <cellStyle name="% 3 59" xfId="538" xr:uid="{00000000-0005-0000-0000-000016020000}"/>
    <cellStyle name="% 3 6" xfId="539" xr:uid="{00000000-0005-0000-0000-000017020000}"/>
    <cellStyle name="% 3 60" xfId="540" xr:uid="{00000000-0005-0000-0000-000018020000}"/>
    <cellStyle name="% 3 61" xfId="541" xr:uid="{00000000-0005-0000-0000-000019020000}"/>
    <cellStyle name="% 3 62" xfId="542" xr:uid="{00000000-0005-0000-0000-00001A020000}"/>
    <cellStyle name="% 3 63" xfId="543" xr:uid="{00000000-0005-0000-0000-00001B020000}"/>
    <cellStyle name="% 3 64" xfId="544" xr:uid="{00000000-0005-0000-0000-00001C020000}"/>
    <cellStyle name="% 3 65" xfId="545" xr:uid="{00000000-0005-0000-0000-00001D020000}"/>
    <cellStyle name="% 3 66" xfId="546" xr:uid="{00000000-0005-0000-0000-00001E020000}"/>
    <cellStyle name="% 3 67" xfId="547" xr:uid="{00000000-0005-0000-0000-00001F020000}"/>
    <cellStyle name="% 3 68" xfId="548" xr:uid="{00000000-0005-0000-0000-000020020000}"/>
    <cellStyle name="% 3 69" xfId="549" xr:uid="{00000000-0005-0000-0000-000021020000}"/>
    <cellStyle name="% 3 7" xfId="550" xr:uid="{00000000-0005-0000-0000-000022020000}"/>
    <cellStyle name="% 3 70" xfId="551" xr:uid="{00000000-0005-0000-0000-000023020000}"/>
    <cellStyle name="% 3 71" xfId="552" xr:uid="{00000000-0005-0000-0000-000024020000}"/>
    <cellStyle name="% 3 72" xfId="553" xr:uid="{00000000-0005-0000-0000-000025020000}"/>
    <cellStyle name="% 3 73" xfId="554" xr:uid="{00000000-0005-0000-0000-000026020000}"/>
    <cellStyle name="% 3 74" xfId="555" xr:uid="{00000000-0005-0000-0000-000027020000}"/>
    <cellStyle name="% 3 75" xfId="556" xr:uid="{00000000-0005-0000-0000-000028020000}"/>
    <cellStyle name="% 3 76" xfId="557" xr:uid="{00000000-0005-0000-0000-000029020000}"/>
    <cellStyle name="% 3 77" xfId="558" xr:uid="{00000000-0005-0000-0000-00002A020000}"/>
    <cellStyle name="% 3 78" xfId="559" xr:uid="{00000000-0005-0000-0000-00002B020000}"/>
    <cellStyle name="% 3 8" xfId="560" xr:uid="{00000000-0005-0000-0000-00002C020000}"/>
    <cellStyle name="% 3 9" xfId="561" xr:uid="{00000000-0005-0000-0000-00002D020000}"/>
    <cellStyle name="% 30" xfId="562" xr:uid="{00000000-0005-0000-0000-00002E020000}"/>
    <cellStyle name="% 31" xfId="563" xr:uid="{00000000-0005-0000-0000-00002F020000}"/>
    <cellStyle name="% 32" xfId="564" xr:uid="{00000000-0005-0000-0000-000030020000}"/>
    <cellStyle name="% 33" xfId="565" xr:uid="{00000000-0005-0000-0000-000031020000}"/>
    <cellStyle name="% 34" xfId="566" xr:uid="{00000000-0005-0000-0000-000032020000}"/>
    <cellStyle name="% 35" xfId="567" xr:uid="{00000000-0005-0000-0000-000033020000}"/>
    <cellStyle name="% 36" xfId="568" xr:uid="{00000000-0005-0000-0000-000034020000}"/>
    <cellStyle name="% 37" xfId="569" xr:uid="{00000000-0005-0000-0000-000035020000}"/>
    <cellStyle name="% 38" xfId="570" xr:uid="{00000000-0005-0000-0000-000036020000}"/>
    <cellStyle name="% 39" xfId="571" xr:uid="{00000000-0005-0000-0000-000037020000}"/>
    <cellStyle name="% 4" xfId="572" xr:uid="{00000000-0005-0000-0000-000038020000}"/>
    <cellStyle name="% 4 2" xfId="573" xr:uid="{00000000-0005-0000-0000-000039020000}"/>
    <cellStyle name="% 4 3" xfId="574" xr:uid="{00000000-0005-0000-0000-00003A020000}"/>
    <cellStyle name="% 4 4" xfId="575" xr:uid="{00000000-0005-0000-0000-00003B020000}"/>
    <cellStyle name="% 4 5" xfId="576" xr:uid="{00000000-0005-0000-0000-00003C020000}"/>
    <cellStyle name="% 4 6" xfId="577" xr:uid="{00000000-0005-0000-0000-00003D020000}"/>
    <cellStyle name="% 4 7" xfId="578" xr:uid="{00000000-0005-0000-0000-00003E020000}"/>
    <cellStyle name="% 4 8" xfId="579" xr:uid="{00000000-0005-0000-0000-00003F020000}"/>
    <cellStyle name="% 40" xfId="580" xr:uid="{00000000-0005-0000-0000-000040020000}"/>
    <cellStyle name="% 41" xfId="581" xr:uid="{00000000-0005-0000-0000-000041020000}"/>
    <cellStyle name="% 42" xfId="582" xr:uid="{00000000-0005-0000-0000-000042020000}"/>
    <cellStyle name="% 43" xfId="583" xr:uid="{00000000-0005-0000-0000-000043020000}"/>
    <cellStyle name="% 44" xfId="584" xr:uid="{00000000-0005-0000-0000-000044020000}"/>
    <cellStyle name="% 45" xfId="585" xr:uid="{00000000-0005-0000-0000-000045020000}"/>
    <cellStyle name="% 46" xfId="586" xr:uid="{00000000-0005-0000-0000-000046020000}"/>
    <cellStyle name="% 47" xfId="587" xr:uid="{00000000-0005-0000-0000-000047020000}"/>
    <cellStyle name="% 48" xfId="588" xr:uid="{00000000-0005-0000-0000-000048020000}"/>
    <cellStyle name="% 49" xfId="589" xr:uid="{00000000-0005-0000-0000-000049020000}"/>
    <cellStyle name="% 5" xfId="590" xr:uid="{00000000-0005-0000-0000-00004A020000}"/>
    <cellStyle name="% 50" xfId="591" xr:uid="{00000000-0005-0000-0000-00004B020000}"/>
    <cellStyle name="% 51" xfId="592" xr:uid="{00000000-0005-0000-0000-00004C020000}"/>
    <cellStyle name="% 52" xfId="593" xr:uid="{00000000-0005-0000-0000-00004D020000}"/>
    <cellStyle name="% 53" xfId="594" xr:uid="{00000000-0005-0000-0000-00004E020000}"/>
    <cellStyle name="% 54" xfId="595" xr:uid="{00000000-0005-0000-0000-00004F020000}"/>
    <cellStyle name="% 55" xfId="596" xr:uid="{00000000-0005-0000-0000-000050020000}"/>
    <cellStyle name="% 56" xfId="597" xr:uid="{00000000-0005-0000-0000-000051020000}"/>
    <cellStyle name="% 57" xfId="598" xr:uid="{00000000-0005-0000-0000-000052020000}"/>
    <cellStyle name="% 58" xfId="599" xr:uid="{00000000-0005-0000-0000-000053020000}"/>
    <cellStyle name="% 59" xfId="600" xr:uid="{00000000-0005-0000-0000-000054020000}"/>
    <cellStyle name="% 6" xfId="601" xr:uid="{00000000-0005-0000-0000-000055020000}"/>
    <cellStyle name="% 60" xfId="602" xr:uid="{00000000-0005-0000-0000-000056020000}"/>
    <cellStyle name="% 61" xfId="603" xr:uid="{00000000-0005-0000-0000-000057020000}"/>
    <cellStyle name="% 62" xfId="604" xr:uid="{00000000-0005-0000-0000-000058020000}"/>
    <cellStyle name="% 63" xfId="605" xr:uid="{00000000-0005-0000-0000-000059020000}"/>
    <cellStyle name="% 64" xfId="606" xr:uid="{00000000-0005-0000-0000-00005A020000}"/>
    <cellStyle name="% 65" xfId="607" xr:uid="{00000000-0005-0000-0000-00005B020000}"/>
    <cellStyle name="% 66" xfId="608" xr:uid="{00000000-0005-0000-0000-00005C020000}"/>
    <cellStyle name="% 67" xfId="609" xr:uid="{00000000-0005-0000-0000-00005D020000}"/>
    <cellStyle name="% 68" xfId="610" xr:uid="{00000000-0005-0000-0000-00005E020000}"/>
    <cellStyle name="% 69" xfId="611" xr:uid="{00000000-0005-0000-0000-00005F020000}"/>
    <cellStyle name="% 7" xfId="612" xr:uid="{00000000-0005-0000-0000-000060020000}"/>
    <cellStyle name="% 70" xfId="613" xr:uid="{00000000-0005-0000-0000-000061020000}"/>
    <cellStyle name="% 71" xfId="614" xr:uid="{00000000-0005-0000-0000-000062020000}"/>
    <cellStyle name="% 72" xfId="615" xr:uid="{00000000-0005-0000-0000-000063020000}"/>
    <cellStyle name="% 73" xfId="616" xr:uid="{00000000-0005-0000-0000-000064020000}"/>
    <cellStyle name="% 74" xfId="617" xr:uid="{00000000-0005-0000-0000-000065020000}"/>
    <cellStyle name="% 75" xfId="618" xr:uid="{00000000-0005-0000-0000-000066020000}"/>
    <cellStyle name="% 76" xfId="619" xr:uid="{00000000-0005-0000-0000-000067020000}"/>
    <cellStyle name="% 77" xfId="620" xr:uid="{00000000-0005-0000-0000-000068020000}"/>
    <cellStyle name="% 78" xfId="621" xr:uid="{00000000-0005-0000-0000-000069020000}"/>
    <cellStyle name="% 79" xfId="622" xr:uid="{00000000-0005-0000-0000-00006A020000}"/>
    <cellStyle name="% 8" xfId="623" xr:uid="{00000000-0005-0000-0000-00006B020000}"/>
    <cellStyle name="% 80" xfId="624" xr:uid="{00000000-0005-0000-0000-00006C020000}"/>
    <cellStyle name="% 81" xfId="625" xr:uid="{00000000-0005-0000-0000-00006D020000}"/>
    <cellStyle name="% 82" xfId="626" xr:uid="{00000000-0005-0000-0000-00006E020000}"/>
    <cellStyle name="% 83" xfId="627" xr:uid="{00000000-0005-0000-0000-00006F020000}"/>
    <cellStyle name="% 84" xfId="628" xr:uid="{00000000-0005-0000-0000-000070020000}"/>
    <cellStyle name="% 85" xfId="629" xr:uid="{00000000-0005-0000-0000-000071020000}"/>
    <cellStyle name="% 86" xfId="630" xr:uid="{00000000-0005-0000-0000-000072020000}"/>
    <cellStyle name="% 87" xfId="631" xr:uid="{00000000-0005-0000-0000-000073020000}"/>
    <cellStyle name="% 88" xfId="632" xr:uid="{00000000-0005-0000-0000-000074020000}"/>
    <cellStyle name="% 89" xfId="633" xr:uid="{00000000-0005-0000-0000-000075020000}"/>
    <cellStyle name="% 9" xfId="634" xr:uid="{00000000-0005-0000-0000-000076020000}"/>
    <cellStyle name="% 90" xfId="635" xr:uid="{00000000-0005-0000-0000-000077020000}"/>
    <cellStyle name="% 91" xfId="636" xr:uid="{00000000-0005-0000-0000-000078020000}"/>
    <cellStyle name="% 92" xfId="637" xr:uid="{00000000-0005-0000-0000-000079020000}"/>
    <cellStyle name="% 93" xfId="638" xr:uid="{00000000-0005-0000-0000-00007A020000}"/>
    <cellStyle name="% 94" xfId="639" xr:uid="{00000000-0005-0000-0000-00007B020000}"/>
    <cellStyle name="% 95" xfId="640" xr:uid="{00000000-0005-0000-0000-00007C020000}"/>
    <cellStyle name="% 96" xfId="641" xr:uid="{00000000-0005-0000-0000-00007D020000}"/>
    <cellStyle name="% 97" xfId="642" xr:uid="{00000000-0005-0000-0000-00007E020000}"/>
    <cellStyle name="% 98" xfId="643" xr:uid="{00000000-0005-0000-0000-00007F020000}"/>
    <cellStyle name="% 99" xfId="644" xr:uid="{00000000-0005-0000-0000-000080020000}"/>
    <cellStyle name="%_1. +-Changes from RIIO vD4 to vD5" xfId="645" xr:uid="{00000000-0005-0000-0000-000081020000}"/>
    <cellStyle name="%_1.3 Acc Costs NG (2011)" xfId="646" xr:uid="{00000000-0005-0000-0000-000082020000}"/>
    <cellStyle name="%_1.3 Acc Costs NG (2011) 2" xfId="647" xr:uid="{00000000-0005-0000-0000-000083020000}"/>
    <cellStyle name="%_1.3 Acc Costs NG (2011) 3" xfId="648" xr:uid="{00000000-0005-0000-0000-000084020000}"/>
    <cellStyle name="%_1.3 Acc Costs NG (2011) 4" xfId="649" xr:uid="{00000000-0005-0000-0000-000085020000}"/>
    <cellStyle name="%_1.3 Acc Costs NG (2011) 5" xfId="650" xr:uid="{00000000-0005-0000-0000-000086020000}"/>
    <cellStyle name="%_1.3 Acc Costs NG (2011) 6" xfId="651" xr:uid="{00000000-0005-0000-0000-000087020000}"/>
    <cellStyle name="%_1.3 Acc Costs NG (2011) 7" xfId="652" xr:uid="{00000000-0005-0000-0000-000088020000}"/>
    <cellStyle name="%_1.3 Acc Costs NG (2011) 8" xfId="653" xr:uid="{00000000-0005-0000-0000-000089020000}"/>
    <cellStyle name="%_1.3 Rec to old modelling" xfId="654" xr:uid="{00000000-0005-0000-0000-00008A020000}"/>
    <cellStyle name="%_1.3s Accounting C Costs Scots" xfId="655" xr:uid="{00000000-0005-0000-0000-00008B020000}"/>
    <cellStyle name="%_1.5 Opex Reconciliation NG" xfId="656" xr:uid="{00000000-0005-0000-0000-00008C020000}"/>
    <cellStyle name="%_1.8 Irregular Items" xfId="657" xr:uid="{00000000-0005-0000-0000-00008D020000}"/>
    <cellStyle name="%_1.8 Irregular Items 2" xfId="658" xr:uid="{00000000-0005-0000-0000-00008E020000}"/>
    <cellStyle name="%_1.8 Irregular Items 3" xfId="659" xr:uid="{00000000-0005-0000-0000-00008F020000}"/>
    <cellStyle name="%_1.8 Irregular Items 4" xfId="660" xr:uid="{00000000-0005-0000-0000-000090020000}"/>
    <cellStyle name="%_1.8 Irregular Items 5" xfId="661" xr:uid="{00000000-0005-0000-0000-000091020000}"/>
    <cellStyle name="%_1.8 Irregular Items 6" xfId="662" xr:uid="{00000000-0005-0000-0000-000092020000}"/>
    <cellStyle name="%_1.8 Irregular Items 7" xfId="663" xr:uid="{00000000-0005-0000-0000-000093020000}"/>
    <cellStyle name="%_1.8 Irregular Items 8" xfId="664" xr:uid="{00000000-0005-0000-0000-000094020000}"/>
    <cellStyle name="%_2.14 Year on Year Movt" xfId="665" xr:uid="{00000000-0005-0000-0000-000095020000}"/>
    <cellStyle name="%_2.14 Year on Year Movt ( (2013)" xfId="666" xr:uid="{00000000-0005-0000-0000-000096020000}"/>
    <cellStyle name="%_2.14 Year on Year Movt ( (2013) 2" xfId="667" xr:uid="{00000000-0005-0000-0000-000097020000}"/>
    <cellStyle name="%_2.14 Year on Year Movt ( (2013) 3" xfId="668" xr:uid="{00000000-0005-0000-0000-000098020000}"/>
    <cellStyle name="%_2.14 Year on Year Movt ( (2013) 4" xfId="669" xr:uid="{00000000-0005-0000-0000-000099020000}"/>
    <cellStyle name="%_2.14 Year on Year Movt ( (2013) 5" xfId="670" xr:uid="{00000000-0005-0000-0000-00009A020000}"/>
    <cellStyle name="%_2.14 Year on Year Movt ( (2013) 6" xfId="671" xr:uid="{00000000-0005-0000-0000-00009B020000}"/>
    <cellStyle name="%_2.14 Year on Year Movt ( (2013) 7" xfId="672" xr:uid="{00000000-0005-0000-0000-00009C020000}"/>
    <cellStyle name="%_2.14 Year on Year Movt ( (2013) 8" xfId="673" xr:uid="{00000000-0005-0000-0000-00009D020000}"/>
    <cellStyle name="%_2.14 Year on Year Movt (2011)" xfId="674" xr:uid="{00000000-0005-0000-0000-00009E020000}"/>
    <cellStyle name="%_2.14 Year on Year Movt (2011) 2" xfId="675" xr:uid="{00000000-0005-0000-0000-00009F020000}"/>
    <cellStyle name="%_2.14 Year on Year Movt (2011) 3" xfId="676" xr:uid="{00000000-0005-0000-0000-0000A0020000}"/>
    <cellStyle name="%_2.14 Year on Year Movt (2011) 4" xfId="677" xr:uid="{00000000-0005-0000-0000-0000A1020000}"/>
    <cellStyle name="%_2.14 Year on Year Movt (2011) 5" xfId="678" xr:uid="{00000000-0005-0000-0000-0000A2020000}"/>
    <cellStyle name="%_2.14 Year on Year Movt (2011) 6" xfId="679" xr:uid="{00000000-0005-0000-0000-0000A3020000}"/>
    <cellStyle name="%_2.14 Year on Year Movt (2011) 7" xfId="680" xr:uid="{00000000-0005-0000-0000-0000A4020000}"/>
    <cellStyle name="%_2.14 Year on Year Movt (2011) 8" xfId="681" xr:uid="{00000000-0005-0000-0000-0000A5020000}"/>
    <cellStyle name="%_2.14 Year on Year Movt (2012)" xfId="682" xr:uid="{00000000-0005-0000-0000-0000A6020000}"/>
    <cellStyle name="%_2.14 Year on Year Movt (2012) 2" xfId="683" xr:uid="{00000000-0005-0000-0000-0000A7020000}"/>
    <cellStyle name="%_2.14 Year on Year Movt (2012) 3" xfId="684" xr:uid="{00000000-0005-0000-0000-0000A8020000}"/>
    <cellStyle name="%_2.14 Year on Year Movt (2012) 4" xfId="685" xr:uid="{00000000-0005-0000-0000-0000A9020000}"/>
    <cellStyle name="%_2.14 Year on Year Movt (2012) 5" xfId="686" xr:uid="{00000000-0005-0000-0000-0000AA020000}"/>
    <cellStyle name="%_2.14 Year on Year Movt (2012) 6" xfId="687" xr:uid="{00000000-0005-0000-0000-0000AB020000}"/>
    <cellStyle name="%_2.14 Year on Year Movt (2012) 7" xfId="688" xr:uid="{00000000-0005-0000-0000-0000AC020000}"/>
    <cellStyle name="%_2.14 Year on Year Movt (2012) 8" xfId="689" xr:uid="{00000000-0005-0000-0000-0000AD020000}"/>
    <cellStyle name="%_2.4 Exc &amp; Demin " xfId="690" xr:uid="{00000000-0005-0000-0000-0000AE020000}"/>
    <cellStyle name="%_2.7s Insurance" xfId="691" xr:uid="{00000000-0005-0000-0000-0000AF020000}"/>
    <cellStyle name="%_2010_NGET_TPCR4_RO_FBPQ(Opex) trace only FINAL(DPP)" xfId="692" xr:uid="{00000000-0005-0000-0000-0000B0020000}"/>
    <cellStyle name="%_2010_NGET_TPCR4_RO_FBPQ(Opex) trace only FINAL(DPP) 2" xfId="693" xr:uid="{00000000-0005-0000-0000-0000B1020000}"/>
    <cellStyle name="%_2010_NGET_TPCR4_RO_FBPQ(Opex) trace only FINAL(DPP) 3" xfId="694" xr:uid="{00000000-0005-0000-0000-0000B2020000}"/>
    <cellStyle name="%_2010_NGET_TPCR4_RO_FBPQ(Opex) trace only FINAL(DPP) 4" xfId="695" xr:uid="{00000000-0005-0000-0000-0000B3020000}"/>
    <cellStyle name="%_2010_NGET_TPCR4_RO_FBPQ(Opex) trace only FINAL(DPP) 5" xfId="696" xr:uid="{00000000-0005-0000-0000-0000B4020000}"/>
    <cellStyle name="%_2010_NGET_TPCR4_RO_FBPQ(Opex) trace only FINAL(DPP) 6" xfId="697" xr:uid="{00000000-0005-0000-0000-0000B5020000}"/>
    <cellStyle name="%_2010_NGET_TPCR4_RO_FBPQ(Opex) trace only FINAL(DPP) 7" xfId="698" xr:uid="{00000000-0005-0000-0000-0000B6020000}"/>
    <cellStyle name="%_2010_NGET_TPCR4_RO_FBPQ(Opex) trace only FINAL(DPP) 8" xfId="699" xr:uid="{00000000-0005-0000-0000-0000B7020000}"/>
    <cellStyle name="%_3.1.2 DB Pension Detail" xfId="700" xr:uid="{00000000-0005-0000-0000-0000B8020000}"/>
    <cellStyle name="%_3.3 Tax" xfId="701" xr:uid="{00000000-0005-0000-0000-0000B9020000}"/>
    <cellStyle name="%_3.3 Tax 2" xfId="702" xr:uid="{00000000-0005-0000-0000-0000BA020000}"/>
    <cellStyle name="%_3.3 Tax 2 2" xfId="703" xr:uid="{00000000-0005-0000-0000-0000BB020000}"/>
    <cellStyle name="%_3.3 Tax 3" xfId="704" xr:uid="{00000000-0005-0000-0000-0000BC020000}"/>
    <cellStyle name="%_3.3 Tax_2.14 Year on Year Movt" xfId="705" xr:uid="{00000000-0005-0000-0000-0000BD020000}"/>
    <cellStyle name="%_3.3 Tax_2.4 Exc &amp; Demin " xfId="706" xr:uid="{00000000-0005-0000-0000-0000BE020000}"/>
    <cellStyle name="%_3.3 Tax_2.7s Insurance" xfId="707" xr:uid="{00000000-0005-0000-0000-0000BF020000}"/>
    <cellStyle name="%_3.3 Tax_3.1.2 DB Pension Detail" xfId="708" xr:uid="{00000000-0005-0000-0000-0000C0020000}"/>
    <cellStyle name="%_3.3 Tax_4.16 Asset lives" xfId="709" xr:uid="{00000000-0005-0000-0000-0000C1020000}"/>
    <cellStyle name="%_4.16 Asset lives" xfId="710" xr:uid="{00000000-0005-0000-0000-0000C2020000}"/>
    <cellStyle name="%_4.2 Activity Indicators" xfId="711" xr:uid="{00000000-0005-0000-0000-0000C3020000}"/>
    <cellStyle name="%_4.2 Activity Indicators 2" xfId="712" xr:uid="{00000000-0005-0000-0000-0000C4020000}"/>
    <cellStyle name="%_4.2 Activity Indicators 2 2" xfId="713" xr:uid="{00000000-0005-0000-0000-0000C5020000}"/>
    <cellStyle name="%_4.2 Activity Indicators 3" xfId="714" xr:uid="{00000000-0005-0000-0000-0000C6020000}"/>
    <cellStyle name="%_4.20 Scheme Listing NLR" xfId="715" xr:uid="{00000000-0005-0000-0000-0000C7020000}"/>
    <cellStyle name="%_4.3 Transmission system performance" xfId="716" xr:uid="{00000000-0005-0000-0000-0000C8020000}"/>
    <cellStyle name="%_5.15.1 Cond &amp; Risk-Entry Points" xfId="717" xr:uid="{00000000-0005-0000-0000-0000C9020000}"/>
    <cellStyle name="%_5.15.2 Cond &amp; Risk-Exit Points" xfId="718" xr:uid="{00000000-0005-0000-0000-0000CA020000}"/>
    <cellStyle name="%_5.15.3 Cond &amp; Risk-Comps" xfId="719" xr:uid="{00000000-0005-0000-0000-0000CB020000}"/>
    <cellStyle name="%_5.15.4 Cond &amp; Risk-Pipelines" xfId="720" xr:uid="{00000000-0005-0000-0000-0000CC020000}"/>
    <cellStyle name="%_5.15.5 Cond &amp; Risk-Multijunctin" xfId="721" xr:uid="{00000000-0005-0000-0000-0000CD020000}"/>
    <cellStyle name="%_5.6 Environmental " xfId="722" xr:uid="{00000000-0005-0000-0000-0000CE020000}"/>
    <cellStyle name="%_5.9 Asset data " xfId="723" xr:uid="{00000000-0005-0000-0000-0000CF020000}"/>
    <cellStyle name="%_Book1" xfId="724" xr:uid="{00000000-0005-0000-0000-0000D0020000}"/>
    <cellStyle name="%_BP10+ GTO Capex Split CN" xfId="725" xr:uid="{00000000-0005-0000-0000-0000D1020000}"/>
    <cellStyle name="%_Business Plan " xfId="726" xr:uid="{00000000-0005-0000-0000-0000D2020000}"/>
    <cellStyle name="%_CE_YEDL_Consolidated_FBPQ_June_Final" xfId="48218" xr:uid="{00000000-0005-0000-0000-0000D3020000}"/>
    <cellStyle name="%_Copy of Repair Draft RIIO Plan v0.11" xfId="727" xr:uid="{00000000-0005-0000-0000-0000D4020000}"/>
    <cellStyle name="%_Customer Operations Business Plan Input Reqs (3)" xfId="728" xr:uid="{00000000-0005-0000-0000-0000D5020000}"/>
    <cellStyle name="%_Draft RIIO plan presentation template - Commercial (2)" xfId="729" xr:uid="{00000000-0005-0000-0000-0000D6020000}"/>
    <cellStyle name="%_Draft RIIO plan presentation template - Customer Opsx Centre V2 (2)" xfId="730" xr:uid="{00000000-0005-0000-0000-0000D7020000}"/>
    <cellStyle name="%_Draft RIIO plan presentation template - Customer Opsx Centre V2 (2) - updated with mapping" xfId="731" xr:uid="{00000000-0005-0000-0000-0000D8020000}"/>
    <cellStyle name="%_Draft RIIO plan presentation template - Customer Opsx Centre V7" xfId="732" xr:uid="{00000000-0005-0000-0000-0000D9020000}"/>
    <cellStyle name="%_Emergency DRAFT RIIO Plan V0 3 1" xfId="733" xr:uid="{00000000-0005-0000-0000-0000DA020000}"/>
    <cellStyle name="%_Emergency DRAFT RIIO Plan V0 9" xfId="734" xr:uid="{00000000-0005-0000-0000-0000DB020000}"/>
    <cellStyle name="%_EMS 0.1 Emergency Process" xfId="735" xr:uid="{00000000-0005-0000-0000-0000DC020000}"/>
    <cellStyle name="%_EMS 0.1 Emergency Process - Opex plan template" xfId="736" xr:uid="{00000000-0005-0000-0000-0000DD020000}"/>
    <cellStyle name="%_EMS 0.2 Emergency Process" xfId="737" xr:uid="{00000000-0005-0000-0000-0000DE020000}"/>
    <cellStyle name="%_GTO Non Operational Capex Roll-over submission (FINAL with property)" xfId="738" xr:uid="{00000000-0005-0000-0000-0000DF020000}"/>
    <cellStyle name="%_Maintenance Draft RIIO Plan v0.1" xfId="739" xr:uid="{00000000-0005-0000-0000-0000E0020000}"/>
    <cellStyle name="%_Manual Adjustments" xfId="740" xr:uid="{00000000-0005-0000-0000-0000E1020000}"/>
    <cellStyle name="%_Network Strategy Business Plan Input Reqs - v10" xfId="741" xr:uid="{00000000-0005-0000-0000-0000E2020000}"/>
    <cellStyle name="%_NGET Opex PCRRP Tables 31 Mar 2010 Final" xfId="742" xr:uid="{00000000-0005-0000-0000-0000E3020000}"/>
    <cellStyle name="%_NGET Opex PCRRP Tables 31 Mar 2010 Final 2" xfId="743" xr:uid="{00000000-0005-0000-0000-0000E4020000}"/>
    <cellStyle name="%_NGG Capex PCRRP Tables 31 Mar 2010 DraftV6 FINAL" xfId="744" xr:uid="{00000000-0005-0000-0000-0000E5020000}"/>
    <cellStyle name="%_NGG Opex PCRRP Tables 31 Mar 2009" xfId="745" xr:uid="{00000000-0005-0000-0000-0000E6020000}"/>
    <cellStyle name="%_NGG Opex PCRRP Tables 31 Mar 2010 final" xfId="746" xr:uid="{00000000-0005-0000-0000-0000E7020000}"/>
    <cellStyle name="%_NGG TPCR4 MG Workings" xfId="747" xr:uid="{00000000-0005-0000-0000-0000E8020000}"/>
    <cellStyle name="%_NGG TPCR4 Rollover FBPQ (Capex)" xfId="748" xr:uid="{00000000-0005-0000-0000-0000E9020000}"/>
    <cellStyle name="%_Non formula" xfId="749" xr:uid="{00000000-0005-0000-0000-0000EA020000}"/>
    <cellStyle name="%_Opex Consolidation v0.4" xfId="750" xr:uid="{00000000-0005-0000-0000-0000EB020000}"/>
    <cellStyle name="%_Opex plan template draft5" xfId="751" xr:uid="{00000000-0005-0000-0000-0000EC020000}"/>
    <cellStyle name="%_Opex plan template draft5b" xfId="752" xr:uid="{00000000-0005-0000-0000-0000ED020000}"/>
    <cellStyle name="%_Opex plan template draft5b 2" xfId="753" xr:uid="{00000000-0005-0000-0000-0000EE020000}"/>
    <cellStyle name="%_Opex plan template draft5b 2 2" xfId="754" xr:uid="{00000000-0005-0000-0000-0000EF020000}"/>
    <cellStyle name="%_Opex plan template draft5b 3" xfId="755" xr:uid="{00000000-0005-0000-0000-0000F0020000}"/>
    <cellStyle name="%_Opex plan template draft5b 3 2" xfId="756" xr:uid="{00000000-0005-0000-0000-0000F1020000}"/>
    <cellStyle name="%_Opex plan template draft6" xfId="757" xr:uid="{00000000-0005-0000-0000-0000F2020000}"/>
    <cellStyle name="%_Reactor (No scheme)" xfId="758" xr:uid="{00000000-0005-0000-0000-0000F3020000}"/>
    <cellStyle name="%_Reactor (Schemes)" xfId="759" xr:uid="{00000000-0005-0000-0000-0000F4020000}"/>
    <cellStyle name="%_Reactor_revisit (No scheme)" xfId="760" xr:uid="{00000000-0005-0000-0000-0000F5020000}"/>
    <cellStyle name="%_Reactor_revisit (Schemes)" xfId="761" xr:uid="{00000000-0005-0000-0000-0000F6020000}"/>
    <cellStyle name="%_Repair Draft RIIO Plan v0.12" xfId="762" xr:uid="{00000000-0005-0000-0000-0000F7020000}"/>
    <cellStyle name="%_Repair Draft RIIO Plan v0.18" xfId="763" xr:uid="{00000000-0005-0000-0000-0000F8020000}"/>
    <cellStyle name="%_Repair Draft RIIO Plan v0.19" xfId="764" xr:uid="{00000000-0005-0000-0000-0000F9020000}"/>
    <cellStyle name="%_Repair Draft RIIO Plan v0.20" xfId="765" xr:uid="{00000000-0005-0000-0000-0000FA020000}"/>
    <cellStyle name="%_Repair Draft RIIO Plan v0.5" xfId="766" xr:uid="{00000000-0005-0000-0000-0000FB020000}"/>
    <cellStyle name="%_Repair Draft RIIO Plan v0.6" xfId="767" xr:uid="{00000000-0005-0000-0000-0000FC020000}"/>
    <cellStyle name="%_Repair Draft RIIO Plan v0.9" xfId="768" xr:uid="{00000000-0005-0000-0000-0000FD020000}"/>
    <cellStyle name="%_RIIO Baseline Plan v3A with Reg Comparison &amp; Graphs" xfId="769" xr:uid="{00000000-0005-0000-0000-0000FE020000}"/>
    <cellStyle name="%_RIIO plan template - NS v1" xfId="770" xr:uid="{00000000-0005-0000-0000-0000FF020000}"/>
    <cellStyle name="%_RRP Rec" xfId="48417" xr:uid="{00000000-0005-0000-0000-000000030000}"/>
    <cellStyle name="%_RRP table" xfId="771" xr:uid="{00000000-0005-0000-0000-000001030000}"/>
    <cellStyle name="%_RRP table_1" xfId="772" xr:uid="{00000000-0005-0000-0000-000002030000}"/>
    <cellStyle name="%_Sch 2.1 Eng schedule 2009-10 Final @ 270710" xfId="773" xr:uid="{00000000-0005-0000-0000-000003030000}"/>
    <cellStyle name="%_Sch 2.1 Eng schedule 2009-10 Final @ 270710 2" xfId="774" xr:uid="{00000000-0005-0000-0000-000004030000}"/>
    <cellStyle name="%_Sch 2.1 Eng schedule 2009-10 Final @ 270710 3" xfId="775" xr:uid="{00000000-0005-0000-0000-000005030000}"/>
    <cellStyle name="%_Sch 2.1 Eng schedule 2009-10 Final @ 270710 4" xfId="776" xr:uid="{00000000-0005-0000-0000-000006030000}"/>
    <cellStyle name="%_Sch 2.1 Eng schedule 2009-10 Final @ 270710 5" xfId="777" xr:uid="{00000000-0005-0000-0000-000007030000}"/>
    <cellStyle name="%_Sch 2.1 Eng schedule 2009-10 Final @ 270710 6" xfId="778" xr:uid="{00000000-0005-0000-0000-000008030000}"/>
    <cellStyle name="%_Sch 2.1 Eng schedule 2009-10 Final @ 270710 7" xfId="779" xr:uid="{00000000-0005-0000-0000-000009030000}"/>
    <cellStyle name="%_Sch 2.1 Eng schedule 2009-10 Final @ 270710 8" xfId="780" xr:uid="{00000000-0005-0000-0000-00000A030000}"/>
    <cellStyle name="%_Section 5" xfId="48418" xr:uid="{00000000-0005-0000-0000-00000B030000}"/>
    <cellStyle name="%_Section 5 2" xfId="48419" xr:uid="{00000000-0005-0000-0000-00000C030000}"/>
    <cellStyle name="%_Sheet1" xfId="781" xr:uid="{00000000-0005-0000-0000-00000D030000}"/>
    <cellStyle name="%_Stat  Accounts" xfId="782" xr:uid="{00000000-0005-0000-0000-00000E030000}"/>
    <cellStyle name="%_Switchgear (No scheme)" xfId="783" xr:uid="{00000000-0005-0000-0000-00000F030000}"/>
    <cellStyle name="%_Switchgear (Schemes)" xfId="784" xr:uid="{00000000-0005-0000-0000-000010030000}"/>
    <cellStyle name="%_Switchgear_revisit (No scheme)" xfId="785" xr:uid="{00000000-0005-0000-0000-000011030000}"/>
    <cellStyle name="%_Switchgear_revisit (Schemes)" xfId="786" xr:uid="{00000000-0005-0000-0000-000012030000}"/>
    <cellStyle name="%_Table 4 28_Final" xfId="787" xr:uid="{00000000-0005-0000-0000-000013030000}"/>
    <cellStyle name="%_Table 4-16 - Asset Lives - 2009-10_Final" xfId="788" xr:uid="{00000000-0005-0000-0000-000014030000}"/>
    <cellStyle name="%_Table 4-16 - Asset Lives - 2009-10_Final (2)" xfId="789" xr:uid="{00000000-0005-0000-0000-000015030000}"/>
    <cellStyle name="%_Total summary" xfId="790" xr:uid="{00000000-0005-0000-0000-000016030000}"/>
    <cellStyle name="%_TPCR4 RollOver NGG Draft Table 5.8 v2" xfId="791" xr:uid="{00000000-0005-0000-0000-000017030000}"/>
    <cellStyle name="%_TPCR4 RollOver NGG Draft Table 5.8 v2 2" xfId="792" xr:uid="{00000000-0005-0000-0000-000018030000}"/>
    <cellStyle name="%_TPCR4 RollOver NGG Draft Table 5.8 v2 3" xfId="793" xr:uid="{00000000-0005-0000-0000-000019030000}"/>
    <cellStyle name="%_TPCR4 RollOver NGG Draft Table 5.8 v2 4" xfId="794" xr:uid="{00000000-0005-0000-0000-00001A030000}"/>
    <cellStyle name="%_TPCR4 RollOver NGG Draft Table 5.8 v2 5" xfId="795" xr:uid="{00000000-0005-0000-0000-00001B030000}"/>
    <cellStyle name="%_TPCR4 RollOver NGG Draft Table 5.8 v2 6" xfId="796" xr:uid="{00000000-0005-0000-0000-00001C030000}"/>
    <cellStyle name="%_TPCR4 RollOver NGG Draft Table 5.8 v2 7" xfId="797" xr:uid="{00000000-0005-0000-0000-00001D030000}"/>
    <cellStyle name="%_TPCR4 RollOver NGG Draft Table 5.8 v2 8" xfId="798" xr:uid="{00000000-0005-0000-0000-00001E030000}"/>
    <cellStyle name="%_Transformer data based on November Freeze and RIIObaseline D6 data 10062011" xfId="799" xr:uid="{00000000-0005-0000-0000-00001F030000}"/>
    <cellStyle name="%_Transmission PCRRP tables_SPTL_200809 V1" xfId="800" xr:uid="{00000000-0005-0000-0000-000020030000}"/>
    <cellStyle name="%_Transmission PCRRP tables_SPTL_200809 V1 2" xfId="801" xr:uid="{00000000-0005-0000-0000-000021030000}"/>
    <cellStyle name="%_Transmission PCRRP tables_SPTL_200809 V1 3" xfId="802" xr:uid="{00000000-0005-0000-0000-000022030000}"/>
    <cellStyle name="%_Transmission PCRRP tables_SPTL_200809 V1 4" xfId="803" xr:uid="{00000000-0005-0000-0000-000023030000}"/>
    <cellStyle name="%_Transmission PCRRP tables_SPTL_200809 V1_3.1.2 DB Pension Detail" xfId="804" xr:uid="{00000000-0005-0000-0000-000024030000}"/>
    <cellStyle name="%_Transmission PCRRP tables_SPTL_200809 V1_4.20 Scheme Listing NLR" xfId="805" xr:uid="{00000000-0005-0000-0000-000025030000}"/>
    <cellStyle name="%_Transmission PCRRP tables_SPTL_200809 V1_Table 4 28_Final" xfId="806" xr:uid="{00000000-0005-0000-0000-000026030000}"/>
    <cellStyle name="%_Transmission PCRRP tables_SPTL_200809 V1_Table 4-16 - Asset Lives - 2009-10_Final" xfId="807" xr:uid="{00000000-0005-0000-0000-000027030000}"/>
    <cellStyle name="%_Transmission PCRRP tables_SPTL_200809 V1_Table 4-16 - Asset Lives - 2009-10_Final (2)" xfId="808" xr:uid="{00000000-0005-0000-0000-000028030000}"/>
    <cellStyle name="%_Tx (No scheme)" xfId="809" xr:uid="{00000000-0005-0000-0000-000029030000}"/>
    <cellStyle name="%_Tx (Schemes)" xfId="810" xr:uid="{00000000-0005-0000-0000-00002A030000}"/>
    <cellStyle name="%_Tx_revisit (No scheme)" xfId="811" xr:uid="{00000000-0005-0000-0000-00002B030000}"/>
    <cellStyle name="%_Tx_revisit (Schemes)" xfId="812" xr:uid="{00000000-0005-0000-0000-00002C030000}"/>
    <cellStyle name="%_VR Asset Man NGET 1.3 1.7 1.8, 2.14 2.15" xfId="813" xr:uid="{00000000-0005-0000-0000-00002D030000}"/>
    <cellStyle name="%_VR NGET Opex tables" xfId="814" xr:uid="{00000000-0005-0000-0000-00002E030000}"/>
    <cellStyle name="%_VR NGET Opex tables_1.5 Opex Reconciliation NG" xfId="815" xr:uid="{00000000-0005-0000-0000-00002F030000}"/>
    <cellStyle name="%_VR Pensions Opex tables" xfId="816" xr:uid="{00000000-0005-0000-0000-000030030000}"/>
    <cellStyle name="%_VR Pensions Opex tables_2010_NGET_TPCR4_RO_FBPQ(Opex) trace only FINAL(DPP)" xfId="817" xr:uid="{00000000-0005-0000-0000-000031030000}"/>
    <cellStyle name="%_Winter - Pay deal impacts - Repair" xfId="818" xr:uid="{00000000-0005-0000-0000-000032030000}"/>
    <cellStyle name="%_WJBP Acc Ctrl v3" xfId="819" xr:uid="{00000000-0005-0000-0000-000033030000}"/>
    <cellStyle name="******************************************" xfId="820" xr:uid="{00000000-0005-0000-0000-000034030000}"/>
    <cellStyle name="?? [0]_VERA" xfId="821" xr:uid="{00000000-0005-0000-0000-000035030000}"/>
    <cellStyle name="?????_VERA" xfId="822" xr:uid="{00000000-0005-0000-0000-000036030000}"/>
    <cellStyle name="??_VERA" xfId="823" xr:uid="{00000000-0005-0000-0000-000037030000}"/>
    <cellStyle name="_070323 - 5yr opex BPQ (Final)" xfId="824" xr:uid="{00000000-0005-0000-0000-000038030000}"/>
    <cellStyle name="_070323 - 5yr opex BPQ (Final) 2" xfId="825" xr:uid="{00000000-0005-0000-0000-000039030000}"/>
    <cellStyle name="_070323 - 5yr opex BPQ (Final) 3" xfId="826" xr:uid="{00000000-0005-0000-0000-00003A030000}"/>
    <cellStyle name="_070323 - 5yr opex BPQ (Final) 4" xfId="827" xr:uid="{00000000-0005-0000-0000-00003B030000}"/>
    <cellStyle name="_070323 - 5yr opex BPQ (Final) 5" xfId="828" xr:uid="{00000000-0005-0000-0000-00003C030000}"/>
    <cellStyle name="_070323 - 5yr opex BPQ (Final) 6" xfId="829" xr:uid="{00000000-0005-0000-0000-00003D030000}"/>
    <cellStyle name="_070323 - 5yr opex BPQ (Final) 7" xfId="830" xr:uid="{00000000-0005-0000-0000-00003E030000}"/>
    <cellStyle name="_070323 - 5yr opex BPQ (Final) 8" xfId="831" xr:uid="{00000000-0005-0000-0000-00003F030000}"/>
    <cellStyle name="_0708 GSO Capex RRP (detail)" xfId="832" xr:uid="{00000000-0005-0000-0000-000040030000}"/>
    <cellStyle name="_0708 GSO Capex RRP (detail)_RRP table" xfId="833" xr:uid="{00000000-0005-0000-0000-000041030000}"/>
    <cellStyle name="_0708 TO Non-Op Capex (detail)" xfId="834" xr:uid="{00000000-0005-0000-0000-000042030000}"/>
    <cellStyle name="_0708 TO Non-Op Capex (detail) 2" xfId="835" xr:uid="{00000000-0005-0000-0000-000043030000}"/>
    <cellStyle name="_0708 TO Non-Op Capex (detail) 3" xfId="836" xr:uid="{00000000-0005-0000-0000-000044030000}"/>
    <cellStyle name="_0708 TO Non-Op Capex (detail) 4" xfId="837" xr:uid="{00000000-0005-0000-0000-000045030000}"/>
    <cellStyle name="_0708 TO Non-Op Capex (detail) 5" xfId="838" xr:uid="{00000000-0005-0000-0000-000046030000}"/>
    <cellStyle name="_0708 TO Non-Op Capex (detail) 6" xfId="839" xr:uid="{00000000-0005-0000-0000-000047030000}"/>
    <cellStyle name="_0708 TO Non-Op Capex (detail) 7" xfId="840" xr:uid="{00000000-0005-0000-0000-000048030000}"/>
    <cellStyle name="_0708 TO Non-Op Capex (detail) 8" xfId="841" xr:uid="{00000000-0005-0000-0000-000049030000}"/>
    <cellStyle name="_0708 TO Non-Op Capex (detail)_1.3 Rec to old modelling" xfId="842" xr:uid="{00000000-0005-0000-0000-00004A030000}"/>
    <cellStyle name="_0708 TO Non-Op Capex (detail)_1.5 Opex Reconciliation NG" xfId="843" xr:uid="{00000000-0005-0000-0000-00004B030000}"/>
    <cellStyle name="_0708 TO Non-Op Capex (detail)_2010_NGET_TPCR4_RO_FBPQ(Opex) trace only FINAL(DPP)" xfId="844" xr:uid="{00000000-0005-0000-0000-00004C030000}"/>
    <cellStyle name="_0708 TO Non-Op Capex (detail)_2010_NGET_TPCR4_RO_FBPQ(Opex) trace only FINAL(DPP) 2" xfId="845" xr:uid="{00000000-0005-0000-0000-00004D030000}"/>
    <cellStyle name="_0708 TO Non-Op Capex (detail)_2010_NGET_TPCR4_RO_FBPQ(Opex) trace only FINAL(DPP) 3" xfId="846" xr:uid="{00000000-0005-0000-0000-00004E030000}"/>
    <cellStyle name="_0708 TO Non-Op Capex (detail)_2010_NGET_TPCR4_RO_FBPQ(Opex) trace only FINAL(DPP) 4" xfId="847" xr:uid="{00000000-0005-0000-0000-00004F030000}"/>
    <cellStyle name="_0708 TO Non-Op Capex (detail)_2010_NGET_TPCR4_RO_FBPQ(Opex) trace only FINAL(DPP) 5" xfId="848" xr:uid="{00000000-0005-0000-0000-000050030000}"/>
    <cellStyle name="_0708 TO Non-Op Capex (detail)_2010_NGET_TPCR4_RO_FBPQ(Opex) trace only FINAL(DPP) 6" xfId="849" xr:uid="{00000000-0005-0000-0000-000051030000}"/>
    <cellStyle name="_0708 TO Non-Op Capex (detail)_2010_NGET_TPCR4_RO_FBPQ(Opex) trace only FINAL(DPP) 7" xfId="850" xr:uid="{00000000-0005-0000-0000-000052030000}"/>
    <cellStyle name="_0708 TO Non-Op Capex (detail)_2010_NGET_TPCR4_RO_FBPQ(Opex) trace only FINAL(DPP) 8" xfId="851" xr:uid="{00000000-0005-0000-0000-000053030000}"/>
    <cellStyle name="_0708 TO Non-Op Capex (detail)_Manual Adjustments" xfId="852" xr:uid="{00000000-0005-0000-0000-000054030000}"/>
    <cellStyle name="_0708 TO Non-Op Capex (detail)_NGET Opex PCRRP Tables 31 Mar 2010 Final" xfId="853" xr:uid="{00000000-0005-0000-0000-000055030000}"/>
    <cellStyle name="_0708 TO Non-Op Capex (detail)_RRP table" xfId="854" xr:uid="{00000000-0005-0000-0000-000056030000}"/>
    <cellStyle name="_0708 TO Non-Op Capex (detail)_Sheet1" xfId="855" xr:uid="{00000000-0005-0000-0000-000057030000}"/>
    <cellStyle name="_0decimals" xfId="856" xr:uid="{00000000-0005-0000-0000-000058030000}"/>
    <cellStyle name="_1.3 Acc Costs NG (2011)" xfId="857" xr:uid="{00000000-0005-0000-0000-000059030000}"/>
    <cellStyle name="_1.8 Irregular Items" xfId="858" xr:uid="{00000000-0005-0000-0000-00005A030000}"/>
    <cellStyle name="_2.14 Year on Year Movt ( (2013)" xfId="859" xr:uid="{00000000-0005-0000-0000-00005B030000}"/>
    <cellStyle name="_2.14 Year on Year Movt (2011)" xfId="860" xr:uid="{00000000-0005-0000-0000-00005C030000}"/>
    <cellStyle name="_2.14 Year on Year Movt (2012)" xfId="861" xr:uid="{00000000-0005-0000-0000-00005D030000}"/>
    <cellStyle name="_2.9 UK BS Reconciliation" xfId="862" xr:uid="{00000000-0005-0000-0000-00005E030000}"/>
    <cellStyle name="_2.9 UK BS Reconciliation_RRP table" xfId="863" xr:uid="{00000000-0005-0000-0000-00005F030000}"/>
    <cellStyle name="_Accounting entries Feb 09" xfId="864" xr:uid="{00000000-0005-0000-0000-000060030000}"/>
    <cellStyle name="_Actuals" xfId="865" xr:uid="{00000000-0005-0000-0000-000061030000}"/>
    <cellStyle name="_Actuals 2" xfId="866" xr:uid="{00000000-0005-0000-0000-000062030000}"/>
    <cellStyle name="_Admin 01e" xfId="867" xr:uid="{00000000-0005-0000-0000-000063030000}"/>
    <cellStyle name="_Admin 01e 2" xfId="868" xr:uid="{00000000-0005-0000-0000-000064030000}"/>
    <cellStyle name="_Admin 01e 2 2" xfId="869" xr:uid="{00000000-0005-0000-0000-000065030000}"/>
    <cellStyle name="_Admin 01e 3" xfId="870" xr:uid="{00000000-0005-0000-0000-000066030000}"/>
    <cellStyle name="_Admin 01e_SGN_14m" xfId="871" xr:uid="{00000000-0005-0000-0000-000067030000}"/>
    <cellStyle name="_Admin 01e_strategic model 05j (INDEXATION)" xfId="872" xr:uid="{00000000-0005-0000-0000-000068030000}"/>
    <cellStyle name="_Admin 01o" xfId="873" xr:uid="{00000000-0005-0000-0000-000069030000}"/>
    <cellStyle name="_Admin 01o 2" xfId="874" xr:uid="{00000000-0005-0000-0000-00006A030000}"/>
    <cellStyle name="_Admin 01o 2 2" xfId="875" xr:uid="{00000000-0005-0000-0000-00006B030000}"/>
    <cellStyle name="_Admin 01o 3" xfId="876" xr:uid="{00000000-0005-0000-0000-00006C030000}"/>
    <cellStyle name="_Admin 01o_SGN_14m" xfId="877" xr:uid="{00000000-0005-0000-0000-00006D030000}"/>
    <cellStyle name="_Admin 01o_strategic model 05j (INDEXATION)" xfId="878" xr:uid="{00000000-0005-0000-0000-00006E030000}"/>
    <cellStyle name="_Admin 02b" xfId="879" xr:uid="{00000000-0005-0000-0000-00006F030000}"/>
    <cellStyle name="_Admin 02b 2" xfId="880" xr:uid="{00000000-0005-0000-0000-000070030000}"/>
    <cellStyle name="_Admin 02b 2 2" xfId="881" xr:uid="{00000000-0005-0000-0000-000071030000}"/>
    <cellStyle name="_Admin 02b 3" xfId="882" xr:uid="{00000000-0005-0000-0000-000072030000}"/>
    <cellStyle name="_Admin 02b_SGN_14m" xfId="883" xr:uid="{00000000-0005-0000-0000-000073030000}"/>
    <cellStyle name="_Admin 02b_strategic model 05j (INDEXATION)" xfId="884" xr:uid="{00000000-0005-0000-0000-000074030000}"/>
    <cellStyle name="_Amended Capex position 2011-12" xfId="885" xr:uid="{00000000-0005-0000-0000-000075030000}"/>
    <cellStyle name="_Balance Sheet Rec" xfId="886" xr:uid="{00000000-0005-0000-0000-000076030000}"/>
    <cellStyle name="_Balance Sheet Rec 2" xfId="887" xr:uid="{00000000-0005-0000-0000-000077030000}"/>
    <cellStyle name="_Berr Strading Analysis v 04 (2012 to 2020) v0 8 (no capex from 2012)" xfId="888" xr:uid="{00000000-0005-0000-0000-000078030000}"/>
    <cellStyle name="_Book1 (2)" xfId="889" xr:uid="{00000000-0005-0000-0000-000079030000}"/>
    <cellStyle name="_Book2" xfId="890" xr:uid="{00000000-0005-0000-0000-00007A030000}"/>
    <cellStyle name="_Book3" xfId="891" xr:uid="{00000000-0005-0000-0000-00007B030000}"/>
    <cellStyle name="_Book4" xfId="892" xr:uid="{00000000-0005-0000-0000-00007C030000}"/>
    <cellStyle name="_BP10.2 v BP10v6 Reg Tables" xfId="893" xr:uid="{00000000-0005-0000-0000-00007D030000}"/>
    <cellStyle name="_BP10.2 v BP10v6 Reg Tables_Reactor (No scheme)" xfId="894" xr:uid="{00000000-0005-0000-0000-00007E030000}"/>
    <cellStyle name="_BP10.2 v BP10v6 Reg Tables_Reactor (Schemes)" xfId="895" xr:uid="{00000000-0005-0000-0000-00007F030000}"/>
    <cellStyle name="_BP10.2 v BP10v6 Reg Tables_Reactor_revisit (No scheme)" xfId="896" xr:uid="{00000000-0005-0000-0000-000080030000}"/>
    <cellStyle name="_BP10.2 v BP10v6 Reg Tables_Reactor_revisit (Schemes)" xfId="897" xr:uid="{00000000-0005-0000-0000-000081030000}"/>
    <cellStyle name="_BP10.2 v BP10v6 Reg Tables_Tx (No scheme)" xfId="898" xr:uid="{00000000-0005-0000-0000-000082030000}"/>
    <cellStyle name="_BP10.2 v BP10v6 Reg Tables_Tx (Schemes)" xfId="899" xr:uid="{00000000-0005-0000-0000-000083030000}"/>
    <cellStyle name="_BP10.2 v BP10v6 Reg Tables_Tx_revisit (No scheme)" xfId="900" xr:uid="{00000000-0005-0000-0000-000084030000}"/>
    <cellStyle name="_BP10.2 v BP10v6 Reg Tables_Tx_revisit (Schemes)" xfId="901" xr:uid="{00000000-0005-0000-0000-000085030000}"/>
    <cellStyle name="_BP10+ GTO Capex Split CN" xfId="902" xr:uid="{00000000-0005-0000-0000-000086030000}"/>
    <cellStyle name="_BP10+post TIC 1 Jun" xfId="903" xr:uid="{00000000-0005-0000-0000-000087030000}"/>
    <cellStyle name="_BP11 GTO Capex Split CN v3 Dec-15 upload" xfId="904" xr:uid="{00000000-0005-0000-0000-000088030000}"/>
    <cellStyle name="_BSIS-JUN-008 APX" xfId="905" xr:uid="{00000000-0005-0000-0000-000089030000}"/>
    <cellStyle name="_BSIS-MAY-011 &amp; BSIS-MAY-012R Escrow Ac's" xfId="906" xr:uid="{00000000-0005-0000-0000-00008A030000}"/>
    <cellStyle name="_Business Plan " xfId="907" xr:uid="{00000000-0005-0000-0000-00008B030000}"/>
    <cellStyle name="_capex 1011" xfId="908" xr:uid="{00000000-0005-0000-0000-00008C030000}"/>
    <cellStyle name="_Capex summary" xfId="909" xr:uid="{00000000-0005-0000-0000-00008D030000}"/>
    <cellStyle name="_Capital Plan - IS UK" xfId="910" xr:uid="{00000000-0005-0000-0000-00008E030000}"/>
    <cellStyle name="_Capital Plan - IS UK 2" xfId="911" xr:uid="{00000000-0005-0000-0000-00008F030000}"/>
    <cellStyle name="_Capital Plan - IS UK 3" xfId="912" xr:uid="{00000000-0005-0000-0000-000090030000}"/>
    <cellStyle name="_Capital Plan - IS UK 4" xfId="913" xr:uid="{00000000-0005-0000-0000-000091030000}"/>
    <cellStyle name="_Capital Plan - IS UK 5" xfId="914" xr:uid="{00000000-0005-0000-0000-000092030000}"/>
    <cellStyle name="_Capital Plan - IS UK 6" xfId="915" xr:uid="{00000000-0005-0000-0000-000093030000}"/>
    <cellStyle name="_Capital Plan - IS UK 7" xfId="916" xr:uid="{00000000-0005-0000-0000-000094030000}"/>
    <cellStyle name="_Capital Plan - IS UK 8" xfId="917" xr:uid="{00000000-0005-0000-0000-000095030000}"/>
    <cellStyle name="_Capital Plan - IS UK_0910 GSO Capex RRP - Final (Detail) v2 220710" xfId="918" xr:uid="{00000000-0005-0000-0000-000096030000}"/>
    <cellStyle name="_Capital Plan - IS UK_1.3 Rec to old modelling" xfId="919" xr:uid="{00000000-0005-0000-0000-000097030000}"/>
    <cellStyle name="_Capital Plan - IS UK_1.5 Opex Reconciliation NG" xfId="920" xr:uid="{00000000-0005-0000-0000-000098030000}"/>
    <cellStyle name="_Capital Plan - IS UK_2010_NGET_TPCR4_RO_FBPQ(Opex) trace only FINAL(DPP)" xfId="921" xr:uid="{00000000-0005-0000-0000-000099030000}"/>
    <cellStyle name="_Capital Plan - IS UK_2010_NGET_TPCR4_RO_FBPQ(Opex) trace only FINAL(DPP) 2" xfId="922" xr:uid="{00000000-0005-0000-0000-00009A030000}"/>
    <cellStyle name="_Capital Plan - IS UK_2010_NGET_TPCR4_RO_FBPQ(Opex) trace only FINAL(DPP) 3" xfId="923" xr:uid="{00000000-0005-0000-0000-00009B030000}"/>
    <cellStyle name="_Capital Plan - IS UK_2010_NGET_TPCR4_RO_FBPQ(Opex) trace only FINAL(DPP) 4" xfId="924" xr:uid="{00000000-0005-0000-0000-00009C030000}"/>
    <cellStyle name="_Capital Plan - IS UK_2010_NGET_TPCR4_RO_FBPQ(Opex) trace only FINAL(DPP) 5" xfId="925" xr:uid="{00000000-0005-0000-0000-00009D030000}"/>
    <cellStyle name="_Capital Plan - IS UK_2010_NGET_TPCR4_RO_FBPQ(Opex) trace only FINAL(DPP) 6" xfId="926" xr:uid="{00000000-0005-0000-0000-00009E030000}"/>
    <cellStyle name="_Capital Plan - IS UK_2010_NGET_TPCR4_RO_FBPQ(Opex) trace only FINAL(DPP) 7" xfId="927" xr:uid="{00000000-0005-0000-0000-00009F030000}"/>
    <cellStyle name="_Capital Plan - IS UK_2010_NGET_TPCR4_RO_FBPQ(Opex) trace only FINAL(DPP) 8" xfId="928" xr:uid="{00000000-0005-0000-0000-0000A0030000}"/>
    <cellStyle name="_Capital Plan - IS UK_Manual Adjustments" xfId="929" xr:uid="{00000000-0005-0000-0000-0000A1030000}"/>
    <cellStyle name="_Capital Plan - IS UK_NGET Opex PCRRP Tables 31 Mar 2010 Final" xfId="930" xr:uid="{00000000-0005-0000-0000-0000A2030000}"/>
    <cellStyle name="_Capital Plan - IS UK_RRP table" xfId="931" xr:uid="{00000000-0005-0000-0000-0000A3030000}"/>
    <cellStyle name="_Capital Plan - IS UK_RRP table_1" xfId="932" xr:uid="{00000000-0005-0000-0000-0000A4030000}"/>
    <cellStyle name="_Capital Plan - IS UK_Sheet1" xfId="933" xr:uid="{00000000-0005-0000-0000-0000A5030000}"/>
    <cellStyle name="_Capital Plan - IS UK_Stat  Accounts" xfId="934" xr:uid="{00000000-0005-0000-0000-0000A6030000}"/>
    <cellStyle name="_CE_YEDL_Consolidated_FBPQ_June_Final" xfId="48219" xr:uid="{00000000-0005-0000-0000-0000A7030000}"/>
    <cellStyle name="_CE_YEDL_Consolidated_FBPQ_June_Final 2" xfId="48220" xr:uid="{00000000-0005-0000-0000-0000A8030000}"/>
    <cellStyle name="_CE-YEDL MAIN FBPQ 090409" xfId="48221" xr:uid="{00000000-0005-0000-0000-0000A9030000}"/>
    <cellStyle name="_CE-YEDL MAIN FBPQ 090409 2" xfId="48222" xr:uid="{00000000-0005-0000-0000-0000AA030000}"/>
    <cellStyle name="_CFO tables - New style" xfId="935" xr:uid="{00000000-0005-0000-0000-0000AB030000}"/>
    <cellStyle name="_Comma" xfId="936" xr:uid="{00000000-0005-0000-0000-0000AC030000}"/>
    <cellStyle name="_Comma_CSC" xfId="937" xr:uid="{00000000-0005-0000-0000-0000AD030000}"/>
    <cellStyle name="_Comma_merger_plans_modified_9_3_1999" xfId="938" xr:uid="{00000000-0005-0000-0000-0000AE030000}"/>
    <cellStyle name="_Commercial Escrow journals" xfId="939" xr:uid="{00000000-0005-0000-0000-0000AF030000}"/>
    <cellStyle name="_Commercial RIIO Business Plan V1" xfId="940" xr:uid="{00000000-0005-0000-0000-0000B0030000}"/>
    <cellStyle name="_Consolidated Financial Statements (Planet Data Book Format) v9.5" xfId="941" xr:uid="{00000000-0005-0000-0000-0000B1030000}"/>
    <cellStyle name="_Consolidated NS Forecast - 2011-12 Jan-11" xfId="942" xr:uid="{00000000-0005-0000-0000-0000B2030000}"/>
    <cellStyle name="_Copy of SGN 10a Business Plan 2010v1" xfId="943" xr:uid="{00000000-0005-0000-0000-0000B3030000}"/>
    <cellStyle name="_Copy of SGN 10a Business Plan 2010v15 updated budget 190310l" xfId="944" xr:uid="{00000000-0005-0000-0000-0000B4030000}"/>
    <cellStyle name="_Copy of SGN 4.19 v3(OTPP) RF4" xfId="945" xr:uid="{00000000-0005-0000-0000-0000B5030000}"/>
    <cellStyle name="_Copy of SGN 4.19 v3(OTPP) RF4 2" xfId="946" xr:uid="{00000000-0005-0000-0000-0000B6030000}"/>
    <cellStyle name="_Cover" xfId="947" xr:uid="{00000000-0005-0000-0000-0000B7030000}"/>
    <cellStyle name="_Currency" xfId="948" xr:uid="{00000000-0005-0000-0000-0000B8030000}"/>
    <cellStyle name="_Currency_CSC" xfId="949" xr:uid="{00000000-0005-0000-0000-0000B9030000}"/>
    <cellStyle name="_Currency_merger_plans_modified_9_3_1999" xfId="950" xr:uid="{00000000-0005-0000-0000-0000BA030000}"/>
    <cellStyle name="_Currency_Model_Sep_2_02" xfId="951" xr:uid="{00000000-0005-0000-0000-0000BB030000}"/>
    <cellStyle name="_Currency_Pipeline Model v1 (09_09_02) v3" xfId="952" xr:uid="{00000000-0005-0000-0000-0000BC030000}"/>
    <cellStyle name="_CurrencySpace" xfId="953" xr:uid="{00000000-0005-0000-0000-0000BD030000}"/>
    <cellStyle name="_CurrencySpace_CSC" xfId="954" xr:uid="{00000000-0005-0000-0000-0000BE030000}"/>
    <cellStyle name="_CurrencySpace_merger_plans_modified_9_3_1999" xfId="955" xr:uid="{00000000-0005-0000-0000-0000BF030000}"/>
    <cellStyle name="_Customer Ops RIIO Business Plan V2" xfId="956" xr:uid="{00000000-0005-0000-0000-0000C0030000}"/>
    <cellStyle name="_Dalmuir 05l" xfId="957" xr:uid="{00000000-0005-0000-0000-0000C1030000}"/>
    <cellStyle name="_dashboard example 01b" xfId="958" xr:uid="{00000000-0005-0000-0000-0000C2030000}"/>
    <cellStyle name="_dashboard example 01b 2" xfId="959" xr:uid="{00000000-0005-0000-0000-0000C3030000}"/>
    <cellStyle name="_Data" xfId="960" xr:uid="{00000000-0005-0000-0000-0000C4030000}"/>
    <cellStyle name="_DFR.24 NBMHT 03g" xfId="961" xr:uid="{00000000-0005-0000-0000-0000C5030000}"/>
    <cellStyle name="_DFR.24 NBMHT 03g 2" xfId="962" xr:uid="{00000000-0005-0000-0000-0000C6030000}"/>
    <cellStyle name="_DFR.24 NBMHT 03g 2 2" xfId="963" xr:uid="{00000000-0005-0000-0000-0000C7030000}"/>
    <cellStyle name="_DFR.24 NBMHT 03g 3" xfId="964" xr:uid="{00000000-0005-0000-0000-0000C8030000}"/>
    <cellStyle name="_DFR.24 NBMHT 03g_SGN_14m" xfId="965" xr:uid="{00000000-0005-0000-0000-0000C9030000}"/>
    <cellStyle name="_DFR.24 NBMHT 03g_strategic model 05j (INDEXATION)" xfId="966" xr:uid="{00000000-0005-0000-0000-0000CA030000}"/>
    <cellStyle name="_DR2 Oracle mapping document" xfId="967" xr:uid="{00000000-0005-0000-0000-0000CB030000}"/>
    <cellStyle name="_Draft RIIO plan presentation template - CSDx Centre" xfId="968" xr:uid="{00000000-0005-0000-0000-0000CC030000}"/>
    <cellStyle name="_Draft RIIO plan presentation template - Customer Opsx Centre V7" xfId="969" xr:uid="{00000000-0005-0000-0000-0000CD030000}"/>
    <cellStyle name="_Electricity North West_v2.28" xfId="970" xr:uid="{00000000-0005-0000-0000-0000CE030000}"/>
    <cellStyle name="_Extraction of Consolidated Financial Statements (Planet Data Book Format)" xfId="971" xr:uid="{00000000-0005-0000-0000-0000CF030000}"/>
    <cellStyle name="_F1F9 ExModel 24b DFR01a" xfId="972" xr:uid="{00000000-0005-0000-0000-0000D0030000}"/>
    <cellStyle name="_Finan - South" xfId="973" xr:uid="{00000000-0005-0000-0000-0000D1030000}"/>
    <cellStyle name="_Finan - South 2" xfId="974" xr:uid="{00000000-0005-0000-0000-0000D2030000}"/>
    <cellStyle name="_Gas TO major Projects Forecast Jun-10" xfId="975" xr:uid="{00000000-0005-0000-0000-0000D3030000}"/>
    <cellStyle name="_Gas TO major Projects Forecast May-10 BP10+ v5" xfId="976" xr:uid="{00000000-0005-0000-0000-0000D4030000}"/>
    <cellStyle name="_GDUK manpower summary (3)" xfId="977" xr:uid="{00000000-0005-0000-0000-0000D5030000}"/>
    <cellStyle name="_GDx 2010_11 Q3 QPR tables - UK v3" xfId="978" xr:uid="{00000000-0005-0000-0000-0000D6030000}"/>
    <cellStyle name="_Genesys 12f" xfId="979" xr:uid="{00000000-0005-0000-0000-0000D7030000}"/>
    <cellStyle name="_Genesys 17e" xfId="980" xr:uid="{00000000-0005-0000-0000-0000D8030000}"/>
    <cellStyle name="_GTO Commodity Pricing Model &amp; Risk Score Model Workings BP11 v2" xfId="981" xr:uid="{00000000-0005-0000-0000-0000D9030000}"/>
    <cellStyle name="_GTO Non Operational Capex Roll-over submission (FINAL with property)" xfId="982" xr:uid="{00000000-0005-0000-0000-0000DA030000}"/>
    <cellStyle name="_HoldCo" xfId="983" xr:uid="{00000000-0005-0000-0000-0000DB030000}"/>
    <cellStyle name="_HoldCo 2" xfId="984" xr:uid="{00000000-0005-0000-0000-0000DC030000}"/>
    <cellStyle name="_HoldCo_Finan - South" xfId="985" xr:uid="{00000000-0005-0000-0000-0000DD030000}"/>
    <cellStyle name="_HoldCo_Inputs" xfId="986" xr:uid="{00000000-0005-0000-0000-0000DE030000}"/>
    <cellStyle name="_HoldCo_RF Rec" xfId="987" xr:uid="{00000000-0005-0000-0000-0000DF030000}"/>
    <cellStyle name="_HoldCo_SCOT FinStat" xfId="988" xr:uid="{00000000-0005-0000-0000-0000E0030000}"/>
    <cellStyle name="_HoldCo_South FinStat" xfId="989" xr:uid="{00000000-0005-0000-0000-0000E1030000}"/>
    <cellStyle name="_Inflation Output" xfId="990" xr:uid="{00000000-0005-0000-0000-0000E2030000}"/>
    <cellStyle name="_Inflation Output 2" xfId="991" xr:uid="{00000000-0005-0000-0000-0000E3030000}"/>
    <cellStyle name="_ING Mthly Accounting Entries Feb 09" xfId="992" xr:uid="{00000000-0005-0000-0000-0000E4030000}"/>
    <cellStyle name="_Inputs" xfId="993" xr:uid="{00000000-0005-0000-0000-0000E5030000}"/>
    <cellStyle name="_Inputs 2" xfId="994" xr:uid="{00000000-0005-0000-0000-0000E6030000}"/>
    <cellStyle name="_Inputs 2008" xfId="995" xr:uid="{00000000-0005-0000-0000-0000E7030000}"/>
    <cellStyle name="_Inputs 2008 2" xfId="996" xr:uid="{00000000-0005-0000-0000-0000E8030000}"/>
    <cellStyle name="_Interventions" xfId="48223" xr:uid="{00000000-0005-0000-0000-0000E9030000}"/>
    <cellStyle name="_IS" xfId="997" xr:uid="{00000000-0005-0000-0000-0000EA030000}"/>
    <cellStyle name="_key indicators comparison" xfId="998" xr:uid="{00000000-0005-0000-0000-0000EB030000}"/>
    <cellStyle name="_Kilo 31a" xfId="999" xr:uid="{00000000-0005-0000-0000-0000EC030000}"/>
    <cellStyle name="_Lazuli Example Model 24d" xfId="1000" xr:uid="{00000000-0005-0000-0000-0000ED030000}"/>
    <cellStyle name="_Liquidity chart_Amended_16Jan09" xfId="1001" xr:uid="{00000000-0005-0000-0000-0000EE030000}"/>
    <cellStyle name="_MASTER OPEX COMMERCIAL AS AT 24-02-09" xfId="1002" xr:uid="{00000000-0005-0000-0000-0000EF030000}"/>
    <cellStyle name="_MASTER OPEX COMMERCIAL AS AT 24-02-09 2" xfId="1003" xr:uid="{00000000-0005-0000-0000-0000F0030000}"/>
    <cellStyle name="_MD History (NEDL) 2010" xfId="48224" xr:uid="{00000000-0005-0000-0000-0000F1030000}"/>
    <cellStyle name="_Metering" xfId="1004" xr:uid="{00000000-0005-0000-0000-0000F2030000}"/>
    <cellStyle name="_Metering 2" xfId="1005" xr:uid="{00000000-0005-0000-0000-0000F3030000}"/>
    <cellStyle name="_Metering 3" xfId="1006" xr:uid="{00000000-0005-0000-0000-0000F4030000}"/>
    <cellStyle name="_Metering 4" xfId="1007" xr:uid="{00000000-0005-0000-0000-0000F5030000}"/>
    <cellStyle name="_Metering 5" xfId="1008" xr:uid="{00000000-0005-0000-0000-0000F6030000}"/>
    <cellStyle name="_Metering 6" xfId="1009" xr:uid="{00000000-0005-0000-0000-0000F7030000}"/>
    <cellStyle name="_Metering 7" xfId="1010" xr:uid="{00000000-0005-0000-0000-0000F8030000}"/>
    <cellStyle name="_Metering 8" xfId="1011" xr:uid="{00000000-0005-0000-0000-0000F9030000}"/>
    <cellStyle name="_Metering_Customer Operations Business Plan Input Reqs (3)" xfId="1012" xr:uid="{00000000-0005-0000-0000-0000FA030000}"/>
    <cellStyle name="_Metering_Draft RIIO plan presentation template - Commercial (2)" xfId="1013" xr:uid="{00000000-0005-0000-0000-0000FB030000}"/>
    <cellStyle name="_Metering_Draft RIIO plan presentation template - Customer Opsx Centre V2 (2)" xfId="1014" xr:uid="{00000000-0005-0000-0000-0000FC030000}"/>
    <cellStyle name="_Metering_Draft RIIO plan presentation template - Customer Opsx Centre V2 (2) - updated with mapping" xfId="1015" xr:uid="{00000000-0005-0000-0000-0000FD030000}"/>
    <cellStyle name="_Metering_Network Strategy Business Plan Input Reqs - v10" xfId="1016" xr:uid="{00000000-0005-0000-0000-0000FE030000}"/>
    <cellStyle name="_Metering_Non formula" xfId="1017" xr:uid="{00000000-0005-0000-0000-0000FF030000}"/>
    <cellStyle name="_Metering_RRP table" xfId="1018" xr:uid="{00000000-0005-0000-0000-000000040000}"/>
    <cellStyle name="_Monthly Value" xfId="1019" xr:uid="{00000000-0005-0000-0000-000001040000}"/>
    <cellStyle name="_Multiple" xfId="1020" xr:uid="{00000000-0005-0000-0000-000002040000}"/>
    <cellStyle name="_Multiple_CSC" xfId="1021" xr:uid="{00000000-0005-0000-0000-000003040000}"/>
    <cellStyle name="_Multiple_merger_plans_modified_9_3_1999" xfId="1022" xr:uid="{00000000-0005-0000-0000-000004040000}"/>
    <cellStyle name="_Multiple_Model_Sep_2_02" xfId="1023" xr:uid="{00000000-0005-0000-0000-000005040000}"/>
    <cellStyle name="_Multiple_Pipeline Model v1 (09_09_02) v3" xfId="1024" xr:uid="{00000000-0005-0000-0000-000006040000}"/>
    <cellStyle name="_MultipleSpace" xfId="1025" xr:uid="{00000000-0005-0000-0000-000007040000}"/>
    <cellStyle name="_MultipleSpace_CSC" xfId="1026" xr:uid="{00000000-0005-0000-0000-000008040000}"/>
    <cellStyle name="_MultipleSpace_merger_plans_modified_9_3_1999" xfId="1027" xr:uid="{00000000-0005-0000-0000-000009040000}"/>
    <cellStyle name="_MultipleSpace_Model_Sep_2_02" xfId="1028" xr:uid="{00000000-0005-0000-0000-00000A040000}"/>
    <cellStyle name="_MultipleSpace_Pipeline Model v1 (09_09_02) v3" xfId="1029" xr:uid="{00000000-0005-0000-0000-00000B040000}"/>
    <cellStyle name="_New CFO (2)" xfId="1030" xr:uid="{00000000-0005-0000-0000-00000C040000}"/>
    <cellStyle name="_NFOR Budget 201112 control totals" xfId="1031" xr:uid="{00000000-0005-0000-0000-00000D040000}"/>
    <cellStyle name="_NGM  Business Valuation Jan 10 v7 no links(sg)" xfId="1032" xr:uid="{00000000-0005-0000-0000-00000E040000}"/>
    <cellStyle name="_Notes" xfId="1033" xr:uid="{00000000-0005-0000-0000-00000F040000}"/>
    <cellStyle name="_Notes 01t" xfId="1034" xr:uid="{00000000-0005-0000-0000-000010040000}"/>
    <cellStyle name="_NS RIIO WJ Business Plan v3" xfId="1035" xr:uid="{00000000-0005-0000-0000-000011040000}"/>
    <cellStyle name="_Old_Op_10.64_01a" xfId="1036" xr:uid="{00000000-0005-0000-0000-000012040000}"/>
    <cellStyle name="_Opex 1011" xfId="1037" xr:uid="{00000000-0005-0000-0000-000013040000}"/>
    <cellStyle name="_Opex initiatives tracker v1.5 (post 9 aug update )" xfId="1038" xr:uid="{00000000-0005-0000-0000-000014040000}"/>
    <cellStyle name="_OTPP Review" xfId="1039" xr:uid="{00000000-0005-0000-0000-000015040000}"/>
    <cellStyle name="_OTPP Review 2" xfId="1040" xr:uid="{00000000-0005-0000-0000-000016040000}"/>
    <cellStyle name="_Percent" xfId="1041" xr:uid="{00000000-0005-0000-0000-000017040000}"/>
    <cellStyle name="_Percent_CSC" xfId="1042" xr:uid="{00000000-0005-0000-0000-000018040000}"/>
    <cellStyle name="_Percent_merger_plans_modified_9_3_1999" xfId="1043" xr:uid="{00000000-0005-0000-0000-000019040000}"/>
    <cellStyle name="_Percent_Model_Sep_2_02" xfId="1044" xr:uid="{00000000-0005-0000-0000-00001A040000}"/>
    <cellStyle name="_Percent_Pipeline Model v1 (09_09_02) v3" xfId="1045" xr:uid="{00000000-0005-0000-0000-00001B040000}"/>
    <cellStyle name="_PercentSpace" xfId="1046" xr:uid="{00000000-0005-0000-0000-00001C040000}"/>
    <cellStyle name="_PercentSpace_CSC" xfId="1047" xr:uid="{00000000-0005-0000-0000-00001D040000}"/>
    <cellStyle name="_PercentSpace_merger_plans_modified_9_3_1999" xfId="1048" xr:uid="{00000000-0005-0000-0000-00001E040000}"/>
    <cellStyle name="_PercentSpace_Model_Sep_2_02" xfId="1049" xr:uid="{00000000-0005-0000-0000-00001F040000}"/>
    <cellStyle name="_PercentSpace_Pipeline Model v1 (09_09_02) v3" xfId="1050" xr:uid="{00000000-0005-0000-0000-000020040000}"/>
    <cellStyle name="_Plan Challenge 1011" xfId="1051" xr:uid="{00000000-0005-0000-0000-000021040000}"/>
    <cellStyle name="_Plan Challenge 1011_Baseline - MASTER DATA (ORG) - v5.4 (P&amp;OD) BUSINESS PLAN" xfId="1052" xr:uid="{00000000-0005-0000-0000-000022040000}"/>
    <cellStyle name="_Plan Challenge 1011_Baseline - MASTER DATA (ORG) - v5.4 (P&amp;OD) BUSINESS PLAN_SS templates" xfId="1053" xr:uid="{00000000-0005-0000-0000-000023040000}"/>
    <cellStyle name="_Plan October QPR Templates - Shares Services (includes Business Services)" xfId="1054" xr:uid="{00000000-0005-0000-0000-000024040000}"/>
    <cellStyle name="_Pre Release Checklist 01l" xfId="1055" xr:uid="{00000000-0005-0000-0000-000025040000}"/>
    <cellStyle name="_RF Rec" xfId="1056" xr:uid="{00000000-0005-0000-0000-000026040000}"/>
    <cellStyle name="_RF Rec 2" xfId="1057" xr:uid="{00000000-0005-0000-0000-000027040000}"/>
    <cellStyle name="_SCOT FinStat" xfId="1058" xr:uid="{00000000-0005-0000-0000-000028040000}"/>
    <cellStyle name="_SCOT FinStat 2" xfId="1059" xr:uid="{00000000-0005-0000-0000-000029040000}"/>
    <cellStyle name="_Scotland Capex" xfId="1060" xr:uid="{00000000-0005-0000-0000-00002A040000}"/>
    <cellStyle name="_SGN 10a Copy of Business Plan 2010v14 update 180510" xfId="1061" xr:uid="{00000000-0005-0000-0000-00002B040000}"/>
    <cellStyle name="_SGN 4.18" xfId="1062" xr:uid="{00000000-0005-0000-0000-00002C040000}"/>
    <cellStyle name="_SGN 4.18 2" xfId="1063" xr:uid="{00000000-0005-0000-0000-00002D040000}"/>
    <cellStyle name="_Sheet1" xfId="1064" xr:uid="{00000000-0005-0000-0000-00002E040000}"/>
    <cellStyle name="_Sheet1 2" xfId="1065" xr:uid="{00000000-0005-0000-0000-00002F040000}"/>
    <cellStyle name="_Sheet1_1" xfId="1066" xr:uid="{00000000-0005-0000-0000-000030040000}"/>
    <cellStyle name="_Sheet1_1 2" xfId="1067" xr:uid="{00000000-0005-0000-0000-000031040000}"/>
    <cellStyle name="_Sheet1_1_SGN_14m" xfId="1068" xr:uid="{00000000-0005-0000-0000-000032040000}"/>
    <cellStyle name="_Sheet1_SGN_14m" xfId="1069" xr:uid="{00000000-0005-0000-0000-000033040000}"/>
    <cellStyle name="_Sheet2" xfId="1070" xr:uid="{00000000-0005-0000-0000-000034040000}"/>
    <cellStyle name="_Sheets to populate 1112 Budget Slides" xfId="1071" xr:uid="{00000000-0005-0000-0000-000035040000}"/>
    <cellStyle name="_Skel Mod 01l" xfId="1072" xr:uid="{00000000-0005-0000-0000-000036040000}"/>
    <cellStyle name="_South FinStat" xfId="1073" xr:uid="{00000000-0005-0000-0000-000037040000}"/>
    <cellStyle name="_South FinStat 2" xfId="1074" xr:uid="{00000000-0005-0000-0000-000038040000}"/>
    <cellStyle name="_Spreadsheet to populate plan slides 120810" xfId="1075" xr:uid="{00000000-0005-0000-0000-000039040000}"/>
    <cellStyle name="_Summaries" xfId="1076" xr:uid="{00000000-0005-0000-0000-00003A040000}"/>
    <cellStyle name="_Summary" xfId="1077" xr:uid="{00000000-0005-0000-0000-00003B040000}"/>
    <cellStyle name="_Summary (inc. Contract &amp; Conn.)" xfId="1078" xr:uid="{00000000-0005-0000-0000-00003C040000}"/>
    <cellStyle name="_Sundry" xfId="1079" xr:uid="{00000000-0005-0000-0000-00003D040000}"/>
    <cellStyle name="_TableRowHead" xfId="1080" xr:uid="{00000000-0005-0000-0000-00003E040000}"/>
    <cellStyle name="_TableSuperHead" xfId="1081" xr:uid="{00000000-0005-0000-0000-00003F040000}"/>
    <cellStyle name="_TEMPLATE 01m" xfId="1082" xr:uid="{00000000-0005-0000-0000-000040040000}"/>
    <cellStyle name="_Test scoring_UKGDx_20070924_Pilot (DV)" xfId="1083" xr:uid="{00000000-0005-0000-0000-000041040000}"/>
    <cellStyle name="_Test scoring_UKGDx_20070924_Pilot (DV) 2" xfId="1084" xr:uid="{00000000-0005-0000-0000-000042040000}"/>
    <cellStyle name="_Test scoring_UKGDx_20070924_Pilot (DV) 3" xfId="1085" xr:uid="{00000000-0005-0000-0000-000043040000}"/>
    <cellStyle name="_Test scoring_UKGDx_20070924_Pilot (DV) 4" xfId="1086" xr:uid="{00000000-0005-0000-0000-000044040000}"/>
    <cellStyle name="_Test scoring_UKGDx_20070924_Pilot (DV) 5" xfId="1087" xr:uid="{00000000-0005-0000-0000-000045040000}"/>
    <cellStyle name="_Test scoring_UKGDx_20070924_Pilot (DV) 6" xfId="1088" xr:uid="{00000000-0005-0000-0000-000046040000}"/>
    <cellStyle name="_Test scoring_UKGDx_20070924_Pilot (DV) 7" xfId="1089" xr:uid="{00000000-0005-0000-0000-000047040000}"/>
    <cellStyle name="_Test scoring_UKGDx_20070924_Pilot (DV) 8" xfId="1090" xr:uid="{00000000-0005-0000-0000-000048040000}"/>
    <cellStyle name="_TGK-14" xfId="1091" xr:uid="{00000000-0005-0000-0000-000049040000}"/>
    <cellStyle name="_TGK-9" xfId="1092" xr:uid="{00000000-0005-0000-0000-00004A040000}"/>
    <cellStyle name="_TGK-9_1" xfId="1093" xr:uid="{00000000-0005-0000-0000-00004B040000}"/>
    <cellStyle name="_Third Party-IT Data Collection Template" xfId="1094" xr:uid="{00000000-0005-0000-0000-00004C040000}"/>
    <cellStyle name="_Total summary" xfId="1095" xr:uid="{00000000-0005-0000-0000-00004D040000}"/>
    <cellStyle name="_Tower Definition (2)" xfId="1096" xr:uid="{00000000-0005-0000-0000-00004E040000}"/>
    <cellStyle name="_Tower Definition (2)_Baseline - MASTER DATA (ORG) - v5.4 (P&amp;OD) BUSINESS PLAN" xfId="1097" xr:uid="{00000000-0005-0000-0000-00004F040000}"/>
    <cellStyle name="_Tower Definition (2)_Baseline - MASTER DATA (ORG) - v5.4 (P&amp;OD) BUSINESS PLAN_SS templates" xfId="1098" xr:uid="{00000000-0005-0000-0000-000050040000}"/>
    <cellStyle name="_track 01a" xfId="1099" xr:uid="{00000000-0005-0000-0000-000051040000}"/>
    <cellStyle name="_Transmission agency" xfId="1100" xr:uid="{00000000-0005-0000-0000-000052040000}"/>
    <cellStyle name="_UKT RAV Summary (Mar-10) v2" xfId="1101" xr:uid="{00000000-0005-0000-0000-000053040000}"/>
    <cellStyle name="_Vattenfall Euro CY" xfId="1102" xr:uid="{00000000-0005-0000-0000-000054040000}"/>
    <cellStyle name="_VT FinMod 72d" xfId="1103" xr:uid="{00000000-0005-0000-0000-000055040000}"/>
    <cellStyle name="_VT FinMod 72d 2" xfId="1104" xr:uid="{00000000-0005-0000-0000-000056040000}"/>
    <cellStyle name="_VT FinMod 72d 2 2" xfId="1105" xr:uid="{00000000-0005-0000-0000-000057040000}"/>
    <cellStyle name="_VT FinMod 72d 3" xfId="1106" xr:uid="{00000000-0005-0000-0000-000058040000}"/>
    <cellStyle name="_VT FinMod 72d Option Effects" xfId="1107" xr:uid="{00000000-0005-0000-0000-000059040000}"/>
    <cellStyle name="_VT FinMod 72d Option Effects 2" xfId="1108" xr:uid="{00000000-0005-0000-0000-00005A040000}"/>
    <cellStyle name="_VT FinMod 72d Option Effects 2 2" xfId="1109" xr:uid="{00000000-0005-0000-0000-00005B040000}"/>
    <cellStyle name="_VT FinMod 72d Option Effects 3" xfId="1110" xr:uid="{00000000-0005-0000-0000-00005C040000}"/>
    <cellStyle name="_VT FinMod 72d Option Effects_SGN_14m" xfId="1111" xr:uid="{00000000-0005-0000-0000-00005D040000}"/>
    <cellStyle name="_VT FinMod 72d Option Effects_strategic model 05j (INDEXATION)" xfId="1112" xr:uid="{00000000-0005-0000-0000-00005E040000}"/>
    <cellStyle name="_VT FinMod 72d_SGN_14m" xfId="1113" xr:uid="{00000000-0005-0000-0000-00005F040000}"/>
    <cellStyle name="_VT FinMod 72d_strategic model 05j (INDEXATION)" xfId="1114" xr:uid="{00000000-0005-0000-0000-000060040000}"/>
    <cellStyle name="_VT FinMod 74a - pre D&amp;T deletion" xfId="1115" xr:uid="{00000000-0005-0000-0000-000061040000}"/>
    <cellStyle name="_VT FinMod 74a - pre D&amp;T deletion 2" xfId="1116" xr:uid="{00000000-0005-0000-0000-000062040000}"/>
    <cellStyle name="_VT FinMod 74a - pre D&amp;T deletion 2 2" xfId="1117" xr:uid="{00000000-0005-0000-0000-000063040000}"/>
    <cellStyle name="_VT FinMod 74a - pre D&amp;T deletion 3" xfId="1118" xr:uid="{00000000-0005-0000-0000-000064040000}"/>
    <cellStyle name="_VT FinMod 74a - pre D&amp;T deletion_SGN_14m" xfId="1119" xr:uid="{00000000-0005-0000-0000-000065040000}"/>
    <cellStyle name="_VT FinMod 74a - pre D&amp;T deletion_strategic model 05j (INDEXATION)" xfId="1120" xr:uid="{00000000-0005-0000-0000-000066040000}"/>
    <cellStyle name="_VT FinMod 76p" xfId="1121" xr:uid="{00000000-0005-0000-0000-000067040000}"/>
    <cellStyle name="_VT FinMod 76p 2" xfId="1122" xr:uid="{00000000-0005-0000-0000-000068040000}"/>
    <cellStyle name="_VT FinMod 76p 2 2" xfId="1123" xr:uid="{00000000-0005-0000-0000-000069040000}"/>
    <cellStyle name="_VT FinMod 76p 3" xfId="1124" xr:uid="{00000000-0005-0000-0000-00006A040000}"/>
    <cellStyle name="_VT FinMod 76p_SGN_14m" xfId="1125" xr:uid="{00000000-0005-0000-0000-00006B040000}"/>
    <cellStyle name="_VT FinMod 76p_strategic model 05j (INDEXATION)" xfId="1126" xr:uid="{00000000-0005-0000-0000-00006C040000}"/>
    <cellStyle name="_YEDL_2011_DSS_Switchgear HI_Draft2" xfId="48225" xr:uid="{00000000-0005-0000-0000-00006D040000}"/>
    <cellStyle name="’Ê‰Ý [0.00]_Area" xfId="1127" xr:uid="{00000000-0005-0000-0000-00006E040000}"/>
    <cellStyle name="’Ê‰Ý_Area" xfId="1128" xr:uid="{00000000-0005-0000-0000-00006F040000}"/>
    <cellStyle name="£" xfId="1129" xr:uid="{00000000-0005-0000-0000-000070040000}"/>
    <cellStyle name="£ BP" xfId="1130" xr:uid="{00000000-0005-0000-0000-000071040000}"/>
    <cellStyle name="£[2]" xfId="1131" xr:uid="{00000000-0005-0000-0000-000072040000}"/>
    <cellStyle name="¥ JY" xfId="1132" xr:uid="{00000000-0005-0000-0000-000073040000}"/>
    <cellStyle name="€" xfId="1133" xr:uid="{00000000-0005-0000-0000-000074040000}"/>
    <cellStyle name="=C:\WINNT\SYSTEM32\COMMAND.COM" xfId="1134" xr:uid="{00000000-0005-0000-0000-000075040000}"/>
    <cellStyle name="=C:\WINNT\SYSTEM32\COMMAND.COM 10" xfId="1135" xr:uid="{00000000-0005-0000-0000-000076040000}"/>
    <cellStyle name="=C:\WINNT\SYSTEM32\COMMAND.COM 11" xfId="1136" xr:uid="{00000000-0005-0000-0000-000077040000}"/>
    <cellStyle name="=C:\WINNT\SYSTEM32\COMMAND.COM 12" xfId="1137" xr:uid="{00000000-0005-0000-0000-000078040000}"/>
    <cellStyle name="=C:\WINNT\SYSTEM32\COMMAND.COM 12 2" xfId="1138" xr:uid="{00000000-0005-0000-0000-000079040000}"/>
    <cellStyle name="=C:\WINNT\SYSTEM32\COMMAND.COM 13" xfId="1139" xr:uid="{00000000-0005-0000-0000-00007A040000}"/>
    <cellStyle name="=C:\WINNT\SYSTEM32\COMMAND.COM 14" xfId="1140" xr:uid="{00000000-0005-0000-0000-00007B040000}"/>
    <cellStyle name="=C:\WINNT\SYSTEM32\COMMAND.COM 15" xfId="1141" xr:uid="{00000000-0005-0000-0000-00007C040000}"/>
    <cellStyle name="=C:\WINNT\SYSTEM32\COMMAND.COM 16" xfId="1142" xr:uid="{00000000-0005-0000-0000-00007D040000}"/>
    <cellStyle name="=C:\WINNT\SYSTEM32\COMMAND.COM 17" xfId="1143" xr:uid="{00000000-0005-0000-0000-00007E040000}"/>
    <cellStyle name="=C:\WINNT\SYSTEM32\COMMAND.COM 18" xfId="1144" xr:uid="{00000000-0005-0000-0000-00007F040000}"/>
    <cellStyle name="=C:\WINNT\SYSTEM32\COMMAND.COM 19" xfId="1145" xr:uid="{00000000-0005-0000-0000-000080040000}"/>
    <cellStyle name="=C:\WINNT\SYSTEM32\COMMAND.COM 2" xfId="1146" xr:uid="{00000000-0005-0000-0000-000081040000}"/>
    <cellStyle name="=C:\WINNT\SYSTEM32\COMMAND.COM 2 2" xfId="1147" xr:uid="{00000000-0005-0000-0000-000082040000}"/>
    <cellStyle name="=C:\WINNT\SYSTEM32\COMMAND.COM 2 2 10" xfId="1148" xr:uid="{00000000-0005-0000-0000-000083040000}"/>
    <cellStyle name="=C:\WINNT\SYSTEM32\COMMAND.COM 2 2 11" xfId="1149" xr:uid="{00000000-0005-0000-0000-000084040000}"/>
    <cellStyle name="=C:\WINNT\SYSTEM32\COMMAND.COM 2 2 12" xfId="1150" xr:uid="{00000000-0005-0000-0000-000085040000}"/>
    <cellStyle name="=C:\WINNT\SYSTEM32\COMMAND.COM 2 2 13" xfId="1151" xr:uid="{00000000-0005-0000-0000-000086040000}"/>
    <cellStyle name="=C:\WINNT\SYSTEM32\COMMAND.COM 2 2 14" xfId="1152" xr:uid="{00000000-0005-0000-0000-000087040000}"/>
    <cellStyle name="=C:\WINNT\SYSTEM32\COMMAND.COM 2 2 15" xfId="1153" xr:uid="{00000000-0005-0000-0000-000088040000}"/>
    <cellStyle name="=C:\WINNT\SYSTEM32\COMMAND.COM 2 2 16" xfId="1154" xr:uid="{00000000-0005-0000-0000-000089040000}"/>
    <cellStyle name="=C:\WINNT\SYSTEM32\COMMAND.COM 2 2 17" xfId="1155" xr:uid="{00000000-0005-0000-0000-00008A040000}"/>
    <cellStyle name="=C:\WINNT\SYSTEM32\COMMAND.COM 2 2 18" xfId="1156" xr:uid="{00000000-0005-0000-0000-00008B040000}"/>
    <cellStyle name="=C:\WINNT\SYSTEM32\COMMAND.COM 2 2 19" xfId="1157" xr:uid="{00000000-0005-0000-0000-00008C040000}"/>
    <cellStyle name="=C:\WINNT\SYSTEM32\COMMAND.COM 2 2 2" xfId="1158" xr:uid="{00000000-0005-0000-0000-00008D040000}"/>
    <cellStyle name="=C:\WINNT\SYSTEM32\COMMAND.COM 2 2 2 2" xfId="1159" xr:uid="{00000000-0005-0000-0000-00008E040000}"/>
    <cellStyle name="=C:\WINNT\SYSTEM32\COMMAND.COM 2 2 2_NGN_RIIO-GD1_ BPDT (tab 2.0-4.3)" xfId="1160" xr:uid="{00000000-0005-0000-0000-00008F040000}"/>
    <cellStyle name="=C:\WINNT\SYSTEM32\COMMAND.COM 2 2 20" xfId="1161" xr:uid="{00000000-0005-0000-0000-000090040000}"/>
    <cellStyle name="=C:\WINNT\SYSTEM32\COMMAND.COM 2 2 21" xfId="1162" xr:uid="{00000000-0005-0000-0000-000091040000}"/>
    <cellStyle name="=C:\WINNT\SYSTEM32\COMMAND.COM 2 2 22" xfId="1163" xr:uid="{00000000-0005-0000-0000-000092040000}"/>
    <cellStyle name="=C:\WINNT\SYSTEM32\COMMAND.COM 2 2 23" xfId="1164" xr:uid="{00000000-0005-0000-0000-000093040000}"/>
    <cellStyle name="=C:\WINNT\SYSTEM32\COMMAND.COM 2 2 24" xfId="1165" xr:uid="{00000000-0005-0000-0000-000094040000}"/>
    <cellStyle name="=C:\WINNT\SYSTEM32\COMMAND.COM 2 2 25" xfId="1166" xr:uid="{00000000-0005-0000-0000-000095040000}"/>
    <cellStyle name="=C:\WINNT\SYSTEM32\COMMAND.COM 2 2 26" xfId="1167" xr:uid="{00000000-0005-0000-0000-000096040000}"/>
    <cellStyle name="=C:\WINNT\SYSTEM32\COMMAND.COM 2 2 27" xfId="1168" xr:uid="{00000000-0005-0000-0000-000097040000}"/>
    <cellStyle name="=C:\WINNT\SYSTEM32\COMMAND.COM 2 2 28" xfId="1169" xr:uid="{00000000-0005-0000-0000-000098040000}"/>
    <cellStyle name="=C:\WINNT\SYSTEM32\COMMAND.COM 2 2 29" xfId="1170" xr:uid="{00000000-0005-0000-0000-000099040000}"/>
    <cellStyle name="=C:\WINNT\SYSTEM32\COMMAND.COM 2 2 3" xfId="1171" xr:uid="{00000000-0005-0000-0000-00009A040000}"/>
    <cellStyle name="=C:\WINNT\SYSTEM32\COMMAND.COM 2 2 30" xfId="1172" xr:uid="{00000000-0005-0000-0000-00009B040000}"/>
    <cellStyle name="=C:\WINNT\SYSTEM32\COMMAND.COM 2 2 31" xfId="1173" xr:uid="{00000000-0005-0000-0000-00009C040000}"/>
    <cellStyle name="=C:\WINNT\SYSTEM32\COMMAND.COM 2 2 32" xfId="1174" xr:uid="{00000000-0005-0000-0000-00009D040000}"/>
    <cellStyle name="=C:\WINNT\SYSTEM32\COMMAND.COM 2 2 33" xfId="1175" xr:uid="{00000000-0005-0000-0000-00009E040000}"/>
    <cellStyle name="=C:\WINNT\SYSTEM32\COMMAND.COM 2 2 34" xfId="1176" xr:uid="{00000000-0005-0000-0000-00009F040000}"/>
    <cellStyle name="=C:\WINNT\SYSTEM32\COMMAND.COM 2 2 35" xfId="1177" xr:uid="{00000000-0005-0000-0000-0000A0040000}"/>
    <cellStyle name="=C:\WINNT\SYSTEM32\COMMAND.COM 2 2 36" xfId="1178" xr:uid="{00000000-0005-0000-0000-0000A1040000}"/>
    <cellStyle name="=C:\WINNT\SYSTEM32\COMMAND.COM 2 2 37" xfId="1179" xr:uid="{00000000-0005-0000-0000-0000A2040000}"/>
    <cellStyle name="=C:\WINNT\SYSTEM32\COMMAND.COM 2 2 38" xfId="1180" xr:uid="{00000000-0005-0000-0000-0000A3040000}"/>
    <cellStyle name="=C:\WINNT\SYSTEM32\COMMAND.COM 2 2 39" xfId="1181" xr:uid="{00000000-0005-0000-0000-0000A4040000}"/>
    <cellStyle name="=C:\WINNT\SYSTEM32\COMMAND.COM 2 2 4" xfId="1182" xr:uid="{00000000-0005-0000-0000-0000A5040000}"/>
    <cellStyle name="=C:\WINNT\SYSTEM32\COMMAND.COM 2 2 40" xfId="1183" xr:uid="{00000000-0005-0000-0000-0000A6040000}"/>
    <cellStyle name="=C:\WINNT\SYSTEM32\COMMAND.COM 2 2 41" xfId="1184" xr:uid="{00000000-0005-0000-0000-0000A7040000}"/>
    <cellStyle name="=C:\WINNT\SYSTEM32\COMMAND.COM 2 2 42" xfId="1185" xr:uid="{00000000-0005-0000-0000-0000A8040000}"/>
    <cellStyle name="=C:\WINNT\SYSTEM32\COMMAND.COM 2 2 43" xfId="1186" xr:uid="{00000000-0005-0000-0000-0000A9040000}"/>
    <cellStyle name="=C:\WINNT\SYSTEM32\COMMAND.COM 2 2 44" xfId="1187" xr:uid="{00000000-0005-0000-0000-0000AA040000}"/>
    <cellStyle name="=C:\WINNT\SYSTEM32\COMMAND.COM 2 2 45" xfId="1188" xr:uid="{00000000-0005-0000-0000-0000AB040000}"/>
    <cellStyle name="=C:\WINNT\SYSTEM32\COMMAND.COM 2 2 46" xfId="1189" xr:uid="{00000000-0005-0000-0000-0000AC040000}"/>
    <cellStyle name="=C:\WINNT\SYSTEM32\COMMAND.COM 2 2 47" xfId="1190" xr:uid="{00000000-0005-0000-0000-0000AD040000}"/>
    <cellStyle name="=C:\WINNT\SYSTEM32\COMMAND.COM 2 2 48" xfId="1191" xr:uid="{00000000-0005-0000-0000-0000AE040000}"/>
    <cellStyle name="=C:\WINNT\SYSTEM32\COMMAND.COM 2 2 5" xfId="1192" xr:uid="{00000000-0005-0000-0000-0000AF040000}"/>
    <cellStyle name="=C:\WINNT\SYSTEM32\COMMAND.COM 2 2 6" xfId="1193" xr:uid="{00000000-0005-0000-0000-0000B0040000}"/>
    <cellStyle name="=C:\WINNT\SYSTEM32\COMMAND.COM 2 2 7" xfId="1194" xr:uid="{00000000-0005-0000-0000-0000B1040000}"/>
    <cellStyle name="=C:\WINNT\SYSTEM32\COMMAND.COM 2 2 8" xfId="1195" xr:uid="{00000000-0005-0000-0000-0000B2040000}"/>
    <cellStyle name="=C:\WINNT\SYSTEM32\COMMAND.COM 2 2 9" xfId="1196" xr:uid="{00000000-0005-0000-0000-0000B3040000}"/>
    <cellStyle name="=C:\WINNT\SYSTEM32\COMMAND.COM 2 2_1.3s Accounting C Costs Scots" xfId="1197" xr:uid="{00000000-0005-0000-0000-0000B4040000}"/>
    <cellStyle name="=C:\WINNT\SYSTEM32\COMMAND.COM 2 3" xfId="1198" xr:uid="{00000000-0005-0000-0000-0000B5040000}"/>
    <cellStyle name="=C:\WINNT\SYSTEM32\COMMAND.COM 2 4" xfId="1199" xr:uid="{00000000-0005-0000-0000-0000B6040000}"/>
    <cellStyle name="=C:\WINNT\SYSTEM32\COMMAND.COM 2 5" xfId="1200" xr:uid="{00000000-0005-0000-0000-0000B7040000}"/>
    <cellStyle name="=C:\WINNT\SYSTEM32\COMMAND.COM 2 6" xfId="1201" xr:uid="{00000000-0005-0000-0000-0000B8040000}"/>
    <cellStyle name="=C:\WINNT\SYSTEM32\COMMAND.COM 2 7" xfId="1202" xr:uid="{00000000-0005-0000-0000-0000B9040000}"/>
    <cellStyle name="=C:\WINNT\SYSTEM32\COMMAND.COM 2 8" xfId="1203" xr:uid="{00000000-0005-0000-0000-0000BA040000}"/>
    <cellStyle name="=C:\WINNT\SYSTEM32\COMMAND.COM 2 9" xfId="1204" xr:uid="{00000000-0005-0000-0000-0000BB040000}"/>
    <cellStyle name="=C:\WINNT\SYSTEM32\COMMAND.COM 20" xfId="1205" xr:uid="{00000000-0005-0000-0000-0000BC040000}"/>
    <cellStyle name="=C:\WINNT\SYSTEM32\COMMAND.COM 21" xfId="1206" xr:uid="{00000000-0005-0000-0000-0000BD040000}"/>
    <cellStyle name="=C:\WINNT\SYSTEM32\COMMAND.COM 22" xfId="1207" xr:uid="{00000000-0005-0000-0000-0000BE040000}"/>
    <cellStyle name="=C:\WINNT\SYSTEM32\COMMAND.COM 23" xfId="1208" xr:uid="{00000000-0005-0000-0000-0000BF040000}"/>
    <cellStyle name="=C:\WINNT\SYSTEM32\COMMAND.COM 24" xfId="1209" xr:uid="{00000000-0005-0000-0000-0000C0040000}"/>
    <cellStyle name="=C:\WINNT\SYSTEM32\COMMAND.COM 25" xfId="1210" xr:uid="{00000000-0005-0000-0000-0000C1040000}"/>
    <cellStyle name="=C:\WINNT\SYSTEM32\COMMAND.COM 26" xfId="1211" xr:uid="{00000000-0005-0000-0000-0000C2040000}"/>
    <cellStyle name="=C:\WINNT\SYSTEM32\COMMAND.COM 27" xfId="1212" xr:uid="{00000000-0005-0000-0000-0000C3040000}"/>
    <cellStyle name="=C:\WINNT\SYSTEM32\COMMAND.COM 28" xfId="1213" xr:uid="{00000000-0005-0000-0000-0000C4040000}"/>
    <cellStyle name="=C:\WINNT\SYSTEM32\COMMAND.COM 29" xfId="1214" xr:uid="{00000000-0005-0000-0000-0000C5040000}"/>
    <cellStyle name="=C:\WINNT\SYSTEM32\COMMAND.COM 3" xfId="1215" xr:uid="{00000000-0005-0000-0000-0000C6040000}"/>
    <cellStyle name="=C:\WINNT\SYSTEM32\COMMAND.COM 3 2" xfId="1216" xr:uid="{00000000-0005-0000-0000-0000C7040000}"/>
    <cellStyle name="=C:\WINNT\SYSTEM32\COMMAND.COM 3 3" xfId="1217" xr:uid="{00000000-0005-0000-0000-0000C8040000}"/>
    <cellStyle name="=C:\WINNT\SYSTEM32\COMMAND.COM 3 4" xfId="1218" xr:uid="{00000000-0005-0000-0000-0000C9040000}"/>
    <cellStyle name="=C:\WINNT\SYSTEM32\COMMAND.COM 3 5" xfId="1219" xr:uid="{00000000-0005-0000-0000-0000CA040000}"/>
    <cellStyle name="=C:\WINNT\SYSTEM32\COMMAND.COM 3 6" xfId="1220" xr:uid="{00000000-0005-0000-0000-0000CB040000}"/>
    <cellStyle name="=C:\WINNT\SYSTEM32\COMMAND.COM 3 7" xfId="1221" xr:uid="{00000000-0005-0000-0000-0000CC040000}"/>
    <cellStyle name="=C:\WINNT\SYSTEM32\COMMAND.COM 3 8" xfId="1222" xr:uid="{00000000-0005-0000-0000-0000CD040000}"/>
    <cellStyle name="=C:\WINNT\SYSTEM32\COMMAND.COM 30" xfId="1223" xr:uid="{00000000-0005-0000-0000-0000CE040000}"/>
    <cellStyle name="=C:\WINNT\SYSTEM32\COMMAND.COM 31" xfId="1224" xr:uid="{00000000-0005-0000-0000-0000CF040000}"/>
    <cellStyle name="=C:\WINNT\SYSTEM32\COMMAND.COM 32" xfId="1225" xr:uid="{00000000-0005-0000-0000-0000D0040000}"/>
    <cellStyle name="=C:\WINNT\SYSTEM32\COMMAND.COM 33" xfId="1226" xr:uid="{00000000-0005-0000-0000-0000D1040000}"/>
    <cellStyle name="=C:\WINNT\SYSTEM32\COMMAND.COM 34" xfId="1227" xr:uid="{00000000-0005-0000-0000-0000D2040000}"/>
    <cellStyle name="=C:\WINNT\SYSTEM32\COMMAND.COM 35" xfId="1228" xr:uid="{00000000-0005-0000-0000-0000D3040000}"/>
    <cellStyle name="=C:\WINNT\SYSTEM32\COMMAND.COM 36" xfId="1229" xr:uid="{00000000-0005-0000-0000-0000D4040000}"/>
    <cellStyle name="=C:\WINNT\SYSTEM32\COMMAND.COM 37" xfId="1230" xr:uid="{00000000-0005-0000-0000-0000D5040000}"/>
    <cellStyle name="=C:\WINNT\SYSTEM32\COMMAND.COM 38" xfId="1231" xr:uid="{00000000-0005-0000-0000-0000D6040000}"/>
    <cellStyle name="=C:\WINNT\SYSTEM32\COMMAND.COM 39" xfId="1232" xr:uid="{00000000-0005-0000-0000-0000D7040000}"/>
    <cellStyle name="=C:\WINNT\SYSTEM32\COMMAND.COM 4" xfId="1233" xr:uid="{00000000-0005-0000-0000-0000D8040000}"/>
    <cellStyle name="=C:\WINNT\SYSTEM32\COMMAND.COM 4 10" xfId="1234" xr:uid="{00000000-0005-0000-0000-0000D9040000}"/>
    <cellStyle name="=C:\WINNT\SYSTEM32\COMMAND.COM 4 11" xfId="1235" xr:uid="{00000000-0005-0000-0000-0000DA040000}"/>
    <cellStyle name="=C:\WINNT\SYSTEM32\COMMAND.COM 4 12" xfId="1236" xr:uid="{00000000-0005-0000-0000-0000DB040000}"/>
    <cellStyle name="=C:\WINNT\SYSTEM32\COMMAND.COM 4 13" xfId="1237" xr:uid="{00000000-0005-0000-0000-0000DC040000}"/>
    <cellStyle name="=C:\WINNT\SYSTEM32\COMMAND.COM 4 14" xfId="1238" xr:uid="{00000000-0005-0000-0000-0000DD040000}"/>
    <cellStyle name="=C:\WINNT\SYSTEM32\COMMAND.COM 4 15" xfId="1239" xr:uid="{00000000-0005-0000-0000-0000DE040000}"/>
    <cellStyle name="=C:\WINNT\SYSTEM32\COMMAND.COM 4 16" xfId="1240" xr:uid="{00000000-0005-0000-0000-0000DF040000}"/>
    <cellStyle name="=C:\WINNT\SYSTEM32\COMMAND.COM 4 17" xfId="1241" xr:uid="{00000000-0005-0000-0000-0000E0040000}"/>
    <cellStyle name="=C:\WINNT\SYSTEM32\COMMAND.COM 4 18" xfId="1242" xr:uid="{00000000-0005-0000-0000-0000E1040000}"/>
    <cellStyle name="=C:\WINNT\SYSTEM32\COMMAND.COM 4 19" xfId="1243" xr:uid="{00000000-0005-0000-0000-0000E2040000}"/>
    <cellStyle name="=C:\WINNT\SYSTEM32\COMMAND.COM 4 2" xfId="1244" xr:uid="{00000000-0005-0000-0000-0000E3040000}"/>
    <cellStyle name="=C:\WINNT\SYSTEM32\COMMAND.COM 4 20" xfId="1245" xr:uid="{00000000-0005-0000-0000-0000E4040000}"/>
    <cellStyle name="=C:\WINNT\SYSTEM32\COMMAND.COM 4 21" xfId="1246" xr:uid="{00000000-0005-0000-0000-0000E5040000}"/>
    <cellStyle name="=C:\WINNT\SYSTEM32\COMMAND.COM 4 22" xfId="1247" xr:uid="{00000000-0005-0000-0000-0000E6040000}"/>
    <cellStyle name="=C:\WINNT\SYSTEM32\COMMAND.COM 4 23" xfId="1248" xr:uid="{00000000-0005-0000-0000-0000E7040000}"/>
    <cellStyle name="=C:\WINNT\SYSTEM32\COMMAND.COM 4 24" xfId="1249" xr:uid="{00000000-0005-0000-0000-0000E8040000}"/>
    <cellStyle name="=C:\WINNT\SYSTEM32\COMMAND.COM 4 25" xfId="1250" xr:uid="{00000000-0005-0000-0000-0000E9040000}"/>
    <cellStyle name="=C:\WINNT\SYSTEM32\COMMAND.COM 4 26" xfId="1251" xr:uid="{00000000-0005-0000-0000-0000EA040000}"/>
    <cellStyle name="=C:\WINNT\SYSTEM32\COMMAND.COM 4 27" xfId="1252" xr:uid="{00000000-0005-0000-0000-0000EB040000}"/>
    <cellStyle name="=C:\WINNT\SYSTEM32\COMMAND.COM 4 28" xfId="1253" xr:uid="{00000000-0005-0000-0000-0000EC040000}"/>
    <cellStyle name="=C:\WINNT\SYSTEM32\COMMAND.COM 4 29" xfId="1254" xr:uid="{00000000-0005-0000-0000-0000ED040000}"/>
    <cellStyle name="=C:\WINNT\SYSTEM32\COMMAND.COM 4 3" xfId="1255" xr:uid="{00000000-0005-0000-0000-0000EE040000}"/>
    <cellStyle name="=C:\WINNT\SYSTEM32\COMMAND.COM 4 30" xfId="1256" xr:uid="{00000000-0005-0000-0000-0000EF040000}"/>
    <cellStyle name="=C:\WINNT\SYSTEM32\COMMAND.COM 4 31" xfId="1257" xr:uid="{00000000-0005-0000-0000-0000F0040000}"/>
    <cellStyle name="=C:\WINNT\SYSTEM32\COMMAND.COM 4 32" xfId="1258" xr:uid="{00000000-0005-0000-0000-0000F1040000}"/>
    <cellStyle name="=C:\WINNT\SYSTEM32\COMMAND.COM 4 33" xfId="1259" xr:uid="{00000000-0005-0000-0000-0000F2040000}"/>
    <cellStyle name="=C:\WINNT\SYSTEM32\COMMAND.COM 4 34" xfId="1260" xr:uid="{00000000-0005-0000-0000-0000F3040000}"/>
    <cellStyle name="=C:\WINNT\SYSTEM32\COMMAND.COM 4 35" xfId="1261" xr:uid="{00000000-0005-0000-0000-0000F4040000}"/>
    <cellStyle name="=C:\WINNT\SYSTEM32\COMMAND.COM 4 36" xfId="1262" xr:uid="{00000000-0005-0000-0000-0000F5040000}"/>
    <cellStyle name="=C:\WINNT\SYSTEM32\COMMAND.COM 4 37" xfId="1263" xr:uid="{00000000-0005-0000-0000-0000F6040000}"/>
    <cellStyle name="=C:\WINNT\SYSTEM32\COMMAND.COM 4 38" xfId="1264" xr:uid="{00000000-0005-0000-0000-0000F7040000}"/>
    <cellStyle name="=C:\WINNT\SYSTEM32\COMMAND.COM 4 39" xfId="1265" xr:uid="{00000000-0005-0000-0000-0000F8040000}"/>
    <cellStyle name="=C:\WINNT\SYSTEM32\COMMAND.COM 4 4" xfId="1266" xr:uid="{00000000-0005-0000-0000-0000F9040000}"/>
    <cellStyle name="=C:\WINNT\SYSTEM32\COMMAND.COM 4 40" xfId="1267" xr:uid="{00000000-0005-0000-0000-0000FA040000}"/>
    <cellStyle name="=C:\WINNT\SYSTEM32\COMMAND.COM 4 41" xfId="1268" xr:uid="{00000000-0005-0000-0000-0000FB040000}"/>
    <cellStyle name="=C:\WINNT\SYSTEM32\COMMAND.COM 4 42" xfId="1269" xr:uid="{00000000-0005-0000-0000-0000FC040000}"/>
    <cellStyle name="=C:\WINNT\SYSTEM32\COMMAND.COM 4 43" xfId="1270" xr:uid="{00000000-0005-0000-0000-0000FD040000}"/>
    <cellStyle name="=C:\WINNT\SYSTEM32\COMMAND.COM 4 44" xfId="1271" xr:uid="{00000000-0005-0000-0000-0000FE040000}"/>
    <cellStyle name="=C:\WINNT\SYSTEM32\COMMAND.COM 4 45" xfId="1272" xr:uid="{00000000-0005-0000-0000-0000FF040000}"/>
    <cellStyle name="=C:\WINNT\SYSTEM32\COMMAND.COM 4 46" xfId="1273" xr:uid="{00000000-0005-0000-0000-000000050000}"/>
    <cellStyle name="=C:\WINNT\SYSTEM32\COMMAND.COM 4 47" xfId="1274" xr:uid="{00000000-0005-0000-0000-000001050000}"/>
    <cellStyle name="=C:\WINNT\SYSTEM32\COMMAND.COM 4 5" xfId="1275" xr:uid="{00000000-0005-0000-0000-000002050000}"/>
    <cellStyle name="=C:\WINNT\SYSTEM32\COMMAND.COM 4 6" xfId="1276" xr:uid="{00000000-0005-0000-0000-000003050000}"/>
    <cellStyle name="=C:\WINNT\SYSTEM32\COMMAND.COM 4 7" xfId="1277" xr:uid="{00000000-0005-0000-0000-000004050000}"/>
    <cellStyle name="=C:\WINNT\SYSTEM32\COMMAND.COM 4 8" xfId="1278" xr:uid="{00000000-0005-0000-0000-000005050000}"/>
    <cellStyle name="=C:\WINNT\SYSTEM32\COMMAND.COM 4 9" xfId="1279" xr:uid="{00000000-0005-0000-0000-000006050000}"/>
    <cellStyle name="=C:\WINNT\SYSTEM32\COMMAND.COM 4_1.3s Accounting C Costs Scots" xfId="1280" xr:uid="{00000000-0005-0000-0000-000007050000}"/>
    <cellStyle name="=C:\WINNT\SYSTEM32\COMMAND.COM 40" xfId="1281" xr:uid="{00000000-0005-0000-0000-000008050000}"/>
    <cellStyle name="=C:\WINNT\SYSTEM32\COMMAND.COM 41" xfId="1282" xr:uid="{00000000-0005-0000-0000-000009050000}"/>
    <cellStyle name="=C:\WINNT\SYSTEM32\COMMAND.COM 42" xfId="1283" xr:uid="{00000000-0005-0000-0000-00000A050000}"/>
    <cellStyle name="=C:\WINNT\SYSTEM32\COMMAND.COM 43" xfId="1284" xr:uid="{00000000-0005-0000-0000-00000B050000}"/>
    <cellStyle name="=C:\WINNT\SYSTEM32\COMMAND.COM 44" xfId="1285" xr:uid="{00000000-0005-0000-0000-00000C050000}"/>
    <cellStyle name="=C:\WINNT\SYSTEM32\COMMAND.COM 45" xfId="1286" xr:uid="{00000000-0005-0000-0000-00000D050000}"/>
    <cellStyle name="=C:\WINNT\SYSTEM32\COMMAND.COM 46" xfId="1287" xr:uid="{00000000-0005-0000-0000-00000E050000}"/>
    <cellStyle name="=C:\WINNT\SYSTEM32\COMMAND.COM 47" xfId="1288" xr:uid="{00000000-0005-0000-0000-00000F050000}"/>
    <cellStyle name="=C:\WINNT\SYSTEM32\COMMAND.COM 48" xfId="1289" xr:uid="{00000000-0005-0000-0000-000010050000}"/>
    <cellStyle name="=C:\WINNT\SYSTEM32\COMMAND.COM 49" xfId="1290" xr:uid="{00000000-0005-0000-0000-000011050000}"/>
    <cellStyle name="=C:\WINNT\SYSTEM32\COMMAND.COM 5" xfId="1291" xr:uid="{00000000-0005-0000-0000-000012050000}"/>
    <cellStyle name="=C:\WINNT\SYSTEM32\COMMAND.COM 5 10" xfId="1292" xr:uid="{00000000-0005-0000-0000-000013050000}"/>
    <cellStyle name="=C:\WINNT\SYSTEM32\COMMAND.COM 5 10 2" xfId="1293" xr:uid="{00000000-0005-0000-0000-000014050000}"/>
    <cellStyle name="=C:\WINNT\SYSTEM32\COMMAND.COM 5 10 3" xfId="1294" xr:uid="{00000000-0005-0000-0000-000015050000}"/>
    <cellStyle name="=C:\WINNT\SYSTEM32\COMMAND.COM 5 10 4" xfId="1295" xr:uid="{00000000-0005-0000-0000-000016050000}"/>
    <cellStyle name="=C:\WINNT\SYSTEM32\COMMAND.COM 5 10 5" xfId="1296" xr:uid="{00000000-0005-0000-0000-000017050000}"/>
    <cellStyle name="=C:\WINNT\SYSTEM32\COMMAND.COM 5 10 6" xfId="1297" xr:uid="{00000000-0005-0000-0000-000018050000}"/>
    <cellStyle name="=C:\WINNT\SYSTEM32\COMMAND.COM 5 10 7" xfId="1298" xr:uid="{00000000-0005-0000-0000-000019050000}"/>
    <cellStyle name="=C:\WINNT\SYSTEM32\COMMAND.COM 5 10 8" xfId="1299" xr:uid="{00000000-0005-0000-0000-00001A050000}"/>
    <cellStyle name="=C:\WINNT\SYSTEM32\COMMAND.COM 5 11" xfId="1300" xr:uid="{00000000-0005-0000-0000-00001B050000}"/>
    <cellStyle name="=C:\WINNT\SYSTEM32\COMMAND.COM 5 11 2" xfId="1301" xr:uid="{00000000-0005-0000-0000-00001C050000}"/>
    <cellStyle name="=C:\WINNT\SYSTEM32\COMMAND.COM 5 11 3" xfId="1302" xr:uid="{00000000-0005-0000-0000-00001D050000}"/>
    <cellStyle name="=C:\WINNT\SYSTEM32\COMMAND.COM 5 11 4" xfId="1303" xr:uid="{00000000-0005-0000-0000-00001E050000}"/>
    <cellStyle name="=C:\WINNT\SYSTEM32\COMMAND.COM 5 11 5" xfId="1304" xr:uid="{00000000-0005-0000-0000-00001F050000}"/>
    <cellStyle name="=C:\WINNT\SYSTEM32\COMMAND.COM 5 11 6" xfId="1305" xr:uid="{00000000-0005-0000-0000-000020050000}"/>
    <cellStyle name="=C:\WINNT\SYSTEM32\COMMAND.COM 5 11 7" xfId="1306" xr:uid="{00000000-0005-0000-0000-000021050000}"/>
    <cellStyle name="=C:\WINNT\SYSTEM32\COMMAND.COM 5 11 8" xfId="1307" xr:uid="{00000000-0005-0000-0000-000022050000}"/>
    <cellStyle name="=C:\WINNT\SYSTEM32\COMMAND.COM 5 12" xfId="1308" xr:uid="{00000000-0005-0000-0000-000023050000}"/>
    <cellStyle name="=C:\WINNT\SYSTEM32\COMMAND.COM 5 12 2" xfId="1309" xr:uid="{00000000-0005-0000-0000-000024050000}"/>
    <cellStyle name="=C:\WINNT\SYSTEM32\COMMAND.COM 5 12 3" xfId="1310" xr:uid="{00000000-0005-0000-0000-000025050000}"/>
    <cellStyle name="=C:\WINNT\SYSTEM32\COMMAND.COM 5 12 4" xfId="1311" xr:uid="{00000000-0005-0000-0000-000026050000}"/>
    <cellStyle name="=C:\WINNT\SYSTEM32\COMMAND.COM 5 12 5" xfId="1312" xr:uid="{00000000-0005-0000-0000-000027050000}"/>
    <cellStyle name="=C:\WINNT\SYSTEM32\COMMAND.COM 5 12 6" xfId="1313" xr:uid="{00000000-0005-0000-0000-000028050000}"/>
    <cellStyle name="=C:\WINNT\SYSTEM32\COMMAND.COM 5 12 7" xfId="1314" xr:uid="{00000000-0005-0000-0000-000029050000}"/>
    <cellStyle name="=C:\WINNT\SYSTEM32\COMMAND.COM 5 12 8" xfId="1315" xr:uid="{00000000-0005-0000-0000-00002A050000}"/>
    <cellStyle name="=C:\WINNT\SYSTEM32\COMMAND.COM 5 13" xfId="1316" xr:uid="{00000000-0005-0000-0000-00002B050000}"/>
    <cellStyle name="=C:\WINNT\SYSTEM32\COMMAND.COM 5 13 2" xfId="1317" xr:uid="{00000000-0005-0000-0000-00002C050000}"/>
    <cellStyle name="=C:\WINNT\SYSTEM32\COMMAND.COM 5 13 3" xfId="1318" xr:uid="{00000000-0005-0000-0000-00002D050000}"/>
    <cellStyle name="=C:\WINNT\SYSTEM32\COMMAND.COM 5 13 4" xfId="1319" xr:uid="{00000000-0005-0000-0000-00002E050000}"/>
    <cellStyle name="=C:\WINNT\SYSTEM32\COMMAND.COM 5 13 5" xfId="1320" xr:uid="{00000000-0005-0000-0000-00002F050000}"/>
    <cellStyle name="=C:\WINNT\SYSTEM32\COMMAND.COM 5 13 6" xfId="1321" xr:uid="{00000000-0005-0000-0000-000030050000}"/>
    <cellStyle name="=C:\WINNT\SYSTEM32\COMMAND.COM 5 13 7" xfId="1322" xr:uid="{00000000-0005-0000-0000-000031050000}"/>
    <cellStyle name="=C:\WINNT\SYSTEM32\COMMAND.COM 5 13 8" xfId="1323" xr:uid="{00000000-0005-0000-0000-000032050000}"/>
    <cellStyle name="=C:\WINNT\SYSTEM32\COMMAND.COM 5 14" xfId="1324" xr:uid="{00000000-0005-0000-0000-000033050000}"/>
    <cellStyle name="=C:\WINNT\SYSTEM32\COMMAND.COM 5 14 2" xfId="1325" xr:uid="{00000000-0005-0000-0000-000034050000}"/>
    <cellStyle name="=C:\WINNT\SYSTEM32\COMMAND.COM 5 14 3" xfId="1326" xr:uid="{00000000-0005-0000-0000-000035050000}"/>
    <cellStyle name="=C:\WINNT\SYSTEM32\COMMAND.COM 5 14 4" xfId="1327" xr:uid="{00000000-0005-0000-0000-000036050000}"/>
    <cellStyle name="=C:\WINNT\SYSTEM32\COMMAND.COM 5 14 5" xfId="1328" xr:uid="{00000000-0005-0000-0000-000037050000}"/>
    <cellStyle name="=C:\WINNT\SYSTEM32\COMMAND.COM 5 14 6" xfId="1329" xr:uid="{00000000-0005-0000-0000-000038050000}"/>
    <cellStyle name="=C:\WINNT\SYSTEM32\COMMAND.COM 5 14 7" xfId="1330" xr:uid="{00000000-0005-0000-0000-000039050000}"/>
    <cellStyle name="=C:\WINNT\SYSTEM32\COMMAND.COM 5 14 8" xfId="1331" xr:uid="{00000000-0005-0000-0000-00003A050000}"/>
    <cellStyle name="=C:\WINNT\SYSTEM32\COMMAND.COM 5 15" xfId="1332" xr:uid="{00000000-0005-0000-0000-00003B050000}"/>
    <cellStyle name="=C:\WINNT\SYSTEM32\COMMAND.COM 5 15 2" xfId="1333" xr:uid="{00000000-0005-0000-0000-00003C050000}"/>
    <cellStyle name="=C:\WINNT\SYSTEM32\COMMAND.COM 5 15 3" xfId="1334" xr:uid="{00000000-0005-0000-0000-00003D050000}"/>
    <cellStyle name="=C:\WINNT\SYSTEM32\COMMAND.COM 5 15 4" xfId="1335" xr:uid="{00000000-0005-0000-0000-00003E050000}"/>
    <cellStyle name="=C:\WINNT\SYSTEM32\COMMAND.COM 5 15 5" xfId="1336" xr:uid="{00000000-0005-0000-0000-00003F050000}"/>
    <cellStyle name="=C:\WINNT\SYSTEM32\COMMAND.COM 5 15 6" xfId="1337" xr:uid="{00000000-0005-0000-0000-000040050000}"/>
    <cellStyle name="=C:\WINNT\SYSTEM32\COMMAND.COM 5 15 7" xfId="1338" xr:uid="{00000000-0005-0000-0000-000041050000}"/>
    <cellStyle name="=C:\WINNT\SYSTEM32\COMMAND.COM 5 15 8" xfId="1339" xr:uid="{00000000-0005-0000-0000-000042050000}"/>
    <cellStyle name="=C:\WINNT\SYSTEM32\COMMAND.COM 5 16" xfId="1340" xr:uid="{00000000-0005-0000-0000-000043050000}"/>
    <cellStyle name="=C:\WINNT\SYSTEM32\COMMAND.COM 5 16 2" xfId="1341" xr:uid="{00000000-0005-0000-0000-000044050000}"/>
    <cellStyle name="=C:\WINNT\SYSTEM32\COMMAND.COM 5 16 3" xfId="1342" xr:uid="{00000000-0005-0000-0000-000045050000}"/>
    <cellStyle name="=C:\WINNT\SYSTEM32\COMMAND.COM 5 16 4" xfId="1343" xr:uid="{00000000-0005-0000-0000-000046050000}"/>
    <cellStyle name="=C:\WINNT\SYSTEM32\COMMAND.COM 5 16 5" xfId="1344" xr:uid="{00000000-0005-0000-0000-000047050000}"/>
    <cellStyle name="=C:\WINNT\SYSTEM32\COMMAND.COM 5 16 6" xfId="1345" xr:uid="{00000000-0005-0000-0000-000048050000}"/>
    <cellStyle name="=C:\WINNT\SYSTEM32\COMMAND.COM 5 16 7" xfId="1346" xr:uid="{00000000-0005-0000-0000-000049050000}"/>
    <cellStyle name="=C:\WINNT\SYSTEM32\COMMAND.COM 5 16 8" xfId="1347" xr:uid="{00000000-0005-0000-0000-00004A050000}"/>
    <cellStyle name="=C:\WINNT\SYSTEM32\COMMAND.COM 5 17" xfId="1348" xr:uid="{00000000-0005-0000-0000-00004B050000}"/>
    <cellStyle name="=C:\WINNT\SYSTEM32\COMMAND.COM 5 17 2" xfId="1349" xr:uid="{00000000-0005-0000-0000-00004C050000}"/>
    <cellStyle name="=C:\WINNT\SYSTEM32\COMMAND.COM 5 17 3" xfId="1350" xr:uid="{00000000-0005-0000-0000-00004D050000}"/>
    <cellStyle name="=C:\WINNT\SYSTEM32\COMMAND.COM 5 17 4" xfId="1351" xr:uid="{00000000-0005-0000-0000-00004E050000}"/>
    <cellStyle name="=C:\WINNT\SYSTEM32\COMMAND.COM 5 17 5" xfId="1352" xr:uid="{00000000-0005-0000-0000-00004F050000}"/>
    <cellStyle name="=C:\WINNT\SYSTEM32\COMMAND.COM 5 17 6" xfId="1353" xr:uid="{00000000-0005-0000-0000-000050050000}"/>
    <cellStyle name="=C:\WINNT\SYSTEM32\COMMAND.COM 5 17 7" xfId="1354" xr:uid="{00000000-0005-0000-0000-000051050000}"/>
    <cellStyle name="=C:\WINNT\SYSTEM32\COMMAND.COM 5 17 8" xfId="1355" xr:uid="{00000000-0005-0000-0000-000052050000}"/>
    <cellStyle name="=C:\WINNT\SYSTEM32\COMMAND.COM 5 18" xfId="1356" xr:uid="{00000000-0005-0000-0000-000053050000}"/>
    <cellStyle name="=C:\WINNT\SYSTEM32\COMMAND.COM 5 18 2" xfId="1357" xr:uid="{00000000-0005-0000-0000-000054050000}"/>
    <cellStyle name="=C:\WINNT\SYSTEM32\COMMAND.COM 5 18 3" xfId="1358" xr:uid="{00000000-0005-0000-0000-000055050000}"/>
    <cellStyle name="=C:\WINNT\SYSTEM32\COMMAND.COM 5 18 4" xfId="1359" xr:uid="{00000000-0005-0000-0000-000056050000}"/>
    <cellStyle name="=C:\WINNT\SYSTEM32\COMMAND.COM 5 18 5" xfId="1360" xr:uid="{00000000-0005-0000-0000-000057050000}"/>
    <cellStyle name="=C:\WINNT\SYSTEM32\COMMAND.COM 5 18 6" xfId="1361" xr:uid="{00000000-0005-0000-0000-000058050000}"/>
    <cellStyle name="=C:\WINNT\SYSTEM32\COMMAND.COM 5 18 7" xfId="1362" xr:uid="{00000000-0005-0000-0000-000059050000}"/>
    <cellStyle name="=C:\WINNT\SYSTEM32\COMMAND.COM 5 18 8" xfId="1363" xr:uid="{00000000-0005-0000-0000-00005A050000}"/>
    <cellStyle name="=C:\WINNT\SYSTEM32\COMMAND.COM 5 19" xfId="1364" xr:uid="{00000000-0005-0000-0000-00005B050000}"/>
    <cellStyle name="=C:\WINNT\SYSTEM32\COMMAND.COM 5 19 2" xfId="1365" xr:uid="{00000000-0005-0000-0000-00005C050000}"/>
    <cellStyle name="=C:\WINNT\SYSTEM32\COMMAND.COM 5 19 3" xfId="1366" xr:uid="{00000000-0005-0000-0000-00005D050000}"/>
    <cellStyle name="=C:\WINNT\SYSTEM32\COMMAND.COM 5 19 4" xfId="1367" xr:uid="{00000000-0005-0000-0000-00005E050000}"/>
    <cellStyle name="=C:\WINNT\SYSTEM32\COMMAND.COM 5 19 5" xfId="1368" xr:uid="{00000000-0005-0000-0000-00005F050000}"/>
    <cellStyle name="=C:\WINNT\SYSTEM32\COMMAND.COM 5 19 6" xfId="1369" xr:uid="{00000000-0005-0000-0000-000060050000}"/>
    <cellStyle name="=C:\WINNT\SYSTEM32\COMMAND.COM 5 19 7" xfId="1370" xr:uid="{00000000-0005-0000-0000-000061050000}"/>
    <cellStyle name="=C:\WINNT\SYSTEM32\COMMAND.COM 5 19 8" xfId="1371" xr:uid="{00000000-0005-0000-0000-000062050000}"/>
    <cellStyle name="=C:\WINNT\SYSTEM32\COMMAND.COM 5 2" xfId="1372" xr:uid="{00000000-0005-0000-0000-000063050000}"/>
    <cellStyle name="=C:\WINNT\SYSTEM32\COMMAND.COM 5 2 2" xfId="1373" xr:uid="{00000000-0005-0000-0000-000064050000}"/>
    <cellStyle name="=C:\WINNT\SYSTEM32\COMMAND.COM 5 2 3" xfId="1374" xr:uid="{00000000-0005-0000-0000-000065050000}"/>
    <cellStyle name="=C:\WINNT\SYSTEM32\COMMAND.COM 5 2 4" xfId="1375" xr:uid="{00000000-0005-0000-0000-000066050000}"/>
    <cellStyle name="=C:\WINNT\SYSTEM32\COMMAND.COM 5 2 5" xfId="1376" xr:uid="{00000000-0005-0000-0000-000067050000}"/>
    <cellStyle name="=C:\WINNT\SYSTEM32\COMMAND.COM 5 2 6" xfId="1377" xr:uid="{00000000-0005-0000-0000-000068050000}"/>
    <cellStyle name="=C:\WINNT\SYSTEM32\COMMAND.COM 5 2 7" xfId="1378" xr:uid="{00000000-0005-0000-0000-000069050000}"/>
    <cellStyle name="=C:\WINNT\SYSTEM32\COMMAND.COM 5 2 8" xfId="1379" xr:uid="{00000000-0005-0000-0000-00006A050000}"/>
    <cellStyle name="=C:\WINNT\SYSTEM32\COMMAND.COM 5 2 9" xfId="1380" xr:uid="{00000000-0005-0000-0000-00006B050000}"/>
    <cellStyle name="=C:\WINNT\SYSTEM32\COMMAND.COM 5 20" xfId="1381" xr:uid="{00000000-0005-0000-0000-00006C050000}"/>
    <cellStyle name="=C:\WINNT\SYSTEM32\COMMAND.COM 5 20 2" xfId="1382" xr:uid="{00000000-0005-0000-0000-00006D050000}"/>
    <cellStyle name="=C:\WINNT\SYSTEM32\COMMAND.COM 5 20 3" xfId="1383" xr:uid="{00000000-0005-0000-0000-00006E050000}"/>
    <cellStyle name="=C:\WINNT\SYSTEM32\COMMAND.COM 5 20 4" xfId="1384" xr:uid="{00000000-0005-0000-0000-00006F050000}"/>
    <cellStyle name="=C:\WINNT\SYSTEM32\COMMAND.COM 5 20 5" xfId="1385" xr:uid="{00000000-0005-0000-0000-000070050000}"/>
    <cellStyle name="=C:\WINNT\SYSTEM32\COMMAND.COM 5 20 6" xfId="1386" xr:uid="{00000000-0005-0000-0000-000071050000}"/>
    <cellStyle name="=C:\WINNT\SYSTEM32\COMMAND.COM 5 20 7" xfId="1387" xr:uid="{00000000-0005-0000-0000-000072050000}"/>
    <cellStyle name="=C:\WINNT\SYSTEM32\COMMAND.COM 5 20 8" xfId="1388" xr:uid="{00000000-0005-0000-0000-000073050000}"/>
    <cellStyle name="=C:\WINNT\SYSTEM32\COMMAND.COM 5 21" xfId="1389" xr:uid="{00000000-0005-0000-0000-000074050000}"/>
    <cellStyle name="=C:\WINNT\SYSTEM32\COMMAND.COM 5 21 2" xfId="1390" xr:uid="{00000000-0005-0000-0000-000075050000}"/>
    <cellStyle name="=C:\WINNT\SYSTEM32\COMMAND.COM 5 21 3" xfId="1391" xr:uid="{00000000-0005-0000-0000-000076050000}"/>
    <cellStyle name="=C:\WINNT\SYSTEM32\COMMAND.COM 5 21 4" xfId="1392" xr:uid="{00000000-0005-0000-0000-000077050000}"/>
    <cellStyle name="=C:\WINNT\SYSTEM32\COMMAND.COM 5 21 5" xfId="1393" xr:uid="{00000000-0005-0000-0000-000078050000}"/>
    <cellStyle name="=C:\WINNT\SYSTEM32\COMMAND.COM 5 21 6" xfId="1394" xr:uid="{00000000-0005-0000-0000-000079050000}"/>
    <cellStyle name="=C:\WINNT\SYSTEM32\COMMAND.COM 5 21 7" xfId="1395" xr:uid="{00000000-0005-0000-0000-00007A050000}"/>
    <cellStyle name="=C:\WINNT\SYSTEM32\COMMAND.COM 5 21 8" xfId="1396" xr:uid="{00000000-0005-0000-0000-00007B050000}"/>
    <cellStyle name="=C:\WINNT\SYSTEM32\COMMAND.COM 5 22" xfId="1397" xr:uid="{00000000-0005-0000-0000-00007C050000}"/>
    <cellStyle name="=C:\WINNT\SYSTEM32\COMMAND.COM 5 22 2" xfId="1398" xr:uid="{00000000-0005-0000-0000-00007D050000}"/>
    <cellStyle name="=C:\WINNT\SYSTEM32\COMMAND.COM 5 22 3" xfId="1399" xr:uid="{00000000-0005-0000-0000-00007E050000}"/>
    <cellStyle name="=C:\WINNT\SYSTEM32\COMMAND.COM 5 22 4" xfId="1400" xr:uid="{00000000-0005-0000-0000-00007F050000}"/>
    <cellStyle name="=C:\WINNT\SYSTEM32\COMMAND.COM 5 22 5" xfId="1401" xr:uid="{00000000-0005-0000-0000-000080050000}"/>
    <cellStyle name="=C:\WINNT\SYSTEM32\COMMAND.COM 5 22 6" xfId="1402" xr:uid="{00000000-0005-0000-0000-000081050000}"/>
    <cellStyle name="=C:\WINNT\SYSTEM32\COMMAND.COM 5 22 7" xfId="1403" xr:uid="{00000000-0005-0000-0000-000082050000}"/>
    <cellStyle name="=C:\WINNT\SYSTEM32\COMMAND.COM 5 22 8" xfId="1404" xr:uid="{00000000-0005-0000-0000-000083050000}"/>
    <cellStyle name="=C:\WINNT\SYSTEM32\COMMAND.COM 5 3" xfId="1405" xr:uid="{00000000-0005-0000-0000-000084050000}"/>
    <cellStyle name="=C:\WINNT\SYSTEM32\COMMAND.COM 5 3 2" xfId="1406" xr:uid="{00000000-0005-0000-0000-000085050000}"/>
    <cellStyle name="=C:\WINNT\SYSTEM32\COMMAND.COM 5 3 3" xfId="1407" xr:uid="{00000000-0005-0000-0000-000086050000}"/>
    <cellStyle name="=C:\WINNT\SYSTEM32\COMMAND.COM 5 3 4" xfId="1408" xr:uid="{00000000-0005-0000-0000-000087050000}"/>
    <cellStyle name="=C:\WINNT\SYSTEM32\COMMAND.COM 5 3 5" xfId="1409" xr:uid="{00000000-0005-0000-0000-000088050000}"/>
    <cellStyle name="=C:\WINNT\SYSTEM32\COMMAND.COM 5 3 6" xfId="1410" xr:uid="{00000000-0005-0000-0000-000089050000}"/>
    <cellStyle name="=C:\WINNT\SYSTEM32\COMMAND.COM 5 3 7" xfId="1411" xr:uid="{00000000-0005-0000-0000-00008A050000}"/>
    <cellStyle name="=C:\WINNT\SYSTEM32\COMMAND.COM 5 3 8" xfId="1412" xr:uid="{00000000-0005-0000-0000-00008B050000}"/>
    <cellStyle name="=C:\WINNT\SYSTEM32\COMMAND.COM 5 4" xfId="1413" xr:uid="{00000000-0005-0000-0000-00008C050000}"/>
    <cellStyle name="=C:\WINNT\SYSTEM32\COMMAND.COM 5 4 2" xfId="1414" xr:uid="{00000000-0005-0000-0000-00008D050000}"/>
    <cellStyle name="=C:\WINNT\SYSTEM32\COMMAND.COM 5 4 3" xfId="1415" xr:uid="{00000000-0005-0000-0000-00008E050000}"/>
    <cellStyle name="=C:\WINNT\SYSTEM32\COMMAND.COM 5 4 4" xfId="1416" xr:uid="{00000000-0005-0000-0000-00008F050000}"/>
    <cellStyle name="=C:\WINNT\SYSTEM32\COMMAND.COM 5 4 5" xfId="1417" xr:uid="{00000000-0005-0000-0000-000090050000}"/>
    <cellStyle name="=C:\WINNT\SYSTEM32\COMMAND.COM 5 4 6" xfId="1418" xr:uid="{00000000-0005-0000-0000-000091050000}"/>
    <cellStyle name="=C:\WINNT\SYSTEM32\COMMAND.COM 5 4 7" xfId="1419" xr:uid="{00000000-0005-0000-0000-000092050000}"/>
    <cellStyle name="=C:\WINNT\SYSTEM32\COMMAND.COM 5 4 8" xfId="1420" xr:uid="{00000000-0005-0000-0000-000093050000}"/>
    <cellStyle name="=C:\WINNT\SYSTEM32\COMMAND.COM 5 5" xfId="1421" xr:uid="{00000000-0005-0000-0000-000094050000}"/>
    <cellStyle name="=C:\WINNT\SYSTEM32\COMMAND.COM 5 5 2" xfId="1422" xr:uid="{00000000-0005-0000-0000-000095050000}"/>
    <cellStyle name="=C:\WINNT\SYSTEM32\COMMAND.COM 5 5 3" xfId="1423" xr:uid="{00000000-0005-0000-0000-000096050000}"/>
    <cellStyle name="=C:\WINNT\SYSTEM32\COMMAND.COM 5 5 4" xfId="1424" xr:uid="{00000000-0005-0000-0000-000097050000}"/>
    <cellStyle name="=C:\WINNT\SYSTEM32\COMMAND.COM 5 5 5" xfId="1425" xr:uid="{00000000-0005-0000-0000-000098050000}"/>
    <cellStyle name="=C:\WINNT\SYSTEM32\COMMAND.COM 5 5 6" xfId="1426" xr:uid="{00000000-0005-0000-0000-000099050000}"/>
    <cellStyle name="=C:\WINNT\SYSTEM32\COMMAND.COM 5 5 7" xfId="1427" xr:uid="{00000000-0005-0000-0000-00009A050000}"/>
    <cellStyle name="=C:\WINNT\SYSTEM32\COMMAND.COM 5 5 8" xfId="1428" xr:uid="{00000000-0005-0000-0000-00009B050000}"/>
    <cellStyle name="=C:\WINNT\SYSTEM32\COMMAND.COM 5 6" xfId="1429" xr:uid="{00000000-0005-0000-0000-00009C050000}"/>
    <cellStyle name="=C:\WINNT\SYSTEM32\COMMAND.COM 5 6 2" xfId="1430" xr:uid="{00000000-0005-0000-0000-00009D050000}"/>
    <cellStyle name="=C:\WINNT\SYSTEM32\COMMAND.COM 5 6 3" xfId="1431" xr:uid="{00000000-0005-0000-0000-00009E050000}"/>
    <cellStyle name="=C:\WINNT\SYSTEM32\COMMAND.COM 5 6 4" xfId="1432" xr:uid="{00000000-0005-0000-0000-00009F050000}"/>
    <cellStyle name="=C:\WINNT\SYSTEM32\COMMAND.COM 5 6 5" xfId="1433" xr:uid="{00000000-0005-0000-0000-0000A0050000}"/>
    <cellStyle name="=C:\WINNT\SYSTEM32\COMMAND.COM 5 6 6" xfId="1434" xr:uid="{00000000-0005-0000-0000-0000A1050000}"/>
    <cellStyle name="=C:\WINNT\SYSTEM32\COMMAND.COM 5 6 7" xfId="1435" xr:uid="{00000000-0005-0000-0000-0000A2050000}"/>
    <cellStyle name="=C:\WINNT\SYSTEM32\COMMAND.COM 5 6 8" xfId="1436" xr:uid="{00000000-0005-0000-0000-0000A3050000}"/>
    <cellStyle name="=C:\WINNT\SYSTEM32\COMMAND.COM 5 7" xfId="1437" xr:uid="{00000000-0005-0000-0000-0000A4050000}"/>
    <cellStyle name="=C:\WINNT\SYSTEM32\COMMAND.COM 5 7 2" xfId="1438" xr:uid="{00000000-0005-0000-0000-0000A5050000}"/>
    <cellStyle name="=C:\WINNT\SYSTEM32\COMMAND.COM 5 7 3" xfId="1439" xr:uid="{00000000-0005-0000-0000-0000A6050000}"/>
    <cellStyle name="=C:\WINNT\SYSTEM32\COMMAND.COM 5 7 4" xfId="1440" xr:uid="{00000000-0005-0000-0000-0000A7050000}"/>
    <cellStyle name="=C:\WINNT\SYSTEM32\COMMAND.COM 5 7 5" xfId="1441" xr:uid="{00000000-0005-0000-0000-0000A8050000}"/>
    <cellStyle name="=C:\WINNT\SYSTEM32\COMMAND.COM 5 7 6" xfId="1442" xr:uid="{00000000-0005-0000-0000-0000A9050000}"/>
    <cellStyle name="=C:\WINNT\SYSTEM32\COMMAND.COM 5 7 7" xfId="1443" xr:uid="{00000000-0005-0000-0000-0000AA050000}"/>
    <cellStyle name="=C:\WINNT\SYSTEM32\COMMAND.COM 5 7 8" xfId="1444" xr:uid="{00000000-0005-0000-0000-0000AB050000}"/>
    <cellStyle name="=C:\WINNT\SYSTEM32\COMMAND.COM 5 8" xfId="1445" xr:uid="{00000000-0005-0000-0000-0000AC050000}"/>
    <cellStyle name="=C:\WINNT\SYSTEM32\COMMAND.COM 5 8 2" xfId="1446" xr:uid="{00000000-0005-0000-0000-0000AD050000}"/>
    <cellStyle name="=C:\WINNT\SYSTEM32\COMMAND.COM 5 8 3" xfId="1447" xr:uid="{00000000-0005-0000-0000-0000AE050000}"/>
    <cellStyle name="=C:\WINNT\SYSTEM32\COMMAND.COM 5 8 4" xfId="1448" xr:uid="{00000000-0005-0000-0000-0000AF050000}"/>
    <cellStyle name="=C:\WINNT\SYSTEM32\COMMAND.COM 5 8 5" xfId="1449" xr:uid="{00000000-0005-0000-0000-0000B0050000}"/>
    <cellStyle name="=C:\WINNT\SYSTEM32\COMMAND.COM 5 8 6" xfId="1450" xr:uid="{00000000-0005-0000-0000-0000B1050000}"/>
    <cellStyle name="=C:\WINNT\SYSTEM32\COMMAND.COM 5 8 7" xfId="1451" xr:uid="{00000000-0005-0000-0000-0000B2050000}"/>
    <cellStyle name="=C:\WINNT\SYSTEM32\COMMAND.COM 5 8 8" xfId="1452" xr:uid="{00000000-0005-0000-0000-0000B3050000}"/>
    <cellStyle name="=C:\WINNT\SYSTEM32\COMMAND.COM 5 9" xfId="1453" xr:uid="{00000000-0005-0000-0000-0000B4050000}"/>
    <cellStyle name="=C:\WINNT\SYSTEM32\COMMAND.COM 5 9 2" xfId="1454" xr:uid="{00000000-0005-0000-0000-0000B5050000}"/>
    <cellStyle name="=C:\WINNT\SYSTEM32\COMMAND.COM 5 9 3" xfId="1455" xr:uid="{00000000-0005-0000-0000-0000B6050000}"/>
    <cellStyle name="=C:\WINNT\SYSTEM32\COMMAND.COM 5 9 4" xfId="1456" xr:uid="{00000000-0005-0000-0000-0000B7050000}"/>
    <cellStyle name="=C:\WINNT\SYSTEM32\COMMAND.COM 5 9 5" xfId="1457" xr:uid="{00000000-0005-0000-0000-0000B8050000}"/>
    <cellStyle name="=C:\WINNT\SYSTEM32\COMMAND.COM 5 9 6" xfId="1458" xr:uid="{00000000-0005-0000-0000-0000B9050000}"/>
    <cellStyle name="=C:\WINNT\SYSTEM32\COMMAND.COM 5 9 7" xfId="1459" xr:uid="{00000000-0005-0000-0000-0000BA050000}"/>
    <cellStyle name="=C:\WINNT\SYSTEM32\COMMAND.COM 5 9 8" xfId="1460" xr:uid="{00000000-0005-0000-0000-0000BB050000}"/>
    <cellStyle name="=C:\WINNT\SYSTEM32\COMMAND.COM 50" xfId="1461" xr:uid="{00000000-0005-0000-0000-0000BC050000}"/>
    <cellStyle name="=C:\WINNT\SYSTEM32\COMMAND.COM 51" xfId="1462" xr:uid="{00000000-0005-0000-0000-0000BD050000}"/>
    <cellStyle name="=C:\WINNT\SYSTEM32\COMMAND.COM 52" xfId="1463" xr:uid="{00000000-0005-0000-0000-0000BE050000}"/>
    <cellStyle name="=C:\WINNT\SYSTEM32\COMMAND.COM 53" xfId="1464" xr:uid="{00000000-0005-0000-0000-0000BF050000}"/>
    <cellStyle name="=C:\WINNT\SYSTEM32\COMMAND.COM 54" xfId="1465" xr:uid="{00000000-0005-0000-0000-0000C0050000}"/>
    <cellStyle name="=C:\WINNT\SYSTEM32\COMMAND.COM 55" xfId="1466" xr:uid="{00000000-0005-0000-0000-0000C1050000}"/>
    <cellStyle name="=C:\WINNT\SYSTEM32\COMMAND.COM 56" xfId="1467" xr:uid="{00000000-0005-0000-0000-0000C2050000}"/>
    <cellStyle name="=C:\WINNT\SYSTEM32\COMMAND.COM 57" xfId="1468" xr:uid="{00000000-0005-0000-0000-0000C3050000}"/>
    <cellStyle name="=C:\WINNT\SYSTEM32\COMMAND.COM 58" xfId="1469" xr:uid="{00000000-0005-0000-0000-0000C4050000}"/>
    <cellStyle name="=C:\WINNT\SYSTEM32\COMMAND.COM 59" xfId="1470" xr:uid="{00000000-0005-0000-0000-0000C5050000}"/>
    <cellStyle name="=C:\WINNT\SYSTEM32\COMMAND.COM 6" xfId="1471" xr:uid="{00000000-0005-0000-0000-0000C6050000}"/>
    <cellStyle name="=C:\WINNT\SYSTEM32\COMMAND.COM 6 2" xfId="1472" xr:uid="{00000000-0005-0000-0000-0000C7050000}"/>
    <cellStyle name="=C:\WINNT\SYSTEM32\COMMAND.COM 6 3" xfId="1473" xr:uid="{00000000-0005-0000-0000-0000C8050000}"/>
    <cellStyle name="=C:\WINNT\SYSTEM32\COMMAND.COM 60" xfId="1474" xr:uid="{00000000-0005-0000-0000-0000C9050000}"/>
    <cellStyle name="=C:\WINNT\SYSTEM32\COMMAND.COM 61" xfId="1475" xr:uid="{00000000-0005-0000-0000-0000CA050000}"/>
    <cellStyle name="=C:\WINNT\SYSTEM32\COMMAND.COM 62" xfId="1476" xr:uid="{00000000-0005-0000-0000-0000CB050000}"/>
    <cellStyle name="=C:\WINNT\SYSTEM32\COMMAND.COM 63" xfId="1477" xr:uid="{00000000-0005-0000-0000-0000CC050000}"/>
    <cellStyle name="=C:\WINNT\SYSTEM32\COMMAND.COM 64" xfId="1478" xr:uid="{00000000-0005-0000-0000-0000CD050000}"/>
    <cellStyle name="=C:\WINNT\SYSTEM32\COMMAND.COM 65" xfId="1479" xr:uid="{00000000-0005-0000-0000-0000CE050000}"/>
    <cellStyle name="=C:\WINNT\SYSTEM32\COMMAND.COM 66" xfId="1480" xr:uid="{00000000-0005-0000-0000-0000CF050000}"/>
    <cellStyle name="=C:\WINNT\SYSTEM32\COMMAND.COM 7" xfId="1481" xr:uid="{00000000-0005-0000-0000-0000D0050000}"/>
    <cellStyle name="=C:\WINNT\SYSTEM32\COMMAND.COM 7 2" xfId="1482" xr:uid="{00000000-0005-0000-0000-0000D1050000}"/>
    <cellStyle name="=C:\WINNT\SYSTEM32\COMMAND.COM 7 2 2" xfId="1483" xr:uid="{00000000-0005-0000-0000-0000D2050000}"/>
    <cellStyle name="=C:\WINNT\SYSTEM32\COMMAND.COM 7 2 2 2" xfId="1484" xr:uid="{00000000-0005-0000-0000-0000D3050000}"/>
    <cellStyle name="=C:\WINNT\SYSTEM32\COMMAND.COM 7 2 3" xfId="1485" xr:uid="{00000000-0005-0000-0000-0000D4050000}"/>
    <cellStyle name="=C:\WINNT\SYSTEM32\COMMAND.COM 7 3" xfId="1486" xr:uid="{00000000-0005-0000-0000-0000D5050000}"/>
    <cellStyle name="=C:\WINNT\SYSTEM32\COMMAND.COM 7 3 2" xfId="1487" xr:uid="{00000000-0005-0000-0000-0000D6050000}"/>
    <cellStyle name="=C:\WINNT\SYSTEM32\COMMAND.COM 7 4" xfId="1488" xr:uid="{00000000-0005-0000-0000-0000D7050000}"/>
    <cellStyle name="=C:\WINNT\SYSTEM32\COMMAND.COM 8" xfId="1489" xr:uid="{00000000-0005-0000-0000-0000D8050000}"/>
    <cellStyle name="=C:\WINNT\SYSTEM32\COMMAND.COM 9" xfId="1490" xr:uid="{00000000-0005-0000-0000-0000D9050000}"/>
    <cellStyle name="=C:\WINNT\SYSTEM32\COMMAND.COM_1.5 Opex Reconciliation NG" xfId="1491" xr:uid="{00000000-0005-0000-0000-0000DA050000}"/>
    <cellStyle name="=C:\WINNT35\SYSTEM32\COMMAND.COM" xfId="1492" xr:uid="{00000000-0005-0000-0000-0000DB050000}"/>
    <cellStyle name="=C:\WINNT35\SYSTEM32\COMMAND.COM 10" xfId="1493" xr:uid="{00000000-0005-0000-0000-0000DC050000}"/>
    <cellStyle name="=C:\WINNT35\SYSTEM32\COMMAND.COM 11" xfId="1494" xr:uid="{00000000-0005-0000-0000-0000DD050000}"/>
    <cellStyle name="=C:\WINNT35\SYSTEM32\COMMAND.COM 12" xfId="1495" xr:uid="{00000000-0005-0000-0000-0000DE050000}"/>
    <cellStyle name="=C:\WINNT35\SYSTEM32\COMMAND.COM 13" xfId="1496" xr:uid="{00000000-0005-0000-0000-0000DF050000}"/>
    <cellStyle name="=C:\WINNT35\SYSTEM32\COMMAND.COM 14" xfId="1497" xr:uid="{00000000-0005-0000-0000-0000E0050000}"/>
    <cellStyle name="=C:\WINNT35\SYSTEM32\COMMAND.COM 15" xfId="1498" xr:uid="{00000000-0005-0000-0000-0000E1050000}"/>
    <cellStyle name="=C:\WINNT35\SYSTEM32\COMMAND.COM 16" xfId="1499" xr:uid="{00000000-0005-0000-0000-0000E2050000}"/>
    <cellStyle name="=C:\WINNT35\SYSTEM32\COMMAND.COM 17" xfId="1500" xr:uid="{00000000-0005-0000-0000-0000E3050000}"/>
    <cellStyle name="=C:\WINNT35\SYSTEM32\COMMAND.COM 18" xfId="1501" xr:uid="{00000000-0005-0000-0000-0000E4050000}"/>
    <cellStyle name="=C:\WINNT35\SYSTEM32\COMMAND.COM 19" xfId="1502" xr:uid="{00000000-0005-0000-0000-0000E5050000}"/>
    <cellStyle name="=C:\WINNT35\SYSTEM32\COMMAND.COM 2" xfId="1503" xr:uid="{00000000-0005-0000-0000-0000E6050000}"/>
    <cellStyle name="=C:\WINNT35\SYSTEM32\COMMAND.COM 20" xfId="1504" xr:uid="{00000000-0005-0000-0000-0000E7050000}"/>
    <cellStyle name="=C:\WINNT35\SYSTEM32\COMMAND.COM 21" xfId="1505" xr:uid="{00000000-0005-0000-0000-0000E8050000}"/>
    <cellStyle name="=C:\WINNT35\SYSTEM32\COMMAND.COM 22" xfId="1506" xr:uid="{00000000-0005-0000-0000-0000E9050000}"/>
    <cellStyle name="=C:\WINNT35\SYSTEM32\COMMAND.COM 23" xfId="1507" xr:uid="{00000000-0005-0000-0000-0000EA050000}"/>
    <cellStyle name="=C:\WINNT35\SYSTEM32\COMMAND.COM 24" xfId="1508" xr:uid="{00000000-0005-0000-0000-0000EB050000}"/>
    <cellStyle name="=C:\WINNT35\SYSTEM32\COMMAND.COM 25" xfId="1509" xr:uid="{00000000-0005-0000-0000-0000EC050000}"/>
    <cellStyle name="=C:\WINNT35\SYSTEM32\COMMAND.COM 26" xfId="1510" xr:uid="{00000000-0005-0000-0000-0000ED050000}"/>
    <cellStyle name="=C:\WINNT35\SYSTEM32\COMMAND.COM 27" xfId="1511" xr:uid="{00000000-0005-0000-0000-0000EE050000}"/>
    <cellStyle name="=C:\WINNT35\SYSTEM32\COMMAND.COM 28" xfId="1512" xr:uid="{00000000-0005-0000-0000-0000EF050000}"/>
    <cellStyle name="=C:\WINNT35\SYSTEM32\COMMAND.COM 29" xfId="1513" xr:uid="{00000000-0005-0000-0000-0000F0050000}"/>
    <cellStyle name="=C:\WINNT35\SYSTEM32\COMMAND.COM 3" xfId="1514" xr:uid="{00000000-0005-0000-0000-0000F1050000}"/>
    <cellStyle name="=C:\WINNT35\SYSTEM32\COMMAND.COM 30" xfId="1515" xr:uid="{00000000-0005-0000-0000-0000F2050000}"/>
    <cellStyle name="=C:\WINNT35\SYSTEM32\COMMAND.COM 31" xfId="1516" xr:uid="{00000000-0005-0000-0000-0000F3050000}"/>
    <cellStyle name="=C:\WINNT35\SYSTEM32\COMMAND.COM 32" xfId="1517" xr:uid="{00000000-0005-0000-0000-0000F4050000}"/>
    <cellStyle name="=C:\WINNT35\SYSTEM32\COMMAND.COM 33" xfId="1518" xr:uid="{00000000-0005-0000-0000-0000F5050000}"/>
    <cellStyle name="=C:\WINNT35\SYSTEM32\COMMAND.COM 34" xfId="1519" xr:uid="{00000000-0005-0000-0000-0000F6050000}"/>
    <cellStyle name="=C:\WINNT35\SYSTEM32\COMMAND.COM 35" xfId="1520" xr:uid="{00000000-0005-0000-0000-0000F7050000}"/>
    <cellStyle name="=C:\WINNT35\SYSTEM32\COMMAND.COM 36" xfId="1521" xr:uid="{00000000-0005-0000-0000-0000F8050000}"/>
    <cellStyle name="=C:\WINNT35\SYSTEM32\COMMAND.COM 37" xfId="1522" xr:uid="{00000000-0005-0000-0000-0000F9050000}"/>
    <cellStyle name="=C:\WINNT35\SYSTEM32\COMMAND.COM 38" xfId="1523" xr:uid="{00000000-0005-0000-0000-0000FA050000}"/>
    <cellStyle name="=C:\WINNT35\SYSTEM32\COMMAND.COM 39" xfId="1524" xr:uid="{00000000-0005-0000-0000-0000FB050000}"/>
    <cellStyle name="=C:\WINNT35\SYSTEM32\COMMAND.COM 4" xfId="1525" xr:uid="{00000000-0005-0000-0000-0000FC050000}"/>
    <cellStyle name="=C:\WINNT35\SYSTEM32\COMMAND.COM 40" xfId="1526" xr:uid="{00000000-0005-0000-0000-0000FD050000}"/>
    <cellStyle name="=C:\WINNT35\SYSTEM32\COMMAND.COM 41" xfId="1527" xr:uid="{00000000-0005-0000-0000-0000FE050000}"/>
    <cellStyle name="=C:\WINNT35\SYSTEM32\COMMAND.COM 42" xfId="1528" xr:uid="{00000000-0005-0000-0000-0000FF050000}"/>
    <cellStyle name="=C:\WINNT35\SYSTEM32\COMMAND.COM 43" xfId="1529" xr:uid="{00000000-0005-0000-0000-000000060000}"/>
    <cellStyle name="=C:\WINNT35\SYSTEM32\COMMAND.COM 44" xfId="1530" xr:uid="{00000000-0005-0000-0000-000001060000}"/>
    <cellStyle name="=C:\WINNT35\SYSTEM32\COMMAND.COM 45" xfId="1531" xr:uid="{00000000-0005-0000-0000-000002060000}"/>
    <cellStyle name="=C:\WINNT35\SYSTEM32\COMMAND.COM 46" xfId="1532" xr:uid="{00000000-0005-0000-0000-000003060000}"/>
    <cellStyle name="=C:\WINNT35\SYSTEM32\COMMAND.COM 47" xfId="1533" xr:uid="{00000000-0005-0000-0000-000004060000}"/>
    <cellStyle name="=C:\WINNT35\SYSTEM32\COMMAND.COM 5" xfId="1534" xr:uid="{00000000-0005-0000-0000-000005060000}"/>
    <cellStyle name="=C:\WINNT35\SYSTEM32\COMMAND.COM 6" xfId="1535" xr:uid="{00000000-0005-0000-0000-000006060000}"/>
    <cellStyle name="=C:\WINNT35\SYSTEM32\COMMAND.COM 7" xfId="1536" xr:uid="{00000000-0005-0000-0000-000007060000}"/>
    <cellStyle name="=C:\WINNT35\SYSTEM32\COMMAND.COM 8" xfId="1537" xr:uid="{00000000-0005-0000-0000-000008060000}"/>
    <cellStyle name="=C:\WINNT35\SYSTEM32\COMMAND.COM 9" xfId="1538" xr:uid="{00000000-0005-0000-0000-000009060000}"/>
    <cellStyle name="=C:\WINNT35\SYSTEM32\COMMAND.COM_1.3s Accounting C Costs Scots" xfId="1539" xr:uid="{00000000-0005-0000-0000-00000A060000}"/>
    <cellStyle name="•W_Area" xfId="1540" xr:uid="{00000000-0005-0000-0000-00000B060000}"/>
    <cellStyle name="0" xfId="1541" xr:uid="{00000000-0005-0000-0000-00000C060000}"/>
    <cellStyle name="0,0_x000a__x000a_NA_x000a__x000a_" xfId="1542" xr:uid="{00000000-0005-0000-0000-00000D060000}"/>
    <cellStyle name="0,0_x000a__x000a_NA_x000a__x000a_ 2" xfId="1543" xr:uid="{00000000-0005-0000-0000-00000E060000}"/>
    <cellStyle name="0_Credit Rating Ratios" xfId="1544" xr:uid="{00000000-0005-0000-0000-00000F060000}"/>
    <cellStyle name="0_Pension numbers in 09 Plan  Budget (3)" xfId="1545" xr:uid="{00000000-0005-0000-0000-000010060000}"/>
    <cellStyle name="0_Vattenfall Euro CY" xfId="1546" xr:uid="{00000000-0005-0000-0000-000011060000}"/>
    <cellStyle name="0DP" xfId="1547" xr:uid="{00000000-0005-0000-0000-000012060000}"/>
    <cellStyle name="0DP bold" xfId="1548" xr:uid="{00000000-0005-0000-0000-000013060000}"/>
    <cellStyle name="0DP_calcSens" xfId="1549" xr:uid="{00000000-0005-0000-0000-000014060000}"/>
    <cellStyle name="1000s (0)" xfId="1550" xr:uid="{00000000-0005-0000-0000-000015060000}"/>
    <cellStyle name="1DP" xfId="1551" xr:uid="{00000000-0005-0000-0000-000016060000}"/>
    <cellStyle name="1DP bold" xfId="1552" xr:uid="{00000000-0005-0000-0000-000017060000}"/>
    <cellStyle name="1DP_Draft RIIO plan presentation template - Customer Opsx Centre V7" xfId="1553" xr:uid="{00000000-0005-0000-0000-000018060000}"/>
    <cellStyle name="20% - Accent1 2" xfId="1554" xr:uid="{00000000-0005-0000-0000-000019060000}"/>
    <cellStyle name="20% - Accent1 2 2" xfId="1555" xr:uid="{00000000-0005-0000-0000-00001A060000}"/>
    <cellStyle name="20% - Accent1 2 2 2" xfId="1556" xr:uid="{00000000-0005-0000-0000-00001B060000}"/>
    <cellStyle name="20% - Accent1 2 2 2 2" xfId="1557" xr:uid="{00000000-0005-0000-0000-00001C060000}"/>
    <cellStyle name="20% - Accent1 2 2 2 2 2" xfId="1558" xr:uid="{00000000-0005-0000-0000-00001D060000}"/>
    <cellStyle name="20% - Accent1 2 2 2 3" xfId="1559" xr:uid="{00000000-0005-0000-0000-00001E060000}"/>
    <cellStyle name="20% - Accent1 2 2 2 4" xfId="1560" xr:uid="{00000000-0005-0000-0000-00001F060000}"/>
    <cellStyle name="20% - Accent1 2 2 3" xfId="1561" xr:uid="{00000000-0005-0000-0000-000020060000}"/>
    <cellStyle name="20% - Accent1 2 2 3 2" xfId="1562" xr:uid="{00000000-0005-0000-0000-000021060000}"/>
    <cellStyle name="20% - Accent1 2 2 3 2 2" xfId="1563" xr:uid="{00000000-0005-0000-0000-000022060000}"/>
    <cellStyle name="20% - Accent1 2 2 4" xfId="1564" xr:uid="{00000000-0005-0000-0000-000023060000}"/>
    <cellStyle name="20% - Accent1 2 2 5" xfId="1565" xr:uid="{00000000-0005-0000-0000-000024060000}"/>
    <cellStyle name="20% - Accent1 2 2 6" xfId="1566" xr:uid="{00000000-0005-0000-0000-000025060000}"/>
    <cellStyle name="20% - Accent1 2 2 6 2" xfId="1567" xr:uid="{00000000-0005-0000-0000-000026060000}"/>
    <cellStyle name="20% - Accent1 2 3" xfId="1568" xr:uid="{00000000-0005-0000-0000-000027060000}"/>
    <cellStyle name="20% - Accent1 2 4" xfId="1569" xr:uid="{00000000-0005-0000-0000-000028060000}"/>
    <cellStyle name="20% - Accent1 2 4 2" xfId="1570" xr:uid="{00000000-0005-0000-0000-000029060000}"/>
    <cellStyle name="20% - Accent1 2 4 2 2" xfId="1571" xr:uid="{00000000-0005-0000-0000-00002A060000}"/>
    <cellStyle name="20% - Accent1 2 5" xfId="1572" xr:uid="{00000000-0005-0000-0000-00002B060000}"/>
    <cellStyle name="20% - Accent1 2 5 2" xfId="1573" xr:uid="{00000000-0005-0000-0000-00002C060000}"/>
    <cellStyle name="20% - Accent1 2 5 2 2" xfId="1574" xr:uid="{00000000-0005-0000-0000-00002D060000}"/>
    <cellStyle name="20% - Accent1 2 6" xfId="1575" xr:uid="{00000000-0005-0000-0000-00002E060000}"/>
    <cellStyle name="20% - Accent1 2 7" xfId="1576" xr:uid="{00000000-0005-0000-0000-00002F060000}"/>
    <cellStyle name="20% - Accent1 3" xfId="1577" xr:uid="{00000000-0005-0000-0000-000030060000}"/>
    <cellStyle name="20% - Accent1 3 2" xfId="1578" xr:uid="{00000000-0005-0000-0000-000031060000}"/>
    <cellStyle name="20% - Accent1 3 3" xfId="1579" xr:uid="{00000000-0005-0000-0000-000032060000}"/>
    <cellStyle name="20% - Accent1 4" xfId="1580" xr:uid="{00000000-0005-0000-0000-000033060000}"/>
    <cellStyle name="20% - Accent1 5" xfId="1581" xr:uid="{00000000-0005-0000-0000-000034060000}"/>
    <cellStyle name="20% - Accent1 6" xfId="1582" xr:uid="{00000000-0005-0000-0000-000035060000}"/>
    <cellStyle name="20% - Accent1 7" xfId="1583" xr:uid="{00000000-0005-0000-0000-000036060000}"/>
    <cellStyle name="20% - Accent2 2" xfId="1584" xr:uid="{00000000-0005-0000-0000-000037060000}"/>
    <cellStyle name="20% - Accent2 2 2" xfId="1585" xr:uid="{00000000-0005-0000-0000-000038060000}"/>
    <cellStyle name="20% - Accent2 2 2 2" xfId="1586" xr:uid="{00000000-0005-0000-0000-000039060000}"/>
    <cellStyle name="20% - Accent2 2 2 2 2" xfId="1587" xr:uid="{00000000-0005-0000-0000-00003A060000}"/>
    <cellStyle name="20% - Accent2 2 2 2 2 2" xfId="1588" xr:uid="{00000000-0005-0000-0000-00003B060000}"/>
    <cellStyle name="20% - Accent2 2 2 2 3" xfId="1589" xr:uid="{00000000-0005-0000-0000-00003C060000}"/>
    <cellStyle name="20% - Accent2 2 2 2 4" xfId="1590" xr:uid="{00000000-0005-0000-0000-00003D060000}"/>
    <cellStyle name="20% - Accent2 2 2 3" xfId="1591" xr:uid="{00000000-0005-0000-0000-00003E060000}"/>
    <cellStyle name="20% - Accent2 2 2 3 2" xfId="1592" xr:uid="{00000000-0005-0000-0000-00003F060000}"/>
    <cellStyle name="20% - Accent2 2 2 3 2 2" xfId="1593" xr:uid="{00000000-0005-0000-0000-000040060000}"/>
    <cellStyle name="20% - Accent2 2 2 4" xfId="1594" xr:uid="{00000000-0005-0000-0000-000041060000}"/>
    <cellStyle name="20% - Accent2 2 2 5" xfId="1595" xr:uid="{00000000-0005-0000-0000-000042060000}"/>
    <cellStyle name="20% - Accent2 2 2 6" xfId="1596" xr:uid="{00000000-0005-0000-0000-000043060000}"/>
    <cellStyle name="20% - Accent2 2 2 6 2" xfId="1597" xr:uid="{00000000-0005-0000-0000-000044060000}"/>
    <cellStyle name="20% - Accent2 2 3" xfId="1598" xr:uid="{00000000-0005-0000-0000-000045060000}"/>
    <cellStyle name="20% - Accent2 2 4" xfId="1599" xr:uid="{00000000-0005-0000-0000-000046060000}"/>
    <cellStyle name="20% - Accent2 2 4 2" xfId="1600" xr:uid="{00000000-0005-0000-0000-000047060000}"/>
    <cellStyle name="20% - Accent2 2 4 2 2" xfId="1601" xr:uid="{00000000-0005-0000-0000-000048060000}"/>
    <cellStyle name="20% - Accent2 2 5" xfId="1602" xr:uid="{00000000-0005-0000-0000-000049060000}"/>
    <cellStyle name="20% - Accent2 2 5 2" xfId="1603" xr:uid="{00000000-0005-0000-0000-00004A060000}"/>
    <cellStyle name="20% - Accent2 2 5 2 2" xfId="1604" xr:uid="{00000000-0005-0000-0000-00004B060000}"/>
    <cellStyle name="20% - Accent2 2 6" xfId="1605" xr:uid="{00000000-0005-0000-0000-00004C060000}"/>
    <cellStyle name="20% - Accent2 2 7" xfId="1606" xr:uid="{00000000-0005-0000-0000-00004D060000}"/>
    <cellStyle name="20% - Accent2 3" xfId="1607" xr:uid="{00000000-0005-0000-0000-00004E060000}"/>
    <cellStyle name="20% - Accent2 3 2" xfId="1608" xr:uid="{00000000-0005-0000-0000-00004F060000}"/>
    <cellStyle name="20% - Accent2 3 3" xfId="1609" xr:uid="{00000000-0005-0000-0000-000050060000}"/>
    <cellStyle name="20% - Accent2 4" xfId="1610" xr:uid="{00000000-0005-0000-0000-000051060000}"/>
    <cellStyle name="20% - Accent2 5" xfId="1611" xr:uid="{00000000-0005-0000-0000-000052060000}"/>
    <cellStyle name="20% - Accent2 6" xfId="1612" xr:uid="{00000000-0005-0000-0000-000053060000}"/>
    <cellStyle name="20% - Accent2 7" xfId="1613" xr:uid="{00000000-0005-0000-0000-000054060000}"/>
    <cellStyle name="20% - Accent3 2" xfId="1614" xr:uid="{00000000-0005-0000-0000-000055060000}"/>
    <cellStyle name="20% - Accent3 2 2" xfId="1615" xr:uid="{00000000-0005-0000-0000-000056060000}"/>
    <cellStyle name="20% - Accent3 2 2 2" xfId="1616" xr:uid="{00000000-0005-0000-0000-000057060000}"/>
    <cellStyle name="20% - Accent3 2 2 2 2" xfId="1617" xr:uid="{00000000-0005-0000-0000-000058060000}"/>
    <cellStyle name="20% - Accent3 2 2 2 2 2" xfId="1618" xr:uid="{00000000-0005-0000-0000-000059060000}"/>
    <cellStyle name="20% - Accent3 2 2 2 3" xfId="1619" xr:uid="{00000000-0005-0000-0000-00005A060000}"/>
    <cellStyle name="20% - Accent3 2 2 2 4" xfId="1620" xr:uid="{00000000-0005-0000-0000-00005B060000}"/>
    <cellStyle name="20% - Accent3 2 2 3" xfId="1621" xr:uid="{00000000-0005-0000-0000-00005C060000}"/>
    <cellStyle name="20% - Accent3 2 2 3 2" xfId="1622" xr:uid="{00000000-0005-0000-0000-00005D060000}"/>
    <cellStyle name="20% - Accent3 2 2 3 2 2" xfId="1623" xr:uid="{00000000-0005-0000-0000-00005E060000}"/>
    <cellStyle name="20% - Accent3 2 2 4" xfId="1624" xr:uid="{00000000-0005-0000-0000-00005F060000}"/>
    <cellStyle name="20% - Accent3 2 2 5" xfId="1625" xr:uid="{00000000-0005-0000-0000-000060060000}"/>
    <cellStyle name="20% - Accent3 2 2 6" xfId="1626" xr:uid="{00000000-0005-0000-0000-000061060000}"/>
    <cellStyle name="20% - Accent3 2 2 6 2" xfId="1627" xr:uid="{00000000-0005-0000-0000-000062060000}"/>
    <cellStyle name="20% - Accent3 2 3" xfId="1628" xr:uid="{00000000-0005-0000-0000-000063060000}"/>
    <cellStyle name="20% - Accent3 2 4" xfId="1629" xr:uid="{00000000-0005-0000-0000-000064060000}"/>
    <cellStyle name="20% - Accent3 2 4 2" xfId="1630" xr:uid="{00000000-0005-0000-0000-000065060000}"/>
    <cellStyle name="20% - Accent3 2 4 2 2" xfId="1631" xr:uid="{00000000-0005-0000-0000-000066060000}"/>
    <cellStyle name="20% - Accent3 2 5" xfId="1632" xr:uid="{00000000-0005-0000-0000-000067060000}"/>
    <cellStyle name="20% - Accent3 2 5 2" xfId="1633" xr:uid="{00000000-0005-0000-0000-000068060000}"/>
    <cellStyle name="20% - Accent3 2 5 2 2" xfId="1634" xr:uid="{00000000-0005-0000-0000-000069060000}"/>
    <cellStyle name="20% - Accent3 2 6" xfId="1635" xr:uid="{00000000-0005-0000-0000-00006A060000}"/>
    <cellStyle name="20% - Accent3 2 7" xfId="1636" xr:uid="{00000000-0005-0000-0000-00006B060000}"/>
    <cellStyle name="20% - Accent3 3" xfId="1637" xr:uid="{00000000-0005-0000-0000-00006C060000}"/>
    <cellStyle name="20% - Accent3 3 2" xfId="1638" xr:uid="{00000000-0005-0000-0000-00006D060000}"/>
    <cellStyle name="20% - Accent3 3 3" xfId="1639" xr:uid="{00000000-0005-0000-0000-00006E060000}"/>
    <cellStyle name="20% - Accent3 4" xfId="1640" xr:uid="{00000000-0005-0000-0000-00006F060000}"/>
    <cellStyle name="20% - Accent3 5" xfId="1641" xr:uid="{00000000-0005-0000-0000-000070060000}"/>
    <cellStyle name="20% - Accent3 6" xfId="1642" xr:uid="{00000000-0005-0000-0000-000071060000}"/>
    <cellStyle name="20% - Accent3 7" xfId="1643" xr:uid="{00000000-0005-0000-0000-000072060000}"/>
    <cellStyle name="20% - Accent4 2" xfId="1644" xr:uid="{00000000-0005-0000-0000-000073060000}"/>
    <cellStyle name="20% - Accent4 2 2" xfId="1645" xr:uid="{00000000-0005-0000-0000-000074060000}"/>
    <cellStyle name="20% - Accent4 2 2 2" xfId="1646" xr:uid="{00000000-0005-0000-0000-000075060000}"/>
    <cellStyle name="20% - Accent4 2 2 2 2" xfId="1647" xr:uid="{00000000-0005-0000-0000-000076060000}"/>
    <cellStyle name="20% - Accent4 2 2 2 2 2" xfId="1648" xr:uid="{00000000-0005-0000-0000-000077060000}"/>
    <cellStyle name="20% - Accent4 2 2 2 3" xfId="1649" xr:uid="{00000000-0005-0000-0000-000078060000}"/>
    <cellStyle name="20% - Accent4 2 2 2 4" xfId="1650" xr:uid="{00000000-0005-0000-0000-000079060000}"/>
    <cellStyle name="20% - Accent4 2 2 3" xfId="1651" xr:uid="{00000000-0005-0000-0000-00007A060000}"/>
    <cellStyle name="20% - Accent4 2 2 3 2" xfId="1652" xr:uid="{00000000-0005-0000-0000-00007B060000}"/>
    <cellStyle name="20% - Accent4 2 2 3 2 2" xfId="1653" xr:uid="{00000000-0005-0000-0000-00007C060000}"/>
    <cellStyle name="20% - Accent4 2 2 4" xfId="1654" xr:uid="{00000000-0005-0000-0000-00007D060000}"/>
    <cellStyle name="20% - Accent4 2 2 5" xfId="1655" xr:uid="{00000000-0005-0000-0000-00007E060000}"/>
    <cellStyle name="20% - Accent4 2 2 6" xfId="1656" xr:uid="{00000000-0005-0000-0000-00007F060000}"/>
    <cellStyle name="20% - Accent4 2 2 6 2" xfId="1657" xr:uid="{00000000-0005-0000-0000-000080060000}"/>
    <cellStyle name="20% - Accent4 2 3" xfId="1658" xr:uid="{00000000-0005-0000-0000-000081060000}"/>
    <cellStyle name="20% - Accent4 2 4" xfId="1659" xr:uid="{00000000-0005-0000-0000-000082060000}"/>
    <cellStyle name="20% - Accent4 2 4 2" xfId="1660" xr:uid="{00000000-0005-0000-0000-000083060000}"/>
    <cellStyle name="20% - Accent4 2 4 2 2" xfId="1661" xr:uid="{00000000-0005-0000-0000-000084060000}"/>
    <cellStyle name="20% - Accent4 2 5" xfId="1662" xr:uid="{00000000-0005-0000-0000-000085060000}"/>
    <cellStyle name="20% - Accent4 2 5 2" xfId="1663" xr:uid="{00000000-0005-0000-0000-000086060000}"/>
    <cellStyle name="20% - Accent4 2 5 2 2" xfId="1664" xr:uid="{00000000-0005-0000-0000-000087060000}"/>
    <cellStyle name="20% - Accent4 2 6" xfId="1665" xr:uid="{00000000-0005-0000-0000-000088060000}"/>
    <cellStyle name="20% - Accent4 2 7" xfId="1666" xr:uid="{00000000-0005-0000-0000-000089060000}"/>
    <cellStyle name="20% - Accent4 3" xfId="1667" xr:uid="{00000000-0005-0000-0000-00008A060000}"/>
    <cellStyle name="20% - Accent4 3 2" xfId="1668" xr:uid="{00000000-0005-0000-0000-00008B060000}"/>
    <cellStyle name="20% - Accent4 3 3" xfId="1669" xr:uid="{00000000-0005-0000-0000-00008C060000}"/>
    <cellStyle name="20% - Accent4 4" xfId="1670" xr:uid="{00000000-0005-0000-0000-00008D060000}"/>
    <cellStyle name="20% - Accent4 5" xfId="1671" xr:uid="{00000000-0005-0000-0000-00008E060000}"/>
    <cellStyle name="20% - Accent4 6" xfId="1672" xr:uid="{00000000-0005-0000-0000-00008F060000}"/>
    <cellStyle name="20% - Accent4 7" xfId="1673" xr:uid="{00000000-0005-0000-0000-000090060000}"/>
    <cellStyle name="20% - Accent5 2" xfId="1674" xr:uid="{00000000-0005-0000-0000-000091060000}"/>
    <cellStyle name="20% - Accent5 2 2" xfId="1675" xr:uid="{00000000-0005-0000-0000-000092060000}"/>
    <cellStyle name="20% - Accent5 2 2 2" xfId="1676" xr:uid="{00000000-0005-0000-0000-000093060000}"/>
    <cellStyle name="20% - Accent5 2 2 2 2" xfId="1677" xr:uid="{00000000-0005-0000-0000-000094060000}"/>
    <cellStyle name="20% - Accent5 2 2 2 2 2" xfId="1678" xr:uid="{00000000-0005-0000-0000-000095060000}"/>
    <cellStyle name="20% - Accent5 2 2 2 3" xfId="1679" xr:uid="{00000000-0005-0000-0000-000096060000}"/>
    <cellStyle name="20% - Accent5 2 2 2 4" xfId="1680" xr:uid="{00000000-0005-0000-0000-000097060000}"/>
    <cellStyle name="20% - Accent5 2 2 3" xfId="1681" xr:uid="{00000000-0005-0000-0000-000098060000}"/>
    <cellStyle name="20% - Accent5 2 2 3 2" xfId="1682" xr:uid="{00000000-0005-0000-0000-000099060000}"/>
    <cellStyle name="20% - Accent5 2 2 3 2 2" xfId="1683" xr:uid="{00000000-0005-0000-0000-00009A060000}"/>
    <cellStyle name="20% - Accent5 2 2 4" xfId="1684" xr:uid="{00000000-0005-0000-0000-00009B060000}"/>
    <cellStyle name="20% - Accent5 2 2 5" xfId="1685" xr:uid="{00000000-0005-0000-0000-00009C060000}"/>
    <cellStyle name="20% - Accent5 2 2 6" xfId="1686" xr:uid="{00000000-0005-0000-0000-00009D060000}"/>
    <cellStyle name="20% - Accent5 2 2 6 2" xfId="1687" xr:uid="{00000000-0005-0000-0000-00009E060000}"/>
    <cellStyle name="20% - Accent5 2 3" xfId="1688" xr:uid="{00000000-0005-0000-0000-00009F060000}"/>
    <cellStyle name="20% - Accent5 2 4" xfId="1689" xr:uid="{00000000-0005-0000-0000-0000A0060000}"/>
    <cellStyle name="20% - Accent5 2 4 2" xfId="1690" xr:uid="{00000000-0005-0000-0000-0000A1060000}"/>
    <cellStyle name="20% - Accent5 2 4 2 2" xfId="1691" xr:uid="{00000000-0005-0000-0000-0000A2060000}"/>
    <cellStyle name="20% - Accent5 2 5" xfId="1692" xr:uid="{00000000-0005-0000-0000-0000A3060000}"/>
    <cellStyle name="20% - Accent5 2 5 2" xfId="1693" xr:uid="{00000000-0005-0000-0000-0000A4060000}"/>
    <cellStyle name="20% - Accent5 2 5 2 2" xfId="1694" xr:uid="{00000000-0005-0000-0000-0000A5060000}"/>
    <cellStyle name="20% - Accent5 2 6" xfId="1695" xr:uid="{00000000-0005-0000-0000-0000A6060000}"/>
    <cellStyle name="20% - Accent5 2 7" xfId="1696" xr:uid="{00000000-0005-0000-0000-0000A7060000}"/>
    <cellStyle name="20% - Accent5 3" xfId="1697" xr:uid="{00000000-0005-0000-0000-0000A8060000}"/>
    <cellStyle name="20% - Accent5 3 2" xfId="1698" xr:uid="{00000000-0005-0000-0000-0000A9060000}"/>
    <cellStyle name="20% - Accent5 3 3" xfId="1699" xr:uid="{00000000-0005-0000-0000-0000AA060000}"/>
    <cellStyle name="20% - Accent5 4" xfId="1700" xr:uid="{00000000-0005-0000-0000-0000AB060000}"/>
    <cellStyle name="20% - Accent5 5" xfId="1701" xr:uid="{00000000-0005-0000-0000-0000AC060000}"/>
    <cellStyle name="20% - Accent5 6" xfId="1702" xr:uid="{00000000-0005-0000-0000-0000AD060000}"/>
    <cellStyle name="20% - Accent5 7" xfId="1703" xr:uid="{00000000-0005-0000-0000-0000AE060000}"/>
    <cellStyle name="20% - Accent6 2" xfId="1704" xr:uid="{00000000-0005-0000-0000-0000AF060000}"/>
    <cellStyle name="20% - Accent6 2 2" xfId="1705" xr:uid="{00000000-0005-0000-0000-0000B0060000}"/>
    <cellStyle name="20% - Accent6 2 2 2" xfId="1706" xr:uid="{00000000-0005-0000-0000-0000B1060000}"/>
    <cellStyle name="20% - Accent6 2 2 2 2" xfId="1707" xr:uid="{00000000-0005-0000-0000-0000B2060000}"/>
    <cellStyle name="20% - Accent6 2 2 2 2 2" xfId="1708" xr:uid="{00000000-0005-0000-0000-0000B3060000}"/>
    <cellStyle name="20% - Accent6 2 2 2 3" xfId="1709" xr:uid="{00000000-0005-0000-0000-0000B4060000}"/>
    <cellStyle name="20% - Accent6 2 2 2 4" xfId="1710" xr:uid="{00000000-0005-0000-0000-0000B5060000}"/>
    <cellStyle name="20% - Accent6 2 2 3" xfId="1711" xr:uid="{00000000-0005-0000-0000-0000B6060000}"/>
    <cellStyle name="20% - Accent6 2 2 3 2" xfId="1712" xr:uid="{00000000-0005-0000-0000-0000B7060000}"/>
    <cellStyle name="20% - Accent6 2 2 3 2 2" xfId="1713" xr:uid="{00000000-0005-0000-0000-0000B8060000}"/>
    <cellStyle name="20% - Accent6 2 2 4" xfId="1714" xr:uid="{00000000-0005-0000-0000-0000B9060000}"/>
    <cellStyle name="20% - Accent6 2 2 5" xfId="1715" xr:uid="{00000000-0005-0000-0000-0000BA060000}"/>
    <cellStyle name="20% - Accent6 2 2 6" xfId="1716" xr:uid="{00000000-0005-0000-0000-0000BB060000}"/>
    <cellStyle name="20% - Accent6 2 2 6 2" xfId="1717" xr:uid="{00000000-0005-0000-0000-0000BC060000}"/>
    <cellStyle name="20% - Accent6 2 3" xfId="1718" xr:uid="{00000000-0005-0000-0000-0000BD060000}"/>
    <cellStyle name="20% - Accent6 2 4" xfId="1719" xr:uid="{00000000-0005-0000-0000-0000BE060000}"/>
    <cellStyle name="20% - Accent6 2 4 2" xfId="1720" xr:uid="{00000000-0005-0000-0000-0000BF060000}"/>
    <cellStyle name="20% - Accent6 2 4 2 2" xfId="1721" xr:uid="{00000000-0005-0000-0000-0000C0060000}"/>
    <cellStyle name="20% - Accent6 2 5" xfId="1722" xr:uid="{00000000-0005-0000-0000-0000C1060000}"/>
    <cellStyle name="20% - Accent6 2 5 2" xfId="1723" xr:uid="{00000000-0005-0000-0000-0000C2060000}"/>
    <cellStyle name="20% - Accent6 2 5 2 2" xfId="1724" xr:uid="{00000000-0005-0000-0000-0000C3060000}"/>
    <cellStyle name="20% - Accent6 2 6" xfId="1725" xr:uid="{00000000-0005-0000-0000-0000C4060000}"/>
    <cellStyle name="20% - Accent6 2 7" xfId="1726" xr:uid="{00000000-0005-0000-0000-0000C5060000}"/>
    <cellStyle name="20% - Accent6 3" xfId="1727" xr:uid="{00000000-0005-0000-0000-0000C6060000}"/>
    <cellStyle name="20% - Accent6 3 2" xfId="1728" xr:uid="{00000000-0005-0000-0000-0000C7060000}"/>
    <cellStyle name="20% - Accent6 3 3" xfId="1729" xr:uid="{00000000-0005-0000-0000-0000C8060000}"/>
    <cellStyle name="20% - Accent6 4" xfId="1730" xr:uid="{00000000-0005-0000-0000-0000C9060000}"/>
    <cellStyle name="20% - Accent6 5" xfId="1731" xr:uid="{00000000-0005-0000-0000-0000CA060000}"/>
    <cellStyle name="20% - Accent6 6" xfId="1732" xr:uid="{00000000-0005-0000-0000-0000CB060000}"/>
    <cellStyle name="20% - Accent6 7" xfId="1733" xr:uid="{00000000-0005-0000-0000-0000CC060000}"/>
    <cellStyle name="2DP" xfId="1734" xr:uid="{00000000-0005-0000-0000-0000CD060000}"/>
    <cellStyle name="2DP bold" xfId="1735" xr:uid="{00000000-0005-0000-0000-0000CE060000}"/>
    <cellStyle name="2DP_Draft RIIO plan presentation template - Customer Opsx Centre V7" xfId="1736" xr:uid="{00000000-0005-0000-0000-0000CF060000}"/>
    <cellStyle name="3 V1.00 CORE IMAGE (5200MM3.100 08/01/97)_x000d__x000a__x000d__x000a_[windows]_x000d__x000a_;spooler=yes_x000d__x000a_load=nw" xfId="1737" xr:uid="{00000000-0005-0000-0000-0000D0060000}"/>
    <cellStyle name="3 V1.00 CORE IMAGE (5200MM3.100 08/01/97)_x000d__x000a__x000d__x000a_[windows]_x000d__x000a_;spooler=yes_x000d__x000a_load=nw 2" xfId="1738" xr:uid="{00000000-0005-0000-0000-0000D1060000}"/>
    <cellStyle name="3DP" xfId="1739" xr:uid="{00000000-0005-0000-0000-0000D2060000}"/>
    <cellStyle name="40% - Accent1 2" xfId="1740" xr:uid="{00000000-0005-0000-0000-0000D3060000}"/>
    <cellStyle name="40% - Accent1 2 2" xfId="1741" xr:uid="{00000000-0005-0000-0000-0000D4060000}"/>
    <cellStyle name="40% - Accent1 2 2 2" xfId="1742" xr:uid="{00000000-0005-0000-0000-0000D5060000}"/>
    <cellStyle name="40% - Accent1 2 2 2 2" xfId="1743" xr:uid="{00000000-0005-0000-0000-0000D6060000}"/>
    <cellStyle name="40% - Accent1 2 2 2 2 2" xfId="1744" xr:uid="{00000000-0005-0000-0000-0000D7060000}"/>
    <cellStyle name="40% - Accent1 2 2 2 3" xfId="1745" xr:uid="{00000000-0005-0000-0000-0000D8060000}"/>
    <cellStyle name="40% - Accent1 2 2 2 4" xfId="1746" xr:uid="{00000000-0005-0000-0000-0000D9060000}"/>
    <cellStyle name="40% - Accent1 2 2 3" xfId="1747" xr:uid="{00000000-0005-0000-0000-0000DA060000}"/>
    <cellStyle name="40% - Accent1 2 2 3 2" xfId="1748" xr:uid="{00000000-0005-0000-0000-0000DB060000}"/>
    <cellStyle name="40% - Accent1 2 2 3 2 2" xfId="1749" xr:uid="{00000000-0005-0000-0000-0000DC060000}"/>
    <cellStyle name="40% - Accent1 2 2 4" xfId="1750" xr:uid="{00000000-0005-0000-0000-0000DD060000}"/>
    <cellStyle name="40% - Accent1 2 2 5" xfId="1751" xr:uid="{00000000-0005-0000-0000-0000DE060000}"/>
    <cellStyle name="40% - Accent1 2 2 6" xfId="1752" xr:uid="{00000000-0005-0000-0000-0000DF060000}"/>
    <cellStyle name="40% - Accent1 2 2 6 2" xfId="1753" xr:uid="{00000000-0005-0000-0000-0000E0060000}"/>
    <cellStyle name="40% - Accent1 2 3" xfId="1754" xr:uid="{00000000-0005-0000-0000-0000E1060000}"/>
    <cellStyle name="40% - Accent1 2 4" xfId="1755" xr:uid="{00000000-0005-0000-0000-0000E2060000}"/>
    <cellStyle name="40% - Accent1 2 4 2" xfId="1756" xr:uid="{00000000-0005-0000-0000-0000E3060000}"/>
    <cellStyle name="40% - Accent1 2 4 2 2" xfId="1757" xr:uid="{00000000-0005-0000-0000-0000E4060000}"/>
    <cellStyle name="40% - Accent1 2 5" xfId="1758" xr:uid="{00000000-0005-0000-0000-0000E5060000}"/>
    <cellStyle name="40% - Accent1 2 5 2" xfId="1759" xr:uid="{00000000-0005-0000-0000-0000E6060000}"/>
    <cellStyle name="40% - Accent1 2 5 2 2" xfId="1760" xr:uid="{00000000-0005-0000-0000-0000E7060000}"/>
    <cellStyle name="40% - Accent1 2 6" xfId="1761" xr:uid="{00000000-0005-0000-0000-0000E8060000}"/>
    <cellStyle name="40% - Accent1 2 7" xfId="1762" xr:uid="{00000000-0005-0000-0000-0000E9060000}"/>
    <cellStyle name="40% - Accent1 3" xfId="1763" xr:uid="{00000000-0005-0000-0000-0000EA060000}"/>
    <cellStyle name="40% - Accent1 3 2" xfId="1764" xr:uid="{00000000-0005-0000-0000-0000EB060000}"/>
    <cellStyle name="40% - Accent1 3 3" xfId="1765" xr:uid="{00000000-0005-0000-0000-0000EC060000}"/>
    <cellStyle name="40% - Accent1 4" xfId="1766" xr:uid="{00000000-0005-0000-0000-0000ED060000}"/>
    <cellStyle name="40% - Accent1 5" xfId="1767" xr:uid="{00000000-0005-0000-0000-0000EE060000}"/>
    <cellStyle name="40% - Accent1 6" xfId="1768" xr:uid="{00000000-0005-0000-0000-0000EF060000}"/>
    <cellStyle name="40% - Accent1 7" xfId="1769" xr:uid="{00000000-0005-0000-0000-0000F0060000}"/>
    <cellStyle name="40% - Accent2 2" xfId="1770" xr:uid="{00000000-0005-0000-0000-0000F1060000}"/>
    <cellStyle name="40% - Accent2 2 2" xfId="1771" xr:uid="{00000000-0005-0000-0000-0000F2060000}"/>
    <cellStyle name="40% - Accent2 2 2 2" xfId="1772" xr:uid="{00000000-0005-0000-0000-0000F3060000}"/>
    <cellStyle name="40% - Accent2 2 2 2 2" xfId="1773" xr:uid="{00000000-0005-0000-0000-0000F4060000}"/>
    <cellStyle name="40% - Accent2 2 2 2 2 2" xfId="1774" xr:uid="{00000000-0005-0000-0000-0000F5060000}"/>
    <cellStyle name="40% - Accent2 2 2 2 3" xfId="1775" xr:uid="{00000000-0005-0000-0000-0000F6060000}"/>
    <cellStyle name="40% - Accent2 2 2 2 4" xfId="1776" xr:uid="{00000000-0005-0000-0000-0000F7060000}"/>
    <cellStyle name="40% - Accent2 2 2 3" xfId="1777" xr:uid="{00000000-0005-0000-0000-0000F8060000}"/>
    <cellStyle name="40% - Accent2 2 2 3 2" xfId="1778" xr:uid="{00000000-0005-0000-0000-0000F9060000}"/>
    <cellStyle name="40% - Accent2 2 2 3 2 2" xfId="1779" xr:uid="{00000000-0005-0000-0000-0000FA060000}"/>
    <cellStyle name="40% - Accent2 2 2 4" xfId="1780" xr:uid="{00000000-0005-0000-0000-0000FB060000}"/>
    <cellStyle name="40% - Accent2 2 2 5" xfId="1781" xr:uid="{00000000-0005-0000-0000-0000FC060000}"/>
    <cellStyle name="40% - Accent2 2 2 6" xfId="1782" xr:uid="{00000000-0005-0000-0000-0000FD060000}"/>
    <cellStyle name="40% - Accent2 2 2 6 2" xfId="1783" xr:uid="{00000000-0005-0000-0000-0000FE060000}"/>
    <cellStyle name="40% - Accent2 2 3" xfId="1784" xr:uid="{00000000-0005-0000-0000-0000FF060000}"/>
    <cellStyle name="40% - Accent2 2 4" xfId="1785" xr:uid="{00000000-0005-0000-0000-000000070000}"/>
    <cellStyle name="40% - Accent2 2 4 2" xfId="1786" xr:uid="{00000000-0005-0000-0000-000001070000}"/>
    <cellStyle name="40% - Accent2 2 4 2 2" xfId="1787" xr:uid="{00000000-0005-0000-0000-000002070000}"/>
    <cellStyle name="40% - Accent2 2 5" xfId="1788" xr:uid="{00000000-0005-0000-0000-000003070000}"/>
    <cellStyle name="40% - Accent2 2 5 2" xfId="1789" xr:uid="{00000000-0005-0000-0000-000004070000}"/>
    <cellStyle name="40% - Accent2 2 5 2 2" xfId="1790" xr:uid="{00000000-0005-0000-0000-000005070000}"/>
    <cellStyle name="40% - Accent2 2 6" xfId="1791" xr:uid="{00000000-0005-0000-0000-000006070000}"/>
    <cellStyle name="40% - Accent2 2 7" xfId="1792" xr:uid="{00000000-0005-0000-0000-000007070000}"/>
    <cellStyle name="40% - Accent2 3" xfId="1793" xr:uid="{00000000-0005-0000-0000-000008070000}"/>
    <cellStyle name="40% - Accent2 3 2" xfId="1794" xr:uid="{00000000-0005-0000-0000-000009070000}"/>
    <cellStyle name="40% - Accent2 3 3" xfId="1795" xr:uid="{00000000-0005-0000-0000-00000A070000}"/>
    <cellStyle name="40% - Accent2 4" xfId="1796" xr:uid="{00000000-0005-0000-0000-00000B070000}"/>
    <cellStyle name="40% - Accent2 5" xfId="1797" xr:uid="{00000000-0005-0000-0000-00000C070000}"/>
    <cellStyle name="40% - Accent2 6" xfId="1798" xr:uid="{00000000-0005-0000-0000-00000D070000}"/>
    <cellStyle name="40% - Accent2 7" xfId="1799" xr:uid="{00000000-0005-0000-0000-00000E070000}"/>
    <cellStyle name="40% - Accent3 2" xfId="1800" xr:uid="{00000000-0005-0000-0000-00000F070000}"/>
    <cellStyle name="40% - Accent3 2 2" xfId="1801" xr:uid="{00000000-0005-0000-0000-000010070000}"/>
    <cellStyle name="40% - Accent3 2 2 2" xfId="1802" xr:uid="{00000000-0005-0000-0000-000011070000}"/>
    <cellStyle name="40% - Accent3 2 2 2 2" xfId="1803" xr:uid="{00000000-0005-0000-0000-000012070000}"/>
    <cellStyle name="40% - Accent3 2 2 2 2 2" xfId="1804" xr:uid="{00000000-0005-0000-0000-000013070000}"/>
    <cellStyle name="40% - Accent3 2 2 2 3" xfId="1805" xr:uid="{00000000-0005-0000-0000-000014070000}"/>
    <cellStyle name="40% - Accent3 2 2 2 4" xfId="1806" xr:uid="{00000000-0005-0000-0000-000015070000}"/>
    <cellStyle name="40% - Accent3 2 2 3" xfId="1807" xr:uid="{00000000-0005-0000-0000-000016070000}"/>
    <cellStyle name="40% - Accent3 2 2 3 2" xfId="1808" xr:uid="{00000000-0005-0000-0000-000017070000}"/>
    <cellStyle name="40% - Accent3 2 2 3 2 2" xfId="1809" xr:uid="{00000000-0005-0000-0000-000018070000}"/>
    <cellStyle name="40% - Accent3 2 2 4" xfId="1810" xr:uid="{00000000-0005-0000-0000-000019070000}"/>
    <cellStyle name="40% - Accent3 2 2 5" xfId="1811" xr:uid="{00000000-0005-0000-0000-00001A070000}"/>
    <cellStyle name="40% - Accent3 2 2 6" xfId="1812" xr:uid="{00000000-0005-0000-0000-00001B070000}"/>
    <cellStyle name="40% - Accent3 2 2 6 2" xfId="1813" xr:uid="{00000000-0005-0000-0000-00001C070000}"/>
    <cellStyle name="40% - Accent3 2 3" xfId="1814" xr:uid="{00000000-0005-0000-0000-00001D070000}"/>
    <cellStyle name="40% - Accent3 2 4" xfId="1815" xr:uid="{00000000-0005-0000-0000-00001E070000}"/>
    <cellStyle name="40% - Accent3 2 4 2" xfId="1816" xr:uid="{00000000-0005-0000-0000-00001F070000}"/>
    <cellStyle name="40% - Accent3 2 4 2 2" xfId="1817" xr:uid="{00000000-0005-0000-0000-000020070000}"/>
    <cellStyle name="40% - Accent3 2 5" xfId="1818" xr:uid="{00000000-0005-0000-0000-000021070000}"/>
    <cellStyle name="40% - Accent3 2 5 2" xfId="1819" xr:uid="{00000000-0005-0000-0000-000022070000}"/>
    <cellStyle name="40% - Accent3 2 5 2 2" xfId="1820" xr:uid="{00000000-0005-0000-0000-000023070000}"/>
    <cellStyle name="40% - Accent3 2 6" xfId="1821" xr:uid="{00000000-0005-0000-0000-000024070000}"/>
    <cellStyle name="40% - Accent3 2 7" xfId="1822" xr:uid="{00000000-0005-0000-0000-000025070000}"/>
    <cellStyle name="40% - Accent3 3" xfId="1823" xr:uid="{00000000-0005-0000-0000-000026070000}"/>
    <cellStyle name="40% - Accent3 3 2" xfId="1824" xr:uid="{00000000-0005-0000-0000-000027070000}"/>
    <cellStyle name="40% - Accent3 3 3" xfId="1825" xr:uid="{00000000-0005-0000-0000-000028070000}"/>
    <cellStyle name="40% - Accent3 4" xfId="1826" xr:uid="{00000000-0005-0000-0000-000029070000}"/>
    <cellStyle name="40% - Accent3 5" xfId="1827" xr:uid="{00000000-0005-0000-0000-00002A070000}"/>
    <cellStyle name="40% - Accent3 6" xfId="1828" xr:uid="{00000000-0005-0000-0000-00002B070000}"/>
    <cellStyle name="40% - Accent3 7" xfId="1829" xr:uid="{00000000-0005-0000-0000-00002C070000}"/>
    <cellStyle name="40% - Accent4 2" xfId="1830" xr:uid="{00000000-0005-0000-0000-00002D070000}"/>
    <cellStyle name="40% - Accent4 2 2" xfId="1831" xr:uid="{00000000-0005-0000-0000-00002E070000}"/>
    <cellStyle name="40% - Accent4 2 2 2" xfId="1832" xr:uid="{00000000-0005-0000-0000-00002F070000}"/>
    <cellStyle name="40% - Accent4 2 2 2 2" xfId="1833" xr:uid="{00000000-0005-0000-0000-000030070000}"/>
    <cellStyle name="40% - Accent4 2 2 2 2 2" xfId="1834" xr:uid="{00000000-0005-0000-0000-000031070000}"/>
    <cellStyle name="40% - Accent4 2 2 2 3" xfId="1835" xr:uid="{00000000-0005-0000-0000-000032070000}"/>
    <cellStyle name="40% - Accent4 2 2 2 4" xfId="1836" xr:uid="{00000000-0005-0000-0000-000033070000}"/>
    <cellStyle name="40% - Accent4 2 2 3" xfId="1837" xr:uid="{00000000-0005-0000-0000-000034070000}"/>
    <cellStyle name="40% - Accent4 2 2 3 2" xfId="1838" xr:uid="{00000000-0005-0000-0000-000035070000}"/>
    <cellStyle name="40% - Accent4 2 2 3 2 2" xfId="1839" xr:uid="{00000000-0005-0000-0000-000036070000}"/>
    <cellStyle name="40% - Accent4 2 2 4" xfId="1840" xr:uid="{00000000-0005-0000-0000-000037070000}"/>
    <cellStyle name="40% - Accent4 2 2 5" xfId="1841" xr:uid="{00000000-0005-0000-0000-000038070000}"/>
    <cellStyle name="40% - Accent4 2 2 6" xfId="1842" xr:uid="{00000000-0005-0000-0000-000039070000}"/>
    <cellStyle name="40% - Accent4 2 2 6 2" xfId="1843" xr:uid="{00000000-0005-0000-0000-00003A070000}"/>
    <cellStyle name="40% - Accent4 2 3" xfId="1844" xr:uid="{00000000-0005-0000-0000-00003B070000}"/>
    <cellStyle name="40% - Accent4 2 4" xfId="1845" xr:uid="{00000000-0005-0000-0000-00003C070000}"/>
    <cellStyle name="40% - Accent4 2 4 2" xfId="1846" xr:uid="{00000000-0005-0000-0000-00003D070000}"/>
    <cellStyle name="40% - Accent4 2 4 2 2" xfId="1847" xr:uid="{00000000-0005-0000-0000-00003E070000}"/>
    <cellStyle name="40% - Accent4 2 5" xfId="1848" xr:uid="{00000000-0005-0000-0000-00003F070000}"/>
    <cellStyle name="40% - Accent4 2 5 2" xfId="1849" xr:uid="{00000000-0005-0000-0000-000040070000}"/>
    <cellStyle name="40% - Accent4 2 5 2 2" xfId="1850" xr:uid="{00000000-0005-0000-0000-000041070000}"/>
    <cellStyle name="40% - Accent4 2 6" xfId="1851" xr:uid="{00000000-0005-0000-0000-000042070000}"/>
    <cellStyle name="40% - Accent4 2 7" xfId="1852" xr:uid="{00000000-0005-0000-0000-000043070000}"/>
    <cellStyle name="40% - Accent4 3" xfId="1853" xr:uid="{00000000-0005-0000-0000-000044070000}"/>
    <cellStyle name="40% - Accent4 3 2" xfId="1854" xr:uid="{00000000-0005-0000-0000-000045070000}"/>
    <cellStyle name="40% - Accent4 3 3" xfId="1855" xr:uid="{00000000-0005-0000-0000-000046070000}"/>
    <cellStyle name="40% - Accent4 4" xfId="1856" xr:uid="{00000000-0005-0000-0000-000047070000}"/>
    <cellStyle name="40% - Accent4 5" xfId="1857" xr:uid="{00000000-0005-0000-0000-000048070000}"/>
    <cellStyle name="40% - Accent4 6" xfId="1858" xr:uid="{00000000-0005-0000-0000-000049070000}"/>
    <cellStyle name="40% - Accent4 7" xfId="1859" xr:uid="{00000000-0005-0000-0000-00004A070000}"/>
    <cellStyle name="40% - Accent5 2" xfId="1860" xr:uid="{00000000-0005-0000-0000-00004B070000}"/>
    <cellStyle name="40% - Accent5 2 2" xfId="1861" xr:uid="{00000000-0005-0000-0000-00004C070000}"/>
    <cellStyle name="40% - Accent5 2 2 2" xfId="1862" xr:uid="{00000000-0005-0000-0000-00004D070000}"/>
    <cellStyle name="40% - Accent5 2 2 2 2" xfId="1863" xr:uid="{00000000-0005-0000-0000-00004E070000}"/>
    <cellStyle name="40% - Accent5 2 2 2 2 2" xfId="1864" xr:uid="{00000000-0005-0000-0000-00004F070000}"/>
    <cellStyle name="40% - Accent5 2 2 2 3" xfId="1865" xr:uid="{00000000-0005-0000-0000-000050070000}"/>
    <cellStyle name="40% - Accent5 2 2 2 4" xfId="1866" xr:uid="{00000000-0005-0000-0000-000051070000}"/>
    <cellStyle name="40% - Accent5 2 2 3" xfId="1867" xr:uid="{00000000-0005-0000-0000-000052070000}"/>
    <cellStyle name="40% - Accent5 2 2 3 2" xfId="1868" xr:uid="{00000000-0005-0000-0000-000053070000}"/>
    <cellStyle name="40% - Accent5 2 2 3 2 2" xfId="1869" xr:uid="{00000000-0005-0000-0000-000054070000}"/>
    <cellStyle name="40% - Accent5 2 2 4" xfId="1870" xr:uid="{00000000-0005-0000-0000-000055070000}"/>
    <cellStyle name="40% - Accent5 2 2 5" xfId="1871" xr:uid="{00000000-0005-0000-0000-000056070000}"/>
    <cellStyle name="40% - Accent5 2 2 6" xfId="1872" xr:uid="{00000000-0005-0000-0000-000057070000}"/>
    <cellStyle name="40% - Accent5 2 2 6 2" xfId="1873" xr:uid="{00000000-0005-0000-0000-000058070000}"/>
    <cellStyle name="40% - Accent5 2 3" xfId="1874" xr:uid="{00000000-0005-0000-0000-000059070000}"/>
    <cellStyle name="40% - Accent5 2 4" xfId="1875" xr:uid="{00000000-0005-0000-0000-00005A070000}"/>
    <cellStyle name="40% - Accent5 2 4 2" xfId="1876" xr:uid="{00000000-0005-0000-0000-00005B070000}"/>
    <cellStyle name="40% - Accent5 2 4 2 2" xfId="1877" xr:uid="{00000000-0005-0000-0000-00005C070000}"/>
    <cellStyle name="40% - Accent5 2 5" xfId="1878" xr:uid="{00000000-0005-0000-0000-00005D070000}"/>
    <cellStyle name="40% - Accent5 2 5 2" xfId="1879" xr:uid="{00000000-0005-0000-0000-00005E070000}"/>
    <cellStyle name="40% - Accent5 2 5 2 2" xfId="1880" xr:uid="{00000000-0005-0000-0000-00005F070000}"/>
    <cellStyle name="40% - Accent5 2 6" xfId="1881" xr:uid="{00000000-0005-0000-0000-000060070000}"/>
    <cellStyle name="40% - Accent5 2 7" xfId="1882" xr:uid="{00000000-0005-0000-0000-000061070000}"/>
    <cellStyle name="40% - Accent5 3" xfId="1883" xr:uid="{00000000-0005-0000-0000-000062070000}"/>
    <cellStyle name="40% - Accent5 3 2" xfId="1884" xr:uid="{00000000-0005-0000-0000-000063070000}"/>
    <cellStyle name="40% - Accent5 3 3" xfId="1885" xr:uid="{00000000-0005-0000-0000-000064070000}"/>
    <cellStyle name="40% - Accent5 4" xfId="1886" xr:uid="{00000000-0005-0000-0000-000065070000}"/>
    <cellStyle name="40% - Accent5 5" xfId="1887" xr:uid="{00000000-0005-0000-0000-000066070000}"/>
    <cellStyle name="40% - Accent5 6" xfId="1888" xr:uid="{00000000-0005-0000-0000-000067070000}"/>
    <cellStyle name="40% - Accent5 7" xfId="1889" xr:uid="{00000000-0005-0000-0000-000068070000}"/>
    <cellStyle name="40% - Accent6 2" xfId="1890" xr:uid="{00000000-0005-0000-0000-000069070000}"/>
    <cellStyle name="40% - Accent6 2 2" xfId="1891" xr:uid="{00000000-0005-0000-0000-00006A070000}"/>
    <cellStyle name="40% - Accent6 2 2 2" xfId="1892" xr:uid="{00000000-0005-0000-0000-00006B070000}"/>
    <cellStyle name="40% - Accent6 2 2 2 2" xfId="1893" xr:uid="{00000000-0005-0000-0000-00006C070000}"/>
    <cellStyle name="40% - Accent6 2 2 2 2 2" xfId="1894" xr:uid="{00000000-0005-0000-0000-00006D070000}"/>
    <cellStyle name="40% - Accent6 2 2 2 3" xfId="1895" xr:uid="{00000000-0005-0000-0000-00006E070000}"/>
    <cellStyle name="40% - Accent6 2 2 2 4" xfId="1896" xr:uid="{00000000-0005-0000-0000-00006F070000}"/>
    <cellStyle name="40% - Accent6 2 2 3" xfId="1897" xr:uid="{00000000-0005-0000-0000-000070070000}"/>
    <cellStyle name="40% - Accent6 2 2 3 2" xfId="1898" xr:uid="{00000000-0005-0000-0000-000071070000}"/>
    <cellStyle name="40% - Accent6 2 2 3 2 2" xfId="1899" xr:uid="{00000000-0005-0000-0000-000072070000}"/>
    <cellStyle name="40% - Accent6 2 2 4" xfId="1900" xr:uid="{00000000-0005-0000-0000-000073070000}"/>
    <cellStyle name="40% - Accent6 2 2 5" xfId="1901" xr:uid="{00000000-0005-0000-0000-000074070000}"/>
    <cellStyle name="40% - Accent6 2 2 6" xfId="1902" xr:uid="{00000000-0005-0000-0000-000075070000}"/>
    <cellStyle name="40% - Accent6 2 2 6 2" xfId="1903" xr:uid="{00000000-0005-0000-0000-000076070000}"/>
    <cellStyle name="40% - Accent6 2 3" xfId="1904" xr:uid="{00000000-0005-0000-0000-000077070000}"/>
    <cellStyle name="40% - Accent6 2 4" xfId="1905" xr:uid="{00000000-0005-0000-0000-000078070000}"/>
    <cellStyle name="40% - Accent6 2 4 2" xfId="1906" xr:uid="{00000000-0005-0000-0000-000079070000}"/>
    <cellStyle name="40% - Accent6 2 4 2 2" xfId="1907" xr:uid="{00000000-0005-0000-0000-00007A070000}"/>
    <cellStyle name="40% - Accent6 2 5" xfId="1908" xr:uid="{00000000-0005-0000-0000-00007B070000}"/>
    <cellStyle name="40% - Accent6 2 5 2" xfId="1909" xr:uid="{00000000-0005-0000-0000-00007C070000}"/>
    <cellStyle name="40% - Accent6 2 5 2 2" xfId="1910" xr:uid="{00000000-0005-0000-0000-00007D070000}"/>
    <cellStyle name="40% - Accent6 2 6" xfId="1911" xr:uid="{00000000-0005-0000-0000-00007E070000}"/>
    <cellStyle name="40% - Accent6 2 7" xfId="1912" xr:uid="{00000000-0005-0000-0000-00007F070000}"/>
    <cellStyle name="40% - Accent6 3" xfId="1913" xr:uid="{00000000-0005-0000-0000-000080070000}"/>
    <cellStyle name="40% - Accent6 3 2" xfId="1914" xr:uid="{00000000-0005-0000-0000-000081070000}"/>
    <cellStyle name="40% - Accent6 3 3" xfId="1915" xr:uid="{00000000-0005-0000-0000-000082070000}"/>
    <cellStyle name="40% - Accent6 4" xfId="1916" xr:uid="{00000000-0005-0000-0000-000083070000}"/>
    <cellStyle name="40% - Accent6 5" xfId="1917" xr:uid="{00000000-0005-0000-0000-000084070000}"/>
    <cellStyle name="40% - Accent6 6" xfId="1918" xr:uid="{00000000-0005-0000-0000-000085070000}"/>
    <cellStyle name="40% - Accent6 7" xfId="1919" xr:uid="{00000000-0005-0000-0000-000086070000}"/>
    <cellStyle name="60% - Accent1 2" xfId="1920" xr:uid="{00000000-0005-0000-0000-000087070000}"/>
    <cellStyle name="60% - Accent1 2 2" xfId="1921" xr:uid="{00000000-0005-0000-0000-000088070000}"/>
    <cellStyle name="60% - Accent1 2 2 2" xfId="1922" xr:uid="{00000000-0005-0000-0000-000089070000}"/>
    <cellStyle name="60% - Accent1 2 2 2 2" xfId="1923" xr:uid="{00000000-0005-0000-0000-00008A070000}"/>
    <cellStyle name="60% - Accent1 2 2 2 2 2" xfId="1924" xr:uid="{00000000-0005-0000-0000-00008B070000}"/>
    <cellStyle name="60% - Accent1 2 2 2 3" xfId="1925" xr:uid="{00000000-0005-0000-0000-00008C070000}"/>
    <cellStyle name="60% - Accent1 2 2 2 4" xfId="1926" xr:uid="{00000000-0005-0000-0000-00008D070000}"/>
    <cellStyle name="60% - Accent1 2 2 3" xfId="1927" xr:uid="{00000000-0005-0000-0000-00008E070000}"/>
    <cellStyle name="60% - Accent1 2 2 3 2" xfId="1928" xr:uid="{00000000-0005-0000-0000-00008F070000}"/>
    <cellStyle name="60% - Accent1 2 2 3 2 2" xfId="1929" xr:uid="{00000000-0005-0000-0000-000090070000}"/>
    <cellStyle name="60% - Accent1 2 2 4" xfId="1930" xr:uid="{00000000-0005-0000-0000-000091070000}"/>
    <cellStyle name="60% - Accent1 2 2 5" xfId="1931" xr:uid="{00000000-0005-0000-0000-000092070000}"/>
    <cellStyle name="60% - Accent1 2 2 6" xfId="1932" xr:uid="{00000000-0005-0000-0000-000093070000}"/>
    <cellStyle name="60% - Accent1 2 2 6 2" xfId="1933" xr:uid="{00000000-0005-0000-0000-000094070000}"/>
    <cellStyle name="60% - Accent1 2 3" xfId="1934" xr:uid="{00000000-0005-0000-0000-000095070000}"/>
    <cellStyle name="60% - Accent1 2 4" xfId="1935" xr:uid="{00000000-0005-0000-0000-000096070000}"/>
    <cellStyle name="60% - Accent1 2 4 2" xfId="1936" xr:uid="{00000000-0005-0000-0000-000097070000}"/>
    <cellStyle name="60% - Accent1 2 4 2 2" xfId="1937" xr:uid="{00000000-0005-0000-0000-000098070000}"/>
    <cellStyle name="60% - Accent1 2 5" xfId="1938" xr:uid="{00000000-0005-0000-0000-000099070000}"/>
    <cellStyle name="60% - Accent1 2 5 2" xfId="1939" xr:uid="{00000000-0005-0000-0000-00009A070000}"/>
    <cellStyle name="60% - Accent1 2 5 2 2" xfId="1940" xr:uid="{00000000-0005-0000-0000-00009B070000}"/>
    <cellStyle name="60% - Accent1 2 6" xfId="1941" xr:uid="{00000000-0005-0000-0000-00009C070000}"/>
    <cellStyle name="60% - Accent1 2 7" xfId="1942" xr:uid="{00000000-0005-0000-0000-00009D070000}"/>
    <cellStyle name="60% - Accent1 3" xfId="1943" xr:uid="{00000000-0005-0000-0000-00009E070000}"/>
    <cellStyle name="60% - Accent1 3 2" xfId="1944" xr:uid="{00000000-0005-0000-0000-00009F070000}"/>
    <cellStyle name="60% - Accent1 3 3" xfId="1945" xr:uid="{00000000-0005-0000-0000-0000A0070000}"/>
    <cellStyle name="60% - Accent1 4" xfId="1946" xr:uid="{00000000-0005-0000-0000-0000A1070000}"/>
    <cellStyle name="60% - Accent1 5" xfId="1947" xr:uid="{00000000-0005-0000-0000-0000A2070000}"/>
    <cellStyle name="60% - Accent1 6" xfId="1948" xr:uid="{00000000-0005-0000-0000-0000A3070000}"/>
    <cellStyle name="60% - Accent1 7" xfId="1949" xr:uid="{00000000-0005-0000-0000-0000A4070000}"/>
    <cellStyle name="60% - Accent2 2" xfId="1950" xr:uid="{00000000-0005-0000-0000-0000A5070000}"/>
    <cellStyle name="60% - Accent2 2 2" xfId="1951" xr:uid="{00000000-0005-0000-0000-0000A6070000}"/>
    <cellStyle name="60% - Accent2 2 2 2" xfId="1952" xr:uid="{00000000-0005-0000-0000-0000A7070000}"/>
    <cellStyle name="60% - Accent2 2 2 2 2" xfId="1953" xr:uid="{00000000-0005-0000-0000-0000A8070000}"/>
    <cellStyle name="60% - Accent2 2 2 2 2 2" xfId="1954" xr:uid="{00000000-0005-0000-0000-0000A9070000}"/>
    <cellStyle name="60% - Accent2 2 2 2 3" xfId="1955" xr:uid="{00000000-0005-0000-0000-0000AA070000}"/>
    <cellStyle name="60% - Accent2 2 2 2 4" xfId="1956" xr:uid="{00000000-0005-0000-0000-0000AB070000}"/>
    <cellStyle name="60% - Accent2 2 2 3" xfId="1957" xr:uid="{00000000-0005-0000-0000-0000AC070000}"/>
    <cellStyle name="60% - Accent2 2 2 3 2" xfId="1958" xr:uid="{00000000-0005-0000-0000-0000AD070000}"/>
    <cellStyle name="60% - Accent2 2 2 3 2 2" xfId="1959" xr:uid="{00000000-0005-0000-0000-0000AE070000}"/>
    <cellStyle name="60% - Accent2 2 2 4" xfId="1960" xr:uid="{00000000-0005-0000-0000-0000AF070000}"/>
    <cellStyle name="60% - Accent2 2 2 5" xfId="1961" xr:uid="{00000000-0005-0000-0000-0000B0070000}"/>
    <cellStyle name="60% - Accent2 2 2 6" xfId="1962" xr:uid="{00000000-0005-0000-0000-0000B1070000}"/>
    <cellStyle name="60% - Accent2 2 2 6 2" xfId="1963" xr:uid="{00000000-0005-0000-0000-0000B2070000}"/>
    <cellStyle name="60% - Accent2 2 3" xfId="1964" xr:uid="{00000000-0005-0000-0000-0000B3070000}"/>
    <cellStyle name="60% - Accent2 2 4" xfId="1965" xr:uid="{00000000-0005-0000-0000-0000B4070000}"/>
    <cellStyle name="60% - Accent2 2 4 2" xfId="1966" xr:uid="{00000000-0005-0000-0000-0000B5070000}"/>
    <cellStyle name="60% - Accent2 2 4 2 2" xfId="1967" xr:uid="{00000000-0005-0000-0000-0000B6070000}"/>
    <cellStyle name="60% - Accent2 2 5" xfId="1968" xr:uid="{00000000-0005-0000-0000-0000B7070000}"/>
    <cellStyle name="60% - Accent2 2 5 2" xfId="1969" xr:uid="{00000000-0005-0000-0000-0000B8070000}"/>
    <cellStyle name="60% - Accent2 2 5 2 2" xfId="1970" xr:uid="{00000000-0005-0000-0000-0000B9070000}"/>
    <cellStyle name="60% - Accent2 2 6" xfId="1971" xr:uid="{00000000-0005-0000-0000-0000BA070000}"/>
    <cellStyle name="60% - Accent2 2 7" xfId="1972" xr:uid="{00000000-0005-0000-0000-0000BB070000}"/>
    <cellStyle name="60% - Accent2 3" xfId="1973" xr:uid="{00000000-0005-0000-0000-0000BC070000}"/>
    <cellStyle name="60% - Accent2 3 2" xfId="1974" xr:uid="{00000000-0005-0000-0000-0000BD070000}"/>
    <cellStyle name="60% - Accent2 3 3" xfId="1975" xr:uid="{00000000-0005-0000-0000-0000BE070000}"/>
    <cellStyle name="60% - Accent2 4" xfId="1976" xr:uid="{00000000-0005-0000-0000-0000BF070000}"/>
    <cellStyle name="60% - Accent2 5" xfId="1977" xr:uid="{00000000-0005-0000-0000-0000C0070000}"/>
    <cellStyle name="60% - Accent2 6" xfId="1978" xr:uid="{00000000-0005-0000-0000-0000C1070000}"/>
    <cellStyle name="60% - Accent2 7" xfId="1979" xr:uid="{00000000-0005-0000-0000-0000C2070000}"/>
    <cellStyle name="60% - Accent3 2" xfId="1980" xr:uid="{00000000-0005-0000-0000-0000C3070000}"/>
    <cellStyle name="60% - Accent3 2 2" xfId="1981" xr:uid="{00000000-0005-0000-0000-0000C4070000}"/>
    <cellStyle name="60% - Accent3 2 2 2" xfId="1982" xr:uid="{00000000-0005-0000-0000-0000C5070000}"/>
    <cellStyle name="60% - Accent3 2 2 2 2" xfId="1983" xr:uid="{00000000-0005-0000-0000-0000C6070000}"/>
    <cellStyle name="60% - Accent3 2 2 2 2 2" xfId="1984" xr:uid="{00000000-0005-0000-0000-0000C7070000}"/>
    <cellStyle name="60% - Accent3 2 2 2 3" xfId="1985" xr:uid="{00000000-0005-0000-0000-0000C8070000}"/>
    <cellStyle name="60% - Accent3 2 2 2 4" xfId="1986" xr:uid="{00000000-0005-0000-0000-0000C9070000}"/>
    <cellStyle name="60% - Accent3 2 2 3" xfId="1987" xr:uid="{00000000-0005-0000-0000-0000CA070000}"/>
    <cellStyle name="60% - Accent3 2 2 3 2" xfId="1988" xr:uid="{00000000-0005-0000-0000-0000CB070000}"/>
    <cellStyle name="60% - Accent3 2 2 3 2 2" xfId="1989" xr:uid="{00000000-0005-0000-0000-0000CC070000}"/>
    <cellStyle name="60% - Accent3 2 2 4" xfId="1990" xr:uid="{00000000-0005-0000-0000-0000CD070000}"/>
    <cellStyle name="60% - Accent3 2 2 5" xfId="1991" xr:uid="{00000000-0005-0000-0000-0000CE070000}"/>
    <cellStyle name="60% - Accent3 2 2 6" xfId="1992" xr:uid="{00000000-0005-0000-0000-0000CF070000}"/>
    <cellStyle name="60% - Accent3 2 2 6 2" xfId="1993" xr:uid="{00000000-0005-0000-0000-0000D0070000}"/>
    <cellStyle name="60% - Accent3 2 3" xfId="1994" xr:uid="{00000000-0005-0000-0000-0000D1070000}"/>
    <cellStyle name="60% - Accent3 2 4" xfId="1995" xr:uid="{00000000-0005-0000-0000-0000D2070000}"/>
    <cellStyle name="60% - Accent3 2 4 2" xfId="1996" xr:uid="{00000000-0005-0000-0000-0000D3070000}"/>
    <cellStyle name="60% - Accent3 2 4 2 2" xfId="1997" xr:uid="{00000000-0005-0000-0000-0000D4070000}"/>
    <cellStyle name="60% - Accent3 2 5" xfId="1998" xr:uid="{00000000-0005-0000-0000-0000D5070000}"/>
    <cellStyle name="60% - Accent3 2 5 2" xfId="1999" xr:uid="{00000000-0005-0000-0000-0000D6070000}"/>
    <cellStyle name="60% - Accent3 2 5 2 2" xfId="2000" xr:uid="{00000000-0005-0000-0000-0000D7070000}"/>
    <cellStyle name="60% - Accent3 2 6" xfId="2001" xr:uid="{00000000-0005-0000-0000-0000D8070000}"/>
    <cellStyle name="60% - Accent3 2 7" xfId="2002" xr:uid="{00000000-0005-0000-0000-0000D9070000}"/>
    <cellStyle name="60% - Accent3 3" xfId="2003" xr:uid="{00000000-0005-0000-0000-0000DA070000}"/>
    <cellStyle name="60% - Accent3 3 2" xfId="2004" xr:uid="{00000000-0005-0000-0000-0000DB070000}"/>
    <cellStyle name="60% - Accent3 3 3" xfId="2005" xr:uid="{00000000-0005-0000-0000-0000DC070000}"/>
    <cellStyle name="60% - Accent3 4" xfId="2006" xr:uid="{00000000-0005-0000-0000-0000DD070000}"/>
    <cellStyle name="60% - Accent3 5" xfId="2007" xr:uid="{00000000-0005-0000-0000-0000DE070000}"/>
    <cellStyle name="60% - Accent3 6" xfId="2008" xr:uid="{00000000-0005-0000-0000-0000DF070000}"/>
    <cellStyle name="60% - Accent3 7" xfId="2009" xr:uid="{00000000-0005-0000-0000-0000E0070000}"/>
    <cellStyle name="60% - Accent4 2" xfId="2010" xr:uid="{00000000-0005-0000-0000-0000E1070000}"/>
    <cellStyle name="60% - Accent4 2 2" xfId="2011" xr:uid="{00000000-0005-0000-0000-0000E2070000}"/>
    <cellStyle name="60% - Accent4 2 2 2" xfId="2012" xr:uid="{00000000-0005-0000-0000-0000E3070000}"/>
    <cellStyle name="60% - Accent4 2 2 2 2" xfId="2013" xr:uid="{00000000-0005-0000-0000-0000E4070000}"/>
    <cellStyle name="60% - Accent4 2 2 2 2 2" xfId="2014" xr:uid="{00000000-0005-0000-0000-0000E5070000}"/>
    <cellStyle name="60% - Accent4 2 2 2 3" xfId="2015" xr:uid="{00000000-0005-0000-0000-0000E6070000}"/>
    <cellStyle name="60% - Accent4 2 2 2 4" xfId="2016" xr:uid="{00000000-0005-0000-0000-0000E7070000}"/>
    <cellStyle name="60% - Accent4 2 2 3" xfId="2017" xr:uid="{00000000-0005-0000-0000-0000E8070000}"/>
    <cellStyle name="60% - Accent4 2 2 3 2" xfId="2018" xr:uid="{00000000-0005-0000-0000-0000E9070000}"/>
    <cellStyle name="60% - Accent4 2 2 3 2 2" xfId="2019" xr:uid="{00000000-0005-0000-0000-0000EA070000}"/>
    <cellStyle name="60% - Accent4 2 2 4" xfId="2020" xr:uid="{00000000-0005-0000-0000-0000EB070000}"/>
    <cellStyle name="60% - Accent4 2 2 5" xfId="2021" xr:uid="{00000000-0005-0000-0000-0000EC070000}"/>
    <cellStyle name="60% - Accent4 2 2 6" xfId="2022" xr:uid="{00000000-0005-0000-0000-0000ED070000}"/>
    <cellStyle name="60% - Accent4 2 2 6 2" xfId="2023" xr:uid="{00000000-0005-0000-0000-0000EE070000}"/>
    <cellStyle name="60% - Accent4 2 3" xfId="2024" xr:uid="{00000000-0005-0000-0000-0000EF070000}"/>
    <cellStyle name="60% - Accent4 2 4" xfId="2025" xr:uid="{00000000-0005-0000-0000-0000F0070000}"/>
    <cellStyle name="60% - Accent4 2 4 2" xfId="2026" xr:uid="{00000000-0005-0000-0000-0000F1070000}"/>
    <cellStyle name="60% - Accent4 2 4 2 2" xfId="2027" xr:uid="{00000000-0005-0000-0000-0000F2070000}"/>
    <cellStyle name="60% - Accent4 2 5" xfId="2028" xr:uid="{00000000-0005-0000-0000-0000F3070000}"/>
    <cellStyle name="60% - Accent4 2 5 2" xfId="2029" xr:uid="{00000000-0005-0000-0000-0000F4070000}"/>
    <cellStyle name="60% - Accent4 2 5 2 2" xfId="2030" xr:uid="{00000000-0005-0000-0000-0000F5070000}"/>
    <cellStyle name="60% - Accent4 2 6" xfId="2031" xr:uid="{00000000-0005-0000-0000-0000F6070000}"/>
    <cellStyle name="60% - Accent4 2 7" xfId="2032" xr:uid="{00000000-0005-0000-0000-0000F7070000}"/>
    <cellStyle name="60% - Accent4 3" xfId="2033" xr:uid="{00000000-0005-0000-0000-0000F8070000}"/>
    <cellStyle name="60% - Accent4 3 2" xfId="2034" xr:uid="{00000000-0005-0000-0000-0000F9070000}"/>
    <cellStyle name="60% - Accent4 3 3" xfId="2035" xr:uid="{00000000-0005-0000-0000-0000FA070000}"/>
    <cellStyle name="60% - Accent4 4" xfId="2036" xr:uid="{00000000-0005-0000-0000-0000FB070000}"/>
    <cellStyle name="60% - Accent4 5" xfId="2037" xr:uid="{00000000-0005-0000-0000-0000FC070000}"/>
    <cellStyle name="60% - Accent4 6" xfId="2038" xr:uid="{00000000-0005-0000-0000-0000FD070000}"/>
    <cellStyle name="60% - Accent4 7" xfId="2039" xr:uid="{00000000-0005-0000-0000-0000FE070000}"/>
    <cellStyle name="60% - Accent5 2" xfId="2040" xr:uid="{00000000-0005-0000-0000-0000FF070000}"/>
    <cellStyle name="60% - Accent5 2 2" xfId="2041" xr:uid="{00000000-0005-0000-0000-000000080000}"/>
    <cellStyle name="60% - Accent5 2 2 2" xfId="2042" xr:uid="{00000000-0005-0000-0000-000001080000}"/>
    <cellStyle name="60% - Accent5 2 2 2 2" xfId="2043" xr:uid="{00000000-0005-0000-0000-000002080000}"/>
    <cellStyle name="60% - Accent5 2 2 2 2 2" xfId="2044" xr:uid="{00000000-0005-0000-0000-000003080000}"/>
    <cellStyle name="60% - Accent5 2 2 2 3" xfId="2045" xr:uid="{00000000-0005-0000-0000-000004080000}"/>
    <cellStyle name="60% - Accent5 2 2 2 4" xfId="2046" xr:uid="{00000000-0005-0000-0000-000005080000}"/>
    <cellStyle name="60% - Accent5 2 2 3" xfId="2047" xr:uid="{00000000-0005-0000-0000-000006080000}"/>
    <cellStyle name="60% - Accent5 2 2 3 2" xfId="2048" xr:uid="{00000000-0005-0000-0000-000007080000}"/>
    <cellStyle name="60% - Accent5 2 2 3 2 2" xfId="2049" xr:uid="{00000000-0005-0000-0000-000008080000}"/>
    <cellStyle name="60% - Accent5 2 2 4" xfId="2050" xr:uid="{00000000-0005-0000-0000-000009080000}"/>
    <cellStyle name="60% - Accent5 2 2 5" xfId="2051" xr:uid="{00000000-0005-0000-0000-00000A080000}"/>
    <cellStyle name="60% - Accent5 2 2 6" xfId="2052" xr:uid="{00000000-0005-0000-0000-00000B080000}"/>
    <cellStyle name="60% - Accent5 2 2 6 2" xfId="2053" xr:uid="{00000000-0005-0000-0000-00000C080000}"/>
    <cellStyle name="60% - Accent5 2 3" xfId="2054" xr:uid="{00000000-0005-0000-0000-00000D080000}"/>
    <cellStyle name="60% - Accent5 2 4" xfId="2055" xr:uid="{00000000-0005-0000-0000-00000E080000}"/>
    <cellStyle name="60% - Accent5 2 4 2" xfId="2056" xr:uid="{00000000-0005-0000-0000-00000F080000}"/>
    <cellStyle name="60% - Accent5 2 4 2 2" xfId="2057" xr:uid="{00000000-0005-0000-0000-000010080000}"/>
    <cellStyle name="60% - Accent5 2 5" xfId="2058" xr:uid="{00000000-0005-0000-0000-000011080000}"/>
    <cellStyle name="60% - Accent5 2 5 2" xfId="2059" xr:uid="{00000000-0005-0000-0000-000012080000}"/>
    <cellStyle name="60% - Accent5 2 5 2 2" xfId="2060" xr:uid="{00000000-0005-0000-0000-000013080000}"/>
    <cellStyle name="60% - Accent5 2 6" xfId="2061" xr:uid="{00000000-0005-0000-0000-000014080000}"/>
    <cellStyle name="60% - Accent5 2 7" xfId="2062" xr:uid="{00000000-0005-0000-0000-000015080000}"/>
    <cellStyle name="60% - Accent5 3" xfId="2063" xr:uid="{00000000-0005-0000-0000-000016080000}"/>
    <cellStyle name="60% - Accent5 3 2" xfId="2064" xr:uid="{00000000-0005-0000-0000-000017080000}"/>
    <cellStyle name="60% - Accent5 3 3" xfId="2065" xr:uid="{00000000-0005-0000-0000-000018080000}"/>
    <cellStyle name="60% - Accent5 4" xfId="2066" xr:uid="{00000000-0005-0000-0000-000019080000}"/>
    <cellStyle name="60% - Accent5 5" xfId="2067" xr:uid="{00000000-0005-0000-0000-00001A080000}"/>
    <cellStyle name="60% - Accent5 6" xfId="2068" xr:uid="{00000000-0005-0000-0000-00001B080000}"/>
    <cellStyle name="60% - Accent5 7" xfId="2069" xr:uid="{00000000-0005-0000-0000-00001C080000}"/>
    <cellStyle name="60% - Accent6 2" xfId="2070" xr:uid="{00000000-0005-0000-0000-00001D080000}"/>
    <cellStyle name="60% - Accent6 2 2" xfId="2071" xr:uid="{00000000-0005-0000-0000-00001E080000}"/>
    <cellStyle name="60% - Accent6 2 2 2" xfId="2072" xr:uid="{00000000-0005-0000-0000-00001F080000}"/>
    <cellStyle name="60% - Accent6 2 2 2 2" xfId="2073" xr:uid="{00000000-0005-0000-0000-000020080000}"/>
    <cellStyle name="60% - Accent6 2 2 2 2 2" xfId="2074" xr:uid="{00000000-0005-0000-0000-000021080000}"/>
    <cellStyle name="60% - Accent6 2 2 2 3" xfId="2075" xr:uid="{00000000-0005-0000-0000-000022080000}"/>
    <cellStyle name="60% - Accent6 2 2 2 4" xfId="2076" xr:uid="{00000000-0005-0000-0000-000023080000}"/>
    <cellStyle name="60% - Accent6 2 2 3" xfId="2077" xr:uid="{00000000-0005-0000-0000-000024080000}"/>
    <cellStyle name="60% - Accent6 2 2 3 2" xfId="2078" xr:uid="{00000000-0005-0000-0000-000025080000}"/>
    <cellStyle name="60% - Accent6 2 2 3 2 2" xfId="2079" xr:uid="{00000000-0005-0000-0000-000026080000}"/>
    <cellStyle name="60% - Accent6 2 2 4" xfId="2080" xr:uid="{00000000-0005-0000-0000-000027080000}"/>
    <cellStyle name="60% - Accent6 2 2 5" xfId="2081" xr:uid="{00000000-0005-0000-0000-000028080000}"/>
    <cellStyle name="60% - Accent6 2 2 6" xfId="2082" xr:uid="{00000000-0005-0000-0000-000029080000}"/>
    <cellStyle name="60% - Accent6 2 2 6 2" xfId="2083" xr:uid="{00000000-0005-0000-0000-00002A080000}"/>
    <cellStyle name="60% - Accent6 2 3" xfId="2084" xr:uid="{00000000-0005-0000-0000-00002B080000}"/>
    <cellStyle name="60% - Accent6 2 4" xfId="2085" xr:uid="{00000000-0005-0000-0000-00002C080000}"/>
    <cellStyle name="60% - Accent6 2 4 2" xfId="2086" xr:uid="{00000000-0005-0000-0000-00002D080000}"/>
    <cellStyle name="60% - Accent6 2 4 2 2" xfId="2087" xr:uid="{00000000-0005-0000-0000-00002E080000}"/>
    <cellStyle name="60% - Accent6 2 5" xfId="2088" xr:uid="{00000000-0005-0000-0000-00002F080000}"/>
    <cellStyle name="60% - Accent6 2 5 2" xfId="2089" xr:uid="{00000000-0005-0000-0000-000030080000}"/>
    <cellStyle name="60% - Accent6 2 5 2 2" xfId="2090" xr:uid="{00000000-0005-0000-0000-000031080000}"/>
    <cellStyle name="60% - Accent6 2 6" xfId="2091" xr:uid="{00000000-0005-0000-0000-000032080000}"/>
    <cellStyle name="60% - Accent6 2 7" xfId="2092" xr:uid="{00000000-0005-0000-0000-000033080000}"/>
    <cellStyle name="60% - Accent6 3" xfId="2093" xr:uid="{00000000-0005-0000-0000-000034080000}"/>
    <cellStyle name="60% - Accent6 3 2" xfId="2094" xr:uid="{00000000-0005-0000-0000-000035080000}"/>
    <cellStyle name="60% - Accent6 3 3" xfId="2095" xr:uid="{00000000-0005-0000-0000-000036080000}"/>
    <cellStyle name="60% - Accent6 4" xfId="2096" xr:uid="{00000000-0005-0000-0000-000037080000}"/>
    <cellStyle name="60% - Accent6 5" xfId="2097" xr:uid="{00000000-0005-0000-0000-000038080000}"/>
    <cellStyle name="60% - Accent6 6" xfId="2098" xr:uid="{00000000-0005-0000-0000-000039080000}"/>
    <cellStyle name="60% - Accent6 7" xfId="2099" xr:uid="{00000000-0005-0000-0000-00003A080000}"/>
    <cellStyle name="aaa" xfId="2100" xr:uid="{00000000-0005-0000-0000-00003B080000}"/>
    <cellStyle name="Accent1 - 20%" xfId="2101" xr:uid="{00000000-0005-0000-0000-00003C080000}"/>
    <cellStyle name="Accent1 - 20% 2" xfId="2102" xr:uid="{00000000-0005-0000-0000-00003D080000}"/>
    <cellStyle name="Accent1 - 40%" xfId="2103" xr:uid="{00000000-0005-0000-0000-00003E080000}"/>
    <cellStyle name="Accent1 - 40% 2" xfId="2104" xr:uid="{00000000-0005-0000-0000-00003F080000}"/>
    <cellStyle name="Accent1 - 60%" xfId="2105" xr:uid="{00000000-0005-0000-0000-000040080000}"/>
    <cellStyle name="Accent1 2" xfId="2106" xr:uid="{00000000-0005-0000-0000-000041080000}"/>
    <cellStyle name="Accent1 2 2" xfId="2107" xr:uid="{00000000-0005-0000-0000-000042080000}"/>
    <cellStyle name="Accent1 2 2 2" xfId="2108" xr:uid="{00000000-0005-0000-0000-000043080000}"/>
    <cellStyle name="Accent1 2 2 2 2" xfId="2109" xr:uid="{00000000-0005-0000-0000-000044080000}"/>
    <cellStyle name="Accent1 2 2 2 2 2" xfId="2110" xr:uid="{00000000-0005-0000-0000-000045080000}"/>
    <cellStyle name="Accent1 2 2 2 3" xfId="2111" xr:uid="{00000000-0005-0000-0000-000046080000}"/>
    <cellStyle name="Accent1 2 2 2 4" xfId="2112" xr:uid="{00000000-0005-0000-0000-000047080000}"/>
    <cellStyle name="Accent1 2 2 3" xfId="2113" xr:uid="{00000000-0005-0000-0000-000048080000}"/>
    <cellStyle name="Accent1 2 2 3 2" xfId="2114" xr:uid="{00000000-0005-0000-0000-000049080000}"/>
    <cellStyle name="Accent1 2 2 3 2 2" xfId="2115" xr:uid="{00000000-0005-0000-0000-00004A080000}"/>
    <cellStyle name="Accent1 2 2 4" xfId="2116" xr:uid="{00000000-0005-0000-0000-00004B080000}"/>
    <cellStyle name="Accent1 2 2 5" xfId="2117" xr:uid="{00000000-0005-0000-0000-00004C080000}"/>
    <cellStyle name="Accent1 2 2 6" xfId="2118" xr:uid="{00000000-0005-0000-0000-00004D080000}"/>
    <cellStyle name="Accent1 2 2 6 2" xfId="2119" xr:uid="{00000000-0005-0000-0000-00004E080000}"/>
    <cellStyle name="Accent1 2 3" xfId="2120" xr:uid="{00000000-0005-0000-0000-00004F080000}"/>
    <cellStyle name="Accent1 2 4" xfId="2121" xr:uid="{00000000-0005-0000-0000-000050080000}"/>
    <cellStyle name="Accent1 2 4 2" xfId="2122" xr:uid="{00000000-0005-0000-0000-000051080000}"/>
    <cellStyle name="Accent1 2 4 2 2" xfId="2123" xr:uid="{00000000-0005-0000-0000-000052080000}"/>
    <cellStyle name="Accent1 2 5" xfId="2124" xr:uid="{00000000-0005-0000-0000-000053080000}"/>
    <cellStyle name="Accent1 2 5 2" xfId="2125" xr:uid="{00000000-0005-0000-0000-000054080000}"/>
    <cellStyle name="Accent1 2 5 2 2" xfId="2126" xr:uid="{00000000-0005-0000-0000-000055080000}"/>
    <cellStyle name="Accent1 2 6" xfId="2127" xr:uid="{00000000-0005-0000-0000-000056080000}"/>
    <cellStyle name="Accent1 2 7" xfId="2128" xr:uid="{00000000-0005-0000-0000-000057080000}"/>
    <cellStyle name="Accent1 3" xfId="2129" xr:uid="{00000000-0005-0000-0000-000058080000}"/>
    <cellStyle name="Accent1 3 2" xfId="2130" xr:uid="{00000000-0005-0000-0000-000059080000}"/>
    <cellStyle name="Accent1 3 3" xfId="2131" xr:uid="{00000000-0005-0000-0000-00005A080000}"/>
    <cellStyle name="Accent1 4" xfId="2132" xr:uid="{00000000-0005-0000-0000-00005B080000}"/>
    <cellStyle name="Accent1 5" xfId="2133" xr:uid="{00000000-0005-0000-0000-00005C080000}"/>
    <cellStyle name="Accent1 6" xfId="2134" xr:uid="{00000000-0005-0000-0000-00005D080000}"/>
    <cellStyle name="Accent1 7" xfId="2135" xr:uid="{00000000-0005-0000-0000-00005E080000}"/>
    <cellStyle name="Accent2 - 20%" xfId="2136" xr:uid="{00000000-0005-0000-0000-00005F080000}"/>
    <cellStyle name="Accent2 - 20% 2" xfId="2137" xr:uid="{00000000-0005-0000-0000-000060080000}"/>
    <cellStyle name="Accent2 - 40%" xfId="2138" xr:uid="{00000000-0005-0000-0000-000061080000}"/>
    <cellStyle name="Accent2 - 40% 2" xfId="2139" xr:uid="{00000000-0005-0000-0000-000062080000}"/>
    <cellStyle name="Accent2 - 60%" xfId="2140" xr:uid="{00000000-0005-0000-0000-000063080000}"/>
    <cellStyle name="Accent2 2" xfId="2141" xr:uid="{00000000-0005-0000-0000-000064080000}"/>
    <cellStyle name="Accent2 2 2" xfId="2142" xr:uid="{00000000-0005-0000-0000-000065080000}"/>
    <cellStyle name="Accent2 2 2 2" xfId="2143" xr:uid="{00000000-0005-0000-0000-000066080000}"/>
    <cellStyle name="Accent2 2 2 2 2" xfId="2144" xr:uid="{00000000-0005-0000-0000-000067080000}"/>
    <cellStyle name="Accent2 2 2 2 2 2" xfId="2145" xr:uid="{00000000-0005-0000-0000-000068080000}"/>
    <cellStyle name="Accent2 2 2 2 3" xfId="2146" xr:uid="{00000000-0005-0000-0000-000069080000}"/>
    <cellStyle name="Accent2 2 2 2 4" xfId="2147" xr:uid="{00000000-0005-0000-0000-00006A080000}"/>
    <cellStyle name="Accent2 2 2 3" xfId="2148" xr:uid="{00000000-0005-0000-0000-00006B080000}"/>
    <cellStyle name="Accent2 2 2 3 2" xfId="2149" xr:uid="{00000000-0005-0000-0000-00006C080000}"/>
    <cellStyle name="Accent2 2 2 3 2 2" xfId="2150" xr:uid="{00000000-0005-0000-0000-00006D080000}"/>
    <cellStyle name="Accent2 2 2 4" xfId="2151" xr:uid="{00000000-0005-0000-0000-00006E080000}"/>
    <cellStyle name="Accent2 2 2 5" xfId="2152" xr:uid="{00000000-0005-0000-0000-00006F080000}"/>
    <cellStyle name="Accent2 2 2 6" xfId="2153" xr:uid="{00000000-0005-0000-0000-000070080000}"/>
    <cellStyle name="Accent2 2 2 6 2" xfId="2154" xr:uid="{00000000-0005-0000-0000-000071080000}"/>
    <cellStyle name="Accent2 2 3" xfId="2155" xr:uid="{00000000-0005-0000-0000-000072080000}"/>
    <cellStyle name="Accent2 2 4" xfId="2156" xr:uid="{00000000-0005-0000-0000-000073080000}"/>
    <cellStyle name="Accent2 2 4 2" xfId="2157" xr:uid="{00000000-0005-0000-0000-000074080000}"/>
    <cellStyle name="Accent2 2 4 2 2" xfId="2158" xr:uid="{00000000-0005-0000-0000-000075080000}"/>
    <cellStyle name="Accent2 2 5" xfId="2159" xr:uid="{00000000-0005-0000-0000-000076080000}"/>
    <cellStyle name="Accent2 2 5 2" xfId="2160" xr:uid="{00000000-0005-0000-0000-000077080000}"/>
    <cellStyle name="Accent2 2 5 2 2" xfId="2161" xr:uid="{00000000-0005-0000-0000-000078080000}"/>
    <cellStyle name="Accent2 2 6" xfId="2162" xr:uid="{00000000-0005-0000-0000-000079080000}"/>
    <cellStyle name="Accent2 2 7" xfId="2163" xr:uid="{00000000-0005-0000-0000-00007A080000}"/>
    <cellStyle name="Accent2 3" xfId="2164" xr:uid="{00000000-0005-0000-0000-00007B080000}"/>
    <cellStyle name="Accent2 3 2" xfId="2165" xr:uid="{00000000-0005-0000-0000-00007C080000}"/>
    <cellStyle name="Accent2 3 3" xfId="2166" xr:uid="{00000000-0005-0000-0000-00007D080000}"/>
    <cellStyle name="Accent2 4" xfId="2167" xr:uid="{00000000-0005-0000-0000-00007E080000}"/>
    <cellStyle name="Accent2 5" xfId="2168" xr:uid="{00000000-0005-0000-0000-00007F080000}"/>
    <cellStyle name="Accent2 6" xfId="2169" xr:uid="{00000000-0005-0000-0000-000080080000}"/>
    <cellStyle name="Accent2 7" xfId="2170" xr:uid="{00000000-0005-0000-0000-000081080000}"/>
    <cellStyle name="Accent3 - 20%" xfId="2171" xr:uid="{00000000-0005-0000-0000-000082080000}"/>
    <cellStyle name="Accent3 - 20% 2" xfId="2172" xr:uid="{00000000-0005-0000-0000-000083080000}"/>
    <cellStyle name="Accent3 - 40%" xfId="2173" xr:uid="{00000000-0005-0000-0000-000084080000}"/>
    <cellStyle name="Accent3 - 40% 2" xfId="2174" xr:uid="{00000000-0005-0000-0000-000085080000}"/>
    <cellStyle name="Accent3 - 60%" xfId="2175" xr:uid="{00000000-0005-0000-0000-000086080000}"/>
    <cellStyle name="Accent3 2" xfId="2176" xr:uid="{00000000-0005-0000-0000-000087080000}"/>
    <cellStyle name="Accent3 2 2" xfId="2177" xr:uid="{00000000-0005-0000-0000-000088080000}"/>
    <cellStyle name="Accent3 2 2 2" xfId="2178" xr:uid="{00000000-0005-0000-0000-000089080000}"/>
    <cellStyle name="Accent3 2 2 2 2" xfId="2179" xr:uid="{00000000-0005-0000-0000-00008A080000}"/>
    <cellStyle name="Accent3 2 2 2 2 2" xfId="2180" xr:uid="{00000000-0005-0000-0000-00008B080000}"/>
    <cellStyle name="Accent3 2 2 2 3" xfId="2181" xr:uid="{00000000-0005-0000-0000-00008C080000}"/>
    <cellStyle name="Accent3 2 2 2 4" xfId="2182" xr:uid="{00000000-0005-0000-0000-00008D080000}"/>
    <cellStyle name="Accent3 2 2 3" xfId="2183" xr:uid="{00000000-0005-0000-0000-00008E080000}"/>
    <cellStyle name="Accent3 2 2 3 2" xfId="2184" xr:uid="{00000000-0005-0000-0000-00008F080000}"/>
    <cellStyle name="Accent3 2 2 3 2 2" xfId="2185" xr:uid="{00000000-0005-0000-0000-000090080000}"/>
    <cellStyle name="Accent3 2 2 4" xfId="2186" xr:uid="{00000000-0005-0000-0000-000091080000}"/>
    <cellStyle name="Accent3 2 2 5" xfId="2187" xr:uid="{00000000-0005-0000-0000-000092080000}"/>
    <cellStyle name="Accent3 2 2 6" xfId="2188" xr:uid="{00000000-0005-0000-0000-000093080000}"/>
    <cellStyle name="Accent3 2 2 6 2" xfId="2189" xr:uid="{00000000-0005-0000-0000-000094080000}"/>
    <cellStyle name="Accent3 2 3" xfId="2190" xr:uid="{00000000-0005-0000-0000-000095080000}"/>
    <cellStyle name="Accent3 2 4" xfId="2191" xr:uid="{00000000-0005-0000-0000-000096080000}"/>
    <cellStyle name="Accent3 2 4 2" xfId="2192" xr:uid="{00000000-0005-0000-0000-000097080000}"/>
    <cellStyle name="Accent3 2 4 2 2" xfId="2193" xr:uid="{00000000-0005-0000-0000-000098080000}"/>
    <cellStyle name="Accent3 2 5" xfId="2194" xr:uid="{00000000-0005-0000-0000-000099080000}"/>
    <cellStyle name="Accent3 2 5 2" xfId="2195" xr:uid="{00000000-0005-0000-0000-00009A080000}"/>
    <cellStyle name="Accent3 2 5 2 2" xfId="2196" xr:uid="{00000000-0005-0000-0000-00009B080000}"/>
    <cellStyle name="Accent3 2 6" xfId="2197" xr:uid="{00000000-0005-0000-0000-00009C080000}"/>
    <cellStyle name="Accent3 2 7" xfId="2198" xr:uid="{00000000-0005-0000-0000-00009D080000}"/>
    <cellStyle name="Accent3 3" xfId="2199" xr:uid="{00000000-0005-0000-0000-00009E080000}"/>
    <cellStyle name="Accent3 3 2" xfId="2200" xr:uid="{00000000-0005-0000-0000-00009F080000}"/>
    <cellStyle name="Accent3 3 3" xfId="2201" xr:uid="{00000000-0005-0000-0000-0000A0080000}"/>
    <cellStyle name="Accent3 4" xfId="2202" xr:uid="{00000000-0005-0000-0000-0000A1080000}"/>
    <cellStyle name="Accent3 5" xfId="2203" xr:uid="{00000000-0005-0000-0000-0000A2080000}"/>
    <cellStyle name="Accent3 6" xfId="2204" xr:uid="{00000000-0005-0000-0000-0000A3080000}"/>
    <cellStyle name="Accent3 7" xfId="2205" xr:uid="{00000000-0005-0000-0000-0000A4080000}"/>
    <cellStyle name="Accent4 - 20%" xfId="2206" xr:uid="{00000000-0005-0000-0000-0000A5080000}"/>
    <cellStyle name="Accent4 - 20% 2" xfId="2207" xr:uid="{00000000-0005-0000-0000-0000A6080000}"/>
    <cellStyle name="Accent4 - 40%" xfId="2208" xr:uid="{00000000-0005-0000-0000-0000A7080000}"/>
    <cellStyle name="Accent4 - 40% 2" xfId="2209" xr:uid="{00000000-0005-0000-0000-0000A8080000}"/>
    <cellStyle name="Accent4 - 60%" xfId="2210" xr:uid="{00000000-0005-0000-0000-0000A9080000}"/>
    <cellStyle name="Accent4 2" xfId="2211" xr:uid="{00000000-0005-0000-0000-0000AA080000}"/>
    <cellStyle name="Accent4 2 2" xfId="2212" xr:uid="{00000000-0005-0000-0000-0000AB080000}"/>
    <cellStyle name="Accent4 2 2 2" xfId="2213" xr:uid="{00000000-0005-0000-0000-0000AC080000}"/>
    <cellStyle name="Accent4 2 2 2 2" xfId="2214" xr:uid="{00000000-0005-0000-0000-0000AD080000}"/>
    <cellStyle name="Accent4 2 2 2 2 2" xfId="2215" xr:uid="{00000000-0005-0000-0000-0000AE080000}"/>
    <cellStyle name="Accent4 2 2 2 3" xfId="2216" xr:uid="{00000000-0005-0000-0000-0000AF080000}"/>
    <cellStyle name="Accent4 2 2 2 4" xfId="2217" xr:uid="{00000000-0005-0000-0000-0000B0080000}"/>
    <cellStyle name="Accent4 2 2 3" xfId="2218" xr:uid="{00000000-0005-0000-0000-0000B1080000}"/>
    <cellStyle name="Accent4 2 2 3 2" xfId="2219" xr:uid="{00000000-0005-0000-0000-0000B2080000}"/>
    <cellStyle name="Accent4 2 2 3 2 2" xfId="2220" xr:uid="{00000000-0005-0000-0000-0000B3080000}"/>
    <cellStyle name="Accent4 2 2 4" xfId="2221" xr:uid="{00000000-0005-0000-0000-0000B4080000}"/>
    <cellStyle name="Accent4 2 2 5" xfId="2222" xr:uid="{00000000-0005-0000-0000-0000B5080000}"/>
    <cellStyle name="Accent4 2 2 6" xfId="2223" xr:uid="{00000000-0005-0000-0000-0000B6080000}"/>
    <cellStyle name="Accent4 2 2 6 2" xfId="2224" xr:uid="{00000000-0005-0000-0000-0000B7080000}"/>
    <cellStyle name="Accent4 2 3" xfId="2225" xr:uid="{00000000-0005-0000-0000-0000B8080000}"/>
    <cellStyle name="Accent4 2 4" xfId="2226" xr:uid="{00000000-0005-0000-0000-0000B9080000}"/>
    <cellStyle name="Accent4 2 4 2" xfId="2227" xr:uid="{00000000-0005-0000-0000-0000BA080000}"/>
    <cellStyle name="Accent4 2 4 2 2" xfId="2228" xr:uid="{00000000-0005-0000-0000-0000BB080000}"/>
    <cellStyle name="Accent4 2 5" xfId="2229" xr:uid="{00000000-0005-0000-0000-0000BC080000}"/>
    <cellStyle name="Accent4 2 5 2" xfId="2230" xr:uid="{00000000-0005-0000-0000-0000BD080000}"/>
    <cellStyle name="Accent4 2 5 2 2" xfId="2231" xr:uid="{00000000-0005-0000-0000-0000BE080000}"/>
    <cellStyle name="Accent4 2 6" xfId="2232" xr:uid="{00000000-0005-0000-0000-0000BF080000}"/>
    <cellStyle name="Accent4 2 7" xfId="2233" xr:uid="{00000000-0005-0000-0000-0000C0080000}"/>
    <cellStyle name="Accent4 3" xfId="2234" xr:uid="{00000000-0005-0000-0000-0000C1080000}"/>
    <cellStyle name="Accent4 3 2" xfId="2235" xr:uid="{00000000-0005-0000-0000-0000C2080000}"/>
    <cellStyle name="Accent4 3 3" xfId="2236" xr:uid="{00000000-0005-0000-0000-0000C3080000}"/>
    <cellStyle name="Accent4 4" xfId="2237" xr:uid="{00000000-0005-0000-0000-0000C4080000}"/>
    <cellStyle name="Accent4 5" xfId="2238" xr:uid="{00000000-0005-0000-0000-0000C5080000}"/>
    <cellStyle name="Accent4 6" xfId="2239" xr:uid="{00000000-0005-0000-0000-0000C6080000}"/>
    <cellStyle name="Accent4 7" xfId="2240" xr:uid="{00000000-0005-0000-0000-0000C7080000}"/>
    <cellStyle name="Accent5 - 20%" xfId="2241" xr:uid="{00000000-0005-0000-0000-0000C8080000}"/>
    <cellStyle name="Accent5 - 20% 2" xfId="2242" xr:uid="{00000000-0005-0000-0000-0000C9080000}"/>
    <cellStyle name="Accent5 - 40%" xfId="2243" xr:uid="{00000000-0005-0000-0000-0000CA080000}"/>
    <cellStyle name="Accent5 - 40% 2" xfId="2244" xr:uid="{00000000-0005-0000-0000-0000CB080000}"/>
    <cellStyle name="Accent5 - 60%" xfId="2245" xr:uid="{00000000-0005-0000-0000-0000CC080000}"/>
    <cellStyle name="Accent5 2" xfId="2246" xr:uid="{00000000-0005-0000-0000-0000CD080000}"/>
    <cellStyle name="Accent5 2 2" xfId="2247" xr:uid="{00000000-0005-0000-0000-0000CE080000}"/>
    <cellStyle name="Accent5 2 2 2" xfId="2248" xr:uid="{00000000-0005-0000-0000-0000CF080000}"/>
    <cellStyle name="Accent5 2 2 2 2" xfId="2249" xr:uid="{00000000-0005-0000-0000-0000D0080000}"/>
    <cellStyle name="Accent5 2 2 2 2 2" xfId="2250" xr:uid="{00000000-0005-0000-0000-0000D1080000}"/>
    <cellStyle name="Accent5 2 2 2 3" xfId="2251" xr:uid="{00000000-0005-0000-0000-0000D2080000}"/>
    <cellStyle name="Accent5 2 2 2 4" xfId="2252" xr:uid="{00000000-0005-0000-0000-0000D3080000}"/>
    <cellStyle name="Accent5 2 2 3" xfId="2253" xr:uid="{00000000-0005-0000-0000-0000D4080000}"/>
    <cellStyle name="Accent5 2 2 3 2" xfId="2254" xr:uid="{00000000-0005-0000-0000-0000D5080000}"/>
    <cellStyle name="Accent5 2 2 3 2 2" xfId="2255" xr:uid="{00000000-0005-0000-0000-0000D6080000}"/>
    <cellStyle name="Accent5 2 2 4" xfId="2256" xr:uid="{00000000-0005-0000-0000-0000D7080000}"/>
    <cellStyle name="Accent5 2 2 5" xfId="2257" xr:uid="{00000000-0005-0000-0000-0000D8080000}"/>
    <cellStyle name="Accent5 2 2 6" xfId="2258" xr:uid="{00000000-0005-0000-0000-0000D9080000}"/>
    <cellStyle name="Accent5 2 2 6 2" xfId="2259" xr:uid="{00000000-0005-0000-0000-0000DA080000}"/>
    <cellStyle name="Accent5 2 3" xfId="2260" xr:uid="{00000000-0005-0000-0000-0000DB080000}"/>
    <cellStyle name="Accent5 2 4" xfId="2261" xr:uid="{00000000-0005-0000-0000-0000DC080000}"/>
    <cellStyle name="Accent5 2 4 2" xfId="2262" xr:uid="{00000000-0005-0000-0000-0000DD080000}"/>
    <cellStyle name="Accent5 2 4 2 2" xfId="2263" xr:uid="{00000000-0005-0000-0000-0000DE080000}"/>
    <cellStyle name="Accent5 2 5" xfId="2264" xr:uid="{00000000-0005-0000-0000-0000DF080000}"/>
    <cellStyle name="Accent5 2 5 2" xfId="2265" xr:uid="{00000000-0005-0000-0000-0000E0080000}"/>
    <cellStyle name="Accent5 2 5 2 2" xfId="2266" xr:uid="{00000000-0005-0000-0000-0000E1080000}"/>
    <cellStyle name="Accent5 2 6" xfId="2267" xr:uid="{00000000-0005-0000-0000-0000E2080000}"/>
    <cellStyle name="Accent5 2 7" xfId="2268" xr:uid="{00000000-0005-0000-0000-0000E3080000}"/>
    <cellStyle name="Accent5 3" xfId="2269" xr:uid="{00000000-0005-0000-0000-0000E4080000}"/>
    <cellStyle name="Accent5 3 2" xfId="2270" xr:uid="{00000000-0005-0000-0000-0000E5080000}"/>
    <cellStyle name="Accent5 3 3" xfId="2271" xr:uid="{00000000-0005-0000-0000-0000E6080000}"/>
    <cellStyle name="Accent5 4" xfId="2272" xr:uid="{00000000-0005-0000-0000-0000E7080000}"/>
    <cellStyle name="Accent5 5" xfId="2273" xr:uid="{00000000-0005-0000-0000-0000E8080000}"/>
    <cellStyle name="Accent5 6" xfId="2274" xr:uid="{00000000-0005-0000-0000-0000E9080000}"/>
    <cellStyle name="Accent5 7" xfId="2275" xr:uid="{00000000-0005-0000-0000-0000EA080000}"/>
    <cellStyle name="Accent6 - 20%" xfId="2276" xr:uid="{00000000-0005-0000-0000-0000EB080000}"/>
    <cellStyle name="Accent6 - 20% 2" xfId="2277" xr:uid="{00000000-0005-0000-0000-0000EC080000}"/>
    <cellStyle name="Accent6 - 40%" xfId="2278" xr:uid="{00000000-0005-0000-0000-0000ED080000}"/>
    <cellStyle name="Accent6 - 40% 2" xfId="2279" xr:uid="{00000000-0005-0000-0000-0000EE080000}"/>
    <cellStyle name="Accent6 - 60%" xfId="2280" xr:uid="{00000000-0005-0000-0000-0000EF080000}"/>
    <cellStyle name="Accent6 2" xfId="2281" xr:uid="{00000000-0005-0000-0000-0000F0080000}"/>
    <cellStyle name="Accent6 2 2" xfId="2282" xr:uid="{00000000-0005-0000-0000-0000F1080000}"/>
    <cellStyle name="Accent6 2 2 2" xfId="2283" xr:uid="{00000000-0005-0000-0000-0000F2080000}"/>
    <cellStyle name="Accent6 2 2 2 2" xfId="2284" xr:uid="{00000000-0005-0000-0000-0000F3080000}"/>
    <cellStyle name="Accent6 2 2 2 2 2" xfId="2285" xr:uid="{00000000-0005-0000-0000-0000F4080000}"/>
    <cellStyle name="Accent6 2 2 2 3" xfId="2286" xr:uid="{00000000-0005-0000-0000-0000F5080000}"/>
    <cellStyle name="Accent6 2 2 2 4" xfId="2287" xr:uid="{00000000-0005-0000-0000-0000F6080000}"/>
    <cellStyle name="Accent6 2 2 3" xfId="2288" xr:uid="{00000000-0005-0000-0000-0000F7080000}"/>
    <cellStyle name="Accent6 2 2 3 2" xfId="2289" xr:uid="{00000000-0005-0000-0000-0000F8080000}"/>
    <cellStyle name="Accent6 2 2 3 2 2" xfId="2290" xr:uid="{00000000-0005-0000-0000-0000F9080000}"/>
    <cellStyle name="Accent6 2 2 4" xfId="2291" xr:uid="{00000000-0005-0000-0000-0000FA080000}"/>
    <cellStyle name="Accent6 2 2 5" xfId="2292" xr:uid="{00000000-0005-0000-0000-0000FB080000}"/>
    <cellStyle name="Accent6 2 2 6" xfId="2293" xr:uid="{00000000-0005-0000-0000-0000FC080000}"/>
    <cellStyle name="Accent6 2 2 6 2" xfId="2294" xr:uid="{00000000-0005-0000-0000-0000FD080000}"/>
    <cellStyle name="Accent6 2 3" xfId="2295" xr:uid="{00000000-0005-0000-0000-0000FE080000}"/>
    <cellStyle name="Accent6 2 4" xfId="2296" xr:uid="{00000000-0005-0000-0000-0000FF080000}"/>
    <cellStyle name="Accent6 2 4 2" xfId="2297" xr:uid="{00000000-0005-0000-0000-000000090000}"/>
    <cellStyle name="Accent6 2 4 2 2" xfId="2298" xr:uid="{00000000-0005-0000-0000-000001090000}"/>
    <cellStyle name="Accent6 2 5" xfId="2299" xr:uid="{00000000-0005-0000-0000-000002090000}"/>
    <cellStyle name="Accent6 2 5 2" xfId="2300" xr:uid="{00000000-0005-0000-0000-000003090000}"/>
    <cellStyle name="Accent6 2 5 2 2" xfId="2301" xr:uid="{00000000-0005-0000-0000-000004090000}"/>
    <cellStyle name="Accent6 2 6" xfId="2302" xr:uid="{00000000-0005-0000-0000-000005090000}"/>
    <cellStyle name="Accent6 2 7" xfId="2303" xr:uid="{00000000-0005-0000-0000-000006090000}"/>
    <cellStyle name="Accent6 3" xfId="2304" xr:uid="{00000000-0005-0000-0000-000007090000}"/>
    <cellStyle name="Accent6 3 2" xfId="2305" xr:uid="{00000000-0005-0000-0000-000008090000}"/>
    <cellStyle name="Accent6 3 3" xfId="2306" xr:uid="{00000000-0005-0000-0000-000009090000}"/>
    <cellStyle name="Accent6 4" xfId="2307" xr:uid="{00000000-0005-0000-0000-00000A090000}"/>
    <cellStyle name="Accent6 5" xfId="2308" xr:uid="{00000000-0005-0000-0000-00000B090000}"/>
    <cellStyle name="Accent6 6" xfId="2309" xr:uid="{00000000-0005-0000-0000-00000C090000}"/>
    <cellStyle name="Accent6 7" xfId="2310" xr:uid="{00000000-0005-0000-0000-00000D090000}"/>
    <cellStyle name="Actual" xfId="2311" xr:uid="{00000000-0005-0000-0000-00000E090000}"/>
    <cellStyle name="Actual Date" xfId="2312" xr:uid="{00000000-0005-0000-0000-00000F090000}"/>
    <cellStyle name="ÅëÈ­ [0]_±âÅ¸" xfId="2313" xr:uid="{00000000-0005-0000-0000-000010090000}"/>
    <cellStyle name="ÅëÈ­_±âÅ¸" xfId="2314" xr:uid="{00000000-0005-0000-0000-000011090000}"/>
    <cellStyle name="Allign center" xfId="2315" xr:uid="{00000000-0005-0000-0000-000012090000}"/>
    <cellStyle name="alternate" xfId="2316" xr:uid="{00000000-0005-0000-0000-000013090000}"/>
    <cellStyle name="Ancillary" xfId="2317" xr:uid="{00000000-0005-0000-0000-000014090000}"/>
    <cellStyle name="ÄÞ¸¶ [0]_±âÅ¸" xfId="2318" xr:uid="{00000000-0005-0000-0000-000015090000}"/>
    <cellStyle name="ÄÞ¸¶_±âÅ¸" xfId="2319" xr:uid="{00000000-0005-0000-0000-000016090000}"/>
    <cellStyle name="Bad 2" xfId="2320" xr:uid="{00000000-0005-0000-0000-000017090000}"/>
    <cellStyle name="Bad 2 10" xfId="2321" xr:uid="{00000000-0005-0000-0000-000018090000}"/>
    <cellStyle name="Bad 2 11" xfId="2322" xr:uid="{00000000-0005-0000-0000-000019090000}"/>
    <cellStyle name="Bad 2 12" xfId="2323" xr:uid="{00000000-0005-0000-0000-00001A090000}"/>
    <cellStyle name="Bad 2 13" xfId="2324" xr:uid="{00000000-0005-0000-0000-00001B090000}"/>
    <cellStyle name="Bad 2 14" xfId="2325" xr:uid="{00000000-0005-0000-0000-00001C090000}"/>
    <cellStyle name="Bad 2 15" xfId="2326" xr:uid="{00000000-0005-0000-0000-00001D090000}"/>
    <cellStyle name="Bad 2 16" xfId="2327" xr:uid="{00000000-0005-0000-0000-00001E090000}"/>
    <cellStyle name="Bad 2 17" xfId="2328" xr:uid="{00000000-0005-0000-0000-00001F090000}"/>
    <cellStyle name="Bad 2 18" xfId="2329" xr:uid="{00000000-0005-0000-0000-000020090000}"/>
    <cellStyle name="Bad 2 19" xfId="2330" xr:uid="{00000000-0005-0000-0000-000021090000}"/>
    <cellStyle name="Bad 2 2" xfId="2331" xr:uid="{00000000-0005-0000-0000-000022090000}"/>
    <cellStyle name="Bad 2 2 2" xfId="2332" xr:uid="{00000000-0005-0000-0000-000023090000}"/>
    <cellStyle name="Bad 2 2 2 2" xfId="2333" xr:uid="{00000000-0005-0000-0000-000024090000}"/>
    <cellStyle name="Bad 2 2 2 2 2" xfId="2334" xr:uid="{00000000-0005-0000-0000-000025090000}"/>
    <cellStyle name="Bad 2 2 2 3" xfId="2335" xr:uid="{00000000-0005-0000-0000-000026090000}"/>
    <cellStyle name="Bad 2 2 2 4" xfId="2336" xr:uid="{00000000-0005-0000-0000-000027090000}"/>
    <cellStyle name="Bad 2 2 3" xfId="2337" xr:uid="{00000000-0005-0000-0000-000028090000}"/>
    <cellStyle name="Bad 2 2 3 2" xfId="2338" xr:uid="{00000000-0005-0000-0000-000029090000}"/>
    <cellStyle name="Bad 2 2 3 2 2" xfId="2339" xr:uid="{00000000-0005-0000-0000-00002A090000}"/>
    <cellStyle name="Bad 2 2 4" xfId="2340" xr:uid="{00000000-0005-0000-0000-00002B090000}"/>
    <cellStyle name="Bad 2 2 5" xfId="2341" xr:uid="{00000000-0005-0000-0000-00002C090000}"/>
    <cellStyle name="Bad 2 2 6" xfId="2342" xr:uid="{00000000-0005-0000-0000-00002D090000}"/>
    <cellStyle name="Bad 2 2 6 2" xfId="2343" xr:uid="{00000000-0005-0000-0000-00002E090000}"/>
    <cellStyle name="Bad 2 20" xfId="2344" xr:uid="{00000000-0005-0000-0000-00002F090000}"/>
    <cellStyle name="Bad 2 21" xfId="2345" xr:uid="{00000000-0005-0000-0000-000030090000}"/>
    <cellStyle name="Bad 2 22" xfId="2346" xr:uid="{00000000-0005-0000-0000-000031090000}"/>
    <cellStyle name="Bad 2 23" xfId="2347" xr:uid="{00000000-0005-0000-0000-000032090000}"/>
    <cellStyle name="Bad 2 24" xfId="2348" xr:uid="{00000000-0005-0000-0000-000033090000}"/>
    <cellStyle name="Bad 2 25" xfId="2349" xr:uid="{00000000-0005-0000-0000-000034090000}"/>
    <cellStyle name="Bad 2 26" xfId="2350" xr:uid="{00000000-0005-0000-0000-000035090000}"/>
    <cellStyle name="Bad 2 27" xfId="2351" xr:uid="{00000000-0005-0000-0000-000036090000}"/>
    <cellStyle name="Bad 2 28" xfId="2352" xr:uid="{00000000-0005-0000-0000-000037090000}"/>
    <cellStyle name="Bad 2 29" xfId="2353" xr:uid="{00000000-0005-0000-0000-000038090000}"/>
    <cellStyle name="Bad 2 3" xfId="2354" xr:uid="{00000000-0005-0000-0000-000039090000}"/>
    <cellStyle name="Bad 2 30" xfId="2355" xr:uid="{00000000-0005-0000-0000-00003A090000}"/>
    <cellStyle name="Bad 2 31" xfId="2356" xr:uid="{00000000-0005-0000-0000-00003B090000}"/>
    <cellStyle name="Bad 2 32" xfId="2357" xr:uid="{00000000-0005-0000-0000-00003C090000}"/>
    <cellStyle name="Bad 2 33" xfId="2358" xr:uid="{00000000-0005-0000-0000-00003D090000}"/>
    <cellStyle name="Bad 2 34" xfId="2359" xr:uid="{00000000-0005-0000-0000-00003E090000}"/>
    <cellStyle name="Bad 2 35" xfId="2360" xr:uid="{00000000-0005-0000-0000-00003F090000}"/>
    <cellStyle name="Bad 2 36" xfId="2361" xr:uid="{00000000-0005-0000-0000-000040090000}"/>
    <cellStyle name="Bad 2 37" xfId="2362" xr:uid="{00000000-0005-0000-0000-000041090000}"/>
    <cellStyle name="Bad 2 38" xfId="2363" xr:uid="{00000000-0005-0000-0000-000042090000}"/>
    <cellStyle name="Bad 2 39" xfId="2364" xr:uid="{00000000-0005-0000-0000-000043090000}"/>
    <cellStyle name="Bad 2 4" xfId="2365" xr:uid="{00000000-0005-0000-0000-000044090000}"/>
    <cellStyle name="Bad 2 4 2" xfId="2366" xr:uid="{00000000-0005-0000-0000-000045090000}"/>
    <cellStyle name="Bad 2 4 2 2" xfId="2367" xr:uid="{00000000-0005-0000-0000-000046090000}"/>
    <cellStyle name="Bad 2 40" xfId="2368" xr:uid="{00000000-0005-0000-0000-000047090000}"/>
    <cellStyle name="Bad 2 41" xfId="2369" xr:uid="{00000000-0005-0000-0000-000048090000}"/>
    <cellStyle name="Bad 2 42" xfId="2370" xr:uid="{00000000-0005-0000-0000-000049090000}"/>
    <cellStyle name="Bad 2 43" xfId="2371" xr:uid="{00000000-0005-0000-0000-00004A090000}"/>
    <cellStyle name="Bad 2 44" xfId="2372" xr:uid="{00000000-0005-0000-0000-00004B090000}"/>
    <cellStyle name="Bad 2 45" xfId="2373" xr:uid="{00000000-0005-0000-0000-00004C090000}"/>
    <cellStyle name="Bad 2 46" xfId="2374" xr:uid="{00000000-0005-0000-0000-00004D090000}"/>
    <cellStyle name="Bad 2 47" xfId="2375" xr:uid="{00000000-0005-0000-0000-00004E090000}"/>
    <cellStyle name="Bad 2 48" xfId="2376" xr:uid="{00000000-0005-0000-0000-00004F090000}"/>
    <cellStyle name="Bad 2 49" xfId="2377" xr:uid="{00000000-0005-0000-0000-000050090000}"/>
    <cellStyle name="Bad 2 5" xfId="2378" xr:uid="{00000000-0005-0000-0000-000051090000}"/>
    <cellStyle name="Bad 2 5 2" xfId="2379" xr:uid="{00000000-0005-0000-0000-000052090000}"/>
    <cellStyle name="Bad 2 5 2 2" xfId="2380" xr:uid="{00000000-0005-0000-0000-000053090000}"/>
    <cellStyle name="Bad 2 50" xfId="2381" xr:uid="{00000000-0005-0000-0000-000054090000}"/>
    <cellStyle name="Bad 2 51" xfId="2382" xr:uid="{00000000-0005-0000-0000-000055090000}"/>
    <cellStyle name="Bad 2 52" xfId="2383" xr:uid="{00000000-0005-0000-0000-000056090000}"/>
    <cellStyle name="Bad 2 53" xfId="2384" xr:uid="{00000000-0005-0000-0000-000057090000}"/>
    <cellStyle name="Bad 2 54" xfId="2385" xr:uid="{00000000-0005-0000-0000-000058090000}"/>
    <cellStyle name="Bad 2 55" xfId="2386" xr:uid="{00000000-0005-0000-0000-000059090000}"/>
    <cellStyle name="Bad 2 56" xfId="2387" xr:uid="{00000000-0005-0000-0000-00005A090000}"/>
    <cellStyle name="Bad 2 57" xfId="2388" xr:uid="{00000000-0005-0000-0000-00005B090000}"/>
    <cellStyle name="Bad 2 58" xfId="2389" xr:uid="{00000000-0005-0000-0000-00005C090000}"/>
    <cellStyle name="Bad 2 59" xfId="2390" xr:uid="{00000000-0005-0000-0000-00005D090000}"/>
    <cellStyle name="Bad 2 6" xfId="2391" xr:uid="{00000000-0005-0000-0000-00005E090000}"/>
    <cellStyle name="Bad 2 60" xfId="2392" xr:uid="{00000000-0005-0000-0000-00005F090000}"/>
    <cellStyle name="Bad 2 61" xfId="2393" xr:uid="{00000000-0005-0000-0000-000060090000}"/>
    <cellStyle name="Bad 2 62" xfId="2394" xr:uid="{00000000-0005-0000-0000-000061090000}"/>
    <cellStyle name="Bad 2 63" xfId="2395" xr:uid="{00000000-0005-0000-0000-000062090000}"/>
    <cellStyle name="Bad 2 7" xfId="2396" xr:uid="{00000000-0005-0000-0000-000063090000}"/>
    <cellStyle name="Bad 2 8" xfId="2397" xr:uid="{00000000-0005-0000-0000-000064090000}"/>
    <cellStyle name="Bad 2 9" xfId="2398" xr:uid="{00000000-0005-0000-0000-000065090000}"/>
    <cellStyle name="Bad 3" xfId="2399" xr:uid="{00000000-0005-0000-0000-000066090000}"/>
    <cellStyle name="Bad 3 10" xfId="2400" xr:uid="{00000000-0005-0000-0000-000067090000}"/>
    <cellStyle name="Bad 3 11" xfId="2401" xr:uid="{00000000-0005-0000-0000-000068090000}"/>
    <cellStyle name="Bad 3 12" xfId="2402" xr:uid="{00000000-0005-0000-0000-000069090000}"/>
    <cellStyle name="Bad 3 13" xfId="2403" xr:uid="{00000000-0005-0000-0000-00006A090000}"/>
    <cellStyle name="Bad 3 2" xfId="2404" xr:uid="{00000000-0005-0000-0000-00006B090000}"/>
    <cellStyle name="Bad 3 3" xfId="2405" xr:uid="{00000000-0005-0000-0000-00006C090000}"/>
    <cellStyle name="Bad 3 4" xfId="2406" xr:uid="{00000000-0005-0000-0000-00006D090000}"/>
    <cellStyle name="Bad 3 5" xfId="2407" xr:uid="{00000000-0005-0000-0000-00006E090000}"/>
    <cellStyle name="Bad 3 6" xfId="2408" xr:uid="{00000000-0005-0000-0000-00006F090000}"/>
    <cellStyle name="Bad 3 7" xfId="2409" xr:uid="{00000000-0005-0000-0000-000070090000}"/>
    <cellStyle name="Bad 3 8" xfId="2410" xr:uid="{00000000-0005-0000-0000-000071090000}"/>
    <cellStyle name="Bad 3 9" xfId="2411" xr:uid="{00000000-0005-0000-0000-000072090000}"/>
    <cellStyle name="Bad 4" xfId="2412" xr:uid="{00000000-0005-0000-0000-000073090000}"/>
    <cellStyle name="Bad 4 2" xfId="2413" xr:uid="{00000000-0005-0000-0000-000074090000}"/>
    <cellStyle name="Bad 4 3" xfId="2414" xr:uid="{00000000-0005-0000-0000-000075090000}"/>
    <cellStyle name="Bad 5" xfId="2415" xr:uid="{00000000-0005-0000-0000-000076090000}"/>
    <cellStyle name="Bad 6" xfId="2416" xr:uid="{00000000-0005-0000-0000-000077090000}"/>
    <cellStyle name="Bad 7" xfId="2417" xr:uid="{00000000-0005-0000-0000-000078090000}"/>
    <cellStyle name="Bad 8" xfId="2418" xr:uid="{00000000-0005-0000-0000-000079090000}"/>
    <cellStyle name="Band 1" xfId="2419" xr:uid="{00000000-0005-0000-0000-00007A090000}"/>
    <cellStyle name="Band 2" xfId="2420" xr:uid="{00000000-0005-0000-0000-00007B090000}"/>
    <cellStyle name="billion" xfId="2421" xr:uid="{00000000-0005-0000-0000-00007C090000}"/>
    <cellStyle name="blank" xfId="2422" xr:uid="{00000000-0005-0000-0000-00007D090000}"/>
    <cellStyle name="blue axis cells" xfId="2423" xr:uid="{00000000-0005-0000-0000-00007E090000}"/>
    <cellStyle name="Blue Percent" xfId="2424" xr:uid="{00000000-0005-0000-0000-00007F090000}"/>
    <cellStyle name="blue text cells" xfId="2425" xr:uid="{00000000-0005-0000-0000-000080090000}"/>
    <cellStyle name="BMHeading" xfId="2426" xr:uid="{00000000-0005-0000-0000-000081090000}"/>
    <cellStyle name="BMPercent" xfId="2427" xr:uid="{00000000-0005-0000-0000-000082090000}"/>
    <cellStyle name="Body" xfId="2428" xr:uid="{00000000-0005-0000-0000-000083090000}"/>
    <cellStyle name="Bold/Border" xfId="2429" xr:uid="{00000000-0005-0000-0000-000084090000}"/>
    <cellStyle name="BooleanYorN" xfId="2430" xr:uid="{00000000-0005-0000-0000-000085090000}"/>
    <cellStyle name="bp--" xfId="2431" xr:uid="{00000000-0005-0000-0000-000086090000}"/>
    <cellStyle name="Brand Default" xfId="2432" xr:uid="{00000000-0005-0000-0000-000087090000}"/>
    <cellStyle name="Brand Source" xfId="2433" xr:uid="{00000000-0005-0000-0000-000088090000}"/>
    <cellStyle name="Brand Subtitle with Underline" xfId="2434" xr:uid="{00000000-0005-0000-0000-000089090000}"/>
    <cellStyle name="Brand Title" xfId="2435" xr:uid="{00000000-0005-0000-0000-00008A090000}"/>
    <cellStyle name="Bullet" xfId="2436" xr:uid="{00000000-0005-0000-0000-00008B090000}"/>
    <cellStyle name="c" xfId="2437" xr:uid="{00000000-0005-0000-0000-00008C090000}"/>
    <cellStyle name="c_Bal Sheets" xfId="2438" xr:uid="{00000000-0005-0000-0000-00008D090000}"/>
    <cellStyle name="c_Credit (2)" xfId="2439" xr:uid="{00000000-0005-0000-0000-00008E090000}"/>
    <cellStyle name="c_Earnings" xfId="2440" xr:uid="{00000000-0005-0000-0000-00008F090000}"/>
    <cellStyle name="c_Earnings (2)" xfId="2441" xr:uid="{00000000-0005-0000-0000-000090090000}"/>
    <cellStyle name="c_finsumm" xfId="2442" xr:uid="{00000000-0005-0000-0000-000091090000}"/>
    <cellStyle name="c_GoroWipTax-to2050_fromCo_Oct21_99" xfId="2443" xr:uid="{00000000-0005-0000-0000-000092090000}"/>
    <cellStyle name="c_HardInc " xfId="2444" xr:uid="{00000000-0005-0000-0000-000093090000}"/>
    <cellStyle name="c_Hist Inputs (2)" xfId="2445" xr:uid="{00000000-0005-0000-0000-000094090000}"/>
    <cellStyle name="c_IEL_finsumm" xfId="2446" xr:uid="{00000000-0005-0000-0000-000095090000}"/>
    <cellStyle name="c_IEL_finsumm1" xfId="2447" xr:uid="{00000000-0005-0000-0000-000096090000}"/>
    <cellStyle name="c_LBO Summary" xfId="2448" xr:uid="{00000000-0005-0000-0000-000097090000}"/>
    <cellStyle name="c_Schedules" xfId="2449" xr:uid="{00000000-0005-0000-0000-000098090000}"/>
    <cellStyle name="c_Trans Assump (2)" xfId="2450" xr:uid="{00000000-0005-0000-0000-000099090000}"/>
    <cellStyle name="c_Unit Price Sen. (2)" xfId="2451" xr:uid="{00000000-0005-0000-0000-00009A090000}"/>
    <cellStyle name="Ç¥ÁØ_¿ù°£¿ä¾àº¸°í" xfId="2452" xr:uid="{00000000-0005-0000-0000-00009B090000}"/>
    <cellStyle name="CALC Amount" xfId="2453" xr:uid="{00000000-0005-0000-0000-00009C090000}"/>
    <cellStyle name="CALC Amount [1]" xfId="2454" xr:uid="{00000000-0005-0000-0000-00009D090000}"/>
    <cellStyle name="CALC Amount [2]" xfId="2455" xr:uid="{00000000-0005-0000-0000-00009E090000}"/>
    <cellStyle name="CALC Amount Total" xfId="2456" xr:uid="{00000000-0005-0000-0000-00009F090000}"/>
    <cellStyle name="CALC Amount Total [1]" xfId="2457" xr:uid="{00000000-0005-0000-0000-0000A0090000}"/>
    <cellStyle name="CALC Amount Total [1] 2" xfId="2458" xr:uid="{00000000-0005-0000-0000-0000A1090000}"/>
    <cellStyle name="CALC Amount Total [2]" xfId="2459" xr:uid="{00000000-0005-0000-0000-0000A2090000}"/>
    <cellStyle name="CALC Amount Total [2] 2" xfId="2460" xr:uid="{00000000-0005-0000-0000-0000A3090000}"/>
    <cellStyle name="CALC Amount Total 2" xfId="2461" xr:uid="{00000000-0005-0000-0000-0000A4090000}"/>
    <cellStyle name="CALC Amount Total_strategic model 04r" xfId="2462" xr:uid="{00000000-0005-0000-0000-0000A5090000}"/>
    <cellStyle name="CALC Amount_strategic model 04r" xfId="2463" xr:uid="{00000000-0005-0000-0000-0000A6090000}"/>
    <cellStyle name="CALC Currency" xfId="2464" xr:uid="{00000000-0005-0000-0000-0000A7090000}"/>
    <cellStyle name="Calc Currency (0)" xfId="2465" xr:uid="{00000000-0005-0000-0000-0000A8090000}"/>
    <cellStyle name="CALC Currency [1]" xfId="2466" xr:uid="{00000000-0005-0000-0000-0000A9090000}"/>
    <cellStyle name="CALC Currency [2]" xfId="2467" xr:uid="{00000000-0005-0000-0000-0000AA090000}"/>
    <cellStyle name="CALC Currency Total" xfId="2468" xr:uid="{00000000-0005-0000-0000-0000AB090000}"/>
    <cellStyle name="CALC Currency Total [1]" xfId="2469" xr:uid="{00000000-0005-0000-0000-0000AC090000}"/>
    <cellStyle name="CALC Currency Total [1] 2" xfId="2470" xr:uid="{00000000-0005-0000-0000-0000AD090000}"/>
    <cellStyle name="CALC Currency Total [2]" xfId="2471" xr:uid="{00000000-0005-0000-0000-0000AE090000}"/>
    <cellStyle name="CALC Currency Total [2] 2" xfId="2472" xr:uid="{00000000-0005-0000-0000-0000AF090000}"/>
    <cellStyle name="CALC Currency Total 2" xfId="2473" xr:uid="{00000000-0005-0000-0000-0000B0090000}"/>
    <cellStyle name="CALC Currency Total_strategic model 04r" xfId="2474" xr:uid="{00000000-0005-0000-0000-0000B1090000}"/>
    <cellStyle name="CALC Currency_strategic model 04r" xfId="2475" xr:uid="{00000000-0005-0000-0000-0000B2090000}"/>
    <cellStyle name="CALC Date Long" xfId="2476" xr:uid="{00000000-0005-0000-0000-0000B3090000}"/>
    <cellStyle name="CALC Date Short" xfId="2477" xr:uid="{00000000-0005-0000-0000-0000B4090000}"/>
    <cellStyle name="CALC Percent" xfId="2478" xr:uid="{00000000-0005-0000-0000-0000B5090000}"/>
    <cellStyle name="CALC Percent [1]" xfId="2479" xr:uid="{00000000-0005-0000-0000-0000B6090000}"/>
    <cellStyle name="CALC Percent [2]" xfId="2480" xr:uid="{00000000-0005-0000-0000-0000B7090000}"/>
    <cellStyle name="CALC Percent Total" xfId="2481" xr:uid="{00000000-0005-0000-0000-0000B8090000}"/>
    <cellStyle name="CALC Percent Total [1]" xfId="2482" xr:uid="{00000000-0005-0000-0000-0000B9090000}"/>
    <cellStyle name="CALC Percent Total [1] 2" xfId="2483" xr:uid="{00000000-0005-0000-0000-0000BA090000}"/>
    <cellStyle name="CALC Percent Total [2]" xfId="2484" xr:uid="{00000000-0005-0000-0000-0000BB090000}"/>
    <cellStyle name="CALC Percent Total [2] 2" xfId="2485" xr:uid="{00000000-0005-0000-0000-0000BC090000}"/>
    <cellStyle name="CALC Percent Total 2" xfId="2486" xr:uid="{00000000-0005-0000-0000-0000BD090000}"/>
    <cellStyle name="CALC Percent Total_strategic model 04r" xfId="2487" xr:uid="{00000000-0005-0000-0000-0000BE090000}"/>
    <cellStyle name="CALC Percent_strategic model 04r" xfId="2488" xr:uid="{00000000-0005-0000-0000-0000BF090000}"/>
    <cellStyle name="CalcInput" xfId="2489" xr:uid="{00000000-0005-0000-0000-0000C0090000}"/>
    <cellStyle name="Calcs" xfId="2490" xr:uid="{00000000-0005-0000-0000-0000C1090000}"/>
    <cellStyle name="Calculation 2" xfId="2491" xr:uid="{00000000-0005-0000-0000-0000C2090000}"/>
    <cellStyle name="Calculation 2 10" xfId="2492" xr:uid="{00000000-0005-0000-0000-0000C3090000}"/>
    <cellStyle name="Calculation 2 10 2" xfId="2493" xr:uid="{00000000-0005-0000-0000-0000C4090000}"/>
    <cellStyle name="Calculation 2 11" xfId="2494" xr:uid="{00000000-0005-0000-0000-0000C5090000}"/>
    <cellStyle name="Calculation 2 12" xfId="2495" xr:uid="{00000000-0005-0000-0000-0000C6090000}"/>
    <cellStyle name="Calculation 2 13" xfId="2496" xr:uid="{00000000-0005-0000-0000-0000C7090000}"/>
    <cellStyle name="Calculation 2 14" xfId="2497" xr:uid="{00000000-0005-0000-0000-0000C8090000}"/>
    <cellStyle name="Calculation 2 15" xfId="2498" xr:uid="{00000000-0005-0000-0000-0000C9090000}"/>
    <cellStyle name="Calculation 2 16" xfId="2499" xr:uid="{00000000-0005-0000-0000-0000CA090000}"/>
    <cellStyle name="Calculation 2 17" xfId="2500" xr:uid="{00000000-0005-0000-0000-0000CB090000}"/>
    <cellStyle name="Calculation 2 18" xfId="2501" xr:uid="{00000000-0005-0000-0000-0000CC090000}"/>
    <cellStyle name="Calculation 2 19" xfId="2502" xr:uid="{00000000-0005-0000-0000-0000CD090000}"/>
    <cellStyle name="Calculation 2 2" xfId="2503" xr:uid="{00000000-0005-0000-0000-0000CE090000}"/>
    <cellStyle name="Calculation 2 2 10" xfId="2504" xr:uid="{00000000-0005-0000-0000-0000CF090000}"/>
    <cellStyle name="Calculation 2 2 11" xfId="2505" xr:uid="{00000000-0005-0000-0000-0000D0090000}"/>
    <cellStyle name="Calculation 2 2 12" xfId="2506" xr:uid="{00000000-0005-0000-0000-0000D1090000}"/>
    <cellStyle name="Calculation 2 2 13" xfId="2507" xr:uid="{00000000-0005-0000-0000-0000D2090000}"/>
    <cellStyle name="Calculation 2 2 14" xfId="2508" xr:uid="{00000000-0005-0000-0000-0000D3090000}"/>
    <cellStyle name="Calculation 2 2 15" xfId="2509" xr:uid="{00000000-0005-0000-0000-0000D4090000}"/>
    <cellStyle name="Calculation 2 2 16" xfId="2510" xr:uid="{00000000-0005-0000-0000-0000D5090000}"/>
    <cellStyle name="Calculation 2 2 17" xfId="2511" xr:uid="{00000000-0005-0000-0000-0000D6090000}"/>
    <cellStyle name="Calculation 2 2 18" xfId="2512" xr:uid="{00000000-0005-0000-0000-0000D7090000}"/>
    <cellStyle name="Calculation 2 2 19" xfId="2513" xr:uid="{00000000-0005-0000-0000-0000D8090000}"/>
    <cellStyle name="Calculation 2 2 2" xfId="2514" xr:uid="{00000000-0005-0000-0000-0000D9090000}"/>
    <cellStyle name="Calculation 2 2 2 2" xfId="2515" xr:uid="{00000000-0005-0000-0000-0000DA090000}"/>
    <cellStyle name="Calculation 2 2 2 3" xfId="2516" xr:uid="{00000000-0005-0000-0000-0000DB090000}"/>
    <cellStyle name="Calculation 2 2 20" xfId="2517" xr:uid="{00000000-0005-0000-0000-0000DC090000}"/>
    <cellStyle name="Calculation 2 2 21" xfId="2518" xr:uid="{00000000-0005-0000-0000-0000DD090000}"/>
    <cellStyle name="Calculation 2 2 22" xfId="2519" xr:uid="{00000000-0005-0000-0000-0000DE090000}"/>
    <cellStyle name="Calculation 2 2 23" xfId="2520" xr:uid="{00000000-0005-0000-0000-0000DF090000}"/>
    <cellStyle name="Calculation 2 2 24" xfId="2521" xr:uid="{00000000-0005-0000-0000-0000E0090000}"/>
    <cellStyle name="Calculation 2 2 25" xfId="2522" xr:uid="{00000000-0005-0000-0000-0000E1090000}"/>
    <cellStyle name="Calculation 2 2 26" xfId="2523" xr:uid="{00000000-0005-0000-0000-0000E2090000}"/>
    <cellStyle name="Calculation 2 2 27" xfId="2524" xr:uid="{00000000-0005-0000-0000-0000E3090000}"/>
    <cellStyle name="Calculation 2 2 28" xfId="2525" xr:uid="{00000000-0005-0000-0000-0000E4090000}"/>
    <cellStyle name="Calculation 2 2 29" xfId="2526" xr:uid="{00000000-0005-0000-0000-0000E5090000}"/>
    <cellStyle name="Calculation 2 2 3" xfId="2527" xr:uid="{00000000-0005-0000-0000-0000E6090000}"/>
    <cellStyle name="Calculation 2 2 3 2" xfId="2528" xr:uid="{00000000-0005-0000-0000-0000E7090000}"/>
    <cellStyle name="Calculation 2 2 3 3" xfId="2529" xr:uid="{00000000-0005-0000-0000-0000E8090000}"/>
    <cellStyle name="Calculation 2 2 30" xfId="2530" xr:uid="{00000000-0005-0000-0000-0000E9090000}"/>
    <cellStyle name="Calculation 2 2 31" xfId="2531" xr:uid="{00000000-0005-0000-0000-0000EA090000}"/>
    <cellStyle name="Calculation 2 2 32" xfId="2532" xr:uid="{00000000-0005-0000-0000-0000EB090000}"/>
    <cellStyle name="Calculation 2 2 4" xfId="2533" xr:uid="{00000000-0005-0000-0000-0000EC090000}"/>
    <cellStyle name="Calculation 2 2 5" xfId="2534" xr:uid="{00000000-0005-0000-0000-0000ED090000}"/>
    <cellStyle name="Calculation 2 2 6" xfId="2535" xr:uid="{00000000-0005-0000-0000-0000EE090000}"/>
    <cellStyle name="Calculation 2 2 7" xfId="2536" xr:uid="{00000000-0005-0000-0000-0000EF090000}"/>
    <cellStyle name="Calculation 2 2 8" xfId="2537" xr:uid="{00000000-0005-0000-0000-0000F0090000}"/>
    <cellStyle name="Calculation 2 2 9" xfId="2538" xr:uid="{00000000-0005-0000-0000-0000F1090000}"/>
    <cellStyle name="Calculation 2 20" xfId="2539" xr:uid="{00000000-0005-0000-0000-0000F2090000}"/>
    <cellStyle name="Calculation 2 21" xfId="2540" xr:uid="{00000000-0005-0000-0000-0000F3090000}"/>
    <cellStyle name="Calculation 2 22" xfId="2541" xr:uid="{00000000-0005-0000-0000-0000F4090000}"/>
    <cellStyle name="Calculation 2 23" xfId="2542" xr:uid="{00000000-0005-0000-0000-0000F5090000}"/>
    <cellStyle name="Calculation 2 24" xfId="2543" xr:uid="{00000000-0005-0000-0000-0000F6090000}"/>
    <cellStyle name="Calculation 2 25" xfId="2544" xr:uid="{00000000-0005-0000-0000-0000F7090000}"/>
    <cellStyle name="Calculation 2 26" xfId="2545" xr:uid="{00000000-0005-0000-0000-0000F8090000}"/>
    <cellStyle name="Calculation 2 27" xfId="2546" xr:uid="{00000000-0005-0000-0000-0000F9090000}"/>
    <cellStyle name="Calculation 2 28" xfId="2547" xr:uid="{00000000-0005-0000-0000-0000FA090000}"/>
    <cellStyle name="Calculation 2 29" xfId="2548" xr:uid="{00000000-0005-0000-0000-0000FB090000}"/>
    <cellStyle name="Calculation 2 3" xfId="2549" xr:uid="{00000000-0005-0000-0000-0000FC090000}"/>
    <cellStyle name="Calculation 2 3 10" xfId="2550" xr:uid="{00000000-0005-0000-0000-0000FD090000}"/>
    <cellStyle name="Calculation 2 3 11" xfId="2551" xr:uid="{00000000-0005-0000-0000-0000FE090000}"/>
    <cellStyle name="Calculation 2 3 12" xfId="2552" xr:uid="{00000000-0005-0000-0000-0000FF090000}"/>
    <cellStyle name="Calculation 2 3 13" xfId="2553" xr:uid="{00000000-0005-0000-0000-0000000A0000}"/>
    <cellStyle name="Calculation 2 3 14" xfId="2554" xr:uid="{00000000-0005-0000-0000-0000010A0000}"/>
    <cellStyle name="Calculation 2 3 15" xfId="2555" xr:uid="{00000000-0005-0000-0000-0000020A0000}"/>
    <cellStyle name="Calculation 2 3 16" xfId="2556" xr:uid="{00000000-0005-0000-0000-0000030A0000}"/>
    <cellStyle name="Calculation 2 3 17" xfId="2557" xr:uid="{00000000-0005-0000-0000-0000040A0000}"/>
    <cellStyle name="Calculation 2 3 18" xfId="2558" xr:uid="{00000000-0005-0000-0000-0000050A0000}"/>
    <cellStyle name="Calculation 2 3 19" xfId="2559" xr:uid="{00000000-0005-0000-0000-0000060A0000}"/>
    <cellStyle name="Calculation 2 3 2" xfId="2560" xr:uid="{00000000-0005-0000-0000-0000070A0000}"/>
    <cellStyle name="Calculation 2 3 2 2" xfId="2561" xr:uid="{00000000-0005-0000-0000-0000080A0000}"/>
    <cellStyle name="Calculation 2 3 2 3" xfId="2562" xr:uid="{00000000-0005-0000-0000-0000090A0000}"/>
    <cellStyle name="Calculation 2 3 20" xfId="2563" xr:uid="{00000000-0005-0000-0000-00000A0A0000}"/>
    <cellStyle name="Calculation 2 3 21" xfId="2564" xr:uid="{00000000-0005-0000-0000-00000B0A0000}"/>
    <cellStyle name="Calculation 2 3 22" xfId="2565" xr:uid="{00000000-0005-0000-0000-00000C0A0000}"/>
    <cellStyle name="Calculation 2 3 23" xfId="2566" xr:uid="{00000000-0005-0000-0000-00000D0A0000}"/>
    <cellStyle name="Calculation 2 3 24" xfId="2567" xr:uid="{00000000-0005-0000-0000-00000E0A0000}"/>
    <cellStyle name="Calculation 2 3 25" xfId="2568" xr:uid="{00000000-0005-0000-0000-00000F0A0000}"/>
    <cellStyle name="Calculation 2 3 26" xfId="2569" xr:uid="{00000000-0005-0000-0000-0000100A0000}"/>
    <cellStyle name="Calculation 2 3 27" xfId="2570" xr:uid="{00000000-0005-0000-0000-0000110A0000}"/>
    <cellStyle name="Calculation 2 3 28" xfId="2571" xr:uid="{00000000-0005-0000-0000-0000120A0000}"/>
    <cellStyle name="Calculation 2 3 29" xfId="2572" xr:uid="{00000000-0005-0000-0000-0000130A0000}"/>
    <cellStyle name="Calculation 2 3 3" xfId="2573" xr:uid="{00000000-0005-0000-0000-0000140A0000}"/>
    <cellStyle name="Calculation 2 3 3 2" xfId="2574" xr:uid="{00000000-0005-0000-0000-0000150A0000}"/>
    <cellStyle name="Calculation 2 3 3 3" xfId="2575" xr:uid="{00000000-0005-0000-0000-0000160A0000}"/>
    <cellStyle name="Calculation 2 3 30" xfId="2576" xr:uid="{00000000-0005-0000-0000-0000170A0000}"/>
    <cellStyle name="Calculation 2 3 31" xfId="2577" xr:uid="{00000000-0005-0000-0000-0000180A0000}"/>
    <cellStyle name="Calculation 2 3 32" xfId="2578" xr:uid="{00000000-0005-0000-0000-0000190A0000}"/>
    <cellStyle name="Calculation 2 3 4" xfId="2579" xr:uid="{00000000-0005-0000-0000-00001A0A0000}"/>
    <cellStyle name="Calculation 2 3 5" xfId="2580" xr:uid="{00000000-0005-0000-0000-00001B0A0000}"/>
    <cellStyle name="Calculation 2 3 6" xfId="2581" xr:uid="{00000000-0005-0000-0000-00001C0A0000}"/>
    <cellStyle name="Calculation 2 3 7" xfId="2582" xr:uid="{00000000-0005-0000-0000-00001D0A0000}"/>
    <cellStyle name="Calculation 2 3 8" xfId="2583" xr:uid="{00000000-0005-0000-0000-00001E0A0000}"/>
    <cellStyle name="Calculation 2 3 9" xfId="2584" xr:uid="{00000000-0005-0000-0000-00001F0A0000}"/>
    <cellStyle name="Calculation 2 30" xfId="2585" xr:uid="{00000000-0005-0000-0000-0000200A0000}"/>
    <cellStyle name="Calculation 2 31" xfId="2586" xr:uid="{00000000-0005-0000-0000-0000210A0000}"/>
    <cellStyle name="Calculation 2 32" xfId="2587" xr:uid="{00000000-0005-0000-0000-0000220A0000}"/>
    <cellStyle name="Calculation 2 33" xfId="2588" xr:uid="{00000000-0005-0000-0000-0000230A0000}"/>
    <cellStyle name="Calculation 2 34" xfId="2589" xr:uid="{00000000-0005-0000-0000-0000240A0000}"/>
    <cellStyle name="Calculation 2 35" xfId="2590" xr:uid="{00000000-0005-0000-0000-0000250A0000}"/>
    <cellStyle name="Calculation 2 36" xfId="2591" xr:uid="{00000000-0005-0000-0000-0000260A0000}"/>
    <cellStyle name="Calculation 2 4" xfId="2592" xr:uid="{00000000-0005-0000-0000-0000270A0000}"/>
    <cellStyle name="Calculation 2 4 10" xfId="2593" xr:uid="{00000000-0005-0000-0000-0000280A0000}"/>
    <cellStyle name="Calculation 2 4 11" xfId="2594" xr:uid="{00000000-0005-0000-0000-0000290A0000}"/>
    <cellStyle name="Calculation 2 4 12" xfId="2595" xr:uid="{00000000-0005-0000-0000-00002A0A0000}"/>
    <cellStyle name="Calculation 2 4 13" xfId="2596" xr:uid="{00000000-0005-0000-0000-00002B0A0000}"/>
    <cellStyle name="Calculation 2 4 14" xfId="2597" xr:uid="{00000000-0005-0000-0000-00002C0A0000}"/>
    <cellStyle name="Calculation 2 4 15" xfId="2598" xr:uid="{00000000-0005-0000-0000-00002D0A0000}"/>
    <cellStyle name="Calculation 2 4 16" xfId="2599" xr:uid="{00000000-0005-0000-0000-00002E0A0000}"/>
    <cellStyle name="Calculation 2 4 17" xfId="2600" xr:uid="{00000000-0005-0000-0000-00002F0A0000}"/>
    <cellStyle name="Calculation 2 4 18" xfId="2601" xr:uid="{00000000-0005-0000-0000-0000300A0000}"/>
    <cellStyle name="Calculation 2 4 19" xfId="2602" xr:uid="{00000000-0005-0000-0000-0000310A0000}"/>
    <cellStyle name="Calculation 2 4 2" xfId="2603" xr:uid="{00000000-0005-0000-0000-0000320A0000}"/>
    <cellStyle name="Calculation 2 4 2 2" xfId="2604" xr:uid="{00000000-0005-0000-0000-0000330A0000}"/>
    <cellStyle name="Calculation 2 4 2 3" xfId="2605" xr:uid="{00000000-0005-0000-0000-0000340A0000}"/>
    <cellStyle name="Calculation 2 4 20" xfId="2606" xr:uid="{00000000-0005-0000-0000-0000350A0000}"/>
    <cellStyle name="Calculation 2 4 21" xfId="2607" xr:uid="{00000000-0005-0000-0000-0000360A0000}"/>
    <cellStyle name="Calculation 2 4 22" xfId="2608" xr:uid="{00000000-0005-0000-0000-0000370A0000}"/>
    <cellStyle name="Calculation 2 4 23" xfId="2609" xr:uid="{00000000-0005-0000-0000-0000380A0000}"/>
    <cellStyle name="Calculation 2 4 24" xfId="2610" xr:uid="{00000000-0005-0000-0000-0000390A0000}"/>
    <cellStyle name="Calculation 2 4 25" xfId="2611" xr:uid="{00000000-0005-0000-0000-00003A0A0000}"/>
    <cellStyle name="Calculation 2 4 26" xfId="2612" xr:uid="{00000000-0005-0000-0000-00003B0A0000}"/>
    <cellStyle name="Calculation 2 4 27" xfId="2613" xr:uid="{00000000-0005-0000-0000-00003C0A0000}"/>
    <cellStyle name="Calculation 2 4 28" xfId="2614" xr:uid="{00000000-0005-0000-0000-00003D0A0000}"/>
    <cellStyle name="Calculation 2 4 29" xfId="2615" xr:uid="{00000000-0005-0000-0000-00003E0A0000}"/>
    <cellStyle name="Calculation 2 4 3" xfId="2616" xr:uid="{00000000-0005-0000-0000-00003F0A0000}"/>
    <cellStyle name="Calculation 2 4 3 2" xfId="2617" xr:uid="{00000000-0005-0000-0000-0000400A0000}"/>
    <cellStyle name="Calculation 2 4 3 3" xfId="2618" xr:uid="{00000000-0005-0000-0000-0000410A0000}"/>
    <cellStyle name="Calculation 2 4 30" xfId="2619" xr:uid="{00000000-0005-0000-0000-0000420A0000}"/>
    <cellStyle name="Calculation 2 4 31" xfId="2620" xr:uid="{00000000-0005-0000-0000-0000430A0000}"/>
    <cellStyle name="Calculation 2 4 32" xfId="2621" xr:uid="{00000000-0005-0000-0000-0000440A0000}"/>
    <cellStyle name="Calculation 2 4 4" xfId="2622" xr:uid="{00000000-0005-0000-0000-0000450A0000}"/>
    <cellStyle name="Calculation 2 4 5" xfId="2623" xr:uid="{00000000-0005-0000-0000-0000460A0000}"/>
    <cellStyle name="Calculation 2 4 6" xfId="2624" xr:uid="{00000000-0005-0000-0000-0000470A0000}"/>
    <cellStyle name="Calculation 2 4 7" xfId="2625" xr:uid="{00000000-0005-0000-0000-0000480A0000}"/>
    <cellStyle name="Calculation 2 4 8" xfId="2626" xr:uid="{00000000-0005-0000-0000-0000490A0000}"/>
    <cellStyle name="Calculation 2 4 9" xfId="2627" xr:uid="{00000000-0005-0000-0000-00004A0A0000}"/>
    <cellStyle name="Calculation 2 5" xfId="2628" xr:uid="{00000000-0005-0000-0000-00004B0A0000}"/>
    <cellStyle name="Calculation 2 5 10" xfId="2629" xr:uid="{00000000-0005-0000-0000-00004C0A0000}"/>
    <cellStyle name="Calculation 2 5 11" xfId="2630" xr:uid="{00000000-0005-0000-0000-00004D0A0000}"/>
    <cellStyle name="Calculation 2 5 12" xfId="2631" xr:uid="{00000000-0005-0000-0000-00004E0A0000}"/>
    <cellStyle name="Calculation 2 5 13" xfId="2632" xr:uid="{00000000-0005-0000-0000-00004F0A0000}"/>
    <cellStyle name="Calculation 2 5 14" xfId="2633" xr:uid="{00000000-0005-0000-0000-0000500A0000}"/>
    <cellStyle name="Calculation 2 5 15" xfId="2634" xr:uid="{00000000-0005-0000-0000-0000510A0000}"/>
    <cellStyle name="Calculation 2 5 16" xfId="2635" xr:uid="{00000000-0005-0000-0000-0000520A0000}"/>
    <cellStyle name="Calculation 2 5 17" xfId="2636" xr:uid="{00000000-0005-0000-0000-0000530A0000}"/>
    <cellStyle name="Calculation 2 5 18" xfId="2637" xr:uid="{00000000-0005-0000-0000-0000540A0000}"/>
    <cellStyle name="Calculation 2 5 19" xfId="2638" xr:uid="{00000000-0005-0000-0000-0000550A0000}"/>
    <cellStyle name="Calculation 2 5 2" xfId="2639" xr:uid="{00000000-0005-0000-0000-0000560A0000}"/>
    <cellStyle name="Calculation 2 5 2 2" xfId="2640" xr:uid="{00000000-0005-0000-0000-0000570A0000}"/>
    <cellStyle name="Calculation 2 5 2 3" xfId="2641" xr:uid="{00000000-0005-0000-0000-0000580A0000}"/>
    <cellStyle name="Calculation 2 5 20" xfId="2642" xr:uid="{00000000-0005-0000-0000-0000590A0000}"/>
    <cellStyle name="Calculation 2 5 21" xfId="2643" xr:uid="{00000000-0005-0000-0000-00005A0A0000}"/>
    <cellStyle name="Calculation 2 5 22" xfId="2644" xr:uid="{00000000-0005-0000-0000-00005B0A0000}"/>
    <cellStyle name="Calculation 2 5 23" xfId="2645" xr:uid="{00000000-0005-0000-0000-00005C0A0000}"/>
    <cellStyle name="Calculation 2 5 24" xfId="2646" xr:uid="{00000000-0005-0000-0000-00005D0A0000}"/>
    <cellStyle name="Calculation 2 5 25" xfId="2647" xr:uid="{00000000-0005-0000-0000-00005E0A0000}"/>
    <cellStyle name="Calculation 2 5 26" xfId="2648" xr:uid="{00000000-0005-0000-0000-00005F0A0000}"/>
    <cellStyle name="Calculation 2 5 27" xfId="2649" xr:uid="{00000000-0005-0000-0000-0000600A0000}"/>
    <cellStyle name="Calculation 2 5 28" xfId="2650" xr:uid="{00000000-0005-0000-0000-0000610A0000}"/>
    <cellStyle name="Calculation 2 5 29" xfId="2651" xr:uid="{00000000-0005-0000-0000-0000620A0000}"/>
    <cellStyle name="Calculation 2 5 3" xfId="2652" xr:uid="{00000000-0005-0000-0000-0000630A0000}"/>
    <cellStyle name="Calculation 2 5 3 2" xfId="2653" xr:uid="{00000000-0005-0000-0000-0000640A0000}"/>
    <cellStyle name="Calculation 2 5 3 3" xfId="2654" xr:uid="{00000000-0005-0000-0000-0000650A0000}"/>
    <cellStyle name="Calculation 2 5 30" xfId="2655" xr:uid="{00000000-0005-0000-0000-0000660A0000}"/>
    <cellStyle name="Calculation 2 5 31" xfId="2656" xr:uid="{00000000-0005-0000-0000-0000670A0000}"/>
    <cellStyle name="Calculation 2 5 32" xfId="2657" xr:uid="{00000000-0005-0000-0000-0000680A0000}"/>
    <cellStyle name="Calculation 2 5 4" xfId="2658" xr:uid="{00000000-0005-0000-0000-0000690A0000}"/>
    <cellStyle name="Calculation 2 5 5" xfId="2659" xr:uid="{00000000-0005-0000-0000-00006A0A0000}"/>
    <cellStyle name="Calculation 2 5 6" xfId="2660" xr:uid="{00000000-0005-0000-0000-00006B0A0000}"/>
    <cellStyle name="Calculation 2 5 7" xfId="2661" xr:uid="{00000000-0005-0000-0000-00006C0A0000}"/>
    <cellStyle name="Calculation 2 5 8" xfId="2662" xr:uid="{00000000-0005-0000-0000-00006D0A0000}"/>
    <cellStyle name="Calculation 2 5 9" xfId="2663" xr:uid="{00000000-0005-0000-0000-00006E0A0000}"/>
    <cellStyle name="Calculation 2 6" xfId="2664" xr:uid="{00000000-0005-0000-0000-00006F0A0000}"/>
    <cellStyle name="Calculation 2 6 2" xfId="2665" xr:uid="{00000000-0005-0000-0000-0000700A0000}"/>
    <cellStyle name="Calculation 2 6 2 2" xfId="2666" xr:uid="{00000000-0005-0000-0000-0000710A0000}"/>
    <cellStyle name="Calculation 2 6 2 2 2" xfId="2667" xr:uid="{00000000-0005-0000-0000-0000720A0000}"/>
    <cellStyle name="Calculation 2 6 2 2 2 2" xfId="2668" xr:uid="{00000000-0005-0000-0000-0000730A0000}"/>
    <cellStyle name="Calculation 2 6 2 2 2 3" xfId="2669" xr:uid="{00000000-0005-0000-0000-0000740A0000}"/>
    <cellStyle name="Calculation 2 6 2 2 3" xfId="2670" xr:uid="{00000000-0005-0000-0000-0000750A0000}"/>
    <cellStyle name="Calculation 2 6 2 3" xfId="2671" xr:uid="{00000000-0005-0000-0000-0000760A0000}"/>
    <cellStyle name="Calculation 2 6 2 3 2" xfId="2672" xr:uid="{00000000-0005-0000-0000-0000770A0000}"/>
    <cellStyle name="Calculation 2 6 2 4" xfId="2673" xr:uid="{00000000-0005-0000-0000-0000780A0000}"/>
    <cellStyle name="Calculation 2 6 2 4 2" xfId="2674" xr:uid="{00000000-0005-0000-0000-0000790A0000}"/>
    <cellStyle name="Calculation 2 6 2 5" xfId="2675" xr:uid="{00000000-0005-0000-0000-00007A0A0000}"/>
    <cellStyle name="Calculation 2 6 3" xfId="2676" xr:uid="{00000000-0005-0000-0000-00007B0A0000}"/>
    <cellStyle name="Calculation 2 6 3 2" xfId="2677" xr:uid="{00000000-0005-0000-0000-00007C0A0000}"/>
    <cellStyle name="Calculation 2 6 3 2 2" xfId="2678" xr:uid="{00000000-0005-0000-0000-00007D0A0000}"/>
    <cellStyle name="Calculation 2 6 3 2 2 2" xfId="2679" xr:uid="{00000000-0005-0000-0000-00007E0A0000}"/>
    <cellStyle name="Calculation 2 6 3 2 3" xfId="2680" xr:uid="{00000000-0005-0000-0000-00007F0A0000}"/>
    <cellStyle name="Calculation 2 6 3 3" xfId="2681" xr:uid="{00000000-0005-0000-0000-0000800A0000}"/>
    <cellStyle name="Calculation 2 6 4" xfId="2682" xr:uid="{00000000-0005-0000-0000-0000810A0000}"/>
    <cellStyle name="Calculation 2 6 4 2" xfId="2683" xr:uid="{00000000-0005-0000-0000-0000820A0000}"/>
    <cellStyle name="Calculation 2 6 5" xfId="2684" xr:uid="{00000000-0005-0000-0000-0000830A0000}"/>
    <cellStyle name="Calculation 2 6 5 2" xfId="2685" xr:uid="{00000000-0005-0000-0000-0000840A0000}"/>
    <cellStyle name="Calculation 2 6 6" xfId="2686" xr:uid="{00000000-0005-0000-0000-0000850A0000}"/>
    <cellStyle name="Calculation 2 6 6 2" xfId="2687" xr:uid="{00000000-0005-0000-0000-0000860A0000}"/>
    <cellStyle name="Calculation 2 6 6 2 2" xfId="2688" xr:uid="{00000000-0005-0000-0000-0000870A0000}"/>
    <cellStyle name="Calculation 2 6 6 3" xfId="2689" xr:uid="{00000000-0005-0000-0000-0000880A0000}"/>
    <cellStyle name="Calculation 2 6 7" xfId="2690" xr:uid="{00000000-0005-0000-0000-0000890A0000}"/>
    <cellStyle name="Calculation 2 7" xfId="2691" xr:uid="{00000000-0005-0000-0000-00008A0A0000}"/>
    <cellStyle name="Calculation 2 7 2" xfId="2692" xr:uid="{00000000-0005-0000-0000-00008B0A0000}"/>
    <cellStyle name="Calculation 2 7 2 2" xfId="2693" xr:uid="{00000000-0005-0000-0000-00008C0A0000}"/>
    <cellStyle name="Calculation 2 7 2 2 2" xfId="2694" xr:uid="{00000000-0005-0000-0000-00008D0A0000}"/>
    <cellStyle name="Calculation 2 7 2 2 3" xfId="2695" xr:uid="{00000000-0005-0000-0000-00008E0A0000}"/>
    <cellStyle name="Calculation 2 7 2 3" xfId="2696" xr:uid="{00000000-0005-0000-0000-00008F0A0000}"/>
    <cellStyle name="Calculation 2 7 3" xfId="2697" xr:uid="{00000000-0005-0000-0000-0000900A0000}"/>
    <cellStyle name="Calculation 2 8" xfId="2698" xr:uid="{00000000-0005-0000-0000-0000910A0000}"/>
    <cellStyle name="Calculation 2 8 2" xfId="2699" xr:uid="{00000000-0005-0000-0000-0000920A0000}"/>
    <cellStyle name="Calculation 2 8 2 2" xfId="2700" xr:uid="{00000000-0005-0000-0000-0000930A0000}"/>
    <cellStyle name="Calculation 2 8 2 2 2" xfId="2701" xr:uid="{00000000-0005-0000-0000-0000940A0000}"/>
    <cellStyle name="Calculation 2 8 2 2 3" xfId="2702" xr:uid="{00000000-0005-0000-0000-0000950A0000}"/>
    <cellStyle name="Calculation 2 8 2 3" xfId="2703" xr:uid="{00000000-0005-0000-0000-0000960A0000}"/>
    <cellStyle name="Calculation 2 8 3" xfId="2704" xr:uid="{00000000-0005-0000-0000-0000970A0000}"/>
    <cellStyle name="Calculation 2 9" xfId="2705" xr:uid="{00000000-0005-0000-0000-0000980A0000}"/>
    <cellStyle name="Calculation 2 9 2" xfId="2706" xr:uid="{00000000-0005-0000-0000-0000990A0000}"/>
    <cellStyle name="Calculation 3" xfId="2707" xr:uid="{00000000-0005-0000-0000-00009A0A0000}"/>
    <cellStyle name="Calculation 3 2" xfId="2708" xr:uid="{00000000-0005-0000-0000-00009B0A0000}"/>
    <cellStyle name="Calculation 3 2 2" xfId="2709" xr:uid="{00000000-0005-0000-0000-00009C0A0000}"/>
    <cellStyle name="Calculation 3 3" xfId="2710" xr:uid="{00000000-0005-0000-0000-00009D0A0000}"/>
    <cellStyle name="Calculation 3 3 2" xfId="2711" xr:uid="{00000000-0005-0000-0000-00009E0A0000}"/>
    <cellStyle name="Calculation 3 4" xfId="2712" xr:uid="{00000000-0005-0000-0000-00009F0A0000}"/>
    <cellStyle name="Calculation 4" xfId="2713" xr:uid="{00000000-0005-0000-0000-0000A00A0000}"/>
    <cellStyle name="Calculation 4 2" xfId="2714" xr:uid="{00000000-0005-0000-0000-0000A10A0000}"/>
    <cellStyle name="Calculation 5" xfId="2715" xr:uid="{00000000-0005-0000-0000-0000A20A0000}"/>
    <cellStyle name="Calculation 5 2" xfId="2716" xr:uid="{00000000-0005-0000-0000-0000A30A0000}"/>
    <cellStyle name="Calculation 6" xfId="2717" xr:uid="{00000000-0005-0000-0000-0000A40A0000}"/>
    <cellStyle name="Calculation 6 2" xfId="2718" xr:uid="{00000000-0005-0000-0000-0000A50A0000}"/>
    <cellStyle name="Calculation 7" xfId="2719" xr:uid="{00000000-0005-0000-0000-0000A60A0000}"/>
    <cellStyle name="Calculation 7 2" xfId="2720" xr:uid="{00000000-0005-0000-0000-0000A70A0000}"/>
    <cellStyle name="Check" xfId="2721" xr:uid="{00000000-0005-0000-0000-0000A80A0000}"/>
    <cellStyle name="Check Cell 2" xfId="2722" xr:uid="{00000000-0005-0000-0000-0000A90A0000}"/>
    <cellStyle name="Check Cell 2 2" xfId="2723" xr:uid="{00000000-0005-0000-0000-0000AA0A0000}"/>
    <cellStyle name="Check Cell 2 2 2" xfId="2724" xr:uid="{00000000-0005-0000-0000-0000AB0A0000}"/>
    <cellStyle name="Check Cell 2 2 2 2" xfId="2725" xr:uid="{00000000-0005-0000-0000-0000AC0A0000}"/>
    <cellStyle name="Check Cell 2 2 2 2 2" xfId="2726" xr:uid="{00000000-0005-0000-0000-0000AD0A0000}"/>
    <cellStyle name="Check Cell 2 2 2 3" xfId="2727" xr:uid="{00000000-0005-0000-0000-0000AE0A0000}"/>
    <cellStyle name="Check Cell 2 2 2 4" xfId="2728" xr:uid="{00000000-0005-0000-0000-0000AF0A0000}"/>
    <cellStyle name="Check Cell 2 2 3" xfId="2729" xr:uid="{00000000-0005-0000-0000-0000B00A0000}"/>
    <cellStyle name="Check Cell 2 2 3 2" xfId="2730" xr:uid="{00000000-0005-0000-0000-0000B10A0000}"/>
    <cellStyle name="Check Cell 2 2 3 2 2" xfId="2731" xr:uid="{00000000-0005-0000-0000-0000B20A0000}"/>
    <cellStyle name="Check Cell 2 2 4" xfId="2732" xr:uid="{00000000-0005-0000-0000-0000B30A0000}"/>
    <cellStyle name="Check Cell 2 2 5" xfId="2733" xr:uid="{00000000-0005-0000-0000-0000B40A0000}"/>
    <cellStyle name="Check Cell 2 2 6" xfId="2734" xr:uid="{00000000-0005-0000-0000-0000B50A0000}"/>
    <cellStyle name="Check Cell 2 2 6 2" xfId="2735" xr:uid="{00000000-0005-0000-0000-0000B60A0000}"/>
    <cellStyle name="Check Cell 2 3" xfId="2736" xr:uid="{00000000-0005-0000-0000-0000B70A0000}"/>
    <cellStyle name="Check Cell 2 4" xfId="2737" xr:uid="{00000000-0005-0000-0000-0000B80A0000}"/>
    <cellStyle name="Check Cell 2 4 2" xfId="2738" xr:uid="{00000000-0005-0000-0000-0000B90A0000}"/>
    <cellStyle name="Check Cell 2 4 2 2" xfId="2739" xr:uid="{00000000-0005-0000-0000-0000BA0A0000}"/>
    <cellStyle name="Check Cell 2 5" xfId="2740" xr:uid="{00000000-0005-0000-0000-0000BB0A0000}"/>
    <cellStyle name="Check Cell 2 5 2" xfId="2741" xr:uid="{00000000-0005-0000-0000-0000BC0A0000}"/>
    <cellStyle name="Check Cell 2 5 2 2" xfId="2742" xr:uid="{00000000-0005-0000-0000-0000BD0A0000}"/>
    <cellStyle name="Check Cell 2 6" xfId="2743" xr:uid="{00000000-0005-0000-0000-0000BE0A0000}"/>
    <cellStyle name="Check Cell 2 7" xfId="2744" xr:uid="{00000000-0005-0000-0000-0000BF0A0000}"/>
    <cellStyle name="Check Cell 3" xfId="2745" xr:uid="{00000000-0005-0000-0000-0000C00A0000}"/>
    <cellStyle name="Check Cell 3 2" xfId="2746" xr:uid="{00000000-0005-0000-0000-0000C10A0000}"/>
    <cellStyle name="Check Cell 3 3" xfId="2747" xr:uid="{00000000-0005-0000-0000-0000C20A0000}"/>
    <cellStyle name="Check Cell 4" xfId="2748" xr:uid="{00000000-0005-0000-0000-0000C30A0000}"/>
    <cellStyle name="Check Cell 5" xfId="2749" xr:uid="{00000000-0005-0000-0000-0000C40A0000}"/>
    <cellStyle name="Check Cell 6" xfId="2750" xr:uid="{00000000-0005-0000-0000-0000C50A0000}"/>
    <cellStyle name="Check Cell 7" xfId="2751" xr:uid="{00000000-0005-0000-0000-0000C60A0000}"/>
    <cellStyle name="ColBlue" xfId="2752" xr:uid="{00000000-0005-0000-0000-0000C70A0000}"/>
    <cellStyle name="ColGreen" xfId="2753" xr:uid="{00000000-0005-0000-0000-0000C80A0000}"/>
    <cellStyle name="ColRed" xfId="2754" xr:uid="{00000000-0005-0000-0000-0000C90A0000}"/>
    <cellStyle name="column Head Underlined" xfId="2755" xr:uid="{00000000-0005-0000-0000-0000CA0A0000}"/>
    <cellStyle name="Column Heading" xfId="2756" xr:uid="{00000000-0005-0000-0000-0000CB0A0000}"/>
    <cellStyle name="ColumnHeading" xfId="2757" xr:uid="{00000000-0005-0000-0000-0000CC0A0000}"/>
    <cellStyle name="ColumnHeadings" xfId="2758" xr:uid="{00000000-0005-0000-0000-0000CD0A0000}"/>
    <cellStyle name="ColumnHeadings2" xfId="2759" xr:uid="{00000000-0005-0000-0000-0000CE0A0000}"/>
    <cellStyle name="Comma  - Style1" xfId="2760" xr:uid="{00000000-0005-0000-0000-0000CF0A0000}"/>
    <cellStyle name="Comma  - Style2" xfId="2761" xr:uid="{00000000-0005-0000-0000-0000D00A0000}"/>
    <cellStyle name="Comma  - Style3" xfId="2762" xr:uid="{00000000-0005-0000-0000-0000D10A0000}"/>
    <cellStyle name="Comma  - Style4" xfId="2763" xr:uid="{00000000-0005-0000-0000-0000D20A0000}"/>
    <cellStyle name="Comma  - Style5" xfId="2764" xr:uid="{00000000-0005-0000-0000-0000D30A0000}"/>
    <cellStyle name="Comma  - Style6" xfId="2765" xr:uid="{00000000-0005-0000-0000-0000D40A0000}"/>
    <cellStyle name="Comma  - Style7" xfId="2766" xr:uid="{00000000-0005-0000-0000-0000D50A0000}"/>
    <cellStyle name="Comma  - Style8" xfId="2767" xr:uid="{00000000-0005-0000-0000-0000D60A0000}"/>
    <cellStyle name="Comma (0)" xfId="2768" xr:uid="{00000000-0005-0000-0000-0000D70A0000}"/>
    <cellStyle name="Comma (1)" xfId="2769" xr:uid="{00000000-0005-0000-0000-0000D80A0000}"/>
    <cellStyle name="Comma (2)" xfId="2770" xr:uid="{00000000-0005-0000-0000-0000D90A0000}"/>
    <cellStyle name="Comma [0] 2" xfId="2771" xr:uid="{00000000-0005-0000-0000-0000DA0A0000}"/>
    <cellStyle name="Comma [0] 2 2" xfId="2772" xr:uid="{00000000-0005-0000-0000-0000DB0A0000}"/>
    <cellStyle name="Comma [0] 3" xfId="2773" xr:uid="{00000000-0005-0000-0000-0000DC0A0000}"/>
    <cellStyle name="Comma [0] 4" xfId="2774" xr:uid="{00000000-0005-0000-0000-0000DD0A0000}"/>
    <cellStyle name="Comma [0] 4 2" xfId="2775" xr:uid="{00000000-0005-0000-0000-0000DE0A0000}"/>
    <cellStyle name="Comma [1]" xfId="2776" xr:uid="{00000000-0005-0000-0000-0000DF0A0000}"/>
    <cellStyle name="Comma [2]" xfId="2777" xr:uid="{00000000-0005-0000-0000-0000E00A0000}"/>
    <cellStyle name="Comma [3]" xfId="2778" xr:uid="{00000000-0005-0000-0000-0000E10A0000}"/>
    <cellStyle name="Comma 0" xfId="2779" xr:uid="{00000000-0005-0000-0000-0000E20A0000}"/>
    <cellStyle name="Comma 0*" xfId="2780" xr:uid="{00000000-0005-0000-0000-0000E30A0000}"/>
    <cellStyle name="Comma 0_Model_Sep_2_02" xfId="2781" xr:uid="{00000000-0005-0000-0000-0000E40A0000}"/>
    <cellStyle name="Comma 10" xfId="2782" xr:uid="{00000000-0005-0000-0000-0000E50A0000}"/>
    <cellStyle name="Comma 11" xfId="2783" xr:uid="{00000000-0005-0000-0000-0000E60A0000}"/>
    <cellStyle name="Comma 12" xfId="2784" xr:uid="{00000000-0005-0000-0000-0000E70A0000}"/>
    <cellStyle name="Comma 13" xfId="2785" xr:uid="{00000000-0005-0000-0000-0000E80A0000}"/>
    <cellStyle name="Comma 14" xfId="2786" xr:uid="{00000000-0005-0000-0000-0000E90A0000}"/>
    <cellStyle name="Comma 15" xfId="2787" xr:uid="{00000000-0005-0000-0000-0000EA0A0000}"/>
    <cellStyle name="Comma 16" xfId="48420" xr:uid="{00000000-0005-0000-0000-0000EB0A0000}"/>
    <cellStyle name="Comma 17" xfId="2788" xr:uid="{00000000-0005-0000-0000-0000EC0A0000}"/>
    <cellStyle name="Comma 18" xfId="2789" xr:uid="{00000000-0005-0000-0000-0000ED0A0000}"/>
    <cellStyle name="Comma 19" xfId="48421" xr:uid="{00000000-0005-0000-0000-0000EE0A0000}"/>
    <cellStyle name="Comma 2" xfId="2790" xr:uid="{00000000-0005-0000-0000-0000EF0A0000}"/>
    <cellStyle name="Comma 2 10" xfId="2791" xr:uid="{00000000-0005-0000-0000-0000F00A0000}"/>
    <cellStyle name="Comma 2 10 10" xfId="2792" xr:uid="{00000000-0005-0000-0000-0000F10A0000}"/>
    <cellStyle name="Comma 2 10 11" xfId="2793" xr:uid="{00000000-0005-0000-0000-0000F20A0000}"/>
    <cellStyle name="Comma 2 10 12" xfId="2794" xr:uid="{00000000-0005-0000-0000-0000F30A0000}"/>
    <cellStyle name="Comma 2 10 2" xfId="2795" xr:uid="{00000000-0005-0000-0000-0000F40A0000}"/>
    <cellStyle name="Comma 2 10 2 2" xfId="2796" xr:uid="{00000000-0005-0000-0000-0000F50A0000}"/>
    <cellStyle name="Comma 2 10 2 3" xfId="2797" xr:uid="{00000000-0005-0000-0000-0000F60A0000}"/>
    <cellStyle name="Comma 2 10 3" xfId="2798" xr:uid="{00000000-0005-0000-0000-0000F70A0000}"/>
    <cellStyle name="Comma 2 10 4" xfId="2799" xr:uid="{00000000-0005-0000-0000-0000F80A0000}"/>
    <cellStyle name="Comma 2 10 5" xfId="2800" xr:uid="{00000000-0005-0000-0000-0000F90A0000}"/>
    <cellStyle name="Comma 2 10 6" xfId="2801" xr:uid="{00000000-0005-0000-0000-0000FA0A0000}"/>
    <cellStyle name="Comma 2 10 6 2" xfId="2802" xr:uid="{00000000-0005-0000-0000-0000FB0A0000}"/>
    <cellStyle name="Comma 2 10 7" xfId="2803" xr:uid="{00000000-0005-0000-0000-0000FC0A0000}"/>
    <cellStyle name="Comma 2 10 7 2" xfId="2804" xr:uid="{00000000-0005-0000-0000-0000FD0A0000}"/>
    <cellStyle name="Comma 2 10 7 3" xfId="2805" xr:uid="{00000000-0005-0000-0000-0000FE0A0000}"/>
    <cellStyle name="Comma 2 10 8" xfId="2806" xr:uid="{00000000-0005-0000-0000-0000FF0A0000}"/>
    <cellStyle name="Comma 2 10 9" xfId="2807" xr:uid="{00000000-0005-0000-0000-0000000B0000}"/>
    <cellStyle name="Comma 2 100" xfId="2808" xr:uid="{00000000-0005-0000-0000-0000010B0000}"/>
    <cellStyle name="Comma 2 101" xfId="2809" xr:uid="{00000000-0005-0000-0000-0000020B0000}"/>
    <cellStyle name="Comma 2 102" xfId="2810" xr:uid="{00000000-0005-0000-0000-0000030B0000}"/>
    <cellStyle name="Comma 2 103" xfId="2811" xr:uid="{00000000-0005-0000-0000-0000040B0000}"/>
    <cellStyle name="Comma 2 104" xfId="2812" xr:uid="{00000000-0005-0000-0000-0000050B0000}"/>
    <cellStyle name="Comma 2 105" xfId="2813" xr:uid="{00000000-0005-0000-0000-0000060B0000}"/>
    <cellStyle name="Comma 2 106" xfId="2814" xr:uid="{00000000-0005-0000-0000-0000070B0000}"/>
    <cellStyle name="Comma 2 107" xfId="2815" xr:uid="{00000000-0005-0000-0000-0000080B0000}"/>
    <cellStyle name="Comma 2 108" xfId="2816" xr:uid="{00000000-0005-0000-0000-0000090B0000}"/>
    <cellStyle name="Comma 2 109" xfId="2817" xr:uid="{00000000-0005-0000-0000-00000A0B0000}"/>
    <cellStyle name="Comma 2 11" xfId="2818" xr:uid="{00000000-0005-0000-0000-00000B0B0000}"/>
    <cellStyle name="Comma 2 110" xfId="2819" xr:uid="{00000000-0005-0000-0000-00000C0B0000}"/>
    <cellStyle name="Comma 2 111" xfId="2820" xr:uid="{00000000-0005-0000-0000-00000D0B0000}"/>
    <cellStyle name="Comma 2 112" xfId="2821" xr:uid="{00000000-0005-0000-0000-00000E0B0000}"/>
    <cellStyle name="Comma 2 113" xfId="2822" xr:uid="{00000000-0005-0000-0000-00000F0B0000}"/>
    <cellStyle name="Comma 2 114" xfId="2823" xr:uid="{00000000-0005-0000-0000-0000100B0000}"/>
    <cellStyle name="Comma 2 115" xfId="2824" xr:uid="{00000000-0005-0000-0000-0000110B0000}"/>
    <cellStyle name="Comma 2 116" xfId="2825" xr:uid="{00000000-0005-0000-0000-0000120B0000}"/>
    <cellStyle name="Comma 2 117" xfId="2826" xr:uid="{00000000-0005-0000-0000-0000130B0000}"/>
    <cellStyle name="Comma 2 118" xfId="2827" xr:uid="{00000000-0005-0000-0000-0000140B0000}"/>
    <cellStyle name="Comma 2 119" xfId="2828" xr:uid="{00000000-0005-0000-0000-0000150B0000}"/>
    <cellStyle name="Comma 2 12" xfId="2829" xr:uid="{00000000-0005-0000-0000-0000160B0000}"/>
    <cellStyle name="Comma 2 120" xfId="2830" xr:uid="{00000000-0005-0000-0000-0000170B0000}"/>
    <cellStyle name="Comma 2 121" xfId="2831" xr:uid="{00000000-0005-0000-0000-0000180B0000}"/>
    <cellStyle name="Comma 2 122" xfId="2832" xr:uid="{00000000-0005-0000-0000-0000190B0000}"/>
    <cellStyle name="Comma 2 123" xfId="2833" xr:uid="{00000000-0005-0000-0000-00001A0B0000}"/>
    <cellStyle name="Comma 2 124" xfId="2834" xr:uid="{00000000-0005-0000-0000-00001B0B0000}"/>
    <cellStyle name="Comma 2 125" xfId="2835" xr:uid="{00000000-0005-0000-0000-00001C0B0000}"/>
    <cellStyle name="Comma 2 126" xfId="2836" xr:uid="{00000000-0005-0000-0000-00001D0B0000}"/>
    <cellStyle name="Comma 2 13" xfId="2837" xr:uid="{00000000-0005-0000-0000-00001E0B0000}"/>
    <cellStyle name="Comma 2 14" xfId="2838" xr:uid="{00000000-0005-0000-0000-00001F0B0000}"/>
    <cellStyle name="Comma 2 15" xfId="2839" xr:uid="{00000000-0005-0000-0000-0000200B0000}"/>
    <cellStyle name="Comma 2 16" xfId="2840" xr:uid="{00000000-0005-0000-0000-0000210B0000}"/>
    <cellStyle name="Comma 2 17" xfId="2841" xr:uid="{00000000-0005-0000-0000-0000220B0000}"/>
    <cellStyle name="Comma 2 18" xfId="2842" xr:uid="{00000000-0005-0000-0000-0000230B0000}"/>
    <cellStyle name="Comma 2 19" xfId="2843" xr:uid="{00000000-0005-0000-0000-0000240B0000}"/>
    <cellStyle name="Comma 2 2" xfId="2844" xr:uid="{00000000-0005-0000-0000-0000250B0000}"/>
    <cellStyle name="Comma 2 2 10" xfId="2845" xr:uid="{00000000-0005-0000-0000-0000260B0000}"/>
    <cellStyle name="Comma 2 2 11" xfId="2846" xr:uid="{00000000-0005-0000-0000-0000270B0000}"/>
    <cellStyle name="Comma 2 2 12" xfId="2847" xr:uid="{00000000-0005-0000-0000-0000280B0000}"/>
    <cellStyle name="Comma 2 2 13" xfId="2848" xr:uid="{00000000-0005-0000-0000-0000290B0000}"/>
    <cellStyle name="Comma 2 2 14" xfId="2849" xr:uid="{00000000-0005-0000-0000-00002A0B0000}"/>
    <cellStyle name="Comma 2 2 15" xfId="2850" xr:uid="{00000000-0005-0000-0000-00002B0B0000}"/>
    <cellStyle name="Comma 2 2 16" xfId="2851" xr:uid="{00000000-0005-0000-0000-00002C0B0000}"/>
    <cellStyle name="Comma 2 2 17" xfId="2852" xr:uid="{00000000-0005-0000-0000-00002D0B0000}"/>
    <cellStyle name="Comma 2 2 18" xfId="2853" xr:uid="{00000000-0005-0000-0000-00002E0B0000}"/>
    <cellStyle name="Comma 2 2 19" xfId="2854" xr:uid="{00000000-0005-0000-0000-00002F0B0000}"/>
    <cellStyle name="Comma 2 2 2" xfId="2855" xr:uid="{00000000-0005-0000-0000-0000300B0000}"/>
    <cellStyle name="Comma 2 2 2 10" xfId="2856" xr:uid="{00000000-0005-0000-0000-0000310B0000}"/>
    <cellStyle name="Comma 2 2 2 11" xfId="2857" xr:uid="{00000000-0005-0000-0000-0000320B0000}"/>
    <cellStyle name="Comma 2 2 2 12" xfId="2858" xr:uid="{00000000-0005-0000-0000-0000330B0000}"/>
    <cellStyle name="Comma 2 2 2 13" xfId="2859" xr:uid="{00000000-0005-0000-0000-0000340B0000}"/>
    <cellStyle name="Comma 2 2 2 14" xfId="2860" xr:uid="{00000000-0005-0000-0000-0000350B0000}"/>
    <cellStyle name="Comma 2 2 2 15" xfId="2861" xr:uid="{00000000-0005-0000-0000-0000360B0000}"/>
    <cellStyle name="Comma 2 2 2 2" xfId="2862" xr:uid="{00000000-0005-0000-0000-0000370B0000}"/>
    <cellStyle name="Comma 2 2 2 2 2" xfId="2863" xr:uid="{00000000-0005-0000-0000-0000380B0000}"/>
    <cellStyle name="Comma 2 2 2 2 2 10" xfId="2864" xr:uid="{00000000-0005-0000-0000-0000390B0000}"/>
    <cellStyle name="Comma 2 2 2 2 2 11" xfId="2865" xr:uid="{00000000-0005-0000-0000-00003A0B0000}"/>
    <cellStyle name="Comma 2 2 2 2 2 12" xfId="2866" xr:uid="{00000000-0005-0000-0000-00003B0B0000}"/>
    <cellStyle name="Comma 2 2 2 2 2 13" xfId="2867" xr:uid="{00000000-0005-0000-0000-00003C0B0000}"/>
    <cellStyle name="Comma 2 2 2 2 2 14" xfId="2868" xr:uid="{00000000-0005-0000-0000-00003D0B0000}"/>
    <cellStyle name="Comma 2 2 2 2 2 2" xfId="2869" xr:uid="{00000000-0005-0000-0000-00003E0B0000}"/>
    <cellStyle name="Comma 2 2 2 2 2 2 2" xfId="2870" xr:uid="{00000000-0005-0000-0000-00003F0B0000}"/>
    <cellStyle name="Comma 2 2 2 2 2 2 2 2" xfId="2871" xr:uid="{00000000-0005-0000-0000-0000400B0000}"/>
    <cellStyle name="Comma 2 2 2 2 2 2 2 2 2" xfId="2872" xr:uid="{00000000-0005-0000-0000-0000410B0000}"/>
    <cellStyle name="Comma 2 2 2 2 2 2 2 2 2 2" xfId="2873" xr:uid="{00000000-0005-0000-0000-0000420B0000}"/>
    <cellStyle name="Comma 2 2 2 2 2 2 2 2 3" xfId="2874" xr:uid="{00000000-0005-0000-0000-0000430B0000}"/>
    <cellStyle name="Comma 2 2 2 2 2 2 2 2 4" xfId="2875" xr:uid="{00000000-0005-0000-0000-0000440B0000}"/>
    <cellStyle name="Comma 2 2 2 2 2 2 2 3" xfId="2876" xr:uid="{00000000-0005-0000-0000-0000450B0000}"/>
    <cellStyle name="Comma 2 2 2 2 2 2 2 3 2" xfId="2877" xr:uid="{00000000-0005-0000-0000-0000460B0000}"/>
    <cellStyle name="Comma 2 2 2 2 2 2 2 3 2 2" xfId="2878" xr:uid="{00000000-0005-0000-0000-0000470B0000}"/>
    <cellStyle name="Comma 2 2 2 2 2 2 2 4" xfId="2879" xr:uid="{00000000-0005-0000-0000-0000480B0000}"/>
    <cellStyle name="Comma 2 2 2 2 2 2 2 4 2" xfId="2880" xr:uid="{00000000-0005-0000-0000-0000490B0000}"/>
    <cellStyle name="Comma 2 2 2 2 2 2 2 4 3" xfId="2881" xr:uid="{00000000-0005-0000-0000-00004A0B0000}"/>
    <cellStyle name="Comma 2 2 2 2 2 2 2 5" xfId="2882" xr:uid="{00000000-0005-0000-0000-00004B0B0000}"/>
    <cellStyle name="Comma 2 2 2 2 2 2 2 6" xfId="2883" xr:uid="{00000000-0005-0000-0000-00004C0B0000}"/>
    <cellStyle name="Comma 2 2 2 2 2 2 2 6 2" xfId="2884" xr:uid="{00000000-0005-0000-0000-00004D0B0000}"/>
    <cellStyle name="Comma 2 2 2 2 2 2 2 7" xfId="2885" xr:uid="{00000000-0005-0000-0000-00004E0B0000}"/>
    <cellStyle name="Comma 2 2 2 2 2 2 3" xfId="2886" xr:uid="{00000000-0005-0000-0000-00004F0B0000}"/>
    <cellStyle name="Comma 2 2 2 2 2 2 3 2" xfId="2887" xr:uid="{00000000-0005-0000-0000-0000500B0000}"/>
    <cellStyle name="Comma 2 2 2 2 2 2 3 3" xfId="2888" xr:uid="{00000000-0005-0000-0000-0000510B0000}"/>
    <cellStyle name="Comma 2 2 2 2 2 2 4" xfId="2889" xr:uid="{00000000-0005-0000-0000-0000520B0000}"/>
    <cellStyle name="Comma 2 2 2 2 2 2 4 2" xfId="2890" xr:uid="{00000000-0005-0000-0000-0000530B0000}"/>
    <cellStyle name="Comma 2 2 2 2 2 2 4 2 2" xfId="2891" xr:uid="{00000000-0005-0000-0000-0000540B0000}"/>
    <cellStyle name="Comma 2 2 2 2 2 2 5" xfId="2892" xr:uid="{00000000-0005-0000-0000-0000550B0000}"/>
    <cellStyle name="Comma 2 2 2 2 2 2 5 2" xfId="2893" xr:uid="{00000000-0005-0000-0000-0000560B0000}"/>
    <cellStyle name="Comma 2 2 2 2 2 2 5 2 2" xfId="2894" xr:uid="{00000000-0005-0000-0000-0000570B0000}"/>
    <cellStyle name="Comma 2 2 2 2 2 2 6" xfId="2895" xr:uid="{00000000-0005-0000-0000-0000580B0000}"/>
    <cellStyle name="Comma 2 2 2 2 2 2 7" xfId="2896" xr:uid="{00000000-0005-0000-0000-0000590B0000}"/>
    <cellStyle name="Comma 2 2 2 2 2 2 7 2" xfId="2897" xr:uid="{00000000-0005-0000-0000-00005A0B0000}"/>
    <cellStyle name="Comma 2 2 2 2 2 3" xfId="2898" xr:uid="{00000000-0005-0000-0000-00005B0B0000}"/>
    <cellStyle name="Comma 2 2 2 2 2 3 2" xfId="2899" xr:uid="{00000000-0005-0000-0000-00005C0B0000}"/>
    <cellStyle name="Comma 2 2 2 2 2 3 2 2" xfId="2900" xr:uid="{00000000-0005-0000-0000-00005D0B0000}"/>
    <cellStyle name="Comma 2 2 2 2 2 3 2 2 2" xfId="2901" xr:uid="{00000000-0005-0000-0000-00005E0B0000}"/>
    <cellStyle name="Comma 2 2 2 2 2 3 2 2 3" xfId="2902" xr:uid="{00000000-0005-0000-0000-00005F0B0000}"/>
    <cellStyle name="Comma 2 2 2 2 2 3 2 3" xfId="2903" xr:uid="{00000000-0005-0000-0000-0000600B0000}"/>
    <cellStyle name="Comma 2 2 2 2 2 3 2 4" xfId="2904" xr:uid="{00000000-0005-0000-0000-0000610B0000}"/>
    <cellStyle name="Comma 2 2 2 2 2 3 2 5" xfId="2905" xr:uid="{00000000-0005-0000-0000-0000620B0000}"/>
    <cellStyle name="Comma 2 2 2 2 2 3 3" xfId="2906" xr:uid="{00000000-0005-0000-0000-0000630B0000}"/>
    <cellStyle name="Comma 2 2 2 2 2 3 3 2" xfId="2907" xr:uid="{00000000-0005-0000-0000-0000640B0000}"/>
    <cellStyle name="Comma 2 2 2 2 2 3 3 2 2" xfId="2908" xr:uid="{00000000-0005-0000-0000-0000650B0000}"/>
    <cellStyle name="Comma 2 2 2 2 2 3 4" xfId="2909" xr:uid="{00000000-0005-0000-0000-0000660B0000}"/>
    <cellStyle name="Comma 2 2 2 2 2 3 5" xfId="2910" xr:uid="{00000000-0005-0000-0000-0000670B0000}"/>
    <cellStyle name="Comma 2 2 2 2 2 3 6" xfId="2911" xr:uid="{00000000-0005-0000-0000-0000680B0000}"/>
    <cellStyle name="Comma 2 2 2 2 2 3 6 2" xfId="2912" xr:uid="{00000000-0005-0000-0000-0000690B0000}"/>
    <cellStyle name="Comma 2 2 2 2 2 3 7" xfId="2913" xr:uid="{00000000-0005-0000-0000-00006A0B0000}"/>
    <cellStyle name="Comma 2 2 2 2 2 4" xfId="2914" xr:uid="{00000000-0005-0000-0000-00006B0B0000}"/>
    <cellStyle name="Comma 2 2 2 2 2 4 2" xfId="2915" xr:uid="{00000000-0005-0000-0000-00006C0B0000}"/>
    <cellStyle name="Comma 2 2 2 2 2 4 2 2" xfId="2916" xr:uid="{00000000-0005-0000-0000-00006D0B0000}"/>
    <cellStyle name="Comma 2 2 2 2 2 5" xfId="2917" xr:uid="{00000000-0005-0000-0000-00006E0B0000}"/>
    <cellStyle name="Comma 2 2 2 2 2 5 2" xfId="2918" xr:uid="{00000000-0005-0000-0000-00006F0B0000}"/>
    <cellStyle name="Comma 2 2 2 2 2 5 2 2" xfId="2919" xr:uid="{00000000-0005-0000-0000-0000700B0000}"/>
    <cellStyle name="Comma 2 2 2 2 2 6" xfId="2920" xr:uid="{00000000-0005-0000-0000-0000710B0000}"/>
    <cellStyle name="Comma 2 2 2 2 2 7" xfId="2921" xr:uid="{00000000-0005-0000-0000-0000720B0000}"/>
    <cellStyle name="Comma 2 2 2 2 2 7 2" xfId="2922" xr:uid="{00000000-0005-0000-0000-0000730B0000}"/>
    <cellStyle name="Comma 2 2 2 2 2 8" xfId="2923" xr:uid="{00000000-0005-0000-0000-0000740B0000}"/>
    <cellStyle name="Comma 2 2 2 2 2 9" xfId="2924" xr:uid="{00000000-0005-0000-0000-0000750B0000}"/>
    <cellStyle name="Comma 2 2 2 2 3" xfId="2925" xr:uid="{00000000-0005-0000-0000-0000760B0000}"/>
    <cellStyle name="Comma 2 2 2 2 3 2" xfId="2926" xr:uid="{00000000-0005-0000-0000-0000770B0000}"/>
    <cellStyle name="Comma 2 2 2 2 3 2 2" xfId="2927" xr:uid="{00000000-0005-0000-0000-0000780B0000}"/>
    <cellStyle name="Comma 2 2 2 2 3 2 2 2" xfId="2928" xr:uid="{00000000-0005-0000-0000-0000790B0000}"/>
    <cellStyle name="Comma 2 2 2 2 3 2 2 2 2" xfId="2929" xr:uid="{00000000-0005-0000-0000-00007A0B0000}"/>
    <cellStyle name="Comma 2 2 2 2 3 2 2 2 3" xfId="2930" xr:uid="{00000000-0005-0000-0000-00007B0B0000}"/>
    <cellStyle name="Comma 2 2 2 2 3 2 2 3" xfId="2931" xr:uid="{00000000-0005-0000-0000-00007C0B0000}"/>
    <cellStyle name="Comma 2 2 2 2 3 2 3" xfId="2932" xr:uid="{00000000-0005-0000-0000-00007D0B0000}"/>
    <cellStyle name="Comma 2 2 2 2 3 2 4" xfId="2933" xr:uid="{00000000-0005-0000-0000-00007E0B0000}"/>
    <cellStyle name="Comma 2 2 2 2 3 2 5" xfId="2934" xr:uid="{00000000-0005-0000-0000-00007F0B0000}"/>
    <cellStyle name="Comma 2 2 2 2 3 3" xfId="2935" xr:uid="{00000000-0005-0000-0000-0000800B0000}"/>
    <cellStyle name="Comma 2 2 2 2 3 3 2" xfId="2936" xr:uid="{00000000-0005-0000-0000-0000810B0000}"/>
    <cellStyle name="Comma 2 2 2 2 3 3 2 2" xfId="2937" xr:uid="{00000000-0005-0000-0000-0000820B0000}"/>
    <cellStyle name="Comma 2 2 2 2 3 4" xfId="2938" xr:uid="{00000000-0005-0000-0000-0000830B0000}"/>
    <cellStyle name="Comma 2 2 2 2 3 5" xfId="2939" xr:uid="{00000000-0005-0000-0000-0000840B0000}"/>
    <cellStyle name="Comma 2 2 2 2 3 6" xfId="2940" xr:uid="{00000000-0005-0000-0000-0000850B0000}"/>
    <cellStyle name="Comma 2 2 2 2 3 6 2" xfId="2941" xr:uid="{00000000-0005-0000-0000-0000860B0000}"/>
    <cellStyle name="Comma 2 2 2 2 3 7" xfId="2942" xr:uid="{00000000-0005-0000-0000-0000870B0000}"/>
    <cellStyle name="Comma 2 2 2 2 4" xfId="2943" xr:uid="{00000000-0005-0000-0000-0000880B0000}"/>
    <cellStyle name="Comma 2 2 2 2 4 2" xfId="2944" xr:uid="{00000000-0005-0000-0000-0000890B0000}"/>
    <cellStyle name="Comma 2 2 2 2 4 2 2" xfId="2945" xr:uid="{00000000-0005-0000-0000-00008A0B0000}"/>
    <cellStyle name="Comma 2 2 2 2 4 2 2 2" xfId="2946" xr:uid="{00000000-0005-0000-0000-00008B0B0000}"/>
    <cellStyle name="Comma 2 2 2 2 4 2 2 3" xfId="2947" xr:uid="{00000000-0005-0000-0000-00008C0B0000}"/>
    <cellStyle name="Comma 2 2 2 2 4 2 3" xfId="2948" xr:uid="{00000000-0005-0000-0000-00008D0B0000}"/>
    <cellStyle name="Comma 2 2 2 2 4 3" xfId="2949" xr:uid="{00000000-0005-0000-0000-00008E0B0000}"/>
    <cellStyle name="Comma 2 2 2 2 5" xfId="2950" xr:uid="{00000000-0005-0000-0000-00008F0B0000}"/>
    <cellStyle name="Comma 2 2 2 2 5 2" xfId="2951" xr:uid="{00000000-0005-0000-0000-0000900B0000}"/>
    <cellStyle name="Comma 2 2 2 2 5 2 2" xfId="2952" xr:uid="{00000000-0005-0000-0000-0000910B0000}"/>
    <cellStyle name="Comma 2 2 2 2 6" xfId="2953" xr:uid="{00000000-0005-0000-0000-0000920B0000}"/>
    <cellStyle name="Comma 2 2 2 2 7" xfId="2954" xr:uid="{00000000-0005-0000-0000-0000930B0000}"/>
    <cellStyle name="Comma 2 2 2 2 7 2" xfId="2955" xr:uid="{00000000-0005-0000-0000-0000940B0000}"/>
    <cellStyle name="Comma 2 2 2 3" xfId="2956" xr:uid="{00000000-0005-0000-0000-0000950B0000}"/>
    <cellStyle name="Comma 2 2 2 4" xfId="2957" xr:uid="{00000000-0005-0000-0000-0000960B0000}"/>
    <cellStyle name="Comma 2 2 2 4 2" xfId="2958" xr:uid="{00000000-0005-0000-0000-0000970B0000}"/>
    <cellStyle name="Comma 2 2 2 4 2 2" xfId="2959" xr:uid="{00000000-0005-0000-0000-0000980B0000}"/>
    <cellStyle name="Comma 2 2 2 4 2 2 2" xfId="2960" xr:uid="{00000000-0005-0000-0000-0000990B0000}"/>
    <cellStyle name="Comma 2 2 2 4 2 2 3" xfId="2961" xr:uid="{00000000-0005-0000-0000-00009A0B0000}"/>
    <cellStyle name="Comma 2 2 2 4 2 3" xfId="2962" xr:uid="{00000000-0005-0000-0000-00009B0B0000}"/>
    <cellStyle name="Comma 2 2 2 4 2 4" xfId="2963" xr:uid="{00000000-0005-0000-0000-00009C0B0000}"/>
    <cellStyle name="Comma 2 2 2 4 2 5" xfId="2964" xr:uid="{00000000-0005-0000-0000-00009D0B0000}"/>
    <cellStyle name="Comma 2 2 2 4 3" xfId="2965" xr:uid="{00000000-0005-0000-0000-00009E0B0000}"/>
    <cellStyle name="Comma 2 2 2 4 3 2" xfId="2966" xr:uid="{00000000-0005-0000-0000-00009F0B0000}"/>
    <cellStyle name="Comma 2 2 2 4 3 2 2" xfId="2967" xr:uid="{00000000-0005-0000-0000-0000A00B0000}"/>
    <cellStyle name="Comma 2 2 2 4 4" xfId="2968" xr:uid="{00000000-0005-0000-0000-0000A10B0000}"/>
    <cellStyle name="Comma 2 2 2 4 5" xfId="2969" xr:uid="{00000000-0005-0000-0000-0000A20B0000}"/>
    <cellStyle name="Comma 2 2 2 4 6" xfId="2970" xr:uid="{00000000-0005-0000-0000-0000A30B0000}"/>
    <cellStyle name="Comma 2 2 2 4 6 2" xfId="2971" xr:uid="{00000000-0005-0000-0000-0000A40B0000}"/>
    <cellStyle name="Comma 2 2 2 4 7" xfId="2972" xr:uid="{00000000-0005-0000-0000-0000A50B0000}"/>
    <cellStyle name="Comma 2 2 2 5" xfId="2973" xr:uid="{00000000-0005-0000-0000-0000A60B0000}"/>
    <cellStyle name="Comma 2 2 2 5 2" xfId="2974" xr:uid="{00000000-0005-0000-0000-0000A70B0000}"/>
    <cellStyle name="Comma 2 2 2 5 2 2" xfId="2975" xr:uid="{00000000-0005-0000-0000-0000A80B0000}"/>
    <cellStyle name="Comma 2 2 2 6" xfId="2976" xr:uid="{00000000-0005-0000-0000-0000A90B0000}"/>
    <cellStyle name="Comma 2 2 2 6 2" xfId="2977" xr:uid="{00000000-0005-0000-0000-0000AA0B0000}"/>
    <cellStyle name="Comma 2 2 2 6 2 2" xfId="2978" xr:uid="{00000000-0005-0000-0000-0000AB0B0000}"/>
    <cellStyle name="Comma 2 2 2 7" xfId="2979" xr:uid="{00000000-0005-0000-0000-0000AC0B0000}"/>
    <cellStyle name="Comma 2 2 2 8" xfId="2980" xr:uid="{00000000-0005-0000-0000-0000AD0B0000}"/>
    <cellStyle name="Comma 2 2 2 8 2" xfId="2981" xr:uid="{00000000-0005-0000-0000-0000AE0B0000}"/>
    <cellStyle name="Comma 2 2 2 9" xfId="2982" xr:uid="{00000000-0005-0000-0000-0000AF0B0000}"/>
    <cellStyle name="Comma 2 2 20" xfId="2983" xr:uid="{00000000-0005-0000-0000-0000B00B0000}"/>
    <cellStyle name="Comma 2 2 21" xfId="2984" xr:uid="{00000000-0005-0000-0000-0000B10B0000}"/>
    <cellStyle name="Comma 2 2 22" xfId="2985" xr:uid="{00000000-0005-0000-0000-0000B20B0000}"/>
    <cellStyle name="Comma 2 2 23" xfId="2986" xr:uid="{00000000-0005-0000-0000-0000B30B0000}"/>
    <cellStyle name="Comma 2 2 24" xfId="2987" xr:uid="{00000000-0005-0000-0000-0000B40B0000}"/>
    <cellStyle name="Comma 2 2 25" xfId="2988" xr:uid="{00000000-0005-0000-0000-0000B50B0000}"/>
    <cellStyle name="Comma 2 2 26" xfId="2989" xr:uid="{00000000-0005-0000-0000-0000B60B0000}"/>
    <cellStyle name="Comma 2 2 27" xfId="2990" xr:uid="{00000000-0005-0000-0000-0000B70B0000}"/>
    <cellStyle name="Comma 2 2 28" xfId="2991" xr:uid="{00000000-0005-0000-0000-0000B80B0000}"/>
    <cellStyle name="Comma 2 2 29" xfId="2992" xr:uid="{00000000-0005-0000-0000-0000B90B0000}"/>
    <cellStyle name="Comma 2 2 3" xfId="2993" xr:uid="{00000000-0005-0000-0000-0000BA0B0000}"/>
    <cellStyle name="Comma 2 2 3 10" xfId="2994" xr:uid="{00000000-0005-0000-0000-0000BB0B0000}"/>
    <cellStyle name="Comma 2 2 3 11" xfId="2995" xr:uid="{00000000-0005-0000-0000-0000BC0B0000}"/>
    <cellStyle name="Comma 2 2 3 12" xfId="2996" xr:uid="{00000000-0005-0000-0000-0000BD0B0000}"/>
    <cellStyle name="Comma 2 2 3 13" xfId="2997" xr:uid="{00000000-0005-0000-0000-0000BE0B0000}"/>
    <cellStyle name="Comma 2 2 3 2" xfId="2998" xr:uid="{00000000-0005-0000-0000-0000BF0B0000}"/>
    <cellStyle name="Comma 2 2 3 3" xfId="2999" xr:uid="{00000000-0005-0000-0000-0000C00B0000}"/>
    <cellStyle name="Comma 2 2 3 4" xfId="3000" xr:uid="{00000000-0005-0000-0000-0000C10B0000}"/>
    <cellStyle name="Comma 2 2 3 5" xfId="3001" xr:uid="{00000000-0005-0000-0000-0000C20B0000}"/>
    <cellStyle name="Comma 2 2 3 6" xfId="3002" xr:uid="{00000000-0005-0000-0000-0000C30B0000}"/>
    <cellStyle name="Comma 2 2 3 7" xfId="3003" xr:uid="{00000000-0005-0000-0000-0000C40B0000}"/>
    <cellStyle name="Comma 2 2 3 8" xfId="3004" xr:uid="{00000000-0005-0000-0000-0000C50B0000}"/>
    <cellStyle name="Comma 2 2 3 9" xfId="3005" xr:uid="{00000000-0005-0000-0000-0000C60B0000}"/>
    <cellStyle name="Comma 2 2 30" xfId="3006" xr:uid="{00000000-0005-0000-0000-0000C70B0000}"/>
    <cellStyle name="Comma 2 2 31" xfId="3007" xr:uid="{00000000-0005-0000-0000-0000C80B0000}"/>
    <cellStyle name="Comma 2 2 32" xfId="3008" xr:uid="{00000000-0005-0000-0000-0000C90B0000}"/>
    <cellStyle name="Comma 2 2 33" xfId="3009" xr:uid="{00000000-0005-0000-0000-0000CA0B0000}"/>
    <cellStyle name="Comma 2 2 34" xfId="3010" xr:uid="{00000000-0005-0000-0000-0000CB0B0000}"/>
    <cellStyle name="Comma 2 2 35" xfId="3011" xr:uid="{00000000-0005-0000-0000-0000CC0B0000}"/>
    <cellStyle name="Comma 2 2 36" xfId="3012" xr:uid="{00000000-0005-0000-0000-0000CD0B0000}"/>
    <cellStyle name="Comma 2 2 37" xfId="3013" xr:uid="{00000000-0005-0000-0000-0000CE0B0000}"/>
    <cellStyle name="Comma 2 2 38" xfId="3014" xr:uid="{00000000-0005-0000-0000-0000CF0B0000}"/>
    <cellStyle name="Comma 2 2 39" xfId="3015" xr:uid="{00000000-0005-0000-0000-0000D00B0000}"/>
    <cellStyle name="Comma 2 2 4" xfId="3016" xr:uid="{00000000-0005-0000-0000-0000D10B0000}"/>
    <cellStyle name="Comma 2 2 40" xfId="3017" xr:uid="{00000000-0005-0000-0000-0000D20B0000}"/>
    <cellStyle name="Comma 2 2 41" xfId="3018" xr:uid="{00000000-0005-0000-0000-0000D30B0000}"/>
    <cellStyle name="Comma 2 2 42" xfId="3019" xr:uid="{00000000-0005-0000-0000-0000D40B0000}"/>
    <cellStyle name="Comma 2 2 43" xfId="3020" xr:uid="{00000000-0005-0000-0000-0000D50B0000}"/>
    <cellStyle name="Comma 2 2 44" xfId="3021" xr:uid="{00000000-0005-0000-0000-0000D60B0000}"/>
    <cellStyle name="Comma 2 2 45" xfId="3022" xr:uid="{00000000-0005-0000-0000-0000D70B0000}"/>
    <cellStyle name="Comma 2 2 46" xfId="3023" xr:uid="{00000000-0005-0000-0000-0000D80B0000}"/>
    <cellStyle name="Comma 2 2 47" xfId="3024" xr:uid="{00000000-0005-0000-0000-0000D90B0000}"/>
    <cellStyle name="Comma 2 2 48" xfId="3025" xr:uid="{00000000-0005-0000-0000-0000DA0B0000}"/>
    <cellStyle name="Comma 2 2 48 2" xfId="3026" xr:uid="{00000000-0005-0000-0000-0000DB0B0000}"/>
    <cellStyle name="Comma 2 2 48 2 2" xfId="3027" xr:uid="{00000000-0005-0000-0000-0000DC0B0000}"/>
    <cellStyle name="Comma 2 2 48 2 2 2" xfId="3028" xr:uid="{00000000-0005-0000-0000-0000DD0B0000}"/>
    <cellStyle name="Comma 2 2 48 2 2 2 2" xfId="3029" xr:uid="{00000000-0005-0000-0000-0000DE0B0000}"/>
    <cellStyle name="Comma 2 2 48 2 2 2 3" xfId="3030" xr:uid="{00000000-0005-0000-0000-0000DF0B0000}"/>
    <cellStyle name="Comma 2 2 48 2 2 3" xfId="3031" xr:uid="{00000000-0005-0000-0000-0000E00B0000}"/>
    <cellStyle name="Comma 2 2 48 2 3" xfId="3032" xr:uid="{00000000-0005-0000-0000-0000E10B0000}"/>
    <cellStyle name="Comma 2 2 48 2 4" xfId="3033" xr:uid="{00000000-0005-0000-0000-0000E20B0000}"/>
    <cellStyle name="Comma 2 2 48 2 5" xfId="3034" xr:uid="{00000000-0005-0000-0000-0000E30B0000}"/>
    <cellStyle name="Comma 2 2 48 3" xfId="3035" xr:uid="{00000000-0005-0000-0000-0000E40B0000}"/>
    <cellStyle name="Comma 2 2 48 3 2" xfId="3036" xr:uid="{00000000-0005-0000-0000-0000E50B0000}"/>
    <cellStyle name="Comma 2 2 48 3 2 2" xfId="3037" xr:uid="{00000000-0005-0000-0000-0000E60B0000}"/>
    <cellStyle name="Comma 2 2 48 4" xfId="3038" xr:uid="{00000000-0005-0000-0000-0000E70B0000}"/>
    <cellStyle name="Comma 2 2 48 5" xfId="3039" xr:uid="{00000000-0005-0000-0000-0000E80B0000}"/>
    <cellStyle name="Comma 2 2 48 6" xfId="3040" xr:uid="{00000000-0005-0000-0000-0000E90B0000}"/>
    <cellStyle name="Comma 2 2 48 6 2" xfId="3041" xr:uid="{00000000-0005-0000-0000-0000EA0B0000}"/>
    <cellStyle name="Comma 2 2 48 7" xfId="3042" xr:uid="{00000000-0005-0000-0000-0000EB0B0000}"/>
    <cellStyle name="Comma 2 2 49" xfId="3043" xr:uid="{00000000-0005-0000-0000-0000EC0B0000}"/>
    <cellStyle name="Comma 2 2 49 2" xfId="3044" xr:uid="{00000000-0005-0000-0000-0000ED0B0000}"/>
    <cellStyle name="Comma 2 2 49 2 2" xfId="3045" xr:uid="{00000000-0005-0000-0000-0000EE0B0000}"/>
    <cellStyle name="Comma 2 2 49 2 2 2" xfId="3046" xr:uid="{00000000-0005-0000-0000-0000EF0B0000}"/>
    <cellStyle name="Comma 2 2 49 2 2 3" xfId="3047" xr:uid="{00000000-0005-0000-0000-0000F00B0000}"/>
    <cellStyle name="Comma 2 2 49 2 3" xfId="3048" xr:uid="{00000000-0005-0000-0000-0000F10B0000}"/>
    <cellStyle name="Comma 2 2 49 3" xfId="3049" xr:uid="{00000000-0005-0000-0000-0000F20B0000}"/>
    <cellStyle name="Comma 2 2 5" xfId="3050" xr:uid="{00000000-0005-0000-0000-0000F30B0000}"/>
    <cellStyle name="Comma 2 2 50" xfId="3051" xr:uid="{00000000-0005-0000-0000-0000F40B0000}"/>
    <cellStyle name="Comma 2 2 50 2" xfId="3052" xr:uid="{00000000-0005-0000-0000-0000F50B0000}"/>
    <cellStyle name="Comma 2 2 50 2 2" xfId="3053" xr:uid="{00000000-0005-0000-0000-0000F60B0000}"/>
    <cellStyle name="Comma 2 2 51" xfId="3054" xr:uid="{00000000-0005-0000-0000-0000F70B0000}"/>
    <cellStyle name="Comma 2 2 52" xfId="3055" xr:uid="{00000000-0005-0000-0000-0000F80B0000}"/>
    <cellStyle name="Comma 2 2 52 2" xfId="3056" xr:uid="{00000000-0005-0000-0000-0000F90B0000}"/>
    <cellStyle name="Comma 2 2 6" xfId="3057" xr:uid="{00000000-0005-0000-0000-0000FA0B0000}"/>
    <cellStyle name="Comma 2 2 7" xfId="3058" xr:uid="{00000000-0005-0000-0000-0000FB0B0000}"/>
    <cellStyle name="Comma 2 2 8" xfId="3059" xr:uid="{00000000-0005-0000-0000-0000FC0B0000}"/>
    <cellStyle name="Comma 2 2 9" xfId="3060" xr:uid="{00000000-0005-0000-0000-0000FD0B0000}"/>
    <cellStyle name="Comma 2 2_3.1.2 DB Pension Detail" xfId="3061" xr:uid="{00000000-0005-0000-0000-0000FE0B0000}"/>
    <cellStyle name="Comma 2 20" xfId="3062" xr:uid="{00000000-0005-0000-0000-0000FF0B0000}"/>
    <cellStyle name="Comma 2 21" xfId="3063" xr:uid="{00000000-0005-0000-0000-0000000C0000}"/>
    <cellStyle name="Comma 2 22" xfId="3064" xr:uid="{00000000-0005-0000-0000-0000010C0000}"/>
    <cellStyle name="Comma 2 23" xfId="3065" xr:uid="{00000000-0005-0000-0000-0000020C0000}"/>
    <cellStyle name="Comma 2 24" xfId="3066" xr:uid="{00000000-0005-0000-0000-0000030C0000}"/>
    <cellStyle name="Comma 2 25" xfId="3067" xr:uid="{00000000-0005-0000-0000-0000040C0000}"/>
    <cellStyle name="Comma 2 26" xfId="3068" xr:uid="{00000000-0005-0000-0000-0000050C0000}"/>
    <cellStyle name="Comma 2 27" xfId="3069" xr:uid="{00000000-0005-0000-0000-0000060C0000}"/>
    <cellStyle name="Comma 2 28" xfId="3070" xr:uid="{00000000-0005-0000-0000-0000070C0000}"/>
    <cellStyle name="Comma 2 29" xfId="3071" xr:uid="{00000000-0005-0000-0000-0000080C0000}"/>
    <cellStyle name="Comma 2 3" xfId="3072" xr:uid="{00000000-0005-0000-0000-0000090C0000}"/>
    <cellStyle name="Comma 2 3 10" xfId="3073" xr:uid="{00000000-0005-0000-0000-00000A0C0000}"/>
    <cellStyle name="Comma 2 3 11" xfId="3074" xr:uid="{00000000-0005-0000-0000-00000B0C0000}"/>
    <cellStyle name="Comma 2 3 12" xfId="3075" xr:uid="{00000000-0005-0000-0000-00000C0C0000}"/>
    <cellStyle name="Comma 2 3 13" xfId="3076" xr:uid="{00000000-0005-0000-0000-00000D0C0000}"/>
    <cellStyle name="Comma 2 3 14" xfId="3077" xr:uid="{00000000-0005-0000-0000-00000E0C0000}"/>
    <cellStyle name="Comma 2 3 15" xfId="3078" xr:uid="{00000000-0005-0000-0000-00000F0C0000}"/>
    <cellStyle name="Comma 2 3 16" xfId="3079" xr:uid="{00000000-0005-0000-0000-0000100C0000}"/>
    <cellStyle name="Comma 2 3 17" xfId="3080" xr:uid="{00000000-0005-0000-0000-0000110C0000}"/>
    <cellStyle name="Comma 2 3 18" xfId="3081" xr:uid="{00000000-0005-0000-0000-0000120C0000}"/>
    <cellStyle name="Comma 2 3 19" xfId="3082" xr:uid="{00000000-0005-0000-0000-0000130C0000}"/>
    <cellStyle name="Comma 2 3 2" xfId="3083" xr:uid="{00000000-0005-0000-0000-0000140C0000}"/>
    <cellStyle name="Comma 2 3 2 2" xfId="3084" xr:uid="{00000000-0005-0000-0000-0000150C0000}"/>
    <cellStyle name="Comma 2 3 2 2 10" xfId="3085" xr:uid="{00000000-0005-0000-0000-0000160C0000}"/>
    <cellStyle name="Comma 2 3 2 2 11" xfId="3086" xr:uid="{00000000-0005-0000-0000-0000170C0000}"/>
    <cellStyle name="Comma 2 3 2 2 12" xfId="3087" xr:uid="{00000000-0005-0000-0000-0000180C0000}"/>
    <cellStyle name="Comma 2 3 2 2 13" xfId="3088" xr:uid="{00000000-0005-0000-0000-0000190C0000}"/>
    <cellStyle name="Comma 2 3 2 2 14" xfId="3089" xr:uid="{00000000-0005-0000-0000-00001A0C0000}"/>
    <cellStyle name="Comma 2 3 2 2 15" xfId="3090" xr:uid="{00000000-0005-0000-0000-00001B0C0000}"/>
    <cellStyle name="Comma 2 3 2 2 2" xfId="3091" xr:uid="{00000000-0005-0000-0000-00001C0C0000}"/>
    <cellStyle name="Comma 2 3 2 2 3" xfId="3092" xr:uid="{00000000-0005-0000-0000-00001D0C0000}"/>
    <cellStyle name="Comma 2 3 2 2 3 2" xfId="3093" xr:uid="{00000000-0005-0000-0000-00001E0C0000}"/>
    <cellStyle name="Comma 2 3 2 2 3 3" xfId="3094" xr:uid="{00000000-0005-0000-0000-00001F0C0000}"/>
    <cellStyle name="Comma 2 3 2 2 4" xfId="3095" xr:uid="{00000000-0005-0000-0000-0000200C0000}"/>
    <cellStyle name="Comma 2 3 2 2 5" xfId="3096" xr:uid="{00000000-0005-0000-0000-0000210C0000}"/>
    <cellStyle name="Comma 2 3 2 2 6" xfId="3097" xr:uid="{00000000-0005-0000-0000-0000220C0000}"/>
    <cellStyle name="Comma 2 3 2 2 7" xfId="3098" xr:uid="{00000000-0005-0000-0000-0000230C0000}"/>
    <cellStyle name="Comma 2 3 2 2 8" xfId="3099" xr:uid="{00000000-0005-0000-0000-0000240C0000}"/>
    <cellStyle name="Comma 2 3 2 2 9" xfId="3100" xr:uid="{00000000-0005-0000-0000-0000250C0000}"/>
    <cellStyle name="Comma 2 3 2_3.1.2 DB Pension Detail" xfId="3101" xr:uid="{00000000-0005-0000-0000-0000260C0000}"/>
    <cellStyle name="Comma 2 3 20" xfId="3102" xr:uid="{00000000-0005-0000-0000-0000270C0000}"/>
    <cellStyle name="Comma 2 3 21" xfId="3103" xr:uid="{00000000-0005-0000-0000-0000280C0000}"/>
    <cellStyle name="Comma 2 3 22" xfId="3104" xr:uid="{00000000-0005-0000-0000-0000290C0000}"/>
    <cellStyle name="Comma 2 3 23" xfId="3105" xr:uid="{00000000-0005-0000-0000-00002A0C0000}"/>
    <cellStyle name="Comma 2 3 24" xfId="3106" xr:uid="{00000000-0005-0000-0000-00002B0C0000}"/>
    <cellStyle name="Comma 2 3 25" xfId="3107" xr:uid="{00000000-0005-0000-0000-00002C0C0000}"/>
    <cellStyle name="Comma 2 3 26" xfId="3108" xr:uid="{00000000-0005-0000-0000-00002D0C0000}"/>
    <cellStyle name="Comma 2 3 27" xfId="3109" xr:uid="{00000000-0005-0000-0000-00002E0C0000}"/>
    <cellStyle name="Comma 2 3 28" xfId="3110" xr:uid="{00000000-0005-0000-0000-00002F0C0000}"/>
    <cellStyle name="Comma 2 3 29" xfId="3111" xr:uid="{00000000-0005-0000-0000-0000300C0000}"/>
    <cellStyle name="Comma 2 3 3" xfId="3112" xr:uid="{00000000-0005-0000-0000-0000310C0000}"/>
    <cellStyle name="Comma 2 3 3 10" xfId="3113" xr:uid="{00000000-0005-0000-0000-0000320C0000}"/>
    <cellStyle name="Comma 2 3 3 11" xfId="3114" xr:uid="{00000000-0005-0000-0000-0000330C0000}"/>
    <cellStyle name="Comma 2 3 3 12" xfId="3115" xr:uid="{00000000-0005-0000-0000-0000340C0000}"/>
    <cellStyle name="Comma 2 3 3 13" xfId="3116" xr:uid="{00000000-0005-0000-0000-0000350C0000}"/>
    <cellStyle name="Comma 2 3 3 2" xfId="3117" xr:uid="{00000000-0005-0000-0000-0000360C0000}"/>
    <cellStyle name="Comma 2 3 3 3" xfId="3118" xr:uid="{00000000-0005-0000-0000-0000370C0000}"/>
    <cellStyle name="Comma 2 3 3 4" xfId="3119" xr:uid="{00000000-0005-0000-0000-0000380C0000}"/>
    <cellStyle name="Comma 2 3 3 5" xfId="3120" xr:uid="{00000000-0005-0000-0000-0000390C0000}"/>
    <cellStyle name="Comma 2 3 3 6" xfId="3121" xr:uid="{00000000-0005-0000-0000-00003A0C0000}"/>
    <cellStyle name="Comma 2 3 3 7" xfId="3122" xr:uid="{00000000-0005-0000-0000-00003B0C0000}"/>
    <cellStyle name="Comma 2 3 3 8" xfId="3123" xr:uid="{00000000-0005-0000-0000-00003C0C0000}"/>
    <cellStyle name="Comma 2 3 3 9" xfId="3124" xr:uid="{00000000-0005-0000-0000-00003D0C0000}"/>
    <cellStyle name="Comma 2 3 30" xfId="3125" xr:uid="{00000000-0005-0000-0000-00003E0C0000}"/>
    <cellStyle name="Comma 2 3 31" xfId="3126" xr:uid="{00000000-0005-0000-0000-00003F0C0000}"/>
    <cellStyle name="Comma 2 3 32" xfId="3127" xr:uid="{00000000-0005-0000-0000-0000400C0000}"/>
    <cellStyle name="Comma 2 3 33" xfId="3128" xr:uid="{00000000-0005-0000-0000-0000410C0000}"/>
    <cellStyle name="Comma 2 3 34" xfId="3129" xr:uid="{00000000-0005-0000-0000-0000420C0000}"/>
    <cellStyle name="Comma 2 3 35" xfId="3130" xr:uid="{00000000-0005-0000-0000-0000430C0000}"/>
    <cellStyle name="Comma 2 3 36" xfId="3131" xr:uid="{00000000-0005-0000-0000-0000440C0000}"/>
    <cellStyle name="Comma 2 3 37" xfId="3132" xr:uid="{00000000-0005-0000-0000-0000450C0000}"/>
    <cellStyle name="Comma 2 3 38" xfId="3133" xr:uid="{00000000-0005-0000-0000-0000460C0000}"/>
    <cellStyle name="Comma 2 3 39" xfId="3134" xr:uid="{00000000-0005-0000-0000-0000470C0000}"/>
    <cellStyle name="Comma 2 3 4" xfId="3135" xr:uid="{00000000-0005-0000-0000-0000480C0000}"/>
    <cellStyle name="Comma 2 3 40" xfId="3136" xr:uid="{00000000-0005-0000-0000-0000490C0000}"/>
    <cellStyle name="Comma 2 3 41" xfId="3137" xr:uid="{00000000-0005-0000-0000-00004A0C0000}"/>
    <cellStyle name="Comma 2 3 42" xfId="3138" xr:uid="{00000000-0005-0000-0000-00004B0C0000}"/>
    <cellStyle name="Comma 2 3 43" xfId="3139" xr:uid="{00000000-0005-0000-0000-00004C0C0000}"/>
    <cellStyle name="Comma 2 3 44" xfId="3140" xr:uid="{00000000-0005-0000-0000-00004D0C0000}"/>
    <cellStyle name="Comma 2 3 45" xfId="3141" xr:uid="{00000000-0005-0000-0000-00004E0C0000}"/>
    <cellStyle name="Comma 2 3 46" xfId="3142" xr:uid="{00000000-0005-0000-0000-00004F0C0000}"/>
    <cellStyle name="Comma 2 3 47" xfId="3143" xr:uid="{00000000-0005-0000-0000-0000500C0000}"/>
    <cellStyle name="Comma 2 3 48" xfId="3144" xr:uid="{00000000-0005-0000-0000-0000510C0000}"/>
    <cellStyle name="Comma 2 3 5" xfId="3145" xr:uid="{00000000-0005-0000-0000-0000520C0000}"/>
    <cellStyle name="Comma 2 3 6" xfId="3146" xr:uid="{00000000-0005-0000-0000-0000530C0000}"/>
    <cellStyle name="Comma 2 3 7" xfId="3147" xr:uid="{00000000-0005-0000-0000-0000540C0000}"/>
    <cellStyle name="Comma 2 3 8" xfId="3148" xr:uid="{00000000-0005-0000-0000-0000550C0000}"/>
    <cellStyle name="Comma 2 3 9" xfId="3149" xr:uid="{00000000-0005-0000-0000-0000560C0000}"/>
    <cellStyle name="Comma 2 3_3.1.2 DB Pension Detail" xfId="3150" xr:uid="{00000000-0005-0000-0000-0000570C0000}"/>
    <cellStyle name="Comma 2 30" xfId="3151" xr:uid="{00000000-0005-0000-0000-0000580C0000}"/>
    <cellStyle name="Comma 2 31" xfId="3152" xr:uid="{00000000-0005-0000-0000-0000590C0000}"/>
    <cellStyle name="Comma 2 32" xfId="3153" xr:uid="{00000000-0005-0000-0000-00005A0C0000}"/>
    <cellStyle name="Comma 2 33" xfId="3154" xr:uid="{00000000-0005-0000-0000-00005B0C0000}"/>
    <cellStyle name="Comma 2 34" xfId="3155" xr:uid="{00000000-0005-0000-0000-00005C0C0000}"/>
    <cellStyle name="Comma 2 35" xfId="3156" xr:uid="{00000000-0005-0000-0000-00005D0C0000}"/>
    <cellStyle name="Comma 2 36" xfId="3157" xr:uid="{00000000-0005-0000-0000-00005E0C0000}"/>
    <cellStyle name="Comma 2 37" xfId="3158" xr:uid="{00000000-0005-0000-0000-00005F0C0000}"/>
    <cellStyle name="Comma 2 38" xfId="3159" xr:uid="{00000000-0005-0000-0000-0000600C0000}"/>
    <cellStyle name="Comma 2 39" xfId="3160" xr:uid="{00000000-0005-0000-0000-0000610C0000}"/>
    <cellStyle name="Comma 2 4" xfId="3161" xr:uid="{00000000-0005-0000-0000-0000620C0000}"/>
    <cellStyle name="Comma 2 4 10" xfId="3162" xr:uid="{00000000-0005-0000-0000-0000630C0000}"/>
    <cellStyle name="Comma 2 4 11" xfId="3163" xr:uid="{00000000-0005-0000-0000-0000640C0000}"/>
    <cellStyle name="Comma 2 4 12" xfId="3164" xr:uid="{00000000-0005-0000-0000-0000650C0000}"/>
    <cellStyle name="Comma 2 4 13" xfId="3165" xr:uid="{00000000-0005-0000-0000-0000660C0000}"/>
    <cellStyle name="Comma 2 4 14" xfId="3166" xr:uid="{00000000-0005-0000-0000-0000670C0000}"/>
    <cellStyle name="Comma 2 4 15" xfId="3167" xr:uid="{00000000-0005-0000-0000-0000680C0000}"/>
    <cellStyle name="Comma 2 4 16" xfId="3168" xr:uid="{00000000-0005-0000-0000-0000690C0000}"/>
    <cellStyle name="Comma 2 4 17" xfId="3169" xr:uid="{00000000-0005-0000-0000-00006A0C0000}"/>
    <cellStyle name="Comma 2 4 18" xfId="3170" xr:uid="{00000000-0005-0000-0000-00006B0C0000}"/>
    <cellStyle name="Comma 2 4 19" xfId="3171" xr:uid="{00000000-0005-0000-0000-00006C0C0000}"/>
    <cellStyle name="Comma 2 4 2" xfId="3172" xr:uid="{00000000-0005-0000-0000-00006D0C0000}"/>
    <cellStyle name="Comma 2 4 2 10" xfId="3173" xr:uid="{00000000-0005-0000-0000-00006E0C0000}"/>
    <cellStyle name="Comma 2 4 2 11" xfId="3174" xr:uid="{00000000-0005-0000-0000-00006F0C0000}"/>
    <cellStyle name="Comma 2 4 2 12" xfId="3175" xr:uid="{00000000-0005-0000-0000-0000700C0000}"/>
    <cellStyle name="Comma 2 4 2 13" xfId="3176" xr:uid="{00000000-0005-0000-0000-0000710C0000}"/>
    <cellStyle name="Comma 2 4 2 14" xfId="3177" xr:uid="{00000000-0005-0000-0000-0000720C0000}"/>
    <cellStyle name="Comma 2 4 2 15" xfId="3178" xr:uid="{00000000-0005-0000-0000-0000730C0000}"/>
    <cellStyle name="Comma 2 4 2 16" xfId="3179" xr:uid="{00000000-0005-0000-0000-0000740C0000}"/>
    <cellStyle name="Comma 2 4 2 17" xfId="3180" xr:uid="{00000000-0005-0000-0000-0000750C0000}"/>
    <cellStyle name="Comma 2 4 2 2" xfId="3181" xr:uid="{00000000-0005-0000-0000-0000760C0000}"/>
    <cellStyle name="Comma 2 4 2 3" xfId="3182" xr:uid="{00000000-0005-0000-0000-0000770C0000}"/>
    <cellStyle name="Comma 2 4 2 4" xfId="3183" xr:uid="{00000000-0005-0000-0000-0000780C0000}"/>
    <cellStyle name="Comma 2 4 2 5" xfId="3184" xr:uid="{00000000-0005-0000-0000-0000790C0000}"/>
    <cellStyle name="Comma 2 4 2 6" xfId="3185" xr:uid="{00000000-0005-0000-0000-00007A0C0000}"/>
    <cellStyle name="Comma 2 4 2 7" xfId="3186" xr:uid="{00000000-0005-0000-0000-00007B0C0000}"/>
    <cellStyle name="Comma 2 4 2 8" xfId="3187" xr:uid="{00000000-0005-0000-0000-00007C0C0000}"/>
    <cellStyle name="Comma 2 4 2 9" xfId="3188" xr:uid="{00000000-0005-0000-0000-00007D0C0000}"/>
    <cellStyle name="Comma 2 4 20" xfId="3189" xr:uid="{00000000-0005-0000-0000-00007E0C0000}"/>
    <cellStyle name="Comma 2 4 21" xfId="3190" xr:uid="{00000000-0005-0000-0000-00007F0C0000}"/>
    <cellStyle name="Comma 2 4 22" xfId="3191" xr:uid="{00000000-0005-0000-0000-0000800C0000}"/>
    <cellStyle name="Comma 2 4 23" xfId="3192" xr:uid="{00000000-0005-0000-0000-0000810C0000}"/>
    <cellStyle name="Comma 2 4 24" xfId="3193" xr:uid="{00000000-0005-0000-0000-0000820C0000}"/>
    <cellStyle name="Comma 2 4 25" xfId="3194" xr:uid="{00000000-0005-0000-0000-0000830C0000}"/>
    <cellStyle name="Comma 2 4 26" xfId="3195" xr:uid="{00000000-0005-0000-0000-0000840C0000}"/>
    <cellStyle name="Comma 2 4 27" xfId="3196" xr:uid="{00000000-0005-0000-0000-0000850C0000}"/>
    <cellStyle name="Comma 2 4 28" xfId="3197" xr:uid="{00000000-0005-0000-0000-0000860C0000}"/>
    <cellStyle name="Comma 2 4 29" xfId="3198" xr:uid="{00000000-0005-0000-0000-0000870C0000}"/>
    <cellStyle name="Comma 2 4 3" xfId="3199" xr:uid="{00000000-0005-0000-0000-0000880C0000}"/>
    <cellStyle name="Comma 2 4 30" xfId="3200" xr:uid="{00000000-0005-0000-0000-0000890C0000}"/>
    <cellStyle name="Comma 2 4 31" xfId="3201" xr:uid="{00000000-0005-0000-0000-00008A0C0000}"/>
    <cellStyle name="Comma 2 4 32" xfId="3202" xr:uid="{00000000-0005-0000-0000-00008B0C0000}"/>
    <cellStyle name="Comma 2 4 33" xfId="3203" xr:uid="{00000000-0005-0000-0000-00008C0C0000}"/>
    <cellStyle name="Comma 2 4 34" xfId="3204" xr:uid="{00000000-0005-0000-0000-00008D0C0000}"/>
    <cellStyle name="Comma 2 4 35" xfId="3205" xr:uid="{00000000-0005-0000-0000-00008E0C0000}"/>
    <cellStyle name="Comma 2 4 36" xfId="3206" xr:uid="{00000000-0005-0000-0000-00008F0C0000}"/>
    <cellStyle name="Comma 2 4 37" xfId="3207" xr:uid="{00000000-0005-0000-0000-0000900C0000}"/>
    <cellStyle name="Comma 2 4 38" xfId="3208" xr:uid="{00000000-0005-0000-0000-0000910C0000}"/>
    <cellStyle name="Comma 2 4 39" xfId="3209" xr:uid="{00000000-0005-0000-0000-0000920C0000}"/>
    <cellStyle name="Comma 2 4 4" xfId="3210" xr:uid="{00000000-0005-0000-0000-0000930C0000}"/>
    <cellStyle name="Comma 2 4 40" xfId="3211" xr:uid="{00000000-0005-0000-0000-0000940C0000}"/>
    <cellStyle name="Comma 2 4 41" xfId="3212" xr:uid="{00000000-0005-0000-0000-0000950C0000}"/>
    <cellStyle name="Comma 2 4 42" xfId="3213" xr:uid="{00000000-0005-0000-0000-0000960C0000}"/>
    <cellStyle name="Comma 2 4 43" xfId="3214" xr:uid="{00000000-0005-0000-0000-0000970C0000}"/>
    <cellStyle name="Comma 2 4 44" xfId="3215" xr:uid="{00000000-0005-0000-0000-0000980C0000}"/>
    <cellStyle name="Comma 2 4 45" xfId="3216" xr:uid="{00000000-0005-0000-0000-0000990C0000}"/>
    <cellStyle name="Comma 2 4 46" xfId="3217" xr:uid="{00000000-0005-0000-0000-00009A0C0000}"/>
    <cellStyle name="Comma 2 4 47" xfId="3218" xr:uid="{00000000-0005-0000-0000-00009B0C0000}"/>
    <cellStyle name="Comma 2 4 48" xfId="3219" xr:uid="{00000000-0005-0000-0000-00009C0C0000}"/>
    <cellStyle name="Comma 2 4 49" xfId="3220" xr:uid="{00000000-0005-0000-0000-00009D0C0000}"/>
    <cellStyle name="Comma 2 4 5" xfId="3221" xr:uid="{00000000-0005-0000-0000-00009E0C0000}"/>
    <cellStyle name="Comma 2 4 50" xfId="3222" xr:uid="{00000000-0005-0000-0000-00009F0C0000}"/>
    <cellStyle name="Comma 2 4 51" xfId="3223" xr:uid="{00000000-0005-0000-0000-0000A00C0000}"/>
    <cellStyle name="Comma 2 4 52" xfId="3224" xr:uid="{00000000-0005-0000-0000-0000A10C0000}"/>
    <cellStyle name="Comma 2 4 53" xfId="3225" xr:uid="{00000000-0005-0000-0000-0000A20C0000}"/>
    <cellStyle name="Comma 2 4 54" xfId="3226" xr:uid="{00000000-0005-0000-0000-0000A30C0000}"/>
    <cellStyle name="Comma 2 4 55" xfId="3227" xr:uid="{00000000-0005-0000-0000-0000A40C0000}"/>
    <cellStyle name="Comma 2 4 56" xfId="3228" xr:uid="{00000000-0005-0000-0000-0000A50C0000}"/>
    <cellStyle name="Comma 2 4 57" xfId="3229" xr:uid="{00000000-0005-0000-0000-0000A60C0000}"/>
    <cellStyle name="Comma 2 4 58" xfId="3230" xr:uid="{00000000-0005-0000-0000-0000A70C0000}"/>
    <cellStyle name="Comma 2 4 59" xfId="3231" xr:uid="{00000000-0005-0000-0000-0000A80C0000}"/>
    <cellStyle name="Comma 2 4 6" xfId="3232" xr:uid="{00000000-0005-0000-0000-0000A90C0000}"/>
    <cellStyle name="Comma 2 4 60" xfId="3233" xr:uid="{00000000-0005-0000-0000-0000AA0C0000}"/>
    <cellStyle name="Comma 2 4 61" xfId="3234" xr:uid="{00000000-0005-0000-0000-0000AB0C0000}"/>
    <cellStyle name="Comma 2 4 62" xfId="3235" xr:uid="{00000000-0005-0000-0000-0000AC0C0000}"/>
    <cellStyle name="Comma 2 4 63" xfId="3236" xr:uid="{00000000-0005-0000-0000-0000AD0C0000}"/>
    <cellStyle name="Comma 2 4 64" xfId="3237" xr:uid="{00000000-0005-0000-0000-0000AE0C0000}"/>
    <cellStyle name="Comma 2 4 65" xfId="3238" xr:uid="{00000000-0005-0000-0000-0000AF0C0000}"/>
    <cellStyle name="Comma 2 4 66" xfId="3239" xr:uid="{00000000-0005-0000-0000-0000B00C0000}"/>
    <cellStyle name="Comma 2 4 67" xfId="3240" xr:uid="{00000000-0005-0000-0000-0000B10C0000}"/>
    <cellStyle name="Comma 2 4 68" xfId="3241" xr:uid="{00000000-0005-0000-0000-0000B20C0000}"/>
    <cellStyle name="Comma 2 4 69" xfId="3242" xr:uid="{00000000-0005-0000-0000-0000B30C0000}"/>
    <cellStyle name="Comma 2 4 7" xfId="3243" xr:uid="{00000000-0005-0000-0000-0000B40C0000}"/>
    <cellStyle name="Comma 2 4 70" xfId="3244" xr:uid="{00000000-0005-0000-0000-0000B50C0000}"/>
    <cellStyle name="Comma 2 4 71" xfId="3245" xr:uid="{00000000-0005-0000-0000-0000B60C0000}"/>
    <cellStyle name="Comma 2 4 72" xfId="3246" xr:uid="{00000000-0005-0000-0000-0000B70C0000}"/>
    <cellStyle name="Comma 2 4 73" xfId="3247" xr:uid="{00000000-0005-0000-0000-0000B80C0000}"/>
    <cellStyle name="Comma 2 4 74" xfId="3248" xr:uid="{00000000-0005-0000-0000-0000B90C0000}"/>
    <cellStyle name="Comma 2 4 75" xfId="3249" xr:uid="{00000000-0005-0000-0000-0000BA0C0000}"/>
    <cellStyle name="Comma 2 4 76" xfId="3250" xr:uid="{00000000-0005-0000-0000-0000BB0C0000}"/>
    <cellStyle name="Comma 2 4 77" xfId="3251" xr:uid="{00000000-0005-0000-0000-0000BC0C0000}"/>
    <cellStyle name="Comma 2 4 78" xfId="3252" xr:uid="{00000000-0005-0000-0000-0000BD0C0000}"/>
    <cellStyle name="Comma 2 4 8" xfId="3253" xr:uid="{00000000-0005-0000-0000-0000BE0C0000}"/>
    <cellStyle name="Comma 2 4 9" xfId="3254" xr:uid="{00000000-0005-0000-0000-0000BF0C0000}"/>
    <cellStyle name="Comma 2 40" xfId="3255" xr:uid="{00000000-0005-0000-0000-0000C00C0000}"/>
    <cellStyle name="Comma 2 41" xfId="3256" xr:uid="{00000000-0005-0000-0000-0000C10C0000}"/>
    <cellStyle name="Comma 2 42" xfId="3257" xr:uid="{00000000-0005-0000-0000-0000C20C0000}"/>
    <cellStyle name="Comma 2 43" xfId="3258" xr:uid="{00000000-0005-0000-0000-0000C30C0000}"/>
    <cellStyle name="Comma 2 44" xfId="3259" xr:uid="{00000000-0005-0000-0000-0000C40C0000}"/>
    <cellStyle name="Comma 2 45" xfId="3260" xr:uid="{00000000-0005-0000-0000-0000C50C0000}"/>
    <cellStyle name="Comma 2 46" xfId="3261" xr:uid="{00000000-0005-0000-0000-0000C60C0000}"/>
    <cellStyle name="Comma 2 47" xfId="3262" xr:uid="{00000000-0005-0000-0000-0000C70C0000}"/>
    <cellStyle name="Comma 2 48" xfId="3263" xr:uid="{00000000-0005-0000-0000-0000C80C0000}"/>
    <cellStyle name="Comma 2 49" xfId="3264" xr:uid="{00000000-0005-0000-0000-0000C90C0000}"/>
    <cellStyle name="Comma 2 5" xfId="3265" xr:uid="{00000000-0005-0000-0000-0000CA0C0000}"/>
    <cellStyle name="Comma 2 50" xfId="3266" xr:uid="{00000000-0005-0000-0000-0000CB0C0000}"/>
    <cellStyle name="Comma 2 51" xfId="3267" xr:uid="{00000000-0005-0000-0000-0000CC0C0000}"/>
    <cellStyle name="Comma 2 51 10" xfId="3268" xr:uid="{00000000-0005-0000-0000-0000CD0C0000}"/>
    <cellStyle name="Comma 2 51 11" xfId="3269" xr:uid="{00000000-0005-0000-0000-0000CE0C0000}"/>
    <cellStyle name="Comma 2 51 12" xfId="3270" xr:uid="{00000000-0005-0000-0000-0000CF0C0000}"/>
    <cellStyle name="Comma 2 51 13" xfId="3271" xr:uid="{00000000-0005-0000-0000-0000D00C0000}"/>
    <cellStyle name="Comma 2 51 14" xfId="3272" xr:uid="{00000000-0005-0000-0000-0000D10C0000}"/>
    <cellStyle name="Comma 2 51 15" xfId="3273" xr:uid="{00000000-0005-0000-0000-0000D20C0000}"/>
    <cellStyle name="Comma 2 51 16" xfId="3274" xr:uid="{00000000-0005-0000-0000-0000D30C0000}"/>
    <cellStyle name="Comma 2 51 17" xfId="3275" xr:uid="{00000000-0005-0000-0000-0000D40C0000}"/>
    <cellStyle name="Comma 2 51 2" xfId="3276" xr:uid="{00000000-0005-0000-0000-0000D50C0000}"/>
    <cellStyle name="Comma 2 51 2 2" xfId="3277" xr:uid="{00000000-0005-0000-0000-0000D60C0000}"/>
    <cellStyle name="Comma 2 51 2 3" xfId="3278" xr:uid="{00000000-0005-0000-0000-0000D70C0000}"/>
    <cellStyle name="Comma 2 51 3" xfId="3279" xr:uid="{00000000-0005-0000-0000-0000D80C0000}"/>
    <cellStyle name="Comma 2 51 4" xfId="3280" xr:uid="{00000000-0005-0000-0000-0000D90C0000}"/>
    <cellStyle name="Comma 2 51 5" xfId="3281" xr:uid="{00000000-0005-0000-0000-0000DA0C0000}"/>
    <cellStyle name="Comma 2 51 6" xfId="3282" xr:uid="{00000000-0005-0000-0000-0000DB0C0000}"/>
    <cellStyle name="Comma 2 51 7" xfId="3283" xr:uid="{00000000-0005-0000-0000-0000DC0C0000}"/>
    <cellStyle name="Comma 2 51 8" xfId="3284" xr:uid="{00000000-0005-0000-0000-0000DD0C0000}"/>
    <cellStyle name="Comma 2 51 9" xfId="3285" xr:uid="{00000000-0005-0000-0000-0000DE0C0000}"/>
    <cellStyle name="Comma 2 52" xfId="3286" xr:uid="{00000000-0005-0000-0000-0000DF0C0000}"/>
    <cellStyle name="Comma 2 52 10" xfId="3287" xr:uid="{00000000-0005-0000-0000-0000E00C0000}"/>
    <cellStyle name="Comma 2 52 11" xfId="3288" xr:uid="{00000000-0005-0000-0000-0000E10C0000}"/>
    <cellStyle name="Comma 2 52 12" xfId="3289" xr:uid="{00000000-0005-0000-0000-0000E20C0000}"/>
    <cellStyle name="Comma 2 52 13" xfId="3290" xr:uid="{00000000-0005-0000-0000-0000E30C0000}"/>
    <cellStyle name="Comma 2 52 14" xfId="3291" xr:uid="{00000000-0005-0000-0000-0000E40C0000}"/>
    <cellStyle name="Comma 2 52 15" xfId="3292" xr:uid="{00000000-0005-0000-0000-0000E50C0000}"/>
    <cellStyle name="Comma 2 52 16" xfId="3293" xr:uid="{00000000-0005-0000-0000-0000E60C0000}"/>
    <cellStyle name="Comma 2 52 17" xfId="3294" xr:uid="{00000000-0005-0000-0000-0000E70C0000}"/>
    <cellStyle name="Comma 2 52 2" xfId="3295" xr:uid="{00000000-0005-0000-0000-0000E80C0000}"/>
    <cellStyle name="Comma 2 52 3" xfId="3296" xr:uid="{00000000-0005-0000-0000-0000E90C0000}"/>
    <cellStyle name="Comma 2 52 4" xfId="3297" xr:uid="{00000000-0005-0000-0000-0000EA0C0000}"/>
    <cellStyle name="Comma 2 52 5" xfId="3298" xr:uid="{00000000-0005-0000-0000-0000EB0C0000}"/>
    <cellStyle name="Comma 2 52 6" xfId="3299" xr:uid="{00000000-0005-0000-0000-0000EC0C0000}"/>
    <cellStyle name="Comma 2 52 7" xfId="3300" xr:uid="{00000000-0005-0000-0000-0000ED0C0000}"/>
    <cellStyle name="Comma 2 52 8" xfId="3301" xr:uid="{00000000-0005-0000-0000-0000EE0C0000}"/>
    <cellStyle name="Comma 2 52 9" xfId="3302" xr:uid="{00000000-0005-0000-0000-0000EF0C0000}"/>
    <cellStyle name="Comma 2 53" xfId="3303" xr:uid="{00000000-0005-0000-0000-0000F00C0000}"/>
    <cellStyle name="Comma 2 54" xfId="3304" xr:uid="{00000000-0005-0000-0000-0000F10C0000}"/>
    <cellStyle name="Comma 2 55" xfId="3305" xr:uid="{00000000-0005-0000-0000-0000F20C0000}"/>
    <cellStyle name="Comma 2 56" xfId="3306" xr:uid="{00000000-0005-0000-0000-0000F30C0000}"/>
    <cellStyle name="Comma 2 57" xfId="3307" xr:uid="{00000000-0005-0000-0000-0000F40C0000}"/>
    <cellStyle name="Comma 2 58" xfId="3308" xr:uid="{00000000-0005-0000-0000-0000F50C0000}"/>
    <cellStyle name="Comma 2 59" xfId="3309" xr:uid="{00000000-0005-0000-0000-0000F60C0000}"/>
    <cellStyle name="Comma 2 6" xfId="3310" xr:uid="{00000000-0005-0000-0000-0000F70C0000}"/>
    <cellStyle name="Comma 2 60" xfId="3311" xr:uid="{00000000-0005-0000-0000-0000F80C0000}"/>
    <cellStyle name="Comma 2 61" xfId="3312" xr:uid="{00000000-0005-0000-0000-0000F90C0000}"/>
    <cellStyle name="Comma 2 62" xfId="3313" xr:uid="{00000000-0005-0000-0000-0000FA0C0000}"/>
    <cellStyle name="Comma 2 63" xfId="3314" xr:uid="{00000000-0005-0000-0000-0000FB0C0000}"/>
    <cellStyle name="Comma 2 64" xfId="3315" xr:uid="{00000000-0005-0000-0000-0000FC0C0000}"/>
    <cellStyle name="Comma 2 65" xfId="3316" xr:uid="{00000000-0005-0000-0000-0000FD0C0000}"/>
    <cellStyle name="Comma 2 66" xfId="3317" xr:uid="{00000000-0005-0000-0000-0000FE0C0000}"/>
    <cellStyle name="Comma 2 67" xfId="3318" xr:uid="{00000000-0005-0000-0000-0000FF0C0000}"/>
    <cellStyle name="Comma 2 68" xfId="3319" xr:uid="{00000000-0005-0000-0000-0000000D0000}"/>
    <cellStyle name="Comma 2 69" xfId="3320" xr:uid="{00000000-0005-0000-0000-0000010D0000}"/>
    <cellStyle name="Comma 2 7" xfId="3321" xr:uid="{00000000-0005-0000-0000-0000020D0000}"/>
    <cellStyle name="Comma 2 70" xfId="3322" xr:uid="{00000000-0005-0000-0000-0000030D0000}"/>
    <cellStyle name="Comma 2 71" xfId="3323" xr:uid="{00000000-0005-0000-0000-0000040D0000}"/>
    <cellStyle name="Comma 2 72" xfId="3324" xr:uid="{00000000-0005-0000-0000-0000050D0000}"/>
    <cellStyle name="Comma 2 73" xfId="3325" xr:uid="{00000000-0005-0000-0000-0000060D0000}"/>
    <cellStyle name="Comma 2 74" xfId="3326" xr:uid="{00000000-0005-0000-0000-0000070D0000}"/>
    <cellStyle name="Comma 2 75" xfId="3327" xr:uid="{00000000-0005-0000-0000-0000080D0000}"/>
    <cellStyle name="Comma 2 76" xfId="3328" xr:uid="{00000000-0005-0000-0000-0000090D0000}"/>
    <cellStyle name="Comma 2 77" xfId="3329" xr:uid="{00000000-0005-0000-0000-00000A0D0000}"/>
    <cellStyle name="Comma 2 78" xfId="3330" xr:uid="{00000000-0005-0000-0000-00000B0D0000}"/>
    <cellStyle name="Comma 2 79" xfId="3331" xr:uid="{00000000-0005-0000-0000-00000C0D0000}"/>
    <cellStyle name="Comma 2 8" xfId="3332" xr:uid="{00000000-0005-0000-0000-00000D0D0000}"/>
    <cellStyle name="Comma 2 80" xfId="3333" xr:uid="{00000000-0005-0000-0000-00000E0D0000}"/>
    <cellStyle name="Comma 2 81" xfId="3334" xr:uid="{00000000-0005-0000-0000-00000F0D0000}"/>
    <cellStyle name="Comma 2 82" xfId="3335" xr:uid="{00000000-0005-0000-0000-0000100D0000}"/>
    <cellStyle name="Comma 2 83" xfId="3336" xr:uid="{00000000-0005-0000-0000-0000110D0000}"/>
    <cellStyle name="Comma 2 84" xfId="3337" xr:uid="{00000000-0005-0000-0000-0000120D0000}"/>
    <cellStyle name="Comma 2 85" xfId="3338" xr:uid="{00000000-0005-0000-0000-0000130D0000}"/>
    <cellStyle name="Comma 2 86" xfId="3339" xr:uid="{00000000-0005-0000-0000-0000140D0000}"/>
    <cellStyle name="Comma 2 87" xfId="3340" xr:uid="{00000000-0005-0000-0000-0000150D0000}"/>
    <cellStyle name="Comma 2 88" xfId="3341" xr:uid="{00000000-0005-0000-0000-0000160D0000}"/>
    <cellStyle name="Comma 2 89" xfId="3342" xr:uid="{00000000-0005-0000-0000-0000170D0000}"/>
    <cellStyle name="Comma 2 9" xfId="3343" xr:uid="{00000000-0005-0000-0000-0000180D0000}"/>
    <cellStyle name="Comma 2 90" xfId="3344" xr:uid="{00000000-0005-0000-0000-0000190D0000}"/>
    <cellStyle name="Comma 2 91" xfId="3345" xr:uid="{00000000-0005-0000-0000-00001A0D0000}"/>
    <cellStyle name="Comma 2 92" xfId="3346" xr:uid="{00000000-0005-0000-0000-00001B0D0000}"/>
    <cellStyle name="Comma 2 93" xfId="3347" xr:uid="{00000000-0005-0000-0000-00001C0D0000}"/>
    <cellStyle name="Comma 2 94" xfId="3348" xr:uid="{00000000-0005-0000-0000-00001D0D0000}"/>
    <cellStyle name="Comma 2 95" xfId="3349" xr:uid="{00000000-0005-0000-0000-00001E0D0000}"/>
    <cellStyle name="Comma 2 96" xfId="3350" xr:uid="{00000000-0005-0000-0000-00001F0D0000}"/>
    <cellStyle name="Comma 2 97" xfId="3351" xr:uid="{00000000-0005-0000-0000-0000200D0000}"/>
    <cellStyle name="Comma 2 98" xfId="3352" xr:uid="{00000000-0005-0000-0000-0000210D0000}"/>
    <cellStyle name="Comma 2 99" xfId="3353" xr:uid="{00000000-0005-0000-0000-0000220D0000}"/>
    <cellStyle name="Comma 2*" xfId="3354" xr:uid="{00000000-0005-0000-0000-0000230D0000}"/>
    <cellStyle name="Comma 2_2.11 Staff NG BS" xfId="3355" xr:uid="{00000000-0005-0000-0000-0000240D0000}"/>
    <cellStyle name="Comma 3" xfId="3356" xr:uid="{00000000-0005-0000-0000-0000250D0000}"/>
    <cellStyle name="Comma 3 10" xfId="3357" xr:uid="{00000000-0005-0000-0000-0000260D0000}"/>
    <cellStyle name="Comma 3 100" xfId="3358" xr:uid="{00000000-0005-0000-0000-0000270D0000}"/>
    <cellStyle name="Comma 3 101" xfId="3359" xr:uid="{00000000-0005-0000-0000-0000280D0000}"/>
    <cellStyle name="Comma 3 102" xfId="3360" xr:uid="{00000000-0005-0000-0000-0000290D0000}"/>
    <cellStyle name="Comma 3 103" xfId="3361" xr:uid="{00000000-0005-0000-0000-00002A0D0000}"/>
    <cellStyle name="Comma 3 104" xfId="3362" xr:uid="{00000000-0005-0000-0000-00002B0D0000}"/>
    <cellStyle name="Comma 3 105" xfId="3363" xr:uid="{00000000-0005-0000-0000-00002C0D0000}"/>
    <cellStyle name="Comma 3 106" xfId="3364" xr:uid="{00000000-0005-0000-0000-00002D0D0000}"/>
    <cellStyle name="Comma 3 107" xfId="3365" xr:uid="{00000000-0005-0000-0000-00002E0D0000}"/>
    <cellStyle name="Comma 3 108" xfId="3366" xr:uid="{00000000-0005-0000-0000-00002F0D0000}"/>
    <cellStyle name="Comma 3 109" xfId="3367" xr:uid="{00000000-0005-0000-0000-0000300D0000}"/>
    <cellStyle name="Comma 3 11" xfId="3368" xr:uid="{00000000-0005-0000-0000-0000310D0000}"/>
    <cellStyle name="Comma 3 110" xfId="3369" xr:uid="{00000000-0005-0000-0000-0000320D0000}"/>
    <cellStyle name="Comma 3 111" xfId="3370" xr:uid="{00000000-0005-0000-0000-0000330D0000}"/>
    <cellStyle name="Comma 3 112" xfId="3371" xr:uid="{00000000-0005-0000-0000-0000340D0000}"/>
    <cellStyle name="Comma 3 113" xfId="3372" xr:uid="{00000000-0005-0000-0000-0000350D0000}"/>
    <cellStyle name="Comma 3 114" xfId="3373" xr:uid="{00000000-0005-0000-0000-0000360D0000}"/>
    <cellStyle name="Comma 3 115" xfId="3374" xr:uid="{00000000-0005-0000-0000-0000370D0000}"/>
    <cellStyle name="Comma 3 116" xfId="3375" xr:uid="{00000000-0005-0000-0000-0000380D0000}"/>
    <cellStyle name="Comma 3 117" xfId="3376" xr:uid="{00000000-0005-0000-0000-0000390D0000}"/>
    <cellStyle name="Comma 3 118" xfId="3377" xr:uid="{00000000-0005-0000-0000-00003A0D0000}"/>
    <cellStyle name="Comma 3 119" xfId="3378" xr:uid="{00000000-0005-0000-0000-00003B0D0000}"/>
    <cellStyle name="Comma 3 12" xfId="3379" xr:uid="{00000000-0005-0000-0000-00003C0D0000}"/>
    <cellStyle name="Comma 3 120" xfId="3380" xr:uid="{00000000-0005-0000-0000-00003D0D0000}"/>
    <cellStyle name="Comma 3 121" xfId="3381" xr:uid="{00000000-0005-0000-0000-00003E0D0000}"/>
    <cellStyle name="Comma 3 122" xfId="3382" xr:uid="{00000000-0005-0000-0000-00003F0D0000}"/>
    <cellStyle name="Comma 3 123" xfId="3383" xr:uid="{00000000-0005-0000-0000-0000400D0000}"/>
    <cellStyle name="Comma 3 124" xfId="3384" xr:uid="{00000000-0005-0000-0000-0000410D0000}"/>
    <cellStyle name="Comma 3 125" xfId="3385" xr:uid="{00000000-0005-0000-0000-0000420D0000}"/>
    <cellStyle name="Comma 3 126" xfId="3386" xr:uid="{00000000-0005-0000-0000-0000430D0000}"/>
    <cellStyle name="Comma 3 13" xfId="3387" xr:uid="{00000000-0005-0000-0000-0000440D0000}"/>
    <cellStyle name="Comma 3 14" xfId="3388" xr:uid="{00000000-0005-0000-0000-0000450D0000}"/>
    <cellStyle name="Comma 3 15" xfId="3389" xr:uid="{00000000-0005-0000-0000-0000460D0000}"/>
    <cellStyle name="Comma 3 16" xfId="3390" xr:uid="{00000000-0005-0000-0000-0000470D0000}"/>
    <cellStyle name="Comma 3 17" xfId="3391" xr:uid="{00000000-0005-0000-0000-0000480D0000}"/>
    <cellStyle name="Comma 3 18" xfId="3392" xr:uid="{00000000-0005-0000-0000-0000490D0000}"/>
    <cellStyle name="Comma 3 19" xfId="3393" xr:uid="{00000000-0005-0000-0000-00004A0D0000}"/>
    <cellStyle name="Comma 3 2" xfId="3394" xr:uid="{00000000-0005-0000-0000-00004B0D0000}"/>
    <cellStyle name="Comma 3 2 2" xfId="3395" xr:uid="{00000000-0005-0000-0000-00004C0D0000}"/>
    <cellStyle name="Comma 3 2 2 10" xfId="3396" xr:uid="{00000000-0005-0000-0000-00004D0D0000}"/>
    <cellStyle name="Comma 3 2 2 11" xfId="3397" xr:uid="{00000000-0005-0000-0000-00004E0D0000}"/>
    <cellStyle name="Comma 3 2 2 12" xfId="3398" xr:uid="{00000000-0005-0000-0000-00004F0D0000}"/>
    <cellStyle name="Comma 3 2 2 13" xfId="3399" xr:uid="{00000000-0005-0000-0000-0000500D0000}"/>
    <cellStyle name="Comma 3 2 2 14" xfId="3400" xr:uid="{00000000-0005-0000-0000-0000510D0000}"/>
    <cellStyle name="Comma 3 2 2 2" xfId="3401" xr:uid="{00000000-0005-0000-0000-0000520D0000}"/>
    <cellStyle name="Comma 3 2 2 3" xfId="3402" xr:uid="{00000000-0005-0000-0000-0000530D0000}"/>
    <cellStyle name="Comma 3 2 2 4" xfId="3403" xr:uid="{00000000-0005-0000-0000-0000540D0000}"/>
    <cellStyle name="Comma 3 2 2 5" xfId="3404" xr:uid="{00000000-0005-0000-0000-0000550D0000}"/>
    <cellStyle name="Comma 3 2 2 6" xfId="3405" xr:uid="{00000000-0005-0000-0000-0000560D0000}"/>
    <cellStyle name="Comma 3 2 2 7" xfId="3406" xr:uid="{00000000-0005-0000-0000-0000570D0000}"/>
    <cellStyle name="Comma 3 2 2 8" xfId="3407" xr:uid="{00000000-0005-0000-0000-0000580D0000}"/>
    <cellStyle name="Comma 3 2 2 9" xfId="3408" xr:uid="{00000000-0005-0000-0000-0000590D0000}"/>
    <cellStyle name="Comma 3 2 3" xfId="3409" xr:uid="{00000000-0005-0000-0000-00005A0D0000}"/>
    <cellStyle name="Comma 3 2 3 2" xfId="3410" xr:uid="{00000000-0005-0000-0000-00005B0D0000}"/>
    <cellStyle name="Comma 3 2 4" xfId="3411" xr:uid="{00000000-0005-0000-0000-00005C0D0000}"/>
    <cellStyle name="Comma 3 2 5" xfId="3412" xr:uid="{00000000-0005-0000-0000-00005D0D0000}"/>
    <cellStyle name="Comma 3 2_3.1.2 DB Pension Detail" xfId="3413" xr:uid="{00000000-0005-0000-0000-00005E0D0000}"/>
    <cellStyle name="Comma 3 20" xfId="3414" xr:uid="{00000000-0005-0000-0000-00005F0D0000}"/>
    <cellStyle name="Comma 3 21" xfId="3415" xr:uid="{00000000-0005-0000-0000-0000600D0000}"/>
    <cellStyle name="Comma 3 22" xfId="3416" xr:uid="{00000000-0005-0000-0000-0000610D0000}"/>
    <cellStyle name="Comma 3 23" xfId="3417" xr:uid="{00000000-0005-0000-0000-0000620D0000}"/>
    <cellStyle name="Comma 3 24" xfId="3418" xr:uid="{00000000-0005-0000-0000-0000630D0000}"/>
    <cellStyle name="Comma 3 25" xfId="3419" xr:uid="{00000000-0005-0000-0000-0000640D0000}"/>
    <cellStyle name="Comma 3 26" xfId="3420" xr:uid="{00000000-0005-0000-0000-0000650D0000}"/>
    <cellStyle name="Comma 3 27" xfId="3421" xr:uid="{00000000-0005-0000-0000-0000660D0000}"/>
    <cellStyle name="Comma 3 28" xfId="3422" xr:uid="{00000000-0005-0000-0000-0000670D0000}"/>
    <cellStyle name="Comma 3 29" xfId="3423" xr:uid="{00000000-0005-0000-0000-0000680D0000}"/>
    <cellStyle name="Comma 3 3" xfId="3424" xr:uid="{00000000-0005-0000-0000-0000690D0000}"/>
    <cellStyle name="Comma 3 3 2" xfId="3425" xr:uid="{00000000-0005-0000-0000-00006A0D0000}"/>
    <cellStyle name="Comma 3 3 2 2" xfId="3426" xr:uid="{00000000-0005-0000-0000-00006B0D0000}"/>
    <cellStyle name="Comma 3 3 3" xfId="3427" xr:uid="{00000000-0005-0000-0000-00006C0D0000}"/>
    <cellStyle name="Comma 3 3 4" xfId="3428" xr:uid="{00000000-0005-0000-0000-00006D0D0000}"/>
    <cellStyle name="Comma 3 30" xfId="3429" xr:uid="{00000000-0005-0000-0000-00006E0D0000}"/>
    <cellStyle name="Comma 3 31" xfId="3430" xr:uid="{00000000-0005-0000-0000-00006F0D0000}"/>
    <cellStyle name="Comma 3 32" xfId="3431" xr:uid="{00000000-0005-0000-0000-0000700D0000}"/>
    <cellStyle name="Comma 3 33" xfId="3432" xr:uid="{00000000-0005-0000-0000-0000710D0000}"/>
    <cellStyle name="Comma 3 34" xfId="3433" xr:uid="{00000000-0005-0000-0000-0000720D0000}"/>
    <cellStyle name="Comma 3 35" xfId="3434" xr:uid="{00000000-0005-0000-0000-0000730D0000}"/>
    <cellStyle name="Comma 3 36" xfId="3435" xr:uid="{00000000-0005-0000-0000-0000740D0000}"/>
    <cellStyle name="Comma 3 37" xfId="3436" xr:uid="{00000000-0005-0000-0000-0000750D0000}"/>
    <cellStyle name="Comma 3 38" xfId="3437" xr:uid="{00000000-0005-0000-0000-0000760D0000}"/>
    <cellStyle name="Comma 3 39" xfId="3438" xr:uid="{00000000-0005-0000-0000-0000770D0000}"/>
    <cellStyle name="Comma 3 4" xfId="3439" xr:uid="{00000000-0005-0000-0000-0000780D0000}"/>
    <cellStyle name="Comma 3 40" xfId="3440" xr:uid="{00000000-0005-0000-0000-0000790D0000}"/>
    <cellStyle name="Comma 3 41" xfId="3441" xr:uid="{00000000-0005-0000-0000-00007A0D0000}"/>
    <cellStyle name="Comma 3 42" xfId="3442" xr:uid="{00000000-0005-0000-0000-00007B0D0000}"/>
    <cellStyle name="Comma 3 43" xfId="3443" xr:uid="{00000000-0005-0000-0000-00007C0D0000}"/>
    <cellStyle name="Comma 3 44" xfId="3444" xr:uid="{00000000-0005-0000-0000-00007D0D0000}"/>
    <cellStyle name="Comma 3 45" xfId="3445" xr:uid="{00000000-0005-0000-0000-00007E0D0000}"/>
    <cellStyle name="Comma 3 46" xfId="3446" xr:uid="{00000000-0005-0000-0000-00007F0D0000}"/>
    <cellStyle name="Comma 3 47" xfId="3447" xr:uid="{00000000-0005-0000-0000-0000800D0000}"/>
    <cellStyle name="Comma 3 48" xfId="3448" xr:uid="{00000000-0005-0000-0000-0000810D0000}"/>
    <cellStyle name="Comma 3 49" xfId="3449" xr:uid="{00000000-0005-0000-0000-0000820D0000}"/>
    <cellStyle name="Comma 3 5" xfId="3450" xr:uid="{00000000-0005-0000-0000-0000830D0000}"/>
    <cellStyle name="Comma 3 50" xfId="3451" xr:uid="{00000000-0005-0000-0000-0000840D0000}"/>
    <cellStyle name="Comma 3 51" xfId="3452" xr:uid="{00000000-0005-0000-0000-0000850D0000}"/>
    <cellStyle name="Comma 3 51 10" xfId="3453" xr:uid="{00000000-0005-0000-0000-0000860D0000}"/>
    <cellStyle name="Comma 3 51 11" xfId="3454" xr:uid="{00000000-0005-0000-0000-0000870D0000}"/>
    <cellStyle name="Comma 3 51 12" xfId="3455" xr:uid="{00000000-0005-0000-0000-0000880D0000}"/>
    <cellStyle name="Comma 3 51 13" xfId="3456" xr:uid="{00000000-0005-0000-0000-0000890D0000}"/>
    <cellStyle name="Comma 3 51 14" xfId="3457" xr:uid="{00000000-0005-0000-0000-00008A0D0000}"/>
    <cellStyle name="Comma 3 51 15" xfId="3458" xr:uid="{00000000-0005-0000-0000-00008B0D0000}"/>
    <cellStyle name="Comma 3 51 16" xfId="3459" xr:uid="{00000000-0005-0000-0000-00008C0D0000}"/>
    <cellStyle name="Comma 3 51 17" xfId="3460" xr:uid="{00000000-0005-0000-0000-00008D0D0000}"/>
    <cellStyle name="Comma 3 51 2" xfId="3461" xr:uid="{00000000-0005-0000-0000-00008E0D0000}"/>
    <cellStyle name="Comma 3 51 3" xfId="3462" xr:uid="{00000000-0005-0000-0000-00008F0D0000}"/>
    <cellStyle name="Comma 3 51 4" xfId="3463" xr:uid="{00000000-0005-0000-0000-0000900D0000}"/>
    <cellStyle name="Comma 3 51 5" xfId="3464" xr:uid="{00000000-0005-0000-0000-0000910D0000}"/>
    <cellStyle name="Comma 3 51 6" xfId="3465" xr:uid="{00000000-0005-0000-0000-0000920D0000}"/>
    <cellStyle name="Comma 3 51 7" xfId="3466" xr:uid="{00000000-0005-0000-0000-0000930D0000}"/>
    <cellStyle name="Comma 3 51 8" xfId="3467" xr:uid="{00000000-0005-0000-0000-0000940D0000}"/>
    <cellStyle name="Comma 3 51 9" xfId="3468" xr:uid="{00000000-0005-0000-0000-0000950D0000}"/>
    <cellStyle name="Comma 3 52" xfId="3469" xr:uid="{00000000-0005-0000-0000-0000960D0000}"/>
    <cellStyle name="Comma 3 52 10" xfId="3470" xr:uid="{00000000-0005-0000-0000-0000970D0000}"/>
    <cellStyle name="Comma 3 52 11" xfId="3471" xr:uid="{00000000-0005-0000-0000-0000980D0000}"/>
    <cellStyle name="Comma 3 52 12" xfId="3472" xr:uid="{00000000-0005-0000-0000-0000990D0000}"/>
    <cellStyle name="Comma 3 52 13" xfId="3473" xr:uid="{00000000-0005-0000-0000-00009A0D0000}"/>
    <cellStyle name="Comma 3 52 14" xfId="3474" xr:uid="{00000000-0005-0000-0000-00009B0D0000}"/>
    <cellStyle name="Comma 3 52 15" xfId="3475" xr:uid="{00000000-0005-0000-0000-00009C0D0000}"/>
    <cellStyle name="Comma 3 52 16" xfId="3476" xr:uid="{00000000-0005-0000-0000-00009D0D0000}"/>
    <cellStyle name="Comma 3 52 17" xfId="3477" xr:uid="{00000000-0005-0000-0000-00009E0D0000}"/>
    <cellStyle name="Comma 3 52 2" xfId="3478" xr:uid="{00000000-0005-0000-0000-00009F0D0000}"/>
    <cellStyle name="Comma 3 52 3" xfId="3479" xr:uid="{00000000-0005-0000-0000-0000A00D0000}"/>
    <cellStyle name="Comma 3 52 4" xfId="3480" xr:uid="{00000000-0005-0000-0000-0000A10D0000}"/>
    <cellStyle name="Comma 3 52 5" xfId="3481" xr:uid="{00000000-0005-0000-0000-0000A20D0000}"/>
    <cellStyle name="Comma 3 52 6" xfId="3482" xr:uid="{00000000-0005-0000-0000-0000A30D0000}"/>
    <cellStyle name="Comma 3 52 7" xfId="3483" xr:uid="{00000000-0005-0000-0000-0000A40D0000}"/>
    <cellStyle name="Comma 3 52 8" xfId="3484" xr:uid="{00000000-0005-0000-0000-0000A50D0000}"/>
    <cellStyle name="Comma 3 52 9" xfId="3485" xr:uid="{00000000-0005-0000-0000-0000A60D0000}"/>
    <cellStyle name="Comma 3 53" xfId="3486" xr:uid="{00000000-0005-0000-0000-0000A70D0000}"/>
    <cellStyle name="Comma 3 54" xfId="3487" xr:uid="{00000000-0005-0000-0000-0000A80D0000}"/>
    <cellStyle name="Comma 3 55" xfId="3488" xr:uid="{00000000-0005-0000-0000-0000A90D0000}"/>
    <cellStyle name="Comma 3 56" xfId="3489" xr:uid="{00000000-0005-0000-0000-0000AA0D0000}"/>
    <cellStyle name="Comma 3 57" xfId="3490" xr:uid="{00000000-0005-0000-0000-0000AB0D0000}"/>
    <cellStyle name="Comma 3 58" xfId="3491" xr:uid="{00000000-0005-0000-0000-0000AC0D0000}"/>
    <cellStyle name="Comma 3 59" xfId="3492" xr:uid="{00000000-0005-0000-0000-0000AD0D0000}"/>
    <cellStyle name="Comma 3 6" xfId="3493" xr:uid="{00000000-0005-0000-0000-0000AE0D0000}"/>
    <cellStyle name="Comma 3 60" xfId="3494" xr:uid="{00000000-0005-0000-0000-0000AF0D0000}"/>
    <cellStyle name="Comma 3 61" xfId="3495" xr:uid="{00000000-0005-0000-0000-0000B00D0000}"/>
    <cellStyle name="Comma 3 62" xfId="3496" xr:uid="{00000000-0005-0000-0000-0000B10D0000}"/>
    <cellStyle name="Comma 3 63" xfId="3497" xr:uid="{00000000-0005-0000-0000-0000B20D0000}"/>
    <cellStyle name="Comma 3 64" xfId="3498" xr:uid="{00000000-0005-0000-0000-0000B30D0000}"/>
    <cellStyle name="Comma 3 65" xfId="3499" xr:uid="{00000000-0005-0000-0000-0000B40D0000}"/>
    <cellStyle name="Comma 3 66" xfId="3500" xr:uid="{00000000-0005-0000-0000-0000B50D0000}"/>
    <cellStyle name="Comma 3 67" xfId="3501" xr:uid="{00000000-0005-0000-0000-0000B60D0000}"/>
    <cellStyle name="Comma 3 68" xfId="3502" xr:uid="{00000000-0005-0000-0000-0000B70D0000}"/>
    <cellStyle name="Comma 3 69" xfId="3503" xr:uid="{00000000-0005-0000-0000-0000B80D0000}"/>
    <cellStyle name="Comma 3 7" xfId="3504" xr:uid="{00000000-0005-0000-0000-0000B90D0000}"/>
    <cellStyle name="Comma 3 70" xfId="3505" xr:uid="{00000000-0005-0000-0000-0000BA0D0000}"/>
    <cellStyle name="Comma 3 71" xfId="3506" xr:uid="{00000000-0005-0000-0000-0000BB0D0000}"/>
    <cellStyle name="Comma 3 72" xfId="3507" xr:uid="{00000000-0005-0000-0000-0000BC0D0000}"/>
    <cellStyle name="Comma 3 73" xfId="3508" xr:uid="{00000000-0005-0000-0000-0000BD0D0000}"/>
    <cellStyle name="Comma 3 74" xfId="3509" xr:uid="{00000000-0005-0000-0000-0000BE0D0000}"/>
    <cellStyle name="Comma 3 75" xfId="3510" xr:uid="{00000000-0005-0000-0000-0000BF0D0000}"/>
    <cellStyle name="Comma 3 76" xfId="3511" xr:uid="{00000000-0005-0000-0000-0000C00D0000}"/>
    <cellStyle name="Comma 3 77" xfId="3512" xr:uid="{00000000-0005-0000-0000-0000C10D0000}"/>
    <cellStyle name="Comma 3 78" xfId="3513" xr:uid="{00000000-0005-0000-0000-0000C20D0000}"/>
    <cellStyle name="Comma 3 79" xfId="3514" xr:uid="{00000000-0005-0000-0000-0000C30D0000}"/>
    <cellStyle name="Comma 3 8" xfId="3515" xr:uid="{00000000-0005-0000-0000-0000C40D0000}"/>
    <cellStyle name="Comma 3 80" xfId="3516" xr:uid="{00000000-0005-0000-0000-0000C50D0000}"/>
    <cellStyle name="Comma 3 81" xfId="3517" xr:uid="{00000000-0005-0000-0000-0000C60D0000}"/>
    <cellStyle name="Comma 3 82" xfId="3518" xr:uid="{00000000-0005-0000-0000-0000C70D0000}"/>
    <cellStyle name="Comma 3 83" xfId="3519" xr:uid="{00000000-0005-0000-0000-0000C80D0000}"/>
    <cellStyle name="Comma 3 84" xfId="3520" xr:uid="{00000000-0005-0000-0000-0000C90D0000}"/>
    <cellStyle name="Comma 3 85" xfId="3521" xr:uid="{00000000-0005-0000-0000-0000CA0D0000}"/>
    <cellStyle name="Comma 3 86" xfId="3522" xr:uid="{00000000-0005-0000-0000-0000CB0D0000}"/>
    <cellStyle name="Comma 3 87" xfId="3523" xr:uid="{00000000-0005-0000-0000-0000CC0D0000}"/>
    <cellStyle name="Comma 3 88" xfId="3524" xr:uid="{00000000-0005-0000-0000-0000CD0D0000}"/>
    <cellStyle name="Comma 3 89" xfId="3525" xr:uid="{00000000-0005-0000-0000-0000CE0D0000}"/>
    <cellStyle name="Comma 3 9" xfId="3526" xr:uid="{00000000-0005-0000-0000-0000CF0D0000}"/>
    <cellStyle name="Comma 3 90" xfId="3527" xr:uid="{00000000-0005-0000-0000-0000D00D0000}"/>
    <cellStyle name="Comma 3 91" xfId="3528" xr:uid="{00000000-0005-0000-0000-0000D10D0000}"/>
    <cellStyle name="Comma 3 92" xfId="3529" xr:uid="{00000000-0005-0000-0000-0000D20D0000}"/>
    <cellStyle name="Comma 3 93" xfId="3530" xr:uid="{00000000-0005-0000-0000-0000D30D0000}"/>
    <cellStyle name="Comma 3 94" xfId="3531" xr:uid="{00000000-0005-0000-0000-0000D40D0000}"/>
    <cellStyle name="Comma 3 95" xfId="3532" xr:uid="{00000000-0005-0000-0000-0000D50D0000}"/>
    <cellStyle name="Comma 3 96" xfId="3533" xr:uid="{00000000-0005-0000-0000-0000D60D0000}"/>
    <cellStyle name="Comma 3 97" xfId="3534" xr:uid="{00000000-0005-0000-0000-0000D70D0000}"/>
    <cellStyle name="Comma 3 98" xfId="3535" xr:uid="{00000000-0005-0000-0000-0000D80D0000}"/>
    <cellStyle name="Comma 3 99" xfId="3536" xr:uid="{00000000-0005-0000-0000-0000D90D0000}"/>
    <cellStyle name="Comma 3*" xfId="3537" xr:uid="{00000000-0005-0000-0000-0000DA0D0000}"/>
    <cellStyle name="Comma 3_3.1.2 DB Pension Detail" xfId="3538" xr:uid="{00000000-0005-0000-0000-0000DB0D0000}"/>
    <cellStyle name="Comma 4" xfId="3539" xr:uid="{00000000-0005-0000-0000-0000DC0D0000}"/>
    <cellStyle name="Comma 4 10" xfId="3540" xr:uid="{00000000-0005-0000-0000-0000DD0D0000}"/>
    <cellStyle name="Comma 4 11" xfId="3541" xr:uid="{00000000-0005-0000-0000-0000DE0D0000}"/>
    <cellStyle name="Comma 4 12" xfId="3542" xr:uid="{00000000-0005-0000-0000-0000DF0D0000}"/>
    <cellStyle name="Comma 4 13" xfId="3543" xr:uid="{00000000-0005-0000-0000-0000E00D0000}"/>
    <cellStyle name="Comma 4 13 10" xfId="3544" xr:uid="{00000000-0005-0000-0000-0000E10D0000}"/>
    <cellStyle name="Comma 4 13 11" xfId="3545" xr:uid="{00000000-0005-0000-0000-0000E20D0000}"/>
    <cellStyle name="Comma 4 13 2" xfId="3546" xr:uid="{00000000-0005-0000-0000-0000E30D0000}"/>
    <cellStyle name="Comma 4 13 2 2" xfId="3547" xr:uid="{00000000-0005-0000-0000-0000E40D0000}"/>
    <cellStyle name="Comma 4 13 2 2 2" xfId="3548" xr:uid="{00000000-0005-0000-0000-0000E50D0000}"/>
    <cellStyle name="Comma 4 13 2 3" xfId="3549" xr:uid="{00000000-0005-0000-0000-0000E60D0000}"/>
    <cellStyle name="Comma 4 13 3" xfId="3550" xr:uid="{00000000-0005-0000-0000-0000E70D0000}"/>
    <cellStyle name="Comma 4 13 4" xfId="3551" xr:uid="{00000000-0005-0000-0000-0000E80D0000}"/>
    <cellStyle name="Comma 4 13 5" xfId="3552" xr:uid="{00000000-0005-0000-0000-0000E90D0000}"/>
    <cellStyle name="Comma 4 13 6" xfId="3553" xr:uid="{00000000-0005-0000-0000-0000EA0D0000}"/>
    <cellStyle name="Comma 4 13 7" xfId="3554" xr:uid="{00000000-0005-0000-0000-0000EB0D0000}"/>
    <cellStyle name="Comma 4 13 8" xfId="3555" xr:uid="{00000000-0005-0000-0000-0000EC0D0000}"/>
    <cellStyle name="Comma 4 13 9" xfId="3556" xr:uid="{00000000-0005-0000-0000-0000ED0D0000}"/>
    <cellStyle name="Comma 4 14" xfId="3557" xr:uid="{00000000-0005-0000-0000-0000EE0D0000}"/>
    <cellStyle name="Comma 4 15" xfId="3558" xr:uid="{00000000-0005-0000-0000-0000EF0D0000}"/>
    <cellStyle name="Comma 4 16" xfId="3559" xr:uid="{00000000-0005-0000-0000-0000F00D0000}"/>
    <cellStyle name="Comma 4 17" xfId="3560" xr:uid="{00000000-0005-0000-0000-0000F10D0000}"/>
    <cellStyle name="Comma 4 18" xfId="3561" xr:uid="{00000000-0005-0000-0000-0000F20D0000}"/>
    <cellStyle name="Comma 4 19" xfId="3562" xr:uid="{00000000-0005-0000-0000-0000F30D0000}"/>
    <cellStyle name="Comma 4 2" xfId="3563" xr:uid="{00000000-0005-0000-0000-0000F40D0000}"/>
    <cellStyle name="Comma 4 2 10" xfId="3564" xr:uid="{00000000-0005-0000-0000-0000F50D0000}"/>
    <cellStyle name="Comma 4 2 100" xfId="3565" xr:uid="{00000000-0005-0000-0000-0000F60D0000}"/>
    <cellStyle name="Comma 4 2 101" xfId="3566" xr:uid="{00000000-0005-0000-0000-0000F70D0000}"/>
    <cellStyle name="Comma 4 2 102" xfId="3567" xr:uid="{00000000-0005-0000-0000-0000F80D0000}"/>
    <cellStyle name="Comma 4 2 103" xfId="3568" xr:uid="{00000000-0005-0000-0000-0000F90D0000}"/>
    <cellStyle name="Comma 4 2 104" xfId="3569" xr:uid="{00000000-0005-0000-0000-0000FA0D0000}"/>
    <cellStyle name="Comma 4 2 105" xfId="3570" xr:uid="{00000000-0005-0000-0000-0000FB0D0000}"/>
    <cellStyle name="Comma 4 2 106" xfId="3571" xr:uid="{00000000-0005-0000-0000-0000FC0D0000}"/>
    <cellStyle name="Comma 4 2 107" xfId="3572" xr:uid="{00000000-0005-0000-0000-0000FD0D0000}"/>
    <cellStyle name="Comma 4 2 108" xfId="3573" xr:uid="{00000000-0005-0000-0000-0000FE0D0000}"/>
    <cellStyle name="Comma 4 2 109" xfId="3574" xr:uid="{00000000-0005-0000-0000-0000FF0D0000}"/>
    <cellStyle name="Comma 4 2 11" xfId="3575" xr:uid="{00000000-0005-0000-0000-0000000E0000}"/>
    <cellStyle name="Comma 4 2 12" xfId="3576" xr:uid="{00000000-0005-0000-0000-0000010E0000}"/>
    <cellStyle name="Comma 4 2 13" xfId="3577" xr:uid="{00000000-0005-0000-0000-0000020E0000}"/>
    <cellStyle name="Comma 4 2 14" xfId="3578" xr:uid="{00000000-0005-0000-0000-0000030E0000}"/>
    <cellStyle name="Comma 4 2 15" xfId="3579" xr:uid="{00000000-0005-0000-0000-0000040E0000}"/>
    <cellStyle name="Comma 4 2 16" xfId="3580" xr:uid="{00000000-0005-0000-0000-0000050E0000}"/>
    <cellStyle name="Comma 4 2 17" xfId="3581" xr:uid="{00000000-0005-0000-0000-0000060E0000}"/>
    <cellStyle name="Comma 4 2 18" xfId="3582" xr:uid="{00000000-0005-0000-0000-0000070E0000}"/>
    <cellStyle name="Comma 4 2 19" xfId="3583" xr:uid="{00000000-0005-0000-0000-0000080E0000}"/>
    <cellStyle name="Comma 4 2 2" xfId="3584" xr:uid="{00000000-0005-0000-0000-0000090E0000}"/>
    <cellStyle name="Comma 4 2 2 10" xfId="3585" xr:uid="{00000000-0005-0000-0000-00000A0E0000}"/>
    <cellStyle name="Comma 4 2 2 11" xfId="3586" xr:uid="{00000000-0005-0000-0000-00000B0E0000}"/>
    <cellStyle name="Comma 4 2 2 12" xfId="3587" xr:uid="{00000000-0005-0000-0000-00000C0E0000}"/>
    <cellStyle name="Comma 4 2 2 13" xfId="3588" xr:uid="{00000000-0005-0000-0000-00000D0E0000}"/>
    <cellStyle name="Comma 4 2 2 2" xfId="3589" xr:uid="{00000000-0005-0000-0000-00000E0E0000}"/>
    <cellStyle name="Comma 4 2 2 2 2" xfId="3590" xr:uid="{00000000-0005-0000-0000-00000F0E0000}"/>
    <cellStyle name="Comma 4 2 2 2 2 2" xfId="3591" xr:uid="{00000000-0005-0000-0000-0000100E0000}"/>
    <cellStyle name="Comma 4 2 2 2 2 3" xfId="3592" xr:uid="{00000000-0005-0000-0000-0000110E0000}"/>
    <cellStyle name="Comma 4 2 2 2 3" xfId="3593" xr:uid="{00000000-0005-0000-0000-0000120E0000}"/>
    <cellStyle name="Comma 4 2 2 2 4" xfId="3594" xr:uid="{00000000-0005-0000-0000-0000130E0000}"/>
    <cellStyle name="Comma 4 2 2 3" xfId="3595" xr:uid="{00000000-0005-0000-0000-0000140E0000}"/>
    <cellStyle name="Comma 4 2 2 4" xfId="3596" xr:uid="{00000000-0005-0000-0000-0000150E0000}"/>
    <cellStyle name="Comma 4 2 2 4 2" xfId="3597" xr:uid="{00000000-0005-0000-0000-0000160E0000}"/>
    <cellStyle name="Comma 4 2 2 4 3" xfId="3598" xr:uid="{00000000-0005-0000-0000-0000170E0000}"/>
    <cellStyle name="Comma 4 2 2 5" xfId="3599" xr:uid="{00000000-0005-0000-0000-0000180E0000}"/>
    <cellStyle name="Comma 4 2 2 6" xfId="3600" xr:uid="{00000000-0005-0000-0000-0000190E0000}"/>
    <cellStyle name="Comma 4 2 2 7" xfId="3601" xr:uid="{00000000-0005-0000-0000-00001A0E0000}"/>
    <cellStyle name="Comma 4 2 2 7 2" xfId="3602" xr:uid="{00000000-0005-0000-0000-00001B0E0000}"/>
    <cellStyle name="Comma 4 2 2 8" xfId="3603" xr:uid="{00000000-0005-0000-0000-00001C0E0000}"/>
    <cellStyle name="Comma 4 2 2 9" xfId="3604" xr:uid="{00000000-0005-0000-0000-00001D0E0000}"/>
    <cellStyle name="Comma 4 2 20" xfId="3605" xr:uid="{00000000-0005-0000-0000-00001E0E0000}"/>
    <cellStyle name="Comma 4 2 21" xfId="3606" xr:uid="{00000000-0005-0000-0000-00001F0E0000}"/>
    <cellStyle name="Comma 4 2 22" xfId="3607" xr:uid="{00000000-0005-0000-0000-0000200E0000}"/>
    <cellStyle name="Comma 4 2 23" xfId="3608" xr:uid="{00000000-0005-0000-0000-0000210E0000}"/>
    <cellStyle name="Comma 4 2 23 10" xfId="3609" xr:uid="{00000000-0005-0000-0000-0000220E0000}"/>
    <cellStyle name="Comma 4 2 23 11" xfId="3610" xr:uid="{00000000-0005-0000-0000-0000230E0000}"/>
    <cellStyle name="Comma 4 2 23 12" xfId="3611" xr:uid="{00000000-0005-0000-0000-0000240E0000}"/>
    <cellStyle name="Comma 4 2 23 13" xfId="3612" xr:uid="{00000000-0005-0000-0000-0000250E0000}"/>
    <cellStyle name="Comma 4 2 23 14" xfId="3613" xr:uid="{00000000-0005-0000-0000-0000260E0000}"/>
    <cellStyle name="Comma 4 2 23 15" xfId="3614" xr:uid="{00000000-0005-0000-0000-0000270E0000}"/>
    <cellStyle name="Comma 4 2 23 16" xfId="3615" xr:uid="{00000000-0005-0000-0000-0000280E0000}"/>
    <cellStyle name="Comma 4 2 23 17" xfId="3616" xr:uid="{00000000-0005-0000-0000-0000290E0000}"/>
    <cellStyle name="Comma 4 2 23 2" xfId="3617" xr:uid="{00000000-0005-0000-0000-00002A0E0000}"/>
    <cellStyle name="Comma 4 2 23 3" xfId="3618" xr:uid="{00000000-0005-0000-0000-00002B0E0000}"/>
    <cellStyle name="Comma 4 2 23 4" xfId="3619" xr:uid="{00000000-0005-0000-0000-00002C0E0000}"/>
    <cellStyle name="Comma 4 2 23 5" xfId="3620" xr:uid="{00000000-0005-0000-0000-00002D0E0000}"/>
    <cellStyle name="Comma 4 2 23 6" xfId="3621" xr:uid="{00000000-0005-0000-0000-00002E0E0000}"/>
    <cellStyle name="Comma 4 2 23 7" xfId="3622" xr:uid="{00000000-0005-0000-0000-00002F0E0000}"/>
    <cellStyle name="Comma 4 2 23 8" xfId="3623" xr:uid="{00000000-0005-0000-0000-0000300E0000}"/>
    <cellStyle name="Comma 4 2 23 9" xfId="3624" xr:uid="{00000000-0005-0000-0000-0000310E0000}"/>
    <cellStyle name="Comma 4 2 24" xfId="3625" xr:uid="{00000000-0005-0000-0000-0000320E0000}"/>
    <cellStyle name="Comma 4 2 25" xfId="3626" xr:uid="{00000000-0005-0000-0000-0000330E0000}"/>
    <cellStyle name="Comma 4 2 26" xfId="3627" xr:uid="{00000000-0005-0000-0000-0000340E0000}"/>
    <cellStyle name="Comma 4 2 27" xfId="3628" xr:uid="{00000000-0005-0000-0000-0000350E0000}"/>
    <cellStyle name="Comma 4 2 28" xfId="3629" xr:uid="{00000000-0005-0000-0000-0000360E0000}"/>
    <cellStyle name="Comma 4 2 29" xfId="3630" xr:uid="{00000000-0005-0000-0000-0000370E0000}"/>
    <cellStyle name="Comma 4 2 3" xfId="3631" xr:uid="{00000000-0005-0000-0000-0000380E0000}"/>
    <cellStyle name="Comma 4 2 3 2" xfId="3632" xr:uid="{00000000-0005-0000-0000-0000390E0000}"/>
    <cellStyle name="Comma 4 2 3 2 2" xfId="3633" xr:uid="{00000000-0005-0000-0000-00003A0E0000}"/>
    <cellStyle name="Comma 4 2 3 2 3" xfId="3634" xr:uid="{00000000-0005-0000-0000-00003B0E0000}"/>
    <cellStyle name="Comma 4 2 3 3" xfId="3635" xr:uid="{00000000-0005-0000-0000-00003C0E0000}"/>
    <cellStyle name="Comma 4 2 3 4" xfId="3636" xr:uid="{00000000-0005-0000-0000-00003D0E0000}"/>
    <cellStyle name="Comma 4 2 30" xfId="3637" xr:uid="{00000000-0005-0000-0000-00003E0E0000}"/>
    <cellStyle name="Comma 4 2 31" xfId="3638" xr:uid="{00000000-0005-0000-0000-00003F0E0000}"/>
    <cellStyle name="Comma 4 2 32" xfId="3639" xr:uid="{00000000-0005-0000-0000-0000400E0000}"/>
    <cellStyle name="Comma 4 2 33" xfId="3640" xr:uid="{00000000-0005-0000-0000-0000410E0000}"/>
    <cellStyle name="Comma 4 2 34" xfId="3641" xr:uid="{00000000-0005-0000-0000-0000420E0000}"/>
    <cellStyle name="Comma 4 2 35" xfId="3642" xr:uid="{00000000-0005-0000-0000-0000430E0000}"/>
    <cellStyle name="Comma 4 2 36" xfId="3643" xr:uid="{00000000-0005-0000-0000-0000440E0000}"/>
    <cellStyle name="Comma 4 2 37" xfId="3644" xr:uid="{00000000-0005-0000-0000-0000450E0000}"/>
    <cellStyle name="Comma 4 2 38" xfId="3645" xr:uid="{00000000-0005-0000-0000-0000460E0000}"/>
    <cellStyle name="Comma 4 2 39" xfId="3646" xr:uid="{00000000-0005-0000-0000-0000470E0000}"/>
    <cellStyle name="Comma 4 2 4" xfId="3647" xr:uid="{00000000-0005-0000-0000-0000480E0000}"/>
    <cellStyle name="Comma 4 2 4 2" xfId="3648" xr:uid="{00000000-0005-0000-0000-0000490E0000}"/>
    <cellStyle name="Comma 4 2 4 3" xfId="3649" xr:uid="{00000000-0005-0000-0000-00004A0E0000}"/>
    <cellStyle name="Comma 4 2 40" xfId="3650" xr:uid="{00000000-0005-0000-0000-00004B0E0000}"/>
    <cellStyle name="Comma 4 2 41" xfId="3651" xr:uid="{00000000-0005-0000-0000-00004C0E0000}"/>
    <cellStyle name="Comma 4 2 42" xfId="3652" xr:uid="{00000000-0005-0000-0000-00004D0E0000}"/>
    <cellStyle name="Comma 4 2 43" xfId="3653" xr:uid="{00000000-0005-0000-0000-00004E0E0000}"/>
    <cellStyle name="Comma 4 2 44" xfId="3654" xr:uid="{00000000-0005-0000-0000-00004F0E0000}"/>
    <cellStyle name="Comma 4 2 45" xfId="3655" xr:uid="{00000000-0005-0000-0000-0000500E0000}"/>
    <cellStyle name="Comma 4 2 46" xfId="3656" xr:uid="{00000000-0005-0000-0000-0000510E0000}"/>
    <cellStyle name="Comma 4 2 47" xfId="3657" xr:uid="{00000000-0005-0000-0000-0000520E0000}"/>
    <cellStyle name="Comma 4 2 48" xfId="3658" xr:uid="{00000000-0005-0000-0000-0000530E0000}"/>
    <cellStyle name="Comma 4 2 49" xfId="3659" xr:uid="{00000000-0005-0000-0000-0000540E0000}"/>
    <cellStyle name="Comma 4 2 5" xfId="3660" xr:uid="{00000000-0005-0000-0000-0000550E0000}"/>
    <cellStyle name="Comma 4 2 5 2" xfId="3661" xr:uid="{00000000-0005-0000-0000-0000560E0000}"/>
    <cellStyle name="Comma 4 2 5 3" xfId="3662" xr:uid="{00000000-0005-0000-0000-0000570E0000}"/>
    <cellStyle name="Comma 4 2 50" xfId="3663" xr:uid="{00000000-0005-0000-0000-0000580E0000}"/>
    <cellStyle name="Comma 4 2 51" xfId="3664" xr:uid="{00000000-0005-0000-0000-0000590E0000}"/>
    <cellStyle name="Comma 4 2 52" xfId="3665" xr:uid="{00000000-0005-0000-0000-00005A0E0000}"/>
    <cellStyle name="Comma 4 2 53" xfId="3666" xr:uid="{00000000-0005-0000-0000-00005B0E0000}"/>
    <cellStyle name="Comma 4 2 54" xfId="3667" xr:uid="{00000000-0005-0000-0000-00005C0E0000}"/>
    <cellStyle name="Comma 4 2 55" xfId="3668" xr:uid="{00000000-0005-0000-0000-00005D0E0000}"/>
    <cellStyle name="Comma 4 2 56" xfId="3669" xr:uid="{00000000-0005-0000-0000-00005E0E0000}"/>
    <cellStyle name="Comma 4 2 57" xfId="3670" xr:uid="{00000000-0005-0000-0000-00005F0E0000}"/>
    <cellStyle name="Comma 4 2 58" xfId="3671" xr:uid="{00000000-0005-0000-0000-0000600E0000}"/>
    <cellStyle name="Comma 4 2 59" xfId="3672" xr:uid="{00000000-0005-0000-0000-0000610E0000}"/>
    <cellStyle name="Comma 4 2 6" xfId="3673" xr:uid="{00000000-0005-0000-0000-0000620E0000}"/>
    <cellStyle name="Comma 4 2 60" xfId="3674" xr:uid="{00000000-0005-0000-0000-0000630E0000}"/>
    <cellStyle name="Comma 4 2 61" xfId="3675" xr:uid="{00000000-0005-0000-0000-0000640E0000}"/>
    <cellStyle name="Comma 4 2 62" xfId="3676" xr:uid="{00000000-0005-0000-0000-0000650E0000}"/>
    <cellStyle name="Comma 4 2 63" xfId="3677" xr:uid="{00000000-0005-0000-0000-0000660E0000}"/>
    <cellStyle name="Comma 4 2 64" xfId="3678" xr:uid="{00000000-0005-0000-0000-0000670E0000}"/>
    <cellStyle name="Comma 4 2 65" xfId="3679" xr:uid="{00000000-0005-0000-0000-0000680E0000}"/>
    <cellStyle name="Comma 4 2 66" xfId="3680" xr:uid="{00000000-0005-0000-0000-0000690E0000}"/>
    <cellStyle name="Comma 4 2 67" xfId="3681" xr:uid="{00000000-0005-0000-0000-00006A0E0000}"/>
    <cellStyle name="Comma 4 2 68" xfId="3682" xr:uid="{00000000-0005-0000-0000-00006B0E0000}"/>
    <cellStyle name="Comma 4 2 69" xfId="3683" xr:uid="{00000000-0005-0000-0000-00006C0E0000}"/>
    <cellStyle name="Comma 4 2 7" xfId="3684" xr:uid="{00000000-0005-0000-0000-00006D0E0000}"/>
    <cellStyle name="Comma 4 2 70" xfId="3685" xr:uid="{00000000-0005-0000-0000-00006E0E0000}"/>
    <cellStyle name="Comma 4 2 71" xfId="3686" xr:uid="{00000000-0005-0000-0000-00006F0E0000}"/>
    <cellStyle name="Comma 4 2 72" xfId="3687" xr:uid="{00000000-0005-0000-0000-0000700E0000}"/>
    <cellStyle name="Comma 4 2 73" xfId="3688" xr:uid="{00000000-0005-0000-0000-0000710E0000}"/>
    <cellStyle name="Comma 4 2 74" xfId="3689" xr:uid="{00000000-0005-0000-0000-0000720E0000}"/>
    <cellStyle name="Comma 4 2 75" xfId="3690" xr:uid="{00000000-0005-0000-0000-0000730E0000}"/>
    <cellStyle name="Comma 4 2 76" xfId="3691" xr:uid="{00000000-0005-0000-0000-0000740E0000}"/>
    <cellStyle name="Comma 4 2 77" xfId="3692" xr:uid="{00000000-0005-0000-0000-0000750E0000}"/>
    <cellStyle name="Comma 4 2 78" xfId="3693" xr:uid="{00000000-0005-0000-0000-0000760E0000}"/>
    <cellStyle name="Comma 4 2 79" xfId="3694" xr:uid="{00000000-0005-0000-0000-0000770E0000}"/>
    <cellStyle name="Comma 4 2 8" xfId="3695" xr:uid="{00000000-0005-0000-0000-0000780E0000}"/>
    <cellStyle name="Comma 4 2 80" xfId="3696" xr:uid="{00000000-0005-0000-0000-0000790E0000}"/>
    <cellStyle name="Comma 4 2 81" xfId="3697" xr:uid="{00000000-0005-0000-0000-00007A0E0000}"/>
    <cellStyle name="Comma 4 2 82" xfId="3698" xr:uid="{00000000-0005-0000-0000-00007B0E0000}"/>
    <cellStyle name="Comma 4 2 83" xfId="3699" xr:uid="{00000000-0005-0000-0000-00007C0E0000}"/>
    <cellStyle name="Comma 4 2 84" xfId="3700" xr:uid="{00000000-0005-0000-0000-00007D0E0000}"/>
    <cellStyle name="Comma 4 2 85" xfId="3701" xr:uid="{00000000-0005-0000-0000-00007E0E0000}"/>
    <cellStyle name="Comma 4 2 86" xfId="3702" xr:uid="{00000000-0005-0000-0000-00007F0E0000}"/>
    <cellStyle name="Comma 4 2 87" xfId="3703" xr:uid="{00000000-0005-0000-0000-0000800E0000}"/>
    <cellStyle name="Comma 4 2 88" xfId="3704" xr:uid="{00000000-0005-0000-0000-0000810E0000}"/>
    <cellStyle name="Comma 4 2 89" xfId="3705" xr:uid="{00000000-0005-0000-0000-0000820E0000}"/>
    <cellStyle name="Comma 4 2 9" xfId="3706" xr:uid="{00000000-0005-0000-0000-0000830E0000}"/>
    <cellStyle name="Comma 4 2 90" xfId="3707" xr:uid="{00000000-0005-0000-0000-0000840E0000}"/>
    <cellStyle name="Comma 4 2 91" xfId="3708" xr:uid="{00000000-0005-0000-0000-0000850E0000}"/>
    <cellStyle name="Comma 4 2 92" xfId="3709" xr:uid="{00000000-0005-0000-0000-0000860E0000}"/>
    <cellStyle name="Comma 4 2 93" xfId="3710" xr:uid="{00000000-0005-0000-0000-0000870E0000}"/>
    <cellStyle name="Comma 4 2 94" xfId="3711" xr:uid="{00000000-0005-0000-0000-0000880E0000}"/>
    <cellStyle name="Comma 4 2 95" xfId="3712" xr:uid="{00000000-0005-0000-0000-0000890E0000}"/>
    <cellStyle name="Comma 4 2 96" xfId="3713" xr:uid="{00000000-0005-0000-0000-00008A0E0000}"/>
    <cellStyle name="Comma 4 2 97" xfId="3714" xr:uid="{00000000-0005-0000-0000-00008B0E0000}"/>
    <cellStyle name="Comma 4 2 98" xfId="3715" xr:uid="{00000000-0005-0000-0000-00008C0E0000}"/>
    <cellStyle name="Comma 4 2 99" xfId="3716" xr:uid="{00000000-0005-0000-0000-00008D0E0000}"/>
    <cellStyle name="Comma 4 20" xfId="3717" xr:uid="{00000000-0005-0000-0000-00008E0E0000}"/>
    <cellStyle name="Comma 4 21" xfId="3718" xr:uid="{00000000-0005-0000-0000-00008F0E0000}"/>
    <cellStyle name="Comma 4 22" xfId="3719" xr:uid="{00000000-0005-0000-0000-0000900E0000}"/>
    <cellStyle name="Comma 4 23" xfId="3720" xr:uid="{00000000-0005-0000-0000-0000910E0000}"/>
    <cellStyle name="Comma 4 24" xfId="3721" xr:uid="{00000000-0005-0000-0000-0000920E0000}"/>
    <cellStyle name="Comma 4 24 2" xfId="3722" xr:uid="{00000000-0005-0000-0000-0000930E0000}"/>
    <cellStyle name="Comma 4 24 3" xfId="3723" xr:uid="{00000000-0005-0000-0000-0000940E0000}"/>
    <cellStyle name="Comma 4 24 4" xfId="3724" xr:uid="{00000000-0005-0000-0000-0000950E0000}"/>
    <cellStyle name="Comma 4 24 5" xfId="3725" xr:uid="{00000000-0005-0000-0000-0000960E0000}"/>
    <cellStyle name="Comma 4 24 6" xfId="3726" xr:uid="{00000000-0005-0000-0000-0000970E0000}"/>
    <cellStyle name="Comma 4 25" xfId="3727" xr:uid="{00000000-0005-0000-0000-0000980E0000}"/>
    <cellStyle name="Comma 4 25 2" xfId="3728" xr:uid="{00000000-0005-0000-0000-0000990E0000}"/>
    <cellStyle name="Comma 4 25 3" xfId="3729" xr:uid="{00000000-0005-0000-0000-00009A0E0000}"/>
    <cellStyle name="Comma 4 25 4" xfId="3730" xr:uid="{00000000-0005-0000-0000-00009B0E0000}"/>
    <cellStyle name="Comma 4 25 5" xfId="3731" xr:uid="{00000000-0005-0000-0000-00009C0E0000}"/>
    <cellStyle name="Comma 4 25 6" xfId="3732" xr:uid="{00000000-0005-0000-0000-00009D0E0000}"/>
    <cellStyle name="Comma 4 26" xfId="3733" xr:uid="{00000000-0005-0000-0000-00009E0E0000}"/>
    <cellStyle name="Comma 4 27" xfId="3734" xr:uid="{00000000-0005-0000-0000-00009F0E0000}"/>
    <cellStyle name="Comma 4 28" xfId="3735" xr:uid="{00000000-0005-0000-0000-0000A00E0000}"/>
    <cellStyle name="Comma 4 29" xfId="3736" xr:uid="{00000000-0005-0000-0000-0000A10E0000}"/>
    <cellStyle name="Comma 4 3" xfId="3737" xr:uid="{00000000-0005-0000-0000-0000A20E0000}"/>
    <cellStyle name="Comma 4 3 10" xfId="3738" xr:uid="{00000000-0005-0000-0000-0000A30E0000}"/>
    <cellStyle name="Comma 4 3 11" xfId="3739" xr:uid="{00000000-0005-0000-0000-0000A40E0000}"/>
    <cellStyle name="Comma 4 3 12" xfId="3740" xr:uid="{00000000-0005-0000-0000-0000A50E0000}"/>
    <cellStyle name="Comma 4 3 13" xfId="3741" xr:uid="{00000000-0005-0000-0000-0000A60E0000}"/>
    <cellStyle name="Comma 4 3 14" xfId="3742" xr:uid="{00000000-0005-0000-0000-0000A70E0000}"/>
    <cellStyle name="Comma 4 3 15" xfId="3743" xr:uid="{00000000-0005-0000-0000-0000A80E0000}"/>
    <cellStyle name="Comma 4 3 16" xfId="3744" xr:uid="{00000000-0005-0000-0000-0000A90E0000}"/>
    <cellStyle name="Comma 4 3 17" xfId="3745" xr:uid="{00000000-0005-0000-0000-0000AA0E0000}"/>
    <cellStyle name="Comma 4 3 2" xfId="3746" xr:uid="{00000000-0005-0000-0000-0000AB0E0000}"/>
    <cellStyle name="Comma 4 3 2 2" xfId="3747" xr:uid="{00000000-0005-0000-0000-0000AC0E0000}"/>
    <cellStyle name="Comma 4 3 2 2 2" xfId="3748" xr:uid="{00000000-0005-0000-0000-0000AD0E0000}"/>
    <cellStyle name="Comma 4 3 2 2 3" xfId="3749" xr:uid="{00000000-0005-0000-0000-0000AE0E0000}"/>
    <cellStyle name="Comma 4 3 2 3" xfId="3750" xr:uid="{00000000-0005-0000-0000-0000AF0E0000}"/>
    <cellStyle name="Comma 4 3 2 4" xfId="3751" xr:uid="{00000000-0005-0000-0000-0000B00E0000}"/>
    <cellStyle name="Comma 4 3 3" xfId="3752" xr:uid="{00000000-0005-0000-0000-0000B10E0000}"/>
    <cellStyle name="Comma 4 3 4" xfId="3753" xr:uid="{00000000-0005-0000-0000-0000B20E0000}"/>
    <cellStyle name="Comma 4 3 4 2" xfId="3754" xr:uid="{00000000-0005-0000-0000-0000B30E0000}"/>
    <cellStyle name="Comma 4 3 4 3" xfId="3755" xr:uid="{00000000-0005-0000-0000-0000B40E0000}"/>
    <cellStyle name="Comma 4 3 5" xfId="3756" xr:uid="{00000000-0005-0000-0000-0000B50E0000}"/>
    <cellStyle name="Comma 4 3 6" xfId="3757" xr:uid="{00000000-0005-0000-0000-0000B60E0000}"/>
    <cellStyle name="Comma 4 3 7" xfId="3758" xr:uid="{00000000-0005-0000-0000-0000B70E0000}"/>
    <cellStyle name="Comma 4 3 8" xfId="3759" xr:uid="{00000000-0005-0000-0000-0000B80E0000}"/>
    <cellStyle name="Comma 4 3 9" xfId="3760" xr:uid="{00000000-0005-0000-0000-0000B90E0000}"/>
    <cellStyle name="Comma 4 30" xfId="3761" xr:uid="{00000000-0005-0000-0000-0000BA0E0000}"/>
    <cellStyle name="Comma 4 31" xfId="3762" xr:uid="{00000000-0005-0000-0000-0000BB0E0000}"/>
    <cellStyle name="Comma 4 32" xfId="3763" xr:uid="{00000000-0005-0000-0000-0000BC0E0000}"/>
    <cellStyle name="Comma 4 33" xfId="3764" xr:uid="{00000000-0005-0000-0000-0000BD0E0000}"/>
    <cellStyle name="Comma 4 34" xfId="3765" xr:uid="{00000000-0005-0000-0000-0000BE0E0000}"/>
    <cellStyle name="Comma 4 35" xfId="3766" xr:uid="{00000000-0005-0000-0000-0000BF0E0000}"/>
    <cellStyle name="Comma 4 36" xfId="3767" xr:uid="{00000000-0005-0000-0000-0000C00E0000}"/>
    <cellStyle name="Comma 4 37" xfId="3768" xr:uid="{00000000-0005-0000-0000-0000C10E0000}"/>
    <cellStyle name="Comma 4 38" xfId="3769" xr:uid="{00000000-0005-0000-0000-0000C20E0000}"/>
    <cellStyle name="Comma 4 39" xfId="3770" xr:uid="{00000000-0005-0000-0000-0000C30E0000}"/>
    <cellStyle name="Comma 4 4" xfId="3771" xr:uid="{00000000-0005-0000-0000-0000C40E0000}"/>
    <cellStyle name="Comma 4 4 10" xfId="3772" xr:uid="{00000000-0005-0000-0000-0000C50E0000}"/>
    <cellStyle name="Comma 4 4 11" xfId="3773" xr:uid="{00000000-0005-0000-0000-0000C60E0000}"/>
    <cellStyle name="Comma 4 4 12" xfId="3774" xr:uid="{00000000-0005-0000-0000-0000C70E0000}"/>
    <cellStyle name="Comma 4 4 13" xfId="3775" xr:uid="{00000000-0005-0000-0000-0000C80E0000}"/>
    <cellStyle name="Comma 4 4 14" xfId="3776" xr:uid="{00000000-0005-0000-0000-0000C90E0000}"/>
    <cellStyle name="Comma 4 4 15" xfId="3777" xr:uid="{00000000-0005-0000-0000-0000CA0E0000}"/>
    <cellStyle name="Comma 4 4 16" xfId="3778" xr:uid="{00000000-0005-0000-0000-0000CB0E0000}"/>
    <cellStyle name="Comma 4 4 17" xfId="3779" xr:uid="{00000000-0005-0000-0000-0000CC0E0000}"/>
    <cellStyle name="Comma 4 4 2" xfId="3780" xr:uid="{00000000-0005-0000-0000-0000CD0E0000}"/>
    <cellStyle name="Comma 4 4 2 2" xfId="3781" xr:uid="{00000000-0005-0000-0000-0000CE0E0000}"/>
    <cellStyle name="Comma 4 4 2 3" xfId="3782" xr:uid="{00000000-0005-0000-0000-0000CF0E0000}"/>
    <cellStyle name="Comma 4 4 3" xfId="3783" xr:uid="{00000000-0005-0000-0000-0000D00E0000}"/>
    <cellStyle name="Comma 4 4 4" xfId="3784" xr:uid="{00000000-0005-0000-0000-0000D10E0000}"/>
    <cellStyle name="Comma 4 4 5" xfId="3785" xr:uid="{00000000-0005-0000-0000-0000D20E0000}"/>
    <cellStyle name="Comma 4 4 6" xfId="3786" xr:uid="{00000000-0005-0000-0000-0000D30E0000}"/>
    <cellStyle name="Comma 4 4 7" xfId="3787" xr:uid="{00000000-0005-0000-0000-0000D40E0000}"/>
    <cellStyle name="Comma 4 4 8" xfId="3788" xr:uid="{00000000-0005-0000-0000-0000D50E0000}"/>
    <cellStyle name="Comma 4 4 9" xfId="3789" xr:uid="{00000000-0005-0000-0000-0000D60E0000}"/>
    <cellStyle name="Comma 4 40" xfId="3790" xr:uid="{00000000-0005-0000-0000-0000D70E0000}"/>
    <cellStyle name="Comma 4 41" xfId="3791" xr:uid="{00000000-0005-0000-0000-0000D80E0000}"/>
    <cellStyle name="Comma 4 42" xfId="3792" xr:uid="{00000000-0005-0000-0000-0000D90E0000}"/>
    <cellStyle name="Comma 4 43" xfId="3793" xr:uid="{00000000-0005-0000-0000-0000DA0E0000}"/>
    <cellStyle name="Comma 4 44" xfId="3794" xr:uid="{00000000-0005-0000-0000-0000DB0E0000}"/>
    <cellStyle name="Comma 4 45" xfId="3795" xr:uid="{00000000-0005-0000-0000-0000DC0E0000}"/>
    <cellStyle name="Comma 4 46" xfId="3796" xr:uid="{00000000-0005-0000-0000-0000DD0E0000}"/>
    <cellStyle name="Comma 4 47" xfId="3797" xr:uid="{00000000-0005-0000-0000-0000DE0E0000}"/>
    <cellStyle name="Comma 4 48" xfId="3798" xr:uid="{00000000-0005-0000-0000-0000DF0E0000}"/>
    <cellStyle name="Comma 4 49" xfId="3799" xr:uid="{00000000-0005-0000-0000-0000E00E0000}"/>
    <cellStyle name="Comma 4 5" xfId="3800" xr:uid="{00000000-0005-0000-0000-0000E10E0000}"/>
    <cellStyle name="Comma 4 5 2" xfId="3801" xr:uid="{00000000-0005-0000-0000-0000E20E0000}"/>
    <cellStyle name="Comma 4 5 3" xfId="3802" xr:uid="{00000000-0005-0000-0000-0000E30E0000}"/>
    <cellStyle name="Comma 4 50" xfId="3803" xr:uid="{00000000-0005-0000-0000-0000E40E0000}"/>
    <cellStyle name="Comma 4 51" xfId="3804" xr:uid="{00000000-0005-0000-0000-0000E50E0000}"/>
    <cellStyle name="Comma 4 52" xfId="3805" xr:uid="{00000000-0005-0000-0000-0000E60E0000}"/>
    <cellStyle name="Comma 4 53" xfId="3806" xr:uid="{00000000-0005-0000-0000-0000E70E0000}"/>
    <cellStyle name="Comma 4 54" xfId="3807" xr:uid="{00000000-0005-0000-0000-0000E80E0000}"/>
    <cellStyle name="Comma 4 55" xfId="3808" xr:uid="{00000000-0005-0000-0000-0000E90E0000}"/>
    <cellStyle name="Comma 4 56" xfId="3809" xr:uid="{00000000-0005-0000-0000-0000EA0E0000}"/>
    <cellStyle name="Comma 4 57" xfId="3810" xr:uid="{00000000-0005-0000-0000-0000EB0E0000}"/>
    <cellStyle name="Comma 4 58" xfId="3811" xr:uid="{00000000-0005-0000-0000-0000EC0E0000}"/>
    <cellStyle name="Comma 4 59" xfId="3812" xr:uid="{00000000-0005-0000-0000-0000ED0E0000}"/>
    <cellStyle name="Comma 4 6" xfId="3813" xr:uid="{00000000-0005-0000-0000-0000EE0E0000}"/>
    <cellStyle name="Comma 4 6 2" xfId="3814" xr:uid="{00000000-0005-0000-0000-0000EF0E0000}"/>
    <cellStyle name="Comma 4 6 3" xfId="3815" xr:uid="{00000000-0005-0000-0000-0000F00E0000}"/>
    <cellStyle name="Comma 4 60" xfId="3816" xr:uid="{00000000-0005-0000-0000-0000F10E0000}"/>
    <cellStyle name="Comma 4 61" xfId="3817" xr:uid="{00000000-0005-0000-0000-0000F20E0000}"/>
    <cellStyle name="Comma 4 62" xfId="3818" xr:uid="{00000000-0005-0000-0000-0000F30E0000}"/>
    <cellStyle name="Comma 4 63" xfId="3819" xr:uid="{00000000-0005-0000-0000-0000F40E0000}"/>
    <cellStyle name="Comma 4 64" xfId="3820" xr:uid="{00000000-0005-0000-0000-0000F50E0000}"/>
    <cellStyle name="Comma 4 65" xfId="3821" xr:uid="{00000000-0005-0000-0000-0000F60E0000}"/>
    <cellStyle name="Comma 4 66" xfId="3822" xr:uid="{00000000-0005-0000-0000-0000F70E0000}"/>
    <cellStyle name="Comma 4 67" xfId="3823" xr:uid="{00000000-0005-0000-0000-0000F80E0000}"/>
    <cellStyle name="Comma 4 68" xfId="3824" xr:uid="{00000000-0005-0000-0000-0000F90E0000}"/>
    <cellStyle name="Comma 4 69" xfId="3825" xr:uid="{00000000-0005-0000-0000-0000FA0E0000}"/>
    <cellStyle name="Comma 4 7" xfId="3826" xr:uid="{00000000-0005-0000-0000-0000FB0E0000}"/>
    <cellStyle name="Comma 4 70" xfId="3827" xr:uid="{00000000-0005-0000-0000-0000FC0E0000}"/>
    <cellStyle name="Comma 4 71" xfId="3828" xr:uid="{00000000-0005-0000-0000-0000FD0E0000}"/>
    <cellStyle name="Comma 4 72" xfId="3829" xr:uid="{00000000-0005-0000-0000-0000FE0E0000}"/>
    <cellStyle name="Comma 4 73" xfId="3830" xr:uid="{00000000-0005-0000-0000-0000FF0E0000}"/>
    <cellStyle name="Comma 4 74" xfId="3831" xr:uid="{00000000-0005-0000-0000-0000000F0000}"/>
    <cellStyle name="Comma 4 75" xfId="3832" xr:uid="{00000000-0005-0000-0000-0000010F0000}"/>
    <cellStyle name="Comma 4 76" xfId="3833" xr:uid="{00000000-0005-0000-0000-0000020F0000}"/>
    <cellStyle name="Comma 4 77" xfId="3834" xr:uid="{00000000-0005-0000-0000-0000030F0000}"/>
    <cellStyle name="Comma 4 78" xfId="3835" xr:uid="{00000000-0005-0000-0000-0000040F0000}"/>
    <cellStyle name="Comma 4 8" xfId="3836" xr:uid="{00000000-0005-0000-0000-0000050F0000}"/>
    <cellStyle name="Comma 4 9" xfId="3837" xr:uid="{00000000-0005-0000-0000-0000060F0000}"/>
    <cellStyle name="Comma 5" xfId="3838" xr:uid="{00000000-0005-0000-0000-0000070F0000}"/>
    <cellStyle name="Comma 5 10" xfId="3839" xr:uid="{00000000-0005-0000-0000-0000080F0000}"/>
    <cellStyle name="Comma 5 11" xfId="3840" xr:uid="{00000000-0005-0000-0000-0000090F0000}"/>
    <cellStyle name="Comma 5 12" xfId="3841" xr:uid="{00000000-0005-0000-0000-00000A0F0000}"/>
    <cellStyle name="Comma 5 13" xfId="3842" xr:uid="{00000000-0005-0000-0000-00000B0F0000}"/>
    <cellStyle name="Comma 5 14" xfId="3843" xr:uid="{00000000-0005-0000-0000-00000C0F0000}"/>
    <cellStyle name="Comma 5 15" xfId="3844" xr:uid="{00000000-0005-0000-0000-00000D0F0000}"/>
    <cellStyle name="Comma 5 16" xfId="3845" xr:uid="{00000000-0005-0000-0000-00000E0F0000}"/>
    <cellStyle name="Comma 5 17" xfId="3846" xr:uid="{00000000-0005-0000-0000-00000F0F0000}"/>
    <cellStyle name="Comma 5 18" xfId="3847" xr:uid="{00000000-0005-0000-0000-0000100F0000}"/>
    <cellStyle name="Comma 5 19" xfId="3848" xr:uid="{00000000-0005-0000-0000-0000110F0000}"/>
    <cellStyle name="Comma 5 2" xfId="3849" xr:uid="{00000000-0005-0000-0000-0000120F0000}"/>
    <cellStyle name="Comma 5 2 10" xfId="3850" xr:uid="{00000000-0005-0000-0000-0000130F0000}"/>
    <cellStyle name="Comma 5 2 11" xfId="3851" xr:uid="{00000000-0005-0000-0000-0000140F0000}"/>
    <cellStyle name="Comma 5 2 12" xfId="3852" xr:uid="{00000000-0005-0000-0000-0000150F0000}"/>
    <cellStyle name="Comma 5 2 13" xfId="3853" xr:uid="{00000000-0005-0000-0000-0000160F0000}"/>
    <cellStyle name="Comma 5 2 14" xfId="3854" xr:uid="{00000000-0005-0000-0000-0000170F0000}"/>
    <cellStyle name="Comma 5 2 15" xfId="3855" xr:uid="{00000000-0005-0000-0000-0000180F0000}"/>
    <cellStyle name="Comma 5 2 16" xfId="3856" xr:uid="{00000000-0005-0000-0000-0000190F0000}"/>
    <cellStyle name="Comma 5 2 17" xfId="3857" xr:uid="{00000000-0005-0000-0000-00001A0F0000}"/>
    <cellStyle name="Comma 5 2 2" xfId="3858" xr:uid="{00000000-0005-0000-0000-00001B0F0000}"/>
    <cellStyle name="Comma 5 2 2 10" xfId="3859" xr:uid="{00000000-0005-0000-0000-00001C0F0000}"/>
    <cellStyle name="Comma 5 2 2 11" xfId="3860" xr:uid="{00000000-0005-0000-0000-00001D0F0000}"/>
    <cellStyle name="Comma 5 2 2 12" xfId="3861" xr:uid="{00000000-0005-0000-0000-00001E0F0000}"/>
    <cellStyle name="Comma 5 2 2 13" xfId="3862" xr:uid="{00000000-0005-0000-0000-00001F0F0000}"/>
    <cellStyle name="Comma 5 2 2 14" xfId="3863" xr:uid="{00000000-0005-0000-0000-0000200F0000}"/>
    <cellStyle name="Comma 5 2 2 15" xfId="3864" xr:uid="{00000000-0005-0000-0000-0000210F0000}"/>
    <cellStyle name="Comma 5 2 2 16" xfId="3865" xr:uid="{00000000-0005-0000-0000-0000220F0000}"/>
    <cellStyle name="Comma 5 2 2 2" xfId="3866" xr:uid="{00000000-0005-0000-0000-0000230F0000}"/>
    <cellStyle name="Comma 5 2 2 2 10" xfId="3867" xr:uid="{00000000-0005-0000-0000-0000240F0000}"/>
    <cellStyle name="Comma 5 2 2 2 11" xfId="3868" xr:uid="{00000000-0005-0000-0000-0000250F0000}"/>
    <cellStyle name="Comma 5 2 2 2 12" xfId="3869" xr:uid="{00000000-0005-0000-0000-0000260F0000}"/>
    <cellStyle name="Comma 5 2 2 2 13" xfId="3870" xr:uid="{00000000-0005-0000-0000-0000270F0000}"/>
    <cellStyle name="Comma 5 2 2 2 2" xfId="3871" xr:uid="{00000000-0005-0000-0000-0000280F0000}"/>
    <cellStyle name="Comma 5 2 2 2 3" xfId="3872" xr:uid="{00000000-0005-0000-0000-0000290F0000}"/>
    <cellStyle name="Comma 5 2 2 2 4" xfId="3873" xr:uid="{00000000-0005-0000-0000-00002A0F0000}"/>
    <cellStyle name="Comma 5 2 2 2 5" xfId="3874" xr:uid="{00000000-0005-0000-0000-00002B0F0000}"/>
    <cellStyle name="Comma 5 2 2 2 6" xfId="3875" xr:uid="{00000000-0005-0000-0000-00002C0F0000}"/>
    <cellStyle name="Comma 5 2 2 2 7" xfId="3876" xr:uid="{00000000-0005-0000-0000-00002D0F0000}"/>
    <cellStyle name="Comma 5 2 2 2 8" xfId="3877" xr:uid="{00000000-0005-0000-0000-00002E0F0000}"/>
    <cellStyle name="Comma 5 2 2 2 9" xfId="3878" xr:uid="{00000000-0005-0000-0000-00002F0F0000}"/>
    <cellStyle name="Comma 5 2 2 3" xfId="3879" xr:uid="{00000000-0005-0000-0000-0000300F0000}"/>
    <cellStyle name="Comma 5 2 2 3 10" xfId="3880" xr:uid="{00000000-0005-0000-0000-0000310F0000}"/>
    <cellStyle name="Comma 5 2 2 3 11" xfId="3881" xr:uid="{00000000-0005-0000-0000-0000320F0000}"/>
    <cellStyle name="Comma 5 2 2 3 12" xfId="3882" xr:uid="{00000000-0005-0000-0000-0000330F0000}"/>
    <cellStyle name="Comma 5 2 2 3 13" xfId="3883" xr:uid="{00000000-0005-0000-0000-0000340F0000}"/>
    <cellStyle name="Comma 5 2 2 3 2" xfId="3884" xr:uid="{00000000-0005-0000-0000-0000350F0000}"/>
    <cellStyle name="Comma 5 2 2 3 3" xfId="3885" xr:uid="{00000000-0005-0000-0000-0000360F0000}"/>
    <cellStyle name="Comma 5 2 2 3 4" xfId="3886" xr:uid="{00000000-0005-0000-0000-0000370F0000}"/>
    <cellStyle name="Comma 5 2 2 3 5" xfId="3887" xr:uid="{00000000-0005-0000-0000-0000380F0000}"/>
    <cellStyle name="Comma 5 2 2 3 6" xfId="3888" xr:uid="{00000000-0005-0000-0000-0000390F0000}"/>
    <cellStyle name="Comma 5 2 2 3 7" xfId="3889" xr:uid="{00000000-0005-0000-0000-00003A0F0000}"/>
    <cellStyle name="Comma 5 2 2 3 8" xfId="3890" xr:uid="{00000000-0005-0000-0000-00003B0F0000}"/>
    <cellStyle name="Comma 5 2 2 3 9" xfId="3891" xr:uid="{00000000-0005-0000-0000-00003C0F0000}"/>
    <cellStyle name="Comma 5 2 2 4" xfId="3892" xr:uid="{00000000-0005-0000-0000-00003D0F0000}"/>
    <cellStyle name="Comma 5 2 2 4 10" xfId="3893" xr:uid="{00000000-0005-0000-0000-00003E0F0000}"/>
    <cellStyle name="Comma 5 2 2 4 11" xfId="3894" xr:uid="{00000000-0005-0000-0000-00003F0F0000}"/>
    <cellStyle name="Comma 5 2 2 4 12" xfId="3895" xr:uid="{00000000-0005-0000-0000-0000400F0000}"/>
    <cellStyle name="Comma 5 2 2 4 13" xfId="3896" xr:uid="{00000000-0005-0000-0000-0000410F0000}"/>
    <cellStyle name="Comma 5 2 2 4 2" xfId="3897" xr:uid="{00000000-0005-0000-0000-0000420F0000}"/>
    <cellStyle name="Comma 5 2 2 4 3" xfId="3898" xr:uid="{00000000-0005-0000-0000-0000430F0000}"/>
    <cellStyle name="Comma 5 2 2 4 4" xfId="3899" xr:uid="{00000000-0005-0000-0000-0000440F0000}"/>
    <cellStyle name="Comma 5 2 2 4 5" xfId="3900" xr:uid="{00000000-0005-0000-0000-0000450F0000}"/>
    <cellStyle name="Comma 5 2 2 4 6" xfId="3901" xr:uid="{00000000-0005-0000-0000-0000460F0000}"/>
    <cellStyle name="Comma 5 2 2 4 7" xfId="3902" xr:uid="{00000000-0005-0000-0000-0000470F0000}"/>
    <cellStyle name="Comma 5 2 2 4 8" xfId="3903" xr:uid="{00000000-0005-0000-0000-0000480F0000}"/>
    <cellStyle name="Comma 5 2 2 4 9" xfId="3904" xr:uid="{00000000-0005-0000-0000-0000490F0000}"/>
    <cellStyle name="Comma 5 2 2 5" xfId="3905" xr:uid="{00000000-0005-0000-0000-00004A0F0000}"/>
    <cellStyle name="Comma 5 2 2 6" xfId="3906" xr:uid="{00000000-0005-0000-0000-00004B0F0000}"/>
    <cellStyle name="Comma 5 2 2 7" xfId="3907" xr:uid="{00000000-0005-0000-0000-00004C0F0000}"/>
    <cellStyle name="Comma 5 2 2 8" xfId="3908" xr:uid="{00000000-0005-0000-0000-00004D0F0000}"/>
    <cellStyle name="Comma 5 2 2 9" xfId="3909" xr:uid="{00000000-0005-0000-0000-00004E0F0000}"/>
    <cellStyle name="Comma 5 2 3" xfId="3910" xr:uid="{00000000-0005-0000-0000-00004F0F0000}"/>
    <cellStyle name="Comma 5 2 3 10" xfId="3911" xr:uid="{00000000-0005-0000-0000-0000500F0000}"/>
    <cellStyle name="Comma 5 2 3 11" xfId="3912" xr:uid="{00000000-0005-0000-0000-0000510F0000}"/>
    <cellStyle name="Comma 5 2 3 12" xfId="3913" xr:uid="{00000000-0005-0000-0000-0000520F0000}"/>
    <cellStyle name="Comma 5 2 3 13" xfId="3914" xr:uid="{00000000-0005-0000-0000-0000530F0000}"/>
    <cellStyle name="Comma 5 2 3 2" xfId="3915" xr:uid="{00000000-0005-0000-0000-0000540F0000}"/>
    <cellStyle name="Comma 5 2 3 3" xfId="3916" xr:uid="{00000000-0005-0000-0000-0000550F0000}"/>
    <cellStyle name="Comma 5 2 3 4" xfId="3917" xr:uid="{00000000-0005-0000-0000-0000560F0000}"/>
    <cellStyle name="Comma 5 2 3 5" xfId="3918" xr:uid="{00000000-0005-0000-0000-0000570F0000}"/>
    <cellStyle name="Comma 5 2 3 6" xfId="3919" xr:uid="{00000000-0005-0000-0000-0000580F0000}"/>
    <cellStyle name="Comma 5 2 3 7" xfId="3920" xr:uid="{00000000-0005-0000-0000-0000590F0000}"/>
    <cellStyle name="Comma 5 2 3 8" xfId="3921" xr:uid="{00000000-0005-0000-0000-00005A0F0000}"/>
    <cellStyle name="Comma 5 2 3 9" xfId="3922" xr:uid="{00000000-0005-0000-0000-00005B0F0000}"/>
    <cellStyle name="Comma 5 2 4" xfId="3923" xr:uid="{00000000-0005-0000-0000-00005C0F0000}"/>
    <cellStyle name="Comma 5 2 5" xfId="3924" xr:uid="{00000000-0005-0000-0000-00005D0F0000}"/>
    <cellStyle name="Comma 5 2 6" xfId="3925" xr:uid="{00000000-0005-0000-0000-00005E0F0000}"/>
    <cellStyle name="Comma 5 2 7" xfId="3926" xr:uid="{00000000-0005-0000-0000-00005F0F0000}"/>
    <cellStyle name="Comma 5 2 8" xfId="3927" xr:uid="{00000000-0005-0000-0000-0000600F0000}"/>
    <cellStyle name="Comma 5 2 9" xfId="3928" xr:uid="{00000000-0005-0000-0000-0000610F0000}"/>
    <cellStyle name="Comma 5 20" xfId="3929" xr:uid="{00000000-0005-0000-0000-0000620F0000}"/>
    <cellStyle name="Comma 5 21" xfId="3930" xr:uid="{00000000-0005-0000-0000-0000630F0000}"/>
    <cellStyle name="Comma 5 22" xfId="3931" xr:uid="{00000000-0005-0000-0000-0000640F0000}"/>
    <cellStyle name="Comma 5 23" xfId="3932" xr:uid="{00000000-0005-0000-0000-0000650F0000}"/>
    <cellStyle name="Comma 5 24" xfId="3933" xr:uid="{00000000-0005-0000-0000-0000660F0000}"/>
    <cellStyle name="Comma 5 25" xfId="3934" xr:uid="{00000000-0005-0000-0000-0000670F0000}"/>
    <cellStyle name="Comma 5 26" xfId="3935" xr:uid="{00000000-0005-0000-0000-0000680F0000}"/>
    <cellStyle name="Comma 5 27" xfId="3936" xr:uid="{00000000-0005-0000-0000-0000690F0000}"/>
    <cellStyle name="Comma 5 28" xfId="3937" xr:uid="{00000000-0005-0000-0000-00006A0F0000}"/>
    <cellStyle name="Comma 5 29" xfId="3938" xr:uid="{00000000-0005-0000-0000-00006B0F0000}"/>
    <cellStyle name="Comma 5 3" xfId="3939" xr:uid="{00000000-0005-0000-0000-00006C0F0000}"/>
    <cellStyle name="Comma 5 3 10" xfId="3940" xr:uid="{00000000-0005-0000-0000-00006D0F0000}"/>
    <cellStyle name="Comma 5 3 11" xfId="3941" xr:uid="{00000000-0005-0000-0000-00006E0F0000}"/>
    <cellStyle name="Comma 5 3 12" xfId="3942" xr:uid="{00000000-0005-0000-0000-00006F0F0000}"/>
    <cellStyle name="Comma 5 3 13" xfId="3943" xr:uid="{00000000-0005-0000-0000-0000700F0000}"/>
    <cellStyle name="Comma 5 3 14" xfId="3944" xr:uid="{00000000-0005-0000-0000-0000710F0000}"/>
    <cellStyle name="Comma 5 3 15" xfId="3945" xr:uid="{00000000-0005-0000-0000-0000720F0000}"/>
    <cellStyle name="Comma 5 3 16" xfId="3946" xr:uid="{00000000-0005-0000-0000-0000730F0000}"/>
    <cellStyle name="Comma 5 3 17" xfId="3947" xr:uid="{00000000-0005-0000-0000-0000740F0000}"/>
    <cellStyle name="Comma 5 3 2" xfId="3948" xr:uid="{00000000-0005-0000-0000-0000750F0000}"/>
    <cellStyle name="Comma 5 3 3" xfId="3949" xr:uid="{00000000-0005-0000-0000-0000760F0000}"/>
    <cellStyle name="Comma 5 3 4" xfId="3950" xr:uid="{00000000-0005-0000-0000-0000770F0000}"/>
    <cellStyle name="Comma 5 3 5" xfId="3951" xr:uid="{00000000-0005-0000-0000-0000780F0000}"/>
    <cellStyle name="Comma 5 3 6" xfId="3952" xr:uid="{00000000-0005-0000-0000-0000790F0000}"/>
    <cellStyle name="Comma 5 3 7" xfId="3953" xr:uid="{00000000-0005-0000-0000-00007A0F0000}"/>
    <cellStyle name="Comma 5 3 8" xfId="3954" xr:uid="{00000000-0005-0000-0000-00007B0F0000}"/>
    <cellStyle name="Comma 5 3 9" xfId="3955" xr:uid="{00000000-0005-0000-0000-00007C0F0000}"/>
    <cellStyle name="Comma 5 30" xfId="3956" xr:uid="{00000000-0005-0000-0000-00007D0F0000}"/>
    <cellStyle name="Comma 5 31" xfId="3957" xr:uid="{00000000-0005-0000-0000-00007E0F0000}"/>
    <cellStyle name="Comma 5 32" xfId="3958" xr:uid="{00000000-0005-0000-0000-00007F0F0000}"/>
    <cellStyle name="Comma 5 33" xfId="3959" xr:uid="{00000000-0005-0000-0000-0000800F0000}"/>
    <cellStyle name="Comma 5 34" xfId="3960" xr:uid="{00000000-0005-0000-0000-0000810F0000}"/>
    <cellStyle name="Comma 5 35" xfId="3961" xr:uid="{00000000-0005-0000-0000-0000820F0000}"/>
    <cellStyle name="Comma 5 36" xfId="3962" xr:uid="{00000000-0005-0000-0000-0000830F0000}"/>
    <cellStyle name="Comma 5 37" xfId="3963" xr:uid="{00000000-0005-0000-0000-0000840F0000}"/>
    <cellStyle name="Comma 5 38" xfId="3964" xr:uid="{00000000-0005-0000-0000-0000850F0000}"/>
    <cellStyle name="Comma 5 39" xfId="3965" xr:uid="{00000000-0005-0000-0000-0000860F0000}"/>
    <cellStyle name="Comma 5 4" xfId="3966" xr:uid="{00000000-0005-0000-0000-0000870F0000}"/>
    <cellStyle name="Comma 5 40" xfId="3967" xr:uid="{00000000-0005-0000-0000-0000880F0000}"/>
    <cellStyle name="Comma 5 41" xfId="3968" xr:uid="{00000000-0005-0000-0000-0000890F0000}"/>
    <cellStyle name="Comma 5 42" xfId="3969" xr:uid="{00000000-0005-0000-0000-00008A0F0000}"/>
    <cellStyle name="Comma 5 43" xfId="3970" xr:uid="{00000000-0005-0000-0000-00008B0F0000}"/>
    <cellStyle name="Comma 5 44" xfId="3971" xr:uid="{00000000-0005-0000-0000-00008C0F0000}"/>
    <cellStyle name="Comma 5 45" xfId="3972" xr:uid="{00000000-0005-0000-0000-00008D0F0000}"/>
    <cellStyle name="Comma 5 46" xfId="3973" xr:uid="{00000000-0005-0000-0000-00008E0F0000}"/>
    <cellStyle name="Comma 5 47" xfId="3974" xr:uid="{00000000-0005-0000-0000-00008F0F0000}"/>
    <cellStyle name="Comma 5 48" xfId="3975" xr:uid="{00000000-0005-0000-0000-0000900F0000}"/>
    <cellStyle name="Comma 5 49" xfId="3976" xr:uid="{00000000-0005-0000-0000-0000910F0000}"/>
    <cellStyle name="Comma 5 5" xfId="3977" xr:uid="{00000000-0005-0000-0000-0000920F0000}"/>
    <cellStyle name="Comma 5 50" xfId="3978" xr:uid="{00000000-0005-0000-0000-0000930F0000}"/>
    <cellStyle name="Comma 5 51" xfId="3979" xr:uid="{00000000-0005-0000-0000-0000940F0000}"/>
    <cellStyle name="Comma 5 52" xfId="3980" xr:uid="{00000000-0005-0000-0000-0000950F0000}"/>
    <cellStyle name="Comma 5 53" xfId="3981" xr:uid="{00000000-0005-0000-0000-0000960F0000}"/>
    <cellStyle name="Comma 5 54" xfId="3982" xr:uid="{00000000-0005-0000-0000-0000970F0000}"/>
    <cellStyle name="Comma 5 55" xfId="3983" xr:uid="{00000000-0005-0000-0000-0000980F0000}"/>
    <cellStyle name="Comma 5 56" xfId="3984" xr:uid="{00000000-0005-0000-0000-0000990F0000}"/>
    <cellStyle name="Comma 5 57" xfId="3985" xr:uid="{00000000-0005-0000-0000-00009A0F0000}"/>
    <cellStyle name="Comma 5 58" xfId="3986" xr:uid="{00000000-0005-0000-0000-00009B0F0000}"/>
    <cellStyle name="Comma 5 59" xfId="3987" xr:uid="{00000000-0005-0000-0000-00009C0F0000}"/>
    <cellStyle name="Comma 5 6" xfId="3988" xr:uid="{00000000-0005-0000-0000-00009D0F0000}"/>
    <cellStyle name="Comma 5 6 2" xfId="3989" xr:uid="{00000000-0005-0000-0000-00009E0F0000}"/>
    <cellStyle name="Comma 5 6 3" xfId="3990" xr:uid="{00000000-0005-0000-0000-00009F0F0000}"/>
    <cellStyle name="Comma 5 60" xfId="3991" xr:uid="{00000000-0005-0000-0000-0000A00F0000}"/>
    <cellStyle name="Comma 5 61" xfId="3992" xr:uid="{00000000-0005-0000-0000-0000A10F0000}"/>
    <cellStyle name="Comma 5 62" xfId="3993" xr:uid="{00000000-0005-0000-0000-0000A20F0000}"/>
    <cellStyle name="Comma 5 63" xfId="3994" xr:uid="{00000000-0005-0000-0000-0000A30F0000}"/>
    <cellStyle name="Comma 5 64" xfId="3995" xr:uid="{00000000-0005-0000-0000-0000A40F0000}"/>
    <cellStyle name="Comma 5 65" xfId="3996" xr:uid="{00000000-0005-0000-0000-0000A50F0000}"/>
    <cellStyle name="Comma 5 66" xfId="3997" xr:uid="{00000000-0005-0000-0000-0000A60F0000}"/>
    <cellStyle name="Comma 5 67" xfId="3998" xr:uid="{00000000-0005-0000-0000-0000A70F0000}"/>
    <cellStyle name="Comma 5 68" xfId="3999" xr:uid="{00000000-0005-0000-0000-0000A80F0000}"/>
    <cellStyle name="Comma 5 69" xfId="4000" xr:uid="{00000000-0005-0000-0000-0000A90F0000}"/>
    <cellStyle name="Comma 5 7" xfId="4001" xr:uid="{00000000-0005-0000-0000-0000AA0F0000}"/>
    <cellStyle name="Comma 5 70" xfId="4002" xr:uid="{00000000-0005-0000-0000-0000AB0F0000}"/>
    <cellStyle name="Comma 5 71" xfId="4003" xr:uid="{00000000-0005-0000-0000-0000AC0F0000}"/>
    <cellStyle name="Comma 5 72" xfId="4004" xr:uid="{00000000-0005-0000-0000-0000AD0F0000}"/>
    <cellStyle name="Comma 5 73" xfId="4005" xr:uid="{00000000-0005-0000-0000-0000AE0F0000}"/>
    <cellStyle name="Comma 5 74" xfId="4006" xr:uid="{00000000-0005-0000-0000-0000AF0F0000}"/>
    <cellStyle name="Comma 5 75" xfId="4007" xr:uid="{00000000-0005-0000-0000-0000B00F0000}"/>
    <cellStyle name="Comma 5 76" xfId="4008" xr:uid="{00000000-0005-0000-0000-0000B10F0000}"/>
    <cellStyle name="Comma 5 77" xfId="4009" xr:uid="{00000000-0005-0000-0000-0000B20F0000}"/>
    <cellStyle name="Comma 5 78" xfId="4010" xr:uid="{00000000-0005-0000-0000-0000B30F0000}"/>
    <cellStyle name="Comma 5 8" xfId="4011" xr:uid="{00000000-0005-0000-0000-0000B40F0000}"/>
    <cellStyle name="Comma 5 9" xfId="4012" xr:uid="{00000000-0005-0000-0000-0000B50F0000}"/>
    <cellStyle name="Comma 6" xfId="4013" xr:uid="{00000000-0005-0000-0000-0000B60F0000}"/>
    <cellStyle name="Comma 6 10" xfId="4014" xr:uid="{00000000-0005-0000-0000-0000B70F0000}"/>
    <cellStyle name="Comma 6 11" xfId="4015" xr:uid="{00000000-0005-0000-0000-0000B80F0000}"/>
    <cellStyle name="Comma 6 12" xfId="4016" xr:uid="{00000000-0005-0000-0000-0000B90F0000}"/>
    <cellStyle name="Comma 6 13" xfId="4017" xr:uid="{00000000-0005-0000-0000-0000BA0F0000}"/>
    <cellStyle name="Comma 6 14" xfId="4018" xr:uid="{00000000-0005-0000-0000-0000BB0F0000}"/>
    <cellStyle name="Comma 6 15" xfId="4019" xr:uid="{00000000-0005-0000-0000-0000BC0F0000}"/>
    <cellStyle name="Comma 6 16" xfId="4020" xr:uid="{00000000-0005-0000-0000-0000BD0F0000}"/>
    <cellStyle name="Comma 6 17" xfId="4021" xr:uid="{00000000-0005-0000-0000-0000BE0F0000}"/>
    <cellStyle name="Comma 6 18" xfId="4022" xr:uid="{00000000-0005-0000-0000-0000BF0F0000}"/>
    <cellStyle name="Comma 6 19" xfId="4023" xr:uid="{00000000-0005-0000-0000-0000C00F0000}"/>
    <cellStyle name="Comma 6 2" xfId="4024" xr:uid="{00000000-0005-0000-0000-0000C10F0000}"/>
    <cellStyle name="Comma 6 2 10" xfId="4025" xr:uid="{00000000-0005-0000-0000-0000C20F0000}"/>
    <cellStyle name="Comma 6 2 11" xfId="4026" xr:uid="{00000000-0005-0000-0000-0000C30F0000}"/>
    <cellStyle name="Comma 6 2 12" xfId="4027" xr:uid="{00000000-0005-0000-0000-0000C40F0000}"/>
    <cellStyle name="Comma 6 2 13" xfId="4028" xr:uid="{00000000-0005-0000-0000-0000C50F0000}"/>
    <cellStyle name="Comma 6 2 2" xfId="4029" xr:uid="{00000000-0005-0000-0000-0000C60F0000}"/>
    <cellStyle name="Comma 6 2 3" xfId="4030" xr:uid="{00000000-0005-0000-0000-0000C70F0000}"/>
    <cellStyle name="Comma 6 2 4" xfId="4031" xr:uid="{00000000-0005-0000-0000-0000C80F0000}"/>
    <cellStyle name="Comma 6 2 5" xfId="4032" xr:uid="{00000000-0005-0000-0000-0000C90F0000}"/>
    <cellStyle name="Comma 6 2 6" xfId="4033" xr:uid="{00000000-0005-0000-0000-0000CA0F0000}"/>
    <cellStyle name="Comma 6 2 7" xfId="4034" xr:uid="{00000000-0005-0000-0000-0000CB0F0000}"/>
    <cellStyle name="Comma 6 2 8" xfId="4035" xr:uid="{00000000-0005-0000-0000-0000CC0F0000}"/>
    <cellStyle name="Comma 6 2 9" xfId="4036" xr:uid="{00000000-0005-0000-0000-0000CD0F0000}"/>
    <cellStyle name="Comma 6 20" xfId="4037" xr:uid="{00000000-0005-0000-0000-0000CE0F0000}"/>
    <cellStyle name="Comma 6 21" xfId="4038" xr:uid="{00000000-0005-0000-0000-0000CF0F0000}"/>
    <cellStyle name="Comma 6 22" xfId="4039" xr:uid="{00000000-0005-0000-0000-0000D00F0000}"/>
    <cellStyle name="Comma 6 23" xfId="4040" xr:uid="{00000000-0005-0000-0000-0000D10F0000}"/>
    <cellStyle name="Comma 6 3" xfId="4041" xr:uid="{00000000-0005-0000-0000-0000D20F0000}"/>
    <cellStyle name="Comma 6 4" xfId="4042" xr:uid="{00000000-0005-0000-0000-0000D30F0000}"/>
    <cellStyle name="Comma 6 5" xfId="4043" xr:uid="{00000000-0005-0000-0000-0000D40F0000}"/>
    <cellStyle name="Comma 6 5 2" xfId="4044" xr:uid="{00000000-0005-0000-0000-0000D50F0000}"/>
    <cellStyle name="Comma 6 5 3" xfId="4045" xr:uid="{00000000-0005-0000-0000-0000D60F0000}"/>
    <cellStyle name="Comma 6 6" xfId="4046" xr:uid="{00000000-0005-0000-0000-0000D70F0000}"/>
    <cellStyle name="Comma 6 7" xfId="4047" xr:uid="{00000000-0005-0000-0000-0000D80F0000}"/>
    <cellStyle name="Comma 6 8" xfId="4048" xr:uid="{00000000-0005-0000-0000-0000D90F0000}"/>
    <cellStyle name="Comma 6 9" xfId="4049" xr:uid="{00000000-0005-0000-0000-0000DA0F0000}"/>
    <cellStyle name="Comma 7" xfId="4050" xr:uid="{00000000-0005-0000-0000-0000DB0F0000}"/>
    <cellStyle name="Comma 7 10" xfId="4051" xr:uid="{00000000-0005-0000-0000-0000DC0F0000}"/>
    <cellStyle name="Comma 7 11" xfId="4052" xr:uid="{00000000-0005-0000-0000-0000DD0F0000}"/>
    <cellStyle name="Comma 7 12" xfId="4053" xr:uid="{00000000-0005-0000-0000-0000DE0F0000}"/>
    <cellStyle name="Comma 7 13" xfId="4054" xr:uid="{00000000-0005-0000-0000-0000DF0F0000}"/>
    <cellStyle name="Comma 7 2" xfId="4055" xr:uid="{00000000-0005-0000-0000-0000E00F0000}"/>
    <cellStyle name="Comma 7 3" xfId="4056" xr:uid="{00000000-0005-0000-0000-0000E10F0000}"/>
    <cellStyle name="Comma 7 4" xfId="4057" xr:uid="{00000000-0005-0000-0000-0000E20F0000}"/>
    <cellStyle name="Comma 7 5" xfId="4058" xr:uid="{00000000-0005-0000-0000-0000E30F0000}"/>
    <cellStyle name="Comma 7 6" xfId="4059" xr:uid="{00000000-0005-0000-0000-0000E40F0000}"/>
    <cellStyle name="Comma 7 7" xfId="4060" xr:uid="{00000000-0005-0000-0000-0000E50F0000}"/>
    <cellStyle name="Comma 7 8" xfId="4061" xr:uid="{00000000-0005-0000-0000-0000E60F0000}"/>
    <cellStyle name="Comma 7 9" xfId="4062" xr:uid="{00000000-0005-0000-0000-0000E70F0000}"/>
    <cellStyle name="Comma 8" xfId="4063" xr:uid="{00000000-0005-0000-0000-0000E80F0000}"/>
    <cellStyle name="Comma 9" xfId="4064" xr:uid="{00000000-0005-0000-0000-0000E90F0000}"/>
    <cellStyle name="Comma 9 2" xfId="48226" xr:uid="{00000000-0005-0000-0000-0000EA0F0000}"/>
    <cellStyle name="Comma*" xfId="4065" xr:uid="{00000000-0005-0000-0000-0000EB0F0000}"/>
    <cellStyle name="comma[0]" xfId="4066" xr:uid="{00000000-0005-0000-0000-0000EC0F0000}"/>
    <cellStyle name="Comma0" xfId="4067" xr:uid="{00000000-0005-0000-0000-0000ED0F0000}"/>
    <cellStyle name="Comma1" xfId="4068" xr:uid="{00000000-0005-0000-0000-0000EE0F0000}"/>
    <cellStyle name="Comma2" xfId="4069" xr:uid="{00000000-0005-0000-0000-0000EF0F0000}"/>
    <cellStyle name="Comment" xfId="4070" xr:uid="{00000000-0005-0000-0000-0000F00F0000}"/>
    <cellStyle name="CompanyName" xfId="4071" xr:uid="{00000000-0005-0000-0000-0000F10F0000}"/>
    <cellStyle name="Copied" xfId="4072" xr:uid="{00000000-0005-0000-0000-0000F20F0000}"/>
    <cellStyle name="Copy0_" xfId="4073" xr:uid="{00000000-0005-0000-0000-0000F30F0000}"/>
    <cellStyle name="Copy1_" xfId="4074" xr:uid="{00000000-0005-0000-0000-0000F40F0000}"/>
    <cellStyle name="Copy2_" xfId="4075" xr:uid="{00000000-0005-0000-0000-0000F50F0000}"/>
    <cellStyle name="CountryTitle" xfId="4076" xr:uid="{00000000-0005-0000-0000-0000F60F0000}"/>
    <cellStyle name="Currency (0)" xfId="4077" xr:uid="{00000000-0005-0000-0000-0000F70F0000}"/>
    <cellStyle name="Currency (2)" xfId="4078" xr:uid="{00000000-0005-0000-0000-0000F80F0000}"/>
    <cellStyle name="Currency [0.00]" xfId="4079" xr:uid="{00000000-0005-0000-0000-0000F90F0000}"/>
    <cellStyle name="Currency 0" xfId="4080" xr:uid="{00000000-0005-0000-0000-0000FA0F0000}"/>
    <cellStyle name="Currency 2" xfId="4081" xr:uid="{00000000-0005-0000-0000-0000FB0F0000}"/>
    <cellStyle name="Currency 2 2" xfId="48227" xr:uid="{00000000-0005-0000-0000-0000FC0F0000}"/>
    <cellStyle name="Currency 2*" xfId="4082" xr:uid="{00000000-0005-0000-0000-0000FD0F0000}"/>
    <cellStyle name="Currency 2_Model_Sep_2_02" xfId="4083" xr:uid="{00000000-0005-0000-0000-0000FE0F0000}"/>
    <cellStyle name="Currency 3" xfId="4084" xr:uid="{00000000-0005-0000-0000-0000FF0F0000}"/>
    <cellStyle name="Currency 3*" xfId="4085" xr:uid="{00000000-0005-0000-0000-000000100000}"/>
    <cellStyle name="Currency 4" xfId="4086" xr:uid="{00000000-0005-0000-0000-000001100000}"/>
    <cellStyle name="Currency 5" xfId="4087" xr:uid="{00000000-0005-0000-0000-000002100000}"/>
    <cellStyle name="Currency*" xfId="4088" xr:uid="{00000000-0005-0000-0000-000003100000}"/>
    <cellStyle name="Currency0" xfId="4089" xr:uid="{00000000-0005-0000-0000-000004100000}"/>
    <cellStyle name="Currency-Denomination" xfId="4090" xr:uid="{00000000-0005-0000-0000-000005100000}"/>
    <cellStyle name="d_yield" xfId="4091" xr:uid="{00000000-0005-0000-0000-000006100000}"/>
    <cellStyle name="Dash" xfId="4092" xr:uid="{00000000-0005-0000-0000-000007100000}"/>
    <cellStyle name="DATA Amount" xfId="4093" xr:uid="{00000000-0005-0000-0000-000008100000}"/>
    <cellStyle name="DATA Amount [1]" xfId="4094" xr:uid="{00000000-0005-0000-0000-000009100000}"/>
    <cellStyle name="DATA Amount [2]" xfId="4095" xr:uid="{00000000-0005-0000-0000-00000A100000}"/>
    <cellStyle name="DATA Amount_strategic model 04r" xfId="4096" xr:uid="{00000000-0005-0000-0000-00000B100000}"/>
    <cellStyle name="DATA Currency" xfId="4097" xr:uid="{00000000-0005-0000-0000-00000C100000}"/>
    <cellStyle name="DATA Currency [1]" xfId="4098" xr:uid="{00000000-0005-0000-0000-00000D100000}"/>
    <cellStyle name="DATA Currency [2]" xfId="4099" xr:uid="{00000000-0005-0000-0000-00000E100000}"/>
    <cellStyle name="DATA Currency_strategic model 04r" xfId="4100" xr:uid="{00000000-0005-0000-0000-00000F100000}"/>
    <cellStyle name="DATA Date Long" xfId="4101" xr:uid="{00000000-0005-0000-0000-000010100000}"/>
    <cellStyle name="DATA Date Short" xfId="4102" xr:uid="{00000000-0005-0000-0000-000011100000}"/>
    <cellStyle name="DATA List" xfId="4103" xr:uid="{00000000-0005-0000-0000-000012100000}"/>
    <cellStyle name="DATA Memo" xfId="4104" xr:uid="{00000000-0005-0000-0000-000013100000}"/>
    <cellStyle name="DATA Percent" xfId="4105" xr:uid="{00000000-0005-0000-0000-000014100000}"/>
    <cellStyle name="DATA Percent [1]" xfId="4106" xr:uid="{00000000-0005-0000-0000-000015100000}"/>
    <cellStyle name="DATA Percent [2]" xfId="4107" xr:uid="{00000000-0005-0000-0000-000016100000}"/>
    <cellStyle name="DATA Percent_strategic model 04r" xfId="4108" xr:uid="{00000000-0005-0000-0000-000017100000}"/>
    <cellStyle name="DATA Text" xfId="4109" xr:uid="{00000000-0005-0000-0000-000018100000}"/>
    <cellStyle name="DATA Version" xfId="4110" xr:uid="{00000000-0005-0000-0000-000019100000}"/>
    <cellStyle name="data-entry:0.00" xfId="4111" xr:uid="{00000000-0005-0000-0000-00001A100000}"/>
    <cellStyle name="data-entry:0.00 2" xfId="4112" xr:uid="{00000000-0005-0000-0000-00001B100000}"/>
    <cellStyle name="data-entry:0.00 2 2" xfId="4113" xr:uid="{00000000-0005-0000-0000-00001C100000}"/>
    <cellStyle name="data-entry:0.00 3" xfId="4114" xr:uid="{00000000-0005-0000-0000-00001D100000}"/>
    <cellStyle name="data-entry:0.00_SGN_14m" xfId="4115" xr:uid="{00000000-0005-0000-0000-00001E100000}"/>
    <cellStyle name="Date" xfId="4116" xr:uid="{00000000-0005-0000-0000-00001F100000}"/>
    <cellStyle name="Date 2" xfId="4117" xr:uid="{00000000-0005-0000-0000-000020100000}"/>
    <cellStyle name="Date 2 2" xfId="4118" xr:uid="{00000000-0005-0000-0000-000021100000}"/>
    <cellStyle name="Date 2 3" xfId="4119" xr:uid="{00000000-0005-0000-0000-000022100000}"/>
    <cellStyle name="Date 2 4" xfId="4120" xr:uid="{00000000-0005-0000-0000-000023100000}"/>
    <cellStyle name="Date 2 5" xfId="4121" xr:uid="{00000000-0005-0000-0000-000024100000}"/>
    <cellStyle name="Date 2 6" xfId="4122" xr:uid="{00000000-0005-0000-0000-000025100000}"/>
    <cellStyle name="Date 2 7" xfId="4123" xr:uid="{00000000-0005-0000-0000-000026100000}"/>
    <cellStyle name="Date 2 8" xfId="4124" xr:uid="{00000000-0005-0000-0000-000027100000}"/>
    <cellStyle name="Date 3" xfId="4125" xr:uid="{00000000-0005-0000-0000-000028100000}"/>
    <cellStyle name="Date 4" xfId="4126" xr:uid="{00000000-0005-0000-0000-000029100000}"/>
    <cellStyle name="Date 5" xfId="4127" xr:uid="{00000000-0005-0000-0000-00002A100000}"/>
    <cellStyle name="Date 6" xfId="4128" xr:uid="{00000000-0005-0000-0000-00002B100000}"/>
    <cellStyle name="Date 7" xfId="4129" xr:uid="{00000000-0005-0000-0000-00002C100000}"/>
    <cellStyle name="Date 8" xfId="4130" xr:uid="{00000000-0005-0000-0000-00002D100000}"/>
    <cellStyle name="Date 9" xfId="4131" xr:uid="{00000000-0005-0000-0000-00002E100000}"/>
    <cellStyle name="Date Aligned" xfId="4132" xr:uid="{00000000-0005-0000-0000-00002F100000}"/>
    <cellStyle name="Date Aligned*" xfId="4133" xr:uid="{00000000-0005-0000-0000-000030100000}"/>
    <cellStyle name="Date Aligned_Model_Sep_2_02" xfId="4134" xr:uid="{00000000-0005-0000-0000-000031100000}"/>
    <cellStyle name="date title" xfId="4135" xr:uid="{00000000-0005-0000-0000-000032100000}"/>
    <cellStyle name="Date_0910 GSO Capex RRP - Final (Detail) v2 220710" xfId="4136" xr:uid="{00000000-0005-0000-0000-000033100000}"/>
    <cellStyle name="DateFormat" xfId="4137" xr:uid="{00000000-0005-0000-0000-000034100000}"/>
    <cellStyle name="DateLong" xfId="4138" xr:uid="{00000000-0005-0000-0000-000035100000}"/>
    <cellStyle name="DateLong 2" xfId="4139" xr:uid="{00000000-0005-0000-0000-000036100000}"/>
    <cellStyle name="DateLong 2 2" xfId="4140" xr:uid="{00000000-0005-0000-0000-000037100000}"/>
    <cellStyle name="DateLong 3" xfId="4141" xr:uid="{00000000-0005-0000-0000-000038100000}"/>
    <cellStyle name="DateLong 4" xfId="4142" xr:uid="{00000000-0005-0000-0000-000039100000}"/>
    <cellStyle name="DateLong_SGN_14m" xfId="4143" xr:uid="{00000000-0005-0000-0000-00003A100000}"/>
    <cellStyle name="DateShort" xfId="4144" xr:uid="{00000000-0005-0000-0000-00003B100000}"/>
    <cellStyle name="DateShort 2" xfId="4145" xr:uid="{00000000-0005-0000-0000-00003C100000}"/>
    <cellStyle name="DateShort 2 2" xfId="4146" xr:uid="{00000000-0005-0000-0000-00003D100000}"/>
    <cellStyle name="DateShort 3" xfId="4147" xr:uid="{00000000-0005-0000-0000-00003E100000}"/>
    <cellStyle name="DateShort_Extract of 13l 02-02-11 1610 for Alan" xfId="4148" xr:uid="{00000000-0005-0000-0000-00003F100000}"/>
    <cellStyle name="Dec places 0" xfId="4149" xr:uid="{00000000-0005-0000-0000-000040100000}"/>
    <cellStyle name="Dec places 1, millions" xfId="4150" xr:uid="{00000000-0005-0000-0000-000041100000}"/>
    <cellStyle name="Dec places 2" xfId="4151" xr:uid="{00000000-0005-0000-0000-000042100000}"/>
    <cellStyle name="Dec places 2, millions" xfId="4152" xr:uid="{00000000-0005-0000-0000-000043100000}"/>
    <cellStyle name="Dec places 2_Draft RIIO plan presentation template - Customer Opsx Centre V7" xfId="4153" xr:uid="{00000000-0005-0000-0000-000044100000}"/>
    <cellStyle name="Decimal_0dp" xfId="4154" xr:uid="{00000000-0005-0000-0000-000045100000}"/>
    <cellStyle name="Dezimal [0]_Anschreiben" xfId="4155" xr:uid="{00000000-0005-0000-0000-000046100000}"/>
    <cellStyle name="Dezimal_Anschreiben" xfId="4156" xr:uid="{00000000-0005-0000-0000-000047100000}"/>
    <cellStyle name="Directors" xfId="4157" xr:uid="{00000000-0005-0000-0000-000048100000}"/>
    <cellStyle name="dollar" xfId="4158" xr:uid="{00000000-0005-0000-0000-000049100000}"/>
    <cellStyle name="dollar[0]" xfId="4159" xr:uid="{00000000-0005-0000-0000-00004A100000}"/>
    <cellStyle name="dollar_Draft RIIO plan presentation template - Customer Opsx Centre V7" xfId="4160" xr:uid="{00000000-0005-0000-0000-00004B100000}"/>
    <cellStyle name="done" xfId="4161" xr:uid="{00000000-0005-0000-0000-00004C100000}"/>
    <cellStyle name="Dotted Line" xfId="4162" xr:uid="{00000000-0005-0000-0000-00004D100000}"/>
    <cellStyle name="DOWNFOOT" xfId="4163" xr:uid="{00000000-0005-0000-0000-00004E100000}"/>
    <cellStyle name="DP 0, no commas" xfId="4164" xr:uid="{00000000-0005-0000-0000-00004F100000}"/>
    <cellStyle name="Dziesiêtny [0]_1" xfId="4165" xr:uid="{00000000-0005-0000-0000-000050100000}"/>
    <cellStyle name="Dziesiêtny_1" xfId="4166" xr:uid="{00000000-0005-0000-0000-000051100000}"/>
    <cellStyle name="Emphasis 1" xfId="4167" xr:uid="{00000000-0005-0000-0000-000052100000}"/>
    <cellStyle name="Emphasis 2" xfId="4168" xr:uid="{00000000-0005-0000-0000-000053100000}"/>
    <cellStyle name="Emphasis 3" xfId="4169" xr:uid="{00000000-0005-0000-0000-000054100000}"/>
    <cellStyle name="Entered" xfId="4170" xr:uid="{00000000-0005-0000-0000-000055100000}"/>
    <cellStyle name="eps" xfId="4171" xr:uid="{00000000-0005-0000-0000-000056100000}"/>
    <cellStyle name="eps$" xfId="4172" xr:uid="{00000000-0005-0000-0000-000057100000}"/>
    <cellStyle name="eps$A" xfId="4173" xr:uid="{00000000-0005-0000-0000-000058100000}"/>
    <cellStyle name="eps$E" xfId="4174" xr:uid="{00000000-0005-0000-0000-000059100000}"/>
    <cellStyle name="epsA" xfId="4175" xr:uid="{00000000-0005-0000-0000-00005A100000}"/>
    <cellStyle name="epsE" xfId="4176" xr:uid="{00000000-0005-0000-0000-00005B100000}"/>
    <cellStyle name="Euro" xfId="4177" xr:uid="{00000000-0005-0000-0000-00005C100000}"/>
    <cellStyle name="Euro 2" xfId="4178" xr:uid="{00000000-0005-0000-0000-00005D100000}"/>
    <cellStyle name="Euro 3" xfId="4179" xr:uid="{00000000-0005-0000-0000-00005E100000}"/>
    <cellStyle name="Euro billion" xfId="4180" xr:uid="{00000000-0005-0000-0000-00005F100000}"/>
    <cellStyle name="Euro million" xfId="4181" xr:uid="{00000000-0005-0000-0000-000060100000}"/>
    <cellStyle name="Euro thousand" xfId="4182" xr:uid="{00000000-0005-0000-0000-000061100000}"/>
    <cellStyle name="Euro_Allocated Opex " xfId="4183" xr:uid="{00000000-0005-0000-0000-000062100000}"/>
    <cellStyle name="Explanatory Text 2" xfId="4184" xr:uid="{00000000-0005-0000-0000-000063100000}"/>
    <cellStyle name="Explanatory Text 2 2" xfId="4185" xr:uid="{00000000-0005-0000-0000-000064100000}"/>
    <cellStyle name="Explanatory Text 2 2 2" xfId="4186" xr:uid="{00000000-0005-0000-0000-000065100000}"/>
    <cellStyle name="Explanatory Text 2 2 2 2" xfId="4187" xr:uid="{00000000-0005-0000-0000-000066100000}"/>
    <cellStyle name="Explanatory Text 2 2 2 2 2" xfId="4188" xr:uid="{00000000-0005-0000-0000-000067100000}"/>
    <cellStyle name="Explanatory Text 2 2 2 3" xfId="4189" xr:uid="{00000000-0005-0000-0000-000068100000}"/>
    <cellStyle name="Explanatory Text 2 2 2 4" xfId="4190" xr:uid="{00000000-0005-0000-0000-000069100000}"/>
    <cellStyle name="Explanatory Text 2 2 3" xfId="4191" xr:uid="{00000000-0005-0000-0000-00006A100000}"/>
    <cellStyle name="Explanatory Text 2 2 3 2" xfId="4192" xr:uid="{00000000-0005-0000-0000-00006B100000}"/>
    <cellStyle name="Explanatory Text 2 2 3 2 2" xfId="4193" xr:uid="{00000000-0005-0000-0000-00006C100000}"/>
    <cellStyle name="Explanatory Text 2 2 4" xfId="4194" xr:uid="{00000000-0005-0000-0000-00006D100000}"/>
    <cellStyle name="Explanatory Text 2 2 5" xfId="4195" xr:uid="{00000000-0005-0000-0000-00006E100000}"/>
    <cellStyle name="Explanatory Text 2 2 6" xfId="4196" xr:uid="{00000000-0005-0000-0000-00006F100000}"/>
    <cellStyle name="Explanatory Text 2 2 6 2" xfId="4197" xr:uid="{00000000-0005-0000-0000-000070100000}"/>
    <cellStyle name="Explanatory Text 2 3" xfId="4198" xr:uid="{00000000-0005-0000-0000-000071100000}"/>
    <cellStyle name="Explanatory Text 2 4" xfId="4199" xr:uid="{00000000-0005-0000-0000-000072100000}"/>
    <cellStyle name="Explanatory Text 2 4 2" xfId="4200" xr:uid="{00000000-0005-0000-0000-000073100000}"/>
    <cellStyle name="Explanatory Text 2 4 2 2" xfId="4201" xr:uid="{00000000-0005-0000-0000-000074100000}"/>
    <cellStyle name="Explanatory Text 2 5" xfId="4202" xr:uid="{00000000-0005-0000-0000-000075100000}"/>
    <cellStyle name="Explanatory Text 2 5 2" xfId="4203" xr:uid="{00000000-0005-0000-0000-000076100000}"/>
    <cellStyle name="Explanatory Text 2 5 2 2" xfId="4204" xr:uid="{00000000-0005-0000-0000-000077100000}"/>
    <cellStyle name="Explanatory Text 2 6" xfId="4205" xr:uid="{00000000-0005-0000-0000-000078100000}"/>
    <cellStyle name="Explanatory Text 2 7" xfId="4206" xr:uid="{00000000-0005-0000-0000-000079100000}"/>
    <cellStyle name="Explanatory Text 3" xfId="4207" xr:uid="{00000000-0005-0000-0000-00007A100000}"/>
    <cellStyle name="Explanatory Text 3 2" xfId="4208" xr:uid="{00000000-0005-0000-0000-00007B100000}"/>
    <cellStyle name="Explanatory Text 3 3" xfId="4209" xr:uid="{00000000-0005-0000-0000-00007C100000}"/>
    <cellStyle name="Explanatory Text 4" xfId="4210" xr:uid="{00000000-0005-0000-0000-00007D100000}"/>
    <cellStyle name="Explanatory Text 5" xfId="4211" xr:uid="{00000000-0005-0000-0000-00007E100000}"/>
    <cellStyle name="Explanatory Text 6" xfId="4212" xr:uid="{00000000-0005-0000-0000-00007F100000}"/>
    <cellStyle name="Explanatory Text 7" xfId="4213" xr:uid="{00000000-0005-0000-0000-000080100000}"/>
    <cellStyle name="EYBlocked" xfId="4214" xr:uid="{00000000-0005-0000-0000-000081100000}"/>
    <cellStyle name="EYBlocked 2" xfId="4215" xr:uid="{00000000-0005-0000-0000-000082100000}"/>
    <cellStyle name="EYCallUp" xfId="4216" xr:uid="{00000000-0005-0000-0000-000083100000}"/>
    <cellStyle name="EYCheck" xfId="4217" xr:uid="{00000000-0005-0000-0000-000084100000}"/>
    <cellStyle name="EYDate" xfId="4218" xr:uid="{00000000-0005-0000-0000-000085100000}"/>
    <cellStyle name="EYDeviant" xfId="4219" xr:uid="{00000000-0005-0000-0000-000086100000}"/>
    <cellStyle name="EYDeviant 2" xfId="4220" xr:uid="{00000000-0005-0000-0000-000087100000}"/>
    <cellStyle name="EYFlag" xfId="4221" xr:uid="{00000000-0005-0000-0000-000088100000}"/>
    <cellStyle name="EYHeader1" xfId="4222" xr:uid="{00000000-0005-0000-0000-000089100000}"/>
    <cellStyle name="EYHeader1 2" xfId="4223" xr:uid="{00000000-0005-0000-0000-00008A100000}"/>
    <cellStyle name="EYHeader2" xfId="4224" xr:uid="{00000000-0005-0000-0000-00008B100000}"/>
    <cellStyle name="EYHeader3" xfId="4225" xr:uid="{00000000-0005-0000-0000-00008C100000}"/>
    <cellStyle name="EYInputDate" xfId="4226" xr:uid="{00000000-0005-0000-0000-00008D100000}"/>
    <cellStyle name="EYInputPercent" xfId="4227" xr:uid="{00000000-0005-0000-0000-00008E100000}"/>
    <cellStyle name="EYInputValue" xfId="4228" xr:uid="{00000000-0005-0000-0000-00008F100000}"/>
    <cellStyle name="EYNormal" xfId="4229" xr:uid="{00000000-0005-0000-0000-000090100000}"/>
    <cellStyle name="EYPercent" xfId="4230" xr:uid="{00000000-0005-0000-0000-000091100000}"/>
    <cellStyle name="EYPercent 2" xfId="4231" xr:uid="{00000000-0005-0000-0000-000092100000}"/>
    <cellStyle name="EYPercentCapped" xfId="4232" xr:uid="{00000000-0005-0000-0000-000093100000}"/>
    <cellStyle name="EYSubTotal" xfId="4233" xr:uid="{00000000-0005-0000-0000-000094100000}"/>
    <cellStyle name="EYSubTotal 2" xfId="4234" xr:uid="{00000000-0005-0000-0000-000095100000}"/>
    <cellStyle name="EYSubTotal 2 2" xfId="4235" xr:uid="{00000000-0005-0000-0000-000096100000}"/>
    <cellStyle name="EYSubTotal 3" xfId="4236" xr:uid="{00000000-0005-0000-0000-000097100000}"/>
    <cellStyle name="EYTotal" xfId="4237" xr:uid="{00000000-0005-0000-0000-000098100000}"/>
    <cellStyle name="EYTotal 2" xfId="4238" xr:uid="{00000000-0005-0000-0000-000099100000}"/>
    <cellStyle name="EYTotal 2 2" xfId="4239" xr:uid="{00000000-0005-0000-0000-00009A100000}"/>
    <cellStyle name="EYTotal 3" xfId="4240" xr:uid="{00000000-0005-0000-0000-00009B100000}"/>
    <cellStyle name="EYWIP" xfId="4241" xr:uid="{00000000-0005-0000-0000-00009C100000}"/>
    <cellStyle name="EYWIP 2" xfId="4242" xr:uid="{00000000-0005-0000-0000-00009D100000}"/>
    <cellStyle name="Ezres [0]_Munka1" xfId="4243" xr:uid="{00000000-0005-0000-0000-00009E100000}"/>
    <cellStyle name="Ezres_Munka1" xfId="4244" xr:uid="{00000000-0005-0000-0000-00009F100000}"/>
    <cellStyle name="Factor" xfId="4245" xr:uid="{00000000-0005-0000-0000-0000A0100000}"/>
    <cellStyle name="Factor 2" xfId="4246" xr:uid="{00000000-0005-0000-0000-0000A1100000}"/>
    <cellStyle name="Factor 2 2" xfId="4247" xr:uid="{00000000-0005-0000-0000-0000A2100000}"/>
    <cellStyle name="Factor 3" xfId="4248" xr:uid="{00000000-0005-0000-0000-0000A3100000}"/>
    <cellStyle name="Factor_Extract of 13l 02-02-11 1610 for Alan" xfId="4249" xr:uid="{00000000-0005-0000-0000-0000A4100000}"/>
    <cellStyle name="FieldName" xfId="4250" xr:uid="{00000000-0005-0000-0000-0000A5100000}"/>
    <cellStyle name="Fixed" xfId="4251" xr:uid="{00000000-0005-0000-0000-0000A6100000}"/>
    <cellStyle name="Font size 12 (bold)" xfId="4252" xr:uid="{00000000-0005-0000-0000-0000A7100000}"/>
    <cellStyle name="font size 8 (bold)" xfId="4253" xr:uid="{00000000-0005-0000-0000-0000A8100000}"/>
    <cellStyle name="FOOTER - Style1" xfId="4254" xr:uid="{00000000-0005-0000-0000-0000A9100000}"/>
    <cellStyle name="Footnote" xfId="4255" xr:uid="{00000000-0005-0000-0000-0000AA100000}"/>
    <cellStyle name="FORECAST" xfId="4256" xr:uid="{00000000-0005-0000-0000-0000AB100000}"/>
    <cellStyle name="Forecast Cell Column Heading" xfId="4257" xr:uid="{00000000-0005-0000-0000-0000AC100000}"/>
    <cellStyle name="Frontier" xfId="4258" xr:uid="{00000000-0005-0000-0000-0000AD100000}"/>
    <cellStyle name="fy_eps$" xfId="4259" xr:uid="{00000000-0005-0000-0000-0000AE100000}"/>
    <cellStyle name="g_rate" xfId="4260" xr:uid="{00000000-0005-0000-0000-0000AF100000}"/>
    <cellStyle name="GBP" xfId="4261" xr:uid="{00000000-0005-0000-0000-0000B0100000}"/>
    <cellStyle name="GBP billion" xfId="4262" xr:uid="{00000000-0005-0000-0000-0000B1100000}"/>
    <cellStyle name="GBP million" xfId="4263" xr:uid="{00000000-0005-0000-0000-0000B2100000}"/>
    <cellStyle name="GBP thousand" xfId="4264" xr:uid="{00000000-0005-0000-0000-0000B3100000}"/>
    <cellStyle name="General" xfId="4265" xr:uid="{00000000-0005-0000-0000-0000B4100000}"/>
    <cellStyle name="General 2" xfId="4266" xr:uid="{00000000-0005-0000-0000-0000B5100000}"/>
    <cellStyle name="Good 2" xfId="4267" xr:uid="{00000000-0005-0000-0000-0000B6100000}"/>
    <cellStyle name="Good 2 2" xfId="4268" xr:uid="{00000000-0005-0000-0000-0000B7100000}"/>
    <cellStyle name="Good 2 2 2" xfId="4269" xr:uid="{00000000-0005-0000-0000-0000B8100000}"/>
    <cellStyle name="Good 2 2 2 2" xfId="4270" xr:uid="{00000000-0005-0000-0000-0000B9100000}"/>
    <cellStyle name="Good 2 2 2 2 2" xfId="4271" xr:uid="{00000000-0005-0000-0000-0000BA100000}"/>
    <cellStyle name="Good 2 2 2 3" xfId="4272" xr:uid="{00000000-0005-0000-0000-0000BB100000}"/>
    <cellStyle name="Good 2 2 2 4" xfId="4273" xr:uid="{00000000-0005-0000-0000-0000BC100000}"/>
    <cellStyle name="Good 2 2 3" xfId="4274" xr:uid="{00000000-0005-0000-0000-0000BD100000}"/>
    <cellStyle name="Good 2 2 3 2" xfId="4275" xr:uid="{00000000-0005-0000-0000-0000BE100000}"/>
    <cellStyle name="Good 2 2 3 2 2" xfId="4276" xr:uid="{00000000-0005-0000-0000-0000BF100000}"/>
    <cellStyle name="Good 2 2 4" xfId="4277" xr:uid="{00000000-0005-0000-0000-0000C0100000}"/>
    <cellStyle name="Good 2 2 5" xfId="4278" xr:uid="{00000000-0005-0000-0000-0000C1100000}"/>
    <cellStyle name="Good 2 2 6" xfId="4279" xr:uid="{00000000-0005-0000-0000-0000C2100000}"/>
    <cellStyle name="Good 2 2 6 2" xfId="4280" xr:uid="{00000000-0005-0000-0000-0000C3100000}"/>
    <cellStyle name="Good 2 3" xfId="4281" xr:uid="{00000000-0005-0000-0000-0000C4100000}"/>
    <cellStyle name="Good 2 4" xfId="4282" xr:uid="{00000000-0005-0000-0000-0000C5100000}"/>
    <cellStyle name="Good 2 4 2" xfId="4283" xr:uid="{00000000-0005-0000-0000-0000C6100000}"/>
    <cellStyle name="Good 2 4 2 2" xfId="4284" xr:uid="{00000000-0005-0000-0000-0000C7100000}"/>
    <cellStyle name="Good 2 5" xfId="4285" xr:uid="{00000000-0005-0000-0000-0000C8100000}"/>
    <cellStyle name="Good 2 5 2" xfId="4286" xr:uid="{00000000-0005-0000-0000-0000C9100000}"/>
    <cellStyle name="Good 2 5 2 2" xfId="4287" xr:uid="{00000000-0005-0000-0000-0000CA100000}"/>
    <cellStyle name="Good 2 6" xfId="4288" xr:uid="{00000000-0005-0000-0000-0000CB100000}"/>
    <cellStyle name="Good 2 7" xfId="4289" xr:uid="{00000000-0005-0000-0000-0000CC100000}"/>
    <cellStyle name="Good 3" xfId="4290" xr:uid="{00000000-0005-0000-0000-0000CD100000}"/>
    <cellStyle name="Good 3 2" xfId="4291" xr:uid="{00000000-0005-0000-0000-0000CE100000}"/>
    <cellStyle name="Good 3 3" xfId="4292" xr:uid="{00000000-0005-0000-0000-0000CF100000}"/>
    <cellStyle name="Good 4" xfId="4293" xr:uid="{00000000-0005-0000-0000-0000D0100000}"/>
    <cellStyle name="Good 5" xfId="4294" xr:uid="{00000000-0005-0000-0000-0000D1100000}"/>
    <cellStyle name="Good 6" xfId="4295" xr:uid="{00000000-0005-0000-0000-0000D2100000}"/>
    <cellStyle name="Good 7" xfId="4296" xr:uid="{00000000-0005-0000-0000-0000D3100000}"/>
    <cellStyle name="gray text cells" xfId="4297" xr:uid="{00000000-0005-0000-0000-0000D4100000}"/>
    <cellStyle name="Grey" xfId="4298" xr:uid="{00000000-0005-0000-0000-0000D5100000}"/>
    <cellStyle name="GreyOrWhite" xfId="4299" xr:uid="{00000000-0005-0000-0000-0000D6100000}"/>
    <cellStyle name="hard no." xfId="4300" xr:uid="{00000000-0005-0000-0000-0000D7100000}"/>
    <cellStyle name="Hard Percent" xfId="4301" xr:uid="{00000000-0005-0000-0000-0000D8100000}"/>
    <cellStyle name="Header" xfId="4302" xr:uid="{00000000-0005-0000-0000-0000D9100000}"/>
    <cellStyle name="Header1" xfId="4303" xr:uid="{00000000-0005-0000-0000-0000DA100000}"/>
    <cellStyle name="Header2" xfId="4304" xr:uid="{00000000-0005-0000-0000-0000DB100000}"/>
    <cellStyle name="Heading" xfId="4305" xr:uid="{00000000-0005-0000-0000-0000DC100000}"/>
    <cellStyle name="Heading 1 2" xfId="4306" xr:uid="{00000000-0005-0000-0000-0000DD100000}"/>
    <cellStyle name="Heading 1 2 2" xfId="4307" xr:uid="{00000000-0005-0000-0000-0000DE100000}"/>
    <cellStyle name="Heading 1 2 2 2" xfId="4308" xr:uid="{00000000-0005-0000-0000-0000DF100000}"/>
    <cellStyle name="Heading 1 2 2 2 2" xfId="4309" xr:uid="{00000000-0005-0000-0000-0000E0100000}"/>
    <cellStyle name="Heading 1 2 2 2 2 2" xfId="4310" xr:uid="{00000000-0005-0000-0000-0000E1100000}"/>
    <cellStyle name="Heading 1 2 2 2 3" xfId="4311" xr:uid="{00000000-0005-0000-0000-0000E2100000}"/>
    <cellStyle name="Heading 1 2 2 2 4" xfId="4312" xr:uid="{00000000-0005-0000-0000-0000E3100000}"/>
    <cellStyle name="Heading 1 2 2 3" xfId="4313" xr:uid="{00000000-0005-0000-0000-0000E4100000}"/>
    <cellStyle name="Heading 1 2 2 3 2" xfId="4314" xr:uid="{00000000-0005-0000-0000-0000E5100000}"/>
    <cellStyle name="Heading 1 2 2 3 2 2" xfId="4315" xr:uid="{00000000-0005-0000-0000-0000E6100000}"/>
    <cellStyle name="Heading 1 2 2 4" xfId="4316" xr:uid="{00000000-0005-0000-0000-0000E7100000}"/>
    <cellStyle name="Heading 1 2 2 5" xfId="4317" xr:uid="{00000000-0005-0000-0000-0000E8100000}"/>
    <cellStyle name="Heading 1 2 2 6" xfId="4318" xr:uid="{00000000-0005-0000-0000-0000E9100000}"/>
    <cellStyle name="Heading 1 2 2 6 2" xfId="4319" xr:uid="{00000000-0005-0000-0000-0000EA100000}"/>
    <cellStyle name="Heading 1 2 3" xfId="4320" xr:uid="{00000000-0005-0000-0000-0000EB100000}"/>
    <cellStyle name="Heading 1 2 4" xfId="4321" xr:uid="{00000000-0005-0000-0000-0000EC100000}"/>
    <cellStyle name="Heading 1 2 4 2" xfId="4322" xr:uid="{00000000-0005-0000-0000-0000ED100000}"/>
    <cellStyle name="Heading 1 2 4 2 2" xfId="4323" xr:uid="{00000000-0005-0000-0000-0000EE100000}"/>
    <cellStyle name="Heading 1 2 5" xfId="4324" xr:uid="{00000000-0005-0000-0000-0000EF100000}"/>
    <cellStyle name="Heading 1 2 5 2" xfId="4325" xr:uid="{00000000-0005-0000-0000-0000F0100000}"/>
    <cellStyle name="Heading 1 2 5 2 2" xfId="4326" xr:uid="{00000000-0005-0000-0000-0000F1100000}"/>
    <cellStyle name="Heading 1 2 6" xfId="4327" xr:uid="{00000000-0005-0000-0000-0000F2100000}"/>
    <cellStyle name="Heading 1 2 7" xfId="4328" xr:uid="{00000000-0005-0000-0000-0000F3100000}"/>
    <cellStyle name="Heading 1 3" xfId="4329" xr:uid="{00000000-0005-0000-0000-0000F4100000}"/>
    <cellStyle name="Heading 1 3 2" xfId="4330" xr:uid="{00000000-0005-0000-0000-0000F5100000}"/>
    <cellStyle name="Heading 1 3 3" xfId="4331" xr:uid="{00000000-0005-0000-0000-0000F6100000}"/>
    <cellStyle name="Heading 1 4" xfId="4332" xr:uid="{00000000-0005-0000-0000-0000F7100000}"/>
    <cellStyle name="Heading 1 5" xfId="4333" xr:uid="{00000000-0005-0000-0000-0000F8100000}"/>
    <cellStyle name="Heading 1 6" xfId="4334" xr:uid="{00000000-0005-0000-0000-0000F9100000}"/>
    <cellStyle name="Heading 1 7" xfId="4335" xr:uid="{00000000-0005-0000-0000-0000FA100000}"/>
    <cellStyle name="Heading 2 2" xfId="4336" xr:uid="{00000000-0005-0000-0000-0000FB100000}"/>
    <cellStyle name="Heading 2 2 2" xfId="4337" xr:uid="{00000000-0005-0000-0000-0000FC100000}"/>
    <cellStyle name="Heading 2 2 2 2" xfId="4338" xr:uid="{00000000-0005-0000-0000-0000FD100000}"/>
    <cellStyle name="Heading 2 2 2 2 2" xfId="4339" xr:uid="{00000000-0005-0000-0000-0000FE100000}"/>
    <cellStyle name="Heading 2 2 2 2 2 2" xfId="4340" xr:uid="{00000000-0005-0000-0000-0000FF100000}"/>
    <cellStyle name="Heading 2 2 2 2 3" xfId="4341" xr:uid="{00000000-0005-0000-0000-000000110000}"/>
    <cellStyle name="Heading 2 2 2 2 4" xfId="4342" xr:uid="{00000000-0005-0000-0000-000001110000}"/>
    <cellStyle name="Heading 2 2 2 3" xfId="4343" xr:uid="{00000000-0005-0000-0000-000002110000}"/>
    <cellStyle name="Heading 2 2 2 3 2" xfId="4344" xr:uid="{00000000-0005-0000-0000-000003110000}"/>
    <cellStyle name="Heading 2 2 2 3 2 2" xfId="4345" xr:uid="{00000000-0005-0000-0000-000004110000}"/>
    <cellStyle name="Heading 2 2 2 4" xfId="4346" xr:uid="{00000000-0005-0000-0000-000005110000}"/>
    <cellStyle name="Heading 2 2 2 5" xfId="4347" xr:uid="{00000000-0005-0000-0000-000006110000}"/>
    <cellStyle name="Heading 2 2 2 6" xfId="4348" xr:uid="{00000000-0005-0000-0000-000007110000}"/>
    <cellStyle name="Heading 2 2 2 6 2" xfId="4349" xr:uid="{00000000-0005-0000-0000-000008110000}"/>
    <cellStyle name="Heading 2 2 3" xfId="4350" xr:uid="{00000000-0005-0000-0000-000009110000}"/>
    <cellStyle name="Heading 2 2 4" xfId="4351" xr:uid="{00000000-0005-0000-0000-00000A110000}"/>
    <cellStyle name="Heading 2 2 4 2" xfId="4352" xr:uid="{00000000-0005-0000-0000-00000B110000}"/>
    <cellStyle name="Heading 2 2 4 2 2" xfId="4353" xr:uid="{00000000-0005-0000-0000-00000C110000}"/>
    <cellStyle name="Heading 2 2 5" xfId="4354" xr:uid="{00000000-0005-0000-0000-00000D110000}"/>
    <cellStyle name="Heading 2 2 5 2" xfId="4355" xr:uid="{00000000-0005-0000-0000-00000E110000}"/>
    <cellStyle name="Heading 2 2 5 2 2" xfId="4356" xr:uid="{00000000-0005-0000-0000-00000F110000}"/>
    <cellStyle name="Heading 2 2 6" xfId="4357" xr:uid="{00000000-0005-0000-0000-000010110000}"/>
    <cellStyle name="Heading 2 2 7" xfId="4358" xr:uid="{00000000-0005-0000-0000-000011110000}"/>
    <cellStyle name="Heading 2 3" xfId="4359" xr:uid="{00000000-0005-0000-0000-000012110000}"/>
    <cellStyle name="Heading 2 3 2" xfId="4360" xr:uid="{00000000-0005-0000-0000-000013110000}"/>
    <cellStyle name="Heading 2 3 3" xfId="4361" xr:uid="{00000000-0005-0000-0000-000014110000}"/>
    <cellStyle name="Heading 2 4" xfId="4362" xr:uid="{00000000-0005-0000-0000-000015110000}"/>
    <cellStyle name="Heading 2 5" xfId="4363" xr:uid="{00000000-0005-0000-0000-000016110000}"/>
    <cellStyle name="Heading 2 6" xfId="4364" xr:uid="{00000000-0005-0000-0000-000017110000}"/>
    <cellStyle name="Heading 2 7" xfId="4365" xr:uid="{00000000-0005-0000-0000-000018110000}"/>
    <cellStyle name="Heading 3 2" xfId="4366" xr:uid="{00000000-0005-0000-0000-000019110000}"/>
    <cellStyle name="Heading 3 2 2" xfId="4367" xr:uid="{00000000-0005-0000-0000-00001A110000}"/>
    <cellStyle name="Heading 3 2 2 2" xfId="4368" xr:uid="{00000000-0005-0000-0000-00001B110000}"/>
    <cellStyle name="Heading 3 2 2 2 2" xfId="4369" xr:uid="{00000000-0005-0000-0000-00001C110000}"/>
    <cellStyle name="Heading 3 2 2 2 2 2" xfId="4370" xr:uid="{00000000-0005-0000-0000-00001D110000}"/>
    <cellStyle name="Heading 3 2 2 2 3" xfId="4371" xr:uid="{00000000-0005-0000-0000-00001E110000}"/>
    <cellStyle name="Heading 3 2 2 2 4" xfId="4372" xr:uid="{00000000-0005-0000-0000-00001F110000}"/>
    <cellStyle name="Heading 3 2 2 3" xfId="4373" xr:uid="{00000000-0005-0000-0000-000020110000}"/>
    <cellStyle name="Heading 3 2 2 3 2" xfId="4374" xr:uid="{00000000-0005-0000-0000-000021110000}"/>
    <cellStyle name="Heading 3 2 2 3 2 2" xfId="4375" xr:uid="{00000000-0005-0000-0000-000022110000}"/>
    <cellStyle name="Heading 3 2 2 4" xfId="4376" xr:uid="{00000000-0005-0000-0000-000023110000}"/>
    <cellStyle name="Heading 3 2 2 5" xfId="4377" xr:uid="{00000000-0005-0000-0000-000024110000}"/>
    <cellStyle name="Heading 3 2 2 6" xfId="4378" xr:uid="{00000000-0005-0000-0000-000025110000}"/>
    <cellStyle name="Heading 3 2 2 6 2" xfId="4379" xr:uid="{00000000-0005-0000-0000-000026110000}"/>
    <cellStyle name="Heading 3 2 3" xfId="4380" xr:uid="{00000000-0005-0000-0000-000027110000}"/>
    <cellStyle name="Heading 3 2 4" xfId="4381" xr:uid="{00000000-0005-0000-0000-000028110000}"/>
    <cellStyle name="Heading 3 2 4 2" xfId="4382" xr:uid="{00000000-0005-0000-0000-000029110000}"/>
    <cellStyle name="Heading 3 2 4 2 2" xfId="4383" xr:uid="{00000000-0005-0000-0000-00002A110000}"/>
    <cellStyle name="Heading 3 2 5" xfId="4384" xr:uid="{00000000-0005-0000-0000-00002B110000}"/>
    <cellStyle name="Heading 3 2 5 2" xfId="4385" xr:uid="{00000000-0005-0000-0000-00002C110000}"/>
    <cellStyle name="Heading 3 2 5 2 2" xfId="4386" xr:uid="{00000000-0005-0000-0000-00002D110000}"/>
    <cellStyle name="Heading 3 2 6" xfId="4387" xr:uid="{00000000-0005-0000-0000-00002E110000}"/>
    <cellStyle name="Heading 3 2 7" xfId="4388" xr:uid="{00000000-0005-0000-0000-00002F110000}"/>
    <cellStyle name="Heading 3 3" xfId="4389" xr:uid="{00000000-0005-0000-0000-000030110000}"/>
    <cellStyle name="Heading 3 3 2" xfId="4390" xr:uid="{00000000-0005-0000-0000-000031110000}"/>
    <cellStyle name="Heading 3 3 3" xfId="4391" xr:uid="{00000000-0005-0000-0000-000032110000}"/>
    <cellStyle name="Heading 3 4" xfId="4392" xr:uid="{00000000-0005-0000-0000-000033110000}"/>
    <cellStyle name="Heading 3 5" xfId="4393" xr:uid="{00000000-0005-0000-0000-000034110000}"/>
    <cellStyle name="Heading 3 6" xfId="4394" xr:uid="{00000000-0005-0000-0000-000035110000}"/>
    <cellStyle name="Heading 3 7" xfId="4395" xr:uid="{00000000-0005-0000-0000-000036110000}"/>
    <cellStyle name="Heading 4 2" xfId="4396" xr:uid="{00000000-0005-0000-0000-000037110000}"/>
    <cellStyle name="Heading 4 2 2" xfId="4397" xr:uid="{00000000-0005-0000-0000-000038110000}"/>
    <cellStyle name="Heading 4 2 2 2" xfId="4398" xr:uid="{00000000-0005-0000-0000-000039110000}"/>
    <cellStyle name="Heading 4 2 2 2 2" xfId="4399" xr:uid="{00000000-0005-0000-0000-00003A110000}"/>
    <cellStyle name="Heading 4 2 2 2 2 2" xfId="4400" xr:uid="{00000000-0005-0000-0000-00003B110000}"/>
    <cellStyle name="Heading 4 2 2 2 3" xfId="4401" xr:uid="{00000000-0005-0000-0000-00003C110000}"/>
    <cellStyle name="Heading 4 2 2 2 4" xfId="4402" xr:uid="{00000000-0005-0000-0000-00003D110000}"/>
    <cellStyle name="Heading 4 2 2 3" xfId="4403" xr:uid="{00000000-0005-0000-0000-00003E110000}"/>
    <cellStyle name="Heading 4 2 2 3 2" xfId="4404" xr:uid="{00000000-0005-0000-0000-00003F110000}"/>
    <cellStyle name="Heading 4 2 2 3 2 2" xfId="4405" xr:uid="{00000000-0005-0000-0000-000040110000}"/>
    <cellStyle name="Heading 4 2 2 4" xfId="4406" xr:uid="{00000000-0005-0000-0000-000041110000}"/>
    <cellStyle name="Heading 4 2 2 5" xfId="4407" xr:uid="{00000000-0005-0000-0000-000042110000}"/>
    <cellStyle name="Heading 4 2 2 6" xfId="4408" xr:uid="{00000000-0005-0000-0000-000043110000}"/>
    <cellStyle name="Heading 4 2 2 6 2" xfId="4409" xr:uid="{00000000-0005-0000-0000-000044110000}"/>
    <cellStyle name="Heading 4 2 3" xfId="4410" xr:uid="{00000000-0005-0000-0000-000045110000}"/>
    <cellStyle name="Heading 4 2 4" xfId="4411" xr:uid="{00000000-0005-0000-0000-000046110000}"/>
    <cellStyle name="Heading 4 2 4 2" xfId="4412" xr:uid="{00000000-0005-0000-0000-000047110000}"/>
    <cellStyle name="Heading 4 2 4 2 2" xfId="4413" xr:uid="{00000000-0005-0000-0000-000048110000}"/>
    <cellStyle name="Heading 4 2 5" xfId="4414" xr:uid="{00000000-0005-0000-0000-000049110000}"/>
    <cellStyle name="Heading 4 2 5 2" xfId="4415" xr:uid="{00000000-0005-0000-0000-00004A110000}"/>
    <cellStyle name="Heading 4 2 5 2 2" xfId="4416" xr:uid="{00000000-0005-0000-0000-00004B110000}"/>
    <cellStyle name="Heading 4 2 6" xfId="4417" xr:uid="{00000000-0005-0000-0000-00004C110000}"/>
    <cellStyle name="Heading 4 2 7" xfId="4418" xr:uid="{00000000-0005-0000-0000-00004D110000}"/>
    <cellStyle name="Heading 4 3" xfId="4419" xr:uid="{00000000-0005-0000-0000-00004E110000}"/>
    <cellStyle name="Heading 4 3 2" xfId="4420" xr:uid="{00000000-0005-0000-0000-00004F110000}"/>
    <cellStyle name="Heading 4 3 3" xfId="4421" xr:uid="{00000000-0005-0000-0000-000050110000}"/>
    <cellStyle name="Heading 4 4" xfId="4422" xr:uid="{00000000-0005-0000-0000-000051110000}"/>
    <cellStyle name="Heading 4 5" xfId="4423" xr:uid="{00000000-0005-0000-0000-000052110000}"/>
    <cellStyle name="Heading 4 6" xfId="4424" xr:uid="{00000000-0005-0000-0000-000053110000}"/>
    <cellStyle name="Heading 4 7" xfId="4425" xr:uid="{00000000-0005-0000-0000-000054110000}"/>
    <cellStyle name="Heading1" xfId="4426" xr:uid="{00000000-0005-0000-0000-000055110000}"/>
    <cellStyle name="Heading2" xfId="4427" xr:uid="{00000000-0005-0000-0000-000056110000}"/>
    <cellStyle name="HEADINGS" xfId="4428" xr:uid="{00000000-0005-0000-0000-000057110000}"/>
    <cellStyle name="Hidden" xfId="4429" xr:uid="{00000000-0005-0000-0000-000058110000}"/>
    <cellStyle name="HIGHLIGHT" xfId="4430" xr:uid="{00000000-0005-0000-0000-000059110000}"/>
    <cellStyle name="Historical" xfId="4431" xr:uid="{00000000-0005-0000-0000-00005A110000}"/>
    <cellStyle name="Hyperlink" xfId="48434" builtinId="8"/>
    <cellStyle name="Hyperlink 2" xfId="4432" xr:uid="{00000000-0005-0000-0000-00005B110000}"/>
    <cellStyle name="Hyperlink 2 10" xfId="4433" xr:uid="{00000000-0005-0000-0000-00005C110000}"/>
    <cellStyle name="Hyperlink 2 11" xfId="4434" xr:uid="{00000000-0005-0000-0000-00005D110000}"/>
    <cellStyle name="Hyperlink 2 12" xfId="4435" xr:uid="{00000000-0005-0000-0000-00005E110000}"/>
    <cellStyle name="Hyperlink 2 13" xfId="4436" xr:uid="{00000000-0005-0000-0000-00005F110000}"/>
    <cellStyle name="Hyperlink 2 14" xfId="4437" xr:uid="{00000000-0005-0000-0000-000060110000}"/>
    <cellStyle name="Hyperlink 2 15" xfId="4438" xr:uid="{00000000-0005-0000-0000-000061110000}"/>
    <cellStyle name="Hyperlink 2 16" xfId="4439" xr:uid="{00000000-0005-0000-0000-000062110000}"/>
    <cellStyle name="Hyperlink 2 17" xfId="4440" xr:uid="{00000000-0005-0000-0000-000063110000}"/>
    <cellStyle name="Hyperlink 2 18" xfId="4441" xr:uid="{00000000-0005-0000-0000-000064110000}"/>
    <cellStyle name="Hyperlink 2 19" xfId="4442" xr:uid="{00000000-0005-0000-0000-000065110000}"/>
    <cellStyle name="Hyperlink 2 2" xfId="4443" xr:uid="{00000000-0005-0000-0000-000066110000}"/>
    <cellStyle name="Hyperlink 2 2 2" xfId="4444" xr:uid="{00000000-0005-0000-0000-000067110000}"/>
    <cellStyle name="Hyperlink 2 2 2 2" xfId="4445" xr:uid="{00000000-0005-0000-0000-000068110000}"/>
    <cellStyle name="Hyperlink 2 20" xfId="4446" xr:uid="{00000000-0005-0000-0000-000069110000}"/>
    <cellStyle name="Hyperlink 2 3" xfId="4447" xr:uid="{00000000-0005-0000-0000-00006A110000}"/>
    <cellStyle name="Hyperlink 2 3 10" xfId="4448" xr:uid="{00000000-0005-0000-0000-00006B110000}"/>
    <cellStyle name="Hyperlink 2 3 11" xfId="4449" xr:uid="{00000000-0005-0000-0000-00006C110000}"/>
    <cellStyle name="Hyperlink 2 3 12" xfId="4450" xr:uid="{00000000-0005-0000-0000-00006D110000}"/>
    <cellStyle name="Hyperlink 2 3 13" xfId="4451" xr:uid="{00000000-0005-0000-0000-00006E110000}"/>
    <cellStyle name="Hyperlink 2 3 2" xfId="4452" xr:uid="{00000000-0005-0000-0000-00006F110000}"/>
    <cellStyle name="Hyperlink 2 3 3" xfId="4453" xr:uid="{00000000-0005-0000-0000-000070110000}"/>
    <cellStyle name="Hyperlink 2 3 4" xfId="4454" xr:uid="{00000000-0005-0000-0000-000071110000}"/>
    <cellStyle name="Hyperlink 2 3 5" xfId="4455" xr:uid="{00000000-0005-0000-0000-000072110000}"/>
    <cellStyle name="Hyperlink 2 3 6" xfId="4456" xr:uid="{00000000-0005-0000-0000-000073110000}"/>
    <cellStyle name="Hyperlink 2 3 7" xfId="4457" xr:uid="{00000000-0005-0000-0000-000074110000}"/>
    <cellStyle name="Hyperlink 2 3 8" xfId="4458" xr:uid="{00000000-0005-0000-0000-000075110000}"/>
    <cellStyle name="Hyperlink 2 3 9" xfId="4459" xr:uid="{00000000-0005-0000-0000-000076110000}"/>
    <cellStyle name="Hyperlink 2 4" xfId="4460" xr:uid="{00000000-0005-0000-0000-000077110000}"/>
    <cellStyle name="Hyperlink 2 5" xfId="4461" xr:uid="{00000000-0005-0000-0000-000078110000}"/>
    <cellStyle name="Hyperlink 2 6" xfId="4462" xr:uid="{00000000-0005-0000-0000-000079110000}"/>
    <cellStyle name="Hyperlink 2 7" xfId="4463" xr:uid="{00000000-0005-0000-0000-00007A110000}"/>
    <cellStyle name="Hyperlink 2 8" xfId="4464" xr:uid="{00000000-0005-0000-0000-00007B110000}"/>
    <cellStyle name="Hyperlink 2 9" xfId="4465" xr:uid="{00000000-0005-0000-0000-00007C110000}"/>
    <cellStyle name="Hyperlink 2_Book1" xfId="4466" xr:uid="{00000000-0005-0000-0000-00007D110000}"/>
    <cellStyle name="Hyperlink 3" xfId="4467" xr:uid="{00000000-0005-0000-0000-00007E110000}"/>
    <cellStyle name="Hyperlink 3 10" xfId="4468" xr:uid="{00000000-0005-0000-0000-00007F110000}"/>
    <cellStyle name="Hyperlink 3 11" xfId="4469" xr:uid="{00000000-0005-0000-0000-000080110000}"/>
    <cellStyle name="Hyperlink 3 12" xfId="4470" xr:uid="{00000000-0005-0000-0000-000081110000}"/>
    <cellStyle name="Hyperlink 3 13" xfId="4471" xr:uid="{00000000-0005-0000-0000-000082110000}"/>
    <cellStyle name="Hyperlink 3 2" xfId="4472" xr:uid="{00000000-0005-0000-0000-000083110000}"/>
    <cellStyle name="Hyperlink 3 3" xfId="4473" xr:uid="{00000000-0005-0000-0000-000084110000}"/>
    <cellStyle name="Hyperlink 3 4" xfId="4474" xr:uid="{00000000-0005-0000-0000-000085110000}"/>
    <cellStyle name="Hyperlink 3 5" xfId="4475" xr:uid="{00000000-0005-0000-0000-000086110000}"/>
    <cellStyle name="Hyperlink 3 6" xfId="4476" xr:uid="{00000000-0005-0000-0000-000087110000}"/>
    <cellStyle name="Hyperlink 3 7" xfId="4477" xr:uid="{00000000-0005-0000-0000-000088110000}"/>
    <cellStyle name="Hyperlink 3 8" xfId="4478" xr:uid="{00000000-0005-0000-0000-000089110000}"/>
    <cellStyle name="Hyperlink 3 9" xfId="4479" xr:uid="{00000000-0005-0000-0000-00008A110000}"/>
    <cellStyle name="Hyperlink 4" xfId="4480" xr:uid="{00000000-0005-0000-0000-00008B110000}"/>
    <cellStyle name="Hyperlink 4 10" xfId="4481" xr:uid="{00000000-0005-0000-0000-00008C110000}"/>
    <cellStyle name="Hyperlink 4 11" xfId="4482" xr:uid="{00000000-0005-0000-0000-00008D110000}"/>
    <cellStyle name="Hyperlink 4 12" xfId="4483" xr:uid="{00000000-0005-0000-0000-00008E110000}"/>
    <cellStyle name="Hyperlink 4 13" xfId="4484" xr:uid="{00000000-0005-0000-0000-00008F110000}"/>
    <cellStyle name="Hyperlink 4 2" xfId="4485" xr:uid="{00000000-0005-0000-0000-000090110000}"/>
    <cellStyle name="Hyperlink 4 3" xfId="4486" xr:uid="{00000000-0005-0000-0000-000091110000}"/>
    <cellStyle name="Hyperlink 4 4" xfId="4487" xr:uid="{00000000-0005-0000-0000-000092110000}"/>
    <cellStyle name="Hyperlink 4 5" xfId="4488" xr:uid="{00000000-0005-0000-0000-000093110000}"/>
    <cellStyle name="Hyperlink 4 6" xfId="4489" xr:uid="{00000000-0005-0000-0000-000094110000}"/>
    <cellStyle name="Hyperlink 4 7" xfId="4490" xr:uid="{00000000-0005-0000-0000-000095110000}"/>
    <cellStyle name="Hyperlink 4 8" xfId="4491" xr:uid="{00000000-0005-0000-0000-000096110000}"/>
    <cellStyle name="Hyperlink 4 9" xfId="4492" xr:uid="{00000000-0005-0000-0000-000097110000}"/>
    <cellStyle name="Hyperlink 5" xfId="4493" xr:uid="{00000000-0005-0000-0000-000098110000}"/>
    <cellStyle name="Hyperlink 6" xfId="4494" xr:uid="{00000000-0005-0000-0000-000099110000}"/>
    <cellStyle name="Hyperlink 7" xfId="48228" xr:uid="{00000000-0005-0000-0000-00009A110000}"/>
    <cellStyle name="Incomplete" xfId="4495" xr:uid="{00000000-0005-0000-0000-00009B110000}"/>
    <cellStyle name="Input [yellow]" xfId="4496" xr:uid="{00000000-0005-0000-0000-00009C110000}"/>
    <cellStyle name="Input 2" xfId="4497" xr:uid="{00000000-0005-0000-0000-00009D110000}"/>
    <cellStyle name="Input 2 10" xfId="4498" xr:uid="{00000000-0005-0000-0000-00009E110000}"/>
    <cellStyle name="Input 2 10 2" xfId="4499" xr:uid="{00000000-0005-0000-0000-00009F110000}"/>
    <cellStyle name="Input 2 11" xfId="4500" xr:uid="{00000000-0005-0000-0000-0000A0110000}"/>
    <cellStyle name="Input 2 12" xfId="4501" xr:uid="{00000000-0005-0000-0000-0000A1110000}"/>
    <cellStyle name="Input 2 13" xfId="4502" xr:uid="{00000000-0005-0000-0000-0000A2110000}"/>
    <cellStyle name="Input 2 14" xfId="4503" xr:uid="{00000000-0005-0000-0000-0000A3110000}"/>
    <cellStyle name="Input 2 15" xfId="4504" xr:uid="{00000000-0005-0000-0000-0000A4110000}"/>
    <cellStyle name="Input 2 16" xfId="4505" xr:uid="{00000000-0005-0000-0000-0000A5110000}"/>
    <cellStyle name="Input 2 17" xfId="4506" xr:uid="{00000000-0005-0000-0000-0000A6110000}"/>
    <cellStyle name="Input 2 18" xfId="4507" xr:uid="{00000000-0005-0000-0000-0000A7110000}"/>
    <cellStyle name="Input 2 19" xfId="4508" xr:uid="{00000000-0005-0000-0000-0000A8110000}"/>
    <cellStyle name="Input 2 2" xfId="4509" xr:uid="{00000000-0005-0000-0000-0000A9110000}"/>
    <cellStyle name="Input 2 2 10" xfId="4510" xr:uid="{00000000-0005-0000-0000-0000AA110000}"/>
    <cellStyle name="Input 2 2 11" xfId="4511" xr:uid="{00000000-0005-0000-0000-0000AB110000}"/>
    <cellStyle name="Input 2 2 12" xfId="4512" xr:uid="{00000000-0005-0000-0000-0000AC110000}"/>
    <cellStyle name="Input 2 2 13" xfId="4513" xr:uid="{00000000-0005-0000-0000-0000AD110000}"/>
    <cellStyle name="Input 2 2 14" xfId="4514" xr:uid="{00000000-0005-0000-0000-0000AE110000}"/>
    <cellStyle name="Input 2 2 15" xfId="4515" xr:uid="{00000000-0005-0000-0000-0000AF110000}"/>
    <cellStyle name="Input 2 2 16" xfId="4516" xr:uid="{00000000-0005-0000-0000-0000B0110000}"/>
    <cellStyle name="Input 2 2 17" xfId="4517" xr:uid="{00000000-0005-0000-0000-0000B1110000}"/>
    <cellStyle name="Input 2 2 18" xfId="4518" xr:uid="{00000000-0005-0000-0000-0000B2110000}"/>
    <cellStyle name="Input 2 2 19" xfId="4519" xr:uid="{00000000-0005-0000-0000-0000B3110000}"/>
    <cellStyle name="Input 2 2 2" xfId="4520" xr:uid="{00000000-0005-0000-0000-0000B4110000}"/>
    <cellStyle name="Input 2 2 2 2" xfId="4521" xr:uid="{00000000-0005-0000-0000-0000B5110000}"/>
    <cellStyle name="Input 2 2 2 3" xfId="4522" xr:uid="{00000000-0005-0000-0000-0000B6110000}"/>
    <cellStyle name="Input 2 2 20" xfId="4523" xr:uid="{00000000-0005-0000-0000-0000B7110000}"/>
    <cellStyle name="Input 2 2 21" xfId="4524" xr:uid="{00000000-0005-0000-0000-0000B8110000}"/>
    <cellStyle name="Input 2 2 22" xfId="4525" xr:uid="{00000000-0005-0000-0000-0000B9110000}"/>
    <cellStyle name="Input 2 2 23" xfId="4526" xr:uid="{00000000-0005-0000-0000-0000BA110000}"/>
    <cellStyle name="Input 2 2 24" xfId="4527" xr:uid="{00000000-0005-0000-0000-0000BB110000}"/>
    <cellStyle name="Input 2 2 25" xfId="4528" xr:uid="{00000000-0005-0000-0000-0000BC110000}"/>
    <cellStyle name="Input 2 2 26" xfId="4529" xr:uid="{00000000-0005-0000-0000-0000BD110000}"/>
    <cellStyle name="Input 2 2 27" xfId="4530" xr:uid="{00000000-0005-0000-0000-0000BE110000}"/>
    <cellStyle name="Input 2 2 28" xfId="4531" xr:uid="{00000000-0005-0000-0000-0000BF110000}"/>
    <cellStyle name="Input 2 2 29" xfId="4532" xr:uid="{00000000-0005-0000-0000-0000C0110000}"/>
    <cellStyle name="Input 2 2 3" xfId="4533" xr:uid="{00000000-0005-0000-0000-0000C1110000}"/>
    <cellStyle name="Input 2 2 3 2" xfId="4534" xr:uid="{00000000-0005-0000-0000-0000C2110000}"/>
    <cellStyle name="Input 2 2 3 3" xfId="4535" xr:uid="{00000000-0005-0000-0000-0000C3110000}"/>
    <cellStyle name="Input 2 2 30" xfId="4536" xr:uid="{00000000-0005-0000-0000-0000C4110000}"/>
    <cellStyle name="Input 2 2 31" xfId="4537" xr:uid="{00000000-0005-0000-0000-0000C5110000}"/>
    <cellStyle name="Input 2 2 32" xfId="4538" xr:uid="{00000000-0005-0000-0000-0000C6110000}"/>
    <cellStyle name="Input 2 2 4" xfId="4539" xr:uid="{00000000-0005-0000-0000-0000C7110000}"/>
    <cellStyle name="Input 2 2 5" xfId="4540" xr:uid="{00000000-0005-0000-0000-0000C8110000}"/>
    <cellStyle name="Input 2 2 6" xfId="4541" xr:uid="{00000000-0005-0000-0000-0000C9110000}"/>
    <cellStyle name="Input 2 2 7" xfId="4542" xr:uid="{00000000-0005-0000-0000-0000CA110000}"/>
    <cellStyle name="Input 2 2 8" xfId="4543" xr:uid="{00000000-0005-0000-0000-0000CB110000}"/>
    <cellStyle name="Input 2 2 9" xfId="4544" xr:uid="{00000000-0005-0000-0000-0000CC110000}"/>
    <cellStyle name="Input 2 20" xfId="4545" xr:uid="{00000000-0005-0000-0000-0000CD110000}"/>
    <cellStyle name="Input 2 21" xfId="4546" xr:uid="{00000000-0005-0000-0000-0000CE110000}"/>
    <cellStyle name="Input 2 22" xfId="4547" xr:uid="{00000000-0005-0000-0000-0000CF110000}"/>
    <cellStyle name="Input 2 23" xfId="4548" xr:uid="{00000000-0005-0000-0000-0000D0110000}"/>
    <cellStyle name="Input 2 24" xfId="4549" xr:uid="{00000000-0005-0000-0000-0000D1110000}"/>
    <cellStyle name="Input 2 25" xfId="4550" xr:uid="{00000000-0005-0000-0000-0000D2110000}"/>
    <cellStyle name="Input 2 26" xfId="4551" xr:uid="{00000000-0005-0000-0000-0000D3110000}"/>
    <cellStyle name="Input 2 27" xfId="4552" xr:uid="{00000000-0005-0000-0000-0000D4110000}"/>
    <cellStyle name="Input 2 28" xfId="4553" xr:uid="{00000000-0005-0000-0000-0000D5110000}"/>
    <cellStyle name="Input 2 29" xfId="4554" xr:uid="{00000000-0005-0000-0000-0000D6110000}"/>
    <cellStyle name="Input 2 3" xfId="4555" xr:uid="{00000000-0005-0000-0000-0000D7110000}"/>
    <cellStyle name="Input 2 3 10" xfId="4556" xr:uid="{00000000-0005-0000-0000-0000D8110000}"/>
    <cellStyle name="Input 2 3 11" xfId="4557" xr:uid="{00000000-0005-0000-0000-0000D9110000}"/>
    <cellStyle name="Input 2 3 12" xfId="4558" xr:uid="{00000000-0005-0000-0000-0000DA110000}"/>
    <cellStyle name="Input 2 3 13" xfId="4559" xr:uid="{00000000-0005-0000-0000-0000DB110000}"/>
    <cellStyle name="Input 2 3 14" xfId="4560" xr:uid="{00000000-0005-0000-0000-0000DC110000}"/>
    <cellStyle name="Input 2 3 15" xfId="4561" xr:uid="{00000000-0005-0000-0000-0000DD110000}"/>
    <cellStyle name="Input 2 3 16" xfId="4562" xr:uid="{00000000-0005-0000-0000-0000DE110000}"/>
    <cellStyle name="Input 2 3 17" xfId="4563" xr:uid="{00000000-0005-0000-0000-0000DF110000}"/>
    <cellStyle name="Input 2 3 18" xfId="4564" xr:uid="{00000000-0005-0000-0000-0000E0110000}"/>
    <cellStyle name="Input 2 3 19" xfId="4565" xr:uid="{00000000-0005-0000-0000-0000E1110000}"/>
    <cellStyle name="Input 2 3 2" xfId="4566" xr:uid="{00000000-0005-0000-0000-0000E2110000}"/>
    <cellStyle name="Input 2 3 2 2" xfId="4567" xr:uid="{00000000-0005-0000-0000-0000E3110000}"/>
    <cellStyle name="Input 2 3 2 3" xfId="4568" xr:uid="{00000000-0005-0000-0000-0000E4110000}"/>
    <cellStyle name="Input 2 3 20" xfId="4569" xr:uid="{00000000-0005-0000-0000-0000E5110000}"/>
    <cellStyle name="Input 2 3 21" xfId="4570" xr:uid="{00000000-0005-0000-0000-0000E6110000}"/>
    <cellStyle name="Input 2 3 22" xfId="4571" xr:uid="{00000000-0005-0000-0000-0000E7110000}"/>
    <cellStyle name="Input 2 3 23" xfId="4572" xr:uid="{00000000-0005-0000-0000-0000E8110000}"/>
    <cellStyle name="Input 2 3 24" xfId="4573" xr:uid="{00000000-0005-0000-0000-0000E9110000}"/>
    <cellStyle name="Input 2 3 25" xfId="4574" xr:uid="{00000000-0005-0000-0000-0000EA110000}"/>
    <cellStyle name="Input 2 3 26" xfId="4575" xr:uid="{00000000-0005-0000-0000-0000EB110000}"/>
    <cellStyle name="Input 2 3 27" xfId="4576" xr:uid="{00000000-0005-0000-0000-0000EC110000}"/>
    <cellStyle name="Input 2 3 28" xfId="4577" xr:uid="{00000000-0005-0000-0000-0000ED110000}"/>
    <cellStyle name="Input 2 3 29" xfId="4578" xr:uid="{00000000-0005-0000-0000-0000EE110000}"/>
    <cellStyle name="Input 2 3 3" xfId="4579" xr:uid="{00000000-0005-0000-0000-0000EF110000}"/>
    <cellStyle name="Input 2 3 3 2" xfId="4580" xr:uid="{00000000-0005-0000-0000-0000F0110000}"/>
    <cellStyle name="Input 2 3 3 3" xfId="4581" xr:uid="{00000000-0005-0000-0000-0000F1110000}"/>
    <cellStyle name="Input 2 3 30" xfId="4582" xr:uid="{00000000-0005-0000-0000-0000F2110000}"/>
    <cellStyle name="Input 2 3 31" xfId="4583" xr:uid="{00000000-0005-0000-0000-0000F3110000}"/>
    <cellStyle name="Input 2 3 32" xfId="4584" xr:uid="{00000000-0005-0000-0000-0000F4110000}"/>
    <cellStyle name="Input 2 3 4" xfId="4585" xr:uid="{00000000-0005-0000-0000-0000F5110000}"/>
    <cellStyle name="Input 2 3 5" xfId="4586" xr:uid="{00000000-0005-0000-0000-0000F6110000}"/>
    <cellStyle name="Input 2 3 6" xfId="4587" xr:uid="{00000000-0005-0000-0000-0000F7110000}"/>
    <cellStyle name="Input 2 3 7" xfId="4588" xr:uid="{00000000-0005-0000-0000-0000F8110000}"/>
    <cellStyle name="Input 2 3 8" xfId="4589" xr:uid="{00000000-0005-0000-0000-0000F9110000}"/>
    <cellStyle name="Input 2 3 9" xfId="4590" xr:uid="{00000000-0005-0000-0000-0000FA110000}"/>
    <cellStyle name="Input 2 30" xfId="4591" xr:uid="{00000000-0005-0000-0000-0000FB110000}"/>
    <cellStyle name="Input 2 31" xfId="4592" xr:uid="{00000000-0005-0000-0000-0000FC110000}"/>
    <cellStyle name="Input 2 32" xfId="4593" xr:uid="{00000000-0005-0000-0000-0000FD110000}"/>
    <cellStyle name="Input 2 33" xfId="4594" xr:uid="{00000000-0005-0000-0000-0000FE110000}"/>
    <cellStyle name="Input 2 34" xfId="4595" xr:uid="{00000000-0005-0000-0000-0000FF110000}"/>
    <cellStyle name="Input 2 35" xfId="4596" xr:uid="{00000000-0005-0000-0000-000000120000}"/>
    <cellStyle name="Input 2 36" xfId="4597" xr:uid="{00000000-0005-0000-0000-000001120000}"/>
    <cellStyle name="Input 2 4" xfId="4598" xr:uid="{00000000-0005-0000-0000-000002120000}"/>
    <cellStyle name="Input 2 4 10" xfId="4599" xr:uid="{00000000-0005-0000-0000-000003120000}"/>
    <cellStyle name="Input 2 4 11" xfId="4600" xr:uid="{00000000-0005-0000-0000-000004120000}"/>
    <cellStyle name="Input 2 4 12" xfId="4601" xr:uid="{00000000-0005-0000-0000-000005120000}"/>
    <cellStyle name="Input 2 4 13" xfId="4602" xr:uid="{00000000-0005-0000-0000-000006120000}"/>
    <cellStyle name="Input 2 4 14" xfId="4603" xr:uid="{00000000-0005-0000-0000-000007120000}"/>
    <cellStyle name="Input 2 4 15" xfId="4604" xr:uid="{00000000-0005-0000-0000-000008120000}"/>
    <cellStyle name="Input 2 4 16" xfId="4605" xr:uid="{00000000-0005-0000-0000-000009120000}"/>
    <cellStyle name="Input 2 4 17" xfId="4606" xr:uid="{00000000-0005-0000-0000-00000A120000}"/>
    <cellStyle name="Input 2 4 18" xfId="4607" xr:uid="{00000000-0005-0000-0000-00000B120000}"/>
    <cellStyle name="Input 2 4 19" xfId="4608" xr:uid="{00000000-0005-0000-0000-00000C120000}"/>
    <cellStyle name="Input 2 4 2" xfId="4609" xr:uid="{00000000-0005-0000-0000-00000D120000}"/>
    <cellStyle name="Input 2 4 2 2" xfId="4610" xr:uid="{00000000-0005-0000-0000-00000E120000}"/>
    <cellStyle name="Input 2 4 2 3" xfId="4611" xr:uid="{00000000-0005-0000-0000-00000F120000}"/>
    <cellStyle name="Input 2 4 20" xfId="4612" xr:uid="{00000000-0005-0000-0000-000010120000}"/>
    <cellStyle name="Input 2 4 21" xfId="4613" xr:uid="{00000000-0005-0000-0000-000011120000}"/>
    <cellStyle name="Input 2 4 22" xfId="4614" xr:uid="{00000000-0005-0000-0000-000012120000}"/>
    <cellStyle name="Input 2 4 23" xfId="4615" xr:uid="{00000000-0005-0000-0000-000013120000}"/>
    <cellStyle name="Input 2 4 24" xfId="4616" xr:uid="{00000000-0005-0000-0000-000014120000}"/>
    <cellStyle name="Input 2 4 25" xfId="4617" xr:uid="{00000000-0005-0000-0000-000015120000}"/>
    <cellStyle name="Input 2 4 26" xfId="4618" xr:uid="{00000000-0005-0000-0000-000016120000}"/>
    <cellStyle name="Input 2 4 27" xfId="4619" xr:uid="{00000000-0005-0000-0000-000017120000}"/>
    <cellStyle name="Input 2 4 28" xfId="4620" xr:uid="{00000000-0005-0000-0000-000018120000}"/>
    <cellStyle name="Input 2 4 29" xfId="4621" xr:uid="{00000000-0005-0000-0000-000019120000}"/>
    <cellStyle name="Input 2 4 3" xfId="4622" xr:uid="{00000000-0005-0000-0000-00001A120000}"/>
    <cellStyle name="Input 2 4 3 2" xfId="4623" xr:uid="{00000000-0005-0000-0000-00001B120000}"/>
    <cellStyle name="Input 2 4 3 3" xfId="4624" xr:uid="{00000000-0005-0000-0000-00001C120000}"/>
    <cellStyle name="Input 2 4 30" xfId="4625" xr:uid="{00000000-0005-0000-0000-00001D120000}"/>
    <cellStyle name="Input 2 4 31" xfId="4626" xr:uid="{00000000-0005-0000-0000-00001E120000}"/>
    <cellStyle name="Input 2 4 32" xfId="4627" xr:uid="{00000000-0005-0000-0000-00001F120000}"/>
    <cellStyle name="Input 2 4 4" xfId="4628" xr:uid="{00000000-0005-0000-0000-000020120000}"/>
    <cellStyle name="Input 2 4 5" xfId="4629" xr:uid="{00000000-0005-0000-0000-000021120000}"/>
    <cellStyle name="Input 2 4 6" xfId="4630" xr:uid="{00000000-0005-0000-0000-000022120000}"/>
    <cellStyle name="Input 2 4 7" xfId="4631" xr:uid="{00000000-0005-0000-0000-000023120000}"/>
    <cellStyle name="Input 2 4 8" xfId="4632" xr:uid="{00000000-0005-0000-0000-000024120000}"/>
    <cellStyle name="Input 2 4 9" xfId="4633" xr:uid="{00000000-0005-0000-0000-000025120000}"/>
    <cellStyle name="Input 2 5" xfId="4634" xr:uid="{00000000-0005-0000-0000-000026120000}"/>
    <cellStyle name="Input 2 5 10" xfId="4635" xr:uid="{00000000-0005-0000-0000-000027120000}"/>
    <cellStyle name="Input 2 5 11" xfId="4636" xr:uid="{00000000-0005-0000-0000-000028120000}"/>
    <cellStyle name="Input 2 5 12" xfId="4637" xr:uid="{00000000-0005-0000-0000-000029120000}"/>
    <cellStyle name="Input 2 5 13" xfId="4638" xr:uid="{00000000-0005-0000-0000-00002A120000}"/>
    <cellStyle name="Input 2 5 14" xfId="4639" xr:uid="{00000000-0005-0000-0000-00002B120000}"/>
    <cellStyle name="Input 2 5 15" xfId="4640" xr:uid="{00000000-0005-0000-0000-00002C120000}"/>
    <cellStyle name="Input 2 5 16" xfId="4641" xr:uid="{00000000-0005-0000-0000-00002D120000}"/>
    <cellStyle name="Input 2 5 17" xfId="4642" xr:uid="{00000000-0005-0000-0000-00002E120000}"/>
    <cellStyle name="Input 2 5 18" xfId="4643" xr:uid="{00000000-0005-0000-0000-00002F120000}"/>
    <cellStyle name="Input 2 5 19" xfId="4644" xr:uid="{00000000-0005-0000-0000-000030120000}"/>
    <cellStyle name="Input 2 5 2" xfId="4645" xr:uid="{00000000-0005-0000-0000-000031120000}"/>
    <cellStyle name="Input 2 5 2 2" xfId="4646" xr:uid="{00000000-0005-0000-0000-000032120000}"/>
    <cellStyle name="Input 2 5 2 3" xfId="4647" xr:uid="{00000000-0005-0000-0000-000033120000}"/>
    <cellStyle name="Input 2 5 20" xfId="4648" xr:uid="{00000000-0005-0000-0000-000034120000}"/>
    <cellStyle name="Input 2 5 21" xfId="4649" xr:uid="{00000000-0005-0000-0000-000035120000}"/>
    <cellStyle name="Input 2 5 22" xfId="4650" xr:uid="{00000000-0005-0000-0000-000036120000}"/>
    <cellStyle name="Input 2 5 23" xfId="4651" xr:uid="{00000000-0005-0000-0000-000037120000}"/>
    <cellStyle name="Input 2 5 24" xfId="4652" xr:uid="{00000000-0005-0000-0000-000038120000}"/>
    <cellStyle name="Input 2 5 25" xfId="4653" xr:uid="{00000000-0005-0000-0000-000039120000}"/>
    <cellStyle name="Input 2 5 26" xfId="4654" xr:uid="{00000000-0005-0000-0000-00003A120000}"/>
    <cellStyle name="Input 2 5 27" xfId="4655" xr:uid="{00000000-0005-0000-0000-00003B120000}"/>
    <cellStyle name="Input 2 5 28" xfId="4656" xr:uid="{00000000-0005-0000-0000-00003C120000}"/>
    <cellStyle name="Input 2 5 29" xfId="4657" xr:uid="{00000000-0005-0000-0000-00003D120000}"/>
    <cellStyle name="Input 2 5 3" xfId="4658" xr:uid="{00000000-0005-0000-0000-00003E120000}"/>
    <cellStyle name="Input 2 5 3 2" xfId="4659" xr:uid="{00000000-0005-0000-0000-00003F120000}"/>
    <cellStyle name="Input 2 5 3 3" xfId="4660" xr:uid="{00000000-0005-0000-0000-000040120000}"/>
    <cellStyle name="Input 2 5 30" xfId="4661" xr:uid="{00000000-0005-0000-0000-000041120000}"/>
    <cellStyle name="Input 2 5 31" xfId="4662" xr:uid="{00000000-0005-0000-0000-000042120000}"/>
    <cellStyle name="Input 2 5 32" xfId="4663" xr:uid="{00000000-0005-0000-0000-000043120000}"/>
    <cellStyle name="Input 2 5 4" xfId="4664" xr:uid="{00000000-0005-0000-0000-000044120000}"/>
    <cellStyle name="Input 2 5 5" xfId="4665" xr:uid="{00000000-0005-0000-0000-000045120000}"/>
    <cellStyle name="Input 2 5 6" xfId="4666" xr:uid="{00000000-0005-0000-0000-000046120000}"/>
    <cellStyle name="Input 2 5 7" xfId="4667" xr:uid="{00000000-0005-0000-0000-000047120000}"/>
    <cellStyle name="Input 2 5 8" xfId="4668" xr:uid="{00000000-0005-0000-0000-000048120000}"/>
    <cellStyle name="Input 2 5 9" xfId="4669" xr:uid="{00000000-0005-0000-0000-000049120000}"/>
    <cellStyle name="Input 2 6" xfId="4670" xr:uid="{00000000-0005-0000-0000-00004A120000}"/>
    <cellStyle name="Input 2 6 2" xfId="4671" xr:uid="{00000000-0005-0000-0000-00004B120000}"/>
    <cellStyle name="Input 2 6 2 2" xfId="4672" xr:uid="{00000000-0005-0000-0000-00004C120000}"/>
    <cellStyle name="Input 2 6 2 2 2" xfId="4673" xr:uid="{00000000-0005-0000-0000-00004D120000}"/>
    <cellStyle name="Input 2 6 2 2 2 2" xfId="4674" xr:uid="{00000000-0005-0000-0000-00004E120000}"/>
    <cellStyle name="Input 2 6 2 2 2 3" xfId="4675" xr:uid="{00000000-0005-0000-0000-00004F120000}"/>
    <cellStyle name="Input 2 6 2 2 3" xfId="4676" xr:uid="{00000000-0005-0000-0000-000050120000}"/>
    <cellStyle name="Input 2 6 2 3" xfId="4677" xr:uid="{00000000-0005-0000-0000-000051120000}"/>
    <cellStyle name="Input 2 6 2 3 2" xfId="4678" xr:uid="{00000000-0005-0000-0000-000052120000}"/>
    <cellStyle name="Input 2 6 2 4" xfId="4679" xr:uid="{00000000-0005-0000-0000-000053120000}"/>
    <cellStyle name="Input 2 6 2 4 2" xfId="4680" xr:uid="{00000000-0005-0000-0000-000054120000}"/>
    <cellStyle name="Input 2 6 2 5" xfId="4681" xr:uid="{00000000-0005-0000-0000-000055120000}"/>
    <cellStyle name="Input 2 6 3" xfId="4682" xr:uid="{00000000-0005-0000-0000-000056120000}"/>
    <cellStyle name="Input 2 6 3 2" xfId="4683" xr:uid="{00000000-0005-0000-0000-000057120000}"/>
    <cellStyle name="Input 2 6 3 2 2" xfId="4684" xr:uid="{00000000-0005-0000-0000-000058120000}"/>
    <cellStyle name="Input 2 6 3 2 2 2" xfId="4685" xr:uid="{00000000-0005-0000-0000-000059120000}"/>
    <cellStyle name="Input 2 6 3 2 3" xfId="4686" xr:uid="{00000000-0005-0000-0000-00005A120000}"/>
    <cellStyle name="Input 2 6 3 3" xfId="4687" xr:uid="{00000000-0005-0000-0000-00005B120000}"/>
    <cellStyle name="Input 2 6 4" xfId="4688" xr:uid="{00000000-0005-0000-0000-00005C120000}"/>
    <cellStyle name="Input 2 6 4 2" xfId="4689" xr:uid="{00000000-0005-0000-0000-00005D120000}"/>
    <cellStyle name="Input 2 6 5" xfId="4690" xr:uid="{00000000-0005-0000-0000-00005E120000}"/>
    <cellStyle name="Input 2 6 5 2" xfId="4691" xr:uid="{00000000-0005-0000-0000-00005F120000}"/>
    <cellStyle name="Input 2 6 6" xfId="4692" xr:uid="{00000000-0005-0000-0000-000060120000}"/>
    <cellStyle name="Input 2 6 6 2" xfId="4693" xr:uid="{00000000-0005-0000-0000-000061120000}"/>
    <cellStyle name="Input 2 6 6 2 2" xfId="4694" xr:uid="{00000000-0005-0000-0000-000062120000}"/>
    <cellStyle name="Input 2 6 6 3" xfId="4695" xr:uid="{00000000-0005-0000-0000-000063120000}"/>
    <cellStyle name="Input 2 6 7" xfId="4696" xr:uid="{00000000-0005-0000-0000-000064120000}"/>
    <cellStyle name="Input 2 7" xfId="4697" xr:uid="{00000000-0005-0000-0000-000065120000}"/>
    <cellStyle name="Input 2 7 2" xfId="4698" xr:uid="{00000000-0005-0000-0000-000066120000}"/>
    <cellStyle name="Input 2 7 2 2" xfId="4699" xr:uid="{00000000-0005-0000-0000-000067120000}"/>
    <cellStyle name="Input 2 7 2 2 2" xfId="4700" xr:uid="{00000000-0005-0000-0000-000068120000}"/>
    <cellStyle name="Input 2 7 2 2 3" xfId="4701" xr:uid="{00000000-0005-0000-0000-000069120000}"/>
    <cellStyle name="Input 2 7 2 3" xfId="4702" xr:uid="{00000000-0005-0000-0000-00006A120000}"/>
    <cellStyle name="Input 2 7 3" xfId="4703" xr:uid="{00000000-0005-0000-0000-00006B120000}"/>
    <cellStyle name="Input 2 8" xfId="4704" xr:uid="{00000000-0005-0000-0000-00006C120000}"/>
    <cellStyle name="Input 2 8 2" xfId="4705" xr:uid="{00000000-0005-0000-0000-00006D120000}"/>
    <cellStyle name="Input 2 8 2 2" xfId="4706" xr:uid="{00000000-0005-0000-0000-00006E120000}"/>
    <cellStyle name="Input 2 8 2 2 2" xfId="4707" xr:uid="{00000000-0005-0000-0000-00006F120000}"/>
    <cellStyle name="Input 2 8 2 2 3" xfId="4708" xr:uid="{00000000-0005-0000-0000-000070120000}"/>
    <cellStyle name="Input 2 8 2 3" xfId="4709" xr:uid="{00000000-0005-0000-0000-000071120000}"/>
    <cellStyle name="Input 2 8 3" xfId="4710" xr:uid="{00000000-0005-0000-0000-000072120000}"/>
    <cellStyle name="Input 2 9" xfId="4711" xr:uid="{00000000-0005-0000-0000-000073120000}"/>
    <cellStyle name="Input 2 9 2" xfId="4712" xr:uid="{00000000-0005-0000-0000-000074120000}"/>
    <cellStyle name="Input 3" xfId="4713" xr:uid="{00000000-0005-0000-0000-000075120000}"/>
    <cellStyle name="Input 3 2" xfId="4714" xr:uid="{00000000-0005-0000-0000-000076120000}"/>
    <cellStyle name="Input 3 2 2" xfId="4715" xr:uid="{00000000-0005-0000-0000-000077120000}"/>
    <cellStyle name="Input 3 3" xfId="4716" xr:uid="{00000000-0005-0000-0000-000078120000}"/>
    <cellStyle name="Input 3 3 2" xfId="4717" xr:uid="{00000000-0005-0000-0000-000079120000}"/>
    <cellStyle name="Input 3 4" xfId="4718" xr:uid="{00000000-0005-0000-0000-00007A120000}"/>
    <cellStyle name="Input 4" xfId="4719" xr:uid="{00000000-0005-0000-0000-00007B120000}"/>
    <cellStyle name="Input 4 2" xfId="4720" xr:uid="{00000000-0005-0000-0000-00007C120000}"/>
    <cellStyle name="Input 5" xfId="4721" xr:uid="{00000000-0005-0000-0000-00007D120000}"/>
    <cellStyle name="Input 5 2" xfId="4722" xr:uid="{00000000-0005-0000-0000-00007E120000}"/>
    <cellStyle name="Input 6" xfId="4723" xr:uid="{00000000-0005-0000-0000-00007F120000}"/>
    <cellStyle name="Input 6 2" xfId="4724" xr:uid="{00000000-0005-0000-0000-000080120000}"/>
    <cellStyle name="Input 7" xfId="4725" xr:uid="{00000000-0005-0000-0000-000081120000}"/>
    <cellStyle name="Input 7 2" xfId="4726" xr:uid="{00000000-0005-0000-0000-000082120000}"/>
    <cellStyle name="InputBlueFont" xfId="4727" xr:uid="{00000000-0005-0000-0000-000083120000}"/>
    <cellStyle name="InputData" xfId="4728" xr:uid="{00000000-0005-0000-0000-000084120000}"/>
    <cellStyle name="InputNegative" xfId="4729" xr:uid="{00000000-0005-0000-0000-000085120000}"/>
    <cellStyle name="Integer" xfId="4730" xr:uid="{00000000-0005-0000-0000-000086120000}"/>
    <cellStyle name="Jun" xfId="4731" xr:uid="{00000000-0005-0000-0000-000087120000}"/>
    <cellStyle name="KPMG Heading 1" xfId="4732" xr:uid="{00000000-0005-0000-0000-000088120000}"/>
    <cellStyle name="KPMG Heading 2" xfId="4733" xr:uid="{00000000-0005-0000-0000-000089120000}"/>
    <cellStyle name="KPMG Heading 3" xfId="4734" xr:uid="{00000000-0005-0000-0000-00008A120000}"/>
    <cellStyle name="KPMG Heading 4" xfId="4735" xr:uid="{00000000-0005-0000-0000-00008B120000}"/>
    <cellStyle name="KPMG Normal" xfId="4736" xr:uid="{00000000-0005-0000-0000-00008C120000}"/>
    <cellStyle name="KPMG Normal Text" xfId="4737" xr:uid="{00000000-0005-0000-0000-00008D120000}"/>
    <cellStyle name="KPMG Normal_AGP Finance Board Rpt Mar 2006" xfId="4738" xr:uid="{00000000-0005-0000-0000-00008E120000}"/>
    <cellStyle name="LABEL Normal" xfId="4739" xr:uid="{00000000-0005-0000-0000-00008F120000}"/>
    <cellStyle name="LABEL Note" xfId="4740" xr:uid="{00000000-0005-0000-0000-000090120000}"/>
    <cellStyle name="LABEL Units" xfId="4741" xr:uid="{00000000-0005-0000-0000-000091120000}"/>
    <cellStyle name="lala" xfId="4742" xr:uid="{00000000-0005-0000-0000-000092120000}"/>
    <cellStyle name="left" xfId="4743" xr:uid="{00000000-0005-0000-0000-000093120000}"/>
    <cellStyle name="Level 1" xfId="4744" xr:uid="{00000000-0005-0000-0000-000094120000}"/>
    <cellStyle name="Level 2" xfId="4745" xr:uid="{00000000-0005-0000-0000-000095120000}"/>
    <cellStyle name="Level 3" xfId="4746" xr:uid="{00000000-0005-0000-0000-000096120000}"/>
    <cellStyle name="Lines" xfId="4747" xr:uid="{00000000-0005-0000-0000-000097120000}"/>
    <cellStyle name="Link" xfId="4748" xr:uid="{00000000-0005-0000-0000-000098120000}"/>
    <cellStyle name="Linked Cell 2" xfId="4749" xr:uid="{00000000-0005-0000-0000-000099120000}"/>
    <cellStyle name="Linked Cell 2 2" xfId="4750" xr:uid="{00000000-0005-0000-0000-00009A120000}"/>
    <cellStyle name="Linked Cell 2 2 2" xfId="4751" xr:uid="{00000000-0005-0000-0000-00009B120000}"/>
    <cellStyle name="Linked Cell 2 2 2 2" xfId="4752" xr:uid="{00000000-0005-0000-0000-00009C120000}"/>
    <cellStyle name="Linked Cell 2 2 2 2 2" xfId="4753" xr:uid="{00000000-0005-0000-0000-00009D120000}"/>
    <cellStyle name="Linked Cell 2 2 2 3" xfId="4754" xr:uid="{00000000-0005-0000-0000-00009E120000}"/>
    <cellStyle name="Linked Cell 2 2 2 4" xfId="4755" xr:uid="{00000000-0005-0000-0000-00009F120000}"/>
    <cellStyle name="Linked Cell 2 2 3" xfId="4756" xr:uid="{00000000-0005-0000-0000-0000A0120000}"/>
    <cellStyle name="Linked Cell 2 2 3 2" xfId="4757" xr:uid="{00000000-0005-0000-0000-0000A1120000}"/>
    <cellStyle name="Linked Cell 2 2 3 2 2" xfId="4758" xr:uid="{00000000-0005-0000-0000-0000A2120000}"/>
    <cellStyle name="Linked Cell 2 2 4" xfId="4759" xr:uid="{00000000-0005-0000-0000-0000A3120000}"/>
    <cellStyle name="Linked Cell 2 2 5" xfId="4760" xr:uid="{00000000-0005-0000-0000-0000A4120000}"/>
    <cellStyle name="Linked Cell 2 2 6" xfId="4761" xr:uid="{00000000-0005-0000-0000-0000A5120000}"/>
    <cellStyle name="Linked Cell 2 2 6 2" xfId="4762" xr:uid="{00000000-0005-0000-0000-0000A6120000}"/>
    <cellStyle name="Linked Cell 2 3" xfId="4763" xr:uid="{00000000-0005-0000-0000-0000A7120000}"/>
    <cellStyle name="Linked Cell 2 4" xfId="4764" xr:uid="{00000000-0005-0000-0000-0000A8120000}"/>
    <cellStyle name="Linked Cell 2 4 2" xfId="4765" xr:uid="{00000000-0005-0000-0000-0000A9120000}"/>
    <cellStyle name="Linked Cell 2 4 2 2" xfId="4766" xr:uid="{00000000-0005-0000-0000-0000AA120000}"/>
    <cellStyle name="Linked Cell 2 5" xfId="4767" xr:uid="{00000000-0005-0000-0000-0000AB120000}"/>
    <cellStyle name="Linked Cell 2 5 2" xfId="4768" xr:uid="{00000000-0005-0000-0000-0000AC120000}"/>
    <cellStyle name="Linked Cell 2 5 2 2" xfId="4769" xr:uid="{00000000-0005-0000-0000-0000AD120000}"/>
    <cellStyle name="Linked Cell 2 6" xfId="4770" xr:uid="{00000000-0005-0000-0000-0000AE120000}"/>
    <cellStyle name="Linked Cell 2 7" xfId="4771" xr:uid="{00000000-0005-0000-0000-0000AF120000}"/>
    <cellStyle name="Linked Cell 3" xfId="4772" xr:uid="{00000000-0005-0000-0000-0000B0120000}"/>
    <cellStyle name="Linked Cell 3 2" xfId="4773" xr:uid="{00000000-0005-0000-0000-0000B1120000}"/>
    <cellStyle name="Linked Cell 3 3" xfId="4774" xr:uid="{00000000-0005-0000-0000-0000B2120000}"/>
    <cellStyle name="Linked Cell 4" xfId="4775" xr:uid="{00000000-0005-0000-0000-0000B3120000}"/>
    <cellStyle name="Linked Cell 5" xfId="4776" xr:uid="{00000000-0005-0000-0000-0000B4120000}"/>
    <cellStyle name="Linked Cell 6" xfId="4777" xr:uid="{00000000-0005-0000-0000-0000B5120000}"/>
    <cellStyle name="Linked Cell 7" xfId="4778" xr:uid="{00000000-0005-0000-0000-0000B6120000}"/>
    <cellStyle name="LTM Cell Column Heading" xfId="4779" xr:uid="{00000000-0005-0000-0000-0000B7120000}"/>
    <cellStyle name="m" xfId="4780" xr:uid="{00000000-0005-0000-0000-0000B8120000}"/>
    <cellStyle name="m$" xfId="4781" xr:uid="{00000000-0005-0000-0000-0000B9120000}"/>
    <cellStyle name="m_BRR" xfId="4782" xr:uid="{00000000-0005-0000-0000-0000BA120000}"/>
    <cellStyle name="m_Bsnx.xls Chart 1" xfId="4783" xr:uid="{00000000-0005-0000-0000-0000BB120000}"/>
    <cellStyle name="m_Bsnx.xls Chart 2" xfId="4784" xr:uid="{00000000-0005-0000-0000-0000BC120000}"/>
    <cellStyle name="m_Bsnx.xls Chart 3" xfId="4785" xr:uid="{00000000-0005-0000-0000-0000BD120000}"/>
    <cellStyle name="m_COG.XLS Chart 1" xfId="4786" xr:uid="{00000000-0005-0000-0000-0000BE120000}"/>
    <cellStyle name="m_COG.XLS Chart 2" xfId="4787" xr:uid="{00000000-0005-0000-0000-0000BF120000}"/>
    <cellStyle name="m_COG.XLS Chart 3" xfId="4788" xr:uid="{00000000-0005-0000-0000-0000C0120000}"/>
    <cellStyle name="m_LD.xls Chart 1" xfId="4789" xr:uid="{00000000-0005-0000-0000-0000C1120000}"/>
    <cellStyle name="m_LD.xls Chart 2" xfId="4790" xr:uid="{00000000-0005-0000-0000-0000C2120000}"/>
    <cellStyle name="m_LD.xls Chart 3" xfId="4791" xr:uid="{00000000-0005-0000-0000-0000C3120000}"/>
    <cellStyle name="m_Marathon SOP Backup_v10" xfId="4792" xr:uid="{00000000-0005-0000-0000-0000C4120000}"/>
    <cellStyle name="m_MARY.xls Chart 1" xfId="4793" xr:uid="{00000000-0005-0000-0000-0000C5120000}"/>
    <cellStyle name="m_MARY.xls Chart 2" xfId="4794" xr:uid="{00000000-0005-0000-0000-0000C6120000}"/>
    <cellStyle name="m_MARY.xls Chart 3" xfId="4795" xr:uid="{00000000-0005-0000-0000-0000C7120000}"/>
    <cellStyle name="m_nev.xls Chart 1" xfId="4796" xr:uid="{00000000-0005-0000-0000-0000C8120000}"/>
    <cellStyle name="m_nev.xls Chart 2" xfId="4797" xr:uid="{00000000-0005-0000-0000-0000C9120000}"/>
    <cellStyle name="m_nev.xls Chart 3" xfId="4798" xr:uid="{00000000-0005-0000-0000-0000CA120000}"/>
    <cellStyle name="m_OEI.xls Chart 1" xfId="4799" xr:uid="{00000000-0005-0000-0000-0000CB120000}"/>
    <cellStyle name="m_OEI.xls Chart 2" xfId="4800" xr:uid="{00000000-0005-0000-0000-0000CC120000}"/>
    <cellStyle name="m_OEI.xls Chart 3" xfId="4801" xr:uid="{00000000-0005-0000-0000-0000CD120000}"/>
    <cellStyle name="m_SPNX.xls Chart 1" xfId="4802" xr:uid="{00000000-0005-0000-0000-0000CE120000}"/>
    <cellStyle name="m_SPNX.xls Chart 2" xfId="4803" xr:uid="{00000000-0005-0000-0000-0000CF120000}"/>
    <cellStyle name="m_SPNX.xls Chart 3" xfId="4804" xr:uid="{00000000-0005-0000-0000-0000D0120000}"/>
    <cellStyle name="MACRO" xfId="4805" xr:uid="{00000000-0005-0000-0000-0000D1120000}"/>
    <cellStyle name="Main Heading" xfId="4806" xr:uid="{00000000-0005-0000-0000-0000D2120000}"/>
    <cellStyle name="Main Title" xfId="4807" xr:uid="{00000000-0005-0000-0000-0000D3120000}"/>
    <cellStyle name="MAND_x000a_CHECK.COMMAND_x000e_RENAME.COMMAND_x0008_SHOW.BAR_x000b_DELETE.MENU_x000e_DELETE.COMMAND_x000e_GET.CHA" xfId="4808" xr:uid="{00000000-0005-0000-0000-0000D4120000}"/>
    <cellStyle name="Millares_caja3103" xfId="4809" xr:uid="{00000000-0005-0000-0000-0000D5120000}"/>
    <cellStyle name="Milliers [0]_Basis" xfId="4810" xr:uid="{00000000-0005-0000-0000-0000D6120000}"/>
    <cellStyle name="Milliers_Basis" xfId="4811" xr:uid="{00000000-0005-0000-0000-0000D7120000}"/>
    <cellStyle name="million" xfId="4812" xr:uid="{00000000-0005-0000-0000-0000D8120000}"/>
    <cellStyle name="mm" xfId="4813" xr:uid="{00000000-0005-0000-0000-0000D9120000}"/>
    <cellStyle name="Model" xfId="4814" xr:uid="{00000000-0005-0000-0000-0000DA120000}"/>
    <cellStyle name="Moeda [0]_K16010001" xfId="4815" xr:uid="{00000000-0005-0000-0000-0000DB120000}"/>
    <cellStyle name="Moeda_K16010001" xfId="4816" xr:uid="{00000000-0005-0000-0000-0000DC120000}"/>
    <cellStyle name="Monétaire [0]_Basis" xfId="4817" xr:uid="{00000000-0005-0000-0000-0000DD120000}"/>
    <cellStyle name="Monétaire_Basis" xfId="4818" xr:uid="{00000000-0005-0000-0000-0000DE120000}"/>
    <cellStyle name="MonthYears" xfId="4819" xr:uid="{00000000-0005-0000-0000-0000DF120000}"/>
    <cellStyle name="mult" xfId="4820" xr:uid="{00000000-0005-0000-0000-0000E0120000}"/>
    <cellStyle name="Multiple" xfId="4821" xr:uid="{00000000-0005-0000-0000-0000E1120000}"/>
    <cellStyle name="Multiple Cell Column Heading" xfId="4822" xr:uid="{00000000-0005-0000-0000-0000E2120000}"/>
    <cellStyle name="MultipleBelow" xfId="4823" xr:uid="{00000000-0005-0000-0000-0000E3120000}"/>
    <cellStyle name="Named range label" xfId="4824" xr:uid="{00000000-0005-0000-0000-0000E4120000}"/>
    <cellStyle name="Neutral 2" xfId="4825" xr:uid="{00000000-0005-0000-0000-0000E5120000}"/>
    <cellStyle name="Neutral 2 2" xfId="4826" xr:uid="{00000000-0005-0000-0000-0000E6120000}"/>
    <cellStyle name="Neutral 2 2 2" xfId="4827" xr:uid="{00000000-0005-0000-0000-0000E7120000}"/>
    <cellStyle name="Neutral 2 2 2 2" xfId="4828" xr:uid="{00000000-0005-0000-0000-0000E8120000}"/>
    <cellStyle name="Neutral 2 2 2 2 2" xfId="4829" xr:uid="{00000000-0005-0000-0000-0000E9120000}"/>
    <cellStyle name="Neutral 2 2 2 3" xfId="4830" xr:uid="{00000000-0005-0000-0000-0000EA120000}"/>
    <cellStyle name="Neutral 2 2 2 4" xfId="4831" xr:uid="{00000000-0005-0000-0000-0000EB120000}"/>
    <cellStyle name="Neutral 2 2 3" xfId="4832" xr:uid="{00000000-0005-0000-0000-0000EC120000}"/>
    <cellStyle name="Neutral 2 2 3 2" xfId="4833" xr:uid="{00000000-0005-0000-0000-0000ED120000}"/>
    <cellStyle name="Neutral 2 2 3 2 2" xfId="4834" xr:uid="{00000000-0005-0000-0000-0000EE120000}"/>
    <cellStyle name="Neutral 2 2 4" xfId="4835" xr:uid="{00000000-0005-0000-0000-0000EF120000}"/>
    <cellStyle name="Neutral 2 2 5" xfId="4836" xr:uid="{00000000-0005-0000-0000-0000F0120000}"/>
    <cellStyle name="Neutral 2 2 6" xfId="4837" xr:uid="{00000000-0005-0000-0000-0000F1120000}"/>
    <cellStyle name="Neutral 2 2 6 2" xfId="4838" xr:uid="{00000000-0005-0000-0000-0000F2120000}"/>
    <cellStyle name="Neutral 2 3" xfId="4839" xr:uid="{00000000-0005-0000-0000-0000F3120000}"/>
    <cellStyle name="Neutral 2 4" xfId="4840" xr:uid="{00000000-0005-0000-0000-0000F4120000}"/>
    <cellStyle name="Neutral 2 4 2" xfId="4841" xr:uid="{00000000-0005-0000-0000-0000F5120000}"/>
    <cellStyle name="Neutral 2 4 2 2" xfId="4842" xr:uid="{00000000-0005-0000-0000-0000F6120000}"/>
    <cellStyle name="Neutral 2 5" xfId="4843" xr:uid="{00000000-0005-0000-0000-0000F7120000}"/>
    <cellStyle name="Neutral 2 5 2" xfId="4844" xr:uid="{00000000-0005-0000-0000-0000F8120000}"/>
    <cellStyle name="Neutral 2 5 2 2" xfId="4845" xr:uid="{00000000-0005-0000-0000-0000F9120000}"/>
    <cellStyle name="Neutral 2 6" xfId="4846" xr:uid="{00000000-0005-0000-0000-0000FA120000}"/>
    <cellStyle name="Neutral 2 7" xfId="4847" xr:uid="{00000000-0005-0000-0000-0000FB120000}"/>
    <cellStyle name="Neutral 3" xfId="4848" xr:uid="{00000000-0005-0000-0000-0000FC120000}"/>
    <cellStyle name="Neutral 3 2" xfId="4849" xr:uid="{00000000-0005-0000-0000-0000FD120000}"/>
    <cellStyle name="Neutral 3 3" xfId="4850" xr:uid="{00000000-0005-0000-0000-0000FE120000}"/>
    <cellStyle name="Neutral 4" xfId="4851" xr:uid="{00000000-0005-0000-0000-0000FF120000}"/>
    <cellStyle name="Neutral 5" xfId="4852" xr:uid="{00000000-0005-0000-0000-000000130000}"/>
    <cellStyle name="Neutral 6" xfId="4853" xr:uid="{00000000-0005-0000-0000-000001130000}"/>
    <cellStyle name="Neutral 7" xfId="4854" xr:uid="{00000000-0005-0000-0000-000002130000}"/>
    <cellStyle name="no dec" xfId="4855" xr:uid="{00000000-0005-0000-0000-000003130000}"/>
    <cellStyle name="Normal" xfId="0" builtinId="0"/>
    <cellStyle name="Normal - Style1" xfId="4856" xr:uid="{00000000-0005-0000-0000-000005130000}"/>
    <cellStyle name="Normal - Style1 2" xfId="4857" xr:uid="{00000000-0005-0000-0000-000006130000}"/>
    <cellStyle name="Normal - Style2" xfId="48229" xr:uid="{00000000-0005-0000-0000-000007130000}"/>
    <cellStyle name="Normal - Style3" xfId="48230" xr:uid="{00000000-0005-0000-0000-000008130000}"/>
    <cellStyle name="Normal - Style4" xfId="48231" xr:uid="{00000000-0005-0000-0000-000009130000}"/>
    <cellStyle name="Normal - Style5" xfId="48232" xr:uid="{00000000-0005-0000-0000-00000A130000}"/>
    <cellStyle name="Normal - Style6" xfId="48233" xr:uid="{00000000-0005-0000-0000-00000B130000}"/>
    <cellStyle name="Normal - Style7" xfId="48234" xr:uid="{00000000-0005-0000-0000-00000C130000}"/>
    <cellStyle name="Normal - Style8" xfId="48235" xr:uid="{00000000-0005-0000-0000-00000D130000}"/>
    <cellStyle name="Normal (0)" xfId="4858" xr:uid="{00000000-0005-0000-0000-00000E130000}"/>
    <cellStyle name="Normal (0) U" xfId="4859" xr:uid="{00000000-0005-0000-0000-00000F130000}"/>
    <cellStyle name="Normal (0) UD" xfId="4860" xr:uid="{00000000-0005-0000-0000-000010130000}"/>
    <cellStyle name="Normal (0)_Draft RIIO plan presentation template - Customer Opsx Centre V7" xfId="4861" xr:uid="{00000000-0005-0000-0000-000011130000}"/>
    <cellStyle name="Normal (1)" xfId="4862" xr:uid="{00000000-0005-0000-0000-000012130000}"/>
    <cellStyle name="Normal (2)" xfId="4863" xr:uid="{00000000-0005-0000-0000-000013130000}"/>
    <cellStyle name="Normal (3)" xfId="4864" xr:uid="{00000000-0005-0000-0000-000014130000}"/>
    <cellStyle name="Normal [0]" xfId="4865" xr:uid="{00000000-0005-0000-0000-000015130000}"/>
    <cellStyle name="Normal [2]" xfId="4866" xr:uid="{00000000-0005-0000-0000-000016130000}"/>
    <cellStyle name="Normal 10" xfId="4867" xr:uid="{00000000-0005-0000-0000-000017130000}"/>
    <cellStyle name="Normal 10 2" xfId="4868" xr:uid="{00000000-0005-0000-0000-000018130000}"/>
    <cellStyle name="Normal 10 2 2" xfId="48236" xr:uid="{00000000-0005-0000-0000-000019130000}"/>
    <cellStyle name="Normal 10 2 3" xfId="48237" xr:uid="{00000000-0005-0000-0000-00001A130000}"/>
    <cellStyle name="Normal 10 2 4" xfId="48238" xr:uid="{00000000-0005-0000-0000-00001B130000}"/>
    <cellStyle name="Normal 10 3" xfId="4869" xr:uid="{00000000-0005-0000-0000-00001C130000}"/>
    <cellStyle name="Normal 10 3 2" xfId="48239" xr:uid="{00000000-0005-0000-0000-00001D130000}"/>
    <cellStyle name="Normal 10 3 3" xfId="48240" xr:uid="{00000000-0005-0000-0000-00001E130000}"/>
    <cellStyle name="Normal 10 3 4" xfId="48241" xr:uid="{00000000-0005-0000-0000-00001F130000}"/>
    <cellStyle name="Normal 10 3 5" xfId="48242" xr:uid="{00000000-0005-0000-0000-000020130000}"/>
    <cellStyle name="Normal 10 4" xfId="4870" xr:uid="{00000000-0005-0000-0000-000021130000}"/>
    <cellStyle name="Normal 10 5" xfId="4871" xr:uid="{00000000-0005-0000-0000-000022130000}"/>
    <cellStyle name="Normal 10 6" xfId="4872" xr:uid="{00000000-0005-0000-0000-000023130000}"/>
    <cellStyle name="Normal 10 7" xfId="4873" xr:uid="{00000000-0005-0000-0000-000024130000}"/>
    <cellStyle name="Normal 10 8" xfId="4874" xr:uid="{00000000-0005-0000-0000-000025130000}"/>
    <cellStyle name="Normal 10 9" xfId="48243" xr:uid="{00000000-0005-0000-0000-000026130000}"/>
    <cellStyle name="Normal 100" xfId="48411" xr:uid="{00000000-0005-0000-0000-000027130000}"/>
    <cellStyle name="Normal 11" xfId="4875" xr:uid="{00000000-0005-0000-0000-000028130000}"/>
    <cellStyle name="Normal 11 10" xfId="4876" xr:uid="{00000000-0005-0000-0000-000029130000}"/>
    <cellStyle name="Normal 11 11" xfId="4877" xr:uid="{00000000-0005-0000-0000-00002A130000}"/>
    <cellStyle name="Normal 11 12" xfId="4878" xr:uid="{00000000-0005-0000-0000-00002B130000}"/>
    <cellStyle name="Normal 11 13" xfId="4879" xr:uid="{00000000-0005-0000-0000-00002C130000}"/>
    <cellStyle name="Normal 11 14" xfId="4880" xr:uid="{00000000-0005-0000-0000-00002D130000}"/>
    <cellStyle name="Normal 11 15" xfId="4881" xr:uid="{00000000-0005-0000-0000-00002E130000}"/>
    <cellStyle name="Normal 11 16" xfId="4882" xr:uid="{00000000-0005-0000-0000-00002F130000}"/>
    <cellStyle name="Normal 11 17" xfId="4883" xr:uid="{00000000-0005-0000-0000-000030130000}"/>
    <cellStyle name="Normal 11 18" xfId="4884" xr:uid="{00000000-0005-0000-0000-000031130000}"/>
    <cellStyle name="Normal 11 19" xfId="4885" xr:uid="{00000000-0005-0000-0000-000032130000}"/>
    <cellStyle name="Normal 11 2" xfId="4886" xr:uid="{00000000-0005-0000-0000-000033130000}"/>
    <cellStyle name="Normal 11 2 10" xfId="4887" xr:uid="{00000000-0005-0000-0000-000034130000}"/>
    <cellStyle name="Normal 11 2 11" xfId="4888" xr:uid="{00000000-0005-0000-0000-000035130000}"/>
    <cellStyle name="Normal 11 2 12" xfId="4889" xr:uid="{00000000-0005-0000-0000-000036130000}"/>
    <cellStyle name="Normal 11 2 13" xfId="4890" xr:uid="{00000000-0005-0000-0000-000037130000}"/>
    <cellStyle name="Normal 11 2 14" xfId="4891" xr:uid="{00000000-0005-0000-0000-000038130000}"/>
    <cellStyle name="Normal 11 2 15" xfId="4892" xr:uid="{00000000-0005-0000-0000-000039130000}"/>
    <cellStyle name="Normal 11 2 16" xfId="4893" xr:uid="{00000000-0005-0000-0000-00003A130000}"/>
    <cellStyle name="Normal 11 2 17" xfId="4894" xr:uid="{00000000-0005-0000-0000-00003B130000}"/>
    <cellStyle name="Normal 11 2 18" xfId="4895" xr:uid="{00000000-0005-0000-0000-00003C130000}"/>
    <cellStyle name="Normal 11 2 19" xfId="4896" xr:uid="{00000000-0005-0000-0000-00003D130000}"/>
    <cellStyle name="Normal 11 2 2" xfId="4897" xr:uid="{00000000-0005-0000-0000-00003E130000}"/>
    <cellStyle name="Normal 11 2 2 10" xfId="4898" xr:uid="{00000000-0005-0000-0000-00003F130000}"/>
    <cellStyle name="Normal 11 2 2 11" xfId="4899" xr:uid="{00000000-0005-0000-0000-000040130000}"/>
    <cellStyle name="Normal 11 2 2 12" xfId="4900" xr:uid="{00000000-0005-0000-0000-000041130000}"/>
    <cellStyle name="Normal 11 2 2 13" xfId="4901" xr:uid="{00000000-0005-0000-0000-000042130000}"/>
    <cellStyle name="Normal 11 2 2 14" xfId="4902" xr:uid="{00000000-0005-0000-0000-000043130000}"/>
    <cellStyle name="Normal 11 2 2 15" xfId="4903" xr:uid="{00000000-0005-0000-0000-000044130000}"/>
    <cellStyle name="Normal 11 2 2 16" xfId="4904" xr:uid="{00000000-0005-0000-0000-000045130000}"/>
    <cellStyle name="Normal 11 2 2 17" xfId="4905" xr:uid="{00000000-0005-0000-0000-000046130000}"/>
    <cellStyle name="Normal 11 2 2 18" xfId="4906" xr:uid="{00000000-0005-0000-0000-000047130000}"/>
    <cellStyle name="Normal 11 2 2 19" xfId="4907" xr:uid="{00000000-0005-0000-0000-000048130000}"/>
    <cellStyle name="Normal 11 2 2 2" xfId="4908" xr:uid="{00000000-0005-0000-0000-000049130000}"/>
    <cellStyle name="Normal 11 2 2 2 10" xfId="4909" xr:uid="{00000000-0005-0000-0000-00004A130000}"/>
    <cellStyle name="Normal 11 2 2 2 11" xfId="4910" xr:uid="{00000000-0005-0000-0000-00004B130000}"/>
    <cellStyle name="Normal 11 2 2 2 12" xfId="4911" xr:uid="{00000000-0005-0000-0000-00004C130000}"/>
    <cellStyle name="Normal 11 2 2 2 13" xfId="4912" xr:uid="{00000000-0005-0000-0000-00004D130000}"/>
    <cellStyle name="Normal 11 2 2 2 14" xfId="4913" xr:uid="{00000000-0005-0000-0000-00004E130000}"/>
    <cellStyle name="Normal 11 2 2 2 15" xfId="4914" xr:uid="{00000000-0005-0000-0000-00004F130000}"/>
    <cellStyle name="Normal 11 2 2 2 16" xfId="4915" xr:uid="{00000000-0005-0000-0000-000050130000}"/>
    <cellStyle name="Normal 11 2 2 2 17" xfId="4916" xr:uid="{00000000-0005-0000-0000-000051130000}"/>
    <cellStyle name="Normal 11 2 2 2 18" xfId="4917" xr:uid="{00000000-0005-0000-0000-000052130000}"/>
    <cellStyle name="Normal 11 2 2 2 19" xfId="4918" xr:uid="{00000000-0005-0000-0000-000053130000}"/>
    <cellStyle name="Normal 11 2 2 2 2" xfId="4919" xr:uid="{00000000-0005-0000-0000-000054130000}"/>
    <cellStyle name="Normal 11 2 2 2 2 10" xfId="4920" xr:uid="{00000000-0005-0000-0000-000055130000}"/>
    <cellStyle name="Normal 11 2 2 2 2 11" xfId="4921" xr:uid="{00000000-0005-0000-0000-000056130000}"/>
    <cellStyle name="Normal 11 2 2 2 2 12" xfId="4922" xr:uid="{00000000-0005-0000-0000-000057130000}"/>
    <cellStyle name="Normal 11 2 2 2 2 13" xfId="4923" xr:uid="{00000000-0005-0000-0000-000058130000}"/>
    <cellStyle name="Normal 11 2 2 2 2 2" xfId="4924" xr:uid="{00000000-0005-0000-0000-000059130000}"/>
    <cellStyle name="Normal 11 2 2 2 2 3" xfId="4925" xr:uid="{00000000-0005-0000-0000-00005A130000}"/>
    <cellStyle name="Normal 11 2 2 2 2 4" xfId="4926" xr:uid="{00000000-0005-0000-0000-00005B130000}"/>
    <cellStyle name="Normal 11 2 2 2 2 5" xfId="4927" xr:uid="{00000000-0005-0000-0000-00005C130000}"/>
    <cellStyle name="Normal 11 2 2 2 2 6" xfId="4928" xr:uid="{00000000-0005-0000-0000-00005D130000}"/>
    <cellStyle name="Normal 11 2 2 2 2 7" xfId="4929" xr:uid="{00000000-0005-0000-0000-00005E130000}"/>
    <cellStyle name="Normal 11 2 2 2 2 8" xfId="4930" xr:uid="{00000000-0005-0000-0000-00005F130000}"/>
    <cellStyle name="Normal 11 2 2 2 2 9" xfId="4931" xr:uid="{00000000-0005-0000-0000-000060130000}"/>
    <cellStyle name="Normal 11 2 2 2 20" xfId="4932" xr:uid="{00000000-0005-0000-0000-000061130000}"/>
    <cellStyle name="Normal 11 2 2 2 21" xfId="4933" xr:uid="{00000000-0005-0000-0000-000062130000}"/>
    <cellStyle name="Normal 11 2 2 2 3" xfId="4934" xr:uid="{00000000-0005-0000-0000-000063130000}"/>
    <cellStyle name="Normal 11 2 2 2 4" xfId="4935" xr:uid="{00000000-0005-0000-0000-000064130000}"/>
    <cellStyle name="Normal 11 2 2 2 5" xfId="4936" xr:uid="{00000000-0005-0000-0000-000065130000}"/>
    <cellStyle name="Normal 11 2 2 2 6" xfId="4937" xr:uid="{00000000-0005-0000-0000-000066130000}"/>
    <cellStyle name="Normal 11 2 2 2 7" xfId="4938" xr:uid="{00000000-0005-0000-0000-000067130000}"/>
    <cellStyle name="Normal 11 2 2 2 8" xfId="4939" xr:uid="{00000000-0005-0000-0000-000068130000}"/>
    <cellStyle name="Normal 11 2 2 2 9" xfId="4940" xr:uid="{00000000-0005-0000-0000-000069130000}"/>
    <cellStyle name="Normal 11 2 2 20" xfId="4941" xr:uid="{00000000-0005-0000-0000-00006A130000}"/>
    <cellStyle name="Normal 11 2 2 21" xfId="4942" xr:uid="{00000000-0005-0000-0000-00006B130000}"/>
    <cellStyle name="Normal 11 2 2 22" xfId="4943" xr:uid="{00000000-0005-0000-0000-00006C130000}"/>
    <cellStyle name="Normal 11 2 2 3" xfId="4944" xr:uid="{00000000-0005-0000-0000-00006D130000}"/>
    <cellStyle name="Normal 11 2 2 3 10" xfId="4945" xr:uid="{00000000-0005-0000-0000-00006E130000}"/>
    <cellStyle name="Normal 11 2 2 3 11" xfId="4946" xr:uid="{00000000-0005-0000-0000-00006F130000}"/>
    <cellStyle name="Normal 11 2 2 3 12" xfId="4947" xr:uid="{00000000-0005-0000-0000-000070130000}"/>
    <cellStyle name="Normal 11 2 2 3 13" xfId="4948" xr:uid="{00000000-0005-0000-0000-000071130000}"/>
    <cellStyle name="Normal 11 2 2 3 2" xfId="4949" xr:uid="{00000000-0005-0000-0000-000072130000}"/>
    <cellStyle name="Normal 11 2 2 3 3" xfId="4950" xr:uid="{00000000-0005-0000-0000-000073130000}"/>
    <cellStyle name="Normal 11 2 2 3 4" xfId="4951" xr:uid="{00000000-0005-0000-0000-000074130000}"/>
    <cellStyle name="Normal 11 2 2 3 5" xfId="4952" xr:uid="{00000000-0005-0000-0000-000075130000}"/>
    <cellStyle name="Normal 11 2 2 3 6" xfId="4953" xr:uid="{00000000-0005-0000-0000-000076130000}"/>
    <cellStyle name="Normal 11 2 2 3 7" xfId="4954" xr:uid="{00000000-0005-0000-0000-000077130000}"/>
    <cellStyle name="Normal 11 2 2 3 8" xfId="4955" xr:uid="{00000000-0005-0000-0000-000078130000}"/>
    <cellStyle name="Normal 11 2 2 3 9" xfId="4956" xr:uid="{00000000-0005-0000-0000-000079130000}"/>
    <cellStyle name="Normal 11 2 2 4" xfId="4957" xr:uid="{00000000-0005-0000-0000-00007A130000}"/>
    <cellStyle name="Normal 11 2 2 5" xfId="4958" xr:uid="{00000000-0005-0000-0000-00007B130000}"/>
    <cellStyle name="Normal 11 2 2 6" xfId="4959" xr:uid="{00000000-0005-0000-0000-00007C130000}"/>
    <cellStyle name="Normal 11 2 2 7" xfId="4960" xr:uid="{00000000-0005-0000-0000-00007D130000}"/>
    <cellStyle name="Normal 11 2 2 8" xfId="4961" xr:uid="{00000000-0005-0000-0000-00007E130000}"/>
    <cellStyle name="Normal 11 2 2 9" xfId="4962" xr:uid="{00000000-0005-0000-0000-00007F130000}"/>
    <cellStyle name="Normal 11 2 2_4 28 1_Asst_Health_Crit_AllTO_RIIO_20110714pm" xfId="4963" xr:uid="{00000000-0005-0000-0000-000080130000}"/>
    <cellStyle name="Normal 11 2 20" xfId="4964" xr:uid="{00000000-0005-0000-0000-000081130000}"/>
    <cellStyle name="Normal 11 2 21" xfId="4965" xr:uid="{00000000-0005-0000-0000-000082130000}"/>
    <cellStyle name="Normal 11 2 22" xfId="4966" xr:uid="{00000000-0005-0000-0000-000083130000}"/>
    <cellStyle name="Normal 11 2 23" xfId="4967" xr:uid="{00000000-0005-0000-0000-000084130000}"/>
    <cellStyle name="Normal 11 2 24" xfId="4968" xr:uid="{00000000-0005-0000-0000-000085130000}"/>
    <cellStyle name="Normal 11 2 25" xfId="4969" xr:uid="{00000000-0005-0000-0000-000086130000}"/>
    <cellStyle name="Normal 11 2 3" xfId="4970" xr:uid="{00000000-0005-0000-0000-000087130000}"/>
    <cellStyle name="Normal 11 2 3 10" xfId="4971" xr:uid="{00000000-0005-0000-0000-000088130000}"/>
    <cellStyle name="Normal 11 2 3 11" xfId="4972" xr:uid="{00000000-0005-0000-0000-000089130000}"/>
    <cellStyle name="Normal 11 2 3 12" xfId="4973" xr:uid="{00000000-0005-0000-0000-00008A130000}"/>
    <cellStyle name="Normal 11 2 3 13" xfId="4974" xr:uid="{00000000-0005-0000-0000-00008B130000}"/>
    <cellStyle name="Normal 11 2 3 14" xfId="4975" xr:uid="{00000000-0005-0000-0000-00008C130000}"/>
    <cellStyle name="Normal 11 2 3 15" xfId="4976" xr:uid="{00000000-0005-0000-0000-00008D130000}"/>
    <cellStyle name="Normal 11 2 3 16" xfId="4977" xr:uid="{00000000-0005-0000-0000-00008E130000}"/>
    <cellStyle name="Normal 11 2 3 17" xfId="4978" xr:uid="{00000000-0005-0000-0000-00008F130000}"/>
    <cellStyle name="Normal 11 2 3 18" xfId="4979" xr:uid="{00000000-0005-0000-0000-000090130000}"/>
    <cellStyle name="Normal 11 2 3 19" xfId="4980" xr:uid="{00000000-0005-0000-0000-000091130000}"/>
    <cellStyle name="Normal 11 2 3 2" xfId="4981" xr:uid="{00000000-0005-0000-0000-000092130000}"/>
    <cellStyle name="Normal 11 2 3 2 10" xfId="4982" xr:uid="{00000000-0005-0000-0000-000093130000}"/>
    <cellStyle name="Normal 11 2 3 2 11" xfId="4983" xr:uid="{00000000-0005-0000-0000-000094130000}"/>
    <cellStyle name="Normal 11 2 3 2 12" xfId="4984" xr:uid="{00000000-0005-0000-0000-000095130000}"/>
    <cellStyle name="Normal 11 2 3 2 13" xfId="4985" xr:uid="{00000000-0005-0000-0000-000096130000}"/>
    <cellStyle name="Normal 11 2 3 2 2" xfId="4986" xr:uid="{00000000-0005-0000-0000-000097130000}"/>
    <cellStyle name="Normal 11 2 3 2 3" xfId="4987" xr:uid="{00000000-0005-0000-0000-000098130000}"/>
    <cellStyle name="Normal 11 2 3 2 4" xfId="4988" xr:uid="{00000000-0005-0000-0000-000099130000}"/>
    <cellStyle name="Normal 11 2 3 2 5" xfId="4989" xr:uid="{00000000-0005-0000-0000-00009A130000}"/>
    <cellStyle name="Normal 11 2 3 2 6" xfId="4990" xr:uid="{00000000-0005-0000-0000-00009B130000}"/>
    <cellStyle name="Normal 11 2 3 2 7" xfId="4991" xr:uid="{00000000-0005-0000-0000-00009C130000}"/>
    <cellStyle name="Normal 11 2 3 2 8" xfId="4992" xr:uid="{00000000-0005-0000-0000-00009D130000}"/>
    <cellStyle name="Normal 11 2 3 2 9" xfId="4993" xr:uid="{00000000-0005-0000-0000-00009E130000}"/>
    <cellStyle name="Normal 11 2 3 20" xfId="4994" xr:uid="{00000000-0005-0000-0000-00009F130000}"/>
    <cellStyle name="Normal 11 2 3 21" xfId="4995" xr:uid="{00000000-0005-0000-0000-0000A0130000}"/>
    <cellStyle name="Normal 11 2 3 3" xfId="4996" xr:uid="{00000000-0005-0000-0000-0000A1130000}"/>
    <cellStyle name="Normal 11 2 3 4" xfId="4997" xr:uid="{00000000-0005-0000-0000-0000A2130000}"/>
    <cellStyle name="Normal 11 2 3 5" xfId="4998" xr:uid="{00000000-0005-0000-0000-0000A3130000}"/>
    <cellStyle name="Normal 11 2 3 6" xfId="4999" xr:uid="{00000000-0005-0000-0000-0000A4130000}"/>
    <cellStyle name="Normal 11 2 3 7" xfId="5000" xr:uid="{00000000-0005-0000-0000-0000A5130000}"/>
    <cellStyle name="Normal 11 2 3 8" xfId="5001" xr:uid="{00000000-0005-0000-0000-0000A6130000}"/>
    <cellStyle name="Normal 11 2 3 9" xfId="5002" xr:uid="{00000000-0005-0000-0000-0000A7130000}"/>
    <cellStyle name="Normal 11 2 4" xfId="5003" xr:uid="{00000000-0005-0000-0000-0000A8130000}"/>
    <cellStyle name="Normal 11 2 4 10" xfId="5004" xr:uid="{00000000-0005-0000-0000-0000A9130000}"/>
    <cellStyle name="Normal 11 2 4 11" xfId="5005" xr:uid="{00000000-0005-0000-0000-0000AA130000}"/>
    <cellStyle name="Normal 11 2 4 12" xfId="5006" xr:uid="{00000000-0005-0000-0000-0000AB130000}"/>
    <cellStyle name="Normal 11 2 4 13" xfId="5007" xr:uid="{00000000-0005-0000-0000-0000AC130000}"/>
    <cellStyle name="Normal 11 2 4 2" xfId="5008" xr:uid="{00000000-0005-0000-0000-0000AD130000}"/>
    <cellStyle name="Normal 11 2 4 3" xfId="5009" xr:uid="{00000000-0005-0000-0000-0000AE130000}"/>
    <cellStyle name="Normal 11 2 4 4" xfId="5010" xr:uid="{00000000-0005-0000-0000-0000AF130000}"/>
    <cellStyle name="Normal 11 2 4 5" xfId="5011" xr:uid="{00000000-0005-0000-0000-0000B0130000}"/>
    <cellStyle name="Normal 11 2 4 6" xfId="5012" xr:uid="{00000000-0005-0000-0000-0000B1130000}"/>
    <cellStyle name="Normal 11 2 4 7" xfId="5013" xr:uid="{00000000-0005-0000-0000-0000B2130000}"/>
    <cellStyle name="Normal 11 2 4 8" xfId="5014" xr:uid="{00000000-0005-0000-0000-0000B3130000}"/>
    <cellStyle name="Normal 11 2 4 9" xfId="5015" xr:uid="{00000000-0005-0000-0000-0000B4130000}"/>
    <cellStyle name="Normal 11 2 5" xfId="5016" xr:uid="{00000000-0005-0000-0000-0000B5130000}"/>
    <cellStyle name="Normal 11 2 5 2" xfId="5017" xr:uid="{00000000-0005-0000-0000-0000B6130000}"/>
    <cellStyle name="Normal 11 2 5 2 2" xfId="5018" xr:uid="{00000000-0005-0000-0000-0000B7130000}"/>
    <cellStyle name="Normal 11 2 5 2 3" xfId="5019" xr:uid="{00000000-0005-0000-0000-0000B8130000}"/>
    <cellStyle name="Normal 11 2 5 3" xfId="5020" xr:uid="{00000000-0005-0000-0000-0000B9130000}"/>
    <cellStyle name="Normal 11 2 5 4" xfId="5021" xr:uid="{00000000-0005-0000-0000-0000BA130000}"/>
    <cellStyle name="Normal 11 2 6" xfId="5022" xr:uid="{00000000-0005-0000-0000-0000BB130000}"/>
    <cellStyle name="Normal 11 2 7" xfId="5023" xr:uid="{00000000-0005-0000-0000-0000BC130000}"/>
    <cellStyle name="Normal 11 2 8" xfId="5024" xr:uid="{00000000-0005-0000-0000-0000BD130000}"/>
    <cellStyle name="Normal 11 2 9" xfId="5025" xr:uid="{00000000-0005-0000-0000-0000BE130000}"/>
    <cellStyle name="Normal 11 2_4 28 1_Asst_Health_Crit_AllTO_RIIO_20110714pm" xfId="5026" xr:uid="{00000000-0005-0000-0000-0000BF130000}"/>
    <cellStyle name="Normal 11 20" xfId="5027" xr:uid="{00000000-0005-0000-0000-0000C0130000}"/>
    <cellStyle name="Normal 11 21" xfId="5028" xr:uid="{00000000-0005-0000-0000-0000C1130000}"/>
    <cellStyle name="Normal 11 22" xfId="5029" xr:uid="{00000000-0005-0000-0000-0000C2130000}"/>
    <cellStyle name="Normal 11 23" xfId="5030" xr:uid="{00000000-0005-0000-0000-0000C3130000}"/>
    <cellStyle name="Normal 11 24" xfId="5031" xr:uid="{00000000-0005-0000-0000-0000C4130000}"/>
    <cellStyle name="Normal 11 25" xfId="5032" xr:uid="{00000000-0005-0000-0000-0000C5130000}"/>
    <cellStyle name="Normal 11 26" xfId="5033" xr:uid="{00000000-0005-0000-0000-0000C6130000}"/>
    <cellStyle name="Normal 11 26 2" xfId="48422" xr:uid="{00000000-0005-0000-0000-0000C7130000}"/>
    <cellStyle name="Normal 11 27" xfId="5034" xr:uid="{00000000-0005-0000-0000-0000C8130000}"/>
    <cellStyle name="Normal 11 3" xfId="5035" xr:uid="{00000000-0005-0000-0000-0000C9130000}"/>
    <cellStyle name="Normal 11 3 10" xfId="5036" xr:uid="{00000000-0005-0000-0000-0000CA130000}"/>
    <cellStyle name="Normal 11 3 11" xfId="5037" xr:uid="{00000000-0005-0000-0000-0000CB130000}"/>
    <cellStyle name="Normal 11 3 12" xfId="5038" xr:uid="{00000000-0005-0000-0000-0000CC130000}"/>
    <cellStyle name="Normal 11 3 13" xfId="5039" xr:uid="{00000000-0005-0000-0000-0000CD130000}"/>
    <cellStyle name="Normal 11 3 14" xfId="5040" xr:uid="{00000000-0005-0000-0000-0000CE130000}"/>
    <cellStyle name="Normal 11 3 15" xfId="5041" xr:uid="{00000000-0005-0000-0000-0000CF130000}"/>
    <cellStyle name="Normal 11 3 16" xfId="5042" xr:uid="{00000000-0005-0000-0000-0000D0130000}"/>
    <cellStyle name="Normal 11 3 17" xfId="5043" xr:uid="{00000000-0005-0000-0000-0000D1130000}"/>
    <cellStyle name="Normal 11 3 18" xfId="5044" xr:uid="{00000000-0005-0000-0000-0000D2130000}"/>
    <cellStyle name="Normal 11 3 19" xfId="5045" xr:uid="{00000000-0005-0000-0000-0000D3130000}"/>
    <cellStyle name="Normal 11 3 2" xfId="5046" xr:uid="{00000000-0005-0000-0000-0000D4130000}"/>
    <cellStyle name="Normal 11 3 2 10" xfId="5047" xr:uid="{00000000-0005-0000-0000-0000D5130000}"/>
    <cellStyle name="Normal 11 3 2 11" xfId="5048" xr:uid="{00000000-0005-0000-0000-0000D6130000}"/>
    <cellStyle name="Normal 11 3 2 12" xfId="5049" xr:uid="{00000000-0005-0000-0000-0000D7130000}"/>
    <cellStyle name="Normal 11 3 2 13" xfId="5050" xr:uid="{00000000-0005-0000-0000-0000D8130000}"/>
    <cellStyle name="Normal 11 3 2 14" xfId="5051" xr:uid="{00000000-0005-0000-0000-0000D9130000}"/>
    <cellStyle name="Normal 11 3 2 15" xfId="5052" xr:uid="{00000000-0005-0000-0000-0000DA130000}"/>
    <cellStyle name="Normal 11 3 2 16" xfId="5053" xr:uid="{00000000-0005-0000-0000-0000DB130000}"/>
    <cellStyle name="Normal 11 3 2 17" xfId="5054" xr:uid="{00000000-0005-0000-0000-0000DC130000}"/>
    <cellStyle name="Normal 11 3 2 18" xfId="5055" xr:uid="{00000000-0005-0000-0000-0000DD130000}"/>
    <cellStyle name="Normal 11 3 2 19" xfId="5056" xr:uid="{00000000-0005-0000-0000-0000DE130000}"/>
    <cellStyle name="Normal 11 3 2 2" xfId="5057" xr:uid="{00000000-0005-0000-0000-0000DF130000}"/>
    <cellStyle name="Normal 11 3 2 2 10" xfId="5058" xr:uid="{00000000-0005-0000-0000-0000E0130000}"/>
    <cellStyle name="Normal 11 3 2 2 11" xfId="5059" xr:uid="{00000000-0005-0000-0000-0000E1130000}"/>
    <cellStyle name="Normal 11 3 2 2 12" xfId="5060" xr:uid="{00000000-0005-0000-0000-0000E2130000}"/>
    <cellStyle name="Normal 11 3 2 2 13" xfId="5061" xr:uid="{00000000-0005-0000-0000-0000E3130000}"/>
    <cellStyle name="Normal 11 3 2 2 2" xfId="5062" xr:uid="{00000000-0005-0000-0000-0000E4130000}"/>
    <cellStyle name="Normal 11 3 2 2 3" xfId="5063" xr:uid="{00000000-0005-0000-0000-0000E5130000}"/>
    <cellStyle name="Normal 11 3 2 2 4" xfId="5064" xr:uid="{00000000-0005-0000-0000-0000E6130000}"/>
    <cellStyle name="Normal 11 3 2 2 5" xfId="5065" xr:uid="{00000000-0005-0000-0000-0000E7130000}"/>
    <cellStyle name="Normal 11 3 2 2 6" xfId="5066" xr:uid="{00000000-0005-0000-0000-0000E8130000}"/>
    <cellStyle name="Normal 11 3 2 2 7" xfId="5067" xr:uid="{00000000-0005-0000-0000-0000E9130000}"/>
    <cellStyle name="Normal 11 3 2 2 8" xfId="5068" xr:uid="{00000000-0005-0000-0000-0000EA130000}"/>
    <cellStyle name="Normal 11 3 2 2 9" xfId="5069" xr:uid="{00000000-0005-0000-0000-0000EB130000}"/>
    <cellStyle name="Normal 11 3 2 20" xfId="5070" xr:uid="{00000000-0005-0000-0000-0000EC130000}"/>
    <cellStyle name="Normal 11 3 2 21" xfId="5071" xr:uid="{00000000-0005-0000-0000-0000ED130000}"/>
    <cellStyle name="Normal 11 3 2 3" xfId="5072" xr:uid="{00000000-0005-0000-0000-0000EE130000}"/>
    <cellStyle name="Normal 11 3 2 4" xfId="5073" xr:uid="{00000000-0005-0000-0000-0000EF130000}"/>
    <cellStyle name="Normal 11 3 2 5" xfId="5074" xr:uid="{00000000-0005-0000-0000-0000F0130000}"/>
    <cellStyle name="Normal 11 3 2 6" xfId="5075" xr:uid="{00000000-0005-0000-0000-0000F1130000}"/>
    <cellStyle name="Normal 11 3 2 7" xfId="5076" xr:uid="{00000000-0005-0000-0000-0000F2130000}"/>
    <cellStyle name="Normal 11 3 2 8" xfId="5077" xr:uid="{00000000-0005-0000-0000-0000F3130000}"/>
    <cellStyle name="Normal 11 3 2 9" xfId="5078" xr:uid="{00000000-0005-0000-0000-0000F4130000}"/>
    <cellStyle name="Normal 11 3 20" xfId="5079" xr:uid="{00000000-0005-0000-0000-0000F5130000}"/>
    <cellStyle name="Normal 11 3 21" xfId="5080" xr:uid="{00000000-0005-0000-0000-0000F6130000}"/>
    <cellStyle name="Normal 11 3 22" xfId="5081" xr:uid="{00000000-0005-0000-0000-0000F7130000}"/>
    <cellStyle name="Normal 11 3 3" xfId="5082" xr:uid="{00000000-0005-0000-0000-0000F8130000}"/>
    <cellStyle name="Normal 11 3 3 10" xfId="5083" xr:uid="{00000000-0005-0000-0000-0000F9130000}"/>
    <cellStyle name="Normal 11 3 3 11" xfId="5084" xr:uid="{00000000-0005-0000-0000-0000FA130000}"/>
    <cellStyle name="Normal 11 3 3 12" xfId="5085" xr:uid="{00000000-0005-0000-0000-0000FB130000}"/>
    <cellStyle name="Normal 11 3 3 13" xfId="5086" xr:uid="{00000000-0005-0000-0000-0000FC130000}"/>
    <cellStyle name="Normal 11 3 3 2" xfId="5087" xr:uid="{00000000-0005-0000-0000-0000FD130000}"/>
    <cellStyle name="Normal 11 3 3 3" xfId="5088" xr:uid="{00000000-0005-0000-0000-0000FE130000}"/>
    <cellStyle name="Normal 11 3 3 4" xfId="5089" xr:uid="{00000000-0005-0000-0000-0000FF130000}"/>
    <cellStyle name="Normal 11 3 3 5" xfId="5090" xr:uid="{00000000-0005-0000-0000-000000140000}"/>
    <cellStyle name="Normal 11 3 3 6" xfId="5091" xr:uid="{00000000-0005-0000-0000-000001140000}"/>
    <cellStyle name="Normal 11 3 3 7" xfId="5092" xr:uid="{00000000-0005-0000-0000-000002140000}"/>
    <cellStyle name="Normal 11 3 3 8" xfId="5093" xr:uid="{00000000-0005-0000-0000-000003140000}"/>
    <cellStyle name="Normal 11 3 3 9" xfId="5094" xr:uid="{00000000-0005-0000-0000-000004140000}"/>
    <cellStyle name="Normal 11 3 4" xfId="5095" xr:uid="{00000000-0005-0000-0000-000005140000}"/>
    <cellStyle name="Normal 11 3 5" xfId="5096" xr:uid="{00000000-0005-0000-0000-000006140000}"/>
    <cellStyle name="Normal 11 3 6" xfId="5097" xr:uid="{00000000-0005-0000-0000-000007140000}"/>
    <cellStyle name="Normal 11 3 7" xfId="5098" xr:uid="{00000000-0005-0000-0000-000008140000}"/>
    <cellStyle name="Normal 11 3 8" xfId="5099" xr:uid="{00000000-0005-0000-0000-000009140000}"/>
    <cellStyle name="Normal 11 3 9" xfId="5100" xr:uid="{00000000-0005-0000-0000-00000A140000}"/>
    <cellStyle name="Normal 11 3_4 28 1_Asst_Health_Crit_AllTO_RIIO_20110714pm" xfId="5101" xr:uid="{00000000-0005-0000-0000-00000B140000}"/>
    <cellStyle name="Normal 11 4" xfId="5102" xr:uid="{00000000-0005-0000-0000-00000C140000}"/>
    <cellStyle name="Normal 11 4 10" xfId="5103" xr:uid="{00000000-0005-0000-0000-00000D140000}"/>
    <cellStyle name="Normal 11 4 11" xfId="5104" xr:uid="{00000000-0005-0000-0000-00000E140000}"/>
    <cellStyle name="Normal 11 4 12" xfId="5105" xr:uid="{00000000-0005-0000-0000-00000F140000}"/>
    <cellStyle name="Normal 11 4 13" xfId="5106" xr:uid="{00000000-0005-0000-0000-000010140000}"/>
    <cellStyle name="Normal 11 4 14" xfId="5107" xr:uid="{00000000-0005-0000-0000-000011140000}"/>
    <cellStyle name="Normal 11 4 15" xfId="5108" xr:uid="{00000000-0005-0000-0000-000012140000}"/>
    <cellStyle name="Normal 11 4 16" xfId="5109" xr:uid="{00000000-0005-0000-0000-000013140000}"/>
    <cellStyle name="Normal 11 4 17" xfId="5110" xr:uid="{00000000-0005-0000-0000-000014140000}"/>
    <cellStyle name="Normal 11 4 18" xfId="5111" xr:uid="{00000000-0005-0000-0000-000015140000}"/>
    <cellStyle name="Normal 11 4 19" xfId="5112" xr:uid="{00000000-0005-0000-0000-000016140000}"/>
    <cellStyle name="Normal 11 4 2" xfId="5113" xr:uid="{00000000-0005-0000-0000-000017140000}"/>
    <cellStyle name="Normal 11 4 2 10" xfId="5114" xr:uid="{00000000-0005-0000-0000-000018140000}"/>
    <cellStyle name="Normal 11 4 2 11" xfId="5115" xr:uid="{00000000-0005-0000-0000-000019140000}"/>
    <cellStyle name="Normal 11 4 2 12" xfId="5116" xr:uid="{00000000-0005-0000-0000-00001A140000}"/>
    <cellStyle name="Normal 11 4 2 13" xfId="5117" xr:uid="{00000000-0005-0000-0000-00001B140000}"/>
    <cellStyle name="Normal 11 4 2 2" xfId="5118" xr:uid="{00000000-0005-0000-0000-00001C140000}"/>
    <cellStyle name="Normal 11 4 2 3" xfId="5119" xr:uid="{00000000-0005-0000-0000-00001D140000}"/>
    <cellStyle name="Normal 11 4 2 4" xfId="5120" xr:uid="{00000000-0005-0000-0000-00001E140000}"/>
    <cellStyle name="Normal 11 4 2 5" xfId="5121" xr:uid="{00000000-0005-0000-0000-00001F140000}"/>
    <cellStyle name="Normal 11 4 2 6" xfId="5122" xr:uid="{00000000-0005-0000-0000-000020140000}"/>
    <cellStyle name="Normal 11 4 2 7" xfId="5123" xr:uid="{00000000-0005-0000-0000-000021140000}"/>
    <cellStyle name="Normal 11 4 2 8" xfId="5124" xr:uid="{00000000-0005-0000-0000-000022140000}"/>
    <cellStyle name="Normal 11 4 2 9" xfId="5125" xr:uid="{00000000-0005-0000-0000-000023140000}"/>
    <cellStyle name="Normal 11 4 20" xfId="5126" xr:uid="{00000000-0005-0000-0000-000024140000}"/>
    <cellStyle name="Normal 11 4 21" xfId="5127" xr:uid="{00000000-0005-0000-0000-000025140000}"/>
    <cellStyle name="Normal 11 4 3" xfId="5128" xr:uid="{00000000-0005-0000-0000-000026140000}"/>
    <cellStyle name="Normal 11 4 4" xfId="5129" xr:uid="{00000000-0005-0000-0000-000027140000}"/>
    <cellStyle name="Normal 11 4 5" xfId="5130" xr:uid="{00000000-0005-0000-0000-000028140000}"/>
    <cellStyle name="Normal 11 4 6" xfId="5131" xr:uid="{00000000-0005-0000-0000-000029140000}"/>
    <cellStyle name="Normal 11 4 7" xfId="5132" xr:uid="{00000000-0005-0000-0000-00002A140000}"/>
    <cellStyle name="Normal 11 4 8" xfId="5133" xr:uid="{00000000-0005-0000-0000-00002B140000}"/>
    <cellStyle name="Normal 11 4 9" xfId="5134" xr:uid="{00000000-0005-0000-0000-00002C140000}"/>
    <cellStyle name="Normal 11 5" xfId="5135" xr:uid="{00000000-0005-0000-0000-00002D140000}"/>
    <cellStyle name="Normal 11 5 10" xfId="5136" xr:uid="{00000000-0005-0000-0000-00002E140000}"/>
    <cellStyle name="Normal 11 5 11" xfId="5137" xr:uid="{00000000-0005-0000-0000-00002F140000}"/>
    <cellStyle name="Normal 11 5 12" xfId="5138" xr:uid="{00000000-0005-0000-0000-000030140000}"/>
    <cellStyle name="Normal 11 5 13" xfId="5139" xr:uid="{00000000-0005-0000-0000-000031140000}"/>
    <cellStyle name="Normal 11 5 14" xfId="5140" xr:uid="{00000000-0005-0000-0000-000032140000}"/>
    <cellStyle name="Normal 11 5 2" xfId="5141" xr:uid="{00000000-0005-0000-0000-000033140000}"/>
    <cellStyle name="Normal 11 5 2 10" xfId="5142" xr:uid="{00000000-0005-0000-0000-000034140000}"/>
    <cellStyle name="Normal 11 5 2 11" xfId="5143" xr:uid="{00000000-0005-0000-0000-000035140000}"/>
    <cellStyle name="Normal 11 5 2 12" xfId="5144" xr:uid="{00000000-0005-0000-0000-000036140000}"/>
    <cellStyle name="Normal 11 5 2 13" xfId="5145" xr:uid="{00000000-0005-0000-0000-000037140000}"/>
    <cellStyle name="Normal 11 5 2 2" xfId="5146" xr:uid="{00000000-0005-0000-0000-000038140000}"/>
    <cellStyle name="Normal 11 5 2 3" xfId="5147" xr:uid="{00000000-0005-0000-0000-000039140000}"/>
    <cellStyle name="Normal 11 5 2 4" xfId="5148" xr:uid="{00000000-0005-0000-0000-00003A140000}"/>
    <cellStyle name="Normal 11 5 2 5" xfId="5149" xr:uid="{00000000-0005-0000-0000-00003B140000}"/>
    <cellStyle name="Normal 11 5 2 6" xfId="5150" xr:uid="{00000000-0005-0000-0000-00003C140000}"/>
    <cellStyle name="Normal 11 5 2 7" xfId="5151" xr:uid="{00000000-0005-0000-0000-00003D140000}"/>
    <cellStyle name="Normal 11 5 2 8" xfId="5152" xr:uid="{00000000-0005-0000-0000-00003E140000}"/>
    <cellStyle name="Normal 11 5 2 9" xfId="5153" xr:uid="{00000000-0005-0000-0000-00003F140000}"/>
    <cellStyle name="Normal 11 5 3" xfId="5154" xr:uid="{00000000-0005-0000-0000-000040140000}"/>
    <cellStyle name="Normal 11 5 4" xfId="5155" xr:uid="{00000000-0005-0000-0000-000041140000}"/>
    <cellStyle name="Normal 11 5 5" xfId="5156" xr:uid="{00000000-0005-0000-0000-000042140000}"/>
    <cellStyle name="Normal 11 5 6" xfId="5157" xr:uid="{00000000-0005-0000-0000-000043140000}"/>
    <cellStyle name="Normal 11 5 7" xfId="5158" xr:uid="{00000000-0005-0000-0000-000044140000}"/>
    <cellStyle name="Normal 11 5 8" xfId="5159" xr:uid="{00000000-0005-0000-0000-000045140000}"/>
    <cellStyle name="Normal 11 5 9" xfId="5160" xr:uid="{00000000-0005-0000-0000-000046140000}"/>
    <cellStyle name="Normal 11 6" xfId="5161" xr:uid="{00000000-0005-0000-0000-000047140000}"/>
    <cellStyle name="Normal 11 6 10" xfId="5162" xr:uid="{00000000-0005-0000-0000-000048140000}"/>
    <cellStyle name="Normal 11 6 11" xfId="5163" xr:uid="{00000000-0005-0000-0000-000049140000}"/>
    <cellStyle name="Normal 11 6 12" xfId="5164" xr:uid="{00000000-0005-0000-0000-00004A140000}"/>
    <cellStyle name="Normal 11 6 13" xfId="5165" xr:uid="{00000000-0005-0000-0000-00004B140000}"/>
    <cellStyle name="Normal 11 6 2" xfId="5166" xr:uid="{00000000-0005-0000-0000-00004C140000}"/>
    <cellStyle name="Normal 11 6 3" xfId="5167" xr:uid="{00000000-0005-0000-0000-00004D140000}"/>
    <cellStyle name="Normal 11 6 4" xfId="5168" xr:uid="{00000000-0005-0000-0000-00004E140000}"/>
    <cellStyle name="Normal 11 6 5" xfId="5169" xr:uid="{00000000-0005-0000-0000-00004F140000}"/>
    <cellStyle name="Normal 11 6 6" xfId="5170" xr:uid="{00000000-0005-0000-0000-000050140000}"/>
    <cellStyle name="Normal 11 6 7" xfId="5171" xr:uid="{00000000-0005-0000-0000-000051140000}"/>
    <cellStyle name="Normal 11 6 8" xfId="5172" xr:uid="{00000000-0005-0000-0000-000052140000}"/>
    <cellStyle name="Normal 11 6 9" xfId="5173" xr:uid="{00000000-0005-0000-0000-000053140000}"/>
    <cellStyle name="Normal 11 7" xfId="5174" xr:uid="{00000000-0005-0000-0000-000054140000}"/>
    <cellStyle name="Normal 11 7 2" xfId="5175" xr:uid="{00000000-0005-0000-0000-000055140000}"/>
    <cellStyle name="Normal 11 7 2 2" xfId="5176" xr:uid="{00000000-0005-0000-0000-000056140000}"/>
    <cellStyle name="Normal 11 7 2 3" xfId="5177" xr:uid="{00000000-0005-0000-0000-000057140000}"/>
    <cellStyle name="Normal 11 7 3" xfId="5178" xr:uid="{00000000-0005-0000-0000-000058140000}"/>
    <cellStyle name="Normal 11 7 4" xfId="5179" xr:uid="{00000000-0005-0000-0000-000059140000}"/>
    <cellStyle name="Normal 11 8" xfId="5180" xr:uid="{00000000-0005-0000-0000-00005A140000}"/>
    <cellStyle name="Normal 11 9" xfId="5181" xr:uid="{00000000-0005-0000-0000-00005B140000}"/>
    <cellStyle name="Normal 11_1.3s Accounting C Costs Scots" xfId="5182" xr:uid="{00000000-0005-0000-0000-00005C140000}"/>
    <cellStyle name="Normal 12" xfId="5183" xr:uid="{00000000-0005-0000-0000-00005D140000}"/>
    <cellStyle name="Normal 12 10" xfId="5184" xr:uid="{00000000-0005-0000-0000-00005E140000}"/>
    <cellStyle name="Normal 12 11" xfId="5185" xr:uid="{00000000-0005-0000-0000-00005F140000}"/>
    <cellStyle name="Normal 12 12" xfId="5186" xr:uid="{00000000-0005-0000-0000-000060140000}"/>
    <cellStyle name="Normal 12 13" xfId="5187" xr:uid="{00000000-0005-0000-0000-000061140000}"/>
    <cellStyle name="Normal 12 14" xfId="5188" xr:uid="{00000000-0005-0000-0000-000062140000}"/>
    <cellStyle name="Normal 12 15" xfId="5189" xr:uid="{00000000-0005-0000-0000-000063140000}"/>
    <cellStyle name="Normal 12 16" xfId="5190" xr:uid="{00000000-0005-0000-0000-000064140000}"/>
    <cellStyle name="Normal 12 17" xfId="5191" xr:uid="{00000000-0005-0000-0000-000065140000}"/>
    <cellStyle name="Normal 12 18" xfId="5192" xr:uid="{00000000-0005-0000-0000-000066140000}"/>
    <cellStyle name="Normal 12 19" xfId="5193" xr:uid="{00000000-0005-0000-0000-000067140000}"/>
    <cellStyle name="Normal 12 2" xfId="5194" xr:uid="{00000000-0005-0000-0000-000068140000}"/>
    <cellStyle name="Normal 12 2 10" xfId="5195" xr:uid="{00000000-0005-0000-0000-000069140000}"/>
    <cellStyle name="Normal 12 2 11" xfId="5196" xr:uid="{00000000-0005-0000-0000-00006A140000}"/>
    <cellStyle name="Normal 12 2 12" xfId="5197" xr:uid="{00000000-0005-0000-0000-00006B140000}"/>
    <cellStyle name="Normal 12 2 13" xfId="5198" xr:uid="{00000000-0005-0000-0000-00006C140000}"/>
    <cellStyle name="Normal 12 2 14" xfId="5199" xr:uid="{00000000-0005-0000-0000-00006D140000}"/>
    <cellStyle name="Normal 12 2 15" xfId="5200" xr:uid="{00000000-0005-0000-0000-00006E140000}"/>
    <cellStyle name="Normal 12 2 16" xfId="5201" xr:uid="{00000000-0005-0000-0000-00006F140000}"/>
    <cellStyle name="Normal 12 2 17" xfId="5202" xr:uid="{00000000-0005-0000-0000-000070140000}"/>
    <cellStyle name="Normal 12 2 18" xfId="5203" xr:uid="{00000000-0005-0000-0000-000071140000}"/>
    <cellStyle name="Normal 12 2 19" xfId="5204" xr:uid="{00000000-0005-0000-0000-000072140000}"/>
    <cellStyle name="Normal 12 2 2" xfId="5205" xr:uid="{00000000-0005-0000-0000-000073140000}"/>
    <cellStyle name="Normal 12 2 2 10" xfId="5206" xr:uid="{00000000-0005-0000-0000-000074140000}"/>
    <cellStyle name="Normal 12 2 2 11" xfId="5207" xr:uid="{00000000-0005-0000-0000-000075140000}"/>
    <cellStyle name="Normal 12 2 2 12" xfId="5208" xr:uid="{00000000-0005-0000-0000-000076140000}"/>
    <cellStyle name="Normal 12 2 2 13" xfId="5209" xr:uid="{00000000-0005-0000-0000-000077140000}"/>
    <cellStyle name="Normal 12 2 2 14" xfId="5210" xr:uid="{00000000-0005-0000-0000-000078140000}"/>
    <cellStyle name="Normal 12 2 2 15" xfId="5211" xr:uid="{00000000-0005-0000-0000-000079140000}"/>
    <cellStyle name="Normal 12 2 2 2" xfId="5212" xr:uid="{00000000-0005-0000-0000-00007A140000}"/>
    <cellStyle name="Normal 12 2 2 2 10" xfId="5213" xr:uid="{00000000-0005-0000-0000-00007B140000}"/>
    <cellStyle name="Normal 12 2 2 2 11" xfId="5214" xr:uid="{00000000-0005-0000-0000-00007C140000}"/>
    <cellStyle name="Normal 12 2 2 2 12" xfId="5215" xr:uid="{00000000-0005-0000-0000-00007D140000}"/>
    <cellStyle name="Normal 12 2 2 2 13" xfId="5216" xr:uid="{00000000-0005-0000-0000-00007E140000}"/>
    <cellStyle name="Normal 12 2 2 2 14" xfId="5217" xr:uid="{00000000-0005-0000-0000-00007F140000}"/>
    <cellStyle name="Normal 12 2 2 2 15" xfId="5218" xr:uid="{00000000-0005-0000-0000-000080140000}"/>
    <cellStyle name="Normal 12 2 2 2 16" xfId="5219" xr:uid="{00000000-0005-0000-0000-000081140000}"/>
    <cellStyle name="Normal 12 2 2 2 17" xfId="5220" xr:uid="{00000000-0005-0000-0000-000082140000}"/>
    <cellStyle name="Normal 12 2 2 2 18" xfId="5221" xr:uid="{00000000-0005-0000-0000-000083140000}"/>
    <cellStyle name="Normal 12 2 2 2 19" xfId="5222" xr:uid="{00000000-0005-0000-0000-000084140000}"/>
    <cellStyle name="Normal 12 2 2 2 2" xfId="5223" xr:uid="{00000000-0005-0000-0000-000085140000}"/>
    <cellStyle name="Normal 12 2 2 2 2 10" xfId="5224" xr:uid="{00000000-0005-0000-0000-000086140000}"/>
    <cellStyle name="Normal 12 2 2 2 2 11" xfId="5225" xr:uid="{00000000-0005-0000-0000-000087140000}"/>
    <cellStyle name="Normal 12 2 2 2 2 12" xfId="5226" xr:uid="{00000000-0005-0000-0000-000088140000}"/>
    <cellStyle name="Normal 12 2 2 2 2 13" xfId="5227" xr:uid="{00000000-0005-0000-0000-000089140000}"/>
    <cellStyle name="Normal 12 2 2 2 2 2" xfId="5228" xr:uid="{00000000-0005-0000-0000-00008A140000}"/>
    <cellStyle name="Normal 12 2 2 2 2 3" xfId="5229" xr:uid="{00000000-0005-0000-0000-00008B140000}"/>
    <cellStyle name="Normal 12 2 2 2 2 4" xfId="5230" xr:uid="{00000000-0005-0000-0000-00008C140000}"/>
    <cellStyle name="Normal 12 2 2 2 2 5" xfId="5231" xr:uid="{00000000-0005-0000-0000-00008D140000}"/>
    <cellStyle name="Normal 12 2 2 2 2 6" xfId="5232" xr:uid="{00000000-0005-0000-0000-00008E140000}"/>
    <cellStyle name="Normal 12 2 2 2 2 7" xfId="5233" xr:uid="{00000000-0005-0000-0000-00008F140000}"/>
    <cellStyle name="Normal 12 2 2 2 2 8" xfId="5234" xr:uid="{00000000-0005-0000-0000-000090140000}"/>
    <cellStyle name="Normal 12 2 2 2 2 9" xfId="5235" xr:uid="{00000000-0005-0000-0000-000091140000}"/>
    <cellStyle name="Normal 12 2 2 2 20" xfId="5236" xr:uid="{00000000-0005-0000-0000-000092140000}"/>
    <cellStyle name="Normal 12 2 2 2 21" xfId="5237" xr:uid="{00000000-0005-0000-0000-000093140000}"/>
    <cellStyle name="Normal 12 2 2 2 3" xfId="5238" xr:uid="{00000000-0005-0000-0000-000094140000}"/>
    <cellStyle name="Normal 12 2 2 2 4" xfId="5239" xr:uid="{00000000-0005-0000-0000-000095140000}"/>
    <cellStyle name="Normal 12 2 2 2 5" xfId="5240" xr:uid="{00000000-0005-0000-0000-000096140000}"/>
    <cellStyle name="Normal 12 2 2 2 6" xfId="5241" xr:uid="{00000000-0005-0000-0000-000097140000}"/>
    <cellStyle name="Normal 12 2 2 2 7" xfId="5242" xr:uid="{00000000-0005-0000-0000-000098140000}"/>
    <cellStyle name="Normal 12 2 2 2 8" xfId="5243" xr:uid="{00000000-0005-0000-0000-000099140000}"/>
    <cellStyle name="Normal 12 2 2 2 9" xfId="5244" xr:uid="{00000000-0005-0000-0000-00009A140000}"/>
    <cellStyle name="Normal 12 2 2 3" xfId="5245" xr:uid="{00000000-0005-0000-0000-00009B140000}"/>
    <cellStyle name="Normal 12 2 2 3 10" xfId="5246" xr:uid="{00000000-0005-0000-0000-00009C140000}"/>
    <cellStyle name="Normal 12 2 2 3 11" xfId="5247" xr:uid="{00000000-0005-0000-0000-00009D140000}"/>
    <cellStyle name="Normal 12 2 2 3 12" xfId="5248" xr:uid="{00000000-0005-0000-0000-00009E140000}"/>
    <cellStyle name="Normal 12 2 2 3 13" xfId="5249" xr:uid="{00000000-0005-0000-0000-00009F140000}"/>
    <cellStyle name="Normal 12 2 2 3 2" xfId="5250" xr:uid="{00000000-0005-0000-0000-0000A0140000}"/>
    <cellStyle name="Normal 12 2 2 3 3" xfId="5251" xr:uid="{00000000-0005-0000-0000-0000A1140000}"/>
    <cellStyle name="Normal 12 2 2 3 4" xfId="5252" xr:uid="{00000000-0005-0000-0000-0000A2140000}"/>
    <cellStyle name="Normal 12 2 2 3 5" xfId="5253" xr:uid="{00000000-0005-0000-0000-0000A3140000}"/>
    <cellStyle name="Normal 12 2 2 3 6" xfId="5254" xr:uid="{00000000-0005-0000-0000-0000A4140000}"/>
    <cellStyle name="Normal 12 2 2 3 7" xfId="5255" xr:uid="{00000000-0005-0000-0000-0000A5140000}"/>
    <cellStyle name="Normal 12 2 2 3 8" xfId="5256" xr:uid="{00000000-0005-0000-0000-0000A6140000}"/>
    <cellStyle name="Normal 12 2 2 3 9" xfId="5257" xr:uid="{00000000-0005-0000-0000-0000A7140000}"/>
    <cellStyle name="Normal 12 2 2 4" xfId="5258" xr:uid="{00000000-0005-0000-0000-0000A8140000}"/>
    <cellStyle name="Normal 12 2 2 5" xfId="5259" xr:uid="{00000000-0005-0000-0000-0000A9140000}"/>
    <cellStyle name="Normal 12 2 2 6" xfId="5260" xr:uid="{00000000-0005-0000-0000-0000AA140000}"/>
    <cellStyle name="Normal 12 2 2 7" xfId="5261" xr:uid="{00000000-0005-0000-0000-0000AB140000}"/>
    <cellStyle name="Normal 12 2 2 8" xfId="5262" xr:uid="{00000000-0005-0000-0000-0000AC140000}"/>
    <cellStyle name="Normal 12 2 2 9" xfId="5263" xr:uid="{00000000-0005-0000-0000-0000AD140000}"/>
    <cellStyle name="Normal 12 2 2_4 28 1_Asst_Health_Crit_AllTO_RIIO_20110714pm" xfId="5264" xr:uid="{00000000-0005-0000-0000-0000AE140000}"/>
    <cellStyle name="Normal 12 2 20" xfId="5265" xr:uid="{00000000-0005-0000-0000-0000AF140000}"/>
    <cellStyle name="Normal 12 2 21" xfId="5266" xr:uid="{00000000-0005-0000-0000-0000B0140000}"/>
    <cellStyle name="Normal 12 2 22" xfId="5267" xr:uid="{00000000-0005-0000-0000-0000B1140000}"/>
    <cellStyle name="Normal 12 2 23" xfId="5268" xr:uid="{00000000-0005-0000-0000-0000B2140000}"/>
    <cellStyle name="Normal 12 2 24" xfId="5269" xr:uid="{00000000-0005-0000-0000-0000B3140000}"/>
    <cellStyle name="Normal 12 2 25" xfId="5270" xr:uid="{00000000-0005-0000-0000-0000B4140000}"/>
    <cellStyle name="Normal 12 2 26" xfId="5271" xr:uid="{00000000-0005-0000-0000-0000B5140000}"/>
    <cellStyle name="Normal 12 2 3" xfId="5272" xr:uid="{00000000-0005-0000-0000-0000B6140000}"/>
    <cellStyle name="Normal 12 2 3 10" xfId="5273" xr:uid="{00000000-0005-0000-0000-0000B7140000}"/>
    <cellStyle name="Normal 12 2 3 11" xfId="5274" xr:uid="{00000000-0005-0000-0000-0000B8140000}"/>
    <cellStyle name="Normal 12 2 3 12" xfId="5275" xr:uid="{00000000-0005-0000-0000-0000B9140000}"/>
    <cellStyle name="Normal 12 2 3 13" xfId="5276" xr:uid="{00000000-0005-0000-0000-0000BA140000}"/>
    <cellStyle name="Normal 12 2 3 14" xfId="5277" xr:uid="{00000000-0005-0000-0000-0000BB140000}"/>
    <cellStyle name="Normal 12 2 3 15" xfId="5278" xr:uid="{00000000-0005-0000-0000-0000BC140000}"/>
    <cellStyle name="Normal 12 2 3 16" xfId="5279" xr:uid="{00000000-0005-0000-0000-0000BD140000}"/>
    <cellStyle name="Normal 12 2 3 17" xfId="5280" xr:uid="{00000000-0005-0000-0000-0000BE140000}"/>
    <cellStyle name="Normal 12 2 3 18" xfId="5281" xr:uid="{00000000-0005-0000-0000-0000BF140000}"/>
    <cellStyle name="Normal 12 2 3 19" xfId="5282" xr:uid="{00000000-0005-0000-0000-0000C0140000}"/>
    <cellStyle name="Normal 12 2 3 2" xfId="5283" xr:uid="{00000000-0005-0000-0000-0000C1140000}"/>
    <cellStyle name="Normal 12 2 3 2 10" xfId="5284" xr:uid="{00000000-0005-0000-0000-0000C2140000}"/>
    <cellStyle name="Normal 12 2 3 2 11" xfId="5285" xr:uid="{00000000-0005-0000-0000-0000C3140000}"/>
    <cellStyle name="Normal 12 2 3 2 12" xfId="5286" xr:uid="{00000000-0005-0000-0000-0000C4140000}"/>
    <cellStyle name="Normal 12 2 3 2 13" xfId="5287" xr:uid="{00000000-0005-0000-0000-0000C5140000}"/>
    <cellStyle name="Normal 12 2 3 2 2" xfId="5288" xr:uid="{00000000-0005-0000-0000-0000C6140000}"/>
    <cellStyle name="Normal 12 2 3 2 3" xfId="5289" xr:uid="{00000000-0005-0000-0000-0000C7140000}"/>
    <cellStyle name="Normal 12 2 3 2 4" xfId="5290" xr:uid="{00000000-0005-0000-0000-0000C8140000}"/>
    <cellStyle name="Normal 12 2 3 2 5" xfId="5291" xr:uid="{00000000-0005-0000-0000-0000C9140000}"/>
    <cellStyle name="Normal 12 2 3 2 6" xfId="5292" xr:uid="{00000000-0005-0000-0000-0000CA140000}"/>
    <cellStyle name="Normal 12 2 3 2 7" xfId="5293" xr:uid="{00000000-0005-0000-0000-0000CB140000}"/>
    <cellStyle name="Normal 12 2 3 2 8" xfId="5294" xr:uid="{00000000-0005-0000-0000-0000CC140000}"/>
    <cellStyle name="Normal 12 2 3 2 9" xfId="5295" xr:uid="{00000000-0005-0000-0000-0000CD140000}"/>
    <cellStyle name="Normal 12 2 3 20" xfId="5296" xr:uid="{00000000-0005-0000-0000-0000CE140000}"/>
    <cellStyle name="Normal 12 2 3 21" xfId="5297" xr:uid="{00000000-0005-0000-0000-0000CF140000}"/>
    <cellStyle name="Normal 12 2 3 3" xfId="5298" xr:uid="{00000000-0005-0000-0000-0000D0140000}"/>
    <cellStyle name="Normal 12 2 3 4" xfId="5299" xr:uid="{00000000-0005-0000-0000-0000D1140000}"/>
    <cellStyle name="Normal 12 2 3 5" xfId="5300" xr:uid="{00000000-0005-0000-0000-0000D2140000}"/>
    <cellStyle name="Normal 12 2 3 6" xfId="5301" xr:uid="{00000000-0005-0000-0000-0000D3140000}"/>
    <cellStyle name="Normal 12 2 3 7" xfId="5302" xr:uid="{00000000-0005-0000-0000-0000D4140000}"/>
    <cellStyle name="Normal 12 2 3 8" xfId="5303" xr:uid="{00000000-0005-0000-0000-0000D5140000}"/>
    <cellStyle name="Normal 12 2 3 9" xfId="5304" xr:uid="{00000000-0005-0000-0000-0000D6140000}"/>
    <cellStyle name="Normal 12 2 4" xfId="5305" xr:uid="{00000000-0005-0000-0000-0000D7140000}"/>
    <cellStyle name="Normal 12 2 4 10" xfId="5306" xr:uid="{00000000-0005-0000-0000-0000D8140000}"/>
    <cellStyle name="Normal 12 2 4 11" xfId="5307" xr:uid="{00000000-0005-0000-0000-0000D9140000}"/>
    <cellStyle name="Normal 12 2 4 12" xfId="5308" xr:uid="{00000000-0005-0000-0000-0000DA140000}"/>
    <cellStyle name="Normal 12 2 4 13" xfId="5309" xr:uid="{00000000-0005-0000-0000-0000DB140000}"/>
    <cellStyle name="Normal 12 2 4 14" xfId="5310" xr:uid="{00000000-0005-0000-0000-0000DC140000}"/>
    <cellStyle name="Normal 12 2 4 2" xfId="5311" xr:uid="{00000000-0005-0000-0000-0000DD140000}"/>
    <cellStyle name="Normal 12 2 4 2 10" xfId="5312" xr:uid="{00000000-0005-0000-0000-0000DE140000}"/>
    <cellStyle name="Normal 12 2 4 2 11" xfId="5313" xr:uid="{00000000-0005-0000-0000-0000DF140000}"/>
    <cellStyle name="Normal 12 2 4 2 12" xfId="5314" xr:uid="{00000000-0005-0000-0000-0000E0140000}"/>
    <cellStyle name="Normal 12 2 4 2 13" xfId="5315" xr:uid="{00000000-0005-0000-0000-0000E1140000}"/>
    <cellStyle name="Normal 12 2 4 2 2" xfId="5316" xr:uid="{00000000-0005-0000-0000-0000E2140000}"/>
    <cellStyle name="Normal 12 2 4 2 3" xfId="5317" xr:uid="{00000000-0005-0000-0000-0000E3140000}"/>
    <cellStyle name="Normal 12 2 4 2 4" xfId="5318" xr:uid="{00000000-0005-0000-0000-0000E4140000}"/>
    <cellStyle name="Normal 12 2 4 2 5" xfId="5319" xr:uid="{00000000-0005-0000-0000-0000E5140000}"/>
    <cellStyle name="Normal 12 2 4 2 6" xfId="5320" xr:uid="{00000000-0005-0000-0000-0000E6140000}"/>
    <cellStyle name="Normal 12 2 4 2 7" xfId="5321" xr:uid="{00000000-0005-0000-0000-0000E7140000}"/>
    <cellStyle name="Normal 12 2 4 2 8" xfId="5322" xr:uid="{00000000-0005-0000-0000-0000E8140000}"/>
    <cellStyle name="Normal 12 2 4 2 9" xfId="5323" xr:uid="{00000000-0005-0000-0000-0000E9140000}"/>
    <cellStyle name="Normal 12 2 4 3" xfId="5324" xr:uid="{00000000-0005-0000-0000-0000EA140000}"/>
    <cellStyle name="Normal 12 2 4 4" xfId="5325" xr:uid="{00000000-0005-0000-0000-0000EB140000}"/>
    <cellStyle name="Normal 12 2 4 5" xfId="5326" xr:uid="{00000000-0005-0000-0000-0000EC140000}"/>
    <cellStyle name="Normal 12 2 4 6" xfId="5327" xr:uid="{00000000-0005-0000-0000-0000ED140000}"/>
    <cellStyle name="Normal 12 2 4 7" xfId="5328" xr:uid="{00000000-0005-0000-0000-0000EE140000}"/>
    <cellStyle name="Normal 12 2 4 8" xfId="5329" xr:uid="{00000000-0005-0000-0000-0000EF140000}"/>
    <cellStyle name="Normal 12 2 4 9" xfId="5330" xr:uid="{00000000-0005-0000-0000-0000F0140000}"/>
    <cellStyle name="Normal 12 2 5" xfId="5331" xr:uid="{00000000-0005-0000-0000-0000F1140000}"/>
    <cellStyle name="Normal 12 2 5 10" xfId="5332" xr:uid="{00000000-0005-0000-0000-0000F2140000}"/>
    <cellStyle name="Normal 12 2 5 11" xfId="5333" xr:uid="{00000000-0005-0000-0000-0000F3140000}"/>
    <cellStyle name="Normal 12 2 5 12" xfId="5334" xr:uid="{00000000-0005-0000-0000-0000F4140000}"/>
    <cellStyle name="Normal 12 2 5 13" xfId="5335" xr:uid="{00000000-0005-0000-0000-0000F5140000}"/>
    <cellStyle name="Normal 12 2 5 2" xfId="5336" xr:uid="{00000000-0005-0000-0000-0000F6140000}"/>
    <cellStyle name="Normal 12 2 5 3" xfId="5337" xr:uid="{00000000-0005-0000-0000-0000F7140000}"/>
    <cellStyle name="Normal 12 2 5 4" xfId="5338" xr:uid="{00000000-0005-0000-0000-0000F8140000}"/>
    <cellStyle name="Normal 12 2 5 5" xfId="5339" xr:uid="{00000000-0005-0000-0000-0000F9140000}"/>
    <cellStyle name="Normal 12 2 5 6" xfId="5340" xr:uid="{00000000-0005-0000-0000-0000FA140000}"/>
    <cellStyle name="Normal 12 2 5 7" xfId="5341" xr:uid="{00000000-0005-0000-0000-0000FB140000}"/>
    <cellStyle name="Normal 12 2 5 8" xfId="5342" xr:uid="{00000000-0005-0000-0000-0000FC140000}"/>
    <cellStyle name="Normal 12 2 5 9" xfId="5343" xr:uid="{00000000-0005-0000-0000-0000FD140000}"/>
    <cellStyle name="Normal 12 2 6" xfId="5344" xr:uid="{00000000-0005-0000-0000-0000FE140000}"/>
    <cellStyle name="Normal 12 2 6 2" xfId="5345" xr:uid="{00000000-0005-0000-0000-0000FF140000}"/>
    <cellStyle name="Normal 12 2 6 2 2" xfId="5346" xr:uid="{00000000-0005-0000-0000-000000150000}"/>
    <cellStyle name="Normal 12 2 6 2 3" xfId="5347" xr:uid="{00000000-0005-0000-0000-000001150000}"/>
    <cellStyle name="Normal 12 2 6 3" xfId="5348" xr:uid="{00000000-0005-0000-0000-000002150000}"/>
    <cellStyle name="Normal 12 2 6 4" xfId="5349" xr:uid="{00000000-0005-0000-0000-000003150000}"/>
    <cellStyle name="Normal 12 2 7" xfId="5350" xr:uid="{00000000-0005-0000-0000-000004150000}"/>
    <cellStyle name="Normal 12 2 8" xfId="5351" xr:uid="{00000000-0005-0000-0000-000005150000}"/>
    <cellStyle name="Normal 12 2 9" xfId="5352" xr:uid="{00000000-0005-0000-0000-000006150000}"/>
    <cellStyle name="Normal 12 2_4 28 1_Asst_Health_Crit_AllTO_RIIO_20110714pm" xfId="5353" xr:uid="{00000000-0005-0000-0000-000007150000}"/>
    <cellStyle name="Normal 12 20" xfId="5354" xr:uid="{00000000-0005-0000-0000-000008150000}"/>
    <cellStyle name="Normal 12 21" xfId="5355" xr:uid="{00000000-0005-0000-0000-000009150000}"/>
    <cellStyle name="Normal 12 22" xfId="5356" xr:uid="{00000000-0005-0000-0000-00000A150000}"/>
    <cellStyle name="Normal 12 23" xfId="5357" xr:uid="{00000000-0005-0000-0000-00000B150000}"/>
    <cellStyle name="Normal 12 24" xfId="5358" xr:uid="{00000000-0005-0000-0000-00000C150000}"/>
    <cellStyle name="Normal 12 25" xfId="5359" xr:uid="{00000000-0005-0000-0000-00000D150000}"/>
    <cellStyle name="Normal 12 26" xfId="5360" xr:uid="{00000000-0005-0000-0000-00000E150000}"/>
    <cellStyle name="Normal 12 3" xfId="5361" xr:uid="{00000000-0005-0000-0000-00000F150000}"/>
    <cellStyle name="Normal 12 3 10" xfId="5362" xr:uid="{00000000-0005-0000-0000-000010150000}"/>
    <cellStyle name="Normal 12 3 11" xfId="5363" xr:uid="{00000000-0005-0000-0000-000011150000}"/>
    <cellStyle name="Normal 12 3 12" xfId="5364" xr:uid="{00000000-0005-0000-0000-000012150000}"/>
    <cellStyle name="Normal 12 3 13" xfId="5365" xr:uid="{00000000-0005-0000-0000-000013150000}"/>
    <cellStyle name="Normal 12 3 14" xfId="5366" xr:uid="{00000000-0005-0000-0000-000014150000}"/>
    <cellStyle name="Normal 12 3 15" xfId="5367" xr:uid="{00000000-0005-0000-0000-000015150000}"/>
    <cellStyle name="Normal 12 3 16" xfId="5368" xr:uid="{00000000-0005-0000-0000-000016150000}"/>
    <cellStyle name="Normal 12 3 17" xfId="5369" xr:uid="{00000000-0005-0000-0000-000017150000}"/>
    <cellStyle name="Normal 12 3 18" xfId="5370" xr:uid="{00000000-0005-0000-0000-000018150000}"/>
    <cellStyle name="Normal 12 3 19" xfId="5371" xr:uid="{00000000-0005-0000-0000-000019150000}"/>
    <cellStyle name="Normal 12 3 2" xfId="5372" xr:uid="{00000000-0005-0000-0000-00001A150000}"/>
    <cellStyle name="Normal 12 3 2 10" xfId="5373" xr:uid="{00000000-0005-0000-0000-00001B150000}"/>
    <cellStyle name="Normal 12 3 2 11" xfId="5374" xr:uid="{00000000-0005-0000-0000-00001C150000}"/>
    <cellStyle name="Normal 12 3 2 12" xfId="5375" xr:uid="{00000000-0005-0000-0000-00001D150000}"/>
    <cellStyle name="Normal 12 3 2 13" xfId="5376" xr:uid="{00000000-0005-0000-0000-00001E150000}"/>
    <cellStyle name="Normal 12 3 2 14" xfId="5377" xr:uid="{00000000-0005-0000-0000-00001F150000}"/>
    <cellStyle name="Normal 12 3 2 15" xfId="5378" xr:uid="{00000000-0005-0000-0000-000020150000}"/>
    <cellStyle name="Normal 12 3 2 16" xfId="5379" xr:uid="{00000000-0005-0000-0000-000021150000}"/>
    <cellStyle name="Normal 12 3 2 17" xfId="5380" xr:uid="{00000000-0005-0000-0000-000022150000}"/>
    <cellStyle name="Normal 12 3 2 18" xfId="5381" xr:uid="{00000000-0005-0000-0000-000023150000}"/>
    <cellStyle name="Normal 12 3 2 19" xfId="5382" xr:uid="{00000000-0005-0000-0000-000024150000}"/>
    <cellStyle name="Normal 12 3 2 2" xfId="5383" xr:uid="{00000000-0005-0000-0000-000025150000}"/>
    <cellStyle name="Normal 12 3 2 2 10" xfId="5384" xr:uid="{00000000-0005-0000-0000-000026150000}"/>
    <cellStyle name="Normal 12 3 2 2 11" xfId="5385" xr:uid="{00000000-0005-0000-0000-000027150000}"/>
    <cellStyle name="Normal 12 3 2 2 12" xfId="5386" xr:uid="{00000000-0005-0000-0000-000028150000}"/>
    <cellStyle name="Normal 12 3 2 2 13" xfId="5387" xr:uid="{00000000-0005-0000-0000-000029150000}"/>
    <cellStyle name="Normal 12 3 2 2 2" xfId="5388" xr:uid="{00000000-0005-0000-0000-00002A150000}"/>
    <cellStyle name="Normal 12 3 2 2 3" xfId="5389" xr:uid="{00000000-0005-0000-0000-00002B150000}"/>
    <cellStyle name="Normal 12 3 2 2 4" xfId="5390" xr:uid="{00000000-0005-0000-0000-00002C150000}"/>
    <cellStyle name="Normal 12 3 2 2 5" xfId="5391" xr:uid="{00000000-0005-0000-0000-00002D150000}"/>
    <cellStyle name="Normal 12 3 2 2 6" xfId="5392" xr:uid="{00000000-0005-0000-0000-00002E150000}"/>
    <cellStyle name="Normal 12 3 2 2 7" xfId="5393" xr:uid="{00000000-0005-0000-0000-00002F150000}"/>
    <cellStyle name="Normal 12 3 2 2 8" xfId="5394" xr:uid="{00000000-0005-0000-0000-000030150000}"/>
    <cellStyle name="Normal 12 3 2 2 9" xfId="5395" xr:uid="{00000000-0005-0000-0000-000031150000}"/>
    <cellStyle name="Normal 12 3 2 20" xfId="5396" xr:uid="{00000000-0005-0000-0000-000032150000}"/>
    <cellStyle name="Normal 12 3 2 21" xfId="5397" xr:uid="{00000000-0005-0000-0000-000033150000}"/>
    <cellStyle name="Normal 12 3 2 3" xfId="5398" xr:uid="{00000000-0005-0000-0000-000034150000}"/>
    <cellStyle name="Normal 12 3 2 4" xfId="5399" xr:uid="{00000000-0005-0000-0000-000035150000}"/>
    <cellStyle name="Normal 12 3 2 5" xfId="5400" xr:uid="{00000000-0005-0000-0000-000036150000}"/>
    <cellStyle name="Normal 12 3 2 6" xfId="5401" xr:uid="{00000000-0005-0000-0000-000037150000}"/>
    <cellStyle name="Normal 12 3 2 7" xfId="5402" xr:uid="{00000000-0005-0000-0000-000038150000}"/>
    <cellStyle name="Normal 12 3 2 8" xfId="5403" xr:uid="{00000000-0005-0000-0000-000039150000}"/>
    <cellStyle name="Normal 12 3 2 9" xfId="5404" xr:uid="{00000000-0005-0000-0000-00003A150000}"/>
    <cellStyle name="Normal 12 3 20" xfId="5405" xr:uid="{00000000-0005-0000-0000-00003B150000}"/>
    <cellStyle name="Normal 12 3 21" xfId="5406" xr:uid="{00000000-0005-0000-0000-00003C150000}"/>
    <cellStyle name="Normal 12 3 22" xfId="5407" xr:uid="{00000000-0005-0000-0000-00003D150000}"/>
    <cellStyle name="Normal 12 3 3" xfId="5408" xr:uid="{00000000-0005-0000-0000-00003E150000}"/>
    <cellStyle name="Normal 12 3 3 10" xfId="5409" xr:uid="{00000000-0005-0000-0000-00003F150000}"/>
    <cellStyle name="Normal 12 3 3 11" xfId="5410" xr:uid="{00000000-0005-0000-0000-000040150000}"/>
    <cellStyle name="Normal 12 3 3 12" xfId="5411" xr:uid="{00000000-0005-0000-0000-000041150000}"/>
    <cellStyle name="Normal 12 3 3 13" xfId="5412" xr:uid="{00000000-0005-0000-0000-000042150000}"/>
    <cellStyle name="Normal 12 3 3 2" xfId="5413" xr:uid="{00000000-0005-0000-0000-000043150000}"/>
    <cellStyle name="Normal 12 3 3 3" xfId="5414" xr:uid="{00000000-0005-0000-0000-000044150000}"/>
    <cellStyle name="Normal 12 3 3 4" xfId="5415" xr:uid="{00000000-0005-0000-0000-000045150000}"/>
    <cellStyle name="Normal 12 3 3 5" xfId="5416" xr:uid="{00000000-0005-0000-0000-000046150000}"/>
    <cellStyle name="Normal 12 3 3 6" xfId="5417" xr:uid="{00000000-0005-0000-0000-000047150000}"/>
    <cellStyle name="Normal 12 3 3 7" xfId="5418" xr:uid="{00000000-0005-0000-0000-000048150000}"/>
    <cellStyle name="Normal 12 3 3 8" xfId="5419" xr:uid="{00000000-0005-0000-0000-000049150000}"/>
    <cellStyle name="Normal 12 3 3 9" xfId="5420" xr:uid="{00000000-0005-0000-0000-00004A150000}"/>
    <cellStyle name="Normal 12 3 4" xfId="5421" xr:uid="{00000000-0005-0000-0000-00004B150000}"/>
    <cellStyle name="Normal 12 3 5" xfId="5422" xr:uid="{00000000-0005-0000-0000-00004C150000}"/>
    <cellStyle name="Normal 12 3 6" xfId="5423" xr:uid="{00000000-0005-0000-0000-00004D150000}"/>
    <cellStyle name="Normal 12 3 7" xfId="5424" xr:uid="{00000000-0005-0000-0000-00004E150000}"/>
    <cellStyle name="Normal 12 3 8" xfId="5425" xr:uid="{00000000-0005-0000-0000-00004F150000}"/>
    <cellStyle name="Normal 12 3 9" xfId="5426" xr:uid="{00000000-0005-0000-0000-000050150000}"/>
    <cellStyle name="Normal 12 3_4 28 1_Asst_Health_Crit_AllTO_RIIO_20110714pm" xfId="5427" xr:uid="{00000000-0005-0000-0000-000051150000}"/>
    <cellStyle name="Normal 12 4" xfId="5428" xr:uid="{00000000-0005-0000-0000-000052150000}"/>
    <cellStyle name="Normal 12 4 10" xfId="5429" xr:uid="{00000000-0005-0000-0000-000053150000}"/>
    <cellStyle name="Normal 12 4 11" xfId="5430" xr:uid="{00000000-0005-0000-0000-000054150000}"/>
    <cellStyle name="Normal 12 4 12" xfId="5431" xr:uid="{00000000-0005-0000-0000-000055150000}"/>
    <cellStyle name="Normal 12 4 13" xfId="5432" xr:uid="{00000000-0005-0000-0000-000056150000}"/>
    <cellStyle name="Normal 12 4 14" xfId="5433" xr:uid="{00000000-0005-0000-0000-000057150000}"/>
    <cellStyle name="Normal 12 4 15" xfId="5434" xr:uid="{00000000-0005-0000-0000-000058150000}"/>
    <cellStyle name="Normal 12 4 16" xfId="5435" xr:uid="{00000000-0005-0000-0000-000059150000}"/>
    <cellStyle name="Normal 12 4 17" xfId="5436" xr:uid="{00000000-0005-0000-0000-00005A150000}"/>
    <cellStyle name="Normal 12 4 18" xfId="5437" xr:uid="{00000000-0005-0000-0000-00005B150000}"/>
    <cellStyle name="Normal 12 4 19" xfId="5438" xr:uid="{00000000-0005-0000-0000-00005C150000}"/>
    <cellStyle name="Normal 12 4 2" xfId="5439" xr:uid="{00000000-0005-0000-0000-00005D150000}"/>
    <cellStyle name="Normal 12 4 2 10" xfId="5440" xr:uid="{00000000-0005-0000-0000-00005E150000}"/>
    <cellStyle name="Normal 12 4 2 11" xfId="5441" xr:uid="{00000000-0005-0000-0000-00005F150000}"/>
    <cellStyle name="Normal 12 4 2 12" xfId="5442" xr:uid="{00000000-0005-0000-0000-000060150000}"/>
    <cellStyle name="Normal 12 4 2 13" xfId="5443" xr:uid="{00000000-0005-0000-0000-000061150000}"/>
    <cellStyle name="Normal 12 4 2 2" xfId="5444" xr:uid="{00000000-0005-0000-0000-000062150000}"/>
    <cellStyle name="Normal 12 4 2 3" xfId="5445" xr:uid="{00000000-0005-0000-0000-000063150000}"/>
    <cellStyle name="Normal 12 4 2 4" xfId="5446" xr:uid="{00000000-0005-0000-0000-000064150000}"/>
    <cellStyle name="Normal 12 4 2 5" xfId="5447" xr:uid="{00000000-0005-0000-0000-000065150000}"/>
    <cellStyle name="Normal 12 4 2 6" xfId="5448" xr:uid="{00000000-0005-0000-0000-000066150000}"/>
    <cellStyle name="Normal 12 4 2 7" xfId="5449" xr:uid="{00000000-0005-0000-0000-000067150000}"/>
    <cellStyle name="Normal 12 4 2 8" xfId="5450" xr:uid="{00000000-0005-0000-0000-000068150000}"/>
    <cellStyle name="Normal 12 4 2 9" xfId="5451" xr:uid="{00000000-0005-0000-0000-000069150000}"/>
    <cellStyle name="Normal 12 4 20" xfId="5452" xr:uid="{00000000-0005-0000-0000-00006A150000}"/>
    <cellStyle name="Normal 12 4 21" xfId="5453" xr:uid="{00000000-0005-0000-0000-00006B150000}"/>
    <cellStyle name="Normal 12 4 3" xfId="5454" xr:uid="{00000000-0005-0000-0000-00006C150000}"/>
    <cellStyle name="Normal 12 4 4" xfId="5455" xr:uid="{00000000-0005-0000-0000-00006D150000}"/>
    <cellStyle name="Normal 12 4 5" xfId="5456" xr:uid="{00000000-0005-0000-0000-00006E150000}"/>
    <cellStyle name="Normal 12 4 6" xfId="5457" xr:uid="{00000000-0005-0000-0000-00006F150000}"/>
    <cellStyle name="Normal 12 4 7" xfId="5458" xr:uid="{00000000-0005-0000-0000-000070150000}"/>
    <cellStyle name="Normal 12 4 8" xfId="5459" xr:uid="{00000000-0005-0000-0000-000071150000}"/>
    <cellStyle name="Normal 12 4 9" xfId="5460" xr:uid="{00000000-0005-0000-0000-000072150000}"/>
    <cellStyle name="Normal 12 5" xfId="5461" xr:uid="{00000000-0005-0000-0000-000073150000}"/>
    <cellStyle name="Normal 12 5 10" xfId="5462" xr:uid="{00000000-0005-0000-0000-000074150000}"/>
    <cellStyle name="Normal 12 5 11" xfId="5463" xr:uid="{00000000-0005-0000-0000-000075150000}"/>
    <cellStyle name="Normal 12 5 12" xfId="5464" xr:uid="{00000000-0005-0000-0000-000076150000}"/>
    <cellStyle name="Normal 12 5 13" xfId="5465" xr:uid="{00000000-0005-0000-0000-000077150000}"/>
    <cellStyle name="Normal 12 5 2" xfId="5466" xr:uid="{00000000-0005-0000-0000-000078150000}"/>
    <cellStyle name="Normal 12 5 3" xfId="5467" xr:uid="{00000000-0005-0000-0000-000079150000}"/>
    <cellStyle name="Normal 12 5 4" xfId="5468" xr:uid="{00000000-0005-0000-0000-00007A150000}"/>
    <cellStyle name="Normal 12 5 5" xfId="5469" xr:uid="{00000000-0005-0000-0000-00007B150000}"/>
    <cellStyle name="Normal 12 5 6" xfId="5470" xr:uid="{00000000-0005-0000-0000-00007C150000}"/>
    <cellStyle name="Normal 12 5 7" xfId="5471" xr:uid="{00000000-0005-0000-0000-00007D150000}"/>
    <cellStyle name="Normal 12 5 8" xfId="5472" xr:uid="{00000000-0005-0000-0000-00007E150000}"/>
    <cellStyle name="Normal 12 5 9" xfId="5473" xr:uid="{00000000-0005-0000-0000-00007F150000}"/>
    <cellStyle name="Normal 12 6" xfId="5474" xr:uid="{00000000-0005-0000-0000-000080150000}"/>
    <cellStyle name="Normal 12 6 2" xfId="5475" xr:uid="{00000000-0005-0000-0000-000081150000}"/>
    <cellStyle name="Normal 12 6 2 2" xfId="5476" xr:uid="{00000000-0005-0000-0000-000082150000}"/>
    <cellStyle name="Normal 12 6 2 3" xfId="5477" xr:uid="{00000000-0005-0000-0000-000083150000}"/>
    <cellStyle name="Normal 12 6 3" xfId="5478" xr:uid="{00000000-0005-0000-0000-000084150000}"/>
    <cellStyle name="Normal 12 6 4" xfId="5479" xr:uid="{00000000-0005-0000-0000-000085150000}"/>
    <cellStyle name="Normal 12 7" xfId="5480" xr:uid="{00000000-0005-0000-0000-000086150000}"/>
    <cellStyle name="Normal 12 8" xfId="5481" xr:uid="{00000000-0005-0000-0000-000087150000}"/>
    <cellStyle name="Normal 12 9" xfId="5482" xr:uid="{00000000-0005-0000-0000-000088150000}"/>
    <cellStyle name="Normal 12_1.3s Accounting C Costs Scots" xfId="5483" xr:uid="{00000000-0005-0000-0000-000089150000}"/>
    <cellStyle name="Normal 13" xfId="5484" xr:uid="{00000000-0005-0000-0000-00008A150000}"/>
    <cellStyle name="Normal 13 10" xfId="5485" xr:uid="{00000000-0005-0000-0000-00008B150000}"/>
    <cellStyle name="Normal 13 11" xfId="5486" xr:uid="{00000000-0005-0000-0000-00008C150000}"/>
    <cellStyle name="Normal 13 12" xfId="5487" xr:uid="{00000000-0005-0000-0000-00008D150000}"/>
    <cellStyle name="Normal 13 13" xfId="5488" xr:uid="{00000000-0005-0000-0000-00008E150000}"/>
    <cellStyle name="Normal 13 14" xfId="5489" xr:uid="{00000000-0005-0000-0000-00008F150000}"/>
    <cellStyle name="Normal 13 15" xfId="5490" xr:uid="{00000000-0005-0000-0000-000090150000}"/>
    <cellStyle name="Normal 13 16" xfId="5491" xr:uid="{00000000-0005-0000-0000-000091150000}"/>
    <cellStyle name="Normal 13 17" xfId="5492" xr:uid="{00000000-0005-0000-0000-000092150000}"/>
    <cellStyle name="Normal 13 18" xfId="5493" xr:uid="{00000000-0005-0000-0000-000093150000}"/>
    <cellStyle name="Normal 13 19" xfId="5494" xr:uid="{00000000-0005-0000-0000-000094150000}"/>
    <cellStyle name="Normal 13 2" xfId="5495" xr:uid="{00000000-0005-0000-0000-000095150000}"/>
    <cellStyle name="Normal 13 2 10" xfId="5496" xr:uid="{00000000-0005-0000-0000-000096150000}"/>
    <cellStyle name="Normal 13 2 11" xfId="5497" xr:uid="{00000000-0005-0000-0000-000097150000}"/>
    <cellStyle name="Normal 13 2 12" xfId="5498" xr:uid="{00000000-0005-0000-0000-000098150000}"/>
    <cellStyle name="Normal 13 2 13" xfId="5499" xr:uid="{00000000-0005-0000-0000-000099150000}"/>
    <cellStyle name="Normal 13 2 14" xfId="5500" xr:uid="{00000000-0005-0000-0000-00009A150000}"/>
    <cellStyle name="Normal 13 2 15" xfId="5501" xr:uid="{00000000-0005-0000-0000-00009B150000}"/>
    <cellStyle name="Normal 13 2 16" xfId="5502" xr:uid="{00000000-0005-0000-0000-00009C150000}"/>
    <cellStyle name="Normal 13 2 17" xfId="5503" xr:uid="{00000000-0005-0000-0000-00009D150000}"/>
    <cellStyle name="Normal 13 2 18" xfId="5504" xr:uid="{00000000-0005-0000-0000-00009E150000}"/>
    <cellStyle name="Normal 13 2 19" xfId="5505" xr:uid="{00000000-0005-0000-0000-00009F150000}"/>
    <cellStyle name="Normal 13 2 2" xfId="5506" xr:uid="{00000000-0005-0000-0000-0000A0150000}"/>
    <cellStyle name="Normal 13 2 2 10" xfId="5507" xr:uid="{00000000-0005-0000-0000-0000A1150000}"/>
    <cellStyle name="Normal 13 2 2 11" xfId="5508" xr:uid="{00000000-0005-0000-0000-0000A2150000}"/>
    <cellStyle name="Normal 13 2 2 12" xfId="5509" xr:uid="{00000000-0005-0000-0000-0000A3150000}"/>
    <cellStyle name="Normal 13 2 2 13" xfId="5510" xr:uid="{00000000-0005-0000-0000-0000A4150000}"/>
    <cellStyle name="Normal 13 2 2 14" xfId="5511" xr:uid="{00000000-0005-0000-0000-0000A5150000}"/>
    <cellStyle name="Normal 13 2 2 15" xfId="5512" xr:uid="{00000000-0005-0000-0000-0000A6150000}"/>
    <cellStyle name="Normal 13 2 2 2" xfId="5513" xr:uid="{00000000-0005-0000-0000-0000A7150000}"/>
    <cellStyle name="Normal 13 2 2 2 10" xfId="5514" xr:uid="{00000000-0005-0000-0000-0000A8150000}"/>
    <cellStyle name="Normal 13 2 2 2 11" xfId="5515" xr:uid="{00000000-0005-0000-0000-0000A9150000}"/>
    <cellStyle name="Normal 13 2 2 2 12" xfId="5516" xr:uid="{00000000-0005-0000-0000-0000AA150000}"/>
    <cellStyle name="Normal 13 2 2 2 13" xfId="5517" xr:uid="{00000000-0005-0000-0000-0000AB150000}"/>
    <cellStyle name="Normal 13 2 2 2 14" xfId="5518" xr:uid="{00000000-0005-0000-0000-0000AC150000}"/>
    <cellStyle name="Normal 13 2 2 2 2" xfId="5519" xr:uid="{00000000-0005-0000-0000-0000AD150000}"/>
    <cellStyle name="Normal 13 2 2 2 2 10" xfId="5520" xr:uid="{00000000-0005-0000-0000-0000AE150000}"/>
    <cellStyle name="Normal 13 2 2 2 2 11" xfId="5521" xr:uid="{00000000-0005-0000-0000-0000AF150000}"/>
    <cellStyle name="Normal 13 2 2 2 2 12" xfId="5522" xr:uid="{00000000-0005-0000-0000-0000B0150000}"/>
    <cellStyle name="Normal 13 2 2 2 2 13" xfId="5523" xr:uid="{00000000-0005-0000-0000-0000B1150000}"/>
    <cellStyle name="Normal 13 2 2 2 2 2" xfId="5524" xr:uid="{00000000-0005-0000-0000-0000B2150000}"/>
    <cellStyle name="Normal 13 2 2 2 2 3" xfId="5525" xr:uid="{00000000-0005-0000-0000-0000B3150000}"/>
    <cellStyle name="Normal 13 2 2 2 2 4" xfId="5526" xr:uid="{00000000-0005-0000-0000-0000B4150000}"/>
    <cellStyle name="Normal 13 2 2 2 2 5" xfId="5527" xr:uid="{00000000-0005-0000-0000-0000B5150000}"/>
    <cellStyle name="Normal 13 2 2 2 2 6" xfId="5528" xr:uid="{00000000-0005-0000-0000-0000B6150000}"/>
    <cellStyle name="Normal 13 2 2 2 2 7" xfId="5529" xr:uid="{00000000-0005-0000-0000-0000B7150000}"/>
    <cellStyle name="Normal 13 2 2 2 2 8" xfId="5530" xr:uid="{00000000-0005-0000-0000-0000B8150000}"/>
    <cellStyle name="Normal 13 2 2 2 2 9" xfId="5531" xr:uid="{00000000-0005-0000-0000-0000B9150000}"/>
    <cellStyle name="Normal 13 2 2 2 3" xfId="5532" xr:uid="{00000000-0005-0000-0000-0000BA150000}"/>
    <cellStyle name="Normal 13 2 2 2 4" xfId="5533" xr:uid="{00000000-0005-0000-0000-0000BB150000}"/>
    <cellStyle name="Normal 13 2 2 2 5" xfId="5534" xr:uid="{00000000-0005-0000-0000-0000BC150000}"/>
    <cellStyle name="Normal 13 2 2 2 6" xfId="5535" xr:uid="{00000000-0005-0000-0000-0000BD150000}"/>
    <cellStyle name="Normal 13 2 2 2 7" xfId="5536" xr:uid="{00000000-0005-0000-0000-0000BE150000}"/>
    <cellStyle name="Normal 13 2 2 2 8" xfId="5537" xr:uid="{00000000-0005-0000-0000-0000BF150000}"/>
    <cellStyle name="Normal 13 2 2 2 9" xfId="5538" xr:uid="{00000000-0005-0000-0000-0000C0150000}"/>
    <cellStyle name="Normal 13 2 2 3" xfId="5539" xr:uid="{00000000-0005-0000-0000-0000C1150000}"/>
    <cellStyle name="Normal 13 2 2 3 10" xfId="5540" xr:uid="{00000000-0005-0000-0000-0000C2150000}"/>
    <cellStyle name="Normal 13 2 2 3 11" xfId="5541" xr:uid="{00000000-0005-0000-0000-0000C3150000}"/>
    <cellStyle name="Normal 13 2 2 3 12" xfId="5542" xr:uid="{00000000-0005-0000-0000-0000C4150000}"/>
    <cellStyle name="Normal 13 2 2 3 13" xfId="5543" xr:uid="{00000000-0005-0000-0000-0000C5150000}"/>
    <cellStyle name="Normal 13 2 2 3 2" xfId="5544" xr:uid="{00000000-0005-0000-0000-0000C6150000}"/>
    <cellStyle name="Normal 13 2 2 3 3" xfId="5545" xr:uid="{00000000-0005-0000-0000-0000C7150000}"/>
    <cellStyle name="Normal 13 2 2 3 4" xfId="5546" xr:uid="{00000000-0005-0000-0000-0000C8150000}"/>
    <cellStyle name="Normal 13 2 2 3 5" xfId="5547" xr:uid="{00000000-0005-0000-0000-0000C9150000}"/>
    <cellStyle name="Normal 13 2 2 3 6" xfId="5548" xr:uid="{00000000-0005-0000-0000-0000CA150000}"/>
    <cellStyle name="Normal 13 2 2 3 7" xfId="5549" xr:uid="{00000000-0005-0000-0000-0000CB150000}"/>
    <cellStyle name="Normal 13 2 2 3 8" xfId="5550" xr:uid="{00000000-0005-0000-0000-0000CC150000}"/>
    <cellStyle name="Normal 13 2 2 3 9" xfId="5551" xr:uid="{00000000-0005-0000-0000-0000CD150000}"/>
    <cellStyle name="Normal 13 2 2 4" xfId="5552" xr:uid="{00000000-0005-0000-0000-0000CE150000}"/>
    <cellStyle name="Normal 13 2 2 5" xfId="5553" xr:uid="{00000000-0005-0000-0000-0000CF150000}"/>
    <cellStyle name="Normal 13 2 2 6" xfId="5554" xr:uid="{00000000-0005-0000-0000-0000D0150000}"/>
    <cellStyle name="Normal 13 2 2 7" xfId="5555" xr:uid="{00000000-0005-0000-0000-0000D1150000}"/>
    <cellStyle name="Normal 13 2 2 8" xfId="5556" xr:uid="{00000000-0005-0000-0000-0000D2150000}"/>
    <cellStyle name="Normal 13 2 2 9" xfId="5557" xr:uid="{00000000-0005-0000-0000-0000D3150000}"/>
    <cellStyle name="Normal 13 2 20" xfId="5558" xr:uid="{00000000-0005-0000-0000-0000D4150000}"/>
    <cellStyle name="Normal 13 2 21" xfId="5559" xr:uid="{00000000-0005-0000-0000-0000D5150000}"/>
    <cellStyle name="Normal 13 2 22" xfId="5560" xr:uid="{00000000-0005-0000-0000-0000D6150000}"/>
    <cellStyle name="Normal 13 2 3" xfId="5561" xr:uid="{00000000-0005-0000-0000-0000D7150000}"/>
    <cellStyle name="Normal 13 2 3 10" xfId="5562" xr:uid="{00000000-0005-0000-0000-0000D8150000}"/>
    <cellStyle name="Normal 13 2 3 11" xfId="5563" xr:uid="{00000000-0005-0000-0000-0000D9150000}"/>
    <cellStyle name="Normal 13 2 3 12" xfId="5564" xr:uid="{00000000-0005-0000-0000-0000DA150000}"/>
    <cellStyle name="Normal 13 2 3 13" xfId="5565" xr:uid="{00000000-0005-0000-0000-0000DB150000}"/>
    <cellStyle name="Normal 13 2 3 14" xfId="5566" xr:uid="{00000000-0005-0000-0000-0000DC150000}"/>
    <cellStyle name="Normal 13 2 3 2" xfId="5567" xr:uid="{00000000-0005-0000-0000-0000DD150000}"/>
    <cellStyle name="Normal 13 2 3 2 10" xfId="5568" xr:uid="{00000000-0005-0000-0000-0000DE150000}"/>
    <cellStyle name="Normal 13 2 3 2 11" xfId="5569" xr:uid="{00000000-0005-0000-0000-0000DF150000}"/>
    <cellStyle name="Normal 13 2 3 2 12" xfId="5570" xr:uid="{00000000-0005-0000-0000-0000E0150000}"/>
    <cellStyle name="Normal 13 2 3 2 13" xfId="5571" xr:uid="{00000000-0005-0000-0000-0000E1150000}"/>
    <cellStyle name="Normal 13 2 3 2 2" xfId="5572" xr:uid="{00000000-0005-0000-0000-0000E2150000}"/>
    <cellStyle name="Normal 13 2 3 2 3" xfId="5573" xr:uid="{00000000-0005-0000-0000-0000E3150000}"/>
    <cellStyle name="Normal 13 2 3 2 4" xfId="5574" xr:uid="{00000000-0005-0000-0000-0000E4150000}"/>
    <cellStyle name="Normal 13 2 3 2 5" xfId="5575" xr:uid="{00000000-0005-0000-0000-0000E5150000}"/>
    <cellStyle name="Normal 13 2 3 2 6" xfId="5576" xr:uid="{00000000-0005-0000-0000-0000E6150000}"/>
    <cellStyle name="Normal 13 2 3 2 7" xfId="5577" xr:uid="{00000000-0005-0000-0000-0000E7150000}"/>
    <cellStyle name="Normal 13 2 3 2 8" xfId="5578" xr:uid="{00000000-0005-0000-0000-0000E8150000}"/>
    <cellStyle name="Normal 13 2 3 2 9" xfId="5579" xr:uid="{00000000-0005-0000-0000-0000E9150000}"/>
    <cellStyle name="Normal 13 2 3 3" xfId="5580" xr:uid="{00000000-0005-0000-0000-0000EA150000}"/>
    <cellStyle name="Normal 13 2 3 4" xfId="5581" xr:uid="{00000000-0005-0000-0000-0000EB150000}"/>
    <cellStyle name="Normal 13 2 3 5" xfId="5582" xr:uid="{00000000-0005-0000-0000-0000EC150000}"/>
    <cellStyle name="Normal 13 2 3 6" xfId="5583" xr:uid="{00000000-0005-0000-0000-0000ED150000}"/>
    <cellStyle name="Normal 13 2 3 7" xfId="5584" xr:uid="{00000000-0005-0000-0000-0000EE150000}"/>
    <cellStyle name="Normal 13 2 3 8" xfId="5585" xr:uid="{00000000-0005-0000-0000-0000EF150000}"/>
    <cellStyle name="Normal 13 2 3 9" xfId="5586" xr:uid="{00000000-0005-0000-0000-0000F0150000}"/>
    <cellStyle name="Normal 13 2 4" xfId="5587" xr:uid="{00000000-0005-0000-0000-0000F1150000}"/>
    <cellStyle name="Normal 13 2 4 10" xfId="5588" xr:uid="{00000000-0005-0000-0000-0000F2150000}"/>
    <cellStyle name="Normal 13 2 4 11" xfId="5589" xr:uid="{00000000-0005-0000-0000-0000F3150000}"/>
    <cellStyle name="Normal 13 2 4 12" xfId="5590" xr:uid="{00000000-0005-0000-0000-0000F4150000}"/>
    <cellStyle name="Normal 13 2 4 13" xfId="5591" xr:uid="{00000000-0005-0000-0000-0000F5150000}"/>
    <cellStyle name="Normal 13 2 4 2" xfId="5592" xr:uid="{00000000-0005-0000-0000-0000F6150000}"/>
    <cellStyle name="Normal 13 2 4 3" xfId="5593" xr:uid="{00000000-0005-0000-0000-0000F7150000}"/>
    <cellStyle name="Normal 13 2 4 4" xfId="5594" xr:uid="{00000000-0005-0000-0000-0000F8150000}"/>
    <cellStyle name="Normal 13 2 4 5" xfId="5595" xr:uid="{00000000-0005-0000-0000-0000F9150000}"/>
    <cellStyle name="Normal 13 2 4 6" xfId="5596" xr:uid="{00000000-0005-0000-0000-0000FA150000}"/>
    <cellStyle name="Normal 13 2 4 7" xfId="5597" xr:uid="{00000000-0005-0000-0000-0000FB150000}"/>
    <cellStyle name="Normal 13 2 4 8" xfId="5598" xr:uid="{00000000-0005-0000-0000-0000FC150000}"/>
    <cellStyle name="Normal 13 2 4 9" xfId="5599" xr:uid="{00000000-0005-0000-0000-0000FD150000}"/>
    <cellStyle name="Normal 13 2 5" xfId="5600" xr:uid="{00000000-0005-0000-0000-0000FE150000}"/>
    <cellStyle name="Normal 13 2 6" xfId="5601" xr:uid="{00000000-0005-0000-0000-0000FF150000}"/>
    <cellStyle name="Normal 13 2 7" xfId="5602" xr:uid="{00000000-0005-0000-0000-000000160000}"/>
    <cellStyle name="Normal 13 2 8" xfId="5603" xr:uid="{00000000-0005-0000-0000-000001160000}"/>
    <cellStyle name="Normal 13 2 9" xfId="5604" xr:uid="{00000000-0005-0000-0000-000002160000}"/>
    <cellStyle name="Normal 13 20" xfId="5605" xr:uid="{00000000-0005-0000-0000-000003160000}"/>
    <cellStyle name="Normal 13 21" xfId="5606" xr:uid="{00000000-0005-0000-0000-000004160000}"/>
    <cellStyle name="Normal 13 22" xfId="5607" xr:uid="{00000000-0005-0000-0000-000005160000}"/>
    <cellStyle name="Normal 13 23" xfId="5608" xr:uid="{00000000-0005-0000-0000-000006160000}"/>
    <cellStyle name="Normal 13 24" xfId="5609" xr:uid="{00000000-0005-0000-0000-000007160000}"/>
    <cellStyle name="Normal 13 25" xfId="5610" xr:uid="{00000000-0005-0000-0000-000008160000}"/>
    <cellStyle name="Normal 13 3" xfId="5611" xr:uid="{00000000-0005-0000-0000-000009160000}"/>
    <cellStyle name="Normal 13 3 10" xfId="5612" xr:uid="{00000000-0005-0000-0000-00000A160000}"/>
    <cellStyle name="Normal 13 3 11" xfId="5613" xr:uid="{00000000-0005-0000-0000-00000B160000}"/>
    <cellStyle name="Normal 13 3 12" xfId="5614" xr:uid="{00000000-0005-0000-0000-00000C160000}"/>
    <cellStyle name="Normal 13 3 13" xfId="5615" xr:uid="{00000000-0005-0000-0000-00000D160000}"/>
    <cellStyle name="Normal 13 3 14" xfId="5616" xr:uid="{00000000-0005-0000-0000-00000E160000}"/>
    <cellStyle name="Normal 13 3 2" xfId="5617" xr:uid="{00000000-0005-0000-0000-00000F160000}"/>
    <cellStyle name="Normal 13 3 2 10" xfId="5618" xr:uid="{00000000-0005-0000-0000-000010160000}"/>
    <cellStyle name="Normal 13 3 2 11" xfId="5619" xr:uid="{00000000-0005-0000-0000-000011160000}"/>
    <cellStyle name="Normal 13 3 2 12" xfId="5620" xr:uid="{00000000-0005-0000-0000-000012160000}"/>
    <cellStyle name="Normal 13 3 2 13" xfId="5621" xr:uid="{00000000-0005-0000-0000-000013160000}"/>
    <cellStyle name="Normal 13 3 2 2" xfId="5622" xr:uid="{00000000-0005-0000-0000-000014160000}"/>
    <cellStyle name="Normal 13 3 2 3" xfId="5623" xr:uid="{00000000-0005-0000-0000-000015160000}"/>
    <cellStyle name="Normal 13 3 2 4" xfId="5624" xr:uid="{00000000-0005-0000-0000-000016160000}"/>
    <cellStyle name="Normal 13 3 2 5" xfId="5625" xr:uid="{00000000-0005-0000-0000-000017160000}"/>
    <cellStyle name="Normal 13 3 2 6" xfId="5626" xr:uid="{00000000-0005-0000-0000-000018160000}"/>
    <cellStyle name="Normal 13 3 2 7" xfId="5627" xr:uid="{00000000-0005-0000-0000-000019160000}"/>
    <cellStyle name="Normal 13 3 2 8" xfId="5628" xr:uid="{00000000-0005-0000-0000-00001A160000}"/>
    <cellStyle name="Normal 13 3 2 9" xfId="5629" xr:uid="{00000000-0005-0000-0000-00001B160000}"/>
    <cellStyle name="Normal 13 3 3" xfId="5630" xr:uid="{00000000-0005-0000-0000-00001C160000}"/>
    <cellStyle name="Normal 13 3 4" xfId="5631" xr:uid="{00000000-0005-0000-0000-00001D160000}"/>
    <cellStyle name="Normal 13 3 5" xfId="5632" xr:uid="{00000000-0005-0000-0000-00001E160000}"/>
    <cellStyle name="Normal 13 3 6" xfId="5633" xr:uid="{00000000-0005-0000-0000-00001F160000}"/>
    <cellStyle name="Normal 13 3 7" xfId="5634" xr:uid="{00000000-0005-0000-0000-000020160000}"/>
    <cellStyle name="Normal 13 3 8" xfId="5635" xr:uid="{00000000-0005-0000-0000-000021160000}"/>
    <cellStyle name="Normal 13 3 9" xfId="5636" xr:uid="{00000000-0005-0000-0000-000022160000}"/>
    <cellStyle name="Normal 13 4" xfId="5637" xr:uid="{00000000-0005-0000-0000-000023160000}"/>
    <cellStyle name="Normal 13 4 10" xfId="5638" xr:uid="{00000000-0005-0000-0000-000024160000}"/>
    <cellStyle name="Normal 13 4 11" xfId="5639" xr:uid="{00000000-0005-0000-0000-000025160000}"/>
    <cellStyle name="Normal 13 4 12" xfId="5640" xr:uid="{00000000-0005-0000-0000-000026160000}"/>
    <cellStyle name="Normal 13 4 13" xfId="5641" xr:uid="{00000000-0005-0000-0000-000027160000}"/>
    <cellStyle name="Normal 13 4 2" xfId="5642" xr:uid="{00000000-0005-0000-0000-000028160000}"/>
    <cellStyle name="Normal 13 4 3" xfId="5643" xr:uid="{00000000-0005-0000-0000-000029160000}"/>
    <cellStyle name="Normal 13 4 4" xfId="5644" xr:uid="{00000000-0005-0000-0000-00002A160000}"/>
    <cellStyle name="Normal 13 4 5" xfId="5645" xr:uid="{00000000-0005-0000-0000-00002B160000}"/>
    <cellStyle name="Normal 13 4 6" xfId="5646" xr:uid="{00000000-0005-0000-0000-00002C160000}"/>
    <cellStyle name="Normal 13 4 7" xfId="5647" xr:uid="{00000000-0005-0000-0000-00002D160000}"/>
    <cellStyle name="Normal 13 4 8" xfId="5648" xr:uid="{00000000-0005-0000-0000-00002E160000}"/>
    <cellStyle name="Normal 13 4 9" xfId="5649" xr:uid="{00000000-0005-0000-0000-00002F160000}"/>
    <cellStyle name="Normal 13 5" xfId="5650" xr:uid="{00000000-0005-0000-0000-000030160000}"/>
    <cellStyle name="Normal 13 6" xfId="5651" xr:uid="{00000000-0005-0000-0000-000031160000}"/>
    <cellStyle name="Normal 13 7" xfId="5652" xr:uid="{00000000-0005-0000-0000-000032160000}"/>
    <cellStyle name="Normal 13 8" xfId="5653" xr:uid="{00000000-0005-0000-0000-000033160000}"/>
    <cellStyle name="Normal 13 9" xfId="5654" xr:uid="{00000000-0005-0000-0000-000034160000}"/>
    <cellStyle name="Normal 13_2010_NGET_TPCR4_RO_FBPQ(Opex) trace only FINAL(DPP)" xfId="5655" xr:uid="{00000000-0005-0000-0000-000035160000}"/>
    <cellStyle name="Normal 14" xfId="5656" xr:uid="{00000000-0005-0000-0000-000036160000}"/>
    <cellStyle name="Normal 14 10" xfId="5657" xr:uid="{00000000-0005-0000-0000-000037160000}"/>
    <cellStyle name="Normal 14 10 10" xfId="5658" xr:uid="{00000000-0005-0000-0000-000038160000}"/>
    <cellStyle name="Normal 14 10 11" xfId="5659" xr:uid="{00000000-0005-0000-0000-000039160000}"/>
    <cellStyle name="Normal 14 10 12" xfId="5660" xr:uid="{00000000-0005-0000-0000-00003A160000}"/>
    <cellStyle name="Normal 14 10 13" xfId="5661" xr:uid="{00000000-0005-0000-0000-00003B160000}"/>
    <cellStyle name="Normal 14 10 14" xfId="5662" xr:uid="{00000000-0005-0000-0000-00003C160000}"/>
    <cellStyle name="Normal 14 10 15" xfId="5663" xr:uid="{00000000-0005-0000-0000-00003D160000}"/>
    <cellStyle name="Normal 14 10 16" xfId="5664" xr:uid="{00000000-0005-0000-0000-00003E160000}"/>
    <cellStyle name="Normal 14 10 17" xfId="5665" xr:uid="{00000000-0005-0000-0000-00003F160000}"/>
    <cellStyle name="Normal 14 10 18" xfId="5666" xr:uid="{00000000-0005-0000-0000-000040160000}"/>
    <cellStyle name="Normal 14 10 2" xfId="5667" xr:uid="{00000000-0005-0000-0000-000041160000}"/>
    <cellStyle name="Normal 14 10 3" xfId="5668" xr:uid="{00000000-0005-0000-0000-000042160000}"/>
    <cellStyle name="Normal 14 10 4" xfId="5669" xr:uid="{00000000-0005-0000-0000-000043160000}"/>
    <cellStyle name="Normal 14 10 5" xfId="5670" xr:uid="{00000000-0005-0000-0000-000044160000}"/>
    <cellStyle name="Normal 14 10 6" xfId="5671" xr:uid="{00000000-0005-0000-0000-000045160000}"/>
    <cellStyle name="Normal 14 10 7" xfId="5672" xr:uid="{00000000-0005-0000-0000-000046160000}"/>
    <cellStyle name="Normal 14 10 8" xfId="5673" xr:uid="{00000000-0005-0000-0000-000047160000}"/>
    <cellStyle name="Normal 14 10 9" xfId="5674" xr:uid="{00000000-0005-0000-0000-000048160000}"/>
    <cellStyle name="Normal 14 11" xfId="5675" xr:uid="{00000000-0005-0000-0000-000049160000}"/>
    <cellStyle name="Normal 14 11 10" xfId="5676" xr:uid="{00000000-0005-0000-0000-00004A160000}"/>
    <cellStyle name="Normal 14 11 11" xfId="5677" xr:uid="{00000000-0005-0000-0000-00004B160000}"/>
    <cellStyle name="Normal 14 11 12" xfId="5678" xr:uid="{00000000-0005-0000-0000-00004C160000}"/>
    <cellStyle name="Normal 14 11 13" xfId="5679" xr:uid="{00000000-0005-0000-0000-00004D160000}"/>
    <cellStyle name="Normal 14 11 14" xfId="5680" xr:uid="{00000000-0005-0000-0000-00004E160000}"/>
    <cellStyle name="Normal 14 11 15" xfId="5681" xr:uid="{00000000-0005-0000-0000-00004F160000}"/>
    <cellStyle name="Normal 14 11 16" xfId="5682" xr:uid="{00000000-0005-0000-0000-000050160000}"/>
    <cellStyle name="Normal 14 11 17" xfId="5683" xr:uid="{00000000-0005-0000-0000-000051160000}"/>
    <cellStyle name="Normal 14 11 18" xfId="5684" xr:uid="{00000000-0005-0000-0000-000052160000}"/>
    <cellStyle name="Normal 14 11 2" xfId="5685" xr:uid="{00000000-0005-0000-0000-000053160000}"/>
    <cellStyle name="Normal 14 11 3" xfId="5686" xr:uid="{00000000-0005-0000-0000-000054160000}"/>
    <cellStyle name="Normal 14 11 4" xfId="5687" xr:uid="{00000000-0005-0000-0000-000055160000}"/>
    <cellStyle name="Normal 14 11 5" xfId="5688" xr:uid="{00000000-0005-0000-0000-000056160000}"/>
    <cellStyle name="Normal 14 11 6" xfId="5689" xr:uid="{00000000-0005-0000-0000-000057160000}"/>
    <cellStyle name="Normal 14 11 7" xfId="5690" xr:uid="{00000000-0005-0000-0000-000058160000}"/>
    <cellStyle name="Normal 14 11 8" xfId="5691" xr:uid="{00000000-0005-0000-0000-000059160000}"/>
    <cellStyle name="Normal 14 11 9" xfId="5692" xr:uid="{00000000-0005-0000-0000-00005A160000}"/>
    <cellStyle name="Normal 14 12" xfId="5693" xr:uid="{00000000-0005-0000-0000-00005B160000}"/>
    <cellStyle name="Normal 14 12 10" xfId="5694" xr:uid="{00000000-0005-0000-0000-00005C160000}"/>
    <cellStyle name="Normal 14 12 11" xfId="5695" xr:uid="{00000000-0005-0000-0000-00005D160000}"/>
    <cellStyle name="Normal 14 12 12" xfId="5696" xr:uid="{00000000-0005-0000-0000-00005E160000}"/>
    <cellStyle name="Normal 14 12 13" xfId="5697" xr:uid="{00000000-0005-0000-0000-00005F160000}"/>
    <cellStyle name="Normal 14 12 14" xfId="5698" xr:uid="{00000000-0005-0000-0000-000060160000}"/>
    <cellStyle name="Normal 14 12 15" xfId="5699" xr:uid="{00000000-0005-0000-0000-000061160000}"/>
    <cellStyle name="Normal 14 12 16" xfId="5700" xr:uid="{00000000-0005-0000-0000-000062160000}"/>
    <cellStyle name="Normal 14 12 17" xfId="5701" xr:uid="{00000000-0005-0000-0000-000063160000}"/>
    <cellStyle name="Normal 14 12 18" xfId="5702" xr:uid="{00000000-0005-0000-0000-000064160000}"/>
    <cellStyle name="Normal 14 12 2" xfId="5703" xr:uid="{00000000-0005-0000-0000-000065160000}"/>
    <cellStyle name="Normal 14 12 3" xfId="5704" xr:uid="{00000000-0005-0000-0000-000066160000}"/>
    <cellStyle name="Normal 14 12 4" xfId="5705" xr:uid="{00000000-0005-0000-0000-000067160000}"/>
    <cellStyle name="Normal 14 12 5" xfId="5706" xr:uid="{00000000-0005-0000-0000-000068160000}"/>
    <cellStyle name="Normal 14 12 6" xfId="5707" xr:uid="{00000000-0005-0000-0000-000069160000}"/>
    <cellStyle name="Normal 14 12 7" xfId="5708" xr:uid="{00000000-0005-0000-0000-00006A160000}"/>
    <cellStyle name="Normal 14 12 8" xfId="5709" xr:uid="{00000000-0005-0000-0000-00006B160000}"/>
    <cellStyle name="Normal 14 12 9" xfId="5710" xr:uid="{00000000-0005-0000-0000-00006C160000}"/>
    <cellStyle name="Normal 14 13" xfId="5711" xr:uid="{00000000-0005-0000-0000-00006D160000}"/>
    <cellStyle name="Normal 14 13 10" xfId="5712" xr:uid="{00000000-0005-0000-0000-00006E160000}"/>
    <cellStyle name="Normal 14 13 11" xfId="5713" xr:uid="{00000000-0005-0000-0000-00006F160000}"/>
    <cellStyle name="Normal 14 13 12" xfId="5714" xr:uid="{00000000-0005-0000-0000-000070160000}"/>
    <cellStyle name="Normal 14 13 13" xfId="5715" xr:uid="{00000000-0005-0000-0000-000071160000}"/>
    <cellStyle name="Normal 14 13 14" xfId="5716" xr:uid="{00000000-0005-0000-0000-000072160000}"/>
    <cellStyle name="Normal 14 13 15" xfId="5717" xr:uid="{00000000-0005-0000-0000-000073160000}"/>
    <cellStyle name="Normal 14 13 16" xfId="5718" xr:uid="{00000000-0005-0000-0000-000074160000}"/>
    <cellStyle name="Normal 14 13 17" xfId="5719" xr:uid="{00000000-0005-0000-0000-000075160000}"/>
    <cellStyle name="Normal 14 13 18" xfId="5720" xr:uid="{00000000-0005-0000-0000-000076160000}"/>
    <cellStyle name="Normal 14 13 2" xfId="5721" xr:uid="{00000000-0005-0000-0000-000077160000}"/>
    <cellStyle name="Normal 14 13 3" xfId="5722" xr:uid="{00000000-0005-0000-0000-000078160000}"/>
    <cellStyle name="Normal 14 13 4" xfId="5723" xr:uid="{00000000-0005-0000-0000-000079160000}"/>
    <cellStyle name="Normal 14 13 5" xfId="5724" xr:uid="{00000000-0005-0000-0000-00007A160000}"/>
    <cellStyle name="Normal 14 13 6" xfId="5725" xr:uid="{00000000-0005-0000-0000-00007B160000}"/>
    <cellStyle name="Normal 14 13 7" xfId="5726" xr:uid="{00000000-0005-0000-0000-00007C160000}"/>
    <cellStyle name="Normal 14 13 8" xfId="5727" xr:uid="{00000000-0005-0000-0000-00007D160000}"/>
    <cellStyle name="Normal 14 13 9" xfId="5728" xr:uid="{00000000-0005-0000-0000-00007E160000}"/>
    <cellStyle name="Normal 14 14" xfId="5729" xr:uid="{00000000-0005-0000-0000-00007F160000}"/>
    <cellStyle name="Normal 14 14 10" xfId="5730" xr:uid="{00000000-0005-0000-0000-000080160000}"/>
    <cellStyle name="Normal 14 14 11" xfId="5731" xr:uid="{00000000-0005-0000-0000-000081160000}"/>
    <cellStyle name="Normal 14 14 12" xfId="5732" xr:uid="{00000000-0005-0000-0000-000082160000}"/>
    <cellStyle name="Normal 14 14 13" xfId="5733" xr:uid="{00000000-0005-0000-0000-000083160000}"/>
    <cellStyle name="Normal 14 14 14" xfId="5734" xr:uid="{00000000-0005-0000-0000-000084160000}"/>
    <cellStyle name="Normal 14 14 15" xfId="5735" xr:uid="{00000000-0005-0000-0000-000085160000}"/>
    <cellStyle name="Normal 14 14 16" xfId="5736" xr:uid="{00000000-0005-0000-0000-000086160000}"/>
    <cellStyle name="Normal 14 14 17" xfId="5737" xr:uid="{00000000-0005-0000-0000-000087160000}"/>
    <cellStyle name="Normal 14 14 18" xfId="5738" xr:uid="{00000000-0005-0000-0000-000088160000}"/>
    <cellStyle name="Normal 14 14 2" xfId="5739" xr:uid="{00000000-0005-0000-0000-000089160000}"/>
    <cellStyle name="Normal 14 14 3" xfId="5740" xr:uid="{00000000-0005-0000-0000-00008A160000}"/>
    <cellStyle name="Normal 14 14 4" xfId="5741" xr:uid="{00000000-0005-0000-0000-00008B160000}"/>
    <cellStyle name="Normal 14 14 5" xfId="5742" xr:uid="{00000000-0005-0000-0000-00008C160000}"/>
    <cellStyle name="Normal 14 14 6" xfId="5743" xr:uid="{00000000-0005-0000-0000-00008D160000}"/>
    <cellStyle name="Normal 14 14 7" xfId="5744" xr:uid="{00000000-0005-0000-0000-00008E160000}"/>
    <cellStyle name="Normal 14 14 8" xfId="5745" xr:uid="{00000000-0005-0000-0000-00008F160000}"/>
    <cellStyle name="Normal 14 14 9" xfId="5746" xr:uid="{00000000-0005-0000-0000-000090160000}"/>
    <cellStyle name="Normal 14 15" xfId="5747" xr:uid="{00000000-0005-0000-0000-000091160000}"/>
    <cellStyle name="Normal 14 15 10" xfId="5748" xr:uid="{00000000-0005-0000-0000-000092160000}"/>
    <cellStyle name="Normal 14 15 11" xfId="5749" xr:uid="{00000000-0005-0000-0000-000093160000}"/>
    <cellStyle name="Normal 14 15 12" xfId="5750" xr:uid="{00000000-0005-0000-0000-000094160000}"/>
    <cellStyle name="Normal 14 15 13" xfId="5751" xr:uid="{00000000-0005-0000-0000-000095160000}"/>
    <cellStyle name="Normal 14 15 14" xfId="5752" xr:uid="{00000000-0005-0000-0000-000096160000}"/>
    <cellStyle name="Normal 14 15 15" xfId="5753" xr:uid="{00000000-0005-0000-0000-000097160000}"/>
    <cellStyle name="Normal 14 15 16" xfId="5754" xr:uid="{00000000-0005-0000-0000-000098160000}"/>
    <cellStyle name="Normal 14 15 17" xfId="5755" xr:uid="{00000000-0005-0000-0000-000099160000}"/>
    <cellStyle name="Normal 14 15 18" xfId="5756" xr:uid="{00000000-0005-0000-0000-00009A160000}"/>
    <cellStyle name="Normal 14 15 2" xfId="5757" xr:uid="{00000000-0005-0000-0000-00009B160000}"/>
    <cellStyle name="Normal 14 15 3" xfId="5758" xr:uid="{00000000-0005-0000-0000-00009C160000}"/>
    <cellStyle name="Normal 14 15 4" xfId="5759" xr:uid="{00000000-0005-0000-0000-00009D160000}"/>
    <cellStyle name="Normal 14 15 5" xfId="5760" xr:uid="{00000000-0005-0000-0000-00009E160000}"/>
    <cellStyle name="Normal 14 15 6" xfId="5761" xr:uid="{00000000-0005-0000-0000-00009F160000}"/>
    <cellStyle name="Normal 14 15 7" xfId="5762" xr:uid="{00000000-0005-0000-0000-0000A0160000}"/>
    <cellStyle name="Normal 14 15 8" xfId="5763" xr:uid="{00000000-0005-0000-0000-0000A1160000}"/>
    <cellStyle name="Normal 14 15 9" xfId="5764" xr:uid="{00000000-0005-0000-0000-0000A2160000}"/>
    <cellStyle name="Normal 14 16" xfId="5765" xr:uid="{00000000-0005-0000-0000-0000A3160000}"/>
    <cellStyle name="Normal 14 16 10" xfId="5766" xr:uid="{00000000-0005-0000-0000-0000A4160000}"/>
    <cellStyle name="Normal 14 16 11" xfId="5767" xr:uid="{00000000-0005-0000-0000-0000A5160000}"/>
    <cellStyle name="Normal 14 16 12" xfId="5768" xr:uid="{00000000-0005-0000-0000-0000A6160000}"/>
    <cellStyle name="Normal 14 16 13" xfId="5769" xr:uid="{00000000-0005-0000-0000-0000A7160000}"/>
    <cellStyle name="Normal 14 16 14" xfId="5770" xr:uid="{00000000-0005-0000-0000-0000A8160000}"/>
    <cellStyle name="Normal 14 16 15" xfId="5771" xr:uid="{00000000-0005-0000-0000-0000A9160000}"/>
    <cellStyle name="Normal 14 16 16" xfId="5772" xr:uid="{00000000-0005-0000-0000-0000AA160000}"/>
    <cellStyle name="Normal 14 16 17" xfId="5773" xr:uid="{00000000-0005-0000-0000-0000AB160000}"/>
    <cellStyle name="Normal 14 16 18" xfId="5774" xr:uid="{00000000-0005-0000-0000-0000AC160000}"/>
    <cellStyle name="Normal 14 16 2" xfId="5775" xr:uid="{00000000-0005-0000-0000-0000AD160000}"/>
    <cellStyle name="Normal 14 16 3" xfId="5776" xr:uid="{00000000-0005-0000-0000-0000AE160000}"/>
    <cellStyle name="Normal 14 16 4" xfId="5777" xr:uid="{00000000-0005-0000-0000-0000AF160000}"/>
    <cellStyle name="Normal 14 16 5" xfId="5778" xr:uid="{00000000-0005-0000-0000-0000B0160000}"/>
    <cellStyle name="Normal 14 16 6" xfId="5779" xr:uid="{00000000-0005-0000-0000-0000B1160000}"/>
    <cellStyle name="Normal 14 16 7" xfId="5780" xr:uid="{00000000-0005-0000-0000-0000B2160000}"/>
    <cellStyle name="Normal 14 16 8" xfId="5781" xr:uid="{00000000-0005-0000-0000-0000B3160000}"/>
    <cellStyle name="Normal 14 16 9" xfId="5782" xr:uid="{00000000-0005-0000-0000-0000B4160000}"/>
    <cellStyle name="Normal 14 17" xfId="5783" xr:uid="{00000000-0005-0000-0000-0000B5160000}"/>
    <cellStyle name="Normal 14 17 10" xfId="5784" xr:uid="{00000000-0005-0000-0000-0000B6160000}"/>
    <cellStyle name="Normal 14 17 11" xfId="5785" xr:uid="{00000000-0005-0000-0000-0000B7160000}"/>
    <cellStyle name="Normal 14 17 12" xfId="5786" xr:uid="{00000000-0005-0000-0000-0000B8160000}"/>
    <cellStyle name="Normal 14 17 13" xfId="5787" xr:uid="{00000000-0005-0000-0000-0000B9160000}"/>
    <cellStyle name="Normal 14 17 14" xfId="5788" xr:uid="{00000000-0005-0000-0000-0000BA160000}"/>
    <cellStyle name="Normal 14 17 15" xfId="5789" xr:uid="{00000000-0005-0000-0000-0000BB160000}"/>
    <cellStyle name="Normal 14 17 16" xfId="5790" xr:uid="{00000000-0005-0000-0000-0000BC160000}"/>
    <cellStyle name="Normal 14 17 17" xfId="5791" xr:uid="{00000000-0005-0000-0000-0000BD160000}"/>
    <cellStyle name="Normal 14 17 18" xfId="5792" xr:uid="{00000000-0005-0000-0000-0000BE160000}"/>
    <cellStyle name="Normal 14 17 2" xfId="5793" xr:uid="{00000000-0005-0000-0000-0000BF160000}"/>
    <cellStyle name="Normal 14 17 3" xfId="5794" xr:uid="{00000000-0005-0000-0000-0000C0160000}"/>
    <cellStyle name="Normal 14 17 4" xfId="5795" xr:uid="{00000000-0005-0000-0000-0000C1160000}"/>
    <cellStyle name="Normal 14 17 5" xfId="5796" xr:uid="{00000000-0005-0000-0000-0000C2160000}"/>
    <cellStyle name="Normal 14 17 6" xfId="5797" xr:uid="{00000000-0005-0000-0000-0000C3160000}"/>
    <cellStyle name="Normal 14 17 7" xfId="5798" xr:uid="{00000000-0005-0000-0000-0000C4160000}"/>
    <cellStyle name="Normal 14 17 8" xfId="5799" xr:uid="{00000000-0005-0000-0000-0000C5160000}"/>
    <cellStyle name="Normal 14 17 9" xfId="5800" xr:uid="{00000000-0005-0000-0000-0000C6160000}"/>
    <cellStyle name="Normal 14 18" xfId="5801" xr:uid="{00000000-0005-0000-0000-0000C7160000}"/>
    <cellStyle name="Normal 14 18 10" xfId="5802" xr:uid="{00000000-0005-0000-0000-0000C8160000}"/>
    <cellStyle name="Normal 14 18 11" xfId="5803" xr:uid="{00000000-0005-0000-0000-0000C9160000}"/>
    <cellStyle name="Normal 14 18 12" xfId="5804" xr:uid="{00000000-0005-0000-0000-0000CA160000}"/>
    <cellStyle name="Normal 14 18 13" xfId="5805" xr:uid="{00000000-0005-0000-0000-0000CB160000}"/>
    <cellStyle name="Normal 14 18 14" xfId="5806" xr:uid="{00000000-0005-0000-0000-0000CC160000}"/>
    <cellStyle name="Normal 14 18 15" xfId="5807" xr:uid="{00000000-0005-0000-0000-0000CD160000}"/>
    <cellStyle name="Normal 14 18 16" xfId="5808" xr:uid="{00000000-0005-0000-0000-0000CE160000}"/>
    <cellStyle name="Normal 14 18 17" xfId="5809" xr:uid="{00000000-0005-0000-0000-0000CF160000}"/>
    <cellStyle name="Normal 14 18 18" xfId="5810" xr:uid="{00000000-0005-0000-0000-0000D0160000}"/>
    <cellStyle name="Normal 14 18 2" xfId="5811" xr:uid="{00000000-0005-0000-0000-0000D1160000}"/>
    <cellStyle name="Normal 14 18 3" xfId="5812" xr:uid="{00000000-0005-0000-0000-0000D2160000}"/>
    <cellStyle name="Normal 14 18 4" xfId="5813" xr:uid="{00000000-0005-0000-0000-0000D3160000}"/>
    <cellStyle name="Normal 14 18 5" xfId="5814" xr:uid="{00000000-0005-0000-0000-0000D4160000}"/>
    <cellStyle name="Normal 14 18 6" xfId="5815" xr:uid="{00000000-0005-0000-0000-0000D5160000}"/>
    <cellStyle name="Normal 14 18 7" xfId="5816" xr:uid="{00000000-0005-0000-0000-0000D6160000}"/>
    <cellStyle name="Normal 14 18 8" xfId="5817" xr:uid="{00000000-0005-0000-0000-0000D7160000}"/>
    <cellStyle name="Normal 14 18 9" xfId="5818" xr:uid="{00000000-0005-0000-0000-0000D8160000}"/>
    <cellStyle name="Normal 14 19" xfId="5819" xr:uid="{00000000-0005-0000-0000-0000D9160000}"/>
    <cellStyle name="Normal 14 19 10" xfId="5820" xr:uid="{00000000-0005-0000-0000-0000DA160000}"/>
    <cellStyle name="Normal 14 19 11" xfId="5821" xr:uid="{00000000-0005-0000-0000-0000DB160000}"/>
    <cellStyle name="Normal 14 19 12" xfId="5822" xr:uid="{00000000-0005-0000-0000-0000DC160000}"/>
    <cellStyle name="Normal 14 19 13" xfId="5823" xr:uid="{00000000-0005-0000-0000-0000DD160000}"/>
    <cellStyle name="Normal 14 19 14" xfId="5824" xr:uid="{00000000-0005-0000-0000-0000DE160000}"/>
    <cellStyle name="Normal 14 19 15" xfId="5825" xr:uid="{00000000-0005-0000-0000-0000DF160000}"/>
    <cellStyle name="Normal 14 19 16" xfId="5826" xr:uid="{00000000-0005-0000-0000-0000E0160000}"/>
    <cellStyle name="Normal 14 19 17" xfId="5827" xr:uid="{00000000-0005-0000-0000-0000E1160000}"/>
    <cellStyle name="Normal 14 19 18" xfId="5828" xr:uid="{00000000-0005-0000-0000-0000E2160000}"/>
    <cellStyle name="Normal 14 19 2" xfId="5829" xr:uid="{00000000-0005-0000-0000-0000E3160000}"/>
    <cellStyle name="Normal 14 19 3" xfId="5830" xr:uid="{00000000-0005-0000-0000-0000E4160000}"/>
    <cellStyle name="Normal 14 19 4" xfId="5831" xr:uid="{00000000-0005-0000-0000-0000E5160000}"/>
    <cellStyle name="Normal 14 19 5" xfId="5832" xr:uid="{00000000-0005-0000-0000-0000E6160000}"/>
    <cellStyle name="Normal 14 19 6" xfId="5833" xr:uid="{00000000-0005-0000-0000-0000E7160000}"/>
    <cellStyle name="Normal 14 19 7" xfId="5834" xr:uid="{00000000-0005-0000-0000-0000E8160000}"/>
    <cellStyle name="Normal 14 19 8" xfId="5835" xr:uid="{00000000-0005-0000-0000-0000E9160000}"/>
    <cellStyle name="Normal 14 19 9" xfId="5836" xr:uid="{00000000-0005-0000-0000-0000EA160000}"/>
    <cellStyle name="Normal 14 2" xfId="5837" xr:uid="{00000000-0005-0000-0000-0000EB160000}"/>
    <cellStyle name="Normal 14 2 10" xfId="5838" xr:uid="{00000000-0005-0000-0000-0000EC160000}"/>
    <cellStyle name="Normal 14 2 11" xfId="5839" xr:uid="{00000000-0005-0000-0000-0000ED160000}"/>
    <cellStyle name="Normal 14 2 12" xfId="5840" xr:uid="{00000000-0005-0000-0000-0000EE160000}"/>
    <cellStyle name="Normal 14 2 13" xfId="5841" xr:uid="{00000000-0005-0000-0000-0000EF160000}"/>
    <cellStyle name="Normal 14 2 14" xfId="5842" xr:uid="{00000000-0005-0000-0000-0000F0160000}"/>
    <cellStyle name="Normal 14 2 15" xfId="5843" xr:uid="{00000000-0005-0000-0000-0000F1160000}"/>
    <cellStyle name="Normal 14 2 16" xfId="5844" xr:uid="{00000000-0005-0000-0000-0000F2160000}"/>
    <cellStyle name="Normal 14 2 17" xfId="5845" xr:uid="{00000000-0005-0000-0000-0000F3160000}"/>
    <cellStyle name="Normal 14 2 18" xfId="5846" xr:uid="{00000000-0005-0000-0000-0000F4160000}"/>
    <cellStyle name="Normal 14 2 19" xfId="5847" xr:uid="{00000000-0005-0000-0000-0000F5160000}"/>
    <cellStyle name="Normal 14 2 2" xfId="5848" xr:uid="{00000000-0005-0000-0000-0000F6160000}"/>
    <cellStyle name="Normal 14 2 2 10" xfId="5849" xr:uid="{00000000-0005-0000-0000-0000F7160000}"/>
    <cellStyle name="Normal 14 2 2 11" xfId="5850" xr:uid="{00000000-0005-0000-0000-0000F8160000}"/>
    <cellStyle name="Normal 14 2 2 12" xfId="5851" xr:uid="{00000000-0005-0000-0000-0000F9160000}"/>
    <cellStyle name="Normal 14 2 2 13" xfId="5852" xr:uid="{00000000-0005-0000-0000-0000FA160000}"/>
    <cellStyle name="Normal 14 2 2 14" xfId="5853" xr:uid="{00000000-0005-0000-0000-0000FB160000}"/>
    <cellStyle name="Normal 14 2 2 15" xfId="5854" xr:uid="{00000000-0005-0000-0000-0000FC160000}"/>
    <cellStyle name="Normal 14 2 2 16" xfId="5855" xr:uid="{00000000-0005-0000-0000-0000FD160000}"/>
    <cellStyle name="Normal 14 2 2 17" xfId="5856" xr:uid="{00000000-0005-0000-0000-0000FE160000}"/>
    <cellStyle name="Normal 14 2 2 2" xfId="5857" xr:uid="{00000000-0005-0000-0000-0000FF160000}"/>
    <cellStyle name="Normal 14 2 2 3" xfId="5858" xr:uid="{00000000-0005-0000-0000-000000170000}"/>
    <cellStyle name="Normal 14 2 2 4" xfId="5859" xr:uid="{00000000-0005-0000-0000-000001170000}"/>
    <cellStyle name="Normal 14 2 2 5" xfId="5860" xr:uid="{00000000-0005-0000-0000-000002170000}"/>
    <cellStyle name="Normal 14 2 2 6" xfId="5861" xr:uid="{00000000-0005-0000-0000-000003170000}"/>
    <cellStyle name="Normal 14 2 2 7" xfId="5862" xr:uid="{00000000-0005-0000-0000-000004170000}"/>
    <cellStyle name="Normal 14 2 2 8" xfId="5863" xr:uid="{00000000-0005-0000-0000-000005170000}"/>
    <cellStyle name="Normal 14 2 2 9" xfId="5864" xr:uid="{00000000-0005-0000-0000-000006170000}"/>
    <cellStyle name="Normal 14 2 20" xfId="5865" xr:uid="{00000000-0005-0000-0000-000007170000}"/>
    <cellStyle name="Normal 14 2 21" xfId="5866" xr:uid="{00000000-0005-0000-0000-000008170000}"/>
    <cellStyle name="Normal 14 2 22" xfId="5867" xr:uid="{00000000-0005-0000-0000-000009170000}"/>
    <cellStyle name="Normal 14 2 23" xfId="5868" xr:uid="{00000000-0005-0000-0000-00000A170000}"/>
    <cellStyle name="Normal 14 2 24" xfId="5869" xr:uid="{00000000-0005-0000-0000-00000B170000}"/>
    <cellStyle name="Normal 14 2 25" xfId="5870" xr:uid="{00000000-0005-0000-0000-00000C170000}"/>
    <cellStyle name="Normal 14 2 26" xfId="5871" xr:uid="{00000000-0005-0000-0000-00000D170000}"/>
    <cellStyle name="Normal 14 2 27" xfId="5872" xr:uid="{00000000-0005-0000-0000-00000E170000}"/>
    <cellStyle name="Normal 14 2 28" xfId="5873" xr:uid="{00000000-0005-0000-0000-00000F170000}"/>
    <cellStyle name="Normal 14 2 29" xfId="5874" xr:uid="{00000000-0005-0000-0000-000010170000}"/>
    <cellStyle name="Normal 14 2 3" xfId="5875" xr:uid="{00000000-0005-0000-0000-000011170000}"/>
    <cellStyle name="Normal 14 2 30" xfId="5876" xr:uid="{00000000-0005-0000-0000-000012170000}"/>
    <cellStyle name="Normal 14 2 31" xfId="5877" xr:uid="{00000000-0005-0000-0000-000013170000}"/>
    <cellStyle name="Normal 14 2 32" xfId="5878" xr:uid="{00000000-0005-0000-0000-000014170000}"/>
    <cellStyle name="Normal 14 2 33" xfId="5879" xr:uid="{00000000-0005-0000-0000-000015170000}"/>
    <cellStyle name="Normal 14 2 34" xfId="5880" xr:uid="{00000000-0005-0000-0000-000016170000}"/>
    <cellStyle name="Normal 14 2 35" xfId="5881" xr:uid="{00000000-0005-0000-0000-000017170000}"/>
    <cellStyle name="Normal 14 2 36" xfId="5882" xr:uid="{00000000-0005-0000-0000-000018170000}"/>
    <cellStyle name="Normal 14 2 37" xfId="5883" xr:uid="{00000000-0005-0000-0000-000019170000}"/>
    <cellStyle name="Normal 14 2 38" xfId="5884" xr:uid="{00000000-0005-0000-0000-00001A170000}"/>
    <cellStyle name="Normal 14 2 39" xfId="5885" xr:uid="{00000000-0005-0000-0000-00001B170000}"/>
    <cellStyle name="Normal 14 2 4" xfId="5886" xr:uid="{00000000-0005-0000-0000-00001C170000}"/>
    <cellStyle name="Normal 14 2 40" xfId="5887" xr:uid="{00000000-0005-0000-0000-00001D170000}"/>
    <cellStyle name="Normal 14 2 41" xfId="5888" xr:uid="{00000000-0005-0000-0000-00001E170000}"/>
    <cellStyle name="Normal 14 2 42" xfId="5889" xr:uid="{00000000-0005-0000-0000-00001F170000}"/>
    <cellStyle name="Normal 14 2 43" xfId="5890" xr:uid="{00000000-0005-0000-0000-000020170000}"/>
    <cellStyle name="Normal 14 2 44" xfId="5891" xr:uid="{00000000-0005-0000-0000-000021170000}"/>
    <cellStyle name="Normal 14 2 45" xfId="5892" xr:uid="{00000000-0005-0000-0000-000022170000}"/>
    <cellStyle name="Normal 14 2 46" xfId="5893" xr:uid="{00000000-0005-0000-0000-000023170000}"/>
    <cellStyle name="Normal 14 2 47" xfId="5894" xr:uid="{00000000-0005-0000-0000-000024170000}"/>
    <cellStyle name="Normal 14 2 48" xfId="5895" xr:uid="{00000000-0005-0000-0000-000025170000}"/>
    <cellStyle name="Normal 14 2 49" xfId="5896" xr:uid="{00000000-0005-0000-0000-000026170000}"/>
    <cellStyle name="Normal 14 2 5" xfId="5897" xr:uid="{00000000-0005-0000-0000-000027170000}"/>
    <cellStyle name="Normal 14 2 50" xfId="5898" xr:uid="{00000000-0005-0000-0000-000028170000}"/>
    <cellStyle name="Normal 14 2 51" xfId="5899" xr:uid="{00000000-0005-0000-0000-000029170000}"/>
    <cellStyle name="Normal 14 2 52" xfId="5900" xr:uid="{00000000-0005-0000-0000-00002A170000}"/>
    <cellStyle name="Normal 14 2 53" xfId="5901" xr:uid="{00000000-0005-0000-0000-00002B170000}"/>
    <cellStyle name="Normal 14 2 54" xfId="5902" xr:uid="{00000000-0005-0000-0000-00002C170000}"/>
    <cellStyle name="Normal 14 2 55" xfId="5903" xr:uid="{00000000-0005-0000-0000-00002D170000}"/>
    <cellStyle name="Normal 14 2 56" xfId="5904" xr:uid="{00000000-0005-0000-0000-00002E170000}"/>
    <cellStyle name="Normal 14 2 57" xfId="5905" xr:uid="{00000000-0005-0000-0000-00002F170000}"/>
    <cellStyle name="Normal 14 2 58" xfId="5906" xr:uid="{00000000-0005-0000-0000-000030170000}"/>
    <cellStyle name="Normal 14 2 59" xfId="5907" xr:uid="{00000000-0005-0000-0000-000031170000}"/>
    <cellStyle name="Normal 14 2 6" xfId="5908" xr:uid="{00000000-0005-0000-0000-000032170000}"/>
    <cellStyle name="Normal 14 2 60" xfId="5909" xr:uid="{00000000-0005-0000-0000-000033170000}"/>
    <cellStyle name="Normal 14 2 61" xfId="5910" xr:uid="{00000000-0005-0000-0000-000034170000}"/>
    <cellStyle name="Normal 14 2 62" xfId="5911" xr:uid="{00000000-0005-0000-0000-000035170000}"/>
    <cellStyle name="Normal 14 2 63" xfId="5912" xr:uid="{00000000-0005-0000-0000-000036170000}"/>
    <cellStyle name="Normal 14 2 64" xfId="5913" xr:uid="{00000000-0005-0000-0000-000037170000}"/>
    <cellStyle name="Normal 14 2 65" xfId="5914" xr:uid="{00000000-0005-0000-0000-000038170000}"/>
    <cellStyle name="Normal 14 2 66" xfId="5915" xr:uid="{00000000-0005-0000-0000-000039170000}"/>
    <cellStyle name="Normal 14 2 67" xfId="5916" xr:uid="{00000000-0005-0000-0000-00003A170000}"/>
    <cellStyle name="Normal 14 2 68" xfId="5917" xr:uid="{00000000-0005-0000-0000-00003B170000}"/>
    <cellStyle name="Normal 14 2 69" xfId="5918" xr:uid="{00000000-0005-0000-0000-00003C170000}"/>
    <cellStyle name="Normal 14 2 7" xfId="5919" xr:uid="{00000000-0005-0000-0000-00003D170000}"/>
    <cellStyle name="Normal 14 2 70" xfId="5920" xr:uid="{00000000-0005-0000-0000-00003E170000}"/>
    <cellStyle name="Normal 14 2 71" xfId="5921" xr:uid="{00000000-0005-0000-0000-00003F170000}"/>
    <cellStyle name="Normal 14 2 72" xfId="5922" xr:uid="{00000000-0005-0000-0000-000040170000}"/>
    <cellStyle name="Normal 14 2 73" xfId="5923" xr:uid="{00000000-0005-0000-0000-000041170000}"/>
    <cellStyle name="Normal 14 2 74" xfId="5924" xr:uid="{00000000-0005-0000-0000-000042170000}"/>
    <cellStyle name="Normal 14 2 75" xfId="5925" xr:uid="{00000000-0005-0000-0000-000043170000}"/>
    <cellStyle name="Normal 14 2 76" xfId="5926" xr:uid="{00000000-0005-0000-0000-000044170000}"/>
    <cellStyle name="Normal 14 2 77" xfId="5927" xr:uid="{00000000-0005-0000-0000-000045170000}"/>
    <cellStyle name="Normal 14 2 78" xfId="5928" xr:uid="{00000000-0005-0000-0000-000046170000}"/>
    <cellStyle name="Normal 14 2 8" xfId="5929" xr:uid="{00000000-0005-0000-0000-000047170000}"/>
    <cellStyle name="Normal 14 2 9" xfId="5930" xr:uid="{00000000-0005-0000-0000-000048170000}"/>
    <cellStyle name="Normal 14 2_List of table gaps" xfId="5931" xr:uid="{00000000-0005-0000-0000-000049170000}"/>
    <cellStyle name="Normal 14 20" xfId="5932" xr:uid="{00000000-0005-0000-0000-00004A170000}"/>
    <cellStyle name="Normal 14 20 10" xfId="5933" xr:uid="{00000000-0005-0000-0000-00004B170000}"/>
    <cellStyle name="Normal 14 20 11" xfId="5934" xr:uid="{00000000-0005-0000-0000-00004C170000}"/>
    <cellStyle name="Normal 14 20 12" xfId="5935" xr:uid="{00000000-0005-0000-0000-00004D170000}"/>
    <cellStyle name="Normal 14 20 13" xfId="5936" xr:uid="{00000000-0005-0000-0000-00004E170000}"/>
    <cellStyle name="Normal 14 20 14" xfId="5937" xr:uid="{00000000-0005-0000-0000-00004F170000}"/>
    <cellStyle name="Normal 14 20 15" xfId="5938" xr:uid="{00000000-0005-0000-0000-000050170000}"/>
    <cellStyle name="Normal 14 20 16" xfId="5939" xr:uid="{00000000-0005-0000-0000-000051170000}"/>
    <cellStyle name="Normal 14 20 17" xfId="5940" xr:uid="{00000000-0005-0000-0000-000052170000}"/>
    <cellStyle name="Normal 14 20 18" xfId="5941" xr:uid="{00000000-0005-0000-0000-000053170000}"/>
    <cellStyle name="Normal 14 20 2" xfId="5942" xr:uid="{00000000-0005-0000-0000-000054170000}"/>
    <cellStyle name="Normal 14 20 3" xfId="5943" xr:uid="{00000000-0005-0000-0000-000055170000}"/>
    <cellStyle name="Normal 14 20 4" xfId="5944" xr:uid="{00000000-0005-0000-0000-000056170000}"/>
    <cellStyle name="Normal 14 20 5" xfId="5945" xr:uid="{00000000-0005-0000-0000-000057170000}"/>
    <cellStyle name="Normal 14 20 6" xfId="5946" xr:uid="{00000000-0005-0000-0000-000058170000}"/>
    <cellStyle name="Normal 14 20 7" xfId="5947" xr:uid="{00000000-0005-0000-0000-000059170000}"/>
    <cellStyle name="Normal 14 20 8" xfId="5948" xr:uid="{00000000-0005-0000-0000-00005A170000}"/>
    <cellStyle name="Normal 14 20 9" xfId="5949" xr:uid="{00000000-0005-0000-0000-00005B170000}"/>
    <cellStyle name="Normal 14 21" xfId="5950" xr:uid="{00000000-0005-0000-0000-00005C170000}"/>
    <cellStyle name="Normal 14 21 10" xfId="5951" xr:uid="{00000000-0005-0000-0000-00005D170000}"/>
    <cellStyle name="Normal 14 21 11" xfId="5952" xr:uid="{00000000-0005-0000-0000-00005E170000}"/>
    <cellStyle name="Normal 14 21 12" xfId="5953" xr:uid="{00000000-0005-0000-0000-00005F170000}"/>
    <cellStyle name="Normal 14 21 13" xfId="5954" xr:uid="{00000000-0005-0000-0000-000060170000}"/>
    <cellStyle name="Normal 14 21 14" xfId="5955" xr:uid="{00000000-0005-0000-0000-000061170000}"/>
    <cellStyle name="Normal 14 21 15" xfId="5956" xr:uid="{00000000-0005-0000-0000-000062170000}"/>
    <cellStyle name="Normal 14 21 16" xfId="5957" xr:uid="{00000000-0005-0000-0000-000063170000}"/>
    <cellStyle name="Normal 14 21 17" xfId="5958" xr:uid="{00000000-0005-0000-0000-000064170000}"/>
    <cellStyle name="Normal 14 21 18" xfId="5959" xr:uid="{00000000-0005-0000-0000-000065170000}"/>
    <cellStyle name="Normal 14 21 2" xfId="5960" xr:uid="{00000000-0005-0000-0000-000066170000}"/>
    <cellStyle name="Normal 14 21 3" xfId="5961" xr:uid="{00000000-0005-0000-0000-000067170000}"/>
    <cellStyle name="Normal 14 21 4" xfId="5962" xr:uid="{00000000-0005-0000-0000-000068170000}"/>
    <cellStyle name="Normal 14 21 5" xfId="5963" xr:uid="{00000000-0005-0000-0000-000069170000}"/>
    <cellStyle name="Normal 14 21 6" xfId="5964" xr:uid="{00000000-0005-0000-0000-00006A170000}"/>
    <cellStyle name="Normal 14 21 7" xfId="5965" xr:uid="{00000000-0005-0000-0000-00006B170000}"/>
    <cellStyle name="Normal 14 21 8" xfId="5966" xr:uid="{00000000-0005-0000-0000-00006C170000}"/>
    <cellStyle name="Normal 14 21 9" xfId="5967" xr:uid="{00000000-0005-0000-0000-00006D170000}"/>
    <cellStyle name="Normal 14 22" xfId="5968" xr:uid="{00000000-0005-0000-0000-00006E170000}"/>
    <cellStyle name="Normal 14 22 10" xfId="5969" xr:uid="{00000000-0005-0000-0000-00006F170000}"/>
    <cellStyle name="Normal 14 22 11" xfId="5970" xr:uid="{00000000-0005-0000-0000-000070170000}"/>
    <cellStyle name="Normal 14 22 12" xfId="5971" xr:uid="{00000000-0005-0000-0000-000071170000}"/>
    <cellStyle name="Normal 14 22 13" xfId="5972" xr:uid="{00000000-0005-0000-0000-000072170000}"/>
    <cellStyle name="Normal 14 22 14" xfId="5973" xr:uid="{00000000-0005-0000-0000-000073170000}"/>
    <cellStyle name="Normal 14 22 15" xfId="5974" xr:uid="{00000000-0005-0000-0000-000074170000}"/>
    <cellStyle name="Normal 14 22 16" xfId="5975" xr:uid="{00000000-0005-0000-0000-000075170000}"/>
    <cellStyle name="Normal 14 22 17" xfId="5976" xr:uid="{00000000-0005-0000-0000-000076170000}"/>
    <cellStyle name="Normal 14 22 18" xfId="5977" xr:uid="{00000000-0005-0000-0000-000077170000}"/>
    <cellStyle name="Normal 14 22 2" xfId="5978" xr:uid="{00000000-0005-0000-0000-000078170000}"/>
    <cellStyle name="Normal 14 22 3" xfId="5979" xr:uid="{00000000-0005-0000-0000-000079170000}"/>
    <cellStyle name="Normal 14 22 4" xfId="5980" xr:uid="{00000000-0005-0000-0000-00007A170000}"/>
    <cellStyle name="Normal 14 22 5" xfId="5981" xr:uid="{00000000-0005-0000-0000-00007B170000}"/>
    <cellStyle name="Normal 14 22 6" xfId="5982" xr:uid="{00000000-0005-0000-0000-00007C170000}"/>
    <cellStyle name="Normal 14 22 7" xfId="5983" xr:uid="{00000000-0005-0000-0000-00007D170000}"/>
    <cellStyle name="Normal 14 22 8" xfId="5984" xr:uid="{00000000-0005-0000-0000-00007E170000}"/>
    <cellStyle name="Normal 14 22 9" xfId="5985" xr:uid="{00000000-0005-0000-0000-00007F170000}"/>
    <cellStyle name="Normal 14 23" xfId="5986" xr:uid="{00000000-0005-0000-0000-000080170000}"/>
    <cellStyle name="Normal 14 23 10" xfId="5987" xr:uid="{00000000-0005-0000-0000-000081170000}"/>
    <cellStyle name="Normal 14 23 11" xfId="5988" xr:uid="{00000000-0005-0000-0000-000082170000}"/>
    <cellStyle name="Normal 14 23 12" xfId="5989" xr:uid="{00000000-0005-0000-0000-000083170000}"/>
    <cellStyle name="Normal 14 23 13" xfId="5990" xr:uid="{00000000-0005-0000-0000-000084170000}"/>
    <cellStyle name="Normal 14 23 14" xfId="5991" xr:uid="{00000000-0005-0000-0000-000085170000}"/>
    <cellStyle name="Normal 14 23 15" xfId="5992" xr:uid="{00000000-0005-0000-0000-000086170000}"/>
    <cellStyle name="Normal 14 23 16" xfId="5993" xr:uid="{00000000-0005-0000-0000-000087170000}"/>
    <cellStyle name="Normal 14 23 17" xfId="5994" xr:uid="{00000000-0005-0000-0000-000088170000}"/>
    <cellStyle name="Normal 14 23 18" xfId="5995" xr:uid="{00000000-0005-0000-0000-000089170000}"/>
    <cellStyle name="Normal 14 23 2" xfId="5996" xr:uid="{00000000-0005-0000-0000-00008A170000}"/>
    <cellStyle name="Normal 14 23 3" xfId="5997" xr:uid="{00000000-0005-0000-0000-00008B170000}"/>
    <cellStyle name="Normal 14 23 4" xfId="5998" xr:uid="{00000000-0005-0000-0000-00008C170000}"/>
    <cellStyle name="Normal 14 23 5" xfId="5999" xr:uid="{00000000-0005-0000-0000-00008D170000}"/>
    <cellStyle name="Normal 14 23 6" xfId="6000" xr:uid="{00000000-0005-0000-0000-00008E170000}"/>
    <cellStyle name="Normal 14 23 7" xfId="6001" xr:uid="{00000000-0005-0000-0000-00008F170000}"/>
    <cellStyle name="Normal 14 23 8" xfId="6002" xr:uid="{00000000-0005-0000-0000-000090170000}"/>
    <cellStyle name="Normal 14 23 9" xfId="6003" xr:uid="{00000000-0005-0000-0000-000091170000}"/>
    <cellStyle name="Normal 14 24" xfId="6004" xr:uid="{00000000-0005-0000-0000-000092170000}"/>
    <cellStyle name="Normal 14 24 10" xfId="6005" xr:uid="{00000000-0005-0000-0000-000093170000}"/>
    <cellStyle name="Normal 14 24 11" xfId="6006" xr:uid="{00000000-0005-0000-0000-000094170000}"/>
    <cellStyle name="Normal 14 24 12" xfId="6007" xr:uid="{00000000-0005-0000-0000-000095170000}"/>
    <cellStyle name="Normal 14 24 13" xfId="6008" xr:uid="{00000000-0005-0000-0000-000096170000}"/>
    <cellStyle name="Normal 14 24 14" xfId="6009" xr:uid="{00000000-0005-0000-0000-000097170000}"/>
    <cellStyle name="Normal 14 24 15" xfId="6010" xr:uid="{00000000-0005-0000-0000-000098170000}"/>
    <cellStyle name="Normal 14 24 16" xfId="6011" xr:uid="{00000000-0005-0000-0000-000099170000}"/>
    <cellStyle name="Normal 14 24 17" xfId="6012" xr:uid="{00000000-0005-0000-0000-00009A170000}"/>
    <cellStyle name="Normal 14 24 18" xfId="6013" xr:uid="{00000000-0005-0000-0000-00009B170000}"/>
    <cellStyle name="Normal 14 24 2" xfId="6014" xr:uid="{00000000-0005-0000-0000-00009C170000}"/>
    <cellStyle name="Normal 14 24 3" xfId="6015" xr:uid="{00000000-0005-0000-0000-00009D170000}"/>
    <cellStyle name="Normal 14 24 4" xfId="6016" xr:uid="{00000000-0005-0000-0000-00009E170000}"/>
    <cellStyle name="Normal 14 24 5" xfId="6017" xr:uid="{00000000-0005-0000-0000-00009F170000}"/>
    <cellStyle name="Normal 14 24 6" xfId="6018" xr:uid="{00000000-0005-0000-0000-0000A0170000}"/>
    <cellStyle name="Normal 14 24 7" xfId="6019" xr:uid="{00000000-0005-0000-0000-0000A1170000}"/>
    <cellStyle name="Normal 14 24 8" xfId="6020" xr:uid="{00000000-0005-0000-0000-0000A2170000}"/>
    <cellStyle name="Normal 14 24 9" xfId="6021" xr:uid="{00000000-0005-0000-0000-0000A3170000}"/>
    <cellStyle name="Normal 14 25" xfId="6022" xr:uid="{00000000-0005-0000-0000-0000A4170000}"/>
    <cellStyle name="Normal 14 26" xfId="6023" xr:uid="{00000000-0005-0000-0000-0000A5170000}"/>
    <cellStyle name="Normal 14 27" xfId="6024" xr:uid="{00000000-0005-0000-0000-0000A6170000}"/>
    <cellStyle name="Normal 14 28" xfId="6025" xr:uid="{00000000-0005-0000-0000-0000A7170000}"/>
    <cellStyle name="Normal 14 29" xfId="6026" xr:uid="{00000000-0005-0000-0000-0000A8170000}"/>
    <cellStyle name="Normal 14 3" xfId="6027" xr:uid="{00000000-0005-0000-0000-0000A9170000}"/>
    <cellStyle name="Normal 14 3 2" xfId="6028" xr:uid="{00000000-0005-0000-0000-0000AA170000}"/>
    <cellStyle name="Normal 14 3 2 2" xfId="6029" xr:uid="{00000000-0005-0000-0000-0000AB170000}"/>
    <cellStyle name="Normal 14 3 2 3" xfId="6030" xr:uid="{00000000-0005-0000-0000-0000AC170000}"/>
    <cellStyle name="Normal 14 3 2 4" xfId="6031" xr:uid="{00000000-0005-0000-0000-0000AD170000}"/>
    <cellStyle name="Normal 14 3 2 5" xfId="6032" xr:uid="{00000000-0005-0000-0000-0000AE170000}"/>
    <cellStyle name="Normal 14 3 2 6" xfId="6033" xr:uid="{00000000-0005-0000-0000-0000AF170000}"/>
    <cellStyle name="Normal 14 3 2 7" xfId="6034" xr:uid="{00000000-0005-0000-0000-0000B0170000}"/>
    <cellStyle name="Normal 14 3 2 8" xfId="6035" xr:uid="{00000000-0005-0000-0000-0000B1170000}"/>
    <cellStyle name="Normal 14 3 3" xfId="6036" xr:uid="{00000000-0005-0000-0000-0000B2170000}"/>
    <cellStyle name="Normal 14 3 4" xfId="6037" xr:uid="{00000000-0005-0000-0000-0000B3170000}"/>
    <cellStyle name="Normal 14 3 5" xfId="6038" xr:uid="{00000000-0005-0000-0000-0000B4170000}"/>
    <cellStyle name="Normal 14 3 6" xfId="6039" xr:uid="{00000000-0005-0000-0000-0000B5170000}"/>
    <cellStyle name="Normal 14 3 7" xfId="6040" xr:uid="{00000000-0005-0000-0000-0000B6170000}"/>
    <cellStyle name="Normal 14 3 8" xfId="6041" xr:uid="{00000000-0005-0000-0000-0000B7170000}"/>
    <cellStyle name="Normal 14 3 9" xfId="6042" xr:uid="{00000000-0005-0000-0000-0000B8170000}"/>
    <cellStyle name="Normal 14 30" xfId="6043" xr:uid="{00000000-0005-0000-0000-0000B9170000}"/>
    <cellStyle name="Normal 14 31" xfId="6044" xr:uid="{00000000-0005-0000-0000-0000BA170000}"/>
    <cellStyle name="Normal 14 32" xfId="6045" xr:uid="{00000000-0005-0000-0000-0000BB170000}"/>
    <cellStyle name="Normal 14 33" xfId="6046" xr:uid="{00000000-0005-0000-0000-0000BC170000}"/>
    <cellStyle name="Normal 14 34" xfId="6047" xr:uid="{00000000-0005-0000-0000-0000BD170000}"/>
    <cellStyle name="Normal 14 35" xfId="6048" xr:uid="{00000000-0005-0000-0000-0000BE170000}"/>
    <cellStyle name="Normal 14 36" xfId="6049" xr:uid="{00000000-0005-0000-0000-0000BF170000}"/>
    <cellStyle name="Normal 14 37" xfId="6050" xr:uid="{00000000-0005-0000-0000-0000C0170000}"/>
    <cellStyle name="Normal 14 38" xfId="6051" xr:uid="{00000000-0005-0000-0000-0000C1170000}"/>
    <cellStyle name="Normal 14 39" xfId="6052" xr:uid="{00000000-0005-0000-0000-0000C2170000}"/>
    <cellStyle name="Normal 14 4" xfId="6053" xr:uid="{00000000-0005-0000-0000-0000C3170000}"/>
    <cellStyle name="Normal 14 4 10" xfId="6054" xr:uid="{00000000-0005-0000-0000-0000C4170000}"/>
    <cellStyle name="Normal 14 4 11" xfId="6055" xr:uid="{00000000-0005-0000-0000-0000C5170000}"/>
    <cellStyle name="Normal 14 4 12" xfId="6056" xr:uid="{00000000-0005-0000-0000-0000C6170000}"/>
    <cellStyle name="Normal 14 4 13" xfId="6057" xr:uid="{00000000-0005-0000-0000-0000C7170000}"/>
    <cellStyle name="Normal 14 4 14" xfId="6058" xr:uid="{00000000-0005-0000-0000-0000C8170000}"/>
    <cellStyle name="Normal 14 4 15" xfId="6059" xr:uid="{00000000-0005-0000-0000-0000C9170000}"/>
    <cellStyle name="Normal 14 4 16" xfId="6060" xr:uid="{00000000-0005-0000-0000-0000CA170000}"/>
    <cellStyle name="Normal 14 4 17" xfId="6061" xr:uid="{00000000-0005-0000-0000-0000CB170000}"/>
    <cellStyle name="Normal 14 4 18" xfId="6062" xr:uid="{00000000-0005-0000-0000-0000CC170000}"/>
    <cellStyle name="Normal 14 4 2" xfId="6063" xr:uid="{00000000-0005-0000-0000-0000CD170000}"/>
    <cellStyle name="Normal 14 4 3" xfId="6064" xr:uid="{00000000-0005-0000-0000-0000CE170000}"/>
    <cellStyle name="Normal 14 4 4" xfId="6065" xr:uid="{00000000-0005-0000-0000-0000CF170000}"/>
    <cellStyle name="Normal 14 4 5" xfId="6066" xr:uid="{00000000-0005-0000-0000-0000D0170000}"/>
    <cellStyle name="Normal 14 4 6" xfId="6067" xr:uid="{00000000-0005-0000-0000-0000D1170000}"/>
    <cellStyle name="Normal 14 4 7" xfId="6068" xr:uid="{00000000-0005-0000-0000-0000D2170000}"/>
    <cellStyle name="Normal 14 4 8" xfId="6069" xr:uid="{00000000-0005-0000-0000-0000D3170000}"/>
    <cellStyle name="Normal 14 4 9" xfId="6070" xr:uid="{00000000-0005-0000-0000-0000D4170000}"/>
    <cellStyle name="Normal 14 40" xfId="6071" xr:uid="{00000000-0005-0000-0000-0000D5170000}"/>
    <cellStyle name="Normal 14 41" xfId="6072" xr:uid="{00000000-0005-0000-0000-0000D6170000}"/>
    <cellStyle name="Normal 14 42" xfId="6073" xr:uid="{00000000-0005-0000-0000-0000D7170000}"/>
    <cellStyle name="Normal 14 43" xfId="6074" xr:uid="{00000000-0005-0000-0000-0000D8170000}"/>
    <cellStyle name="Normal 14 44" xfId="6075" xr:uid="{00000000-0005-0000-0000-0000D9170000}"/>
    <cellStyle name="Normal 14 45" xfId="6076" xr:uid="{00000000-0005-0000-0000-0000DA170000}"/>
    <cellStyle name="Normal 14 46" xfId="6077" xr:uid="{00000000-0005-0000-0000-0000DB170000}"/>
    <cellStyle name="Normal 14 47" xfId="6078" xr:uid="{00000000-0005-0000-0000-0000DC170000}"/>
    <cellStyle name="Normal 14 48" xfId="6079" xr:uid="{00000000-0005-0000-0000-0000DD170000}"/>
    <cellStyle name="Normal 14 49" xfId="6080" xr:uid="{00000000-0005-0000-0000-0000DE170000}"/>
    <cellStyle name="Normal 14 5" xfId="6081" xr:uid="{00000000-0005-0000-0000-0000DF170000}"/>
    <cellStyle name="Normal 14 5 10" xfId="6082" xr:uid="{00000000-0005-0000-0000-0000E0170000}"/>
    <cellStyle name="Normal 14 5 11" xfId="6083" xr:uid="{00000000-0005-0000-0000-0000E1170000}"/>
    <cellStyle name="Normal 14 5 12" xfId="6084" xr:uid="{00000000-0005-0000-0000-0000E2170000}"/>
    <cellStyle name="Normal 14 5 13" xfId="6085" xr:uid="{00000000-0005-0000-0000-0000E3170000}"/>
    <cellStyle name="Normal 14 5 14" xfId="6086" xr:uid="{00000000-0005-0000-0000-0000E4170000}"/>
    <cellStyle name="Normal 14 5 15" xfId="6087" xr:uid="{00000000-0005-0000-0000-0000E5170000}"/>
    <cellStyle name="Normal 14 5 16" xfId="6088" xr:uid="{00000000-0005-0000-0000-0000E6170000}"/>
    <cellStyle name="Normal 14 5 17" xfId="6089" xr:uid="{00000000-0005-0000-0000-0000E7170000}"/>
    <cellStyle name="Normal 14 5 18" xfId="6090" xr:uid="{00000000-0005-0000-0000-0000E8170000}"/>
    <cellStyle name="Normal 14 5 2" xfId="6091" xr:uid="{00000000-0005-0000-0000-0000E9170000}"/>
    <cellStyle name="Normal 14 5 3" xfId="6092" xr:uid="{00000000-0005-0000-0000-0000EA170000}"/>
    <cellStyle name="Normal 14 5 4" xfId="6093" xr:uid="{00000000-0005-0000-0000-0000EB170000}"/>
    <cellStyle name="Normal 14 5 5" xfId="6094" xr:uid="{00000000-0005-0000-0000-0000EC170000}"/>
    <cellStyle name="Normal 14 5 6" xfId="6095" xr:uid="{00000000-0005-0000-0000-0000ED170000}"/>
    <cellStyle name="Normal 14 5 7" xfId="6096" xr:uid="{00000000-0005-0000-0000-0000EE170000}"/>
    <cellStyle name="Normal 14 5 8" xfId="6097" xr:uid="{00000000-0005-0000-0000-0000EF170000}"/>
    <cellStyle name="Normal 14 5 9" xfId="6098" xr:uid="{00000000-0005-0000-0000-0000F0170000}"/>
    <cellStyle name="Normal 14 50" xfId="6099" xr:uid="{00000000-0005-0000-0000-0000F1170000}"/>
    <cellStyle name="Normal 14 51" xfId="6100" xr:uid="{00000000-0005-0000-0000-0000F2170000}"/>
    <cellStyle name="Normal 14 52" xfId="6101" xr:uid="{00000000-0005-0000-0000-0000F3170000}"/>
    <cellStyle name="Normal 14 53" xfId="6102" xr:uid="{00000000-0005-0000-0000-0000F4170000}"/>
    <cellStyle name="Normal 14 54" xfId="6103" xr:uid="{00000000-0005-0000-0000-0000F5170000}"/>
    <cellStyle name="Normal 14 55" xfId="6104" xr:uid="{00000000-0005-0000-0000-0000F6170000}"/>
    <cellStyle name="Normal 14 56" xfId="6105" xr:uid="{00000000-0005-0000-0000-0000F7170000}"/>
    <cellStyle name="Normal 14 57" xfId="6106" xr:uid="{00000000-0005-0000-0000-0000F8170000}"/>
    <cellStyle name="Normal 14 58" xfId="6107" xr:uid="{00000000-0005-0000-0000-0000F9170000}"/>
    <cellStyle name="Normal 14 59" xfId="6108" xr:uid="{00000000-0005-0000-0000-0000FA170000}"/>
    <cellStyle name="Normal 14 6" xfId="6109" xr:uid="{00000000-0005-0000-0000-0000FB170000}"/>
    <cellStyle name="Normal 14 6 10" xfId="6110" xr:uid="{00000000-0005-0000-0000-0000FC170000}"/>
    <cellStyle name="Normal 14 6 11" xfId="6111" xr:uid="{00000000-0005-0000-0000-0000FD170000}"/>
    <cellStyle name="Normal 14 6 12" xfId="6112" xr:uid="{00000000-0005-0000-0000-0000FE170000}"/>
    <cellStyle name="Normal 14 6 13" xfId="6113" xr:uid="{00000000-0005-0000-0000-0000FF170000}"/>
    <cellStyle name="Normal 14 6 14" xfId="6114" xr:uid="{00000000-0005-0000-0000-000000180000}"/>
    <cellStyle name="Normal 14 6 15" xfId="6115" xr:uid="{00000000-0005-0000-0000-000001180000}"/>
    <cellStyle name="Normal 14 6 16" xfId="6116" xr:uid="{00000000-0005-0000-0000-000002180000}"/>
    <cellStyle name="Normal 14 6 17" xfId="6117" xr:uid="{00000000-0005-0000-0000-000003180000}"/>
    <cellStyle name="Normal 14 6 18" xfId="6118" xr:uid="{00000000-0005-0000-0000-000004180000}"/>
    <cellStyle name="Normal 14 6 2" xfId="6119" xr:uid="{00000000-0005-0000-0000-000005180000}"/>
    <cellStyle name="Normal 14 6 3" xfId="6120" xr:uid="{00000000-0005-0000-0000-000006180000}"/>
    <cellStyle name="Normal 14 6 4" xfId="6121" xr:uid="{00000000-0005-0000-0000-000007180000}"/>
    <cellStyle name="Normal 14 6 5" xfId="6122" xr:uid="{00000000-0005-0000-0000-000008180000}"/>
    <cellStyle name="Normal 14 6 6" xfId="6123" xr:uid="{00000000-0005-0000-0000-000009180000}"/>
    <cellStyle name="Normal 14 6 7" xfId="6124" xr:uid="{00000000-0005-0000-0000-00000A180000}"/>
    <cellStyle name="Normal 14 6 8" xfId="6125" xr:uid="{00000000-0005-0000-0000-00000B180000}"/>
    <cellStyle name="Normal 14 6 9" xfId="6126" xr:uid="{00000000-0005-0000-0000-00000C180000}"/>
    <cellStyle name="Normal 14 60" xfId="6127" xr:uid="{00000000-0005-0000-0000-00000D180000}"/>
    <cellStyle name="Normal 14 61" xfId="6128" xr:uid="{00000000-0005-0000-0000-00000E180000}"/>
    <cellStyle name="Normal 14 62" xfId="6129" xr:uid="{00000000-0005-0000-0000-00000F180000}"/>
    <cellStyle name="Normal 14 63" xfId="6130" xr:uid="{00000000-0005-0000-0000-000010180000}"/>
    <cellStyle name="Normal 14 64" xfId="6131" xr:uid="{00000000-0005-0000-0000-000011180000}"/>
    <cellStyle name="Normal 14 65" xfId="6132" xr:uid="{00000000-0005-0000-0000-000012180000}"/>
    <cellStyle name="Normal 14 66" xfId="6133" xr:uid="{00000000-0005-0000-0000-000013180000}"/>
    <cellStyle name="Normal 14 67" xfId="6134" xr:uid="{00000000-0005-0000-0000-000014180000}"/>
    <cellStyle name="Normal 14 68" xfId="6135" xr:uid="{00000000-0005-0000-0000-000015180000}"/>
    <cellStyle name="Normal 14 69" xfId="6136" xr:uid="{00000000-0005-0000-0000-000016180000}"/>
    <cellStyle name="Normal 14 7" xfId="6137" xr:uid="{00000000-0005-0000-0000-000017180000}"/>
    <cellStyle name="Normal 14 7 10" xfId="6138" xr:uid="{00000000-0005-0000-0000-000018180000}"/>
    <cellStyle name="Normal 14 7 11" xfId="6139" xr:uid="{00000000-0005-0000-0000-000019180000}"/>
    <cellStyle name="Normal 14 7 12" xfId="6140" xr:uid="{00000000-0005-0000-0000-00001A180000}"/>
    <cellStyle name="Normal 14 7 13" xfId="6141" xr:uid="{00000000-0005-0000-0000-00001B180000}"/>
    <cellStyle name="Normal 14 7 14" xfId="6142" xr:uid="{00000000-0005-0000-0000-00001C180000}"/>
    <cellStyle name="Normal 14 7 15" xfId="6143" xr:uid="{00000000-0005-0000-0000-00001D180000}"/>
    <cellStyle name="Normal 14 7 16" xfId="6144" xr:uid="{00000000-0005-0000-0000-00001E180000}"/>
    <cellStyle name="Normal 14 7 17" xfId="6145" xr:uid="{00000000-0005-0000-0000-00001F180000}"/>
    <cellStyle name="Normal 14 7 18" xfId="6146" xr:uid="{00000000-0005-0000-0000-000020180000}"/>
    <cellStyle name="Normal 14 7 2" xfId="6147" xr:uid="{00000000-0005-0000-0000-000021180000}"/>
    <cellStyle name="Normal 14 7 3" xfId="6148" xr:uid="{00000000-0005-0000-0000-000022180000}"/>
    <cellStyle name="Normal 14 7 4" xfId="6149" xr:uid="{00000000-0005-0000-0000-000023180000}"/>
    <cellStyle name="Normal 14 7 5" xfId="6150" xr:uid="{00000000-0005-0000-0000-000024180000}"/>
    <cellStyle name="Normal 14 7 6" xfId="6151" xr:uid="{00000000-0005-0000-0000-000025180000}"/>
    <cellStyle name="Normal 14 7 7" xfId="6152" xr:uid="{00000000-0005-0000-0000-000026180000}"/>
    <cellStyle name="Normal 14 7 8" xfId="6153" xr:uid="{00000000-0005-0000-0000-000027180000}"/>
    <cellStyle name="Normal 14 7 9" xfId="6154" xr:uid="{00000000-0005-0000-0000-000028180000}"/>
    <cellStyle name="Normal 14 70" xfId="6155" xr:uid="{00000000-0005-0000-0000-000029180000}"/>
    <cellStyle name="Normal 14 71" xfId="6156" xr:uid="{00000000-0005-0000-0000-00002A180000}"/>
    <cellStyle name="Normal 14 72" xfId="6157" xr:uid="{00000000-0005-0000-0000-00002B180000}"/>
    <cellStyle name="Normal 14 73" xfId="6158" xr:uid="{00000000-0005-0000-0000-00002C180000}"/>
    <cellStyle name="Normal 14 74" xfId="6159" xr:uid="{00000000-0005-0000-0000-00002D180000}"/>
    <cellStyle name="Normal 14 75" xfId="6160" xr:uid="{00000000-0005-0000-0000-00002E180000}"/>
    <cellStyle name="Normal 14 76" xfId="6161" xr:uid="{00000000-0005-0000-0000-00002F180000}"/>
    <cellStyle name="Normal 14 77" xfId="6162" xr:uid="{00000000-0005-0000-0000-000030180000}"/>
    <cellStyle name="Normal 14 78" xfId="6163" xr:uid="{00000000-0005-0000-0000-000031180000}"/>
    <cellStyle name="Normal 14 79" xfId="6164" xr:uid="{00000000-0005-0000-0000-000032180000}"/>
    <cellStyle name="Normal 14 8" xfId="6165" xr:uid="{00000000-0005-0000-0000-000033180000}"/>
    <cellStyle name="Normal 14 8 10" xfId="6166" xr:uid="{00000000-0005-0000-0000-000034180000}"/>
    <cellStyle name="Normal 14 8 11" xfId="6167" xr:uid="{00000000-0005-0000-0000-000035180000}"/>
    <cellStyle name="Normal 14 8 12" xfId="6168" xr:uid="{00000000-0005-0000-0000-000036180000}"/>
    <cellStyle name="Normal 14 8 13" xfId="6169" xr:uid="{00000000-0005-0000-0000-000037180000}"/>
    <cellStyle name="Normal 14 8 14" xfId="6170" xr:uid="{00000000-0005-0000-0000-000038180000}"/>
    <cellStyle name="Normal 14 8 15" xfId="6171" xr:uid="{00000000-0005-0000-0000-000039180000}"/>
    <cellStyle name="Normal 14 8 16" xfId="6172" xr:uid="{00000000-0005-0000-0000-00003A180000}"/>
    <cellStyle name="Normal 14 8 17" xfId="6173" xr:uid="{00000000-0005-0000-0000-00003B180000}"/>
    <cellStyle name="Normal 14 8 18" xfId="6174" xr:uid="{00000000-0005-0000-0000-00003C180000}"/>
    <cellStyle name="Normal 14 8 2" xfId="6175" xr:uid="{00000000-0005-0000-0000-00003D180000}"/>
    <cellStyle name="Normal 14 8 3" xfId="6176" xr:uid="{00000000-0005-0000-0000-00003E180000}"/>
    <cellStyle name="Normal 14 8 4" xfId="6177" xr:uid="{00000000-0005-0000-0000-00003F180000}"/>
    <cellStyle name="Normal 14 8 5" xfId="6178" xr:uid="{00000000-0005-0000-0000-000040180000}"/>
    <cellStyle name="Normal 14 8 6" xfId="6179" xr:uid="{00000000-0005-0000-0000-000041180000}"/>
    <cellStyle name="Normal 14 8 7" xfId="6180" xr:uid="{00000000-0005-0000-0000-000042180000}"/>
    <cellStyle name="Normal 14 8 8" xfId="6181" xr:uid="{00000000-0005-0000-0000-000043180000}"/>
    <cellStyle name="Normal 14 8 9" xfId="6182" xr:uid="{00000000-0005-0000-0000-000044180000}"/>
    <cellStyle name="Normal 14 80" xfId="6183" xr:uid="{00000000-0005-0000-0000-000045180000}"/>
    <cellStyle name="Normal 14 81" xfId="6184" xr:uid="{00000000-0005-0000-0000-000046180000}"/>
    <cellStyle name="Normal 14 82" xfId="6185" xr:uid="{00000000-0005-0000-0000-000047180000}"/>
    <cellStyle name="Normal 14 83" xfId="6186" xr:uid="{00000000-0005-0000-0000-000048180000}"/>
    <cellStyle name="Normal 14 84" xfId="6187" xr:uid="{00000000-0005-0000-0000-000049180000}"/>
    <cellStyle name="Normal 14 85" xfId="6188" xr:uid="{00000000-0005-0000-0000-00004A180000}"/>
    <cellStyle name="Normal 14 86" xfId="6189" xr:uid="{00000000-0005-0000-0000-00004B180000}"/>
    <cellStyle name="Normal 14 87" xfId="6190" xr:uid="{00000000-0005-0000-0000-00004C180000}"/>
    <cellStyle name="Normal 14 88" xfId="6191" xr:uid="{00000000-0005-0000-0000-00004D180000}"/>
    <cellStyle name="Normal 14 89" xfId="6192" xr:uid="{00000000-0005-0000-0000-00004E180000}"/>
    <cellStyle name="Normal 14 9" xfId="6193" xr:uid="{00000000-0005-0000-0000-00004F180000}"/>
    <cellStyle name="Normal 14 9 10" xfId="6194" xr:uid="{00000000-0005-0000-0000-000050180000}"/>
    <cellStyle name="Normal 14 9 11" xfId="6195" xr:uid="{00000000-0005-0000-0000-000051180000}"/>
    <cellStyle name="Normal 14 9 12" xfId="6196" xr:uid="{00000000-0005-0000-0000-000052180000}"/>
    <cellStyle name="Normal 14 9 13" xfId="6197" xr:uid="{00000000-0005-0000-0000-000053180000}"/>
    <cellStyle name="Normal 14 9 14" xfId="6198" xr:uid="{00000000-0005-0000-0000-000054180000}"/>
    <cellStyle name="Normal 14 9 15" xfId="6199" xr:uid="{00000000-0005-0000-0000-000055180000}"/>
    <cellStyle name="Normal 14 9 16" xfId="6200" xr:uid="{00000000-0005-0000-0000-000056180000}"/>
    <cellStyle name="Normal 14 9 17" xfId="6201" xr:uid="{00000000-0005-0000-0000-000057180000}"/>
    <cellStyle name="Normal 14 9 18" xfId="6202" xr:uid="{00000000-0005-0000-0000-000058180000}"/>
    <cellStyle name="Normal 14 9 2" xfId="6203" xr:uid="{00000000-0005-0000-0000-000059180000}"/>
    <cellStyle name="Normal 14 9 3" xfId="6204" xr:uid="{00000000-0005-0000-0000-00005A180000}"/>
    <cellStyle name="Normal 14 9 4" xfId="6205" xr:uid="{00000000-0005-0000-0000-00005B180000}"/>
    <cellStyle name="Normal 14 9 5" xfId="6206" xr:uid="{00000000-0005-0000-0000-00005C180000}"/>
    <cellStyle name="Normal 14 9 6" xfId="6207" xr:uid="{00000000-0005-0000-0000-00005D180000}"/>
    <cellStyle name="Normal 14 9 7" xfId="6208" xr:uid="{00000000-0005-0000-0000-00005E180000}"/>
    <cellStyle name="Normal 14 9 8" xfId="6209" xr:uid="{00000000-0005-0000-0000-00005F180000}"/>
    <cellStyle name="Normal 14 9 9" xfId="6210" xr:uid="{00000000-0005-0000-0000-000060180000}"/>
    <cellStyle name="Normal 14 90" xfId="6211" xr:uid="{00000000-0005-0000-0000-000061180000}"/>
    <cellStyle name="Normal 14 91" xfId="6212" xr:uid="{00000000-0005-0000-0000-000062180000}"/>
    <cellStyle name="Normal 14 92" xfId="6213" xr:uid="{00000000-0005-0000-0000-000063180000}"/>
    <cellStyle name="Normal 14 93" xfId="6214" xr:uid="{00000000-0005-0000-0000-000064180000}"/>
    <cellStyle name="Normal 14 94" xfId="6215" xr:uid="{00000000-0005-0000-0000-000065180000}"/>
    <cellStyle name="Normal 14 95" xfId="6216" xr:uid="{00000000-0005-0000-0000-000066180000}"/>
    <cellStyle name="Normal 14 96" xfId="6217" xr:uid="{00000000-0005-0000-0000-000067180000}"/>
    <cellStyle name="Normal 14_4 28 1_Asst_Health_Crit_AllTO_RIIO_20110714pm" xfId="6218" xr:uid="{00000000-0005-0000-0000-000068180000}"/>
    <cellStyle name="Normal 15" xfId="6219" xr:uid="{00000000-0005-0000-0000-000069180000}"/>
    <cellStyle name="Normal 15 10" xfId="6220" xr:uid="{00000000-0005-0000-0000-00006A180000}"/>
    <cellStyle name="Normal 15 10 2" xfId="6221" xr:uid="{00000000-0005-0000-0000-00006B180000}"/>
    <cellStyle name="Normal 15 11" xfId="6222" xr:uid="{00000000-0005-0000-0000-00006C180000}"/>
    <cellStyle name="Normal 15 11 2" xfId="6223" xr:uid="{00000000-0005-0000-0000-00006D180000}"/>
    <cellStyle name="Normal 15 12" xfId="6224" xr:uid="{00000000-0005-0000-0000-00006E180000}"/>
    <cellStyle name="Normal 15 12 2" xfId="6225" xr:uid="{00000000-0005-0000-0000-00006F180000}"/>
    <cellStyle name="Normal 15 13" xfId="6226" xr:uid="{00000000-0005-0000-0000-000070180000}"/>
    <cellStyle name="Normal 15 13 2" xfId="6227" xr:uid="{00000000-0005-0000-0000-000071180000}"/>
    <cellStyle name="Normal 15 14" xfId="6228" xr:uid="{00000000-0005-0000-0000-000072180000}"/>
    <cellStyle name="Normal 15 14 2" xfId="6229" xr:uid="{00000000-0005-0000-0000-000073180000}"/>
    <cellStyle name="Normal 15 15" xfId="6230" xr:uid="{00000000-0005-0000-0000-000074180000}"/>
    <cellStyle name="Normal 15 15 2" xfId="6231" xr:uid="{00000000-0005-0000-0000-000075180000}"/>
    <cellStyle name="Normal 15 16" xfId="6232" xr:uid="{00000000-0005-0000-0000-000076180000}"/>
    <cellStyle name="Normal 15 16 2" xfId="6233" xr:uid="{00000000-0005-0000-0000-000077180000}"/>
    <cellStyle name="Normal 15 17" xfId="6234" xr:uid="{00000000-0005-0000-0000-000078180000}"/>
    <cellStyle name="Normal 15 17 2" xfId="6235" xr:uid="{00000000-0005-0000-0000-000079180000}"/>
    <cellStyle name="Normal 15 18" xfId="6236" xr:uid="{00000000-0005-0000-0000-00007A180000}"/>
    <cellStyle name="Normal 15 18 2" xfId="6237" xr:uid="{00000000-0005-0000-0000-00007B180000}"/>
    <cellStyle name="Normal 15 19" xfId="6238" xr:uid="{00000000-0005-0000-0000-00007C180000}"/>
    <cellStyle name="Normal 15 19 2" xfId="6239" xr:uid="{00000000-0005-0000-0000-00007D180000}"/>
    <cellStyle name="Normal 15 2" xfId="6240" xr:uid="{00000000-0005-0000-0000-00007E180000}"/>
    <cellStyle name="Normal 15 2 2" xfId="6241" xr:uid="{00000000-0005-0000-0000-00007F180000}"/>
    <cellStyle name="Normal 15 2 2 2" xfId="6242" xr:uid="{00000000-0005-0000-0000-000080180000}"/>
    <cellStyle name="Normal 15 2 2 3" xfId="6243" xr:uid="{00000000-0005-0000-0000-000081180000}"/>
    <cellStyle name="Normal 15 2 3" xfId="6244" xr:uid="{00000000-0005-0000-0000-000082180000}"/>
    <cellStyle name="Normal 15 2 4" xfId="6245" xr:uid="{00000000-0005-0000-0000-000083180000}"/>
    <cellStyle name="Normal 15 2 5" xfId="6246" xr:uid="{00000000-0005-0000-0000-000084180000}"/>
    <cellStyle name="Normal 15 2 6" xfId="6247" xr:uid="{00000000-0005-0000-0000-000085180000}"/>
    <cellStyle name="Normal 15 2 7" xfId="6248" xr:uid="{00000000-0005-0000-0000-000086180000}"/>
    <cellStyle name="Normal 15 2 7 2" xfId="6249" xr:uid="{00000000-0005-0000-0000-000087180000}"/>
    <cellStyle name="Normal 15 20" xfId="6250" xr:uid="{00000000-0005-0000-0000-000088180000}"/>
    <cellStyle name="Normal 15 20 2" xfId="6251" xr:uid="{00000000-0005-0000-0000-000089180000}"/>
    <cellStyle name="Normal 15 21" xfId="6252" xr:uid="{00000000-0005-0000-0000-00008A180000}"/>
    <cellStyle name="Normal 15 21 2" xfId="6253" xr:uid="{00000000-0005-0000-0000-00008B180000}"/>
    <cellStyle name="Normal 15 22" xfId="6254" xr:uid="{00000000-0005-0000-0000-00008C180000}"/>
    <cellStyle name="Normal 15 22 2" xfId="6255" xr:uid="{00000000-0005-0000-0000-00008D180000}"/>
    <cellStyle name="Normal 15 23" xfId="6256" xr:uid="{00000000-0005-0000-0000-00008E180000}"/>
    <cellStyle name="Normal 15 23 2" xfId="6257" xr:uid="{00000000-0005-0000-0000-00008F180000}"/>
    <cellStyle name="Normal 15 24" xfId="6258" xr:uid="{00000000-0005-0000-0000-000090180000}"/>
    <cellStyle name="Normal 15 25" xfId="6259" xr:uid="{00000000-0005-0000-0000-000091180000}"/>
    <cellStyle name="Normal 15 26" xfId="6260" xr:uid="{00000000-0005-0000-0000-000092180000}"/>
    <cellStyle name="Normal 15 27" xfId="6261" xr:uid="{00000000-0005-0000-0000-000093180000}"/>
    <cellStyle name="Normal 15 28" xfId="6262" xr:uid="{00000000-0005-0000-0000-000094180000}"/>
    <cellStyle name="Normal 15 29" xfId="6263" xr:uid="{00000000-0005-0000-0000-000095180000}"/>
    <cellStyle name="Normal 15 3" xfId="6264" xr:uid="{00000000-0005-0000-0000-000096180000}"/>
    <cellStyle name="Normal 15 3 10" xfId="6265" xr:uid="{00000000-0005-0000-0000-000097180000}"/>
    <cellStyle name="Normal 15 3 11" xfId="6266" xr:uid="{00000000-0005-0000-0000-000098180000}"/>
    <cellStyle name="Normal 15 3 12" xfId="6267" xr:uid="{00000000-0005-0000-0000-000099180000}"/>
    <cellStyle name="Normal 15 3 13" xfId="6268" xr:uid="{00000000-0005-0000-0000-00009A180000}"/>
    <cellStyle name="Normal 15 3 2" xfId="6269" xr:uid="{00000000-0005-0000-0000-00009B180000}"/>
    <cellStyle name="Normal 15 3 3" xfId="6270" xr:uid="{00000000-0005-0000-0000-00009C180000}"/>
    <cellStyle name="Normal 15 3 4" xfId="6271" xr:uid="{00000000-0005-0000-0000-00009D180000}"/>
    <cellStyle name="Normal 15 3 5" xfId="6272" xr:uid="{00000000-0005-0000-0000-00009E180000}"/>
    <cellStyle name="Normal 15 3 6" xfId="6273" xr:uid="{00000000-0005-0000-0000-00009F180000}"/>
    <cellStyle name="Normal 15 3 7" xfId="6274" xr:uid="{00000000-0005-0000-0000-0000A0180000}"/>
    <cellStyle name="Normal 15 3 8" xfId="6275" xr:uid="{00000000-0005-0000-0000-0000A1180000}"/>
    <cellStyle name="Normal 15 3 9" xfId="6276" xr:uid="{00000000-0005-0000-0000-0000A2180000}"/>
    <cellStyle name="Normal 15 30" xfId="6277" xr:uid="{00000000-0005-0000-0000-0000A3180000}"/>
    <cellStyle name="Normal 15 31" xfId="6278" xr:uid="{00000000-0005-0000-0000-0000A4180000}"/>
    <cellStyle name="Normal 15 32" xfId="6279" xr:uid="{00000000-0005-0000-0000-0000A5180000}"/>
    <cellStyle name="Normal 15 33" xfId="6280" xr:uid="{00000000-0005-0000-0000-0000A6180000}"/>
    <cellStyle name="Normal 15 34" xfId="6281" xr:uid="{00000000-0005-0000-0000-0000A7180000}"/>
    <cellStyle name="Normal 15 35" xfId="6282" xr:uid="{00000000-0005-0000-0000-0000A8180000}"/>
    <cellStyle name="Normal 15 36" xfId="6283" xr:uid="{00000000-0005-0000-0000-0000A9180000}"/>
    <cellStyle name="Normal 15 37" xfId="6284" xr:uid="{00000000-0005-0000-0000-0000AA180000}"/>
    <cellStyle name="Normal 15 38" xfId="6285" xr:uid="{00000000-0005-0000-0000-0000AB180000}"/>
    <cellStyle name="Normal 15 39" xfId="6286" xr:uid="{00000000-0005-0000-0000-0000AC180000}"/>
    <cellStyle name="Normal 15 4" xfId="6287" xr:uid="{00000000-0005-0000-0000-0000AD180000}"/>
    <cellStyle name="Normal 15 4 2" xfId="6288" xr:uid="{00000000-0005-0000-0000-0000AE180000}"/>
    <cellStyle name="Normal 15 40" xfId="6289" xr:uid="{00000000-0005-0000-0000-0000AF180000}"/>
    <cellStyle name="Normal 15 41" xfId="6290" xr:uid="{00000000-0005-0000-0000-0000B0180000}"/>
    <cellStyle name="Normal 15 42" xfId="6291" xr:uid="{00000000-0005-0000-0000-0000B1180000}"/>
    <cellStyle name="Normal 15 43" xfId="6292" xr:uid="{00000000-0005-0000-0000-0000B2180000}"/>
    <cellStyle name="Normal 15 44" xfId="6293" xr:uid="{00000000-0005-0000-0000-0000B3180000}"/>
    <cellStyle name="Normal 15 45" xfId="6294" xr:uid="{00000000-0005-0000-0000-0000B4180000}"/>
    <cellStyle name="Normal 15 46" xfId="6295" xr:uid="{00000000-0005-0000-0000-0000B5180000}"/>
    <cellStyle name="Normal 15 47" xfId="6296" xr:uid="{00000000-0005-0000-0000-0000B6180000}"/>
    <cellStyle name="Normal 15 48" xfId="6297" xr:uid="{00000000-0005-0000-0000-0000B7180000}"/>
    <cellStyle name="Normal 15 49" xfId="6298" xr:uid="{00000000-0005-0000-0000-0000B8180000}"/>
    <cellStyle name="Normal 15 5" xfId="6299" xr:uid="{00000000-0005-0000-0000-0000B9180000}"/>
    <cellStyle name="Normal 15 5 2" xfId="6300" xr:uid="{00000000-0005-0000-0000-0000BA180000}"/>
    <cellStyle name="Normal 15 50" xfId="6301" xr:uid="{00000000-0005-0000-0000-0000BB180000}"/>
    <cellStyle name="Normal 15 51" xfId="6302" xr:uid="{00000000-0005-0000-0000-0000BC180000}"/>
    <cellStyle name="Normal 15 52" xfId="6303" xr:uid="{00000000-0005-0000-0000-0000BD180000}"/>
    <cellStyle name="Normal 15 53" xfId="6304" xr:uid="{00000000-0005-0000-0000-0000BE180000}"/>
    <cellStyle name="Normal 15 54" xfId="6305" xr:uid="{00000000-0005-0000-0000-0000BF180000}"/>
    <cellStyle name="Normal 15 55" xfId="6306" xr:uid="{00000000-0005-0000-0000-0000C0180000}"/>
    <cellStyle name="Normal 15 56" xfId="6307" xr:uid="{00000000-0005-0000-0000-0000C1180000}"/>
    <cellStyle name="Normal 15 57" xfId="6308" xr:uid="{00000000-0005-0000-0000-0000C2180000}"/>
    <cellStyle name="Normal 15 58" xfId="6309" xr:uid="{00000000-0005-0000-0000-0000C3180000}"/>
    <cellStyle name="Normal 15 59" xfId="6310" xr:uid="{00000000-0005-0000-0000-0000C4180000}"/>
    <cellStyle name="Normal 15 6" xfId="6311" xr:uid="{00000000-0005-0000-0000-0000C5180000}"/>
    <cellStyle name="Normal 15 6 2" xfId="6312" xr:uid="{00000000-0005-0000-0000-0000C6180000}"/>
    <cellStyle name="Normal 15 60" xfId="6313" xr:uid="{00000000-0005-0000-0000-0000C7180000}"/>
    <cellStyle name="Normal 15 61" xfId="6314" xr:uid="{00000000-0005-0000-0000-0000C8180000}"/>
    <cellStyle name="Normal 15 62" xfId="6315" xr:uid="{00000000-0005-0000-0000-0000C9180000}"/>
    <cellStyle name="Normal 15 63" xfId="6316" xr:uid="{00000000-0005-0000-0000-0000CA180000}"/>
    <cellStyle name="Normal 15 64" xfId="6317" xr:uid="{00000000-0005-0000-0000-0000CB180000}"/>
    <cellStyle name="Normal 15 65" xfId="6318" xr:uid="{00000000-0005-0000-0000-0000CC180000}"/>
    <cellStyle name="Normal 15 66" xfId="6319" xr:uid="{00000000-0005-0000-0000-0000CD180000}"/>
    <cellStyle name="Normal 15 67" xfId="6320" xr:uid="{00000000-0005-0000-0000-0000CE180000}"/>
    <cellStyle name="Normal 15 68" xfId="6321" xr:uid="{00000000-0005-0000-0000-0000CF180000}"/>
    <cellStyle name="Normal 15 69" xfId="6322" xr:uid="{00000000-0005-0000-0000-0000D0180000}"/>
    <cellStyle name="Normal 15 7" xfId="6323" xr:uid="{00000000-0005-0000-0000-0000D1180000}"/>
    <cellStyle name="Normal 15 7 2" xfId="6324" xr:uid="{00000000-0005-0000-0000-0000D2180000}"/>
    <cellStyle name="Normal 15 70" xfId="6325" xr:uid="{00000000-0005-0000-0000-0000D3180000}"/>
    <cellStyle name="Normal 15 71" xfId="6326" xr:uid="{00000000-0005-0000-0000-0000D4180000}"/>
    <cellStyle name="Normal 15 8" xfId="6327" xr:uid="{00000000-0005-0000-0000-0000D5180000}"/>
    <cellStyle name="Normal 15 8 2" xfId="6328" xr:uid="{00000000-0005-0000-0000-0000D6180000}"/>
    <cellStyle name="Normal 15 9" xfId="6329" xr:uid="{00000000-0005-0000-0000-0000D7180000}"/>
    <cellStyle name="Normal 15 9 2" xfId="6330" xr:uid="{00000000-0005-0000-0000-0000D8180000}"/>
    <cellStyle name="Normal 15_4 28 1_Asst_Health_Crit_AllTO_RIIO_20110714pm" xfId="6331" xr:uid="{00000000-0005-0000-0000-0000D9180000}"/>
    <cellStyle name="Normal 16" xfId="6332" xr:uid="{00000000-0005-0000-0000-0000DA180000}"/>
    <cellStyle name="Normal 16 10" xfId="6333" xr:uid="{00000000-0005-0000-0000-0000DB180000}"/>
    <cellStyle name="Normal 16 10 2" xfId="6334" xr:uid="{00000000-0005-0000-0000-0000DC180000}"/>
    <cellStyle name="Normal 16 11" xfId="6335" xr:uid="{00000000-0005-0000-0000-0000DD180000}"/>
    <cellStyle name="Normal 16 11 2" xfId="6336" xr:uid="{00000000-0005-0000-0000-0000DE180000}"/>
    <cellStyle name="Normal 16 12" xfId="6337" xr:uid="{00000000-0005-0000-0000-0000DF180000}"/>
    <cellStyle name="Normal 16 12 2" xfId="6338" xr:uid="{00000000-0005-0000-0000-0000E0180000}"/>
    <cellStyle name="Normal 16 13" xfId="6339" xr:uid="{00000000-0005-0000-0000-0000E1180000}"/>
    <cellStyle name="Normal 16 13 2" xfId="6340" xr:uid="{00000000-0005-0000-0000-0000E2180000}"/>
    <cellStyle name="Normal 16 14" xfId="6341" xr:uid="{00000000-0005-0000-0000-0000E3180000}"/>
    <cellStyle name="Normal 16 14 2" xfId="6342" xr:uid="{00000000-0005-0000-0000-0000E4180000}"/>
    <cellStyle name="Normal 16 15" xfId="6343" xr:uid="{00000000-0005-0000-0000-0000E5180000}"/>
    <cellStyle name="Normal 16 15 2" xfId="6344" xr:uid="{00000000-0005-0000-0000-0000E6180000}"/>
    <cellStyle name="Normal 16 16" xfId="6345" xr:uid="{00000000-0005-0000-0000-0000E7180000}"/>
    <cellStyle name="Normal 16 16 2" xfId="6346" xr:uid="{00000000-0005-0000-0000-0000E8180000}"/>
    <cellStyle name="Normal 16 17" xfId="6347" xr:uid="{00000000-0005-0000-0000-0000E9180000}"/>
    <cellStyle name="Normal 16 17 2" xfId="6348" xr:uid="{00000000-0005-0000-0000-0000EA180000}"/>
    <cellStyle name="Normal 16 18" xfId="6349" xr:uid="{00000000-0005-0000-0000-0000EB180000}"/>
    <cellStyle name="Normal 16 18 2" xfId="6350" xr:uid="{00000000-0005-0000-0000-0000EC180000}"/>
    <cellStyle name="Normal 16 19" xfId="6351" xr:uid="{00000000-0005-0000-0000-0000ED180000}"/>
    <cellStyle name="Normal 16 19 2" xfId="6352" xr:uid="{00000000-0005-0000-0000-0000EE180000}"/>
    <cellStyle name="Normal 16 2" xfId="6353" xr:uid="{00000000-0005-0000-0000-0000EF180000}"/>
    <cellStyle name="Normal 16 2 10" xfId="6354" xr:uid="{00000000-0005-0000-0000-0000F0180000}"/>
    <cellStyle name="Normal 16 2 11" xfId="6355" xr:uid="{00000000-0005-0000-0000-0000F1180000}"/>
    <cellStyle name="Normal 16 2 12" xfId="6356" xr:uid="{00000000-0005-0000-0000-0000F2180000}"/>
    <cellStyle name="Normal 16 2 13" xfId="6357" xr:uid="{00000000-0005-0000-0000-0000F3180000}"/>
    <cellStyle name="Normal 16 2 2" xfId="6358" xr:uid="{00000000-0005-0000-0000-0000F4180000}"/>
    <cellStyle name="Normal 16 2 2 2" xfId="6359" xr:uid="{00000000-0005-0000-0000-0000F5180000}"/>
    <cellStyle name="Normal 16 2 2 2 2" xfId="6360" xr:uid="{00000000-0005-0000-0000-0000F6180000}"/>
    <cellStyle name="Normal 16 2 2 2 3" xfId="6361" xr:uid="{00000000-0005-0000-0000-0000F7180000}"/>
    <cellStyle name="Normal 16 2 2 2 4" xfId="6362" xr:uid="{00000000-0005-0000-0000-0000F8180000}"/>
    <cellStyle name="Normal 16 2 2 3" xfId="6363" xr:uid="{00000000-0005-0000-0000-0000F9180000}"/>
    <cellStyle name="Normal 16 2 2 3 2" xfId="6364" xr:uid="{00000000-0005-0000-0000-0000FA180000}"/>
    <cellStyle name="Normal 16 2 2 3 3" xfId="6365" xr:uid="{00000000-0005-0000-0000-0000FB180000}"/>
    <cellStyle name="Normal 16 2 2 3 4" xfId="6366" xr:uid="{00000000-0005-0000-0000-0000FC180000}"/>
    <cellStyle name="Normal 16 2 2 4" xfId="6367" xr:uid="{00000000-0005-0000-0000-0000FD180000}"/>
    <cellStyle name="Normal 16 2 2 5" xfId="6368" xr:uid="{00000000-0005-0000-0000-0000FE180000}"/>
    <cellStyle name="Normal 16 2 2 6" xfId="6369" xr:uid="{00000000-0005-0000-0000-0000FF180000}"/>
    <cellStyle name="Normal 16 2 2 7" xfId="6370" xr:uid="{00000000-0005-0000-0000-000000190000}"/>
    <cellStyle name="Normal 16 2 3" xfId="6371" xr:uid="{00000000-0005-0000-0000-000001190000}"/>
    <cellStyle name="Normal 16 2 3 2" xfId="6372" xr:uid="{00000000-0005-0000-0000-000002190000}"/>
    <cellStyle name="Normal 16 2 3 2 2" xfId="6373" xr:uid="{00000000-0005-0000-0000-000003190000}"/>
    <cellStyle name="Normal 16 2 3 2 3" xfId="6374" xr:uid="{00000000-0005-0000-0000-000004190000}"/>
    <cellStyle name="Normal 16 2 3 2 4" xfId="6375" xr:uid="{00000000-0005-0000-0000-000005190000}"/>
    <cellStyle name="Normal 16 2 3 3" xfId="6376" xr:uid="{00000000-0005-0000-0000-000006190000}"/>
    <cellStyle name="Normal 16 2 3 4" xfId="6377" xr:uid="{00000000-0005-0000-0000-000007190000}"/>
    <cellStyle name="Normal 16 2 3 5" xfId="6378" xr:uid="{00000000-0005-0000-0000-000008190000}"/>
    <cellStyle name="Normal 16 2 3 6" xfId="6379" xr:uid="{00000000-0005-0000-0000-000009190000}"/>
    <cellStyle name="Normal 16 2 4" xfId="6380" xr:uid="{00000000-0005-0000-0000-00000A190000}"/>
    <cellStyle name="Normal 16 2 4 2" xfId="6381" xr:uid="{00000000-0005-0000-0000-00000B190000}"/>
    <cellStyle name="Normal 16 2 4 3" xfId="6382" xr:uid="{00000000-0005-0000-0000-00000C190000}"/>
    <cellStyle name="Normal 16 2 4 4" xfId="6383" xr:uid="{00000000-0005-0000-0000-00000D190000}"/>
    <cellStyle name="Normal 16 2 5" xfId="6384" xr:uid="{00000000-0005-0000-0000-00000E190000}"/>
    <cellStyle name="Normal 16 2 5 2" xfId="6385" xr:uid="{00000000-0005-0000-0000-00000F190000}"/>
    <cellStyle name="Normal 16 2 5 3" xfId="6386" xr:uid="{00000000-0005-0000-0000-000010190000}"/>
    <cellStyle name="Normal 16 2 5 4" xfId="6387" xr:uid="{00000000-0005-0000-0000-000011190000}"/>
    <cellStyle name="Normal 16 2 6" xfId="6388" xr:uid="{00000000-0005-0000-0000-000012190000}"/>
    <cellStyle name="Normal 16 2 7" xfId="6389" xr:uid="{00000000-0005-0000-0000-000013190000}"/>
    <cellStyle name="Normal 16 2 8" xfId="6390" xr:uid="{00000000-0005-0000-0000-000014190000}"/>
    <cellStyle name="Normal 16 2 9" xfId="6391" xr:uid="{00000000-0005-0000-0000-000015190000}"/>
    <cellStyle name="Normal 16 20" xfId="6392" xr:uid="{00000000-0005-0000-0000-000016190000}"/>
    <cellStyle name="Normal 16 20 2" xfId="6393" xr:uid="{00000000-0005-0000-0000-000017190000}"/>
    <cellStyle name="Normal 16 21" xfId="6394" xr:uid="{00000000-0005-0000-0000-000018190000}"/>
    <cellStyle name="Normal 16 21 2" xfId="6395" xr:uid="{00000000-0005-0000-0000-000019190000}"/>
    <cellStyle name="Normal 16 22" xfId="6396" xr:uid="{00000000-0005-0000-0000-00001A190000}"/>
    <cellStyle name="Normal 16 22 2" xfId="6397" xr:uid="{00000000-0005-0000-0000-00001B190000}"/>
    <cellStyle name="Normal 16 23" xfId="6398" xr:uid="{00000000-0005-0000-0000-00001C190000}"/>
    <cellStyle name="Normal 16 23 2" xfId="6399" xr:uid="{00000000-0005-0000-0000-00001D190000}"/>
    <cellStyle name="Normal 16 24" xfId="6400" xr:uid="{00000000-0005-0000-0000-00001E190000}"/>
    <cellStyle name="Normal 16 25" xfId="6401" xr:uid="{00000000-0005-0000-0000-00001F190000}"/>
    <cellStyle name="Normal 16 26" xfId="6402" xr:uid="{00000000-0005-0000-0000-000020190000}"/>
    <cellStyle name="Normal 16 27" xfId="6403" xr:uid="{00000000-0005-0000-0000-000021190000}"/>
    <cellStyle name="Normal 16 28" xfId="6404" xr:uid="{00000000-0005-0000-0000-000022190000}"/>
    <cellStyle name="Normal 16 29" xfId="6405" xr:uid="{00000000-0005-0000-0000-000023190000}"/>
    <cellStyle name="Normal 16 3" xfId="6406" xr:uid="{00000000-0005-0000-0000-000024190000}"/>
    <cellStyle name="Normal 16 3 10" xfId="6407" xr:uid="{00000000-0005-0000-0000-000025190000}"/>
    <cellStyle name="Normal 16 3 11" xfId="6408" xr:uid="{00000000-0005-0000-0000-000026190000}"/>
    <cellStyle name="Normal 16 3 12" xfId="6409" xr:uid="{00000000-0005-0000-0000-000027190000}"/>
    <cellStyle name="Normal 16 3 13" xfId="6410" xr:uid="{00000000-0005-0000-0000-000028190000}"/>
    <cellStyle name="Normal 16 3 14" xfId="6411" xr:uid="{00000000-0005-0000-0000-000029190000}"/>
    <cellStyle name="Normal 16 3 15" xfId="6412" xr:uid="{00000000-0005-0000-0000-00002A190000}"/>
    <cellStyle name="Normal 16 3 2" xfId="6413" xr:uid="{00000000-0005-0000-0000-00002B190000}"/>
    <cellStyle name="Normal 16 3 2 10" xfId="6414" xr:uid="{00000000-0005-0000-0000-00002C190000}"/>
    <cellStyle name="Normal 16 3 2 11" xfId="6415" xr:uid="{00000000-0005-0000-0000-00002D190000}"/>
    <cellStyle name="Normal 16 3 2 12" xfId="6416" xr:uid="{00000000-0005-0000-0000-00002E190000}"/>
    <cellStyle name="Normal 16 3 2 13" xfId="6417" xr:uid="{00000000-0005-0000-0000-00002F190000}"/>
    <cellStyle name="Normal 16 3 2 14" xfId="6418" xr:uid="{00000000-0005-0000-0000-000030190000}"/>
    <cellStyle name="Normal 16 3 2 15" xfId="6419" xr:uid="{00000000-0005-0000-0000-000031190000}"/>
    <cellStyle name="Normal 16 3 2 16" xfId="6420" xr:uid="{00000000-0005-0000-0000-000032190000}"/>
    <cellStyle name="Normal 16 3 2 2" xfId="6421" xr:uid="{00000000-0005-0000-0000-000033190000}"/>
    <cellStyle name="Normal 16 3 2 2 10" xfId="6422" xr:uid="{00000000-0005-0000-0000-000034190000}"/>
    <cellStyle name="Normal 16 3 2 2 11" xfId="6423" xr:uid="{00000000-0005-0000-0000-000035190000}"/>
    <cellStyle name="Normal 16 3 2 2 12" xfId="6424" xr:uid="{00000000-0005-0000-0000-000036190000}"/>
    <cellStyle name="Normal 16 3 2 2 13" xfId="6425" xr:uid="{00000000-0005-0000-0000-000037190000}"/>
    <cellStyle name="Normal 16 3 2 2 14" xfId="6426" xr:uid="{00000000-0005-0000-0000-000038190000}"/>
    <cellStyle name="Normal 16 3 2 2 15" xfId="6427" xr:uid="{00000000-0005-0000-0000-000039190000}"/>
    <cellStyle name="Normal 16 3 2 2 2" xfId="6428" xr:uid="{00000000-0005-0000-0000-00003A190000}"/>
    <cellStyle name="Normal 16 3 2 2 2 10" xfId="6429" xr:uid="{00000000-0005-0000-0000-00003B190000}"/>
    <cellStyle name="Normal 16 3 2 2 2 11" xfId="6430" xr:uid="{00000000-0005-0000-0000-00003C190000}"/>
    <cellStyle name="Normal 16 3 2 2 2 12" xfId="6431" xr:uid="{00000000-0005-0000-0000-00003D190000}"/>
    <cellStyle name="Normal 16 3 2 2 2 13" xfId="6432" xr:uid="{00000000-0005-0000-0000-00003E190000}"/>
    <cellStyle name="Normal 16 3 2 2 2 2" xfId="6433" xr:uid="{00000000-0005-0000-0000-00003F190000}"/>
    <cellStyle name="Normal 16 3 2 2 2 3" xfId="6434" xr:uid="{00000000-0005-0000-0000-000040190000}"/>
    <cellStyle name="Normal 16 3 2 2 2 4" xfId="6435" xr:uid="{00000000-0005-0000-0000-000041190000}"/>
    <cellStyle name="Normal 16 3 2 2 2 5" xfId="6436" xr:uid="{00000000-0005-0000-0000-000042190000}"/>
    <cellStyle name="Normal 16 3 2 2 2 6" xfId="6437" xr:uid="{00000000-0005-0000-0000-000043190000}"/>
    <cellStyle name="Normal 16 3 2 2 2 7" xfId="6438" xr:uid="{00000000-0005-0000-0000-000044190000}"/>
    <cellStyle name="Normal 16 3 2 2 2 8" xfId="6439" xr:uid="{00000000-0005-0000-0000-000045190000}"/>
    <cellStyle name="Normal 16 3 2 2 2 9" xfId="6440" xr:uid="{00000000-0005-0000-0000-000046190000}"/>
    <cellStyle name="Normal 16 3 2 2 3" xfId="6441" xr:uid="{00000000-0005-0000-0000-000047190000}"/>
    <cellStyle name="Normal 16 3 2 2 3 10" xfId="6442" xr:uid="{00000000-0005-0000-0000-000048190000}"/>
    <cellStyle name="Normal 16 3 2 2 3 11" xfId="6443" xr:uid="{00000000-0005-0000-0000-000049190000}"/>
    <cellStyle name="Normal 16 3 2 2 3 12" xfId="6444" xr:uid="{00000000-0005-0000-0000-00004A190000}"/>
    <cellStyle name="Normal 16 3 2 2 3 13" xfId="6445" xr:uid="{00000000-0005-0000-0000-00004B190000}"/>
    <cellStyle name="Normal 16 3 2 2 3 2" xfId="6446" xr:uid="{00000000-0005-0000-0000-00004C190000}"/>
    <cellStyle name="Normal 16 3 2 2 3 3" xfId="6447" xr:uid="{00000000-0005-0000-0000-00004D190000}"/>
    <cellStyle name="Normal 16 3 2 2 3 4" xfId="6448" xr:uid="{00000000-0005-0000-0000-00004E190000}"/>
    <cellStyle name="Normal 16 3 2 2 3 5" xfId="6449" xr:uid="{00000000-0005-0000-0000-00004F190000}"/>
    <cellStyle name="Normal 16 3 2 2 3 6" xfId="6450" xr:uid="{00000000-0005-0000-0000-000050190000}"/>
    <cellStyle name="Normal 16 3 2 2 3 7" xfId="6451" xr:uid="{00000000-0005-0000-0000-000051190000}"/>
    <cellStyle name="Normal 16 3 2 2 3 8" xfId="6452" xr:uid="{00000000-0005-0000-0000-000052190000}"/>
    <cellStyle name="Normal 16 3 2 2 3 9" xfId="6453" xr:uid="{00000000-0005-0000-0000-000053190000}"/>
    <cellStyle name="Normal 16 3 2 2 4" xfId="6454" xr:uid="{00000000-0005-0000-0000-000054190000}"/>
    <cellStyle name="Normal 16 3 2 2 5" xfId="6455" xr:uid="{00000000-0005-0000-0000-000055190000}"/>
    <cellStyle name="Normal 16 3 2 2 6" xfId="6456" xr:uid="{00000000-0005-0000-0000-000056190000}"/>
    <cellStyle name="Normal 16 3 2 2 7" xfId="6457" xr:uid="{00000000-0005-0000-0000-000057190000}"/>
    <cellStyle name="Normal 16 3 2 2 8" xfId="6458" xr:uid="{00000000-0005-0000-0000-000058190000}"/>
    <cellStyle name="Normal 16 3 2 2 9" xfId="6459" xr:uid="{00000000-0005-0000-0000-000059190000}"/>
    <cellStyle name="Normal 16 3 2 3" xfId="6460" xr:uid="{00000000-0005-0000-0000-00005A190000}"/>
    <cellStyle name="Normal 16 3 2 3 10" xfId="6461" xr:uid="{00000000-0005-0000-0000-00005B190000}"/>
    <cellStyle name="Normal 16 3 2 3 11" xfId="6462" xr:uid="{00000000-0005-0000-0000-00005C190000}"/>
    <cellStyle name="Normal 16 3 2 3 12" xfId="6463" xr:uid="{00000000-0005-0000-0000-00005D190000}"/>
    <cellStyle name="Normal 16 3 2 3 13" xfId="6464" xr:uid="{00000000-0005-0000-0000-00005E190000}"/>
    <cellStyle name="Normal 16 3 2 3 2" xfId="6465" xr:uid="{00000000-0005-0000-0000-00005F190000}"/>
    <cellStyle name="Normal 16 3 2 3 3" xfId="6466" xr:uid="{00000000-0005-0000-0000-000060190000}"/>
    <cellStyle name="Normal 16 3 2 3 4" xfId="6467" xr:uid="{00000000-0005-0000-0000-000061190000}"/>
    <cellStyle name="Normal 16 3 2 3 5" xfId="6468" xr:uid="{00000000-0005-0000-0000-000062190000}"/>
    <cellStyle name="Normal 16 3 2 3 6" xfId="6469" xr:uid="{00000000-0005-0000-0000-000063190000}"/>
    <cellStyle name="Normal 16 3 2 3 7" xfId="6470" xr:uid="{00000000-0005-0000-0000-000064190000}"/>
    <cellStyle name="Normal 16 3 2 3 8" xfId="6471" xr:uid="{00000000-0005-0000-0000-000065190000}"/>
    <cellStyle name="Normal 16 3 2 3 9" xfId="6472" xr:uid="{00000000-0005-0000-0000-000066190000}"/>
    <cellStyle name="Normal 16 3 2 4" xfId="6473" xr:uid="{00000000-0005-0000-0000-000067190000}"/>
    <cellStyle name="Normal 16 3 2 4 10" xfId="6474" xr:uid="{00000000-0005-0000-0000-000068190000}"/>
    <cellStyle name="Normal 16 3 2 4 11" xfId="6475" xr:uid="{00000000-0005-0000-0000-000069190000}"/>
    <cellStyle name="Normal 16 3 2 4 12" xfId="6476" xr:uid="{00000000-0005-0000-0000-00006A190000}"/>
    <cellStyle name="Normal 16 3 2 4 13" xfId="6477" xr:uid="{00000000-0005-0000-0000-00006B190000}"/>
    <cellStyle name="Normal 16 3 2 4 2" xfId="6478" xr:uid="{00000000-0005-0000-0000-00006C190000}"/>
    <cellStyle name="Normal 16 3 2 4 3" xfId="6479" xr:uid="{00000000-0005-0000-0000-00006D190000}"/>
    <cellStyle name="Normal 16 3 2 4 4" xfId="6480" xr:uid="{00000000-0005-0000-0000-00006E190000}"/>
    <cellStyle name="Normal 16 3 2 4 5" xfId="6481" xr:uid="{00000000-0005-0000-0000-00006F190000}"/>
    <cellStyle name="Normal 16 3 2 4 6" xfId="6482" xr:uid="{00000000-0005-0000-0000-000070190000}"/>
    <cellStyle name="Normal 16 3 2 4 7" xfId="6483" xr:uid="{00000000-0005-0000-0000-000071190000}"/>
    <cellStyle name="Normal 16 3 2 4 8" xfId="6484" xr:uid="{00000000-0005-0000-0000-000072190000}"/>
    <cellStyle name="Normal 16 3 2 4 9" xfId="6485" xr:uid="{00000000-0005-0000-0000-000073190000}"/>
    <cellStyle name="Normal 16 3 2 5" xfId="6486" xr:uid="{00000000-0005-0000-0000-000074190000}"/>
    <cellStyle name="Normal 16 3 2 6" xfId="6487" xr:uid="{00000000-0005-0000-0000-000075190000}"/>
    <cellStyle name="Normal 16 3 2 7" xfId="6488" xr:uid="{00000000-0005-0000-0000-000076190000}"/>
    <cellStyle name="Normal 16 3 2 8" xfId="6489" xr:uid="{00000000-0005-0000-0000-000077190000}"/>
    <cellStyle name="Normal 16 3 2 9" xfId="6490" xr:uid="{00000000-0005-0000-0000-000078190000}"/>
    <cellStyle name="Normal 16 3 3" xfId="6491" xr:uid="{00000000-0005-0000-0000-000079190000}"/>
    <cellStyle name="Normal 16 3 3 10" xfId="6492" xr:uid="{00000000-0005-0000-0000-00007A190000}"/>
    <cellStyle name="Normal 16 3 3 11" xfId="6493" xr:uid="{00000000-0005-0000-0000-00007B190000}"/>
    <cellStyle name="Normal 16 3 3 12" xfId="6494" xr:uid="{00000000-0005-0000-0000-00007C190000}"/>
    <cellStyle name="Normal 16 3 3 13" xfId="6495" xr:uid="{00000000-0005-0000-0000-00007D190000}"/>
    <cellStyle name="Normal 16 3 3 2" xfId="6496" xr:uid="{00000000-0005-0000-0000-00007E190000}"/>
    <cellStyle name="Normal 16 3 3 3" xfId="6497" xr:uid="{00000000-0005-0000-0000-00007F190000}"/>
    <cellStyle name="Normal 16 3 3 4" xfId="6498" xr:uid="{00000000-0005-0000-0000-000080190000}"/>
    <cellStyle name="Normal 16 3 3 5" xfId="6499" xr:uid="{00000000-0005-0000-0000-000081190000}"/>
    <cellStyle name="Normal 16 3 3 6" xfId="6500" xr:uid="{00000000-0005-0000-0000-000082190000}"/>
    <cellStyle name="Normal 16 3 3 7" xfId="6501" xr:uid="{00000000-0005-0000-0000-000083190000}"/>
    <cellStyle name="Normal 16 3 3 8" xfId="6502" xr:uid="{00000000-0005-0000-0000-000084190000}"/>
    <cellStyle name="Normal 16 3 3 9" xfId="6503" xr:uid="{00000000-0005-0000-0000-000085190000}"/>
    <cellStyle name="Normal 16 3 4" xfId="6504" xr:uid="{00000000-0005-0000-0000-000086190000}"/>
    <cellStyle name="Normal 16 3 5" xfId="6505" xr:uid="{00000000-0005-0000-0000-000087190000}"/>
    <cellStyle name="Normal 16 3 6" xfId="6506" xr:uid="{00000000-0005-0000-0000-000088190000}"/>
    <cellStyle name="Normal 16 3 7" xfId="6507" xr:uid="{00000000-0005-0000-0000-000089190000}"/>
    <cellStyle name="Normal 16 3 8" xfId="6508" xr:uid="{00000000-0005-0000-0000-00008A190000}"/>
    <cellStyle name="Normal 16 3 9" xfId="6509" xr:uid="{00000000-0005-0000-0000-00008B190000}"/>
    <cellStyle name="Normal 16 30" xfId="6510" xr:uid="{00000000-0005-0000-0000-00008C190000}"/>
    <cellStyle name="Normal 16 31" xfId="6511" xr:uid="{00000000-0005-0000-0000-00008D190000}"/>
    <cellStyle name="Normal 16 32" xfId="6512" xr:uid="{00000000-0005-0000-0000-00008E190000}"/>
    <cellStyle name="Normal 16 33" xfId="6513" xr:uid="{00000000-0005-0000-0000-00008F190000}"/>
    <cellStyle name="Normal 16 34" xfId="6514" xr:uid="{00000000-0005-0000-0000-000090190000}"/>
    <cellStyle name="Normal 16 35" xfId="6515" xr:uid="{00000000-0005-0000-0000-000091190000}"/>
    <cellStyle name="Normal 16 36" xfId="6516" xr:uid="{00000000-0005-0000-0000-000092190000}"/>
    <cellStyle name="Normal 16 37" xfId="6517" xr:uid="{00000000-0005-0000-0000-000093190000}"/>
    <cellStyle name="Normal 16 38" xfId="6518" xr:uid="{00000000-0005-0000-0000-000094190000}"/>
    <cellStyle name="Normal 16 39" xfId="6519" xr:uid="{00000000-0005-0000-0000-000095190000}"/>
    <cellStyle name="Normal 16 4" xfId="6520" xr:uid="{00000000-0005-0000-0000-000096190000}"/>
    <cellStyle name="Normal 16 4 10" xfId="6521" xr:uid="{00000000-0005-0000-0000-000097190000}"/>
    <cellStyle name="Normal 16 4 11" xfId="6522" xr:uid="{00000000-0005-0000-0000-000098190000}"/>
    <cellStyle name="Normal 16 4 12" xfId="6523" xr:uid="{00000000-0005-0000-0000-000099190000}"/>
    <cellStyle name="Normal 16 4 13" xfId="6524" xr:uid="{00000000-0005-0000-0000-00009A190000}"/>
    <cellStyle name="Normal 16 4 2" xfId="6525" xr:uid="{00000000-0005-0000-0000-00009B190000}"/>
    <cellStyle name="Normal 16 4 3" xfId="6526" xr:uid="{00000000-0005-0000-0000-00009C190000}"/>
    <cellStyle name="Normal 16 4 4" xfId="6527" xr:uid="{00000000-0005-0000-0000-00009D190000}"/>
    <cellStyle name="Normal 16 4 5" xfId="6528" xr:uid="{00000000-0005-0000-0000-00009E190000}"/>
    <cellStyle name="Normal 16 4 6" xfId="6529" xr:uid="{00000000-0005-0000-0000-00009F190000}"/>
    <cellStyle name="Normal 16 4 7" xfId="6530" xr:uid="{00000000-0005-0000-0000-0000A0190000}"/>
    <cellStyle name="Normal 16 4 8" xfId="6531" xr:uid="{00000000-0005-0000-0000-0000A1190000}"/>
    <cellStyle name="Normal 16 4 9" xfId="6532" xr:uid="{00000000-0005-0000-0000-0000A2190000}"/>
    <cellStyle name="Normal 16 40" xfId="6533" xr:uid="{00000000-0005-0000-0000-0000A3190000}"/>
    <cellStyle name="Normal 16 41" xfId="6534" xr:uid="{00000000-0005-0000-0000-0000A4190000}"/>
    <cellStyle name="Normal 16 42" xfId="6535" xr:uid="{00000000-0005-0000-0000-0000A5190000}"/>
    <cellStyle name="Normal 16 43" xfId="6536" xr:uid="{00000000-0005-0000-0000-0000A6190000}"/>
    <cellStyle name="Normal 16 44" xfId="6537" xr:uid="{00000000-0005-0000-0000-0000A7190000}"/>
    <cellStyle name="Normal 16 45" xfId="6538" xr:uid="{00000000-0005-0000-0000-0000A8190000}"/>
    <cellStyle name="Normal 16 46" xfId="6539" xr:uid="{00000000-0005-0000-0000-0000A9190000}"/>
    <cellStyle name="Normal 16 47" xfId="6540" xr:uid="{00000000-0005-0000-0000-0000AA190000}"/>
    <cellStyle name="Normal 16 48" xfId="6541" xr:uid="{00000000-0005-0000-0000-0000AB190000}"/>
    <cellStyle name="Normal 16 49" xfId="6542" xr:uid="{00000000-0005-0000-0000-0000AC190000}"/>
    <cellStyle name="Normal 16 5" xfId="6543" xr:uid="{00000000-0005-0000-0000-0000AD190000}"/>
    <cellStyle name="Normal 16 5 2" xfId="6544" xr:uid="{00000000-0005-0000-0000-0000AE190000}"/>
    <cellStyle name="Normal 16 50" xfId="6545" xr:uid="{00000000-0005-0000-0000-0000AF190000}"/>
    <cellStyle name="Normal 16 51" xfId="6546" xr:uid="{00000000-0005-0000-0000-0000B0190000}"/>
    <cellStyle name="Normal 16 52" xfId="6547" xr:uid="{00000000-0005-0000-0000-0000B1190000}"/>
    <cellStyle name="Normal 16 53" xfId="6548" xr:uid="{00000000-0005-0000-0000-0000B2190000}"/>
    <cellStyle name="Normal 16 54" xfId="6549" xr:uid="{00000000-0005-0000-0000-0000B3190000}"/>
    <cellStyle name="Normal 16 55" xfId="6550" xr:uid="{00000000-0005-0000-0000-0000B4190000}"/>
    <cellStyle name="Normal 16 56" xfId="6551" xr:uid="{00000000-0005-0000-0000-0000B5190000}"/>
    <cellStyle name="Normal 16 57" xfId="6552" xr:uid="{00000000-0005-0000-0000-0000B6190000}"/>
    <cellStyle name="Normal 16 58" xfId="6553" xr:uid="{00000000-0005-0000-0000-0000B7190000}"/>
    <cellStyle name="Normal 16 59" xfId="6554" xr:uid="{00000000-0005-0000-0000-0000B8190000}"/>
    <cellStyle name="Normal 16 6" xfId="6555" xr:uid="{00000000-0005-0000-0000-0000B9190000}"/>
    <cellStyle name="Normal 16 6 2" xfId="6556" xr:uid="{00000000-0005-0000-0000-0000BA190000}"/>
    <cellStyle name="Normal 16 60" xfId="6557" xr:uid="{00000000-0005-0000-0000-0000BB190000}"/>
    <cellStyle name="Normal 16 61" xfId="6558" xr:uid="{00000000-0005-0000-0000-0000BC190000}"/>
    <cellStyle name="Normal 16 62" xfId="6559" xr:uid="{00000000-0005-0000-0000-0000BD190000}"/>
    <cellStyle name="Normal 16 63" xfId="6560" xr:uid="{00000000-0005-0000-0000-0000BE190000}"/>
    <cellStyle name="Normal 16 64" xfId="6561" xr:uid="{00000000-0005-0000-0000-0000BF190000}"/>
    <cellStyle name="Normal 16 65" xfId="6562" xr:uid="{00000000-0005-0000-0000-0000C0190000}"/>
    <cellStyle name="Normal 16 66" xfId="6563" xr:uid="{00000000-0005-0000-0000-0000C1190000}"/>
    <cellStyle name="Normal 16 67" xfId="6564" xr:uid="{00000000-0005-0000-0000-0000C2190000}"/>
    <cellStyle name="Normal 16 68" xfId="6565" xr:uid="{00000000-0005-0000-0000-0000C3190000}"/>
    <cellStyle name="Normal 16 69" xfId="6566" xr:uid="{00000000-0005-0000-0000-0000C4190000}"/>
    <cellStyle name="Normal 16 7" xfId="6567" xr:uid="{00000000-0005-0000-0000-0000C5190000}"/>
    <cellStyle name="Normal 16 7 2" xfId="6568" xr:uid="{00000000-0005-0000-0000-0000C6190000}"/>
    <cellStyle name="Normal 16 70" xfId="6569" xr:uid="{00000000-0005-0000-0000-0000C7190000}"/>
    <cellStyle name="Normal 16 71" xfId="6570" xr:uid="{00000000-0005-0000-0000-0000C8190000}"/>
    <cellStyle name="Normal 16 8" xfId="6571" xr:uid="{00000000-0005-0000-0000-0000C9190000}"/>
    <cellStyle name="Normal 16 8 2" xfId="6572" xr:uid="{00000000-0005-0000-0000-0000CA190000}"/>
    <cellStyle name="Normal 16 9" xfId="6573" xr:uid="{00000000-0005-0000-0000-0000CB190000}"/>
    <cellStyle name="Normal 16 9 2" xfId="6574" xr:uid="{00000000-0005-0000-0000-0000CC190000}"/>
    <cellStyle name="Normal 16_4 28 1_Asst_Health_Crit_AllTO_RIIO_20110714pm" xfId="6575" xr:uid="{00000000-0005-0000-0000-0000CD190000}"/>
    <cellStyle name="Normal 17" xfId="6576" xr:uid="{00000000-0005-0000-0000-0000CE190000}"/>
    <cellStyle name="Normal 17 10" xfId="6577" xr:uid="{00000000-0005-0000-0000-0000CF190000}"/>
    <cellStyle name="Normal 17 10 2" xfId="6578" xr:uid="{00000000-0005-0000-0000-0000D0190000}"/>
    <cellStyle name="Normal 17 11" xfId="6579" xr:uid="{00000000-0005-0000-0000-0000D1190000}"/>
    <cellStyle name="Normal 17 11 2" xfId="6580" xr:uid="{00000000-0005-0000-0000-0000D2190000}"/>
    <cellStyle name="Normal 17 12" xfId="6581" xr:uid="{00000000-0005-0000-0000-0000D3190000}"/>
    <cellStyle name="Normal 17 12 2" xfId="6582" xr:uid="{00000000-0005-0000-0000-0000D4190000}"/>
    <cellStyle name="Normal 17 13" xfId="6583" xr:uid="{00000000-0005-0000-0000-0000D5190000}"/>
    <cellStyle name="Normal 17 13 2" xfId="6584" xr:uid="{00000000-0005-0000-0000-0000D6190000}"/>
    <cellStyle name="Normal 17 14" xfId="6585" xr:uid="{00000000-0005-0000-0000-0000D7190000}"/>
    <cellStyle name="Normal 17 14 2" xfId="6586" xr:uid="{00000000-0005-0000-0000-0000D8190000}"/>
    <cellStyle name="Normal 17 15" xfId="6587" xr:uid="{00000000-0005-0000-0000-0000D9190000}"/>
    <cellStyle name="Normal 17 15 2" xfId="6588" xr:uid="{00000000-0005-0000-0000-0000DA190000}"/>
    <cellStyle name="Normal 17 16" xfId="6589" xr:uid="{00000000-0005-0000-0000-0000DB190000}"/>
    <cellStyle name="Normal 17 16 2" xfId="6590" xr:uid="{00000000-0005-0000-0000-0000DC190000}"/>
    <cellStyle name="Normal 17 17" xfId="6591" xr:uid="{00000000-0005-0000-0000-0000DD190000}"/>
    <cellStyle name="Normal 17 17 2" xfId="6592" xr:uid="{00000000-0005-0000-0000-0000DE190000}"/>
    <cellStyle name="Normal 17 18" xfId="6593" xr:uid="{00000000-0005-0000-0000-0000DF190000}"/>
    <cellStyle name="Normal 17 18 2" xfId="6594" xr:uid="{00000000-0005-0000-0000-0000E0190000}"/>
    <cellStyle name="Normal 17 19" xfId="6595" xr:uid="{00000000-0005-0000-0000-0000E1190000}"/>
    <cellStyle name="Normal 17 19 2" xfId="6596" xr:uid="{00000000-0005-0000-0000-0000E2190000}"/>
    <cellStyle name="Normal 17 2" xfId="6597" xr:uid="{00000000-0005-0000-0000-0000E3190000}"/>
    <cellStyle name="Normal 17 2 10" xfId="6598" xr:uid="{00000000-0005-0000-0000-0000E4190000}"/>
    <cellStyle name="Normal 17 2 11" xfId="6599" xr:uid="{00000000-0005-0000-0000-0000E5190000}"/>
    <cellStyle name="Normal 17 2 12" xfId="6600" xr:uid="{00000000-0005-0000-0000-0000E6190000}"/>
    <cellStyle name="Normal 17 2 13" xfId="6601" xr:uid="{00000000-0005-0000-0000-0000E7190000}"/>
    <cellStyle name="Normal 17 2 2" xfId="6602" xr:uid="{00000000-0005-0000-0000-0000E8190000}"/>
    <cellStyle name="Normal 17 2 3" xfId="6603" xr:uid="{00000000-0005-0000-0000-0000E9190000}"/>
    <cellStyle name="Normal 17 2 4" xfId="6604" xr:uid="{00000000-0005-0000-0000-0000EA190000}"/>
    <cellStyle name="Normal 17 2 5" xfId="6605" xr:uid="{00000000-0005-0000-0000-0000EB190000}"/>
    <cellStyle name="Normal 17 2 6" xfId="6606" xr:uid="{00000000-0005-0000-0000-0000EC190000}"/>
    <cellStyle name="Normal 17 2 7" xfId="6607" xr:uid="{00000000-0005-0000-0000-0000ED190000}"/>
    <cellStyle name="Normal 17 2 8" xfId="6608" xr:uid="{00000000-0005-0000-0000-0000EE190000}"/>
    <cellStyle name="Normal 17 2 9" xfId="6609" xr:uid="{00000000-0005-0000-0000-0000EF190000}"/>
    <cellStyle name="Normal 17 20" xfId="6610" xr:uid="{00000000-0005-0000-0000-0000F0190000}"/>
    <cellStyle name="Normal 17 20 2" xfId="6611" xr:uid="{00000000-0005-0000-0000-0000F1190000}"/>
    <cellStyle name="Normal 17 21" xfId="6612" xr:uid="{00000000-0005-0000-0000-0000F2190000}"/>
    <cellStyle name="Normal 17 21 2" xfId="6613" xr:uid="{00000000-0005-0000-0000-0000F3190000}"/>
    <cellStyle name="Normal 17 22" xfId="6614" xr:uid="{00000000-0005-0000-0000-0000F4190000}"/>
    <cellStyle name="Normal 17 22 2" xfId="6615" xr:uid="{00000000-0005-0000-0000-0000F5190000}"/>
    <cellStyle name="Normal 17 23" xfId="6616" xr:uid="{00000000-0005-0000-0000-0000F6190000}"/>
    <cellStyle name="Normal 17 24" xfId="6617" xr:uid="{00000000-0005-0000-0000-0000F7190000}"/>
    <cellStyle name="Normal 17 25" xfId="6618" xr:uid="{00000000-0005-0000-0000-0000F8190000}"/>
    <cellStyle name="Normal 17 26" xfId="6619" xr:uid="{00000000-0005-0000-0000-0000F9190000}"/>
    <cellStyle name="Normal 17 27" xfId="6620" xr:uid="{00000000-0005-0000-0000-0000FA190000}"/>
    <cellStyle name="Normal 17 28" xfId="6621" xr:uid="{00000000-0005-0000-0000-0000FB190000}"/>
    <cellStyle name="Normal 17 29" xfId="6622" xr:uid="{00000000-0005-0000-0000-0000FC190000}"/>
    <cellStyle name="Normal 17 3" xfId="6623" xr:uid="{00000000-0005-0000-0000-0000FD190000}"/>
    <cellStyle name="Normal 17 3 2" xfId="6624" xr:uid="{00000000-0005-0000-0000-0000FE190000}"/>
    <cellStyle name="Normal 17 3 3" xfId="48244" xr:uid="{00000000-0005-0000-0000-0000FF190000}"/>
    <cellStyle name="Normal 17 3 4" xfId="48245" xr:uid="{00000000-0005-0000-0000-0000001A0000}"/>
    <cellStyle name="Normal 17 30" xfId="6625" xr:uid="{00000000-0005-0000-0000-0000011A0000}"/>
    <cellStyle name="Normal 17 31" xfId="6626" xr:uid="{00000000-0005-0000-0000-0000021A0000}"/>
    <cellStyle name="Normal 17 32" xfId="6627" xr:uid="{00000000-0005-0000-0000-0000031A0000}"/>
    <cellStyle name="Normal 17 33" xfId="6628" xr:uid="{00000000-0005-0000-0000-0000041A0000}"/>
    <cellStyle name="Normal 17 34" xfId="6629" xr:uid="{00000000-0005-0000-0000-0000051A0000}"/>
    <cellStyle name="Normal 17 35" xfId="6630" xr:uid="{00000000-0005-0000-0000-0000061A0000}"/>
    <cellStyle name="Normal 17 36" xfId="6631" xr:uid="{00000000-0005-0000-0000-0000071A0000}"/>
    <cellStyle name="Normal 17 37" xfId="6632" xr:uid="{00000000-0005-0000-0000-0000081A0000}"/>
    <cellStyle name="Normal 17 38" xfId="6633" xr:uid="{00000000-0005-0000-0000-0000091A0000}"/>
    <cellStyle name="Normal 17 39" xfId="6634" xr:uid="{00000000-0005-0000-0000-00000A1A0000}"/>
    <cellStyle name="Normal 17 4" xfId="6635" xr:uid="{00000000-0005-0000-0000-00000B1A0000}"/>
    <cellStyle name="Normal 17 4 2" xfId="6636" xr:uid="{00000000-0005-0000-0000-00000C1A0000}"/>
    <cellStyle name="Normal 17 40" xfId="6637" xr:uid="{00000000-0005-0000-0000-00000D1A0000}"/>
    <cellStyle name="Normal 17 41" xfId="6638" xr:uid="{00000000-0005-0000-0000-00000E1A0000}"/>
    <cellStyle name="Normal 17 42" xfId="6639" xr:uid="{00000000-0005-0000-0000-00000F1A0000}"/>
    <cellStyle name="Normal 17 43" xfId="6640" xr:uid="{00000000-0005-0000-0000-0000101A0000}"/>
    <cellStyle name="Normal 17 44" xfId="6641" xr:uid="{00000000-0005-0000-0000-0000111A0000}"/>
    <cellStyle name="Normal 17 45" xfId="6642" xr:uid="{00000000-0005-0000-0000-0000121A0000}"/>
    <cellStyle name="Normal 17 46" xfId="6643" xr:uid="{00000000-0005-0000-0000-0000131A0000}"/>
    <cellStyle name="Normal 17 47" xfId="6644" xr:uid="{00000000-0005-0000-0000-0000141A0000}"/>
    <cellStyle name="Normal 17 48" xfId="6645" xr:uid="{00000000-0005-0000-0000-0000151A0000}"/>
    <cellStyle name="Normal 17 49" xfId="6646" xr:uid="{00000000-0005-0000-0000-0000161A0000}"/>
    <cellStyle name="Normal 17 5" xfId="6647" xr:uid="{00000000-0005-0000-0000-0000171A0000}"/>
    <cellStyle name="Normal 17 5 2" xfId="6648" xr:uid="{00000000-0005-0000-0000-0000181A0000}"/>
    <cellStyle name="Normal 17 50" xfId="6649" xr:uid="{00000000-0005-0000-0000-0000191A0000}"/>
    <cellStyle name="Normal 17 51" xfId="6650" xr:uid="{00000000-0005-0000-0000-00001A1A0000}"/>
    <cellStyle name="Normal 17 52" xfId="6651" xr:uid="{00000000-0005-0000-0000-00001B1A0000}"/>
    <cellStyle name="Normal 17 53" xfId="6652" xr:uid="{00000000-0005-0000-0000-00001C1A0000}"/>
    <cellStyle name="Normal 17 54" xfId="6653" xr:uid="{00000000-0005-0000-0000-00001D1A0000}"/>
    <cellStyle name="Normal 17 55" xfId="6654" xr:uid="{00000000-0005-0000-0000-00001E1A0000}"/>
    <cellStyle name="Normal 17 56" xfId="6655" xr:uid="{00000000-0005-0000-0000-00001F1A0000}"/>
    <cellStyle name="Normal 17 57" xfId="6656" xr:uid="{00000000-0005-0000-0000-0000201A0000}"/>
    <cellStyle name="Normal 17 58" xfId="6657" xr:uid="{00000000-0005-0000-0000-0000211A0000}"/>
    <cellStyle name="Normal 17 59" xfId="6658" xr:uid="{00000000-0005-0000-0000-0000221A0000}"/>
    <cellStyle name="Normal 17 6" xfId="6659" xr:uid="{00000000-0005-0000-0000-0000231A0000}"/>
    <cellStyle name="Normal 17 6 2" xfId="6660" xr:uid="{00000000-0005-0000-0000-0000241A0000}"/>
    <cellStyle name="Normal 17 60" xfId="6661" xr:uid="{00000000-0005-0000-0000-0000251A0000}"/>
    <cellStyle name="Normal 17 61" xfId="6662" xr:uid="{00000000-0005-0000-0000-0000261A0000}"/>
    <cellStyle name="Normal 17 62" xfId="6663" xr:uid="{00000000-0005-0000-0000-0000271A0000}"/>
    <cellStyle name="Normal 17 63" xfId="6664" xr:uid="{00000000-0005-0000-0000-0000281A0000}"/>
    <cellStyle name="Normal 17 64" xfId="6665" xr:uid="{00000000-0005-0000-0000-0000291A0000}"/>
    <cellStyle name="Normal 17 65" xfId="6666" xr:uid="{00000000-0005-0000-0000-00002A1A0000}"/>
    <cellStyle name="Normal 17 66" xfId="6667" xr:uid="{00000000-0005-0000-0000-00002B1A0000}"/>
    <cellStyle name="Normal 17 67" xfId="6668" xr:uid="{00000000-0005-0000-0000-00002C1A0000}"/>
    <cellStyle name="Normal 17 68" xfId="6669" xr:uid="{00000000-0005-0000-0000-00002D1A0000}"/>
    <cellStyle name="Normal 17 69" xfId="6670" xr:uid="{00000000-0005-0000-0000-00002E1A0000}"/>
    <cellStyle name="Normal 17 7" xfId="6671" xr:uid="{00000000-0005-0000-0000-00002F1A0000}"/>
    <cellStyle name="Normal 17 7 2" xfId="6672" xr:uid="{00000000-0005-0000-0000-0000301A0000}"/>
    <cellStyle name="Normal 17 70" xfId="6673" xr:uid="{00000000-0005-0000-0000-0000311A0000}"/>
    <cellStyle name="Normal 17 8" xfId="6674" xr:uid="{00000000-0005-0000-0000-0000321A0000}"/>
    <cellStyle name="Normal 17 8 2" xfId="6675" xr:uid="{00000000-0005-0000-0000-0000331A0000}"/>
    <cellStyle name="Normal 17 9" xfId="6676" xr:uid="{00000000-0005-0000-0000-0000341A0000}"/>
    <cellStyle name="Normal 17 9 2" xfId="6677" xr:uid="{00000000-0005-0000-0000-0000351A0000}"/>
    <cellStyle name="Normal 18" xfId="6678" xr:uid="{00000000-0005-0000-0000-0000361A0000}"/>
    <cellStyle name="Normal 18 10" xfId="6679" xr:uid="{00000000-0005-0000-0000-0000371A0000}"/>
    <cellStyle name="Normal 18 10 2" xfId="6680" xr:uid="{00000000-0005-0000-0000-0000381A0000}"/>
    <cellStyle name="Normal 18 11" xfId="6681" xr:uid="{00000000-0005-0000-0000-0000391A0000}"/>
    <cellStyle name="Normal 18 11 2" xfId="6682" xr:uid="{00000000-0005-0000-0000-00003A1A0000}"/>
    <cellStyle name="Normal 18 12" xfId="6683" xr:uid="{00000000-0005-0000-0000-00003B1A0000}"/>
    <cellStyle name="Normal 18 12 2" xfId="6684" xr:uid="{00000000-0005-0000-0000-00003C1A0000}"/>
    <cellStyle name="Normal 18 13" xfId="6685" xr:uid="{00000000-0005-0000-0000-00003D1A0000}"/>
    <cellStyle name="Normal 18 13 2" xfId="6686" xr:uid="{00000000-0005-0000-0000-00003E1A0000}"/>
    <cellStyle name="Normal 18 14" xfId="6687" xr:uid="{00000000-0005-0000-0000-00003F1A0000}"/>
    <cellStyle name="Normal 18 14 2" xfId="6688" xr:uid="{00000000-0005-0000-0000-0000401A0000}"/>
    <cellStyle name="Normal 18 15" xfId="6689" xr:uid="{00000000-0005-0000-0000-0000411A0000}"/>
    <cellStyle name="Normal 18 15 2" xfId="6690" xr:uid="{00000000-0005-0000-0000-0000421A0000}"/>
    <cellStyle name="Normal 18 16" xfId="6691" xr:uid="{00000000-0005-0000-0000-0000431A0000}"/>
    <cellStyle name="Normal 18 16 2" xfId="6692" xr:uid="{00000000-0005-0000-0000-0000441A0000}"/>
    <cellStyle name="Normal 18 17" xfId="6693" xr:uid="{00000000-0005-0000-0000-0000451A0000}"/>
    <cellStyle name="Normal 18 17 2" xfId="6694" xr:uid="{00000000-0005-0000-0000-0000461A0000}"/>
    <cellStyle name="Normal 18 18" xfId="6695" xr:uid="{00000000-0005-0000-0000-0000471A0000}"/>
    <cellStyle name="Normal 18 18 2" xfId="6696" xr:uid="{00000000-0005-0000-0000-0000481A0000}"/>
    <cellStyle name="Normal 18 19" xfId="6697" xr:uid="{00000000-0005-0000-0000-0000491A0000}"/>
    <cellStyle name="Normal 18 19 2" xfId="6698" xr:uid="{00000000-0005-0000-0000-00004A1A0000}"/>
    <cellStyle name="Normal 18 2" xfId="6699" xr:uid="{00000000-0005-0000-0000-00004B1A0000}"/>
    <cellStyle name="Normal 18 2 10" xfId="6700" xr:uid="{00000000-0005-0000-0000-00004C1A0000}"/>
    <cellStyle name="Normal 18 2 11" xfId="6701" xr:uid="{00000000-0005-0000-0000-00004D1A0000}"/>
    <cellStyle name="Normal 18 2 12" xfId="6702" xr:uid="{00000000-0005-0000-0000-00004E1A0000}"/>
    <cellStyle name="Normal 18 2 13" xfId="6703" xr:uid="{00000000-0005-0000-0000-00004F1A0000}"/>
    <cellStyle name="Normal 18 2 2" xfId="6704" xr:uid="{00000000-0005-0000-0000-0000501A0000}"/>
    <cellStyle name="Normal 18 2 3" xfId="6705" xr:uid="{00000000-0005-0000-0000-0000511A0000}"/>
    <cellStyle name="Normal 18 2 4" xfId="6706" xr:uid="{00000000-0005-0000-0000-0000521A0000}"/>
    <cellStyle name="Normal 18 2 5" xfId="6707" xr:uid="{00000000-0005-0000-0000-0000531A0000}"/>
    <cellStyle name="Normal 18 2 6" xfId="6708" xr:uid="{00000000-0005-0000-0000-0000541A0000}"/>
    <cellStyle name="Normal 18 2 7" xfId="6709" xr:uid="{00000000-0005-0000-0000-0000551A0000}"/>
    <cellStyle name="Normal 18 2 8" xfId="6710" xr:uid="{00000000-0005-0000-0000-0000561A0000}"/>
    <cellStyle name="Normal 18 2 9" xfId="6711" xr:uid="{00000000-0005-0000-0000-0000571A0000}"/>
    <cellStyle name="Normal 18 20" xfId="6712" xr:uid="{00000000-0005-0000-0000-0000581A0000}"/>
    <cellStyle name="Normal 18 20 2" xfId="6713" xr:uid="{00000000-0005-0000-0000-0000591A0000}"/>
    <cellStyle name="Normal 18 21" xfId="6714" xr:uid="{00000000-0005-0000-0000-00005A1A0000}"/>
    <cellStyle name="Normal 18 21 2" xfId="6715" xr:uid="{00000000-0005-0000-0000-00005B1A0000}"/>
    <cellStyle name="Normal 18 22" xfId="6716" xr:uid="{00000000-0005-0000-0000-00005C1A0000}"/>
    <cellStyle name="Normal 18 22 2" xfId="6717" xr:uid="{00000000-0005-0000-0000-00005D1A0000}"/>
    <cellStyle name="Normal 18 23" xfId="6718" xr:uid="{00000000-0005-0000-0000-00005E1A0000}"/>
    <cellStyle name="Normal 18 24" xfId="6719" xr:uid="{00000000-0005-0000-0000-00005F1A0000}"/>
    <cellStyle name="Normal 18 25" xfId="6720" xr:uid="{00000000-0005-0000-0000-0000601A0000}"/>
    <cellStyle name="Normal 18 26" xfId="6721" xr:uid="{00000000-0005-0000-0000-0000611A0000}"/>
    <cellStyle name="Normal 18 27" xfId="6722" xr:uid="{00000000-0005-0000-0000-0000621A0000}"/>
    <cellStyle name="Normal 18 28" xfId="6723" xr:uid="{00000000-0005-0000-0000-0000631A0000}"/>
    <cellStyle name="Normal 18 29" xfId="6724" xr:uid="{00000000-0005-0000-0000-0000641A0000}"/>
    <cellStyle name="Normal 18 3" xfId="6725" xr:uid="{00000000-0005-0000-0000-0000651A0000}"/>
    <cellStyle name="Normal 18 3 10" xfId="6726" xr:uid="{00000000-0005-0000-0000-0000661A0000}"/>
    <cellStyle name="Normal 18 3 11" xfId="6727" xr:uid="{00000000-0005-0000-0000-0000671A0000}"/>
    <cellStyle name="Normal 18 3 12" xfId="6728" xr:uid="{00000000-0005-0000-0000-0000681A0000}"/>
    <cellStyle name="Normal 18 3 13" xfId="6729" xr:uid="{00000000-0005-0000-0000-0000691A0000}"/>
    <cellStyle name="Normal 18 3 2" xfId="6730" xr:uid="{00000000-0005-0000-0000-00006A1A0000}"/>
    <cellStyle name="Normal 18 3 3" xfId="6731" xr:uid="{00000000-0005-0000-0000-00006B1A0000}"/>
    <cellStyle name="Normal 18 3 4" xfId="6732" xr:uid="{00000000-0005-0000-0000-00006C1A0000}"/>
    <cellStyle name="Normal 18 3 5" xfId="6733" xr:uid="{00000000-0005-0000-0000-00006D1A0000}"/>
    <cellStyle name="Normal 18 3 6" xfId="6734" xr:uid="{00000000-0005-0000-0000-00006E1A0000}"/>
    <cellStyle name="Normal 18 3 7" xfId="6735" xr:uid="{00000000-0005-0000-0000-00006F1A0000}"/>
    <cellStyle name="Normal 18 3 8" xfId="6736" xr:uid="{00000000-0005-0000-0000-0000701A0000}"/>
    <cellStyle name="Normal 18 3 9" xfId="6737" xr:uid="{00000000-0005-0000-0000-0000711A0000}"/>
    <cellStyle name="Normal 18 30" xfId="6738" xr:uid="{00000000-0005-0000-0000-0000721A0000}"/>
    <cellStyle name="Normal 18 31" xfId="6739" xr:uid="{00000000-0005-0000-0000-0000731A0000}"/>
    <cellStyle name="Normal 18 32" xfId="6740" xr:uid="{00000000-0005-0000-0000-0000741A0000}"/>
    <cellStyle name="Normal 18 33" xfId="6741" xr:uid="{00000000-0005-0000-0000-0000751A0000}"/>
    <cellStyle name="Normal 18 34" xfId="6742" xr:uid="{00000000-0005-0000-0000-0000761A0000}"/>
    <cellStyle name="Normal 18 35" xfId="6743" xr:uid="{00000000-0005-0000-0000-0000771A0000}"/>
    <cellStyle name="Normal 18 36" xfId="6744" xr:uid="{00000000-0005-0000-0000-0000781A0000}"/>
    <cellStyle name="Normal 18 37" xfId="6745" xr:uid="{00000000-0005-0000-0000-0000791A0000}"/>
    <cellStyle name="Normal 18 38" xfId="6746" xr:uid="{00000000-0005-0000-0000-00007A1A0000}"/>
    <cellStyle name="Normal 18 39" xfId="6747" xr:uid="{00000000-0005-0000-0000-00007B1A0000}"/>
    <cellStyle name="Normal 18 4" xfId="6748" xr:uid="{00000000-0005-0000-0000-00007C1A0000}"/>
    <cellStyle name="Normal 18 4 2" xfId="6749" xr:uid="{00000000-0005-0000-0000-00007D1A0000}"/>
    <cellStyle name="Normal 18 4 3" xfId="6750" xr:uid="{00000000-0005-0000-0000-00007E1A0000}"/>
    <cellStyle name="Normal 18 40" xfId="6751" xr:uid="{00000000-0005-0000-0000-00007F1A0000}"/>
    <cellStyle name="Normal 18 41" xfId="6752" xr:uid="{00000000-0005-0000-0000-0000801A0000}"/>
    <cellStyle name="Normal 18 42" xfId="6753" xr:uid="{00000000-0005-0000-0000-0000811A0000}"/>
    <cellStyle name="Normal 18 43" xfId="6754" xr:uid="{00000000-0005-0000-0000-0000821A0000}"/>
    <cellStyle name="Normal 18 44" xfId="6755" xr:uid="{00000000-0005-0000-0000-0000831A0000}"/>
    <cellStyle name="Normal 18 45" xfId="6756" xr:uid="{00000000-0005-0000-0000-0000841A0000}"/>
    <cellStyle name="Normal 18 46" xfId="6757" xr:uid="{00000000-0005-0000-0000-0000851A0000}"/>
    <cellStyle name="Normal 18 47" xfId="6758" xr:uid="{00000000-0005-0000-0000-0000861A0000}"/>
    <cellStyle name="Normal 18 48" xfId="6759" xr:uid="{00000000-0005-0000-0000-0000871A0000}"/>
    <cellStyle name="Normal 18 49" xfId="6760" xr:uid="{00000000-0005-0000-0000-0000881A0000}"/>
    <cellStyle name="Normal 18 5" xfId="6761" xr:uid="{00000000-0005-0000-0000-0000891A0000}"/>
    <cellStyle name="Normal 18 5 2" xfId="6762" xr:uid="{00000000-0005-0000-0000-00008A1A0000}"/>
    <cellStyle name="Normal 18 5 3" xfId="6763" xr:uid="{00000000-0005-0000-0000-00008B1A0000}"/>
    <cellStyle name="Normal 18 50" xfId="6764" xr:uid="{00000000-0005-0000-0000-00008C1A0000}"/>
    <cellStyle name="Normal 18 51" xfId="6765" xr:uid="{00000000-0005-0000-0000-00008D1A0000}"/>
    <cellStyle name="Normal 18 52" xfId="6766" xr:uid="{00000000-0005-0000-0000-00008E1A0000}"/>
    <cellStyle name="Normal 18 53" xfId="6767" xr:uid="{00000000-0005-0000-0000-00008F1A0000}"/>
    <cellStyle name="Normal 18 54" xfId="6768" xr:uid="{00000000-0005-0000-0000-0000901A0000}"/>
    <cellStyle name="Normal 18 55" xfId="6769" xr:uid="{00000000-0005-0000-0000-0000911A0000}"/>
    <cellStyle name="Normal 18 56" xfId="6770" xr:uid="{00000000-0005-0000-0000-0000921A0000}"/>
    <cellStyle name="Normal 18 57" xfId="6771" xr:uid="{00000000-0005-0000-0000-0000931A0000}"/>
    <cellStyle name="Normal 18 58" xfId="6772" xr:uid="{00000000-0005-0000-0000-0000941A0000}"/>
    <cellStyle name="Normal 18 59" xfId="6773" xr:uid="{00000000-0005-0000-0000-0000951A0000}"/>
    <cellStyle name="Normal 18 6" xfId="6774" xr:uid="{00000000-0005-0000-0000-0000961A0000}"/>
    <cellStyle name="Normal 18 6 2" xfId="6775" xr:uid="{00000000-0005-0000-0000-0000971A0000}"/>
    <cellStyle name="Normal 18 60" xfId="6776" xr:uid="{00000000-0005-0000-0000-0000981A0000}"/>
    <cellStyle name="Normal 18 61" xfId="6777" xr:uid="{00000000-0005-0000-0000-0000991A0000}"/>
    <cellStyle name="Normal 18 62" xfId="6778" xr:uid="{00000000-0005-0000-0000-00009A1A0000}"/>
    <cellStyle name="Normal 18 63" xfId="6779" xr:uid="{00000000-0005-0000-0000-00009B1A0000}"/>
    <cellStyle name="Normal 18 64" xfId="6780" xr:uid="{00000000-0005-0000-0000-00009C1A0000}"/>
    <cellStyle name="Normal 18 65" xfId="6781" xr:uid="{00000000-0005-0000-0000-00009D1A0000}"/>
    <cellStyle name="Normal 18 66" xfId="6782" xr:uid="{00000000-0005-0000-0000-00009E1A0000}"/>
    <cellStyle name="Normal 18 67" xfId="6783" xr:uid="{00000000-0005-0000-0000-00009F1A0000}"/>
    <cellStyle name="Normal 18 68" xfId="6784" xr:uid="{00000000-0005-0000-0000-0000A01A0000}"/>
    <cellStyle name="Normal 18 69" xfId="6785" xr:uid="{00000000-0005-0000-0000-0000A11A0000}"/>
    <cellStyle name="Normal 18 7" xfId="6786" xr:uid="{00000000-0005-0000-0000-0000A21A0000}"/>
    <cellStyle name="Normal 18 7 2" xfId="6787" xr:uid="{00000000-0005-0000-0000-0000A31A0000}"/>
    <cellStyle name="Normal 18 70" xfId="6788" xr:uid="{00000000-0005-0000-0000-0000A41A0000}"/>
    <cellStyle name="Normal 18 8" xfId="6789" xr:uid="{00000000-0005-0000-0000-0000A51A0000}"/>
    <cellStyle name="Normal 18 8 2" xfId="6790" xr:uid="{00000000-0005-0000-0000-0000A61A0000}"/>
    <cellStyle name="Normal 18 9" xfId="6791" xr:uid="{00000000-0005-0000-0000-0000A71A0000}"/>
    <cellStyle name="Normal 18 9 2" xfId="6792" xr:uid="{00000000-0005-0000-0000-0000A81A0000}"/>
    <cellStyle name="Normal 19" xfId="6793" xr:uid="{00000000-0005-0000-0000-0000A91A0000}"/>
    <cellStyle name="Normal 19 10" xfId="6794" xr:uid="{00000000-0005-0000-0000-0000AA1A0000}"/>
    <cellStyle name="Normal 19 10 2" xfId="6795" xr:uid="{00000000-0005-0000-0000-0000AB1A0000}"/>
    <cellStyle name="Normal 19 11" xfId="6796" xr:uid="{00000000-0005-0000-0000-0000AC1A0000}"/>
    <cellStyle name="Normal 19 11 2" xfId="6797" xr:uid="{00000000-0005-0000-0000-0000AD1A0000}"/>
    <cellStyle name="Normal 19 12" xfId="6798" xr:uid="{00000000-0005-0000-0000-0000AE1A0000}"/>
    <cellStyle name="Normal 19 12 2" xfId="6799" xr:uid="{00000000-0005-0000-0000-0000AF1A0000}"/>
    <cellStyle name="Normal 19 13" xfId="6800" xr:uid="{00000000-0005-0000-0000-0000B01A0000}"/>
    <cellStyle name="Normal 19 13 2" xfId="6801" xr:uid="{00000000-0005-0000-0000-0000B11A0000}"/>
    <cellStyle name="Normal 19 14" xfId="6802" xr:uid="{00000000-0005-0000-0000-0000B21A0000}"/>
    <cellStyle name="Normal 19 14 2" xfId="6803" xr:uid="{00000000-0005-0000-0000-0000B31A0000}"/>
    <cellStyle name="Normal 19 15" xfId="6804" xr:uid="{00000000-0005-0000-0000-0000B41A0000}"/>
    <cellStyle name="Normal 19 15 2" xfId="6805" xr:uid="{00000000-0005-0000-0000-0000B51A0000}"/>
    <cellStyle name="Normal 19 16" xfId="6806" xr:uid="{00000000-0005-0000-0000-0000B61A0000}"/>
    <cellStyle name="Normal 19 16 2" xfId="6807" xr:uid="{00000000-0005-0000-0000-0000B71A0000}"/>
    <cellStyle name="Normal 19 17" xfId="6808" xr:uid="{00000000-0005-0000-0000-0000B81A0000}"/>
    <cellStyle name="Normal 19 17 2" xfId="6809" xr:uid="{00000000-0005-0000-0000-0000B91A0000}"/>
    <cellStyle name="Normal 19 18" xfId="6810" xr:uid="{00000000-0005-0000-0000-0000BA1A0000}"/>
    <cellStyle name="Normal 19 18 2" xfId="6811" xr:uid="{00000000-0005-0000-0000-0000BB1A0000}"/>
    <cellStyle name="Normal 19 19" xfId="6812" xr:uid="{00000000-0005-0000-0000-0000BC1A0000}"/>
    <cellStyle name="Normal 19 19 2" xfId="6813" xr:uid="{00000000-0005-0000-0000-0000BD1A0000}"/>
    <cellStyle name="Normal 19 2" xfId="6814" xr:uid="{00000000-0005-0000-0000-0000BE1A0000}"/>
    <cellStyle name="Normal 19 2 2" xfId="6815" xr:uid="{00000000-0005-0000-0000-0000BF1A0000}"/>
    <cellStyle name="Normal 19 2 2 2" xfId="6816" xr:uid="{00000000-0005-0000-0000-0000C01A0000}"/>
    <cellStyle name="Normal 19 2 2 3" xfId="6817" xr:uid="{00000000-0005-0000-0000-0000C11A0000}"/>
    <cellStyle name="Normal 19 2 2 4" xfId="6818" xr:uid="{00000000-0005-0000-0000-0000C21A0000}"/>
    <cellStyle name="Normal 19 2 3" xfId="6819" xr:uid="{00000000-0005-0000-0000-0000C31A0000}"/>
    <cellStyle name="Normal 19 2 3 2" xfId="6820" xr:uid="{00000000-0005-0000-0000-0000C41A0000}"/>
    <cellStyle name="Normal 19 2 3 3" xfId="6821" xr:uid="{00000000-0005-0000-0000-0000C51A0000}"/>
    <cellStyle name="Normal 19 2 3 4" xfId="6822" xr:uid="{00000000-0005-0000-0000-0000C61A0000}"/>
    <cellStyle name="Normal 19 2 4" xfId="6823" xr:uid="{00000000-0005-0000-0000-0000C71A0000}"/>
    <cellStyle name="Normal 19 2 5" xfId="6824" xr:uid="{00000000-0005-0000-0000-0000C81A0000}"/>
    <cellStyle name="Normal 19 2 6" xfId="6825" xr:uid="{00000000-0005-0000-0000-0000C91A0000}"/>
    <cellStyle name="Normal 19 2 7" xfId="6826" xr:uid="{00000000-0005-0000-0000-0000CA1A0000}"/>
    <cellStyle name="Normal 19 20" xfId="6827" xr:uid="{00000000-0005-0000-0000-0000CB1A0000}"/>
    <cellStyle name="Normal 19 20 2" xfId="6828" xr:uid="{00000000-0005-0000-0000-0000CC1A0000}"/>
    <cellStyle name="Normal 19 21" xfId="6829" xr:uid="{00000000-0005-0000-0000-0000CD1A0000}"/>
    <cellStyle name="Normal 19 21 2" xfId="6830" xr:uid="{00000000-0005-0000-0000-0000CE1A0000}"/>
    <cellStyle name="Normal 19 22" xfId="6831" xr:uid="{00000000-0005-0000-0000-0000CF1A0000}"/>
    <cellStyle name="Normal 19 22 2" xfId="6832" xr:uid="{00000000-0005-0000-0000-0000D01A0000}"/>
    <cellStyle name="Normal 19 23" xfId="6833" xr:uid="{00000000-0005-0000-0000-0000D11A0000}"/>
    <cellStyle name="Normal 19 24" xfId="6834" xr:uid="{00000000-0005-0000-0000-0000D21A0000}"/>
    <cellStyle name="Normal 19 25" xfId="6835" xr:uid="{00000000-0005-0000-0000-0000D31A0000}"/>
    <cellStyle name="Normal 19 26" xfId="6836" xr:uid="{00000000-0005-0000-0000-0000D41A0000}"/>
    <cellStyle name="Normal 19 27" xfId="6837" xr:uid="{00000000-0005-0000-0000-0000D51A0000}"/>
    <cellStyle name="Normal 19 28" xfId="6838" xr:uid="{00000000-0005-0000-0000-0000D61A0000}"/>
    <cellStyle name="Normal 19 29" xfId="6839" xr:uid="{00000000-0005-0000-0000-0000D71A0000}"/>
    <cellStyle name="Normal 19 3" xfId="6840" xr:uid="{00000000-0005-0000-0000-0000D81A0000}"/>
    <cellStyle name="Normal 19 3 2" xfId="6841" xr:uid="{00000000-0005-0000-0000-0000D91A0000}"/>
    <cellStyle name="Normal 19 3 2 2" xfId="6842" xr:uid="{00000000-0005-0000-0000-0000DA1A0000}"/>
    <cellStyle name="Normal 19 3 2 3" xfId="6843" xr:uid="{00000000-0005-0000-0000-0000DB1A0000}"/>
    <cellStyle name="Normal 19 3 2 4" xfId="6844" xr:uid="{00000000-0005-0000-0000-0000DC1A0000}"/>
    <cellStyle name="Normal 19 3 3" xfId="6845" xr:uid="{00000000-0005-0000-0000-0000DD1A0000}"/>
    <cellStyle name="Normal 19 3 4" xfId="6846" xr:uid="{00000000-0005-0000-0000-0000DE1A0000}"/>
    <cellStyle name="Normal 19 3 5" xfId="6847" xr:uid="{00000000-0005-0000-0000-0000DF1A0000}"/>
    <cellStyle name="Normal 19 3 6" xfId="6848" xr:uid="{00000000-0005-0000-0000-0000E01A0000}"/>
    <cellStyle name="Normal 19 30" xfId="6849" xr:uid="{00000000-0005-0000-0000-0000E11A0000}"/>
    <cellStyle name="Normal 19 31" xfId="6850" xr:uid="{00000000-0005-0000-0000-0000E21A0000}"/>
    <cellStyle name="Normal 19 32" xfId="6851" xr:uid="{00000000-0005-0000-0000-0000E31A0000}"/>
    <cellStyle name="Normal 19 33" xfId="6852" xr:uid="{00000000-0005-0000-0000-0000E41A0000}"/>
    <cellStyle name="Normal 19 34" xfId="6853" xr:uid="{00000000-0005-0000-0000-0000E51A0000}"/>
    <cellStyle name="Normal 19 35" xfId="6854" xr:uid="{00000000-0005-0000-0000-0000E61A0000}"/>
    <cellStyle name="Normal 19 36" xfId="6855" xr:uid="{00000000-0005-0000-0000-0000E71A0000}"/>
    <cellStyle name="Normal 19 37" xfId="6856" xr:uid="{00000000-0005-0000-0000-0000E81A0000}"/>
    <cellStyle name="Normal 19 38" xfId="6857" xr:uid="{00000000-0005-0000-0000-0000E91A0000}"/>
    <cellStyle name="Normal 19 39" xfId="6858" xr:uid="{00000000-0005-0000-0000-0000EA1A0000}"/>
    <cellStyle name="Normal 19 4" xfId="6859" xr:uid="{00000000-0005-0000-0000-0000EB1A0000}"/>
    <cellStyle name="Normal 19 4 2" xfId="6860" xr:uid="{00000000-0005-0000-0000-0000EC1A0000}"/>
    <cellStyle name="Normal 19 4 3" xfId="6861" xr:uid="{00000000-0005-0000-0000-0000ED1A0000}"/>
    <cellStyle name="Normal 19 4 4" xfId="6862" xr:uid="{00000000-0005-0000-0000-0000EE1A0000}"/>
    <cellStyle name="Normal 19 40" xfId="6863" xr:uid="{00000000-0005-0000-0000-0000EF1A0000}"/>
    <cellStyle name="Normal 19 41" xfId="6864" xr:uid="{00000000-0005-0000-0000-0000F01A0000}"/>
    <cellStyle name="Normal 19 42" xfId="6865" xr:uid="{00000000-0005-0000-0000-0000F11A0000}"/>
    <cellStyle name="Normal 19 43" xfId="6866" xr:uid="{00000000-0005-0000-0000-0000F21A0000}"/>
    <cellStyle name="Normal 19 44" xfId="6867" xr:uid="{00000000-0005-0000-0000-0000F31A0000}"/>
    <cellStyle name="Normal 19 45" xfId="6868" xr:uid="{00000000-0005-0000-0000-0000F41A0000}"/>
    <cellStyle name="Normal 19 46" xfId="6869" xr:uid="{00000000-0005-0000-0000-0000F51A0000}"/>
    <cellStyle name="Normal 19 47" xfId="6870" xr:uid="{00000000-0005-0000-0000-0000F61A0000}"/>
    <cellStyle name="Normal 19 48" xfId="6871" xr:uid="{00000000-0005-0000-0000-0000F71A0000}"/>
    <cellStyle name="Normal 19 49" xfId="6872" xr:uid="{00000000-0005-0000-0000-0000F81A0000}"/>
    <cellStyle name="Normal 19 5" xfId="6873" xr:uid="{00000000-0005-0000-0000-0000F91A0000}"/>
    <cellStyle name="Normal 19 5 2" xfId="6874" xr:uid="{00000000-0005-0000-0000-0000FA1A0000}"/>
    <cellStyle name="Normal 19 5 3" xfId="6875" xr:uid="{00000000-0005-0000-0000-0000FB1A0000}"/>
    <cellStyle name="Normal 19 5 4" xfId="6876" xr:uid="{00000000-0005-0000-0000-0000FC1A0000}"/>
    <cellStyle name="Normal 19 50" xfId="6877" xr:uid="{00000000-0005-0000-0000-0000FD1A0000}"/>
    <cellStyle name="Normal 19 51" xfId="6878" xr:uid="{00000000-0005-0000-0000-0000FE1A0000}"/>
    <cellStyle name="Normal 19 52" xfId="6879" xr:uid="{00000000-0005-0000-0000-0000FF1A0000}"/>
    <cellStyle name="Normal 19 53" xfId="6880" xr:uid="{00000000-0005-0000-0000-0000001B0000}"/>
    <cellStyle name="Normal 19 54" xfId="6881" xr:uid="{00000000-0005-0000-0000-0000011B0000}"/>
    <cellStyle name="Normal 19 55" xfId="6882" xr:uid="{00000000-0005-0000-0000-0000021B0000}"/>
    <cellStyle name="Normal 19 56" xfId="6883" xr:uid="{00000000-0005-0000-0000-0000031B0000}"/>
    <cellStyle name="Normal 19 57" xfId="6884" xr:uid="{00000000-0005-0000-0000-0000041B0000}"/>
    <cellStyle name="Normal 19 58" xfId="6885" xr:uid="{00000000-0005-0000-0000-0000051B0000}"/>
    <cellStyle name="Normal 19 59" xfId="6886" xr:uid="{00000000-0005-0000-0000-0000061B0000}"/>
    <cellStyle name="Normal 19 6" xfId="6887" xr:uid="{00000000-0005-0000-0000-0000071B0000}"/>
    <cellStyle name="Normal 19 6 2" xfId="6888" xr:uid="{00000000-0005-0000-0000-0000081B0000}"/>
    <cellStyle name="Normal 19 60" xfId="6889" xr:uid="{00000000-0005-0000-0000-0000091B0000}"/>
    <cellStyle name="Normal 19 61" xfId="6890" xr:uid="{00000000-0005-0000-0000-00000A1B0000}"/>
    <cellStyle name="Normal 19 62" xfId="6891" xr:uid="{00000000-0005-0000-0000-00000B1B0000}"/>
    <cellStyle name="Normal 19 63" xfId="6892" xr:uid="{00000000-0005-0000-0000-00000C1B0000}"/>
    <cellStyle name="Normal 19 64" xfId="6893" xr:uid="{00000000-0005-0000-0000-00000D1B0000}"/>
    <cellStyle name="Normal 19 65" xfId="6894" xr:uid="{00000000-0005-0000-0000-00000E1B0000}"/>
    <cellStyle name="Normal 19 66" xfId="6895" xr:uid="{00000000-0005-0000-0000-00000F1B0000}"/>
    <cellStyle name="Normal 19 67" xfId="6896" xr:uid="{00000000-0005-0000-0000-0000101B0000}"/>
    <cellStyle name="Normal 19 68" xfId="6897" xr:uid="{00000000-0005-0000-0000-0000111B0000}"/>
    <cellStyle name="Normal 19 69" xfId="6898" xr:uid="{00000000-0005-0000-0000-0000121B0000}"/>
    <cellStyle name="Normal 19 7" xfId="6899" xr:uid="{00000000-0005-0000-0000-0000131B0000}"/>
    <cellStyle name="Normal 19 7 2" xfId="6900" xr:uid="{00000000-0005-0000-0000-0000141B0000}"/>
    <cellStyle name="Normal 19 70" xfId="6901" xr:uid="{00000000-0005-0000-0000-0000151B0000}"/>
    <cellStyle name="Normal 19 8" xfId="6902" xr:uid="{00000000-0005-0000-0000-0000161B0000}"/>
    <cellStyle name="Normal 19 8 2" xfId="6903" xr:uid="{00000000-0005-0000-0000-0000171B0000}"/>
    <cellStyle name="Normal 19 9" xfId="6904" xr:uid="{00000000-0005-0000-0000-0000181B0000}"/>
    <cellStyle name="Normal 19 9 2" xfId="6905" xr:uid="{00000000-0005-0000-0000-0000191B0000}"/>
    <cellStyle name="Normal 2" xfId="6906" xr:uid="{00000000-0005-0000-0000-00001A1B0000}"/>
    <cellStyle name="Normal 2 10" xfId="6907" xr:uid="{00000000-0005-0000-0000-00001B1B0000}"/>
    <cellStyle name="Normal 2 10 10" xfId="6908" xr:uid="{00000000-0005-0000-0000-00001C1B0000}"/>
    <cellStyle name="Normal 2 10 11" xfId="6909" xr:uid="{00000000-0005-0000-0000-00001D1B0000}"/>
    <cellStyle name="Normal 2 10 12" xfId="6910" xr:uid="{00000000-0005-0000-0000-00001E1B0000}"/>
    <cellStyle name="Normal 2 10 13" xfId="6911" xr:uid="{00000000-0005-0000-0000-00001F1B0000}"/>
    <cellStyle name="Normal 2 10 14" xfId="6912" xr:uid="{00000000-0005-0000-0000-0000201B0000}"/>
    <cellStyle name="Normal 2 10 15" xfId="6913" xr:uid="{00000000-0005-0000-0000-0000211B0000}"/>
    <cellStyle name="Normal 2 10 16" xfId="6914" xr:uid="{00000000-0005-0000-0000-0000221B0000}"/>
    <cellStyle name="Normal 2 10 17" xfId="6915" xr:uid="{00000000-0005-0000-0000-0000231B0000}"/>
    <cellStyle name="Normal 2 10 18" xfId="6916" xr:uid="{00000000-0005-0000-0000-0000241B0000}"/>
    <cellStyle name="Normal 2 10 19" xfId="6917" xr:uid="{00000000-0005-0000-0000-0000251B0000}"/>
    <cellStyle name="Normal 2 10 2" xfId="6918" xr:uid="{00000000-0005-0000-0000-0000261B0000}"/>
    <cellStyle name="Normal 2 10 2 10" xfId="6919" xr:uid="{00000000-0005-0000-0000-0000271B0000}"/>
    <cellStyle name="Normal 2 10 2 11" xfId="6920" xr:uid="{00000000-0005-0000-0000-0000281B0000}"/>
    <cellStyle name="Normal 2 10 2 12" xfId="6921" xr:uid="{00000000-0005-0000-0000-0000291B0000}"/>
    <cellStyle name="Normal 2 10 2 13" xfId="6922" xr:uid="{00000000-0005-0000-0000-00002A1B0000}"/>
    <cellStyle name="Normal 2 10 2 14" xfId="6923" xr:uid="{00000000-0005-0000-0000-00002B1B0000}"/>
    <cellStyle name="Normal 2 10 2 15" xfId="6924" xr:uid="{00000000-0005-0000-0000-00002C1B0000}"/>
    <cellStyle name="Normal 2 10 2 16" xfId="6925" xr:uid="{00000000-0005-0000-0000-00002D1B0000}"/>
    <cellStyle name="Normal 2 10 2 17" xfId="6926" xr:uid="{00000000-0005-0000-0000-00002E1B0000}"/>
    <cellStyle name="Normal 2 10 2 2" xfId="6927" xr:uid="{00000000-0005-0000-0000-00002F1B0000}"/>
    <cellStyle name="Normal 2 10 2 3" xfId="6928" xr:uid="{00000000-0005-0000-0000-0000301B0000}"/>
    <cellStyle name="Normal 2 10 2 4" xfId="6929" xr:uid="{00000000-0005-0000-0000-0000311B0000}"/>
    <cellStyle name="Normal 2 10 2 5" xfId="6930" xr:uid="{00000000-0005-0000-0000-0000321B0000}"/>
    <cellStyle name="Normal 2 10 2 6" xfId="6931" xr:uid="{00000000-0005-0000-0000-0000331B0000}"/>
    <cellStyle name="Normal 2 10 2 7" xfId="6932" xr:uid="{00000000-0005-0000-0000-0000341B0000}"/>
    <cellStyle name="Normal 2 10 2 8" xfId="6933" xr:uid="{00000000-0005-0000-0000-0000351B0000}"/>
    <cellStyle name="Normal 2 10 2 9" xfId="6934" xr:uid="{00000000-0005-0000-0000-0000361B0000}"/>
    <cellStyle name="Normal 2 10 20" xfId="6935" xr:uid="{00000000-0005-0000-0000-0000371B0000}"/>
    <cellStyle name="Normal 2 10 21" xfId="6936" xr:uid="{00000000-0005-0000-0000-0000381B0000}"/>
    <cellStyle name="Normal 2 10 22" xfId="6937" xr:uid="{00000000-0005-0000-0000-0000391B0000}"/>
    <cellStyle name="Normal 2 10 23" xfId="6938" xr:uid="{00000000-0005-0000-0000-00003A1B0000}"/>
    <cellStyle name="Normal 2 10 24" xfId="6939" xr:uid="{00000000-0005-0000-0000-00003B1B0000}"/>
    <cellStyle name="Normal 2 10 25" xfId="6940" xr:uid="{00000000-0005-0000-0000-00003C1B0000}"/>
    <cellStyle name="Normal 2 10 26" xfId="6941" xr:uid="{00000000-0005-0000-0000-00003D1B0000}"/>
    <cellStyle name="Normal 2 10 27" xfId="6942" xr:uid="{00000000-0005-0000-0000-00003E1B0000}"/>
    <cellStyle name="Normal 2 10 28" xfId="6943" xr:uid="{00000000-0005-0000-0000-00003F1B0000}"/>
    <cellStyle name="Normal 2 10 29" xfId="6944" xr:uid="{00000000-0005-0000-0000-0000401B0000}"/>
    <cellStyle name="Normal 2 10 3" xfId="6945" xr:uid="{00000000-0005-0000-0000-0000411B0000}"/>
    <cellStyle name="Normal 2 10 30" xfId="6946" xr:uid="{00000000-0005-0000-0000-0000421B0000}"/>
    <cellStyle name="Normal 2 10 31" xfId="6947" xr:uid="{00000000-0005-0000-0000-0000431B0000}"/>
    <cellStyle name="Normal 2 10 32" xfId="6948" xr:uid="{00000000-0005-0000-0000-0000441B0000}"/>
    <cellStyle name="Normal 2 10 33" xfId="6949" xr:uid="{00000000-0005-0000-0000-0000451B0000}"/>
    <cellStyle name="Normal 2 10 34" xfId="6950" xr:uid="{00000000-0005-0000-0000-0000461B0000}"/>
    <cellStyle name="Normal 2 10 35" xfId="6951" xr:uid="{00000000-0005-0000-0000-0000471B0000}"/>
    <cellStyle name="Normal 2 10 36" xfId="6952" xr:uid="{00000000-0005-0000-0000-0000481B0000}"/>
    <cellStyle name="Normal 2 10 37" xfId="6953" xr:uid="{00000000-0005-0000-0000-0000491B0000}"/>
    <cellStyle name="Normal 2 10 38" xfId="6954" xr:uid="{00000000-0005-0000-0000-00004A1B0000}"/>
    <cellStyle name="Normal 2 10 39" xfId="6955" xr:uid="{00000000-0005-0000-0000-00004B1B0000}"/>
    <cellStyle name="Normal 2 10 4" xfId="6956" xr:uid="{00000000-0005-0000-0000-00004C1B0000}"/>
    <cellStyle name="Normal 2 10 40" xfId="6957" xr:uid="{00000000-0005-0000-0000-00004D1B0000}"/>
    <cellStyle name="Normal 2 10 41" xfId="6958" xr:uid="{00000000-0005-0000-0000-00004E1B0000}"/>
    <cellStyle name="Normal 2 10 42" xfId="6959" xr:uid="{00000000-0005-0000-0000-00004F1B0000}"/>
    <cellStyle name="Normal 2 10 43" xfId="6960" xr:uid="{00000000-0005-0000-0000-0000501B0000}"/>
    <cellStyle name="Normal 2 10 44" xfId="6961" xr:uid="{00000000-0005-0000-0000-0000511B0000}"/>
    <cellStyle name="Normal 2 10 45" xfId="6962" xr:uid="{00000000-0005-0000-0000-0000521B0000}"/>
    <cellStyle name="Normal 2 10 46" xfId="6963" xr:uid="{00000000-0005-0000-0000-0000531B0000}"/>
    <cellStyle name="Normal 2 10 47" xfId="6964" xr:uid="{00000000-0005-0000-0000-0000541B0000}"/>
    <cellStyle name="Normal 2 10 48" xfId="6965" xr:uid="{00000000-0005-0000-0000-0000551B0000}"/>
    <cellStyle name="Normal 2 10 49" xfId="6966" xr:uid="{00000000-0005-0000-0000-0000561B0000}"/>
    <cellStyle name="Normal 2 10 5" xfId="6967" xr:uid="{00000000-0005-0000-0000-0000571B0000}"/>
    <cellStyle name="Normal 2 10 50" xfId="6968" xr:uid="{00000000-0005-0000-0000-0000581B0000}"/>
    <cellStyle name="Normal 2 10 51" xfId="6969" xr:uid="{00000000-0005-0000-0000-0000591B0000}"/>
    <cellStyle name="Normal 2 10 52" xfId="6970" xr:uid="{00000000-0005-0000-0000-00005A1B0000}"/>
    <cellStyle name="Normal 2 10 53" xfId="6971" xr:uid="{00000000-0005-0000-0000-00005B1B0000}"/>
    <cellStyle name="Normal 2 10 54" xfId="6972" xr:uid="{00000000-0005-0000-0000-00005C1B0000}"/>
    <cellStyle name="Normal 2 10 55" xfId="6973" xr:uid="{00000000-0005-0000-0000-00005D1B0000}"/>
    <cellStyle name="Normal 2 10 56" xfId="6974" xr:uid="{00000000-0005-0000-0000-00005E1B0000}"/>
    <cellStyle name="Normal 2 10 57" xfId="6975" xr:uid="{00000000-0005-0000-0000-00005F1B0000}"/>
    <cellStyle name="Normal 2 10 58" xfId="6976" xr:uid="{00000000-0005-0000-0000-0000601B0000}"/>
    <cellStyle name="Normal 2 10 59" xfId="6977" xr:uid="{00000000-0005-0000-0000-0000611B0000}"/>
    <cellStyle name="Normal 2 10 6" xfId="6978" xr:uid="{00000000-0005-0000-0000-0000621B0000}"/>
    <cellStyle name="Normal 2 10 60" xfId="6979" xr:uid="{00000000-0005-0000-0000-0000631B0000}"/>
    <cellStyle name="Normal 2 10 61" xfId="6980" xr:uid="{00000000-0005-0000-0000-0000641B0000}"/>
    <cellStyle name="Normal 2 10 62" xfId="6981" xr:uid="{00000000-0005-0000-0000-0000651B0000}"/>
    <cellStyle name="Normal 2 10 63" xfId="6982" xr:uid="{00000000-0005-0000-0000-0000661B0000}"/>
    <cellStyle name="Normal 2 10 64" xfId="6983" xr:uid="{00000000-0005-0000-0000-0000671B0000}"/>
    <cellStyle name="Normal 2 10 65" xfId="6984" xr:uid="{00000000-0005-0000-0000-0000681B0000}"/>
    <cellStyle name="Normal 2 10 66" xfId="6985" xr:uid="{00000000-0005-0000-0000-0000691B0000}"/>
    <cellStyle name="Normal 2 10 67" xfId="6986" xr:uid="{00000000-0005-0000-0000-00006A1B0000}"/>
    <cellStyle name="Normal 2 10 68" xfId="6987" xr:uid="{00000000-0005-0000-0000-00006B1B0000}"/>
    <cellStyle name="Normal 2 10 69" xfId="6988" xr:uid="{00000000-0005-0000-0000-00006C1B0000}"/>
    <cellStyle name="Normal 2 10 7" xfId="6989" xr:uid="{00000000-0005-0000-0000-00006D1B0000}"/>
    <cellStyle name="Normal 2 10 70" xfId="6990" xr:uid="{00000000-0005-0000-0000-00006E1B0000}"/>
    <cellStyle name="Normal 2 10 71" xfId="6991" xr:uid="{00000000-0005-0000-0000-00006F1B0000}"/>
    <cellStyle name="Normal 2 10 72" xfId="6992" xr:uid="{00000000-0005-0000-0000-0000701B0000}"/>
    <cellStyle name="Normal 2 10 73" xfId="6993" xr:uid="{00000000-0005-0000-0000-0000711B0000}"/>
    <cellStyle name="Normal 2 10 74" xfId="6994" xr:uid="{00000000-0005-0000-0000-0000721B0000}"/>
    <cellStyle name="Normal 2 10 75" xfId="6995" xr:uid="{00000000-0005-0000-0000-0000731B0000}"/>
    <cellStyle name="Normal 2 10 76" xfId="6996" xr:uid="{00000000-0005-0000-0000-0000741B0000}"/>
    <cellStyle name="Normal 2 10 77" xfId="6997" xr:uid="{00000000-0005-0000-0000-0000751B0000}"/>
    <cellStyle name="Normal 2 10 78" xfId="6998" xr:uid="{00000000-0005-0000-0000-0000761B0000}"/>
    <cellStyle name="Normal 2 10 8" xfId="6999" xr:uid="{00000000-0005-0000-0000-0000771B0000}"/>
    <cellStyle name="Normal 2 10 9" xfId="7000" xr:uid="{00000000-0005-0000-0000-0000781B0000}"/>
    <cellStyle name="Normal 2 100" xfId="7001" xr:uid="{00000000-0005-0000-0000-0000791B0000}"/>
    <cellStyle name="Normal 2 101" xfId="7002" xr:uid="{00000000-0005-0000-0000-00007A1B0000}"/>
    <cellStyle name="Normal 2 102" xfId="7003" xr:uid="{00000000-0005-0000-0000-00007B1B0000}"/>
    <cellStyle name="Normal 2 103" xfId="7004" xr:uid="{00000000-0005-0000-0000-00007C1B0000}"/>
    <cellStyle name="Normal 2 104" xfId="7005" xr:uid="{00000000-0005-0000-0000-00007D1B0000}"/>
    <cellStyle name="Normal 2 105" xfId="7006" xr:uid="{00000000-0005-0000-0000-00007E1B0000}"/>
    <cellStyle name="Normal 2 106" xfId="7007" xr:uid="{00000000-0005-0000-0000-00007F1B0000}"/>
    <cellStyle name="Normal 2 107" xfId="7008" xr:uid="{00000000-0005-0000-0000-0000801B0000}"/>
    <cellStyle name="Normal 2 108" xfId="7009" xr:uid="{00000000-0005-0000-0000-0000811B0000}"/>
    <cellStyle name="Normal 2 109" xfId="7010" xr:uid="{00000000-0005-0000-0000-0000821B0000}"/>
    <cellStyle name="Normal 2 11" xfId="7011" xr:uid="{00000000-0005-0000-0000-0000831B0000}"/>
    <cellStyle name="Normal 2 110" xfId="7012" xr:uid="{00000000-0005-0000-0000-0000841B0000}"/>
    <cellStyle name="Normal 2 111" xfId="7013" xr:uid="{00000000-0005-0000-0000-0000851B0000}"/>
    <cellStyle name="Normal 2 112" xfId="7014" xr:uid="{00000000-0005-0000-0000-0000861B0000}"/>
    <cellStyle name="Normal 2 113" xfId="7015" xr:uid="{00000000-0005-0000-0000-0000871B0000}"/>
    <cellStyle name="Normal 2 114" xfId="7016" xr:uid="{00000000-0005-0000-0000-0000881B0000}"/>
    <cellStyle name="Normal 2 115" xfId="7017" xr:uid="{00000000-0005-0000-0000-0000891B0000}"/>
    <cellStyle name="Normal 2 116" xfId="7018" xr:uid="{00000000-0005-0000-0000-00008A1B0000}"/>
    <cellStyle name="Normal 2 117" xfId="7019" xr:uid="{00000000-0005-0000-0000-00008B1B0000}"/>
    <cellStyle name="Normal 2 118" xfId="7020" xr:uid="{00000000-0005-0000-0000-00008C1B0000}"/>
    <cellStyle name="Normal 2 119" xfId="7021" xr:uid="{00000000-0005-0000-0000-00008D1B0000}"/>
    <cellStyle name="Normal 2 12" xfId="7022" xr:uid="{00000000-0005-0000-0000-00008E1B0000}"/>
    <cellStyle name="Normal 2 120" xfId="7023" xr:uid="{00000000-0005-0000-0000-00008F1B0000}"/>
    <cellStyle name="Normal 2 121" xfId="7024" xr:uid="{00000000-0005-0000-0000-0000901B0000}"/>
    <cellStyle name="Normal 2 122" xfId="7025" xr:uid="{00000000-0005-0000-0000-0000911B0000}"/>
    <cellStyle name="Normal 2 123" xfId="7026" xr:uid="{00000000-0005-0000-0000-0000921B0000}"/>
    <cellStyle name="Normal 2 124" xfId="7027" xr:uid="{00000000-0005-0000-0000-0000931B0000}"/>
    <cellStyle name="Normal 2 125" xfId="7028" xr:uid="{00000000-0005-0000-0000-0000941B0000}"/>
    <cellStyle name="Normal 2 126" xfId="7029" xr:uid="{00000000-0005-0000-0000-0000951B0000}"/>
    <cellStyle name="Normal 2 127" xfId="7030" xr:uid="{00000000-0005-0000-0000-0000961B0000}"/>
    <cellStyle name="Normal 2 128" xfId="7031" xr:uid="{00000000-0005-0000-0000-0000971B0000}"/>
    <cellStyle name="Normal 2 129" xfId="7032" xr:uid="{00000000-0005-0000-0000-0000981B0000}"/>
    <cellStyle name="Normal 2 13" xfId="7033" xr:uid="{00000000-0005-0000-0000-0000991B0000}"/>
    <cellStyle name="Normal 2 130" xfId="7034" xr:uid="{00000000-0005-0000-0000-00009A1B0000}"/>
    <cellStyle name="Normal 2 131" xfId="48246" xr:uid="{00000000-0005-0000-0000-00009B1B0000}"/>
    <cellStyle name="Normal 2 14" xfId="7035" xr:uid="{00000000-0005-0000-0000-00009C1B0000}"/>
    <cellStyle name="Normal 2 15" xfId="7036" xr:uid="{00000000-0005-0000-0000-00009D1B0000}"/>
    <cellStyle name="Normal 2 16" xfId="7037" xr:uid="{00000000-0005-0000-0000-00009E1B0000}"/>
    <cellStyle name="Normal 2 17" xfId="7038" xr:uid="{00000000-0005-0000-0000-00009F1B0000}"/>
    <cellStyle name="Normal 2 18" xfId="7039" xr:uid="{00000000-0005-0000-0000-0000A01B0000}"/>
    <cellStyle name="Normal 2 19" xfId="7040" xr:uid="{00000000-0005-0000-0000-0000A11B0000}"/>
    <cellStyle name="Normal 2 2" xfId="7041" xr:uid="{00000000-0005-0000-0000-0000A21B0000}"/>
    <cellStyle name="Normal 2 2 10" xfId="7042" xr:uid="{00000000-0005-0000-0000-0000A31B0000}"/>
    <cellStyle name="Normal 2 2 10 10" xfId="7043" xr:uid="{00000000-0005-0000-0000-0000A41B0000}"/>
    <cellStyle name="Normal 2 2 100" xfId="7044" xr:uid="{00000000-0005-0000-0000-0000A51B0000}"/>
    <cellStyle name="Normal 2 2 101" xfId="7045" xr:uid="{00000000-0005-0000-0000-0000A61B0000}"/>
    <cellStyle name="Normal 2 2 102" xfId="7046" xr:uid="{00000000-0005-0000-0000-0000A71B0000}"/>
    <cellStyle name="Normal 2 2 103" xfId="7047" xr:uid="{00000000-0005-0000-0000-0000A81B0000}"/>
    <cellStyle name="Normal 2 2 104" xfId="7048" xr:uid="{00000000-0005-0000-0000-0000A91B0000}"/>
    <cellStyle name="Normal 2 2 105" xfId="7049" xr:uid="{00000000-0005-0000-0000-0000AA1B0000}"/>
    <cellStyle name="Normal 2 2 106" xfId="7050" xr:uid="{00000000-0005-0000-0000-0000AB1B0000}"/>
    <cellStyle name="Normal 2 2 107" xfId="7051" xr:uid="{00000000-0005-0000-0000-0000AC1B0000}"/>
    <cellStyle name="Normal 2 2 108" xfId="7052" xr:uid="{00000000-0005-0000-0000-0000AD1B0000}"/>
    <cellStyle name="Normal 2 2 109" xfId="7053" xr:uid="{00000000-0005-0000-0000-0000AE1B0000}"/>
    <cellStyle name="Normal 2 2 11" xfId="7054" xr:uid="{00000000-0005-0000-0000-0000AF1B0000}"/>
    <cellStyle name="Normal 2 2 110" xfId="7055" xr:uid="{00000000-0005-0000-0000-0000B01B0000}"/>
    <cellStyle name="Normal 2 2 111" xfId="7056" xr:uid="{00000000-0005-0000-0000-0000B11B0000}"/>
    <cellStyle name="Normal 2 2 112" xfId="7057" xr:uid="{00000000-0005-0000-0000-0000B21B0000}"/>
    <cellStyle name="Normal 2 2 113" xfId="7058" xr:uid="{00000000-0005-0000-0000-0000B31B0000}"/>
    <cellStyle name="Normal 2 2 114" xfId="7059" xr:uid="{00000000-0005-0000-0000-0000B41B0000}"/>
    <cellStyle name="Normal 2 2 115" xfId="7060" xr:uid="{00000000-0005-0000-0000-0000B51B0000}"/>
    <cellStyle name="Normal 2 2 116" xfId="7061" xr:uid="{00000000-0005-0000-0000-0000B61B0000}"/>
    <cellStyle name="Normal 2 2 117" xfId="7062" xr:uid="{00000000-0005-0000-0000-0000B71B0000}"/>
    <cellStyle name="Normal 2 2 118" xfId="7063" xr:uid="{00000000-0005-0000-0000-0000B81B0000}"/>
    <cellStyle name="Normal 2 2 119" xfId="7064" xr:uid="{00000000-0005-0000-0000-0000B91B0000}"/>
    <cellStyle name="Normal 2 2 12" xfId="7065" xr:uid="{00000000-0005-0000-0000-0000BA1B0000}"/>
    <cellStyle name="Normal 2 2 120" xfId="7066" xr:uid="{00000000-0005-0000-0000-0000BB1B0000}"/>
    <cellStyle name="Normal 2 2 121" xfId="7067" xr:uid="{00000000-0005-0000-0000-0000BC1B0000}"/>
    <cellStyle name="Normal 2 2 122" xfId="7068" xr:uid="{00000000-0005-0000-0000-0000BD1B0000}"/>
    <cellStyle name="Normal 2 2 123" xfId="7069" xr:uid="{00000000-0005-0000-0000-0000BE1B0000}"/>
    <cellStyle name="Normal 2 2 13" xfId="7070" xr:uid="{00000000-0005-0000-0000-0000BF1B0000}"/>
    <cellStyle name="Normal 2 2 14" xfId="7071" xr:uid="{00000000-0005-0000-0000-0000C01B0000}"/>
    <cellStyle name="Normal 2 2 15" xfId="7072" xr:uid="{00000000-0005-0000-0000-0000C11B0000}"/>
    <cellStyle name="Normal 2 2 16" xfId="7073" xr:uid="{00000000-0005-0000-0000-0000C21B0000}"/>
    <cellStyle name="Normal 2 2 17" xfId="7074" xr:uid="{00000000-0005-0000-0000-0000C31B0000}"/>
    <cellStyle name="Normal 2 2 18" xfId="7075" xr:uid="{00000000-0005-0000-0000-0000C41B0000}"/>
    <cellStyle name="Normal 2 2 19" xfId="7076" xr:uid="{00000000-0005-0000-0000-0000C51B0000}"/>
    <cellStyle name="Normal 2 2 2" xfId="7077" xr:uid="{00000000-0005-0000-0000-0000C61B0000}"/>
    <cellStyle name="Normal 2 2 2 10" xfId="7078" xr:uid="{00000000-0005-0000-0000-0000C71B0000}"/>
    <cellStyle name="Normal 2 2 2 10 10" xfId="7079" xr:uid="{00000000-0005-0000-0000-0000C81B0000}"/>
    <cellStyle name="Normal 2 2 2 10 11" xfId="7080" xr:uid="{00000000-0005-0000-0000-0000C91B0000}"/>
    <cellStyle name="Normal 2 2 2 10 12" xfId="7081" xr:uid="{00000000-0005-0000-0000-0000CA1B0000}"/>
    <cellStyle name="Normal 2 2 2 10 13" xfId="7082" xr:uid="{00000000-0005-0000-0000-0000CB1B0000}"/>
    <cellStyle name="Normal 2 2 2 10 14" xfId="7083" xr:uid="{00000000-0005-0000-0000-0000CC1B0000}"/>
    <cellStyle name="Normal 2 2 2 10 15" xfId="7084" xr:uid="{00000000-0005-0000-0000-0000CD1B0000}"/>
    <cellStyle name="Normal 2 2 2 10 16" xfId="7085" xr:uid="{00000000-0005-0000-0000-0000CE1B0000}"/>
    <cellStyle name="Normal 2 2 2 10 17" xfId="7086" xr:uid="{00000000-0005-0000-0000-0000CF1B0000}"/>
    <cellStyle name="Normal 2 2 2 10 2" xfId="7087" xr:uid="{00000000-0005-0000-0000-0000D01B0000}"/>
    <cellStyle name="Normal 2 2 2 10 3" xfId="7088" xr:uid="{00000000-0005-0000-0000-0000D11B0000}"/>
    <cellStyle name="Normal 2 2 2 10 4" xfId="7089" xr:uid="{00000000-0005-0000-0000-0000D21B0000}"/>
    <cellStyle name="Normal 2 2 2 10 5" xfId="7090" xr:uid="{00000000-0005-0000-0000-0000D31B0000}"/>
    <cellStyle name="Normal 2 2 2 10 6" xfId="7091" xr:uid="{00000000-0005-0000-0000-0000D41B0000}"/>
    <cellStyle name="Normal 2 2 2 10 7" xfId="7092" xr:uid="{00000000-0005-0000-0000-0000D51B0000}"/>
    <cellStyle name="Normal 2 2 2 10 8" xfId="7093" xr:uid="{00000000-0005-0000-0000-0000D61B0000}"/>
    <cellStyle name="Normal 2 2 2 10 9" xfId="7094" xr:uid="{00000000-0005-0000-0000-0000D71B0000}"/>
    <cellStyle name="Normal 2 2 2 11" xfId="7095" xr:uid="{00000000-0005-0000-0000-0000D81B0000}"/>
    <cellStyle name="Normal 2 2 2 12" xfId="7096" xr:uid="{00000000-0005-0000-0000-0000D91B0000}"/>
    <cellStyle name="Normal 2 2 2 13" xfId="7097" xr:uid="{00000000-0005-0000-0000-0000DA1B0000}"/>
    <cellStyle name="Normal 2 2 2 14" xfId="7098" xr:uid="{00000000-0005-0000-0000-0000DB1B0000}"/>
    <cellStyle name="Normal 2 2 2 15" xfId="7099" xr:uid="{00000000-0005-0000-0000-0000DC1B0000}"/>
    <cellStyle name="Normal 2 2 2 16" xfId="7100" xr:uid="{00000000-0005-0000-0000-0000DD1B0000}"/>
    <cellStyle name="Normal 2 2 2 17" xfId="7101" xr:uid="{00000000-0005-0000-0000-0000DE1B0000}"/>
    <cellStyle name="Normal 2 2 2 18" xfId="7102" xr:uid="{00000000-0005-0000-0000-0000DF1B0000}"/>
    <cellStyle name="Normal 2 2 2 19" xfId="7103" xr:uid="{00000000-0005-0000-0000-0000E01B0000}"/>
    <cellStyle name="Normal 2 2 2 2" xfId="7104" xr:uid="{00000000-0005-0000-0000-0000E11B0000}"/>
    <cellStyle name="Normal 2 2 2 2 10" xfId="7105" xr:uid="{00000000-0005-0000-0000-0000E21B0000}"/>
    <cellStyle name="Normal 2 2 2 2 11" xfId="7106" xr:uid="{00000000-0005-0000-0000-0000E31B0000}"/>
    <cellStyle name="Normal 2 2 2 2 12" xfId="7107" xr:uid="{00000000-0005-0000-0000-0000E41B0000}"/>
    <cellStyle name="Normal 2 2 2 2 13" xfId="7108" xr:uid="{00000000-0005-0000-0000-0000E51B0000}"/>
    <cellStyle name="Normal 2 2 2 2 14" xfId="7109" xr:uid="{00000000-0005-0000-0000-0000E61B0000}"/>
    <cellStyle name="Normal 2 2 2 2 15" xfId="7110" xr:uid="{00000000-0005-0000-0000-0000E71B0000}"/>
    <cellStyle name="Normal 2 2 2 2 16" xfId="7111" xr:uid="{00000000-0005-0000-0000-0000E81B0000}"/>
    <cellStyle name="Normal 2 2 2 2 17" xfId="7112" xr:uid="{00000000-0005-0000-0000-0000E91B0000}"/>
    <cellStyle name="Normal 2 2 2 2 18" xfId="7113" xr:uid="{00000000-0005-0000-0000-0000EA1B0000}"/>
    <cellStyle name="Normal 2 2 2 2 19" xfId="7114" xr:uid="{00000000-0005-0000-0000-0000EB1B0000}"/>
    <cellStyle name="Normal 2 2 2 2 2" xfId="7115" xr:uid="{00000000-0005-0000-0000-0000EC1B0000}"/>
    <cellStyle name="Normal 2 2 2 2 2 10" xfId="7116" xr:uid="{00000000-0005-0000-0000-0000ED1B0000}"/>
    <cellStyle name="Normal 2 2 2 2 2 11" xfId="7117" xr:uid="{00000000-0005-0000-0000-0000EE1B0000}"/>
    <cellStyle name="Normal 2 2 2 2 2 12" xfId="7118" xr:uid="{00000000-0005-0000-0000-0000EF1B0000}"/>
    <cellStyle name="Normal 2 2 2 2 2 13" xfId="7119" xr:uid="{00000000-0005-0000-0000-0000F01B0000}"/>
    <cellStyle name="Normal 2 2 2 2 2 14" xfId="7120" xr:uid="{00000000-0005-0000-0000-0000F11B0000}"/>
    <cellStyle name="Normal 2 2 2 2 2 15" xfId="7121" xr:uid="{00000000-0005-0000-0000-0000F21B0000}"/>
    <cellStyle name="Normal 2 2 2 2 2 16" xfId="7122" xr:uid="{00000000-0005-0000-0000-0000F31B0000}"/>
    <cellStyle name="Normal 2 2 2 2 2 17" xfId="7123" xr:uid="{00000000-0005-0000-0000-0000F41B0000}"/>
    <cellStyle name="Normal 2 2 2 2 2 18" xfId="7124" xr:uid="{00000000-0005-0000-0000-0000F51B0000}"/>
    <cellStyle name="Normal 2 2 2 2 2 19" xfId="7125" xr:uid="{00000000-0005-0000-0000-0000F61B0000}"/>
    <cellStyle name="Normal 2 2 2 2 2 2" xfId="7126" xr:uid="{00000000-0005-0000-0000-0000F71B0000}"/>
    <cellStyle name="Normal 2 2 2 2 2 2 10" xfId="7127" xr:uid="{00000000-0005-0000-0000-0000F81B0000}"/>
    <cellStyle name="Normal 2 2 2 2 2 2 11" xfId="7128" xr:uid="{00000000-0005-0000-0000-0000F91B0000}"/>
    <cellStyle name="Normal 2 2 2 2 2 2 12" xfId="7129" xr:uid="{00000000-0005-0000-0000-0000FA1B0000}"/>
    <cellStyle name="Normal 2 2 2 2 2 2 13" xfId="7130" xr:uid="{00000000-0005-0000-0000-0000FB1B0000}"/>
    <cellStyle name="Normal 2 2 2 2 2 2 14" xfId="7131" xr:uid="{00000000-0005-0000-0000-0000FC1B0000}"/>
    <cellStyle name="Normal 2 2 2 2 2 2 15" xfId="7132" xr:uid="{00000000-0005-0000-0000-0000FD1B0000}"/>
    <cellStyle name="Normal 2 2 2 2 2 2 16" xfId="7133" xr:uid="{00000000-0005-0000-0000-0000FE1B0000}"/>
    <cellStyle name="Normal 2 2 2 2 2 2 17" xfId="7134" xr:uid="{00000000-0005-0000-0000-0000FF1B0000}"/>
    <cellStyle name="Normal 2 2 2 2 2 2 18" xfId="7135" xr:uid="{00000000-0005-0000-0000-0000001C0000}"/>
    <cellStyle name="Normal 2 2 2 2 2 2 19" xfId="7136" xr:uid="{00000000-0005-0000-0000-0000011C0000}"/>
    <cellStyle name="Normal 2 2 2 2 2 2 2" xfId="7137" xr:uid="{00000000-0005-0000-0000-0000021C0000}"/>
    <cellStyle name="Normal 2 2 2 2 2 2 2 10" xfId="7138" xr:uid="{00000000-0005-0000-0000-0000031C0000}"/>
    <cellStyle name="Normal 2 2 2 2 2 2 2 11" xfId="7139" xr:uid="{00000000-0005-0000-0000-0000041C0000}"/>
    <cellStyle name="Normal 2 2 2 2 2 2 2 12" xfId="7140" xr:uid="{00000000-0005-0000-0000-0000051C0000}"/>
    <cellStyle name="Normal 2 2 2 2 2 2 2 13" xfId="7141" xr:uid="{00000000-0005-0000-0000-0000061C0000}"/>
    <cellStyle name="Normal 2 2 2 2 2 2 2 14" xfId="7142" xr:uid="{00000000-0005-0000-0000-0000071C0000}"/>
    <cellStyle name="Normal 2 2 2 2 2 2 2 15" xfId="7143" xr:uid="{00000000-0005-0000-0000-0000081C0000}"/>
    <cellStyle name="Normal 2 2 2 2 2 2 2 16" xfId="7144" xr:uid="{00000000-0005-0000-0000-0000091C0000}"/>
    <cellStyle name="Normal 2 2 2 2 2 2 2 17" xfId="7145" xr:uid="{00000000-0005-0000-0000-00000A1C0000}"/>
    <cellStyle name="Normal 2 2 2 2 2 2 2 18" xfId="7146" xr:uid="{00000000-0005-0000-0000-00000B1C0000}"/>
    <cellStyle name="Normal 2 2 2 2 2 2 2 19" xfId="7147" xr:uid="{00000000-0005-0000-0000-00000C1C0000}"/>
    <cellStyle name="Normal 2 2 2 2 2 2 2 2" xfId="7148" xr:uid="{00000000-0005-0000-0000-00000D1C0000}"/>
    <cellStyle name="Normal 2 2 2 2 2 2 2 2 10" xfId="7149" xr:uid="{00000000-0005-0000-0000-00000E1C0000}"/>
    <cellStyle name="Normal 2 2 2 2 2 2 2 2 11" xfId="7150" xr:uid="{00000000-0005-0000-0000-00000F1C0000}"/>
    <cellStyle name="Normal 2 2 2 2 2 2 2 2 12" xfId="7151" xr:uid="{00000000-0005-0000-0000-0000101C0000}"/>
    <cellStyle name="Normal 2 2 2 2 2 2 2 2 13" xfId="7152" xr:uid="{00000000-0005-0000-0000-0000111C0000}"/>
    <cellStyle name="Normal 2 2 2 2 2 2 2 2 14" xfId="7153" xr:uid="{00000000-0005-0000-0000-0000121C0000}"/>
    <cellStyle name="Normal 2 2 2 2 2 2 2 2 15" xfId="7154" xr:uid="{00000000-0005-0000-0000-0000131C0000}"/>
    <cellStyle name="Normal 2 2 2 2 2 2 2 2 16" xfId="7155" xr:uid="{00000000-0005-0000-0000-0000141C0000}"/>
    <cellStyle name="Normal 2 2 2 2 2 2 2 2 17" xfId="7156" xr:uid="{00000000-0005-0000-0000-0000151C0000}"/>
    <cellStyle name="Normal 2 2 2 2 2 2 2 2 18" xfId="7157" xr:uid="{00000000-0005-0000-0000-0000161C0000}"/>
    <cellStyle name="Normal 2 2 2 2 2 2 2 2 19" xfId="7158" xr:uid="{00000000-0005-0000-0000-0000171C0000}"/>
    <cellStyle name="Normal 2 2 2 2 2 2 2 2 2" xfId="7159" xr:uid="{00000000-0005-0000-0000-0000181C0000}"/>
    <cellStyle name="Normal 2 2 2 2 2 2 2 2 2 10" xfId="7160" xr:uid="{00000000-0005-0000-0000-0000191C0000}"/>
    <cellStyle name="Normal 2 2 2 2 2 2 2 2 2 11" xfId="7161" xr:uid="{00000000-0005-0000-0000-00001A1C0000}"/>
    <cellStyle name="Normal 2 2 2 2 2 2 2 2 2 12" xfId="7162" xr:uid="{00000000-0005-0000-0000-00001B1C0000}"/>
    <cellStyle name="Normal 2 2 2 2 2 2 2 2 2 13" xfId="7163" xr:uid="{00000000-0005-0000-0000-00001C1C0000}"/>
    <cellStyle name="Normal 2 2 2 2 2 2 2 2 2 14" xfId="7164" xr:uid="{00000000-0005-0000-0000-00001D1C0000}"/>
    <cellStyle name="Normal 2 2 2 2 2 2 2 2 2 15" xfId="7165" xr:uid="{00000000-0005-0000-0000-00001E1C0000}"/>
    <cellStyle name="Normal 2 2 2 2 2 2 2 2 2 16" xfId="7166" xr:uid="{00000000-0005-0000-0000-00001F1C0000}"/>
    <cellStyle name="Normal 2 2 2 2 2 2 2 2 2 17" xfId="7167" xr:uid="{00000000-0005-0000-0000-0000201C0000}"/>
    <cellStyle name="Normal 2 2 2 2 2 2 2 2 2 18" xfId="7168" xr:uid="{00000000-0005-0000-0000-0000211C0000}"/>
    <cellStyle name="Normal 2 2 2 2 2 2 2 2 2 2" xfId="7169" xr:uid="{00000000-0005-0000-0000-0000221C0000}"/>
    <cellStyle name="Normal 2 2 2 2 2 2 2 2 2 3" xfId="7170" xr:uid="{00000000-0005-0000-0000-0000231C0000}"/>
    <cellStyle name="Normal 2 2 2 2 2 2 2 2 2 4" xfId="7171" xr:uid="{00000000-0005-0000-0000-0000241C0000}"/>
    <cellStyle name="Normal 2 2 2 2 2 2 2 2 2 5" xfId="7172" xr:uid="{00000000-0005-0000-0000-0000251C0000}"/>
    <cellStyle name="Normal 2 2 2 2 2 2 2 2 2 6" xfId="7173" xr:uid="{00000000-0005-0000-0000-0000261C0000}"/>
    <cellStyle name="Normal 2 2 2 2 2 2 2 2 2 7" xfId="7174" xr:uid="{00000000-0005-0000-0000-0000271C0000}"/>
    <cellStyle name="Normal 2 2 2 2 2 2 2 2 2 8" xfId="7175" xr:uid="{00000000-0005-0000-0000-0000281C0000}"/>
    <cellStyle name="Normal 2 2 2 2 2 2 2 2 2 9" xfId="7176" xr:uid="{00000000-0005-0000-0000-0000291C0000}"/>
    <cellStyle name="Normal 2 2 2 2 2 2 2 2 3" xfId="7177" xr:uid="{00000000-0005-0000-0000-00002A1C0000}"/>
    <cellStyle name="Normal 2 2 2 2 2 2 2 2 4" xfId="7178" xr:uid="{00000000-0005-0000-0000-00002B1C0000}"/>
    <cellStyle name="Normal 2 2 2 2 2 2 2 2 5" xfId="7179" xr:uid="{00000000-0005-0000-0000-00002C1C0000}"/>
    <cellStyle name="Normal 2 2 2 2 2 2 2 2 6" xfId="7180" xr:uid="{00000000-0005-0000-0000-00002D1C0000}"/>
    <cellStyle name="Normal 2 2 2 2 2 2 2 2 7" xfId="7181" xr:uid="{00000000-0005-0000-0000-00002E1C0000}"/>
    <cellStyle name="Normal 2 2 2 2 2 2 2 2 8" xfId="7182" xr:uid="{00000000-0005-0000-0000-00002F1C0000}"/>
    <cellStyle name="Normal 2 2 2 2 2 2 2 2 9" xfId="7183" xr:uid="{00000000-0005-0000-0000-0000301C0000}"/>
    <cellStyle name="Normal 2 2 2 2 2 2 2 2_ELEC SAP FCST UPLOAD" xfId="7184" xr:uid="{00000000-0005-0000-0000-0000311C0000}"/>
    <cellStyle name="Normal 2 2 2 2 2 2 2 20" xfId="7185" xr:uid="{00000000-0005-0000-0000-0000321C0000}"/>
    <cellStyle name="Normal 2 2 2 2 2 2 2 21" xfId="7186" xr:uid="{00000000-0005-0000-0000-0000331C0000}"/>
    <cellStyle name="Normal 2 2 2 2 2 2 2 22" xfId="7187" xr:uid="{00000000-0005-0000-0000-0000341C0000}"/>
    <cellStyle name="Normal 2 2 2 2 2 2 2 3" xfId="7188" xr:uid="{00000000-0005-0000-0000-0000351C0000}"/>
    <cellStyle name="Normal 2 2 2 2 2 2 2 4" xfId="7189" xr:uid="{00000000-0005-0000-0000-0000361C0000}"/>
    <cellStyle name="Normal 2 2 2 2 2 2 2 5" xfId="7190" xr:uid="{00000000-0005-0000-0000-0000371C0000}"/>
    <cellStyle name="Normal 2 2 2 2 2 2 2 6" xfId="7191" xr:uid="{00000000-0005-0000-0000-0000381C0000}"/>
    <cellStyle name="Normal 2 2 2 2 2 2 2 7" xfId="7192" xr:uid="{00000000-0005-0000-0000-0000391C0000}"/>
    <cellStyle name="Normal 2 2 2 2 2 2 2 8" xfId="7193" xr:uid="{00000000-0005-0000-0000-00003A1C0000}"/>
    <cellStyle name="Normal 2 2 2 2 2 2 2 9" xfId="7194" xr:uid="{00000000-0005-0000-0000-00003B1C0000}"/>
    <cellStyle name="Normal 2 2 2 2 2 2 2_ELEC SAP FCST UPLOAD" xfId="7195" xr:uid="{00000000-0005-0000-0000-00003C1C0000}"/>
    <cellStyle name="Normal 2 2 2 2 2 2 20" xfId="7196" xr:uid="{00000000-0005-0000-0000-00003D1C0000}"/>
    <cellStyle name="Normal 2 2 2 2 2 2 21" xfId="7197" xr:uid="{00000000-0005-0000-0000-00003E1C0000}"/>
    <cellStyle name="Normal 2 2 2 2 2 2 22" xfId="7198" xr:uid="{00000000-0005-0000-0000-00003F1C0000}"/>
    <cellStyle name="Normal 2 2 2 2 2 2 3" xfId="7199" xr:uid="{00000000-0005-0000-0000-0000401C0000}"/>
    <cellStyle name="Normal 2 2 2 2 2 2 3 2" xfId="7200" xr:uid="{00000000-0005-0000-0000-0000411C0000}"/>
    <cellStyle name="Normal 2 2 2 2 2 2 3 3" xfId="7201" xr:uid="{00000000-0005-0000-0000-0000421C0000}"/>
    <cellStyle name="Normal 2 2 2 2 2 2 3_ELEC SAP FCST UPLOAD" xfId="7202" xr:uid="{00000000-0005-0000-0000-0000431C0000}"/>
    <cellStyle name="Normal 2 2 2 2 2 2 4" xfId="7203" xr:uid="{00000000-0005-0000-0000-0000441C0000}"/>
    <cellStyle name="Normal 2 2 2 2 2 2 5" xfId="7204" xr:uid="{00000000-0005-0000-0000-0000451C0000}"/>
    <cellStyle name="Normal 2 2 2 2 2 2 6" xfId="7205" xr:uid="{00000000-0005-0000-0000-0000461C0000}"/>
    <cellStyle name="Normal 2 2 2 2 2 2 7" xfId="7206" xr:uid="{00000000-0005-0000-0000-0000471C0000}"/>
    <cellStyle name="Normal 2 2 2 2 2 2 8" xfId="7207" xr:uid="{00000000-0005-0000-0000-0000481C0000}"/>
    <cellStyle name="Normal 2 2 2 2 2 2 9" xfId="7208" xr:uid="{00000000-0005-0000-0000-0000491C0000}"/>
    <cellStyle name="Normal 2 2 2 2 2 2_ELEC SAP FCST UPLOAD" xfId="7209" xr:uid="{00000000-0005-0000-0000-00004A1C0000}"/>
    <cellStyle name="Normal 2 2 2 2 2 20" xfId="7210" xr:uid="{00000000-0005-0000-0000-00004B1C0000}"/>
    <cellStyle name="Normal 2 2 2 2 2 21" xfId="7211" xr:uid="{00000000-0005-0000-0000-00004C1C0000}"/>
    <cellStyle name="Normal 2 2 2 2 2 22" xfId="7212" xr:uid="{00000000-0005-0000-0000-00004D1C0000}"/>
    <cellStyle name="Normal 2 2 2 2 2 23" xfId="7213" xr:uid="{00000000-0005-0000-0000-00004E1C0000}"/>
    <cellStyle name="Normal 2 2 2 2 2 3" xfId="7214" xr:uid="{00000000-0005-0000-0000-00004F1C0000}"/>
    <cellStyle name="Normal 2 2 2 2 2 3 2" xfId="7215" xr:uid="{00000000-0005-0000-0000-0000501C0000}"/>
    <cellStyle name="Normal 2 2 2 2 2 3 3" xfId="7216" xr:uid="{00000000-0005-0000-0000-0000511C0000}"/>
    <cellStyle name="Normal 2 2 2 2 2 3_ELEC SAP FCST UPLOAD" xfId="7217" xr:uid="{00000000-0005-0000-0000-0000521C0000}"/>
    <cellStyle name="Normal 2 2 2 2 2 4" xfId="7218" xr:uid="{00000000-0005-0000-0000-0000531C0000}"/>
    <cellStyle name="Normal 2 2 2 2 2 5" xfId="7219" xr:uid="{00000000-0005-0000-0000-0000541C0000}"/>
    <cellStyle name="Normal 2 2 2 2 2 6" xfId="7220" xr:uid="{00000000-0005-0000-0000-0000551C0000}"/>
    <cellStyle name="Normal 2 2 2 2 2 7" xfId="7221" xr:uid="{00000000-0005-0000-0000-0000561C0000}"/>
    <cellStyle name="Normal 2 2 2 2 2 8" xfId="7222" xr:uid="{00000000-0005-0000-0000-0000571C0000}"/>
    <cellStyle name="Normal 2 2 2 2 2 9" xfId="7223" xr:uid="{00000000-0005-0000-0000-0000581C0000}"/>
    <cellStyle name="Normal 2 2 2 2 2_ELEC SAP FCST UPLOAD" xfId="7224" xr:uid="{00000000-0005-0000-0000-0000591C0000}"/>
    <cellStyle name="Normal 2 2 2 2 20" xfId="7225" xr:uid="{00000000-0005-0000-0000-00005A1C0000}"/>
    <cellStyle name="Normal 2 2 2 2 21" xfId="7226" xr:uid="{00000000-0005-0000-0000-00005B1C0000}"/>
    <cellStyle name="Normal 2 2 2 2 22" xfId="7227" xr:uid="{00000000-0005-0000-0000-00005C1C0000}"/>
    <cellStyle name="Normal 2 2 2 2 23" xfId="7228" xr:uid="{00000000-0005-0000-0000-00005D1C0000}"/>
    <cellStyle name="Normal 2 2 2 2 24" xfId="7229" xr:uid="{00000000-0005-0000-0000-00005E1C0000}"/>
    <cellStyle name="Normal 2 2 2 2 25" xfId="7230" xr:uid="{00000000-0005-0000-0000-00005F1C0000}"/>
    <cellStyle name="Normal 2 2 2 2 26" xfId="7231" xr:uid="{00000000-0005-0000-0000-0000601C0000}"/>
    <cellStyle name="Normal 2 2 2 2 27" xfId="7232" xr:uid="{00000000-0005-0000-0000-0000611C0000}"/>
    <cellStyle name="Normal 2 2 2 2 28" xfId="7233" xr:uid="{00000000-0005-0000-0000-0000621C0000}"/>
    <cellStyle name="Normal 2 2 2 2 29" xfId="7234" xr:uid="{00000000-0005-0000-0000-0000631C0000}"/>
    <cellStyle name="Normal 2 2 2 2 3" xfId="7235" xr:uid="{00000000-0005-0000-0000-0000641C0000}"/>
    <cellStyle name="Normal 2 2 2 2 3 2" xfId="7236" xr:uid="{00000000-0005-0000-0000-0000651C0000}"/>
    <cellStyle name="Normal 2 2 2 2 3 2 2" xfId="7237" xr:uid="{00000000-0005-0000-0000-0000661C0000}"/>
    <cellStyle name="Normal 2 2 2 2 3 2 3" xfId="7238" xr:uid="{00000000-0005-0000-0000-0000671C0000}"/>
    <cellStyle name="Normal 2 2 2 2 3 2_ELEC SAP FCST UPLOAD" xfId="7239" xr:uid="{00000000-0005-0000-0000-0000681C0000}"/>
    <cellStyle name="Normal 2 2 2 2 3 3" xfId="7240" xr:uid="{00000000-0005-0000-0000-0000691C0000}"/>
    <cellStyle name="Normal 2 2 2 2 3 4" xfId="7241" xr:uid="{00000000-0005-0000-0000-00006A1C0000}"/>
    <cellStyle name="Normal 2 2 2 2 3 5" xfId="7242" xr:uid="{00000000-0005-0000-0000-00006B1C0000}"/>
    <cellStyle name="Normal 2 2 2 2 3 6" xfId="7243" xr:uid="{00000000-0005-0000-0000-00006C1C0000}"/>
    <cellStyle name="Normal 2 2 2 2 3_ELEC SAP FCST UPLOAD" xfId="7244" xr:uid="{00000000-0005-0000-0000-00006D1C0000}"/>
    <cellStyle name="Normal 2 2 2 2 30" xfId="7245" xr:uid="{00000000-0005-0000-0000-00006E1C0000}"/>
    <cellStyle name="Normal 2 2 2 2 31" xfId="7246" xr:uid="{00000000-0005-0000-0000-00006F1C0000}"/>
    <cellStyle name="Normal 2 2 2 2 32" xfId="7247" xr:uid="{00000000-0005-0000-0000-0000701C0000}"/>
    <cellStyle name="Normal 2 2 2 2 33" xfId="7248" xr:uid="{00000000-0005-0000-0000-0000711C0000}"/>
    <cellStyle name="Normal 2 2 2 2 34" xfId="7249" xr:uid="{00000000-0005-0000-0000-0000721C0000}"/>
    <cellStyle name="Normal 2 2 2 2 35" xfId="7250" xr:uid="{00000000-0005-0000-0000-0000731C0000}"/>
    <cellStyle name="Normal 2 2 2 2 36" xfId="7251" xr:uid="{00000000-0005-0000-0000-0000741C0000}"/>
    <cellStyle name="Normal 2 2 2 2 37" xfId="7252" xr:uid="{00000000-0005-0000-0000-0000751C0000}"/>
    <cellStyle name="Normal 2 2 2 2 38" xfId="7253" xr:uid="{00000000-0005-0000-0000-0000761C0000}"/>
    <cellStyle name="Normal 2 2 2 2 39" xfId="7254" xr:uid="{00000000-0005-0000-0000-0000771C0000}"/>
    <cellStyle name="Normal 2 2 2 2 4" xfId="7255" xr:uid="{00000000-0005-0000-0000-0000781C0000}"/>
    <cellStyle name="Normal 2 2 2 2 4 2" xfId="7256" xr:uid="{00000000-0005-0000-0000-0000791C0000}"/>
    <cellStyle name="Normal 2 2 2 2 4 3" xfId="7257" xr:uid="{00000000-0005-0000-0000-00007A1C0000}"/>
    <cellStyle name="Normal 2 2 2 2 4_ELEC SAP FCST UPLOAD" xfId="7258" xr:uid="{00000000-0005-0000-0000-00007B1C0000}"/>
    <cellStyle name="Normal 2 2 2 2 40" xfId="7259" xr:uid="{00000000-0005-0000-0000-00007C1C0000}"/>
    <cellStyle name="Normal 2 2 2 2 41" xfId="7260" xr:uid="{00000000-0005-0000-0000-00007D1C0000}"/>
    <cellStyle name="Normal 2 2 2 2 42" xfId="7261" xr:uid="{00000000-0005-0000-0000-00007E1C0000}"/>
    <cellStyle name="Normal 2 2 2 2 43" xfId="7262" xr:uid="{00000000-0005-0000-0000-00007F1C0000}"/>
    <cellStyle name="Normal 2 2 2 2 44" xfId="7263" xr:uid="{00000000-0005-0000-0000-0000801C0000}"/>
    <cellStyle name="Normal 2 2 2 2 45" xfId="7264" xr:uid="{00000000-0005-0000-0000-0000811C0000}"/>
    <cellStyle name="Normal 2 2 2 2 46" xfId="7265" xr:uid="{00000000-0005-0000-0000-0000821C0000}"/>
    <cellStyle name="Normal 2 2 2 2 47" xfId="7266" xr:uid="{00000000-0005-0000-0000-0000831C0000}"/>
    <cellStyle name="Normal 2 2 2 2 48" xfId="7267" xr:uid="{00000000-0005-0000-0000-0000841C0000}"/>
    <cellStyle name="Normal 2 2 2 2 49" xfId="7268" xr:uid="{00000000-0005-0000-0000-0000851C0000}"/>
    <cellStyle name="Normal 2 2 2 2 5" xfId="7269" xr:uid="{00000000-0005-0000-0000-0000861C0000}"/>
    <cellStyle name="Normal 2 2 2 2 50" xfId="7270" xr:uid="{00000000-0005-0000-0000-0000871C0000}"/>
    <cellStyle name="Normal 2 2 2 2 51" xfId="7271" xr:uid="{00000000-0005-0000-0000-0000881C0000}"/>
    <cellStyle name="Normal 2 2 2 2 52" xfId="7272" xr:uid="{00000000-0005-0000-0000-0000891C0000}"/>
    <cellStyle name="Normal 2 2 2 2 53" xfId="7273" xr:uid="{00000000-0005-0000-0000-00008A1C0000}"/>
    <cellStyle name="Normal 2 2 2 2 54" xfId="7274" xr:uid="{00000000-0005-0000-0000-00008B1C0000}"/>
    <cellStyle name="Normal 2 2 2 2 55" xfId="7275" xr:uid="{00000000-0005-0000-0000-00008C1C0000}"/>
    <cellStyle name="Normal 2 2 2 2 56" xfId="7276" xr:uid="{00000000-0005-0000-0000-00008D1C0000}"/>
    <cellStyle name="Normal 2 2 2 2 57" xfId="7277" xr:uid="{00000000-0005-0000-0000-00008E1C0000}"/>
    <cellStyle name="Normal 2 2 2 2 58" xfId="7278" xr:uid="{00000000-0005-0000-0000-00008F1C0000}"/>
    <cellStyle name="Normal 2 2 2 2 59" xfId="7279" xr:uid="{00000000-0005-0000-0000-0000901C0000}"/>
    <cellStyle name="Normal 2 2 2 2 6" xfId="7280" xr:uid="{00000000-0005-0000-0000-0000911C0000}"/>
    <cellStyle name="Normal 2 2 2 2 60" xfId="7281" xr:uid="{00000000-0005-0000-0000-0000921C0000}"/>
    <cellStyle name="Normal 2 2 2 2 61" xfId="7282" xr:uid="{00000000-0005-0000-0000-0000931C0000}"/>
    <cellStyle name="Normal 2 2 2 2 62" xfId="7283" xr:uid="{00000000-0005-0000-0000-0000941C0000}"/>
    <cellStyle name="Normal 2 2 2 2 63" xfId="7284" xr:uid="{00000000-0005-0000-0000-0000951C0000}"/>
    <cellStyle name="Normal 2 2 2 2 64" xfId="7285" xr:uid="{00000000-0005-0000-0000-0000961C0000}"/>
    <cellStyle name="Normal 2 2 2 2 65" xfId="7286" xr:uid="{00000000-0005-0000-0000-0000971C0000}"/>
    <cellStyle name="Normal 2 2 2 2 66" xfId="7287" xr:uid="{00000000-0005-0000-0000-0000981C0000}"/>
    <cellStyle name="Normal 2 2 2 2 67" xfId="7288" xr:uid="{00000000-0005-0000-0000-0000991C0000}"/>
    <cellStyle name="Normal 2 2 2 2 68" xfId="7289" xr:uid="{00000000-0005-0000-0000-00009A1C0000}"/>
    <cellStyle name="Normal 2 2 2 2 69" xfId="7290" xr:uid="{00000000-0005-0000-0000-00009B1C0000}"/>
    <cellStyle name="Normal 2 2 2 2 7" xfId="7291" xr:uid="{00000000-0005-0000-0000-00009C1C0000}"/>
    <cellStyle name="Normal 2 2 2 2 70" xfId="7292" xr:uid="{00000000-0005-0000-0000-00009D1C0000}"/>
    <cellStyle name="Normal 2 2 2 2 71" xfId="7293" xr:uid="{00000000-0005-0000-0000-00009E1C0000}"/>
    <cellStyle name="Normal 2 2 2 2 72" xfId="7294" xr:uid="{00000000-0005-0000-0000-00009F1C0000}"/>
    <cellStyle name="Normal 2 2 2 2 73" xfId="7295" xr:uid="{00000000-0005-0000-0000-0000A01C0000}"/>
    <cellStyle name="Normal 2 2 2 2 74" xfId="7296" xr:uid="{00000000-0005-0000-0000-0000A11C0000}"/>
    <cellStyle name="Normal 2 2 2 2 75" xfId="7297" xr:uid="{00000000-0005-0000-0000-0000A21C0000}"/>
    <cellStyle name="Normal 2 2 2 2 76" xfId="7298" xr:uid="{00000000-0005-0000-0000-0000A31C0000}"/>
    <cellStyle name="Normal 2 2 2 2 77" xfId="7299" xr:uid="{00000000-0005-0000-0000-0000A41C0000}"/>
    <cellStyle name="Normal 2 2 2 2 78" xfId="7300" xr:uid="{00000000-0005-0000-0000-0000A51C0000}"/>
    <cellStyle name="Normal 2 2 2 2 79" xfId="7301" xr:uid="{00000000-0005-0000-0000-0000A61C0000}"/>
    <cellStyle name="Normal 2 2 2 2 8" xfId="7302" xr:uid="{00000000-0005-0000-0000-0000A71C0000}"/>
    <cellStyle name="Normal 2 2 2 2 8 10" xfId="7303" xr:uid="{00000000-0005-0000-0000-0000A81C0000}"/>
    <cellStyle name="Normal 2 2 2 2 8 11" xfId="7304" xr:uid="{00000000-0005-0000-0000-0000A91C0000}"/>
    <cellStyle name="Normal 2 2 2 2 8 12" xfId="7305" xr:uid="{00000000-0005-0000-0000-0000AA1C0000}"/>
    <cellStyle name="Normal 2 2 2 2 8 13" xfId="7306" xr:uid="{00000000-0005-0000-0000-0000AB1C0000}"/>
    <cellStyle name="Normal 2 2 2 2 8 14" xfId="7307" xr:uid="{00000000-0005-0000-0000-0000AC1C0000}"/>
    <cellStyle name="Normal 2 2 2 2 8 15" xfId="7308" xr:uid="{00000000-0005-0000-0000-0000AD1C0000}"/>
    <cellStyle name="Normal 2 2 2 2 8 16" xfId="7309" xr:uid="{00000000-0005-0000-0000-0000AE1C0000}"/>
    <cellStyle name="Normal 2 2 2 2 8 17" xfId="7310" xr:uid="{00000000-0005-0000-0000-0000AF1C0000}"/>
    <cellStyle name="Normal 2 2 2 2 8 2" xfId="7311" xr:uid="{00000000-0005-0000-0000-0000B01C0000}"/>
    <cellStyle name="Normal 2 2 2 2 8 3" xfId="7312" xr:uid="{00000000-0005-0000-0000-0000B11C0000}"/>
    <cellStyle name="Normal 2 2 2 2 8 4" xfId="7313" xr:uid="{00000000-0005-0000-0000-0000B21C0000}"/>
    <cellStyle name="Normal 2 2 2 2 8 5" xfId="7314" xr:uid="{00000000-0005-0000-0000-0000B31C0000}"/>
    <cellStyle name="Normal 2 2 2 2 8 6" xfId="7315" xr:uid="{00000000-0005-0000-0000-0000B41C0000}"/>
    <cellStyle name="Normal 2 2 2 2 8 7" xfId="7316" xr:uid="{00000000-0005-0000-0000-0000B51C0000}"/>
    <cellStyle name="Normal 2 2 2 2 8 8" xfId="7317" xr:uid="{00000000-0005-0000-0000-0000B61C0000}"/>
    <cellStyle name="Normal 2 2 2 2 8 9" xfId="7318" xr:uid="{00000000-0005-0000-0000-0000B71C0000}"/>
    <cellStyle name="Normal 2 2 2 2 80" xfId="7319" xr:uid="{00000000-0005-0000-0000-0000B81C0000}"/>
    <cellStyle name="Normal 2 2 2 2 81" xfId="7320" xr:uid="{00000000-0005-0000-0000-0000B91C0000}"/>
    <cellStyle name="Normal 2 2 2 2 82" xfId="7321" xr:uid="{00000000-0005-0000-0000-0000BA1C0000}"/>
    <cellStyle name="Normal 2 2 2 2 83" xfId="7322" xr:uid="{00000000-0005-0000-0000-0000BB1C0000}"/>
    <cellStyle name="Normal 2 2 2 2 84" xfId="7323" xr:uid="{00000000-0005-0000-0000-0000BC1C0000}"/>
    <cellStyle name="Normal 2 2 2 2 9" xfId="7324" xr:uid="{00000000-0005-0000-0000-0000BD1C0000}"/>
    <cellStyle name="Normal 2 2 2 2_ELEC SAP FCST UPLOAD" xfId="7325" xr:uid="{00000000-0005-0000-0000-0000BE1C0000}"/>
    <cellStyle name="Normal 2 2 2 20" xfId="7326" xr:uid="{00000000-0005-0000-0000-0000BF1C0000}"/>
    <cellStyle name="Normal 2 2 2 21" xfId="7327" xr:uid="{00000000-0005-0000-0000-0000C01C0000}"/>
    <cellStyle name="Normal 2 2 2 22" xfId="7328" xr:uid="{00000000-0005-0000-0000-0000C11C0000}"/>
    <cellStyle name="Normal 2 2 2 23" xfId="7329" xr:uid="{00000000-0005-0000-0000-0000C21C0000}"/>
    <cellStyle name="Normal 2 2 2 24" xfId="7330" xr:uid="{00000000-0005-0000-0000-0000C31C0000}"/>
    <cellStyle name="Normal 2 2 2 25" xfId="7331" xr:uid="{00000000-0005-0000-0000-0000C41C0000}"/>
    <cellStyle name="Normal 2 2 2 26" xfId="7332" xr:uid="{00000000-0005-0000-0000-0000C51C0000}"/>
    <cellStyle name="Normal 2 2 2 27" xfId="7333" xr:uid="{00000000-0005-0000-0000-0000C61C0000}"/>
    <cellStyle name="Normal 2 2 2 28" xfId="7334" xr:uid="{00000000-0005-0000-0000-0000C71C0000}"/>
    <cellStyle name="Normal 2 2 2 29" xfId="7335" xr:uid="{00000000-0005-0000-0000-0000C81C0000}"/>
    <cellStyle name="Normal 2 2 2 3" xfId="7336" xr:uid="{00000000-0005-0000-0000-0000C91C0000}"/>
    <cellStyle name="Normal 2 2 2 30" xfId="7337" xr:uid="{00000000-0005-0000-0000-0000CA1C0000}"/>
    <cellStyle name="Normal 2 2 2 31" xfId="7338" xr:uid="{00000000-0005-0000-0000-0000CB1C0000}"/>
    <cellStyle name="Normal 2 2 2 32" xfId="7339" xr:uid="{00000000-0005-0000-0000-0000CC1C0000}"/>
    <cellStyle name="Normal 2 2 2 33" xfId="7340" xr:uid="{00000000-0005-0000-0000-0000CD1C0000}"/>
    <cellStyle name="Normal 2 2 2 34" xfId="7341" xr:uid="{00000000-0005-0000-0000-0000CE1C0000}"/>
    <cellStyle name="Normal 2 2 2 35" xfId="7342" xr:uid="{00000000-0005-0000-0000-0000CF1C0000}"/>
    <cellStyle name="Normal 2 2 2 36" xfId="7343" xr:uid="{00000000-0005-0000-0000-0000D01C0000}"/>
    <cellStyle name="Normal 2 2 2 37" xfId="7344" xr:uid="{00000000-0005-0000-0000-0000D11C0000}"/>
    <cellStyle name="Normal 2 2 2 38" xfId="7345" xr:uid="{00000000-0005-0000-0000-0000D21C0000}"/>
    <cellStyle name="Normal 2 2 2 39" xfId="7346" xr:uid="{00000000-0005-0000-0000-0000D31C0000}"/>
    <cellStyle name="Normal 2 2 2 4" xfId="7347" xr:uid="{00000000-0005-0000-0000-0000D41C0000}"/>
    <cellStyle name="Normal 2 2 2 4 2" xfId="7348" xr:uid="{00000000-0005-0000-0000-0000D51C0000}"/>
    <cellStyle name="Normal 2 2 2 4 2 2" xfId="7349" xr:uid="{00000000-0005-0000-0000-0000D61C0000}"/>
    <cellStyle name="Normal 2 2 2 4 2 2 2" xfId="7350" xr:uid="{00000000-0005-0000-0000-0000D71C0000}"/>
    <cellStyle name="Normal 2 2 2 4 2 2 3" xfId="7351" xr:uid="{00000000-0005-0000-0000-0000D81C0000}"/>
    <cellStyle name="Normal 2 2 2 4 2 2_ELEC SAP FCST UPLOAD" xfId="7352" xr:uid="{00000000-0005-0000-0000-0000D91C0000}"/>
    <cellStyle name="Normal 2 2 2 4 2 3" xfId="7353" xr:uid="{00000000-0005-0000-0000-0000DA1C0000}"/>
    <cellStyle name="Normal 2 2 2 4 2 4" xfId="7354" xr:uid="{00000000-0005-0000-0000-0000DB1C0000}"/>
    <cellStyle name="Normal 2 2 2 4 2 5" xfId="7355" xr:uid="{00000000-0005-0000-0000-0000DC1C0000}"/>
    <cellStyle name="Normal 2 2 2 4 2 6" xfId="7356" xr:uid="{00000000-0005-0000-0000-0000DD1C0000}"/>
    <cellStyle name="Normal 2 2 2 4 2_ELEC SAP FCST UPLOAD" xfId="7357" xr:uid="{00000000-0005-0000-0000-0000DE1C0000}"/>
    <cellStyle name="Normal 2 2 2 4 3" xfId="7358" xr:uid="{00000000-0005-0000-0000-0000DF1C0000}"/>
    <cellStyle name="Normal 2 2 2 4 3 2" xfId="7359" xr:uid="{00000000-0005-0000-0000-0000E01C0000}"/>
    <cellStyle name="Normal 2 2 2 4 3 3" xfId="7360" xr:uid="{00000000-0005-0000-0000-0000E11C0000}"/>
    <cellStyle name="Normal 2 2 2 4 3_ELEC SAP FCST UPLOAD" xfId="7361" xr:uid="{00000000-0005-0000-0000-0000E21C0000}"/>
    <cellStyle name="Normal 2 2 2 4 4" xfId="7362" xr:uid="{00000000-0005-0000-0000-0000E31C0000}"/>
    <cellStyle name="Normal 2 2 2 4 5" xfId="7363" xr:uid="{00000000-0005-0000-0000-0000E41C0000}"/>
    <cellStyle name="Normal 2 2 2 4 6" xfId="7364" xr:uid="{00000000-0005-0000-0000-0000E51C0000}"/>
    <cellStyle name="Normal 2 2 2 4_ELEC SAP FCST UPLOAD" xfId="7365" xr:uid="{00000000-0005-0000-0000-0000E61C0000}"/>
    <cellStyle name="Normal 2 2 2 40" xfId="7366" xr:uid="{00000000-0005-0000-0000-0000E71C0000}"/>
    <cellStyle name="Normal 2 2 2 41" xfId="7367" xr:uid="{00000000-0005-0000-0000-0000E81C0000}"/>
    <cellStyle name="Normal 2 2 2 42" xfId="7368" xr:uid="{00000000-0005-0000-0000-0000E91C0000}"/>
    <cellStyle name="Normal 2 2 2 43" xfId="7369" xr:uid="{00000000-0005-0000-0000-0000EA1C0000}"/>
    <cellStyle name="Normal 2 2 2 44" xfId="7370" xr:uid="{00000000-0005-0000-0000-0000EB1C0000}"/>
    <cellStyle name="Normal 2 2 2 45" xfId="7371" xr:uid="{00000000-0005-0000-0000-0000EC1C0000}"/>
    <cellStyle name="Normal 2 2 2 46" xfId="7372" xr:uid="{00000000-0005-0000-0000-0000ED1C0000}"/>
    <cellStyle name="Normal 2 2 2 47" xfId="7373" xr:uid="{00000000-0005-0000-0000-0000EE1C0000}"/>
    <cellStyle name="Normal 2 2 2 48" xfId="7374" xr:uid="{00000000-0005-0000-0000-0000EF1C0000}"/>
    <cellStyle name="Normal 2 2 2 49" xfId="7375" xr:uid="{00000000-0005-0000-0000-0000F01C0000}"/>
    <cellStyle name="Normal 2 2 2 5" xfId="7376" xr:uid="{00000000-0005-0000-0000-0000F11C0000}"/>
    <cellStyle name="Normal 2 2 2 5 2" xfId="7377" xr:uid="{00000000-0005-0000-0000-0000F21C0000}"/>
    <cellStyle name="Normal 2 2 2 5 3" xfId="7378" xr:uid="{00000000-0005-0000-0000-0000F31C0000}"/>
    <cellStyle name="Normal 2 2 2 5_ELEC SAP FCST UPLOAD" xfId="7379" xr:uid="{00000000-0005-0000-0000-0000F41C0000}"/>
    <cellStyle name="Normal 2 2 2 50" xfId="7380" xr:uid="{00000000-0005-0000-0000-0000F51C0000}"/>
    <cellStyle name="Normal 2 2 2 51" xfId="7381" xr:uid="{00000000-0005-0000-0000-0000F61C0000}"/>
    <cellStyle name="Normal 2 2 2 52" xfId="7382" xr:uid="{00000000-0005-0000-0000-0000F71C0000}"/>
    <cellStyle name="Normal 2 2 2 53" xfId="7383" xr:uid="{00000000-0005-0000-0000-0000F81C0000}"/>
    <cellStyle name="Normal 2 2 2 54" xfId="7384" xr:uid="{00000000-0005-0000-0000-0000F91C0000}"/>
    <cellStyle name="Normal 2 2 2 55" xfId="7385" xr:uid="{00000000-0005-0000-0000-0000FA1C0000}"/>
    <cellStyle name="Normal 2 2 2 56" xfId="7386" xr:uid="{00000000-0005-0000-0000-0000FB1C0000}"/>
    <cellStyle name="Normal 2 2 2 57" xfId="7387" xr:uid="{00000000-0005-0000-0000-0000FC1C0000}"/>
    <cellStyle name="Normal 2 2 2 58" xfId="7388" xr:uid="{00000000-0005-0000-0000-0000FD1C0000}"/>
    <cellStyle name="Normal 2 2 2 59" xfId="7389" xr:uid="{00000000-0005-0000-0000-0000FE1C0000}"/>
    <cellStyle name="Normal 2 2 2 6" xfId="7390" xr:uid="{00000000-0005-0000-0000-0000FF1C0000}"/>
    <cellStyle name="Normal 2 2 2 60" xfId="7391" xr:uid="{00000000-0005-0000-0000-0000001D0000}"/>
    <cellStyle name="Normal 2 2 2 61" xfId="7392" xr:uid="{00000000-0005-0000-0000-0000011D0000}"/>
    <cellStyle name="Normal 2 2 2 62" xfId="7393" xr:uid="{00000000-0005-0000-0000-0000021D0000}"/>
    <cellStyle name="Normal 2 2 2 63" xfId="7394" xr:uid="{00000000-0005-0000-0000-0000031D0000}"/>
    <cellStyle name="Normal 2 2 2 64" xfId="7395" xr:uid="{00000000-0005-0000-0000-0000041D0000}"/>
    <cellStyle name="Normal 2 2 2 65" xfId="7396" xr:uid="{00000000-0005-0000-0000-0000051D0000}"/>
    <cellStyle name="Normal 2 2 2 66" xfId="7397" xr:uid="{00000000-0005-0000-0000-0000061D0000}"/>
    <cellStyle name="Normal 2 2 2 67" xfId="7398" xr:uid="{00000000-0005-0000-0000-0000071D0000}"/>
    <cellStyle name="Normal 2 2 2 68" xfId="7399" xr:uid="{00000000-0005-0000-0000-0000081D0000}"/>
    <cellStyle name="Normal 2 2 2 69" xfId="7400" xr:uid="{00000000-0005-0000-0000-0000091D0000}"/>
    <cellStyle name="Normal 2 2 2 7" xfId="7401" xr:uid="{00000000-0005-0000-0000-00000A1D0000}"/>
    <cellStyle name="Normal 2 2 2 70" xfId="7402" xr:uid="{00000000-0005-0000-0000-00000B1D0000}"/>
    <cellStyle name="Normal 2 2 2 71" xfId="7403" xr:uid="{00000000-0005-0000-0000-00000C1D0000}"/>
    <cellStyle name="Normal 2 2 2 72" xfId="7404" xr:uid="{00000000-0005-0000-0000-00000D1D0000}"/>
    <cellStyle name="Normal 2 2 2 73" xfId="7405" xr:uid="{00000000-0005-0000-0000-00000E1D0000}"/>
    <cellStyle name="Normal 2 2 2 74" xfId="7406" xr:uid="{00000000-0005-0000-0000-00000F1D0000}"/>
    <cellStyle name="Normal 2 2 2 75" xfId="7407" xr:uid="{00000000-0005-0000-0000-0000101D0000}"/>
    <cellStyle name="Normal 2 2 2 76" xfId="7408" xr:uid="{00000000-0005-0000-0000-0000111D0000}"/>
    <cellStyle name="Normal 2 2 2 77" xfId="7409" xr:uid="{00000000-0005-0000-0000-0000121D0000}"/>
    <cellStyle name="Normal 2 2 2 78" xfId="7410" xr:uid="{00000000-0005-0000-0000-0000131D0000}"/>
    <cellStyle name="Normal 2 2 2 79" xfId="7411" xr:uid="{00000000-0005-0000-0000-0000141D0000}"/>
    <cellStyle name="Normal 2 2 2 8" xfId="7412" xr:uid="{00000000-0005-0000-0000-0000151D0000}"/>
    <cellStyle name="Normal 2 2 2 80" xfId="7413" xr:uid="{00000000-0005-0000-0000-0000161D0000}"/>
    <cellStyle name="Normal 2 2 2 81" xfId="7414" xr:uid="{00000000-0005-0000-0000-0000171D0000}"/>
    <cellStyle name="Normal 2 2 2 82" xfId="7415" xr:uid="{00000000-0005-0000-0000-0000181D0000}"/>
    <cellStyle name="Normal 2 2 2 83" xfId="7416" xr:uid="{00000000-0005-0000-0000-0000191D0000}"/>
    <cellStyle name="Normal 2 2 2 84" xfId="7417" xr:uid="{00000000-0005-0000-0000-00001A1D0000}"/>
    <cellStyle name="Normal 2 2 2 85" xfId="7418" xr:uid="{00000000-0005-0000-0000-00001B1D0000}"/>
    <cellStyle name="Normal 2 2 2 86" xfId="7419" xr:uid="{00000000-0005-0000-0000-00001C1D0000}"/>
    <cellStyle name="Normal 2 2 2 9" xfId="7420" xr:uid="{00000000-0005-0000-0000-00001D1D0000}"/>
    <cellStyle name="Normal 2 2 2_3.1.2 DB Pension Detail" xfId="7421" xr:uid="{00000000-0005-0000-0000-00001E1D0000}"/>
    <cellStyle name="Normal 2 2 20" xfId="7422" xr:uid="{00000000-0005-0000-0000-00001F1D0000}"/>
    <cellStyle name="Normal 2 2 21" xfId="7423" xr:uid="{00000000-0005-0000-0000-0000201D0000}"/>
    <cellStyle name="Normal 2 2 22" xfId="7424" xr:uid="{00000000-0005-0000-0000-0000211D0000}"/>
    <cellStyle name="Normal 2 2 23" xfId="7425" xr:uid="{00000000-0005-0000-0000-0000221D0000}"/>
    <cellStyle name="Normal 2 2 24" xfId="7426" xr:uid="{00000000-0005-0000-0000-0000231D0000}"/>
    <cellStyle name="Normal 2 2 25" xfId="7427" xr:uid="{00000000-0005-0000-0000-0000241D0000}"/>
    <cellStyle name="Normal 2 2 26" xfId="7428" xr:uid="{00000000-0005-0000-0000-0000251D0000}"/>
    <cellStyle name="Normal 2 2 27" xfId="7429" xr:uid="{00000000-0005-0000-0000-0000261D0000}"/>
    <cellStyle name="Normal 2 2 28" xfId="7430" xr:uid="{00000000-0005-0000-0000-0000271D0000}"/>
    <cellStyle name="Normal 2 2 29" xfId="7431" xr:uid="{00000000-0005-0000-0000-0000281D0000}"/>
    <cellStyle name="Normal 2 2 3" xfId="7432" xr:uid="{00000000-0005-0000-0000-0000291D0000}"/>
    <cellStyle name="Normal 2 2 3 10" xfId="7433" xr:uid="{00000000-0005-0000-0000-00002A1D0000}"/>
    <cellStyle name="Normal 2 2 3 11" xfId="7434" xr:uid="{00000000-0005-0000-0000-00002B1D0000}"/>
    <cellStyle name="Normal 2 2 3 12" xfId="7435" xr:uid="{00000000-0005-0000-0000-00002C1D0000}"/>
    <cellStyle name="Normal 2 2 3 13" xfId="7436" xr:uid="{00000000-0005-0000-0000-00002D1D0000}"/>
    <cellStyle name="Normal 2 2 3 14" xfId="7437" xr:uid="{00000000-0005-0000-0000-00002E1D0000}"/>
    <cellStyle name="Normal 2 2 3 15" xfId="7438" xr:uid="{00000000-0005-0000-0000-00002F1D0000}"/>
    <cellStyle name="Normal 2 2 3 16" xfId="7439" xr:uid="{00000000-0005-0000-0000-0000301D0000}"/>
    <cellStyle name="Normal 2 2 3 17" xfId="7440" xr:uid="{00000000-0005-0000-0000-0000311D0000}"/>
    <cellStyle name="Normal 2 2 3 18" xfId="7441" xr:uid="{00000000-0005-0000-0000-0000321D0000}"/>
    <cellStyle name="Normal 2 2 3 19" xfId="7442" xr:uid="{00000000-0005-0000-0000-0000331D0000}"/>
    <cellStyle name="Normal 2 2 3 2" xfId="7443" xr:uid="{00000000-0005-0000-0000-0000341D0000}"/>
    <cellStyle name="Normal 2 2 3 2 10" xfId="7444" xr:uid="{00000000-0005-0000-0000-0000351D0000}"/>
    <cellStyle name="Normal 2 2 3 2 11" xfId="7445" xr:uid="{00000000-0005-0000-0000-0000361D0000}"/>
    <cellStyle name="Normal 2 2 3 2 12" xfId="7446" xr:uid="{00000000-0005-0000-0000-0000371D0000}"/>
    <cellStyle name="Normal 2 2 3 2 13" xfId="7447" xr:uid="{00000000-0005-0000-0000-0000381D0000}"/>
    <cellStyle name="Normal 2 2 3 2 14" xfId="7448" xr:uid="{00000000-0005-0000-0000-0000391D0000}"/>
    <cellStyle name="Normal 2 2 3 2 15" xfId="7449" xr:uid="{00000000-0005-0000-0000-00003A1D0000}"/>
    <cellStyle name="Normal 2 2 3 2 16" xfId="7450" xr:uid="{00000000-0005-0000-0000-00003B1D0000}"/>
    <cellStyle name="Normal 2 2 3 2 17" xfId="7451" xr:uid="{00000000-0005-0000-0000-00003C1D0000}"/>
    <cellStyle name="Normal 2 2 3 2 18" xfId="7452" xr:uid="{00000000-0005-0000-0000-00003D1D0000}"/>
    <cellStyle name="Normal 2 2 3 2 19" xfId="7453" xr:uid="{00000000-0005-0000-0000-00003E1D0000}"/>
    <cellStyle name="Normal 2 2 3 2 2" xfId="7454" xr:uid="{00000000-0005-0000-0000-00003F1D0000}"/>
    <cellStyle name="Normal 2 2 3 2 2 10" xfId="7455" xr:uid="{00000000-0005-0000-0000-0000401D0000}"/>
    <cellStyle name="Normal 2 2 3 2 2 11" xfId="7456" xr:uid="{00000000-0005-0000-0000-0000411D0000}"/>
    <cellStyle name="Normal 2 2 3 2 2 12" xfId="7457" xr:uid="{00000000-0005-0000-0000-0000421D0000}"/>
    <cellStyle name="Normal 2 2 3 2 2 13" xfId="7458" xr:uid="{00000000-0005-0000-0000-0000431D0000}"/>
    <cellStyle name="Normal 2 2 3 2 2 14" xfId="7459" xr:uid="{00000000-0005-0000-0000-0000441D0000}"/>
    <cellStyle name="Normal 2 2 3 2 2 15" xfId="7460" xr:uid="{00000000-0005-0000-0000-0000451D0000}"/>
    <cellStyle name="Normal 2 2 3 2 2 16" xfId="7461" xr:uid="{00000000-0005-0000-0000-0000461D0000}"/>
    <cellStyle name="Normal 2 2 3 2 2 17" xfId="7462" xr:uid="{00000000-0005-0000-0000-0000471D0000}"/>
    <cellStyle name="Normal 2 2 3 2 2 18" xfId="7463" xr:uid="{00000000-0005-0000-0000-0000481D0000}"/>
    <cellStyle name="Normal 2 2 3 2 2 19" xfId="7464" xr:uid="{00000000-0005-0000-0000-0000491D0000}"/>
    <cellStyle name="Normal 2 2 3 2 2 2" xfId="7465" xr:uid="{00000000-0005-0000-0000-00004A1D0000}"/>
    <cellStyle name="Normal 2 2 3 2 2 2 10" xfId="7466" xr:uid="{00000000-0005-0000-0000-00004B1D0000}"/>
    <cellStyle name="Normal 2 2 3 2 2 2 11" xfId="7467" xr:uid="{00000000-0005-0000-0000-00004C1D0000}"/>
    <cellStyle name="Normal 2 2 3 2 2 2 12" xfId="7468" xr:uid="{00000000-0005-0000-0000-00004D1D0000}"/>
    <cellStyle name="Normal 2 2 3 2 2 2 13" xfId="7469" xr:uid="{00000000-0005-0000-0000-00004E1D0000}"/>
    <cellStyle name="Normal 2 2 3 2 2 2 14" xfId="7470" xr:uid="{00000000-0005-0000-0000-00004F1D0000}"/>
    <cellStyle name="Normal 2 2 3 2 2 2 15" xfId="7471" xr:uid="{00000000-0005-0000-0000-0000501D0000}"/>
    <cellStyle name="Normal 2 2 3 2 2 2 16" xfId="7472" xr:uid="{00000000-0005-0000-0000-0000511D0000}"/>
    <cellStyle name="Normal 2 2 3 2 2 2 17" xfId="7473" xr:uid="{00000000-0005-0000-0000-0000521D0000}"/>
    <cellStyle name="Normal 2 2 3 2 2 2 18" xfId="7474" xr:uid="{00000000-0005-0000-0000-0000531D0000}"/>
    <cellStyle name="Normal 2 2 3 2 2 2 19" xfId="7475" xr:uid="{00000000-0005-0000-0000-0000541D0000}"/>
    <cellStyle name="Normal 2 2 3 2 2 2 2" xfId="7476" xr:uid="{00000000-0005-0000-0000-0000551D0000}"/>
    <cellStyle name="Normal 2 2 3 2 2 2 2 10" xfId="7477" xr:uid="{00000000-0005-0000-0000-0000561D0000}"/>
    <cellStyle name="Normal 2 2 3 2 2 2 2 11" xfId="7478" xr:uid="{00000000-0005-0000-0000-0000571D0000}"/>
    <cellStyle name="Normal 2 2 3 2 2 2 2 12" xfId="7479" xr:uid="{00000000-0005-0000-0000-0000581D0000}"/>
    <cellStyle name="Normal 2 2 3 2 2 2 2 13" xfId="7480" xr:uid="{00000000-0005-0000-0000-0000591D0000}"/>
    <cellStyle name="Normal 2 2 3 2 2 2 2 14" xfId="7481" xr:uid="{00000000-0005-0000-0000-00005A1D0000}"/>
    <cellStyle name="Normal 2 2 3 2 2 2 2 15" xfId="7482" xr:uid="{00000000-0005-0000-0000-00005B1D0000}"/>
    <cellStyle name="Normal 2 2 3 2 2 2 2 16" xfId="7483" xr:uid="{00000000-0005-0000-0000-00005C1D0000}"/>
    <cellStyle name="Normal 2 2 3 2 2 2 2 17" xfId="7484" xr:uid="{00000000-0005-0000-0000-00005D1D0000}"/>
    <cellStyle name="Normal 2 2 3 2 2 2 2 18" xfId="7485" xr:uid="{00000000-0005-0000-0000-00005E1D0000}"/>
    <cellStyle name="Normal 2 2 3 2 2 2 2 19" xfId="7486" xr:uid="{00000000-0005-0000-0000-00005F1D0000}"/>
    <cellStyle name="Normal 2 2 3 2 2 2 2 2" xfId="7487" xr:uid="{00000000-0005-0000-0000-0000601D0000}"/>
    <cellStyle name="Normal 2 2 3 2 2 2 2 2 10" xfId="7488" xr:uid="{00000000-0005-0000-0000-0000611D0000}"/>
    <cellStyle name="Normal 2 2 3 2 2 2 2 2 11" xfId="7489" xr:uid="{00000000-0005-0000-0000-0000621D0000}"/>
    <cellStyle name="Normal 2 2 3 2 2 2 2 2 12" xfId="7490" xr:uid="{00000000-0005-0000-0000-0000631D0000}"/>
    <cellStyle name="Normal 2 2 3 2 2 2 2 2 13" xfId="7491" xr:uid="{00000000-0005-0000-0000-0000641D0000}"/>
    <cellStyle name="Normal 2 2 3 2 2 2 2 2 14" xfId="7492" xr:uid="{00000000-0005-0000-0000-0000651D0000}"/>
    <cellStyle name="Normal 2 2 3 2 2 2 2 2 15" xfId="7493" xr:uid="{00000000-0005-0000-0000-0000661D0000}"/>
    <cellStyle name="Normal 2 2 3 2 2 2 2 2 16" xfId="7494" xr:uid="{00000000-0005-0000-0000-0000671D0000}"/>
    <cellStyle name="Normal 2 2 3 2 2 2 2 2 17" xfId="7495" xr:uid="{00000000-0005-0000-0000-0000681D0000}"/>
    <cellStyle name="Normal 2 2 3 2 2 2 2 2 18" xfId="7496" xr:uid="{00000000-0005-0000-0000-0000691D0000}"/>
    <cellStyle name="Normal 2 2 3 2 2 2 2 2 2" xfId="7497" xr:uid="{00000000-0005-0000-0000-00006A1D0000}"/>
    <cellStyle name="Normal 2 2 3 2 2 2 2 2 3" xfId="7498" xr:uid="{00000000-0005-0000-0000-00006B1D0000}"/>
    <cellStyle name="Normal 2 2 3 2 2 2 2 2 4" xfId="7499" xr:uid="{00000000-0005-0000-0000-00006C1D0000}"/>
    <cellStyle name="Normal 2 2 3 2 2 2 2 2 5" xfId="7500" xr:uid="{00000000-0005-0000-0000-00006D1D0000}"/>
    <cellStyle name="Normal 2 2 3 2 2 2 2 2 6" xfId="7501" xr:uid="{00000000-0005-0000-0000-00006E1D0000}"/>
    <cellStyle name="Normal 2 2 3 2 2 2 2 2 7" xfId="7502" xr:uid="{00000000-0005-0000-0000-00006F1D0000}"/>
    <cellStyle name="Normal 2 2 3 2 2 2 2 2 8" xfId="7503" xr:uid="{00000000-0005-0000-0000-0000701D0000}"/>
    <cellStyle name="Normal 2 2 3 2 2 2 2 2 9" xfId="7504" xr:uid="{00000000-0005-0000-0000-0000711D0000}"/>
    <cellStyle name="Normal 2 2 3 2 2 2 2 3" xfId="7505" xr:uid="{00000000-0005-0000-0000-0000721D0000}"/>
    <cellStyle name="Normal 2 2 3 2 2 2 2 4" xfId="7506" xr:uid="{00000000-0005-0000-0000-0000731D0000}"/>
    <cellStyle name="Normal 2 2 3 2 2 2 2 5" xfId="7507" xr:uid="{00000000-0005-0000-0000-0000741D0000}"/>
    <cellStyle name="Normal 2 2 3 2 2 2 2 6" xfId="7508" xr:uid="{00000000-0005-0000-0000-0000751D0000}"/>
    <cellStyle name="Normal 2 2 3 2 2 2 2 7" xfId="7509" xr:uid="{00000000-0005-0000-0000-0000761D0000}"/>
    <cellStyle name="Normal 2 2 3 2 2 2 2 8" xfId="7510" xr:uid="{00000000-0005-0000-0000-0000771D0000}"/>
    <cellStyle name="Normal 2 2 3 2 2 2 2 9" xfId="7511" xr:uid="{00000000-0005-0000-0000-0000781D0000}"/>
    <cellStyle name="Normal 2 2 3 2 2 2 2_ELEC SAP FCST UPLOAD" xfId="7512" xr:uid="{00000000-0005-0000-0000-0000791D0000}"/>
    <cellStyle name="Normal 2 2 3 2 2 2 20" xfId="7513" xr:uid="{00000000-0005-0000-0000-00007A1D0000}"/>
    <cellStyle name="Normal 2 2 3 2 2 2 21" xfId="7514" xr:uid="{00000000-0005-0000-0000-00007B1D0000}"/>
    <cellStyle name="Normal 2 2 3 2 2 2 22" xfId="7515" xr:uid="{00000000-0005-0000-0000-00007C1D0000}"/>
    <cellStyle name="Normal 2 2 3 2 2 2 3" xfId="7516" xr:uid="{00000000-0005-0000-0000-00007D1D0000}"/>
    <cellStyle name="Normal 2 2 3 2 2 2 4" xfId="7517" xr:uid="{00000000-0005-0000-0000-00007E1D0000}"/>
    <cellStyle name="Normal 2 2 3 2 2 2 5" xfId="7518" xr:uid="{00000000-0005-0000-0000-00007F1D0000}"/>
    <cellStyle name="Normal 2 2 3 2 2 2 6" xfId="7519" xr:uid="{00000000-0005-0000-0000-0000801D0000}"/>
    <cellStyle name="Normal 2 2 3 2 2 2 7" xfId="7520" xr:uid="{00000000-0005-0000-0000-0000811D0000}"/>
    <cellStyle name="Normal 2 2 3 2 2 2 8" xfId="7521" xr:uid="{00000000-0005-0000-0000-0000821D0000}"/>
    <cellStyle name="Normal 2 2 3 2 2 2 9" xfId="7522" xr:uid="{00000000-0005-0000-0000-0000831D0000}"/>
    <cellStyle name="Normal 2 2 3 2 2 2_ELEC SAP FCST UPLOAD" xfId="7523" xr:uid="{00000000-0005-0000-0000-0000841D0000}"/>
    <cellStyle name="Normal 2 2 3 2 2 20" xfId="7524" xr:uid="{00000000-0005-0000-0000-0000851D0000}"/>
    <cellStyle name="Normal 2 2 3 2 2 21" xfId="7525" xr:uid="{00000000-0005-0000-0000-0000861D0000}"/>
    <cellStyle name="Normal 2 2 3 2 2 22" xfId="7526" xr:uid="{00000000-0005-0000-0000-0000871D0000}"/>
    <cellStyle name="Normal 2 2 3 2 2 3" xfId="7527" xr:uid="{00000000-0005-0000-0000-0000881D0000}"/>
    <cellStyle name="Normal 2 2 3 2 2 3 2" xfId="7528" xr:uid="{00000000-0005-0000-0000-0000891D0000}"/>
    <cellStyle name="Normal 2 2 3 2 2 3 3" xfId="7529" xr:uid="{00000000-0005-0000-0000-00008A1D0000}"/>
    <cellStyle name="Normal 2 2 3 2 2 3_ELEC SAP FCST UPLOAD" xfId="7530" xr:uid="{00000000-0005-0000-0000-00008B1D0000}"/>
    <cellStyle name="Normal 2 2 3 2 2 4" xfId="7531" xr:uid="{00000000-0005-0000-0000-00008C1D0000}"/>
    <cellStyle name="Normal 2 2 3 2 2 5" xfId="7532" xr:uid="{00000000-0005-0000-0000-00008D1D0000}"/>
    <cellStyle name="Normal 2 2 3 2 2 6" xfId="7533" xr:uid="{00000000-0005-0000-0000-00008E1D0000}"/>
    <cellStyle name="Normal 2 2 3 2 2 7" xfId="7534" xr:uid="{00000000-0005-0000-0000-00008F1D0000}"/>
    <cellStyle name="Normal 2 2 3 2 2 8" xfId="7535" xr:uid="{00000000-0005-0000-0000-0000901D0000}"/>
    <cellStyle name="Normal 2 2 3 2 2 9" xfId="7536" xr:uid="{00000000-0005-0000-0000-0000911D0000}"/>
    <cellStyle name="Normal 2 2 3 2 2_ELEC SAP FCST UPLOAD" xfId="7537" xr:uid="{00000000-0005-0000-0000-0000921D0000}"/>
    <cellStyle name="Normal 2 2 3 2 20" xfId="7538" xr:uid="{00000000-0005-0000-0000-0000931D0000}"/>
    <cellStyle name="Normal 2 2 3 2 21" xfId="7539" xr:uid="{00000000-0005-0000-0000-0000941D0000}"/>
    <cellStyle name="Normal 2 2 3 2 22" xfId="7540" xr:uid="{00000000-0005-0000-0000-0000951D0000}"/>
    <cellStyle name="Normal 2 2 3 2 23" xfId="7541" xr:uid="{00000000-0005-0000-0000-0000961D0000}"/>
    <cellStyle name="Normal 2 2 3 2 3" xfId="7542" xr:uid="{00000000-0005-0000-0000-0000971D0000}"/>
    <cellStyle name="Normal 2 2 3 2 3 2" xfId="7543" xr:uid="{00000000-0005-0000-0000-0000981D0000}"/>
    <cellStyle name="Normal 2 2 3 2 3 3" xfId="7544" xr:uid="{00000000-0005-0000-0000-0000991D0000}"/>
    <cellStyle name="Normal 2 2 3 2 3_ELEC SAP FCST UPLOAD" xfId="7545" xr:uid="{00000000-0005-0000-0000-00009A1D0000}"/>
    <cellStyle name="Normal 2 2 3 2 4" xfId="7546" xr:uid="{00000000-0005-0000-0000-00009B1D0000}"/>
    <cellStyle name="Normal 2 2 3 2 5" xfId="7547" xr:uid="{00000000-0005-0000-0000-00009C1D0000}"/>
    <cellStyle name="Normal 2 2 3 2 6" xfId="7548" xr:uid="{00000000-0005-0000-0000-00009D1D0000}"/>
    <cellStyle name="Normal 2 2 3 2 7" xfId="7549" xr:uid="{00000000-0005-0000-0000-00009E1D0000}"/>
    <cellStyle name="Normal 2 2 3 2 8" xfId="7550" xr:uid="{00000000-0005-0000-0000-00009F1D0000}"/>
    <cellStyle name="Normal 2 2 3 2 9" xfId="7551" xr:uid="{00000000-0005-0000-0000-0000A01D0000}"/>
    <cellStyle name="Normal 2 2 3 2_ELEC SAP FCST UPLOAD" xfId="7552" xr:uid="{00000000-0005-0000-0000-0000A11D0000}"/>
    <cellStyle name="Normal 2 2 3 20" xfId="7553" xr:uid="{00000000-0005-0000-0000-0000A21D0000}"/>
    <cellStyle name="Normal 2 2 3 21" xfId="7554" xr:uid="{00000000-0005-0000-0000-0000A31D0000}"/>
    <cellStyle name="Normal 2 2 3 22" xfId="7555" xr:uid="{00000000-0005-0000-0000-0000A41D0000}"/>
    <cellStyle name="Normal 2 2 3 23" xfId="7556" xr:uid="{00000000-0005-0000-0000-0000A51D0000}"/>
    <cellStyle name="Normal 2 2 3 24" xfId="7557" xr:uid="{00000000-0005-0000-0000-0000A61D0000}"/>
    <cellStyle name="Normal 2 2 3 25" xfId="7558" xr:uid="{00000000-0005-0000-0000-0000A71D0000}"/>
    <cellStyle name="Normal 2 2 3 26" xfId="7559" xr:uid="{00000000-0005-0000-0000-0000A81D0000}"/>
    <cellStyle name="Normal 2 2 3 27" xfId="7560" xr:uid="{00000000-0005-0000-0000-0000A91D0000}"/>
    <cellStyle name="Normal 2 2 3 28" xfId="7561" xr:uid="{00000000-0005-0000-0000-0000AA1D0000}"/>
    <cellStyle name="Normal 2 2 3 29" xfId="7562" xr:uid="{00000000-0005-0000-0000-0000AB1D0000}"/>
    <cellStyle name="Normal 2 2 3 3" xfId="7563" xr:uid="{00000000-0005-0000-0000-0000AC1D0000}"/>
    <cellStyle name="Normal 2 2 3 3 2" xfId="7564" xr:uid="{00000000-0005-0000-0000-0000AD1D0000}"/>
    <cellStyle name="Normal 2 2 3 3 2 2" xfId="7565" xr:uid="{00000000-0005-0000-0000-0000AE1D0000}"/>
    <cellStyle name="Normal 2 2 3 3 2 3" xfId="7566" xr:uid="{00000000-0005-0000-0000-0000AF1D0000}"/>
    <cellStyle name="Normal 2 2 3 3 2_ELEC SAP FCST UPLOAD" xfId="7567" xr:uid="{00000000-0005-0000-0000-0000B01D0000}"/>
    <cellStyle name="Normal 2 2 3 3 3" xfId="7568" xr:uid="{00000000-0005-0000-0000-0000B11D0000}"/>
    <cellStyle name="Normal 2 2 3 3 4" xfId="7569" xr:uid="{00000000-0005-0000-0000-0000B21D0000}"/>
    <cellStyle name="Normal 2 2 3 3 5" xfId="7570" xr:uid="{00000000-0005-0000-0000-0000B31D0000}"/>
    <cellStyle name="Normal 2 2 3 3 6" xfId="7571" xr:uid="{00000000-0005-0000-0000-0000B41D0000}"/>
    <cellStyle name="Normal 2 2 3 3_ELEC SAP FCST UPLOAD" xfId="7572" xr:uid="{00000000-0005-0000-0000-0000B51D0000}"/>
    <cellStyle name="Normal 2 2 3 30" xfId="7573" xr:uid="{00000000-0005-0000-0000-0000B61D0000}"/>
    <cellStyle name="Normal 2 2 3 31" xfId="7574" xr:uid="{00000000-0005-0000-0000-0000B71D0000}"/>
    <cellStyle name="Normal 2 2 3 32" xfId="7575" xr:uid="{00000000-0005-0000-0000-0000B81D0000}"/>
    <cellStyle name="Normal 2 2 3 33" xfId="7576" xr:uid="{00000000-0005-0000-0000-0000B91D0000}"/>
    <cellStyle name="Normal 2 2 3 34" xfId="7577" xr:uid="{00000000-0005-0000-0000-0000BA1D0000}"/>
    <cellStyle name="Normal 2 2 3 35" xfId="7578" xr:uid="{00000000-0005-0000-0000-0000BB1D0000}"/>
    <cellStyle name="Normal 2 2 3 36" xfId="7579" xr:uid="{00000000-0005-0000-0000-0000BC1D0000}"/>
    <cellStyle name="Normal 2 2 3 37" xfId="7580" xr:uid="{00000000-0005-0000-0000-0000BD1D0000}"/>
    <cellStyle name="Normal 2 2 3 38" xfId="7581" xr:uid="{00000000-0005-0000-0000-0000BE1D0000}"/>
    <cellStyle name="Normal 2 2 3 39" xfId="7582" xr:uid="{00000000-0005-0000-0000-0000BF1D0000}"/>
    <cellStyle name="Normal 2 2 3 4" xfId="7583" xr:uid="{00000000-0005-0000-0000-0000C01D0000}"/>
    <cellStyle name="Normal 2 2 3 4 2" xfId="7584" xr:uid="{00000000-0005-0000-0000-0000C11D0000}"/>
    <cellStyle name="Normal 2 2 3 4 3" xfId="7585" xr:uid="{00000000-0005-0000-0000-0000C21D0000}"/>
    <cellStyle name="Normal 2 2 3 4_ELEC SAP FCST UPLOAD" xfId="7586" xr:uid="{00000000-0005-0000-0000-0000C31D0000}"/>
    <cellStyle name="Normal 2 2 3 40" xfId="7587" xr:uid="{00000000-0005-0000-0000-0000C41D0000}"/>
    <cellStyle name="Normal 2 2 3 41" xfId="7588" xr:uid="{00000000-0005-0000-0000-0000C51D0000}"/>
    <cellStyle name="Normal 2 2 3 42" xfId="7589" xr:uid="{00000000-0005-0000-0000-0000C61D0000}"/>
    <cellStyle name="Normal 2 2 3 43" xfId="7590" xr:uid="{00000000-0005-0000-0000-0000C71D0000}"/>
    <cellStyle name="Normal 2 2 3 44" xfId="7591" xr:uid="{00000000-0005-0000-0000-0000C81D0000}"/>
    <cellStyle name="Normal 2 2 3 45" xfId="7592" xr:uid="{00000000-0005-0000-0000-0000C91D0000}"/>
    <cellStyle name="Normal 2 2 3 46" xfId="7593" xr:uid="{00000000-0005-0000-0000-0000CA1D0000}"/>
    <cellStyle name="Normal 2 2 3 47" xfId="7594" xr:uid="{00000000-0005-0000-0000-0000CB1D0000}"/>
    <cellStyle name="Normal 2 2 3 48" xfId="7595" xr:uid="{00000000-0005-0000-0000-0000CC1D0000}"/>
    <cellStyle name="Normal 2 2 3 49" xfId="7596" xr:uid="{00000000-0005-0000-0000-0000CD1D0000}"/>
    <cellStyle name="Normal 2 2 3 5" xfId="7597" xr:uid="{00000000-0005-0000-0000-0000CE1D0000}"/>
    <cellStyle name="Normal 2 2 3 50" xfId="7598" xr:uid="{00000000-0005-0000-0000-0000CF1D0000}"/>
    <cellStyle name="Normal 2 2 3 51" xfId="7599" xr:uid="{00000000-0005-0000-0000-0000D01D0000}"/>
    <cellStyle name="Normal 2 2 3 52" xfId="7600" xr:uid="{00000000-0005-0000-0000-0000D11D0000}"/>
    <cellStyle name="Normal 2 2 3 53" xfId="7601" xr:uid="{00000000-0005-0000-0000-0000D21D0000}"/>
    <cellStyle name="Normal 2 2 3 54" xfId="7602" xr:uid="{00000000-0005-0000-0000-0000D31D0000}"/>
    <cellStyle name="Normal 2 2 3 55" xfId="7603" xr:uid="{00000000-0005-0000-0000-0000D41D0000}"/>
    <cellStyle name="Normal 2 2 3 56" xfId="7604" xr:uid="{00000000-0005-0000-0000-0000D51D0000}"/>
    <cellStyle name="Normal 2 2 3 57" xfId="7605" xr:uid="{00000000-0005-0000-0000-0000D61D0000}"/>
    <cellStyle name="Normal 2 2 3 58" xfId="7606" xr:uid="{00000000-0005-0000-0000-0000D71D0000}"/>
    <cellStyle name="Normal 2 2 3 59" xfId="7607" xr:uid="{00000000-0005-0000-0000-0000D81D0000}"/>
    <cellStyle name="Normal 2 2 3 6" xfId="7608" xr:uid="{00000000-0005-0000-0000-0000D91D0000}"/>
    <cellStyle name="Normal 2 2 3 60" xfId="7609" xr:uid="{00000000-0005-0000-0000-0000DA1D0000}"/>
    <cellStyle name="Normal 2 2 3 61" xfId="7610" xr:uid="{00000000-0005-0000-0000-0000DB1D0000}"/>
    <cellStyle name="Normal 2 2 3 62" xfId="7611" xr:uid="{00000000-0005-0000-0000-0000DC1D0000}"/>
    <cellStyle name="Normal 2 2 3 63" xfId="7612" xr:uid="{00000000-0005-0000-0000-0000DD1D0000}"/>
    <cellStyle name="Normal 2 2 3 64" xfId="7613" xr:uid="{00000000-0005-0000-0000-0000DE1D0000}"/>
    <cellStyle name="Normal 2 2 3 65" xfId="7614" xr:uid="{00000000-0005-0000-0000-0000DF1D0000}"/>
    <cellStyle name="Normal 2 2 3 66" xfId="7615" xr:uid="{00000000-0005-0000-0000-0000E01D0000}"/>
    <cellStyle name="Normal 2 2 3 67" xfId="7616" xr:uid="{00000000-0005-0000-0000-0000E11D0000}"/>
    <cellStyle name="Normal 2 2 3 68" xfId="7617" xr:uid="{00000000-0005-0000-0000-0000E21D0000}"/>
    <cellStyle name="Normal 2 2 3 69" xfId="7618" xr:uid="{00000000-0005-0000-0000-0000E31D0000}"/>
    <cellStyle name="Normal 2 2 3 7" xfId="7619" xr:uid="{00000000-0005-0000-0000-0000E41D0000}"/>
    <cellStyle name="Normal 2 2 3 70" xfId="7620" xr:uid="{00000000-0005-0000-0000-0000E51D0000}"/>
    <cellStyle name="Normal 2 2 3 71" xfId="7621" xr:uid="{00000000-0005-0000-0000-0000E61D0000}"/>
    <cellStyle name="Normal 2 2 3 72" xfId="7622" xr:uid="{00000000-0005-0000-0000-0000E71D0000}"/>
    <cellStyle name="Normal 2 2 3 73" xfId="7623" xr:uid="{00000000-0005-0000-0000-0000E81D0000}"/>
    <cellStyle name="Normal 2 2 3 74" xfId="7624" xr:uid="{00000000-0005-0000-0000-0000E91D0000}"/>
    <cellStyle name="Normal 2 2 3 75" xfId="7625" xr:uid="{00000000-0005-0000-0000-0000EA1D0000}"/>
    <cellStyle name="Normal 2 2 3 76" xfId="7626" xr:uid="{00000000-0005-0000-0000-0000EB1D0000}"/>
    <cellStyle name="Normal 2 2 3 77" xfId="7627" xr:uid="{00000000-0005-0000-0000-0000EC1D0000}"/>
    <cellStyle name="Normal 2 2 3 78" xfId="7628" xr:uid="{00000000-0005-0000-0000-0000ED1D0000}"/>
    <cellStyle name="Normal 2 2 3 79" xfId="7629" xr:uid="{00000000-0005-0000-0000-0000EE1D0000}"/>
    <cellStyle name="Normal 2 2 3 8" xfId="7630" xr:uid="{00000000-0005-0000-0000-0000EF1D0000}"/>
    <cellStyle name="Normal 2 2 3 8 10" xfId="7631" xr:uid="{00000000-0005-0000-0000-0000F01D0000}"/>
    <cellStyle name="Normal 2 2 3 8 11" xfId="7632" xr:uid="{00000000-0005-0000-0000-0000F11D0000}"/>
    <cellStyle name="Normal 2 2 3 8 12" xfId="7633" xr:uid="{00000000-0005-0000-0000-0000F21D0000}"/>
    <cellStyle name="Normal 2 2 3 8 13" xfId="7634" xr:uid="{00000000-0005-0000-0000-0000F31D0000}"/>
    <cellStyle name="Normal 2 2 3 8 14" xfId="7635" xr:uid="{00000000-0005-0000-0000-0000F41D0000}"/>
    <cellStyle name="Normal 2 2 3 8 15" xfId="7636" xr:uid="{00000000-0005-0000-0000-0000F51D0000}"/>
    <cellStyle name="Normal 2 2 3 8 16" xfId="7637" xr:uid="{00000000-0005-0000-0000-0000F61D0000}"/>
    <cellStyle name="Normal 2 2 3 8 17" xfId="7638" xr:uid="{00000000-0005-0000-0000-0000F71D0000}"/>
    <cellStyle name="Normal 2 2 3 8 2" xfId="7639" xr:uid="{00000000-0005-0000-0000-0000F81D0000}"/>
    <cellStyle name="Normal 2 2 3 8 3" xfId="7640" xr:uid="{00000000-0005-0000-0000-0000F91D0000}"/>
    <cellStyle name="Normal 2 2 3 8 4" xfId="7641" xr:uid="{00000000-0005-0000-0000-0000FA1D0000}"/>
    <cellStyle name="Normal 2 2 3 8 5" xfId="7642" xr:uid="{00000000-0005-0000-0000-0000FB1D0000}"/>
    <cellStyle name="Normal 2 2 3 8 6" xfId="7643" xr:uid="{00000000-0005-0000-0000-0000FC1D0000}"/>
    <cellStyle name="Normal 2 2 3 8 7" xfId="7644" xr:uid="{00000000-0005-0000-0000-0000FD1D0000}"/>
    <cellStyle name="Normal 2 2 3 8 8" xfId="7645" xr:uid="{00000000-0005-0000-0000-0000FE1D0000}"/>
    <cellStyle name="Normal 2 2 3 8 9" xfId="7646" xr:uid="{00000000-0005-0000-0000-0000FF1D0000}"/>
    <cellStyle name="Normal 2 2 3 80" xfId="7647" xr:uid="{00000000-0005-0000-0000-0000001E0000}"/>
    <cellStyle name="Normal 2 2 3 81" xfId="7648" xr:uid="{00000000-0005-0000-0000-0000011E0000}"/>
    <cellStyle name="Normal 2 2 3 82" xfId="7649" xr:uid="{00000000-0005-0000-0000-0000021E0000}"/>
    <cellStyle name="Normal 2 2 3 83" xfId="7650" xr:uid="{00000000-0005-0000-0000-0000031E0000}"/>
    <cellStyle name="Normal 2 2 3 84" xfId="7651" xr:uid="{00000000-0005-0000-0000-0000041E0000}"/>
    <cellStyle name="Normal 2 2 3 9" xfId="7652" xr:uid="{00000000-0005-0000-0000-0000051E0000}"/>
    <cellStyle name="Normal 2 2 3_ELEC SAP FCST UPLOAD" xfId="7653" xr:uid="{00000000-0005-0000-0000-0000061E0000}"/>
    <cellStyle name="Normal 2 2 30" xfId="7654" xr:uid="{00000000-0005-0000-0000-0000071E0000}"/>
    <cellStyle name="Normal 2 2 31" xfId="7655" xr:uid="{00000000-0005-0000-0000-0000081E0000}"/>
    <cellStyle name="Normal 2 2 32" xfId="7656" xr:uid="{00000000-0005-0000-0000-0000091E0000}"/>
    <cellStyle name="Normal 2 2 33" xfId="7657" xr:uid="{00000000-0005-0000-0000-00000A1E0000}"/>
    <cellStyle name="Normal 2 2 34" xfId="7658" xr:uid="{00000000-0005-0000-0000-00000B1E0000}"/>
    <cellStyle name="Normal 2 2 35" xfId="7659" xr:uid="{00000000-0005-0000-0000-00000C1E0000}"/>
    <cellStyle name="Normal 2 2 36" xfId="7660" xr:uid="{00000000-0005-0000-0000-00000D1E0000}"/>
    <cellStyle name="Normal 2 2 37" xfId="7661" xr:uid="{00000000-0005-0000-0000-00000E1E0000}"/>
    <cellStyle name="Normal 2 2 38" xfId="7662" xr:uid="{00000000-0005-0000-0000-00000F1E0000}"/>
    <cellStyle name="Normal 2 2 39" xfId="7663" xr:uid="{00000000-0005-0000-0000-0000101E0000}"/>
    <cellStyle name="Normal 2 2 4" xfId="7664" xr:uid="{00000000-0005-0000-0000-0000111E0000}"/>
    <cellStyle name="Normal 2 2 4 10" xfId="7665" xr:uid="{00000000-0005-0000-0000-0000121E0000}"/>
    <cellStyle name="Normal 2 2 4 11" xfId="7666" xr:uid="{00000000-0005-0000-0000-0000131E0000}"/>
    <cellStyle name="Normal 2 2 4 12" xfId="7667" xr:uid="{00000000-0005-0000-0000-0000141E0000}"/>
    <cellStyle name="Normal 2 2 4 13" xfId="7668" xr:uid="{00000000-0005-0000-0000-0000151E0000}"/>
    <cellStyle name="Normal 2 2 4 14" xfId="7669" xr:uid="{00000000-0005-0000-0000-0000161E0000}"/>
    <cellStyle name="Normal 2 2 4 15" xfId="7670" xr:uid="{00000000-0005-0000-0000-0000171E0000}"/>
    <cellStyle name="Normal 2 2 4 16" xfId="7671" xr:uid="{00000000-0005-0000-0000-0000181E0000}"/>
    <cellStyle name="Normal 2 2 4 17" xfId="7672" xr:uid="{00000000-0005-0000-0000-0000191E0000}"/>
    <cellStyle name="Normal 2 2 4 18" xfId="7673" xr:uid="{00000000-0005-0000-0000-00001A1E0000}"/>
    <cellStyle name="Normal 2 2 4 19" xfId="7674" xr:uid="{00000000-0005-0000-0000-00001B1E0000}"/>
    <cellStyle name="Normal 2 2 4 2" xfId="7675" xr:uid="{00000000-0005-0000-0000-00001C1E0000}"/>
    <cellStyle name="Normal 2 2 4 2 10" xfId="7676" xr:uid="{00000000-0005-0000-0000-00001D1E0000}"/>
    <cellStyle name="Normal 2 2 4 2 11" xfId="7677" xr:uid="{00000000-0005-0000-0000-00001E1E0000}"/>
    <cellStyle name="Normal 2 2 4 2 12" xfId="7678" xr:uid="{00000000-0005-0000-0000-00001F1E0000}"/>
    <cellStyle name="Normal 2 2 4 2 13" xfId="7679" xr:uid="{00000000-0005-0000-0000-0000201E0000}"/>
    <cellStyle name="Normal 2 2 4 2 14" xfId="7680" xr:uid="{00000000-0005-0000-0000-0000211E0000}"/>
    <cellStyle name="Normal 2 2 4 2 15" xfId="7681" xr:uid="{00000000-0005-0000-0000-0000221E0000}"/>
    <cellStyle name="Normal 2 2 4 2 16" xfId="7682" xr:uid="{00000000-0005-0000-0000-0000231E0000}"/>
    <cellStyle name="Normal 2 2 4 2 17" xfId="7683" xr:uid="{00000000-0005-0000-0000-0000241E0000}"/>
    <cellStyle name="Normal 2 2 4 2 18" xfId="7684" xr:uid="{00000000-0005-0000-0000-0000251E0000}"/>
    <cellStyle name="Normal 2 2 4 2 19" xfId="7685" xr:uid="{00000000-0005-0000-0000-0000261E0000}"/>
    <cellStyle name="Normal 2 2 4 2 2" xfId="7686" xr:uid="{00000000-0005-0000-0000-0000271E0000}"/>
    <cellStyle name="Normal 2 2 4 2 2 10" xfId="7687" xr:uid="{00000000-0005-0000-0000-0000281E0000}"/>
    <cellStyle name="Normal 2 2 4 2 2 11" xfId="7688" xr:uid="{00000000-0005-0000-0000-0000291E0000}"/>
    <cellStyle name="Normal 2 2 4 2 2 12" xfId="7689" xr:uid="{00000000-0005-0000-0000-00002A1E0000}"/>
    <cellStyle name="Normal 2 2 4 2 2 13" xfId="7690" xr:uid="{00000000-0005-0000-0000-00002B1E0000}"/>
    <cellStyle name="Normal 2 2 4 2 2 14" xfId="7691" xr:uid="{00000000-0005-0000-0000-00002C1E0000}"/>
    <cellStyle name="Normal 2 2 4 2 2 15" xfId="7692" xr:uid="{00000000-0005-0000-0000-00002D1E0000}"/>
    <cellStyle name="Normal 2 2 4 2 2 16" xfId="7693" xr:uid="{00000000-0005-0000-0000-00002E1E0000}"/>
    <cellStyle name="Normal 2 2 4 2 2 17" xfId="7694" xr:uid="{00000000-0005-0000-0000-00002F1E0000}"/>
    <cellStyle name="Normal 2 2 4 2 2 18" xfId="7695" xr:uid="{00000000-0005-0000-0000-0000301E0000}"/>
    <cellStyle name="Normal 2 2 4 2 2 19" xfId="7696" xr:uid="{00000000-0005-0000-0000-0000311E0000}"/>
    <cellStyle name="Normal 2 2 4 2 2 2" xfId="7697" xr:uid="{00000000-0005-0000-0000-0000321E0000}"/>
    <cellStyle name="Normal 2 2 4 2 2 2 10" xfId="7698" xr:uid="{00000000-0005-0000-0000-0000331E0000}"/>
    <cellStyle name="Normal 2 2 4 2 2 2 11" xfId="7699" xr:uid="{00000000-0005-0000-0000-0000341E0000}"/>
    <cellStyle name="Normal 2 2 4 2 2 2 12" xfId="7700" xr:uid="{00000000-0005-0000-0000-0000351E0000}"/>
    <cellStyle name="Normal 2 2 4 2 2 2 13" xfId="7701" xr:uid="{00000000-0005-0000-0000-0000361E0000}"/>
    <cellStyle name="Normal 2 2 4 2 2 2 14" xfId="7702" xr:uid="{00000000-0005-0000-0000-0000371E0000}"/>
    <cellStyle name="Normal 2 2 4 2 2 2 15" xfId="7703" xr:uid="{00000000-0005-0000-0000-0000381E0000}"/>
    <cellStyle name="Normal 2 2 4 2 2 2 16" xfId="7704" xr:uid="{00000000-0005-0000-0000-0000391E0000}"/>
    <cellStyle name="Normal 2 2 4 2 2 2 17" xfId="7705" xr:uid="{00000000-0005-0000-0000-00003A1E0000}"/>
    <cellStyle name="Normal 2 2 4 2 2 2 18" xfId="7706" xr:uid="{00000000-0005-0000-0000-00003B1E0000}"/>
    <cellStyle name="Normal 2 2 4 2 2 2 2" xfId="7707" xr:uid="{00000000-0005-0000-0000-00003C1E0000}"/>
    <cellStyle name="Normal 2 2 4 2 2 2 3" xfId="7708" xr:uid="{00000000-0005-0000-0000-00003D1E0000}"/>
    <cellStyle name="Normal 2 2 4 2 2 2 4" xfId="7709" xr:uid="{00000000-0005-0000-0000-00003E1E0000}"/>
    <cellStyle name="Normal 2 2 4 2 2 2 5" xfId="7710" xr:uid="{00000000-0005-0000-0000-00003F1E0000}"/>
    <cellStyle name="Normal 2 2 4 2 2 2 6" xfId="7711" xr:uid="{00000000-0005-0000-0000-0000401E0000}"/>
    <cellStyle name="Normal 2 2 4 2 2 2 7" xfId="7712" xr:uid="{00000000-0005-0000-0000-0000411E0000}"/>
    <cellStyle name="Normal 2 2 4 2 2 2 8" xfId="7713" xr:uid="{00000000-0005-0000-0000-0000421E0000}"/>
    <cellStyle name="Normal 2 2 4 2 2 2 9" xfId="7714" xr:uid="{00000000-0005-0000-0000-0000431E0000}"/>
    <cellStyle name="Normal 2 2 4 2 2 3" xfId="7715" xr:uid="{00000000-0005-0000-0000-0000441E0000}"/>
    <cellStyle name="Normal 2 2 4 2 2 4" xfId="7716" xr:uid="{00000000-0005-0000-0000-0000451E0000}"/>
    <cellStyle name="Normal 2 2 4 2 2 5" xfId="7717" xr:uid="{00000000-0005-0000-0000-0000461E0000}"/>
    <cellStyle name="Normal 2 2 4 2 2 6" xfId="7718" xr:uid="{00000000-0005-0000-0000-0000471E0000}"/>
    <cellStyle name="Normal 2 2 4 2 2 7" xfId="7719" xr:uid="{00000000-0005-0000-0000-0000481E0000}"/>
    <cellStyle name="Normal 2 2 4 2 2 8" xfId="7720" xr:uid="{00000000-0005-0000-0000-0000491E0000}"/>
    <cellStyle name="Normal 2 2 4 2 2 9" xfId="7721" xr:uid="{00000000-0005-0000-0000-00004A1E0000}"/>
    <cellStyle name="Normal 2 2 4 2 2_ELEC SAP FCST UPLOAD" xfId="7722" xr:uid="{00000000-0005-0000-0000-00004B1E0000}"/>
    <cellStyle name="Normal 2 2 4 2 20" xfId="7723" xr:uid="{00000000-0005-0000-0000-00004C1E0000}"/>
    <cellStyle name="Normal 2 2 4 2 21" xfId="7724" xr:uid="{00000000-0005-0000-0000-00004D1E0000}"/>
    <cellStyle name="Normal 2 2 4 2 22" xfId="7725" xr:uid="{00000000-0005-0000-0000-00004E1E0000}"/>
    <cellStyle name="Normal 2 2 4 2 3" xfId="7726" xr:uid="{00000000-0005-0000-0000-00004F1E0000}"/>
    <cellStyle name="Normal 2 2 4 2 4" xfId="7727" xr:uid="{00000000-0005-0000-0000-0000501E0000}"/>
    <cellStyle name="Normal 2 2 4 2 5" xfId="7728" xr:uid="{00000000-0005-0000-0000-0000511E0000}"/>
    <cellStyle name="Normal 2 2 4 2 6" xfId="7729" xr:uid="{00000000-0005-0000-0000-0000521E0000}"/>
    <cellStyle name="Normal 2 2 4 2 7" xfId="7730" xr:uid="{00000000-0005-0000-0000-0000531E0000}"/>
    <cellStyle name="Normal 2 2 4 2 8" xfId="7731" xr:uid="{00000000-0005-0000-0000-0000541E0000}"/>
    <cellStyle name="Normal 2 2 4 2 9" xfId="7732" xr:uid="{00000000-0005-0000-0000-0000551E0000}"/>
    <cellStyle name="Normal 2 2 4 2_ELEC SAP FCST UPLOAD" xfId="7733" xr:uid="{00000000-0005-0000-0000-0000561E0000}"/>
    <cellStyle name="Normal 2 2 4 20" xfId="7734" xr:uid="{00000000-0005-0000-0000-0000571E0000}"/>
    <cellStyle name="Normal 2 2 4 21" xfId="7735" xr:uid="{00000000-0005-0000-0000-0000581E0000}"/>
    <cellStyle name="Normal 2 2 4 22" xfId="7736" xr:uid="{00000000-0005-0000-0000-0000591E0000}"/>
    <cellStyle name="Normal 2 2 4 23" xfId="7737" xr:uid="{00000000-0005-0000-0000-00005A1E0000}"/>
    <cellStyle name="Normal 2 2 4 24" xfId="7738" xr:uid="{00000000-0005-0000-0000-00005B1E0000}"/>
    <cellStyle name="Normal 2 2 4 25" xfId="7739" xr:uid="{00000000-0005-0000-0000-00005C1E0000}"/>
    <cellStyle name="Normal 2 2 4 26" xfId="7740" xr:uid="{00000000-0005-0000-0000-00005D1E0000}"/>
    <cellStyle name="Normal 2 2 4 27" xfId="7741" xr:uid="{00000000-0005-0000-0000-00005E1E0000}"/>
    <cellStyle name="Normal 2 2 4 28" xfId="7742" xr:uid="{00000000-0005-0000-0000-00005F1E0000}"/>
    <cellStyle name="Normal 2 2 4 29" xfId="7743" xr:uid="{00000000-0005-0000-0000-0000601E0000}"/>
    <cellStyle name="Normal 2 2 4 3" xfId="7744" xr:uid="{00000000-0005-0000-0000-0000611E0000}"/>
    <cellStyle name="Normal 2 2 4 3 2" xfId="7745" xr:uid="{00000000-0005-0000-0000-0000621E0000}"/>
    <cellStyle name="Normal 2 2 4 3 3" xfId="7746" xr:uid="{00000000-0005-0000-0000-0000631E0000}"/>
    <cellStyle name="Normal 2 2 4 3_ELEC SAP FCST UPLOAD" xfId="7747" xr:uid="{00000000-0005-0000-0000-0000641E0000}"/>
    <cellStyle name="Normal 2 2 4 30" xfId="7748" xr:uid="{00000000-0005-0000-0000-0000651E0000}"/>
    <cellStyle name="Normal 2 2 4 31" xfId="7749" xr:uid="{00000000-0005-0000-0000-0000661E0000}"/>
    <cellStyle name="Normal 2 2 4 32" xfId="7750" xr:uid="{00000000-0005-0000-0000-0000671E0000}"/>
    <cellStyle name="Normal 2 2 4 33" xfId="7751" xr:uid="{00000000-0005-0000-0000-0000681E0000}"/>
    <cellStyle name="Normal 2 2 4 34" xfId="7752" xr:uid="{00000000-0005-0000-0000-0000691E0000}"/>
    <cellStyle name="Normal 2 2 4 35" xfId="7753" xr:uid="{00000000-0005-0000-0000-00006A1E0000}"/>
    <cellStyle name="Normal 2 2 4 36" xfId="7754" xr:uid="{00000000-0005-0000-0000-00006B1E0000}"/>
    <cellStyle name="Normal 2 2 4 37" xfId="7755" xr:uid="{00000000-0005-0000-0000-00006C1E0000}"/>
    <cellStyle name="Normal 2 2 4 38" xfId="7756" xr:uid="{00000000-0005-0000-0000-00006D1E0000}"/>
    <cellStyle name="Normal 2 2 4 39" xfId="7757" xr:uid="{00000000-0005-0000-0000-00006E1E0000}"/>
    <cellStyle name="Normal 2 2 4 4" xfId="7758" xr:uid="{00000000-0005-0000-0000-00006F1E0000}"/>
    <cellStyle name="Normal 2 2 4 40" xfId="7759" xr:uid="{00000000-0005-0000-0000-0000701E0000}"/>
    <cellStyle name="Normal 2 2 4 41" xfId="7760" xr:uid="{00000000-0005-0000-0000-0000711E0000}"/>
    <cellStyle name="Normal 2 2 4 42" xfId="7761" xr:uid="{00000000-0005-0000-0000-0000721E0000}"/>
    <cellStyle name="Normal 2 2 4 43" xfId="7762" xr:uid="{00000000-0005-0000-0000-0000731E0000}"/>
    <cellStyle name="Normal 2 2 4 44" xfId="7763" xr:uid="{00000000-0005-0000-0000-0000741E0000}"/>
    <cellStyle name="Normal 2 2 4 45" xfId="7764" xr:uid="{00000000-0005-0000-0000-0000751E0000}"/>
    <cellStyle name="Normal 2 2 4 46" xfId="7765" xr:uid="{00000000-0005-0000-0000-0000761E0000}"/>
    <cellStyle name="Normal 2 2 4 47" xfId="7766" xr:uid="{00000000-0005-0000-0000-0000771E0000}"/>
    <cellStyle name="Normal 2 2 4 48" xfId="7767" xr:uid="{00000000-0005-0000-0000-0000781E0000}"/>
    <cellStyle name="Normal 2 2 4 49" xfId="7768" xr:uid="{00000000-0005-0000-0000-0000791E0000}"/>
    <cellStyle name="Normal 2 2 4 5" xfId="7769" xr:uid="{00000000-0005-0000-0000-00007A1E0000}"/>
    <cellStyle name="Normal 2 2 4 50" xfId="7770" xr:uid="{00000000-0005-0000-0000-00007B1E0000}"/>
    <cellStyle name="Normal 2 2 4 51" xfId="7771" xr:uid="{00000000-0005-0000-0000-00007C1E0000}"/>
    <cellStyle name="Normal 2 2 4 52" xfId="7772" xr:uid="{00000000-0005-0000-0000-00007D1E0000}"/>
    <cellStyle name="Normal 2 2 4 53" xfId="7773" xr:uid="{00000000-0005-0000-0000-00007E1E0000}"/>
    <cellStyle name="Normal 2 2 4 54" xfId="7774" xr:uid="{00000000-0005-0000-0000-00007F1E0000}"/>
    <cellStyle name="Normal 2 2 4 55" xfId="7775" xr:uid="{00000000-0005-0000-0000-0000801E0000}"/>
    <cellStyle name="Normal 2 2 4 56" xfId="7776" xr:uid="{00000000-0005-0000-0000-0000811E0000}"/>
    <cellStyle name="Normal 2 2 4 57" xfId="7777" xr:uid="{00000000-0005-0000-0000-0000821E0000}"/>
    <cellStyle name="Normal 2 2 4 58" xfId="7778" xr:uid="{00000000-0005-0000-0000-0000831E0000}"/>
    <cellStyle name="Normal 2 2 4 59" xfId="7779" xr:uid="{00000000-0005-0000-0000-0000841E0000}"/>
    <cellStyle name="Normal 2 2 4 6" xfId="7780" xr:uid="{00000000-0005-0000-0000-0000851E0000}"/>
    <cellStyle name="Normal 2 2 4 60" xfId="7781" xr:uid="{00000000-0005-0000-0000-0000861E0000}"/>
    <cellStyle name="Normal 2 2 4 61" xfId="7782" xr:uid="{00000000-0005-0000-0000-0000871E0000}"/>
    <cellStyle name="Normal 2 2 4 62" xfId="7783" xr:uid="{00000000-0005-0000-0000-0000881E0000}"/>
    <cellStyle name="Normal 2 2 4 63" xfId="7784" xr:uid="{00000000-0005-0000-0000-0000891E0000}"/>
    <cellStyle name="Normal 2 2 4 64" xfId="7785" xr:uid="{00000000-0005-0000-0000-00008A1E0000}"/>
    <cellStyle name="Normal 2 2 4 65" xfId="7786" xr:uid="{00000000-0005-0000-0000-00008B1E0000}"/>
    <cellStyle name="Normal 2 2 4 66" xfId="7787" xr:uid="{00000000-0005-0000-0000-00008C1E0000}"/>
    <cellStyle name="Normal 2 2 4 67" xfId="7788" xr:uid="{00000000-0005-0000-0000-00008D1E0000}"/>
    <cellStyle name="Normal 2 2 4 68" xfId="7789" xr:uid="{00000000-0005-0000-0000-00008E1E0000}"/>
    <cellStyle name="Normal 2 2 4 69" xfId="7790" xr:uid="{00000000-0005-0000-0000-00008F1E0000}"/>
    <cellStyle name="Normal 2 2 4 7" xfId="7791" xr:uid="{00000000-0005-0000-0000-0000901E0000}"/>
    <cellStyle name="Normal 2 2 4 7 10" xfId="7792" xr:uid="{00000000-0005-0000-0000-0000911E0000}"/>
    <cellStyle name="Normal 2 2 4 7 11" xfId="7793" xr:uid="{00000000-0005-0000-0000-0000921E0000}"/>
    <cellStyle name="Normal 2 2 4 7 12" xfId="7794" xr:uid="{00000000-0005-0000-0000-0000931E0000}"/>
    <cellStyle name="Normal 2 2 4 7 13" xfId="7795" xr:uid="{00000000-0005-0000-0000-0000941E0000}"/>
    <cellStyle name="Normal 2 2 4 7 14" xfId="7796" xr:uid="{00000000-0005-0000-0000-0000951E0000}"/>
    <cellStyle name="Normal 2 2 4 7 15" xfId="7797" xr:uid="{00000000-0005-0000-0000-0000961E0000}"/>
    <cellStyle name="Normal 2 2 4 7 16" xfId="7798" xr:uid="{00000000-0005-0000-0000-0000971E0000}"/>
    <cellStyle name="Normal 2 2 4 7 17" xfId="7799" xr:uid="{00000000-0005-0000-0000-0000981E0000}"/>
    <cellStyle name="Normal 2 2 4 7 2" xfId="7800" xr:uid="{00000000-0005-0000-0000-0000991E0000}"/>
    <cellStyle name="Normal 2 2 4 7 3" xfId="7801" xr:uid="{00000000-0005-0000-0000-00009A1E0000}"/>
    <cellStyle name="Normal 2 2 4 7 4" xfId="7802" xr:uid="{00000000-0005-0000-0000-00009B1E0000}"/>
    <cellStyle name="Normal 2 2 4 7 5" xfId="7803" xr:uid="{00000000-0005-0000-0000-00009C1E0000}"/>
    <cellStyle name="Normal 2 2 4 7 6" xfId="7804" xr:uid="{00000000-0005-0000-0000-00009D1E0000}"/>
    <cellStyle name="Normal 2 2 4 7 7" xfId="7805" xr:uid="{00000000-0005-0000-0000-00009E1E0000}"/>
    <cellStyle name="Normal 2 2 4 7 8" xfId="7806" xr:uid="{00000000-0005-0000-0000-00009F1E0000}"/>
    <cellStyle name="Normal 2 2 4 7 9" xfId="7807" xr:uid="{00000000-0005-0000-0000-0000A01E0000}"/>
    <cellStyle name="Normal 2 2 4 70" xfId="7808" xr:uid="{00000000-0005-0000-0000-0000A11E0000}"/>
    <cellStyle name="Normal 2 2 4 71" xfId="7809" xr:uid="{00000000-0005-0000-0000-0000A21E0000}"/>
    <cellStyle name="Normal 2 2 4 72" xfId="7810" xr:uid="{00000000-0005-0000-0000-0000A31E0000}"/>
    <cellStyle name="Normal 2 2 4 73" xfId="7811" xr:uid="{00000000-0005-0000-0000-0000A41E0000}"/>
    <cellStyle name="Normal 2 2 4 74" xfId="7812" xr:uid="{00000000-0005-0000-0000-0000A51E0000}"/>
    <cellStyle name="Normal 2 2 4 75" xfId="7813" xr:uid="{00000000-0005-0000-0000-0000A61E0000}"/>
    <cellStyle name="Normal 2 2 4 76" xfId="7814" xr:uid="{00000000-0005-0000-0000-0000A71E0000}"/>
    <cellStyle name="Normal 2 2 4 77" xfId="7815" xr:uid="{00000000-0005-0000-0000-0000A81E0000}"/>
    <cellStyle name="Normal 2 2 4 78" xfId="7816" xr:uid="{00000000-0005-0000-0000-0000A91E0000}"/>
    <cellStyle name="Normal 2 2 4 79" xfId="7817" xr:uid="{00000000-0005-0000-0000-0000AA1E0000}"/>
    <cellStyle name="Normal 2 2 4 8" xfId="7818" xr:uid="{00000000-0005-0000-0000-0000AB1E0000}"/>
    <cellStyle name="Normal 2 2 4 80" xfId="7819" xr:uid="{00000000-0005-0000-0000-0000AC1E0000}"/>
    <cellStyle name="Normal 2 2 4 81" xfId="7820" xr:uid="{00000000-0005-0000-0000-0000AD1E0000}"/>
    <cellStyle name="Normal 2 2 4 82" xfId="7821" xr:uid="{00000000-0005-0000-0000-0000AE1E0000}"/>
    <cellStyle name="Normal 2 2 4 83" xfId="7822" xr:uid="{00000000-0005-0000-0000-0000AF1E0000}"/>
    <cellStyle name="Normal 2 2 4 9" xfId="7823" xr:uid="{00000000-0005-0000-0000-0000B01E0000}"/>
    <cellStyle name="Normal 2 2 4_ELEC SAP FCST UPLOAD" xfId="7824" xr:uid="{00000000-0005-0000-0000-0000B11E0000}"/>
    <cellStyle name="Normal 2 2 40" xfId="7825" xr:uid="{00000000-0005-0000-0000-0000B21E0000}"/>
    <cellStyle name="Normal 2 2 41" xfId="7826" xr:uid="{00000000-0005-0000-0000-0000B31E0000}"/>
    <cellStyle name="Normal 2 2 42" xfId="7827" xr:uid="{00000000-0005-0000-0000-0000B41E0000}"/>
    <cellStyle name="Normal 2 2 43" xfId="7828" xr:uid="{00000000-0005-0000-0000-0000B51E0000}"/>
    <cellStyle name="Normal 2 2 44" xfId="7829" xr:uid="{00000000-0005-0000-0000-0000B61E0000}"/>
    <cellStyle name="Normal 2 2 45" xfId="7830" xr:uid="{00000000-0005-0000-0000-0000B71E0000}"/>
    <cellStyle name="Normal 2 2 46" xfId="7831" xr:uid="{00000000-0005-0000-0000-0000B81E0000}"/>
    <cellStyle name="Normal 2 2 47" xfId="7832" xr:uid="{00000000-0005-0000-0000-0000B91E0000}"/>
    <cellStyle name="Normal 2 2 48" xfId="7833" xr:uid="{00000000-0005-0000-0000-0000BA1E0000}"/>
    <cellStyle name="Normal 2 2 48 10" xfId="7834" xr:uid="{00000000-0005-0000-0000-0000BB1E0000}"/>
    <cellStyle name="Normal 2 2 48 11" xfId="7835" xr:uid="{00000000-0005-0000-0000-0000BC1E0000}"/>
    <cellStyle name="Normal 2 2 48 12" xfId="7836" xr:uid="{00000000-0005-0000-0000-0000BD1E0000}"/>
    <cellStyle name="Normal 2 2 48 13" xfId="7837" xr:uid="{00000000-0005-0000-0000-0000BE1E0000}"/>
    <cellStyle name="Normal 2 2 48 14" xfId="7838" xr:uid="{00000000-0005-0000-0000-0000BF1E0000}"/>
    <cellStyle name="Normal 2 2 48 15" xfId="7839" xr:uid="{00000000-0005-0000-0000-0000C01E0000}"/>
    <cellStyle name="Normal 2 2 48 16" xfId="7840" xr:uid="{00000000-0005-0000-0000-0000C11E0000}"/>
    <cellStyle name="Normal 2 2 48 17" xfId="7841" xr:uid="{00000000-0005-0000-0000-0000C21E0000}"/>
    <cellStyle name="Normal 2 2 48 2" xfId="7842" xr:uid="{00000000-0005-0000-0000-0000C31E0000}"/>
    <cellStyle name="Normal 2 2 48 3" xfId="7843" xr:uid="{00000000-0005-0000-0000-0000C41E0000}"/>
    <cellStyle name="Normal 2 2 48 4" xfId="7844" xr:uid="{00000000-0005-0000-0000-0000C51E0000}"/>
    <cellStyle name="Normal 2 2 48 5" xfId="7845" xr:uid="{00000000-0005-0000-0000-0000C61E0000}"/>
    <cellStyle name="Normal 2 2 48 6" xfId="7846" xr:uid="{00000000-0005-0000-0000-0000C71E0000}"/>
    <cellStyle name="Normal 2 2 48 7" xfId="7847" xr:uid="{00000000-0005-0000-0000-0000C81E0000}"/>
    <cellStyle name="Normal 2 2 48 8" xfId="7848" xr:uid="{00000000-0005-0000-0000-0000C91E0000}"/>
    <cellStyle name="Normal 2 2 48 9" xfId="7849" xr:uid="{00000000-0005-0000-0000-0000CA1E0000}"/>
    <cellStyle name="Normal 2 2 49" xfId="7850" xr:uid="{00000000-0005-0000-0000-0000CB1E0000}"/>
    <cellStyle name="Normal 2 2 49 10" xfId="7851" xr:uid="{00000000-0005-0000-0000-0000CC1E0000}"/>
    <cellStyle name="Normal 2 2 49 11" xfId="7852" xr:uid="{00000000-0005-0000-0000-0000CD1E0000}"/>
    <cellStyle name="Normal 2 2 49 12" xfId="7853" xr:uid="{00000000-0005-0000-0000-0000CE1E0000}"/>
    <cellStyle name="Normal 2 2 49 13" xfId="7854" xr:uid="{00000000-0005-0000-0000-0000CF1E0000}"/>
    <cellStyle name="Normal 2 2 49 14" xfId="7855" xr:uid="{00000000-0005-0000-0000-0000D01E0000}"/>
    <cellStyle name="Normal 2 2 49 15" xfId="7856" xr:uid="{00000000-0005-0000-0000-0000D11E0000}"/>
    <cellStyle name="Normal 2 2 49 16" xfId="7857" xr:uid="{00000000-0005-0000-0000-0000D21E0000}"/>
    <cellStyle name="Normal 2 2 49 17" xfId="7858" xr:uid="{00000000-0005-0000-0000-0000D31E0000}"/>
    <cellStyle name="Normal 2 2 49 2" xfId="7859" xr:uid="{00000000-0005-0000-0000-0000D41E0000}"/>
    <cellStyle name="Normal 2 2 49 3" xfId="7860" xr:uid="{00000000-0005-0000-0000-0000D51E0000}"/>
    <cellStyle name="Normal 2 2 49 4" xfId="7861" xr:uid="{00000000-0005-0000-0000-0000D61E0000}"/>
    <cellStyle name="Normal 2 2 49 5" xfId="7862" xr:uid="{00000000-0005-0000-0000-0000D71E0000}"/>
    <cellStyle name="Normal 2 2 49 6" xfId="7863" xr:uid="{00000000-0005-0000-0000-0000D81E0000}"/>
    <cellStyle name="Normal 2 2 49 7" xfId="7864" xr:uid="{00000000-0005-0000-0000-0000D91E0000}"/>
    <cellStyle name="Normal 2 2 49 8" xfId="7865" xr:uid="{00000000-0005-0000-0000-0000DA1E0000}"/>
    <cellStyle name="Normal 2 2 49 9" xfId="7866" xr:uid="{00000000-0005-0000-0000-0000DB1E0000}"/>
    <cellStyle name="Normal 2 2 5" xfId="7867" xr:uid="{00000000-0005-0000-0000-0000DC1E0000}"/>
    <cellStyle name="Normal 2 2 5 10" xfId="7868" xr:uid="{00000000-0005-0000-0000-0000DD1E0000}"/>
    <cellStyle name="Normal 2 2 5 11" xfId="7869" xr:uid="{00000000-0005-0000-0000-0000DE1E0000}"/>
    <cellStyle name="Normal 2 2 5 12" xfId="7870" xr:uid="{00000000-0005-0000-0000-0000DF1E0000}"/>
    <cellStyle name="Normal 2 2 5 13" xfId="7871" xr:uid="{00000000-0005-0000-0000-0000E01E0000}"/>
    <cellStyle name="Normal 2 2 5 14" xfId="7872" xr:uid="{00000000-0005-0000-0000-0000E11E0000}"/>
    <cellStyle name="Normal 2 2 5 15" xfId="7873" xr:uid="{00000000-0005-0000-0000-0000E21E0000}"/>
    <cellStyle name="Normal 2 2 5 16" xfId="7874" xr:uid="{00000000-0005-0000-0000-0000E31E0000}"/>
    <cellStyle name="Normal 2 2 5 17" xfId="7875" xr:uid="{00000000-0005-0000-0000-0000E41E0000}"/>
    <cellStyle name="Normal 2 2 5 18" xfId="7876" xr:uid="{00000000-0005-0000-0000-0000E51E0000}"/>
    <cellStyle name="Normal 2 2 5 19" xfId="7877" xr:uid="{00000000-0005-0000-0000-0000E61E0000}"/>
    <cellStyle name="Normal 2 2 5 2" xfId="7878" xr:uid="{00000000-0005-0000-0000-0000E71E0000}"/>
    <cellStyle name="Normal 2 2 5 2 10" xfId="7879" xr:uid="{00000000-0005-0000-0000-0000E81E0000}"/>
    <cellStyle name="Normal 2 2 5 2 11" xfId="7880" xr:uid="{00000000-0005-0000-0000-0000E91E0000}"/>
    <cellStyle name="Normal 2 2 5 2 12" xfId="7881" xr:uid="{00000000-0005-0000-0000-0000EA1E0000}"/>
    <cellStyle name="Normal 2 2 5 2 13" xfId="7882" xr:uid="{00000000-0005-0000-0000-0000EB1E0000}"/>
    <cellStyle name="Normal 2 2 5 2 14" xfId="7883" xr:uid="{00000000-0005-0000-0000-0000EC1E0000}"/>
    <cellStyle name="Normal 2 2 5 2 15" xfId="7884" xr:uid="{00000000-0005-0000-0000-0000ED1E0000}"/>
    <cellStyle name="Normal 2 2 5 2 16" xfId="7885" xr:uid="{00000000-0005-0000-0000-0000EE1E0000}"/>
    <cellStyle name="Normal 2 2 5 2 17" xfId="7886" xr:uid="{00000000-0005-0000-0000-0000EF1E0000}"/>
    <cellStyle name="Normal 2 2 5 2 18" xfId="7887" xr:uid="{00000000-0005-0000-0000-0000F01E0000}"/>
    <cellStyle name="Normal 2 2 5 2 2" xfId="7888" xr:uid="{00000000-0005-0000-0000-0000F11E0000}"/>
    <cellStyle name="Normal 2 2 5 2 3" xfId="7889" xr:uid="{00000000-0005-0000-0000-0000F21E0000}"/>
    <cellStyle name="Normal 2 2 5 2 4" xfId="7890" xr:uid="{00000000-0005-0000-0000-0000F31E0000}"/>
    <cellStyle name="Normal 2 2 5 2 5" xfId="7891" xr:uid="{00000000-0005-0000-0000-0000F41E0000}"/>
    <cellStyle name="Normal 2 2 5 2 6" xfId="7892" xr:uid="{00000000-0005-0000-0000-0000F51E0000}"/>
    <cellStyle name="Normal 2 2 5 2 7" xfId="7893" xr:uid="{00000000-0005-0000-0000-0000F61E0000}"/>
    <cellStyle name="Normal 2 2 5 2 8" xfId="7894" xr:uid="{00000000-0005-0000-0000-0000F71E0000}"/>
    <cellStyle name="Normal 2 2 5 2 9" xfId="7895" xr:uid="{00000000-0005-0000-0000-0000F81E0000}"/>
    <cellStyle name="Normal 2 2 5 20" xfId="7896" xr:uid="{00000000-0005-0000-0000-0000F91E0000}"/>
    <cellStyle name="Normal 2 2 5 21" xfId="7897" xr:uid="{00000000-0005-0000-0000-0000FA1E0000}"/>
    <cellStyle name="Normal 2 2 5 22" xfId="7898" xr:uid="{00000000-0005-0000-0000-0000FB1E0000}"/>
    <cellStyle name="Normal 2 2 5 23" xfId="7899" xr:uid="{00000000-0005-0000-0000-0000FC1E0000}"/>
    <cellStyle name="Normal 2 2 5 24" xfId="7900" xr:uid="{00000000-0005-0000-0000-0000FD1E0000}"/>
    <cellStyle name="Normal 2 2 5 25" xfId="7901" xr:uid="{00000000-0005-0000-0000-0000FE1E0000}"/>
    <cellStyle name="Normal 2 2 5 26" xfId="7902" xr:uid="{00000000-0005-0000-0000-0000FF1E0000}"/>
    <cellStyle name="Normal 2 2 5 27" xfId="7903" xr:uid="{00000000-0005-0000-0000-0000001F0000}"/>
    <cellStyle name="Normal 2 2 5 28" xfId="7904" xr:uid="{00000000-0005-0000-0000-0000011F0000}"/>
    <cellStyle name="Normal 2 2 5 29" xfId="7905" xr:uid="{00000000-0005-0000-0000-0000021F0000}"/>
    <cellStyle name="Normal 2 2 5 3" xfId="7906" xr:uid="{00000000-0005-0000-0000-0000031F0000}"/>
    <cellStyle name="Normal 2 2 5 30" xfId="7907" xr:uid="{00000000-0005-0000-0000-0000041F0000}"/>
    <cellStyle name="Normal 2 2 5 31" xfId="7908" xr:uid="{00000000-0005-0000-0000-0000051F0000}"/>
    <cellStyle name="Normal 2 2 5 32" xfId="7909" xr:uid="{00000000-0005-0000-0000-0000061F0000}"/>
    <cellStyle name="Normal 2 2 5 33" xfId="7910" xr:uid="{00000000-0005-0000-0000-0000071F0000}"/>
    <cellStyle name="Normal 2 2 5 34" xfId="7911" xr:uid="{00000000-0005-0000-0000-0000081F0000}"/>
    <cellStyle name="Normal 2 2 5 35" xfId="7912" xr:uid="{00000000-0005-0000-0000-0000091F0000}"/>
    <cellStyle name="Normal 2 2 5 36" xfId="7913" xr:uid="{00000000-0005-0000-0000-00000A1F0000}"/>
    <cellStyle name="Normal 2 2 5 37" xfId="7914" xr:uid="{00000000-0005-0000-0000-00000B1F0000}"/>
    <cellStyle name="Normal 2 2 5 38" xfId="7915" xr:uid="{00000000-0005-0000-0000-00000C1F0000}"/>
    <cellStyle name="Normal 2 2 5 39" xfId="7916" xr:uid="{00000000-0005-0000-0000-00000D1F0000}"/>
    <cellStyle name="Normal 2 2 5 4" xfId="7917" xr:uid="{00000000-0005-0000-0000-00000E1F0000}"/>
    <cellStyle name="Normal 2 2 5 4 10" xfId="7918" xr:uid="{00000000-0005-0000-0000-00000F1F0000}"/>
    <cellStyle name="Normal 2 2 5 4 11" xfId="7919" xr:uid="{00000000-0005-0000-0000-0000101F0000}"/>
    <cellStyle name="Normal 2 2 5 4 12" xfId="7920" xr:uid="{00000000-0005-0000-0000-0000111F0000}"/>
    <cellStyle name="Normal 2 2 5 4 13" xfId="7921" xr:uid="{00000000-0005-0000-0000-0000121F0000}"/>
    <cellStyle name="Normal 2 2 5 4 14" xfId="7922" xr:uid="{00000000-0005-0000-0000-0000131F0000}"/>
    <cellStyle name="Normal 2 2 5 4 15" xfId="7923" xr:uid="{00000000-0005-0000-0000-0000141F0000}"/>
    <cellStyle name="Normal 2 2 5 4 16" xfId="7924" xr:uid="{00000000-0005-0000-0000-0000151F0000}"/>
    <cellStyle name="Normal 2 2 5 4 17" xfId="7925" xr:uid="{00000000-0005-0000-0000-0000161F0000}"/>
    <cellStyle name="Normal 2 2 5 4 2" xfId="7926" xr:uid="{00000000-0005-0000-0000-0000171F0000}"/>
    <cellStyle name="Normal 2 2 5 4 3" xfId="7927" xr:uid="{00000000-0005-0000-0000-0000181F0000}"/>
    <cellStyle name="Normal 2 2 5 4 4" xfId="7928" xr:uid="{00000000-0005-0000-0000-0000191F0000}"/>
    <cellStyle name="Normal 2 2 5 4 5" xfId="7929" xr:uid="{00000000-0005-0000-0000-00001A1F0000}"/>
    <cellStyle name="Normal 2 2 5 4 6" xfId="7930" xr:uid="{00000000-0005-0000-0000-00001B1F0000}"/>
    <cellStyle name="Normal 2 2 5 4 7" xfId="7931" xr:uid="{00000000-0005-0000-0000-00001C1F0000}"/>
    <cellStyle name="Normal 2 2 5 4 8" xfId="7932" xr:uid="{00000000-0005-0000-0000-00001D1F0000}"/>
    <cellStyle name="Normal 2 2 5 4 9" xfId="7933" xr:uid="{00000000-0005-0000-0000-00001E1F0000}"/>
    <cellStyle name="Normal 2 2 5 40" xfId="7934" xr:uid="{00000000-0005-0000-0000-00001F1F0000}"/>
    <cellStyle name="Normal 2 2 5 41" xfId="7935" xr:uid="{00000000-0005-0000-0000-0000201F0000}"/>
    <cellStyle name="Normal 2 2 5 42" xfId="7936" xr:uid="{00000000-0005-0000-0000-0000211F0000}"/>
    <cellStyle name="Normal 2 2 5 43" xfId="7937" xr:uid="{00000000-0005-0000-0000-0000221F0000}"/>
    <cellStyle name="Normal 2 2 5 44" xfId="7938" xr:uid="{00000000-0005-0000-0000-0000231F0000}"/>
    <cellStyle name="Normal 2 2 5 45" xfId="7939" xr:uid="{00000000-0005-0000-0000-0000241F0000}"/>
    <cellStyle name="Normal 2 2 5 46" xfId="7940" xr:uid="{00000000-0005-0000-0000-0000251F0000}"/>
    <cellStyle name="Normal 2 2 5 47" xfId="7941" xr:uid="{00000000-0005-0000-0000-0000261F0000}"/>
    <cellStyle name="Normal 2 2 5 48" xfId="7942" xr:uid="{00000000-0005-0000-0000-0000271F0000}"/>
    <cellStyle name="Normal 2 2 5 49" xfId="7943" xr:uid="{00000000-0005-0000-0000-0000281F0000}"/>
    <cellStyle name="Normal 2 2 5 5" xfId="7944" xr:uid="{00000000-0005-0000-0000-0000291F0000}"/>
    <cellStyle name="Normal 2 2 5 50" xfId="7945" xr:uid="{00000000-0005-0000-0000-00002A1F0000}"/>
    <cellStyle name="Normal 2 2 5 51" xfId="7946" xr:uid="{00000000-0005-0000-0000-00002B1F0000}"/>
    <cellStyle name="Normal 2 2 5 52" xfId="7947" xr:uid="{00000000-0005-0000-0000-00002C1F0000}"/>
    <cellStyle name="Normal 2 2 5 53" xfId="7948" xr:uid="{00000000-0005-0000-0000-00002D1F0000}"/>
    <cellStyle name="Normal 2 2 5 54" xfId="7949" xr:uid="{00000000-0005-0000-0000-00002E1F0000}"/>
    <cellStyle name="Normal 2 2 5 55" xfId="7950" xr:uid="{00000000-0005-0000-0000-00002F1F0000}"/>
    <cellStyle name="Normal 2 2 5 56" xfId="7951" xr:uid="{00000000-0005-0000-0000-0000301F0000}"/>
    <cellStyle name="Normal 2 2 5 57" xfId="7952" xr:uid="{00000000-0005-0000-0000-0000311F0000}"/>
    <cellStyle name="Normal 2 2 5 58" xfId="7953" xr:uid="{00000000-0005-0000-0000-0000321F0000}"/>
    <cellStyle name="Normal 2 2 5 59" xfId="7954" xr:uid="{00000000-0005-0000-0000-0000331F0000}"/>
    <cellStyle name="Normal 2 2 5 6" xfId="7955" xr:uid="{00000000-0005-0000-0000-0000341F0000}"/>
    <cellStyle name="Normal 2 2 5 60" xfId="7956" xr:uid="{00000000-0005-0000-0000-0000351F0000}"/>
    <cellStyle name="Normal 2 2 5 61" xfId="7957" xr:uid="{00000000-0005-0000-0000-0000361F0000}"/>
    <cellStyle name="Normal 2 2 5 62" xfId="7958" xr:uid="{00000000-0005-0000-0000-0000371F0000}"/>
    <cellStyle name="Normal 2 2 5 63" xfId="7959" xr:uid="{00000000-0005-0000-0000-0000381F0000}"/>
    <cellStyle name="Normal 2 2 5 64" xfId="7960" xr:uid="{00000000-0005-0000-0000-0000391F0000}"/>
    <cellStyle name="Normal 2 2 5 65" xfId="7961" xr:uid="{00000000-0005-0000-0000-00003A1F0000}"/>
    <cellStyle name="Normal 2 2 5 66" xfId="7962" xr:uid="{00000000-0005-0000-0000-00003B1F0000}"/>
    <cellStyle name="Normal 2 2 5 67" xfId="7963" xr:uid="{00000000-0005-0000-0000-00003C1F0000}"/>
    <cellStyle name="Normal 2 2 5 68" xfId="7964" xr:uid="{00000000-0005-0000-0000-00003D1F0000}"/>
    <cellStyle name="Normal 2 2 5 69" xfId="7965" xr:uid="{00000000-0005-0000-0000-00003E1F0000}"/>
    <cellStyle name="Normal 2 2 5 7" xfId="7966" xr:uid="{00000000-0005-0000-0000-00003F1F0000}"/>
    <cellStyle name="Normal 2 2 5 70" xfId="7967" xr:uid="{00000000-0005-0000-0000-0000401F0000}"/>
    <cellStyle name="Normal 2 2 5 71" xfId="7968" xr:uid="{00000000-0005-0000-0000-0000411F0000}"/>
    <cellStyle name="Normal 2 2 5 72" xfId="7969" xr:uid="{00000000-0005-0000-0000-0000421F0000}"/>
    <cellStyle name="Normal 2 2 5 73" xfId="7970" xr:uid="{00000000-0005-0000-0000-0000431F0000}"/>
    <cellStyle name="Normal 2 2 5 74" xfId="7971" xr:uid="{00000000-0005-0000-0000-0000441F0000}"/>
    <cellStyle name="Normal 2 2 5 75" xfId="7972" xr:uid="{00000000-0005-0000-0000-0000451F0000}"/>
    <cellStyle name="Normal 2 2 5 76" xfId="7973" xr:uid="{00000000-0005-0000-0000-0000461F0000}"/>
    <cellStyle name="Normal 2 2 5 77" xfId="7974" xr:uid="{00000000-0005-0000-0000-0000471F0000}"/>
    <cellStyle name="Normal 2 2 5 78" xfId="7975" xr:uid="{00000000-0005-0000-0000-0000481F0000}"/>
    <cellStyle name="Normal 2 2 5 79" xfId="7976" xr:uid="{00000000-0005-0000-0000-0000491F0000}"/>
    <cellStyle name="Normal 2 2 5 8" xfId="7977" xr:uid="{00000000-0005-0000-0000-00004A1F0000}"/>
    <cellStyle name="Normal 2 2 5 80" xfId="7978" xr:uid="{00000000-0005-0000-0000-00004B1F0000}"/>
    <cellStyle name="Normal 2 2 5 9" xfId="7979" xr:uid="{00000000-0005-0000-0000-00004C1F0000}"/>
    <cellStyle name="Normal 2 2 5_ELEC SAP FCST UPLOAD" xfId="7980" xr:uid="{00000000-0005-0000-0000-00004D1F0000}"/>
    <cellStyle name="Normal 2 2 50" xfId="7981" xr:uid="{00000000-0005-0000-0000-00004E1F0000}"/>
    <cellStyle name="Normal 2 2 51" xfId="7982" xr:uid="{00000000-0005-0000-0000-00004F1F0000}"/>
    <cellStyle name="Normal 2 2 52" xfId="7983" xr:uid="{00000000-0005-0000-0000-0000501F0000}"/>
    <cellStyle name="Normal 2 2 53" xfId="7984" xr:uid="{00000000-0005-0000-0000-0000511F0000}"/>
    <cellStyle name="Normal 2 2 54" xfId="7985" xr:uid="{00000000-0005-0000-0000-0000521F0000}"/>
    <cellStyle name="Normal 2 2 55" xfId="7986" xr:uid="{00000000-0005-0000-0000-0000531F0000}"/>
    <cellStyle name="Normal 2 2 56" xfId="7987" xr:uid="{00000000-0005-0000-0000-0000541F0000}"/>
    <cellStyle name="Normal 2 2 57" xfId="7988" xr:uid="{00000000-0005-0000-0000-0000551F0000}"/>
    <cellStyle name="Normal 2 2 58" xfId="7989" xr:uid="{00000000-0005-0000-0000-0000561F0000}"/>
    <cellStyle name="Normal 2 2 59" xfId="7990" xr:uid="{00000000-0005-0000-0000-0000571F0000}"/>
    <cellStyle name="Normal 2 2 6" xfId="7991" xr:uid="{00000000-0005-0000-0000-0000581F0000}"/>
    <cellStyle name="Normal 2 2 6 10" xfId="7992" xr:uid="{00000000-0005-0000-0000-0000591F0000}"/>
    <cellStyle name="Normal 2 2 6 11" xfId="7993" xr:uid="{00000000-0005-0000-0000-00005A1F0000}"/>
    <cellStyle name="Normal 2 2 6 12" xfId="7994" xr:uid="{00000000-0005-0000-0000-00005B1F0000}"/>
    <cellStyle name="Normal 2 2 6 13" xfId="7995" xr:uid="{00000000-0005-0000-0000-00005C1F0000}"/>
    <cellStyle name="Normal 2 2 6 14" xfId="7996" xr:uid="{00000000-0005-0000-0000-00005D1F0000}"/>
    <cellStyle name="Normal 2 2 6 15" xfId="7997" xr:uid="{00000000-0005-0000-0000-00005E1F0000}"/>
    <cellStyle name="Normal 2 2 6 16" xfId="7998" xr:uid="{00000000-0005-0000-0000-00005F1F0000}"/>
    <cellStyle name="Normal 2 2 6 17" xfId="7999" xr:uid="{00000000-0005-0000-0000-0000601F0000}"/>
    <cellStyle name="Normal 2 2 6 18" xfId="8000" xr:uid="{00000000-0005-0000-0000-0000611F0000}"/>
    <cellStyle name="Normal 2 2 6 19" xfId="8001" xr:uid="{00000000-0005-0000-0000-0000621F0000}"/>
    <cellStyle name="Normal 2 2 6 2" xfId="8002" xr:uid="{00000000-0005-0000-0000-0000631F0000}"/>
    <cellStyle name="Normal 2 2 6 2 10" xfId="8003" xr:uid="{00000000-0005-0000-0000-0000641F0000}"/>
    <cellStyle name="Normal 2 2 6 2 11" xfId="8004" xr:uid="{00000000-0005-0000-0000-0000651F0000}"/>
    <cellStyle name="Normal 2 2 6 2 12" xfId="8005" xr:uid="{00000000-0005-0000-0000-0000661F0000}"/>
    <cellStyle name="Normal 2 2 6 2 13" xfId="8006" xr:uid="{00000000-0005-0000-0000-0000671F0000}"/>
    <cellStyle name="Normal 2 2 6 2 14" xfId="8007" xr:uid="{00000000-0005-0000-0000-0000681F0000}"/>
    <cellStyle name="Normal 2 2 6 2 15" xfId="8008" xr:uid="{00000000-0005-0000-0000-0000691F0000}"/>
    <cellStyle name="Normal 2 2 6 2 16" xfId="8009" xr:uid="{00000000-0005-0000-0000-00006A1F0000}"/>
    <cellStyle name="Normal 2 2 6 2 17" xfId="8010" xr:uid="{00000000-0005-0000-0000-00006B1F0000}"/>
    <cellStyle name="Normal 2 2 6 2 2" xfId="8011" xr:uid="{00000000-0005-0000-0000-00006C1F0000}"/>
    <cellStyle name="Normal 2 2 6 2 3" xfId="8012" xr:uid="{00000000-0005-0000-0000-00006D1F0000}"/>
    <cellStyle name="Normal 2 2 6 2 4" xfId="8013" xr:uid="{00000000-0005-0000-0000-00006E1F0000}"/>
    <cellStyle name="Normal 2 2 6 2 5" xfId="8014" xr:uid="{00000000-0005-0000-0000-00006F1F0000}"/>
    <cellStyle name="Normal 2 2 6 2 6" xfId="8015" xr:uid="{00000000-0005-0000-0000-0000701F0000}"/>
    <cellStyle name="Normal 2 2 6 2 7" xfId="8016" xr:uid="{00000000-0005-0000-0000-0000711F0000}"/>
    <cellStyle name="Normal 2 2 6 2 8" xfId="8017" xr:uid="{00000000-0005-0000-0000-0000721F0000}"/>
    <cellStyle name="Normal 2 2 6 2 9" xfId="8018" xr:uid="{00000000-0005-0000-0000-0000731F0000}"/>
    <cellStyle name="Normal 2 2 6 20" xfId="8019" xr:uid="{00000000-0005-0000-0000-0000741F0000}"/>
    <cellStyle name="Normal 2 2 6 21" xfId="8020" xr:uid="{00000000-0005-0000-0000-0000751F0000}"/>
    <cellStyle name="Normal 2 2 6 22" xfId="8021" xr:uid="{00000000-0005-0000-0000-0000761F0000}"/>
    <cellStyle name="Normal 2 2 6 23" xfId="8022" xr:uid="{00000000-0005-0000-0000-0000771F0000}"/>
    <cellStyle name="Normal 2 2 6 24" xfId="8023" xr:uid="{00000000-0005-0000-0000-0000781F0000}"/>
    <cellStyle name="Normal 2 2 6 25" xfId="8024" xr:uid="{00000000-0005-0000-0000-0000791F0000}"/>
    <cellStyle name="Normal 2 2 6 26" xfId="8025" xr:uid="{00000000-0005-0000-0000-00007A1F0000}"/>
    <cellStyle name="Normal 2 2 6 27" xfId="8026" xr:uid="{00000000-0005-0000-0000-00007B1F0000}"/>
    <cellStyle name="Normal 2 2 6 28" xfId="8027" xr:uid="{00000000-0005-0000-0000-00007C1F0000}"/>
    <cellStyle name="Normal 2 2 6 29" xfId="8028" xr:uid="{00000000-0005-0000-0000-00007D1F0000}"/>
    <cellStyle name="Normal 2 2 6 3" xfId="8029" xr:uid="{00000000-0005-0000-0000-00007E1F0000}"/>
    <cellStyle name="Normal 2 2 6 3 10" xfId="8030" xr:uid="{00000000-0005-0000-0000-00007F1F0000}"/>
    <cellStyle name="Normal 2 2 6 3 11" xfId="8031" xr:uid="{00000000-0005-0000-0000-0000801F0000}"/>
    <cellStyle name="Normal 2 2 6 3 12" xfId="8032" xr:uid="{00000000-0005-0000-0000-0000811F0000}"/>
    <cellStyle name="Normal 2 2 6 3 13" xfId="8033" xr:uid="{00000000-0005-0000-0000-0000821F0000}"/>
    <cellStyle name="Normal 2 2 6 3 14" xfId="8034" xr:uid="{00000000-0005-0000-0000-0000831F0000}"/>
    <cellStyle name="Normal 2 2 6 3 15" xfId="8035" xr:uid="{00000000-0005-0000-0000-0000841F0000}"/>
    <cellStyle name="Normal 2 2 6 3 16" xfId="8036" xr:uid="{00000000-0005-0000-0000-0000851F0000}"/>
    <cellStyle name="Normal 2 2 6 3 17" xfId="8037" xr:uid="{00000000-0005-0000-0000-0000861F0000}"/>
    <cellStyle name="Normal 2 2 6 3 2" xfId="8038" xr:uid="{00000000-0005-0000-0000-0000871F0000}"/>
    <cellStyle name="Normal 2 2 6 3 3" xfId="8039" xr:uid="{00000000-0005-0000-0000-0000881F0000}"/>
    <cellStyle name="Normal 2 2 6 3 4" xfId="8040" xr:uid="{00000000-0005-0000-0000-0000891F0000}"/>
    <cellStyle name="Normal 2 2 6 3 5" xfId="8041" xr:uid="{00000000-0005-0000-0000-00008A1F0000}"/>
    <cellStyle name="Normal 2 2 6 3 6" xfId="8042" xr:uid="{00000000-0005-0000-0000-00008B1F0000}"/>
    <cellStyle name="Normal 2 2 6 3 7" xfId="8043" xr:uid="{00000000-0005-0000-0000-00008C1F0000}"/>
    <cellStyle name="Normal 2 2 6 3 8" xfId="8044" xr:uid="{00000000-0005-0000-0000-00008D1F0000}"/>
    <cellStyle name="Normal 2 2 6 3 9" xfId="8045" xr:uid="{00000000-0005-0000-0000-00008E1F0000}"/>
    <cellStyle name="Normal 2 2 6 30" xfId="8046" xr:uid="{00000000-0005-0000-0000-00008F1F0000}"/>
    <cellStyle name="Normal 2 2 6 31" xfId="8047" xr:uid="{00000000-0005-0000-0000-0000901F0000}"/>
    <cellStyle name="Normal 2 2 6 32" xfId="8048" xr:uid="{00000000-0005-0000-0000-0000911F0000}"/>
    <cellStyle name="Normal 2 2 6 33" xfId="8049" xr:uid="{00000000-0005-0000-0000-0000921F0000}"/>
    <cellStyle name="Normal 2 2 6 34" xfId="8050" xr:uid="{00000000-0005-0000-0000-0000931F0000}"/>
    <cellStyle name="Normal 2 2 6 35" xfId="8051" xr:uid="{00000000-0005-0000-0000-0000941F0000}"/>
    <cellStyle name="Normal 2 2 6 36" xfId="8052" xr:uid="{00000000-0005-0000-0000-0000951F0000}"/>
    <cellStyle name="Normal 2 2 6 37" xfId="8053" xr:uid="{00000000-0005-0000-0000-0000961F0000}"/>
    <cellStyle name="Normal 2 2 6 38" xfId="8054" xr:uid="{00000000-0005-0000-0000-0000971F0000}"/>
    <cellStyle name="Normal 2 2 6 39" xfId="8055" xr:uid="{00000000-0005-0000-0000-0000981F0000}"/>
    <cellStyle name="Normal 2 2 6 4" xfId="8056" xr:uid="{00000000-0005-0000-0000-0000991F0000}"/>
    <cellStyle name="Normal 2 2 6 40" xfId="8057" xr:uid="{00000000-0005-0000-0000-00009A1F0000}"/>
    <cellStyle name="Normal 2 2 6 41" xfId="8058" xr:uid="{00000000-0005-0000-0000-00009B1F0000}"/>
    <cellStyle name="Normal 2 2 6 42" xfId="8059" xr:uid="{00000000-0005-0000-0000-00009C1F0000}"/>
    <cellStyle name="Normal 2 2 6 43" xfId="8060" xr:uid="{00000000-0005-0000-0000-00009D1F0000}"/>
    <cellStyle name="Normal 2 2 6 44" xfId="8061" xr:uid="{00000000-0005-0000-0000-00009E1F0000}"/>
    <cellStyle name="Normal 2 2 6 45" xfId="8062" xr:uid="{00000000-0005-0000-0000-00009F1F0000}"/>
    <cellStyle name="Normal 2 2 6 46" xfId="8063" xr:uid="{00000000-0005-0000-0000-0000A01F0000}"/>
    <cellStyle name="Normal 2 2 6 47" xfId="8064" xr:uid="{00000000-0005-0000-0000-0000A11F0000}"/>
    <cellStyle name="Normal 2 2 6 48" xfId="8065" xr:uid="{00000000-0005-0000-0000-0000A21F0000}"/>
    <cellStyle name="Normal 2 2 6 49" xfId="8066" xr:uid="{00000000-0005-0000-0000-0000A31F0000}"/>
    <cellStyle name="Normal 2 2 6 5" xfId="8067" xr:uid="{00000000-0005-0000-0000-0000A41F0000}"/>
    <cellStyle name="Normal 2 2 6 50" xfId="8068" xr:uid="{00000000-0005-0000-0000-0000A51F0000}"/>
    <cellStyle name="Normal 2 2 6 51" xfId="8069" xr:uid="{00000000-0005-0000-0000-0000A61F0000}"/>
    <cellStyle name="Normal 2 2 6 52" xfId="8070" xr:uid="{00000000-0005-0000-0000-0000A71F0000}"/>
    <cellStyle name="Normal 2 2 6 53" xfId="8071" xr:uid="{00000000-0005-0000-0000-0000A81F0000}"/>
    <cellStyle name="Normal 2 2 6 54" xfId="8072" xr:uid="{00000000-0005-0000-0000-0000A91F0000}"/>
    <cellStyle name="Normal 2 2 6 55" xfId="8073" xr:uid="{00000000-0005-0000-0000-0000AA1F0000}"/>
    <cellStyle name="Normal 2 2 6 56" xfId="8074" xr:uid="{00000000-0005-0000-0000-0000AB1F0000}"/>
    <cellStyle name="Normal 2 2 6 57" xfId="8075" xr:uid="{00000000-0005-0000-0000-0000AC1F0000}"/>
    <cellStyle name="Normal 2 2 6 58" xfId="8076" xr:uid="{00000000-0005-0000-0000-0000AD1F0000}"/>
    <cellStyle name="Normal 2 2 6 59" xfId="8077" xr:uid="{00000000-0005-0000-0000-0000AE1F0000}"/>
    <cellStyle name="Normal 2 2 6 6" xfId="8078" xr:uid="{00000000-0005-0000-0000-0000AF1F0000}"/>
    <cellStyle name="Normal 2 2 6 60" xfId="8079" xr:uid="{00000000-0005-0000-0000-0000B01F0000}"/>
    <cellStyle name="Normal 2 2 6 61" xfId="8080" xr:uid="{00000000-0005-0000-0000-0000B11F0000}"/>
    <cellStyle name="Normal 2 2 6 62" xfId="8081" xr:uid="{00000000-0005-0000-0000-0000B21F0000}"/>
    <cellStyle name="Normal 2 2 6 63" xfId="8082" xr:uid="{00000000-0005-0000-0000-0000B31F0000}"/>
    <cellStyle name="Normal 2 2 6 64" xfId="8083" xr:uid="{00000000-0005-0000-0000-0000B41F0000}"/>
    <cellStyle name="Normal 2 2 6 65" xfId="8084" xr:uid="{00000000-0005-0000-0000-0000B51F0000}"/>
    <cellStyle name="Normal 2 2 6 66" xfId="8085" xr:uid="{00000000-0005-0000-0000-0000B61F0000}"/>
    <cellStyle name="Normal 2 2 6 67" xfId="8086" xr:uid="{00000000-0005-0000-0000-0000B71F0000}"/>
    <cellStyle name="Normal 2 2 6 68" xfId="8087" xr:uid="{00000000-0005-0000-0000-0000B81F0000}"/>
    <cellStyle name="Normal 2 2 6 69" xfId="8088" xr:uid="{00000000-0005-0000-0000-0000B91F0000}"/>
    <cellStyle name="Normal 2 2 6 7" xfId="8089" xr:uid="{00000000-0005-0000-0000-0000BA1F0000}"/>
    <cellStyle name="Normal 2 2 6 70" xfId="8090" xr:uid="{00000000-0005-0000-0000-0000BB1F0000}"/>
    <cellStyle name="Normal 2 2 6 71" xfId="8091" xr:uid="{00000000-0005-0000-0000-0000BC1F0000}"/>
    <cellStyle name="Normal 2 2 6 72" xfId="8092" xr:uid="{00000000-0005-0000-0000-0000BD1F0000}"/>
    <cellStyle name="Normal 2 2 6 73" xfId="8093" xr:uid="{00000000-0005-0000-0000-0000BE1F0000}"/>
    <cellStyle name="Normal 2 2 6 74" xfId="8094" xr:uid="{00000000-0005-0000-0000-0000BF1F0000}"/>
    <cellStyle name="Normal 2 2 6 75" xfId="8095" xr:uid="{00000000-0005-0000-0000-0000C01F0000}"/>
    <cellStyle name="Normal 2 2 6 76" xfId="8096" xr:uid="{00000000-0005-0000-0000-0000C11F0000}"/>
    <cellStyle name="Normal 2 2 6 77" xfId="8097" xr:uid="{00000000-0005-0000-0000-0000C21F0000}"/>
    <cellStyle name="Normal 2 2 6 78" xfId="8098" xr:uid="{00000000-0005-0000-0000-0000C31F0000}"/>
    <cellStyle name="Normal 2 2 6 8" xfId="8099" xr:uid="{00000000-0005-0000-0000-0000C41F0000}"/>
    <cellStyle name="Normal 2 2 6 9" xfId="8100" xr:uid="{00000000-0005-0000-0000-0000C51F0000}"/>
    <cellStyle name="Normal 2 2 60" xfId="8101" xr:uid="{00000000-0005-0000-0000-0000C61F0000}"/>
    <cellStyle name="Normal 2 2 61" xfId="8102" xr:uid="{00000000-0005-0000-0000-0000C71F0000}"/>
    <cellStyle name="Normal 2 2 62" xfId="8103" xr:uid="{00000000-0005-0000-0000-0000C81F0000}"/>
    <cellStyle name="Normal 2 2 63" xfId="8104" xr:uid="{00000000-0005-0000-0000-0000C91F0000}"/>
    <cellStyle name="Normal 2 2 64" xfId="8105" xr:uid="{00000000-0005-0000-0000-0000CA1F0000}"/>
    <cellStyle name="Normal 2 2 65" xfId="8106" xr:uid="{00000000-0005-0000-0000-0000CB1F0000}"/>
    <cellStyle name="Normal 2 2 66" xfId="8107" xr:uid="{00000000-0005-0000-0000-0000CC1F0000}"/>
    <cellStyle name="Normal 2 2 67" xfId="8108" xr:uid="{00000000-0005-0000-0000-0000CD1F0000}"/>
    <cellStyle name="Normal 2 2 68" xfId="8109" xr:uid="{00000000-0005-0000-0000-0000CE1F0000}"/>
    <cellStyle name="Normal 2 2 69" xfId="8110" xr:uid="{00000000-0005-0000-0000-0000CF1F0000}"/>
    <cellStyle name="Normal 2 2 7" xfId="8111" xr:uid="{00000000-0005-0000-0000-0000D01F0000}"/>
    <cellStyle name="Normal 2 2 7 10" xfId="8112" xr:uid="{00000000-0005-0000-0000-0000D11F0000}"/>
    <cellStyle name="Normal 2 2 7 11" xfId="8113" xr:uid="{00000000-0005-0000-0000-0000D21F0000}"/>
    <cellStyle name="Normal 2 2 7 12" xfId="8114" xr:uid="{00000000-0005-0000-0000-0000D31F0000}"/>
    <cellStyle name="Normal 2 2 7 13" xfId="8115" xr:uid="{00000000-0005-0000-0000-0000D41F0000}"/>
    <cellStyle name="Normal 2 2 7 14" xfId="8116" xr:uid="{00000000-0005-0000-0000-0000D51F0000}"/>
    <cellStyle name="Normal 2 2 7 15" xfId="8117" xr:uid="{00000000-0005-0000-0000-0000D61F0000}"/>
    <cellStyle name="Normal 2 2 7 16" xfId="8118" xr:uid="{00000000-0005-0000-0000-0000D71F0000}"/>
    <cellStyle name="Normal 2 2 7 17" xfId="8119" xr:uid="{00000000-0005-0000-0000-0000D81F0000}"/>
    <cellStyle name="Normal 2 2 7 18" xfId="8120" xr:uid="{00000000-0005-0000-0000-0000D91F0000}"/>
    <cellStyle name="Normal 2 2 7 19" xfId="8121" xr:uid="{00000000-0005-0000-0000-0000DA1F0000}"/>
    <cellStyle name="Normal 2 2 7 2" xfId="8122" xr:uid="{00000000-0005-0000-0000-0000DB1F0000}"/>
    <cellStyle name="Normal 2 2 7 2 10" xfId="8123" xr:uid="{00000000-0005-0000-0000-0000DC1F0000}"/>
    <cellStyle name="Normal 2 2 7 2 11" xfId="8124" xr:uid="{00000000-0005-0000-0000-0000DD1F0000}"/>
    <cellStyle name="Normal 2 2 7 2 12" xfId="8125" xr:uid="{00000000-0005-0000-0000-0000DE1F0000}"/>
    <cellStyle name="Normal 2 2 7 2 13" xfId="8126" xr:uid="{00000000-0005-0000-0000-0000DF1F0000}"/>
    <cellStyle name="Normal 2 2 7 2 14" xfId="8127" xr:uid="{00000000-0005-0000-0000-0000E01F0000}"/>
    <cellStyle name="Normal 2 2 7 2 15" xfId="8128" xr:uid="{00000000-0005-0000-0000-0000E11F0000}"/>
    <cellStyle name="Normal 2 2 7 2 16" xfId="8129" xr:uid="{00000000-0005-0000-0000-0000E21F0000}"/>
    <cellStyle name="Normal 2 2 7 2 17" xfId="8130" xr:uid="{00000000-0005-0000-0000-0000E31F0000}"/>
    <cellStyle name="Normal 2 2 7 2 2" xfId="8131" xr:uid="{00000000-0005-0000-0000-0000E41F0000}"/>
    <cellStyle name="Normal 2 2 7 2 3" xfId="8132" xr:uid="{00000000-0005-0000-0000-0000E51F0000}"/>
    <cellStyle name="Normal 2 2 7 2 4" xfId="8133" xr:uid="{00000000-0005-0000-0000-0000E61F0000}"/>
    <cellStyle name="Normal 2 2 7 2 5" xfId="8134" xr:uid="{00000000-0005-0000-0000-0000E71F0000}"/>
    <cellStyle name="Normal 2 2 7 2 6" xfId="8135" xr:uid="{00000000-0005-0000-0000-0000E81F0000}"/>
    <cellStyle name="Normal 2 2 7 2 7" xfId="8136" xr:uid="{00000000-0005-0000-0000-0000E91F0000}"/>
    <cellStyle name="Normal 2 2 7 2 8" xfId="8137" xr:uid="{00000000-0005-0000-0000-0000EA1F0000}"/>
    <cellStyle name="Normal 2 2 7 2 9" xfId="8138" xr:uid="{00000000-0005-0000-0000-0000EB1F0000}"/>
    <cellStyle name="Normal 2 2 7 20" xfId="8139" xr:uid="{00000000-0005-0000-0000-0000EC1F0000}"/>
    <cellStyle name="Normal 2 2 7 21" xfId="8140" xr:uid="{00000000-0005-0000-0000-0000ED1F0000}"/>
    <cellStyle name="Normal 2 2 7 22" xfId="8141" xr:uid="{00000000-0005-0000-0000-0000EE1F0000}"/>
    <cellStyle name="Normal 2 2 7 23" xfId="8142" xr:uid="{00000000-0005-0000-0000-0000EF1F0000}"/>
    <cellStyle name="Normal 2 2 7 24" xfId="8143" xr:uid="{00000000-0005-0000-0000-0000F01F0000}"/>
    <cellStyle name="Normal 2 2 7 25" xfId="8144" xr:uid="{00000000-0005-0000-0000-0000F11F0000}"/>
    <cellStyle name="Normal 2 2 7 26" xfId="8145" xr:uid="{00000000-0005-0000-0000-0000F21F0000}"/>
    <cellStyle name="Normal 2 2 7 27" xfId="8146" xr:uid="{00000000-0005-0000-0000-0000F31F0000}"/>
    <cellStyle name="Normal 2 2 7 28" xfId="8147" xr:uid="{00000000-0005-0000-0000-0000F41F0000}"/>
    <cellStyle name="Normal 2 2 7 29" xfId="8148" xr:uid="{00000000-0005-0000-0000-0000F51F0000}"/>
    <cellStyle name="Normal 2 2 7 3" xfId="8149" xr:uid="{00000000-0005-0000-0000-0000F61F0000}"/>
    <cellStyle name="Normal 2 2 7 3 10" xfId="8150" xr:uid="{00000000-0005-0000-0000-0000F71F0000}"/>
    <cellStyle name="Normal 2 2 7 3 11" xfId="8151" xr:uid="{00000000-0005-0000-0000-0000F81F0000}"/>
    <cellStyle name="Normal 2 2 7 3 12" xfId="8152" xr:uid="{00000000-0005-0000-0000-0000F91F0000}"/>
    <cellStyle name="Normal 2 2 7 3 13" xfId="8153" xr:uid="{00000000-0005-0000-0000-0000FA1F0000}"/>
    <cellStyle name="Normal 2 2 7 3 14" xfId="8154" xr:uid="{00000000-0005-0000-0000-0000FB1F0000}"/>
    <cellStyle name="Normal 2 2 7 3 15" xfId="8155" xr:uid="{00000000-0005-0000-0000-0000FC1F0000}"/>
    <cellStyle name="Normal 2 2 7 3 16" xfId="8156" xr:uid="{00000000-0005-0000-0000-0000FD1F0000}"/>
    <cellStyle name="Normal 2 2 7 3 17" xfId="8157" xr:uid="{00000000-0005-0000-0000-0000FE1F0000}"/>
    <cellStyle name="Normal 2 2 7 3 2" xfId="8158" xr:uid="{00000000-0005-0000-0000-0000FF1F0000}"/>
    <cellStyle name="Normal 2 2 7 3 3" xfId="8159" xr:uid="{00000000-0005-0000-0000-000000200000}"/>
    <cellStyle name="Normal 2 2 7 3 4" xfId="8160" xr:uid="{00000000-0005-0000-0000-000001200000}"/>
    <cellStyle name="Normal 2 2 7 3 5" xfId="8161" xr:uid="{00000000-0005-0000-0000-000002200000}"/>
    <cellStyle name="Normal 2 2 7 3 6" xfId="8162" xr:uid="{00000000-0005-0000-0000-000003200000}"/>
    <cellStyle name="Normal 2 2 7 3 7" xfId="8163" xr:uid="{00000000-0005-0000-0000-000004200000}"/>
    <cellStyle name="Normal 2 2 7 3 8" xfId="8164" xr:uid="{00000000-0005-0000-0000-000005200000}"/>
    <cellStyle name="Normal 2 2 7 3 9" xfId="8165" xr:uid="{00000000-0005-0000-0000-000006200000}"/>
    <cellStyle name="Normal 2 2 7 30" xfId="8166" xr:uid="{00000000-0005-0000-0000-000007200000}"/>
    <cellStyle name="Normal 2 2 7 31" xfId="8167" xr:uid="{00000000-0005-0000-0000-000008200000}"/>
    <cellStyle name="Normal 2 2 7 32" xfId="8168" xr:uid="{00000000-0005-0000-0000-000009200000}"/>
    <cellStyle name="Normal 2 2 7 33" xfId="8169" xr:uid="{00000000-0005-0000-0000-00000A200000}"/>
    <cellStyle name="Normal 2 2 7 34" xfId="8170" xr:uid="{00000000-0005-0000-0000-00000B200000}"/>
    <cellStyle name="Normal 2 2 7 35" xfId="8171" xr:uid="{00000000-0005-0000-0000-00000C200000}"/>
    <cellStyle name="Normal 2 2 7 36" xfId="8172" xr:uid="{00000000-0005-0000-0000-00000D200000}"/>
    <cellStyle name="Normal 2 2 7 37" xfId="8173" xr:uid="{00000000-0005-0000-0000-00000E200000}"/>
    <cellStyle name="Normal 2 2 7 38" xfId="8174" xr:uid="{00000000-0005-0000-0000-00000F200000}"/>
    <cellStyle name="Normal 2 2 7 39" xfId="8175" xr:uid="{00000000-0005-0000-0000-000010200000}"/>
    <cellStyle name="Normal 2 2 7 4" xfId="8176" xr:uid="{00000000-0005-0000-0000-000011200000}"/>
    <cellStyle name="Normal 2 2 7 40" xfId="8177" xr:uid="{00000000-0005-0000-0000-000012200000}"/>
    <cellStyle name="Normal 2 2 7 41" xfId="8178" xr:uid="{00000000-0005-0000-0000-000013200000}"/>
    <cellStyle name="Normal 2 2 7 42" xfId="8179" xr:uid="{00000000-0005-0000-0000-000014200000}"/>
    <cellStyle name="Normal 2 2 7 43" xfId="8180" xr:uid="{00000000-0005-0000-0000-000015200000}"/>
    <cellStyle name="Normal 2 2 7 44" xfId="8181" xr:uid="{00000000-0005-0000-0000-000016200000}"/>
    <cellStyle name="Normal 2 2 7 45" xfId="8182" xr:uid="{00000000-0005-0000-0000-000017200000}"/>
    <cellStyle name="Normal 2 2 7 46" xfId="8183" xr:uid="{00000000-0005-0000-0000-000018200000}"/>
    <cellStyle name="Normal 2 2 7 47" xfId="8184" xr:uid="{00000000-0005-0000-0000-000019200000}"/>
    <cellStyle name="Normal 2 2 7 48" xfId="8185" xr:uid="{00000000-0005-0000-0000-00001A200000}"/>
    <cellStyle name="Normal 2 2 7 49" xfId="8186" xr:uid="{00000000-0005-0000-0000-00001B200000}"/>
    <cellStyle name="Normal 2 2 7 5" xfId="8187" xr:uid="{00000000-0005-0000-0000-00001C200000}"/>
    <cellStyle name="Normal 2 2 7 50" xfId="8188" xr:uid="{00000000-0005-0000-0000-00001D200000}"/>
    <cellStyle name="Normal 2 2 7 51" xfId="8189" xr:uid="{00000000-0005-0000-0000-00001E200000}"/>
    <cellStyle name="Normal 2 2 7 52" xfId="8190" xr:uid="{00000000-0005-0000-0000-00001F200000}"/>
    <cellStyle name="Normal 2 2 7 53" xfId="8191" xr:uid="{00000000-0005-0000-0000-000020200000}"/>
    <cellStyle name="Normal 2 2 7 54" xfId="8192" xr:uid="{00000000-0005-0000-0000-000021200000}"/>
    <cellStyle name="Normal 2 2 7 55" xfId="8193" xr:uid="{00000000-0005-0000-0000-000022200000}"/>
    <cellStyle name="Normal 2 2 7 56" xfId="8194" xr:uid="{00000000-0005-0000-0000-000023200000}"/>
    <cellStyle name="Normal 2 2 7 57" xfId="8195" xr:uid="{00000000-0005-0000-0000-000024200000}"/>
    <cellStyle name="Normal 2 2 7 58" xfId="8196" xr:uid="{00000000-0005-0000-0000-000025200000}"/>
    <cellStyle name="Normal 2 2 7 59" xfId="8197" xr:uid="{00000000-0005-0000-0000-000026200000}"/>
    <cellStyle name="Normal 2 2 7 6" xfId="8198" xr:uid="{00000000-0005-0000-0000-000027200000}"/>
    <cellStyle name="Normal 2 2 7 60" xfId="8199" xr:uid="{00000000-0005-0000-0000-000028200000}"/>
    <cellStyle name="Normal 2 2 7 61" xfId="8200" xr:uid="{00000000-0005-0000-0000-000029200000}"/>
    <cellStyle name="Normal 2 2 7 62" xfId="8201" xr:uid="{00000000-0005-0000-0000-00002A200000}"/>
    <cellStyle name="Normal 2 2 7 63" xfId="8202" xr:uid="{00000000-0005-0000-0000-00002B200000}"/>
    <cellStyle name="Normal 2 2 7 64" xfId="8203" xr:uid="{00000000-0005-0000-0000-00002C200000}"/>
    <cellStyle name="Normal 2 2 7 65" xfId="8204" xr:uid="{00000000-0005-0000-0000-00002D200000}"/>
    <cellStyle name="Normal 2 2 7 66" xfId="8205" xr:uid="{00000000-0005-0000-0000-00002E200000}"/>
    <cellStyle name="Normal 2 2 7 67" xfId="8206" xr:uid="{00000000-0005-0000-0000-00002F200000}"/>
    <cellStyle name="Normal 2 2 7 68" xfId="8207" xr:uid="{00000000-0005-0000-0000-000030200000}"/>
    <cellStyle name="Normal 2 2 7 69" xfId="8208" xr:uid="{00000000-0005-0000-0000-000031200000}"/>
    <cellStyle name="Normal 2 2 7 7" xfId="8209" xr:uid="{00000000-0005-0000-0000-000032200000}"/>
    <cellStyle name="Normal 2 2 7 70" xfId="8210" xr:uid="{00000000-0005-0000-0000-000033200000}"/>
    <cellStyle name="Normal 2 2 7 71" xfId="8211" xr:uid="{00000000-0005-0000-0000-000034200000}"/>
    <cellStyle name="Normal 2 2 7 72" xfId="8212" xr:uid="{00000000-0005-0000-0000-000035200000}"/>
    <cellStyle name="Normal 2 2 7 73" xfId="8213" xr:uid="{00000000-0005-0000-0000-000036200000}"/>
    <cellStyle name="Normal 2 2 7 74" xfId="8214" xr:uid="{00000000-0005-0000-0000-000037200000}"/>
    <cellStyle name="Normal 2 2 7 75" xfId="8215" xr:uid="{00000000-0005-0000-0000-000038200000}"/>
    <cellStyle name="Normal 2 2 7 76" xfId="8216" xr:uid="{00000000-0005-0000-0000-000039200000}"/>
    <cellStyle name="Normal 2 2 7 77" xfId="8217" xr:uid="{00000000-0005-0000-0000-00003A200000}"/>
    <cellStyle name="Normal 2 2 7 78" xfId="8218" xr:uid="{00000000-0005-0000-0000-00003B200000}"/>
    <cellStyle name="Normal 2 2 7 8" xfId="8219" xr:uid="{00000000-0005-0000-0000-00003C200000}"/>
    <cellStyle name="Normal 2 2 7 9" xfId="8220" xr:uid="{00000000-0005-0000-0000-00003D200000}"/>
    <cellStyle name="Normal 2 2 70" xfId="8221" xr:uid="{00000000-0005-0000-0000-00003E200000}"/>
    <cellStyle name="Normal 2 2 71" xfId="8222" xr:uid="{00000000-0005-0000-0000-00003F200000}"/>
    <cellStyle name="Normal 2 2 72" xfId="8223" xr:uid="{00000000-0005-0000-0000-000040200000}"/>
    <cellStyle name="Normal 2 2 73" xfId="8224" xr:uid="{00000000-0005-0000-0000-000041200000}"/>
    <cellStyle name="Normal 2 2 74" xfId="8225" xr:uid="{00000000-0005-0000-0000-000042200000}"/>
    <cellStyle name="Normal 2 2 75" xfId="8226" xr:uid="{00000000-0005-0000-0000-000043200000}"/>
    <cellStyle name="Normal 2 2 76" xfId="8227" xr:uid="{00000000-0005-0000-0000-000044200000}"/>
    <cellStyle name="Normal 2 2 77" xfId="8228" xr:uid="{00000000-0005-0000-0000-000045200000}"/>
    <cellStyle name="Normal 2 2 78" xfId="8229" xr:uid="{00000000-0005-0000-0000-000046200000}"/>
    <cellStyle name="Normal 2 2 79" xfId="8230" xr:uid="{00000000-0005-0000-0000-000047200000}"/>
    <cellStyle name="Normal 2 2 8" xfId="8231" xr:uid="{00000000-0005-0000-0000-000048200000}"/>
    <cellStyle name="Normal 2 2 8 10" xfId="8232" xr:uid="{00000000-0005-0000-0000-000049200000}"/>
    <cellStyle name="Normal 2 2 8 11" xfId="8233" xr:uid="{00000000-0005-0000-0000-00004A200000}"/>
    <cellStyle name="Normal 2 2 8 12" xfId="8234" xr:uid="{00000000-0005-0000-0000-00004B200000}"/>
    <cellStyle name="Normal 2 2 8 13" xfId="8235" xr:uid="{00000000-0005-0000-0000-00004C200000}"/>
    <cellStyle name="Normal 2 2 8 14" xfId="8236" xr:uid="{00000000-0005-0000-0000-00004D200000}"/>
    <cellStyle name="Normal 2 2 8 15" xfId="8237" xr:uid="{00000000-0005-0000-0000-00004E200000}"/>
    <cellStyle name="Normal 2 2 8 16" xfId="8238" xr:uid="{00000000-0005-0000-0000-00004F200000}"/>
    <cellStyle name="Normal 2 2 8 17" xfId="8239" xr:uid="{00000000-0005-0000-0000-000050200000}"/>
    <cellStyle name="Normal 2 2 8 18" xfId="8240" xr:uid="{00000000-0005-0000-0000-000051200000}"/>
    <cellStyle name="Normal 2 2 8 19" xfId="8241" xr:uid="{00000000-0005-0000-0000-000052200000}"/>
    <cellStyle name="Normal 2 2 8 2" xfId="8242" xr:uid="{00000000-0005-0000-0000-000053200000}"/>
    <cellStyle name="Normal 2 2 8 2 10" xfId="8243" xr:uid="{00000000-0005-0000-0000-000054200000}"/>
    <cellStyle name="Normal 2 2 8 2 11" xfId="8244" xr:uid="{00000000-0005-0000-0000-000055200000}"/>
    <cellStyle name="Normal 2 2 8 2 12" xfId="8245" xr:uid="{00000000-0005-0000-0000-000056200000}"/>
    <cellStyle name="Normal 2 2 8 2 13" xfId="8246" xr:uid="{00000000-0005-0000-0000-000057200000}"/>
    <cellStyle name="Normal 2 2 8 2 14" xfId="8247" xr:uid="{00000000-0005-0000-0000-000058200000}"/>
    <cellStyle name="Normal 2 2 8 2 15" xfId="8248" xr:uid="{00000000-0005-0000-0000-000059200000}"/>
    <cellStyle name="Normal 2 2 8 2 16" xfId="8249" xr:uid="{00000000-0005-0000-0000-00005A200000}"/>
    <cellStyle name="Normal 2 2 8 2 17" xfId="8250" xr:uid="{00000000-0005-0000-0000-00005B200000}"/>
    <cellStyle name="Normal 2 2 8 2 2" xfId="8251" xr:uid="{00000000-0005-0000-0000-00005C200000}"/>
    <cellStyle name="Normal 2 2 8 2 3" xfId="8252" xr:uid="{00000000-0005-0000-0000-00005D200000}"/>
    <cellStyle name="Normal 2 2 8 2 4" xfId="8253" xr:uid="{00000000-0005-0000-0000-00005E200000}"/>
    <cellStyle name="Normal 2 2 8 2 5" xfId="8254" xr:uid="{00000000-0005-0000-0000-00005F200000}"/>
    <cellStyle name="Normal 2 2 8 2 6" xfId="8255" xr:uid="{00000000-0005-0000-0000-000060200000}"/>
    <cellStyle name="Normal 2 2 8 2 7" xfId="8256" xr:uid="{00000000-0005-0000-0000-000061200000}"/>
    <cellStyle name="Normal 2 2 8 2 8" xfId="8257" xr:uid="{00000000-0005-0000-0000-000062200000}"/>
    <cellStyle name="Normal 2 2 8 2 9" xfId="8258" xr:uid="{00000000-0005-0000-0000-000063200000}"/>
    <cellStyle name="Normal 2 2 8 20" xfId="8259" xr:uid="{00000000-0005-0000-0000-000064200000}"/>
    <cellStyle name="Normal 2 2 8 21" xfId="8260" xr:uid="{00000000-0005-0000-0000-000065200000}"/>
    <cellStyle name="Normal 2 2 8 22" xfId="8261" xr:uid="{00000000-0005-0000-0000-000066200000}"/>
    <cellStyle name="Normal 2 2 8 23" xfId="8262" xr:uid="{00000000-0005-0000-0000-000067200000}"/>
    <cellStyle name="Normal 2 2 8 24" xfId="8263" xr:uid="{00000000-0005-0000-0000-000068200000}"/>
    <cellStyle name="Normal 2 2 8 25" xfId="8264" xr:uid="{00000000-0005-0000-0000-000069200000}"/>
    <cellStyle name="Normal 2 2 8 26" xfId="8265" xr:uid="{00000000-0005-0000-0000-00006A200000}"/>
    <cellStyle name="Normal 2 2 8 27" xfId="8266" xr:uid="{00000000-0005-0000-0000-00006B200000}"/>
    <cellStyle name="Normal 2 2 8 28" xfId="8267" xr:uid="{00000000-0005-0000-0000-00006C200000}"/>
    <cellStyle name="Normal 2 2 8 29" xfId="8268" xr:uid="{00000000-0005-0000-0000-00006D200000}"/>
    <cellStyle name="Normal 2 2 8 3" xfId="8269" xr:uid="{00000000-0005-0000-0000-00006E200000}"/>
    <cellStyle name="Normal 2 2 8 3 10" xfId="8270" xr:uid="{00000000-0005-0000-0000-00006F200000}"/>
    <cellStyle name="Normal 2 2 8 3 11" xfId="8271" xr:uid="{00000000-0005-0000-0000-000070200000}"/>
    <cellStyle name="Normal 2 2 8 3 12" xfId="8272" xr:uid="{00000000-0005-0000-0000-000071200000}"/>
    <cellStyle name="Normal 2 2 8 3 13" xfId="8273" xr:uid="{00000000-0005-0000-0000-000072200000}"/>
    <cellStyle name="Normal 2 2 8 3 14" xfId="8274" xr:uid="{00000000-0005-0000-0000-000073200000}"/>
    <cellStyle name="Normal 2 2 8 3 15" xfId="8275" xr:uid="{00000000-0005-0000-0000-000074200000}"/>
    <cellStyle name="Normal 2 2 8 3 16" xfId="8276" xr:uid="{00000000-0005-0000-0000-000075200000}"/>
    <cellStyle name="Normal 2 2 8 3 17" xfId="8277" xr:uid="{00000000-0005-0000-0000-000076200000}"/>
    <cellStyle name="Normal 2 2 8 3 2" xfId="8278" xr:uid="{00000000-0005-0000-0000-000077200000}"/>
    <cellStyle name="Normal 2 2 8 3 3" xfId="8279" xr:uid="{00000000-0005-0000-0000-000078200000}"/>
    <cellStyle name="Normal 2 2 8 3 4" xfId="8280" xr:uid="{00000000-0005-0000-0000-000079200000}"/>
    <cellStyle name="Normal 2 2 8 3 5" xfId="8281" xr:uid="{00000000-0005-0000-0000-00007A200000}"/>
    <cellStyle name="Normal 2 2 8 3 6" xfId="8282" xr:uid="{00000000-0005-0000-0000-00007B200000}"/>
    <cellStyle name="Normal 2 2 8 3 7" xfId="8283" xr:uid="{00000000-0005-0000-0000-00007C200000}"/>
    <cellStyle name="Normal 2 2 8 3 8" xfId="8284" xr:uid="{00000000-0005-0000-0000-00007D200000}"/>
    <cellStyle name="Normal 2 2 8 3 9" xfId="8285" xr:uid="{00000000-0005-0000-0000-00007E200000}"/>
    <cellStyle name="Normal 2 2 8 30" xfId="8286" xr:uid="{00000000-0005-0000-0000-00007F200000}"/>
    <cellStyle name="Normal 2 2 8 31" xfId="8287" xr:uid="{00000000-0005-0000-0000-000080200000}"/>
    <cellStyle name="Normal 2 2 8 32" xfId="8288" xr:uid="{00000000-0005-0000-0000-000081200000}"/>
    <cellStyle name="Normal 2 2 8 33" xfId="8289" xr:uid="{00000000-0005-0000-0000-000082200000}"/>
    <cellStyle name="Normal 2 2 8 34" xfId="8290" xr:uid="{00000000-0005-0000-0000-000083200000}"/>
    <cellStyle name="Normal 2 2 8 35" xfId="8291" xr:uid="{00000000-0005-0000-0000-000084200000}"/>
    <cellStyle name="Normal 2 2 8 36" xfId="8292" xr:uid="{00000000-0005-0000-0000-000085200000}"/>
    <cellStyle name="Normal 2 2 8 37" xfId="8293" xr:uid="{00000000-0005-0000-0000-000086200000}"/>
    <cellStyle name="Normal 2 2 8 38" xfId="8294" xr:uid="{00000000-0005-0000-0000-000087200000}"/>
    <cellStyle name="Normal 2 2 8 39" xfId="8295" xr:uid="{00000000-0005-0000-0000-000088200000}"/>
    <cellStyle name="Normal 2 2 8 4" xfId="8296" xr:uid="{00000000-0005-0000-0000-000089200000}"/>
    <cellStyle name="Normal 2 2 8 40" xfId="8297" xr:uid="{00000000-0005-0000-0000-00008A200000}"/>
    <cellStyle name="Normal 2 2 8 41" xfId="8298" xr:uid="{00000000-0005-0000-0000-00008B200000}"/>
    <cellStyle name="Normal 2 2 8 42" xfId="8299" xr:uid="{00000000-0005-0000-0000-00008C200000}"/>
    <cellStyle name="Normal 2 2 8 43" xfId="8300" xr:uid="{00000000-0005-0000-0000-00008D200000}"/>
    <cellStyle name="Normal 2 2 8 44" xfId="8301" xr:uid="{00000000-0005-0000-0000-00008E200000}"/>
    <cellStyle name="Normal 2 2 8 45" xfId="8302" xr:uid="{00000000-0005-0000-0000-00008F200000}"/>
    <cellStyle name="Normal 2 2 8 46" xfId="8303" xr:uid="{00000000-0005-0000-0000-000090200000}"/>
    <cellStyle name="Normal 2 2 8 47" xfId="8304" xr:uid="{00000000-0005-0000-0000-000091200000}"/>
    <cellStyle name="Normal 2 2 8 48" xfId="8305" xr:uid="{00000000-0005-0000-0000-000092200000}"/>
    <cellStyle name="Normal 2 2 8 49" xfId="8306" xr:uid="{00000000-0005-0000-0000-000093200000}"/>
    <cellStyle name="Normal 2 2 8 5" xfId="8307" xr:uid="{00000000-0005-0000-0000-000094200000}"/>
    <cellStyle name="Normal 2 2 8 50" xfId="8308" xr:uid="{00000000-0005-0000-0000-000095200000}"/>
    <cellStyle name="Normal 2 2 8 51" xfId="8309" xr:uid="{00000000-0005-0000-0000-000096200000}"/>
    <cellStyle name="Normal 2 2 8 52" xfId="8310" xr:uid="{00000000-0005-0000-0000-000097200000}"/>
    <cellStyle name="Normal 2 2 8 53" xfId="8311" xr:uid="{00000000-0005-0000-0000-000098200000}"/>
    <cellStyle name="Normal 2 2 8 54" xfId="8312" xr:uid="{00000000-0005-0000-0000-000099200000}"/>
    <cellStyle name="Normal 2 2 8 55" xfId="8313" xr:uid="{00000000-0005-0000-0000-00009A200000}"/>
    <cellStyle name="Normal 2 2 8 56" xfId="8314" xr:uid="{00000000-0005-0000-0000-00009B200000}"/>
    <cellStyle name="Normal 2 2 8 57" xfId="8315" xr:uid="{00000000-0005-0000-0000-00009C200000}"/>
    <cellStyle name="Normal 2 2 8 58" xfId="8316" xr:uid="{00000000-0005-0000-0000-00009D200000}"/>
    <cellStyle name="Normal 2 2 8 59" xfId="8317" xr:uid="{00000000-0005-0000-0000-00009E200000}"/>
    <cellStyle name="Normal 2 2 8 6" xfId="8318" xr:uid="{00000000-0005-0000-0000-00009F200000}"/>
    <cellStyle name="Normal 2 2 8 60" xfId="8319" xr:uid="{00000000-0005-0000-0000-0000A0200000}"/>
    <cellStyle name="Normal 2 2 8 61" xfId="8320" xr:uid="{00000000-0005-0000-0000-0000A1200000}"/>
    <cellStyle name="Normal 2 2 8 62" xfId="8321" xr:uid="{00000000-0005-0000-0000-0000A2200000}"/>
    <cellStyle name="Normal 2 2 8 63" xfId="8322" xr:uid="{00000000-0005-0000-0000-0000A3200000}"/>
    <cellStyle name="Normal 2 2 8 64" xfId="8323" xr:uid="{00000000-0005-0000-0000-0000A4200000}"/>
    <cellStyle name="Normal 2 2 8 65" xfId="8324" xr:uid="{00000000-0005-0000-0000-0000A5200000}"/>
    <cellStyle name="Normal 2 2 8 66" xfId="8325" xr:uid="{00000000-0005-0000-0000-0000A6200000}"/>
    <cellStyle name="Normal 2 2 8 67" xfId="8326" xr:uid="{00000000-0005-0000-0000-0000A7200000}"/>
    <cellStyle name="Normal 2 2 8 68" xfId="8327" xr:uid="{00000000-0005-0000-0000-0000A8200000}"/>
    <cellStyle name="Normal 2 2 8 69" xfId="8328" xr:uid="{00000000-0005-0000-0000-0000A9200000}"/>
    <cellStyle name="Normal 2 2 8 7" xfId="8329" xr:uid="{00000000-0005-0000-0000-0000AA200000}"/>
    <cellStyle name="Normal 2 2 8 70" xfId="8330" xr:uid="{00000000-0005-0000-0000-0000AB200000}"/>
    <cellStyle name="Normal 2 2 8 71" xfId="8331" xr:uid="{00000000-0005-0000-0000-0000AC200000}"/>
    <cellStyle name="Normal 2 2 8 72" xfId="8332" xr:uid="{00000000-0005-0000-0000-0000AD200000}"/>
    <cellStyle name="Normal 2 2 8 73" xfId="8333" xr:uid="{00000000-0005-0000-0000-0000AE200000}"/>
    <cellStyle name="Normal 2 2 8 74" xfId="8334" xr:uid="{00000000-0005-0000-0000-0000AF200000}"/>
    <cellStyle name="Normal 2 2 8 75" xfId="8335" xr:uid="{00000000-0005-0000-0000-0000B0200000}"/>
    <cellStyle name="Normal 2 2 8 76" xfId="8336" xr:uid="{00000000-0005-0000-0000-0000B1200000}"/>
    <cellStyle name="Normal 2 2 8 77" xfId="8337" xr:uid="{00000000-0005-0000-0000-0000B2200000}"/>
    <cellStyle name="Normal 2 2 8 78" xfId="8338" xr:uid="{00000000-0005-0000-0000-0000B3200000}"/>
    <cellStyle name="Normal 2 2 8 8" xfId="8339" xr:uid="{00000000-0005-0000-0000-0000B4200000}"/>
    <cellStyle name="Normal 2 2 8 9" xfId="8340" xr:uid="{00000000-0005-0000-0000-0000B5200000}"/>
    <cellStyle name="Normal 2 2 80" xfId="8341" xr:uid="{00000000-0005-0000-0000-0000B6200000}"/>
    <cellStyle name="Normal 2 2 81" xfId="8342" xr:uid="{00000000-0005-0000-0000-0000B7200000}"/>
    <cellStyle name="Normal 2 2 82" xfId="8343" xr:uid="{00000000-0005-0000-0000-0000B8200000}"/>
    <cellStyle name="Normal 2 2 83" xfId="8344" xr:uid="{00000000-0005-0000-0000-0000B9200000}"/>
    <cellStyle name="Normal 2 2 84" xfId="8345" xr:uid="{00000000-0005-0000-0000-0000BA200000}"/>
    <cellStyle name="Normal 2 2 85" xfId="8346" xr:uid="{00000000-0005-0000-0000-0000BB200000}"/>
    <cellStyle name="Normal 2 2 86" xfId="8347" xr:uid="{00000000-0005-0000-0000-0000BC200000}"/>
    <cellStyle name="Normal 2 2 87" xfId="8348" xr:uid="{00000000-0005-0000-0000-0000BD200000}"/>
    <cellStyle name="Normal 2 2 88" xfId="8349" xr:uid="{00000000-0005-0000-0000-0000BE200000}"/>
    <cellStyle name="Normal 2 2 89" xfId="8350" xr:uid="{00000000-0005-0000-0000-0000BF200000}"/>
    <cellStyle name="Normal 2 2 9" xfId="8351" xr:uid="{00000000-0005-0000-0000-0000C0200000}"/>
    <cellStyle name="Normal 2 2 9 10" xfId="8352" xr:uid="{00000000-0005-0000-0000-0000C1200000}"/>
    <cellStyle name="Normal 2 2 9 11" xfId="8353" xr:uid="{00000000-0005-0000-0000-0000C2200000}"/>
    <cellStyle name="Normal 2 2 9 12" xfId="8354" xr:uid="{00000000-0005-0000-0000-0000C3200000}"/>
    <cellStyle name="Normal 2 2 9 13" xfId="8355" xr:uid="{00000000-0005-0000-0000-0000C4200000}"/>
    <cellStyle name="Normal 2 2 9 14" xfId="8356" xr:uid="{00000000-0005-0000-0000-0000C5200000}"/>
    <cellStyle name="Normal 2 2 9 15" xfId="8357" xr:uid="{00000000-0005-0000-0000-0000C6200000}"/>
    <cellStyle name="Normal 2 2 9 16" xfId="8358" xr:uid="{00000000-0005-0000-0000-0000C7200000}"/>
    <cellStyle name="Normal 2 2 9 17" xfId="8359" xr:uid="{00000000-0005-0000-0000-0000C8200000}"/>
    <cellStyle name="Normal 2 2 9 18" xfId="8360" xr:uid="{00000000-0005-0000-0000-0000C9200000}"/>
    <cellStyle name="Normal 2 2 9 19" xfId="8361" xr:uid="{00000000-0005-0000-0000-0000CA200000}"/>
    <cellStyle name="Normal 2 2 9 2" xfId="8362" xr:uid="{00000000-0005-0000-0000-0000CB200000}"/>
    <cellStyle name="Normal 2 2 9 2 10" xfId="8363" xr:uid="{00000000-0005-0000-0000-0000CC200000}"/>
    <cellStyle name="Normal 2 2 9 2 11" xfId="8364" xr:uid="{00000000-0005-0000-0000-0000CD200000}"/>
    <cellStyle name="Normal 2 2 9 2 12" xfId="8365" xr:uid="{00000000-0005-0000-0000-0000CE200000}"/>
    <cellStyle name="Normal 2 2 9 2 13" xfId="8366" xr:uid="{00000000-0005-0000-0000-0000CF200000}"/>
    <cellStyle name="Normal 2 2 9 2 14" xfId="8367" xr:uid="{00000000-0005-0000-0000-0000D0200000}"/>
    <cellStyle name="Normal 2 2 9 2 15" xfId="8368" xr:uid="{00000000-0005-0000-0000-0000D1200000}"/>
    <cellStyle name="Normal 2 2 9 2 16" xfId="8369" xr:uid="{00000000-0005-0000-0000-0000D2200000}"/>
    <cellStyle name="Normal 2 2 9 2 17" xfId="8370" xr:uid="{00000000-0005-0000-0000-0000D3200000}"/>
    <cellStyle name="Normal 2 2 9 2 2" xfId="8371" xr:uid="{00000000-0005-0000-0000-0000D4200000}"/>
    <cellStyle name="Normal 2 2 9 2 3" xfId="8372" xr:uid="{00000000-0005-0000-0000-0000D5200000}"/>
    <cellStyle name="Normal 2 2 9 2 4" xfId="8373" xr:uid="{00000000-0005-0000-0000-0000D6200000}"/>
    <cellStyle name="Normal 2 2 9 2 5" xfId="8374" xr:uid="{00000000-0005-0000-0000-0000D7200000}"/>
    <cellStyle name="Normal 2 2 9 2 6" xfId="8375" xr:uid="{00000000-0005-0000-0000-0000D8200000}"/>
    <cellStyle name="Normal 2 2 9 2 7" xfId="8376" xr:uid="{00000000-0005-0000-0000-0000D9200000}"/>
    <cellStyle name="Normal 2 2 9 2 8" xfId="8377" xr:uid="{00000000-0005-0000-0000-0000DA200000}"/>
    <cellStyle name="Normal 2 2 9 2 9" xfId="8378" xr:uid="{00000000-0005-0000-0000-0000DB200000}"/>
    <cellStyle name="Normal 2 2 9 20" xfId="8379" xr:uid="{00000000-0005-0000-0000-0000DC200000}"/>
    <cellStyle name="Normal 2 2 9 21" xfId="8380" xr:uid="{00000000-0005-0000-0000-0000DD200000}"/>
    <cellStyle name="Normal 2 2 9 22" xfId="8381" xr:uid="{00000000-0005-0000-0000-0000DE200000}"/>
    <cellStyle name="Normal 2 2 9 23" xfId="8382" xr:uid="{00000000-0005-0000-0000-0000DF200000}"/>
    <cellStyle name="Normal 2 2 9 24" xfId="8383" xr:uid="{00000000-0005-0000-0000-0000E0200000}"/>
    <cellStyle name="Normal 2 2 9 25" xfId="8384" xr:uid="{00000000-0005-0000-0000-0000E1200000}"/>
    <cellStyle name="Normal 2 2 9 26" xfId="8385" xr:uid="{00000000-0005-0000-0000-0000E2200000}"/>
    <cellStyle name="Normal 2 2 9 27" xfId="8386" xr:uid="{00000000-0005-0000-0000-0000E3200000}"/>
    <cellStyle name="Normal 2 2 9 28" xfId="8387" xr:uid="{00000000-0005-0000-0000-0000E4200000}"/>
    <cellStyle name="Normal 2 2 9 29" xfId="8388" xr:uid="{00000000-0005-0000-0000-0000E5200000}"/>
    <cellStyle name="Normal 2 2 9 3" xfId="8389" xr:uid="{00000000-0005-0000-0000-0000E6200000}"/>
    <cellStyle name="Normal 2 2 9 3 10" xfId="8390" xr:uid="{00000000-0005-0000-0000-0000E7200000}"/>
    <cellStyle name="Normal 2 2 9 3 11" xfId="8391" xr:uid="{00000000-0005-0000-0000-0000E8200000}"/>
    <cellStyle name="Normal 2 2 9 3 12" xfId="8392" xr:uid="{00000000-0005-0000-0000-0000E9200000}"/>
    <cellStyle name="Normal 2 2 9 3 13" xfId="8393" xr:uid="{00000000-0005-0000-0000-0000EA200000}"/>
    <cellStyle name="Normal 2 2 9 3 14" xfId="8394" xr:uid="{00000000-0005-0000-0000-0000EB200000}"/>
    <cellStyle name="Normal 2 2 9 3 15" xfId="8395" xr:uid="{00000000-0005-0000-0000-0000EC200000}"/>
    <cellStyle name="Normal 2 2 9 3 16" xfId="8396" xr:uid="{00000000-0005-0000-0000-0000ED200000}"/>
    <cellStyle name="Normal 2 2 9 3 17" xfId="8397" xr:uid="{00000000-0005-0000-0000-0000EE200000}"/>
    <cellStyle name="Normal 2 2 9 3 2" xfId="8398" xr:uid="{00000000-0005-0000-0000-0000EF200000}"/>
    <cellStyle name="Normal 2 2 9 3 3" xfId="8399" xr:uid="{00000000-0005-0000-0000-0000F0200000}"/>
    <cellStyle name="Normal 2 2 9 3 4" xfId="8400" xr:uid="{00000000-0005-0000-0000-0000F1200000}"/>
    <cellStyle name="Normal 2 2 9 3 5" xfId="8401" xr:uid="{00000000-0005-0000-0000-0000F2200000}"/>
    <cellStyle name="Normal 2 2 9 3 6" xfId="8402" xr:uid="{00000000-0005-0000-0000-0000F3200000}"/>
    <cellStyle name="Normal 2 2 9 3 7" xfId="8403" xr:uid="{00000000-0005-0000-0000-0000F4200000}"/>
    <cellStyle name="Normal 2 2 9 3 8" xfId="8404" xr:uid="{00000000-0005-0000-0000-0000F5200000}"/>
    <cellStyle name="Normal 2 2 9 3 9" xfId="8405" xr:uid="{00000000-0005-0000-0000-0000F6200000}"/>
    <cellStyle name="Normal 2 2 9 30" xfId="8406" xr:uid="{00000000-0005-0000-0000-0000F7200000}"/>
    <cellStyle name="Normal 2 2 9 31" xfId="8407" xr:uid="{00000000-0005-0000-0000-0000F8200000}"/>
    <cellStyle name="Normal 2 2 9 32" xfId="8408" xr:uid="{00000000-0005-0000-0000-0000F9200000}"/>
    <cellStyle name="Normal 2 2 9 33" xfId="8409" xr:uid="{00000000-0005-0000-0000-0000FA200000}"/>
    <cellStyle name="Normal 2 2 9 34" xfId="8410" xr:uid="{00000000-0005-0000-0000-0000FB200000}"/>
    <cellStyle name="Normal 2 2 9 35" xfId="8411" xr:uid="{00000000-0005-0000-0000-0000FC200000}"/>
    <cellStyle name="Normal 2 2 9 36" xfId="8412" xr:uid="{00000000-0005-0000-0000-0000FD200000}"/>
    <cellStyle name="Normal 2 2 9 37" xfId="8413" xr:uid="{00000000-0005-0000-0000-0000FE200000}"/>
    <cellStyle name="Normal 2 2 9 38" xfId="8414" xr:uid="{00000000-0005-0000-0000-0000FF200000}"/>
    <cellStyle name="Normal 2 2 9 39" xfId="8415" xr:uid="{00000000-0005-0000-0000-000000210000}"/>
    <cellStyle name="Normal 2 2 9 4" xfId="8416" xr:uid="{00000000-0005-0000-0000-000001210000}"/>
    <cellStyle name="Normal 2 2 9 40" xfId="8417" xr:uid="{00000000-0005-0000-0000-000002210000}"/>
    <cellStyle name="Normal 2 2 9 41" xfId="8418" xr:uid="{00000000-0005-0000-0000-000003210000}"/>
    <cellStyle name="Normal 2 2 9 42" xfId="8419" xr:uid="{00000000-0005-0000-0000-000004210000}"/>
    <cellStyle name="Normal 2 2 9 43" xfId="8420" xr:uid="{00000000-0005-0000-0000-000005210000}"/>
    <cellStyle name="Normal 2 2 9 44" xfId="8421" xr:uid="{00000000-0005-0000-0000-000006210000}"/>
    <cellStyle name="Normal 2 2 9 45" xfId="8422" xr:uid="{00000000-0005-0000-0000-000007210000}"/>
    <cellStyle name="Normal 2 2 9 46" xfId="8423" xr:uid="{00000000-0005-0000-0000-000008210000}"/>
    <cellStyle name="Normal 2 2 9 47" xfId="8424" xr:uid="{00000000-0005-0000-0000-000009210000}"/>
    <cellStyle name="Normal 2 2 9 48" xfId="8425" xr:uid="{00000000-0005-0000-0000-00000A210000}"/>
    <cellStyle name="Normal 2 2 9 49" xfId="8426" xr:uid="{00000000-0005-0000-0000-00000B210000}"/>
    <cellStyle name="Normal 2 2 9 5" xfId="8427" xr:uid="{00000000-0005-0000-0000-00000C210000}"/>
    <cellStyle name="Normal 2 2 9 50" xfId="8428" xr:uid="{00000000-0005-0000-0000-00000D210000}"/>
    <cellStyle name="Normal 2 2 9 51" xfId="8429" xr:uid="{00000000-0005-0000-0000-00000E210000}"/>
    <cellStyle name="Normal 2 2 9 52" xfId="8430" xr:uid="{00000000-0005-0000-0000-00000F210000}"/>
    <cellStyle name="Normal 2 2 9 53" xfId="8431" xr:uid="{00000000-0005-0000-0000-000010210000}"/>
    <cellStyle name="Normal 2 2 9 54" xfId="8432" xr:uid="{00000000-0005-0000-0000-000011210000}"/>
    <cellStyle name="Normal 2 2 9 55" xfId="8433" xr:uid="{00000000-0005-0000-0000-000012210000}"/>
    <cellStyle name="Normal 2 2 9 56" xfId="8434" xr:uid="{00000000-0005-0000-0000-000013210000}"/>
    <cellStyle name="Normal 2 2 9 57" xfId="8435" xr:uid="{00000000-0005-0000-0000-000014210000}"/>
    <cellStyle name="Normal 2 2 9 58" xfId="8436" xr:uid="{00000000-0005-0000-0000-000015210000}"/>
    <cellStyle name="Normal 2 2 9 59" xfId="8437" xr:uid="{00000000-0005-0000-0000-000016210000}"/>
    <cellStyle name="Normal 2 2 9 6" xfId="8438" xr:uid="{00000000-0005-0000-0000-000017210000}"/>
    <cellStyle name="Normal 2 2 9 60" xfId="8439" xr:uid="{00000000-0005-0000-0000-000018210000}"/>
    <cellStyle name="Normal 2 2 9 61" xfId="8440" xr:uid="{00000000-0005-0000-0000-000019210000}"/>
    <cellStyle name="Normal 2 2 9 62" xfId="8441" xr:uid="{00000000-0005-0000-0000-00001A210000}"/>
    <cellStyle name="Normal 2 2 9 63" xfId="8442" xr:uid="{00000000-0005-0000-0000-00001B210000}"/>
    <cellStyle name="Normal 2 2 9 64" xfId="8443" xr:uid="{00000000-0005-0000-0000-00001C210000}"/>
    <cellStyle name="Normal 2 2 9 65" xfId="8444" xr:uid="{00000000-0005-0000-0000-00001D210000}"/>
    <cellStyle name="Normal 2 2 9 66" xfId="8445" xr:uid="{00000000-0005-0000-0000-00001E210000}"/>
    <cellStyle name="Normal 2 2 9 67" xfId="8446" xr:uid="{00000000-0005-0000-0000-00001F210000}"/>
    <cellStyle name="Normal 2 2 9 68" xfId="8447" xr:uid="{00000000-0005-0000-0000-000020210000}"/>
    <cellStyle name="Normal 2 2 9 69" xfId="8448" xr:uid="{00000000-0005-0000-0000-000021210000}"/>
    <cellStyle name="Normal 2 2 9 7" xfId="8449" xr:uid="{00000000-0005-0000-0000-000022210000}"/>
    <cellStyle name="Normal 2 2 9 70" xfId="8450" xr:uid="{00000000-0005-0000-0000-000023210000}"/>
    <cellStyle name="Normal 2 2 9 71" xfId="8451" xr:uid="{00000000-0005-0000-0000-000024210000}"/>
    <cellStyle name="Normal 2 2 9 72" xfId="8452" xr:uid="{00000000-0005-0000-0000-000025210000}"/>
    <cellStyle name="Normal 2 2 9 73" xfId="8453" xr:uid="{00000000-0005-0000-0000-000026210000}"/>
    <cellStyle name="Normal 2 2 9 74" xfId="8454" xr:uid="{00000000-0005-0000-0000-000027210000}"/>
    <cellStyle name="Normal 2 2 9 75" xfId="8455" xr:uid="{00000000-0005-0000-0000-000028210000}"/>
    <cellStyle name="Normal 2 2 9 76" xfId="8456" xr:uid="{00000000-0005-0000-0000-000029210000}"/>
    <cellStyle name="Normal 2 2 9 77" xfId="8457" xr:uid="{00000000-0005-0000-0000-00002A210000}"/>
    <cellStyle name="Normal 2 2 9 78" xfId="8458" xr:uid="{00000000-0005-0000-0000-00002B210000}"/>
    <cellStyle name="Normal 2 2 9 8" xfId="8459" xr:uid="{00000000-0005-0000-0000-00002C210000}"/>
    <cellStyle name="Normal 2 2 9 9" xfId="8460" xr:uid="{00000000-0005-0000-0000-00002D210000}"/>
    <cellStyle name="Normal 2 2 90" xfId="8461" xr:uid="{00000000-0005-0000-0000-00002E210000}"/>
    <cellStyle name="Normal 2 2 91" xfId="8462" xr:uid="{00000000-0005-0000-0000-00002F210000}"/>
    <cellStyle name="Normal 2 2 92" xfId="8463" xr:uid="{00000000-0005-0000-0000-000030210000}"/>
    <cellStyle name="Normal 2 2 93" xfId="8464" xr:uid="{00000000-0005-0000-0000-000031210000}"/>
    <cellStyle name="Normal 2 2 94" xfId="8465" xr:uid="{00000000-0005-0000-0000-000032210000}"/>
    <cellStyle name="Normal 2 2 95" xfId="8466" xr:uid="{00000000-0005-0000-0000-000033210000}"/>
    <cellStyle name="Normal 2 2 96" xfId="8467" xr:uid="{00000000-0005-0000-0000-000034210000}"/>
    <cellStyle name="Normal 2 2 97" xfId="8468" xr:uid="{00000000-0005-0000-0000-000035210000}"/>
    <cellStyle name="Normal 2 2 98" xfId="8469" xr:uid="{00000000-0005-0000-0000-000036210000}"/>
    <cellStyle name="Normal 2 2 99" xfId="8470" xr:uid="{00000000-0005-0000-0000-000037210000}"/>
    <cellStyle name="Normal 2 2_1.3s Accounting C Costs Scots" xfId="8471" xr:uid="{00000000-0005-0000-0000-000038210000}"/>
    <cellStyle name="Normal 2 20" xfId="8472" xr:uid="{00000000-0005-0000-0000-000039210000}"/>
    <cellStyle name="Normal 2 21" xfId="8473" xr:uid="{00000000-0005-0000-0000-00003A210000}"/>
    <cellStyle name="Normal 2 22" xfId="8474" xr:uid="{00000000-0005-0000-0000-00003B210000}"/>
    <cellStyle name="Normal 2 23" xfId="8475" xr:uid="{00000000-0005-0000-0000-00003C210000}"/>
    <cellStyle name="Normal 2 24" xfId="8476" xr:uid="{00000000-0005-0000-0000-00003D210000}"/>
    <cellStyle name="Normal 2 25" xfId="8477" xr:uid="{00000000-0005-0000-0000-00003E210000}"/>
    <cellStyle name="Normal 2 26" xfId="8478" xr:uid="{00000000-0005-0000-0000-00003F210000}"/>
    <cellStyle name="Normal 2 27" xfId="8479" xr:uid="{00000000-0005-0000-0000-000040210000}"/>
    <cellStyle name="Normal 2 28" xfId="8480" xr:uid="{00000000-0005-0000-0000-000041210000}"/>
    <cellStyle name="Normal 2 29" xfId="8481" xr:uid="{00000000-0005-0000-0000-000042210000}"/>
    <cellStyle name="Normal 2 3" xfId="8482" xr:uid="{00000000-0005-0000-0000-000043210000}"/>
    <cellStyle name="Normal 2 3 10" xfId="8483" xr:uid="{00000000-0005-0000-0000-000044210000}"/>
    <cellStyle name="Normal 2 3 11" xfId="8484" xr:uid="{00000000-0005-0000-0000-000045210000}"/>
    <cellStyle name="Normal 2 3 12" xfId="8485" xr:uid="{00000000-0005-0000-0000-000046210000}"/>
    <cellStyle name="Normal 2 3 13" xfId="8486" xr:uid="{00000000-0005-0000-0000-000047210000}"/>
    <cellStyle name="Normal 2 3 14" xfId="8487" xr:uid="{00000000-0005-0000-0000-000048210000}"/>
    <cellStyle name="Normal 2 3 15" xfId="8488" xr:uid="{00000000-0005-0000-0000-000049210000}"/>
    <cellStyle name="Normal 2 3 16" xfId="8489" xr:uid="{00000000-0005-0000-0000-00004A210000}"/>
    <cellStyle name="Normal 2 3 17" xfId="8490" xr:uid="{00000000-0005-0000-0000-00004B210000}"/>
    <cellStyle name="Normal 2 3 18" xfId="8491" xr:uid="{00000000-0005-0000-0000-00004C210000}"/>
    <cellStyle name="Normal 2 3 19" xfId="8492" xr:uid="{00000000-0005-0000-0000-00004D210000}"/>
    <cellStyle name="Normal 2 3 2" xfId="8493" xr:uid="{00000000-0005-0000-0000-00004E210000}"/>
    <cellStyle name="Normal 2 3 2 10" xfId="8494" xr:uid="{00000000-0005-0000-0000-00004F210000}"/>
    <cellStyle name="Normal 2 3 2 11" xfId="8495" xr:uid="{00000000-0005-0000-0000-000050210000}"/>
    <cellStyle name="Normal 2 3 2 12" xfId="8496" xr:uid="{00000000-0005-0000-0000-000051210000}"/>
    <cellStyle name="Normal 2 3 2 13" xfId="8497" xr:uid="{00000000-0005-0000-0000-000052210000}"/>
    <cellStyle name="Normal 2 3 2 14" xfId="8498" xr:uid="{00000000-0005-0000-0000-000053210000}"/>
    <cellStyle name="Normal 2 3 2 15" xfId="8499" xr:uid="{00000000-0005-0000-0000-000054210000}"/>
    <cellStyle name="Normal 2 3 2 16" xfId="8500" xr:uid="{00000000-0005-0000-0000-000055210000}"/>
    <cellStyle name="Normal 2 3 2 17" xfId="8501" xr:uid="{00000000-0005-0000-0000-000056210000}"/>
    <cellStyle name="Normal 2 3 2 18" xfId="8502" xr:uid="{00000000-0005-0000-0000-000057210000}"/>
    <cellStyle name="Normal 2 3 2 19" xfId="8503" xr:uid="{00000000-0005-0000-0000-000058210000}"/>
    <cellStyle name="Normal 2 3 2 2" xfId="8504" xr:uid="{00000000-0005-0000-0000-000059210000}"/>
    <cellStyle name="Normal 2 3 2 2 10" xfId="8505" xr:uid="{00000000-0005-0000-0000-00005A210000}"/>
    <cellStyle name="Normal 2 3 2 2 11" xfId="8506" xr:uid="{00000000-0005-0000-0000-00005B210000}"/>
    <cellStyle name="Normal 2 3 2 2 12" xfId="8507" xr:uid="{00000000-0005-0000-0000-00005C210000}"/>
    <cellStyle name="Normal 2 3 2 2 13" xfId="8508" xr:uid="{00000000-0005-0000-0000-00005D210000}"/>
    <cellStyle name="Normal 2 3 2 2 14" xfId="8509" xr:uid="{00000000-0005-0000-0000-00005E210000}"/>
    <cellStyle name="Normal 2 3 2 2 15" xfId="8510" xr:uid="{00000000-0005-0000-0000-00005F210000}"/>
    <cellStyle name="Normal 2 3 2 2 16" xfId="8511" xr:uid="{00000000-0005-0000-0000-000060210000}"/>
    <cellStyle name="Normal 2 3 2 2 17" xfId="8512" xr:uid="{00000000-0005-0000-0000-000061210000}"/>
    <cellStyle name="Normal 2 3 2 2 18" xfId="8513" xr:uid="{00000000-0005-0000-0000-000062210000}"/>
    <cellStyle name="Normal 2 3 2 2 19" xfId="8514" xr:uid="{00000000-0005-0000-0000-000063210000}"/>
    <cellStyle name="Normal 2 3 2 2 2" xfId="8515" xr:uid="{00000000-0005-0000-0000-000064210000}"/>
    <cellStyle name="Normal 2 3 2 2 2 10" xfId="8516" xr:uid="{00000000-0005-0000-0000-000065210000}"/>
    <cellStyle name="Normal 2 3 2 2 2 11" xfId="8517" xr:uid="{00000000-0005-0000-0000-000066210000}"/>
    <cellStyle name="Normal 2 3 2 2 2 12" xfId="8518" xr:uid="{00000000-0005-0000-0000-000067210000}"/>
    <cellStyle name="Normal 2 3 2 2 2 13" xfId="8519" xr:uid="{00000000-0005-0000-0000-000068210000}"/>
    <cellStyle name="Normal 2 3 2 2 2 14" xfId="8520" xr:uid="{00000000-0005-0000-0000-000069210000}"/>
    <cellStyle name="Normal 2 3 2 2 2 15" xfId="8521" xr:uid="{00000000-0005-0000-0000-00006A210000}"/>
    <cellStyle name="Normal 2 3 2 2 2 16" xfId="8522" xr:uid="{00000000-0005-0000-0000-00006B210000}"/>
    <cellStyle name="Normal 2 3 2 2 2 17" xfId="8523" xr:uid="{00000000-0005-0000-0000-00006C210000}"/>
    <cellStyle name="Normal 2 3 2 2 2 18" xfId="8524" xr:uid="{00000000-0005-0000-0000-00006D210000}"/>
    <cellStyle name="Normal 2 3 2 2 2 19" xfId="8525" xr:uid="{00000000-0005-0000-0000-00006E210000}"/>
    <cellStyle name="Normal 2 3 2 2 2 2" xfId="8526" xr:uid="{00000000-0005-0000-0000-00006F210000}"/>
    <cellStyle name="Normal 2 3 2 2 2 2 10" xfId="8527" xr:uid="{00000000-0005-0000-0000-000070210000}"/>
    <cellStyle name="Normal 2 3 2 2 2 2 11" xfId="8528" xr:uid="{00000000-0005-0000-0000-000071210000}"/>
    <cellStyle name="Normal 2 3 2 2 2 2 12" xfId="8529" xr:uid="{00000000-0005-0000-0000-000072210000}"/>
    <cellStyle name="Normal 2 3 2 2 2 2 13" xfId="8530" xr:uid="{00000000-0005-0000-0000-000073210000}"/>
    <cellStyle name="Normal 2 3 2 2 2 2 14" xfId="8531" xr:uid="{00000000-0005-0000-0000-000074210000}"/>
    <cellStyle name="Normal 2 3 2 2 2 2 15" xfId="8532" xr:uid="{00000000-0005-0000-0000-000075210000}"/>
    <cellStyle name="Normal 2 3 2 2 2 2 16" xfId="8533" xr:uid="{00000000-0005-0000-0000-000076210000}"/>
    <cellStyle name="Normal 2 3 2 2 2 2 17" xfId="8534" xr:uid="{00000000-0005-0000-0000-000077210000}"/>
    <cellStyle name="Normal 2 3 2 2 2 2 18" xfId="8535" xr:uid="{00000000-0005-0000-0000-000078210000}"/>
    <cellStyle name="Normal 2 3 2 2 2 2 19" xfId="8536" xr:uid="{00000000-0005-0000-0000-000079210000}"/>
    <cellStyle name="Normal 2 3 2 2 2 2 2" xfId="8537" xr:uid="{00000000-0005-0000-0000-00007A210000}"/>
    <cellStyle name="Normal 2 3 2 2 2 2 2 10" xfId="8538" xr:uid="{00000000-0005-0000-0000-00007B210000}"/>
    <cellStyle name="Normal 2 3 2 2 2 2 2 11" xfId="8539" xr:uid="{00000000-0005-0000-0000-00007C210000}"/>
    <cellStyle name="Normal 2 3 2 2 2 2 2 12" xfId="8540" xr:uid="{00000000-0005-0000-0000-00007D210000}"/>
    <cellStyle name="Normal 2 3 2 2 2 2 2 13" xfId="8541" xr:uid="{00000000-0005-0000-0000-00007E210000}"/>
    <cellStyle name="Normal 2 3 2 2 2 2 2 14" xfId="8542" xr:uid="{00000000-0005-0000-0000-00007F210000}"/>
    <cellStyle name="Normal 2 3 2 2 2 2 2 15" xfId="8543" xr:uid="{00000000-0005-0000-0000-000080210000}"/>
    <cellStyle name="Normal 2 3 2 2 2 2 2 16" xfId="8544" xr:uid="{00000000-0005-0000-0000-000081210000}"/>
    <cellStyle name="Normal 2 3 2 2 2 2 2 17" xfId="8545" xr:uid="{00000000-0005-0000-0000-000082210000}"/>
    <cellStyle name="Normal 2 3 2 2 2 2 2 18" xfId="8546" xr:uid="{00000000-0005-0000-0000-000083210000}"/>
    <cellStyle name="Normal 2 3 2 2 2 2 2 2" xfId="8547" xr:uid="{00000000-0005-0000-0000-000084210000}"/>
    <cellStyle name="Normal 2 3 2 2 2 2 2 3" xfId="8548" xr:uid="{00000000-0005-0000-0000-000085210000}"/>
    <cellStyle name="Normal 2 3 2 2 2 2 2 4" xfId="8549" xr:uid="{00000000-0005-0000-0000-000086210000}"/>
    <cellStyle name="Normal 2 3 2 2 2 2 2 5" xfId="8550" xr:uid="{00000000-0005-0000-0000-000087210000}"/>
    <cellStyle name="Normal 2 3 2 2 2 2 2 6" xfId="8551" xr:uid="{00000000-0005-0000-0000-000088210000}"/>
    <cellStyle name="Normal 2 3 2 2 2 2 2 7" xfId="8552" xr:uid="{00000000-0005-0000-0000-000089210000}"/>
    <cellStyle name="Normal 2 3 2 2 2 2 2 8" xfId="8553" xr:uid="{00000000-0005-0000-0000-00008A210000}"/>
    <cellStyle name="Normal 2 3 2 2 2 2 2 9" xfId="8554" xr:uid="{00000000-0005-0000-0000-00008B210000}"/>
    <cellStyle name="Normal 2 3 2 2 2 2 3" xfId="8555" xr:uid="{00000000-0005-0000-0000-00008C210000}"/>
    <cellStyle name="Normal 2 3 2 2 2 2 4" xfId="8556" xr:uid="{00000000-0005-0000-0000-00008D210000}"/>
    <cellStyle name="Normal 2 3 2 2 2 2 5" xfId="8557" xr:uid="{00000000-0005-0000-0000-00008E210000}"/>
    <cellStyle name="Normal 2 3 2 2 2 2 6" xfId="8558" xr:uid="{00000000-0005-0000-0000-00008F210000}"/>
    <cellStyle name="Normal 2 3 2 2 2 2 7" xfId="8559" xr:uid="{00000000-0005-0000-0000-000090210000}"/>
    <cellStyle name="Normal 2 3 2 2 2 2 8" xfId="8560" xr:uid="{00000000-0005-0000-0000-000091210000}"/>
    <cellStyle name="Normal 2 3 2 2 2 2 9" xfId="8561" xr:uid="{00000000-0005-0000-0000-000092210000}"/>
    <cellStyle name="Normal 2 3 2 2 2 2_ELEC SAP FCST UPLOAD" xfId="8562" xr:uid="{00000000-0005-0000-0000-000093210000}"/>
    <cellStyle name="Normal 2 3 2 2 2 20" xfId="8563" xr:uid="{00000000-0005-0000-0000-000094210000}"/>
    <cellStyle name="Normal 2 3 2 2 2 21" xfId="8564" xr:uid="{00000000-0005-0000-0000-000095210000}"/>
    <cellStyle name="Normal 2 3 2 2 2 22" xfId="8565" xr:uid="{00000000-0005-0000-0000-000096210000}"/>
    <cellStyle name="Normal 2 3 2 2 2 3" xfId="8566" xr:uid="{00000000-0005-0000-0000-000097210000}"/>
    <cellStyle name="Normal 2 3 2 2 2 4" xfId="8567" xr:uid="{00000000-0005-0000-0000-000098210000}"/>
    <cellStyle name="Normal 2 3 2 2 2 5" xfId="8568" xr:uid="{00000000-0005-0000-0000-000099210000}"/>
    <cellStyle name="Normal 2 3 2 2 2 6" xfId="8569" xr:uid="{00000000-0005-0000-0000-00009A210000}"/>
    <cellStyle name="Normal 2 3 2 2 2 7" xfId="8570" xr:uid="{00000000-0005-0000-0000-00009B210000}"/>
    <cellStyle name="Normal 2 3 2 2 2 8" xfId="8571" xr:uid="{00000000-0005-0000-0000-00009C210000}"/>
    <cellStyle name="Normal 2 3 2 2 2 9" xfId="8572" xr:uid="{00000000-0005-0000-0000-00009D210000}"/>
    <cellStyle name="Normal 2 3 2 2 2_ELEC SAP FCST UPLOAD" xfId="8573" xr:uid="{00000000-0005-0000-0000-00009E210000}"/>
    <cellStyle name="Normal 2 3 2 2 20" xfId="8574" xr:uid="{00000000-0005-0000-0000-00009F210000}"/>
    <cellStyle name="Normal 2 3 2 2 21" xfId="8575" xr:uid="{00000000-0005-0000-0000-0000A0210000}"/>
    <cellStyle name="Normal 2 3 2 2 22" xfId="8576" xr:uid="{00000000-0005-0000-0000-0000A1210000}"/>
    <cellStyle name="Normal 2 3 2 2 23" xfId="8577" xr:uid="{00000000-0005-0000-0000-0000A2210000}"/>
    <cellStyle name="Normal 2 3 2 2 24" xfId="8578" xr:uid="{00000000-0005-0000-0000-0000A3210000}"/>
    <cellStyle name="Normal 2 3 2 2 25" xfId="8579" xr:uid="{00000000-0005-0000-0000-0000A4210000}"/>
    <cellStyle name="Normal 2 3 2 2 26" xfId="8580" xr:uid="{00000000-0005-0000-0000-0000A5210000}"/>
    <cellStyle name="Normal 2 3 2 2 27" xfId="8581" xr:uid="{00000000-0005-0000-0000-0000A6210000}"/>
    <cellStyle name="Normal 2 3 2 2 28" xfId="8582" xr:uid="{00000000-0005-0000-0000-0000A7210000}"/>
    <cellStyle name="Normal 2 3 2 2 29" xfId="8583" xr:uid="{00000000-0005-0000-0000-0000A8210000}"/>
    <cellStyle name="Normal 2 3 2 2 3" xfId="8584" xr:uid="{00000000-0005-0000-0000-0000A9210000}"/>
    <cellStyle name="Normal 2 3 2 2 3 2" xfId="8585" xr:uid="{00000000-0005-0000-0000-0000AA210000}"/>
    <cellStyle name="Normal 2 3 2 2 3 3" xfId="8586" xr:uid="{00000000-0005-0000-0000-0000AB210000}"/>
    <cellStyle name="Normal 2 3 2 2 3_ELEC SAP FCST UPLOAD" xfId="8587" xr:uid="{00000000-0005-0000-0000-0000AC210000}"/>
    <cellStyle name="Normal 2 3 2 2 30" xfId="8588" xr:uid="{00000000-0005-0000-0000-0000AD210000}"/>
    <cellStyle name="Normal 2 3 2 2 31" xfId="8589" xr:uid="{00000000-0005-0000-0000-0000AE210000}"/>
    <cellStyle name="Normal 2 3 2 2 32" xfId="8590" xr:uid="{00000000-0005-0000-0000-0000AF210000}"/>
    <cellStyle name="Normal 2 3 2 2 33" xfId="8591" xr:uid="{00000000-0005-0000-0000-0000B0210000}"/>
    <cellStyle name="Normal 2 3 2 2 34" xfId="8592" xr:uid="{00000000-0005-0000-0000-0000B1210000}"/>
    <cellStyle name="Normal 2 3 2 2 35" xfId="8593" xr:uid="{00000000-0005-0000-0000-0000B2210000}"/>
    <cellStyle name="Normal 2 3 2 2 36" xfId="8594" xr:uid="{00000000-0005-0000-0000-0000B3210000}"/>
    <cellStyle name="Normal 2 3 2 2 37" xfId="8595" xr:uid="{00000000-0005-0000-0000-0000B4210000}"/>
    <cellStyle name="Normal 2 3 2 2 38" xfId="8596" xr:uid="{00000000-0005-0000-0000-0000B5210000}"/>
    <cellStyle name="Normal 2 3 2 2 39" xfId="8597" xr:uid="{00000000-0005-0000-0000-0000B6210000}"/>
    <cellStyle name="Normal 2 3 2 2 4" xfId="8598" xr:uid="{00000000-0005-0000-0000-0000B7210000}"/>
    <cellStyle name="Normal 2 3 2 2 40" xfId="8599" xr:uid="{00000000-0005-0000-0000-0000B8210000}"/>
    <cellStyle name="Normal 2 3 2 2 41" xfId="8600" xr:uid="{00000000-0005-0000-0000-0000B9210000}"/>
    <cellStyle name="Normal 2 3 2 2 42" xfId="8601" xr:uid="{00000000-0005-0000-0000-0000BA210000}"/>
    <cellStyle name="Normal 2 3 2 2 43" xfId="8602" xr:uid="{00000000-0005-0000-0000-0000BB210000}"/>
    <cellStyle name="Normal 2 3 2 2 44" xfId="8603" xr:uid="{00000000-0005-0000-0000-0000BC210000}"/>
    <cellStyle name="Normal 2 3 2 2 45" xfId="8604" xr:uid="{00000000-0005-0000-0000-0000BD210000}"/>
    <cellStyle name="Normal 2 3 2 2 46" xfId="8605" xr:uid="{00000000-0005-0000-0000-0000BE210000}"/>
    <cellStyle name="Normal 2 3 2 2 47" xfId="8606" xr:uid="{00000000-0005-0000-0000-0000BF210000}"/>
    <cellStyle name="Normal 2 3 2 2 48" xfId="8607" xr:uid="{00000000-0005-0000-0000-0000C0210000}"/>
    <cellStyle name="Normal 2 3 2 2 49" xfId="8608" xr:uid="{00000000-0005-0000-0000-0000C1210000}"/>
    <cellStyle name="Normal 2 3 2 2 5" xfId="8609" xr:uid="{00000000-0005-0000-0000-0000C2210000}"/>
    <cellStyle name="Normal 2 3 2 2 50" xfId="8610" xr:uid="{00000000-0005-0000-0000-0000C3210000}"/>
    <cellStyle name="Normal 2 3 2 2 51" xfId="8611" xr:uid="{00000000-0005-0000-0000-0000C4210000}"/>
    <cellStyle name="Normal 2 3 2 2 52" xfId="8612" xr:uid="{00000000-0005-0000-0000-0000C5210000}"/>
    <cellStyle name="Normal 2 3 2 2 53" xfId="8613" xr:uid="{00000000-0005-0000-0000-0000C6210000}"/>
    <cellStyle name="Normal 2 3 2 2 54" xfId="8614" xr:uid="{00000000-0005-0000-0000-0000C7210000}"/>
    <cellStyle name="Normal 2 3 2 2 55" xfId="8615" xr:uid="{00000000-0005-0000-0000-0000C8210000}"/>
    <cellStyle name="Normal 2 3 2 2 56" xfId="8616" xr:uid="{00000000-0005-0000-0000-0000C9210000}"/>
    <cellStyle name="Normal 2 3 2 2 57" xfId="8617" xr:uid="{00000000-0005-0000-0000-0000CA210000}"/>
    <cellStyle name="Normal 2 3 2 2 58" xfId="8618" xr:uid="{00000000-0005-0000-0000-0000CB210000}"/>
    <cellStyle name="Normal 2 3 2 2 59" xfId="8619" xr:uid="{00000000-0005-0000-0000-0000CC210000}"/>
    <cellStyle name="Normal 2 3 2 2 6" xfId="8620" xr:uid="{00000000-0005-0000-0000-0000CD210000}"/>
    <cellStyle name="Normal 2 3 2 2 60" xfId="8621" xr:uid="{00000000-0005-0000-0000-0000CE210000}"/>
    <cellStyle name="Normal 2 3 2 2 61" xfId="8622" xr:uid="{00000000-0005-0000-0000-0000CF210000}"/>
    <cellStyle name="Normal 2 3 2 2 62" xfId="8623" xr:uid="{00000000-0005-0000-0000-0000D0210000}"/>
    <cellStyle name="Normal 2 3 2 2 63" xfId="8624" xr:uid="{00000000-0005-0000-0000-0000D1210000}"/>
    <cellStyle name="Normal 2 3 2 2 64" xfId="8625" xr:uid="{00000000-0005-0000-0000-0000D2210000}"/>
    <cellStyle name="Normal 2 3 2 2 65" xfId="8626" xr:uid="{00000000-0005-0000-0000-0000D3210000}"/>
    <cellStyle name="Normal 2 3 2 2 66" xfId="8627" xr:uid="{00000000-0005-0000-0000-0000D4210000}"/>
    <cellStyle name="Normal 2 3 2 2 67" xfId="8628" xr:uid="{00000000-0005-0000-0000-0000D5210000}"/>
    <cellStyle name="Normal 2 3 2 2 68" xfId="8629" xr:uid="{00000000-0005-0000-0000-0000D6210000}"/>
    <cellStyle name="Normal 2 3 2 2 69" xfId="8630" xr:uid="{00000000-0005-0000-0000-0000D7210000}"/>
    <cellStyle name="Normal 2 3 2 2 7" xfId="8631" xr:uid="{00000000-0005-0000-0000-0000D8210000}"/>
    <cellStyle name="Normal 2 3 2 2 7 10" xfId="8632" xr:uid="{00000000-0005-0000-0000-0000D9210000}"/>
    <cellStyle name="Normal 2 3 2 2 7 11" xfId="8633" xr:uid="{00000000-0005-0000-0000-0000DA210000}"/>
    <cellStyle name="Normal 2 3 2 2 7 12" xfId="8634" xr:uid="{00000000-0005-0000-0000-0000DB210000}"/>
    <cellStyle name="Normal 2 3 2 2 7 13" xfId="8635" xr:uid="{00000000-0005-0000-0000-0000DC210000}"/>
    <cellStyle name="Normal 2 3 2 2 7 14" xfId="8636" xr:uid="{00000000-0005-0000-0000-0000DD210000}"/>
    <cellStyle name="Normal 2 3 2 2 7 15" xfId="8637" xr:uid="{00000000-0005-0000-0000-0000DE210000}"/>
    <cellStyle name="Normal 2 3 2 2 7 16" xfId="8638" xr:uid="{00000000-0005-0000-0000-0000DF210000}"/>
    <cellStyle name="Normal 2 3 2 2 7 17" xfId="8639" xr:uid="{00000000-0005-0000-0000-0000E0210000}"/>
    <cellStyle name="Normal 2 3 2 2 7 2" xfId="8640" xr:uid="{00000000-0005-0000-0000-0000E1210000}"/>
    <cellStyle name="Normal 2 3 2 2 7 3" xfId="8641" xr:uid="{00000000-0005-0000-0000-0000E2210000}"/>
    <cellStyle name="Normal 2 3 2 2 7 4" xfId="8642" xr:uid="{00000000-0005-0000-0000-0000E3210000}"/>
    <cellStyle name="Normal 2 3 2 2 7 5" xfId="8643" xr:uid="{00000000-0005-0000-0000-0000E4210000}"/>
    <cellStyle name="Normal 2 3 2 2 7 6" xfId="8644" xr:uid="{00000000-0005-0000-0000-0000E5210000}"/>
    <cellStyle name="Normal 2 3 2 2 7 7" xfId="8645" xr:uid="{00000000-0005-0000-0000-0000E6210000}"/>
    <cellStyle name="Normal 2 3 2 2 7 8" xfId="8646" xr:uid="{00000000-0005-0000-0000-0000E7210000}"/>
    <cellStyle name="Normal 2 3 2 2 7 9" xfId="8647" xr:uid="{00000000-0005-0000-0000-0000E8210000}"/>
    <cellStyle name="Normal 2 3 2 2 70" xfId="8648" xr:uid="{00000000-0005-0000-0000-0000E9210000}"/>
    <cellStyle name="Normal 2 3 2 2 71" xfId="8649" xr:uid="{00000000-0005-0000-0000-0000EA210000}"/>
    <cellStyle name="Normal 2 3 2 2 72" xfId="8650" xr:uid="{00000000-0005-0000-0000-0000EB210000}"/>
    <cellStyle name="Normal 2 3 2 2 73" xfId="8651" xr:uid="{00000000-0005-0000-0000-0000EC210000}"/>
    <cellStyle name="Normal 2 3 2 2 74" xfId="8652" xr:uid="{00000000-0005-0000-0000-0000ED210000}"/>
    <cellStyle name="Normal 2 3 2 2 75" xfId="8653" xr:uid="{00000000-0005-0000-0000-0000EE210000}"/>
    <cellStyle name="Normal 2 3 2 2 76" xfId="8654" xr:uid="{00000000-0005-0000-0000-0000EF210000}"/>
    <cellStyle name="Normal 2 3 2 2 77" xfId="8655" xr:uid="{00000000-0005-0000-0000-0000F0210000}"/>
    <cellStyle name="Normal 2 3 2 2 78" xfId="8656" xr:uid="{00000000-0005-0000-0000-0000F1210000}"/>
    <cellStyle name="Normal 2 3 2 2 79" xfId="8657" xr:uid="{00000000-0005-0000-0000-0000F2210000}"/>
    <cellStyle name="Normal 2 3 2 2 8" xfId="8658" xr:uid="{00000000-0005-0000-0000-0000F3210000}"/>
    <cellStyle name="Normal 2 3 2 2 80" xfId="8659" xr:uid="{00000000-0005-0000-0000-0000F4210000}"/>
    <cellStyle name="Normal 2 3 2 2 81" xfId="8660" xr:uid="{00000000-0005-0000-0000-0000F5210000}"/>
    <cellStyle name="Normal 2 3 2 2 82" xfId="8661" xr:uid="{00000000-0005-0000-0000-0000F6210000}"/>
    <cellStyle name="Normal 2 3 2 2 83" xfId="8662" xr:uid="{00000000-0005-0000-0000-0000F7210000}"/>
    <cellStyle name="Normal 2 3 2 2 9" xfId="8663" xr:uid="{00000000-0005-0000-0000-0000F8210000}"/>
    <cellStyle name="Normal 2 3 2 2_ELEC SAP FCST UPLOAD" xfId="8664" xr:uid="{00000000-0005-0000-0000-0000F9210000}"/>
    <cellStyle name="Normal 2 3 2 20" xfId="8665" xr:uid="{00000000-0005-0000-0000-0000FA210000}"/>
    <cellStyle name="Normal 2 3 2 21" xfId="8666" xr:uid="{00000000-0005-0000-0000-0000FB210000}"/>
    <cellStyle name="Normal 2 3 2 22" xfId="8667" xr:uid="{00000000-0005-0000-0000-0000FC210000}"/>
    <cellStyle name="Normal 2 3 2 23" xfId="8668" xr:uid="{00000000-0005-0000-0000-0000FD210000}"/>
    <cellStyle name="Normal 2 3 2 24" xfId="8669" xr:uid="{00000000-0005-0000-0000-0000FE210000}"/>
    <cellStyle name="Normal 2 3 2 25" xfId="8670" xr:uid="{00000000-0005-0000-0000-0000FF210000}"/>
    <cellStyle name="Normal 2 3 2 26" xfId="8671" xr:uid="{00000000-0005-0000-0000-000000220000}"/>
    <cellStyle name="Normal 2 3 2 27" xfId="8672" xr:uid="{00000000-0005-0000-0000-000001220000}"/>
    <cellStyle name="Normal 2 3 2 28" xfId="8673" xr:uid="{00000000-0005-0000-0000-000002220000}"/>
    <cellStyle name="Normal 2 3 2 29" xfId="8674" xr:uid="{00000000-0005-0000-0000-000003220000}"/>
    <cellStyle name="Normal 2 3 2 3" xfId="8675" xr:uid="{00000000-0005-0000-0000-000004220000}"/>
    <cellStyle name="Normal 2 3 2 3 10" xfId="8676" xr:uid="{00000000-0005-0000-0000-000005220000}"/>
    <cellStyle name="Normal 2 3 2 3 11" xfId="8677" xr:uid="{00000000-0005-0000-0000-000006220000}"/>
    <cellStyle name="Normal 2 3 2 3 12" xfId="8678" xr:uid="{00000000-0005-0000-0000-000007220000}"/>
    <cellStyle name="Normal 2 3 2 3 13" xfId="8679" xr:uid="{00000000-0005-0000-0000-000008220000}"/>
    <cellStyle name="Normal 2 3 2 3 14" xfId="8680" xr:uid="{00000000-0005-0000-0000-000009220000}"/>
    <cellStyle name="Normal 2 3 2 3 15" xfId="8681" xr:uid="{00000000-0005-0000-0000-00000A220000}"/>
    <cellStyle name="Normal 2 3 2 3 16" xfId="8682" xr:uid="{00000000-0005-0000-0000-00000B220000}"/>
    <cellStyle name="Normal 2 3 2 3 17" xfId="8683" xr:uid="{00000000-0005-0000-0000-00000C220000}"/>
    <cellStyle name="Normal 2 3 2 3 18" xfId="8684" xr:uid="{00000000-0005-0000-0000-00000D220000}"/>
    <cellStyle name="Normal 2 3 2 3 19" xfId="8685" xr:uid="{00000000-0005-0000-0000-00000E220000}"/>
    <cellStyle name="Normal 2 3 2 3 2" xfId="8686" xr:uid="{00000000-0005-0000-0000-00000F220000}"/>
    <cellStyle name="Normal 2 3 2 3 2 10" xfId="8687" xr:uid="{00000000-0005-0000-0000-000010220000}"/>
    <cellStyle name="Normal 2 3 2 3 2 11" xfId="8688" xr:uid="{00000000-0005-0000-0000-000011220000}"/>
    <cellStyle name="Normal 2 3 2 3 2 12" xfId="8689" xr:uid="{00000000-0005-0000-0000-000012220000}"/>
    <cellStyle name="Normal 2 3 2 3 2 13" xfId="8690" xr:uid="{00000000-0005-0000-0000-000013220000}"/>
    <cellStyle name="Normal 2 3 2 3 2 14" xfId="8691" xr:uid="{00000000-0005-0000-0000-000014220000}"/>
    <cellStyle name="Normal 2 3 2 3 2 15" xfId="8692" xr:uid="{00000000-0005-0000-0000-000015220000}"/>
    <cellStyle name="Normal 2 3 2 3 2 16" xfId="8693" xr:uid="{00000000-0005-0000-0000-000016220000}"/>
    <cellStyle name="Normal 2 3 2 3 2 17" xfId="8694" xr:uid="{00000000-0005-0000-0000-000017220000}"/>
    <cellStyle name="Normal 2 3 2 3 2 18" xfId="8695" xr:uid="{00000000-0005-0000-0000-000018220000}"/>
    <cellStyle name="Normal 2 3 2 3 2 2" xfId="8696" xr:uid="{00000000-0005-0000-0000-000019220000}"/>
    <cellStyle name="Normal 2 3 2 3 2 3" xfId="8697" xr:uid="{00000000-0005-0000-0000-00001A220000}"/>
    <cellStyle name="Normal 2 3 2 3 2 4" xfId="8698" xr:uid="{00000000-0005-0000-0000-00001B220000}"/>
    <cellStyle name="Normal 2 3 2 3 2 5" xfId="8699" xr:uid="{00000000-0005-0000-0000-00001C220000}"/>
    <cellStyle name="Normal 2 3 2 3 2 6" xfId="8700" xr:uid="{00000000-0005-0000-0000-00001D220000}"/>
    <cellStyle name="Normal 2 3 2 3 2 7" xfId="8701" xr:uid="{00000000-0005-0000-0000-00001E220000}"/>
    <cellStyle name="Normal 2 3 2 3 2 8" xfId="8702" xr:uid="{00000000-0005-0000-0000-00001F220000}"/>
    <cellStyle name="Normal 2 3 2 3 2 9" xfId="8703" xr:uid="{00000000-0005-0000-0000-000020220000}"/>
    <cellStyle name="Normal 2 3 2 3 3" xfId="8704" xr:uid="{00000000-0005-0000-0000-000021220000}"/>
    <cellStyle name="Normal 2 3 2 3 4" xfId="8705" xr:uid="{00000000-0005-0000-0000-000022220000}"/>
    <cellStyle name="Normal 2 3 2 3 5" xfId="8706" xr:uid="{00000000-0005-0000-0000-000023220000}"/>
    <cellStyle name="Normal 2 3 2 3 6" xfId="8707" xr:uid="{00000000-0005-0000-0000-000024220000}"/>
    <cellStyle name="Normal 2 3 2 3 7" xfId="8708" xr:uid="{00000000-0005-0000-0000-000025220000}"/>
    <cellStyle name="Normal 2 3 2 3 8" xfId="8709" xr:uid="{00000000-0005-0000-0000-000026220000}"/>
    <cellStyle name="Normal 2 3 2 3 9" xfId="8710" xr:uid="{00000000-0005-0000-0000-000027220000}"/>
    <cellStyle name="Normal 2 3 2 3_ELEC SAP FCST UPLOAD" xfId="8711" xr:uid="{00000000-0005-0000-0000-000028220000}"/>
    <cellStyle name="Normal 2 3 2 30" xfId="8712" xr:uid="{00000000-0005-0000-0000-000029220000}"/>
    <cellStyle name="Normal 2 3 2 31" xfId="8713" xr:uid="{00000000-0005-0000-0000-00002A220000}"/>
    <cellStyle name="Normal 2 3 2 32" xfId="8714" xr:uid="{00000000-0005-0000-0000-00002B220000}"/>
    <cellStyle name="Normal 2 3 2 33" xfId="8715" xr:uid="{00000000-0005-0000-0000-00002C220000}"/>
    <cellStyle name="Normal 2 3 2 34" xfId="8716" xr:uid="{00000000-0005-0000-0000-00002D220000}"/>
    <cellStyle name="Normal 2 3 2 35" xfId="8717" xr:uid="{00000000-0005-0000-0000-00002E220000}"/>
    <cellStyle name="Normal 2 3 2 36" xfId="8718" xr:uid="{00000000-0005-0000-0000-00002F220000}"/>
    <cellStyle name="Normal 2 3 2 37" xfId="8719" xr:uid="{00000000-0005-0000-0000-000030220000}"/>
    <cellStyle name="Normal 2 3 2 38" xfId="8720" xr:uid="{00000000-0005-0000-0000-000031220000}"/>
    <cellStyle name="Normal 2 3 2 39" xfId="8721" xr:uid="{00000000-0005-0000-0000-000032220000}"/>
    <cellStyle name="Normal 2 3 2 4" xfId="8722" xr:uid="{00000000-0005-0000-0000-000033220000}"/>
    <cellStyle name="Normal 2 3 2 40" xfId="8723" xr:uid="{00000000-0005-0000-0000-000034220000}"/>
    <cellStyle name="Normal 2 3 2 41" xfId="8724" xr:uid="{00000000-0005-0000-0000-000035220000}"/>
    <cellStyle name="Normal 2 3 2 42" xfId="8725" xr:uid="{00000000-0005-0000-0000-000036220000}"/>
    <cellStyle name="Normal 2 3 2 43" xfId="8726" xr:uid="{00000000-0005-0000-0000-000037220000}"/>
    <cellStyle name="Normal 2 3 2 44" xfId="8727" xr:uid="{00000000-0005-0000-0000-000038220000}"/>
    <cellStyle name="Normal 2 3 2 45" xfId="8728" xr:uid="{00000000-0005-0000-0000-000039220000}"/>
    <cellStyle name="Normal 2 3 2 46" xfId="8729" xr:uid="{00000000-0005-0000-0000-00003A220000}"/>
    <cellStyle name="Normal 2 3 2 47" xfId="8730" xr:uid="{00000000-0005-0000-0000-00003B220000}"/>
    <cellStyle name="Normal 2 3 2 48" xfId="8731" xr:uid="{00000000-0005-0000-0000-00003C220000}"/>
    <cellStyle name="Normal 2 3 2 49" xfId="8732" xr:uid="{00000000-0005-0000-0000-00003D220000}"/>
    <cellStyle name="Normal 2 3 2 5" xfId="8733" xr:uid="{00000000-0005-0000-0000-00003E220000}"/>
    <cellStyle name="Normal 2 3 2 50" xfId="8734" xr:uid="{00000000-0005-0000-0000-00003F220000}"/>
    <cellStyle name="Normal 2 3 2 51" xfId="8735" xr:uid="{00000000-0005-0000-0000-000040220000}"/>
    <cellStyle name="Normal 2 3 2 52" xfId="8736" xr:uid="{00000000-0005-0000-0000-000041220000}"/>
    <cellStyle name="Normal 2 3 2 53" xfId="8737" xr:uid="{00000000-0005-0000-0000-000042220000}"/>
    <cellStyle name="Normal 2 3 2 54" xfId="8738" xr:uid="{00000000-0005-0000-0000-000043220000}"/>
    <cellStyle name="Normal 2 3 2 55" xfId="8739" xr:uid="{00000000-0005-0000-0000-000044220000}"/>
    <cellStyle name="Normal 2 3 2 56" xfId="8740" xr:uid="{00000000-0005-0000-0000-000045220000}"/>
    <cellStyle name="Normal 2 3 2 57" xfId="8741" xr:uid="{00000000-0005-0000-0000-000046220000}"/>
    <cellStyle name="Normal 2 3 2 58" xfId="8742" xr:uid="{00000000-0005-0000-0000-000047220000}"/>
    <cellStyle name="Normal 2 3 2 59" xfId="8743" xr:uid="{00000000-0005-0000-0000-000048220000}"/>
    <cellStyle name="Normal 2 3 2 6" xfId="8744" xr:uid="{00000000-0005-0000-0000-000049220000}"/>
    <cellStyle name="Normal 2 3 2 60" xfId="8745" xr:uid="{00000000-0005-0000-0000-00004A220000}"/>
    <cellStyle name="Normal 2 3 2 61" xfId="8746" xr:uid="{00000000-0005-0000-0000-00004B220000}"/>
    <cellStyle name="Normal 2 3 2 62" xfId="8747" xr:uid="{00000000-0005-0000-0000-00004C220000}"/>
    <cellStyle name="Normal 2 3 2 63" xfId="8748" xr:uid="{00000000-0005-0000-0000-00004D220000}"/>
    <cellStyle name="Normal 2 3 2 64" xfId="8749" xr:uid="{00000000-0005-0000-0000-00004E220000}"/>
    <cellStyle name="Normal 2 3 2 65" xfId="8750" xr:uid="{00000000-0005-0000-0000-00004F220000}"/>
    <cellStyle name="Normal 2 3 2 66" xfId="8751" xr:uid="{00000000-0005-0000-0000-000050220000}"/>
    <cellStyle name="Normal 2 3 2 67" xfId="8752" xr:uid="{00000000-0005-0000-0000-000051220000}"/>
    <cellStyle name="Normal 2 3 2 68" xfId="8753" xr:uid="{00000000-0005-0000-0000-000052220000}"/>
    <cellStyle name="Normal 2 3 2 69" xfId="8754" xr:uid="{00000000-0005-0000-0000-000053220000}"/>
    <cellStyle name="Normal 2 3 2 7" xfId="8755" xr:uid="{00000000-0005-0000-0000-000054220000}"/>
    <cellStyle name="Normal 2 3 2 70" xfId="8756" xr:uid="{00000000-0005-0000-0000-000055220000}"/>
    <cellStyle name="Normal 2 3 2 71" xfId="8757" xr:uid="{00000000-0005-0000-0000-000056220000}"/>
    <cellStyle name="Normal 2 3 2 72" xfId="8758" xr:uid="{00000000-0005-0000-0000-000057220000}"/>
    <cellStyle name="Normal 2 3 2 73" xfId="8759" xr:uid="{00000000-0005-0000-0000-000058220000}"/>
    <cellStyle name="Normal 2 3 2 74" xfId="8760" xr:uid="{00000000-0005-0000-0000-000059220000}"/>
    <cellStyle name="Normal 2 3 2 75" xfId="8761" xr:uid="{00000000-0005-0000-0000-00005A220000}"/>
    <cellStyle name="Normal 2 3 2 76" xfId="8762" xr:uid="{00000000-0005-0000-0000-00005B220000}"/>
    <cellStyle name="Normal 2 3 2 77" xfId="8763" xr:uid="{00000000-0005-0000-0000-00005C220000}"/>
    <cellStyle name="Normal 2 3 2 78" xfId="8764" xr:uid="{00000000-0005-0000-0000-00005D220000}"/>
    <cellStyle name="Normal 2 3 2 79" xfId="8765" xr:uid="{00000000-0005-0000-0000-00005E220000}"/>
    <cellStyle name="Normal 2 3 2 8" xfId="8766" xr:uid="{00000000-0005-0000-0000-00005F220000}"/>
    <cellStyle name="Normal 2 3 2 8 10" xfId="8767" xr:uid="{00000000-0005-0000-0000-000060220000}"/>
    <cellStyle name="Normal 2 3 2 8 11" xfId="8768" xr:uid="{00000000-0005-0000-0000-000061220000}"/>
    <cellStyle name="Normal 2 3 2 8 12" xfId="8769" xr:uid="{00000000-0005-0000-0000-000062220000}"/>
    <cellStyle name="Normal 2 3 2 8 13" xfId="8770" xr:uid="{00000000-0005-0000-0000-000063220000}"/>
    <cellStyle name="Normal 2 3 2 8 14" xfId="8771" xr:uid="{00000000-0005-0000-0000-000064220000}"/>
    <cellStyle name="Normal 2 3 2 8 15" xfId="8772" xr:uid="{00000000-0005-0000-0000-000065220000}"/>
    <cellStyle name="Normal 2 3 2 8 16" xfId="8773" xr:uid="{00000000-0005-0000-0000-000066220000}"/>
    <cellStyle name="Normal 2 3 2 8 17" xfId="8774" xr:uid="{00000000-0005-0000-0000-000067220000}"/>
    <cellStyle name="Normal 2 3 2 8 2" xfId="8775" xr:uid="{00000000-0005-0000-0000-000068220000}"/>
    <cellStyle name="Normal 2 3 2 8 3" xfId="8776" xr:uid="{00000000-0005-0000-0000-000069220000}"/>
    <cellStyle name="Normal 2 3 2 8 4" xfId="8777" xr:uid="{00000000-0005-0000-0000-00006A220000}"/>
    <cellStyle name="Normal 2 3 2 8 5" xfId="8778" xr:uid="{00000000-0005-0000-0000-00006B220000}"/>
    <cellStyle name="Normal 2 3 2 8 6" xfId="8779" xr:uid="{00000000-0005-0000-0000-00006C220000}"/>
    <cellStyle name="Normal 2 3 2 8 7" xfId="8780" xr:uid="{00000000-0005-0000-0000-00006D220000}"/>
    <cellStyle name="Normal 2 3 2 8 8" xfId="8781" xr:uid="{00000000-0005-0000-0000-00006E220000}"/>
    <cellStyle name="Normal 2 3 2 8 9" xfId="8782" xr:uid="{00000000-0005-0000-0000-00006F220000}"/>
    <cellStyle name="Normal 2 3 2 80" xfId="8783" xr:uid="{00000000-0005-0000-0000-000070220000}"/>
    <cellStyle name="Normal 2 3 2 81" xfId="8784" xr:uid="{00000000-0005-0000-0000-000071220000}"/>
    <cellStyle name="Normal 2 3 2 82" xfId="8785" xr:uid="{00000000-0005-0000-0000-000072220000}"/>
    <cellStyle name="Normal 2 3 2 83" xfId="8786" xr:uid="{00000000-0005-0000-0000-000073220000}"/>
    <cellStyle name="Normal 2 3 2 84" xfId="8787" xr:uid="{00000000-0005-0000-0000-000074220000}"/>
    <cellStyle name="Normal 2 3 2 9" xfId="8788" xr:uid="{00000000-0005-0000-0000-000075220000}"/>
    <cellStyle name="Normal 2 3 2_ELEC SAP FCST UPLOAD" xfId="8789" xr:uid="{00000000-0005-0000-0000-000076220000}"/>
    <cellStyle name="Normal 2 3 20" xfId="8790" xr:uid="{00000000-0005-0000-0000-000077220000}"/>
    <cellStyle name="Normal 2 3 21" xfId="8791" xr:uid="{00000000-0005-0000-0000-000078220000}"/>
    <cellStyle name="Normal 2 3 22" xfId="8792" xr:uid="{00000000-0005-0000-0000-000079220000}"/>
    <cellStyle name="Normal 2 3 23" xfId="8793" xr:uid="{00000000-0005-0000-0000-00007A220000}"/>
    <cellStyle name="Normal 2 3 24" xfId="8794" xr:uid="{00000000-0005-0000-0000-00007B220000}"/>
    <cellStyle name="Normal 2 3 25" xfId="8795" xr:uid="{00000000-0005-0000-0000-00007C220000}"/>
    <cellStyle name="Normal 2 3 26" xfId="8796" xr:uid="{00000000-0005-0000-0000-00007D220000}"/>
    <cellStyle name="Normal 2 3 27" xfId="8797" xr:uid="{00000000-0005-0000-0000-00007E220000}"/>
    <cellStyle name="Normal 2 3 28" xfId="8798" xr:uid="{00000000-0005-0000-0000-00007F220000}"/>
    <cellStyle name="Normal 2 3 29" xfId="8799" xr:uid="{00000000-0005-0000-0000-000080220000}"/>
    <cellStyle name="Normal 2 3 3" xfId="8800" xr:uid="{00000000-0005-0000-0000-000081220000}"/>
    <cellStyle name="Normal 2 3 3 10" xfId="8801" xr:uid="{00000000-0005-0000-0000-000082220000}"/>
    <cellStyle name="Normal 2 3 3 11" xfId="8802" xr:uid="{00000000-0005-0000-0000-000083220000}"/>
    <cellStyle name="Normal 2 3 3 12" xfId="8803" xr:uid="{00000000-0005-0000-0000-000084220000}"/>
    <cellStyle name="Normal 2 3 3 13" xfId="8804" xr:uid="{00000000-0005-0000-0000-000085220000}"/>
    <cellStyle name="Normal 2 3 3 14" xfId="8805" xr:uid="{00000000-0005-0000-0000-000086220000}"/>
    <cellStyle name="Normal 2 3 3 15" xfId="8806" xr:uid="{00000000-0005-0000-0000-000087220000}"/>
    <cellStyle name="Normal 2 3 3 16" xfId="8807" xr:uid="{00000000-0005-0000-0000-000088220000}"/>
    <cellStyle name="Normal 2 3 3 17" xfId="8808" xr:uid="{00000000-0005-0000-0000-000089220000}"/>
    <cellStyle name="Normal 2 3 3 18" xfId="8809" xr:uid="{00000000-0005-0000-0000-00008A220000}"/>
    <cellStyle name="Normal 2 3 3 19" xfId="8810" xr:uid="{00000000-0005-0000-0000-00008B220000}"/>
    <cellStyle name="Normal 2 3 3 2" xfId="8811" xr:uid="{00000000-0005-0000-0000-00008C220000}"/>
    <cellStyle name="Normal 2 3 3 2 10" xfId="8812" xr:uid="{00000000-0005-0000-0000-00008D220000}"/>
    <cellStyle name="Normal 2 3 3 2 11" xfId="8813" xr:uid="{00000000-0005-0000-0000-00008E220000}"/>
    <cellStyle name="Normal 2 3 3 2 12" xfId="8814" xr:uid="{00000000-0005-0000-0000-00008F220000}"/>
    <cellStyle name="Normal 2 3 3 2 13" xfId="8815" xr:uid="{00000000-0005-0000-0000-000090220000}"/>
    <cellStyle name="Normal 2 3 3 2 14" xfId="8816" xr:uid="{00000000-0005-0000-0000-000091220000}"/>
    <cellStyle name="Normal 2 3 3 2 15" xfId="8817" xr:uid="{00000000-0005-0000-0000-000092220000}"/>
    <cellStyle name="Normal 2 3 3 2 16" xfId="8818" xr:uid="{00000000-0005-0000-0000-000093220000}"/>
    <cellStyle name="Normal 2 3 3 2 17" xfId="8819" xr:uid="{00000000-0005-0000-0000-000094220000}"/>
    <cellStyle name="Normal 2 3 3 2 18" xfId="8820" xr:uid="{00000000-0005-0000-0000-000095220000}"/>
    <cellStyle name="Normal 2 3 3 2 19" xfId="8821" xr:uid="{00000000-0005-0000-0000-000096220000}"/>
    <cellStyle name="Normal 2 3 3 2 2" xfId="8822" xr:uid="{00000000-0005-0000-0000-000097220000}"/>
    <cellStyle name="Normal 2 3 3 2 2 10" xfId="8823" xr:uid="{00000000-0005-0000-0000-000098220000}"/>
    <cellStyle name="Normal 2 3 3 2 2 11" xfId="8824" xr:uid="{00000000-0005-0000-0000-000099220000}"/>
    <cellStyle name="Normal 2 3 3 2 2 12" xfId="8825" xr:uid="{00000000-0005-0000-0000-00009A220000}"/>
    <cellStyle name="Normal 2 3 3 2 2 13" xfId="8826" xr:uid="{00000000-0005-0000-0000-00009B220000}"/>
    <cellStyle name="Normal 2 3 3 2 2 14" xfId="8827" xr:uid="{00000000-0005-0000-0000-00009C220000}"/>
    <cellStyle name="Normal 2 3 3 2 2 15" xfId="8828" xr:uid="{00000000-0005-0000-0000-00009D220000}"/>
    <cellStyle name="Normal 2 3 3 2 2 16" xfId="8829" xr:uid="{00000000-0005-0000-0000-00009E220000}"/>
    <cellStyle name="Normal 2 3 3 2 2 17" xfId="8830" xr:uid="{00000000-0005-0000-0000-00009F220000}"/>
    <cellStyle name="Normal 2 3 3 2 2 18" xfId="8831" xr:uid="{00000000-0005-0000-0000-0000A0220000}"/>
    <cellStyle name="Normal 2 3 3 2 2 2" xfId="8832" xr:uid="{00000000-0005-0000-0000-0000A1220000}"/>
    <cellStyle name="Normal 2 3 3 2 2 3" xfId="8833" xr:uid="{00000000-0005-0000-0000-0000A2220000}"/>
    <cellStyle name="Normal 2 3 3 2 2 4" xfId="8834" xr:uid="{00000000-0005-0000-0000-0000A3220000}"/>
    <cellStyle name="Normal 2 3 3 2 2 5" xfId="8835" xr:uid="{00000000-0005-0000-0000-0000A4220000}"/>
    <cellStyle name="Normal 2 3 3 2 2 6" xfId="8836" xr:uid="{00000000-0005-0000-0000-0000A5220000}"/>
    <cellStyle name="Normal 2 3 3 2 2 7" xfId="8837" xr:uid="{00000000-0005-0000-0000-0000A6220000}"/>
    <cellStyle name="Normal 2 3 3 2 2 8" xfId="8838" xr:uid="{00000000-0005-0000-0000-0000A7220000}"/>
    <cellStyle name="Normal 2 3 3 2 2 9" xfId="8839" xr:uid="{00000000-0005-0000-0000-0000A8220000}"/>
    <cellStyle name="Normal 2 3 3 2 3" xfId="8840" xr:uid="{00000000-0005-0000-0000-0000A9220000}"/>
    <cellStyle name="Normal 2 3 3 2 4" xfId="8841" xr:uid="{00000000-0005-0000-0000-0000AA220000}"/>
    <cellStyle name="Normal 2 3 3 2 5" xfId="8842" xr:uid="{00000000-0005-0000-0000-0000AB220000}"/>
    <cellStyle name="Normal 2 3 3 2 6" xfId="8843" xr:uid="{00000000-0005-0000-0000-0000AC220000}"/>
    <cellStyle name="Normal 2 3 3 2 7" xfId="8844" xr:uid="{00000000-0005-0000-0000-0000AD220000}"/>
    <cellStyle name="Normal 2 3 3 2 8" xfId="8845" xr:uid="{00000000-0005-0000-0000-0000AE220000}"/>
    <cellStyle name="Normal 2 3 3 2 9" xfId="8846" xr:uid="{00000000-0005-0000-0000-0000AF220000}"/>
    <cellStyle name="Normal 2 3 3 2_ELEC SAP FCST UPLOAD" xfId="8847" xr:uid="{00000000-0005-0000-0000-0000B0220000}"/>
    <cellStyle name="Normal 2 3 3 20" xfId="8848" xr:uid="{00000000-0005-0000-0000-0000B1220000}"/>
    <cellStyle name="Normal 2 3 3 21" xfId="8849" xr:uid="{00000000-0005-0000-0000-0000B2220000}"/>
    <cellStyle name="Normal 2 3 3 22" xfId="8850" xr:uid="{00000000-0005-0000-0000-0000B3220000}"/>
    <cellStyle name="Normal 2 3 3 23" xfId="8851" xr:uid="{00000000-0005-0000-0000-0000B4220000}"/>
    <cellStyle name="Normal 2 3 3 24" xfId="8852" xr:uid="{00000000-0005-0000-0000-0000B5220000}"/>
    <cellStyle name="Normal 2 3 3 25" xfId="8853" xr:uid="{00000000-0005-0000-0000-0000B6220000}"/>
    <cellStyle name="Normal 2 3 3 26" xfId="8854" xr:uid="{00000000-0005-0000-0000-0000B7220000}"/>
    <cellStyle name="Normal 2 3 3 27" xfId="8855" xr:uid="{00000000-0005-0000-0000-0000B8220000}"/>
    <cellStyle name="Normal 2 3 3 28" xfId="8856" xr:uid="{00000000-0005-0000-0000-0000B9220000}"/>
    <cellStyle name="Normal 2 3 3 29" xfId="8857" xr:uid="{00000000-0005-0000-0000-0000BA220000}"/>
    <cellStyle name="Normal 2 3 3 3" xfId="8858" xr:uid="{00000000-0005-0000-0000-0000BB220000}"/>
    <cellStyle name="Normal 2 3 3 30" xfId="8859" xr:uid="{00000000-0005-0000-0000-0000BC220000}"/>
    <cellStyle name="Normal 2 3 3 31" xfId="8860" xr:uid="{00000000-0005-0000-0000-0000BD220000}"/>
    <cellStyle name="Normal 2 3 3 32" xfId="8861" xr:uid="{00000000-0005-0000-0000-0000BE220000}"/>
    <cellStyle name="Normal 2 3 3 33" xfId="8862" xr:uid="{00000000-0005-0000-0000-0000BF220000}"/>
    <cellStyle name="Normal 2 3 3 34" xfId="8863" xr:uid="{00000000-0005-0000-0000-0000C0220000}"/>
    <cellStyle name="Normal 2 3 3 35" xfId="8864" xr:uid="{00000000-0005-0000-0000-0000C1220000}"/>
    <cellStyle name="Normal 2 3 3 36" xfId="8865" xr:uid="{00000000-0005-0000-0000-0000C2220000}"/>
    <cellStyle name="Normal 2 3 3 37" xfId="8866" xr:uid="{00000000-0005-0000-0000-0000C3220000}"/>
    <cellStyle name="Normal 2 3 3 38" xfId="8867" xr:uid="{00000000-0005-0000-0000-0000C4220000}"/>
    <cellStyle name="Normal 2 3 3 39" xfId="8868" xr:uid="{00000000-0005-0000-0000-0000C5220000}"/>
    <cellStyle name="Normal 2 3 3 4" xfId="8869" xr:uid="{00000000-0005-0000-0000-0000C6220000}"/>
    <cellStyle name="Normal 2 3 3 40" xfId="8870" xr:uid="{00000000-0005-0000-0000-0000C7220000}"/>
    <cellStyle name="Normal 2 3 3 41" xfId="8871" xr:uid="{00000000-0005-0000-0000-0000C8220000}"/>
    <cellStyle name="Normal 2 3 3 42" xfId="8872" xr:uid="{00000000-0005-0000-0000-0000C9220000}"/>
    <cellStyle name="Normal 2 3 3 43" xfId="8873" xr:uid="{00000000-0005-0000-0000-0000CA220000}"/>
    <cellStyle name="Normal 2 3 3 44" xfId="8874" xr:uid="{00000000-0005-0000-0000-0000CB220000}"/>
    <cellStyle name="Normal 2 3 3 45" xfId="8875" xr:uid="{00000000-0005-0000-0000-0000CC220000}"/>
    <cellStyle name="Normal 2 3 3 46" xfId="8876" xr:uid="{00000000-0005-0000-0000-0000CD220000}"/>
    <cellStyle name="Normal 2 3 3 47" xfId="8877" xr:uid="{00000000-0005-0000-0000-0000CE220000}"/>
    <cellStyle name="Normal 2 3 3 48" xfId="8878" xr:uid="{00000000-0005-0000-0000-0000CF220000}"/>
    <cellStyle name="Normal 2 3 3 49" xfId="8879" xr:uid="{00000000-0005-0000-0000-0000D0220000}"/>
    <cellStyle name="Normal 2 3 3 5" xfId="8880" xr:uid="{00000000-0005-0000-0000-0000D1220000}"/>
    <cellStyle name="Normal 2 3 3 50" xfId="8881" xr:uid="{00000000-0005-0000-0000-0000D2220000}"/>
    <cellStyle name="Normal 2 3 3 51" xfId="8882" xr:uid="{00000000-0005-0000-0000-0000D3220000}"/>
    <cellStyle name="Normal 2 3 3 52" xfId="8883" xr:uid="{00000000-0005-0000-0000-0000D4220000}"/>
    <cellStyle name="Normal 2 3 3 53" xfId="8884" xr:uid="{00000000-0005-0000-0000-0000D5220000}"/>
    <cellStyle name="Normal 2 3 3 54" xfId="8885" xr:uid="{00000000-0005-0000-0000-0000D6220000}"/>
    <cellStyle name="Normal 2 3 3 55" xfId="8886" xr:uid="{00000000-0005-0000-0000-0000D7220000}"/>
    <cellStyle name="Normal 2 3 3 56" xfId="8887" xr:uid="{00000000-0005-0000-0000-0000D8220000}"/>
    <cellStyle name="Normal 2 3 3 57" xfId="8888" xr:uid="{00000000-0005-0000-0000-0000D9220000}"/>
    <cellStyle name="Normal 2 3 3 58" xfId="8889" xr:uid="{00000000-0005-0000-0000-0000DA220000}"/>
    <cellStyle name="Normal 2 3 3 59" xfId="8890" xr:uid="{00000000-0005-0000-0000-0000DB220000}"/>
    <cellStyle name="Normal 2 3 3 6" xfId="8891" xr:uid="{00000000-0005-0000-0000-0000DC220000}"/>
    <cellStyle name="Normal 2 3 3 60" xfId="8892" xr:uid="{00000000-0005-0000-0000-0000DD220000}"/>
    <cellStyle name="Normal 2 3 3 61" xfId="8893" xr:uid="{00000000-0005-0000-0000-0000DE220000}"/>
    <cellStyle name="Normal 2 3 3 62" xfId="8894" xr:uid="{00000000-0005-0000-0000-0000DF220000}"/>
    <cellStyle name="Normal 2 3 3 63" xfId="8895" xr:uid="{00000000-0005-0000-0000-0000E0220000}"/>
    <cellStyle name="Normal 2 3 3 64" xfId="8896" xr:uid="{00000000-0005-0000-0000-0000E1220000}"/>
    <cellStyle name="Normal 2 3 3 65" xfId="8897" xr:uid="{00000000-0005-0000-0000-0000E2220000}"/>
    <cellStyle name="Normal 2 3 3 66" xfId="8898" xr:uid="{00000000-0005-0000-0000-0000E3220000}"/>
    <cellStyle name="Normal 2 3 3 67" xfId="8899" xr:uid="{00000000-0005-0000-0000-0000E4220000}"/>
    <cellStyle name="Normal 2 3 3 68" xfId="8900" xr:uid="{00000000-0005-0000-0000-0000E5220000}"/>
    <cellStyle name="Normal 2 3 3 69" xfId="8901" xr:uid="{00000000-0005-0000-0000-0000E6220000}"/>
    <cellStyle name="Normal 2 3 3 7" xfId="8902" xr:uid="{00000000-0005-0000-0000-0000E7220000}"/>
    <cellStyle name="Normal 2 3 3 7 10" xfId="8903" xr:uid="{00000000-0005-0000-0000-0000E8220000}"/>
    <cellStyle name="Normal 2 3 3 7 11" xfId="8904" xr:uid="{00000000-0005-0000-0000-0000E9220000}"/>
    <cellStyle name="Normal 2 3 3 7 12" xfId="8905" xr:uid="{00000000-0005-0000-0000-0000EA220000}"/>
    <cellStyle name="Normal 2 3 3 7 13" xfId="8906" xr:uid="{00000000-0005-0000-0000-0000EB220000}"/>
    <cellStyle name="Normal 2 3 3 7 14" xfId="8907" xr:uid="{00000000-0005-0000-0000-0000EC220000}"/>
    <cellStyle name="Normal 2 3 3 7 15" xfId="8908" xr:uid="{00000000-0005-0000-0000-0000ED220000}"/>
    <cellStyle name="Normal 2 3 3 7 16" xfId="8909" xr:uid="{00000000-0005-0000-0000-0000EE220000}"/>
    <cellStyle name="Normal 2 3 3 7 17" xfId="8910" xr:uid="{00000000-0005-0000-0000-0000EF220000}"/>
    <cellStyle name="Normal 2 3 3 7 2" xfId="8911" xr:uid="{00000000-0005-0000-0000-0000F0220000}"/>
    <cellStyle name="Normal 2 3 3 7 3" xfId="8912" xr:uid="{00000000-0005-0000-0000-0000F1220000}"/>
    <cellStyle name="Normal 2 3 3 7 4" xfId="8913" xr:uid="{00000000-0005-0000-0000-0000F2220000}"/>
    <cellStyle name="Normal 2 3 3 7 5" xfId="8914" xr:uid="{00000000-0005-0000-0000-0000F3220000}"/>
    <cellStyle name="Normal 2 3 3 7 6" xfId="8915" xr:uid="{00000000-0005-0000-0000-0000F4220000}"/>
    <cellStyle name="Normal 2 3 3 7 7" xfId="8916" xr:uid="{00000000-0005-0000-0000-0000F5220000}"/>
    <cellStyle name="Normal 2 3 3 7 8" xfId="8917" xr:uid="{00000000-0005-0000-0000-0000F6220000}"/>
    <cellStyle name="Normal 2 3 3 7 9" xfId="8918" xr:uid="{00000000-0005-0000-0000-0000F7220000}"/>
    <cellStyle name="Normal 2 3 3 70" xfId="8919" xr:uid="{00000000-0005-0000-0000-0000F8220000}"/>
    <cellStyle name="Normal 2 3 3 71" xfId="8920" xr:uid="{00000000-0005-0000-0000-0000F9220000}"/>
    <cellStyle name="Normal 2 3 3 72" xfId="8921" xr:uid="{00000000-0005-0000-0000-0000FA220000}"/>
    <cellStyle name="Normal 2 3 3 73" xfId="8922" xr:uid="{00000000-0005-0000-0000-0000FB220000}"/>
    <cellStyle name="Normal 2 3 3 74" xfId="8923" xr:uid="{00000000-0005-0000-0000-0000FC220000}"/>
    <cellStyle name="Normal 2 3 3 75" xfId="8924" xr:uid="{00000000-0005-0000-0000-0000FD220000}"/>
    <cellStyle name="Normal 2 3 3 76" xfId="8925" xr:uid="{00000000-0005-0000-0000-0000FE220000}"/>
    <cellStyle name="Normal 2 3 3 77" xfId="8926" xr:uid="{00000000-0005-0000-0000-0000FF220000}"/>
    <cellStyle name="Normal 2 3 3 78" xfId="8927" xr:uid="{00000000-0005-0000-0000-000000230000}"/>
    <cellStyle name="Normal 2 3 3 79" xfId="8928" xr:uid="{00000000-0005-0000-0000-000001230000}"/>
    <cellStyle name="Normal 2 3 3 8" xfId="8929" xr:uid="{00000000-0005-0000-0000-000002230000}"/>
    <cellStyle name="Normal 2 3 3 80" xfId="8930" xr:uid="{00000000-0005-0000-0000-000003230000}"/>
    <cellStyle name="Normal 2 3 3 81" xfId="8931" xr:uid="{00000000-0005-0000-0000-000004230000}"/>
    <cellStyle name="Normal 2 3 3 82" xfId="8932" xr:uid="{00000000-0005-0000-0000-000005230000}"/>
    <cellStyle name="Normal 2 3 3 83" xfId="8933" xr:uid="{00000000-0005-0000-0000-000006230000}"/>
    <cellStyle name="Normal 2 3 3 9" xfId="8934" xr:uid="{00000000-0005-0000-0000-000007230000}"/>
    <cellStyle name="Normal 2 3 3_ELEC SAP FCST UPLOAD" xfId="8935" xr:uid="{00000000-0005-0000-0000-000008230000}"/>
    <cellStyle name="Normal 2 3 30" xfId="8936" xr:uid="{00000000-0005-0000-0000-000009230000}"/>
    <cellStyle name="Normal 2 3 31" xfId="8937" xr:uid="{00000000-0005-0000-0000-00000A230000}"/>
    <cellStyle name="Normal 2 3 32" xfId="8938" xr:uid="{00000000-0005-0000-0000-00000B230000}"/>
    <cellStyle name="Normal 2 3 33" xfId="8939" xr:uid="{00000000-0005-0000-0000-00000C230000}"/>
    <cellStyle name="Normal 2 3 34" xfId="8940" xr:uid="{00000000-0005-0000-0000-00000D230000}"/>
    <cellStyle name="Normal 2 3 35" xfId="8941" xr:uid="{00000000-0005-0000-0000-00000E230000}"/>
    <cellStyle name="Normal 2 3 36" xfId="8942" xr:uid="{00000000-0005-0000-0000-00000F230000}"/>
    <cellStyle name="Normal 2 3 37" xfId="8943" xr:uid="{00000000-0005-0000-0000-000010230000}"/>
    <cellStyle name="Normal 2 3 38" xfId="8944" xr:uid="{00000000-0005-0000-0000-000011230000}"/>
    <cellStyle name="Normal 2 3 39" xfId="8945" xr:uid="{00000000-0005-0000-0000-000012230000}"/>
    <cellStyle name="Normal 2 3 4" xfId="8946" xr:uid="{00000000-0005-0000-0000-000013230000}"/>
    <cellStyle name="Normal 2 3 4 10" xfId="8947" xr:uid="{00000000-0005-0000-0000-000014230000}"/>
    <cellStyle name="Normal 2 3 4 11" xfId="8948" xr:uid="{00000000-0005-0000-0000-000015230000}"/>
    <cellStyle name="Normal 2 3 4 12" xfId="8949" xr:uid="{00000000-0005-0000-0000-000016230000}"/>
    <cellStyle name="Normal 2 3 4 13" xfId="8950" xr:uid="{00000000-0005-0000-0000-000017230000}"/>
    <cellStyle name="Normal 2 3 4 14" xfId="8951" xr:uid="{00000000-0005-0000-0000-000018230000}"/>
    <cellStyle name="Normal 2 3 4 15" xfId="8952" xr:uid="{00000000-0005-0000-0000-000019230000}"/>
    <cellStyle name="Normal 2 3 4 16" xfId="8953" xr:uid="{00000000-0005-0000-0000-00001A230000}"/>
    <cellStyle name="Normal 2 3 4 17" xfId="8954" xr:uid="{00000000-0005-0000-0000-00001B230000}"/>
    <cellStyle name="Normal 2 3 4 18" xfId="8955" xr:uid="{00000000-0005-0000-0000-00001C230000}"/>
    <cellStyle name="Normal 2 3 4 19" xfId="8956" xr:uid="{00000000-0005-0000-0000-00001D230000}"/>
    <cellStyle name="Normal 2 3 4 2" xfId="8957" xr:uid="{00000000-0005-0000-0000-00001E230000}"/>
    <cellStyle name="Normal 2 3 4 2 10" xfId="8958" xr:uid="{00000000-0005-0000-0000-00001F230000}"/>
    <cellStyle name="Normal 2 3 4 2 11" xfId="8959" xr:uid="{00000000-0005-0000-0000-000020230000}"/>
    <cellStyle name="Normal 2 3 4 2 12" xfId="8960" xr:uid="{00000000-0005-0000-0000-000021230000}"/>
    <cellStyle name="Normal 2 3 4 2 13" xfId="8961" xr:uid="{00000000-0005-0000-0000-000022230000}"/>
    <cellStyle name="Normal 2 3 4 2 14" xfId="8962" xr:uid="{00000000-0005-0000-0000-000023230000}"/>
    <cellStyle name="Normal 2 3 4 2 15" xfId="8963" xr:uid="{00000000-0005-0000-0000-000024230000}"/>
    <cellStyle name="Normal 2 3 4 2 16" xfId="8964" xr:uid="{00000000-0005-0000-0000-000025230000}"/>
    <cellStyle name="Normal 2 3 4 2 17" xfId="8965" xr:uid="{00000000-0005-0000-0000-000026230000}"/>
    <cellStyle name="Normal 2 3 4 2 18" xfId="8966" xr:uid="{00000000-0005-0000-0000-000027230000}"/>
    <cellStyle name="Normal 2 3 4 2 2" xfId="8967" xr:uid="{00000000-0005-0000-0000-000028230000}"/>
    <cellStyle name="Normal 2 3 4 2 3" xfId="8968" xr:uid="{00000000-0005-0000-0000-000029230000}"/>
    <cellStyle name="Normal 2 3 4 2 4" xfId="8969" xr:uid="{00000000-0005-0000-0000-00002A230000}"/>
    <cellStyle name="Normal 2 3 4 2 5" xfId="8970" xr:uid="{00000000-0005-0000-0000-00002B230000}"/>
    <cellStyle name="Normal 2 3 4 2 6" xfId="8971" xr:uid="{00000000-0005-0000-0000-00002C230000}"/>
    <cellStyle name="Normal 2 3 4 2 7" xfId="8972" xr:uid="{00000000-0005-0000-0000-00002D230000}"/>
    <cellStyle name="Normal 2 3 4 2 8" xfId="8973" xr:uid="{00000000-0005-0000-0000-00002E230000}"/>
    <cellStyle name="Normal 2 3 4 2 9" xfId="8974" xr:uid="{00000000-0005-0000-0000-00002F230000}"/>
    <cellStyle name="Normal 2 3 4 20" xfId="8975" xr:uid="{00000000-0005-0000-0000-000030230000}"/>
    <cellStyle name="Normal 2 3 4 21" xfId="8976" xr:uid="{00000000-0005-0000-0000-000031230000}"/>
    <cellStyle name="Normal 2 3 4 22" xfId="8977" xr:uid="{00000000-0005-0000-0000-000032230000}"/>
    <cellStyle name="Normal 2 3 4 23" xfId="8978" xr:uid="{00000000-0005-0000-0000-000033230000}"/>
    <cellStyle name="Normal 2 3 4 24" xfId="8979" xr:uid="{00000000-0005-0000-0000-000034230000}"/>
    <cellStyle name="Normal 2 3 4 25" xfId="8980" xr:uid="{00000000-0005-0000-0000-000035230000}"/>
    <cellStyle name="Normal 2 3 4 26" xfId="8981" xr:uid="{00000000-0005-0000-0000-000036230000}"/>
    <cellStyle name="Normal 2 3 4 27" xfId="8982" xr:uid="{00000000-0005-0000-0000-000037230000}"/>
    <cellStyle name="Normal 2 3 4 28" xfId="8983" xr:uid="{00000000-0005-0000-0000-000038230000}"/>
    <cellStyle name="Normal 2 3 4 29" xfId="8984" xr:uid="{00000000-0005-0000-0000-000039230000}"/>
    <cellStyle name="Normal 2 3 4 3" xfId="8985" xr:uid="{00000000-0005-0000-0000-00003A230000}"/>
    <cellStyle name="Normal 2 3 4 30" xfId="8986" xr:uid="{00000000-0005-0000-0000-00003B230000}"/>
    <cellStyle name="Normal 2 3 4 31" xfId="8987" xr:uid="{00000000-0005-0000-0000-00003C230000}"/>
    <cellStyle name="Normal 2 3 4 32" xfId="8988" xr:uid="{00000000-0005-0000-0000-00003D230000}"/>
    <cellStyle name="Normal 2 3 4 33" xfId="8989" xr:uid="{00000000-0005-0000-0000-00003E230000}"/>
    <cellStyle name="Normal 2 3 4 34" xfId="8990" xr:uid="{00000000-0005-0000-0000-00003F230000}"/>
    <cellStyle name="Normal 2 3 4 35" xfId="8991" xr:uid="{00000000-0005-0000-0000-000040230000}"/>
    <cellStyle name="Normal 2 3 4 36" xfId="8992" xr:uid="{00000000-0005-0000-0000-000041230000}"/>
    <cellStyle name="Normal 2 3 4 37" xfId="8993" xr:uid="{00000000-0005-0000-0000-000042230000}"/>
    <cellStyle name="Normal 2 3 4 38" xfId="8994" xr:uid="{00000000-0005-0000-0000-000043230000}"/>
    <cellStyle name="Normal 2 3 4 39" xfId="8995" xr:uid="{00000000-0005-0000-0000-000044230000}"/>
    <cellStyle name="Normal 2 3 4 4" xfId="8996" xr:uid="{00000000-0005-0000-0000-000045230000}"/>
    <cellStyle name="Normal 2 3 4 4 10" xfId="8997" xr:uid="{00000000-0005-0000-0000-000046230000}"/>
    <cellStyle name="Normal 2 3 4 4 11" xfId="8998" xr:uid="{00000000-0005-0000-0000-000047230000}"/>
    <cellStyle name="Normal 2 3 4 4 12" xfId="8999" xr:uid="{00000000-0005-0000-0000-000048230000}"/>
    <cellStyle name="Normal 2 3 4 4 13" xfId="9000" xr:uid="{00000000-0005-0000-0000-000049230000}"/>
    <cellStyle name="Normal 2 3 4 4 14" xfId="9001" xr:uid="{00000000-0005-0000-0000-00004A230000}"/>
    <cellStyle name="Normal 2 3 4 4 15" xfId="9002" xr:uid="{00000000-0005-0000-0000-00004B230000}"/>
    <cellStyle name="Normal 2 3 4 4 16" xfId="9003" xr:uid="{00000000-0005-0000-0000-00004C230000}"/>
    <cellStyle name="Normal 2 3 4 4 17" xfId="9004" xr:uid="{00000000-0005-0000-0000-00004D230000}"/>
    <cellStyle name="Normal 2 3 4 4 2" xfId="9005" xr:uid="{00000000-0005-0000-0000-00004E230000}"/>
    <cellStyle name="Normal 2 3 4 4 3" xfId="9006" xr:uid="{00000000-0005-0000-0000-00004F230000}"/>
    <cellStyle name="Normal 2 3 4 4 4" xfId="9007" xr:uid="{00000000-0005-0000-0000-000050230000}"/>
    <cellStyle name="Normal 2 3 4 4 5" xfId="9008" xr:uid="{00000000-0005-0000-0000-000051230000}"/>
    <cellStyle name="Normal 2 3 4 4 6" xfId="9009" xr:uid="{00000000-0005-0000-0000-000052230000}"/>
    <cellStyle name="Normal 2 3 4 4 7" xfId="9010" xr:uid="{00000000-0005-0000-0000-000053230000}"/>
    <cellStyle name="Normal 2 3 4 4 8" xfId="9011" xr:uid="{00000000-0005-0000-0000-000054230000}"/>
    <cellStyle name="Normal 2 3 4 4 9" xfId="9012" xr:uid="{00000000-0005-0000-0000-000055230000}"/>
    <cellStyle name="Normal 2 3 4 40" xfId="9013" xr:uid="{00000000-0005-0000-0000-000056230000}"/>
    <cellStyle name="Normal 2 3 4 41" xfId="9014" xr:uid="{00000000-0005-0000-0000-000057230000}"/>
    <cellStyle name="Normal 2 3 4 42" xfId="9015" xr:uid="{00000000-0005-0000-0000-000058230000}"/>
    <cellStyle name="Normal 2 3 4 43" xfId="9016" xr:uid="{00000000-0005-0000-0000-000059230000}"/>
    <cellStyle name="Normal 2 3 4 44" xfId="9017" xr:uid="{00000000-0005-0000-0000-00005A230000}"/>
    <cellStyle name="Normal 2 3 4 45" xfId="9018" xr:uid="{00000000-0005-0000-0000-00005B230000}"/>
    <cellStyle name="Normal 2 3 4 46" xfId="9019" xr:uid="{00000000-0005-0000-0000-00005C230000}"/>
    <cellStyle name="Normal 2 3 4 47" xfId="9020" xr:uid="{00000000-0005-0000-0000-00005D230000}"/>
    <cellStyle name="Normal 2 3 4 48" xfId="9021" xr:uid="{00000000-0005-0000-0000-00005E230000}"/>
    <cellStyle name="Normal 2 3 4 49" xfId="9022" xr:uid="{00000000-0005-0000-0000-00005F230000}"/>
    <cellStyle name="Normal 2 3 4 5" xfId="9023" xr:uid="{00000000-0005-0000-0000-000060230000}"/>
    <cellStyle name="Normal 2 3 4 50" xfId="9024" xr:uid="{00000000-0005-0000-0000-000061230000}"/>
    <cellStyle name="Normal 2 3 4 51" xfId="9025" xr:uid="{00000000-0005-0000-0000-000062230000}"/>
    <cellStyle name="Normal 2 3 4 52" xfId="9026" xr:uid="{00000000-0005-0000-0000-000063230000}"/>
    <cellStyle name="Normal 2 3 4 53" xfId="9027" xr:uid="{00000000-0005-0000-0000-000064230000}"/>
    <cellStyle name="Normal 2 3 4 54" xfId="9028" xr:uid="{00000000-0005-0000-0000-000065230000}"/>
    <cellStyle name="Normal 2 3 4 55" xfId="9029" xr:uid="{00000000-0005-0000-0000-000066230000}"/>
    <cellStyle name="Normal 2 3 4 56" xfId="9030" xr:uid="{00000000-0005-0000-0000-000067230000}"/>
    <cellStyle name="Normal 2 3 4 57" xfId="9031" xr:uid="{00000000-0005-0000-0000-000068230000}"/>
    <cellStyle name="Normal 2 3 4 58" xfId="9032" xr:uid="{00000000-0005-0000-0000-000069230000}"/>
    <cellStyle name="Normal 2 3 4 59" xfId="9033" xr:uid="{00000000-0005-0000-0000-00006A230000}"/>
    <cellStyle name="Normal 2 3 4 6" xfId="9034" xr:uid="{00000000-0005-0000-0000-00006B230000}"/>
    <cellStyle name="Normal 2 3 4 60" xfId="9035" xr:uid="{00000000-0005-0000-0000-00006C230000}"/>
    <cellStyle name="Normal 2 3 4 61" xfId="9036" xr:uid="{00000000-0005-0000-0000-00006D230000}"/>
    <cellStyle name="Normal 2 3 4 62" xfId="9037" xr:uid="{00000000-0005-0000-0000-00006E230000}"/>
    <cellStyle name="Normal 2 3 4 63" xfId="9038" xr:uid="{00000000-0005-0000-0000-00006F230000}"/>
    <cellStyle name="Normal 2 3 4 64" xfId="9039" xr:uid="{00000000-0005-0000-0000-000070230000}"/>
    <cellStyle name="Normal 2 3 4 65" xfId="9040" xr:uid="{00000000-0005-0000-0000-000071230000}"/>
    <cellStyle name="Normal 2 3 4 66" xfId="9041" xr:uid="{00000000-0005-0000-0000-000072230000}"/>
    <cellStyle name="Normal 2 3 4 67" xfId="9042" xr:uid="{00000000-0005-0000-0000-000073230000}"/>
    <cellStyle name="Normal 2 3 4 68" xfId="9043" xr:uid="{00000000-0005-0000-0000-000074230000}"/>
    <cellStyle name="Normal 2 3 4 69" xfId="9044" xr:uid="{00000000-0005-0000-0000-000075230000}"/>
    <cellStyle name="Normal 2 3 4 7" xfId="9045" xr:uid="{00000000-0005-0000-0000-000076230000}"/>
    <cellStyle name="Normal 2 3 4 70" xfId="9046" xr:uid="{00000000-0005-0000-0000-000077230000}"/>
    <cellStyle name="Normal 2 3 4 71" xfId="9047" xr:uid="{00000000-0005-0000-0000-000078230000}"/>
    <cellStyle name="Normal 2 3 4 72" xfId="9048" xr:uid="{00000000-0005-0000-0000-000079230000}"/>
    <cellStyle name="Normal 2 3 4 73" xfId="9049" xr:uid="{00000000-0005-0000-0000-00007A230000}"/>
    <cellStyle name="Normal 2 3 4 74" xfId="9050" xr:uid="{00000000-0005-0000-0000-00007B230000}"/>
    <cellStyle name="Normal 2 3 4 75" xfId="9051" xr:uid="{00000000-0005-0000-0000-00007C230000}"/>
    <cellStyle name="Normal 2 3 4 76" xfId="9052" xr:uid="{00000000-0005-0000-0000-00007D230000}"/>
    <cellStyle name="Normal 2 3 4 77" xfId="9053" xr:uid="{00000000-0005-0000-0000-00007E230000}"/>
    <cellStyle name="Normal 2 3 4 78" xfId="9054" xr:uid="{00000000-0005-0000-0000-00007F230000}"/>
    <cellStyle name="Normal 2 3 4 79" xfId="9055" xr:uid="{00000000-0005-0000-0000-000080230000}"/>
    <cellStyle name="Normal 2 3 4 8" xfId="9056" xr:uid="{00000000-0005-0000-0000-000081230000}"/>
    <cellStyle name="Normal 2 3 4 80" xfId="9057" xr:uid="{00000000-0005-0000-0000-000082230000}"/>
    <cellStyle name="Normal 2 3 4 9" xfId="9058" xr:uid="{00000000-0005-0000-0000-000083230000}"/>
    <cellStyle name="Normal 2 3 4_ELEC SAP FCST UPLOAD" xfId="9059" xr:uid="{00000000-0005-0000-0000-000084230000}"/>
    <cellStyle name="Normal 2 3 40" xfId="9060" xr:uid="{00000000-0005-0000-0000-000085230000}"/>
    <cellStyle name="Normal 2 3 41" xfId="9061" xr:uid="{00000000-0005-0000-0000-000086230000}"/>
    <cellStyle name="Normal 2 3 42" xfId="9062" xr:uid="{00000000-0005-0000-0000-000087230000}"/>
    <cellStyle name="Normal 2 3 43" xfId="9063" xr:uid="{00000000-0005-0000-0000-000088230000}"/>
    <cellStyle name="Normal 2 3 44" xfId="9064" xr:uid="{00000000-0005-0000-0000-000089230000}"/>
    <cellStyle name="Normal 2 3 45" xfId="9065" xr:uid="{00000000-0005-0000-0000-00008A230000}"/>
    <cellStyle name="Normal 2 3 46" xfId="9066" xr:uid="{00000000-0005-0000-0000-00008B230000}"/>
    <cellStyle name="Normal 2 3 47" xfId="9067" xr:uid="{00000000-0005-0000-0000-00008C230000}"/>
    <cellStyle name="Normal 2 3 48" xfId="9068" xr:uid="{00000000-0005-0000-0000-00008D230000}"/>
    <cellStyle name="Normal 2 3 49" xfId="9069" xr:uid="{00000000-0005-0000-0000-00008E230000}"/>
    <cellStyle name="Normal 2 3 5" xfId="9070" xr:uid="{00000000-0005-0000-0000-00008F230000}"/>
    <cellStyle name="Normal 2 3 50" xfId="9071" xr:uid="{00000000-0005-0000-0000-000090230000}"/>
    <cellStyle name="Normal 2 3 51" xfId="9072" xr:uid="{00000000-0005-0000-0000-000091230000}"/>
    <cellStyle name="Normal 2 3 52" xfId="9073" xr:uid="{00000000-0005-0000-0000-000092230000}"/>
    <cellStyle name="Normal 2 3 53" xfId="9074" xr:uid="{00000000-0005-0000-0000-000093230000}"/>
    <cellStyle name="Normal 2 3 54" xfId="9075" xr:uid="{00000000-0005-0000-0000-000094230000}"/>
    <cellStyle name="Normal 2 3 55" xfId="9076" xr:uid="{00000000-0005-0000-0000-000095230000}"/>
    <cellStyle name="Normal 2 3 56" xfId="9077" xr:uid="{00000000-0005-0000-0000-000096230000}"/>
    <cellStyle name="Normal 2 3 57" xfId="9078" xr:uid="{00000000-0005-0000-0000-000097230000}"/>
    <cellStyle name="Normal 2 3 58" xfId="9079" xr:uid="{00000000-0005-0000-0000-000098230000}"/>
    <cellStyle name="Normal 2 3 59" xfId="9080" xr:uid="{00000000-0005-0000-0000-000099230000}"/>
    <cellStyle name="Normal 2 3 6" xfId="9081" xr:uid="{00000000-0005-0000-0000-00009A230000}"/>
    <cellStyle name="Normal 2 3 60" xfId="9082" xr:uid="{00000000-0005-0000-0000-00009B230000}"/>
    <cellStyle name="Normal 2 3 61" xfId="9083" xr:uid="{00000000-0005-0000-0000-00009C230000}"/>
    <cellStyle name="Normal 2 3 62" xfId="9084" xr:uid="{00000000-0005-0000-0000-00009D230000}"/>
    <cellStyle name="Normal 2 3 63" xfId="9085" xr:uid="{00000000-0005-0000-0000-00009E230000}"/>
    <cellStyle name="Normal 2 3 64" xfId="9086" xr:uid="{00000000-0005-0000-0000-00009F230000}"/>
    <cellStyle name="Normal 2 3 65" xfId="9087" xr:uid="{00000000-0005-0000-0000-0000A0230000}"/>
    <cellStyle name="Normal 2 3 66" xfId="9088" xr:uid="{00000000-0005-0000-0000-0000A1230000}"/>
    <cellStyle name="Normal 2 3 67" xfId="9089" xr:uid="{00000000-0005-0000-0000-0000A2230000}"/>
    <cellStyle name="Normal 2 3 68" xfId="9090" xr:uid="{00000000-0005-0000-0000-0000A3230000}"/>
    <cellStyle name="Normal 2 3 69" xfId="9091" xr:uid="{00000000-0005-0000-0000-0000A4230000}"/>
    <cellStyle name="Normal 2 3 7" xfId="9092" xr:uid="{00000000-0005-0000-0000-0000A5230000}"/>
    <cellStyle name="Normal 2 3 70" xfId="9093" xr:uid="{00000000-0005-0000-0000-0000A6230000}"/>
    <cellStyle name="Normal 2 3 71" xfId="9094" xr:uid="{00000000-0005-0000-0000-0000A7230000}"/>
    <cellStyle name="Normal 2 3 72" xfId="9095" xr:uid="{00000000-0005-0000-0000-0000A8230000}"/>
    <cellStyle name="Normal 2 3 73" xfId="9096" xr:uid="{00000000-0005-0000-0000-0000A9230000}"/>
    <cellStyle name="Normal 2 3 74" xfId="9097" xr:uid="{00000000-0005-0000-0000-0000AA230000}"/>
    <cellStyle name="Normal 2 3 75" xfId="9098" xr:uid="{00000000-0005-0000-0000-0000AB230000}"/>
    <cellStyle name="Normal 2 3 76" xfId="9099" xr:uid="{00000000-0005-0000-0000-0000AC230000}"/>
    <cellStyle name="Normal 2 3 77" xfId="9100" xr:uid="{00000000-0005-0000-0000-0000AD230000}"/>
    <cellStyle name="Normal 2 3 78" xfId="9101" xr:uid="{00000000-0005-0000-0000-0000AE230000}"/>
    <cellStyle name="Normal 2 3 79" xfId="9102" xr:uid="{00000000-0005-0000-0000-0000AF230000}"/>
    <cellStyle name="Normal 2 3 8" xfId="9103" xr:uid="{00000000-0005-0000-0000-0000B0230000}"/>
    <cellStyle name="Normal 2 3 8 10" xfId="9104" xr:uid="{00000000-0005-0000-0000-0000B1230000}"/>
    <cellStyle name="Normal 2 3 8 11" xfId="9105" xr:uid="{00000000-0005-0000-0000-0000B2230000}"/>
    <cellStyle name="Normal 2 3 8 12" xfId="9106" xr:uid="{00000000-0005-0000-0000-0000B3230000}"/>
    <cellStyle name="Normal 2 3 8 13" xfId="9107" xr:uid="{00000000-0005-0000-0000-0000B4230000}"/>
    <cellStyle name="Normal 2 3 8 14" xfId="9108" xr:uid="{00000000-0005-0000-0000-0000B5230000}"/>
    <cellStyle name="Normal 2 3 8 15" xfId="9109" xr:uid="{00000000-0005-0000-0000-0000B6230000}"/>
    <cellStyle name="Normal 2 3 8 16" xfId="9110" xr:uid="{00000000-0005-0000-0000-0000B7230000}"/>
    <cellStyle name="Normal 2 3 8 17" xfId="9111" xr:uid="{00000000-0005-0000-0000-0000B8230000}"/>
    <cellStyle name="Normal 2 3 8 2" xfId="9112" xr:uid="{00000000-0005-0000-0000-0000B9230000}"/>
    <cellStyle name="Normal 2 3 8 3" xfId="9113" xr:uid="{00000000-0005-0000-0000-0000BA230000}"/>
    <cellStyle name="Normal 2 3 8 4" xfId="9114" xr:uid="{00000000-0005-0000-0000-0000BB230000}"/>
    <cellStyle name="Normal 2 3 8 5" xfId="9115" xr:uid="{00000000-0005-0000-0000-0000BC230000}"/>
    <cellStyle name="Normal 2 3 8 6" xfId="9116" xr:uid="{00000000-0005-0000-0000-0000BD230000}"/>
    <cellStyle name="Normal 2 3 8 7" xfId="9117" xr:uid="{00000000-0005-0000-0000-0000BE230000}"/>
    <cellStyle name="Normal 2 3 8 8" xfId="9118" xr:uid="{00000000-0005-0000-0000-0000BF230000}"/>
    <cellStyle name="Normal 2 3 8 9" xfId="9119" xr:uid="{00000000-0005-0000-0000-0000C0230000}"/>
    <cellStyle name="Normal 2 3 80" xfId="9120" xr:uid="{00000000-0005-0000-0000-0000C1230000}"/>
    <cellStyle name="Normal 2 3 81" xfId="9121" xr:uid="{00000000-0005-0000-0000-0000C2230000}"/>
    <cellStyle name="Normal 2 3 82" xfId="9122" xr:uid="{00000000-0005-0000-0000-0000C3230000}"/>
    <cellStyle name="Normal 2 3 83" xfId="9123" xr:uid="{00000000-0005-0000-0000-0000C4230000}"/>
    <cellStyle name="Normal 2 3 84" xfId="9124" xr:uid="{00000000-0005-0000-0000-0000C5230000}"/>
    <cellStyle name="Normal 2 3 9" xfId="9125" xr:uid="{00000000-0005-0000-0000-0000C6230000}"/>
    <cellStyle name="Normal 2 3_Customer Operations Business Plan Input Reqs (3)" xfId="9126" xr:uid="{00000000-0005-0000-0000-0000C7230000}"/>
    <cellStyle name="Normal 2 30" xfId="9127" xr:uid="{00000000-0005-0000-0000-0000C8230000}"/>
    <cellStyle name="Normal 2 31" xfId="9128" xr:uid="{00000000-0005-0000-0000-0000C9230000}"/>
    <cellStyle name="Normal 2 32" xfId="9129" xr:uid="{00000000-0005-0000-0000-0000CA230000}"/>
    <cellStyle name="Normal 2 33" xfId="9130" xr:uid="{00000000-0005-0000-0000-0000CB230000}"/>
    <cellStyle name="Normal 2 34" xfId="9131" xr:uid="{00000000-0005-0000-0000-0000CC230000}"/>
    <cellStyle name="Normal 2 35" xfId="9132" xr:uid="{00000000-0005-0000-0000-0000CD230000}"/>
    <cellStyle name="Normal 2 36" xfId="9133" xr:uid="{00000000-0005-0000-0000-0000CE230000}"/>
    <cellStyle name="Normal 2 37" xfId="9134" xr:uid="{00000000-0005-0000-0000-0000CF230000}"/>
    <cellStyle name="Normal 2 38" xfId="9135" xr:uid="{00000000-0005-0000-0000-0000D0230000}"/>
    <cellStyle name="Normal 2 39" xfId="9136" xr:uid="{00000000-0005-0000-0000-0000D1230000}"/>
    <cellStyle name="Normal 2 4" xfId="9137" xr:uid="{00000000-0005-0000-0000-0000D2230000}"/>
    <cellStyle name="Normal 2 4 10" xfId="9138" xr:uid="{00000000-0005-0000-0000-0000D3230000}"/>
    <cellStyle name="Normal 2 4 11" xfId="9139" xr:uid="{00000000-0005-0000-0000-0000D4230000}"/>
    <cellStyle name="Normal 2 4 12" xfId="9140" xr:uid="{00000000-0005-0000-0000-0000D5230000}"/>
    <cellStyle name="Normal 2 4 13" xfId="9141" xr:uid="{00000000-0005-0000-0000-0000D6230000}"/>
    <cellStyle name="Normal 2 4 14" xfId="9142" xr:uid="{00000000-0005-0000-0000-0000D7230000}"/>
    <cellStyle name="Normal 2 4 15" xfId="9143" xr:uid="{00000000-0005-0000-0000-0000D8230000}"/>
    <cellStyle name="Normal 2 4 16" xfId="9144" xr:uid="{00000000-0005-0000-0000-0000D9230000}"/>
    <cellStyle name="Normal 2 4 17" xfId="9145" xr:uid="{00000000-0005-0000-0000-0000DA230000}"/>
    <cellStyle name="Normal 2 4 18" xfId="9146" xr:uid="{00000000-0005-0000-0000-0000DB230000}"/>
    <cellStyle name="Normal 2 4 19" xfId="9147" xr:uid="{00000000-0005-0000-0000-0000DC230000}"/>
    <cellStyle name="Normal 2 4 2" xfId="9148" xr:uid="{00000000-0005-0000-0000-0000DD230000}"/>
    <cellStyle name="Normal 2 4 2 10" xfId="9149" xr:uid="{00000000-0005-0000-0000-0000DE230000}"/>
    <cellStyle name="Normal 2 4 2 11" xfId="9150" xr:uid="{00000000-0005-0000-0000-0000DF230000}"/>
    <cellStyle name="Normal 2 4 2 12" xfId="9151" xr:uid="{00000000-0005-0000-0000-0000E0230000}"/>
    <cellStyle name="Normal 2 4 2 13" xfId="9152" xr:uid="{00000000-0005-0000-0000-0000E1230000}"/>
    <cellStyle name="Normal 2 4 2 14" xfId="9153" xr:uid="{00000000-0005-0000-0000-0000E2230000}"/>
    <cellStyle name="Normal 2 4 2 15" xfId="9154" xr:uid="{00000000-0005-0000-0000-0000E3230000}"/>
    <cellStyle name="Normal 2 4 2 16" xfId="9155" xr:uid="{00000000-0005-0000-0000-0000E4230000}"/>
    <cellStyle name="Normal 2 4 2 17" xfId="9156" xr:uid="{00000000-0005-0000-0000-0000E5230000}"/>
    <cellStyle name="Normal 2 4 2 18" xfId="9157" xr:uid="{00000000-0005-0000-0000-0000E6230000}"/>
    <cellStyle name="Normal 2 4 2 19" xfId="9158" xr:uid="{00000000-0005-0000-0000-0000E7230000}"/>
    <cellStyle name="Normal 2 4 2 2" xfId="9159" xr:uid="{00000000-0005-0000-0000-0000E8230000}"/>
    <cellStyle name="Normal 2 4 2 2 10" xfId="9160" xr:uid="{00000000-0005-0000-0000-0000E9230000}"/>
    <cellStyle name="Normal 2 4 2 2 11" xfId="9161" xr:uid="{00000000-0005-0000-0000-0000EA230000}"/>
    <cellStyle name="Normal 2 4 2 2 12" xfId="9162" xr:uid="{00000000-0005-0000-0000-0000EB230000}"/>
    <cellStyle name="Normal 2 4 2 2 13" xfId="9163" xr:uid="{00000000-0005-0000-0000-0000EC230000}"/>
    <cellStyle name="Normal 2 4 2 2 14" xfId="9164" xr:uid="{00000000-0005-0000-0000-0000ED230000}"/>
    <cellStyle name="Normal 2 4 2 2 15" xfId="9165" xr:uid="{00000000-0005-0000-0000-0000EE230000}"/>
    <cellStyle name="Normal 2 4 2 2 16" xfId="9166" xr:uid="{00000000-0005-0000-0000-0000EF230000}"/>
    <cellStyle name="Normal 2 4 2 2 17" xfId="9167" xr:uid="{00000000-0005-0000-0000-0000F0230000}"/>
    <cellStyle name="Normal 2 4 2 2 18" xfId="9168" xr:uid="{00000000-0005-0000-0000-0000F1230000}"/>
    <cellStyle name="Normal 2 4 2 2 19" xfId="9169" xr:uid="{00000000-0005-0000-0000-0000F2230000}"/>
    <cellStyle name="Normal 2 4 2 2 2" xfId="9170" xr:uid="{00000000-0005-0000-0000-0000F3230000}"/>
    <cellStyle name="Normal 2 4 2 2 2 10" xfId="9171" xr:uid="{00000000-0005-0000-0000-0000F4230000}"/>
    <cellStyle name="Normal 2 4 2 2 2 11" xfId="9172" xr:uid="{00000000-0005-0000-0000-0000F5230000}"/>
    <cellStyle name="Normal 2 4 2 2 2 12" xfId="9173" xr:uid="{00000000-0005-0000-0000-0000F6230000}"/>
    <cellStyle name="Normal 2 4 2 2 2 13" xfId="9174" xr:uid="{00000000-0005-0000-0000-0000F7230000}"/>
    <cellStyle name="Normal 2 4 2 2 2 14" xfId="9175" xr:uid="{00000000-0005-0000-0000-0000F8230000}"/>
    <cellStyle name="Normal 2 4 2 2 2 15" xfId="9176" xr:uid="{00000000-0005-0000-0000-0000F9230000}"/>
    <cellStyle name="Normal 2 4 2 2 2 16" xfId="9177" xr:uid="{00000000-0005-0000-0000-0000FA230000}"/>
    <cellStyle name="Normal 2 4 2 2 2 17" xfId="9178" xr:uid="{00000000-0005-0000-0000-0000FB230000}"/>
    <cellStyle name="Normal 2 4 2 2 2 2" xfId="9179" xr:uid="{00000000-0005-0000-0000-0000FC230000}"/>
    <cellStyle name="Normal 2 4 2 2 2 3" xfId="9180" xr:uid="{00000000-0005-0000-0000-0000FD230000}"/>
    <cellStyle name="Normal 2 4 2 2 2 4" xfId="9181" xr:uid="{00000000-0005-0000-0000-0000FE230000}"/>
    <cellStyle name="Normal 2 4 2 2 2 5" xfId="9182" xr:uid="{00000000-0005-0000-0000-0000FF230000}"/>
    <cellStyle name="Normal 2 4 2 2 2 6" xfId="9183" xr:uid="{00000000-0005-0000-0000-000000240000}"/>
    <cellStyle name="Normal 2 4 2 2 2 7" xfId="9184" xr:uid="{00000000-0005-0000-0000-000001240000}"/>
    <cellStyle name="Normal 2 4 2 2 2 8" xfId="9185" xr:uid="{00000000-0005-0000-0000-000002240000}"/>
    <cellStyle name="Normal 2 4 2 2 2 9" xfId="9186" xr:uid="{00000000-0005-0000-0000-000003240000}"/>
    <cellStyle name="Normal 2 4 2 2 20" xfId="9187" xr:uid="{00000000-0005-0000-0000-000004240000}"/>
    <cellStyle name="Normal 2 4 2 2 21" xfId="9188" xr:uid="{00000000-0005-0000-0000-000005240000}"/>
    <cellStyle name="Normal 2 4 2 2 22" xfId="9189" xr:uid="{00000000-0005-0000-0000-000006240000}"/>
    <cellStyle name="Normal 2 4 2 2 23" xfId="9190" xr:uid="{00000000-0005-0000-0000-000007240000}"/>
    <cellStyle name="Normal 2 4 2 2 24" xfId="9191" xr:uid="{00000000-0005-0000-0000-000008240000}"/>
    <cellStyle name="Normal 2 4 2 2 25" xfId="9192" xr:uid="{00000000-0005-0000-0000-000009240000}"/>
    <cellStyle name="Normal 2 4 2 2 26" xfId="9193" xr:uid="{00000000-0005-0000-0000-00000A240000}"/>
    <cellStyle name="Normal 2 4 2 2 27" xfId="9194" xr:uid="{00000000-0005-0000-0000-00000B240000}"/>
    <cellStyle name="Normal 2 4 2 2 28" xfId="9195" xr:uid="{00000000-0005-0000-0000-00000C240000}"/>
    <cellStyle name="Normal 2 4 2 2 29" xfId="9196" xr:uid="{00000000-0005-0000-0000-00000D240000}"/>
    <cellStyle name="Normal 2 4 2 2 3" xfId="9197" xr:uid="{00000000-0005-0000-0000-00000E240000}"/>
    <cellStyle name="Normal 2 4 2 2 30" xfId="9198" xr:uid="{00000000-0005-0000-0000-00000F240000}"/>
    <cellStyle name="Normal 2 4 2 2 31" xfId="9199" xr:uid="{00000000-0005-0000-0000-000010240000}"/>
    <cellStyle name="Normal 2 4 2 2 32" xfId="9200" xr:uid="{00000000-0005-0000-0000-000011240000}"/>
    <cellStyle name="Normal 2 4 2 2 33" xfId="9201" xr:uid="{00000000-0005-0000-0000-000012240000}"/>
    <cellStyle name="Normal 2 4 2 2 34" xfId="9202" xr:uid="{00000000-0005-0000-0000-000013240000}"/>
    <cellStyle name="Normal 2 4 2 2 35" xfId="9203" xr:uid="{00000000-0005-0000-0000-000014240000}"/>
    <cellStyle name="Normal 2 4 2 2 36" xfId="9204" xr:uid="{00000000-0005-0000-0000-000015240000}"/>
    <cellStyle name="Normal 2 4 2 2 37" xfId="9205" xr:uid="{00000000-0005-0000-0000-000016240000}"/>
    <cellStyle name="Normal 2 4 2 2 38" xfId="9206" xr:uid="{00000000-0005-0000-0000-000017240000}"/>
    <cellStyle name="Normal 2 4 2 2 39" xfId="9207" xr:uid="{00000000-0005-0000-0000-000018240000}"/>
    <cellStyle name="Normal 2 4 2 2 4" xfId="9208" xr:uid="{00000000-0005-0000-0000-000019240000}"/>
    <cellStyle name="Normal 2 4 2 2 40" xfId="9209" xr:uid="{00000000-0005-0000-0000-00001A240000}"/>
    <cellStyle name="Normal 2 4 2 2 41" xfId="9210" xr:uid="{00000000-0005-0000-0000-00001B240000}"/>
    <cellStyle name="Normal 2 4 2 2 42" xfId="9211" xr:uid="{00000000-0005-0000-0000-00001C240000}"/>
    <cellStyle name="Normal 2 4 2 2 43" xfId="9212" xr:uid="{00000000-0005-0000-0000-00001D240000}"/>
    <cellStyle name="Normal 2 4 2 2 44" xfId="9213" xr:uid="{00000000-0005-0000-0000-00001E240000}"/>
    <cellStyle name="Normal 2 4 2 2 45" xfId="9214" xr:uid="{00000000-0005-0000-0000-00001F240000}"/>
    <cellStyle name="Normal 2 4 2 2 46" xfId="9215" xr:uid="{00000000-0005-0000-0000-000020240000}"/>
    <cellStyle name="Normal 2 4 2 2 47" xfId="9216" xr:uid="{00000000-0005-0000-0000-000021240000}"/>
    <cellStyle name="Normal 2 4 2 2 48" xfId="9217" xr:uid="{00000000-0005-0000-0000-000022240000}"/>
    <cellStyle name="Normal 2 4 2 2 49" xfId="9218" xr:uid="{00000000-0005-0000-0000-000023240000}"/>
    <cellStyle name="Normal 2 4 2 2 5" xfId="9219" xr:uid="{00000000-0005-0000-0000-000024240000}"/>
    <cellStyle name="Normal 2 4 2 2 50" xfId="9220" xr:uid="{00000000-0005-0000-0000-000025240000}"/>
    <cellStyle name="Normal 2 4 2 2 51" xfId="9221" xr:uid="{00000000-0005-0000-0000-000026240000}"/>
    <cellStyle name="Normal 2 4 2 2 52" xfId="9222" xr:uid="{00000000-0005-0000-0000-000027240000}"/>
    <cellStyle name="Normal 2 4 2 2 53" xfId="9223" xr:uid="{00000000-0005-0000-0000-000028240000}"/>
    <cellStyle name="Normal 2 4 2 2 54" xfId="9224" xr:uid="{00000000-0005-0000-0000-000029240000}"/>
    <cellStyle name="Normal 2 4 2 2 55" xfId="9225" xr:uid="{00000000-0005-0000-0000-00002A240000}"/>
    <cellStyle name="Normal 2 4 2 2 56" xfId="9226" xr:uid="{00000000-0005-0000-0000-00002B240000}"/>
    <cellStyle name="Normal 2 4 2 2 57" xfId="9227" xr:uid="{00000000-0005-0000-0000-00002C240000}"/>
    <cellStyle name="Normal 2 4 2 2 58" xfId="9228" xr:uid="{00000000-0005-0000-0000-00002D240000}"/>
    <cellStyle name="Normal 2 4 2 2 59" xfId="9229" xr:uid="{00000000-0005-0000-0000-00002E240000}"/>
    <cellStyle name="Normal 2 4 2 2 6" xfId="9230" xr:uid="{00000000-0005-0000-0000-00002F240000}"/>
    <cellStyle name="Normal 2 4 2 2 60" xfId="9231" xr:uid="{00000000-0005-0000-0000-000030240000}"/>
    <cellStyle name="Normal 2 4 2 2 61" xfId="9232" xr:uid="{00000000-0005-0000-0000-000031240000}"/>
    <cellStyle name="Normal 2 4 2 2 62" xfId="9233" xr:uid="{00000000-0005-0000-0000-000032240000}"/>
    <cellStyle name="Normal 2 4 2 2 63" xfId="9234" xr:uid="{00000000-0005-0000-0000-000033240000}"/>
    <cellStyle name="Normal 2 4 2 2 64" xfId="9235" xr:uid="{00000000-0005-0000-0000-000034240000}"/>
    <cellStyle name="Normal 2 4 2 2 65" xfId="9236" xr:uid="{00000000-0005-0000-0000-000035240000}"/>
    <cellStyle name="Normal 2 4 2 2 66" xfId="9237" xr:uid="{00000000-0005-0000-0000-000036240000}"/>
    <cellStyle name="Normal 2 4 2 2 67" xfId="9238" xr:uid="{00000000-0005-0000-0000-000037240000}"/>
    <cellStyle name="Normal 2 4 2 2 68" xfId="9239" xr:uid="{00000000-0005-0000-0000-000038240000}"/>
    <cellStyle name="Normal 2 4 2 2 69" xfId="9240" xr:uid="{00000000-0005-0000-0000-000039240000}"/>
    <cellStyle name="Normal 2 4 2 2 7" xfId="9241" xr:uid="{00000000-0005-0000-0000-00003A240000}"/>
    <cellStyle name="Normal 2 4 2 2 70" xfId="9242" xr:uid="{00000000-0005-0000-0000-00003B240000}"/>
    <cellStyle name="Normal 2 4 2 2 71" xfId="9243" xr:uid="{00000000-0005-0000-0000-00003C240000}"/>
    <cellStyle name="Normal 2 4 2 2 72" xfId="9244" xr:uid="{00000000-0005-0000-0000-00003D240000}"/>
    <cellStyle name="Normal 2 4 2 2 73" xfId="9245" xr:uid="{00000000-0005-0000-0000-00003E240000}"/>
    <cellStyle name="Normal 2 4 2 2 74" xfId="9246" xr:uid="{00000000-0005-0000-0000-00003F240000}"/>
    <cellStyle name="Normal 2 4 2 2 75" xfId="9247" xr:uid="{00000000-0005-0000-0000-000040240000}"/>
    <cellStyle name="Normal 2 4 2 2 76" xfId="9248" xr:uid="{00000000-0005-0000-0000-000041240000}"/>
    <cellStyle name="Normal 2 4 2 2 77" xfId="9249" xr:uid="{00000000-0005-0000-0000-000042240000}"/>
    <cellStyle name="Normal 2 4 2 2 78" xfId="9250" xr:uid="{00000000-0005-0000-0000-000043240000}"/>
    <cellStyle name="Normal 2 4 2 2 8" xfId="9251" xr:uid="{00000000-0005-0000-0000-000044240000}"/>
    <cellStyle name="Normal 2 4 2 2 9" xfId="9252" xr:uid="{00000000-0005-0000-0000-000045240000}"/>
    <cellStyle name="Normal 2 4 2 20" xfId="9253" xr:uid="{00000000-0005-0000-0000-000046240000}"/>
    <cellStyle name="Normal 2 4 2 21" xfId="9254" xr:uid="{00000000-0005-0000-0000-000047240000}"/>
    <cellStyle name="Normal 2 4 2 22" xfId="9255" xr:uid="{00000000-0005-0000-0000-000048240000}"/>
    <cellStyle name="Normal 2 4 2 23" xfId="9256" xr:uid="{00000000-0005-0000-0000-000049240000}"/>
    <cellStyle name="Normal 2 4 2 24" xfId="9257" xr:uid="{00000000-0005-0000-0000-00004A240000}"/>
    <cellStyle name="Normal 2 4 2 25" xfId="9258" xr:uid="{00000000-0005-0000-0000-00004B240000}"/>
    <cellStyle name="Normal 2 4 2 26" xfId="9259" xr:uid="{00000000-0005-0000-0000-00004C240000}"/>
    <cellStyle name="Normal 2 4 2 27" xfId="9260" xr:uid="{00000000-0005-0000-0000-00004D240000}"/>
    <cellStyle name="Normal 2 4 2 28" xfId="9261" xr:uid="{00000000-0005-0000-0000-00004E240000}"/>
    <cellStyle name="Normal 2 4 2 29" xfId="9262" xr:uid="{00000000-0005-0000-0000-00004F240000}"/>
    <cellStyle name="Normal 2 4 2 3" xfId="9263" xr:uid="{00000000-0005-0000-0000-000050240000}"/>
    <cellStyle name="Normal 2 4 2 3 10" xfId="9264" xr:uid="{00000000-0005-0000-0000-000051240000}"/>
    <cellStyle name="Normal 2 4 2 3 11" xfId="9265" xr:uid="{00000000-0005-0000-0000-000052240000}"/>
    <cellStyle name="Normal 2 4 2 3 12" xfId="9266" xr:uid="{00000000-0005-0000-0000-000053240000}"/>
    <cellStyle name="Normal 2 4 2 3 13" xfId="9267" xr:uid="{00000000-0005-0000-0000-000054240000}"/>
    <cellStyle name="Normal 2 4 2 3 14" xfId="9268" xr:uid="{00000000-0005-0000-0000-000055240000}"/>
    <cellStyle name="Normal 2 4 2 3 15" xfId="9269" xr:uid="{00000000-0005-0000-0000-000056240000}"/>
    <cellStyle name="Normal 2 4 2 3 16" xfId="9270" xr:uid="{00000000-0005-0000-0000-000057240000}"/>
    <cellStyle name="Normal 2 4 2 3 17" xfId="9271" xr:uid="{00000000-0005-0000-0000-000058240000}"/>
    <cellStyle name="Normal 2 4 2 3 2" xfId="9272" xr:uid="{00000000-0005-0000-0000-000059240000}"/>
    <cellStyle name="Normal 2 4 2 3 3" xfId="9273" xr:uid="{00000000-0005-0000-0000-00005A240000}"/>
    <cellStyle name="Normal 2 4 2 3 4" xfId="9274" xr:uid="{00000000-0005-0000-0000-00005B240000}"/>
    <cellStyle name="Normal 2 4 2 3 5" xfId="9275" xr:uid="{00000000-0005-0000-0000-00005C240000}"/>
    <cellStyle name="Normal 2 4 2 3 6" xfId="9276" xr:uid="{00000000-0005-0000-0000-00005D240000}"/>
    <cellStyle name="Normal 2 4 2 3 7" xfId="9277" xr:uid="{00000000-0005-0000-0000-00005E240000}"/>
    <cellStyle name="Normal 2 4 2 3 8" xfId="9278" xr:uid="{00000000-0005-0000-0000-00005F240000}"/>
    <cellStyle name="Normal 2 4 2 3 9" xfId="9279" xr:uid="{00000000-0005-0000-0000-000060240000}"/>
    <cellStyle name="Normal 2 4 2 30" xfId="9280" xr:uid="{00000000-0005-0000-0000-000061240000}"/>
    <cellStyle name="Normal 2 4 2 31" xfId="9281" xr:uid="{00000000-0005-0000-0000-000062240000}"/>
    <cellStyle name="Normal 2 4 2 32" xfId="9282" xr:uid="{00000000-0005-0000-0000-000063240000}"/>
    <cellStyle name="Normal 2 4 2 33" xfId="9283" xr:uid="{00000000-0005-0000-0000-000064240000}"/>
    <cellStyle name="Normal 2 4 2 34" xfId="9284" xr:uid="{00000000-0005-0000-0000-000065240000}"/>
    <cellStyle name="Normal 2 4 2 35" xfId="9285" xr:uid="{00000000-0005-0000-0000-000066240000}"/>
    <cellStyle name="Normal 2 4 2 36" xfId="9286" xr:uid="{00000000-0005-0000-0000-000067240000}"/>
    <cellStyle name="Normal 2 4 2 37" xfId="9287" xr:uid="{00000000-0005-0000-0000-000068240000}"/>
    <cellStyle name="Normal 2 4 2 38" xfId="9288" xr:uid="{00000000-0005-0000-0000-000069240000}"/>
    <cellStyle name="Normal 2 4 2 39" xfId="9289" xr:uid="{00000000-0005-0000-0000-00006A240000}"/>
    <cellStyle name="Normal 2 4 2 4" xfId="9290" xr:uid="{00000000-0005-0000-0000-00006B240000}"/>
    <cellStyle name="Normal 2 4 2 40" xfId="9291" xr:uid="{00000000-0005-0000-0000-00006C240000}"/>
    <cellStyle name="Normal 2 4 2 41" xfId="9292" xr:uid="{00000000-0005-0000-0000-00006D240000}"/>
    <cellStyle name="Normal 2 4 2 42" xfId="9293" xr:uid="{00000000-0005-0000-0000-00006E240000}"/>
    <cellStyle name="Normal 2 4 2 43" xfId="9294" xr:uid="{00000000-0005-0000-0000-00006F240000}"/>
    <cellStyle name="Normal 2 4 2 44" xfId="9295" xr:uid="{00000000-0005-0000-0000-000070240000}"/>
    <cellStyle name="Normal 2 4 2 45" xfId="9296" xr:uid="{00000000-0005-0000-0000-000071240000}"/>
    <cellStyle name="Normal 2 4 2 46" xfId="9297" xr:uid="{00000000-0005-0000-0000-000072240000}"/>
    <cellStyle name="Normal 2 4 2 47" xfId="9298" xr:uid="{00000000-0005-0000-0000-000073240000}"/>
    <cellStyle name="Normal 2 4 2 48" xfId="9299" xr:uid="{00000000-0005-0000-0000-000074240000}"/>
    <cellStyle name="Normal 2 4 2 49" xfId="9300" xr:uid="{00000000-0005-0000-0000-000075240000}"/>
    <cellStyle name="Normal 2 4 2 5" xfId="9301" xr:uid="{00000000-0005-0000-0000-000076240000}"/>
    <cellStyle name="Normal 2 4 2 50" xfId="9302" xr:uid="{00000000-0005-0000-0000-000077240000}"/>
    <cellStyle name="Normal 2 4 2 51" xfId="9303" xr:uid="{00000000-0005-0000-0000-000078240000}"/>
    <cellStyle name="Normal 2 4 2 52" xfId="9304" xr:uid="{00000000-0005-0000-0000-000079240000}"/>
    <cellStyle name="Normal 2 4 2 53" xfId="9305" xr:uid="{00000000-0005-0000-0000-00007A240000}"/>
    <cellStyle name="Normal 2 4 2 54" xfId="9306" xr:uid="{00000000-0005-0000-0000-00007B240000}"/>
    <cellStyle name="Normal 2 4 2 55" xfId="9307" xr:uid="{00000000-0005-0000-0000-00007C240000}"/>
    <cellStyle name="Normal 2 4 2 56" xfId="9308" xr:uid="{00000000-0005-0000-0000-00007D240000}"/>
    <cellStyle name="Normal 2 4 2 57" xfId="9309" xr:uid="{00000000-0005-0000-0000-00007E240000}"/>
    <cellStyle name="Normal 2 4 2 58" xfId="9310" xr:uid="{00000000-0005-0000-0000-00007F240000}"/>
    <cellStyle name="Normal 2 4 2 59" xfId="9311" xr:uid="{00000000-0005-0000-0000-000080240000}"/>
    <cellStyle name="Normal 2 4 2 6" xfId="9312" xr:uid="{00000000-0005-0000-0000-000081240000}"/>
    <cellStyle name="Normal 2 4 2 60" xfId="9313" xr:uid="{00000000-0005-0000-0000-000082240000}"/>
    <cellStyle name="Normal 2 4 2 61" xfId="9314" xr:uid="{00000000-0005-0000-0000-000083240000}"/>
    <cellStyle name="Normal 2 4 2 62" xfId="9315" xr:uid="{00000000-0005-0000-0000-000084240000}"/>
    <cellStyle name="Normal 2 4 2 63" xfId="9316" xr:uid="{00000000-0005-0000-0000-000085240000}"/>
    <cellStyle name="Normal 2 4 2 64" xfId="9317" xr:uid="{00000000-0005-0000-0000-000086240000}"/>
    <cellStyle name="Normal 2 4 2 65" xfId="9318" xr:uid="{00000000-0005-0000-0000-000087240000}"/>
    <cellStyle name="Normal 2 4 2 66" xfId="9319" xr:uid="{00000000-0005-0000-0000-000088240000}"/>
    <cellStyle name="Normal 2 4 2 67" xfId="9320" xr:uid="{00000000-0005-0000-0000-000089240000}"/>
    <cellStyle name="Normal 2 4 2 68" xfId="9321" xr:uid="{00000000-0005-0000-0000-00008A240000}"/>
    <cellStyle name="Normal 2 4 2 69" xfId="9322" xr:uid="{00000000-0005-0000-0000-00008B240000}"/>
    <cellStyle name="Normal 2 4 2 7" xfId="9323" xr:uid="{00000000-0005-0000-0000-00008C240000}"/>
    <cellStyle name="Normal 2 4 2 70" xfId="9324" xr:uid="{00000000-0005-0000-0000-00008D240000}"/>
    <cellStyle name="Normal 2 4 2 71" xfId="9325" xr:uid="{00000000-0005-0000-0000-00008E240000}"/>
    <cellStyle name="Normal 2 4 2 72" xfId="9326" xr:uid="{00000000-0005-0000-0000-00008F240000}"/>
    <cellStyle name="Normal 2 4 2 73" xfId="9327" xr:uid="{00000000-0005-0000-0000-000090240000}"/>
    <cellStyle name="Normal 2 4 2 74" xfId="9328" xr:uid="{00000000-0005-0000-0000-000091240000}"/>
    <cellStyle name="Normal 2 4 2 75" xfId="9329" xr:uid="{00000000-0005-0000-0000-000092240000}"/>
    <cellStyle name="Normal 2 4 2 76" xfId="9330" xr:uid="{00000000-0005-0000-0000-000093240000}"/>
    <cellStyle name="Normal 2 4 2 77" xfId="9331" xr:uid="{00000000-0005-0000-0000-000094240000}"/>
    <cellStyle name="Normal 2 4 2 78" xfId="9332" xr:uid="{00000000-0005-0000-0000-000095240000}"/>
    <cellStyle name="Normal 2 4 2 8" xfId="9333" xr:uid="{00000000-0005-0000-0000-000096240000}"/>
    <cellStyle name="Normal 2 4 2 9" xfId="9334" xr:uid="{00000000-0005-0000-0000-000097240000}"/>
    <cellStyle name="Normal 2 4 20" xfId="9335" xr:uid="{00000000-0005-0000-0000-000098240000}"/>
    <cellStyle name="Normal 2 4 21" xfId="9336" xr:uid="{00000000-0005-0000-0000-000099240000}"/>
    <cellStyle name="Normal 2 4 22" xfId="9337" xr:uid="{00000000-0005-0000-0000-00009A240000}"/>
    <cellStyle name="Normal 2 4 23" xfId="9338" xr:uid="{00000000-0005-0000-0000-00009B240000}"/>
    <cellStyle name="Normal 2 4 24" xfId="9339" xr:uid="{00000000-0005-0000-0000-00009C240000}"/>
    <cellStyle name="Normal 2 4 25" xfId="9340" xr:uid="{00000000-0005-0000-0000-00009D240000}"/>
    <cellStyle name="Normal 2 4 26" xfId="9341" xr:uid="{00000000-0005-0000-0000-00009E240000}"/>
    <cellStyle name="Normal 2 4 27" xfId="9342" xr:uid="{00000000-0005-0000-0000-00009F240000}"/>
    <cellStyle name="Normal 2 4 28" xfId="9343" xr:uid="{00000000-0005-0000-0000-0000A0240000}"/>
    <cellStyle name="Normal 2 4 29" xfId="9344" xr:uid="{00000000-0005-0000-0000-0000A1240000}"/>
    <cellStyle name="Normal 2 4 3" xfId="9345" xr:uid="{00000000-0005-0000-0000-0000A2240000}"/>
    <cellStyle name="Normal 2 4 30" xfId="9346" xr:uid="{00000000-0005-0000-0000-0000A3240000}"/>
    <cellStyle name="Normal 2 4 31" xfId="9347" xr:uid="{00000000-0005-0000-0000-0000A4240000}"/>
    <cellStyle name="Normal 2 4 32" xfId="9348" xr:uid="{00000000-0005-0000-0000-0000A5240000}"/>
    <cellStyle name="Normal 2 4 33" xfId="9349" xr:uid="{00000000-0005-0000-0000-0000A6240000}"/>
    <cellStyle name="Normal 2 4 34" xfId="9350" xr:uid="{00000000-0005-0000-0000-0000A7240000}"/>
    <cellStyle name="Normal 2 4 35" xfId="9351" xr:uid="{00000000-0005-0000-0000-0000A8240000}"/>
    <cellStyle name="Normal 2 4 36" xfId="9352" xr:uid="{00000000-0005-0000-0000-0000A9240000}"/>
    <cellStyle name="Normal 2 4 37" xfId="9353" xr:uid="{00000000-0005-0000-0000-0000AA240000}"/>
    <cellStyle name="Normal 2 4 38" xfId="9354" xr:uid="{00000000-0005-0000-0000-0000AB240000}"/>
    <cellStyle name="Normal 2 4 39" xfId="9355" xr:uid="{00000000-0005-0000-0000-0000AC240000}"/>
    <cellStyle name="Normal 2 4 4" xfId="9356" xr:uid="{00000000-0005-0000-0000-0000AD240000}"/>
    <cellStyle name="Normal 2 4 40" xfId="9357" xr:uid="{00000000-0005-0000-0000-0000AE240000}"/>
    <cellStyle name="Normal 2 4 41" xfId="9358" xr:uid="{00000000-0005-0000-0000-0000AF240000}"/>
    <cellStyle name="Normal 2 4 42" xfId="9359" xr:uid="{00000000-0005-0000-0000-0000B0240000}"/>
    <cellStyle name="Normal 2 4 43" xfId="9360" xr:uid="{00000000-0005-0000-0000-0000B1240000}"/>
    <cellStyle name="Normal 2 4 44" xfId="9361" xr:uid="{00000000-0005-0000-0000-0000B2240000}"/>
    <cellStyle name="Normal 2 4 45" xfId="9362" xr:uid="{00000000-0005-0000-0000-0000B3240000}"/>
    <cellStyle name="Normal 2 4 46" xfId="9363" xr:uid="{00000000-0005-0000-0000-0000B4240000}"/>
    <cellStyle name="Normal 2 4 47" xfId="9364" xr:uid="{00000000-0005-0000-0000-0000B5240000}"/>
    <cellStyle name="Normal 2 4 48" xfId="9365" xr:uid="{00000000-0005-0000-0000-0000B6240000}"/>
    <cellStyle name="Normal 2 4 49" xfId="9366" xr:uid="{00000000-0005-0000-0000-0000B7240000}"/>
    <cellStyle name="Normal 2 4 5" xfId="9367" xr:uid="{00000000-0005-0000-0000-0000B8240000}"/>
    <cellStyle name="Normal 2 4 5 10" xfId="9368" xr:uid="{00000000-0005-0000-0000-0000B9240000}"/>
    <cellStyle name="Normal 2 4 5 11" xfId="9369" xr:uid="{00000000-0005-0000-0000-0000BA240000}"/>
    <cellStyle name="Normal 2 4 5 12" xfId="9370" xr:uid="{00000000-0005-0000-0000-0000BB240000}"/>
    <cellStyle name="Normal 2 4 5 13" xfId="9371" xr:uid="{00000000-0005-0000-0000-0000BC240000}"/>
    <cellStyle name="Normal 2 4 5 14" xfId="9372" xr:uid="{00000000-0005-0000-0000-0000BD240000}"/>
    <cellStyle name="Normal 2 4 5 15" xfId="9373" xr:uid="{00000000-0005-0000-0000-0000BE240000}"/>
    <cellStyle name="Normal 2 4 5 16" xfId="9374" xr:uid="{00000000-0005-0000-0000-0000BF240000}"/>
    <cellStyle name="Normal 2 4 5 17" xfId="9375" xr:uid="{00000000-0005-0000-0000-0000C0240000}"/>
    <cellStyle name="Normal 2 4 5 2" xfId="9376" xr:uid="{00000000-0005-0000-0000-0000C1240000}"/>
    <cellStyle name="Normal 2 4 5 3" xfId="9377" xr:uid="{00000000-0005-0000-0000-0000C2240000}"/>
    <cellStyle name="Normal 2 4 5 4" xfId="9378" xr:uid="{00000000-0005-0000-0000-0000C3240000}"/>
    <cellStyle name="Normal 2 4 5 5" xfId="9379" xr:uid="{00000000-0005-0000-0000-0000C4240000}"/>
    <cellStyle name="Normal 2 4 5 6" xfId="9380" xr:uid="{00000000-0005-0000-0000-0000C5240000}"/>
    <cellStyle name="Normal 2 4 5 7" xfId="9381" xr:uid="{00000000-0005-0000-0000-0000C6240000}"/>
    <cellStyle name="Normal 2 4 5 8" xfId="9382" xr:uid="{00000000-0005-0000-0000-0000C7240000}"/>
    <cellStyle name="Normal 2 4 5 9" xfId="9383" xr:uid="{00000000-0005-0000-0000-0000C8240000}"/>
    <cellStyle name="Normal 2 4 50" xfId="9384" xr:uid="{00000000-0005-0000-0000-0000C9240000}"/>
    <cellStyle name="Normal 2 4 51" xfId="9385" xr:uid="{00000000-0005-0000-0000-0000CA240000}"/>
    <cellStyle name="Normal 2 4 52" xfId="9386" xr:uid="{00000000-0005-0000-0000-0000CB240000}"/>
    <cellStyle name="Normal 2 4 53" xfId="9387" xr:uid="{00000000-0005-0000-0000-0000CC240000}"/>
    <cellStyle name="Normal 2 4 54" xfId="9388" xr:uid="{00000000-0005-0000-0000-0000CD240000}"/>
    <cellStyle name="Normal 2 4 55" xfId="9389" xr:uid="{00000000-0005-0000-0000-0000CE240000}"/>
    <cellStyle name="Normal 2 4 56" xfId="9390" xr:uid="{00000000-0005-0000-0000-0000CF240000}"/>
    <cellStyle name="Normal 2 4 57" xfId="9391" xr:uid="{00000000-0005-0000-0000-0000D0240000}"/>
    <cellStyle name="Normal 2 4 58" xfId="9392" xr:uid="{00000000-0005-0000-0000-0000D1240000}"/>
    <cellStyle name="Normal 2 4 59" xfId="9393" xr:uid="{00000000-0005-0000-0000-0000D2240000}"/>
    <cellStyle name="Normal 2 4 6" xfId="9394" xr:uid="{00000000-0005-0000-0000-0000D3240000}"/>
    <cellStyle name="Normal 2 4 6 10" xfId="9395" xr:uid="{00000000-0005-0000-0000-0000D4240000}"/>
    <cellStyle name="Normal 2 4 6 11" xfId="9396" xr:uid="{00000000-0005-0000-0000-0000D5240000}"/>
    <cellStyle name="Normal 2 4 6 12" xfId="9397" xr:uid="{00000000-0005-0000-0000-0000D6240000}"/>
    <cellStyle name="Normal 2 4 6 13" xfId="9398" xr:uid="{00000000-0005-0000-0000-0000D7240000}"/>
    <cellStyle name="Normal 2 4 6 14" xfId="9399" xr:uid="{00000000-0005-0000-0000-0000D8240000}"/>
    <cellStyle name="Normal 2 4 6 15" xfId="9400" xr:uid="{00000000-0005-0000-0000-0000D9240000}"/>
    <cellStyle name="Normal 2 4 6 16" xfId="9401" xr:uid="{00000000-0005-0000-0000-0000DA240000}"/>
    <cellStyle name="Normal 2 4 6 17" xfId="9402" xr:uid="{00000000-0005-0000-0000-0000DB240000}"/>
    <cellStyle name="Normal 2 4 6 2" xfId="9403" xr:uid="{00000000-0005-0000-0000-0000DC240000}"/>
    <cellStyle name="Normal 2 4 6 3" xfId="9404" xr:uid="{00000000-0005-0000-0000-0000DD240000}"/>
    <cellStyle name="Normal 2 4 6 4" xfId="9405" xr:uid="{00000000-0005-0000-0000-0000DE240000}"/>
    <cellStyle name="Normal 2 4 6 5" xfId="9406" xr:uid="{00000000-0005-0000-0000-0000DF240000}"/>
    <cellStyle name="Normal 2 4 6 6" xfId="9407" xr:uid="{00000000-0005-0000-0000-0000E0240000}"/>
    <cellStyle name="Normal 2 4 6 7" xfId="9408" xr:uid="{00000000-0005-0000-0000-0000E1240000}"/>
    <cellStyle name="Normal 2 4 6 8" xfId="9409" xr:uid="{00000000-0005-0000-0000-0000E2240000}"/>
    <cellStyle name="Normal 2 4 6 9" xfId="9410" xr:uid="{00000000-0005-0000-0000-0000E3240000}"/>
    <cellStyle name="Normal 2 4 60" xfId="9411" xr:uid="{00000000-0005-0000-0000-0000E4240000}"/>
    <cellStyle name="Normal 2 4 61" xfId="9412" xr:uid="{00000000-0005-0000-0000-0000E5240000}"/>
    <cellStyle name="Normal 2 4 62" xfId="9413" xr:uid="{00000000-0005-0000-0000-0000E6240000}"/>
    <cellStyle name="Normal 2 4 63" xfId="9414" xr:uid="{00000000-0005-0000-0000-0000E7240000}"/>
    <cellStyle name="Normal 2 4 64" xfId="9415" xr:uid="{00000000-0005-0000-0000-0000E8240000}"/>
    <cellStyle name="Normal 2 4 65" xfId="9416" xr:uid="{00000000-0005-0000-0000-0000E9240000}"/>
    <cellStyle name="Normal 2 4 66" xfId="9417" xr:uid="{00000000-0005-0000-0000-0000EA240000}"/>
    <cellStyle name="Normal 2 4 67" xfId="9418" xr:uid="{00000000-0005-0000-0000-0000EB240000}"/>
    <cellStyle name="Normal 2 4 68" xfId="9419" xr:uid="{00000000-0005-0000-0000-0000EC240000}"/>
    <cellStyle name="Normal 2 4 69" xfId="9420" xr:uid="{00000000-0005-0000-0000-0000ED240000}"/>
    <cellStyle name="Normal 2 4 7" xfId="9421" xr:uid="{00000000-0005-0000-0000-0000EE240000}"/>
    <cellStyle name="Normal 2 4 70" xfId="9422" xr:uid="{00000000-0005-0000-0000-0000EF240000}"/>
    <cellStyle name="Normal 2 4 71" xfId="9423" xr:uid="{00000000-0005-0000-0000-0000F0240000}"/>
    <cellStyle name="Normal 2 4 72" xfId="9424" xr:uid="{00000000-0005-0000-0000-0000F1240000}"/>
    <cellStyle name="Normal 2 4 73" xfId="9425" xr:uid="{00000000-0005-0000-0000-0000F2240000}"/>
    <cellStyle name="Normal 2 4 74" xfId="9426" xr:uid="{00000000-0005-0000-0000-0000F3240000}"/>
    <cellStyle name="Normal 2 4 75" xfId="9427" xr:uid="{00000000-0005-0000-0000-0000F4240000}"/>
    <cellStyle name="Normal 2 4 76" xfId="9428" xr:uid="{00000000-0005-0000-0000-0000F5240000}"/>
    <cellStyle name="Normal 2 4 77" xfId="9429" xr:uid="{00000000-0005-0000-0000-0000F6240000}"/>
    <cellStyle name="Normal 2 4 78" xfId="9430" xr:uid="{00000000-0005-0000-0000-0000F7240000}"/>
    <cellStyle name="Normal 2 4 79" xfId="9431" xr:uid="{00000000-0005-0000-0000-0000F8240000}"/>
    <cellStyle name="Normal 2 4 8" xfId="9432" xr:uid="{00000000-0005-0000-0000-0000F9240000}"/>
    <cellStyle name="Normal 2 4 80" xfId="9433" xr:uid="{00000000-0005-0000-0000-0000FA240000}"/>
    <cellStyle name="Normal 2 4 9" xfId="9434" xr:uid="{00000000-0005-0000-0000-0000FB240000}"/>
    <cellStyle name="Normal 2 4_Customer Operations Business Plan Input Reqs (3)" xfId="9435" xr:uid="{00000000-0005-0000-0000-0000FC240000}"/>
    <cellStyle name="Normal 2 40" xfId="9436" xr:uid="{00000000-0005-0000-0000-0000FD240000}"/>
    <cellStyle name="Normal 2 41" xfId="9437" xr:uid="{00000000-0005-0000-0000-0000FE240000}"/>
    <cellStyle name="Normal 2 42" xfId="9438" xr:uid="{00000000-0005-0000-0000-0000FF240000}"/>
    <cellStyle name="Normal 2 43" xfId="9439" xr:uid="{00000000-0005-0000-0000-000000250000}"/>
    <cellStyle name="Normal 2 44" xfId="9440" xr:uid="{00000000-0005-0000-0000-000001250000}"/>
    <cellStyle name="Normal 2 45" xfId="9441" xr:uid="{00000000-0005-0000-0000-000002250000}"/>
    <cellStyle name="Normal 2 46" xfId="9442" xr:uid="{00000000-0005-0000-0000-000003250000}"/>
    <cellStyle name="Normal 2 47" xfId="9443" xr:uid="{00000000-0005-0000-0000-000004250000}"/>
    <cellStyle name="Normal 2 48" xfId="9444" xr:uid="{00000000-0005-0000-0000-000005250000}"/>
    <cellStyle name="Normal 2 49" xfId="9445" xr:uid="{00000000-0005-0000-0000-000006250000}"/>
    <cellStyle name="Normal 2 5" xfId="9446" xr:uid="{00000000-0005-0000-0000-000007250000}"/>
    <cellStyle name="Normal 2 5 10" xfId="9447" xr:uid="{00000000-0005-0000-0000-000008250000}"/>
    <cellStyle name="Normal 2 5 11" xfId="9448" xr:uid="{00000000-0005-0000-0000-000009250000}"/>
    <cellStyle name="Normal 2 5 12" xfId="9449" xr:uid="{00000000-0005-0000-0000-00000A250000}"/>
    <cellStyle name="Normal 2 5 13" xfId="9450" xr:uid="{00000000-0005-0000-0000-00000B250000}"/>
    <cellStyle name="Normal 2 5 14" xfId="9451" xr:uid="{00000000-0005-0000-0000-00000C250000}"/>
    <cellStyle name="Normal 2 5 15" xfId="9452" xr:uid="{00000000-0005-0000-0000-00000D250000}"/>
    <cellStyle name="Normal 2 5 16" xfId="9453" xr:uid="{00000000-0005-0000-0000-00000E250000}"/>
    <cellStyle name="Normal 2 5 17" xfId="9454" xr:uid="{00000000-0005-0000-0000-00000F250000}"/>
    <cellStyle name="Normal 2 5 18" xfId="9455" xr:uid="{00000000-0005-0000-0000-000010250000}"/>
    <cellStyle name="Normal 2 5 19" xfId="9456" xr:uid="{00000000-0005-0000-0000-000011250000}"/>
    <cellStyle name="Normal 2 5 2" xfId="9457" xr:uid="{00000000-0005-0000-0000-000012250000}"/>
    <cellStyle name="Normal 2 5 2 10" xfId="9458" xr:uid="{00000000-0005-0000-0000-000013250000}"/>
    <cellStyle name="Normal 2 5 2 11" xfId="9459" xr:uid="{00000000-0005-0000-0000-000014250000}"/>
    <cellStyle name="Normal 2 5 2 12" xfId="9460" xr:uid="{00000000-0005-0000-0000-000015250000}"/>
    <cellStyle name="Normal 2 5 2 13" xfId="9461" xr:uid="{00000000-0005-0000-0000-000016250000}"/>
    <cellStyle name="Normal 2 5 2 14" xfId="9462" xr:uid="{00000000-0005-0000-0000-000017250000}"/>
    <cellStyle name="Normal 2 5 2 15" xfId="9463" xr:uid="{00000000-0005-0000-0000-000018250000}"/>
    <cellStyle name="Normal 2 5 2 16" xfId="9464" xr:uid="{00000000-0005-0000-0000-000019250000}"/>
    <cellStyle name="Normal 2 5 2 17" xfId="9465" xr:uid="{00000000-0005-0000-0000-00001A250000}"/>
    <cellStyle name="Normal 2 5 2 18" xfId="9466" xr:uid="{00000000-0005-0000-0000-00001B250000}"/>
    <cellStyle name="Normal 2 5 2 19" xfId="9467" xr:uid="{00000000-0005-0000-0000-00001C250000}"/>
    <cellStyle name="Normal 2 5 2 2" xfId="9468" xr:uid="{00000000-0005-0000-0000-00001D250000}"/>
    <cellStyle name="Normal 2 5 2 2 10" xfId="9469" xr:uid="{00000000-0005-0000-0000-00001E250000}"/>
    <cellStyle name="Normal 2 5 2 2 11" xfId="9470" xr:uid="{00000000-0005-0000-0000-00001F250000}"/>
    <cellStyle name="Normal 2 5 2 2 12" xfId="9471" xr:uid="{00000000-0005-0000-0000-000020250000}"/>
    <cellStyle name="Normal 2 5 2 2 13" xfId="9472" xr:uid="{00000000-0005-0000-0000-000021250000}"/>
    <cellStyle name="Normal 2 5 2 2 14" xfId="9473" xr:uid="{00000000-0005-0000-0000-000022250000}"/>
    <cellStyle name="Normal 2 5 2 2 15" xfId="9474" xr:uid="{00000000-0005-0000-0000-000023250000}"/>
    <cellStyle name="Normal 2 5 2 2 16" xfId="9475" xr:uid="{00000000-0005-0000-0000-000024250000}"/>
    <cellStyle name="Normal 2 5 2 2 17" xfId="9476" xr:uid="{00000000-0005-0000-0000-000025250000}"/>
    <cellStyle name="Normal 2 5 2 2 18" xfId="9477" xr:uid="{00000000-0005-0000-0000-000026250000}"/>
    <cellStyle name="Normal 2 5 2 2 19" xfId="9478" xr:uid="{00000000-0005-0000-0000-000027250000}"/>
    <cellStyle name="Normal 2 5 2 2 2" xfId="9479" xr:uid="{00000000-0005-0000-0000-000028250000}"/>
    <cellStyle name="Normal 2 5 2 2 2 10" xfId="9480" xr:uid="{00000000-0005-0000-0000-000029250000}"/>
    <cellStyle name="Normal 2 5 2 2 2 11" xfId="9481" xr:uid="{00000000-0005-0000-0000-00002A250000}"/>
    <cellStyle name="Normal 2 5 2 2 2 12" xfId="9482" xr:uid="{00000000-0005-0000-0000-00002B250000}"/>
    <cellStyle name="Normal 2 5 2 2 2 13" xfId="9483" xr:uid="{00000000-0005-0000-0000-00002C250000}"/>
    <cellStyle name="Normal 2 5 2 2 2 14" xfId="9484" xr:uid="{00000000-0005-0000-0000-00002D250000}"/>
    <cellStyle name="Normal 2 5 2 2 2 15" xfId="9485" xr:uid="{00000000-0005-0000-0000-00002E250000}"/>
    <cellStyle name="Normal 2 5 2 2 2 16" xfId="9486" xr:uid="{00000000-0005-0000-0000-00002F250000}"/>
    <cellStyle name="Normal 2 5 2 2 2 17" xfId="9487" xr:uid="{00000000-0005-0000-0000-000030250000}"/>
    <cellStyle name="Normal 2 5 2 2 2 18" xfId="9488" xr:uid="{00000000-0005-0000-0000-000031250000}"/>
    <cellStyle name="Normal 2 5 2 2 2 19" xfId="9489" xr:uid="{00000000-0005-0000-0000-000032250000}"/>
    <cellStyle name="Normal 2 5 2 2 2 2" xfId="9490" xr:uid="{00000000-0005-0000-0000-000033250000}"/>
    <cellStyle name="Normal 2 5 2 2 2 2 10" xfId="9491" xr:uid="{00000000-0005-0000-0000-000034250000}"/>
    <cellStyle name="Normal 2 5 2 2 2 2 11" xfId="9492" xr:uid="{00000000-0005-0000-0000-000035250000}"/>
    <cellStyle name="Normal 2 5 2 2 2 2 12" xfId="9493" xr:uid="{00000000-0005-0000-0000-000036250000}"/>
    <cellStyle name="Normal 2 5 2 2 2 2 13" xfId="9494" xr:uid="{00000000-0005-0000-0000-000037250000}"/>
    <cellStyle name="Normal 2 5 2 2 2 2 14" xfId="9495" xr:uid="{00000000-0005-0000-0000-000038250000}"/>
    <cellStyle name="Normal 2 5 2 2 2 2 15" xfId="9496" xr:uid="{00000000-0005-0000-0000-000039250000}"/>
    <cellStyle name="Normal 2 5 2 2 2 2 16" xfId="9497" xr:uid="{00000000-0005-0000-0000-00003A250000}"/>
    <cellStyle name="Normal 2 5 2 2 2 2 17" xfId="9498" xr:uid="{00000000-0005-0000-0000-00003B250000}"/>
    <cellStyle name="Normal 2 5 2 2 2 2 2" xfId="9499" xr:uid="{00000000-0005-0000-0000-00003C250000}"/>
    <cellStyle name="Normal 2 5 2 2 2 2 3" xfId="9500" xr:uid="{00000000-0005-0000-0000-00003D250000}"/>
    <cellStyle name="Normal 2 5 2 2 2 2 4" xfId="9501" xr:uid="{00000000-0005-0000-0000-00003E250000}"/>
    <cellStyle name="Normal 2 5 2 2 2 2 5" xfId="9502" xr:uid="{00000000-0005-0000-0000-00003F250000}"/>
    <cellStyle name="Normal 2 5 2 2 2 2 6" xfId="9503" xr:uid="{00000000-0005-0000-0000-000040250000}"/>
    <cellStyle name="Normal 2 5 2 2 2 2 7" xfId="9504" xr:uid="{00000000-0005-0000-0000-000041250000}"/>
    <cellStyle name="Normal 2 5 2 2 2 2 8" xfId="9505" xr:uid="{00000000-0005-0000-0000-000042250000}"/>
    <cellStyle name="Normal 2 5 2 2 2 2 9" xfId="9506" xr:uid="{00000000-0005-0000-0000-000043250000}"/>
    <cellStyle name="Normal 2 5 2 2 2 20" xfId="9507" xr:uid="{00000000-0005-0000-0000-000044250000}"/>
    <cellStyle name="Normal 2 5 2 2 2 21" xfId="9508" xr:uid="{00000000-0005-0000-0000-000045250000}"/>
    <cellStyle name="Normal 2 5 2 2 2 22" xfId="9509" xr:uid="{00000000-0005-0000-0000-000046250000}"/>
    <cellStyle name="Normal 2 5 2 2 2 23" xfId="9510" xr:uid="{00000000-0005-0000-0000-000047250000}"/>
    <cellStyle name="Normal 2 5 2 2 2 24" xfId="9511" xr:uid="{00000000-0005-0000-0000-000048250000}"/>
    <cellStyle name="Normal 2 5 2 2 2 25" xfId="9512" xr:uid="{00000000-0005-0000-0000-000049250000}"/>
    <cellStyle name="Normal 2 5 2 2 2 26" xfId="9513" xr:uid="{00000000-0005-0000-0000-00004A250000}"/>
    <cellStyle name="Normal 2 5 2 2 2 27" xfId="9514" xr:uid="{00000000-0005-0000-0000-00004B250000}"/>
    <cellStyle name="Normal 2 5 2 2 2 28" xfId="9515" xr:uid="{00000000-0005-0000-0000-00004C250000}"/>
    <cellStyle name="Normal 2 5 2 2 2 29" xfId="9516" xr:uid="{00000000-0005-0000-0000-00004D250000}"/>
    <cellStyle name="Normal 2 5 2 2 2 3" xfId="9517" xr:uid="{00000000-0005-0000-0000-00004E250000}"/>
    <cellStyle name="Normal 2 5 2 2 2 3 10" xfId="9518" xr:uid="{00000000-0005-0000-0000-00004F250000}"/>
    <cellStyle name="Normal 2 5 2 2 2 3 11" xfId="9519" xr:uid="{00000000-0005-0000-0000-000050250000}"/>
    <cellStyle name="Normal 2 5 2 2 2 3 12" xfId="9520" xr:uid="{00000000-0005-0000-0000-000051250000}"/>
    <cellStyle name="Normal 2 5 2 2 2 3 13" xfId="9521" xr:uid="{00000000-0005-0000-0000-000052250000}"/>
    <cellStyle name="Normal 2 5 2 2 2 3 14" xfId="9522" xr:uid="{00000000-0005-0000-0000-000053250000}"/>
    <cellStyle name="Normal 2 5 2 2 2 3 15" xfId="9523" xr:uid="{00000000-0005-0000-0000-000054250000}"/>
    <cellStyle name="Normal 2 5 2 2 2 3 16" xfId="9524" xr:uid="{00000000-0005-0000-0000-000055250000}"/>
    <cellStyle name="Normal 2 5 2 2 2 3 17" xfId="9525" xr:uid="{00000000-0005-0000-0000-000056250000}"/>
    <cellStyle name="Normal 2 5 2 2 2 3 2" xfId="9526" xr:uid="{00000000-0005-0000-0000-000057250000}"/>
    <cellStyle name="Normal 2 5 2 2 2 3 3" xfId="9527" xr:uid="{00000000-0005-0000-0000-000058250000}"/>
    <cellStyle name="Normal 2 5 2 2 2 3 4" xfId="9528" xr:uid="{00000000-0005-0000-0000-000059250000}"/>
    <cellStyle name="Normal 2 5 2 2 2 3 5" xfId="9529" xr:uid="{00000000-0005-0000-0000-00005A250000}"/>
    <cellStyle name="Normal 2 5 2 2 2 3 6" xfId="9530" xr:uid="{00000000-0005-0000-0000-00005B250000}"/>
    <cellStyle name="Normal 2 5 2 2 2 3 7" xfId="9531" xr:uid="{00000000-0005-0000-0000-00005C250000}"/>
    <cellStyle name="Normal 2 5 2 2 2 3 8" xfId="9532" xr:uid="{00000000-0005-0000-0000-00005D250000}"/>
    <cellStyle name="Normal 2 5 2 2 2 3 9" xfId="9533" xr:uid="{00000000-0005-0000-0000-00005E250000}"/>
    <cellStyle name="Normal 2 5 2 2 2 30" xfId="9534" xr:uid="{00000000-0005-0000-0000-00005F250000}"/>
    <cellStyle name="Normal 2 5 2 2 2 31" xfId="9535" xr:uid="{00000000-0005-0000-0000-000060250000}"/>
    <cellStyle name="Normal 2 5 2 2 2 32" xfId="9536" xr:uid="{00000000-0005-0000-0000-000061250000}"/>
    <cellStyle name="Normal 2 5 2 2 2 33" xfId="9537" xr:uid="{00000000-0005-0000-0000-000062250000}"/>
    <cellStyle name="Normal 2 5 2 2 2 34" xfId="9538" xr:uid="{00000000-0005-0000-0000-000063250000}"/>
    <cellStyle name="Normal 2 5 2 2 2 35" xfId="9539" xr:uid="{00000000-0005-0000-0000-000064250000}"/>
    <cellStyle name="Normal 2 5 2 2 2 36" xfId="9540" xr:uid="{00000000-0005-0000-0000-000065250000}"/>
    <cellStyle name="Normal 2 5 2 2 2 37" xfId="9541" xr:uid="{00000000-0005-0000-0000-000066250000}"/>
    <cellStyle name="Normal 2 5 2 2 2 38" xfId="9542" xr:uid="{00000000-0005-0000-0000-000067250000}"/>
    <cellStyle name="Normal 2 5 2 2 2 39" xfId="9543" xr:uid="{00000000-0005-0000-0000-000068250000}"/>
    <cellStyle name="Normal 2 5 2 2 2 4" xfId="9544" xr:uid="{00000000-0005-0000-0000-000069250000}"/>
    <cellStyle name="Normal 2 5 2 2 2 40" xfId="9545" xr:uid="{00000000-0005-0000-0000-00006A250000}"/>
    <cellStyle name="Normal 2 5 2 2 2 41" xfId="9546" xr:uid="{00000000-0005-0000-0000-00006B250000}"/>
    <cellStyle name="Normal 2 5 2 2 2 42" xfId="9547" xr:uid="{00000000-0005-0000-0000-00006C250000}"/>
    <cellStyle name="Normal 2 5 2 2 2 43" xfId="9548" xr:uid="{00000000-0005-0000-0000-00006D250000}"/>
    <cellStyle name="Normal 2 5 2 2 2 44" xfId="9549" xr:uid="{00000000-0005-0000-0000-00006E250000}"/>
    <cellStyle name="Normal 2 5 2 2 2 45" xfId="9550" xr:uid="{00000000-0005-0000-0000-00006F250000}"/>
    <cellStyle name="Normal 2 5 2 2 2 46" xfId="9551" xr:uid="{00000000-0005-0000-0000-000070250000}"/>
    <cellStyle name="Normal 2 5 2 2 2 47" xfId="9552" xr:uid="{00000000-0005-0000-0000-000071250000}"/>
    <cellStyle name="Normal 2 5 2 2 2 48" xfId="9553" xr:uid="{00000000-0005-0000-0000-000072250000}"/>
    <cellStyle name="Normal 2 5 2 2 2 49" xfId="9554" xr:uid="{00000000-0005-0000-0000-000073250000}"/>
    <cellStyle name="Normal 2 5 2 2 2 5" xfId="9555" xr:uid="{00000000-0005-0000-0000-000074250000}"/>
    <cellStyle name="Normal 2 5 2 2 2 50" xfId="9556" xr:uid="{00000000-0005-0000-0000-000075250000}"/>
    <cellStyle name="Normal 2 5 2 2 2 51" xfId="9557" xr:uid="{00000000-0005-0000-0000-000076250000}"/>
    <cellStyle name="Normal 2 5 2 2 2 52" xfId="9558" xr:uid="{00000000-0005-0000-0000-000077250000}"/>
    <cellStyle name="Normal 2 5 2 2 2 53" xfId="9559" xr:uid="{00000000-0005-0000-0000-000078250000}"/>
    <cellStyle name="Normal 2 5 2 2 2 54" xfId="9560" xr:uid="{00000000-0005-0000-0000-000079250000}"/>
    <cellStyle name="Normal 2 5 2 2 2 55" xfId="9561" xr:uid="{00000000-0005-0000-0000-00007A250000}"/>
    <cellStyle name="Normal 2 5 2 2 2 56" xfId="9562" xr:uid="{00000000-0005-0000-0000-00007B250000}"/>
    <cellStyle name="Normal 2 5 2 2 2 57" xfId="9563" xr:uid="{00000000-0005-0000-0000-00007C250000}"/>
    <cellStyle name="Normal 2 5 2 2 2 58" xfId="9564" xr:uid="{00000000-0005-0000-0000-00007D250000}"/>
    <cellStyle name="Normal 2 5 2 2 2 59" xfId="9565" xr:uid="{00000000-0005-0000-0000-00007E250000}"/>
    <cellStyle name="Normal 2 5 2 2 2 6" xfId="9566" xr:uid="{00000000-0005-0000-0000-00007F250000}"/>
    <cellStyle name="Normal 2 5 2 2 2 60" xfId="9567" xr:uid="{00000000-0005-0000-0000-000080250000}"/>
    <cellStyle name="Normal 2 5 2 2 2 61" xfId="9568" xr:uid="{00000000-0005-0000-0000-000081250000}"/>
    <cellStyle name="Normal 2 5 2 2 2 62" xfId="9569" xr:uid="{00000000-0005-0000-0000-000082250000}"/>
    <cellStyle name="Normal 2 5 2 2 2 63" xfId="9570" xr:uid="{00000000-0005-0000-0000-000083250000}"/>
    <cellStyle name="Normal 2 5 2 2 2 64" xfId="9571" xr:uid="{00000000-0005-0000-0000-000084250000}"/>
    <cellStyle name="Normal 2 5 2 2 2 65" xfId="9572" xr:uid="{00000000-0005-0000-0000-000085250000}"/>
    <cellStyle name="Normal 2 5 2 2 2 66" xfId="9573" xr:uid="{00000000-0005-0000-0000-000086250000}"/>
    <cellStyle name="Normal 2 5 2 2 2 67" xfId="9574" xr:uid="{00000000-0005-0000-0000-000087250000}"/>
    <cellStyle name="Normal 2 5 2 2 2 68" xfId="9575" xr:uid="{00000000-0005-0000-0000-000088250000}"/>
    <cellStyle name="Normal 2 5 2 2 2 69" xfId="9576" xr:uid="{00000000-0005-0000-0000-000089250000}"/>
    <cellStyle name="Normal 2 5 2 2 2 7" xfId="9577" xr:uid="{00000000-0005-0000-0000-00008A250000}"/>
    <cellStyle name="Normal 2 5 2 2 2 70" xfId="9578" xr:uid="{00000000-0005-0000-0000-00008B250000}"/>
    <cellStyle name="Normal 2 5 2 2 2 71" xfId="9579" xr:uid="{00000000-0005-0000-0000-00008C250000}"/>
    <cellStyle name="Normal 2 5 2 2 2 72" xfId="9580" xr:uid="{00000000-0005-0000-0000-00008D250000}"/>
    <cellStyle name="Normal 2 5 2 2 2 73" xfId="9581" xr:uid="{00000000-0005-0000-0000-00008E250000}"/>
    <cellStyle name="Normal 2 5 2 2 2 74" xfId="9582" xr:uid="{00000000-0005-0000-0000-00008F250000}"/>
    <cellStyle name="Normal 2 5 2 2 2 75" xfId="9583" xr:uid="{00000000-0005-0000-0000-000090250000}"/>
    <cellStyle name="Normal 2 5 2 2 2 76" xfId="9584" xr:uid="{00000000-0005-0000-0000-000091250000}"/>
    <cellStyle name="Normal 2 5 2 2 2 77" xfId="9585" xr:uid="{00000000-0005-0000-0000-000092250000}"/>
    <cellStyle name="Normal 2 5 2 2 2 78" xfId="9586" xr:uid="{00000000-0005-0000-0000-000093250000}"/>
    <cellStyle name="Normal 2 5 2 2 2 79" xfId="9587" xr:uid="{00000000-0005-0000-0000-000094250000}"/>
    <cellStyle name="Normal 2 5 2 2 2 8" xfId="9588" xr:uid="{00000000-0005-0000-0000-000095250000}"/>
    <cellStyle name="Normal 2 5 2 2 2 80" xfId="9589" xr:uid="{00000000-0005-0000-0000-000096250000}"/>
    <cellStyle name="Normal 2 5 2 2 2 81" xfId="9590" xr:uid="{00000000-0005-0000-0000-000097250000}"/>
    <cellStyle name="Normal 2 5 2 2 2 82" xfId="9591" xr:uid="{00000000-0005-0000-0000-000098250000}"/>
    <cellStyle name="Normal 2 5 2 2 2 9" xfId="9592" xr:uid="{00000000-0005-0000-0000-000099250000}"/>
    <cellStyle name="Normal 2 5 2 2 20" xfId="9593" xr:uid="{00000000-0005-0000-0000-00009A250000}"/>
    <cellStyle name="Normal 2 5 2 2 21" xfId="9594" xr:uid="{00000000-0005-0000-0000-00009B250000}"/>
    <cellStyle name="Normal 2 5 2 2 22" xfId="9595" xr:uid="{00000000-0005-0000-0000-00009C250000}"/>
    <cellStyle name="Normal 2 5 2 2 23" xfId="9596" xr:uid="{00000000-0005-0000-0000-00009D250000}"/>
    <cellStyle name="Normal 2 5 2 2 24" xfId="9597" xr:uid="{00000000-0005-0000-0000-00009E250000}"/>
    <cellStyle name="Normal 2 5 2 2 25" xfId="9598" xr:uid="{00000000-0005-0000-0000-00009F250000}"/>
    <cellStyle name="Normal 2 5 2 2 26" xfId="9599" xr:uid="{00000000-0005-0000-0000-0000A0250000}"/>
    <cellStyle name="Normal 2 5 2 2 27" xfId="9600" xr:uid="{00000000-0005-0000-0000-0000A1250000}"/>
    <cellStyle name="Normal 2 5 2 2 28" xfId="9601" xr:uid="{00000000-0005-0000-0000-0000A2250000}"/>
    <cellStyle name="Normal 2 5 2 2 29" xfId="9602" xr:uid="{00000000-0005-0000-0000-0000A3250000}"/>
    <cellStyle name="Normal 2 5 2 2 3" xfId="9603" xr:uid="{00000000-0005-0000-0000-0000A4250000}"/>
    <cellStyle name="Normal 2 5 2 2 3 10" xfId="9604" xr:uid="{00000000-0005-0000-0000-0000A5250000}"/>
    <cellStyle name="Normal 2 5 2 2 3 11" xfId="9605" xr:uid="{00000000-0005-0000-0000-0000A6250000}"/>
    <cellStyle name="Normal 2 5 2 2 3 12" xfId="9606" xr:uid="{00000000-0005-0000-0000-0000A7250000}"/>
    <cellStyle name="Normal 2 5 2 2 3 13" xfId="9607" xr:uid="{00000000-0005-0000-0000-0000A8250000}"/>
    <cellStyle name="Normal 2 5 2 2 3 14" xfId="9608" xr:uid="{00000000-0005-0000-0000-0000A9250000}"/>
    <cellStyle name="Normal 2 5 2 2 3 15" xfId="9609" xr:uid="{00000000-0005-0000-0000-0000AA250000}"/>
    <cellStyle name="Normal 2 5 2 2 3 16" xfId="9610" xr:uid="{00000000-0005-0000-0000-0000AB250000}"/>
    <cellStyle name="Normal 2 5 2 2 3 17" xfId="9611" xr:uid="{00000000-0005-0000-0000-0000AC250000}"/>
    <cellStyle name="Normal 2 5 2 2 3 18" xfId="9612" xr:uid="{00000000-0005-0000-0000-0000AD250000}"/>
    <cellStyle name="Normal 2 5 2 2 3 2" xfId="9613" xr:uid="{00000000-0005-0000-0000-0000AE250000}"/>
    <cellStyle name="Normal 2 5 2 2 3 3" xfId="9614" xr:uid="{00000000-0005-0000-0000-0000AF250000}"/>
    <cellStyle name="Normal 2 5 2 2 3 4" xfId="9615" xr:uid="{00000000-0005-0000-0000-0000B0250000}"/>
    <cellStyle name="Normal 2 5 2 2 3 5" xfId="9616" xr:uid="{00000000-0005-0000-0000-0000B1250000}"/>
    <cellStyle name="Normal 2 5 2 2 3 6" xfId="9617" xr:uid="{00000000-0005-0000-0000-0000B2250000}"/>
    <cellStyle name="Normal 2 5 2 2 3 7" xfId="9618" xr:uid="{00000000-0005-0000-0000-0000B3250000}"/>
    <cellStyle name="Normal 2 5 2 2 3 8" xfId="9619" xr:uid="{00000000-0005-0000-0000-0000B4250000}"/>
    <cellStyle name="Normal 2 5 2 2 3 9" xfId="9620" xr:uid="{00000000-0005-0000-0000-0000B5250000}"/>
    <cellStyle name="Normal 2 5 2 2 30" xfId="9621" xr:uid="{00000000-0005-0000-0000-0000B6250000}"/>
    <cellStyle name="Normal 2 5 2 2 31" xfId="9622" xr:uid="{00000000-0005-0000-0000-0000B7250000}"/>
    <cellStyle name="Normal 2 5 2 2 32" xfId="9623" xr:uid="{00000000-0005-0000-0000-0000B8250000}"/>
    <cellStyle name="Normal 2 5 2 2 33" xfId="9624" xr:uid="{00000000-0005-0000-0000-0000B9250000}"/>
    <cellStyle name="Normal 2 5 2 2 34" xfId="9625" xr:uid="{00000000-0005-0000-0000-0000BA250000}"/>
    <cellStyle name="Normal 2 5 2 2 35" xfId="9626" xr:uid="{00000000-0005-0000-0000-0000BB250000}"/>
    <cellStyle name="Normal 2 5 2 2 36" xfId="9627" xr:uid="{00000000-0005-0000-0000-0000BC250000}"/>
    <cellStyle name="Normal 2 5 2 2 37" xfId="9628" xr:uid="{00000000-0005-0000-0000-0000BD250000}"/>
    <cellStyle name="Normal 2 5 2 2 38" xfId="9629" xr:uid="{00000000-0005-0000-0000-0000BE250000}"/>
    <cellStyle name="Normal 2 5 2 2 39" xfId="9630" xr:uid="{00000000-0005-0000-0000-0000BF250000}"/>
    <cellStyle name="Normal 2 5 2 2 4" xfId="9631" xr:uid="{00000000-0005-0000-0000-0000C0250000}"/>
    <cellStyle name="Normal 2 5 2 2 4 10" xfId="9632" xr:uid="{00000000-0005-0000-0000-0000C1250000}"/>
    <cellStyle name="Normal 2 5 2 2 4 11" xfId="9633" xr:uid="{00000000-0005-0000-0000-0000C2250000}"/>
    <cellStyle name="Normal 2 5 2 2 4 12" xfId="9634" xr:uid="{00000000-0005-0000-0000-0000C3250000}"/>
    <cellStyle name="Normal 2 5 2 2 4 13" xfId="9635" xr:uid="{00000000-0005-0000-0000-0000C4250000}"/>
    <cellStyle name="Normal 2 5 2 2 4 14" xfId="9636" xr:uid="{00000000-0005-0000-0000-0000C5250000}"/>
    <cellStyle name="Normal 2 5 2 2 4 15" xfId="9637" xr:uid="{00000000-0005-0000-0000-0000C6250000}"/>
    <cellStyle name="Normal 2 5 2 2 4 16" xfId="9638" xr:uid="{00000000-0005-0000-0000-0000C7250000}"/>
    <cellStyle name="Normal 2 5 2 2 4 17" xfId="9639" xr:uid="{00000000-0005-0000-0000-0000C8250000}"/>
    <cellStyle name="Normal 2 5 2 2 4 2" xfId="9640" xr:uid="{00000000-0005-0000-0000-0000C9250000}"/>
    <cellStyle name="Normal 2 5 2 2 4 3" xfId="9641" xr:uid="{00000000-0005-0000-0000-0000CA250000}"/>
    <cellStyle name="Normal 2 5 2 2 4 4" xfId="9642" xr:uid="{00000000-0005-0000-0000-0000CB250000}"/>
    <cellStyle name="Normal 2 5 2 2 4 5" xfId="9643" xr:uid="{00000000-0005-0000-0000-0000CC250000}"/>
    <cellStyle name="Normal 2 5 2 2 4 6" xfId="9644" xr:uid="{00000000-0005-0000-0000-0000CD250000}"/>
    <cellStyle name="Normal 2 5 2 2 4 7" xfId="9645" xr:uid="{00000000-0005-0000-0000-0000CE250000}"/>
    <cellStyle name="Normal 2 5 2 2 4 8" xfId="9646" xr:uid="{00000000-0005-0000-0000-0000CF250000}"/>
    <cellStyle name="Normal 2 5 2 2 4 9" xfId="9647" xr:uid="{00000000-0005-0000-0000-0000D0250000}"/>
    <cellStyle name="Normal 2 5 2 2 40" xfId="9648" xr:uid="{00000000-0005-0000-0000-0000D1250000}"/>
    <cellStyle name="Normal 2 5 2 2 41" xfId="9649" xr:uid="{00000000-0005-0000-0000-0000D2250000}"/>
    <cellStyle name="Normal 2 5 2 2 42" xfId="9650" xr:uid="{00000000-0005-0000-0000-0000D3250000}"/>
    <cellStyle name="Normal 2 5 2 2 43" xfId="9651" xr:uid="{00000000-0005-0000-0000-0000D4250000}"/>
    <cellStyle name="Normal 2 5 2 2 44" xfId="9652" xr:uid="{00000000-0005-0000-0000-0000D5250000}"/>
    <cellStyle name="Normal 2 5 2 2 45" xfId="9653" xr:uid="{00000000-0005-0000-0000-0000D6250000}"/>
    <cellStyle name="Normal 2 5 2 2 46" xfId="9654" xr:uid="{00000000-0005-0000-0000-0000D7250000}"/>
    <cellStyle name="Normal 2 5 2 2 47" xfId="9655" xr:uid="{00000000-0005-0000-0000-0000D8250000}"/>
    <cellStyle name="Normal 2 5 2 2 48" xfId="9656" xr:uid="{00000000-0005-0000-0000-0000D9250000}"/>
    <cellStyle name="Normal 2 5 2 2 49" xfId="9657" xr:uid="{00000000-0005-0000-0000-0000DA250000}"/>
    <cellStyle name="Normal 2 5 2 2 5" xfId="9658" xr:uid="{00000000-0005-0000-0000-0000DB250000}"/>
    <cellStyle name="Normal 2 5 2 2 50" xfId="9659" xr:uid="{00000000-0005-0000-0000-0000DC250000}"/>
    <cellStyle name="Normal 2 5 2 2 51" xfId="9660" xr:uid="{00000000-0005-0000-0000-0000DD250000}"/>
    <cellStyle name="Normal 2 5 2 2 52" xfId="9661" xr:uid="{00000000-0005-0000-0000-0000DE250000}"/>
    <cellStyle name="Normal 2 5 2 2 53" xfId="9662" xr:uid="{00000000-0005-0000-0000-0000DF250000}"/>
    <cellStyle name="Normal 2 5 2 2 54" xfId="9663" xr:uid="{00000000-0005-0000-0000-0000E0250000}"/>
    <cellStyle name="Normal 2 5 2 2 55" xfId="9664" xr:uid="{00000000-0005-0000-0000-0000E1250000}"/>
    <cellStyle name="Normal 2 5 2 2 56" xfId="9665" xr:uid="{00000000-0005-0000-0000-0000E2250000}"/>
    <cellStyle name="Normal 2 5 2 2 57" xfId="9666" xr:uid="{00000000-0005-0000-0000-0000E3250000}"/>
    <cellStyle name="Normal 2 5 2 2 58" xfId="9667" xr:uid="{00000000-0005-0000-0000-0000E4250000}"/>
    <cellStyle name="Normal 2 5 2 2 59" xfId="9668" xr:uid="{00000000-0005-0000-0000-0000E5250000}"/>
    <cellStyle name="Normal 2 5 2 2 6" xfId="9669" xr:uid="{00000000-0005-0000-0000-0000E6250000}"/>
    <cellStyle name="Normal 2 5 2 2 60" xfId="9670" xr:uid="{00000000-0005-0000-0000-0000E7250000}"/>
    <cellStyle name="Normal 2 5 2 2 61" xfId="9671" xr:uid="{00000000-0005-0000-0000-0000E8250000}"/>
    <cellStyle name="Normal 2 5 2 2 62" xfId="9672" xr:uid="{00000000-0005-0000-0000-0000E9250000}"/>
    <cellStyle name="Normal 2 5 2 2 63" xfId="9673" xr:uid="{00000000-0005-0000-0000-0000EA250000}"/>
    <cellStyle name="Normal 2 5 2 2 64" xfId="9674" xr:uid="{00000000-0005-0000-0000-0000EB250000}"/>
    <cellStyle name="Normal 2 5 2 2 65" xfId="9675" xr:uid="{00000000-0005-0000-0000-0000EC250000}"/>
    <cellStyle name="Normal 2 5 2 2 66" xfId="9676" xr:uid="{00000000-0005-0000-0000-0000ED250000}"/>
    <cellStyle name="Normal 2 5 2 2 67" xfId="9677" xr:uid="{00000000-0005-0000-0000-0000EE250000}"/>
    <cellStyle name="Normal 2 5 2 2 68" xfId="9678" xr:uid="{00000000-0005-0000-0000-0000EF250000}"/>
    <cellStyle name="Normal 2 5 2 2 69" xfId="9679" xr:uid="{00000000-0005-0000-0000-0000F0250000}"/>
    <cellStyle name="Normal 2 5 2 2 7" xfId="9680" xr:uid="{00000000-0005-0000-0000-0000F1250000}"/>
    <cellStyle name="Normal 2 5 2 2 70" xfId="9681" xr:uid="{00000000-0005-0000-0000-0000F2250000}"/>
    <cellStyle name="Normal 2 5 2 2 71" xfId="9682" xr:uid="{00000000-0005-0000-0000-0000F3250000}"/>
    <cellStyle name="Normal 2 5 2 2 72" xfId="9683" xr:uid="{00000000-0005-0000-0000-0000F4250000}"/>
    <cellStyle name="Normal 2 5 2 2 73" xfId="9684" xr:uid="{00000000-0005-0000-0000-0000F5250000}"/>
    <cellStyle name="Normal 2 5 2 2 74" xfId="9685" xr:uid="{00000000-0005-0000-0000-0000F6250000}"/>
    <cellStyle name="Normal 2 5 2 2 75" xfId="9686" xr:uid="{00000000-0005-0000-0000-0000F7250000}"/>
    <cellStyle name="Normal 2 5 2 2 76" xfId="9687" xr:uid="{00000000-0005-0000-0000-0000F8250000}"/>
    <cellStyle name="Normal 2 5 2 2 77" xfId="9688" xr:uid="{00000000-0005-0000-0000-0000F9250000}"/>
    <cellStyle name="Normal 2 5 2 2 78" xfId="9689" xr:uid="{00000000-0005-0000-0000-0000FA250000}"/>
    <cellStyle name="Normal 2 5 2 2 79" xfId="9690" xr:uid="{00000000-0005-0000-0000-0000FB250000}"/>
    <cellStyle name="Normal 2 5 2 2 8" xfId="9691" xr:uid="{00000000-0005-0000-0000-0000FC250000}"/>
    <cellStyle name="Normal 2 5 2 2 80" xfId="9692" xr:uid="{00000000-0005-0000-0000-0000FD250000}"/>
    <cellStyle name="Normal 2 5 2 2 81" xfId="9693" xr:uid="{00000000-0005-0000-0000-0000FE250000}"/>
    <cellStyle name="Normal 2 5 2 2 82" xfId="9694" xr:uid="{00000000-0005-0000-0000-0000FF250000}"/>
    <cellStyle name="Normal 2 5 2 2 83" xfId="9695" xr:uid="{00000000-0005-0000-0000-000000260000}"/>
    <cellStyle name="Normal 2 5 2 2 84" xfId="9696" xr:uid="{00000000-0005-0000-0000-000001260000}"/>
    <cellStyle name="Normal 2 5 2 2 9" xfId="9697" xr:uid="{00000000-0005-0000-0000-000002260000}"/>
    <cellStyle name="Normal 2 5 2 2_4 28 1_Asst_Health_Crit_AllTO_RIIO_20110714pm" xfId="9698" xr:uid="{00000000-0005-0000-0000-000003260000}"/>
    <cellStyle name="Normal 2 5 2 20" xfId="9699" xr:uid="{00000000-0005-0000-0000-000004260000}"/>
    <cellStyle name="Normal 2 5 2 21" xfId="9700" xr:uid="{00000000-0005-0000-0000-000005260000}"/>
    <cellStyle name="Normal 2 5 2 22" xfId="9701" xr:uid="{00000000-0005-0000-0000-000006260000}"/>
    <cellStyle name="Normal 2 5 2 23" xfId="9702" xr:uid="{00000000-0005-0000-0000-000007260000}"/>
    <cellStyle name="Normal 2 5 2 24" xfId="9703" xr:uid="{00000000-0005-0000-0000-000008260000}"/>
    <cellStyle name="Normal 2 5 2 25" xfId="9704" xr:uid="{00000000-0005-0000-0000-000009260000}"/>
    <cellStyle name="Normal 2 5 2 26" xfId="9705" xr:uid="{00000000-0005-0000-0000-00000A260000}"/>
    <cellStyle name="Normal 2 5 2 27" xfId="9706" xr:uid="{00000000-0005-0000-0000-00000B260000}"/>
    <cellStyle name="Normal 2 5 2 28" xfId="9707" xr:uid="{00000000-0005-0000-0000-00000C260000}"/>
    <cellStyle name="Normal 2 5 2 29" xfId="9708" xr:uid="{00000000-0005-0000-0000-00000D260000}"/>
    <cellStyle name="Normal 2 5 2 3" xfId="9709" xr:uid="{00000000-0005-0000-0000-00000E260000}"/>
    <cellStyle name="Normal 2 5 2 3 10" xfId="9710" xr:uid="{00000000-0005-0000-0000-00000F260000}"/>
    <cellStyle name="Normal 2 5 2 3 11" xfId="9711" xr:uid="{00000000-0005-0000-0000-000010260000}"/>
    <cellStyle name="Normal 2 5 2 3 12" xfId="9712" xr:uid="{00000000-0005-0000-0000-000011260000}"/>
    <cellStyle name="Normal 2 5 2 3 13" xfId="9713" xr:uid="{00000000-0005-0000-0000-000012260000}"/>
    <cellStyle name="Normal 2 5 2 3 14" xfId="9714" xr:uid="{00000000-0005-0000-0000-000013260000}"/>
    <cellStyle name="Normal 2 5 2 3 15" xfId="9715" xr:uid="{00000000-0005-0000-0000-000014260000}"/>
    <cellStyle name="Normal 2 5 2 3 16" xfId="9716" xr:uid="{00000000-0005-0000-0000-000015260000}"/>
    <cellStyle name="Normal 2 5 2 3 17" xfId="9717" xr:uid="{00000000-0005-0000-0000-000016260000}"/>
    <cellStyle name="Normal 2 5 2 3 18" xfId="9718" xr:uid="{00000000-0005-0000-0000-000017260000}"/>
    <cellStyle name="Normal 2 5 2 3 19" xfId="9719" xr:uid="{00000000-0005-0000-0000-000018260000}"/>
    <cellStyle name="Normal 2 5 2 3 2" xfId="9720" xr:uid="{00000000-0005-0000-0000-000019260000}"/>
    <cellStyle name="Normal 2 5 2 3 2 10" xfId="9721" xr:uid="{00000000-0005-0000-0000-00001A260000}"/>
    <cellStyle name="Normal 2 5 2 3 2 11" xfId="9722" xr:uid="{00000000-0005-0000-0000-00001B260000}"/>
    <cellStyle name="Normal 2 5 2 3 2 12" xfId="9723" xr:uid="{00000000-0005-0000-0000-00001C260000}"/>
    <cellStyle name="Normal 2 5 2 3 2 13" xfId="9724" xr:uid="{00000000-0005-0000-0000-00001D260000}"/>
    <cellStyle name="Normal 2 5 2 3 2 14" xfId="9725" xr:uid="{00000000-0005-0000-0000-00001E260000}"/>
    <cellStyle name="Normal 2 5 2 3 2 15" xfId="9726" xr:uid="{00000000-0005-0000-0000-00001F260000}"/>
    <cellStyle name="Normal 2 5 2 3 2 16" xfId="9727" xr:uid="{00000000-0005-0000-0000-000020260000}"/>
    <cellStyle name="Normal 2 5 2 3 2 17" xfId="9728" xr:uid="{00000000-0005-0000-0000-000021260000}"/>
    <cellStyle name="Normal 2 5 2 3 2 2" xfId="9729" xr:uid="{00000000-0005-0000-0000-000022260000}"/>
    <cellStyle name="Normal 2 5 2 3 2 3" xfId="9730" xr:uid="{00000000-0005-0000-0000-000023260000}"/>
    <cellStyle name="Normal 2 5 2 3 2 4" xfId="9731" xr:uid="{00000000-0005-0000-0000-000024260000}"/>
    <cellStyle name="Normal 2 5 2 3 2 5" xfId="9732" xr:uid="{00000000-0005-0000-0000-000025260000}"/>
    <cellStyle name="Normal 2 5 2 3 2 6" xfId="9733" xr:uid="{00000000-0005-0000-0000-000026260000}"/>
    <cellStyle name="Normal 2 5 2 3 2 7" xfId="9734" xr:uid="{00000000-0005-0000-0000-000027260000}"/>
    <cellStyle name="Normal 2 5 2 3 2 8" xfId="9735" xr:uid="{00000000-0005-0000-0000-000028260000}"/>
    <cellStyle name="Normal 2 5 2 3 2 9" xfId="9736" xr:uid="{00000000-0005-0000-0000-000029260000}"/>
    <cellStyle name="Normal 2 5 2 3 20" xfId="9737" xr:uid="{00000000-0005-0000-0000-00002A260000}"/>
    <cellStyle name="Normal 2 5 2 3 21" xfId="9738" xr:uid="{00000000-0005-0000-0000-00002B260000}"/>
    <cellStyle name="Normal 2 5 2 3 22" xfId="9739" xr:uid="{00000000-0005-0000-0000-00002C260000}"/>
    <cellStyle name="Normal 2 5 2 3 23" xfId="9740" xr:uid="{00000000-0005-0000-0000-00002D260000}"/>
    <cellStyle name="Normal 2 5 2 3 24" xfId="9741" xr:uid="{00000000-0005-0000-0000-00002E260000}"/>
    <cellStyle name="Normal 2 5 2 3 25" xfId="9742" xr:uid="{00000000-0005-0000-0000-00002F260000}"/>
    <cellStyle name="Normal 2 5 2 3 26" xfId="9743" xr:uid="{00000000-0005-0000-0000-000030260000}"/>
    <cellStyle name="Normal 2 5 2 3 27" xfId="9744" xr:uid="{00000000-0005-0000-0000-000031260000}"/>
    <cellStyle name="Normal 2 5 2 3 28" xfId="9745" xr:uid="{00000000-0005-0000-0000-000032260000}"/>
    <cellStyle name="Normal 2 5 2 3 29" xfId="9746" xr:uid="{00000000-0005-0000-0000-000033260000}"/>
    <cellStyle name="Normal 2 5 2 3 3" xfId="9747" xr:uid="{00000000-0005-0000-0000-000034260000}"/>
    <cellStyle name="Normal 2 5 2 3 3 10" xfId="9748" xr:uid="{00000000-0005-0000-0000-000035260000}"/>
    <cellStyle name="Normal 2 5 2 3 3 11" xfId="9749" xr:uid="{00000000-0005-0000-0000-000036260000}"/>
    <cellStyle name="Normal 2 5 2 3 3 12" xfId="9750" xr:uid="{00000000-0005-0000-0000-000037260000}"/>
    <cellStyle name="Normal 2 5 2 3 3 13" xfId="9751" xr:uid="{00000000-0005-0000-0000-000038260000}"/>
    <cellStyle name="Normal 2 5 2 3 3 14" xfId="9752" xr:uid="{00000000-0005-0000-0000-000039260000}"/>
    <cellStyle name="Normal 2 5 2 3 3 15" xfId="9753" xr:uid="{00000000-0005-0000-0000-00003A260000}"/>
    <cellStyle name="Normal 2 5 2 3 3 16" xfId="9754" xr:uid="{00000000-0005-0000-0000-00003B260000}"/>
    <cellStyle name="Normal 2 5 2 3 3 17" xfId="9755" xr:uid="{00000000-0005-0000-0000-00003C260000}"/>
    <cellStyle name="Normal 2 5 2 3 3 2" xfId="9756" xr:uid="{00000000-0005-0000-0000-00003D260000}"/>
    <cellStyle name="Normal 2 5 2 3 3 3" xfId="9757" xr:uid="{00000000-0005-0000-0000-00003E260000}"/>
    <cellStyle name="Normal 2 5 2 3 3 4" xfId="9758" xr:uid="{00000000-0005-0000-0000-00003F260000}"/>
    <cellStyle name="Normal 2 5 2 3 3 5" xfId="9759" xr:uid="{00000000-0005-0000-0000-000040260000}"/>
    <cellStyle name="Normal 2 5 2 3 3 6" xfId="9760" xr:uid="{00000000-0005-0000-0000-000041260000}"/>
    <cellStyle name="Normal 2 5 2 3 3 7" xfId="9761" xr:uid="{00000000-0005-0000-0000-000042260000}"/>
    <cellStyle name="Normal 2 5 2 3 3 8" xfId="9762" xr:uid="{00000000-0005-0000-0000-000043260000}"/>
    <cellStyle name="Normal 2 5 2 3 3 9" xfId="9763" xr:uid="{00000000-0005-0000-0000-000044260000}"/>
    <cellStyle name="Normal 2 5 2 3 30" xfId="9764" xr:uid="{00000000-0005-0000-0000-000045260000}"/>
    <cellStyle name="Normal 2 5 2 3 31" xfId="9765" xr:uid="{00000000-0005-0000-0000-000046260000}"/>
    <cellStyle name="Normal 2 5 2 3 32" xfId="9766" xr:uid="{00000000-0005-0000-0000-000047260000}"/>
    <cellStyle name="Normal 2 5 2 3 33" xfId="9767" xr:uid="{00000000-0005-0000-0000-000048260000}"/>
    <cellStyle name="Normal 2 5 2 3 34" xfId="9768" xr:uid="{00000000-0005-0000-0000-000049260000}"/>
    <cellStyle name="Normal 2 5 2 3 35" xfId="9769" xr:uid="{00000000-0005-0000-0000-00004A260000}"/>
    <cellStyle name="Normal 2 5 2 3 36" xfId="9770" xr:uid="{00000000-0005-0000-0000-00004B260000}"/>
    <cellStyle name="Normal 2 5 2 3 37" xfId="9771" xr:uid="{00000000-0005-0000-0000-00004C260000}"/>
    <cellStyle name="Normal 2 5 2 3 38" xfId="9772" xr:uid="{00000000-0005-0000-0000-00004D260000}"/>
    <cellStyle name="Normal 2 5 2 3 39" xfId="9773" xr:uid="{00000000-0005-0000-0000-00004E260000}"/>
    <cellStyle name="Normal 2 5 2 3 4" xfId="9774" xr:uid="{00000000-0005-0000-0000-00004F260000}"/>
    <cellStyle name="Normal 2 5 2 3 40" xfId="9775" xr:uid="{00000000-0005-0000-0000-000050260000}"/>
    <cellStyle name="Normal 2 5 2 3 41" xfId="9776" xr:uid="{00000000-0005-0000-0000-000051260000}"/>
    <cellStyle name="Normal 2 5 2 3 42" xfId="9777" xr:uid="{00000000-0005-0000-0000-000052260000}"/>
    <cellStyle name="Normal 2 5 2 3 43" xfId="9778" xr:uid="{00000000-0005-0000-0000-000053260000}"/>
    <cellStyle name="Normal 2 5 2 3 44" xfId="9779" xr:uid="{00000000-0005-0000-0000-000054260000}"/>
    <cellStyle name="Normal 2 5 2 3 45" xfId="9780" xr:uid="{00000000-0005-0000-0000-000055260000}"/>
    <cellStyle name="Normal 2 5 2 3 46" xfId="9781" xr:uid="{00000000-0005-0000-0000-000056260000}"/>
    <cellStyle name="Normal 2 5 2 3 47" xfId="9782" xr:uid="{00000000-0005-0000-0000-000057260000}"/>
    <cellStyle name="Normal 2 5 2 3 48" xfId="9783" xr:uid="{00000000-0005-0000-0000-000058260000}"/>
    <cellStyle name="Normal 2 5 2 3 49" xfId="9784" xr:uid="{00000000-0005-0000-0000-000059260000}"/>
    <cellStyle name="Normal 2 5 2 3 5" xfId="9785" xr:uid="{00000000-0005-0000-0000-00005A260000}"/>
    <cellStyle name="Normal 2 5 2 3 50" xfId="9786" xr:uid="{00000000-0005-0000-0000-00005B260000}"/>
    <cellStyle name="Normal 2 5 2 3 51" xfId="9787" xr:uid="{00000000-0005-0000-0000-00005C260000}"/>
    <cellStyle name="Normal 2 5 2 3 52" xfId="9788" xr:uid="{00000000-0005-0000-0000-00005D260000}"/>
    <cellStyle name="Normal 2 5 2 3 53" xfId="9789" xr:uid="{00000000-0005-0000-0000-00005E260000}"/>
    <cellStyle name="Normal 2 5 2 3 54" xfId="9790" xr:uid="{00000000-0005-0000-0000-00005F260000}"/>
    <cellStyle name="Normal 2 5 2 3 55" xfId="9791" xr:uid="{00000000-0005-0000-0000-000060260000}"/>
    <cellStyle name="Normal 2 5 2 3 56" xfId="9792" xr:uid="{00000000-0005-0000-0000-000061260000}"/>
    <cellStyle name="Normal 2 5 2 3 57" xfId="9793" xr:uid="{00000000-0005-0000-0000-000062260000}"/>
    <cellStyle name="Normal 2 5 2 3 58" xfId="9794" xr:uid="{00000000-0005-0000-0000-000063260000}"/>
    <cellStyle name="Normal 2 5 2 3 59" xfId="9795" xr:uid="{00000000-0005-0000-0000-000064260000}"/>
    <cellStyle name="Normal 2 5 2 3 6" xfId="9796" xr:uid="{00000000-0005-0000-0000-000065260000}"/>
    <cellStyle name="Normal 2 5 2 3 60" xfId="9797" xr:uid="{00000000-0005-0000-0000-000066260000}"/>
    <cellStyle name="Normal 2 5 2 3 61" xfId="9798" xr:uid="{00000000-0005-0000-0000-000067260000}"/>
    <cellStyle name="Normal 2 5 2 3 62" xfId="9799" xr:uid="{00000000-0005-0000-0000-000068260000}"/>
    <cellStyle name="Normal 2 5 2 3 63" xfId="9800" xr:uid="{00000000-0005-0000-0000-000069260000}"/>
    <cellStyle name="Normal 2 5 2 3 64" xfId="9801" xr:uid="{00000000-0005-0000-0000-00006A260000}"/>
    <cellStyle name="Normal 2 5 2 3 65" xfId="9802" xr:uid="{00000000-0005-0000-0000-00006B260000}"/>
    <cellStyle name="Normal 2 5 2 3 66" xfId="9803" xr:uid="{00000000-0005-0000-0000-00006C260000}"/>
    <cellStyle name="Normal 2 5 2 3 67" xfId="9804" xr:uid="{00000000-0005-0000-0000-00006D260000}"/>
    <cellStyle name="Normal 2 5 2 3 68" xfId="9805" xr:uid="{00000000-0005-0000-0000-00006E260000}"/>
    <cellStyle name="Normal 2 5 2 3 69" xfId="9806" xr:uid="{00000000-0005-0000-0000-00006F260000}"/>
    <cellStyle name="Normal 2 5 2 3 7" xfId="9807" xr:uid="{00000000-0005-0000-0000-000070260000}"/>
    <cellStyle name="Normal 2 5 2 3 70" xfId="9808" xr:uid="{00000000-0005-0000-0000-000071260000}"/>
    <cellStyle name="Normal 2 5 2 3 71" xfId="9809" xr:uid="{00000000-0005-0000-0000-000072260000}"/>
    <cellStyle name="Normal 2 5 2 3 72" xfId="9810" xr:uid="{00000000-0005-0000-0000-000073260000}"/>
    <cellStyle name="Normal 2 5 2 3 73" xfId="9811" xr:uid="{00000000-0005-0000-0000-000074260000}"/>
    <cellStyle name="Normal 2 5 2 3 74" xfId="9812" xr:uid="{00000000-0005-0000-0000-000075260000}"/>
    <cellStyle name="Normal 2 5 2 3 75" xfId="9813" xr:uid="{00000000-0005-0000-0000-000076260000}"/>
    <cellStyle name="Normal 2 5 2 3 76" xfId="9814" xr:uid="{00000000-0005-0000-0000-000077260000}"/>
    <cellStyle name="Normal 2 5 2 3 77" xfId="9815" xr:uid="{00000000-0005-0000-0000-000078260000}"/>
    <cellStyle name="Normal 2 5 2 3 78" xfId="9816" xr:uid="{00000000-0005-0000-0000-000079260000}"/>
    <cellStyle name="Normal 2 5 2 3 79" xfId="9817" xr:uid="{00000000-0005-0000-0000-00007A260000}"/>
    <cellStyle name="Normal 2 5 2 3 8" xfId="9818" xr:uid="{00000000-0005-0000-0000-00007B260000}"/>
    <cellStyle name="Normal 2 5 2 3 80" xfId="9819" xr:uid="{00000000-0005-0000-0000-00007C260000}"/>
    <cellStyle name="Normal 2 5 2 3 81" xfId="9820" xr:uid="{00000000-0005-0000-0000-00007D260000}"/>
    <cellStyle name="Normal 2 5 2 3 82" xfId="9821" xr:uid="{00000000-0005-0000-0000-00007E260000}"/>
    <cellStyle name="Normal 2 5 2 3 9" xfId="9822" xr:uid="{00000000-0005-0000-0000-00007F260000}"/>
    <cellStyle name="Normal 2 5 2 30" xfId="9823" xr:uid="{00000000-0005-0000-0000-000080260000}"/>
    <cellStyle name="Normal 2 5 2 31" xfId="9824" xr:uid="{00000000-0005-0000-0000-000081260000}"/>
    <cellStyle name="Normal 2 5 2 32" xfId="9825" xr:uid="{00000000-0005-0000-0000-000082260000}"/>
    <cellStyle name="Normal 2 5 2 33" xfId="9826" xr:uid="{00000000-0005-0000-0000-000083260000}"/>
    <cellStyle name="Normal 2 5 2 34" xfId="9827" xr:uid="{00000000-0005-0000-0000-000084260000}"/>
    <cellStyle name="Normal 2 5 2 35" xfId="9828" xr:uid="{00000000-0005-0000-0000-000085260000}"/>
    <cellStyle name="Normal 2 5 2 36" xfId="9829" xr:uid="{00000000-0005-0000-0000-000086260000}"/>
    <cellStyle name="Normal 2 5 2 37" xfId="9830" xr:uid="{00000000-0005-0000-0000-000087260000}"/>
    <cellStyle name="Normal 2 5 2 38" xfId="9831" xr:uid="{00000000-0005-0000-0000-000088260000}"/>
    <cellStyle name="Normal 2 5 2 39" xfId="9832" xr:uid="{00000000-0005-0000-0000-000089260000}"/>
    <cellStyle name="Normal 2 5 2 4" xfId="9833" xr:uid="{00000000-0005-0000-0000-00008A260000}"/>
    <cellStyle name="Normal 2 5 2 4 10" xfId="9834" xr:uid="{00000000-0005-0000-0000-00008B260000}"/>
    <cellStyle name="Normal 2 5 2 4 11" xfId="9835" xr:uid="{00000000-0005-0000-0000-00008C260000}"/>
    <cellStyle name="Normal 2 5 2 4 12" xfId="9836" xr:uid="{00000000-0005-0000-0000-00008D260000}"/>
    <cellStyle name="Normal 2 5 2 4 13" xfId="9837" xr:uid="{00000000-0005-0000-0000-00008E260000}"/>
    <cellStyle name="Normal 2 5 2 4 14" xfId="9838" xr:uid="{00000000-0005-0000-0000-00008F260000}"/>
    <cellStyle name="Normal 2 5 2 4 2" xfId="9839" xr:uid="{00000000-0005-0000-0000-000090260000}"/>
    <cellStyle name="Normal 2 5 2 4 2 10" xfId="9840" xr:uid="{00000000-0005-0000-0000-000091260000}"/>
    <cellStyle name="Normal 2 5 2 4 2 11" xfId="9841" xr:uid="{00000000-0005-0000-0000-000092260000}"/>
    <cellStyle name="Normal 2 5 2 4 2 12" xfId="9842" xr:uid="{00000000-0005-0000-0000-000093260000}"/>
    <cellStyle name="Normal 2 5 2 4 2 13" xfId="9843" xr:uid="{00000000-0005-0000-0000-000094260000}"/>
    <cellStyle name="Normal 2 5 2 4 2 2" xfId="9844" xr:uid="{00000000-0005-0000-0000-000095260000}"/>
    <cellStyle name="Normal 2 5 2 4 2 3" xfId="9845" xr:uid="{00000000-0005-0000-0000-000096260000}"/>
    <cellStyle name="Normal 2 5 2 4 2 4" xfId="9846" xr:uid="{00000000-0005-0000-0000-000097260000}"/>
    <cellStyle name="Normal 2 5 2 4 2 5" xfId="9847" xr:uid="{00000000-0005-0000-0000-000098260000}"/>
    <cellStyle name="Normal 2 5 2 4 2 6" xfId="9848" xr:uid="{00000000-0005-0000-0000-000099260000}"/>
    <cellStyle name="Normal 2 5 2 4 2 7" xfId="9849" xr:uid="{00000000-0005-0000-0000-00009A260000}"/>
    <cellStyle name="Normal 2 5 2 4 2 8" xfId="9850" xr:uid="{00000000-0005-0000-0000-00009B260000}"/>
    <cellStyle name="Normal 2 5 2 4 2 9" xfId="9851" xr:uid="{00000000-0005-0000-0000-00009C260000}"/>
    <cellStyle name="Normal 2 5 2 4 3" xfId="9852" xr:uid="{00000000-0005-0000-0000-00009D260000}"/>
    <cellStyle name="Normal 2 5 2 4 4" xfId="9853" xr:uid="{00000000-0005-0000-0000-00009E260000}"/>
    <cellStyle name="Normal 2 5 2 4 5" xfId="9854" xr:uid="{00000000-0005-0000-0000-00009F260000}"/>
    <cellStyle name="Normal 2 5 2 4 6" xfId="9855" xr:uid="{00000000-0005-0000-0000-0000A0260000}"/>
    <cellStyle name="Normal 2 5 2 4 7" xfId="9856" xr:uid="{00000000-0005-0000-0000-0000A1260000}"/>
    <cellStyle name="Normal 2 5 2 4 8" xfId="9857" xr:uid="{00000000-0005-0000-0000-0000A2260000}"/>
    <cellStyle name="Normal 2 5 2 4 9" xfId="9858" xr:uid="{00000000-0005-0000-0000-0000A3260000}"/>
    <cellStyle name="Normal 2 5 2 40" xfId="9859" xr:uid="{00000000-0005-0000-0000-0000A4260000}"/>
    <cellStyle name="Normal 2 5 2 41" xfId="9860" xr:uid="{00000000-0005-0000-0000-0000A5260000}"/>
    <cellStyle name="Normal 2 5 2 42" xfId="9861" xr:uid="{00000000-0005-0000-0000-0000A6260000}"/>
    <cellStyle name="Normal 2 5 2 43" xfId="9862" xr:uid="{00000000-0005-0000-0000-0000A7260000}"/>
    <cellStyle name="Normal 2 5 2 44" xfId="9863" xr:uid="{00000000-0005-0000-0000-0000A8260000}"/>
    <cellStyle name="Normal 2 5 2 45" xfId="9864" xr:uid="{00000000-0005-0000-0000-0000A9260000}"/>
    <cellStyle name="Normal 2 5 2 46" xfId="9865" xr:uid="{00000000-0005-0000-0000-0000AA260000}"/>
    <cellStyle name="Normal 2 5 2 47" xfId="9866" xr:uid="{00000000-0005-0000-0000-0000AB260000}"/>
    <cellStyle name="Normal 2 5 2 48" xfId="9867" xr:uid="{00000000-0005-0000-0000-0000AC260000}"/>
    <cellStyle name="Normal 2 5 2 49" xfId="9868" xr:uid="{00000000-0005-0000-0000-0000AD260000}"/>
    <cellStyle name="Normal 2 5 2 5" xfId="9869" xr:uid="{00000000-0005-0000-0000-0000AE260000}"/>
    <cellStyle name="Normal 2 5 2 5 10" xfId="9870" xr:uid="{00000000-0005-0000-0000-0000AF260000}"/>
    <cellStyle name="Normal 2 5 2 5 11" xfId="9871" xr:uid="{00000000-0005-0000-0000-0000B0260000}"/>
    <cellStyle name="Normal 2 5 2 5 12" xfId="9872" xr:uid="{00000000-0005-0000-0000-0000B1260000}"/>
    <cellStyle name="Normal 2 5 2 5 13" xfId="9873" xr:uid="{00000000-0005-0000-0000-0000B2260000}"/>
    <cellStyle name="Normal 2 5 2 5 2" xfId="9874" xr:uid="{00000000-0005-0000-0000-0000B3260000}"/>
    <cellStyle name="Normal 2 5 2 5 3" xfId="9875" xr:uid="{00000000-0005-0000-0000-0000B4260000}"/>
    <cellStyle name="Normal 2 5 2 5 4" xfId="9876" xr:uid="{00000000-0005-0000-0000-0000B5260000}"/>
    <cellStyle name="Normal 2 5 2 5 5" xfId="9877" xr:uid="{00000000-0005-0000-0000-0000B6260000}"/>
    <cellStyle name="Normal 2 5 2 5 6" xfId="9878" xr:uid="{00000000-0005-0000-0000-0000B7260000}"/>
    <cellStyle name="Normal 2 5 2 5 7" xfId="9879" xr:uid="{00000000-0005-0000-0000-0000B8260000}"/>
    <cellStyle name="Normal 2 5 2 5 8" xfId="9880" xr:uid="{00000000-0005-0000-0000-0000B9260000}"/>
    <cellStyle name="Normal 2 5 2 5 9" xfId="9881" xr:uid="{00000000-0005-0000-0000-0000BA260000}"/>
    <cellStyle name="Normal 2 5 2 50" xfId="9882" xr:uid="{00000000-0005-0000-0000-0000BB260000}"/>
    <cellStyle name="Normal 2 5 2 51" xfId="9883" xr:uid="{00000000-0005-0000-0000-0000BC260000}"/>
    <cellStyle name="Normal 2 5 2 52" xfId="9884" xr:uid="{00000000-0005-0000-0000-0000BD260000}"/>
    <cellStyle name="Normal 2 5 2 53" xfId="9885" xr:uid="{00000000-0005-0000-0000-0000BE260000}"/>
    <cellStyle name="Normal 2 5 2 54" xfId="9886" xr:uid="{00000000-0005-0000-0000-0000BF260000}"/>
    <cellStyle name="Normal 2 5 2 55" xfId="9887" xr:uid="{00000000-0005-0000-0000-0000C0260000}"/>
    <cellStyle name="Normal 2 5 2 56" xfId="9888" xr:uid="{00000000-0005-0000-0000-0000C1260000}"/>
    <cellStyle name="Normal 2 5 2 57" xfId="9889" xr:uid="{00000000-0005-0000-0000-0000C2260000}"/>
    <cellStyle name="Normal 2 5 2 58" xfId="9890" xr:uid="{00000000-0005-0000-0000-0000C3260000}"/>
    <cellStyle name="Normal 2 5 2 59" xfId="9891" xr:uid="{00000000-0005-0000-0000-0000C4260000}"/>
    <cellStyle name="Normal 2 5 2 6" xfId="9892" xr:uid="{00000000-0005-0000-0000-0000C5260000}"/>
    <cellStyle name="Normal 2 5 2 6 2" xfId="9893" xr:uid="{00000000-0005-0000-0000-0000C6260000}"/>
    <cellStyle name="Normal 2 5 2 6 2 2" xfId="9894" xr:uid="{00000000-0005-0000-0000-0000C7260000}"/>
    <cellStyle name="Normal 2 5 2 6 2 3" xfId="9895" xr:uid="{00000000-0005-0000-0000-0000C8260000}"/>
    <cellStyle name="Normal 2 5 2 6 3" xfId="9896" xr:uid="{00000000-0005-0000-0000-0000C9260000}"/>
    <cellStyle name="Normal 2 5 2 6 4" xfId="9897" xr:uid="{00000000-0005-0000-0000-0000CA260000}"/>
    <cellStyle name="Normal 2 5 2 60" xfId="9898" xr:uid="{00000000-0005-0000-0000-0000CB260000}"/>
    <cellStyle name="Normal 2 5 2 61" xfId="9899" xr:uid="{00000000-0005-0000-0000-0000CC260000}"/>
    <cellStyle name="Normal 2 5 2 62" xfId="9900" xr:uid="{00000000-0005-0000-0000-0000CD260000}"/>
    <cellStyle name="Normal 2 5 2 63" xfId="9901" xr:uid="{00000000-0005-0000-0000-0000CE260000}"/>
    <cellStyle name="Normal 2 5 2 64" xfId="9902" xr:uid="{00000000-0005-0000-0000-0000CF260000}"/>
    <cellStyle name="Normal 2 5 2 65" xfId="9903" xr:uid="{00000000-0005-0000-0000-0000D0260000}"/>
    <cellStyle name="Normal 2 5 2 66" xfId="9904" xr:uid="{00000000-0005-0000-0000-0000D1260000}"/>
    <cellStyle name="Normal 2 5 2 67" xfId="9905" xr:uid="{00000000-0005-0000-0000-0000D2260000}"/>
    <cellStyle name="Normal 2 5 2 68" xfId="9906" xr:uid="{00000000-0005-0000-0000-0000D3260000}"/>
    <cellStyle name="Normal 2 5 2 69" xfId="9907" xr:uid="{00000000-0005-0000-0000-0000D4260000}"/>
    <cellStyle name="Normal 2 5 2 7" xfId="9908" xr:uid="{00000000-0005-0000-0000-0000D5260000}"/>
    <cellStyle name="Normal 2 5 2 7 10" xfId="9909" xr:uid="{00000000-0005-0000-0000-0000D6260000}"/>
    <cellStyle name="Normal 2 5 2 7 11" xfId="9910" xr:uid="{00000000-0005-0000-0000-0000D7260000}"/>
    <cellStyle name="Normal 2 5 2 7 12" xfId="9911" xr:uid="{00000000-0005-0000-0000-0000D8260000}"/>
    <cellStyle name="Normal 2 5 2 7 13" xfId="9912" xr:uid="{00000000-0005-0000-0000-0000D9260000}"/>
    <cellStyle name="Normal 2 5 2 7 14" xfId="9913" xr:uid="{00000000-0005-0000-0000-0000DA260000}"/>
    <cellStyle name="Normal 2 5 2 7 15" xfId="9914" xr:uid="{00000000-0005-0000-0000-0000DB260000}"/>
    <cellStyle name="Normal 2 5 2 7 16" xfId="9915" xr:uid="{00000000-0005-0000-0000-0000DC260000}"/>
    <cellStyle name="Normal 2 5 2 7 17" xfId="9916" xr:uid="{00000000-0005-0000-0000-0000DD260000}"/>
    <cellStyle name="Normal 2 5 2 7 2" xfId="9917" xr:uid="{00000000-0005-0000-0000-0000DE260000}"/>
    <cellStyle name="Normal 2 5 2 7 3" xfId="9918" xr:uid="{00000000-0005-0000-0000-0000DF260000}"/>
    <cellStyle name="Normal 2 5 2 7 4" xfId="9919" xr:uid="{00000000-0005-0000-0000-0000E0260000}"/>
    <cellStyle name="Normal 2 5 2 7 5" xfId="9920" xr:uid="{00000000-0005-0000-0000-0000E1260000}"/>
    <cellStyle name="Normal 2 5 2 7 6" xfId="9921" xr:uid="{00000000-0005-0000-0000-0000E2260000}"/>
    <cellStyle name="Normal 2 5 2 7 7" xfId="9922" xr:uid="{00000000-0005-0000-0000-0000E3260000}"/>
    <cellStyle name="Normal 2 5 2 7 8" xfId="9923" xr:uid="{00000000-0005-0000-0000-0000E4260000}"/>
    <cellStyle name="Normal 2 5 2 7 9" xfId="9924" xr:uid="{00000000-0005-0000-0000-0000E5260000}"/>
    <cellStyle name="Normal 2 5 2 70" xfId="9925" xr:uid="{00000000-0005-0000-0000-0000E6260000}"/>
    <cellStyle name="Normal 2 5 2 71" xfId="9926" xr:uid="{00000000-0005-0000-0000-0000E7260000}"/>
    <cellStyle name="Normal 2 5 2 72" xfId="9927" xr:uid="{00000000-0005-0000-0000-0000E8260000}"/>
    <cellStyle name="Normal 2 5 2 73" xfId="9928" xr:uid="{00000000-0005-0000-0000-0000E9260000}"/>
    <cellStyle name="Normal 2 5 2 74" xfId="9929" xr:uid="{00000000-0005-0000-0000-0000EA260000}"/>
    <cellStyle name="Normal 2 5 2 75" xfId="9930" xr:uid="{00000000-0005-0000-0000-0000EB260000}"/>
    <cellStyle name="Normal 2 5 2 76" xfId="9931" xr:uid="{00000000-0005-0000-0000-0000EC260000}"/>
    <cellStyle name="Normal 2 5 2 77" xfId="9932" xr:uid="{00000000-0005-0000-0000-0000ED260000}"/>
    <cellStyle name="Normal 2 5 2 78" xfId="9933" xr:uid="{00000000-0005-0000-0000-0000EE260000}"/>
    <cellStyle name="Normal 2 5 2 79" xfId="9934" xr:uid="{00000000-0005-0000-0000-0000EF260000}"/>
    <cellStyle name="Normal 2 5 2 8" xfId="9935" xr:uid="{00000000-0005-0000-0000-0000F0260000}"/>
    <cellStyle name="Normal 2 5 2 80" xfId="9936" xr:uid="{00000000-0005-0000-0000-0000F1260000}"/>
    <cellStyle name="Normal 2 5 2 81" xfId="9937" xr:uid="{00000000-0005-0000-0000-0000F2260000}"/>
    <cellStyle name="Normal 2 5 2 82" xfId="9938" xr:uid="{00000000-0005-0000-0000-0000F3260000}"/>
    <cellStyle name="Normal 2 5 2 83" xfId="9939" xr:uid="{00000000-0005-0000-0000-0000F4260000}"/>
    <cellStyle name="Normal 2 5 2 84" xfId="9940" xr:uid="{00000000-0005-0000-0000-0000F5260000}"/>
    <cellStyle name="Normal 2 5 2 85" xfId="9941" xr:uid="{00000000-0005-0000-0000-0000F6260000}"/>
    <cellStyle name="Normal 2 5 2 86" xfId="9942" xr:uid="{00000000-0005-0000-0000-0000F7260000}"/>
    <cellStyle name="Normal 2 5 2 87" xfId="9943" xr:uid="{00000000-0005-0000-0000-0000F8260000}"/>
    <cellStyle name="Normal 2 5 2 9" xfId="9944" xr:uid="{00000000-0005-0000-0000-0000F9260000}"/>
    <cellStyle name="Normal 2 5 2_4 28 1_Asst_Health_Crit_AllTO_RIIO_20110714pm" xfId="9945" xr:uid="{00000000-0005-0000-0000-0000FA260000}"/>
    <cellStyle name="Normal 2 5 20" xfId="9946" xr:uid="{00000000-0005-0000-0000-0000FB260000}"/>
    <cellStyle name="Normal 2 5 21" xfId="9947" xr:uid="{00000000-0005-0000-0000-0000FC260000}"/>
    <cellStyle name="Normal 2 5 22" xfId="9948" xr:uid="{00000000-0005-0000-0000-0000FD260000}"/>
    <cellStyle name="Normal 2 5 23" xfId="9949" xr:uid="{00000000-0005-0000-0000-0000FE260000}"/>
    <cellStyle name="Normal 2 5 24" xfId="9950" xr:uid="{00000000-0005-0000-0000-0000FF260000}"/>
    <cellStyle name="Normal 2 5 25" xfId="9951" xr:uid="{00000000-0005-0000-0000-000000270000}"/>
    <cellStyle name="Normal 2 5 26" xfId="9952" xr:uid="{00000000-0005-0000-0000-000001270000}"/>
    <cellStyle name="Normal 2 5 27" xfId="9953" xr:uid="{00000000-0005-0000-0000-000002270000}"/>
    <cellStyle name="Normal 2 5 28" xfId="9954" xr:uid="{00000000-0005-0000-0000-000003270000}"/>
    <cellStyle name="Normal 2 5 29" xfId="9955" xr:uid="{00000000-0005-0000-0000-000004270000}"/>
    <cellStyle name="Normal 2 5 3" xfId="9956" xr:uid="{00000000-0005-0000-0000-000005270000}"/>
    <cellStyle name="Normal 2 5 3 10" xfId="9957" xr:uid="{00000000-0005-0000-0000-000006270000}"/>
    <cellStyle name="Normal 2 5 3 11" xfId="9958" xr:uid="{00000000-0005-0000-0000-000007270000}"/>
    <cellStyle name="Normal 2 5 3 12" xfId="9959" xr:uid="{00000000-0005-0000-0000-000008270000}"/>
    <cellStyle name="Normal 2 5 3 13" xfId="9960" xr:uid="{00000000-0005-0000-0000-000009270000}"/>
    <cellStyle name="Normal 2 5 3 14" xfId="9961" xr:uid="{00000000-0005-0000-0000-00000A270000}"/>
    <cellStyle name="Normal 2 5 3 15" xfId="9962" xr:uid="{00000000-0005-0000-0000-00000B270000}"/>
    <cellStyle name="Normal 2 5 3 16" xfId="9963" xr:uid="{00000000-0005-0000-0000-00000C270000}"/>
    <cellStyle name="Normal 2 5 3 17" xfId="9964" xr:uid="{00000000-0005-0000-0000-00000D270000}"/>
    <cellStyle name="Normal 2 5 3 18" xfId="9965" xr:uid="{00000000-0005-0000-0000-00000E270000}"/>
    <cellStyle name="Normal 2 5 3 19" xfId="9966" xr:uid="{00000000-0005-0000-0000-00000F270000}"/>
    <cellStyle name="Normal 2 5 3 2" xfId="9967" xr:uid="{00000000-0005-0000-0000-000010270000}"/>
    <cellStyle name="Normal 2 5 3 2 10" xfId="9968" xr:uid="{00000000-0005-0000-0000-000011270000}"/>
    <cellStyle name="Normal 2 5 3 2 11" xfId="9969" xr:uid="{00000000-0005-0000-0000-000012270000}"/>
    <cellStyle name="Normal 2 5 3 2 12" xfId="9970" xr:uid="{00000000-0005-0000-0000-000013270000}"/>
    <cellStyle name="Normal 2 5 3 2 13" xfId="9971" xr:uid="{00000000-0005-0000-0000-000014270000}"/>
    <cellStyle name="Normal 2 5 3 2 14" xfId="9972" xr:uid="{00000000-0005-0000-0000-000015270000}"/>
    <cellStyle name="Normal 2 5 3 2 15" xfId="9973" xr:uid="{00000000-0005-0000-0000-000016270000}"/>
    <cellStyle name="Normal 2 5 3 2 16" xfId="9974" xr:uid="{00000000-0005-0000-0000-000017270000}"/>
    <cellStyle name="Normal 2 5 3 2 17" xfId="9975" xr:uid="{00000000-0005-0000-0000-000018270000}"/>
    <cellStyle name="Normal 2 5 3 2 18" xfId="9976" xr:uid="{00000000-0005-0000-0000-000019270000}"/>
    <cellStyle name="Normal 2 5 3 2 19" xfId="9977" xr:uid="{00000000-0005-0000-0000-00001A270000}"/>
    <cellStyle name="Normal 2 5 3 2 2" xfId="9978" xr:uid="{00000000-0005-0000-0000-00001B270000}"/>
    <cellStyle name="Normal 2 5 3 2 2 10" xfId="9979" xr:uid="{00000000-0005-0000-0000-00001C270000}"/>
    <cellStyle name="Normal 2 5 3 2 2 11" xfId="9980" xr:uid="{00000000-0005-0000-0000-00001D270000}"/>
    <cellStyle name="Normal 2 5 3 2 2 12" xfId="9981" xr:uid="{00000000-0005-0000-0000-00001E270000}"/>
    <cellStyle name="Normal 2 5 3 2 2 13" xfId="9982" xr:uid="{00000000-0005-0000-0000-00001F270000}"/>
    <cellStyle name="Normal 2 5 3 2 2 14" xfId="9983" xr:uid="{00000000-0005-0000-0000-000020270000}"/>
    <cellStyle name="Normal 2 5 3 2 2 15" xfId="9984" xr:uid="{00000000-0005-0000-0000-000021270000}"/>
    <cellStyle name="Normal 2 5 3 2 2 16" xfId="9985" xr:uid="{00000000-0005-0000-0000-000022270000}"/>
    <cellStyle name="Normal 2 5 3 2 2 17" xfId="9986" xr:uid="{00000000-0005-0000-0000-000023270000}"/>
    <cellStyle name="Normal 2 5 3 2 2 2" xfId="9987" xr:uid="{00000000-0005-0000-0000-000024270000}"/>
    <cellStyle name="Normal 2 5 3 2 2 3" xfId="9988" xr:uid="{00000000-0005-0000-0000-000025270000}"/>
    <cellStyle name="Normal 2 5 3 2 2 4" xfId="9989" xr:uid="{00000000-0005-0000-0000-000026270000}"/>
    <cellStyle name="Normal 2 5 3 2 2 5" xfId="9990" xr:uid="{00000000-0005-0000-0000-000027270000}"/>
    <cellStyle name="Normal 2 5 3 2 2 6" xfId="9991" xr:uid="{00000000-0005-0000-0000-000028270000}"/>
    <cellStyle name="Normal 2 5 3 2 2 7" xfId="9992" xr:uid="{00000000-0005-0000-0000-000029270000}"/>
    <cellStyle name="Normal 2 5 3 2 2 8" xfId="9993" xr:uid="{00000000-0005-0000-0000-00002A270000}"/>
    <cellStyle name="Normal 2 5 3 2 2 9" xfId="9994" xr:uid="{00000000-0005-0000-0000-00002B270000}"/>
    <cellStyle name="Normal 2 5 3 2 20" xfId="9995" xr:uid="{00000000-0005-0000-0000-00002C270000}"/>
    <cellStyle name="Normal 2 5 3 2 21" xfId="9996" xr:uid="{00000000-0005-0000-0000-00002D270000}"/>
    <cellStyle name="Normal 2 5 3 2 22" xfId="9997" xr:uid="{00000000-0005-0000-0000-00002E270000}"/>
    <cellStyle name="Normal 2 5 3 2 23" xfId="9998" xr:uid="{00000000-0005-0000-0000-00002F270000}"/>
    <cellStyle name="Normal 2 5 3 2 24" xfId="9999" xr:uid="{00000000-0005-0000-0000-000030270000}"/>
    <cellStyle name="Normal 2 5 3 2 25" xfId="10000" xr:uid="{00000000-0005-0000-0000-000031270000}"/>
    <cellStyle name="Normal 2 5 3 2 26" xfId="10001" xr:uid="{00000000-0005-0000-0000-000032270000}"/>
    <cellStyle name="Normal 2 5 3 2 27" xfId="10002" xr:uid="{00000000-0005-0000-0000-000033270000}"/>
    <cellStyle name="Normal 2 5 3 2 28" xfId="10003" xr:uid="{00000000-0005-0000-0000-000034270000}"/>
    <cellStyle name="Normal 2 5 3 2 29" xfId="10004" xr:uid="{00000000-0005-0000-0000-000035270000}"/>
    <cellStyle name="Normal 2 5 3 2 3" xfId="10005" xr:uid="{00000000-0005-0000-0000-000036270000}"/>
    <cellStyle name="Normal 2 5 3 2 3 10" xfId="10006" xr:uid="{00000000-0005-0000-0000-000037270000}"/>
    <cellStyle name="Normal 2 5 3 2 3 11" xfId="10007" xr:uid="{00000000-0005-0000-0000-000038270000}"/>
    <cellStyle name="Normal 2 5 3 2 3 12" xfId="10008" xr:uid="{00000000-0005-0000-0000-000039270000}"/>
    <cellStyle name="Normal 2 5 3 2 3 13" xfId="10009" xr:uid="{00000000-0005-0000-0000-00003A270000}"/>
    <cellStyle name="Normal 2 5 3 2 3 14" xfId="10010" xr:uid="{00000000-0005-0000-0000-00003B270000}"/>
    <cellStyle name="Normal 2 5 3 2 3 15" xfId="10011" xr:uid="{00000000-0005-0000-0000-00003C270000}"/>
    <cellStyle name="Normal 2 5 3 2 3 16" xfId="10012" xr:uid="{00000000-0005-0000-0000-00003D270000}"/>
    <cellStyle name="Normal 2 5 3 2 3 17" xfId="10013" xr:uid="{00000000-0005-0000-0000-00003E270000}"/>
    <cellStyle name="Normal 2 5 3 2 3 2" xfId="10014" xr:uid="{00000000-0005-0000-0000-00003F270000}"/>
    <cellStyle name="Normal 2 5 3 2 3 3" xfId="10015" xr:uid="{00000000-0005-0000-0000-000040270000}"/>
    <cellStyle name="Normal 2 5 3 2 3 4" xfId="10016" xr:uid="{00000000-0005-0000-0000-000041270000}"/>
    <cellStyle name="Normal 2 5 3 2 3 5" xfId="10017" xr:uid="{00000000-0005-0000-0000-000042270000}"/>
    <cellStyle name="Normal 2 5 3 2 3 6" xfId="10018" xr:uid="{00000000-0005-0000-0000-000043270000}"/>
    <cellStyle name="Normal 2 5 3 2 3 7" xfId="10019" xr:uid="{00000000-0005-0000-0000-000044270000}"/>
    <cellStyle name="Normal 2 5 3 2 3 8" xfId="10020" xr:uid="{00000000-0005-0000-0000-000045270000}"/>
    <cellStyle name="Normal 2 5 3 2 3 9" xfId="10021" xr:uid="{00000000-0005-0000-0000-000046270000}"/>
    <cellStyle name="Normal 2 5 3 2 30" xfId="10022" xr:uid="{00000000-0005-0000-0000-000047270000}"/>
    <cellStyle name="Normal 2 5 3 2 31" xfId="10023" xr:uid="{00000000-0005-0000-0000-000048270000}"/>
    <cellStyle name="Normal 2 5 3 2 32" xfId="10024" xr:uid="{00000000-0005-0000-0000-000049270000}"/>
    <cellStyle name="Normal 2 5 3 2 33" xfId="10025" xr:uid="{00000000-0005-0000-0000-00004A270000}"/>
    <cellStyle name="Normal 2 5 3 2 34" xfId="10026" xr:uid="{00000000-0005-0000-0000-00004B270000}"/>
    <cellStyle name="Normal 2 5 3 2 35" xfId="10027" xr:uid="{00000000-0005-0000-0000-00004C270000}"/>
    <cellStyle name="Normal 2 5 3 2 36" xfId="10028" xr:uid="{00000000-0005-0000-0000-00004D270000}"/>
    <cellStyle name="Normal 2 5 3 2 37" xfId="10029" xr:uid="{00000000-0005-0000-0000-00004E270000}"/>
    <cellStyle name="Normal 2 5 3 2 38" xfId="10030" xr:uid="{00000000-0005-0000-0000-00004F270000}"/>
    <cellStyle name="Normal 2 5 3 2 39" xfId="10031" xr:uid="{00000000-0005-0000-0000-000050270000}"/>
    <cellStyle name="Normal 2 5 3 2 4" xfId="10032" xr:uid="{00000000-0005-0000-0000-000051270000}"/>
    <cellStyle name="Normal 2 5 3 2 40" xfId="10033" xr:uid="{00000000-0005-0000-0000-000052270000}"/>
    <cellStyle name="Normal 2 5 3 2 41" xfId="10034" xr:uid="{00000000-0005-0000-0000-000053270000}"/>
    <cellStyle name="Normal 2 5 3 2 42" xfId="10035" xr:uid="{00000000-0005-0000-0000-000054270000}"/>
    <cellStyle name="Normal 2 5 3 2 43" xfId="10036" xr:uid="{00000000-0005-0000-0000-000055270000}"/>
    <cellStyle name="Normal 2 5 3 2 44" xfId="10037" xr:uid="{00000000-0005-0000-0000-000056270000}"/>
    <cellStyle name="Normal 2 5 3 2 45" xfId="10038" xr:uid="{00000000-0005-0000-0000-000057270000}"/>
    <cellStyle name="Normal 2 5 3 2 46" xfId="10039" xr:uid="{00000000-0005-0000-0000-000058270000}"/>
    <cellStyle name="Normal 2 5 3 2 47" xfId="10040" xr:uid="{00000000-0005-0000-0000-000059270000}"/>
    <cellStyle name="Normal 2 5 3 2 48" xfId="10041" xr:uid="{00000000-0005-0000-0000-00005A270000}"/>
    <cellStyle name="Normal 2 5 3 2 49" xfId="10042" xr:uid="{00000000-0005-0000-0000-00005B270000}"/>
    <cellStyle name="Normal 2 5 3 2 5" xfId="10043" xr:uid="{00000000-0005-0000-0000-00005C270000}"/>
    <cellStyle name="Normal 2 5 3 2 50" xfId="10044" xr:uid="{00000000-0005-0000-0000-00005D270000}"/>
    <cellStyle name="Normal 2 5 3 2 51" xfId="10045" xr:uid="{00000000-0005-0000-0000-00005E270000}"/>
    <cellStyle name="Normal 2 5 3 2 52" xfId="10046" xr:uid="{00000000-0005-0000-0000-00005F270000}"/>
    <cellStyle name="Normal 2 5 3 2 53" xfId="10047" xr:uid="{00000000-0005-0000-0000-000060270000}"/>
    <cellStyle name="Normal 2 5 3 2 54" xfId="10048" xr:uid="{00000000-0005-0000-0000-000061270000}"/>
    <cellStyle name="Normal 2 5 3 2 55" xfId="10049" xr:uid="{00000000-0005-0000-0000-000062270000}"/>
    <cellStyle name="Normal 2 5 3 2 56" xfId="10050" xr:uid="{00000000-0005-0000-0000-000063270000}"/>
    <cellStyle name="Normal 2 5 3 2 57" xfId="10051" xr:uid="{00000000-0005-0000-0000-000064270000}"/>
    <cellStyle name="Normal 2 5 3 2 58" xfId="10052" xr:uid="{00000000-0005-0000-0000-000065270000}"/>
    <cellStyle name="Normal 2 5 3 2 59" xfId="10053" xr:uid="{00000000-0005-0000-0000-000066270000}"/>
    <cellStyle name="Normal 2 5 3 2 6" xfId="10054" xr:uid="{00000000-0005-0000-0000-000067270000}"/>
    <cellStyle name="Normal 2 5 3 2 60" xfId="10055" xr:uid="{00000000-0005-0000-0000-000068270000}"/>
    <cellStyle name="Normal 2 5 3 2 61" xfId="10056" xr:uid="{00000000-0005-0000-0000-000069270000}"/>
    <cellStyle name="Normal 2 5 3 2 62" xfId="10057" xr:uid="{00000000-0005-0000-0000-00006A270000}"/>
    <cellStyle name="Normal 2 5 3 2 63" xfId="10058" xr:uid="{00000000-0005-0000-0000-00006B270000}"/>
    <cellStyle name="Normal 2 5 3 2 64" xfId="10059" xr:uid="{00000000-0005-0000-0000-00006C270000}"/>
    <cellStyle name="Normal 2 5 3 2 65" xfId="10060" xr:uid="{00000000-0005-0000-0000-00006D270000}"/>
    <cellStyle name="Normal 2 5 3 2 66" xfId="10061" xr:uid="{00000000-0005-0000-0000-00006E270000}"/>
    <cellStyle name="Normal 2 5 3 2 67" xfId="10062" xr:uid="{00000000-0005-0000-0000-00006F270000}"/>
    <cellStyle name="Normal 2 5 3 2 68" xfId="10063" xr:uid="{00000000-0005-0000-0000-000070270000}"/>
    <cellStyle name="Normal 2 5 3 2 69" xfId="10064" xr:uid="{00000000-0005-0000-0000-000071270000}"/>
    <cellStyle name="Normal 2 5 3 2 7" xfId="10065" xr:uid="{00000000-0005-0000-0000-000072270000}"/>
    <cellStyle name="Normal 2 5 3 2 70" xfId="10066" xr:uid="{00000000-0005-0000-0000-000073270000}"/>
    <cellStyle name="Normal 2 5 3 2 71" xfId="10067" xr:uid="{00000000-0005-0000-0000-000074270000}"/>
    <cellStyle name="Normal 2 5 3 2 72" xfId="10068" xr:uid="{00000000-0005-0000-0000-000075270000}"/>
    <cellStyle name="Normal 2 5 3 2 73" xfId="10069" xr:uid="{00000000-0005-0000-0000-000076270000}"/>
    <cellStyle name="Normal 2 5 3 2 74" xfId="10070" xr:uid="{00000000-0005-0000-0000-000077270000}"/>
    <cellStyle name="Normal 2 5 3 2 75" xfId="10071" xr:uid="{00000000-0005-0000-0000-000078270000}"/>
    <cellStyle name="Normal 2 5 3 2 76" xfId="10072" xr:uid="{00000000-0005-0000-0000-000079270000}"/>
    <cellStyle name="Normal 2 5 3 2 77" xfId="10073" xr:uid="{00000000-0005-0000-0000-00007A270000}"/>
    <cellStyle name="Normal 2 5 3 2 78" xfId="10074" xr:uid="{00000000-0005-0000-0000-00007B270000}"/>
    <cellStyle name="Normal 2 5 3 2 79" xfId="10075" xr:uid="{00000000-0005-0000-0000-00007C270000}"/>
    <cellStyle name="Normal 2 5 3 2 8" xfId="10076" xr:uid="{00000000-0005-0000-0000-00007D270000}"/>
    <cellStyle name="Normal 2 5 3 2 80" xfId="10077" xr:uid="{00000000-0005-0000-0000-00007E270000}"/>
    <cellStyle name="Normal 2 5 3 2 81" xfId="10078" xr:uid="{00000000-0005-0000-0000-00007F270000}"/>
    <cellStyle name="Normal 2 5 3 2 82" xfId="10079" xr:uid="{00000000-0005-0000-0000-000080270000}"/>
    <cellStyle name="Normal 2 5 3 2 9" xfId="10080" xr:uid="{00000000-0005-0000-0000-000081270000}"/>
    <cellStyle name="Normal 2 5 3 20" xfId="10081" xr:uid="{00000000-0005-0000-0000-000082270000}"/>
    <cellStyle name="Normal 2 5 3 21" xfId="10082" xr:uid="{00000000-0005-0000-0000-000083270000}"/>
    <cellStyle name="Normal 2 5 3 22" xfId="10083" xr:uid="{00000000-0005-0000-0000-000084270000}"/>
    <cellStyle name="Normal 2 5 3 23" xfId="10084" xr:uid="{00000000-0005-0000-0000-000085270000}"/>
    <cellStyle name="Normal 2 5 3 24" xfId="10085" xr:uid="{00000000-0005-0000-0000-000086270000}"/>
    <cellStyle name="Normal 2 5 3 25" xfId="10086" xr:uid="{00000000-0005-0000-0000-000087270000}"/>
    <cellStyle name="Normal 2 5 3 26" xfId="10087" xr:uid="{00000000-0005-0000-0000-000088270000}"/>
    <cellStyle name="Normal 2 5 3 27" xfId="10088" xr:uid="{00000000-0005-0000-0000-000089270000}"/>
    <cellStyle name="Normal 2 5 3 28" xfId="10089" xr:uid="{00000000-0005-0000-0000-00008A270000}"/>
    <cellStyle name="Normal 2 5 3 29" xfId="10090" xr:uid="{00000000-0005-0000-0000-00008B270000}"/>
    <cellStyle name="Normal 2 5 3 3" xfId="10091" xr:uid="{00000000-0005-0000-0000-00008C270000}"/>
    <cellStyle name="Normal 2 5 3 3 10" xfId="10092" xr:uid="{00000000-0005-0000-0000-00008D270000}"/>
    <cellStyle name="Normal 2 5 3 3 11" xfId="10093" xr:uid="{00000000-0005-0000-0000-00008E270000}"/>
    <cellStyle name="Normal 2 5 3 3 12" xfId="10094" xr:uid="{00000000-0005-0000-0000-00008F270000}"/>
    <cellStyle name="Normal 2 5 3 3 13" xfId="10095" xr:uid="{00000000-0005-0000-0000-000090270000}"/>
    <cellStyle name="Normal 2 5 3 3 14" xfId="10096" xr:uid="{00000000-0005-0000-0000-000091270000}"/>
    <cellStyle name="Normal 2 5 3 3 15" xfId="10097" xr:uid="{00000000-0005-0000-0000-000092270000}"/>
    <cellStyle name="Normal 2 5 3 3 16" xfId="10098" xr:uid="{00000000-0005-0000-0000-000093270000}"/>
    <cellStyle name="Normal 2 5 3 3 17" xfId="10099" xr:uid="{00000000-0005-0000-0000-000094270000}"/>
    <cellStyle name="Normal 2 5 3 3 18" xfId="10100" xr:uid="{00000000-0005-0000-0000-000095270000}"/>
    <cellStyle name="Normal 2 5 3 3 2" xfId="10101" xr:uid="{00000000-0005-0000-0000-000096270000}"/>
    <cellStyle name="Normal 2 5 3 3 3" xfId="10102" xr:uid="{00000000-0005-0000-0000-000097270000}"/>
    <cellStyle name="Normal 2 5 3 3 4" xfId="10103" xr:uid="{00000000-0005-0000-0000-000098270000}"/>
    <cellStyle name="Normal 2 5 3 3 5" xfId="10104" xr:uid="{00000000-0005-0000-0000-000099270000}"/>
    <cellStyle name="Normal 2 5 3 3 6" xfId="10105" xr:uid="{00000000-0005-0000-0000-00009A270000}"/>
    <cellStyle name="Normal 2 5 3 3 7" xfId="10106" xr:uid="{00000000-0005-0000-0000-00009B270000}"/>
    <cellStyle name="Normal 2 5 3 3 8" xfId="10107" xr:uid="{00000000-0005-0000-0000-00009C270000}"/>
    <cellStyle name="Normal 2 5 3 3 9" xfId="10108" xr:uid="{00000000-0005-0000-0000-00009D270000}"/>
    <cellStyle name="Normal 2 5 3 30" xfId="10109" xr:uid="{00000000-0005-0000-0000-00009E270000}"/>
    <cellStyle name="Normal 2 5 3 31" xfId="10110" xr:uid="{00000000-0005-0000-0000-00009F270000}"/>
    <cellStyle name="Normal 2 5 3 32" xfId="10111" xr:uid="{00000000-0005-0000-0000-0000A0270000}"/>
    <cellStyle name="Normal 2 5 3 33" xfId="10112" xr:uid="{00000000-0005-0000-0000-0000A1270000}"/>
    <cellStyle name="Normal 2 5 3 34" xfId="10113" xr:uid="{00000000-0005-0000-0000-0000A2270000}"/>
    <cellStyle name="Normal 2 5 3 35" xfId="10114" xr:uid="{00000000-0005-0000-0000-0000A3270000}"/>
    <cellStyle name="Normal 2 5 3 36" xfId="10115" xr:uid="{00000000-0005-0000-0000-0000A4270000}"/>
    <cellStyle name="Normal 2 5 3 37" xfId="10116" xr:uid="{00000000-0005-0000-0000-0000A5270000}"/>
    <cellStyle name="Normal 2 5 3 38" xfId="10117" xr:uid="{00000000-0005-0000-0000-0000A6270000}"/>
    <cellStyle name="Normal 2 5 3 39" xfId="10118" xr:uid="{00000000-0005-0000-0000-0000A7270000}"/>
    <cellStyle name="Normal 2 5 3 4" xfId="10119" xr:uid="{00000000-0005-0000-0000-0000A8270000}"/>
    <cellStyle name="Normal 2 5 3 4 10" xfId="10120" xr:uid="{00000000-0005-0000-0000-0000A9270000}"/>
    <cellStyle name="Normal 2 5 3 4 11" xfId="10121" xr:uid="{00000000-0005-0000-0000-0000AA270000}"/>
    <cellStyle name="Normal 2 5 3 4 12" xfId="10122" xr:uid="{00000000-0005-0000-0000-0000AB270000}"/>
    <cellStyle name="Normal 2 5 3 4 13" xfId="10123" xr:uid="{00000000-0005-0000-0000-0000AC270000}"/>
    <cellStyle name="Normal 2 5 3 4 14" xfId="10124" xr:uid="{00000000-0005-0000-0000-0000AD270000}"/>
    <cellStyle name="Normal 2 5 3 4 15" xfId="10125" xr:uid="{00000000-0005-0000-0000-0000AE270000}"/>
    <cellStyle name="Normal 2 5 3 4 16" xfId="10126" xr:uid="{00000000-0005-0000-0000-0000AF270000}"/>
    <cellStyle name="Normal 2 5 3 4 17" xfId="10127" xr:uid="{00000000-0005-0000-0000-0000B0270000}"/>
    <cellStyle name="Normal 2 5 3 4 2" xfId="10128" xr:uid="{00000000-0005-0000-0000-0000B1270000}"/>
    <cellStyle name="Normal 2 5 3 4 3" xfId="10129" xr:uid="{00000000-0005-0000-0000-0000B2270000}"/>
    <cellStyle name="Normal 2 5 3 4 4" xfId="10130" xr:uid="{00000000-0005-0000-0000-0000B3270000}"/>
    <cellStyle name="Normal 2 5 3 4 5" xfId="10131" xr:uid="{00000000-0005-0000-0000-0000B4270000}"/>
    <cellStyle name="Normal 2 5 3 4 6" xfId="10132" xr:uid="{00000000-0005-0000-0000-0000B5270000}"/>
    <cellStyle name="Normal 2 5 3 4 7" xfId="10133" xr:uid="{00000000-0005-0000-0000-0000B6270000}"/>
    <cellStyle name="Normal 2 5 3 4 8" xfId="10134" xr:uid="{00000000-0005-0000-0000-0000B7270000}"/>
    <cellStyle name="Normal 2 5 3 4 9" xfId="10135" xr:uid="{00000000-0005-0000-0000-0000B8270000}"/>
    <cellStyle name="Normal 2 5 3 40" xfId="10136" xr:uid="{00000000-0005-0000-0000-0000B9270000}"/>
    <cellStyle name="Normal 2 5 3 41" xfId="10137" xr:uid="{00000000-0005-0000-0000-0000BA270000}"/>
    <cellStyle name="Normal 2 5 3 42" xfId="10138" xr:uid="{00000000-0005-0000-0000-0000BB270000}"/>
    <cellStyle name="Normal 2 5 3 43" xfId="10139" xr:uid="{00000000-0005-0000-0000-0000BC270000}"/>
    <cellStyle name="Normal 2 5 3 44" xfId="10140" xr:uid="{00000000-0005-0000-0000-0000BD270000}"/>
    <cellStyle name="Normal 2 5 3 45" xfId="10141" xr:uid="{00000000-0005-0000-0000-0000BE270000}"/>
    <cellStyle name="Normal 2 5 3 46" xfId="10142" xr:uid="{00000000-0005-0000-0000-0000BF270000}"/>
    <cellStyle name="Normal 2 5 3 47" xfId="10143" xr:uid="{00000000-0005-0000-0000-0000C0270000}"/>
    <cellStyle name="Normal 2 5 3 48" xfId="10144" xr:uid="{00000000-0005-0000-0000-0000C1270000}"/>
    <cellStyle name="Normal 2 5 3 49" xfId="10145" xr:uid="{00000000-0005-0000-0000-0000C2270000}"/>
    <cellStyle name="Normal 2 5 3 5" xfId="10146" xr:uid="{00000000-0005-0000-0000-0000C3270000}"/>
    <cellStyle name="Normal 2 5 3 50" xfId="10147" xr:uid="{00000000-0005-0000-0000-0000C4270000}"/>
    <cellStyle name="Normal 2 5 3 51" xfId="10148" xr:uid="{00000000-0005-0000-0000-0000C5270000}"/>
    <cellStyle name="Normal 2 5 3 52" xfId="10149" xr:uid="{00000000-0005-0000-0000-0000C6270000}"/>
    <cellStyle name="Normal 2 5 3 53" xfId="10150" xr:uid="{00000000-0005-0000-0000-0000C7270000}"/>
    <cellStyle name="Normal 2 5 3 54" xfId="10151" xr:uid="{00000000-0005-0000-0000-0000C8270000}"/>
    <cellStyle name="Normal 2 5 3 55" xfId="10152" xr:uid="{00000000-0005-0000-0000-0000C9270000}"/>
    <cellStyle name="Normal 2 5 3 56" xfId="10153" xr:uid="{00000000-0005-0000-0000-0000CA270000}"/>
    <cellStyle name="Normal 2 5 3 57" xfId="10154" xr:uid="{00000000-0005-0000-0000-0000CB270000}"/>
    <cellStyle name="Normal 2 5 3 58" xfId="10155" xr:uid="{00000000-0005-0000-0000-0000CC270000}"/>
    <cellStyle name="Normal 2 5 3 59" xfId="10156" xr:uid="{00000000-0005-0000-0000-0000CD270000}"/>
    <cellStyle name="Normal 2 5 3 6" xfId="10157" xr:uid="{00000000-0005-0000-0000-0000CE270000}"/>
    <cellStyle name="Normal 2 5 3 60" xfId="10158" xr:uid="{00000000-0005-0000-0000-0000CF270000}"/>
    <cellStyle name="Normal 2 5 3 61" xfId="10159" xr:uid="{00000000-0005-0000-0000-0000D0270000}"/>
    <cellStyle name="Normal 2 5 3 62" xfId="10160" xr:uid="{00000000-0005-0000-0000-0000D1270000}"/>
    <cellStyle name="Normal 2 5 3 63" xfId="10161" xr:uid="{00000000-0005-0000-0000-0000D2270000}"/>
    <cellStyle name="Normal 2 5 3 64" xfId="10162" xr:uid="{00000000-0005-0000-0000-0000D3270000}"/>
    <cellStyle name="Normal 2 5 3 65" xfId="10163" xr:uid="{00000000-0005-0000-0000-0000D4270000}"/>
    <cellStyle name="Normal 2 5 3 66" xfId="10164" xr:uid="{00000000-0005-0000-0000-0000D5270000}"/>
    <cellStyle name="Normal 2 5 3 67" xfId="10165" xr:uid="{00000000-0005-0000-0000-0000D6270000}"/>
    <cellStyle name="Normal 2 5 3 68" xfId="10166" xr:uid="{00000000-0005-0000-0000-0000D7270000}"/>
    <cellStyle name="Normal 2 5 3 69" xfId="10167" xr:uid="{00000000-0005-0000-0000-0000D8270000}"/>
    <cellStyle name="Normal 2 5 3 7" xfId="10168" xr:uid="{00000000-0005-0000-0000-0000D9270000}"/>
    <cellStyle name="Normal 2 5 3 70" xfId="10169" xr:uid="{00000000-0005-0000-0000-0000DA270000}"/>
    <cellStyle name="Normal 2 5 3 71" xfId="10170" xr:uid="{00000000-0005-0000-0000-0000DB270000}"/>
    <cellStyle name="Normal 2 5 3 72" xfId="10171" xr:uid="{00000000-0005-0000-0000-0000DC270000}"/>
    <cellStyle name="Normal 2 5 3 73" xfId="10172" xr:uid="{00000000-0005-0000-0000-0000DD270000}"/>
    <cellStyle name="Normal 2 5 3 74" xfId="10173" xr:uid="{00000000-0005-0000-0000-0000DE270000}"/>
    <cellStyle name="Normal 2 5 3 75" xfId="10174" xr:uid="{00000000-0005-0000-0000-0000DF270000}"/>
    <cellStyle name="Normal 2 5 3 76" xfId="10175" xr:uid="{00000000-0005-0000-0000-0000E0270000}"/>
    <cellStyle name="Normal 2 5 3 77" xfId="10176" xr:uid="{00000000-0005-0000-0000-0000E1270000}"/>
    <cellStyle name="Normal 2 5 3 78" xfId="10177" xr:uid="{00000000-0005-0000-0000-0000E2270000}"/>
    <cellStyle name="Normal 2 5 3 79" xfId="10178" xr:uid="{00000000-0005-0000-0000-0000E3270000}"/>
    <cellStyle name="Normal 2 5 3 8" xfId="10179" xr:uid="{00000000-0005-0000-0000-0000E4270000}"/>
    <cellStyle name="Normal 2 5 3 80" xfId="10180" xr:uid="{00000000-0005-0000-0000-0000E5270000}"/>
    <cellStyle name="Normal 2 5 3 81" xfId="10181" xr:uid="{00000000-0005-0000-0000-0000E6270000}"/>
    <cellStyle name="Normal 2 5 3 82" xfId="10182" xr:uid="{00000000-0005-0000-0000-0000E7270000}"/>
    <cellStyle name="Normal 2 5 3 83" xfId="10183" xr:uid="{00000000-0005-0000-0000-0000E8270000}"/>
    <cellStyle name="Normal 2 5 3 84" xfId="10184" xr:uid="{00000000-0005-0000-0000-0000E9270000}"/>
    <cellStyle name="Normal 2 5 3 9" xfId="10185" xr:uid="{00000000-0005-0000-0000-0000EA270000}"/>
    <cellStyle name="Normal 2 5 3_4 28 1_Asst_Health_Crit_AllTO_RIIO_20110714pm" xfId="10186" xr:uid="{00000000-0005-0000-0000-0000EB270000}"/>
    <cellStyle name="Normal 2 5 30" xfId="10187" xr:uid="{00000000-0005-0000-0000-0000EC270000}"/>
    <cellStyle name="Normal 2 5 31" xfId="10188" xr:uid="{00000000-0005-0000-0000-0000ED270000}"/>
    <cellStyle name="Normal 2 5 32" xfId="10189" xr:uid="{00000000-0005-0000-0000-0000EE270000}"/>
    <cellStyle name="Normal 2 5 33" xfId="10190" xr:uid="{00000000-0005-0000-0000-0000EF270000}"/>
    <cellStyle name="Normal 2 5 34" xfId="10191" xr:uid="{00000000-0005-0000-0000-0000F0270000}"/>
    <cellStyle name="Normal 2 5 35" xfId="10192" xr:uid="{00000000-0005-0000-0000-0000F1270000}"/>
    <cellStyle name="Normal 2 5 36" xfId="10193" xr:uid="{00000000-0005-0000-0000-0000F2270000}"/>
    <cellStyle name="Normal 2 5 37" xfId="10194" xr:uid="{00000000-0005-0000-0000-0000F3270000}"/>
    <cellStyle name="Normal 2 5 38" xfId="10195" xr:uid="{00000000-0005-0000-0000-0000F4270000}"/>
    <cellStyle name="Normal 2 5 39" xfId="10196" xr:uid="{00000000-0005-0000-0000-0000F5270000}"/>
    <cellStyle name="Normal 2 5 4" xfId="10197" xr:uid="{00000000-0005-0000-0000-0000F6270000}"/>
    <cellStyle name="Normal 2 5 4 10" xfId="10198" xr:uid="{00000000-0005-0000-0000-0000F7270000}"/>
    <cellStyle name="Normal 2 5 4 11" xfId="10199" xr:uid="{00000000-0005-0000-0000-0000F8270000}"/>
    <cellStyle name="Normal 2 5 4 12" xfId="10200" xr:uid="{00000000-0005-0000-0000-0000F9270000}"/>
    <cellStyle name="Normal 2 5 4 13" xfId="10201" xr:uid="{00000000-0005-0000-0000-0000FA270000}"/>
    <cellStyle name="Normal 2 5 4 14" xfId="10202" xr:uid="{00000000-0005-0000-0000-0000FB270000}"/>
    <cellStyle name="Normal 2 5 4 15" xfId="10203" xr:uid="{00000000-0005-0000-0000-0000FC270000}"/>
    <cellStyle name="Normal 2 5 4 16" xfId="10204" xr:uid="{00000000-0005-0000-0000-0000FD270000}"/>
    <cellStyle name="Normal 2 5 4 17" xfId="10205" xr:uid="{00000000-0005-0000-0000-0000FE270000}"/>
    <cellStyle name="Normal 2 5 4 18" xfId="10206" xr:uid="{00000000-0005-0000-0000-0000FF270000}"/>
    <cellStyle name="Normal 2 5 4 19" xfId="10207" xr:uid="{00000000-0005-0000-0000-000000280000}"/>
    <cellStyle name="Normal 2 5 4 2" xfId="10208" xr:uid="{00000000-0005-0000-0000-000001280000}"/>
    <cellStyle name="Normal 2 5 4 2 10" xfId="10209" xr:uid="{00000000-0005-0000-0000-000002280000}"/>
    <cellStyle name="Normal 2 5 4 2 11" xfId="10210" xr:uid="{00000000-0005-0000-0000-000003280000}"/>
    <cellStyle name="Normal 2 5 4 2 12" xfId="10211" xr:uid="{00000000-0005-0000-0000-000004280000}"/>
    <cellStyle name="Normal 2 5 4 2 13" xfId="10212" xr:uid="{00000000-0005-0000-0000-000005280000}"/>
    <cellStyle name="Normal 2 5 4 2 14" xfId="10213" xr:uid="{00000000-0005-0000-0000-000006280000}"/>
    <cellStyle name="Normal 2 5 4 2 15" xfId="10214" xr:uid="{00000000-0005-0000-0000-000007280000}"/>
    <cellStyle name="Normal 2 5 4 2 16" xfId="10215" xr:uid="{00000000-0005-0000-0000-000008280000}"/>
    <cellStyle name="Normal 2 5 4 2 17" xfId="10216" xr:uid="{00000000-0005-0000-0000-000009280000}"/>
    <cellStyle name="Normal 2 5 4 2 2" xfId="10217" xr:uid="{00000000-0005-0000-0000-00000A280000}"/>
    <cellStyle name="Normal 2 5 4 2 3" xfId="10218" xr:uid="{00000000-0005-0000-0000-00000B280000}"/>
    <cellStyle name="Normal 2 5 4 2 4" xfId="10219" xr:uid="{00000000-0005-0000-0000-00000C280000}"/>
    <cellStyle name="Normal 2 5 4 2 5" xfId="10220" xr:uid="{00000000-0005-0000-0000-00000D280000}"/>
    <cellStyle name="Normal 2 5 4 2 6" xfId="10221" xr:uid="{00000000-0005-0000-0000-00000E280000}"/>
    <cellStyle name="Normal 2 5 4 2 7" xfId="10222" xr:uid="{00000000-0005-0000-0000-00000F280000}"/>
    <cellStyle name="Normal 2 5 4 2 8" xfId="10223" xr:uid="{00000000-0005-0000-0000-000010280000}"/>
    <cellStyle name="Normal 2 5 4 2 9" xfId="10224" xr:uid="{00000000-0005-0000-0000-000011280000}"/>
    <cellStyle name="Normal 2 5 4 20" xfId="10225" xr:uid="{00000000-0005-0000-0000-000012280000}"/>
    <cellStyle name="Normal 2 5 4 21" xfId="10226" xr:uid="{00000000-0005-0000-0000-000013280000}"/>
    <cellStyle name="Normal 2 5 4 22" xfId="10227" xr:uid="{00000000-0005-0000-0000-000014280000}"/>
    <cellStyle name="Normal 2 5 4 23" xfId="10228" xr:uid="{00000000-0005-0000-0000-000015280000}"/>
    <cellStyle name="Normal 2 5 4 24" xfId="10229" xr:uid="{00000000-0005-0000-0000-000016280000}"/>
    <cellStyle name="Normal 2 5 4 25" xfId="10230" xr:uid="{00000000-0005-0000-0000-000017280000}"/>
    <cellStyle name="Normal 2 5 4 26" xfId="10231" xr:uid="{00000000-0005-0000-0000-000018280000}"/>
    <cellStyle name="Normal 2 5 4 27" xfId="10232" xr:uid="{00000000-0005-0000-0000-000019280000}"/>
    <cellStyle name="Normal 2 5 4 28" xfId="10233" xr:uid="{00000000-0005-0000-0000-00001A280000}"/>
    <cellStyle name="Normal 2 5 4 29" xfId="10234" xr:uid="{00000000-0005-0000-0000-00001B280000}"/>
    <cellStyle name="Normal 2 5 4 3" xfId="10235" xr:uid="{00000000-0005-0000-0000-00001C280000}"/>
    <cellStyle name="Normal 2 5 4 3 10" xfId="10236" xr:uid="{00000000-0005-0000-0000-00001D280000}"/>
    <cellStyle name="Normal 2 5 4 3 11" xfId="10237" xr:uid="{00000000-0005-0000-0000-00001E280000}"/>
    <cellStyle name="Normal 2 5 4 3 12" xfId="10238" xr:uid="{00000000-0005-0000-0000-00001F280000}"/>
    <cellStyle name="Normal 2 5 4 3 13" xfId="10239" xr:uid="{00000000-0005-0000-0000-000020280000}"/>
    <cellStyle name="Normal 2 5 4 3 14" xfId="10240" xr:uid="{00000000-0005-0000-0000-000021280000}"/>
    <cellStyle name="Normal 2 5 4 3 15" xfId="10241" xr:uid="{00000000-0005-0000-0000-000022280000}"/>
    <cellStyle name="Normal 2 5 4 3 16" xfId="10242" xr:uid="{00000000-0005-0000-0000-000023280000}"/>
    <cellStyle name="Normal 2 5 4 3 17" xfId="10243" xr:uid="{00000000-0005-0000-0000-000024280000}"/>
    <cellStyle name="Normal 2 5 4 3 2" xfId="10244" xr:uid="{00000000-0005-0000-0000-000025280000}"/>
    <cellStyle name="Normal 2 5 4 3 3" xfId="10245" xr:uid="{00000000-0005-0000-0000-000026280000}"/>
    <cellStyle name="Normal 2 5 4 3 4" xfId="10246" xr:uid="{00000000-0005-0000-0000-000027280000}"/>
    <cellStyle name="Normal 2 5 4 3 5" xfId="10247" xr:uid="{00000000-0005-0000-0000-000028280000}"/>
    <cellStyle name="Normal 2 5 4 3 6" xfId="10248" xr:uid="{00000000-0005-0000-0000-000029280000}"/>
    <cellStyle name="Normal 2 5 4 3 7" xfId="10249" xr:uid="{00000000-0005-0000-0000-00002A280000}"/>
    <cellStyle name="Normal 2 5 4 3 8" xfId="10250" xr:uid="{00000000-0005-0000-0000-00002B280000}"/>
    <cellStyle name="Normal 2 5 4 3 9" xfId="10251" xr:uid="{00000000-0005-0000-0000-00002C280000}"/>
    <cellStyle name="Normal 2 5 4 30" xfId="10252" xr:uid="{00000000-0005-0000-0000-00002D280000}"/>
    <cellStyle name="Normal 2 5 4 31" xfId="10253" xr:uid="{00000000-0005-0000-0000-00002E280000}"/>
    <cellStyle name="Normal 2 5 4 32" xfId="10254" xr:uid="{00000000-0005-0000-0000-00002F280000}"/>
    <cellStyle name="Normal 2 5 4 33" xfId="10255" xr:uid="{00000000-0005-0000-0000-000030280000}"/>
    <cellStyle name="Normal 2 5 4 34" xfId="10256" xr:uid="{00000000-0005-0000-0000-000031280000}"/>
    <cellStyle name="Normal 2 5 4 35" xfId="10257" xr:uid="{00000000-0005-0000-0000-000032280000}"/>
    <cellStyle name="Normal 2 5 4 36" xfId="10258" xr:uid="{00000000-0005-0000-0000-000033280000}"/>
    <cellStyle name="Normal 2 5 4 37" xfId="10259" xr:uid="{00000000-0005-0000-0000-000034280000}"/>
    <cellStyle name="Normal 2 5 4 38" xfId="10260" xr:uid="{00000000-0005-0000-0000-000035280000}"/>
    <cellStyle name="Normal 2 5 4 39" xfId="10261" xr:uid="{00000000-0005-0000-0000-000036280000}"/>
    <cellStyle name="Normal 2 5 4 4" xfId="10262" xr:uid="{00000000-0005-0000-0000-000037280000}"/>
    <cellStyle name="Normal 2 5 4 40" xfId="10263" xr:uid="{00000000-0005-0000-0000-000038280000}"/>
    <cellStyle name="Normal 2 5 4 41" xfId="10264" xr:uid="{00000000-0005-0000-0000-000039280000}"/>
    <cellStyle name="Normal 2 5 4 42" xfId="10265" xr:uid="{00000000-0005-0000-0000-00003A280000}"/>
    <cellStyle name="Normal 2 5 4 43" xfId="10266" xr:uid="{00000000-0005-0000-0000-00003B280000}"/>
    <cellStyle name="Normal 2 5 4 44" xfId="10267" xr:uid="{00000000-0005-0000-0000-00003C280000}"/>
    <cellStyle name="Normal 2 5 4 45" xfId="10268" xr:uid="{00000000-0005-0000-0000-00003D280000}"/>
    <cellStyle name="Normal 2 5 4 46" xfId="10269" xr:uid="{00000000-0005-0000-0000-00003E280000}"/>
    <cellStyle name="Normal 2 5 4 47" xfId="10270" xr:uid="{00000000-0005-0000-0000-00003F280000}"/>
    <cellStyle name="Normal 2 5 4 48" xfId="10271" xr:uid="{00000000-0005-0000-0000-000040280000}"/>
    <cellStyle name="Normal 2 5 4 49" xfId="10272" xr:uid="{00000000-0005-0000-0000-000041280000}"/>
    <cellStyle name="Normal 2 5 4 5" xfId="10273" xr:uid="{00000000-0005-0000-0000-000042280000}"/>
    <cellStyle name="Normal 2 5 4 50" xfId="10274" xr:uid="{00000000-0005-0000-0000-000043280000}"/>
    <cellStyle name="Normal 2 5 4 51" xfId="10275" xr:uid="{00000000-0005-0000-0000-000044280000}"/>
    <cellStyle name="Normal 2 5 4 52" xfId="10276" xr:uid="{00000000-0005-0000-0000-000045280000}"/>
    <cellStyle name="Normal 2 5 4 53" xfId="10277" xr:uid="{00000000-0005-0000-0000-000046280000}"/>
    <cellStyle name="Normal 2 5 4 54" xfId="10278" xr:uid="{00000000-0005-0000-0000-000047280000}"/>
    <cellStyle name="Normal 2 5 4 55" xfId="10279" xr:uid="{00000000-0005-0000-0000-000048280000}"/>
    <cellStyle name="Normal 2 5 4 56" xfId="10280" xr:uid="{00000000-0005-0000-0000-000049280000}"/>
    <cellStyle name="Normal 2 5 4 57" xfId="10281" xr:uid="{00000000-0005-0000-0000-00004A280000}"/>
    <cellStyle name="Normal 2 5 4 58" xfId="10282" xr:uid="{00000000-0005-0000-0000-00004B280000}"/>
    <cellStyle name="Normal 2 5 4 59" xfId="10283" xr:uid="{00000000-0005-0000-0000-00004C280000}"/>
    <cellStyle name="Normal 2 5 4 6" xfId="10284" xr:uid="{00000000-0005-0000-0000-00004D280000}"/>
    <cellStyle name="Normal 2 5 4 60" xfId="10285" xr:uid="{00000000-0005-0000-0000-00004E280000}"/>
    <cellStyle name="Normal 2 5 4 61" xfId="10286" xr:uid="{00000000-0005-0000-0000-00004F280000}"/>
    <cellStyle name="Normal 2 5 4 62" xfId="10287" xr:uid="{00000000-0005-0000-0000-000050280000}"/>
    <cellStyle name="Normal 2 5 4 63" xfId="10288" xr:uid="{00000000-0005-0000-0000-000051280000}"/>
    <cellStyle name="Normal 2 5 4 64" xfId="10289" xr:uid="{00000000-0005-0000-0000-000052280000}"/>
    <cellStyle name="Normal 2 5 4 65" xfId="10290" xr:uid="{00000000-0005-0000-0000-000053280000}"/>
    <cellStyle name="Normal 2 5 4 66" xfId="10291" xr:uid="{00000000-0005-0000-0000-000054280000}"/>
    <cellStyle name="Normal 2 5 4 67" xfId="10292" xr:uid="{00000000-0005-0000-0000-000055280000}"/>
    <cellStyle name="Normal 2 5 4 68" xfId="10293" xr:uid="{00000000-0005-0000-0000-000056280000}"/>
    <cellStyle name="Normal 2 5 4 69" xfId="10294" xr:uid="{00000000-0005-0000-0000-000057280000}"/>
    <cellStyle name="Normal 2 5 4 7" xfId="10295" xr:uid="{00000000-0005-0000-0000-000058280000}"/>
    <cellStyle name="Normal 2 5 4 70" xfId="10296" xr:uid="{00000000-0005-0000-0000-000059280000}"/>
    <cellStyle name="Normal 2 5 4 71" xfId="10297" xr:uid="{00000000-0005-0000-0000-00005A280000}"/>
    <cellStyle name="Normal 2 5 4 72" xfId="10298" xr:uid="{00000000-0005-0000-0000-00005B280000}"/>
    <cellStyle name="Normal 2 5 4 73" xfId="10299" xr:uid="{00000000-0005-0000-0000-00005C280000}"/>
    <cellStyle name="Normal 2 5 4 74" xfId="10300" xr:uid="{00000000-0005-0000-0000-00005D280000}"/>
    <cellStyle name="Normal 2 5 4 75" xfId="10301" xr:uid="{00000000-0005-0000-0000-00005E280000}"/>
    <cellStyle name="Normal 2 5 4 76" xfId="10302" xr:uid="{00000000-0005-0000-0000-00005F280000}"/>
    <cellStyle name="Normal 2 5 4 77" xfId="10303" xr:uid="{00000000-0005-0000-0000-000060280000}"/>
    <cellStyle name="Normal 2 5 4 78" xfId="10304" xr:uid="{00000000-0005-0000-0000-000061280000}"/>
    <cellStyle name="Normal 2 5 4 79" xfId="10305" xr:uid="{00000000-0005-0000-0000-000062280000}"/>
    <cellStyle name="Normal 2 5 4 8" xfId="10306" xr:uid="{00000000-0005-0000-0000-000063280000}"/>
    <cellStyle name="Normal 2 5 4 80" xfId="10307" xr:uid="{00000000-0005-0000-0000-000064280000}"/>
    <cellStyle name="Normal 2 5 4 81" xfId="10308" xr:uid="{00000000-0005-0000-0000-000065280000}"/>
    <cellStyle name="Normal 2 5 4 82" xfId="10309" xr:uid="{00000000-0005-0000-0000-000066280000}"/>
    <cellStyle name="Normal 2 5 4 9" xfId="10310" xr:uid="{00000000-0005-0000-0000-000067280000}"/>
    <cellStyle name="Normal 2 5 40" xfId="10311" xr:uid="{00000000-0005-0000-0000-000068280000}"/>
    <cellStyle name="Normal 2 5 41" xfId="10312" xr:uid="{00000000-0005-0000-0000-000069280000}"/>
    <cellStyle name="Normal 2 5 42" xfId="10313" xr:uid="{00000000-0005-0000-0000-00006A280000}"/>
    <cellStyle name="Normal 2 5 43" xfId="10314" xr:uid="{00000000-0005-0000-0000-00006B280000}"/>
    <cellStyle name="Normal 2 5 44" xfId="10315" xr:uid="{00000000-0005-0000-0000-00006C280000}"/>
    <cellStyle name="Normal 2 5 45" xfId="10316" xr:uid="{00000000-0005-0000-0000-00006D280000}"/>
    <cellStyle name="Normal 2 5 46" xfId="10317" xr:uid="{00000000-0005-0000-0000-00006E280000}"/>
    <cellStyle name="Normal 2 5 47" xfId="10318" xr:uid="{00000000-0005-0000-0000-00006F280000}"/>
    <cellStyle name="Normal 2 5 48" xfId="10319" xr:uid="{00000000-0005-0000-0000-000070280000}"/>
    <cellStyle name="Normal 2 5 49" xfId="10320" xr:uid="{00000000-0005-0000-0000-000071280000}"/>
    <cellStyle name="Normal 2 5 5" xfId="10321" xr:uid="{00000000-0005-0000-0000-000072280000}"/>
    <cellStyle name="Normal 2 5 5 10" xfId="10322" xr:uid="{00000000-0005-0000-0000-000073280000}"/>
    <cellStyle name="Normal 2 5 5 11" xfId="10323" xr:uid="{00000000-0005-0000-0000-000074280000}"/>
    <cellStyle name="Normal 2 5 5 12" xfId="10324" xr:uid="{00000000-0005-0000-0000-000075280000}"/>
    <cellStyle name="Normal 2 5 5 13" xfId="10325" xr:uid="{00000000-0005-0000-0000-000076280000}"/>
    <cellStyle name="Normal 2 5 5 14" xfId="10326" xr:uid="{00000000-0005-0000-0000-000077280000}"/>
    <cellStyle name="Normal 2 5 5 2" xfId="10327" xr:uid="{00000000-0005-0000-0000-000078280000}"/>
    <cellStyle name="Normal 2 5 5 2 10" xfId="10328" xr:uid="{00000000-0005-0000-0000-000079280000}"/>
    <cellStyle name="Normal 2 5 5 2 11" xfId="10329" xr:uid="{00000000-0005-0000-0000-00007A280000}"/>
    <cellStyle name="Normal 2 5 5 2 12" xfId="10330" xr:uid="{00000000-0005-0000-0000-00007B280000}"/>
    <cellStyle name="Normal 2 5 5 2 13" xfId="10331" xr:uid="{00000000-0005-0000-0000-00007C280000}"/>
    <cellStyle name="Normal 2 5 5 2 2" xfId="10332" xr:uid="{00000000-0005-0000-0000-00007D280000}"/>
    <cellStyle name="Normal 2 5 5 2 3" xfId="10333" xr:uid="{00000000-0005-0000-0000-00007E280000}"/>
    <cellStyle name="Normal 2 5 5 2 4" xfId="10334" xr:uid="{00000000-0005-0000-0000-00007F280000}"/>
    <cellStyle name="Normal 2 5 5 2 5" xfId="10335" xr:uid="{00000000-0005-0000-0000-000080280000}"/>
    <cellStyle name="Normal 2 5 5 2 6" xfId="10336" xr:uid="{00000000-0005-0000-0000-000081280000}"/>
    <cellStyle name="Normal 2 5 5 2 7" xfId="10337" xr:uid="{00000000-0005-0000-0000-000082280000}"/>
    <cellStyle name="Normal 2 5 5 2 8" xfId="10338" xr:uid="{00000000-0005-0000-0000-000083280000}"/>
    <cellStyle name="Normal 2 5 5 2 9" xfId="10339" xr:uid="{00000000-0005-0000-0000-000084280000}"/>
    <cellStyle name="Normal 2 5 5 3" xfId="10340" xr:uid="{00000000-0005-0000-0000-000085280000}"/>
    <cellStyle name="Normal 2 5 5 4" xfId="10341" xr:uid="{00000000-0005-0000-0000-000086280000}"/>
    <cellStyle name="Normal 2 5 5 5" xfId="10342" xr:uid="{00000000-0005-0000-0000-000087280000}"/>
    <cellStyle name="Normal 2 5 5 6" xfId="10343" xr:uid="{00000000-0005-0000-0000-000088280000}"/>
    <cellStyle name="Normal 2 5 5 7" xfId="10344" xr:uid="{00000000-0005-0000-0000-000089280000}"/>
    <cellStyle name="Normal 2 5 5 8" xfId="10345" xr:uid="{00000000-0005-0000-0000-00008A280000}"/>
    <cellStyle name="Normal 2 5 5 9" xfId="10346" xr:uid="{00000000-0005-0000-0000-00008B280000}"/>
    <cellStyle name="Normal 2 5 50" xfId="10347" xr:uid="{00000000-0005-0000-0000-00008C280000}"/>
    <cellStyle name="Normal 2 5 51" xfId="10348" xr:uid="{00000000-0005-0000-0000-00008D280000}"/>
    <cellStyle name="Normal 2 5 52" xfId="10349" xr:uid="{00000000-0005-0000-0000-00008E280000}"/>
    <cellStyle name="Normal 2 5 53" xfId="10350" xr:uid="{00000000-0005-0000-0000-00008F280000}"/>
    <cellStyle name="Normal 2 5 54" xfId="10351" xr:uid="{00000000-0005-0000-0000-000090280000}"/>
    <cellStyle name="Normal 2 5 55" xfId="10352" xr:uid="{00000000-0005-0000-0000-000091280000}"/>
    <cellStyle name="Normal 2 5 56" xfId="10353" xr:uid="{00000000-0005-0000-0000-000092280000}"/>
    <cellStyle name="Normal 2 5 57" xfId="10354" xr:uid="{00000000-0005-0000-0000-000093280000}"/>
    <cellStyle name="Normal 2 5 58" xfId="10355" xr:uid="{00000000-0005-0000-0000-000094280000}"/>
    <cellStyle name="Normal 2 5 59" xfId="10356" xr:uid="{00000000-0005-0000-0000-000095280000}"/>
    <cellStyle name="Normal 2 5 6" xfId="10357" xr:uid="{00000000-0005-0000-0000-000096280000}"/>
    <cellStyle name="Normal 2 5 6 10" xfId="10358" xr:uid="{00000000-0005-0000-0000-000097280000}"/>
    <cellStyle name="Normal 2 5 6 11" xfId="10359" xr:uid="{00000000-0005-0000-0000-000098280000}"/>
    <cellStyle name="Normal 2 5 6 12" xfId="10360" xr:uid="{00000000-0005-0000-0000-000099280000}"/>
    <cellStyle name="Normal 2 5 6 13" xfId="10361" xr:uid="{00000000-0005-0000-0000-00009A280000}"/>
    <cellStyle name="Normal 2 5 6 14" xfId="10362" xr:uid="{00000000-0005-0000-0000-00009B280000}"/>
    <cellStyle name="Normal 2 5 6 2" xfId="10363" xr:uid="{00000000-0005-0000-0000-00009C280000}"/>
    <cellStyle name="Normal 2 5 6 2 10" xfId="10364" xr:uid="{00000000-0005-0000-0000-00009D280000}"/>
    <cellStyle name="Normal 2 5 6 2 11" xfId="10365" xr:uid="{00000000-0005-0000-0000-00009E280000}"/>
    <cellStyle name="Normal 2 5 6 2 12" xfId="10366" xr:uid="{00000000-0005-0000-0000-00009F280000}"/>
    <cellStyle name="Normal 2 5 6 2 13" xfId="10367" xr:uid="{00000000-0005-0000-0000-0000A0280000}"/>
    <cellStyle name="Normal 2 5 6 2 2" xfId="10368" xr:uid="{00000000-0005-0000-0000-0000A1280000}"/>
    <cellStyle name="Normal 2 5 6 2 3" xfId="10369" xr:uid="{00000000-0005-0000-0000-0000A2280000}"/>
    <cellStyle name="Normal 2 5 6 2 4" xfId="10370" xr:uid="{00000000-0005-0000-0000-0000A3280000}"/>
    <cellStyle name="Normal 2 5 6 2 5" xfId="10371" xr:uid="{00000000-0005-0000-0000-0000A4280000}"/>
    <cellStyle name="Normal 2 5 6 2 6" xfId="10372" xr:uid="{00000000-0005-0000-0000-0000A5280000}"/>
    <cellStyle name="Normal 2 5 6 2 7" xfId="10373" xr:uid="{00000000-0005-0000-0000-0000A6280000}"/>
    <cellStyle name="Normal 2 5 6 2 8" xfId="10374" xr:uid="{00000000-0005-0000-0000-0000A7280000}"/>
    <cellStyle name="Normal 2 5 6 2 9" xfId="10375" xr:uid="{00000000-0005-0000-0000-0000A8280000}"/>
    <cellStyle name="Normal 2 5 6 3" xfId="10376" xr:uid="{00000000-0005-0000-0000-0000A9280000}"/>
    <cellStyle name="Normal 2 5 6 4" xfId="10377" xr:uid="{00000000-0005-0000-0000-0000AA280000}"/>
    <cellStyle name="Normal 2 5 6 5" xfId="10378" xr:uid="{00000000-0005-0000-0000-0000AB280000}"/>
    <cellStyle name="Normal 2 5 6 6" xfId="10379" xr:uid="{00000000-0005-0000-0000-0000AC280000}"/>
    <cellStyle name="Normal 2 5 6 7" xfId="10380" xr:uid="{00000000-0005-0000-0000-0000AD280000}"/>
    <cellStyle name="Normal 2 5 6 8" xfId="10381" xr:uid="{00000000-0005-0000-0000-0000AE280000}"/>
    <cellStyle name="Normal 2 5 6 9" xfId="10382" xr:uid="{00000000-0005-0000-0000-0000AF280000}"/>
    <cellStyle name="Normal 2 5 60" xfId="10383" xr:uid="{00000000-0005-0000-0000-0000B0280000}"/>
    <cellStyle name="Normal 2 5 61" xfId="10384" xr:uid="{00000000-0005-0000-0000-0000B1280000}"/>
    <cellStyle name="Normal 2 5 62" xfId="10385" xr:uid="{00000000-0005-0000-0000-0000B2280000}"/>
    <cellStyle name="Normal 2 5 63" xfId="10386" xr:uid="{00000000-0005-0000-0000-0000B3280000}"/>
    <cellStyle name="Normal 2 5 64" xfId="10387" xr:uid="{00000000-0005-0000-0000-0000B4280000}"/>
    <cellStyle name="Normal 2 5 65" xfId="10388" xr:uid="{00000000-0005-0000-0000-0000B5280000}"/>
    <cellStyle name="Normal 2 5 66" xfId="10389" xr:uid="{00000000-0005-0000-0000-0000B6280000}"/>
    <cellStyle name="Normal 2 5 67" xfId="10390" xr:uid="{00000000-0005-0000-0000-0000B7280000}"/>
    <cellStyle name="Normal 2 5 68" xfId="10391" xr:uid="{00000000-0005-0000-0000-0000B8280000}"/>
    <cellStyle name="Normal 2 5 69" xfId="10392" xr:uid="{00000000-0005-0000-0000-0000B9280000}"/>
    <cellStyle name="Normal 2 5 7" xfId="10393" xr:uid="{00000000-0005-0000-0000-0000BA280000}"/>
    <cellStyle name="Normal 2 5 7 10" xfId="10394" xr:uid="{00000000-0005-0000-0000-0000BB280000}"/>
    <cellStyle name="Normal 2 5 7 11" xfId="10395" xr:uid="{00000000-0005-0000-0000-0000BC280000}"/>
    <cellStyle name="Normal 2 5 7 12" xfId="10396" xr:uid="{00000000-0005-0000-0000-0000BD280000}"/>
    <cellStyle name="Normal 2 5 7 13" xfId="10397" xr:uid="{00000000-0005-0000-0000-0000BE280000}"/>
    <cellStyle name="Normal 2 5 7 14" xfId="10398" xr:uid="{00000000-0005-0000-0000-0000BF280000}"/>
    <cellStyle name="Normal 2 5 7 15" xfId="10399" xr:uid="{00000000-0005-0000-0000-0000C0280000}"/>
    <cellStyle name="Normal 2 5 7 16" xfId="10400" xr:uid="{00000000-0005-0000-0000-0000C1280000}"/>
    <cellStyle name="Normal 2 5 7 17" xfId="10401" xr:uid="{00000000-0005-0000-0000-0000C2280000}"/>
    <cellStyle name="Normal 2 5 7 2" xfId="10402" xr:uid="{00000000-0005-0000-0000-0000C3280000}"/>
    <cellStyle name="Normal 2 5 7 3" xfId="10403" xr:uid="{00000000-0005-0000-0000-0000C4280000}"/>
    <cellStyle name="Normal 2 5 7 4" xfId="10404" xr:uid="{00000000-0005-0000-0000-0000C5280000}"/>
    <cellStyle name="Normal 2 5 7 5" xfId="10405" xr:uid="{00000000-0005-0000-0000-0000C6280000}"/>
    <cellStyle name="Normal 2 5 7 6" xfId="10406" xr:uid="{00000000-0005-0000-0000-0000C7280000}"/>
    <cellStyle name="Normal 2 5 7 7" xfId="10407" xr:uid="{00000000-0005-0000-0000-0000C8280000}"/>
    <cellStyle name="Normal 2 5 7 8" xfId="10408" xr:uid="{00000000-0005-0000-0000-0000C9280000}"/>
    <cellStyle name="Normal 2 5 7 9" xfId="10409" xr:uid="{00000000-0005-0000-0000-0000CA280000}"/>
    <cellStyle name="Normal 2 5 70" xfId="10410" xr:uid="{00000000-0005-0000-0000-0000CB280000}"/>
    <cellStyle name="Normal 2 5 71" xfId="10411" xr:uid="{00000000-0005-0000-0000-0000CC280000}"/>
    <cellStyle name="Normal 2 5 72" xfId="10412" xr:uid="{00000000-0005-0000-0000-0000CD280000}"/>
    <cellStyle name="Normal 2 5 73" xfId="10413" xr:uid="{00000000-0005-0000-0000-0000CE280000}"/>
    <cellStyle name="Normal 2 5 74" xfId="10414" xr:uid="{00000000-0005-0000-0000-0000CF280000}"/>
    <cellStyle name="Normal 2 5 75" xfId="10415" xr:uid="{00000000-0005-0000-0000-0000D0280000}"/>
    <cellStyle name="Normal 2 5 76" xfId="10416" xr:uid="{00000000-0005-0000-0000-0000D1280000}"/>
    <cellStyle name="Normal 2 5 77" xfId="10417" xr:uid="{00000000-0005-0000-0000-0000D2280000}"/>
    <cellStyle name="Normal 2 5 78" xfId="10418" xr:uid="{00000000-0005-0000-0000-0000D3280000}"/>
    <cellStyle name="Normal 2 5 79" xfId="10419" xr:uid="{00000000-0005-0000-0000-0000D4280000}"/>
    <cellStyle name="Normal 2 5 8" xfId="10420" xr:uid="{00000000-0005-0000-0000-0000D5280000}"/>
    <cellStyle name="Normal 2 5 8 2" xfId="10421" xr:uid="{00000000-0005-0000-0000-0000D6280000}"/>
    <cellStyle name="Normal 2 5 8 2 2" xfId="10422" xr:uid="{00000000-0005-0000-0000-0000D7280000}"/>
    <cellStyle name="Normal 2 5 8 2 3" xfId="10423" xr:uid="{00000000-0005-0000-0000-0000D8280000}"/>
    <cellStyle name="Normal 2 5 8 3" xfId="10424" xr:uid="{00000000-0005-0000-0000-0000D9280000}"/>
    <cellStyle name="Normal 2 5 8 4" xfId="10425" xr:uid="{00000000-0005-0000-0000-0000DA280000}"/>
    <cellStyle name="Normal 2 5 80" xfId="10426" xr:uid="{00000000-0005-0000-0000-0000DB280000}"/>
    <cellStyle name="Normal 2 5 81" xfId="10427" xr:uid="{00000000-0005-0000-0000-0000DC280000}"/>
    <cellStyle name="Normal 2 5 82" xfId="10428" xr:uid="{00000000-0005-0000-0000-0000DD280000}"/>
    <cellStyle name="Normal 2 5 83" xfId="10429" xr:uid="{00000000-0005-0000-0000-0000DE280000}"/>
    <cellStyle name="Normal 2 5 84" xfId="10430" xr:uid="{00000000-0005-0000-0000-0000DF280000}"/>
    <cellStyle name="Normal 2 5 85" xfId="10431" xr:uid="{00000000-0005-0000-0000-0000E0280000}"/>
    <cellStyle name="Normal 2 5 86" xfId="10432" xr:uid="{00000000-0005-0000-0000-0000E1280000}"/>
    <cellStyle name="Normal 2 5 87" xfId="10433" xr:uid="{00000000-0005-0000-0000-0000E2280000}"/>
    <cellStyle name="Normal 2 5 9" xfId="10434" xr:uid="{00000000-0005-0000-0000-0000E3280000}"/>
    <cellStyle name="Normal 2 5 9 2" xfId="10435" xr:uid="{00000000-0005-0000-0000-0000E4280000}"/>
    <cellStyle name="Normal 2 5_1.3s Accounting C Costs Scots" xfId="10436" xr:uid="{00000000-0005-0000-0000-0000E5280000}"/>
    <cellStyle name="Normal 2 50" xfId="10437" xr:uid="{00000000-0005-0000-0000-0000E6280000}"/>
    <cellStyle name="Normal 2 51" xfId="10438" xr:uid="{00000000-0005-0000-0000-0000E7280000}"/>
    <cellStyle name="Normal 2 52" xfId="10439" xr:uid="{00000000-0005-0000-0000-0000E8280000}"/>
    <cellStyle name="Normal 2 53" xfId="10440" xr:uid="{00000000-0005-0000-0000-0000E9280000}"/>
    <cellStyle name="Normal 2 53 2" xfId="10441" xr:uid="{00000000-0005-0000-0000-0000EA280000}"/>
    <cellStyle name="Normal 2 53 3" xfId="10442" xr:uid="{00000000-0005-0000-0000-0000EB280000}"/>
    <cellStyle name="Normal 2 54" xfId="10443" xr:uid="{00000000-0005-0000-0000-0000EC280000}"/>
    <cellStyle name="Normal 2 54 10" xfId="10444" xr:uid="{00000000-0005-0000-0000-0000ED280000}"/>
    <cellStyle name="Normal 2 54 11" xfId="10445" xr:uid="{00000000-0005-0000-0000-0000EE280000}"/>
    <cellStyle name="Normal 2 54 12" xfId="10446" xr:uid="{00000000-0005-0000-0000-0000EF280000}"/>
    <cellStyle name="Normal 2 54 13" xfId="10447" xr:uid="{00000000-0005-0000-0000-0000F0280000}"/>
    <cellStyle name="Normal 2 54 14" xfId="10448" xr:uid="{00000000-0005-0000-0000-0000F1280000}"/>
    <cellStyle name="Normal 2 54 15" xfId="10449" xr:uid="{00000000-0005-0000-0000-0000F2280000}"/>
    <cellStyle name="Normal 2 54 16" xfId="10450" xr:uid="{00000000-0005-0000-0000-0000F3280000}"/>
    <cellStyle name="Normal 2 54 17" xfId="10451" xr:uid="{00000000-0005-0000-0000-0000F4280000}"/>
    <cellStyle name="Normal 2 54 2" xfId="10452" xr:uid="{00000000-0005-0000-0000-0000F5280000}"/>
    <cellStyle name="Normal 2 54 3" xfId="10453" xr:uid="{00000000-0005-0000-0000-0000F6280000}"/>
    <cellStyle name="Normal 2 54 4" xfId="10454" xr:uid="{00000000-0005-0000-0000-0000F7280000}"/>
    <cellStyle name="Normal 2 54 5" xfId="10455" xr:uid="{00000000-0005-0000-0000-0000F8280000}"/>
    <cellStyle name="Normal 2 54 6" xfId="10456" xr:uid="{00000000-0005-0000-0000-0000F9280000}"/>
    <cellStyle name="Normal 2 54 7" xfId="10457" xr:uid="{00000000-0005-0000-0000-0000FA280000}"/>
    <cellStyle name="Normal 2 54 8" xfId="10458" xr:uid="{00000000-0005-0000-0000-0000FB280000}"/>
    <cellStyle name="Normal 2 54 9" xfId="10459" xr:uid="{00000000-0005-0000-0000-0000FC280000}"/>
    <cellStyle name="Normal 2 55" xfId="10460" xr:uid="{00000000-0005-0000-0000-0000FD280000}"/>
    <cellStyle name="Normal 2 55 10" xfId="10461" xr:uid="{00000000-0005-0000-0000-0000FE280000}"/>
    <cellStyle name="Normal 2 55 11" xfId="10462" xr:uid="{00000000-0005-0000-0000-0000FF280000}"/>
    <cellStyle name="Normal 2 55 12" xfId="10463" xr:uid="{00000000-0005-0000-0000-000000290000}"/>
    <cellStyle name="Normal 2 55 13" xfId="10464" xr:uid="{00000000-0005-0000-0000-000001290000}"/>
    <cellStyle name="Normal 2 55 14" xfId="10465" xr:uid="{00000000-0005-0000-0000-000002290000}"/>
    <cellStyle name="Normal 2 55 15" xfId="10466" xr:uid="{00000000-0005-0000-0000-000003290000}"/>
    <cellStyle name="Normal 2 55 16" xfId="10467" xr:uid="{00000000-0005-0000-0000-000004290000}"/>
    <cellStyle name="Normal 2 55 17" xfId="10468" xr:uid="{00000000-0005-0000-0000-000005290000}"/>
    <cellStyle name="Normal 2 55 2" xfId="10469" xr:uid="{00000000-0005-0000-0000-000006290000}"/>
    <cellStyle name="Normal 2 55 2 2" xfId="10470" xr:uid="{00000000-0005-0000-0000-000007290000}"/>
    <cellStyle name="Normal 2 55 2 2 2" xfId="10471" xr:uid="{00000000-0005-0000-0000-000008290000}"/>
    <cellStyle name="Normal 2 55 2 2 2 2" xfId="10472" xr:uid="{00000000-0005-0000-0000-000009290000}"/>
    <cellStyle name="Normal 2 55 2 2 2 3" xfId="10473" xr:uid="{00000000-0005-0000-0000-00000A290000}"/>
    <cellStyle name="Normal 2 55 2 2 3" xfId="10474" xr:uid="{00000000-0005-0000-0000-00000B290000}"/>
    <cellStyle name="Normal 2 55 2 3" xfId="10475" xr:uid="{00000000-0005-0000-0000-00000C290000}"/>
    <cellStyle name="Normal 2 55 2 4" xfId="10476" xr:uid="{00000000-0005-0000-0000-00000D290000}"/>
    <cellStyle name="Normal 2 55 2 5" xfId="10477" xr:uid="{00000000-0005-0000-0000-00000E290000}"/>
    <cellStyle name="Normal 2 55 3" xfId="10478" xr:uid="{00000000-0005-0000-0000-00000F290000}"/>
    <cellStyle name="Normal 2 55 3 2" xfId="10479" xr:uid="{00000000-0005-0000-0000-000010290000}"/>
    <cellStyle name="Normal 2 55 3 2 2" xfId="10480" xr:uid="{00000000-0005-0000-0000-000011290000}"/>
    <cellStyle name="Normal 2 55 4" xfId="10481" xr:uid="{00000000-0005-0000-0000-000012290000}"/>
    <cellStyle name="Normal 2 55 5" xfId="10482" xr:uid="{00000000-0005-0000-0000-000013290000}"/>
    <cellStyle name="Normal 2 55 6" xfId="10483" xr:uid="{00000000-0005-0000-0000-000014290000}"/>
    <cellStyle name="Normal 2 55 6 2" xfId="10484" xr:uid="{00000000-0005-0000-0000-000015290000}"/>
    <cellStyle name="Normal 2 55 7" xfId="10485" xr:uid="{00000000-0005-0000-0000-000016290000}"/>
    <cellStyle name="Normal 2 55 8" xfId="10486" xr:uid="{00000000-0005-0000-0000-000017290000}"/>
    <cellStyle name="Normal 2 55 9" xfId="10487" xr:uid="{00000000-0005-0000-0000-000018290000}"/>
    <cellStyle name="Normal 2 56" xfId="10488" xr:uid="{00000000-0005-0000-0000-000019290000}"/>
    <cellStyle name="Normal 2 56 2" xfId="10489" xr:uid="{00000000-0005-0000-0000-00001A290000}"/>
    <cellStyle name="Normal 2 56 2 2" xfId="10490" xr:uid="{00000000-0005-0000-0000-00001B290000}"/>
    <cellStyle name="Normal 2 56 2 2 2" xfId="10491" xr:uid="{00000000-0005-0000-0000-00001C290000}"/>
    <cellStyle name="Normal 2 56 2 2 3" xfId="10492" xr:uid="{00000000-0005-0000-0000-00001D290000}"/>
    <cellStyle name="Normal 2 56 2 3" xfId="10493" xr:uid="{00000000-0005-0000-0000-00001E290000}"/>
    <cellStyle name="Normal 2 56 3" xfId="10494" xr:uid="{00000000-0005-0000-0000-00001F290000}"/>
    <cellStyle name="Normal 2 57" xfId="10495" xr:uid="{00000000-0005-0000-0000-000020290000}"/>
    <cellStyle name="Normal 2 57 2" xfId="10496" xr:uid="{00000000-0005-0000-0000-000021290000}"/>
    <cellStyle name="Normal 2 57 2 2" xfId="10497" xr:uid="{00000000-0005-0000-0000-000022290000}"/>
    <cellStyle name="Normal 2 57 2 2 2" xfId="10498" xr:uid="{00000000-0005-0000-0000-000023290000}"/>
    <cellStyle name="Normal 2 57 2 2 3" xfId="10499" xr:uid="{00000000-0005-0000-0000-000024290000}"/>
    <cellStyle name="Normal 2 57 2 3" xfId="10500" xr:uid="{00000000-0005-0000-0000-000025290000}"/>
    <cellStyle name="Normal 2 57 3" xfId="10501" xr:uid="{00000000-0005-0000-0000-000026290000}"/>
    <cellStyle name="Normal 2 58" xfId="10502" xr:uid="{00000000-0005-0000-0000-000027290000}"/>
    <cellStyle name="Normal 2 59" xfId="10503" xr:uid="{00000000-0005-0000-0000-000028290000}"/>
    <cellStyle name="Normal 2 59 2" xfId="10504" xr:uid="{00000000-0005-0000-0000-000029290000}"/>
    <cellStyle name="Normal 2 6" xfId="10505" xr:uid="{00000000-0005-0000-0000-00002A290000}"/>
    <cellStyle name="Normal 2 6 10" xfId="10506" xr:uid="{00000000-0005-0000-0000-00002B290000}"/>
    <cellStyle name="Normal 2 6 11" xfId="10507" xr:uid="{00000000-0005-0000-0000-00002C290000}"/>
    <cellStyle name="Normal 2 6 12" xfId="10508" xr:uid="{00000000-0005-0000-0000-00002D290000}"/>
    <cellStyle name="Normal 2 6 13" xfId="10509" xr:uid="{00000000-0005-0000-0000-00002E290000}"/>
    <cellStyle name="Normal 2 6 14" xfId="10510" xr:uid="{00000000-0005-0000-0000-00002F290000}"/>
    <cellStyle name="Normal 2 6 15" xfId="10511" xr:uid="{00000000-0005-0000-0000-000030290000}"/>
    <cellStyle name="Normal 2 6 16" xfId="10512" xr:uid="{00000000-0005-0000-0000-000031290000}"/>
    <cellStyle name="Normal 2 6 17" xfId="10513" xr:uid="{00000000-0005-0000-0000-000032290000}"/>
    <cellStyle name="Normal 2 6 18" xfId="10514" xr:uid="{00000000-0005-0000-0000-000033290000}"/>
    <cellStyle name="Normal 2 6 19" xfId="10515" xr:uid="{00000000-0005-0000-0000-000034290000}"/>
    <cellStyle name="Normal 2 6 2" xfId="10516" xr:uid="{00000000-0005-0000-0000-000035290000}"/>
    <cellStyle name="Normal 2 6 2 2" xfId="10517" xr:uid="{00000000-0005-0000-0000-000036290000}"/>
    <cellStyle name="Normal 2 6 2 3" xfId="10518" xr:uid="{00000000-0005-0000-0000-000037290000}"/>
    <cellStyle name="Normal 2 6 2 4" xfId="10519" xr:uid="{00000000-0005-0000-0000-000038290000}"/>
    <cellStyle name="Normal 2 6 2 5" xfId="10520" xr:uid="{00000000-0005-0000-0000-000039290000}"/>
    <cellStyle name="Normal 2 6 2 6" xfId="10521" xr:uid="{00000000-0005-0000-0000-00003A290000}"/>
    <cellStyle name="Normal 2 6 2 7" xfId="10522" xr:uid="{00000000-0005-0000-0000-00003B290000}"/>
    <cellStyle name="Normal 2 6 2 8" xfId="10523" xr:uid="{00000000-0005-0000-0000-00003C290000}"/>
    <cellStyle name="Normal 2 6 20" xfId="10524" xr:uid="{00000000-0005-0000-0000-00003D290000}"/>
    <cellStyle name="Normal 2 6 21" xfId="10525" xr:uid="{00000000-0005-0000-0000-00003E290000}"/>
    <cellStyle name="Normal 2 6 22" xfId="10526" xr:uid="{00000000-0005-0000-0000-00003F290000}"/>
    <cellStyle name="Normal 2 6 23" xfId="10527" xr:uid="{00000000-0005-0000-0000-000040290000}"/>
    <cellStyle name="Normal 2 6 24" xfId="10528" xr:uid="{00000000-0005-0000-0000-000041290000}"/>
    <cellStyle name="Normal 2 6 25" xfId="10529" xr:uid="{00000000-0005-0000-0000-000042290000}"/>
    <cellStyle name="Normal 2 6 26" xfId="10530" xr:uid="{00000000-0005-0000-0000-000043290000}"/>
    <cellStyle name="Normal 2 6 27" xfId="10531" xr:uid="{00000000-0005-0000-0000-000044290000}"/>
    <cellStyle name="Normal 2 6 28" xfId="10532" xr:uid="{00000000-0005-0000-0000-000045290000}"/>
    <cellStyle name="Normal 2 6 29" xfId="10533" xr:uid="{00000000-0005-0000-0000-000046290000}"/>
    <cellStyle name="Normal 2 6 3" xfId="10534" xr:uid="{00000000-0005-0000-0000-000047290000}"/>
    <cellStyle name="Normal 2 6 3 10" xfId="10535" xr:uid="{00000000-0005-0000-0000-000048290000}"/>
    <cellStyle name="Normal 2 6 3 11" xfId="10536" xr:uid="{00000000-0005-0000-0000-000049290000}"/>
    <cellStyle name="Normal 2 6 3 12" xfId="10537" xr:uid="{00000000-0005-0000-0000-00004A290000}"/>
    <cellStyle name="Normal 2 6 3 13" xfId="10538" xr:uid="{00000000-0005-0000-0000-00004B290000}"/>
    <cellStyle name="Normal 2 6 3 14" xfId="10539" xr:uid="{00000000-0005-0000-0000-00004C290000}"/>
    <cellStyle name="Normal 2 6 3 15" xfId="10540" xr:uid="{00000000-0005-0000-0000-00004D290000}"/>
    <cellStyle name="Normal 2 6 3 16" xfId="10541" xr:uid="{00000000-0005-0000-0000-00004E290000}"/>
    <cellStyle name="Normal 2 6 3 17" xfId="10542" xr:uid="{00000000-0005-0000-0000-00004F290000}"/>
    <cellStyle name="Normal 2 6 3 2" xfId="10543" xr:uid="{00000000-0005-0000-0000-000050290000}"/>
    <cellStyle name="Normal 2 6 3 3" xfId="10544" xr:uid="{00000000-0005-0000-0000-000051290000}"/>
    <cellStyle name="Normal 2 6 3 4" xfId="10545" xr:uid="{00000000-0005-0000-0000-000052290000}"/>
    <cellStyle name="Normal 2 6 3 5" xfId="10546" xr:uid="{00000000-0005-0000-0000-000053290000}"/>
    <cellStyle name="Normal 2 6 3 6" xfId="10547" xr:uid="{00000000-0005-0000-0000-000054290000}"/>
    <cellStyle name="Normal 2 6 3 7" xfId="10548" xr:uid="{00000000-0005-0000-0000-000055290000}"/>
    <cellStyle name="Normal 2 6 3 8" xfId="10549" xr:uid="{00000000-0005-0000-0000-000056290000}"/>
    <cellStyle name="Normal 2 6 3 9" xfId="10550" xr:uid="{00000000-0005-0000-0000-000057290000}"/>
    <cellStyle name="Normal 2 6 30" xfId="10551" xr:uid="{00000000-0005-0000-0000-000058290000}"/>
    <cellStyle name="Normal 2 6 31" xfId="10552" xr:uid="{00000000-0005-0000-0000-000059290000}"/>
    <cellStyle name="Normal 2 6 32" xfId="10553" xr:uid="{00000000-0005-0000-0000-00005A290000}"/>
    <cellStyle name="Normal 2 6 33" xfId="10554" xr:uid="{00000000-0005-0000-0000-00005B290000}"/>
    <cellStyle name="Normal 2 6 34" xfId="10555" xr:uid="{00000000-0005-0000-0000-00005C290000}"/>
    <cellStyle name="Normal 2 6 35" xfId="10556" xr:uid="{00000000-0005-0000-0000-00005D290000}"/>
    <cellStyle name="Normal 2 6 36" xfId="10557" xr:uid="{00000000-0005-0000-0000-00005E290000}"/>
    <cellStyle name="Normal 2 6 37" xfId="10558" xr:uid="{00000000-0005-0000-0000-00005F290000}"/>
    <cellStyle name="Normal 2 6 38" xfId="10559" xr:uid="{00000000-0005-0000-0000-000060290000}"/>
    <cellStyle name="Normal 2 6 39" xfId="10560" xr:uid="{00000000-0005-0000-0000-000061290000}"/>
    <cellStyle name="Normal 2 6 4" xfId="10561" xr:uid="{00000000-0005-0000-0000-000062290000}"/>
    <cellStyle name="Normal 2 6 4 10" xfId="10562" xr:uid="{00000000-0005-0000-0000-000063290000}"/>
    <cellStyle name="Normal 2 6 4 11" xfId="10563" xr:uid="{00000000-0005-0000-0000-000064290000}"/>
    <cellStyle name="Normal 2 6 4 12" xfId="10564" xr:uid="{00000000-0005-0000-0000-000065290000}"/>
    <cellStyle name="Normal 2 6 4 13" xfId="10565" xr:uid="{00000000-0005-0000-0000-000066290000}"/>
    <cellStyle name="Normal 2 6 4 14" xfId="10566" xr:uid="{00000000-0005-0000-0000-000067290000}"/>
    <cellStyle name="Normal 2 6 4 15" xfId="10567" xr:uid="{00000000-0005-0000-0000-000068290000}"/>
    <cellStyle name="Normal 2 6 4 16" xfId="10568" xr:uid="{00000000-0005-0000-0000-000069290000}"/>
    <cellStyle name="Normal 2 6 4 17" xfId="10569" xr:uid="{00000000-0005-0000-0000-00006A290000}"/>
    <cellStyle name="Normal 2 6 4 2" xfId="10570" xr:uid="{00000000-0005-0000-0000-00006B290000}"/>
    <cellStyle name="Normal 2 6 4 3" xfId="10571" xr:uid="{00000000-0005-0000-0000-00006C290000}"/>
    <cellStyle name="Normal 2 6 4 4" xfId="10572" xr:uid="{00000000-0005-0000-0000-00006D290000}"/>
    <cellStyle name="Normal 2 6 4 5" xfId="10573" xr:uid="{00000000-0005-0000-0000-00006E290000}"/>
    <cellStyle name="Normal 2 6 4 6" xfId="10574" xr:uid="{00000000-0005-0000-0000-00006F290000}"/>
    <cellStyle name="Normal 2 6 4 7" xfId="10575" xr:uid="{00000000-0005-0000-0000-000070290000}"/>
    <cellStyle name="Normal 2 6 4 8" xfId="10576" xr:uid="{00000000-0005-0000-0000-000071290000}"/>
    <cellStyle name="Normal 2 6 4 9" xfId="10577" xr:uid="{00000000-0005-0000-0000-000072290000}"/>
    <cellStyle name="Normal 2 6 40" xfId="10578" xr:uid="{00000000-0005-0000-0000-000073290000}"/>
    <cellStyle name="Normal 2 6 41" xfId="10579" xr:uid="{00000000-0005-0000-0000-000074290000}"/>
    <cellStyle name="Normal 2 6 42" xfId="10580" xr:uid="{00000000-0005-0000-0000-000075290000}"/>
    <cellStyle name="Normal 2 6 43" xfId="10581" xr:uid="{00000000-0005-0000-0000-000076290000}"/>
    <cellStyle name="Normal 2 6 44" xfId="10582" xr:uid="{00000000-0005-0000-0000-000077290000}"/>
    <cellStyle name="Normal 2 6 45" xfId="10583" xr:uid="{00000000-0005-0000-0000-000078290000}"/>
    <cellStyle name="Normal 2 6 46" xfId="10584" xr:uid="{00000000-0005-0000-0000-000079290000}"/>
    <cellStyle name="Normal 2 6 47" xfId="10585" xr:uid="{00000000-0005-0000-0000-00007A290000}"/>
    <cellStyle name="Normal 2 6 48" xfId="10586" xr:uid="{00000000-0005-0000-0000-00007B290000}"/>
    <cellStyle name="Normal 2 6 49" xfId="10587" xr:uid="{00000000-0005-0000-0000-00007C290000}"/>
    <cellStyle name="Normal 2 6 5" xfId="10588" xr:uid="{00000000-0005-0000-0000-00007D290000}"/>
    <cellStyle name="Normal 2 6 50" xfId="10589" xr:uid="{00000000-0005-0000-0000-00007E290000}"/>
    <cellStyle name="Normal 2 6 51" xfId="10590" xr:uid="{00000000-0005-0000-0000-00007F290000}"/>
    <cellStyle name="Normal 2 6 52" xfId="10591" xr:uid="{00000000-0005-0000-0000-000080290000}"/>
    <cellStyle name="Normal 2 6 53" xfId="10592" xr:uid="{00000000-0005-0000-0000-000081290000}"/>
    <cellStyle name="Normal 2 6 54" xfId="10593" xr:uid="{00000000-0005-0000-0000-000082290000}"/>
    <cellStyle name="Normal 2 6 55" xfId="10594" xr:uid="{00000000-0005-0000-0000-000083290000}"/>
    <cellStyle name="Normal 2 6 56" xfId="10595" xr:uid="{00000000-0005-0000-0000-000084290000}"/>
    <cellStyle name="Normal 2 6 57" xfId="10596" xr:uid="{00000000-0005-0000-0000-000085290000}"/>
    <cellStyle name="Normal 2 6 58" xfId="10597" xr:uid="{00000000-0005-0000-0000-000086290000}"/>
    <cellStyle name="Normal 2 6 59" xfId="10598" xr:uid="{00000000-0005-0000-0000-000087290000}"/>
    <cellStyle name="Normal 2 6 6" xfId="10599" xr:uid="{00000000-0005-0000-0000-000088290000}"/>
    <cellStyle name="Normal 2 6 60" xfId="10600" xr:uid="{00000000-0005-0000-0000-000089290000}"/>
    <cellStyle name="Normal 2 6 61" xfId="10601" xr:uid="{00000000-0005-0000-0000-00008A290000}"/>
    <cellStyle name="Normal 2 6 62" xfId="10602" xr:uid="{00000000-0005-0000-0000-00008B290000}"/>
    <cellStyle name="Normal 2 6 63" xfId="10603" xr:uid="{00000000-0005-0000-0000-00008C290000}"/>
    <cellStyle name="Normal 2 6 64" xfId="10604" xr:uid="{00000000-0005-0000-0000-00008D290000}"/>
    <cellStyle name="Normal 2 6 65" xfId="10605" xr:uid="{00000000-0005-0000-0000-00008E290000}"/>
    <cellStyle name="Normal 2 6 66" xfId="10606" xr:uid="{00000000-0005-0000-0000-00008F290000}"/>
    <cellStyle name="Normal 2 6 67" xfId="10607" xr:uid="{00000000-0005-0000-0000-000090290000}"/>
    <cellStyle name="Normal 2 6 68" xfId="10608" xr:uid="{00000000-0005-0000-0000-000091290000}"/>
    <cellStyle name="Normal 2 6 69" xfId="10609" xr:uid="{00000000-0005-0000-0000-000092290000}"/>
    <cellStyle name="Normal 2 6 7" xfId="10610" xr:uid="{00000000-0005-0000-0000-000093290000}"/>
    <cellStyle name="Normal 2 6 70" xfId="10611" xr:uid="{00000000-0005-0000-0000-000094290000}"/>
    <cellStyle name="Normal 2 6 71" xfId="10612" xr:uid="{00000000-0005-0000-0000-000095290000}"/>
    <cellStyle name="Normal 2 6 72" xfId="10613" xr:uid="{00000000-0005-0000-0000-000096290000}"/>
    <cellStyle name="Normal 2 6 73" xfId="10614" xr:uid="{00000000-0005-0000-0000-000097290000}"/>
    <cellStyle name="Normal 2 6 74" xfId="10615" xr:uid="{00000000-0005-0000-0000-000098290000}"/>
    <cellStyle name="Normal 2 6 75" xfId="10616" xr:uid="{00000000-0005-0000-0000-000099290000}"/>
    <cellStyle name="Normal 2 6 76" xfId="10617" xr:uid="{00000000-0005-0000-0000-00009A290000}"/>
    <cellStyle name="Normal 2 6 77" xfId="10618" xr:uid="{00000000-0005-0000-0000-00009B290000}"/>
    <cellStyle name="Normal 2 6 78" xfId="10619" xr:uid="{00000000-0005-0000-0000-00009C290000}"/>
    <cellStyle name="Normal 2 6 8" xfId="10620" xr:uid="{00000000-0005-0000-0000-00009D290000}"/>
    <cellStyle name="Normal 2 6 9" xfId="10621" xr:uid="{00000000-0005-0000-0000-00009E290000}"/>
    <cellStyle name="Normal 2 6_3.1.2 DB Pension Detail" xfId="10622" xr:uid="{00000000-0005-0000-0000-00009F290000}"/>
    <cellStyle name="Normal 2 60" xfId="10623" xr:uid="{00000000-0005-0000-0000-0000A0290000}"/>
    <cellStyle name="Normal 2 60 2" xfId="10624" xr:uid="{00000000-0005-0000-0000-0000A1290000}"/>
    <cellStyle name="Normal 2 61" xfId="10625" xr:uid="{00000000-0005-0000-0000-0000A2290000}"/>
    <cellStyle name="Normal 2 62" xfId="10626" xr:uid="{00000000-0005-0000-0000-0000A3290000}"/>
    <cellStyle name="Normal 2 63" xfId="10627" xr:uid="{00000000-0005-0000-0000-0000A4290000}"/>
    <cellStyle name="Normal 2 64" xfId="10628" xr:uid="{00000000-0005-0000-0000-0000A5290000}"/>
    <cellStyle name="Normal 2 65" xfId="10629" xr:uid="{00000000-0005-0000-0000-0000A6290000}"/>
    <cellStyle name="Normal 2 66" xfId="10630" xr:uid="{00000000-0005-0000-0000-0000A7290000}"/>
    <cellStyle name="Normal 2 67" xfId="10631" xr:uid="{00000000-0005-0000-0000-0000A8290000}"/>
    <cellStyle name="Normal 2 68" xfId="10632" xr:uid="{00000000-0005-0000-0000-0000A9290000}"/>
    <cellStyle name="Normal 2 69" xfId="10633" xr:uid="{00000000-0005-0000-0000-0000AA290000}"/>
    <cellStyle name="Normal 2 7" xfId="10634" xr:uid="{00000000-0005-0000-0000-0000AB290000}"/>
    <cellStyle name="Normal 2 7 10" xfId="10635" xr:uid="{00000000-0005-0000-0000-0000AC290000}"/>
    <cellStyle name="Normal 2 7 11" xfId="10636" xr:uid="{00000000-0005-0000-0000-0000AD290000}"/>
    <cellStyle name="Normal 2 7 12" xfId="10637" xr:uid="{00000000-0005-0000-0000-0000AE290000}"/>
    <cellStyle name="Normal 2 7 13" xfId="10638" xr:uid="{00000000-0005-0000-0000-0000AF290000}"/>
    <cellStyle name="Normal 2 7 14" xfId="10639" xr:uid="{00000000-0005-0000-0000-0000B0290000}"/>
    <cellStyle name="Normal 2 7 15" xfId="10640" xr:uid="{00000000-0005-0000-0000-0000B1290000}"/>
    <cellStyle name="Normal 2 7 16" xfId="10641" xr:uid="{00000000-0005-0000-0000-0000B2290000}"/>
    <cellStyle name="Normal 2 7 17" xfId="10642" xr:uid="{00000000-0005-0000-0000-0000B3290000}"/>
    <cellStyle name="Normal 2 7 18" xfId="10643" xr:uid="{00000000-0005-0000-0000-0000B4290000}"/>
    <cellStyle name="Normal 2 7 19" xfId="10644" xr:uid="{00000000-0005-0000-0000-0000B5290000}"/>
    <cellStyle name="Normal 2 7 2" xfId="10645" xr:uid="{00000000-0005-0000-0000-0000B6290000}"/>
    <cellStyle name="Normal 2 7 2 10" xfId="10646" xr:uid="{00000000-0005-0000-0000-0000B7290000}"/>
    <cellStyle name="Normal 2 7 2 11" xfId="10647" xr:uid="{00000000-0005-0000-0000-0000B8290000}"/>
    <cellStyle name="Normal 2 7 2 12" xfId="10648" xr:uid="{00000000-0005-0000-0000-0000B9290000}"/>
    <cellStyle name="Normal 2 7 2 13" xfId="10649" xr:uid="{00000000-0005-0000-0000-0000BA290000}"/>
    <cellStyle name="Normal 2 7 2 14" xfId="10650" xr:uid="{00000000-0005-0000-0000-0000BB290000}"/>
    <cellStyle name="Normal 2 7 2 15" xfId="10651" xr:uid="{00000000-0005-0000-0000-0000BC290000}"/>
    <cellStyle name="Normal 2 7 2 16" xfId="10652" xr:uid="{00000000-0005-0000-0000-0000BD290000}"/>
    <cellStyle name="Normal 2 7 2 17" xfId="10653" xr:uid="{00000000-0005-0000-0000-0000BE290000}"/>
    <cellStyle name="Normal 2 7 2 2" xfId="10654" xr:uid="{00000000-0005-0000-0000-0000BF290000}"/>
    <cellStyle name="Normal 2 7 2 3" xfId="10655" xr:uid="{00000000-0005-0000-0000-0000C0290000}"/>
    <cellStyle name="Normal 2 7 2 4" xfId="10656" xr:uid="{00000000-0005-0000-0000-0000C1290000}"/>
    <cellStyle name="Normal 2 7 2 5" xfId="10657" xr:uid="{00000000-0005-0000-0000-0000C2290000}"/>
    <cellStyle name="Normal 2 7 2 6" xfId="10658" xr:uid="{00000000-0005-0000-0000-0000C3290000}"/>
    <cellStyle name="Normal 2 7 2 7" xfId="10659" xr:uid="{00000000-0005-0000-0000-0000C4290000}"/>
    <cellStyle name="Normal 2 7 2 8" xfId="10660" xr:uid="{00000000-0005-0000-0000-0000C5290000}"/>
    <cellStyle name="Normal 2 7 2 9" xfId="10661" xr:uid="{00000000-0005-0000-0000-0000C6290000}"/>
    <cellStyle name="Normal 2 7 20" xfId="10662" xr:uid="{00000000-0005-0000-0000-0000C7290000}"/>
    <cellStyle name="Normal 2 7 21" xfId="10663" xr:uid="{00000000-0005-0000-0000-0000C8290000}"/>
    <cellStyle name="Normal 2 7 22" xfId="10664" xr:uid="{00000000-0005-0000-0000-0000C9290000}"/>
    <cellStyle name="Normal 2 7 23" xfId="10665" xr:uid="{00000000-0005-0000-0000-0000CA290000}"/>
    <cellStyle name="Normal 2 7 24" xfId="10666" xr:uid="{00000000-0005-0000-0000-0000CB290000}"/>
    <cellStyle name="Normal 2 7 25" xfId="10667" xr:uid="{00000000-0005-0000-0000-0000CC290000}"/>
    <cellStyle name="Normal 2 7 26" xfId="10668" xr:uid="{00000000-0005-0000-0000-0000CD290000}"/>
    <cellStyle name="Normal 2 7 27" xfId="10669" xr:uid="{00000000-0005-0000-0000-0000CE290000}"/>
    <cellStyle name="Normal 2 7 28" xfId="10670" xr:uid="{00000000-0005-0000-0000-0000CF290000}"/>
    <cellStyle name="Normal 2 7 29" xfId="10671" xr:uid="{00000000-0005-0000-0000-0000D0290000}"/>
    <cellStyle name="Normal 2 7 3" xfId="10672" xr:uid="{00000000-0005-0000-0000-0000D1290000}"/>
    <cellStyle name="Normal 2 7 3 10" xfId="10673" xr:uid="{00000000-0005-0000-0000-0000D2290000}"/>
    <cellStyle name="Normal 2 7 3 11" xfId="10674" xr:uid="{00000000-0005-0000-0000-0000D3290000}"/>
    <cellStyle name="Normal 2 7 3 12" xfId="10675" xr:uid="{00000000-0005-0000-0000-0000D4290000}"/>
    <cellStyle name="Normal 2 7 3 13" xfId="10676" xr:uid="{00000000-0005-0000-0000-0000D5290000}"/>
    <cellStyle name="Normal 2 7 3 14" xfId="10677" xr:uid="{00000000-0005-0000-0000-0000D6290000}"/>
    <cellStyle name="Normal 2 7 3 15" xfId="10678" xr:uid="{00000000-0005-0000-0000-0000D7290000}"/>
    <cellStyle name="Normal 2 7 3 16" xfId="10679" xr:uid="{00000000-0005-0000-0000-0000D8290000}"/>
    <cellStyle name="Normal 2 7 3 17" xfId="10680" xr:uid="{00000000-0005-0000-0000-0000D9290000}"/>
    <cellStyle name="Normal 2 7 3 2" xfId="10681" xr:uid="{00000000-0005-0000-0000-0000DA290000}"/>
    <cellStyle name="Normal 2 7 3 3" xfId="10682" xr:uid="{00000000-0005-0000-0000-0000DB290000}"/>
    <cellStyle name="Normal 2 7 3 4" xfId="10683" xr:uid="{00000000-0005-0000-0000-0000DC290000}"/>
    <cellStyle name="Normal 2 7 3 5" xfId="10684" xr:uid="{00000000-0005-0000-0000-0000DD290000}"/>
    <cellStyle name="Normal 2 7 3 6" xfId="10685" xr:uid="{00000000-0005-0000-0000-0000DE290000}"/>
    <cellStyle name="Normal 2 7 3 7" xfId="10686" xr:uid="{00000000-0005-0000-0000-0000DF290000}"/>
    <cellStyle name="Normal 2 7 3 8" xfId="10687" xr:uid="{00000000-0005-0000-0000-0000E0290000}"/>
    <cellStyle name="Normal 2 7 3 9" xfId="10688" xr:uid="{00000000-0005-0000-0000-0000E1290000}"/>
    <cellStyle name="Normal 2 7 30" xfId="10689" xr:uid="{00000000-0005-0000-0000-0000E2290000}"/>
    <cellStyle name="Normal 2 7 31" xfId="10690" xr:uid="{00000000-0005-0000-0000-0000E3290000}"/>
    <cellStyle name="Normal 2 7 32" xfId="10691" xr:uid="{00000000-0005-0000-0000-0000E4290000}"/>
    <cellStyle name="Normal 2 7 33" xfId="10692" xr:uid="{00000000-0005-0000-0000-0000E5290000}"/>
    <cellStyle name="Normal 2 7 34" xfId="10693" xr:uid="{00000000-0005-0000-0000-0000E6290000}"/>
    <cellStyle name="Normal 2 7 35" xfId="10694" xr:uid="{00000000-0005-0000-0000-0000E7290000}"/>
    <cellStyle name="Normal 2 7 36" xfId="10695" xr:uid="{00000000-0005-0000-0000-0000E8290000}"/>
    <cellStyle name="Normal 2 7 37" xfId="10696" xr:uid="{00000000-0005-0000-0000-0000E9290000}"/>
    <cellStyle name="Normal 2 7 38" xfId="10697" xr:uid="{00000000-0005-0000-0000-0000EA290000}"/>
    <cellStyle name="Normal 2 7 39" xfId="10698" xr:uid="{00000000-0005-0000-0000-0000EB290000}"/>
    <cellStyle name="Normal 2 7 4" xfId="10699" xr:uid="{00000000-0005-0000-0000-0000EC290000}"/>
    <cellStyle name="Normal 2 7 40" xfId="10700" xr:uid="{00000000-0005-0000-0000-0000ED290000}"/>
    <cellStyle name="Normal 2 7 41" xfId="10701" xr:uid="{00000000-0005-0000-0000-0000EE290000}"/>
    <cellStyle name="Normal 2 7 42" xfId="10702" xr:uid="{00000000-0005-0000-0000-0000EF290000}"/>
    <cellStyle name="Normal 2 7 43" xfId="10703" xr:uid="{00000000-0005-0000-0000-0000F0290000}"/>
    <cellStyle name="Normal 2 7 44" xfId="10704" xr:uid="{00000000-0005-0000-0000-0000F1290000}"/>
    <cellStyle name="Normal 2 7 45" xfId="10705" xr:uid="{00000000-0005-0000-0000-0000F2290000}"/>
    <cellStyle name="Normal 2 7 46" xfId="10706" xr:uid="{00000000-0005-0000-0000-0000F3290000}"/>
    <cellStyle name="Normal 2 7 47" xfId="10707" xr:uid="{00000000-0005-0000-0000-0000F4290000}"/>
    <cellStyle name="Normal 2 7 48" xfId="10708" xr:uid="{00000000-0005-0000-0000-0000F5290000}"/>
    <cellStyle name="Normal 2 7 49" xfId="10709" xr:uid="{00000000-0005-0000-0000-0000F6290000}"/>
    <cellStyle name="Normal 2 7 5" xfId="10710" xr:uid="{00000000-0005-0000-0000-0000F7290000}"/>
    <cellStyle name="Normal 2 7 50" xfId="10711" xr:uid="{00000000-0005-0000-0000-0000F8290000}"/>
    <cellStyle name="Normal 2 7 51" xfId="10712" xr:uid="{00000000-0005-0000-0000-0000F9290000}"/>
    <cellStyle name="Normal 2 7 52" xfId="10713" xr:uid="{00000000-0005-0000-0000-0000FA290000}"/>
    <cellStyle name="Normal 2 7 53" xfId="10714" xr:uid="{00000000-0005-0000-0000-0000FB290000}"/>
    <cellStyle name="Normal 2 7 54" xfId="10715" xr:uid="{00000000-0005-0000-0000-0000FC290000}"/>
    <cellStyle name="Normal 2 7 55" xfId="10716" xr:uid="{00000000-0005-0000-0000-0000FD290000}"/>
    <cellStyle name="Normal 2 7 56" xfId="10717" xr:uid="{00000000-0005-0000-0000-0000FE290000}"/>
    <cellStyle name="Normal 2 7 57" xfId="10718" xr:uid="{00000000-0005-0000-0000-0000FF290000}"/>
    <cellStyle name="Normal 2 7 58" xfId="10719" xr:uid="{00000000-0005-0000-0000-0000002A0000}"/>
    <cellStyle name="Normal 2 7 59" xfId="10720" xr:uid="{00000000-0005-0000-0000-0000012A0000}"/>
    <cellStyle name="Normal 2 7 6" xfId="10721" xr:uid="{00000000-0005-0000-0000-0000022A0000}"/>
    <cellStyle name="Normal 2 7 60" xfId="10722" xr:uid="{00000000-0005-0000-0000-0000032A0000}"/>
    <cellStyle name="Normal 2 7 61" xfId="10723" xr:uid="{00000000-0005-0000-0000-0000042A0000}"/>
    <cellStyle name="Normal 2 7 62" xfId="10724" xr:uid="{00000000-0005-0000-0000-0000052A0000}"/>
    <cellStyle name="Normal 2 7 63" xfId="10725" xr:uid="{00000000-0005-0000-0000-0000062A0000}"/>
    <cellStyle name="Normal 2 7 64" xfId="10726" xr:uid="{00000000-0005-0000-0000-0000072A0000}"/>
    <cellStyle name="Normal 2 7 65" xfId="10727" xr:uid="{00000000-0005-0000-0000-0000082A0000}"/>
    <cellStyle name="Normal 2 7 66" xfId="10728" xr:uid="{00000000-0005-0000-0000-0000092A0000}"/>
    <cellStyle name="Normal 2 7 67" xfId="10729" xr:uid="{00000000-0005-0000-0000-00000A2A0000}"/>
    <cellStyle name="Normal 2 7 68" xfId="10730" xr:uid="{00000000-0005-0000-0000-00000B2A0000}"/>
    <cellStyle name="Normal 2 7 69" xfId="10731" xr:uid="{00000000-0005-0000-0000-00000C2A0000}"/>
    <cellStyle name="Normal 2 7 7" xfId="10732" xr:uid="{00000000-0005-0000-0000-00000D2A0000}"/>
    <cellStyle name="Normal 2 7 70" xfId="10733" xr:uid="{00000000-0005-0000-0000-00000E2A0000}"/>
    <cellStyle name="Normal 2 7 71" xfId="10734" xr:uid="{00000000-0005-0000-0000-00000F2A0000}"/>
    <cellStyle name="Normal 2 7 72" xfId="10735" xr:uid="{00000000-0005-0000-0000-0000102A0000}"/>
    <cellStyle name="Normal 2 7 73" xfId="10736" xr:uid="{00000000-0005-0000-0000-0000112A0000}"/>
    <cellStyle name="Normal 2 7 74" xfId="10737" xr:uid="{00000000-0005-0000-0000-0000122A0000}"/>
    <cellStyle name="Normal 2 7 75" xfId="10738" xr:uid="{00000000-0005-0000-0000-0000132A0000}"/>
    <cellStyle name="Normal 2 7 76" xfId="10739" xr:uid="{00000000-0005-0000-0000-0000142A0000}"/>
    <cellStyle name="Normal 2 7 77" xfId="10740" xr:uid="{00000000-0005-0000-0000-0000152A0000}"/>
    <cellStyle name="Normal 2 7 78" xfId="10741" xr:uid="{00000000-0005-0000-0000-0000162A0000}"/>
    <cellStyle name="Normal 2 7 8" xfId="10742" xr:uid="{00000000-0005-0000-0000-0000172A0000}"/>
    <cellStyle name="Normal 2 7 9" xfId="10743" xr:uid="{00000000-0005-0000-0000-0000182A0000}"/>
    <cellStyle name="Normal 2 70" xfId="10744" xr:uid="{00000000-0005-0000-0000-0000192A0000}"/>
    <cellStyle name="Normal 2 71" xfId="10745" xr:uid="{00000000-0005-0000-0000-00001A2A0000}"/>
    <cellStyle name="Normal 2 72" xfId="10746" xr:uid="{00000000-0005-0000-0000-00001B2A0000}"/>
    <cellStyle name="Normal 2 73" xfId="10747" xr:uid="{00000000-0005-0000-0000-00001C2A0000}"/>
    <cellStyle name="Normal 2 74" xfId="10748" xr:uid="{00000000-0005-0000-0000-00001D2A0000}"/>
    <cellStyle name="Normal 2 75" xfId="10749" xr:uid="{00000000-0005-0000-0000-00001E2A0000}"/>
    <cellStyle name="Normal 2 76" xfId="10750" xr:uid="{00000000-0005-0000-0000-00001F2A0000}"/>
    <cellStyle name="Normal 2 77" xfId="10751" xr:uid="{00000000-0005-0000-0000-0000202A0000}"/>
    <cellStyle name="Normal 2 78" xfId="10752" xr:uid="{00000000-0005-0000-0000-0000212A0000}"/>
    <cellStyle name="Normal 2 79" xfId="10753" xr:uid="{00000000-0005-0000-0000-0000222A0000}"/>
    <cellStyle name="Normal 2 8" xfId="10754" xr:uid="{00000000-0005-0000-0000-0000232A0000}"/>
    <cellStyle name="Normal 2 8 10" xfId="10755" xr:uid="{00000000-0005-0000-0000-0000242A0000}"/>
    <cellStyle name="Normal 2 8 11" xfId="10756" xr:uid="{00000000-0005-0000-0000-0000252A0000}"/>
    <cellStyle name="Normal 2 8 12" xfId="10757" xr:uid="{00000000-0005-0000-0000-0000262A0000}"/>
    <cellStyle name="Normal 2 8 13" xfId="10758" xr:uid="{00000000-0005-0000-0000-0000272A0000}"/>
    <cellStyle name="Normal 2 8 14" xfId="10759" xr:uid="{00000000-0005-0000-0000-0000282A0000}"/>
    <cellStyle name="Normal 2 8 15" xfId="10760" xr:uid="{00000000-0005-0000-0000-0000292A0000}"/>
    <cellStyle name="Normal 2 8 16" xfId="10761" xr:uid="{00000000-0005-0000-0000-00002A2A0000}"/>
    <cellStyle name="Normal 2 8 17" xfId="10762" xr:uid="{00000000-0005-0000-0000-00002B2A0000}"/>
    <cellStyle name="Normal 2 8 18" xfId="10763" xr:uid="{00000000-0005-0000-0000-00002C2A0000}"/>
    <cellStyle name="Normal 2 8 19" xfId="10764" xr:uid="{00000000-0005-0000-0000-00002D2A0000}"/>
    <cellStyle name="Normal 2 8 2" xfId="10765" xr:uid="{00000000-0005-0000-0000-00002E2A0000}"/>
    <cellStyle name="Normal 2 8 2 10" xfId="10766" xr:uid="{00000000-0005-0000-0000-00002F2A0000}"/>
    <cellStyle name="Normal 2 8 2 11" xfId="10767" xr:uid="{00000000-0005-0000-0000-0000302A0000}"/>
    <cellStyle name="Normal 2 8 2 12" xfId="10768" xr:uid="{00000000-0005-0000-0000-0000312A0000}"/>
    <cellStyle name="Normal 2 8 2 13" xfId="10769" xr:uid="{00000000-0005-0000-0000-0000322A0000}"/>
    <cellStyle name="Normal 2 8 2 14" xfId="10770" xr:uid="{00000000-0005-0000-0000-0000332A0000}"/>
    <cellStyle name="Normal 2 8 2 15" xfId="10771" xr:uid="{00000000-0005-0000-0000-0000342A0000}"/>
    <cellStyle name="Normal 2 8 2 16" xfId="10772" xr:uid="{00000000-0005-0000-0000-0000352A0000}"/>
    <cellStyle name="Normal 2 8 2 17" xfId="10773" xr:uid="{00000000-0005-0000-0000-0000362A0000}"/>
    <cellStyle name="Normal 2 8 2 2" xfId="10774" xr:uid="{00000000-0005-0000-0000-0000372A0000}"/>
    <cellStyle name="Normal 2 8 2 3" xfId="10775" xr:uid="{00000000-0005-0000-0000-0000382A0000}"/>
    <cellStyle name="Normal 2 8 2 4" xfId="10776" xr:uid="{00000000-0005-0000-0000-0000392A0000}"/>
    <cellStyle name="Normal 2 8 2 5" xfId="10777" xr:uid="{00000000-0005-0000-0000-00003A2A0000}"/>
    <cellStyle name="Normal 2 8 2 6" xfId="10778" xr:uid="{00000000-0005-0000-0000-00003B2A0000}"/>
    <cellStyle name="Normal 2 8 2 7" xfId="10779" xr:uid="{00000000-0005-0000-0000-00003C2A0000}"/>
    <cellStyle name="Normal 2 8 2 8" xfId="10780" xr:uid="{00000000-0005-0000-0000-00003D2A0000}"/>
    <cellStyle name="Normal 2 8 2 9" xfId="10781" xr:uid="{00000000-0005-0000-0000-00003E2A0000}"/>
    <cellStyle name="Normal 2 8 20" xfId="10782" xr:uid="{00000000-0005-0000-0000-00003F2A0000}"/>
    <cellStyle name="Normal 2 8 21" xfId="10783" xr:uid="{00000000-0005-0000-0000-0000402A0000}"/>
    <cellStyle name="Normal 2 8 22" xfId="10784" xr:uid="{00000000-0005-0000-0000-0000412A0000}"/>
    <cellStyle name="Normal 2 8 23" xfId="10785" xr:uid="{00000000-0005-0000-0000-0000422A0000}"/>
    <cellStyle name="Normal 2 8 24" xfId="10786" xr:uid="{00000000-0005-0000-0000-0000432A0000}"/>
    <cellStyle name="Normal 2 8 25" xfId="10787" xr:uid="{00000000-0005-0000-0000-0000442A0000}"/>
    <cellStyle name="Normal 2 8 26" xfId="10788" xr:uid="{00000000-0005-0000-0000-0000452A0000}"/>
    <cellStyle name="Normal 2 8 27" xfId="10789" xr:uid="{00000000-0005-0000-0000-0000462A0000}"/>
    <cellStyle name="Normal 2 8 28" xfId="10790" xr:uid="{00000000-0005-0000-0000-0000472A0000}"/>
    <cellStyle name="Normal 2 8 29" xfId="10791" xr:uid="{00000000-0005-0000-0000-0000482A0000}"/>
    <cellStyle name="Normal 2 8 3" xfId="10792" xr:uid="{00000000-0005-0000-0000-0000492A0000}"/>
    <cellStyle name="Normal 2 8 3 10" xfId="10793" xr:uid="{00000000-0005-0000-0000-00004A2A0000}"/>
    <cellStyle name="Normal 2 8 3 11" xfId="10794" xr:uid="{00000000-0005-0000-0000-00004B2A0000}"/>
    <cellStyle name="Normal 2 8 3 12" xfId="10795" xr:uid="{00000000-0005-0000-0000-00004C2A0000}"/>
    <cellStyle name="Normal 2 8 3 13" xfId="10796" xr:uid="{00000000-0005-0000-0000-00004D2A0000}"/>
    <cellStyle name="Normal 2 8 3 14" xfId="10797" xr:uid="{00000000-0005-0000-0000-00004E2A0000}"/>
    <cellStyle name="Normal 2 8 3 15" xfId="10798" xr:uid="{00000000-0005-0000-0000-00004F2A0000}"/>
    <cellStyle name="Normal 2 8 3 16" xfId="10799" xr:uid="{00000000-0005-0000-0000-0000502A0000}"/>
    <cellStyle name="Normal 2 8 3 17" xfId="10800" xr:uid="{00000000-0005-0000-0000-0000512A0000}"/>
    <cellStyle name="Normal 2 8 3 2" xfId="10801" xr:uid="{00000000-0005-0000-0000-0000522A0000}"/>
    <cellStyle name="Normal 2 8 3 3" xfId="10802" xr:uid="{00000000-0005-0000-0000-0000532A0000}"/>
    <cellStyle name="Normal 2 8 3 4" xfId="10803" xr:uid="{00000000-0005-0000-0000-0000542A0000}"/>
    <cellStyle name="Normal 2 8 3 5" xfId="10804" xr:uid="{00000000-0005-0000-0000-0000552A0000}"/>
    <cellStyle name="Normal 2 8 3 6" xfId="10805" xr:uid="{00000000-0005-0000-0000-0000562A0000}"/>
    <cellStyle name="Normal 2 8 3 7" xfId="10806" xr:uid="{00000000-0005-0000-0000-0000572A0000}"/>
    <cellStyle name="Normal 2 8 3 8" xfId="10807" xr:uid="{00000000-0005-0000-0000-0000582A0000}"/>
    <cellStyle name="Normal 2 8 3 9" xfId="10808" xr:uid="{00000000-0005-0000-0000-0000592A0000}"/>
    <cellStyle name="Normal 2 8 30" xfId="10809" xr:uid="{00000000-0005-0000-0000-00005A2A0000}"/>
    <cellStyle name="Normal 2 8 31" xfId="10810" xr:uid="{00000000-0005-0000-0000-00005B2A0000}"/>
    <cellStyle name="Normal 2 8 32" xfId="10811" xr:uid="{00000000-0005-0000-0000-00005C2A0000}"/>
    <cellStyle name="Normal 2 8 33" xfId="10812" xr:uid="{00000000-0005-0000-0000-00005D2A0000}"/>
    <cellStyle name="Normal 2 8 34" xfId="10813" xr:uid="{00000000-0005-0000-0000-00005E2A0000}"/>
    <cellStyle name="Normal 2 8 35" xfId="10814" xr:uid="{00000000-0005-0000-0000-00005F2A0000}"/>
    <cellStyle name="Normal 2 8 36" xfId="10815" xr:uid="{00000000-0005-0000-0000-0000602A0000}"/>
    <cellStyle name="Normal 2 8 37" xfId="10816" xr:uid="{00000000-0005-0000-0000-0000612A0000}"/>
    <cellStyle name="Normal 2 8 38" xfId="10817" xr:uid="{00000000-0005-0000-0000-0000622A0000}"/>
    <cellStyle name="Normal 2 8 39" xfId="10818" xr:uid="{00000000-0005-0000-0000-0000632A0000}"/>
    <cellStyle name="Normal 2 8 4" xfId="10819" xr:uid="{00000000-0005-0000-0000-0000642A0000}"/>
    <cellStyle name="Normal 2 8 40" xfId="10820" xr:uid="{00000000-0005-0000-0000-0000652A0000}"/>
    <cellStyle name="Normal 2 8 41" xfId="10821" xr:uid="{00000000-0005-0000-0000-0000662A0000}"/>
    <cellStyle name="Normal 2 8 42" xfId="10822" xr:uid="{00000000-0005-0000-0000-0000672A0000}"/>
    <cellStyle name="Normal 2 8 43" xfId="10823" xr:uid="{00000000-0005-0000-0000-0000682A0000}"/>
    <cellStyle name="Normal 2 8 44" xfId="10824" xr:uid="{00000000-0005-0000-0000-0000692A0000}"/>
    <cellStyle name="Normal 2 8 45" xfId="10825" xr:uid="{00000000-0005-0000-0000-00006A2A0000}"/>
    <cellStyle name="Normal 2 8 46" xfId="10826" xr:uid="{00000000-0005-0000-0000-00006B2A0000}"/>
    <cellStyle name="Normal 2 8 47" xfId="10827" xr:uid="{00000000-0005-0000-0000-00006C2A0000}"/>
    <cellStyle name="Normal 2 8 48" xfId="10828" xr:uid="{00000000-0005-0000-0000-00006D2A0000}"/>
    <cellStyle name="Normal 2 8 49" xfId="10829" xr:uid="{00000000-0005-0000-0000-00006E2A0000}"/>
    <cellStyle name="Normal 2 8 5" xfId="10830" xr:uid="{00000000-0005-0000-0000-00006F2A0000}"/>
    <cellStyle name="Normal 2 8 50" xfId="10831" xr:uid="{00000000-0005-0000-0000-0000702A0000}"/>
    <cellStyle name="Normal 2 8 51" xfId="10832" xr:uid="{00000000-0005-0000-0000-0000712A0000}"/>
    <cellStyle name="Normal 2 8 52" xfId="10833" xr:uid="{00000000-0005-0000-0000-0000722A0000}"/>
    <cellStyle name="Normal 2 8 53" xfId="10834" xr:uid="{00000000-0005-0000-0000-0000732A0000}"/>
    <cellStyle name="Normal 2 8 54" xfId="10835" xr:uid="{00000000-0005-0000-0000-0000742A0000}"/>
    <cellStyle name="Normal 2 8 55" xfId="10836" xr:uid="{00000000-0005-0000-0000-0000752A0000}"/>
    <cellStyle name="Normal 2 8 56" xfId="10837" xr:uid="{00000000-0005-0000-0000-0000762A0000}"/>
    <cellStyle name="Normal 2 8 57" xfId="10838" xr:uid="{00000000-0005-0000-0000-0000772A0000}"/>
    <cellStyle name="Normal 2 8 58" xfId="10839" xr:uid="{00000000-0005-0000-0000-0000782A0000}"/>
    <cellStyle name="Normal 2 8 59" xfId="10840" xr:uid="{00000000-0005-0000-0000-0000792A0000}"/>
    <cellStyle name="Normal 2 8 6" xfId="10841" xr:uid="{00000000-0005-0000-0000-00007A2A0000}"/>
    <cellStyle name="Normal 2 8 60" xfId="10842" xr:uid="{00000000-0005-0000-0000-00007B2A0000}"/>
    <cellStyle name="Normal 2 8 61" xfId="10843" xr:uid="{00000000-0005-0000-0000-00007C2A0000}"/>
    <cellStyle name="Normal 2 8 62" xfId="10844" xr:uid="{00000000-0005-0000-0000-00007D2A0000}"/>
    <cellStyle name="Normal 2 8 63" xfId="10845" xr:uid="{00000000-0005-0000-0000-00007E2A0000}"/>
    <cellStyle name="Normal 2 8 64" xfId="10846" xr:uid="{00000000-0005-0000-0000-00007F2A0000}"/>
    <cellStyle name="Normal 2 8 65" xfId="10847" xr:uid="{00000000-0005-0000-0000-0000802A0000}"/>
    <cellStyle name="Normal 2 8 66" xfId="10848" xr:uid="{00000000-0005-0000-0000-0000812A0000}"/>
    <cellStyle name="Normal 2 8 67" xfId="10849" xr:uid="{00000000-0005-0000-0000-0000822A0000}"/>
    <cellStyle name="Normal 2 8 68" xfId="10850" xr:uid="{00000000-0005-0000-0000-0000832A0000}"/>
    <cellStyle name="Normal 2 8 69" xfId="10851" xr:uid="{00000000-0005-0000-0000-0000842A0000}"/>
    <cellStyle name="Normal 2 8 7" xfId="10852" xr:uid="{00000000-0005-0000-0000-0000852A0000}"/>
    <cellStyle name="Normal 2 8 70" xfId="10853" xr:uid="{00000000-0005-0000-0000-0000862A0000}"/>
    <cellStyle name="Normal 2 8 71" xfId="10854" xr:uid="{00000000-0005-0000-0000-0000872A0000}"/>
    <cellStyle name="Normal 2 8 72" xfId="10855" xr:uid="{00000000-0005-0000-0000-0000882A0000}"/>
    <cellStyle name="Normal 2 8 73" xfId="10856" xr:uid="{00000000-0005-0000-0000-0000892A0000}"/>
    <cellStyle name="Normal 2 8 74" xfId="10857" xr:uid="{00000000-0005-0000-0000-00008A2A0000}"/>
    <cellStyle name="Normal 2 8 75" xfId="10858" xr:uid="{00000000-0005-0000-0000-00008B2A0000}"/>
    <cellStyle name="Normal 2 8 76" xfId="10859" xr:uid="{00000000-0005-0000-0000-00008C2A0000}"/>
    <cellStyle name="Normal 2 8 77" xfId="10860" xr:uid="{00000000-0005-0000-0000-00008D2A0000}"/>
    <cellStyle name="Normal 2 8 78" xfId="10861" xr:uid="{00000000-0005-0000-0000-00008E2A0000}"/>
    <cellStyle name="Normal 2 8 8" xfId="10862" xr:uid="{00000000-0005-0000-0000-00008F2A0000}"/>
    <cellStyle name="Normal 2 8 9" xfId="10863" xr:uid="{00000000-0005-0000-0000-0000902A0000}"/>
    <cellStyle name="Normal 2 80" xfId="10864" xr:uid="{00000000-0005-0000-0000-0000912A0000}"/>
    <cellStyle name="Normal 2 81" xfId="10865" xr:uid="{00000000-0005-0000-0000-0000922A0000}"/>
    <cellStyle name="Normal 2 82" xfId="10866" xr:uid="{00000000-0005-0000-0000-0000932A0000}"/>
    <cellStyle name="Normal 2 83" xfId="10867" xr:uid="{00000000-0005-0000-0000-0000942A0000}"/>
    <cellStyle name="Normal 2 84" xfId="10868" xr:uid="{00000000-0005-0000-0000-0000952A0000}"/>
    <cellStyle name="Normal 2 85" xfId="10869" xr:uid="{00000000-0005-0000-0000-0000962A0000}"/>
    <cellStyle name="Normal 2 86" xfId="10870" xr:uid="{00000000-0005-0000-0000-0000972A0000}"/>
    <cellStyle name="Normal 2 87" xfId="10871" xr:uid="{00000000-0005-0000-0000-0000982A0000}"/>
    <cellStyle name="Normal 2 88" xfId="10872" xr:uid="{00000000-0005-0000-0000-0000992A0000}"/>
    <cellStyle name="Normal 2 89" xfId="10873" xr:uid="{00000000-0005-0000-0000-00009A2A0000}"/>
    <cellStyle name="Normal 2 9" xfId="10874" xr:uid="{00000000-0005-0000-0000-00009B2A0000}"/>
    <cellStyle name="Normal 2 9 10" xfId="10875" xr:uid="{00000000-0005-0000-0000-00009C2A0000}"/>
    <cellStyle name="Normal 2 9 11" xfId="10876" xr:uid="{00000000-0005-0000-0000-00009D2A0000}"/>
    <cellStyle name="Normal 2 9 12" xfId="10877" xr:uid="{00000000-0005-0000-0000-00009E2A0000}"/>
    <cellStyle name="Normal 2 9 13" xfId="10878" xr:uid="{00000000-0005-0000-0000-00009F2A0000}"/>
    <cellStyle name="Normal 2 9 14" xfId="10879" xr:uid="{00000000-0005-0000-0000-0000A02A0000}"/>
    <cellStyle name="Normal 2 9 15" xfId="10880" xr:uid="{00000000-0005-0000-0000-0000A12A0000}"/>
    <cellStyle name="Normal 2 9 16" xfId="10881" xr:uid="{00000000-0005-0000-0000-0000A22A0000}"/>
    <cellStyle name="Normal 2 9 17" xfId="10882" xr:uid="{00000000-0005-0000-0000-0000A32A0000}"/>
    <cellStyle name="Normal 2 9 18" xfId="10883" xr:uid="{00000000-0005-0000-0000-0000A42A0000}"/>
    <cellStyle name="Normal 2 9 19" xfId="10884" xr:uid="{00000000-0005-0000-0000-0000A52A0000}"/>
    <cellStyle name="Normal 2 9 2" xfId="10885" xr:uid="{00000000-0005-0000-0000-0000A62A0000}"/>
    <cellStyle name="Normal 2 9 2 10" xfId="10886" xr:uid="{00000000-0005-0000-0000-0000A72A0000}"/>
    <cellStyle name="Normal 2 9 2 11" xfId="10887" xr:uid="{00000000-0005-0000-0000-0000A82A0000}"/>
    <cellStyle name="Normal 2 9 2 12" xfId="10888" xr:uid="{00000000-0005-0000-0000-0000A92A0000}"/>
    <cellStyle name="Normal 2 9 2 13" xfId="10889" xr:uid="{00000000-0005-0000-0000-0000AA2A0000}"/>
    <cellStyle name="Normal 2 9 2 14" xfId="10890" xr:uid="{00000000-0005-0000-0000-0000AB2A0000}"/>
    <cellStyle name="Normal 2 9 2 15" xfId="10891" xr:uid="{00000000-0005-0000-0000-0000AC2A0000}"/>
    <cellStyle name="Normal 2 9 2 16" xfId="10892" xr:uid="{00000000-0005-0000-0000-0000AD2A0000}"/>
    <cellStyle name="Normal 2 9 2 17" xfId="10893" xr:uid="{00000000-0005-0000-0000-0000AE2A0000}"/>
    <cellStyle name="Normal 2 9 2 2" xfId="10894" xr:uid="{00000000-0005-0000-0000-0000AF2A0000}"/>
    <cellStyle name="Normal 2 9 2 3" xfId="10895" xr:uid="{00000000-0005-0000-0000-0000B02A0000}"/>
    <cellStyle name="Normal 2 9 2 4" xfId="10896" xr:uid="{00000000-0005-0000-0000-0000B12A0000}"/>
    <cellStyle name="Normal 2 9 2 5" xfId="10897" xr:uid="{00000000-0005-0000-0000-0000B22A0000}"/>
    <cellStyle name="Normal 2 9 2 6" xfId="10898" xr:uid="{00000000-0005-0000-0000-0000B32A0000}"/>
    <cellStyle name="Normal 2 9 2 7" xfId="10899" xr:uid="{00000000-0005-0000-0000-0000B42A0000}"/>
    <cellStyle name="Normal 2 9 2 8" xfId="10900" xr:uid="{00000000-0005-0000-0000-0000B52A0000}"/>
    <cellStyle name="Normal 2 9 2 9" xfId="10901" xr:uid="{00000000-0005-0000-0000-0000B62A0000}"/>
    <cellStyle name="Normal 2 9 20" xfId="10902" xr:uid="{00000000-0005-0000-0000-0000B72A0000}"/>
    <cellStyle name="Normal 2 9 21" xfId="10903" xr:uid="{00000000-0005-0000-0000-0000B82A0000}"/>
    <cellStyle name="Normal 2 9 22" xfId="10904" xr:uid="{00000000-0005-0000-0000-0000B92A0000}"/>
    <cellStyle name="Normal 2 9 23" xfId="10905" xr:uid="{00000000-0005-0000-0000-0000BA2A0000}"/>
    <cellStyle name="Normal 2 9 24" xfId="10906" xr:uid="{00000000-0005-0000-0000-0000BB2A0000}"/>
    <cellStyle name="Normal 2 9 25" xfId="10907" xr:uid="{00000000-0005-0000-0000-0000BC2A0000}"/>
    <cellStyle name="Normal 2 9 26" xfId="10908" xr:uid="{00000000-0005-0000-0000-0000BD2A0000}"/>
    <cellStyle name="Normal 2 9 27" xfId="10909" xr:uid="{00000000-0005-0000-0000-0000BE2A0000}"/>
    <cellStyle name="Normal 2 9 28" xfId="10910" xr:uid="{00000000-0005-0000-0000-0000BF2A0000}"/>
    <cellStyle name="Normal 2 9 29" xfId="10911" xr:uid="{00000000-0005-0000-0000-0000C02A0000}"/>
    <cellStyle name="Normal 2 9 3" xfId="10912" xr:uid="{00000000-0005-0000-0000-0000C12A0000}"/>
    <cellStyle name="Normal 2 9 3 10" xfId="10913" xr:uid="{00000000-0005-0000-0000-0000C22A0000}"/>
    <cellStyle name="Normal 2 9 3 11" xfId="10914" xr:uid="{00000000-0005-0000-0000-0000C32A0000}"/>
    <cellStyle name="Normal 2 9 3 12" xfId="10915" xr:uid="{00000000-0005-0000-0000-0000C42A0000}"/>
    <cellStyle name="Normal 2 9 3 13" xfId="10916" xr:uid="{00000000-0005-0000-0000-0000C52A0000}"/>
    <cellStyle name="Normal 2 9 3 14" xfId="10917" xr:uid="{00000000-0005-0000-0000-0000C62A0000}"/>
    <cellStyle name="Normal 2 9 3 15" xfId="10918" xr:uid="{00000000-0005-0000-0000-0000C72A0000}"/>
    <cellStyle name="Normal 2 9 3 16" xfId="10919" xr:uid="{00000000-0005-0000-0000-0000C82A0000}"/>
    <cellStyle name="Normal 2 9 3 17" xfId="10920" xr:uid="{00000000-0005-0000-0000-0000C92A0000}"/>
    <cellStyle name="Normal 2 9 3 2" xfId="10921" xr:uid="{00000000-0005-0000-0000-0000CA2A0000}"/>
    <cellStyle name="Normal 2 9 3 3" xfId="10922" xr:uid="{00000000-0005-0000-0000-0000CB2A0000}"/>
    <cellStyle name="Normal 2 9 3 4" xfId="10923" xr:uid="{00000000-0005-0000-0000-0000CC2A0000}"/>
    <cellStyle name="Normal 2 9 3 5" xfId="10924" xr:uid="{00000000-0005-0000-0000-0000CD2A0000}"/>
    <cellStyle name="Normal 2 9 3 6" xfId="10925" xr:uid="{00000000-0005-0000-0000-0000CE2A0000}"/>
    <cellStyle name="Normal 2 9 3 7" xfId="10926" xr:uid="{00000000-0005-0000-0000-0000CF2A0000}"/>
    <cellStyle name="Normal 2 9 3 8" xfId="10927" xr:uid="{00000000-0005-0000-0000-0000D02A0000}"/>
    <cellStyle name="Normal 2 9 3 9" xfId="10928" xr:uid="{00000000-0005-0000-0000-0000D12A0000}"/>
    <cellStyle name="Normal 2 9 30" xfId="10929" xr:uid="{00000000-0005-0000-0000-0000D22A0000}"/>
    <cellStyle name="Normal 2 9 31" xfId="10930" xr:uid="{00000000-0005-0000-0000-0000D32A0000}"/>
    <cellStyle name="Normal 2 9 32" xfId="10931" xr:uid="{00000000-0005-0000-0000-0000D42A0000}"/>
    <cellStyle name="Normal 2 9 33" xfId="10932" xr:uid="{00000000-0005-0000-0000-0000D52A0000}"/>
    <cellStyle name="Normal 2 9 34" xfId="10933" xr:uid="{00000000-0005-0000-0000-0000D62A0000}"/>
    <cellStyle name="Normal 2 9 35" xfId="10934" xr:uid="{00000000-0005-0000-0000-0000D72A0000}"/>
    <cellStyle name="Normal 2 9 36" xfId="10935" xr:uid="{00000000-0005-0000-0000-0000D82A0000}"/>
    <cellStyle name="Normal 2 9 37" xfId="10936" xr:uid="{00000000-0005-0000-0000-0000D92A0000}"/>
    <cellStyle name="Normal 2 9 38" xfId="10937" xr:uid="{00000000-0005-0000-0000-0000DA2A0000}"/>
    <cellStyle name="Normal 2 9 39" xfId="10938" xr:uid="{00000000-0005-0000-0000-0000DB2A0000}"/>
    <cellStyle name="Normal 2 9 4" xfId="10939" xr:uid="{00000000-0005-0000-0000-0000DC2A0000}"/>
    <cellStyle name="Normal 2 9 40" xfId="10940" xr:uid="{00000000-0005-0000-0000-0000DD2A0000}"/>
    <cellStyle name="Normal 2 9 41" xfId="10941" xr:uid="{00000000-0005-0000-0000-0000DE2A0000}"/>
    <cellStyle name="Normal 2 9 42" xfId="10942" xr:uid="{00000000-0005-0000-0000-0000DF2A0000}"/>
    <cellStyle name="Normal 2 9 43" xfId="10943" xr:uid="{00000000-0005-0000-0000-0000E02A0000}"/>
    <cellStyle name="Normal 2 9 44" xfId="10944" xr:uid="{00000000-0005-0000-0000-0000E12A0000}"/>
    <cellStyle name="Normal 2 9 45" xfId="10945" xr:uid="{00000000-0005-0000-0000-0000E22A0000}"/>
    <cellStyle name="Normal 2 9 46" xfId="10946" xr:uid="{00000000-0005-0000-0000-0000E32A0000}"/>
    <cellStyle name="Normal 2 9 47" xfId="10947" xr:uid="{00000000-0005-0000-0000-0000E42A0000}"/>
    <cellStyle name="Normal 2 9 48" xfId="10948" xr:uid="{00000000-0005-0000-0000-0000E52A0000}"/>
    <cellStyle name="Normal 2 9 49" xfId="10949" xr:uid="{00000000-0005-0000-0000-0000E62A0000}"/>
    <cellStyle name="Normal 2 9 5" xfId="10950" xr:uid="{00000000-0005-0000-0000-0000E72A0000}"/>
    <cellStyle name="Normal 2 9 50" xfId="10951" xr:uid="{00000000-0005-0000-0000-0000E82A0000}"/>
    <cellStyle name="Normal 2 9 51" xfId="10952" xr:uid="{00000000-0005-0000-0000-0000E92A0000}"/>
    <cellStyle name="Normal 2 9 52" xfId="10953" xr:uid="{00000000-0005-0000-0000-0000EA2A0000}"/>
    <cellStyle name="Normal 2 9 53" xfId="10954" xr:uid="{00000000-0005-0000-0000-0000EB2A0000}"/>
    <cellStyle name="Normal 2 9 54" xfId="10955" xr:uid="{00000000-0005-0000-0000-0000EC2A0000}"/>
    <cellStyle name="Normal 2 9 55" xfId="10956" xr:uid="{00000000-0005-0000-0000-0000ED2A0000}"/>
    <cellStyle name="Normal 2 9 56" xfId="10957" xr:uid="{00000000-0005-0000-0000-0000EE2A0000}"/>
    <cellStyle name="Normal 2 9 57" xfId="10958" xr:uid="{00000000-0005-0000-0000-0000EF2A0000}"/>
    <cellStyle name="Normal 2 9 58" xfId="10959" xr:uid="{00000000-0005-0000-0000-0000F02A0000}"/>
    <cellStyle name="Normal 2 9 59" xfId="10960" xr:uid="{00000000-0005-0000-0000-0000F12A0000}"/>
    <cellStyle name="Normal 2 9 6" xfId="10961" xr:uid="{00000000-0005-0000-0000-0000F22A0000}"/>
    <cellStyle name="Normal 2 9 60" xfId="10962" xr:uid="{00000000-0005-0000-0000-0000F32A0000}"/>
    <cellStyle name="Normal 2 9 61" xfId="10963" xr:uid="{00000000-0005-0000-0000-0000F42A0000}"/>
    <cellStyle name="Normal 2 9 62" xfId="10964" xr:uid="{00000000-0005-0000-0000-0000F52A0000}"/>
    <cellStyle name="Normal 2 9 63" xfId="10965" xr:uid="{00000000-0005-0000-0000-0000F62A0000}"/>
    <cellStyle name="Normal 2 9 64" xfId="10966" xr:uid="{00000000-0005-0000-0000-0000F72A0000}"/>
    <cellStyle name="Normal 2 9 65" xfId="10967" xr:uid="{00000000-0005-0000-0000-0000F82A0000}"/>
    <cellStyle name="Normal 2 9 66" xfId="10968" xr:uid="{00000000-0005-0000-0000-0000F92A0000}"/>
    <cellStyle name="Normal 2 9 67" xfId="10969" xr:uid="{00000000-0005-0000-0000-0000FA2A0000}"/>
    <cellStyle name="Normal 2 9 68" xfId="10970" xr:uid="{00000000-0005-0000-0000-0000FB2A0000}"/>
    <cellStyle name="Normal 2 9 69" xfId="10971" xr:uid="{00000000-0005-0000-0000-0000FC2A0000}"/>
    <cellStyle name="Normal 2 9 7" xfId="10972" xr:uid="{00000000-0005-0000-0000-0000FD2A0000}"/>
    <cellStyle name="Normal 2 9 70" xfId="10973" xr:uid="{00000000-0005-0000-0000-0000FE2A0000}"/>
    <cellStyle name="Normal 2 9 71" xfId="10974" xr:uid="{00000000-0005-0000-0000-0000FF2A0000}"/>
    <cellStyle name="Normal 2 9 72" xfId="10975" xr:uid="{00000000-0005-0000-0000-0000002B0000}"/>
    <cellStyle name="Normal 2 9 73" xfId="10976" xr:uid="{00000000-0005-0000-0000-0000012B0000}"/>
    <cellStyle name="Normal 2 9 74" xfId="10977" xr:uid="{00000000-0005-0000-0000-0000022B0000}"/>
    <cellStyle name="Normal 2 9 75" xfId="10978" xr:uid="{00000000-0005-0000-0000-0000032B0000}"/>
    <cellStyle name="Normal 2 9 76" xfId="10979" xr:uid="{00000000-0005-0000-0000-0000042B0000}"/>
    <cellStyle name="Normal 2 9 77" xfId="10980" xr:uid="{00000000-0005-0000-0000-0000052B0000}"/>
    <cellStyle name="Normal 2 9 78" xfId="10981" xr:uid="{00000000-0005-0000-0000-0000062B0000}"/>
    <cellStyle name="Normal 2 9 8" xfId="10982" xr:uid="{00000000-0005-0000-0000-0000072B0000}"/>
    <cellStyle name="Normal 2 9 9" xfId="10983" xr:uid="{00000000-0005-0000-0000-0000082B0000}"/>
    <cellStyle name="Normal 2 90" xfId="10984" xr:uid="{00000000-0005-0000-0000-0000092B0000}"/>
    <cellStyle name="Normal 2 91" xfId="10985" xr:uid="{00000000-0005-0000-0000-00000A2B0000}"/>
    <cellStyle name="Normal 2 92" xfId="10986" xr:uid="{00000000-0005-0000-0000-00000B2B0000}"/>
    <cellStyle name="Normal 2 93" xfId="10987" xr:uid="{00000000-0005-0000-0000-00000C2B0000}"/>
    <cellStyle name="Normal 2 94" xfId="10988" xr:uid="{00000000-0005-0000-0000-00000D2B0000}"/>
    <cellStyle name="Normal 2 95" xfId="10989" xr:uid="{00000000-0005-0000-0000-00000E2B0000}"/>
    <cellStyle name="Normal 2 96" xfId="10990" xr:uid="{00000000-0005-0000-0000-00000F2B0000}"/>
    <cellStyle name="Normal 2 97" xfId="10991" xr:uid="{00000000-0005-0000-0000-0000102B0000}"/>
    <cellStyle name="Normal 2 98" xfId="10992" xr:uid="{00000000-0005-0000-0000-0000112B0000}"/>
    <cellStyle name="Normal 2 99" xfId="10993" xr:uid="{00000000-0005-0000-0000-0000122B0000}"/>
    <cellStyle name="Normal 2_1.3s Accounting C Costs Scots" xfId="10994" xr:uid="{00000000-0005-0000-0000-0000132B0000}"/>
    <cellStyle name="Normal 20" xfId="10995" xr:uid="{00000000-0005-0000-0000-0000142B0000}"/>
    <cellStyle name="Normal 20 10" xfId="10996" xr:uid="{00000000-0005-0000-0000-0000152B0000}"/>
    <cellStyle name="Normal 20 10 2" xfId="10997" xr:uid="{00000000-0005-0000-0000-0000162B0000}"/>
    <cellStyle name="Normal 20 11" xfId="10998" xr:uid="{00000000-0005-0000-0000-0000172B0000}"/>
    <cellStyle name="Normal 20 11 2" xfId="10999" xr:uid="{00000000-0005-0000-0000-0000182B0000}"/>
    <cellStyle name="Normal 20 12" xfId="11000" xr:uid="{00000000-0005-0000-0000-0000192B0000}"/>
    <cellStyle name="Normal 20 12 2" xfId="11001" xr:uid="{00000000-0005-0000-0000-00001A2B0000}"/>
    <cellStyle name="Normal 20 13" xfId="11002" xr:uid="{00000000-0005-0000-0000-00001B2B0000}"/>
    <cellStyle name="Normal 20 13 2" xfId="11003" xr:uid="{00000000-0005-0000-0000-00001C2B0000}"/>
    <cellStyle name="Normal 20 14" xfId="11004" xr:uid="{00000000-0005-0000-0000-00001D2B0000}"/>
    <cellStyle name="Normal 20 14 2" xfId="11005" xr:uid="{00000000-0005-0000-0000-00001E2B0000}"/>
    <cellStyle name="Normal 20 15" xfId="11006" xr:uid="{00000000-0005-0000-0000-00001F2B0000}"/>
    <cellStyle name="Normal 20 15 2" xfId="11007" xr:uid="{00000000-0005-0000-0000-0000202B0000}"/>
    <cellStyle name="Normal 20 16" xfId="11008" xr:uid="{00000000-0005-0000-0000-0000212B0000}"/>
    <cellStyle name="Normal 20 16 2" xfId="11009" xr:uid="{00000000-0005-0000-0000-0000222B0000}"/>
    <cellStyle name="Normal 20 17" xfId="11010" xr:uid="{00000000-0005-0000-0000-0000232B0000}"/>
    <cellStyle name="Normal 20 17 2" xfId="11011" xr:uid="{00000000-0005-0000-0000-0000242B0000}"/>
    <cellStyle name="Normal 20 18" xfId="11012" xr:uid="{00000000-0005-0000-0000-0000252B0000}"/>
    <cellStyle name="Normal 20 18 2" xfId="11013" xr:uid="{00000000-0005-0000-0000-0000262B0000}"/>
    <cellStyle name="Normal 20 19" xfId="11014" xr:uid="{00000000-0005-0000-0000-0000272B0000}"/>
    <cellStyle name="Normal 20 19 2" xfId="11015" xr:uid="{00000000-0005-0000-0000-0000282B0000}"/>
    <cellStyle name="Normal 20 2" xfId="11016" xr:uid="{00000000-0005-0000-0000-0000292B0000}"/>
    <cellStyle name="Normal 20 2 2" xfId="11017" xr:uid="{00000000-0005-0000-0000-00002A2B0000}"/>
    <cellStyle name="Normal 20 2 2 2" xfId="11018" xr:uid="{00000000-0005-0000-0000-00002B2B0000}"/>
    <cellStyle name="Normal 20 2 2 3" xfId="11019" xr:uid="{00000000-0005-0000-0000-00002C2B0000}"/>
    <cellStyle name="Normal 20 2 2 4" xfId="11020" xr:uid="{00000000-0005-0000-0000-00002D2B0000}"/>
    <cellStyle name="Normal 20 2 3" xfId="11021" xr:uid="{00000000-0005-0000-0000-00002E2B0000}"/>
    <cellStyle name="Normal 20 2 3 2" xfId="11022" xr:uid="{00000000-0005-0000-0000-00002F2B0000}"/>
    <cellStyle name="Normal 20 2 3 3" xfId="11023" xr:uid="{00000000-0005-0000-0000-0000302B0000}"/>
    <cellStyle name="Normal 20 2 3 4" xfId="11024" xr:uid="{00000000-0005-0000-0000-0000312B0000}"/>
    <cellStyle name="Normal 20 2 4" xfId="11025" xr:uid="{00000000-0005-0000-0000-0000322B0000}"/>
    <cellStyle name="Normal 20 2 5" xfId="11026" xr:uid="{00000000-0005-0000-0000-0000332B0000}"/>
    <cellStyle name="Normal 20 2 6" xfId="11027" xr:uid="{00000000-0005-0000-0000-0000342B0000}"/>
    <cellStyle name="Normal 20 2 7" xfId="11028" xr:uid="{00000000-0005-0000-0000-0000352B0000}"/>
    <cellStyle name="Normal 20 20" xfId="11029" xr:uid="{00000000-0005-0000-0000-0000362B0000}"/>
    <cellStyle name="Normal 20 20 2" xfId="11030" xr:uid="{00000000-0005-0000-0000-0000372B0000}"/>
    <cellStyle name="Normal 20 21" xfId="11031" xr:uid="{00000000-0005-0000-0000-0000382B0000}"/>
    <cellStyle name="Normal 20 21 2" xfId="11032" xr:uid="{00000000-0005-0000-0000-0000392B0000}"/>
    <cellStyle name="Normal 20 22" xfId="11033" xr:uid="{00000000-0005-0000-0000-00003A2B0000}"/>
    <cellStyle name="Normal 20 22 2" xfId="11034" xr:uid="{00000000-0005-0000-0000-00003B2B0000}"/>
    <cellStyle name="Normal 20 23" xfId="11035" xr:uid="{00000000-0005-0000-0000-00003C2B0000}"/>
    <cellStyle name="Normal 20 24" xfId="11036" xr:uid="{00000000-0005-0000-0000-00003D2B0000}"/>
    <cellStyle name="Normal 20 25" xfId="11037" xr:uid="{00000000-0005-0000-0000-00003E2B0000}"/>
    <cellStyle name="Normal 20 26" xfId="11038" xr:uid="{00000000-0005-0000-0000-00003F2B0000}"/>
    <cellStyle name="Normal 20 27" xfId="11039" xr:uid="{00000000-0005-0000-0000-0000402B0000}"/>
    <cellStyle name="Normal 20 28" xfId="11040" xr:uid="{00000000-0005-0000-0000-0000412B0000}"/>
    <cellStyle name="Normal 20 29" xfId="11041" xr:uid="{00000000-0005-0000-0000-0000422B0000}"/>
    <cellStyle name="Normal 20 3" xfId="11042" xr:uid="{00000000-0005-0000-0000-0000432B0000}"/>
    <cellStyle name="Normal 20 3 2" xfId="11043" xr:uid="{00000000-0005-0000-0000-0000442B0000}"/>
    <cellStyle name="Normal 20 3 2 2" xfId="11044" xr:uid="{00000000-0005-0000-0000-0000452B0000}"/>
    <cellStyle name="Normal 20 3 2 3" xfId="11045" xr:uid="{00000000-0005-0000-0000-0000462B0000}"/>
    <cellStyle name="Normal 20 3 2 4" xfId="11046" xr:uid="{00000000-0005-0000-0000-0000472B0000}"/>
    <cellStyle name="Normal 20 3 3" xfId="11047" xr:uid="{00000000-0005-0000-0000-0000482B0000}"/>
    <cellStyle name="Normal 20 3 4" xfId="11048" xr:uid="{00000000-0005-0000-0000-0000492B0000}"/>
    <cellStyle name="Normal 20 3 5" xfId="11049" xr:uid="{00000000-0005-0000-0000-00004A2B0000}"/>
    <cellStyle name="Normal 20 3 6" xfId="11050" xr:uid="{00000000-0005-0000-0000-00004B2B0000}"/>
    <cellStyle name="Normal 20 30" xfId="11051" xr:uid="{00000000-0005-0000-0000-00004C2B0000}"/>
    <cellStyle name="Normal 20 31" xfId="11052" xr:uid="{00000000-0005-0000-0000-00004D2B0000}"/>
    <cellStyle name="Normal 20 32" xfId="11053" xr:uid="{00000000-0005-0000-0000-00004E2B0000}"/>
    <cellStyle name="Normal 20 33" xfId="11054" xr:uid="{00000000-0005-0000-0000-00004F2B0000}"/>
    <cellStyle name="Normal 20 34" xfId="11055" xr:uid="{00000000-0005-0000-0000-0000502B0000}"/>
    <cellStyle name="Normal 20 35" xfId="11056" xr:uid="{00000000-0005-0000-0000-0000512B0000}"/>
    <cellStyle name="Normal 20 36" xfId="11057" xr:uid="{00000000-0005-0000-0000-0000522B0000}"/>
    <cellStyle name="Normal 20 37" xfId="11058" xr:uid="{00000000-0005-0000-0000-0000532B0000}"/>
    <cellStyle name="Normal 20 38" xfId="11059" xr:uid="{00000000-0005-0000-0000-0000542B0000}"/>
    <cellStyle name="Normal 20 39" xfId="11060" xr:uid="{00000000-0005-0000-0000-0000552B0000}"/>
    <cellStyle name="Normal 20 4" xfId="11061" xr:uid="{00000000-0005-0000-0000-0000562B0000}"/>
    <cellStyle name="Normal 20 4 2" xfId="11062" xr:uid="{00000000-0005-0000-0000-0000572B0000}"/>
    <cellStyle name="Normal 20 4 3" xfId="11063" xr:uid="{00000000-0005-0000-0000-0000582B0000}"/>
    <cellStyle name="Normal 20 4 4" xfId="11064" xr:uid="{00000000-0005-0000-0000-0000592B0000}"/>
    <cellStyle name="Normal 20 40" xfId="11065" xr:uid="{00000000-0005-0000-0000-00005A2B0000}"/>
    <cellStyle name="Normal 20 41" xfId="11066" xr:uid="{00000000-0005-0000-0000-00005B2B0000}"/>
    <cellStyle name="Normal 20 42" xfId="11067" xr:uid="{00000000-0005-0000-0000-00005C2B0000}"/>
    <cellStyle name="Normal 20 43" xfId="11068" xr:uid="{00000000-0005-0000-0000-00005D2B0000}"/>
    <cellStyle name="Normal 20 44" xfId="11069" xr:uid="{00000000-0005-0000-0000-00005E2B0000}"/>
    <cellStyle name="Normal 20 45" xfId="11070" xr:uid="{00000000-0005-0000-0000-00005F2B0000}"/>
    <cellStyle name="Normal 20 46" xfId="11071" xr:uid="{00000000-0005-0000-0000-0000602B0000}"/>
    <cellStyle name="Normal 20 47" xfId="11072" xr:uid="{00000000-0005-0000-0000-0000612B0000}"/>
    <cellStyle name="Normal 20 48" xfId="11073" xr:uid="{00000000-0005-0000-0000-0000622B0000}"/>
    <cellStyle name="Normal 20 49" xfId="11074" xr:uid="{00000000-0005-0000-0000-0000632B0000}"/>
    <cellStyle name="Normal 20 5" xfId="11075" xr:uid="{00000000-0005-0000-0000-0000642B0000}"/>
    <cellStyle name="Normal 20 5 2" xfId="11076" xr:uid="{00000000-0005-0000-0000-0000652B0000}"/>
    <cellStyle name="Normal 20 5 3" xfId="11077" xr:uid="{00000000-0005-0000-0000-0000662B0000}"/>
    <cellStyle name="Normal 20 5 4" xfId="11078" xr:uid="{00000000-0005-0000-0000-0000672B0000}"/>
    <cellStyle name="Normal 20 50" xfId="11079" xr:uid="{00000000-0005-0000-0000-0000682B0000}"/>
    <cellStyle name="Normal 20 51" xfId="11080" xr:uid="{00000000-0005-0000-0000-0000692B0000}"/>
    <cellStyle name="Normal 20 52" xfId="11081" xr:uid="{00000000-0005-0000-0000-00006A2B0000}"/>
    <cellStyle name="Normal 20 53" xfId="11082" xr:uid="{00000000-0005-0000-0000-00006B2B0000}"/>
    <cellStyle name="Normal 20 54" xfId="11083" xr:uid="{00000000-0005-0000-0000-00006C2B0000}"/>
    <cellStyle name="Normal 20 55" xfId="11084" xr:uid="{00000000-0005-0000-0000-00006D2B0000}"/>
    <cellStyle name="Normal 20 56" xfId="11085" xr:uid="{00000000-0005-0000-0000-00006E2B0000}"/>
    <cellStyle name="Normal 20 57" xfId="11086" xr:uid="{00000000-0005-0000-0000-00006F2B0000}"/>
    <cellStyle name="Normal 20 58" xfId="11087" xr:uid="{00000000-0005-0000-0000-0000702B0000}"/>
    <cellStyle name="Normal 20 59" xfId="11088" xr:uid="{00000000-0005-0000-0000-0000712B0000}"/>
    <cellStyle name="Normal 20 6" xfId="11089" xr:uid="{00000000-0005-0000-0000-0000722B0000}"/>
    <cellStyle name="Normal 20 6 2" xfId="11090" xr:uid="{00000000-0005-0000-0000-0000732B0000}"/>
    <cellStyle name="Normal 20 60" xfId="11091" xr:uid="{00000000-0005-0000-0000-0000742B0000}"/>
    <cellStyle name="Normal 20 61" xfId="11092" xr:uid="{00000000-0005-0000-0000-0000752B0000}"/>
    <cellStyle name="Normal 20 62" xfId="11093" xr:uid="{00000000-0005-0000-0000-0000762B0000}"/>
    <cellStyle name="Normal 20 63" xfId="11094" xr:uid="{00000000-0005-0000-0000-0000772B0000}"/>
    <cellStyle name="Normal 20 64" xfId="11095" xr:uid="{00000000-0005-0000-0000-0000782B0000}"/>
    <cellStyle name="Normal 20 65" xfId="11096" xr:uid="{00000000-0005-0000-0000-0000792B0000}"/>
    <cellStyle name="Normal 20 66" xfId="11097" xr:uid="{00000000-0005-0000-0000-00007A2B0000}"/>
    <cellStyle name="Normal 20 67" xfId="11098" xr:uid="{00000000-0005-0000-0000-00007B2B0000}"/>
    <cellStyle name="Normal 20 68" xfId="11099" xr:uid="{00000000-0005-0000-0000-00007C2B0000}"/>
    <cellStyle name="Normal 20 69" xfId="11100" xr:uid="{00000000-0005-0000-0000-00007D2B0000}"/>
    <cellStyle name="Normal 20 7" xfId="11101" xr:uid="{00000000-0005-0000-0000-00007E2B0000}"/>
    <cellStyle name="Normal 20 7 2" xfId="11102" xr:uid="{00000000-0005-0000-0000-00007F2B0000}"/>
    <cellStyle name="Normal 20 70" xfId="11103" xr:uid="{00000000-0005-0000-0000-0000802B0000}"/>
    <cellStyle name="Normal 20 8" xfId="11104" xr:uid="{00000000-0005-0000-0000-0000812B0000}"/>
    <cellStyle name="Normal 20 8 2" xfId="11105" xr:uid="{00000000-0005-0000-0000-0000822B0000}"/>
    <cellStyle name="Normal 20 9" xfId="11106" xr:uid="{00000000-0005-0000-0000-0000832B0000}"/>
    <cellStyle name="Normal 20 9 2" xfId="11107" xr:uid="{00000000-0005-0000-0000-0000842B0000}"/>
    <cellStyle name="Normal 21" xfId="11108" xr:uid="{00000000-0005-0000-0000-0000852B0000}"/>
    <cellStyle name="Normal 21 10" xfId="11109" xr:uid="{00000000-0005-0000-0000-0000862B0000}"/>
    <cellStyle name="Normal 21 10 2" xfId="11110" xr:uid="{00000000-0005-0000-0000-0000872B0000}"/>
    <cellStyle name="Normal 21 11" xfId="11111" xr:uid="{00000000-0005-0000-0000-0000882B0000}"/>
    <cellStyle name="Normal 21 11 2" xfId="11112" xr:uid="{00000000-0005-0000-0000-0000892B0000}"/>
    <cellStyle name="Normal 21 12" xfId="11113" xr:uid="{00000000-0005-0000-0000-00008A2B0000}"/>
    <cellStyle name="Normal 21 12 2" xfId="11114" xr:uid="{00000000-0005-0000-0000-00008B2B0000}"/>
    <cellStyle name="Normal 21 13" xfId="11115" xr:uid="{00000000-0005-0000-0000-00008C2B0000}"/>
    <cellStyle name="Normal 21 13 2" xfId="11116" xr:uid="{00000000-0005-0000-0000-00008D2B0000}"/>
    <cellStyle name="Normal 21 14" xfId="11117" xr:uid="{00000000-0005-0000-0000-00008E2B0000}"/>
    <cellStyle name="Normal 21 14 2" xfId="11118" xr:uid="{00000000-0005-0000-0000-00008F2B0000}"/>
    <cellStyle name="Normal 21 15" xfId="11119" xr:uid="{00000000-0005-0000-0000-0000902B0000}"/>
    <cellStyle name="Normal 21 15 2" xfId="11120" xr:uid="{00000000-0005-0000-0000-0000912B0000}"/>
    <cellStyle name="Normal 21 16" xfId="11121" xr:uid="{00000000-0005-0000-0000-0000922B0000}"/>
    <cellStyle name="Normal 21 16 2" xfId="11122" xr:uid="{00000000-0005-0000-0000-0000932B0000}"/>
    <cellStyle name="Normal 21 17" xfId="11123" xr:uid="{00000000-0005-0000-0000-0000942B0000}"/>
    <cellStyle name="Normal 21 17 2" xfId="11124" xr:uid="{00000000-0005-0000-0000-0000952B0000}"/>
    <cellStyle name="Normal 21 18" xfId="11125" xr:uid="{00000000-0005-0000-0000-0000962B0000}"/>
    <cellStyle name="Normal 21 18 2" xfId="11126" xr:uid="{00000000-0005-0000-0000-0000972B0000}"/>
    <cellStyle name="Normal 21 19" xfId="11127" xr:uid="{00000000-0005-0000-0000-0000982B0000}"/>
    <cellStyle name="Normal 21 19 2" xfId="11128" xr:uid="{00000000-0005-0000-0000-0000992B0000}"/>
    <cellStyle name="Normal 21 2" xfId="11129" xr:uid="{00000000-0005-0000-0000-00009A2B0000}"/>
    <cellStyle name="Normal 21 2 2" xfId="11130" xr:uid="{00000000-0005-0000-0000-00009B2B0000}"/>
    <cellStyle name="Normal 21 2 2 2" xfId="11131" xr:uid="{00000000-0005-0000-0000-00009C2B0000}"/>
    <cellStyle name="Normal 21 2 2 3" xfId="11132" xr:uid="{00000000-0005-0000-0000-00009D2B0000}"/>
    <cellStyle name="Normal 21 2 2 4" xfId="11133" xr:uid="{00000000-0005-0000-0000-00009E2B0000}"/>
    <cellStyle name="Normal 21 2 3" xfId="11134" xr:uid="{00000000-0005-0000-0000-00009F2B0000}"/>
    <cellStyle name="Normal 21 2 3 2" xfId="11135" xr:uid="{00000000-0005-0000-0000-0000A02B0000}"/>
    <cellStyle name="Normal 21 2 3 3" xfId="11136" xr:uid="{00000000-0005-0000-0000-0000A12B0000}"/>
    <cellStyle name="Normal 21 2 3 4" xfId="11137" xr:uid="{00000000-0005-0000-0000-0000A22B0000}"/>
    <cellStyle name="Normal 21 2 4" xfId="11138" xr:uid="{00000000-0005-0000-0000-0000A32B0000}"/>
    <cellStyle name="Normal 21 2 5" xfId="11139" xr:uid="{00000000-0005-0000-0000-0000A42B0000}"/>
    <cellStyle name="Normal 21 2 6" xfId="11140" xr:uid="{00000000-0005-0000-0000-0000A52B0000}"/>
    <cellStyle name="Normal 21 2 7" xfId="11141" xr:uid="{00000000-0005-0000-0000-0000A62B0000}"/>
    <cellStyle name="Normal 21 20" xfId="11142" xr:uid="{00000000-0005-0000-0000-0000A72B0000}"/>
    <cellStyle name="Normal 21 20 2" xfId="11143" xr:uid="{00000000-0005-0000-0000-0000A82B0000}"/>
    <cellStyle name="Normal 21 21" xfId="11144" xr:uid="{00000000-0005-0000-0000-0000A92B0000}"/>
    <cellStyle name="Normal 21 21 2" xfId="11145" xr:uid="{00000000-0005-0000-0000-0000AA2B0000}"/>
    <cellStyle name="Normal 21 22" xfId="11146" xr:uid="{00000000-0005-0000-0000-0000AB2B0000}"/>
    <cellStyle name="Normal 21 22 2" xfId="11147" xr:uid="{00000000-0005-0000-0000-0000AC2B0000}"/>
    <cellStyle name="Normal 21 23" xfId="11148" xr:uid="{00000000-0005-0000-0000-0000AD2B0000}"/>
    <cellStyle name="Normal 21 24" xfId="11149" xr:uid="{00000000-0005-0000-0000-0000AE2B0000}"/>
    <cellStyle name="Normal 21 25" xfId="11150" xr:uid="{00000000-0005-0000-0000-0000AF2B0000}"/>
    <cellStyle name="Normal 21 26" xfId="11151" xr:uid="{00000000-0005-0000-0000-0000B02B0000}"/>
    <cellStyle name="Normal 21 27" xfId="11152" xr:uid="{00000000-0005-0000-0000-0000B12B0000}"/>
    <cellStyle name="Normal 21 28" xfId="11153" xr:uid="{00000000-0005-0000-0000-0000B22B0000}"/>
    <cellStyle name="Normal 21 29" xfId="11154" xr:uid="{00000000-0005-0000-0000-0000B32B0000}"/>
    <cellStyle name="Normal 21 3" xfId="11155" xr:uid="{00000000-0005-0000-0000-0000B42B0000}"/>
    <cellStyle name="Normal 21 3 2" xfId="11156" xr:uid="{00000000-0005-0000-0000-0000B52B0000}"/>
    <cellStyle name="Normal 21 3 2 2" xfId="11157" xr:uid="{00000000-0005-0000-0000-0000B62B0000}"/>
    <cellStyle name="Normal 21 3 2 3" xfId="11158" xr:uid="{00000000-0005-0000-0000-0000B72B0000}"/>
    <cellStyle name="Normal 21 3 2 4" xfId="11159" xr:uid="{00000000-0005-0000-0000-0000B82B0000}"/>
    <cellStyle name="Normal 21 3 3" xfId="11160" xr:uid="{00000000-0005-0000-0000-0000B92B0000}"/>
    <cellStyle name="Normal 21 3 4" xfId="11161" xr:uid="{00000000-0005-0000-0000-0000BA2B0000}"/>
    <cellStyle name="Normal 21 3 5" xfId="11162" xr:uid="{00000000-0005-0000-0000-0000BB2B0000}"/>
    <cellStyle name="Normal 21 3 6" xfId="11163" xr:uid="{00000000-0005-0000-0000-0000BC2B0000}"/>
    <cellStyle name="Normal 21 30" xfId="11164" xr:uid="{00000000-0005-0000-0000-0000BD2B0000}"/>
    <cellStyle name="Normal 21 31" xfId="11165" xr:uid="{00000000-0005-0000-0000-0000BE2B0000}"/>
    <cellStyle name="Normal 21 32" xfId="11166" xr:uid="{00000000-0005-0000-0000-0000BF2B0000}"/>
    <cellStyle name="Normal 21 33" xfId="11167" xr:uid="{00000000-0005-0000-0000-0000C02B0000}"/>
    <cellStyle name="Normal 21 34" xfId="11168" xr:uid="{00000000-0005-0000-0000-0000C12B0000}"/>
    <cellStyle name="Normal 21 35" xfId="11169" xr:uid="{00000000-0005-0000-0000-0000C22B0000}"/>
    <cellStyle name="Normal 21 36" xfId="11170" xr:uid="{00000000-0005-0000-0000-0000C32B0000}"/>
    <cellStyle name="Normal 21 37" xfId="11171" xr:uid="{00000000-0005-0000-0000-0000C42B0000}"/>
    <cellStyle name="Normal 21 38" xfId="11172" xr:uid="{00000000-0005-0000-0000-0000C52B0000}"/>
    <cellStyle name="Normal 21 39" xfId="11173" xr:uid="{00000000-0005-0000-0000-0000C62B0000}"/>
    <cellStyle name="Normal 21 4" xfId="11174" xr:uid="{00000000-0005-0000-0000-0000C72B0000}"/>
    <cellStyle name="Normal 21 4 2" xfId="11175" xr:uid="{00000000-0005-0000-0000-0000C82B0000}"/>
    <cellStyle name="Normal 21 4 3" xfId="11176" xr:uid="{00000000-0005-0000-0000-0000C92B0000}"/>
    <cellStyle name="Normal 21 4 4" xfId="11177" xr:uid="{00000000-0005-0000-0000-0000CA2B0000}"/>
    <cellStyle name="Normal 21 40" xfId="11178" xr:uid="{00000000-0005-0000-0000-0000CB2B0000}"/>
    <cellStyle name="Normal 21 41" xfId="11179" xr:uid="{00000000-0005-0000-0000-0000CC2B0000}"/>
    <cellStyle name="Normal 21 42" xfId="11180" xr:uid="{00000000-0005-0000-0000-0000CD2B0000}"/>
    <cellStyle name="Normal 21 43" xfId="11181" xr:uid="{00000000-0005-0000-0000-0000CE2B0000}"/>
    <cellStyle name="Normal 21 44" xfId="11182" xr:uid="{00000000-0005-0000-0000-0000CF2B0000}"/>
    <cellStyle name="Normal 21 45" xfId="11183" xr:uid="{00000000-0005-0000-0000-0000D02B0000}"/>
    <cellStyle name="Normal 21 46" xfId="11184" xr:uid="{00000000-0005-0000-0000-0000D12B0000}"/>
    <cellStyle name="Normal 21 47" xfId="11185" xr:uid="{00000000-0005-0000-0000-0000D22B0000}"/>
    <cellStyle name="Normal 21 48" xfId="11186" xr:uid="{00000000-0005-0000-0000-0000D32B0000}"/>
    <cellStyle name="Normal 21 49" xfId="11187" xr:uid="{00000000-0005-0000-0000-0000D42B0000}"/>
    <cellStyle name="Normal 21 5" xfId="11188" xr:uid="{00000000-0005-0000-0000-0000D52B0000}"/>
    <cellStyle name="Normal 21 5 2" xfId="11189" xr:uid="{00000000-0005-0000-0000-0000D62B0000}"/>
    <cellStyle name="Normal 21 5 3" xfId="11190" xr:uid="{00000000-0005-0000-0000-0000D72B0000}"/>
    <cellStyle name="Normal 21 5 4" xfId="11191" xr:uid="{00000000-0005-0000-0000-0000D82B0000}"/>
    <cellStyle name="Normal 21 50" xfId="11192" xr:uid="{00000000-0005-0000-0000-0000D92B0000}"/>
    <cellStyle name="Normal 21 51" xfId="11193" xr:uid="{00000000-0005-0000-0000-0000DA2B0000}"/>
    <cellStyle name="Normal 21 52" xfId="11194" xr:uid="{00000000-0005-0000-0000-0000DB2B0000}"/>
    <cellStyle name="Normal 21 53" xfId="11195" xr:uid="{00000000-0005-0000-0000-0000DC2B0000}"/>
    <cellStyle name="Normal 21 54" xfId="11196" xr:uid="{00000000-0005-0000-0000-0000DD2B0000}"/>
    <cellStyle name="Normal 21 55" xfId="11197" xr:uid="{00000000-0005-0000-0000-0000DE2B0000}"/>
    <cellStyle name="Normal 21 56" xfId="11198" xr:uid="{00000000-0005-0000-0000-0000DF2B0000}"/>
    <cellStyle name="Normal 21 57" xfId="11199" xr:uid="{00000000-0005-0000-0000-0000E02B0000}"/>
    <cellStyle name="Normal 21 58" xfId="11200" xr:uid="{00000000-0005-0000-0000-0000E12B0000}"/>
    <cellStyle name="Normal 21 59" xfId="11201" xr:uid="{00000000-0005-0000-0000-0000E22B0000}"/>
    <cellStyle name="Normal 21 6" xfId="11202" xr:uid="{00000000-0005-0000-0000-0000E32B0000}"/>
    <cellStyle name="Normal 21 6 2" xfId="11203" xr:uid="{00000000-0005-0000-0000-0000E42B0000}"/>
    <cellStyle name="Normal 21 60" xfId="11204" xr:uid="{00000000-0005-0000-0000-0000E52B0000}"/>
    <cellStyle name="Normal 21 61" xfId="11205" xr:uid="{00000000-0005-0000-0000-0000E62B0000}"/>
    <cellStyle name="Normal 21 62" xfId="11206" xr:uid="{00000000-0005-0000-0000-0000E72B0000}"/>
    <cellStyle name="Normal 21 63" xfId="11207" xr:uid="{00000000-0005-0000-0000-0000E82B0000}"/>
    <cellStyle name="Normal 21 64" xfId="11208" xr:uid="{00000000-0005-0000-0000-0000E92B0000}"/>
    <cellStyle name="Normal 21 65" xfId="11209" xr:uid="{00000000-0005-0000-0000-0000EA2B0000}"/>
    <cellStyle name="Normal 21 66" xfId="11210" xr:uid="{00000000-0005-0000-0000-0000EB2B0000}"/>
    <cellStyle name="Normal 21 67" xfId="11211" xr:uid="{00000000-0005-0000-0000-0000EC2B0000}"/>
    <cellStyle name="Normal 21 68" xfId="11212" xr:uid="{00000000-0005-0000-0000-0000ED2B0000}"/>
    <cellStyle name="Normal 21 69" xfId="11213" xr:uid="{00000000-0005-0000-0000-0000EE2B0000}"/>
    <cellStyle name="Normal 21 7" xfId="11214" xr:uid="{00000000-0005-0000-0000-0000EF2B0000}"/>
    <cellStyle name="Normal 21 7 2" xfId="11215" xr:uid="{00000000-0005-0000-0000-0000F02B0000}"/>
    <cellStyle name="Normal 21 70" xfId="11216" xr:uid="{00000000-0005-0000-0000-0000F12B0000}"/>
    <cellStyle name="Normal 21 8" xfId="11217" xr:uid="{00000000-0005-0000-0000-0000F22B0000}"/>
    <cellStyle name="Normal 21 8 2" xfId="11218" xr:uid="{00000000-0005-0000-0000-0000F32B0000}"/>
    <cellStyle name="Normal 21 9" xfId="11219" xr:uid="{00000000-0005-0000-0000-0000F42B0000}"/>
    <cellStyle name="Normal 21 9 2" xfId="11220" xr:uid="{00000000-0005-0000-0000-0000F52B0000}"/>
    <cellStyle name="Normal 22" xfId="11221" xr:uid="{00000000-0005-0000-0000-0000F62B0000}"/>
    <cellStyle name="Normal 22 10" xfId="11222" xr:uid="{00000000-0005-0000-0000-0000F72B0000}"/>
    <cellStyle name="Normal 22 10 2" xfId="11223" xr:uid="{00000000-0005-0000-0000-0000F82B0000}"/>
    <cellStyle name="Normal 22 11" xfId="11224" xr:uid="{00000000-0005-0000-0000-0000F92B0000}"/>
    <cellStyle name="Normal 22 11 2" xfId="11225" xr:uid="{00000000-0005-0000-0000-0000FA2B0000}"/>
    <cellStyle name="Normal 22 12" xfId="11226" xr:uid="{00000000-0005-0000-0000-0000FB2B0000}"/>
    <cellStyle name="Normal 22 12 2" xfId="11227" xr:uid="{00000000-0005-0000-0000-0000FC2B0000}"/>
    <cellStyle name="Normal 22 13" xfId="11228" xr:uid="{00000000-0005-0000-0000-0000FD2B0000}"/>
    <cellStyle name="Normal 22 13 2" xfId="11229" xr:uid="{00000000-0005-0000-0000-0000FE2B0000}"/>
    <cellStyle name="Normal 22 14" xfId="11230" xr:uid="{00000000-0005-0000-0000-0000FF2B0000}"/>
    <cellStyle name="Normal 22 14 2" xfId="11231" xr:uid="{00000000-0005-0000-0000-0000002C0000}"/>
    <cellStyle name="Normal 22 15" xfId="11232" xr:uid="{00000000-0005-0000-0000-0000012C0000}"/>
    <cellStyle name="Normal 22 15 2" xfId="11233" xr:uid="{00000000-0005-0000-0000-0000022C0000}"/>
    <cellStyle name="Normal 22 16" xfId="11234" xr:uid="{00000000-0005-0000-0000-0000032C0000}"/>
    <cellStyle name="Normal 22 16 2" xfId="11235" xr:uid="{00000000-0005-0000-0000-0000042C0000}"/>
    <cellStyle name="Normal 22 17" xfId="11236" xr:uid="{00000000-0005-0000-0000-0000052C0000}"/>
    <cellStyle name="Normal 22 17 2" xfId="11237" xr:uid="{00000000-0005-0000-0000-0000062C0000}"/>
    <cellStyle name="Normal 22 18" xfId="11238" xr:uid="{00000000-0005-0000-0000-0000072C0000}"/>
    <cellStyle name="Normal 22 18 2" xfId="11239" xr:uid="{00000000-0005-0000-0000-0000082C0000}"/>
    <cellStyle name="Normal 22 19" xfId="11240" xr:uid="{00000000-0005-0000-0000-0000092C0000}"/>
    <cellStyle name="Normal 22 19 2" xfId="11241" xr:uid="{00000000-0005-0000-0000-00000A2C0000}"/>
    <cellStyle name="Normal 22 2" xfId="11242" xr:uid="{00000000-0005-0000-0000-00000B2C0000}"/>
    <cellStyle name="Normal 22 2 2" xfId="11243" xr:uid="{00000000-0005-0000-0000-00000C2C0000}"/>
    <cellStyle name="Normal 22 2 2 2" xfId="11244" xr:uid="{00000000-0005-0000-0000-00000D2C0000}"/>
    <cellStyle name="Normal 22 2 2 3" xfId="11245" xr:uid="{00000000-0005-0000-0000-00000E2C0000}"/>
    <cellStyle name="Normal 22 2 2 4" xfId="11246" xr:uid="{00000000-0005-0000-0000-00000F2C0000}"/>
    <cellStyle name="Normal 22 2 3" xfId="11247" xr:uid="{00000000-0005-0000-0000-0000102C0000}"/>
    <cellStyle name="Normal 22 2 3 2" xfId="11248" xr:uid="{00000000-0005-0000-0000-0000112C0000}"/>
    <cellStyle name="Normal 22 2 3 3" xfId="11249" xr:uid="{00000000-0005-0000-0000-0000122C0000}"/>
    <cellStyle name="Normal 22 2 3 4" xfId="11250" xr:uid="{00000000-0005-0000-0000-0000132C0000}"/>
    <cellStyle name="Normal 22 2 4" xfId="11251" xr:uid="{00000000-0005-0000-0000-0000142C0000}"/>
    <cellStyle name="Normal 22 2 5" xfId="11252" xr:uid="{00000000-0005-0000-0000-0000152C0000}"/>
    <cellStyle name="Normal 22 2 6" xfId="11253" xr:uid="{00000000-0005-0000-0000-0000162C0000}"/>
    <cellStyle name="Normal 22 2 7" xfId="11254" xr:uid="{00000000-0005-0000-0000-0000172C0000}"/>
    <cellStyle name="Normal 22 20" xfId="11255" xr:uid="{00000000-0005-0000-0000-0000182C0000}"/>
    <cellStyle name="Normal 22 20 2" xfId="11256" xr:uid="{00000000-0005-0000-0000-0000192C0000}"/>
    <cellStyle name="Normal 22 21" xfId="11257" xr:uid="{00000000-0005-0000-0000-00001A2C0000}"/>
    <cellStyle name="Normal 22 21 2" xfId="11258" xr:uid="{00000000-0005-0000-0000-00001B2C0000}"/>
    <cellStyle name="Normal 22 22" xfId="11259" xr:uid="{00000000-0005-0000-0000-00001C2C0000}"/>
    <cellStyle name="Normal 22 22 2" xfId="11260" xr:uid="{00000000-0005-0000-0000-00001D2C0000}"/>
    <cellStyle name="Normal 22 23" xfId="11261" xr:uid="{00000000-0005-0000-0000-00001E2C0000}"/>
    <cellStyle name="Normal 22 24" xfId="11262" xr:uid="{00000000-0005-0000-0000-00001F2C0000}"/>
    <cellStyle name="Normal 22 25" xfId="11263" xr:uid="{00000000-0005-0000-0000-0000202C0000}"/>
    <cellStyle name="Normal 22 26" xfId="11264" xr:uid="{00000000-0005-0000-0000-0000212C0000}"/>
    <cellStyle name="Normal 22 27" xfId="11265" xr:uid="{00000000-0005-0000-0000-0000222C0000}"/>
    <cellStyle name="Normal 22 28" xfId="11266" xr:uid="{00000000-0005-0000-0000-0000232C0000}"/>
    <cellStyle name="Normal 22 29" xfId="11267" xr:uid="{00000000-0005-0000-0000-0000242C0000}"/>
    <cellStyle name="Normal 22 3" xfId="11268" xr:uid="{00000000-0005-0000-0000-0000252C0000}"/>
    <cellStyle name="Normal 22 3 2" xfId="11269" xr:uid="{00000000-0005-0000-0000-0000262C0000}"/>
    <cellStyle name="Normal 22 3 2 2" xfId="11270" xr:uid="{00000000-0005-0000-0000-0000272C0000}"/>
    <cellStyle name="Normal 22 3 2 3" xfId="11271" xr:uid="{00000000-0005-0000-0000-0000282C0000}"/>
    <cellStyle name="Normal 22 3 2 4" xfId="11272" xr:uid="{00000000-0005-0000-0000-0000292C0000}"/>
    <cellStyle name="Normal 22 3 3" xfId="11273" xr:uid="{00000000-0005-0000-0000-00002A2C0000}"/>
    <cellStyle name="Normal 22 3 4" xfId="11274" xr:uid="{00000000-0005-0000-0000-00002B2C0000}"/>
    <cellStyle name="Normal 22 3 5" xfId="11275" xr:uid="{00000000-0005-0000-0000-00002C2C0000}"/>
    <cellStyle name="Normal 22 3 6" xfId="11276" xr:uid="{00000000-0005-0000-0000-00002D2C0000}"/>
    <cellStyle name="Normal 22 30" xfId="11277" xr:uid="{00000000-0005-0000-0000-00002E2C0000}"/>
    <cellStyle name="Normal 22 31" xfId="11278" xr:uid="{00000000-0005-0000-0000-00002F2C0000}"/>
    <cellStyle name="Normal 22 32" xfId="11279" xr:uid="{00000000-0005-0000-0000-0000302C0000}"/>
    <cellStyle name="Normal 22 33" xfId="11280" xr:uid="{00000000-0005-0000-0000-0000312C0000}"/>
    <cellStyle name="Normal 22 34" xfId="11281" xr:uid="{00000000-0005-0000-0000-0000322C0000}"/>
    <cellStyle name="Normal 22 35" xfId="11282" xr:uid="{00000000-0005-0000-0000-0000332C0000}"/>
    <cellStyle name="Normal 22 36" xfId="11283" xr:uid="{00000000-0005-0000-0000-0000342C0000}"/>
    <cellStyle name="Normal 22 37" xfId="11284" xr:uid="{00000000-0005-0000-0000-0000352C0000}"/>
    <cellStyle name="Normal 22 38" xfId="11285" xr:uid="{00000000-0005-0000-0000-0000362C0000}"/>
    <cellStyle name="Normal 22 39" xfId="11286" xr:uid="{00000000-0005-0000-0000-0000372C0000}"/>
    <cellStyle name="Normal 22 4" xfId="11287" xr:uid="{00000000-0005-0000-0000-0000382C0000}"/>
    <cellStyle name="Normal 22 4 2" xfId="11288" xr:uid="{00000000-0005-0000-0000-0000392C0000}"/>
    <cellStyle name="Normal 22 4 3" xfId="11289" xr:uid="{00000000-0005-0000-0000-00003A2C0000}"/>
    <cellStyle name="Normal 22 4 4" xfId="11290" xr:uid="{00000000-0005-0000-0000-00003B2C0000}"/>
    <cellStyle name="Normal 22 40" xfId="11291" xr:uid="{00000000-0005-0000-0000-00003C2C0000}"/>
    <cellStyle name="Normal 22 41" xfId="11292" xr:uid="{00000000-0005-0000-0000-00003D2C0000}"/>
    <cellStyle name="Normal 22 42" xfId="11293" xr:uid="{00000000-0005-0000-0000-00003E2C0000}"/>
    <cellStyle name="Normal 22 43" xfId="11294" xr:uid="{00000000-0005-0000-0000-00003F2C0000}"/>
    <cellStyle name="Normal 22 44" xfId="11295" xr:uid="{00000000-0005-0000-0000-0000402C0000}"/>
    <cellStyle name="Normal 22 45" xfId="11296" xr:uid="{00000000-0005-0000-0000-0000412C0000}"/>
    <cellStyle name="Normal 22 46" xfId="11297" xr:uid="{00000000-0005-0000-0000-0000422C0000}"/>
    <cellStyle name="Normal 22 47" xfId="11298" xr:uid="{00000000-0005-0000-0000-0000432C0000}"/>
    <cellStyle name="Normal 22 48" xfId="11299" xr:uid="{00000000-0005-0000-0000-0000442C0000}"/>
    <cellStyle name="Normal 22 49" xfId="11300" xr:uid="{00000000-0005-0000-0000-0000452C0000}"/>
    <cellStyle name="Normal 22 5" xfId="11301" xr:uid="{00000000-0005-0000-0000-0000462C0000}"/>
    <cellStyle name="Normal 22 5 2" xfId="11302" xr:uid="{00000000-0005-0000-0000-0000472C0000}"/>
    <cellStyle name="Normal 22 5 3" xfId="11303" xr:uid="{00000000-0005-0000-0000-0000482C0000}"/>
    <cellStyle name="Normal 22 5 4" xfId="11304" xr:uid="{00000000-0005-0000-0000-0000492C0000}"/>
    <cellStyle name="Normal 22 50" xfId="11305" xr:uid="{00000000-0005-0000-0000-00004A2C0000}"/>
    <cellStyle name="Normal 22 51" xfId="11306" xr:uid="{00000000-0005-0000-0000-00004B2C0000}"/>
    <cellStyle name="Normal 22 52" xfId="11307" xr:uid="{00000000-0005-0000-0000-00004C2C0000}"/>
    <cellStyle name="Normal 22 53" xfId="11308" xr:uid="{00000000-0005-0000-0000-00004D2C0000}"/>
    <cellStyle name="Normal 22 54" xfId="11309" xr:uid="{00000000-0005-0000-0000-00004E2C0000}"/>
    <cellStyle name="Normal 22 55" xfId="11310" xr:uid="{00000000-0005-0000-0000-00004F2C0000}"/>
    <cellStyle name="Normal 22 56" xfId="11311" xr:uid="{00000000-0005-0000-0000-0000502C0000}"/>
    <cellStyle name="Normal 22 57" xfId="11312" xr:uid="{00000000-0005-0000-0000-0000512C0000}"/>
    <cellStyle name="Normal 22 58" xfId="11313" xr:uid="{00000000-0005-0000-0000-0000522C0000}"/>
    <cellStyle name="Normal 22 59" xfId="11314" xr:uid="{00000000-0005-0000-0000-0000532C0000}"/>
    <cellStyle name="Normal 22 6" xfId="11315" xr:uid="{00000000-0005-0000-0000-0000542C0000}"/>
    <cellStyle name="Normal 22 6 2" xfId="11316" xr:uid="{00000000-0005-0000-0000-0000552C0000}"/>
    <cellStyle name="Normal 22 60" xfId="11317" xr:uid="{00000000-0005-0000-0000-0000562C0000}"/>
    <cellStyle name="Normal 22 61" xfId="11318" xr:uid="{00000000-0005-0000-0000-0000572C0000}"/>
    <cellStyle name="Normal 22 62" xfId="11319" xr:uid="{00000000-0005-0000-0000-0000582C0000}"/>
    <cellStyle name="Normal 22 63" xfId="11320" xr:uid="{00000000-0005-0000-0000-0000592C0000}"/>
    <cellStyle name="Normal 22 64" xfId="11321" xr:uid="{00000000-0005-0000-0000-00005A2C0000}"/>
    <cellStyle name="Normal 22 65" xfId="11322" xr:uid="{00000000-0005-0000-0000-00005B2C0000}"/>
    <cellStyle name="Normal 22 66" xfId="11323" xr:uid="{00000000-0005-0000-0000-00005C2C0000}"/>
    <cellStyle name="Normal 22 67" xfId="11324" xr:uid="{00000000-0005-0000-0000-00005D2C0000}"/>
    <cellStyle name="Normal 22 68" xfId="11325" xr:uid="{00000000-0005-0000-0000-00005E2C0000}"/>
    <cellStyle name="Normal 22 69" xfId="11326" xr:uid="{00000000-0005-0000-0000-00005F2C0000}"/>
    <cellStyle name="Normal 22 7" xfId="11327" xr:uid="{00000000-0005-0000-0000-0000602C0000}"/>
    <cellStyle name="Normal 22 7 2" xfId="11328" xr:uid="{00000000-0005-0000-0000-0000612C0000}"/>
    <cellStyle name="Normal 22 70" xfId="11329" xr:uid="{00000000-0005-0000-0000-0000622C0000}"/>
    <cellStyle name="Normal 22 8" xfId="11330" xr:uid="{00000000-0005-0000-0000-0000632C0000}"/>
    <cellStyle name="Normal 22 8 2" xfId="11331" xr:uid="{00000000-0005-0000-0000-0000642C0000}"/>
    <cellStyle name="Normal 22 9" xfId="11332" xr:uid="{00000000-0005-0000-0000-0000652C0000}"/>
    <cellStyle name="Normal 22 9 2" xfId="11333" xr:uid="{00000000-0005-0000-0000-0000662C0000}"/>
    <cellStyle name="Normal 23" xfId="11334" xr:uid="{00000000-0005-0000-0000-0000672C0000}"/>
    <cellStyle name="Normal 23 10" xfId="11335" xr:uid="{00000000-0005-0000-0000-0000682C0000}"/>
    <cellStyle name="Normal 23 10 2" xfId="11336" xr:uid="{00000000-0005-0000-0000-0000692C0000}"/>
    <cellStyle name="Normal 23 11" xfId="11337" xr:uid="{00000000-0005-0000-0000-00006A2C0000}"/>
    <cellStyle name="Normal 23 11 2" xfId="11338" xr:uid="{00000000-0005-0000-0000-00006B2C0000}"/>
    <cellStyle name="Normal 23 12" xfId="11339" xr:uid="{00000000-0005-0000-0000-00006C2C0000}"/>
    <cellStyle name="Normal 23 12 2" xfId="11340" xr:uid="{00000000-0005-0000-0000-00006D2C0000}"/>
    <cellStyle name="Normal 23 13" xfId="11341" xr:uid="{00000000-0005-0000-0000-00006E2C0000}"/>
    <cellStyle name="Normal 23 13 2" xfId="11342" xr:uid="{00000000-0005-0000-0000-00006F2C0000}"/>
    <cellStyle name="Normal 23 14" xfId="11343" xr:uid="{00000000-0005-0000-0000-0000702C0000}"/>
    <cellStyle name="Normal 23 14 2" xfId="11344" xr:uid="{00000000-0005-0000-0000-0000712C0000}"/>
    <cellStyle name="Normal 23 15" xfId="11345" xr:uid="{00000000-0005-0000-0000-0000722C0000}"/>
    <cellStyle name="Normal 23 15 2" xfId="11346" xr:uid="{00000000-0005-0000-0000-0000732C0000}"/>
    <cellStyle name="Normal 23 16" xfId="11347" xr:uid="{00000000-0005-0000-0000-0000742C0000}"/>
    <cellStyle name="Normal 23 16 2" xfId="11348" xr:uid="{00000000-0005-0000-0000-0000752C0000}"/>
    <cellStyle name="Normal 23 17" xfId="11349" xr:uid="{00000000-0005-0000-0000-0000762C0000}"/>
    <cellStyle name="Normal 23 17 2" xfId="11350" xr:uid="{00000000-0005-0000-0000-0000772C0000}"/>
    <cellStyle name="Normal 23 18" xfId="11351" xr:uid="{00000000-0005-0000-0000-0000782C0000}"/>
    <cellStyle name="Normal 23 18 2" xfId="11352" xr:uid="{00000000-0005-0000-0000-0000792C0000}"/>
    <cellStyle name="Normal 23 19" xfId="11353" xr:uid="{00000000-0005-0000-0000-00007A2C0000}"/>
    <cellStyle name="Normal 23 19 2" xfId="11354" xr:uid="{00000000-0005-0000-0000-00007B2C0000}"/>
    <cellStyle name="Normal 23 2" xfId="11355" xr:uid="{00000000-0005-0000-0000-00007C2C0000}"/>
    <cellStyle name="Normal 23 2 2" xfId="11356" xr:uid="{00000000-0005-0000-0000-00007D2C0000}"/>
    <cellStyle name="Normal 23 2 2 2" xfId="11357" xr:uid="{00000000-0005-0000-0000-00007E2C0000}"/>
    <cellStyle name="Normal 23 2 2 3" xfId="11358" xr:uid="{00000000-0005-0000-0000-00007F2C0000}"/>
    <cellStyle name="Normal 23 2 2 4" xfId="11359" xr:uid="{00000000-0005-0000-0000-0000802C0000}"/>
    <cellStyle name="Normal 23 2 3" xfId="11360" xr:uid="{00000000-0005-0000-0000-0000812C0000}"/>
    <cellStyle name="Normal 23 2 3 2" xfId="11361" xr:uid="{00000000-0005-0000-0000-0000822C0000}"/>
    <cellStyle name="Normal 23 2 3 3" xfId="11362" xr:uid="{00000000-0005-0000-0000-0000832C0000}"/>
    <cellStyle name="Normal 23 2 3 4" xfId="11363" xr:uid="{00000000-0005-0000-0000-0000842C0000}"/>
    <cellStyle name="Normal 23 2 4" xfId="11364" xr:uid="{00000000-0005-0000-0000-0000852C0000}"/>
    <cellStyle name="Normal 23 2 5" xfId="11365" xr:uid="{00000000-0005-0000-0000-0000862C0000}"/>
    <cellStyle name="Normal 23 2 6" xfId="11366" xr:uid="{00000000-0005-0000-0000-0000872C0000}"/>
    <cellStyle name="Normal 23 2 7" xfId="11367" xr:uid="{00000000-0005-0000-0000-0000882C0000}"/>
    <cellStyle name="Normal 23 20" xfId="11368" xr:uid="{00000000-0005-0000-0000-0000892C0000}"/>
    <cellStyle name="Normal 23 20 2" xfId="11369" xr:uid="{00000000-0005-0000-0000-00008A2C0000}"/>
    <cellStyle name="Normal 23 21" xfId="11370" xr:uid="{00000000-0005-0000-0000-00008B2C0000}"/>
    <cellStyle name="Normal 23 21 2" xfId="11371" xr:uid="{00000000-0005-0000-0000-00008C2C0000}"/>
    <cellStyle name="Normal 23 22" xfId="11372" xr:uid="{00000000-0005-0000-0000-00008D2C0000}"/>
    <cellStyle name="Normal 23 22 2" xfId="11373" xr:uid="{00000000-0005-0000-0000-00008E2C0000}"/>
    <cellStyle name="Normal 23 23" xfId="11374" xr:uid="{00000000-0005-0000-0000-00008F2C0000}"/>
    <cellStyle name="Normal 23 24" xfId="11375" xr:uid="{00000000-0005-0000-0000-0000902C0000}"/>
    <cellStyle name="Normal 23 25" xfId="11376" xr:uid="{00000000-0005-0000-0000-0000912C0000}"/>
    <cellStyle name="Normal 23 26" xfId="11377" xr:uid="{00000000-0005-0000-0000-0000922C0000}"/>
    <cellStyle name="Normal 23 27" xfId="11378" xr:uid="{00000000-0005-0000-0000-0000932C0000}"/>
    <cellStyle name="Normal 23 28" xfId="11379" xr:uid="{00000000-0005-0000-0000-0000942C0000}"/>
    <cellStyle name="Normal 23 29" xfId="11380" xr:uid="{00000000-0005-0000-0000-0000952C0000}"/>
    <cellStyle name="Normal 23 3" xfId="11381" xr:uid="{00000000-0005-0000-0000-0000962C0000}"/>
    <cellStyle name="Normal 23 3 2" xfId="11382" xr:uid="{00000000-0005-0000-0000-0000972C0000}"/>
    <cellStyle name="Normal 23 3 2 2" xfId="11383" xr:uid="{00000000-0005-0000-0000-0000982C0000}"/>
    <cellStyle name="Normal 23 3 2 3" xfId="11384" xr:uid="{00000000-0005-0000-0000-0000992C0000}"/>
    <cellStyle name="Normal 23 3 2 4" xfId="11385" xr:uid="{00000000-0005-0000-0000-00009A2C0000}"/>
    <cellStyle name="Normal 23 3 3" xfId="11386" xr:uid="{00000000-0005-0000-0000-00009B2C0000}"/>
    <cellStyle name="Normal 23 3 4" xfId="11387" xr:uid="{00000000-0005-0000-0000-00009C2C0000}"/>
    <cellStyle name="Normal 23 3 5" xfId="11388" xr:uid="{00000000-0005-0000-0000-00009D2C0000}"/>
    <cellStyle name="Normal 23 3 6" xfId="11389" xr:uid="{00000000-0005-0000-0000-00009E2C0000}"/>
    <cellStyle name="Normal 23 30" xfId="11390" xr:uid="{00000000-0005-0000-0000-00009F2C0000}"/>
    <cellStyle name="Normal 23 31" xfId="11391" xr:uid="{00000000-0005-0000-0000-0000A02C0000}"/>
    <cellStyle name="Normal 23 32" xfId="11392" xr:uid="{00000000-0005-0000-0000-0000A12C0000}"/>
    <cellStyle name="Normal 23 33" xfId="11393" xr:uid="{00000000-0005-0000-0000-0000A22C0000}"/>
    <cellStyle name="Normal 23 34" xfId="11394" xr:uid="{00000000-0005-0000-0000-0000A32C0000}"/>
    <cellStyle name="Normal 23 35" xfId="11395" xr:uid="{00000000-0005-0000-0000-0000A42C0000}"/>
    <cellStyle name="Normal 23 36" xfId="11396" xr:uid="{00000000-0005-0000-0000-0000A52C0000}"/>
    <cellStyle name="Normal 23 37" xfId="11397" xr:uid="{00000000-0005-0000-0000-0000A62C0000}"/>
    <cellStyle name="Normal 23 38" xfId="11398" xr:uid="{00000000-0005-0000-0000-0000A72C0000}"/>
    <cellStyle name="Normal 23 39" xfId="11399" xr:uid="{00000000-0005-0000-0000-0000A82C0000}"/>
    <cellStyle name="Normal 23 4" xfId="11400" xr:uid="{00000000-0005-0000-0000-0000A92C0000}"/>
    <cellStyle name="Normal 23 4 2" xfId="11401" xr:uid="{00000000-0005-0000-0000-0000AA2C0000}"/>
    <cellStyle name="Normal 23 4 3" xfId="11402" xr:uid="{00000000-0005-0000-0000-0000AB2C0000}"/>
    <cellStyle name="Normal 23 4 4" xfId="11403" xr:uid="{00000000-0005-0000-0000-0000AC2C0000}"/>
    <cellStyle name="Normal 23 40" xfId="11404" xr:uid="{00000000-0005-0000-0000-0000AD2C0000}"/>
    <cellStyle name="Normal 23 41" xfId="11405" xr:uid="{00000000-0005-0000-0000-0000AE2C0000}"/>
    <cellStyle name="Normal 23 42" xfId="11406" xr:uid="{00000000-0005-0000-0000-0000AF2C0000}"/>
    <cellStyle name="Normal 23 43" xfId="11407" xr:uid="{00000000-0005-0000-0000-0000B02C0000}"/>
    <cellStyle name="Normal 23 44" xfId="11408" xr:uid="{00000000-0005-0000-0000-0000B12C0000}"/>
    <cellStyle name="Normal 23 45" xfId="11409" xr:uid="{00000000-0005-0000-0000-0000B22C0000}"/>
    <cellStyle name="Normal 23 46" xfId="11410" xr:uid="{00000000-0005-0000-0000-0000B32C0000}"/>
    <cellStyle name="Normal 23 47" xfId="11411" xr:uid="{00000000-0005-0000-0000-0000B42C0000}"/>
    <cellStyle name="Normal 23 48" xfId="11412" xr:uid="{00000000-0005-0000-0000-0000B52C0000}"/>
    <cellStyle name="Normal 23 49" xfId="11413" xr:uid="{00000000-0005-0000-0000-0000B62C0000}"/>
    <cellStyle name="Normal 23 5" xfId="11414" xr:uid="{00000000-0005-0000-0000-0000B72C0000}"/>
    <cellStyle name="Normal 23 5 2" xfId="11415" xr:uid="{00000000-0005-0000-0000-0000B82C0000}"/>
    <cellStyle name="Normal 23 5 3" xfId="11416" xr:uid="{00000000-0005-0000-0000-0000B92C0000}"/>
    <cellStyle name="Normal 23 5 4" xfId="11417" xr:uid="{00000000-0005-0000-0000-0000BA2C0000}"/>
    <cellStyle name="Normal 23 50" xfId="11418" xr:uid="{00000000-0005-0000-0000-0000BB2C0000}"/>
    <cellStyle name="Normal 23 51" xfId="11419" xr:uid="{00000000-0005-0000-0000-0000BC2C0000}"/>
    <cellStyle name="Normal 23 52" xfId="11420" xr:uid="{00000000-0005-0000-0000-0000BD2C0000}"/>
    <cellStyle name="Normal 23 53" xfId="11421" xr:uid="{00000000-0005-0000-0000-0000BE2C0000}"/>
    <cellStyle name="Normal 23 54" xfId="11422" xr:uid="{00000000-0005-0000-0000-0000BF2C0000}"/>
    <cellStyle name="Normal 23 55" xfId="11423" xr:uid="{00000000-0005-0000-0000-0000C02C0000}"/>
    <cellStyle name="Normal 23 56" xfId="11424" xr:uid="{00000000-0005-0000-0000-0000C12C0000}"/>
    <cellStyle name="Normal 23 57" xfId="11425" xr:uid="{00000000-0005-0000-0000-0000C22C0000}"/>
    <cellStyle name="Normal 23 58" xfId="11426" xr:uid="{00000000-0005-0000-0000-0000C32C0000}"/>
    <cellStyle name="Normal 23 59" xfId="11427" xr:uid="{00000000-0005-0000-0000-0000C42C0000}"/>
    <cellStyle name="Normal 23 6" xfId="11428" xr:uid="{00000000-0005-0000-0000-0000C52C0000}"/>
    <cellStyle name="Normal 23 6 2" xfId="11429" xr:uid="{00000000-0005-0000-0000-0000C62C0000}"/>
    <cellStyle name="Normal 23 60" xfId="11430" xr:uid="{00000000-0005-0000-0000-0000C72C0000}"/>
    <cellStyle name="Normal 23 61" xfId="11431" xr:uid="{00000000-0005-0000-0000-0000C82C0000}"/>
    <cellStyle name="Normal 23 62" xfId="11432" xr:uid="{00000000-0005-0000-0000-0000C92C0000}"/>
    <cellStyle name="Normal 23 63" xfId="11433" xr:uid="{00000000-0005-0000-0000-0000CA2C0000}"/>
    <cellStyle name="Normal 23 64" xfId="11434" xr:uid="{00000000-0005-0000-0000-0000CB2C0000}"/>
    <cellStyle name="Normal 23 65" xfId="11435" xr:uid="{00000000-0005-0000-0000-0000CC2C0000}"/>
    <cellStyle name="Normal 23 66" xfId="11436" xr:uid="{00000000-0005-0000-0000-0000CD2C0000}"/>
    <cellStyle name="Normal 23 67" xfId="11437" xr:uid="{00000000-0005-0000-0000-0000CE2C0000}"/>
    <cellStyle name="Normal 23 68" xfId="11438" xr:uid="{00000000-0005-0000-0000-0000CF2C0000}"/>
    <cellStyle name="Normal 23 69" xfId="11439" xr:uid="{00000000-0005-0000-0000-0000D02C0000}"/>
    <cellStyle name="Normal 23 7" xfId="11440" xr:uid="{00000000-0005-0000-0000-0000D12C0000}"/>
    <cellStyle name="Normal 23 7 2" xfId="11441" xr:uid="{00000000-0005-0000-0000-0000D22C0000}"/>
    <cellStyle name="Normal 23 70" xfId="11442" xr:uid="{00000000-0005-0000-0000-0000D32C0000}"/>
    <cellStyle name="Normal 23 8" xfId="11443" xr:uid="{00000000-0005-0000-0000-0000D42C0000}"/>
    <cellStyle name="Normal 23 8 2" xfId="11444" xr:uid="{00000000-0005-0000-0000-0000D52C0000}"/>
    <cellStyle name="Normal 23 9" xfId="11445" xr:uid="{00000000-0005-0000-0000-0000D62C0000}"/>
    <cellStyle name="Normal 23 9 2" xfId="11446" xr:uid="{00000000-0005-0000-0000-0000D72C0000}"/>
    <cellStyle name="Normal 24" xfId="11447" xr:uid="{00000000-0005-0000-0000-0000D82C0000}"/>
    <cellStyle name="Normal 24 10" xfId="11448" xr:uid="{00000000-0005-0000-0000-0000D92C0000}"/>
    <cellStyle name="Normal 24 10 2" xfId="11449" xr:uid="{00000000-0005-0000-0000-0000DA2C0000}"/>
    <cellStyle name="Normal 24 11" xfId="11450" xr:uid="{00000000-0005-0000-0000-0000DB2C0000}"/>
    <cellStyle name="Normal 24 11 2" xfId="11451" xr:uid="{00000000-0005-0000-0000-0000DC2C0000}"/>
    <cellStyle name="Normal 24 12" xfId="11452" xr:uid="{00000000-0005-0000-0000-0000DD2C0000}"/>
    <cellStyle name="Normal 24 12 2" xfId="11453" xr:uid="{00000000-0005-0000-0000-0000DE2C0000}"/>
    <cellStyle name="Normal 24 13" xfId="11454" xr:uid="{00000000-0005-0000-0000-0000DF2C0000}"/>
    <cellStyle name="Normal 24 13 2" xfId="11455" xr:uid="{00000000-0005-0000-0000-0000E02C0000}"/>
    <cellStyle name="Normal 24 14" xfId="11456" xr:uid="{00000000-0005-0000-0000-0000E12C0000}"/>
    <cellStyle name="Normal 24 14 2" xfId="11457" xr:uid="{00000000-0005-0000-0000-0000E22C0000}"/>
    <cellStyle name="Normal 24 15" xfId="11458" xr:uid="{00000000-0005-0000-0000-0000E32C0000}"/>
    <cellStyle name="Normal 24 15 2" xfId="11459" xr:uid="{00000000-0005-0000-0000-0000E42C0000}"/>
    <cellStyle name="Normal 24 16" xfId="11460" xr:uid="{00000000-0005-0000-0000-0000E52C0000}"/>
    <cellStyle name="Normal 24 16 2" xfId="11461" xr:uid="{00000000-0005-0000-0000-0000E62C0000}"/>
    <cellStyle name="Normal 24 17" xfId="11462" xr:uid="{00000000-0005-0000-0000-0000E72C0000}"/>
    <cellStyle name="Normal 24 17 2" xfId="11463" xr:uid="{00000000-0005-0000-0000-0000E82C0000}"/>
    <cellStyle name="Normal 24 18" xfId="11464" xr:uid="{00000000-0005-0000-0000-0000E92C0000}"/>
    <cellStyle name="Normal 24 18 2" xfId="11465" xr:uid="{00000000-0005-0000-0000-0000EA2C0000}"/>
    <cellStyle name="Normal 24 19" xfId="11466" xr:uid="{00000000-0005-0000-0000-0000EB2C0000}"/>
    <cellStyle name="Normal 24 19 2" xfId="11467" xr:uid="{00000000-0005-0000-0000-0000EC2C0000}"/>
    <cellStyle name="Normal 24 2" xfId="11468" xr:uid="{00000000-0005-0000-0000-0000ED2C0000}"/>
    <cellStyle name="Normal 24 2 2" xfId="11469" xr:uid="{00000000-0005-0000-0000-0000EE2C0000}"/>
    <cellStyle name="Normal 24 2 2 2" xfId="11470" xr:uid="{00000000-0005-0000-0000-0000EF2C0000}"/>
    <cellStyle name="Normal 24 2 2 3" xfId="11471" xr:uid="{00000000-0005-0000-0000-0000F02C0000}"/>
    <cellStyle name="Normal 24 2 2 4" xfId="11472" xr:uid="{00000000-0005-0000-0000-0000F12C0000}"/>
    <cellStyle name="Normal 24 2 3" xfId="11473" xr:uid="{00000000-0005-0000-0000-0000F22C0000}"/>
    <cellStyle name="Normal 24 2 3 2" xfId="11474" xr:uid="{00000000-0005-0000-0000-0000F32C0000}"/>
    <cellStyle name="Normal 24 2 3 3" xfId="11475" xr:uid="{00000000-0005-0000-0000-0000F42C0000}"/>
    <cellStyle name="Normal 24 2 3 4" xfId="11476" xr:uid="{00000000-0005-0000-0000-0000F52C0000}"/>
    <cellStyle name="Normal 24 2 4" xfId="11477" xr:uid="{00000000-0005-0000-0000-0000F62C0000}"/>
    <cellStyle name="Normal 24 2 5" xfId="11478" xr:uid="{00000000-0005-0000-0000-0000F72C0000}"/>
    <cellStyle name="Normal 24 2 6" xfId="11479" xr:uid="{00000000-0005-0000-0000-0000F82C0000}"/>
    <cellStyle name="Normal 24 2 7" xfId="11480" xr:uid="{00000000-0005-0000-0000-0000F92C0000}"/>
    <cellStyle name="Normal 24 20" xfId="11481" xr:uid="{00000000-0005-0000-0000-0000FA2C0000}"/>
    <cellStyle name="Normal 24 20 2" xfId="11482" xr:uid="{00000000-0005-0000-0000-0000FB2C0000}"/>
    <cellStyle name="Normal 24 21" xfId="11483" xr:uid="{00000000-0005-0000-0000-0000FC2C0000}"/>
    <cellStyle name="Normal 24 21 2" xfId="11484" xr:uid="{00000000-0005-0000-0000-0000FD2C0000}"/>
    <cellStyle name="Normal 24 22" xfId="11485" xr:uid="{00000000-0005-0000-0000-0000FE2C0000}"/>
    <cellStyle name="Normal 24 22 2" xfId="11486" xr:uid="{00000000-0005-0000-0000-0000FF2C0000}"/>
    <cellStyle name="Normal 24 23" xfId="11487" xr:uid="{00000000-0005-0000-0000-0000002D0000}"/>
    <cellStyle name="Normal 24 24" xfId="11488" xr:uid="{00000000-0005-0000-0000-0000012D0000}"/>
    <cellStyle name="Normal 24 25" xfId="11489" xr:uid="{00000000-0005-0000-0000-0000022D0000}"/>
    <cellStyle name="Normal 24 26" xfId="11490" xr:uid="{00000000-0005-0000-0000-0000032D0000}"/>
    <cellStyle name="Normal 24 27" xfId="11491" xr:uid="{00000000-0005-0000-0000-0000042D0000}"/>
    <cellStyle name="Normal 24 28" xfId="11492" xr:uid="{00000000-0005-0000-0000-0000052D0000}"/>
    <cellStyle name="Normal 24 29" xfId="11493" xr:uid="{00000000-0005-0000-0000-0000062D0000}"/>
    <cellStyle name="Normal 24 3" xfId="11494" xr:uid="{00000000-0005-0000-0000-0000072D0000}"/>
    <cellStyle name="Normal 24 3 2" xfId="11495" xr:uid="{00000000-0005-0000-0000-0000082D0000}"/>
    <cellStyle name="Normal 24 3 2 2" xfId="11496" xr:uid="{00000000-0005-0000-0000-0000092D0000}"/>
    <cellStyle name="Normal 24 3 2 3" xfId="11497" xr:uid="{00000000-0005-0000-0000-00000A2D0000}"/>
    <cellStyle name="Normal 24 3 2 4" xfId="11498" xr:uid="{00000000-0005-0000-0000-00000B2D0000}"/>
    <cellStyle name="Normal 24 3 3" xfId="11499" xr:uid="{00000000-0005-0000-0000-00000C2D0000}"/>
    <cellStyle name="Normal 24 3 4" xfId="11500" xr:uid="{00000000-0005-0000-0000-00000D2D0000}"/>
    <cellStyle name="Normal 24 3 5" xfId="11501" xr:uid="{00000000-0005-0000-0000-00000E2D0000}"/>
    <cellStyle name="Normal 24 3 6" xfId="11502" xr:uid="{00000000-0005-0000-0000-00000F2D0000}"/>
    <cellStyle name="Normal 24 30" xfId="11503" xr:uid="{00000000-0005-0000-0000-0000102D0000}"/>
    <cellStyle name="Normal 24 31" xfId="11504" xr:uid="{00000000-0005-0000-0000-0000112D0000}"/>
    <cellStyle name="Normal 24 32" xfId="11505" xr:uid="{00000000-0005-0000-0000-0000122D0000}"/>
    <cellStyle name="Normal 24 33" xfId="11506" xr:uid="{00000000-0005-0000-0000-0000132D0000}"/>
    <cellStyle name="Normal 24 34" xfId="11507" xr:uid="{00000000-0005-0000-0000-0000142D0000}"/>
    <cellStyle name="Normal 24 35" xfId="11508" xr:uid="{00000000-0005-0000-0000-0000152D0000}"/>
    <cellStyle name="Normal 24 36" xfId="11509" xr:uid="{00000000-0005-0000-0000-0000162D0000}"/>
    <cellStyle name="Normal 24 37" xfId="11510" xr:uid="{00000000-0005-0000-0000-0000172D0000}"/>
    <cellStyle name="Normal 24 38" xfId="11511" xr:uid="{00000000-0005-0000-0000-0000182D0000}"/>
    <cellStyle name="Normal 24 39" xfId="11512" xr:uid="{00000000-0005-0000-0000-0000192D0000}"/>
    <cellStyle name="Normal 24 4" xfId="11513" xr:uid="{00000000-0005-0000-0000-00001A2D0000}"/>
    <cellStyle name="Normal 24 4 2" xfId="11514" xr:uid="{00000000-0005-0000-0000-00001B2D0000}"/>
    <cellStyle name="Normal 24 4 3" xfId="11515" xr:uid="{00000000-0005-0000-0000-00001C2D0000}"/>
    <cellStyle name="Normal 24 4 4" xfId="11516" xr:uid="{00000000-0005-0000-0000-00001D2D0000}"/>
    <cellStyle name="Normal 24 40" xfId="11517" xr:uid="{00000000-0005-0000-0000-00001E2D0000}"/>
    <cellStyle name="Normal 24 41" xfId="11518" xr:uid="{00000000-0005-0000-0000-00001F2D0000}"/>
    <cellStyle name="Normal 24 42" xfId="11519" xr:uid="{00000000-0005-0000-0000-0000202D0000}"/>
    <cellStyle name="Normal 24 43" xfId="11520" xr:uid="{00000000-0005-0000-0000-0000212D0000}"/>
    <cellStyle name="Normal 24 44" xfId="11521" xr:uid="{00000000-0005-0000-0000-0000222D0000}"/>
    <cellStyle name="Normal 24 45" xfId="11522" xr:uid="{00000000-0005-0000-0000-0000232D0000}"/>
    <cellStyle name="Normal 24 46" xfId="11523" xr:uid="{00000000-0005-0000-0000-0000242D0000}"/>
    <cellStyle name="Normal 24 47" xfId="11524" xr:uid="{00000000-0005-0000-0000-0000252D0000}"/>
    <cellStyle name="Normal 24 48" xfId="11525" xr:uid="{00000000-0005-0000-0000-0000262D0000}"/>
    <cellStyle name="Normal 24 49" xfId="11526" xr:uid="{00000000-0005-0000-0000-0000272D0000}"/>
    <cellStyle name="Normal 24 5" xfId="11527" xr:uid="{00000000-0005-0000-0000-0000282D0000}"/>
    <cellStyle name="Normal 24 5 2" xfId="11528" xr:uid="{00000000-0005-0000-0000-0000292D0000}"/>
    <cellStyle name="Normal 24 5 3" xfId="11529" xr:uid="{00000000-0005-0000-0000-00002A2D0000}"/>
    <cellStyle name="Normal 24 5 4" xfId="11530" xr:uid="{00000000-0005-0000-0000-00002B2D0000}"/>
    <cellStyle name="Normal 24 50" xfId="11531" xr:uid="{00000000-0005-0000-0000-00002C2D0000}"/>
    <cellStyle name="Normal 24 51" xfId="11532" xr:uid="{00000000-0005-0000-0000-00002D2D0000}"/>
    <cellStyle name="Normal 24 52" xfId="11533" xr:uid="{00000000-0005-0000-0000-00002E2D0000}"/>
    <cellStyle name="Normal 24 53" xfId="11534" xr:uid="{00000000-0005-0000-0000-00002F2D0000}"/>
    <cellStyle name="Normal 24 54" xfId="11535" xr:uid="{00000000-0005-0000-0000-0000302D0000}"/>
    <cellStyle name="Normal 24 55" xfId="11536" xr:uid="{00000000-0005-0000-0000-0000312D0000}"/>
    <cellStyle name="Normal 24 56" xfId="11537" xr:uid="{00000000-0005-0000-0000-0000322D0000}"/>
    <cellStyle name="Normal 24 57" xfId="11538" xr:uid="{00000000-0005-0000-0000-0000332D0000}"/>
    <cellStyle name="Normal 24 58" xfId="11539" xr:uid="{00000000-0005-0000-0000-0000342D0000}"/>
    <cellStyle name="Normal 24 59" xfId="11540" xr:uid="{00000000-0005-0000-0000-0000352D0000}"/>
    <cellStyle name="Normal 24 6" xfId="11541" xr:uid="{00000000-0005-0000-0000-0000362D0000}"/>
    <cellStyle name="Normal 24 6 2" xfId="11542" xr:uid="{00000000-0005-0000-0000-0000372D0000}"/>
    <cellStyle name="Normal 24 60" xfId="11543" xr:uid="{00000000-0005-0000-0000-0000382D0000}"/>
    <cellStyle name="Normal 24 61" xfId="11544" xr:uid="{00000000-0005-0000-0000-0000392D0000}"/>
    <cellStyle name="Normal 24 62" xfId="11545" xr:uid="{00000000-0005-0000-0000-00003A2D0000}"/>
    <cellStyle name="Normal 24 63" xfId="11546" xr:uid="{00000000-0005-0000-0000-00003B2D0000}"/>
    <cellStyle name="Normal 24 64" xfId="11547" xr:uid="{00000000-0005-0000-0000-00003C2D0000}"/>
    <cellStyle name="Normal 24 65" xfId="11548" xr:uid="{00000000-0005-0000-0000-00003D2D0000}"/>
    <cellStyle name="Normal 24 66" xfId="11549" xr:uid="{00000000-0005-0000-0000-00003E2D0000}"/>
    <cellStyle name="Normal 24 67" xfId="11550" xr:uid="{00000000-0005-0000-0000-00003F2D0000}"/>
    <cellStyle name="Normal 24 68" xfId="11551" xr:uid="{00000000-0005-0000-0000-0000402D0000}"/>
    <cellStyle name="Normal 24 69" xfId="11552" xr:uid="{00000000-0005-0000-0000-0000412D0000}"/>
    <cellStyle name="Normal 24 7" xfId="11553" xr:uid="{00000000-0005-0000-0000-0000422D0000}"/>
    <cellStyle name="Normal 24 7 2" xfId="11554" xr:uid="{00000000-0005-0000-0000-0000432D0000}"/>
    <cellStyle name="Normal 24 70" xfId="11555" xr:uid="{00000000-0005-0000-0000-0000442D0000}"/>
    <cellStyle name="Normal 24 8" xfId="11556" xr:uid="{00000000-0005-0000-0000-0000452D0000}"/>
    <cellStyle name="Normal 24 8 2" xfId="11557" xr:uid="{00000000-0005-0000-0000-0000462D0000}"/>
    <cellStyle name="Normal 24 9" xfId="11558" xr:uid="{00000000-0005-0000-0000-0000472D0000}"/>
    <cellStyle name="Normal 24 9 2" xfId="11559" xr:uid="{00000000-0005-0000-0000-0000482D0000}"/>
    <cellStyle name="Normal 25" xfId="11560" xr:uid="{00000000-0005-0000-0000-0000492D0000}"/>
    <cellStyle name="Normal 25 10" xfId="11561" xr:uid="{00000000-0005-0000-0000-00004A2D0000}"/>
    <cellStyle name="Normal 25 10 2" xfId="11562" xr:uid="{00000000-0005-0000-0000-00004B2D0000}"/>
    <cellStyle name="Normal 25 11" xfId="11563" xr:uid="{00000000-0005-0000-0000-00004C2D0000}"/>
    <cellStyle name="Normal 25 11 2" xfId="11564" xr:uid="{00000000-0005-0000-0000-00004D2D0000}"/>
    <cellStyle name="Normal 25 12" xfId="11565" xr:uid="{00000000-0005-0000-0000-00004E2D0000}"/>
    <cellStyle name="Normal 25 12 2" xfId="11566" xr:uid="{00000000-0005-0000-0000-00004F2D0000}"/>
    <cellStyle name="Normal 25 13" xfId="11567" xr:uid="{00000000-0005-0000-0000-0000502D0000}"/>
    <cellStyle name="Normal 25 13 2" xfId="11568" xr:uid="{00000000-0005-0000-0000-0000512D0000}"/>
    <cellStyle name="Normal 25 14" xfId="11569" xr:uid="{00000000-0005-0000-0000-0000522D0000}"/>
    <cellStyle name="Normal 25 14 2" xfId="11570" xr:uid="{00000000-0005-0000-0000-0000532D0000}"/>
    <cellStyle name="Normal 25 15" xfId="11571" xr:uid="{00000000-0005-0000-0000-0000542D0000}"/>
    <cellStyle name="Normal 25 15 2" xfId="11572" xr:uid="{00000000-0005-0000-0000-0000552D0000}"/>
    <cellStyle name="Normal 25 16" xfId="11573" xr:uid="{00000000-0005-0000-0000-0000562D0000}"/>
    <cellStyle name="Normal 25 16 2" xfId="11574" xr:uid="{00000000-0005-0000-0000-0000572D0000}"/>
    <cellStyle name="Normal 25 17" xfId="11575" xr:uid="{00000000-0005-0000-0000-0000582D0000}"/>
    <cellStyle name="Normal 25 17 2" xfId="11576" xr:uid="{00000000-0005-0000-0000-0000592D0000}"/>
    <cellStyle name="Normal 25 18" xfId="11577" xr:uid="{00000000-0005-0000-0000-00005A2D0000}"/>
    <cellStyle name="Normal 25 18 2" xfId="11578" xr:uid="{00000000-0005-0000-0000-00005B2D0000}"/>
    <cellStyle name="Normal 25 19" xfId="11579" xr:uid="{00000000-0005-0000-0000-00005C2D0000}"/>
    <cellStyle name="Normal 25 19 2" xfId="11580" xr:uid="{00000000-0005-0000-0000-00005D2D0000}"/>
    <cellStyle name="Normal 25 2" xfId="11581" xr:uid="{00000000-0005-0000-0000-00005E2D0000}"/>
    <cellStyle name="Normal 25 2 2" xfId="11582" xr:uid="{00000000-0005-0000-0000-00005F2D0000}"/>
    <cellStyle name="Normal 25 2 2 2" xfId="11583" xr:uid="{00000000-0005-0000-0000-0000602D0000}"/>
    <cellStyle name="Normal 25 2 2 3" xfId="11584" xr:uid="{00000000-0005-0000-0000-0000612D0000}"/>
    <cellStyle name="Normal 25 2 2 4" xfId="11585" xr:uid="{00000000-0005-0000-0000-0000622D0000}"/>
    <cellStyle name="Normal 25 2 3" xfId="11586" xr:uid="{00000000-0005-0000-0000-0000632D0000}"/>
    <cellStyle name="Normal 25 2 3 2" xfId="11587" xr:uid="{00000000-0005-0000-0000-0000642D0000}"/>
    <cellStyle name="Normal 25 2 3 3" xfId="11588" xr:uid="{00000000-0005-0000-0000-0000652D0000}"/>
    <cellStyle name="Normal 25 2 3 4" xfId="11589" xr:uid="{00000000-0005-0000-0000-0000662D0000}"/>
    <cellStyle name="Normal 25 2 4" xfId="11590" xr:uid="{00000000-0005-0000-0000-0000672D0000}"/>
    <cellStyle name="Normal 25 2 5" xfId="11591" xr:uid="{00000000-0005-0000-0000-0000682D0000}"/>
    <cellStyle name="Normal 25 2 6" xfId="11592" xr:uid="{00000000-0005-0000-0000-0000692D0000}"/>
    <cellStyle name="Normal 25 2 7" xfId="11593" xr:uid="{00000000-0005-0000-0000-00006A2D0000}"/>
    <cellStyle name="Normal 25 20" xfId="11594" xr:uid="{00000000-0005-0000-0000-00006B2D0000}"/>
    <cellStyle name="Normal 25 20 2" xfId="11595" xr:uid="{00000000-0005-0000-0000-00006C2D0000}"/>
    <cellStyle name="Normal 25 21" xfId="11596" xr:uid="{00000000-0005-0000-0000-00006D2D0000}"/>
    <cellStyle name="Normal 25 21 2" xfId="11597" xr:uid="{00000000-0005-0000-0000-00006E2D0000}"/>
    <cellStyle name="Normal 25 22" xfId="11598" xr:uid="{00000000-0005-0000-0000-00006F2D0000}"/>
    <cellStyle name="Normal 25 22 2" xfId="11599" xr:uid="{00000000-0005-0000-0000-0000702D0000}"/>
    <cellStyle name="Normal 25 23" xfId="11600" xr:uid="{00000000-0005-0000-0000-0000712D0000}"/>
    <cellStyle name="Normal 25 24" xfId="11601" xr:uid="{00000000-0005-0000-0000-0000722D0000}"/>
    <cellStyle name="Normal 25 25" xfId="11602" xr:uid="{00000000-0005-0000-0000-0000732D0000}"/>
    <cellStyle name="Normal 25 26" xfId="11603" xr:uid="{00000000-0005-0000-0000-0000742D0000}"/>
    <cellStyle name="Normal 25 27" xfId="11604" xr:uid="{00000000-0005-0000-0000-0000752D0000}"/>
    <cellStyle name="Normal 25 28" xfId="11605" xr:uid="{00000000-0005-0000-0000-0000762D0000}"/>
    <cellStyle name="Normal 25 29" xfId="11606" xr:uid="{00000000-0005-0000-0000-0000772D0000}"/>
    <cellStyle name="Normal 25 3" xfId="11607" xr:uid="{00000000-0005-0000-0000-0000782D0000}"/>
    <cellStyle name="Normal 25 3 2" xfId="11608" xr:uid="{00000000-0005-0000-0000-0000792D0000}"/>
    <cellStyle name="Normal 25 3 2 2" xfId="11609" xr:uid="{00000000-0005-0000-0000-00007A2D0000}"/>
    <cellStyle name="Normal 25 3 2 3" xfId="11610" xr:uid="{00000000-0005-0000-0000-00007B2D0000}"/>
    <cellStyle name="Normal 25 3 2 4" xfId="11611" xr:uid="{00000000-0005-0000-0000-00007C2D0000}"/>
    <cellStyle name="Normal 25 3 3" xfId="11612" xr:uid="{00000000-0005-0000-0000-00007D2D0000}"/>
    <cellStyle name="Normal 25 3 4" xfId="11613" xr:uid="{00000000-0005-0000-0000-00007E2D0000}"/>
    <cellStyle name="Normal 25 3 5" xfId="11614" xr:uid="{00000000-0005-0000-0000-00007F2D0000}"/>
    <cellStyle name="Normal 25 3 6" xfId="11615" xr:uid="{00000000-0005-0000-0000-0000802D0000}"/>
    <cellStyle name="Normal 25 30" xfId="11616" xr:uid="{00000000-0005-0000-0000-0000812D0000}"/>
    <cellStyle name="Normal 25 31" xfId="11617" xr:uid="{00000000-0005-0000-0000-0000822D0000}"/>
    <cellStyle name="Normal 25 32" xfId="11618" xr:uid="{00000000-0005-0000-0000-0000832D0000}"/>
    <cellStyle name="Normal 25 33" xfId="11619" xr:uid="{00000000-0005-0000-0000-0000842D0000}"/>
    <cellStyle name="Normal 25 34" xfId="11620" xr:uid="{00000000-0005-0000-0000-0000852D0000}"/>
    <cellStyle name="Normal 25 35" xfId="11621" xr:uid="{00000000-0005-0000-0000-0000862D0000}"/>
    <cellStyle name="Normal 25 36" xfId="11622" xr:uid="{00000000-0005-0000-0000-0000872D0000}"/>
    <cellStyle name="Normal 25 37" xfId="11623" xr:uid="{00000000-0005-0000-0000-0000882D0000}"/>
    <cellStyle name="Normal 25 38" xfId="11624" xr:uid="{00000000-0005-0000-0000-0000892D0000}"/>
    <cellStyle name="Normal 25 39" xfId="11625" xr:uid="{00000000-0005-0000-0000-00008A2D0000}"/>
    <cellStyle name="Normal 25 4" xfId="11626" xr:uid="{00000000-0005-0000-0000-00008B2D0000}"/>
    <cellStyle name="Normal 25 4 2" xfId="11627" xr:uid="{00000000-0005-0000-0000-00008C2D0000}"/>
    <cellStyle name="Normal 25 4 3" xfId="11628" xr:uid="{00000000-0005-0000-0000-00008D2D0000}"/>
    <cellStyle name="Normal 25 4 4" xfId="11629" xr:uid="{00000000-0005-0000-0000-00008E2D0000}"/>
    <cellStyle name="Normal 25 40" xfId="11630" xr:uid="{00000000-0005-0000-0000-00008F2D0000}"/>
    <cellStyle name="Normal 25 41" xfId="11631" xr:uid="{00000000-0005-0000-0000-0000902D0000}"/>
    <cellStyle name="Normal 25 42" xfId="11632" xr:uid="{00000000-0005-0000-0000-0000912D0000}"/>
    <cellStyle name="Normal 25 43" xfId="11633" xr:uid="{00000000-0005-0000-0000-0000922D0000}"/>
    <cellStyle name="Normal 25 44" xfId="11634" xr:uid="{00000000-0005-0000-0000-0000932D0000}"/>
    <cellStyle name="Normal 25 45" xfId="11635" xr:uid="{00000000-0005-0000-0000-0000942D0000}"/>
    <cellStyle name="Normal 25 46" xfId="11636" xr:uid="{00000000-0005-0000-0000-0000952D0000}"/>
    <cellStyle name="Normal 25 47" xfId="11637" xr:uid="{00000000-0005-0000-0000-0000962D0000}"/>
    <cellStyle name="Normal 25 48" xfId="11638" xr:uid="{00000000-0005-0000-0000-0000972D0000}"/>
    <cellStyle name="Normal 25 49" xfId="11639" xr:uid="{00000000-0005-0000-0000-0000982D0000}"/>
    <cellStyle name="Normal 25 5" xfId="11640" xr:uid="{00000000-0005-0000-0000-0000992D0000}"/>
    <cellStyle name="Normal 25 5 2" xfId="11641" xr:uid="{00000000-0005-0000-0000-00009A2D0000}"/>
    <cellStyle name="Normal 25 5 3" xfId="11642" xr:uid="{00000000-0005-0000-0000-00009B2D0000}"/>
    <cellStyle name="Normal 25 5 4" xfId="11643" xr:uid="{00000000-0005-0000-0000-00009C2D0000}"/>
    <cellStyle name="Normal 25 50" xfId="11644" xr:uid="{00000000-0005-0000-0000-00009D2D0000}"/>
    <cellStyle name="Normal 25 51" xfId="11645" xr:uid="{00000000-0005-0000-0000-00009E2D0000}"/>
    <cellStyle name="Normal 25 52" xfId="11646" xr:uid="{00000000-0005-0000-0000-00009F2D0000}"/>
    <cellStyle name="Normal 25 53" xfId="11647" xr:uid="{00000000-0005-0000-0000-0000A02D0000}"/>
    <cellStyle name="Normal 25 54" xfId="11648" xr:uid="{00000000-0005-0000-0000-0000A12D0000}"/>
    <cellStyle name="Normal 25 55" xfId="11649" xr:uid="{00000000-0005-0000-0000-0000A22D0000}"/>
    <cellStyle name="Normal 25 56" xfId="11650" xr:uid="{00000000-0005-0000-0000-0000A32D0000}"/>
    <cellStyle name="Normal 25 57" xfId="11651" xr:uid="{00000000-0005-0000-0000-0000A42D0000}"/>
    <cellStyle name="Normal 25 58" xfId="11652" xr:uid="{00000000-0005-0000-0000-0000A52D0000}"/>
    <cellStyle name="Normal 25 59" xfId="11653" xr:uid="{00000000-0005-0000-0000-0000A62D0000}"/>
    <cellStyle name="Normal 25 6" xfId="11654" xr:uid="{00000000-0005-0000-0000-0000A72D0000}"/>
    <cellStyle name="Normal 25 6 2" xfId="11655" xr:uid="{00000000-0005-0000-0000-0000A82D0000}"/>
    <cellStyle name="Normal 25 60" xfId="11656" xr:uid="{00000000-0005-0000-0000-0000A92D0000}"/>
    <cellStyle name="Normal 25 61" xfId="11657" xr:uid="{00000000-0005-0000-0000-0000AA2D0000}"/>
    <cellStyle name="Normal 25 62" xfId="11658" xr:uid="{00000000-0005-0000-0000-0000AB2D0000}"/>
    <cellStyle name="Normal 25 63" xfId="11659" xr:uid="{00000000-0005-0000-0000-0000AC2D0000}"/>
    <cellStyle name="Normal 25 64" xfId="11660" xr:uid="{00000000-0005-0000-0000-0000AD2D0000}"/>
    <cellStyle name="Normal 25 65" xfId="11661" xr:uid="{00000000-0005-0000-0000-0000AE2D0000}"/>
    <cellStyle name="Normal 25 66" xfId="11662" xr:uid="{00000000-0005-0000-0000-0000AF2D0000}"/>
    <cellStyle name="Normal 25 67" xfId="11663" xr:uid="{00000000-0005-0000-0000-0000B02D0000}"/>
    <cellStyle name="Normal 25 68" xfId="11664" xr:uid="{00000000-0005-0000-0000-0000B12D0000}"/>
    <cellStyle name="Normal 25 69" xfId="11665" xr:uid="{00000000-0005-0000-0000-0000B22D0000}"/>
    <cellStyle name="Normal 25 7" xfId="11666" xr:uid="{00000000-0005-0000-0000-0000B32D0000}"/>
    <cellStyle name="Normal 25 7 2" xfId="11667" xr:uid="{00000000-0005-0000-0000-0000B42D0000}"/>
    <cellStyle name="Normal 25 70" xfId="11668" xr:uid="{00000000-0005-0000-0000-0000B52D0000}"/>
    <cellStyle name="Normal 25 8" xfId="11669" xr:uid="{00000000-0005-0000-0000-0000B62D0000}"/>
    <cellStyle name="Normal 25 8 2" xfId="11670" xr:uid="{00000000-0005-0000-0000-0000B72D0000}"/>
    <cellStyle name="Normal 25 9" xfId="11671" xr:uid="{00000000-0005-0000-0000-0000B82D0000}"/>
    <cellStyle name="Normal 25 9 2" xfId="11672" xr:uid="{00000000-0005-0000-0000-0000B92D0000}"/>
    <cellStyle name="Normal 26" xfId="11673" xr:uid="{00000000-0005-0000-0000-0000BA2D0000}"/>
    <cellStyle name="Normal 26 10" xfId="11674" xr:uid="{00000000-0005-0000-0000-0000BB2D0000}"/>
    <cellStyle name="Normal 26 10 2" xfId="11675" xr:uid="{00000000-0005-0000-0000-0000BC2D0000}"/>
    <cellStyle name="Normal 26 11" xfId="11676" xr:uid="{00000000-0005-0000-0000-0000BD2D0000}"/>
    <cellStyle name="Normal 26 11 2" xfId="11677" xr:uid="{00000000-0005-0000-0000-0000BE2D0000}"/>
    <cellStyle name="Normal 26 12" xfId="11678" xr:uid="{00000000-0005-0000-0000-0000BF2D0000}"/>
    <cellStyle name="Normal 26 12 2" xfId="11679" xr:uid="{00000000-0005-0000-0000-0000C02D0000}"/>
    <cellStyle name="Normal 26 13" xfId="11680" xr:uid="{00000000-0005-0000-0000-0000C12D0000}"/>
    <cellStyle name="Normal 26 13 2" xfId="11681" xr:uid="{00000000-0005-0000-0000-0000C22D0000}"/>
    <cellStyle name="Normal 26 14" xfId="11682" xr:uid="{00000000-0005-0000-0000-0000C32D0000}"/>
    <cellStyle name="Normal 26 14 2" xfId="11683" xr:uid="{00000000-0005-0000-0000-0000C42D0000}"/>
    <cellStyle name="Normal 26 15" xfId="11684" xr:uid="{00000000-0005-0000-0000-0000C52D0000}"/>
    <cellStyle name="Normal 26 15 2" xfId="11685" xr:uid="{00000000-0005-0000-0000-0000C62D0000}"/>
    <cellStyle name="Normal 26 16" xfId="11686" xr:uid="{00000000-0005-0000-0000-0000C72D0000}"/>
    <cellStyle name="Normal 26 16 2" xfId="11687" xr:uid="{00000000-0005-0000-0000-0000C82D0000}"/>
    <cellStyle name="Normal 26 17" xfId="11688" xr:uid="{00000000-0005-0000-0000-0000C92D0000}"/>
    <cellStyle name="Normal 26 17 2" xfId="11689" xr:uid="{00000000-0005-0000-0000-0000CA2D0000}"/>
    <cellStyle name="Normal 26 18" xfId="11690" xr:uid="{00000000-0005-0000-0000-0000CB2D0000}"/>
    <cellStyle name="Normal 26 18 2" xfId="11691" xr:uid="{00000000-0005-0000-0000-0000CC2D0000}"/>
    <cellStyle name="Normal 26 19" xfId="11692" xr:uid="{00000000-0005-0000-0000-0000CD2D0000}"/>
    <cellStyle name="Normal 26 19 2" xfId="11693" xr:uid="{00000000-0005-0000-0000-0000CE2D0000}"/>
    <cellStyle name="Normal 26 2" xfId="11694" xr:uid="{00000000-0005-0000-0000-0000CF2D0000}"/>
    <cellStyle name="Normal 26 2 2" xfId="11695" xr:uid="{00000000-0005-0000-0000-0000D02D0000}"/>
    <cellStyle name="Normal 26 2 2 2" xfId="11696" xr:uid="{00000000-0005-0000-0000-0000D12D0000}"/>
    <cellStyle name="Normal 26 2 2 3" xfId="11697" xr:uid="{00000000-0005-0000-0000-0000D22D0000}"/>
    <cellStyle name="Normal 26 2 2 4" xfId="11698" xr:uid="{00000000-0005-0000-0000-0000D32D0000}"/>
    <cellStyle name="Normal 26 2 3" xfId="11699" xr:uid="{00000000-0005-0000-0000-0000D42D0000}"/>
    <cellStyle name="Normal 26 2 3 2" xfId="11700" xr:uid="{00000000-0005-0000-0000-0000D52D0000}"/>
    <cellStyle name="Normal 26 2 3 3" xfId="11701" xr:uid="{00000000-0005-0000-0000-0000D62D0000}"/>
    <cellStyle name="Normal 26 2 3 4" xfId="11702" xr:uid="{00000000-0005-0000-0000-0000D72D0000}"/>
    <cellStyle name="Normal 26 2 4" xfId="11703" xr:uid="{00000000-0005-0000-0000-0000D82D0000}"/>
    <cellStyle name="Normal 26 2 5" xfId="11704" xr:uid="{00000000-0005-0000-0000-0000D92D0000}"/>
    <cellStyle name="Normal 26 2 6" xfId="11705" xr:uid="{00000000-0005-0000-0000-0000DA2D0000}"/>
    <cellStyle name="Normal 26 2 7" xfId="11706" xr:uid="{00000000-0005-0000-0000-0000DB2D0000}"/>
    <cellStyle name="Normal 26 20" xfId="11707" xr:uid="{00000000-0005-0000-0000-0000DC2D0000}"/>
    <cellStyle name="Normal 26 20 2" xfId="11708" xr:uid="{00000000-0005-0000-0000-0000DD2D0000}"/>
    <cellStyle name="Normal 26 21" xfId="11709" xr:uid="{00000000-0005-0000-0000-0000DE2D0000}"/>
    <cellStyle name="Normal 26 21 2" xfId="11710" xr:uid="{00000000-0005-0000-0000-0000DF2D0000}"/>
    <cellStyle name="Normal 26 22" xfId="11711" xr:uid="{00000000-0005-0000-0000-0000E02D0000}"/>
    <cellStyle name="Normal 26 22 2" xfId="11712" xr:uid="{00000000-0005-0000-0000-0000E12D0000}"/>
    <cellStyle name="Normal 26 23" xfId="11713" xr:uid="{00000000-0005-0000-0000-0000E22D0000}"/>
    <cellStyle name="Normal 26 24" xfId="11714" xr:uid="{00000000-0005-0000-0000-0000E32D0000}"/>
    <cellStyle name="Normal 26 25" xfId="11715" xr:uid="{00000000-0005-0000-0000-0000E42D0000}"/>
    <cellStyle name="Normal 26 26" xfId="11716" xr:uid="{00000000-0005-0000-0000-0000E52D0000}"/>
    <cellStyle name="Normal 26 27" xfId="11717" xr:uid="{00000000-0005-0000-0000-0000E62D0000}"/>
    <cellStyle name="Normal 26 28" xfId="11718" xr:uid="{00000000-0005-0000-0000-0000E72D0000}"/>
    <cellStyle name="Normal 26 29" xfId="11719" xr:uid="{00000000-0005-0000-0000-0000E82D0000}"/>
    <cellStyle name="Normal 26 3" xfId="11720" xr:uid="{00000000-0005-0000-0000-0000E92D0000}"/>
    <cellStyle name="Normal 26 3 2" xfId="11721" xr:uid="{00000000-0005-0000-0000-0000EA2D0000}"/>
    <cellStyle name="Normal 26 3 2 2" xfId="11722" xr:uid="{00000000-0005-0000-0000-0000EB2D0000}"/>
    <cellStyle name="Normal 26 3 2 3" xfId="11723" xr:uid="{00000000-0005-0000-0000-0000EC2D0000}"/>
    <cellStyle name="Normal 26 3 2 4" xfId="11724" xr:uid="{00000000-0005-0000-0000-0000ED2D0000}"/>
    <cellStyle name="Normal 26 3 3" xfId="11725" xr:uid="{00000000-0005-0000-0000-0000EE2D0000}"/>
    <cellStyle name="Normal 26 3 4" xfId="11726" xr:uid="{00000000-0005-0000-0000-0000EF2D0000}"/>
    <cellStyle name="Normal 26 3 5" xfId="11727" xr:uid="{00000000-0005-0000-0000-0000F02D0000}"/>
    <cellStyle name="Normal 26 3 6" xfId="11728" xr:uid="{00000000-0005-0000-0000-0000F12D0000}"/>
    <cellStyle name="Normal 26 30" xfId="11729" xr:uid="{00000000-0005-0000-0000-0000F22D0000}"/>
    <cellStyle name="Normal 26 31" xfId="11730" xr:uid="{00000000-0005-0000-0000-0000F32D0000}"/>
    <cellStyle name="Normal 26 32" xfId="11731" xr:uid="{00000000-0005-0000-0000-0000F42D0000}"/>
    <cellStyle name="Normal 26 33" xfId="11732" xr:uid="{00000000-0005-0000-0000-0000F52D0000}"/>
    <cellStyle name="Normal 26 34" xfId="11733" xr:uid="{00000000-0005-0000-0000-0000F62D0000}"/>
    <cellStyle name="Normal 26 35" xfId="11734" xr:uid="{00000000-0005-0000-0000-0000F72D0000}"/>
    <cellStyle name="Normal 26 36" xfId="11735" xr:uid="{00000000-0005-0000-0000-0000F82D0000}"/>
    <cellStyle name="Normal 26 37" xfId="11736" xr:uid="{00000000-0005-0000-0000-0000F92D0000}"/>
    <cellStyle name="Normal 26 38" xfId="11737" xr:uid="{00000000-0005-0000-0000-0000FA2D0000}"/>
    <cellStyle name="Normal 26 39" xfId="11738" xr:uid="{00000000-0005-0000-0000-0000FB2D0000}"/>
    <cellStyle name="Normal 26 4" xfId="11739" xr:uid="{00000000-0005-0000-0000-0000FC2D0000}"/>
    <cellStyle name="Normal 26 4 2" xfId="11740" xr:uid="{00000000-0005-0000-0000-0000FD2D0000}"/>
    <cellStyle name="Normal 26 4 3" xfId="11741" xr:uid="{00000000-0005-0000-0000-0000FE2D0000}"/>
    <cellStyle name="Normal 26 4 4" xfId="11742" xr:uid="{00000000-0005-0000-0000-0000FF2D0000}"/>
    <cellStyle name="Normal 26 40" xfId="11743" xr:uid="{00000000-0005-0000-0000-0000002E0000}"/>
    <cellStyle name="Normal 26 41" xfId="11744" xr:uid="{00000000-0005-0000-0000-0000012E0000}"/>
    <cellStyle name="Normal 26 42" xfId="11745" xr:uid="{00000000-0005-0000-0000-0000022E0000}"/>
    <cellStyle name="Normal 26 43" xfId="11746" xr:uid="{00000000-0005-0000-0000-0000032E0000}"/>
    <cellStyle name="Normal 26 44" xfId="11747" xr:uid="{00000000-0005-0000-0000-0000042E0000}"/>
    <cellStyle name="Normal 26 45" xfId="11748" xr:uid="{00000000-0005-0000-0000-0000052E0000}"/>
    <cellStyle name="Normal 26 46" xfId="11749" xr:uid="{00000000-0005-0000-0000-0000062E0000}"/>
    <cellStyle name="Normal 26 47" xfId="11750" xr:uid="{00000000-0005-0000-0000-0000072E0000}"/>
    <cellStyle name="Normal 26 48" xfId="11751" xr:uid="{00000000-0005-0000-0000-0000082E0000}"/>
    <cellStyle name="Normal 26 49" xfId="11752" xr:uid="{00000000-0005-0000-0000-0000092E0000}"/>
    <cellStyle name="Normal 26 5" xfId="11753" xr:uid="{00000000-0005-0000-0000-00000A2E0000}"/>
    <cellStyle name="Normal 26 5 2" xfId="11754" xr:uid="{00000000-0005-0000-0000-00000B2E0000}"/>
    <cellStyle name="Normal 26 5 3" xfId="11755" xr:uid="{00000000-0005-0000-0000-00000C2E0000}"/>
    <cellStyle name="Normal 26 5 4" xfId="11756" xr:uid="{00000000-0005-0000-0000-00000D2E0000}"/>
    <cellStyle name="Normal 26 50" xfId="11757" xr:uid="{00000000-0005-0000-0000-00000E2E0000}"/>
    <cellStyle name="Normal 26 51" xfId="11758" xr:uid="{00000000-0005-0000-0000-00000F2E0000}"/>
    <cellStyle name="Normal 26 52" xfId="11759" xr:uid="{00000000-0005-0000-0000-0000102E0000}"/>
    <cellStyle name="Normal 26 53" xfId="11760" xr:uid="{00000000-0005-0000-0000-0000112E0000}"/>
    <cellStyle name="Normal 26 54" xfId="11761" xr:uid="{00000000-0005-0000-0000-0000122E0000}"/>
    <cellStyle name="Normal 26 55" xfId="11762" xr:uid="{00000000-0005-0000-0000-0000132E0000}"/>
    <cellStyle name="Normal 26 56" xfId="11763" xr:uid="{00000000-0005-0000-0000-0000142E0000}"/>
    <cellStyle name="Normal 26 57" xfId="11764" xr:uid="{00000000-0005-0000-0000-0000152E0000}"/>
    <cellStyle name="Normal 26 58" xfId="11765" xr:uid="{00000000-0005-0000-0000-0000162E0000}"/>
    <cellStyle name="Normal 26 59" xfId="11766" xr:uid="{00000000-0005-0000-0000-0000172E0000}"/>
    <cellStyle name="Normal 26 6" xfId="11767" xr:uid="{00000000-0005-0000-0000-0000182E0000}"/>
    <cellStyle name="Normal 26 6 2" xfId="11768" xr:uid="{00000000-0005-0000-0000-0000192E0000}"/>
    <cellStyle name="Normal 26 60" xfId="11769" xr:uid="{00000000-0005-0000-0000-00001A2E0000}"/>
    <cellStyle name="Normal 26 61" xfId="11770" xr:uid="{00000000-0005-0000-0000-00001B2E0000}"/>
    <cellStyle name="Normal 26 62" xfId="11771" xr:uid="{00000000-0005-0000-0000-00001C2E0000}"/>
    <cellStyle name="Normal 26 63" xfId="11772" xr:uid="{00000000-0005-0000-0000-00001D2E0000}"/>
    <cellStyle name="Normal 26 64" xfId="11773" xr:uid="{00000000-0005-0000-0000-00001E2E0000}"/>
    <cellStyle name="Normal 26 65" xfId="11774" xr:uid="{00000000-0005-0000-0000-00001F2E0000}"/>
    <cellStyle name="Normal 26 66" xfId="11775" xr:uid="{00000000-0005-0000-0000-0000202E0000}"/>
    <cellStyle name="Normal 26 67" xfId="11776" xr:uid="{00000000-0005-0000-0000-0000212E0000}"/>
    <cellStyle name="Normal 26 68" xfId="11777" xr:uid="{00000000-0005-0000-0000-0000222E0000}"/>
    <cellStyle name="Normal 26 69" xfId="11778" xr:uid="{00000000-0005-0000-0000-0000232E0000}"/>
    <cellStyle name="Normal 26 7" xfId="11779" xr:uid="{00000000-0005-0000-0000-0000242E0000}"/>
    <cellStyle name="Normal 26 7 2" xfId="11780" xr:uid="{00000000-0005-0000-0000-0000252E0000}"/>
    <cellStyle name="Normal 26 70" xfId="11781" xr:uid="{00000000-0005-0000-0000-0000262E0000}"/>
    <cellStyle name="Normal 26 8" xfId="11782" xr:uid="{00000000-0005-0000-0000-0000272E0000}"/>
    <cellStyle name="Normal 26 8 2" xfId="11783" xr:uid="{00000000-0005-0000-0000-0000282E0000}"/>
    <cellStyle name="Normal 26 9" xfId="11784" xr:uid="{00000000-0005-0000-0000-0000292E0000}"/>
    <cellStyle name="Normal 26 9 2" xfId="11785" xr:uid="{00000000-0005-0000-0000-00002A2E0000}"/>
    <cellStyle name="Normal 27" xfId="11786" xr:uid="{00000000-0005-0000-0000-00002B2E0000}"/>
    <cellStyle name="Normal 27 10" xfId="11787" xr:uid="{00000000-0005-0000-0000-00002C2E0000}"/>
    <cellStyle name="Normal 27 10 2" xfId="11788" xr:uid="{00000000-0005-0000-0000-00002D2E0000}"/>
    <cellStyle name="Normal 27 11" xfId="11789" xr:uid="{00000000-0005-0000-0000-00002E2E0000}"/>
    <cellStyle name="Normal 27 11 2" xfId="11790" xr:uid="{00000000-0005-0000-0000-00002F2E0000}"/>
    <cellStyle name="Normal 27 12" xfId="11791" xr:uid="{00000000-0005-0000-0000-0000302E0000}"/>
    <cellStyle name="Normal 27 12 2" xfId="11792" xr:uid="{00000000-0005-0000-0000-0000312E0000}"/>
    <cellStyle name="Normal 27 13" xfId="11793" xr:uid="{00000000-0005-0000-0000-0000322E0000}"/>
    <cellStyle name="Normal 27 13 2" xfId="11794" xr:uid="{00000000-0005-0000-0000-0000332E0000}"/>
    <cellStyle name="Normal 27 14" xfId="11795" xr:uid="{00000000-0005-0000-0000-0000342E0000}"/>
    <cellStyle name="Normal 27 14 2" xfId="11796" xr:uid="{00000000-0005-0000-0000-0000352E0000}"/>
    <cellStyle name="Normal 27 15" xfId="11797" xr:uid="{00000000-0005-0000-0000-0000362E0000}"/>
    <cellStyle name="Normal 27 15 2" xfId="11798" xr:uid="{00000000-0005-0000-0000-0000372E0000}"/>
    <cellStyle name="Normal 27 16" xfId="11799" xr:uid="{00000000-0005-0000-0000-0000382E0000}"/>
    <cellStyle name="Normal 27 16 2" xfId="11800" xr:uid="{00000000-0005-0000-0000-0000392E0000}"/>
    <cellStyle name="Normal 27 17" xfId="11801" xr:uid="{00000000-0005-0000-0000-00003A2E0000}"/>
    <cellStyle name="Normal 27 17 2" xfId="11802" xr:uid="{00000000-0005-0000-0000-00003B2E0000}"/>
    <cellStyle name="Normal 27 18" xfId="11803" xr:uid="{00000000-0005-0000-0000-00003C2E0000}"/>
    <cellStyle name="Normal 27 18 2" xfId="11804" xr:uid="{00000000-0005-0000-0000-00003D2E0000}"/>
    <cellStyle name="Normal 27 19" xfId="11805" xr:uid="{00000000-0005-0000-0000-00003E2E0000}"/>
    <cellStyle name="Normal 27 19 2" xfId="11806" xr:uid="{00000000-0005-0000-0000-00003F2E0000}"/>
    <cellStyle name="Normal 27 2" xfId="11807" xr:uid="{00000000-0005-0000-0000-0000402E0000}"/>
    <cellStyle name="Normal 27 2 2" xfId="11808" xr:uid="{00000000-0005-0000-0000-0000412E0000}"/>
    <cellStyle name="Normal 27 2 2 2" xfId="11809" xr:uid="{00000000-0005-0000-0000-0000422E0000}"/>
    <cellStyle name="Normal 27 2 2 3" xfId="11810" xr:uid="{00000000-0005-0000-0000-0000432E0000}"/>
    <cellStyle name="Normal 27 2 2 4" xfId="11811" xr:uid="{00000000-0005-0000-0000-0000442E0000}"/>
    <cellStyle name="Normal 27 2 3" xfId="11812" xr:uid="{00000000-0005-0000-0000-0000452E0000}"/>
    <cellStyle name="Normal 27 2 3 2" xfId="11813" xr:uid="{00000000-0005-0000-0000-0000462E0000}"/>
    <cellStyle name="Normal 27 2 3 3" xfId="11814" xr:uid="{00000000-0005-0000-0000-0000472E0000}"/>
    <cellStyle name="Normal 27 2 3 4" xfId="11815" xr:uid="{00000000-0005-0000-0000-0000482E0000}"/>
    <cellStyle name="Normal 27 2 4" xfId="11816" xr:uid="{00000000-0005-0000-0000-0000492E0000}"/>
    <cellStyle name="Normal 27 2 5" xfId="11817" xr:uid="{00000000-0005-0000-0000-00004A2E0000}"/>
    <cellStyle name="Normal 27 2 6" xfId="11818" xr:uid="{00000000-0005-0000-0000-00004B2E0000}"/>
    <cellStyle name="Normal 27 2 7" xfId="11819" xr:uid="{00000000-0005-0000-0000-00004C2E0000}"/>
    <cellStyle name="Normal 27 20" xfId="11820" xr:uid="{00000000-0005-0000-0000-00004D2E0000}"/>
    <cellStyle name="Normal 27 20 2" xfId="11821" xr:uid="{00000000-0005-0000-0000-00004E2E0000}"/>
    <cellStyle name="Normal 27 21" xfId="11822" xr:uid="{00000000-0005-0000-0000-00004F2E0000}"/>
    <cellStyle name="Normal 27 21 2" xfId="11823" xr:uid="{00000000-0005-0000-0000-0000502E0000}"/>
    <cellStyle name="Normal 27 22" xfId="11824" xr:uid="{00000000-0005-0000-0000-0000512E0000}"/>
    <cellStyle name="Normal 27 22 2" xfId="11825" xr:uid="{00000000-0005-0000-0000-0000522E0000}"/>
    <cellStyle name="Normal 27 23" xfId="11826" xr:uid="{00000000-0005-0000-0000-0000532E0000}"/>
    <cellStyle name="Normal 27 24" xfId="11827" xr:uid="{00000000-0005-0000-0000-0000542E0000}"/>
    <cellStyle name="Normal 27 25" xfId="11828" xr:uid="{00000000-0005-0000-0000-0000552E0000}"/>
    <cellStyle name="Normal 27 26" xfId="11829" xr:uid="{00000000-0005-0000-0000-0000562E0000}"/>
    <cellStyle name="Normal 27 27" xfId="11830" xr:uid="{00000000-0005-0000-0000-0000572E0000}"/>
    <cellStyle name="Normal 27 28" xfId="11831" xr:uid="{00000000-0005-0000-0000-0000582E0000}"/>
    <cellStyle name="Normal 27 29" xfId="11832" xr:uid="{00000000-0005-0000-0000-0000592E0000}"/>
    <cellStyle name="Normal 27 3" xfId="11833" xr:uid="{00000000-0005-0000-0000-00005A2E0000}"/>
    <cellStyle name="Normal 27 3 2" xfId="11834" xr:uid="{00000000-0005-0000-0000-00005B2E0000}"/>
    <cellStyle name="Normal 27 3 2 2" xfId="11835" xr:uid="{00000000-0005-0000-0000-00005C2E0000}"/>
    <cellStyle name="Normal 27 3 2 3" xfId="11836" xr:uid="{00000000-0005-0000-0000-00005D2E0000}"/>
    <cellStyle name="Normal 27 3 2 4" xfId="11837" xr:uid="{00000000-0005-0000-0000-00005E2E0000}"/>
    <cellStyle name="Normal 27 3 3" xfId="11838" xr:uid="{00000000-0005-0000-0000-00005F2E0000}"/>
    <cellStyle name="Normal 27 3 4" xfId="11839" xr:uid="{00000000-0005-0000-0000-0000602E0000}"/>
    <cellStyle name="Normal 27 3 5" xfId="11840" xr:uid="{00000000-0005-0000-0000-0000612E0000}"/>
    <cellStyle name="Normal 27 3 6" xfId="11841" xr:uid="{00000000-0005-0000-0000-0000622E0000}"/>
    <cellStyle name="Normal 27 30" xfId="11842" xr:uid="{00000000-0005-0000-0000-0000632E0000}"/>
    <cellStyle name="Normal 27 31" xfId="11843" xr:uid="{00000000-0005-0000-0000-0000642E0000}"/>
    <cellStyle name="Normal 27 32" xfId="11844" xr:uid="{00000000-0005-0000-0000-0000652E0000}"/>
    <cellStyle name="Normal 27 33" xfId="11845" xr:uid="{00000000-0005-0000-0000-0000662E0000}"/>
    <cellStyle name="Normal 27 34" xfId="11846" xr:uid="{00000000-0005-0000-0000-0000672E0000}"/>
    <cellStyle name="Normal 27 35" xfId="11847" xr:uid="{00000000-0005-0000-0000-0000682E0000}"/>
    <cellStyle name="Normal 27 36" xfId="11848" xr:uid="{00000000-0005-0000-0000-0000692E0000}"/>
    <cellStyle name="Normal 27 37" xfId="11849" xr:uid="{00000000-0005-0000-0000-00006A2E0000}"/>
    <cellStyle name="Normal 27 38" xfId="11850" xr:uid="{00000000-0005-0000-0000-00006B2E0000}"/>
    <cellStyle name="Normal 27 39" xfId="11851" xr:uid="{00000000-0005-0000-0000-00006C2E0000}"/>
    <cellStyle name="Normal 27 4" xfId="11852" xr:uid="{00000000-0005-0000-0000-00006D2E0000}"/>
    <cellStyle name="Normal 27 4 2" xfId="11853" xr:uid="{00000000-0005-0000-0000-00006E2E0000}"/>
    <cellStyle name="Normal 27 4 3" xfId="11854" xr:uid="{00000000-0005-0000-0000-00006F2E0000}"/>
    <cellStyle name="Normal 27 4 4" xfId="11855" xr:uid="{00000000-0005-0000-0000-0000702E0000}"/>
    <cellStyle name="Normal 27 40" xfId="11856" xr:uid="{00000000-0005-0000-0000-0000712E0000}"/>
    <cellStyle name="Normal 27 41" xfId="11857" xr:uid="{00000000-0005-0000-0000-0000722E0000}"/>
    <cellStyle name="Normal 27 42" xfId="11858" xr:uid="{00000000-0005-0000-0000-0000732E0000}"/>
    <cellStyle name="Normal 27 43" xfId="11859" xr:uid="{00000000-0005-0000-0000-0000742E0000}"/>
    <cellStyle name="Normal 27 44" xfId="11860" xr:uid="{00000000-0005-0000-0000-0000752E0000}"/>
    <cellStyle name="Normal 27 45" xfId="11861" xr:uid="{00000000-0005-0000-0000-0000762E0000}"/>
    <cellStyle name="Normal 27 46" xfId="11862" xr:uid="{00000000-0005-0000-0000-0000772E0000}"/>
    <cellStyle name="Normal 27 47" xfId="11863" xr:uid="{00000000-0005-0000-0000-0000782E0000}"/>
    <cellStyle name="Normal 27 48" xfId="11864" xr:uid="{00000000-0005-0000-0000-0000792E0000}"/>
    <cellStyle name="Normal 27 49" xfId="11865" xr:uid="{00000000-0005-0000-0000-00007A2E0000}"/>
    <cellStyle name="Normal 27 5" xfId="11866" xr:uid="{00000000-0005-0000-0000-00007B2E0000}"/>
    <cellStyle name="Normal 27 5 2" xfId="11867" xr:uid="{00000000-0005-0000-0000-00007C2E0000}"/>
    <cellStyle name="Normal 27 5 3" xfId="11868" xr:uid="{00000000-0005-0000-0000-00007D2E0000}"/>
    <cellStyle name="Normal 27 5 4" xfId="11869" xr:uid="{00000000-0005-0000-0000-00007E2E0000}"/>
    <cellStyle name="Normal 27 50" xfId="11870" xr:uid="{00000000-0005-0000-0000-00007F2E0000}"/>
    <cellStyle name="Normal 27 51" xfId="11871" xr:uid="{00000000-0005-0000-0000-0000802E0000}"/>
    <cellStyle name="Normal 27 52" xfId="11872" xr:uid="{00000000-0005-0000-0000-0000812E0000}"/>
    <cellStyle name="Normal 27 53" xfId="11873" xr:uid="{00000000-0005-0000-0000-0000822E0000}"/>
    <cellStyle name="Normal 27 54" xfId="11874" xr:uid="{00000000-0005-0000-0000-0000832E0000}"/>
    <cellStyle name="Normal 27 55" xfId="11875" xr:uid="{00000000-0005-0000-0000-0000842E0000}"/>
    <cellStyle name="Normal 27 56" xfId="11876" xr:uid="{00000000-0005-0000-0000-0000852E0000}"/>
    <cellStyle name="Normal 27 57" xfId="11877" xr:uid="{00000000-0005-0000-0000-0000862E0000}"/>
    <cellStyle name="Normal 27 58" xfId="11878" xr:uid="{00000000-0005-0000-0000-0000872E0000}"/>
    <cellStyle name="Normal 27 59" xfId="11879" xr:uid="{00000000-0005-0000-0000-0000882E0000}"/>
    <cellStyle name="Normal 27 6" xfId="11880" xr:uid="{00000000-0005-0000-0000-0000892E0000}"/>
    <cellStyle name="Normal 27 6 2" xfId="11881" xr:uid="{00000000-0005-0000-0000-00008A2E0000}"/>
    <cellStyle name="Normal 27 60" xfId="11882" xr:uid="{00000000-0005-0000-0000-00008B2E0000}"/>
    <cellStyle name="Normal 27 61" xfId="11883" xr:uid="{00000000-0005-0000-0000-00008C2E0000}"/>
    <cellStyle name="Normal 27 62" xfId="11884" xr:uid="{00000000-0005-0000-0000-00008D2E0000}"/>
    <cellStyle name="Normal 27 63" xfId="11885" xr:uid="{00000000-0005-0000-0000-00008E2E0000}"/>
    <cellStyle name="Normal 27 64" xfId="11886" xr:uid="{00000000-0005-0000-0000-00008F2E0000}"/>
    <cellStyle name="Normal 27 65" xfId="11887" xr:uid="{00000000-0005-0000-0000-0000902E0000}"/>
    <cellStyle name="Normal 27 66" xfId="11888" xr:uid="{00000000-0005-0000-0000-0000912E0000}"/>
    <cellStyle name="Normal 27 67" xfId="11889" xr:uid="{00000000-0005-0000-0000-0000922E0000}"/>
    <cellStyle name="Normal 27 68" xfId="11890" xr:uid="{00000000-0005-0000-0000-0000932E0000}"/>
    <cellStyle name="Normal 27 69" xfId="11891" xr:uid="{00000000-0005-0000-0000-0000942E0000}"/>
    <cellStyle name="Normal 27 7" xfId="11892" xr:uid="{00000000-0005-0000-0000-0000952E0000}"/>
    <cellStyle name="Normal 27 7 2" xfId="11893" xr:uid="{00000000-0005-0000-0000-0000962E0000}"/>
    <cellStyle name="Normal 27 70" xfId="11894" xr:uid="{00000000-0005-0000-0000-0000972E0000}"/>
    <cellStyle name="Normal 27 8" xfId="11895" xr:uid="{00000000-0005-0000-0000-0000982E0000}"/>
    <cellStyle name="Normal 27 8 2" xfId="11896" xr:uid="{00000000-0005-0000-0000-0000992E0000}"/>
    <cellStyle name="Normal 27 9" xfId="11897" xr:uid="{00000000-0005-0000-0000-00009A2E0000}"/>
    <cellStyle name="Normal 27 9 2" xfId="11898" xr:uid="{00000000-0005-0000-0000-00009B2E0000}"/>
    <cellStyle name="Normal 28" xfId="11899" xr:uid="{00000000-0005-0000-0000-00009C2E0000}"/>
    <cellStyle name="Normal 28 10" xfId="11900" xr:uid="{00000000-0005-0000-0000-00009D2E0000}"/>
    <cellStyle name="Normal 28 10 2" xfId="11901" xr:uid="{00000000-0005-0000-0000-00009E2E0000}"/>
    <cellStyle name="Normal 28 11" xfId="11902" xr:uid="{00000000-0005-0000-0000-00009F2E0000}"/>
    <cellStyle name="Normal 28 11 2" xfId="11903" xr:uid="{00000000-0005-0000-0000-0000A02E0000}"/>
    <cellStyle name="Normal 28 12" xfId="11904" xr:uid="{00000000-0005-0000-0000-0000A12E0000}"/>
    <cellStyle name="Normal 28 12 2" xfId="11905" xr:uid="{00000000-0005-0000-0000-0000A22E0000}"/>
    <cellStyle name="Normal 28 13" xfId="11906" xr:uid="{00000000-0005-0000-0000-0000A32E0000}"/>
    <cellStyle name="Normal 28 13 2" xfId="11907" xr:uid="{00000000-0005-0000-0000-0000A42E0000}"/>
    <cellStyle name="Normal 28 14" xfId="11908" xr:uid="{00000000-0005-0000-0000-0000A52E0000}"/>
    <cellStyle name="Normal 28 14 2" xfId="11909" xr:uid="{00000000-0005-0000-0000-0000A62E0000}"/>
    <cellStyle name="Normal 28 15" xfId="11910" xr:uid="{00000000-0005-0000-0000-0000A72E0000}"/>
    <cellStyle name="Normal 28 15 2" xfId="11911" xr:uid="{00000000-0005-0000-0000-0000A82E0000}"/>
    <cellStyle name="Normal 28 16" xfId="11912" xr:uid="{00000000-0005-0000-0000-0000A92E0000}"/>
    <cellStyle name="Normal 28 16 2" xfId="11913" xr:uid="{00000000-0005-0000-0000-0000AA2E0000}"/>
    <cellStyle name="Normal 28 17" xfId="11914" xr:uid="{00000000-0005-0000-0000-0000AB2E0000}"/>
    <cellStyle name="Normal 28 17 2" xfId="11915" xr:uid="{00000000-0005-0000-0000-0000AC2E0000}"/>
    <cellStyle name="Normal 28 18" xfId="11916" xr:uid="{00000000-0005-0000-0000-0000AD2E0000}"/>
    <cellStyle name="Normal 28 18 2" xfId="11917" xr:uid="{00000000-0005-0000-0000-0000AE2E0000}"/>
    <cellStyle name="Normal 28 19" xfId="11918" xr:uid="{00000000-0005-0000-0000-0000AF2E0000}"/>
    <cellStyle name="Normal 28 19 2" xfId="11919" xr:uid="{00000000-0005-0000-0000-0000B02E0000}"/>
    <cellStyle name="Normal 28 2" xfId="11920" xr:uid="{00000000-0005-0000-0000-0000B12E0000}"/>
    <cellStyle name="Normal 28 2 2" xfId="11921" xr:uid="{00000000-0005-0000-0000-0000B22E0000}"/>
    <cellStyle name="Normal 28 2 2 2" xfId="11922" xr:uid="{00000000-0005-0000-0000-0000B32E0000}"/>
    <cellStyle name="Normal 28 2 2 3" xfId="11923" xr:uid="{00000000-0005-0000-0000-0000B42E0000}"/>
    <cellStyle name="Normal 28 2 2 4" xfId="11924" xr:uid="{00000000-0005-0000-0000-0000B52E0000}"/>
    <cellStyle name="Normal 28 2 3" xfId="11925" xr:uid="{00000000-0005-0000-0000-0000B62E0000}"/>
    <cellStyle name="Normal 28 2 3 2" xfId="11926" xr:uid="{00000000-0005-0000-0000-0000B72E0000}"/>
    <cellStyle name="Normal 28 2 3 3" xfId="11927" xr:uid="{00000000-0005-0000-0000-0000B82E0000}"/>
    <cellStyle name="Normal 28 2 3 4" xfId="11928" xr:uid="{00000000-0005-0000-0000-0000B92E0000}"/>
    <cellStyle name="Normal 28 2 4" xfId="11929" xr:uid="{00000000-0005-0000-0000-0000BA2E0000}"/>
    <cellStyle name="Normal 28 2 5" xfId="11930" xr:uid="{00000000-0005-0000-0000-0000BB2E0000}"/>
    <cellStyle name="Normal 28 2 6" xfId="11931" xr:uid="{00000000-0005-0000-0000-0000BC2E0000}"/>
    <cellStyle name="Normal 28 2 7" xfId="11932" xr:uid="{00000000-0005-0000-0000-0000BD2E0000}"/>
    <cellStyle name="Normal 28 20" xfId="11933" xr:uid="{00000000-0005-0000-0000-0000BE2E0000}"/>
    <cellStyle name="Normal 28 20 2" xfId="11934" xr:uid="{00000000-0005-0000-0000-0000BF2E0000}"/>
    <cellStyle name="Normal 28 21" xfId="11935" xr:uid="{00000000-0005-0000-0000-0000C02E0000}"/>
    <cellStyle name="Normal 28 21 2" xfId="11936" xr:uid="{00000000-0005-0000-0000-0000C12E0000}"/>
    <cellStyle name="Normal 28 22" xfId="11937" xr:uid="{00000000-0005-0000-0000-0000C22E0000}"/>
    <cellStyle name="Normal 28 22 2" xfId="11938" xr:uid="{00000000-0005-0000-0000-0000C32E0000}"/>
    <cellStyle name="Normal 28 23" xfId="11939" xr:uid="{00000000-0005-0000-0000-0000C42E0000}"/>
    <cellStyle name="Normal 28 24" xfId="11940" xr:uid="{00000000-0005-0000-0000-0000C52E0000}"/>
    <cellStyle name="Normal 28 25" xfId="11941" xr:uid="{00000000-0005-0000-0000-0000C62E0000}"/>
    <cellStyle name="Normal 28 26" xfId="11942" xr:uid="{00000000-0005-0000-0000-0000C72E0000}"/>
    <cellStyle name="Normal 28 27" xfId="11943" xr:uid="{00000000-0005-0000-0000-0000C82E0000}"/>
    <cellStyle name="Normal 28 28" xfId="11944" xr:uid="{00000000-0005-0000-0000-0000C92E0000}"/>
    <cellStyle name="Normal 28 29" xfId="11945" xr:uid="{00000000-0005-0000-0000-0000CA2E0000}"/>
    <cellStyle name="Normal 28 3" xfId="11946" xr:uid="{00000000-0005-0000-0000-0000CB2E0000}"/>
    <cellStyle name="Normal 28 3 2" xfId="11947" xr:uid="{00000000-0005-0000-0000-0000CC2E0000}"/>
    <cellStyle name="Normal 28 3 2 2" xfId="11948" xr:uid="{00000000-0005-0000-0000-0000CD2E0000}"/>
    <cellStyle name="Normal 28 3 2 3" xfId="11949" xr:uid="{00000000-0005-0000-0000-0000CE2E0000}"/>
    <cellStyle name="Normal 28 3 2 4" xfId="11950" xr:uid="{00000000-0005-0000-0000-0000CF2E0000}"/>
    <cellStyle name="Normal 28 3 3" xfId="11951" xr:uid="{00000000-0005-0000-0000-0000D02E0000}"/>
    <cellStyle name="Normal 28 3 4" xfId="11952" xr:uid="{00000000-0005-0000-0000-0000D12E0000}"/>
    <cellStyle name="Normal 28 3 5" xfId="11953" xr:uid="{00000000-0005-0000-0000-0000D22E0000}"/>
    <cellStyle name="Normal 28 3 6" xfId="11954" xr:uid="{00000000-0005-0000-0000-0000D32E0000}"/>
    <cellStyle name="Normal 28 30" xfId="11955" xr:uid="{00000000-0005-0000-0000-0000D42E0000}"/>
    <cellStyle name="Normal 28 31" xfId="11956" xr:uid="{00000000-0005-0000-0000-0000D52E0000}"/>
    <cellStyle name="Normal 28 32" xfId="11957" xr:uid="{00000000-0005-0000-0000-0000D62E0000}"/>
    <cellStyle name="Normal 28 33" xfId="11958" xr:uid="{00000000-0005-0000-0000-0000D72E0000}"/>
    <cellStyle name="Normal 28 34" xfId="11959" xr:uid="{00000000-0005-0000-0000-0000D82E0000}"/>
    <cellStyle name="Normal 28 35" xfId="11960" xr:uid="{00000000-0005-0000-0000-0000D92E0000}"/>
    <cellStyle name="Normal 28 36" xfId="11961" xr:uid="{00000000-0005-0000-0000-0000DA2E0000}"/>
    <cellStyle name="Normal 28 37" xfId="11962" xr:uid="{00000000-0005-0000-0000-0000DB2E0000}"/>
    <cellStyle name="Normal 28 38" xfId="11963" xr:uid="{00000000-0005-0000-0000-0000DC2E0000}"/>
    <cellStyle name="Normal 28 39" xfId="11964" xr:uid="{00000000-0005-0000-0000-0000DD2E0000}"/>
    <cellStyle name="Normal 28 4" xfId="11965" xr:uid="{00000000-0005-0000-0000-0000DE2E0000}"/>
    <cellStyle name="Normal 28 4 2" xfId="11966" xr:uid="{00000000-0005-0000-0000-0000DF2E0000}"/>
    <cellStyle name="Normal 28 4 3" xfId="11967" xr:uid="{00000000-0005-0000-0000-0000E02E0000}"/>
    <cellStyle name="Normal 28 4 4" xfId="11968" xr:uid="{00000000-0005-0000-0000-0000E12E0000}"/>
    <cellStyle name="Normal 28 40" xfId="11969" xr:uid="{00000000-0005-0000-0000-0000E22E0000}"/>
    <cellStyle name="Normal 28 41" xfId="11970" xr:uid="{00000000-0005-0000-0000-0000E32E0000}"/>
    <cellStyle name="Normal 28 42" xfId="11971" xr:uid="{00000000-0005-0000-0000-0000E42E0000}"/>
    <cellStyle name="Normal 28 43" xfId="11972" xr:uid="{00000000-0005-0000-0000-0000E52E0000}"/>
    <cellStyle name="Normal 28 44" xfId="11973" xr:uid="{00000000-0005-0000-0000-0000E62E0000}"/>
    <cellStyle name="Normal 28 45" xfId="11974" xr:uid="{00000000-0005-0000-0000-0000E72E0000}"/>
    <cellStyle name="Normal 28 46" xfId="11975" xr:uid="{00000000-0005-0000-0000-0000E82E0000}"/>
    <cellStyle name="Normal 28 47" xfId="11976" xr:uid="{00000000-0005-0000-0000-0000E92E0000}"/>
    <cellStyle name="Normal 28 48" xfId="11977" xr:uid="{00000000-0005-0000-0000-0000EA2E0000}"/>
    <cellStyle name="Normal 28 49" xfId="11978" xr:uid="{00000000-0005-0000-0000-0000EB2E0000}"/>
    <cellStyle name="Normal 28 5" xfId="11979" xr:uid="{00000000-0005-0000-0000-0000EC2E0000}"/>
    <cellStyle name="Normal 28 5 2" xfId="11980" xr:uid="{00000000-0005-0000-0000-0000ED2E0000}"/>
    <cellStyle name="Normal 28 5 3" xfId="11981" xr:uid="{00000000-0005-0000-0000-0000EE2E0000}"/>
    <cellStyle name="Normal 28 5 4" xfId="11982" xr:uid="{00000000-0005-0000-0000-0000EF2E0000}"/>
    <cellStyle name="Normal 28 50" xfId="11983" xr:uid="{00000000-0005-0000-0000-0000F02E0000}"/>
    <cellStyle name="Normal 28 51" xfId="11984" xr:uid="{00000000-0005-0000-0000-0000F12E0000}"/>
    <cellStyle name="Normal 28 52" xfId="11985" xr:uid="{00000000-0005-0000-0000-0000F22E0000}"/>
    <cellStyle name="Normal 28 53" xfId="11986" xr:uid="{00000000-0005-0000-0000-0000F32E0000}"/>
    <cellStyle name="Normal 28 54" xfId="11987" xr:uid="{00000000-0005-0000-0000-0000F42E0000}"/>
    <cellStyle name="Normal 28 55" xfId="11988" xr:uid="{00000000-0005-0000-0000-0000F52E0000}"/>
    <cellStyle name="Normal 28 56" xfId="11989" xr:uid="{00000000-0005-0000-0000-0000F62E0000}"/>
    <cellStyle name="Normal 28 57" xfId="11990" xr:uid="{00000000-0005-0000-0000-0000F72E0000}"/>
    <cellStyle name="Normal 28 58" xfId="11991" xr:uid="{00000000-0005-0000-0000-0000F82E0000}"/>
    <cellStyle name="Normal 28 59" xfId="11992" xr:uid="{00000000-0005-0000-0000-0000F92E0000}"/>
    <cellStyle name="Normal 28 6" xfId="11993" xr:uid="{00000000-0005-0000-0000-0000FA2E0000}"/>
    <cellStyle name="Normal 28 6 2" xfId="11994" xr:uid="{00000000-0005-0000-0000-0000FB2E0000}"/>
    <cellStyle name="Normal 28 60" xfId="11995" xr:uid="{00000000-0005-0000-0000-0000FC2E0000}"/>
    <cellStyle name="Normal 28 61" xfId="11996" xr:uid="{00000000-0005-0000-0000-0000FD2E0000}"/>
    <cellStyle name="Normal 28 62" xfId="11997" xr:uid="{00000000-0005-0000-0000-0000FE2E0000}"/>
    <cellStyle name="Normal 28 63" xfId="11998" xr:uid="{00000000-0005-0000-0000-0000FF2E0000}"/>
    <cellStyle name="Normal 28 64" xfId="11999" xr:uid="{00000000-0005-0000-0000-0000002F0000}"/>
    <cellStyle name="Normal 28 65" xfId="12000" xr:uid="{00000000-0005-0000-0000-0000012F0000}"/>
    <cellStyle name="Normal 28 66" xfId="12001" xr:uid="{00000000-0005-0000-0000-0000022F0000}"/>
    <cellStyle name="Normal 28 67" xfId="12002" xr:uid="{00000000-0005-0000-0000-0000032F0000}"/>
    <cellStyle name="Normal 28 68" xfId="12003" xr:uid="{00000000-0005-0000-0000-0000042F0000}"/>
    <cellStyle name="Normal 28 69" xfId="12004" xr:uid="{00000000-0005-0000-0000-0000052F0000}"/>
    <cellStyle name="Normal 28 7" xfId="12005" xr:uid="{00000000-0005-0000-0000-0000062F0000}"/>
    <cellStyle name="Normal 28 7 2" xfId="12006" xr:uid="{00000000-0005-0000-0000-0000072F0000}"/>
    <cellStyle name="Normal 28 70" xfId="12007" xr:uid="{00000000-0005-0000-0000-0000082F0000}"/>
    <cellStyle name="Normal 28 8" xfId="12008" xr:uid="{00000000-0005-0000-0000-0000092F0000}"/>
    <cellStyle name="Normal 28 8 2" xfId="12009" xr:uid="{00000000-0005-0000-0000-00000A2F0000}"/>
    <cellStyle name="Normal 28 9" xfId="12010" xr:uid="{00000000-0005-0000-0000-00000B2F0000}"/>
    <cellStyle name="Normal 28 9 2" xfId="12011" xr:uid="{00000000-0005-0000-0000-00000C2F0000}"/>
    <cellStyle name="Normal 29" xfId="12012" xr:uid="{00000000-0005-0000-0000-00000D2F0000}"/>
    <cellStyle name="Normal 29 10" xfId="12013" xr:uid="{00000000-0005-0000-0000-00000E2F0000}"/>
    <cellStyle name="Normal 29 10 2" xfId="12014" xr:uid="{00000000-0005-0000-0000-00000F2F0000}"/>
    <cellStyle name="Normal 29 11" xfId="12015" xr:uid="{00000000-0005-0000-0000-0000102F0000}"/>
    <cellStyle name="Normal 29 11 2" xfId="12016" xr:uid="{00000000-0005-0000-0000-0000112F0000}"/>
    <cellStyle name="Normal 29 12" xfId="12017" xr:uid="{00000000-0005-0000-0000-0000122F0000}"/>
    <cellStyle name="Normal 29 12 2" xfId="12018" xr:uid="{00000000-0005-0000-0000-0000132F0000}"/>
    <cellStyle name="Normal 29 13" xfId="12019" xr:uid="{00000000-0005-0000-0000-0000142F0000}"/>
    <cellStyle name="Normal 29 13 2" xfId="12020" xr:uid="{00000000-0005-0000-0000-0000152F0000}"/>
    <cellStyle name="Normal 29 14" xfId="12021" xr:uid="{00000000-0005-0000-0000-0000162F0000}"/>
    <cellStyle name="Normal 29 14 2" xfId="12022" xr:uid="{00000000-0005-0000-0000-0000172F0000}"/>
    <cellStyle name="Normal 29 15" xfId="12023" xr:uid="{00000000-0005-0000-0000-0000182F0000}"/>
    <cellStyle name="Normal 29 15 2" xfId="12024" xr:uid="{00000000-0005-0000-0000-0000192F0000}"/>
    <cellStyle name="Normal 29 16" xfId="12025" xr:uid="{00000000-0005-0000-0000-00001A2F0000}"/>
    <cellStyle name="Normal 29 16 2" xfId="12026" xr:uid="{00000000-0005-0000-0000-00001B2F0000}"/>
    <cellStyle name="Normal 29 17" xfId="12027" xr:uid="{00000000-0005-0000-0000-00001C2F0000}"/>
    <cellStyle name="Normal 29 17 2" xfId="12028" xr:uid="{00000000-0005-0000-0000-00001D2F0000}"/>
    <cellStyle name="Normal 29 18" xfId="12029" xr:uid="{00000000-0005-0000-0000-00001E2F0000}"/>
    <cellStyle name="Normal 29 18 2" xfId="12030" xr:uid="{00000000-0005-0000-0000-00001F2F0000}"/>
    <cellStyle name="Normal 29 19" xfId="12031" xr:uid="{00000000-0005-0000-0000-0000202F0000}"/>
    <cellStyle name="Normal 29 19 2" xfId="12032" xr:uid="{00000000-0005-0000-0000-0000212F0000}"/>
    <cellStyle name="Normal 29 2" xfId="12033" xr:uid="{00000000-0005-0000-0000-0000222F0000}"/>
    <cellStyle name="Normal 29 2 2" xfId="12034" xr:uid="{00000000-0005-0000-0000-0000232F0000}"/>
    <cellStyle name="Normal 29 2 2 2" xfId="12035" xr:uid="{00000000-0005-0000-0000-0000242F0000}"/>
    <cellStyle name="Normal 29 2 2 3" xfId="12036" xr:uid="{00000000-0005-0000-0000-0000252F0000}"/>
    <cellStyle name="Normal 29 2 2 4" xfId="12037" xr:uid="{00000000-0005-0000-0000-0000262F0000}"/>
    <cellStyle name="Normal 29 2 3" xfId="12038" xr:uid="{00000000-0005-0000-0000-0000272F0000}"/>
    <cellStyle name="Normal 29 2 3 2" xfId="12039" xr:uid="{00000000-0005-0000-0000-0000282F0000}"/>
    <cellStyle name="Normal 29 2 3 3" xfId="12040" xr:uid="{00000000-0005-0000-0000-0000292F0000}"/>
    <cellStyle name="Normal 29 2 3 4" xfId="12041" xr:uid="{00000000-0005-0000-0000-00002A2F0000}"/>
    <cellStyle name="Normal 29 2 4" xfId="12042" xr:uid="{00000000-0005-0000-0000-00002B2F0000}"/>
    <cellStyle name="Normal 29 2 5" xfId="12043" xr:uid="{00000000-0005-0000-0000-00002C2F0000}"/>
    <cellStyle name="Normal 29 2 6" xfId="12044" xr:uid="{00000000-0005-0000-0000-00002D2F0000}"/>
    <cellStyle name="Normal 29 2 7" xfId="12045" xr:uid="{00000000-0005-0000-0000-00002E2F0000}"/>
    <cellStyle name="Normal 29 20" xfId="12046" xr:uid="{00000000-0005-0000-0000-00002F2F0000}"/>
    <cellStyle name="Normal 29 20 2" xfId="12047" xr:uid="{00000000-0005-0000-0000-0000302F0000}"/>
    <cellStyle name="Normal 29 21" xfId="12048" xr:uid="{00000000-0005-0000-0000-0000312F0000}"/>
    <cellStyle name="Normal 29 21 2" xfId="12049" xr:uid="{00000000-0005-0000-0000-0000322F0000}"/>
    <cellStyle name="Normal 29 22" xfId="12050" xr:uid="{00000000-0005-0000-0000-0000332F0000}"/>
    <cellStyle name="Normal 29 22 2" xfId="12051" xr:uid="{00000000-0005-0000-0000-0000342F0000}"/>
    <cellStyle name="Normal 29 23" xfId="12052" xr:uid="{00000000-0005-0000-0000-0000352F0000}"/>
    <cellStyle name="Normal 29 24" xfId="12053" xr:uid="{00000000-0005-0000-0000-0000362F0000}"/>
    <cellStyle name="Normal 29 25" xfId="12054" xr:uid="{00000000-0005-0000-0000-0000372F0000}"/>
    <cellStyle name="Normal 29 26" xfId="12055" xr:uid="{00000000-0005-0000-0000-0000382F0000}"/>
    <cellStyle name="Normal 29 27" xfId="12056" xr:uid="{00000000-0005-0000-0000-0000392F0000}"/>
    <cellStyle name="Normal 29 28" xfId="12057" xr:uid="{00000000-0005-0000-0000-00003A2F0000}"/>
    <cellStyle name="Normal 29 29" xfId="12058" xr:uid="{00000000-0005-0000-0000-00003B2F0000}"/>
    <cellStyle name="Normal 29 3" xfId="12059" xr:uid="{00000000-0005-0000-0000-00003C2F0000}"/>
    <cellStyle name="Normal 29 3 2" xfId="12060" xr:uid="{00000000-0005-0000-0000-00003D2F0000}"/>
    <cellStyle name="Normal 29 3 2 2" xfId="12061" xr:uid="{00000000-0005-0000-0000-00003E2F0000}"/>
    <cellStyle name="Normal 29 3 2 3" xfId="12062" xr:uid="{00000000-0005-0000-0000-00003F2F0000}"/>
    <cellStyle name="Normal 29 3 2 4" xfId="12063" xr:uid="{00000000-0005-0000-0000-0000402F0000}"/>
    <cellStyle name="Normal 29 3 3" xfId="12064" xr:uid="{00000000-0005-0000-0000-0000412F0000}"/>
    <cellStyle name="Normal 29 3 4" xfId="12065" xr:uid="{00000000-0005-0000-0000-0000422F0000}"/>
    <cellStyle name="Normal 29 3 5" xfId="12066" xr:uid="{00000000-0005-0000-0000-0000432F0000}"/>
    <cellStyle name="Normal 29 3 6" xfId="12067" xr:uid="{00000000-0005-0000-0000-0000442F0000}"/>
    <cellStyle name="Normal 29 30" xfId="12068" xr:uid="{00000000-0005-0000-0000-0000452F0000}"/>
    <cellStyle name="Normal 29 31" xfId="12069" xr:uid="{00000000-0005-0000-0000-0000462F0000}"/>
    <cellStyle name="Normal 29 32" xfId="12070" xr:uid="{00000000-0005-0000-0000-0000472F0000}"/>
    <cellStyle name="Normal 29 33" xfId="12071" xr:uid="{00000000-0005-0000-0000-0000482F0000}"/>
    <cellStyle name="Normal 29 34" xfId="12072" xr:uid="{00000000-0005-0000-0000-0000492F0000}"/>
    <cellStyle name="Normal 29 35" xfId="12073" xr:uid="{00000000-0005-0000-0000-00004A2F0000}"/>
    <cellStyle name="Normal 29 36" xfId="12074" xr:uid="{00000000-0005-0000-0000-00004B2F0000}"/>
    <cellStyle name="Normal 29 37" xfId="12075" xr:uid="{00000000-0005-0000-0000-00004C2F0000}"/>
    <cellStyle name="Normal 29 38" xfId="12076" xr:uid="{00000000-0005-0000-0000-00004D2F0000}"/>
    <cellStyle name="Normal 29 39" xfId="12077" xr:uid="{00000000-0005-0000-0000-00004E2F0000}"/>
    <cellStyle name="Normal 29 4" xfId="12078" xr:uid="{00000000-0005-0000-0000-00004F2F0000}"/>
    <cellStyle name="Normal 29 4 2" xfId="12079" xr:uid="{00000000-0005-0000-0000-0000502F0000}"/>
    <cellStyle name="Normal 29 4 3" xfId="12080" xr:uid="{00000000-0005-0000-0000-0000512F0000}"/>
    <cellStyle name="Normal 29 4 4" xfId="12081" xr:uid="{00000000-0005-0000-0000-0000522F0000}"/>
    <cellStyle name="Normal 29 40" xfId="12082" xr:uid="{00000000-0005-0000-0000-0000532F0000}"/>
    <cellStyle name="Normal 29 41" xfId="12083" xr:uid="{00000000-0005-0000-0000-0000542F0000}"/>
    <cellStyle name="Normal 29 42" xfId="12084" xr:uid="{00000000-0005-0000-0000-0000552F0000}"/>
    <cellStyle name="Normal 29 43" xfId="12085" xr:uid="{00000000-0005-0000-0000-0000562F0000}"/>
    <cellStyle name="Normal 29 44" xfId="12086" xr:uid="{00000000-0005-0000-0000-0000572F0000}"/>
    <cellStyle name="Normal 29 45" xfId="12087" xr:uid="{00000000-0005-0000-0000-0000582F0000}"/>
    <cellStyle name="Normal 29 46" xfId="12088" xr:uid="{00000000-0005-0000-0000-0000592F0000}"/>
    <cellStyle name="Normal 29 47" xfId="12089" xr:uid="{00000000-0005-0000-0000-00005A2F0000}"/>
    <cellStyle name="Normal 29 48" xfId="12090" xr:uid="{00000000-0005-0000-0000-00005B2F0000}"/>
    <cellStyle name="Normal 29 49" xfId="12091" xr:uid="{00000000-0005-0000-0000-00005C2F0000}"/>
    <cellStyle name="Normal 29 5" xfId="12092" xr:uid="{00000000-0005-0000-0000-00005D2F0000}"/>
    <cellStyle name="Normal 29 5 2" xfId="12093" xr:uid="{00000000-0005-0000-0000-00005E2F0000}"/>
    <cellStyle name="Normal 29 5 3" xfId="12094" xr:uid="{00000000-0005-0000-0000-00005F2F0000}"/>
    <cellStyle name="Normal 29 5 4" xfId="12095" xr:uid="{00000000-0005-0000-0000-0000602F0000}"/>
    <cellStyle name="Normal 29 50" xfId="12096" xr:uid="{00000000-0005-0000-0000-0000612F0000}"/>
    <cellStyle name="Normal 29 51" xfId="12097" xr:uid="{00000000-0005-0000-0000-0000622F0000}"/>
    <cellStyle name="Normal 29 52" xfId="12098" xr:uid="{00000000-0005-0000-0000-0000632F0000}"/>
    <cellStyle name="Normal 29 53" xfId="12099" xr:uid="{00000000-0005-0000-0000-0000642F0000}"/>
    <cellStyle name="Normal 29 54" xfId="12100" xr:uid="{00000000-0005-0000-0000-0000652F0000}"/>
    <cellStyle name="Normal 29 55" xfId="12101" xr:uid="{00000000-0005-0000-0000-0000662F0000}"/>
    <cellStyle name="Normal 29 56" xfId="12102" xr:uid="{00000000-0005-0000-0000-0000672F0000}"/>
    <cellStyle name="Normal 29 57" xfId="12103" xr:uid="{00000000-0005-0000-0000-0000682F0000}"/>
    <cellStyle name="Normal 29 58" xfId="12104" xr:uid="{00000000-0005-0000-0000-0000692F0000}"/>
    <cellStyle name="Normal 29 59" xfId="12105" xr:uid="{00000000-0005-0000-0000-00006A2F0000}"/>
    <cellStyle name="Normal 29 6" xfId="12106" xr:uid="{00000000-0005-0000-0000-00006B2F0000}"/>
    <cellStyle name="Normal 29 6 2" xfId="12107" xr:uid="{00000000-0005-0000-0000-00006C2F0000}"/>
    <cellStyle name="Normal 29 60" xfId="12108" xr:uid="{00000000-0005-0000-0000-00006D2F0000}"/>
    <cellStyle name="Normal 29 61" xfId="12109" xr:uid="{00000000-0005-0000-0000-00006E2F0000}"/>
    <cellStyle name="Normal 29 62" xfId="12110" xr:uid="{00000000-0005-0000-0000-00006F2F0000}"/>
    <cellStyle name="Normal 29 63" xfId="12111" xr:uid="{00000000-0005-0000-0000-0000702F0000}"/>
    <cellStyle name="Normal 29 64" xfId="12112" xr:uid="{00000000-0005-0000-0000-0000712F0000}"/>
    <cellStyle name="Normal 29 65" xfId="12113" xr:uid="{00000000-0005-0000-0000-0000722F0000}"/>
    <cellStyle name="Normal 29 66" xfId="12114" xr:uid="{00000000-0005-0000-0000-0000732F0000}"/>
    <cellStyle name="Normal 29 67" xfId="12115" xr:uid="{00000000-0005-0000-0000-0000742F0000}"/>
    <cellStyle name="Normal 29 68" xfId="12116" xr:uid="{00000000-0005-0000-0000-0000752F0000}"/>
    <cellStyle name="Normal 29 69" xfId="12117" xr:uid="{00000000-0005-0000-0000-0000762F0000}"/>
    <cellStyle name="Normal 29 7" xfId="12118" xr:uid="{00000000-0005-0000-0000-0000772F0000}"/>
    <cellStyle name="Normal 29 7 2" xfId="12119" xr:uid="{00000000-0005-0000-0000-0000782F0000}"/>
    <cellStyle name="Normal 29 70" xfId="12120" xr:uid="{00000000-0005-0000-0000-0000792F0000}"/>
    <cellStyle name="Normal 29 8" xfId="12121" xr:uid="{00000000-0005-0000-0000-00007A2F0000}"/>
    <cellStyle name="Normal 29 8 2" xfId="12122" xr:uid="{00000000-0005-0000-0000-00007B2F0000}"/>
    <cellStyle name="Normal 29 9" xfId="12123" xr:uid="{00000000-0005-0000-0000-00007C2F0000}"/>
    <cellStyle name="Normal 29 9 2" xfId="12124" xr:uid="{00000000-0005-0000-0000-00007D2F0000}"/>
    <cellStyle name="Normal 3" xfId="12125" xr:uid="{00000000-0005-0000-0000-00007E2F0000}"/>
    <cellStyle name="Normal 3 10" xfId="12126" xr:uid="{00000000-0005-0000-0000-00007F2F0000}"/>
    <cellStyle name="Normal 3 10 10" xfId="12127" xr:uid="{00000000-0005-0000-0000-0000802F0000}"/>
    <cellStyle name="Normal 3 10 11" xfId="12128" xr:uid="{00000000-0005-0000-0000-0000812F0000}"/>
    <cellStyle name="Normal 3 10 12" xfId="12129" xr:uid="{00000000-0005-0000-0000-0000822F0000}"/>
    <cellStyle name="Normal 3 10 13" xfId="12130" xr:uid="{00000000-0005-0000-0000-0000832F0000}"/>
    <cellStyle name="Normal 3 10 14" xfId="12131" xr:uid="{00000000-0005-0000-0000-0000842F0000}"/>
    <cellStyle name="Normal 3 10 15" xfId="12132" xr:uid="{00000000-0005-0000-0000-0000852F0000}"/>
    <cellStyle name="Normal 3 10 16" xfId="12133" xr:uid="{00000000-0005-0000-0000-0000862F0000}"/>
    <cellStyle name="Normal 3 10 17" xfId="12134" xr:uid="{00000000-0005-0000-0000-0000872F0000}"/>
    <cellStyle name="Normal 3 10 18" xfId="12135" xr:uid="{00000000-0005-0000-0000-0000882F0000}"/>
    <cellStyle name="Normal 3 10 19" xfId="12136" xr:uid="{00000000-0005-0000-0000-0000892F0000}"/>
    <cellStyle name="Normal 3 10 2" xfId="12137" xr:uid="{00000000-0005-0000-0000-00008A2F0000}"/>
    <cellStyle name="Normal 3 10 2 10" xfId="12138" xr:uid="{00000000-0005-0000-0000-00008B2F0000}"/>
    <cellStyle name="Normal 3 10 2 11" xfId="12139" xr:uid="{00000000-0005-0000-0000-00008C2F0000}"/>
    <cellStyle name="Normal 3 10 2 12" xfId="12140" xr:uid="{00000000-0005-0000-0000-00008D2F0000}"/>
    <cellStyle name="Normal 3 10 2 13" xfId="12141" xr:uid="{00000000-0005-0000-0000-00008E2F0000}"/>
    <cellStyle name="Normal 3 10 2 2" xfId="12142" xr:uid="{00000000-0005-0000-0000-00008F2F0000}"/>
    <cellStyle name="Normal 3 10 2 3" xfId="12143" xr:uid="{00000000-0005-0000-0000-0000902F0000}"/>
    <cellStyle name="Normal 3 10 2 4" xfId="12144" xr:uid="{00000000-0005-0000-0000-0000912F0000}"/>
    <cellStyle name="Normal 3 10 2 5" xfId="12145" xr:uid="{00000000-0005-0000-0000-0000922F0000}"/>
    <cellStyle name="Normal 3 10 2 6" xfId="12146" xr:uid="{00000000-0005-0000-0000-0000932F0000}"/>
    <cellStyle name="Normal 3 10 2 7" xfId="12147" xr:uid="{00000000-0005-0000-0000-0000942F0000}"/>
    <cellStyle name="Normal 3 10 2 8" xfId="12148" xr:uid="{00000000-0005-0000-0000-0000952F0000}"/>
    <cellStyle name="Normal 3 10 2 9" xfId="12149" xr:uid="{00000000-0005-0000-0000-0000962F0000}"/>
    <cellStyle name="Normal 3 10 20" xfId="12150" xr:uid="{00000000-0005-0000-0000-0000972F0000}"/>
    <cellStyle name="Normal 3 10 21" xfId="12151" xr:uid="{00000000-0005-0000-0000-0000982F0000}"/>
    <cellStyle name="Normal 3 10 3" xfId="12152" xr:uid="{00000000-0005-0000-0000-0000992F0000}"/>
    <cellStyle name="Normal 3 10 4" xfId="12153" xr:uid="{00000000-0005-0000-0000-00009A2F0000}"/>
    <cellStyle name="Normal 3 10 5" xfId="12154" xr:uid="{00000000-0005-0000-0000-00009B2F0000}"/>
    <cellStyle name="Normal 3 10 6" xfId="12155" xr:uid="{00000000-0005-0000-0000-00009C2F0000}"/>
    <cellStyle name="Normal 3 10 7" xfId="12156" xr:uid="{00000000-0005-0000-0000-00009D2F0000}"/>
    <cellStyle name="Normal 3 10 8" xfId="12157" xr:uid="{00000000-0005-0000-0000-00009E2F0000}"/>
    <cellStyle name="Normal 3 10 9" xfId="12158" xr:uid="{00000000-0005-0000-0000-00009F2F0000}"/>
    <cellStyle name="Normal 3 11" xfId="12159" xr:uid="{00000000-0005-0000-0000-0000A02F0000}"/>
    <cellStyle name="Normal 3 11 10" xfId="12160" xr:uid="{00000000-0005-0000-0000-0000A12F0000}"/>
    <cellStyle name="Normal 3 11 11" xfId="12161" xr:uid="{00000000-0005-0000-0000-0000A22F0000}"/>
    <cellStyle name="Normal 3 11 12" xfId="12162" xr:uid="{00000000-0005-0000-0000-0000A32F0000}"/>
    <cellStyle name="Normal 3 11 13" xfId="12163" xr:uid="{00000000-0005-0000-0000-0000A42F0000}"/>
    <cellStyle name="Normal 3 11 14" xfId="12164" xr:uid="{00000000-0005-0000-0000-0000A52F0000}"/>
    <cellStyle name="Normal 3 11 15" xfId="12165" xr:uid="{00000000-0005-0000-0000-0000A62F0000}"/>
    <cellStyle name="Normal 3 11 16" xfId="12166" xr:uid="{00000000-0005-0000-0000-0000A72F0000}"/>
    <cellStyle name="Normal 3 11 17" xfId="12167" xr:uid="{00000000-0005-0000-0000-0000A82F0000}"/>
    <cellStyle name="Normal 3 11 2" xfId="12168" xr:uid="{00000000-0005-0000-0000-0000A92F0000}"/>
    <cellStyle name="Normal 3 11 3" xfId="12169" xr:uid="{00000000-0005-0000-0000-0000AA2F0000}"/>
    <cellStyle name="Normal 3 11 4" xfId="12170" xr:uid="{00000000-0005-0000-0000-0000AB2F0000}"/>
    <cellStyle name="Normal 3 11 5" xfId="12171" xr:uid="{00000000-0005-0000-0000-0000AC2F0000}"/>
    <cellStyle name="Normal 3 11 6" xfId="12172" xr:uid="{00000000-0005-0000-0000-0000AD2F0000}"/>
    <cellStyle name="Normal 3 11 7" xfId="12173" xr:uid="{00000000-0005-0000-0000-0000AE2F0000}"/>
    <cellStyle name="Normal 3 11 8" xfId="12174" xr:uid="{00000000-0005-0000-0000-0000AF2F0000}"/>
    <cellStyle name="Normal 3 11 9" xfId="12175" xr:uid="{00000000-0005-0000-0000-0000B02F0000}"/>
    <cellStyle name="Normal 3 12" xfId="12176" xr:uid="{00000000-0005-0000-0000-0000B12F0000}"/>
    <cellStyle name="Normal 3 12 10" xfId="12177" xr:uid="{00000000-0005-0000-0000-0000B22F0000}"/>
    <cellStyle name="Normal 3 12 11" xfId="12178" xr:uid="{00000000-0005-0000-0000-0000B32F0000}"/>
    <cellStyle name="Normal 3 12 12" xfId="12179" xr:uid="{00000000-0005-0000-0000-0000B42F0000}"/>
    <cellStyle name="Normal 3 12 13" xfId="12180" xr:uid="{00000000-0005-0000-0000-0000B52F0000}"/>
    <cellStyle name="Normal 3 12 14" xfId="12181" xr:uid="{00000000-0005-0000-0000-0000B62F0000}"/>
    <cellStyle name="Normal 3 12 15" xfId="12182" xr:uid="{00000000-0005-0000-0000-0000B72F0000}"/>
    <cellStyle name="Normal 3 12 16" xfId="12183" xr:uid="{00000000-0005-0000-0000-0000B82F0000}"/>
    <cellStyle name="Normal 3 12 17" xfId="12184" xr:uid="{00000000-0005-0000-0000-0000B92F0000}"/>
    <cellStyle name="Normal 3 12 2" xfId="12185" xr:uid="{00000000-0005-0000-0000-0000BA2F0000}"/>
    <cellStyle name="Normal 3 12 3" xfId="12186" xr:uid="{00000000-0005-0000-0000-0000BB2F0000}"/>
    <cellStyle name="Normal 3 12 4" xfId="12187" xr:uid="{00000000-0005-0000-0000-0000BC2F0000}"/>
    <cellStyle name="Normal 3 12 5" xfId="12188" xr:uid="{00000000-0005-0000-0000-0000BD2F0000}"/>
    <cellStyle name="Normal 3 12 6" xfId="12189" xr:uid="{00000000-0005-0000-0000-0000BE2F0000}"/>
    <cellStyle name="Normal 3 12 7" xfId="12190" xr:uid="{00000000-0005-0000-0000-0000BF2F0000}"/>
    <cellStyle name="Normal 3 12 8" xfId="12191" xr:uid="{00000000-0005-0000-0000-0000C02F0000}"/>
    <cellStyle name="Normal 3 12 9" xfId="12192" xr:uid="{00000000-0005-0000-0000-0000C12F0000}"/>
    <cellStyle name="Normal 3 13" xfId="12193" xr:uid="{00000000-0005-0000-0000-0000C22F0000}"/>
    <cellStyle name="Normal 3 14" xfId="12194" xr:uid="{00000000-0005-0000-0000-0000C32F0000}"/>
    <cellStyle name="Normal 3 15" xfId="12195" xr:uid="{00000000-0005-0000-0000-0000C42F0000}"/>
    <cellStyle name="Normal 3 16" xfId="12196" xr:uid="{00000000-0005-0000-0000-0000C52F0000}"/>
    <cellStyle name="Normal 3 17" xfId="12197" xr:uid="{00000000-0005-0000-0000-0000C62F0000}"/>
    <cellStyle name="Normal 3 18" xfId="12198" xr:uid="{00000000-0005-0000-0000-0000C72F0000}"/>
    <cellStyle name="Normal 3 19" xfId="12199" xr:uid="{00000000-0005-0000-0000-0000C82F0000}"/>
    <cellStyle name="Normal 3 2" xfId="12200" xr:uid="{00000000-0005-0000-0000-0000C92F0000}"/>
    <cellStyle name="Normal 3 2 10" xfId="12201" xr:uid="{00000000-0005-0000-0000-0000CA2F0000}"/>
    <cellStyle name="Normal 3 2 11" xfId="12202" xr:uid="{00000000-0005-0000-0000-0000CB2F0000}"/>
    <cellStyle name="Normal 3 2 12" xfId="12203" xr:uid="{00000000-0005-0000-0000-0000CC2F0000}"/>
    <cellStyle name="Normal 3 2 13" xfId="12204" xr:uid="{00000000-0005-0000-0000-0000CD2F0000}"/>
    <cellStyle name="Normal 3 2 14" xfId="12205" xr:uid="{00000000-0005-0000-0000-0000CE2F0000}"/>
    <cellStyle name="Normal 3 2 15" xfId="12206" xr:uid="{00000000-0005-0000-0000-0000CF2F0000}"/>
    <cellStyle name="Normal 3 2 16" xfId="12207" xr:uid="{00000000-0005-0000-0000-0000D02F0000}"/>
    <cellStyle name="Normal 3 2 17" xfId="12208" xr:uid="{00000000-0005-0000-0000-0000D12F0000}"/>
    <cellStyle name="Normal 3 2 18" xfId="12209" xr:uid="{00000000-0005-0000-0000-0000D22F0000}"/>
    <cellStyle name="Normal 3 2 19" xfId="12210" xr:uid="{00000000-0005-0000-0000-0000D32F0000}"/>
    <cellStyle name="Normal 3 2 2" xfId="12211" xr:uid="{00000000-0005-0000-0000-0000D42F0000}"/>
    <cellStyle name="Normal 3 2 2 2" xfId="12212" xr:uid="{00000000-0005-0000-0000-0000D52F0000}"/>
    <cellStyle name="Normal 3 2 2 2 2" xfId="12213" xr:uid="{00000000-0005-0000-0000-0000D62F0000}"/>
    <cellStyle name="Normal 3 2 2 2 2 2" xfId="12214" xr:uid="{00000000-0005-0000-0000-0000D72F0000}"/>
    <cellStyle name="Normal 3 2 2 2 2 2 2" xfId="12215" xr:uid="{00000000-0005-0000-0000-0000D82F0000}"/>
    <cellStyle name="Normal 3 2 2 2 2 2 2 2" xfId="12216" xr:uid="{00000000-0005-0000-0000-0000D92F0000}"/>
    <cellStyle name="Normal 3 2 2 2 3" xfId="12217" xr:uid="{00000000-0005-0000-0000-0000DA2F0000}"/>
    <cellStyle name="Normal 3 2 2 2 4" xfId="12218" xr:uid="{00000000-0005-0000-0000-0000DB2F0000}"/>
    <cellStyle name="Normal 3 2 2 2 5" xfId="12219" xr:uid="{00000000-0005-0000-0000-0000DC2F0000}"/>
    <cellStyle name="Normal 3 2 2 2 6" xfId="12220" xr:uid="{00000000-0005-0000-0000-0000DD2F0000}"/>
    <cellStyle name="Normal 3 2 2 2 7" xfId="12221" xr:uid="{00000000-0005-0000-0000-0000DE2F0000}"/>
    <cellStyle name="Normal 3 2 2 2 8" xfId="12222" xr:uid="{00000000-0005-0000-0000-0000DF2F0000}"/>
    <cellStyle name="Normal 3 2 2 3" xfId="48247" xr:uid="{00000000-0005-0000-0000-0000E02F0000}"/>
    <cellStyle name="Normal 3 2 2 4" xfId="48248" xr:uid="{00000000-0005-0000-0000-0000E12F0000}"/>
    <cellStyle name="Normal 3 2 20" xfId="12223" xr:uid="{00000000-0005-0000-0000-0000E22F0000}"/>
    <cellStyle name="Normal 3 2 21" xfId="12224" xr:uid="{00000000-0005-0000-0000-0000E32F0000}"/>
    <cellStyle name="Normal 3 2 22" xfId="12225" xr:uid="{00000000-0005-0000-0000-0000E42F0000}"/>
    <cellStyle name="Normal 3 2 23" xfId="12226" xr:uid="{00000000-0005-0000-0000-0000E52F0000}"/>
    <cellStyle name="Normal 3 2 24" xfId="12227" xr:uid="{00000000-0005-0000-0000-0000E62F0000}"/>
    <cellStyle name="Normal 3 2 25" xfId="12228" xr:uid="{00000000-0005-0000-0000-0000E72F0000}"/>
    <cellStyle name="Normal 3 2 26" xfId="12229" xr:uid="{00000000-0005-0000-0000-0000E82F0000}"/>
    <cellStyle name="Normal 3 2 27" xfId="12230" xr:uid="{00000000-0005-0000-0000-0000E92F0000}"/>
    <cellStyle name="Normal 3 2 28" xfId="12231" xr:uid="{00000000-0005-0000-0000-0000EA2F0000}"/>
    <cellStyle name="Normal 3 2 29" xfId="12232" xr:uid="{00000000-0005-0000-0000-0000EB2F0000}"/>
    <cellStyle name="Normal 3 2 3" xfId="12233" xr:uid="{00000000-0005-0000-0000-0000EC2F0000}"/>
    <cellStyle name="Normal 3 2 3 10" xfId="12234" xr:uid="{00000000-0005-0000-0000-0000ED2F0000}"/>
    <cellStyle name="Normal 3 2 3 11" xfId="12235" xr:uid="{00000000-0005-0000-0000-0000EE2F0000}"/>
    <cellStyle name="Normal 3 2 3 12" xfId="12236" xr:uid="{00000000-0005-0000-0000-0000EF2F0000}"/>
    <cellStyle name="Normal 3 2 3 13" xfId="12237" xr:uid="{00000000-0005-0000-0000-0000F02F0000}"/>
    <cellStyle name="Normal 3 2 3 14" xfId="12238" xr:uid="{00000000-0005-0000-0000-0000F12F0000}"/>
    <cellStyle name="Normal 3 2 3 15" xfId="12239" xr:uid="{00000000-0005-0000-0000-0000F22F0000}"/>
    <cellStyle name="Normal 3 2 3 16" xfId="12240" xr:uid="{00000000-0005-0000-0000-0000F32F0000}"/>
    <cellStyle name="Normal 3 2 3 17" xfId="12241" xr:uid="{00000000-0005-0000-0000-0000F42F0000}"/>
    <cellStyle name="Normal 3 2 3 2" xfId="12242" xr:uid="{00000000-0005-0000-0000-0000F52F0000}"/>
    <cellStyle name="Normal 3 2 3 3" xfId="12243" xr:uid="{00000000-0005-0000-0000-0000F62F0000}"/>
    <cellStyle name="Normal 3 2 3 4" xfId="12244" xr:uid="{00000000-0005-0000-0000-0000F72F0000}"/>
    <cellStyle name="Normal 3 2 3 5" xfId="12245" xr:uid="{00000000-0005-0000-0000-0000F82F0000}"/>
    <cellStyle name="Normal 3 2 3 6" xfId="12246" xr:uid="{00000000-0005-0000-0000-0000F92F0000}"/>
    <cellStyle name="Normal 3 2 3 7" xfId="12247" xr:uid="{00000000-0005-0000-0000-0000FA2F0000}"/>
    <cellStyle name="Normal 3 2 3 8" xfId="12248" xr:uid="{00000000-0005-0000-0000-0000FB2F0000}"/>
    <cellStyle name="Normal 3 2 3 9" xfId="12249" xr:uid="{00000000-0005-0000-0000-0000FC2F0000}"/>
    <cellStyle name="Normal 3 2 30" xfId="12250" xr:uid="{00000000-0005-0000-0000-0000FD2F0000}"/>
    <cellStyle name="Normal 3 2 31" xfId="12251" xr:uid="{00000000-0005-0000-0000-0000FE2F0000}"/>
    <cellStyle name="Normal 3 2 32" xfId="12252" xr:uid="{00000000-0005-0000-0000-0000FF2F0000}"/>
    <cellStyle name="Normal 3 2 33" xfId="12253" xr:uid="{00000000-0005-0000-0000-000000300000}"/>
    <cellStyle name="Normal 3 2 34" xfId="12254" xr:uid="{00000000-0005-0000-0000-000001300000}"/>
    <cellStyle name="Normal 3 2 35" xfId="12255" xr:uid="{00000000-0005-0000-0000-000002300000}"/>
    <cellStyle name="Normal 3 2 36" xfId="12256" xr:uid="{00000000-0005-0000-0000-000003300000}"/>
    <cellStyle name="Normal 3 2 37" xfId="12257" xr:uid="{00000000-0005-0000-0000-000004300000}"/>
    <cellStyle name="Normal 3 2 38" xfId="12258" xr:uid="{00000000-0005-0000-0000-000005300000}"/>
    <cellStyle name="Normal 3 2 39" xfId="12259" xr:uid="{00000000-0005-0000-0000-000006300000}"/>
    <cellStyle name="Normal 3 2 4" xfId="12260" xr:uid="{00000000-0005-0000-0000-000007300000}"/>
    <cellStyle name="Normal 3 2 4 10" xfId="12261" xr:uid="{00000000-0005-0000-0000-000008300000}"/>
    <cellStyle name="Normal 3 2 4 11" xfId="12262" xr:uid="{00000000-0005-0000-0000-000009300000}"/>
    <cellStyle name="Normal 3 2 4 12" xfId="12263" xr:uid="{00000000-0005-0000-0000-00000A300000}"/>
    <cellStyle name="Normal 3 2 4 13" xfId="12264" xr:uid="{00000000-0005-0000-0000-00000B300000}"/>
    <cellStyle name="Normal 3 2 4 14" xfId="12265" xr:uid="{00000000-0005-0000-0000-00000C300000}"/>
    <cellStyle name="Normal 3 2 4 15" xfId="12266" xr:uid="{00000000-0005-0000-0000-00000D300000}"/>
    <cellStyle name="Normal 3 2 4 16" xfId="12267" xr:uid="{00000000-0005-0000-0000-00000E300000}"/>
    <cellStyle name="Normal 3 2 4 17" xfId="12268" xr:uid="{00000000-0005-0000-0000-00000F300000}"/>
    <cellStyle name="Normal 3 2 4 2" xfId="12269" xr:uid="{00000000-0005-0000-0000-000010300000}"/>
    <cellStyle name="Normal 3 2 4 3" xfId="12270" xr:uid="{00000000-0005-0000-0000-000011300000}"/>
    <cellStyle name="Normal 3 2 4 4" xfId="12271" xr:uid="{00000000-0005-0000-0000-000012300000}"/>
    <cellStyle name="Normal 3 2 4 5" xfId="12272" xr:uid="{00000000-0005-0000-0000-000013300000}"/>
    <cellStyle name="Normal 3 2 4 6" xfId="12273" xr:uid="{00000000-0005-0000-0000-000014300000}"/>
    <cellStyle name="Normal 3 2 4 7" xfId="12274" xr:uid="{00000000-0005-0000-0000-000015300000}"/>
    <cellStyle name="Normal 3 2 4 8" xfId="12275" xr:uid="{00000000-0005-0000-0000-000016300000}"/>
    <cellStyle name="Normal 3 2 4 9" xfId="12276" xr:uid="{00000000-0005-0000-0000-000017300000}"/>
    <cellStyle name="Normal 3 2 40" xfId="12277" xr:uid="{00000000-0005-0000-0000-000018300000}"/>
    <cellStyle name="Normal 3 2 41" xfId="12278" xr:uid="{00000000-0005-0000-0000-000019300000}"/>
    <cellStyle name="Normal 3 2 42" xfId="12279" xr:uid="{00000000-0005-0000-0000-00001A300000}"/>
    <cellStyle name="Normal 3 2 43" xfId="12280" xr:uid="{00000000-0005-0000-0000-00001B300000}"/>
    <cellStyle name="Normal 3 2 44" xfId="12281" xr:uid="{00000000-0005-0000-0000-00001C300000}"/>
    <cellStyle name="Normal 3 2 45" xfId="12282" xr:uid="{00000000-0005-0000-0000-00001D300000}"/>
    <cellStyle name="Normal 3 2 46" xfId="12283" xr:uid="{00000000-0005-0000-0000-00001E300000}"/>
    <cellStyle name="Normal 3 2 47" xfId="12284" xr:uid="{00000000-0005-0000-0000-00001F300000}"/>
    <cellStyle name="Normal 3 2 48" xfId="12285" xr:uid="{00000000-0005-0000-0000-000020300000}"/>
    <cellStyle name="Normal 3 2 49" xfId="12286" xr:uid="{00000000-0005-0000-0000-000021300000}"/>
    <cellStyle name="Normal 3 2 5" xfId="12287" xr:uid="{00000000-0005-0000-0000-000022300000}"/>
    <cellStyle name="Normal 3 2 50" xfId="12288" xr:uid="{00000000-0005-0000-0000-000023300000}"/>
    <cellStyle name="Normal 3 2 51" xfId="12289" xr:uid="{00000000-0005-0000-0000-000024300000}"/>
    <cellStyle name="Normal 3 2 52" xfId="12290" xr:uid="{00000000-0005-0000-0000-000025300000}"/>
    <cellStyle name="Normal 3 2 53" xfId="12291" xr:uid="{00000000-0005-0000-0000-000026300000}"/>
    <cellStyle name="Normal 3 2 54" xfId="12292" xr:uid="{00000000-0005-0000-0000-000027300000}"/>
    <cellStyle name="Normal 3 2 55" xfId="12293" xr:uid="{00000000-0005-0000-0000-000028300000}"/>
    <cellStyle name="Normal 3 2 56" xfId="12294" xr:uid="{00000000-0005-0000-0000-000029300000}"/>
    <cellStyle name="Normal 3 2 57" xfId="12295" xr:uid="{00000000-0005-0000-0000-00002A300000}"/>
    <cellStyle name="Normal 3 2 58" xfId="12296" xr:uid="{00000000-0005-0000-0000-00002B300000}"/>
    <cellStyle name="Normal 3 2 59" xfId="12297" xr:uid="{00000000-0005-0000-0000-00002C300000}"/>
    <cellStyle name="Normal 3 2 6" xfId="12298" xr:uid="{00000000-0005-0000-0000-00002D300000}"/>
    <cellStyle name="Normal 3 2 60" xfId="12299" xr:uid="{00000000-0005-0000-0000-00002E300000}"/>
    <cellStyle name="Normal 3 2 61" xfId="12300" xr:uid="{00000000-0005-0000-0000-00002F300000}"/>
    <cellStyle name="Normal 3 2 62" xfId="12301" xr:uid="{00000000-0005-0000-0000-000030300000}"/>
    <cellStyle name="Normal 3 2 63" xfId="12302" xr:uid="{00000000-0005-0000-0000-000031300000}"/>
    <cellStyle name="Normal 3 2 64" xfId="12303" xr:uid="{00000000-0005-0000-0000-000032300000}"/>
    <cellStyle name="Normal 3 2 65" xfId="12304" xr:uid="{00000000-0005-0000-0000-000033300000}"/>
    <cellStyle name="Normal 3 2 66" xfId="12305" xr:uid="{00000000-0005-0000-0000-000034300000}"/>
    <cellStyle name="Normal 3 2 67" xfId="12306" xr:uid="{00000000-0005-0000-0000-000035300000}"/>
    <cellStyle name="Normal 3 2 68" xfId="12307" xr:uid="{00000000-0005-0000-0000-000036300000}"/>
    <cellStyle name="Normal 3 2 69" xfId="12308" xr:uid="{00000000-0005-0000-0000-000037300000}"/>
    <cellStyle name="Normal 3 2 7" xfId="12309" xr:uid="{00000000-0005-0000-0000-000038300000}"/>
    <cellStyle name="Normal 3 2 70" xfId="12310" xr:uid="{00000000-0005-0000-0000-000039300000}"/>
    <cellStyle name="Normal 3 2 71" xfId="12311" xr:uid="{00000000-0005-0000-0000-00003A300000}"/>
    <cellStyle name="Normal 3 2 72" xfId="12312" xr:uid="{00000000-0005-0000-0000-00003B300000}"/>
    <cellStyle name="Normal 3 2 73" xfId="12313" xr:uid="{00000000-0005-0000-0000-00003C300000}"/>
    <cellStyle name="Normal 3 2 74" xfId="12314" xr:uid="{00000000-0005-0000-0000-00003D300000}"/>
    <cellStyle name="Normal 3 2 75" xfId="12315" xr:uid="{00000000-0005-0000-0000-00003E300000}"/>
    <cellStyle name="Normal 3 2 76" xfId="12316" xr:uid="{00000000-0005-0000-0000-00003F300000}"/>
    <cellStyle name="Normal 3 2 77" xfId="12317" xr:uid="{00000000-0005-0000-0000-000040300000}"/>
    <cellStyle name="Normal 3 2 78" xfId="12318" xr:uid="{00000000-0005-0000-0000-000041300000}"/>
    <cellStyle name="Normal 3 2 8" xfId="12319" xr:uid="{00000000-0005-0000-0000-000042300000}"/>
    <cellStyle name="Normal 3 2 9" xfId="12320" xr:uid="{00000000-0005-0000-0000-000043300000}"/>
    <cellStyle name="Normal 3 2_3.1.2 DB Pension Detail" xfId="12321" xr:uid="{00000000-0005-0000-0000-000044300000}"/>
    <cellStyle name="Normal 3 20" xfId="12322" xr:uid="{00000000-0005-0000-0000-000045300000}"/>
    <cellStyle name="Normal 3 21" xfId="12323" xr:uid="{00000000-0005-0000-0000-000046300000}"/>
    <cellStyle name="Normal 3 22" xfId="12324" xr:uid="{00000000-0005-0000-0000-000047300000}"/>
    <cellStyle name="Normal 3 23" xfId="12325" xr:uid="{00000000-0005-0000-0000-000048300000}"/>
    <cellStyle name="Normal 3 24" xfId="12326" xr:uid="{00000000-0005-0000-0000-000049300000}"/>
    <cellStyle name="Normal 3 25" xfId="12327" xr:uid="{00000000-0005-0000-0000-00004A300000}"/>
    <cellStyle name="Normal 3 26" xfId="12328" xr:uid="{00000000-0005-0000-0000-00004B300000}"/>
    <cellStyle name="Normal 3 27" xfId="12329" xr:uid="{00000000-0005-0000-0000-00004C300000}"/>
    <cellStyle name="Normal 3 28" xfId="12330" xr:uid="{00000000-0005-0000-0000-00004D300000}"/>
    <cellStyle name="Normal 3 29" xfId="12331" xr:uid="{00000000-0005-0000-0000-00004E300000}"/>
    <cellStyle name="Normal 3 3" xfId="12332" xr:uid="{00000000-0005-0000-0000-00004F300000}"/>
    <cellStyle name="Normal 3 3 10" xfId="12333" xr:uid="{00000000-0005-0000-0000-000050300000}"/>
    <cellStyle name="Normal 3 3 11" xfId="12334" xr:uid="{00000000-0005-0000-0000-000051300000}"/>
    <cellStyle name="Normal 3 3 12" xfId="12335" xr:uid="{00000000-0005-0000-0000-000052300000}"/>
    <cellStyle name="Normal 3 3 13" xfId="12336" xr:uid="{00000000-0005-0000-0000-000053300000}"/>
    <cellStyle name="Normal 3 3 14" xfId="12337" xr:uid="{00000000-0005-0000-0000-000054300000}"/>
    <cellStyle name="Normal 3 3 15" xfId="12338" xr:uid="{00000000-0005-0000-0000-000055300000}"/>
    <cellStyle name="Normal 3 3 16" xfId="12339" xr:uid="{00000000-0005-0000-0000-000056300000}"/>
    <cellStyle name="Normal 3 3 17" xfId="12340" xr:uid="{00000000-0005-0000-0000-000057300000}"/>
    <cellStyle name="Normal 3 3 18" xfId="12341" xr:uid="{00000000-0005-0000-0000-000058300000}"/>
    <cellStyle name="Normal 3 3 19" xfId="12342" xr:uid="{00000000-0005-0000-0000-000059300000}"/>
    <cellStyle name="Normal 3 3 2" xfId="12343" xr:uid="{00000000-0005-0000-0000-00005A300000}"/>
    <cellStyle name="Normal 3 3 2 10" xfId="12344" xr:uid="{00000000-0005-0000-0000-00005B300000}"/>
    <cellStyle name="Normal 3 3 2 11" xfId="12345" xr:uid="{00000000-0005-0000-0000-00005C300000}"/>
    <cellStyle name="Normal 3 3 2 12" xfId="12346" xr:uid="{00000000-0005-0000-0000-00005D300000}"/>
    <cellStyle name="Normal 3 3 2 13" xfId="12347" xr:uid="{00000000-0005-0000-0000-00005E300000}"/>
    <cellStyle name="Normal 3 3 2 14" xfId="12348" xr:uid="{00000000-0005-0000-0000-00005F300000}"/>
    <cellStyle name="Normal 3 3 2 15" xfId="12349" xr:uid="{00000000-0005-0000-0000-000060300000}"/>
    <cellStyle name="Normal 3 3 2 16" xfId="12350" xr:uid="{00000000-0005-0000-0000-000061300000}"/>
    <cellStyle name="Normal 3 3 2 17" xfId="12351" xr:uid="{00000000-0005-0000-0000-000062300000}"/>
    <cellStyle name="Normal 3 3 2 18" xfId="12352" xr:uid="{00000000-0005-0000-0000-000063300000}"/>
    <cellStyle name="Normal 3 3 2 19" xfId="12353" xr:uid="{00000000-0005-0000-0000-000064300000}"/>
    <cellStyle name="Normal 3 3 2 2" xfId="12354" xr:uid="{00000000-0005-0000-0000-000065300000}"/>
    <cellStyle name="Normal 3 3 2 2 2" xfId="12355" xr:uid="{00000000-0005-0000-0000-000066300000}"/>
    <cellStyle name="Normal 3 3 2 2 3" xfId="12356" xr:uid="{00000000-0005-0000-0000-000067300000}"/>
    <cellStyle name="Normal 3 3 2 2 4" xfId="12357" xr:uid="{00000000-0005-0000-0000-000068300000}"/>
    <cellStyle name="Normal 3 3 2 2 5" xfId="12358" xr:uid="{00000000-0005-0000-0000-000069300000}"/>
    <cellStyle name="Normal 3 3 2 2 6" xfId="12359" xr:uid="{00000000-0005-0000-0000-00006A300000}"/>
    <cellStyle name="Normal 3 3 2 2 7" xfId="12360" xr:uid="{00000000-0005-0000-0000-00006B300000}"/>
    <cellStyle name="Normal 3 3 2 2 8" xfId="12361" xr:uid="{00000000-0005-0000-0000-00006C300000}"/>
    <cellStyle name="Normal 3 3 2 20" xfId="12362" xr:uid="{00000000-0005-0000-0000-00006D300000}"/>
    <cellStyle name="Normal 3 3 2 21" xfId="12363" xr:uid="{00000000-0005-0000-0000-00006E300000}"/>
    <cellStyle name="Normal 3 3 2 22" xfId="12364" xr:uid="{00000000-0005-0000-0000-00006F300000}"/>
    <cellStyle name="Normal 3 3 2 23" xfId="12365" xr:uid="{00000000-0005-0000-0000-000070300000}"/>
    <cellStyle name="Normal 3 3 2 24" xfId="12366" xr:uid="{00000000-0005-0000-0000-000071300000}"/>
    <cellStyle name="Normal 3 3 2 25" xfId="12367" xr:uid="{00000000-0005-0000-0000-000072300000}"/>
    <cellStyle name="Normal 3 3 2 26" xfId="12368" xr:uid="{00000000-0005-0000-0000-000073300000}"/>
    <cellStyle name="Normal 3 3 2 27" xfId="12369" xr:uid="{00000000-0005-0000-0000-000074300000}"/>
    <cellStyle name="Normal 3 3 2 3" xfId="12370" xr:uid="{00000000-0005-0000-0000-000075300000}"/>
    <cellStyle name="Normal 3 3 2 3 10" xfId="12371" xr:uid="{00000000-0005-0000-0000-000076300000}"/>
    <cellStyle name="Normal 3 3 2 3 11" xfId="12372" xr:uid="{00000000-0005-0000-0000-000077300000}"/>
    <cellStyle name="Normal 3 3 2 3 12" xfId="12373" xr:uid="{00000000-0005-0000-0000-000078300000}"/>
    <cellStyle name="Normal 3 3 2 3 13" xfId="12374" xr:uid="{00000000-0005-0000-0000-000079300000}"/>
    <cellStyle name="Normal 3 3 2 3 14" xfId="12375" xr:uid="{00000000-0005-0000-0000-00007A300000}"/>
    <cellStyle name="Normal 3 3 2 3 15" xfId="12376" xr:uid="{00000000-0005-0000-0000-00007B300000}"/>
    <cellStyle name="Normal 3 3 2 3 16" xfId="12377" xr:uid="{00000000-0005-0000-0000-00007C300000}"/>
    <cellStyle name="Normal 3 3 2 3 17" xfId="12378" xr:uid="{00000000-0005-0000-0000-00007D300000}"/>
    <cellStyle name="Normal 3 3 2 3 18" xfId="12379" xr:uid="{00000000-0005-0000-0000-00007E300000}"/>
    <cellStyle name="Normal 3 3 2 3 19" xfId="12380" xr:uid="{00000000-0005-0000-0000-00007F300000}"/>
    <cellStyle name="Normal 3 3 2 3 2" xfId="12381" xr:uid="{00000000-0005-0000-0000-000080300000}"/>
    <cellStyle name="Normal 3 3 2 3 2 10" xfId="12382" xr:uid="{00000000-0005-0000-0000-000081300000}"/>
    <cellStyle name="Normal 3 3 2 3 2 11" xfId="12383" xr:uid="{00000000-0005-0000-0000-000082300000}"/>
    <cellStyle name="Normal 3 3 2 3 2 12" xfId="12384" xr:uid="{00000000-0005-0000-0000-000083300000}"/>
    <cellStyle name="Normal 3 3 2 3 2 13" xfId="12385" xr:uid="{00000000-0005-0000-0000-000084300000}"/>
    <cellStyle name="Normal 3 3 2 3 2 14" xfId="12386" xr:uid="{00000000-0005-0000-0000-000085300000}"/>
    <cellStyle name="Normal 3 3 2 3 2 15" xfId="12387" xr:uid="{00000000-0005-0000-0000-000086300000}"/>
    <cellStyle name="Normal 3 3 2 3 2 16" xfId="12388" xr:uid="{00000000-0005-0000-0000-000087300000}"/>
    <cellStyle name="Normal 3 3 2 3 2 17" xfId="12389" xr:uid="{00000000-0005-0000-0000-000088300000}"/>
    <cellStyle name="Normal 3 3 2 3 2 18" xfId="12390" xr:uid="{00000000-0005-0000-0000-000089300000}"/>
    <cellStyle name="Normal 3 3 2 3 2 19" xfId="12391" xr:uid="{00000000-0005-0000-0000-00008A300000}"/>
    <cellStyle name="Normal 3 3 2 3 2 2" xfId="12392" xr:uid="{00000000-0005-0000-0000-00008B300000}"/>
    <cellStyle name="Normal 3 3 2 3 2 2 10" xfId="12393" xr:uid="{00000000-0005-0000-0000-00008C300000}"/>
    <cellStyle name="Normal 3 3 2 3 2 2 11" xfId="12394" xr:uid="{00000000-0005-0000-0000-00008D300000}"/>
    <cellStyle name="Normal 3 3 2 3 2 2 12" xfId="12395" xr:uid="{00000000-0005-0000-0000-00008E300000}"/>
    <cellStyle name="Normal 3 3 2 3 2 2 13" xfId="12396" xr:uid="{00000000-0005-0000-0000-00008F300000}"/>
    <cellStyle name="Normal 3 3 2 3 2 2 2" xfId="12397" xr:uid="{00000000-0005-0000-0000-000090300000}"/>
    <cellStyle name="Normal 3 3 2 3 2 2 3" xfId="12398" xr:uid="{00000000-0005-0000-0000-000091300000}"/>
    <cellStyle name="Normal 3 3 2 3 2 2 4" xfId="12399" xr:uid="{00000000-0005-0000-0000-000092300000}"/>
    <cellStyle name="Normal 3 3 2 3 2 2 5" xfId="12400" xr:uid="{00000000-0005-0000-0000-000093300000}"/>
    <cellStyle name="Normal 3 3 2 3 2 2 6" xfId="12401" xr:uid="{00000000-0005-0000-0000-000094300000}"/>
    <cellStyle name="Normal 3 3 2 3 2 2 7" xfId="12402" xr:uid="{00000000-0005-0000-0000-000095300000}"/>
    <cellStyle name="Normal 3 3 2 3 2 2 8" xfId="12403" xr:uid="{00000000-0005-0000-0000-000096300000}"/>
    <cellStyle name="Normal 3 3 2 3 2 2 9" xfId="12404" xr:uid="{00000000-0005-0000-0000-000097300000}"/>
    <cellStyle name="Normal 3 3 2 3 2 20" xfId="12405" xr:uid="{00000000-0005-0000-0000-000098300000}"/>
    <cellStyle name="Normal 3 3 2 3 2 21" xfId="12406" xr:uid="{00000000-0005-0000-0000-000099300000}"/>
    <cellStyle name="Normal 3 3 2 3 2 3" xfId="12407" xr:uid="{00000000-0005-0000-0000-00009A300000}"/>
    <cellStyle name="Normal 3 3 2 3 2 4" xfId="12408" xr:uid="{00000000-0005-0000-0000-00009B300000}"/>
    <cellStyle name="Normal 3 3 2 3 2 5" xfId="12409" xr:uid="{00000000-0005-0000-0000-00009C300000}"/>
    <cellStyle name="Normal 3 3 2 3 2 6" xfId="12410" xr:uid="{00000000-0005-0000-0000-00009D300000}"/>
    <cellStyle name="Normal 3 3 2 3 2 7" xfId="12411" xr:uid="{00000000-0005-0000-0000-00009E300000}"/>
    <cellStyle name="Normal 3 3 2 3 2 8" xfId="12412" xr:uid="{00000000-0005-0000-0000-00009F300000}"/>
    <cellStyle name="Normal 3 3 2 3 2 9" xfId="12413" xr:uid="{00000000-0005-0000-0000-0000A0300000}"/>
    <cellStyle name="Normal 3 3 2 3 20" xfId="12414" xr:uid="{00000000-0005-0000-0000-0000A1300000}"/>
    <cellStyle name="Normal 3 3 2 3 21" xfId="12415" xr:uid="{00000000-0005-0000-0000-0000A2300000}"/>
    <cellStyle name="Normal 3 3 2 3 22" xfId="12416" xr:uid="{00000000-0005-0000-0000-0000A3300000}"/>
    <cellStyle name="Normal 3 3 2 3 3" xfId="12417" xr:uid="{00000000-0005-0000-0000-0000A4300000}"/>
    <cellStyle name="Normal 3 3 2 3 3 10" xfId="12418" xr:uid="{00000000-0005-0000-0000-0000A5300000}"/>
    <cellStyle name="Normal 3 3 2 3 3 11" xfId="12419" xr:uid="{00000000-0005-0000-0000-0000A6300000}"/>
    <cellStyle name="Normal 3 3 2 3 3 12" xfId="12420" xr:uid="{00000000-0005-0000-0000-0000A7300000}"/>
    <cellStyle name="Normal 3 3 2 3 3 13" xfId="12421" xr:uid="{00000000-0005-0000-0000-0000A8300000}"/>
    <cellStyle name="Normal 3 3 2 3 3 2" xfId="12422" xr:uid="{00000000-0005-0000-0000-0000A9300000}"/>
    <cellStyle name="Normal 3 3 2 3 3 3" xfId="12423" xr:uid="{00000000-0005-0000-0000-0000AA300000}"/>
    <cellStyle name="Normal 3 3 2 3 3 4" xfId="12424" xr:uid="{00000000-0005-0000-0000-0000AB300000}"/>
    <cellStyle name="Normal 3 3 2 3 3 5" xfId="12425" xr:uid="{00000000-0005-0000-0000-0000AC300000}"/>
    <cellStyle name="Normal 3 3 2 3 3 6" xfId="12426" xr:uid="{00000000-0005-0000-0000-0000AD300000}"/>
    <cellStyle name="Normal 3 3 2 3 3 7" xfId="12427" xr:uid="{00000000-0005-0000-0000-0000AE300000}"/>
    <cellStyle name="Normal 3 3 2 3 3 8" xfId="12428" xr:uid="{00000000-0005-0000-0000-0000AF300000}"/>
    <cellStyle name="Normal 3 3 2 3 3 9" xfId="12429" xr:uid="{00000000-0005-0000-0000-0000B0300000}"/>
    <cellStyle name="Normal 3 3 2 3 4" xfId="12430" xr:uid="{00000000-0005-0000-0000-0000B1300000}"/>
    <cellStyle name="Normal 3 3 2 3 5" xfId="12431" xr:uid="{00000000-0005-0000-0000-0000B2300000}"/>
    <cellStyle name="Normal 3 3 2 3 6" xfId="12432" xr:uid="{00000000-0005-0000-0000-0000B3300000}"/>
    <cellStyle name="Normal 3 3 2 3 7" xfId="12433" xr:uid="{00000000-0005-0000-0000-0000B4300000}"/>
    <cellStyle name="Normal 3 3 2 3 8" xfId="12434" xr:uid="{00000000-0005-0000-0000-0000B5300000}"/>
    <cellStyle name="Normal 3 3 2 3 9" xfId="12435" xr:uid="{00000000-0005-0000-0000-0000B6300000}"/>
    <cellStyle name="Normal 3 3 2 3_4 28 1_Asst_Health_Crit_AllTO_RIIO_20110714pm" xfId="12436" xr:uid="{00000000-0005-0000-0000-0000B7300000}"/>
    <cellStyle name="Normal 3 3 2 4" xfId="12437" xr:uid="{00000000-0005-0000-0000-0000B8300000}"/>
    <cellStyle name="Normal 3 3 2 4 10" xfId="12438" xr:uid="{00000000-0005-0000-0000-0000B9300000}"/>
    <cellStyle name="Normal 3 3 2 4 11" xfId="12439" xr:uid="{00000000-0005-0000-0000-0000BA300000}"/>
    <cellStyle name="Normal 3 3 2 4 12" xfId="12440" xr:uid="{00000000-0005-0000-0000-0000BB300000}"/>
    <cellStyle name="Normal 3 3 2 4 13" xfId="12441" xr:uid="{00000000-0005-0000-0000-0000BC300000}"/>
    <cellStyle name="Normal 3 3 2 4 14" xfId="12442" xr:uid="{00000000-0005-0000-0000-0000BD300000}"/>
    <cellStyle name="Normal 3 3 2 4 15" xfId="12443" xr:uid="{00000000-0005-0000-0000-0000BE300000}"/>
    <cellStyle name="Normal 3 3 2 4 16" xfId="12444" xr:uid="{00000000-0005-0000-0000-0000BF300000}"/>
    <cellStyle name="Normal 3 3 2 4 17" xfId="12445" xr:uid="{00000000-0005-0000-0000-0000C0300000}"/>
    <cellStyle name="Normal 3 3 2 4 18" xfId="12446" xr:uid="{00000000-0005-0000-0000-0000C1300000}"/>
    <cellStyle name="Normal 3 3 2 4 19" xfId="12447" xr:uid="{00000000-0005-0000-0000-0000C2300000}"/>
    <cellStyle name="Normal 3 3 2 4 2" xfId="12448" xr:uid="{00000000-0005-0000-0000-0000C3300000}"/>
    <cellStyle name="Normal 3 3 2 4 2 10" xfId="12449" xr:uid="{00000000-0005-0000-0000-0000C4300000}"/>
    <cellStyle name="Normal 3 3 2 4 2 11" xfId="12450" xr:uid="{00000000-0005-0000-0000-0000C5300000}"/>
    <cellStyle name="Normal 3 3 2 4 2 12" xfId="12451" xr:uid="{00000000-0005-0000-0000-0000C6300000}"/>
    <cellStyle name="Normal 3 3 2 4 2 13" xfId="12452" xr:uid="{00000000-0005-0000-0000-0000C7300000}"/>
    <cellStyle name="Normal 3 3 2 4 2 2" xfId="12453" xr:uid="{00000000-0005-0000-0000-0000C8300000}"/>
    <cellStyle name="Normal 3 3 2 4 2 3" xfId="12454" xr:uid="{00000000-0005-0000-0000-0000C9300000}"/>
    <cellStyle name="Normal 3 3 2 4 2 4" xfId="12455" xr:uid="{00000000-0005-0000-0000-0000CA300000}"/>
    <cellStyle name="Normal 3 3 2 4 2 5" xfId="12456" xr:uid="{00000000-0005-0000-0000-0000CB300000}"/>
    <cellStyle name="Normal 3 3 2 4 2 6" xfId="12457" xr:uid="{00000000-0005-0000-0000-0000CC300000}"/>
    <cellStyle name="Normal 3 3 2 4 2 7" xfId="12458" xr:uid="{00000000-0005-0000-0000-0000CD300000}"/>
    <cellStyle name="Normal 3 3 2 4 2 8" xfId="12459" xr:uid="{00000000-0005-0000-0000-0000CE300000}"/>
    <cellStyle name="Normal 3 3 2 4 2 9" xfId="12460" xr:uid="{00000000-0005-0000-0000-0000CF300000}"/>
    <cellStyle name="Normal 3 3 2 4 20" xfId="12461" xr:uid="{00000000-0005-0000-0000-0000D0300000}"/>
    <cellStyle name="Normal 3 3 2 4 21" xfId="12462" xr:uid="{00000000-0005-0000-0000-0000D1300000}"/>
    <cellStyle name="Normal 3 3 2 4 3" xfId="12463" xr:uid="{00000000-0005-0000-0000-0000D2300000}"/>
    <cellStyle name="Normal 3 3 2 4 4" xfId="12464" xr:uid="{00000000-0005-0000-0000-0000D3300000}"/>
    <cellStyle name="Normal 3 3 2 4 5" xfId="12465" xr:uid="{00000000-0005-0000-0000-0000D4300000}"/>
    <cellStyle name="Normal 3 3 2 4 6" xfId="12466" xr:uid="{00000000-0005-0000-0000-0000D5300000}"/>
    <cellStyle name="Normal 3 3 2 4 7" xfId="12467" xr:uid="{00000000-0005-0000-0000-0000D6300000}"/>
    <cellStyle name="Normal 3 3 2 4 8" xfId="12468" xr:uid="{00000000-0005-0000-0000-0000D7300000}"/>
    <cellStyle name="Normal 3 3 2 4 9" xfId="12469" xr:uid="{00000000-0005-0000-0000-0000D8300000}"/>
    <cellStyle name="Normal 3 3 2 5" xfId="12470" xr:uid="{00000000-0005-0000-0000-0000D9300000}"/>
    <cellStyle name="Normal 3 3 2 5 10" xfId="12471" xr:uid="{00000000-0005-0000-0000-0000DA300000}"/>
    <cellStyle name="Normal 3 3 2 5 11" xfId="12472" xr:uid="{00000000-0005-0000-0000-0000DB300000}"/>
    <cellStyle name="Normal 3 3 2 5 12" xfId="12473" xr:uid="{00000000-0005-0000-0000-0000DC300000}"/>
    <cellStyle name="Normal 3 3 2 5 13" xfId="12474" xr:uid="{00000000-0005-0000-0000-0000DD300000}"/>
    <cellStyle name="Normal 3 3 2 5 14" xfId="12475" xr:uid="{00000000-0005-0000-0000-0000DE300000}"/>
    <cellStyle name="Normal 3 3 2 5 2" xfId="12476" xr:uid="{00000000-0005-0000-0000-0000DF300000}"/>
    <cellStyle name="Normal 3 3 2 5 2 10" xfId="12477" xr:uid="{00000000-0005-0000-0000-0000E0300000}"/>
    <cellStyle name="Normal 3 3 2 5 2 11" xfId="12478" xr:uid="{00000000-0005-0000-0000-0000E1300000}"/>
    <cellStyle name="Normal 3 3 2 5 2 12" xfId="12479" xr:uid="{00000000-0005-0000-0000-0000E2300000}"/>
    <cellStyle name="Normal 3 3 2 5 2 13" xfId="12480" xr:uid="{00000000-0005-0000-0000-0000E3300000}"/>
    <cellStyle name="Normal 3 3 2 5 2 2" xfId="12481" xr:uid="{00000000-0005-0000-0000-0000E4300000}"/>
    <cellStyle name="Normal 3 3 2 5 2 3" xfId="12482" xr:uid="{00000000-0005-0000-0000-0000E5300000}"/>
    <cellStyle name="Normal 3 3 2 5 2 4" xfId="12483" xr:uid="{00000000-0005-0000-0000-0000E6300000}"/>
    <cellStyle name="Normal 3 3 2 5 2 5" xfId="12484" xr:uid="{00000000-0005-0000-0000-0000E7300000}"/>
    <cellStyle name="Normal 3 3 2 5 2 6" xfId="12485" xr:uid="{00000000-0005-0000-0000-0000E8300000}"/>
    <cellStyle name="Normal 3 3 2 5 2 7" xfId="12486" xr:uid="{00000000-0005-0000-0000-0000E9300000}"/>
    <cellStyle name="Normal 3 3 2 5 2 8" xfId="12487" xr:uid="{00000000-0005-0000-0000-0000EA300000}"/>
    <cellStyle name="Normal 3 3 2 5 2 9" xfId="12488" xr:uid="{00000000-0005-0000-0000-0000EB300000}"/>
    <cellStyle name="Normal 3 3 2 5 3" xfId="12489" xr:uid="{00000000-0005-0000-0000-0000EC300000}"/>
    <cellStyle name="Normal 3 3 2 5 4" xfId="12490" xr:uid="{00000000-0005-0000-0000-0000ED300000}"/>
    <cellStyle name="Normal 3 3 2 5 5" xfId="12491" xr:uid="{00000000-0005-0000-0000-0000EE300000}"/>
    <cellStyle name="Normal 3 3 2 5 6" xfId="12492" xr:uid="{00000000-0005-0000-0000-0000EF300000}"/>
    <cellStyle name="Normal 3 3 2 5 7" xfId="12493" xr:uid="{00000000-0005-0000-0000-0000F0300000}"/>
    <cellStyle name="Normal 3 3 2 5 8" xfId="12494" xr:uid="{00000000-0005-0000-0000-0000F1300000}"/>
    <cellStyle name="Normal 3 3 2 5 9" xfId="12495" xr:uid="{00000000-0005-0000-0000-0000F2300000}"/>
    <cellStyle name="Normal 3 3 2 6" xfId="12496" xr:uid="{00000000-0005-0000-0000-0000F3300000}"/>
    <cellStyle name="Normal 3 3 2 6 10" xfId="12497" xr:uid="{00000000-0005-0000-0000-0000F4300000}"/>
    <cellStyle name="Normal 3 3 2 6 11" xfId="12498" xr:uid="{00000000-0005-0000-0000-0000F5300000}"/>
    <cellStyle name="Normal 3 3 2 6 12" xfId="12499" xr:uid="{00000000-0005-0000-0000-0000F6300000}"/>
    <cellStyle name="Normal 3 3 2 6 13" xfId="12500" xr:uid="{00000000-0005-0000-0000-0000F7300000}"/>
    <cellStyle name="Normal 3 3 2 6 2" xfId="12501" xr:uid="{00000000-0005-0000-0000-0000F8300000}"/>
    <cellStyle name="Normal 3 3 2 6 3" xfId="12502" xr:uid="{00000000-0005-0000-0000-0000F9300000}"/>
    <cellStyle name="Normal 3 3 2 6 4" xfId="12503" xr:uid="{00000000-0005-0000-0000-0000FA300000}"/>
    <cellStyle name="Normal 3 3 2 6 5" xfId="12504" xr:uid="{00000000-0005-0000-0000-0000FB300000}"/>
    <cellStyle name="Normal 3 3 2 6 6" xfId="12505" xr:uid="{00000000-0005-0000-0000-0000FC300000}"/>
    <cellStyle name="Normal 3 3 2 6 7" xfId="12506" xr:uid="{00000000-0005-0000-0000-0000FD300000}"/>
    <cellStyle name="Normal 3 3 2 6 8" xfId="12507" xr:uid="{00000000-0005-0000-0000-0000FE300000}"/>
    <cellStyle name="Normal 3 3 2 6 9" xfId="12508" xr:uid="{00000000-0005-0000-0000-0000FF300000}"/>
    <cellStyle name="Normal 3 3 2 7" xfId="12509" xr:uid="{00000000-0005-0000-0000-000000310000}"/>
    <cellStyle name="Normal 3 3 2 7 2" xfId="12510" xr:uid="{00000000-0005-0000-0000-000001310000}"/>
    <cellStyle name="Normal 3 3 2 7 2 2" xfId="12511" xr:uid="{00000000-0005-0000-0000-000002310000}"/>
    <cellStyle name="Normal 3 3 2 7 2 3" xfId="12512" xr:uid="{00000000-0005-0000-0000-000003310000}"/>
    <cellStyle name="Normal 3 3 2 7 3" xfId="12513" xr:uid="{00000000-0005-0000-0000-000004310000}"/>
    <cellStyle name="Normal 3 3 2 7 4" xfId="12514" xr:uid="{00000000-0005-0000-0000-000005310000}"/>
    <cellStyle name="Normal 3 3 2 8" xfId="12515" xr:uid="{00000000-0005-0000-0000-000006310000}"/>
    <cellStyle name="Normal 3 3 2 9" xfId="12516" xr:uid="{00000000-0005-0000-0000-000007310000}"/>
    <cellStyle name="Normal 3 3 2_4 28 1_Asst_Health_Crit_AllTO_RIIO_20110714pm" xfId="12517" xr:uid="{00000000-0005-0000-0000-000008310000}"/>
    <cellStyle name="Normal 3 3 20" xfId="12518" xr:uid="{00000000-0005-0000-0000-000009310000}"/>
    <cellStyle name="Normal 3 3 21" xfId="12519" xr:uid="{00000000-0005-0000-0000-00000A310000}"/>
    <cellStyle name="Normal 3 3 22" xfId="12520" xr:uid="{00000000-0005-0000-0000-00000B310000}"/>
    <cellStyle name="Normal 3 3 23" xfId="12521" xr:uid="{00000000-0005-0000-0000-00000C310000}"/>
    <cellStyle name="Normal 3 3 24" xfId="12522" xr:uid="{00000000-0005-0000-0000-00000D310000}"/>
    <cellStyle name="Normal 3 3 25" xfId="12523" xr:uid="{00000000-0005-0000-0000-00000E310000}"/>
    <cellStyle name="Normal 3 3 26" xfId="12524" xr:uid="{00000000-0005-0000-0000-00000F310000}"/>
    <cellStyle name="Normal 3 3 27" xfId="12525" xr:uid="{00000000-0005-0000-0000-000010310000}"/>
    <cellStyle name="Normal 3 3 28" xfId="12526" xr:uid="{00000000-0005-0000-0000-000011310000}"/>
    <cellStyle name="Normal 3 3 29" xfId="12527" xr:uid="{00000000-0005-0000-0000-000012310000}"/>
    <cellStyle name="Normal 3 3 3" xfId="12528" xr:uid="{00000000-0005-0000-0000-000013310000}"/>
    <cellStyle name="Normal 3 3 3 10" xfId="12529" xr:uid="{00000000-0005-0000-0000-000014310000}"/>
    <cellStyle name="Normal 3 3 3 11" xfId="12530" xr:uid="{00000000-0005-0000-0000-000015310000}"/>
    <cellStyle name="Normal 3 3 3 12" xfId="12531" xr:uid="{00000000-0005-0000-0000-000016310000}"/>
    <cellStyle name="Normal 3 3 3 13" xfId="12532" xr:uid="{00000000-0005-0000-0000-000017310000}"/>
    <cellStyle name="Normal 3 3 3 14" xfId="12533" xr:uid="{00000000-0005-0000-0000-000018310000}"/>
    <cellStyle name="Normal 3 3 3 15" xfId="12534" xr:uid="{00000000-0005-0000-0000-000019310000}"/>
    <cellStyle name="Normal 3 3 3 16" xfId="12535" xr:uid="{00000000-0005-0000-0000-00001A310000}"/>
    <cellStyle name="Normal 3 3 3 17" xfId="12536" xr:uid="{00000000-0005-0000-0000-00001B310000}"/>
    <cellStyle name="Normal 3 3 3 18" xfId="12537" xr:uid="{00000000-0005-0000-0000-00001C310000}"/>
    <cellStyle name="Normal 3 3 3 19" xfId="12538" xr:uid="{00000000-0005-0000-0000-00001D310000}"/>
    <cellStyle name="Normal 3 3 3 2" xfId="12539" xr:uid="{00000000-0005-0000-0000-00001E310000}"/>
    <cellStyle name="Normal 3 3 3 2 10" xfId="12540" xr:uid="{00000000-0005-0000-0000-00001F310000}"/>
    <cellStyle name="Normal 3 3 3 2 11" xfId="12541" xr:uid="{00000000-0005-0000-0000-000020310000}"/>
    <cellStyle name="Normal 3 3 3 2 12" xfId="12542" xr:uid="{00000000-0005-0000-0000-000021310000}"/>
    <cellStyle name="Normal 3 3 3 2 13" xfId="12543" xr:uid="{00000000-0005-0000-0000-000022310000}"/>
    <cellStyle name="Normal 3 3 3 2 14" xfId="12544" xr:uid="{00000000-0005-0000-0000-000023310000}"/>
    <cellStyle name="Normal 3 3 3 2 15" xfId="12545" xr:uid="{00000000-0005-0000-0000-000024310000}"/>
    <cellStyle name="Normal 3 3 3 2 16" xfId="12546" xr:uid="{00000000-0005-0000-0000-000025310000}"/>
    <cellStyle name="Normal 3 3 3 2 17" xfId="12547" xr:uid="{00000000-0005-0000-0000-000026310000}"/>
    <cellStyle name="Normal 3 3 3 2 18" xfId="12548" xr:uid="{00000000-0005-0000-0000-000027310000}"/>
    <cellStyle name="Normal 3 3 3 2 19" xfId="12549" xr:uid="{00000000-0005-0000-0000-000028310000}"/>
    <cellStyle name="Normal 3 3 3 2 2" xfId="12550" xr:uid="{00000000-0005-0000-0000-000029310000}"/>
    <cellStyle name="Normal 3 3 3 2 2 10" xfId="12551" xr:uid="{00000000-0005-0000-0000-00002A310000}"/>
    <cellStyle name="Normal 3 3 3 2 2 11" xfId="12552" xr:uid="{00000000-0005-0000-0000-00002B310000}"/>
    <cellStyle name="Normal 3 3 3 2 2 12" xfId="12553" xr:uid="{00000000-0005-0000-0000-00002C310000}"/>
    <cellStyle name="Normal 3 3 3 2 2 13" xfId="12554" xr:uid="{00000000-0005-0000-0000-00002D310000}"/>
    <cellStyle name="Normal 3 3 3 2 2 14" xfId="12555" xr:uid="{00000000-0005-0000-0000-00002E310000}"/>
    <cellStyle name="Normal 3 3 3 2 2 15" xfId="12556" xr:uid="{00000000-0005-0000-0000-00002F310000}"/>
    <cellStyle name="Normal 3 3 3 2 2 16" xfId="12557" xr:uid="{00000000-0005-0000-0000-000030310000}"/>
    <cellStyle name="Normal 3 3 3 2 2 17" xfId="12558" xr:uid="{00000000-0005-0000-0000-000031310000}"/>
    <cellStyle name="Normal 3 3 3 2 2 18" xfId="12559" xr:uid="{00000000-0005-0000-0000-000032310000}"/>
    <cellStyle name="Normal 3 3 3 2 2 19" xfId="12560" xr:uid="{00000000-0005-0000-0000-000033310000}"/>
    <cellStyle name="Normal 3 3 3 2 2 2" xfId="12561" xr:uid="{00000000-0005-0000-0000-000034310000}"/>
    <cellStyle name="Normal 3 3 3 2 2 2 10" xfId="12562" xr:uid="{00000000-0005-0000-0000-000035310000}"/>
    <cellStyle name="Normal 3 3 3 2 2 2 11" xfId="12563" xr:uid="{00000000-0005-0000-0000-000036310000}"/>
    <cellStyle name="Normal 3 3 3 2 2 2 12" xfId="12564" xr:uid="{00000000-0005-0000-0000-000037310000}"/>
    <cellStyle name="Normal 3 3 3 2 2 2 13" xfId="12565" xr:uid="{00000000-0005-0000-0000-000038310000}"/>
    <cellStyle name="Normal 3 3 3 2 2 2 2" xfId="12566" xr:uid="{00000000-0005-0000-0000-000039310000}"/>
    <cellStyle name="Normal 3 3 3 2 2 2 3" xfId="12567" xr:uid="{00000000-0005-0000-0000-00003A310000}"/>
    <cellStyle name="Normal 3 3 3 2 2 2 4" xfId="12568" xr:uid="{00000000-0005-0000-0000-00003B310000}"/>
    <cellStyle name="Normal 3 3 3 2 2 2 5" xfId="12569" xr:uid="{00000000-0005-0000-0000-00003C310000}"/>
    <cellStyle name="Normal 3 3 3 2 2 2 6" xfId="12570" xr:uid="{00000000-0005-0000-0000-00003D310000}"/>
    <cellStyle name="Normal 3 3 3 2 2 2 7" xfId="12571" xr:uid="{00000000-0005-0000-0000-00003E310000}"/>
    <cellStyle name="Normal 3 3 3 2 2 2 8" xfId="12572" xr:uid="{00000000-0005-0000-0000-00003F310000}"/>
    <cellStyle name="Normal 3 3 3 2 2 2 9" xfId="12573" xr:uid="{00000000-0005-0000-0000-000040310000}"/>
    <cellStyle name="Normal 3 3 3 2 2 20" xfId="12574" xr:uid="{00000000-0005-0000-0000-000041310000}"/>
    <cellStyle name="Normal 3 3 3 2 2 21" xfId="12575" xr:uid="{00000000-0005-0000-0000-000042310000}"/>
    <cellStyle name="Normal 3 3 3 2 2 3" xfId="12576" xr:uid="{00000000-0005-0000-0000-000043310000}"/>
    <cellStyle name="Normal 3 3 3 2 2 4" xfId="12577" xr:uid="{00000000-0005-0000-0000-000044310000}"/>
    <cellStyle name="Normal 3 3 3 2 2 5" xfId="12578" xr:uid="{00000000-0005-0000-0000-000045310000}"/>
    <cellStyle name="Normal 3 3 3 2 2 6" xfId="12579" xr:uid="{00000000-0005-0000-0000-000046310000}"/>
    <cellStyle name="Normal 3 3 3 2 2 7" xfId="12580" xr:uid="{00000000-0005-0000-0000-000047310000}"/>
    <cellStyle name="Normal 3 3 3 2 2 8" xfId="12581" xr:uid="{00000000-0005-0000-0000-000048310000}"/>
    <cellStyle name="Normal 3 3 3 2 2 9" xfId="12582" xr:uid="{00000000-0005-0000-0000-000049310000}"/>
    <cellStyle name="Normal 3 3 3 2 20" xfId="12583" xr:uid="{00000000-0005-0000-0000-00004A310000}"/>
    <cellStyle name="Normal 3 3 3 2 21" xfId="12584" xr:uid="{00000000-0005-0000-0000-00004B310000}"/>
    <cellStyle name="Normal 3 3 3 2 22" xfId="12585" xr:uid="{00000000-0005-0000-0000-00004C310000}"/>
    <cellStyle name="Normal 3 3 3 2 3" xfId="12586" xr:uid="{00000000-0005-0000-0000-00004D310000}"/>
    <cellStyle name="Normal 3 3 3 2 3 10" xfId="12587" xr:uid="{00000000-0005-0000-0000-00004E310000}"/>
    <cellStyle name="Normal 3 3 3 2 3 11" xfId="12588" xr:uid="{00000000-0005-0000-0000-00004F310000}"/>
    <cellStyle name="Normal 3 3 3 2 3 12" xfId="12589" xr:uid="{00000000-0005-0000-0000-000050310000}"/>
    <cellStyle name="Normal 3 3 3 2 3 13" xfId="12590" xr:uid="{00000000-0005-0000-0000-000051310000}"/>
    <cellStyle name="Normal 3 3 3 2 3 2" xfId="12591" xr:uid="{00000000-0005-0000-0000-000052310000}"/>
    <cellStyle name="Normal 3 3 3 2 3 3" xfId="12592" xr:uid="{00000000-0005-0000-0000-000053310000}"/>
    <cellStyle name="Normal 3 3 3 2 3 4" xfId="12593" xr:uid="{00000000-0005-0000-0000-000054310000}"/>
    <cellStyle name="Normal 3 3 3 2 3 5" xfId="12594" xr:uid="{00000000-0005-0000-0000-000055310000}"/>
    <cellStyle name="Normal 3 3 3 2 3 6" xfId="12595" xr:uid="{00000000-0005-0000-0000-000056310000}"/>
    <cellStyle name="Normal 3 3 3 2 3 7" xfId="12596" xr:uid="{00000000-0005-0000-0000-000057310000}"/>
    <cellStyle name="Normal 3 3 3 2 3 8" xfId="12597" xr:uid="{00000000-0005-0000-0000-000058310000}"/>
    <cellStyle name="Normal 3 3 3 2 3 9" xfId="12598" xr:uid="{00000000-0005-0000-0000-000059310000}"/>
    <cellStyle name="Normal 3 3 3 2 4" xfId="12599" xr:uid="{00000000-0005-0000-0000-00005A310000}"/>
    <cellStyle name="Normal 3 3 3 2 5" xfId="12600" xr:uid="{00000000-0005-0000-0000-00005B310000}"/>
    <cellStyle name="Normal 3 3 3 2 6" xfId="12601" xr:uid="{00000000-0005-0000-0000-00005C310000}"/>
    <cellStyle name="Normal 3 3 3 2 7" xfId="12602" xr:uid="{00000000-0005-0000-0000-00005D310000}"/>
    <cellStyle name="Normal 3 3 3 2 8" xfId="12603" xr:uid="{00000000-0005-0000-0000-00005E310000}"/>
    <cellStyle name="Normal 3 3 3 2 9" xfId="12604" xr:uid="{00000000-0005-0000-0000-00005F310000}"/>
    <cellStyle name="Normal 3 3 3 2_4 28 1_Asst_Health_Crit_AllTO_RIIO_20110714pm" xfId="12605" xr:uid="{00000000-0005-0000-0000-000060310000}"/>
    <cellStyle name="Normal 3 3 3 20" xfId="12606" xr:uid="{00000000-0005-0000-0000-000061310000}"/>
    <cellStyle name="Normal 3 3 3 21" xfId="12607" xr:uid="{00000000-0005-0000-0000-000062310000}"/>
    <cellStyle name="Normal 3 3 3 22" xfId="12608" xr:uid="{00000000-0005-0000-0000-000063310000}"/>
    <cellStyle name="Normal 3 3 3 23" xfId="12609" xr:uid="{00000000-0005-0000-0000-000064310000}"/>
    <cellStyle name="Normal 3 3 3 24" xfId="12610" xr:uid="{00000000-0005-0000-0000-000065310000}"/>
    <cellStyle name="Normal 3 3 3 25" xfId="12611" xr:uid="{00000000-0005-0000-0000-000066310000}"/>
    <cellStyle name="Normal 3 3 3 3" xfId="12612" xr:uid="{00000000-0005-0000-0000-000067310000}"/>
    <cellStyle name="Normal 3 3 3 3 10" xfId="12613" xr:uid="{00000000-0005-0000-0000-000068310000}"/>
    <cellStyle name="Normal 3 3 3 3 11" xfId="12614" xr:uid="{00000000-0005-0000-0000-000069310000}"/>
    <cellStyle name="Normal 3 3 3 3 12" xfId="12615" xr:uid="{00000000-0005-0000-0000-00006A310000}"/>
    <cellStyle name="Normal 3 3 3 3 13" xfId="12616" xr:uid="{00000000-0005-0000-0000-00006B310000}"/>
    <cellStyle name="Normal 3 3 3 3 14" xfId="12617" xr:uid="{00000000-0005-0000-0000-00006C310000}"/>
    <cellStyle name="Normal 3 3 3 3 15" xfId="12618" xr:uid="{00000000-0005-0000-0000-00006D310000}"/>
    <cellStyle name="Normal 3 3 3 3 16" xfId="12619" xr:uid="{00000000-0005-0000-0000-00006E310000}"/>
    <cellStyle name="Normal 3 3 3 3 17" xfId="12620" xr:uid="{00000000-0005-0000-0000-00006F310000}"/>
    <cellStyle name="Normal 3 3 3 3 18" xfId="12621" xr:uid="{00000000-0005-0000-0000-000070310000}"/>
    <cellStyle name="Normal 3 3 3 3 19" xfId="12622" xr:uid="{00000000-0005-0000-0000-000071310000}"/>
    <cellStyle name="Normal 3 3 3 3 2" xfId="12623" xr:uid="{00000000-0005-0000-0000-000072310000}"/>
    <cellStyle name="Normal 3 3 3 3 2 10" xfId="12624" xr:uid="{00000000-0005-0000-0000-000073310000}"/>
    <cellStyle name="Normal 3 3 3 3 2 11" xfId="12625" xr:uid="{00000000-0005-0000-0000-000074310000}"/>
    <cellStyle name="Normal 3 3 3 3 2 12" xfId="12626" xr:uid="{00000000-0005-0000-0000-000075310000}"/>
    <cellStyle name="Normal 3 3 3 3 2 13" xfId="12627" xr:uid="{00000000-0005-0000-0000-000076310000}"/>
    <cellStyle name="Normal 3 3 3 3 2 2" xfId="12628" xr:uid="{00000000-0005-0000-0000-000077310000}"/>
    <cellStyle name="Normal 3 3 3 3 2 3" xfId="12629" xr:uid="{00000000-0005-0000-0000-000078310000}"/>
    <cellStyle name="Normal 3 3 3 3 2 4" xfId="12630" xr:uid="{00000000-0005-0000-0000-000079310000}"/>
    <cellStyle name="Normal 3 3 3 3 2 5" xfId="12631" xr:uid="{00000000-0005-0000-0000-00007A310000}"/>
    <cellStyle name="Normal 3 3 3 3 2 6" xfId="12632" xr:uid="{00000000-0005-0000-0000-00007B310000}"/>
    <cellStyle name="Normal 3 3 3 3 2 7" xfId="12633" xr:uid="{00000000-0005-0000-0000-00007C310000}"/>
    <cellStyle name="Normal 3 3 3 3 2 8" xfId="12634" xr:uid="{00000000-0005-0000-0000-00007D310000}"/>
    <cellStyle name="Normal 3 3 3 3 2 9" xfId="12635" xr:uid="{00000000-0005-0000-0000-00007E310000}"/>
    <cellStyle name="Normal 3 3 3 3 20" xfId="12636" xr:uid="{00000000-0005-0000-0000-00007F310000}"/>
    <cellStyle name="Normal 3 3 3 3 21" xfId="12637" xr:uid="{00000000-0005-0000-0000-000080310000}"/>
    <cellStyle name="Normal 3 3 3 3 3" xfId="12638" xr:uid="{00000000-0005-0000-0000-000081310000}"/>
    <cellStyle name="Normal 3 3 3 3 4" xfId="12639" xr:uid="{00000000-0005-0000-0000-000082310000}"/>
    <cellStyle name="Normal 3 3 3 3 5" xfId="12640" xr:uid="{00000000-0005-0000-0000-000083310000}"/>
    <cellStyle name="Normal 3 3 3 3 6" xfId="12641" xr:uid="{00000000-0005-0000-0000-000084310000}"/>
    <cellStyle name="Normal 3 3 3 3 7" xfId="12642" xr:uid="{00000000-0005-0000-0000-000085310000}"/>
    <cellStyle name="Normal 3 3 3 3 8" xfId="12643" xr:uid="{00000000-0005-0000-0000-000086310000}"/>
    <cellStyle name="Normal 3 3 3 3 9" xfId="12644" xr:uid="{00000000-0005-0000-0000-000087310000}"/>
    <cellStyle name="Normal 3 3 3 4" xfId="12645" xr:uid="{00000000-0005-0000-0000-000088310000}"/>
    <cellStyle name="Normal 3 3 3 4 10" xfId="12646" xr:uid="{00000000-0005-0000-0000-000089310000}"/>
    <cellStyle name="Normal 3 3 3 4 11" xfId="12647" xr:uid="{00000000-0005-0000-0000-00008A310000}"/>
    <cellStyle name="Normal 3 3 3 4 12" xfId="12648" xr:uid="{00000000-0005-0000-0000-00008B310000}"/>
    <cellStyle name="Normal 3 3 3 4 13" xfId="12649" xr:uid="{00000000-0005-0000-0000-00008C310000}"/>
    <cellStyle name="Normal 3 3 3 4 2" xfId="12650" xr:uid="{00000000-0005-0000-0000-00008D310000}"/>
    <cellStyle name="Normal 3 3 3 4 3" xfId="12651" xr:uid="{00000000-0005-0000-0000-00008E310000}"/>
    <cellStyle name="Normal 3 3 3 4 4" xfId="12652" xr:uid="{00000000-0005-0000-0000-00008F310000}"/>
    <cellStyle name="Normal 3 3 3 4 5" xfId="12653" xr:uid="{00000000-0005-0000-0000-000090310000}"/>
    <cellStyle name="Normal 3 3 3 4 6" xfId="12654" xr:uid="{00000000-0005-0000-0000-000091310000}"/>
    <cellStyle name="Normal 3 3 3 4 7" xfId="12655" xr:uid="{00000000-0005-0000-0000-000092310000}"/>
    <cellStyle name="Normal 3 3 3 4 8" xfId="12656" xr:uid="{00000000-0005-0000-0000-000093310000}"/>
    <cellStyle name="Normal 3 3 3 4 9" xfId="12657" xr:uid="{00000000-0005-0000-0000-000094310000}"/>
    <cellStyle name="Normal 3 3 3 5" xfId="12658" xr:uid="{00000000-0005-0000-0000-000095310000}"/>
    <cellStyle name="Normal 3 3 3 5 2" xfId="12659" xr:uid="{00000000-0005-0000-0000-000096310000}"/>
    <cellStyle name="Normal 3 3 3 5 2 2" xfId="12660" xr:uid="{00000000-0005-0000-0000-000097310000}"/>
    <cellStyle name="Normal 3 3 3 5 2 3" xfId="12661" xr:uid="{00000000-0005-0000-0000-000098310000}"/>
    <cellStyle name="Normal 3 3 3 5 3" xfId="12662" xr:uid="{00000000-0005-0000-0000-000099310000}"/>
    <cellStyle name="Normal 3 3 3 5 4" xfId="12663" xr:uid="{00000000-0005-0000-0000-00009A310000}"/>
    <cellStyle name="Normal 3 3 3 6" xfId="12664" xr:uid="{00000000-0005-0000-0000-00009B310000}"/>
    <cellStyle name="Normal 3 3 3 7" xfId="12665" xr:uid="{00000000-0005-0000-0000-00009C310000}"/>
    <cellStyle name="Normal 3 3 3 8" xfId="12666" xr:uid="{00000000-0005-0000-0000-00009D310000}"/>
    <cellStyle name="Normal 3 3 3 9" xfId="12667" xr:uid="{00000000-0005-0000-0000-00009E310000}"/>
    <cellStyle name="Normal 3 3 3_4 28 1_Asst_Health_Crit_AllTO_RIIO_20110714pm" xfId="12668" xr:uid="{00000000-0005-0000-0000-00009F310000}"/>
    <cellStyle name="Normal 3 3 30" xfId="12669" xr:uid="{00000000-0005-0000-0000-0000A0310000}"/>
    <cellStyle name="Normal 3 3 31" xfId="12670" xr:uid="{00000000-0005-0000-0000-0000A1310000}"/>
    <cellStyle name="Normal 3 3 32" xfId="12671" xr:uid="{00000000-0005-0000-0000-0000A2310000}"/>
    <cellStyle name="Normal 3 3 33" xfId="12672" xr:uid="{00000000-0005-0000-0000-0000A3310000}"/>
    <cellStyle name="Normal 3 3 34" xfId="12673" xr:uid="{00000000-0005-0000-0000-0000A4310000}"/>
    <cellStyle name="Normal 3 3 35" xfId="12674" xr:uid="{00000000-0005-0000-0000-0000A5310000}"/>
    <cellStyle name="Normal 3 3 36" xfId="12675" xr:uid="{00000000-0005-0000-0000-0000A6310000}"/>
    <cellStyle name="Normal 3 3 37" xfId="12676" xr:uid="{00000000-0005-0000-0000-0000A7310000}"/>
    <cellStyle name="Normal 3 3 38" xfId="12677" xr:uid="{00000000-0005-0000-0000-0000A8310000}"/>
    <cellStyle name="Normal 3 3 39" xfId="12678" xr:uid="{00000000-0005-0000-0000-0000A9310000}"/>
    <cellStyle name="Normal 3 3 4" xfId="12679" xr:uid="{00000000-0005-0000-0000-0000AA310000}"/>
    <cellStyle name="Normal 3 3 40" xfId="12680" xr:uid="{00000000-0005-0000-0000-0000AB310000}"/>
    <cellStyle name="Normal 3 3 41" xfId="12681" xr:uid="{00000000-0005-0000-0000-0000AC310000}"/>
    <cellStyle name="Normal 3 3 42" xfId="12682" xr:uid="{00000000-0005-0000-0000-0000AD310000}"/>
    <cellStyle name="Normal 3 3 43" xfId="12683" xr:uid="{00000000-0005-0000-0000-0000AE310000}"/>
    <cellStyle name="Normal 3 3 44" xfId="12684" xr:uid="{00000000-0005-0000-0000-0000AF310000}"/>
    <cellStyle name="Normal 3 3 45" xfId="12685" xr:uid="{00000000-0005-0000-0000-0000B0310000}"/>
    <cellStyle name="Normal 3 3 46" xfId="12686" xr:uid="{00000000-0005-0000-0000-0000B1310000}"/>
    <cellStyle name="Normal 3 3 47" xfId="12687" xr:uid="{00000000-0005-0000-0000-0000B2310000}"/>
    <cellStyle name="Normal 3 3 48" xfId="12688" xr:uid="{00000000-0005-0000-0000-0000B3310000}"/>
    <cellStyle name="Normal 3 3 49" xfId="12689" xr:uid="{00000000-0005-0000-0000-0000B4310000}"/>
    <cellStyle name="Normal 3 3 5" xfId="12690" xr:uid="{00000000-0005-0000-0000-0000B5310000}"/>
    <cellStyle name="Normal 3 3 5 10" xfId="12691" xr:uid="{00000000-0005-0000-0000-0000B6310000}"/>
    <cellStyle name="Normal 3 3 5 11" xfId="12692" xr:uid="{00000000-0005-0000-0000-0000B7310000}"/>
    <cellStyle name="Normal 3 3 5 12" xfId="12693" xr:uid="{00000000-0005-0000-0000-0000B8310000}"/>
    <cellStyle name="Normal 3 3 5 13" xfId="12694" xr:uid="{00000000-0005-0000-0000-0000B9310000}"/>
    <cellStyle name="Normal 3 3 5 14" xfId="12695" xr:uid="{00000000-0005-0000-0000-0000BA310000}"/>
    <cellStyle name="Normal 3 3 5 15" xfId="12696" xr:uid="{00000000-0005-0000-0000-0000BB310000}"/>
    <cellStyle name="Normal 3 3 5 16" xfId="12697" xr:uid="{00000000-0005-0000-0000-0000BC310000}"/>
    <cellStyle name="Normal 3 3 5 17" xfId="12698" xr:uid="{00000000-0005-0000-0000-0000BD310000}"/>
    <cellStyle name="Normal 3 3 5 2" xfId="12699" xr:uid="{00000000-0005-0000-0000-0000BE310000}"/>
    <cellStyle name="Normal 3 3 5 3" xfId="12700" xr:uid="{00000000-0005-0000-0000-0000BF310000}"/>
    <cellStyle name="Normal 3 3 5 4" xfId="12701" xr:uid="{00000000-0005-0000-0000-0000C0310000}"/>
    <cellStyle name="Normal 3 3 5 5" xfId="12702" xr:uid="{00000000-0005-0000-0000-0000C1310000}"/>
    <cellStyle name="Normal 3 3 5 6" xfId="12703" xr:uid="{00000000-0005-0000-0000-0000C2310000}"/>
    <cellStyle name="Normal 3 3 5 7" xfId="12704" xr:uid="{00000000-0005-0000-0000-0000C3310000}"/>
    <cellStyle name="Normal 3 3 5 8" xfId="12705" xr:uid="{00000000-0005-0000-0000-0000C4310000}"/>
    <cellStyle name="Normal 3 3 5 9" xfId="12706" xr:uid="{00000000-0005-0000-0000-0000C5310000}"/>
    <cellStyle name="Normal 3 3 50" xfId="12707" xr:uid="{00000000-0005-0000-0000-0000C6310000}"/>
    <cellStyle name="Normal 3 3 51" xfId="12708" xr:uid="{00000000-0005-0000-0000-0000C7310000}"/>
    <cellStyle name="Normal 3 3 52" xfId="12709" xr:uid="{00000000-0005-0000-0000-0000C8310000}"/>
    <cellStyle name="Normal 3 3 53" xfId="12710" xr:uid="{00000000-0005-0000-0000-0000C9310000}"/>
    <cellStyle name="Normal 3 3 54" xfId="12711" xr:uid="{00000000-0005-0000-0000-0000CA310000}"/>
    <cellStyle name="Normal 3 3 55" xfId="12712" xr:uid="{00000000-0005-0000-0000-0000CB310000}"/>
    <cellStyle name="Normal 3 3 56" xfId="12713" xr:uid="{00000000-0005-0000-0000-0000CC310000}"/>
    <cellStyle name="Normal 3 3 57" xfId="12714" xr:uid="{00000000-0005-0000-0000-0000CD310000}"/>
    <cellStyle name="Normal 3 3 58" xfId="12715" xr:uid="{00000000-0005-0000-0000-0000CE310000}"/>
    <cellStyle name="Normal 3 3 59" xfId="12716" xr:uid="{00000000-0005-0000-0000-0000CF310000}"/>
    <cellStyle name="Normal 3 3 6" xfId="12717" xr:uid="{00000000-0005-0000-0000-0000D0310000}"/>
    <cellStyle name="Normal 3 3 6 10" xfId="12718" xr:uid="{00000000-0005-0000-0000-0000D1310000}"/>
    <cellStyle name="Normal 3 3 6 11" xfId="12719" xr:uid="{00000000-0005-0000-0000-0000D2310000}"/>
    <cellStyle name="Normal 3 3 6 12" xfId="12720" xr:uid="{00000000-0005-0000-0000-0000D3310000}"/>
    <cellStyle name="Normal 3 3 6 13" xfId="12721" xr:uid="{00000000-0005-0000-0000-0000D4310000}"/>
    <cellStyle name="Normal 3 3 6 14" xfId="12722" xr:uid="{00000000-0005-0000-0000-0000D5310000}"/>
    <cellStyle name="Normal 3 3 6 15" xfId="12723" xr:uid="{00000000-0005-0000-0000-0000D6310000}"/>
    <cellStyle name="Normal 3 3 6 16" xfId="12724" xr:uid="{00000000-0005-0000-0000-0000D7310000}"/>
    <cellStyle name="Normal 3 3 6 17" xfId="12725" xr:uid="{00000000-0005-0000-0000-0000D8310000}"/>
    <cellStyle name="Normal 3 3 6 2" xfId="12726" xr:uid="{00000000-0005-0000-0000-0000D9310000}"/>
    <cellStyle name="Normal 3 3 6 3" xfId="12727" xr:uid="{00000000-0005-0000-0000-0000DA310000}"/>
    <cellStyle name="Normal 3 3 6 4" xfId="12728" xr:uid="{00000000-0005-0000-0000-0000DB310000}"/>
    <cellStyle name="Normal 3 3 6 5" xfId="12729" xr:uid="{00000000-0005-0000-0000-0000DC310000}"/>
    <cellStyle name="Normal 3 3 6 6" xfId="12730" xr:uid="{00000000-0005-0000-0000-0000DD310000}"/>
    <cellStyle name="Normal 3 3 6 7" xfId="12731" xr:uid="{00000000-0005-0000-0000-0000DE310000}"/>
    <cellStyle name="Normal 3 3 6 8" xfId="12732" xr:uid="{00000000-0005-0000-0000-0000DF310000}"/>
    <cellStyle name="Normal 3 3 6 9" xfId="12733" xr:uid="{00000000-0005-0000-0000-0000E0310000}"/>
    <cellStyle name="Normal 3 3 60" xfId="12734" xr:uid="{00000000-0005-0000-0000-0000E1310000}"/>
    <cellStyle name="Normal 3 3 61" xfId="12735" xr:uid="{00000000-0005-0000-0000-0000E2310000}"/>
    <cellStyle name="Normal 3 3 62" xfId="12736" xr:uid="{00000000-0005-0000-0000-0000E3310000}"/>
    <cellStyle name="Normal 3 3 63" xfId="12737" xr:uid="{00000000-0005-0000-0000-0000E4310000}"/>
    <cellStyle name="Normal 3 3 64" xfId="12738" xr:uid="{00000000-0005-0000-0000-0000E5310000}"/>
    <cellStyle name="Normal 3 3 65" xfId="12739" xr:uid="{00000000-0005-0000-0000-0000E6310000}"/>
    <cellStyle name="Normal 3 3 66" xfId="12740" xr:uid="{00000000-0005-0000-0000-0000E7310000}"/>
    <cellStyle name="Normal 3 3 67" xfId="12741" xr:uid="{00000000-0005-0000-0000-0000E8310000}"/>
    <cellStyle name="Normal 3 3 68" xfId="12742" xr:uid="{00000000-0005-0000-0000-0000E9310000}"/>
    <cellStyle name="Normal 3 3 69" xfId="12743" xr:uid="{00000000-0005-0000-0000-0000EA310000}"/>
    <cellStyle name="Normal 3 3 7" xfId="12744" xr:uid="{00000000-0005-0000-0000-0000EB310000}"/>
    <cellStyle name="Normal 3 3 70" xfId="12745" xr:uid="{00000000-0005-0000-0000-0000EC310000}"/>
    <cellStyle name="Normal 3 3 71" xfId="12746" xr:uid="{00000000-0005-0000-0000-0000ED310000}"/>
    <cellStyle name="Normal 3 3 72" xfId="12747" xr:uid="{00000000-0005-0000-0000-0000EE310000}"/>
    <cellStyle name="Normal 3 3 73" xfId="12748" xr:uid="{00000000-0005-0000-0000-0000EF310000}"/>
    <cellStyle name="Normal 3 3 74" xfId="12749" xr:uid="{00000000-0005-0000-0000-0000F0310000}"/>
    <cellStyle name="Normal 3 3 75" xfId="12750" xr:uid="{00000000-0005-0000-0000-0000F1310000}"/>
    <cellStyle name="Normal 3 3 76" xfId="12751" xr:uid="{00000000-0005-0000-0000-0000F2310000}"/>
    <cellStyle name="Normal 3 3 77" xfId="12752" xr:uid="{00000000-0005-0000-0000-0000F3310000}"/>
    <cellStyle name="Normal 3 3 78" xfId="12753" xr:uid="{00000000-0005-0000-0000-0000F4310000}"/>
    <cellStyle name="Normal 3 3 79" xfId="12754" xr:uid="{00000000-0005-0000-0000-0000F5310000}"/>
    <cellStyle name="Normal 3 3 8" xfId="12755" xr:uid="{00000000-0005-0000-0000-0000F6310000}"/>
    <cellStyle name="Normal 3 3 80" xfId="12756" xr:uid="{00000000-0005-0000-0000-0000F7310000}"/>
    <cellStyle name="Normal 3 3 81" xfId="12757" xr:uid="{00000000-0005-0000-0000-0000F8310000}"/>
    <cellStyle name="Normal 3 3 82" xfId="12758" xr:uid="{00000000-0005-0000-0000-0000F9310000}"/>
    <cellStyle name="Normal 3 3 83" xfId="12759" xr:uid="{00000000-0005-0000-0000-0000FA310000}"/>
    <cellStyle name="Normal 3 3 84" xfId="12760" xr:uid="{00000000-0005-0000-0000-0000FB310000}"/>
    <cellStyle name="Normal 3 3 9" xfId="12761" xr:uid="{00000000-0005-0000-0000-0000FC310000}"/>
    <cellStyle name="Normal 3 3_2010_NGET_TPCR4_RO_FBPQ(Opex) trace only FINAL(DPP)" xfId="12762" xr:uid="{00000000-0005-0000-0000-0000FD310000}"/>
    <cellStyle name="Normal 3 30" xfId="12763" xr:uid="{00000000-0005-0000-0000-0000FE310000}"/>
    <cellStyle name="Normal 3 31" xfId="12764" xr:uid="{00000000-0005-0000-0000-0000FF310000}"/>
    <cellStyle name="Normal 3 32" xfId="12765" xr:uid="{00000000-0005-0000-0000-000000320000}"/>
    <cellStyle name="Normal 3 33" xfId="12766" xr:uid="{00000000-0005-0000-0000-000001320000}"/>
    <cellStyle name="Normal 3 34" xfId="12767" xr:uid="{00000000-0005-0000-0000-000002320000}"/>
    <cellStyle name="Normal 3 35" xfId="12768" xr:uid="{00000000-0005-0000-0000-000003320000}"/>
    <cellStyle name="Normal 3 36" xfId="12769" xr:uid="{00000000-0005-0000-0000-000004320000}"/>
    <cellStyle name="Normal 3 37" xfId="12770" xr:uid="{00000000-0005-0000-0000-000005320000}"/>
    <cellStyle name="Normal 3 38" xfId="12771" xr:uid="{00000000-0005-0000-0000-000006320000}"/>
    <cellStyle name="Normal 3 39" xfId="12772" xr:uid="{00000000-0005-0000-0000-000007320000}"/>
    <cellStyle name="Normal 3 4" xfId="12773" xr:uid="{00000000-0005-0000-0000-000008320000}"/>
    <cellStyle name="Normal 3 4 10" xfId="12774" xr:uid="{00000000-0005-0000-0000-000009320000}"/>
    <cellStyle name="Normal 3 4 11" xfId="12775" xr:uid="{00000000-0005-0000-0000-00000A320000}"/>
    <cellStyle name="Normal 3 4 12" xfId="12776" xr:uid="{00000000-0005-0000-0000-00000B320000}"/>
    <cellStyle name="Normal 3 4 13" xfId="12777" xr:uid="{00000000-0005-0000-0000-00000C320000}"/>
    <cellStyle name="Normal 3 4 14" xfId="12778" xr:uid="{00000000-0005-0000-0000-00000D320000}"/>
    <cellStyle name="Normal 3 4 15" xfId="12779" xr:uid="{00000000-0005-0000-0000-00000E320000}"/>
    <cellStyle name="Normal 3 4 16" xfId="12780" xr:uid="{00000000-0005-0000-0000-00000F320000}"/>
    <cellStyle name="Normal 3 4 17" xfId="12781" xr:uid="{00000000-0005-0000-0000-000010320000}"/>
    <cellStyle name="Normal 3 4 18" xfId="12782" xr:uid="{00000000-0005-0000-0000-000011320000}"/>
    <cellStyle name="Normal 3 4 19" xfId="12783" xr:uid="{00000000-0005-0000-0000-000012320000}"/>
    <cellStyle name="Normal 3 4 2" xfId="12784" xr:uid="{00000000-0005-0000-0000-000013320000}"/>
    <cellStyle name="Normal 3 4 2 10" xfId="12785" xr:uid="{00000000-0005-0000-0000-000014320000}"/>
    <cellStyle name="Normal 3 4 2 11" xfId="12786" xr:uid="{00000000-0005-0000-0000-000015320000}"/>
    <cellStyle name="Normal 3 4 2 12" xfId="12787" xr:uid="{00000000-0005-0000-0000-000016320000}"/>
    <cellStyle name="Normal 3 4 2 13" xfId="12788" xr:uid="{00000000-0005-0000-0000-000017320000}"/>
    <cellStyle name="Normal 3 4 2 14" xfId="12789" xr:uid="{00000000-0005-0000-0000-000018320000}"/>
    <cellStyle name="Normal 3 4 2 15" xfId="12790" xr:uid="{00000000-0005-0000-0000-000019320000}"/>
    <cellStyle name="Normal 3 4 2 16" xfId="12791" xr:uid="{00000000-0005-0000-0000-00001A320000}"/>
    <cellStyle name="Normal 3 4 2 17" xfId="12792" xr:uid="{00000000-0005-0000-0000-00001B320000}"/>
    <cellStyle name="Normal 3 4 2 18" xfId="12793" xr:uid="{00000000-0005-0000-0000-00001C320000}"/>
    <cellStyle name="Normal 3 4 2 19" xfId="12794" xr:uid="{00000000-0005-0000-0000-00001D320000}"/>
    <cellStyle name="Normal 3 4 2 2" xfId="12795" xr:uid="{00000000-0005-0000-0000-00001E320000}"/>
    <cellStyle name="Normal 3 4 2 2 10" xfId="12796" xr:uid="{00000000-0005-0000-0000-00001F320000}"/>
    <cellStyle name="Normal 3 4 2 2 11" xfId="12797" xr:uid="{00000000-0005-0000-0000-000020320000}"/>
    <cellStyle name="Normal 3 4 2 2 12" xfId="12798" xr:uid="{00000000-0005-0000-0000-000021320000}"/>
    <cellStyle name="Normal 3 4 2 2 13" xfId="12799" xr:uid="{00000000-0005-0000-0000-000022320000}"/>
    <cellStyle name="Normal 3 4 2 2 14" xfId="12800" xr:uid="{00000000-0005-0000-0000-000023320000}"/>
    <cellStyle name="Normal 3 4 2 2 15" xfId="12801" xr:uid="{00000000-0005-0000-0000-000024320000}"/>
    <cellStyle name="Normal 3 4 2 2 16" xfId="12802" xr:uid="{00000000-0005-0000-0000-000025320000}"/>
    <cellStyle name="Normal 3 4 2 2 17" xfId="12803" xr:uid="{00000000-0005-0000-0000-000026320000}"/>
    <cellStyle name="Normal 3 4 2 2 18" xfId="12804" xr:uid="{00000000-0005-0000-0000-000027320000}"/>
    <cellStyle name="Normal 3 4 2 2 19" xfId="12805" xr:uid="{00000000-0005-0000-0000-000028320000}"/>
    <cellStyle name="Normal 3 4 2 2 2" xfId="12806" xr:uid="{00000000-0005-0000-0000-000029320000}"/>
    <cellStyle name="Normal 3 4 2 2 2 10" xfId="12807" xr:uid="{00000000-0005-0000-0000-00002A320000}"/>
    <cellStyle name="Normal 3 4 2 2 2 11" xfId="12808" xr:uid="{00000000-0005-0000-0000-00002B320000}"/>
    <cellStyle name="Normal 3 4 2 2 2 12" xfId="12809" xr:uid="{00000000-0005-0000-0000-00002C320000}"/>
    <cellStyle name="Normal 3 4 2 2 2 13" xfId="12810" xr:uid="{00000000-0005-0000-0000-00002D320000}"/>
    <cellStyle name="Normal 3 4 2 2 2 2" xfId="12811" xr:uid="{00000000-0005-0000-0000-00002E320000}"/>
    <cellStyle name="Normal 3 4 2 2 2 3" xfId="12812" xr:uid="{00000000-0005-0000-0000-00002F320000}"/>
    <cellStyle name="Normal 3 4 2 2 2 4" xfId="12813" xr:uid="{00000000-0005-0000-0000-000030320000}"/>
    <cellStyle name="Normal 3 4 2 2 2 5" xfId="12814" xr:uid="{00000000-0005-0000-0000-000031320000}"/>
    <cellStyle name="Normal 3 4 2 2 2 6" xfId="12815" xr:uid="{00000000-0005-0000-0000-000032320000}"/>
    <cellStyle name="Normal 3 4 2 2 2 7" xfId="12816" xr:uid="{00000000-0005-0000-0000-000033320000}"/>
    <cellStyle name="Normal 3 4 2 2 2 8" xfId="12817" xr:uid="{00000000-0005-0000-0000-000034320000}"/>
    <cellStyle name="Normal 3 4 2 2 2 9" xfId="12818" xr:uid="{00000000-0005-0000-0000-000035320000}"/>
    <cellStyle name="Normal 3 4 2 2 20" xfId="12819" xr:uid="{00000000-0005-0000-0000-000036320000}"/>
    <cellStyle name="Normal 3 4 2 2 21" xfId="12820" xr:uid="{00000000-0005-0000-0000-000037320000}"/>
    <cellStyle name="Normal 3 4 2 2 3" xfId="12821" xr:uid="{00000000-0005-0000-0000-000038320000}"/>
    <cellStyle name="Normal 3 4 2 2 4" xfId="12822" xr:uid="{00000000-0005-0000-0000-000039320000}"/>
    <cellStyle name="Normal 3 4 2 2 5" xfId="12823" xr:uid="{00000000-0005-0000-0000-00003A320000}"/>
    <cellStyle name="Normal 3 4 2 2 6" xfId="12824" xr:uid="{00000000-0005-0000-0000-00003B320000}"/>
    <cellStyle name="Normal 3 4 2 2 7" xfId="12825" xr:uid="{00000000-0005-0000-0000-00003C320000}"/>
    <cellStyle name="Normal 3 4 2 2 8" xfId="12826" xr:uid="{00000000-0005-0000-0000-00003D320000}"/>
    <cellStyle name="Normal 3 4 2 2 9" xfId="12827" xr:uid="{00000000-0005-0000-0000-00003E320000}"/>
    <cellStyle name="Normal 3 4 2 20" xfId="12828" xr:uid="{00000000-0005-0000-0000-00003F320000}"/>
    <cellStyle name="Normal 3 4 2 21" xfId="12829" xr:uid="{00000000-0005-0000-0000-000040320000}"/>
    <cellStyle name="Normal 3 4 2 22" xfId="12830" xr:uid="{00000000-0005-0000-0000-000041320000}"/>
    <cellStyle name="Normal 3 4 2 3" xfId="12831" xr:uid="{00000000-0005-0000-0000-000042320000}"/>
    <cellStyle name="Normal 3 4 2 3 10" xfId="12832" xr:uid="{00000000-0005-0000-0000-000043320000}"/>
    <cellStyle name="Normal 3 4 2 3 11" xfId="12833" xr:uid="{00000000-0005-0000-0000-000044320000}"/>
    <cellStyle name="Normal 3 4 2 3 12" xfId="12834" xr:uid="{00000000-0005-0000-0000-000045320000}"/>
    <cellStyle name="Normal 3 4 2 3 13" xfId="12835" xr:uid="{00000000-0005-0000-0000-000046320000}"/>
    <cellStyle name="Normal 3 4 2 3 2" xfId="12836" xr:uid="{00000000-0005-0000-0000-000047320000}"/>
    <cellStyle name="Normal 3 4 2 3 3" xfId="12837" xr:uid="{00000000-0005-0000-0000-000048320000}"/>
    <cellStyle name="Normal 3 4 2 3 4" xfId="12838" xr:uid="{00000000-0005-0000-0000-000049320000}"/>
    <cellStyle name="Normal 3 4 2 3 5" xfId="12839" xr:uid="{00000000-0005-0000-0000-00004A320000}"/>
    <cellStyle name="Normal 3 4 2 3 6" xfId="12840" xr:uid="{00000000-0005-0000-0000-00004B320000}"/>
    <cellStyle name="Normal 3 4 2 3 7" xfId="12841" xr:uid="{00000000-0005-0000-0000-00004C320000}"/>
    <cellStyle name="Normal 3 4 2 3 8" xfId="12842" xr:uid="{00000000-0005-0000-0000-00004D320000}"/>
    <cellStyle name="Normal 3 4 2 3 9" xfId="12843" xr:uid="{00000000-0005-0000-0000-00004E320000}"/>
    <cellStyle name="Normal 3 4 2 4" xfId="12844" xr:uid="{00000000-0005-0000-0000-00004F320000}"/>
    <cellStyle name="Normal 3 4 2 5" xfId="12845" xr:uid="{00000000-0005-0000-0000-000050320000}"/>
    <cellStyle name="Normal 3 4 2 6" xfId="12846" xr:uid="{00000000-0005-0000-0000-000051320000}"/>
    <cellStyle name="Normal 3 4 2 7" xfId="12847" xr:uid="{00000000-0005-0000-0000-000052320000}"/>
    <cellStyle name="Normal 3 4 2 8" xfId="12848" xr:uid="{00000000-0005-0000-0000-000053320000}"/>
    <cellStyle name="Normal 3 4 2 9" xfId="12849" xr:uid="{00000000-0005-0000-0000-000054320000}"/>
    <cellStyle name="Normal 3 4 2_4 28 1_Asst_Health_Crit_AllTO_RIIO_20110714pm" xfId="12850" xr:uid="{00000000-0005-0000-0000-000055320000}"/>
    <cellStyle name="Normal 3 4 20" xfId="12851" xr:uid="{00000000-0005-0000-0000-000056320000}"/>
    <cellStyle name="Normal 3 4 21" xfId="12852" xr:uid="{00000000-0005-0000-0000-000057320000}"/>
    <cellStyle name="Normal 3 4 22" xfId="12853" xr:uid="{00000000-0005-0000-0000-000058320000}"/>
    <cellStyle name="Normal 3 4 23" xfId="12854" xr:uid="{00000000-0005-0000-0000-000059320000}"/>
    <cellStyle name="Normal 3 4 24" xfId="12855" xr:uid="{00000000-0005-0000-0000-00005A320000}"/>
    <cellStyle name="Normal 3 4 25" xfId="12856" xr:uid="{00000000-0005-0000-0000-00005B320000}"/>
    <cellStyle name="Normal 3 4 26" xfId="12857" xr:uid="{00000000-0005-0000-0000-00005C320000}"/>
    <cellStyle name="Normal 3 4 27" xfId="12858" xr:uid="{00000000-0005-0000-0000-00005D320000}"/>
    <cellStyle name="Normal 3 4 28" xfId="12859" xr:uid="{00000000-0005-0000-0000-00005E320000}"/>
    <cellStyle name="Normal 3 4 29" xfId="12860" xr:uid="{00000000-0005-0000-0000-00005F320000}"/>
    <cellStyle name="Normal 3 4 3" xfId="12861" xr:uid="{00000000-0005-0000-0000-000060320000}"/>
    <cellStyle name="Normal 3 4 3 10" xfId="12862" xr:uid="{00000000-0005-0000-0000-000061320000}"/>
    <cellStyle name="Normal 3 4 3 11" xfId="12863" xr:uid="{00000000-0005-0000-0000-000062320000}"/>
    <cellStyle name="Normal 3 4 3 12" xfId="12864" xr:uid="{00000000-0005-0000-0000-000063320000}"/>
    <cellStyle name="Normal 3 4 3 13" xfId="12865" xr:uid="{00000000-0005-0000-0000-000064320000}"/>
    <cellStyle name="Normal 3 4 3 14" xfId="12866" xr:uid="{00000000-0005-0000-0000-000065320000}"/>
    <cellStyle name="Normal 3 4 3 15" xfId="12867" xr:uid="{00000000-0005-0000-0000-000066320000}"/>
    <cellStyle name="Normal 3 4 3 16" xfId="12868" xr:uid="{00000000-0005-0000-0000-000067320000}"/>
    <cellStyle name="Normal 3 4 3 17" xfId="12869" xr:uid="{00000000-0005-0000-0000-000068320000}"/>
    <cellStyle name="Normal 3 4 3 18" xfId="12870" xr:uid="{00000000-0005-0000-0000-000069320000}"/>
    <cellStyle name="Normal 3 4 3 19" xfId="12871" xr:uid="{00000000-0005-0000-0000-00006A320000}"/>
    <cellStyle name="Normal 3 4 3 2" xfId="12872" xr:uid="{00000000-0005-0000-0000-00006B320000}"/>
    <cellStyle name="Normal 3 4 3 2 10" xfId="12873" xr:uid="{00000000-0005-0000-0000-00006C320000}"/>
    <cellStyle name="Normal 3 4 3 2 11" xfId="12874" xr:uid="{00000000-0005-0000-0000-00006D320000}"/>
    <cellStyle name="Normal 3 4 3 2 12" xfId="12875" xr:uid="{00000000-0005-0000-0000-00006E320000}"/>
    <cellStyle name="Normal 3 4 3 2 13" xfId="12876" xr:uid="{00000000-0005-0000-0000-00006F320000}"/>
    <cellStyle name="Normal 3 4 3 2 2" xfId="12877" xr:uid="{00000000-0005-0000-0000-000070320000}"/>
    <cellStyle name="Normal 3 4 3 2 3" xfId="12878" xr:uid="{00000000-0005-0000-0000-000071320000}"/>
    <cellStyle name="Normal 3 4 3 2 4" xfId="12879" xr:uid="{00000000-0005-0000-0000-000072320000}"/>
    <cellStyle name="Normal 3 4 3 2 5" xfId="12880" xr:uid="{00000000-0005-0000-0000-000073320000}"/>
    <cellStyle name="Normal 3 4 3 2 6" xfId="12881" xr:uid="{00000000-0005-0000-0000-000074320000}"/>
    <cellStyle name="Normal 3 4 3 2 7" xfId="12882" xr:uid="{00000000-0005-0000-0000-000075320000}"/>
    <cellStyle name="Normal 3 4 3 2 8" xfId="12883" xr:uid="{00000000-0005-0000-0000-000076320000}"/>
    <cellStyle name="Normal 3 4 3 2 9" xfId="12884" xr:uid="{00000000-0005-0000-0000-000077320000}"/>
    <cellStyle name="Normal 3 4 3 20" xfId="12885" xr:uid="{00000000-0005-0000-0000-000078320000}"/>
    <cellStyle name="Normal 3 4 3 21" xfId="12886" xr:uid="{00000000-0005-0000-0000-000079320000}"/>
    <cellStyle name="Normal 3 4 3 3" xfId="12887" xr:uid="{00000000-0005-0000-0000-00007A320000}"/>
    <cellStyle name="Normal 3 4 3 4" xfId="12888" xr:uid="{00000000-0005-0000-0000-00007B320000}"/>
    <cellStyle name="Normal 3 4 3 5" xfId="12889" xr:uid="{00000000-0005-0000-0000-00007C320000}"/>
    <cellStyle name="Normal 3 4 3 6" xfId="12890" xr:uid="{00000000-0005-0000-0000-00007D320000}"/>
    <cellStyle name="Normal 3 4 3 7" xfId="12891" xr:uid="{00000000-0005-0000-0000-00007E320000}"/>
    <cellStyle name="Normal 3 4 3 8" xfId="12892" xr:uid="{00000000-0005-0000-0000-00007F320000}"/>
    <cellStyle name="Normal 3 4 3 9" xfId="12893" xr:uid="{00000000-0005-0000-0000-000080320000}"/>
    <cellStyle name="Normal 3 4 30" xfId="12894" xr:uid="{00000000-0005-0000-0000-000081320000}"/>
    <cellStyle name="Normal 3 4 31" xfId="12895" xr:uid="{00000000-0005-0000-0000-000082320000}"/>
    <cellStyle name="Normal 3 4 32" xfId="12896" xr:uid="{00000000-0005-0000-0000-000083320000}"/>
    <cellStyle name="Normal 3 4 33" xfId="12897" xr:uid="{00000000-0005-0000-0000-000084320000}"/>
    <cellStyle name="Normal 3 4 34" xfId="12898" xr:uid="{00000000-0005-0000-0000-000085320000}"/>
    <cellStyle name="Normal 3 4 35" xfId="12899" xr:uid="{00000000-0005-0000-0000-000086320000}"/>
    <cellStyle name="Normal 3 4 36" xfId="12900" xr:uid="{00000000-0005-0000-0000-000087320000}"/>
    <cellStyle name="Normal 3 4 37" xfId="12901" xr:uid="{00000000-0005-0000-0000-000088320000}"/>
    <cellStyle name="Normal 3 4 38" xfId="12902" xr:uid="{00000000-0005-0000-0000-000089320000}"/>
    <cellStyle name="Normal 3 4 39" xfId="12903" xr:uid="{00000000-0005-0000-0000-00008A320000}"/>
    <cellStyle name="Normal 3 4 4" xfId="12904" xr:uid="{00000000-0005-0000-0000-00008B320000}"/>
    <cellStyle name="Normal 3 4 4 10" xfId="12905" xr:uid="{00000000-0005-0000-0000-00008C320000}"/>
    <cellStyle name="Normal 3 4 4 11" xfId="12906" xr:uid="{00000000-0005-0000-0000-00008D320000}"/>
    <cellStyle name="Normal 3 4 4 12" xfId="12907" xr:uid="{00000000-0005-0000-0000-00008E320000}"/>
    <cellStyle name="Normal 3 4 4 13" xfId="12908" xr:uid="{00000000-0005-0000-0000-00008F320000}"/>
    <cellStyle name="Normal 3 4 4 14" xfId="12909" xr:uid="{00000000-0005-0000-0000-000090320000}"/>
    <cellStyle name="Normal 3 4 4 15" xfId="12910" xr:uid="{00000000-0005-0000-0000-000091320000}"/>
    <cellStyle name="Normal 3 4 4 16" xfId="12911" xr:uid="{00000000-0005-0000-0000-000092320000}"/>
    <cellStyle name="Normal 3 4 4 17" xfId="12912" xr:uid="{00000000-0005-0000-0000-000093320000}"/>
    <cellStyle name="Normal 3 4 4 2" xfId="12913" xr:uid="{00000000-0005-0000-0000-000094320000}"/>
    <cellStyle name="Normal 3 4 4 3" xfId="12914" xr:uid="{00000000-0005-0000-0000-000095320000}"/>
    <cellStyle name="Normal 3 4 4 4" xfId="12915" xr:uid="{00000000-0005-0000-0000-000096320000}"/>
    <cellStyle name="Normal 3 4 4 5" xfId="12916" xr:uid="{00000000-0005-0000-0000-000097320000}"/>
    <cellStyle name="Normal 3 4 4 6" xfId="12917" xr:uid="{00000000-0005-0000-0000-000098320000}"/>
    <cellStyle name="Normal 3 4 4 7" xfId="12918" xr:uid="{00000000-0005-0000-0000-000099320000}"/>
    <cellStyle name="Normal 3 4 4 8" xfId="12919" xr:uid="{00000000-0005-0000-0000-00009A320000}"/>
    <cellStyle name="Normal 3 4 4 9" xfId="12920" xr:uid="{00000000-0005-0000-0000-00009B320000}"/>
    <cellStyle name="Normal 3 4 40" xfId="12921" xr:uid="{00000000-0005-0000-0000-00009C320000}"/>
    <cellStyle name="Normal 3 4 41" xfId="12922" xr:uid="{00000000-0005-0000-0000-00009D320000}"/>
    <cellStyle name="Normal 3 4 42" xfId="12923" xr:uid="{00000000-0005-0000-0000-00009E320000}"/>
    <cellStyle name="Normal 3 4 43" xfId="12924" xr:uid="{00000000-0005-0000-0000-00009F320000}"/>
    <cellStyle name="Normal 3 4 44" xfId="12925" xr:uid="{00000000-0005-0000-0000-0000A0320000}"/>
    <cellStyle name="Normal 3 4 45" xfId="12926" xr:uid="{00000000-0005-0000-0000-0000A1320000}"/>
    <cellStyle name="Normal 3 4 46" xfId="12927" xr:uid="{00000000-0005-0000-0000-0000A2320000}"/>
    <cellStyle name="Normal 3 4 47" xfId="12928" xr:uid="{00000000-0005-0000-0000-0000A3320000}"/>
    <cellStyle name="Normal 3 4 48" xfId="12929" xr:uid="{00000000-0005-0000-0000-0000A4320000}"/>
    <cellStyle name="Normal 3 4 49" xfId="12930" xr:uid="{00000000-0005-0000-0000-0000A5320000}"/>
    <cellStyle name="Normal 3 4 5" xfId="12931" xr:uid="{00000000-0005-0000-0000-0000A6320000}"/>
    <cellStyle name="Normal 3 4 5 10" xfId="12932" xr:uid="{00000000-0005-0000-0000-0000A7320000}"/>
    <cellStyle name="Normal 3 4 5 11" xfId="12933" xr:uid="{00000000-0005-0000-0000-0000A8320000}"/>
    <cellStyle name="Normal 3 4 5 12" xfId="12934" xr:uid="{00000000-0005-0000-0000-0000A9320000}"/>
    <cellStyle name="Normal 3 4 5 13" xfId="12935" xr:uid="{00000000-0005-0000-0000-0000AA320000}"/>
    <cellStyle name="Normal 3 4 5 14" xfId="12936" xr:uid="{00000000-0005-0000-0000-0000AB320000}"/>
    <cellStyle name="Normal 3 4 5 15" xfId="12937" xr:uid="{00000000-0005-0000-0000-0000AC320000}"/>
    <cellStyle name="Normal 3 4 5 16" xfId="12938" xr:uid="{00000000-0005-0000-0000-0000AD320000}"/>
    <cellStyle name="Normal 3 4 5 17" xfId="12939" xr:uid="{00000000-0005-0000-0000-0000AE320000}"/>
    <cellStyle name="Normal 3 4 5 2" xfId="12940" xr:uid="{00000000-0005-0000-0000-0000AF320000}"/>
    <cellStyle name="Normal 3 4 5 2 2" xfId="12941" xr:uid="{00000000-0005-0000-0000-0000B0320000}"/>
    <cellStyle name="Normal 3 4 5 2 3" xfId="12942" xr:uid="{00000000-0005-0000-0000-0000B1320000}"/>
    <cellStyle name="Normal 3 4 5 3" xfId="12943" xr:uid="{00000000-0005-0000-0000-0000B2320000}"/>
    <cellStyle name="Normal 3 4 5 4" xfId="12944" xr:uid="{00000000-0005-0000-0000-0000B3320000}"/>
    <cellStyle name="Normal 3 4 5 5" xfId="12945" xr:uid="{00000000-0005-0000-0000-0000B4320000}"/>
    <cellStyle name="Normal 3 4 5 6" xfId="12946" xr:uid="{00000000-0005-0000-0000-0000B5320000}"/>
    <cellStyle name="Normal 3 4 5 7" xfId="12947" xr:uid="{00000000-0005-0000-0000-0000B6320000}"/>
    <cellStyle name="Normal 3 4 5 8" xfId="12948" xr:uid="{00000000-0005-0000-0000-0000B7320000}"/>
    <cellStyle name="Normal 3 4 5 9" xfId="12949" xr:uid="{00000000-0005-0000-0000-0000B8320000}"/>
    <cellStyle name="Normal 3 4 50" xfId="12950" xr:uid="{00000000-0005-0000-0000-0000B9320000}"/>
    <cellStyle name="Normal 3 4 51" xfId="12951" xr:uid="{00000000-0005-0000-0000-0000BA320000}"/>
    <cellStyle name="Normal 3 4 52" xfId="12952" xr:uid="{00000000-0005-0000-0000-0000BB320000}"/>
    <cellStyle name="Normal 3 4 53" xfId="12953" xr:uid="{00000000-0005-0000-0000-0000BC320000}"/>
    <cellStyle name="Normal 3 4 54" xfId="12954" xr:uid="{00000000-0005-0000-0000-0000BD320000}"/>
    <cellStyle name="Normal 3 4 55" xfId="12955" xr:uid="{00000000-0005-0000-0000-0000BE320000}"/>
    <cellStyle name="Normal 3 4 56" xfId="12956" xr:uid="{00000000-0005-0000-0000-0000BF320000}"/>
    <cellStyle name="Normal 3 4 57" xfId="12957" xr:uid="{00000000-0005-0000-0000-0000C0320000}"/>
    <cellStyle name="Normal 3 4 58" xfId="12958" xr:uid="{00000000-0005-0000-0000-0000C1320000}"/>
    <cellStyle name="Normal 3 4 59" xfId="12959" xr:uid="{00000000-0005-0000-0000-0000C2320000}"/>
    <cellStyle name="Normal 3 4 6" xfId="12960" xr:uid="{00000000-0005-0000-0000-0000C3320000}"/>
    <cellStyle name="Normal 3 4 60" xfId="12961" xr:uid="{00000000-0005-0000-0000-0000C4320000}"/>
    <cellStyle name="Normal 3 4 61" xfId="12962" xr:uid="{00000000-0005-0000-0000-0000C5320000}"/>
    <cellStyle name="Normal 3 4 62" xfId="12963" xr:uid="{00000000-0005-0000-0000-0000C6320000}"/>
    <cellStyle name="Normal 3 4 63" xfId="12964" xr:uid="{00000000-0005-0000-0000-0000C7320000}"/>
    <cellStyle name="Normal 3 4 64" xfId="12965" xr:uid="{00000000-0005-0000-0000-0000C8320000}"/>
    <cellStyle name="Normal 3 4 65" xfId="12966" xr:uid="{00000000-0005-0000-0000-0000C9320000}"/>
    <cellStyle name="Normal 3 4 66" xfId="12967" xr:uid="{00000000-0005-0000-0000-0000CA320000}"/>
    <cellStyle name="Normal 3 4 67" xfId="12968" xr:uid="{00000000-0005-0000-0000-0000CB320000}"/>
    <cellStyle name="Normal 3 4 68" xfId="12969" xr:uid="{00000000-0005-0000-0000-0000CC320000}"/>
    <cellStyle name="Normal 3 4 69" xfId="12970" xr:uid="{00000000-0005-0000-0000-0000CD320000}"/>
    <cellStyle name="Normal 3 4 7" xfId="12971" xr:uid="{00000000-0005-0000-0000-0000CE320000}"/>
    <cellStyle name="Normal 3 4 70" xfId="12972" xr:uid="{00000000-0005-0000-0000-0000CF320000}"/>
    <cellStyle name="Normal 3 4 71" xfId="12973" xr:uid="{00000000-0005-0000-0000-0000D0320000}"/>
    <cellStyle name="Normal 3 4 72" xfId="12974" xr:uid="{00000000-0005-0000-0000-0000D1320000}"/>
    <cellStyle name="Normal 3 4 73" xfId="12975" xr:uid="{00000000-0005-0000-0000-0000D2320000}"/>
    <cellStyle name="Normal 3 4 74" xfId="12976" xr:uid="{00000000-0005-0000-0000-0000D3320000}"/>
    <cellStyle name="Normal 3 4 75" xfId="12977" xr:uid="{00000000-0005-0000-0000-0000D4320000}"/>
    <cellStyle name="Normal 3 4 76" xfId="12978" xr:uid="{00000000-0005-0000-0000-0000D5320000}"/>
    <cellStyle name="Normal 3 4 77" xfId="12979" xr:uid="{00000000-0005-0000-0000-0000D6320000}"/>
    <cellStyle name="Normal 3 4 78" xfId="12980" xr:uid="{00000000-0005-0000-0000-0000D7320000}"/>
    <cellStyle name="Normal 3 4 79" xfId="12981" xr:uid="{00000000-0005-0000-0000-0000D8320000}"/>
    <cellStyle name="Normal 3 4 8" xfId="12982" xr:uid="{00000000-0005-0000-0000-0000D9320000}"/>
    <cellStyle name="Normal 3 4 80" xfId="12983" xr:uid="{00000000-0005-0000-0000-0000DA320000}"/>
    <cellStyle name="Normal 3 4 81" xfId="12984" xr:uid="{00000000-0005-0000-0000-0000DB320000}"/>
    <cellStyle name="Normal 3 4 82" xfId="12985" xr:uid="{00000000-0005-0000-0000-0000DC320000}"/>
    <cellStyle name="Normal 3 4 83" xfId="12986" xr:uid="{00000000-0005-0000-0000-0000DD320000}"/>
    <cellStyle name="Normal 3 4 9" xfId="12987" xr:uid="{00000000-0005-0000-0000-0000DE320000}"/>
    <cellStyle name="Normal 3 4_4 28 1_Asst_Health_Crit_AllTO_RIIO_20110714pm" xfId="12988" xr:uid="{00000000-0005-0000-0000-0000DF320000}"/>
    <cellStyle name="Normal 3 40" xfId="12989" xr:uid="{00000000-0005-0000-0000-0000E0320000}"/>
    <cellStyle name="Normal 3 41" xfId="12990" xr:uid="{00000000-0005-0000-0000-0000E1320000}"/>
    <cellStyle name="Normal 3 42" xfId="12991" xr:uid="{00000000-0005-0000-0000-0000E2320000}"/>
    <cellStyle name="Normal 3 43" xfId="12992" xr:uid="{00000000-0005-0000-0000-0000E3320000}"/>
    <cellStyle name="Normal 3 44" xfId="12993" xr:uid="{00000000-0005-0000-0000-0000E4320000}"/>
    <cellStyle name="Normal 3 45" xfId="12994" xr:uid="{00000000-0005-0000-0000-0000E5320000}"/>
    <cellStyle name="Normal 3 46" xfId="12995" xr:uid="{00000000-0005-0000-0000-0000E6320000}"/>
    <cellStyle name="Normal 3 47" xfId="12996" xr:uid="{00000000-0005-0000-0000-0000E7320000}"/>
    <cellStyle name="Normal 3 48" xfId="12997" xr:uid="{00000000-0005-0000-0000-0000E8320000}"/>
    <cellStyle name="Normal 3 49" xfId="12998" xr:uid="{00000000-0005-0000-0000-0000E9320000}"/>
    <cellStyle name="Normal 3 5" xfId="12999" xr:uid="{00000000-0005-0000-0000-0000EA320000}"/>
    <cellStyle name="Normal 3 5 10" xfId="13000" xr:uid="{00000000-0005-0000-0000-0000EB320000}"/>
    <cellStyle name="Normal 3 5 11" xfId="13001" xr:uid="{00000000-0005-0000-0000-0000EC320000}"/>
    <cellStyle name="Normal 3 5 12" xfId="13002" xr:uid="{00000000-0005-0000-0000-0000ED320000}"/>
    <cellStyle name="Normal 3 5 13" xfId="13003" xr:uid="{00000000-0005-0000-0000-0000EE320000}"/>
    <cellStyle name="Normal 3 5 14" xfId="13004" xr:uid="{00000000-0005-0000-0000-0000EF320000}"/>
    <cellStyle name="Normal 3 5 15" xfId="13005" xr:uid="{00000000-0005-0000-0000-0000F0320000}"/>
    <cellStyle name="Normal 3 5 16" xfId="13006" xr:uid="{00000000-0005-0000-0000-0000F1320000}"/>
    <cellStyle name="Normal 3 5 17" xfId="13007" xr:uid="{00000000-0005-0000-0000-0000F2320000}"/>
    <cellStyle name="Normal 3 5 18" xfId="13008" xr:uid="{00000000-0005-0000-0000-0000F3320000}"/>
    <cellStyle name="Normal 3 5 19" xfId="13009" xr:uid="{00000000-0005-0000-0000-0000F4320000}"/>
    <cellStyle name="Normal 3 5 2" xfId="13010" xr:uid="{00000000-0005-0000-0000-0000F5320000}"/>
    <cellStyle name="Normal 3 5 2 10" xfId="13011" xr:uid="{00000000-0005-0000-0000-0000F6320000}"/>
    <cellStyle name="Normal 3 5 2 11" xfId="13012" xr:uid="{00000000-0005-0000-0000-0000F7320000}"/>
    <cellStyle name="Normal 3 5 2 12" xfId="13013" xr:uid="{00000000-0005-0000-0000-0000F8320000}"/>
    <cellStyle name="Normal 3 5 2 13" xfId="13014" xr:uid="{00000000-0005-0000-0000-0000F9320000}"/>
    <cellStyle name="Normal 3 5 2 14" xfId="13015" xr:uid="{00000000-0005-0000-0000-0000FA320000}"/>
    <cellStyle name="Normal 3 5 2 15" xfId="13016" xr:uid="{00000000-0005-0000-0000-0000FB320000}"/>
    <cellStyle name="Normal 3 5 2 16" xfId="13017" xr:uid="{00000000-0005-0000-0000-0000FC320000}"/>
    <cellStyle name="Normal 3 5 2 17" xfId="13018" xr:uid="{00000000-0005-0000-0000-0000FD320000}"/>
    <cellStyle name="Normal 3 5 2 2" xfId="13019" xr:uid="{00000000-0005-0000-0000-0000FE320000}"/>
    <cellStyle name="Normal 3 5 2 3" xfId="13020" xr:uid="{00000000-0005-0000-0000-0000FF320000}"/>
    <cellStyle name="Normal 3 5 2 4" xfId="13021" xr:uid="{00000000-0005-0000-0000-000000330000}"/>
    <cellStyle name="Normal 3 5 2 5" xfId="13022" xr:uid="{00000000-0005-0000-0000-000001330000}"/>
    <cellStyle name="Normal 3 5 2 6" xfId="13023" xr:uid="{00000000-0005-0000-0000-000002330000}"/>
    <cellStyle name="Normal 3 5 2 7" xfId="13024" xr:uid="{00000000-0005-0000-0000-000003330000}"/>
    <cellStyle name="Normal 3 5 2 8" xfId="13025" xr:uid="{00000000-0005-0000-0000-000004330000}"/>
    <cellStyle name="Normal 3 5 2 9" xfId="13026" xr:uid="{00000000-0005-0000-0000-000005330000}"/>
    <cellStyle name="Normal 3 5 20" xfId="13027" xr:uid="{00000000-0005-0000-0000-000006330000}"/>
    <cellStyle name="Normal 3 5 21" xfId="13028" xr:uid="{00000000-0005-0000-0000-000007330000}"/>
    <cellStyle name="Normal 3 5 22" xfId="13029" xr:uid="{00000000-0005-0000-0000-000008330000}"/>
    <cellStyle name="Normal 3 5 23" xfId="13030" xr:uid="{00000000-0005-0000-0000-000009330000}"/>
    <cellStyle name="Normal 3 5 24" xfId="13031" xr:uid="{00000000-0005-0000-0000-00000A330000}"/>
    <cellStyle name="Normal 3 5 25" xfId="13032" xr:uid="{00000000-0005-0000-0000-00000B330000}"/>
    <cellStyle name="Normal 3 5 26" xfId="13033" xr:uid="{00000000-0005-0000-0000-00000C330000}"/>
    <cellStyle name="Normal 3 5 27" xfId="13034" xr:uid="{00000000-0005-0000-0000-00000D330000}"/>
    <cellStyle name="Normal 3 5 28" xfId="13035" xr:uid="{00000000-0005-0000-0000-00000E330000}"/>
    <cellStyle name="Normal 3 5 29" xfId="13036" xr:uid="{00000000-0005-0000-0000-00000F330000}"/>
    <cellStyle name="Normal 3 5 3" xfId="13037" xr:uid="{00000000-0005-0000-0000-000010330000}"/>
    <cellStyle name="Normal 3 5 3 10" xfId="13038" xr:uid="{00000000-0005-0000-0000-000011330000}"/>
    <cellStyle name="Normal 3 5 3 11" xfId="13039" xr:uid="{00000000-0005-0000-0000-000012330000}"/>
    <cellStyle name="Normal 3 5 3 12" xfId="13040" xr:uid="{00000000-0005-0000-0000-000013330000}"/>
    <cellStyle name="Normal 3 5 3 13" xfId="13041" xr:uid="{00000000-0005-0000-0000-000014330000}"/>
    <cellStyle name="Normal 3 5 3 14" xfId="13042" xr:uid="{00000000-0005-0000-0000-000015330000}"/>
    <cellStyle name="Normal 3 5 3 15" xfId="13043" xr:uid="{00000000-0005-0000-0000-000016330000}"/>
    <cellStyle name="Normal 3 5 3 16" xfId="13044" xr:uid="{00000000-0005-0000-0000-000017330000}"/>
    <cellStyle name="Normal 3 5 3 17" xfId="13045" xr:uid="{00000000-0005-0000-0000-000018330000}"/>
    <cellStyle name="Normal 3 5 3 2" xfId="13046" xr:uid="{00000000-0005-0000-0000-000019330000}"/>
    <cellStyle name="Normal 3 5 3 3" xfId="13047" xr:uid="{00000000-0005-0000-0000-00001A330000}"/>
    <cellStyle name="Normal 3 5 3 4" xfId="13048" xr:uid="{00000000-0005-0000-0000-00001B330000}"/>
    <cellStyle name="Normal 3 5 3 5" xfId="13049" xr:uid="{00000000-0005-0000-0000-00001C330000}"/>
    <cellStyle name="Normal 3 5 3 6" xfId="13050" xr:uid="{00000000-0005-0000-0000-00001D330000}"/>
    <cellStyle name="Normal 3 5 3 7" xfId="13051" xr:uid="{00000000-0005-0000-0000-00001E330000}"/>
    <cellStyle name="Normal 3 5 3 8" xfId="13052" xr:uid="{00000000-0005-0000-0000-00001F330000}"/>
    <cellStyle name="Normal 3 5 3 9" xfId="13053" xr:uid="{00000000-0005-0000-0000-000020330000}"/>
    <cellStyle name="Normal 3 5 30" xfId="13054" xr:uid="{00000000-0005-0000-0000-000021330000}"/>
    <cellStyle name="Normal 3 5 31" xfId="13055" xr:uid="{00000000-0005-0000-0000-000022330000}"/>
    <cellStyle name="Normal 3 5 32" xfId="13056" xr:uid="{00000000-0005-0000-0000-000023330000}"/>
    <cellStyle name="Normal 3 5 33" xfId="13057" xr:uid="{00000000-0005-0000-0000-000024330000}"/>
    <cellStyle name="Normal 3 5 34" xfId="13058" xr:uid="{00000000-0005-0000-0000-000025330000}"/>
    <cellStyle name="Normal 3 5 35" xfId="13059" xr:uid="{00000000-0005-0000-0000-000026330000}"/>
    <cellStyle name="Normal 3 5 36" xfId="13060" xr:uid="{00000000-0005-0000-0000-000027330000}"/>
    <cellStyle name="Normal 3 5 37" xfId="13061" xr:uid="{00000000-0005-0000-0000-000028330000}"/>
    <cellStyle name="Normal 3 5 38" xfId="13062" xr:uid="{00000000-0005-0000-0000-000029330000}"/>
    <cellStyle name="Normal 3 5 39" xfId="13063" xr:uid="{00000000-0005-0000-0000-00002A330000}"/>
    <cellStyle name="Normal 3 5 4" xfId="13064" xr:uid="{00000000-0005-0000-0000-00002B330000}"/>
    <cellStyle name="Normal 3 5 40" xfId="13065" xr:uid="{00000000-0005-0000-0000-00002C330000}"/>
    <cellStyle name="Normal 3 5 41" xfId="13066" xr:uid="{00000000-0005-0000-0000-00002D330000}"/>
    <cellStyle name="Normal 3 5 42" xfId="13067" xr:uid="{00000000-0005-0000-0000-00002E330000}"/>
    <cellStyle name="Normal 3 5 43" xfId="13068" xr:uid="{00000000-0005-0000-0000-00002F330000}"/>
    <cellStyle name="Normal 3 5 44" xfId="13069" xr:uid="{00000000-0005-0000-0000-000030330000}"/>
    <cellStyle name="Normal 3 5 45" xfId="13070" xr:uid="{00000000-0005-0000-0000-000031330000}"/>
    <cellStyle name="Normal 3 5 46" xfId="13071" xr:uid="{00000000-0005-0000-0000-000032330000}"/>
    <cellStyle name="Normal 3 5 47" xfId="13072" xr:uid="{00000000-0005-0000-0000-000033330000}"/>
    <cellStyle name="Normal 3 5 48" xfId="13073" xr:uid="{00000000-0005-0000-0000-000034330000}"/>
    <cellStyle name="Normal 3 5 49" xfId="13074" xr:uid="{00000000-0005-0000-0000-000035330000}"/>
    <cellStyle name="Normal 3 5 5" xfId="13075" xr:uid="{00000000-0005-0000-0000-000036330000}"/>
    <cellStyle name="Normal 3 5 50" xfId="13076" xr:uid="{00000000-0005-0000-0000-000037330000}"/>
    <cellStyle name="Normal 3 5 51" xfId="13077" xr:uid="{00000000-0005-0000-0000-000038330000}"/>
    <cellStyle name="Normal 3 5 52" xfId="13078" xr:uid="{00000000-0005-0000-0000-000039330000}"/>
    <cellStyle name="Normal 3 5 53" xfId="13079" xr:uid="{00000000-0005-0000-0000-00003A330000}"/>
    <cellStyle name="Normal 3 5 54" xfId="13080" xr:uid="{00000000-0005-0000-0000-00003B330000}"/>
    <cellStyle name="Normal 3 5 55" xfId="13081" xr:uid="{00000000-0005-0000-0000-00003C330000}"/>
    <cellStyle name="Normal 3 5 56" xfId="13082" xr:uid="{00000000-0005-0000-0000-00003D330000}"/>
    <cellStyle name="Normal 3 5 57" xfId="13083" xr:uid="{00000000-0005-0000-0000-00003E330000}"/>
    <cellStyle name="Normal 3 5 58" xfId="13084" xr:uid="{00000000-0005-0000-0000-00003F330000}"/>
    <cellStyle name="Normal 3 5 59" xfId="13085" xr:uid="{00000000-0005-0000-0000-000040330000}"/>
    <cellStyle name="Normal 3 5 6" xfId="13086" xr:uid="{00000000-0005-0000-0000-000041330000}"/>
    <cellStyle name="Normal 3 5 60" xfId="13087" xr:uid="{00000000-0005-0000-0000-000042330000}"/>
    <cellStyle name="Normal 3 5 61" xfId="13088" xr:uid="{00000000-0005-0000-0000-000043330000}"/>
    <cellStyle name="Normal 3 5 62" xfId="13089" xr:uid="{00000000-0005-0000-0000-000044330000}"/>
    <cellStyle name="Normal 3 5 63" xfId="13090" xr:uid="{00000000-0005-0000-0000-000045330000}"/>
    <cellStyle name="Normal 3 5 64" xfId="13091" xr:uid="{00000000-0005-0000-0000-000046330000}"/>
    <cellStyle name="Normal 3 5 65" xfId="13092" xr:uid="{00000000-0005-0000-0000-000047330000}"/>
    <cellStyle name="Normal 3 5 66" xfId="13093" xr:uid="{00000000-0005-0000-0000-000048330000}"/>
    <cellStyle name="Normal 3 5 67" xfId="13094" xr:uid="{00000000-0005-0000-0000-000049330000}"/>
    <cellStyle name="Normal 3 5 68" xfId="13095" xr:uid="{00000000-0005-0000-0000-00004A330000}"/>
    <cellStyle name="Normal 3 5 69" xfId="13096" xr:uid="{00000000-0005-0000-0000-00004B330000}"/>
    <cellStyle name="Normal 3 5 7" xfId="13097" xr:uid="{00000000-0005-0000-0000-00004C330000}"/>
    <cellStyle name="Normal 3 5 70" xfId="13098" xr:uid="{00000000-0005-0000-0000-00004D330000}"/>
    <cellStyle name="Normal 3 5 71" xfId="13099" xr:uid="{00000000-0005-0000-0000-00004E330000}"/>
    <cellStyle name="Normal 3 5 72" xfId="13100" xr:uid="{00000000-0005-0000-0000-00004F330000}"/>
    <cellStyle name="Normal 3 5 73" xfId="13101" xr:uid="{00000000-0005-0000-0000-000050330000}"/>
    <cellStyle name="Normal 3 5 74" xfId="13102" xr:uid="{00000000-0005-0000-0000-000051330000}"/>
    <cellStyle name="Normal 3 5 75" xfId="13103" xr:uid="{00000000-0005-0000-0000-000052330000}"/>
    <cellStyle name="Normal 3 5 76" xfId="13104" xr:uid="{00000000-0005-0000-0000-000053330000}"/>
    <cellStyle name="Normal 3 5 77" xfId="13105" xr:uid="{00000000-0005-0000-0000-000054330000}"/>
    <cellStyle name="Normal 3 5 78" xfId="13106" xr:uid="{00000000-0005-0000-0000-000055330000}"/>
    <cellStyle name="Normal 3 5 79" xfId="13107" xr:uid="{00000000-0005-0000-0000-000056330000}"/>
    <cellStyle name="Normal 3 5 8" xfId="13108" xr:uid="{00000000-0005-0000-0000-000057330000}"/>
    <cellStyle name="Normal 3 5 80" xfId="13109" xr:uid="{00000000-0005-0000-0000-000058330000}"/>
    <cellStyle name="Normal 3 5 81" xfId="13110" xr:uid="{00000000-0005-0000-0000-000059330000}"/>
    <cellStyle name="Normal 3 5 82" xfId="13111" xr:uid="{00000000-0005-0000-0000-00005A330000}"/>
    <cellStyle name="Normal 3 5 9" xfId="13112" xr:uid="{00000000-0005-0000-0000-00005B330000}"/>
    <cellStyle name="Normal 3 50" xfId="13113" xr:uid="{00000000-0005-0000-0000-00005C330000}"/>
    <cellStyle name="Normal 3 51" xfId="13114" xr:uid="{00000000-0005-0000-0000-00005D330000}"/>
    <cellStyle name="Normal 3 52" xfId="13115" xr:uid="{00000000-0005-0000-0000-00005E330000}"/>
    <cellStyle name="Normal 3 53" xfId="13116" xr:uid="{00000000-0005-0000-0000-00005F330000}"/>
    <cellStyle name="Normal 3 54" xfId="13117" xr:uid="{00000000-0005-0000-0000-000060330000}"/>
    <cellStyle name="Normal 3 55" xfId="13118" xr:uid="{00000000-0005-0000-0000-000061330000}"/>
    <cellStyle name="Normal 3 56" xfId="13119" xr:uid="{00000000-0005-0000-0000-000062330000}"/>
    <cellStyle name="Normal 3 57" xfId="13120" xr:uid="{00000000-0005-0000-0000-000063330000}"/>
    <cellStyle name="Normal 3 58" xfId="13121" xr:uid="{00000000-0005-0000-0000-000064330000}"/>
    <cellStyle name="Normal 3 59" xfId="13122" xr:uid="{00000000-0005-0000-0000-000065330000}"/>
    <cellStyle name="Normal 3 6" xfId="13123" xr:uid="{00000000-0005-0000-0000-000066330000}"/>
    <cellStyle name="Normal 3 6 10" xfId="13124" xr:uid="{00000000-0005-0000-0000-000067330000}"/>
    <cellStyle name="Normal 3 6 11" xfId="13125" xr:uid="{00000000-0005-0000-0000-000068330000}"/>
    <cellStyle name="Normal 3 6 12" xfId="13126" xr:uid="{00000000-0005-0000-0000-000069330000}"/>
    <cellStyle name="Normal 3 6 13" xfId="13127" xr:uid="{00000000-0005-0000-0000-00006A330000}"/>
    <cellStyle name="Normal 3 6 14" xfId="13128" xr:uid="{00000000-0005-0000-0000-00006B330000}"/>
    <cellStyle name="Normal 3 6 15" xfId="13129" xr:uid="{00000000-0005-0000-0000-00006C330000}"/>
    <cellStyle name="Normal 3 6 16" xfId="13130" xr:uid="{00000000-0005-0000-0000-00006D330000}"/>
    <cellStyle name="Normal 3 6 17" xfId="13131" xr:uid="{00000000-0005-0000-0000-00006E330000}"/>
    <cellStyle name="Normal 3 6 18" xfId="13132" xr:uid="{00000000-0005-0000-0000-00006F330000}"/>
    <cellStyle name="Normal 3 6 19" xfId="13133" xr:uid="{00000000-0005-0000-0000-000070330000}"/>
    <cellStyle name="Normal 3 6 2" xfId="13134" xr:uid="{00000000-0005-0000-0000-000071330000}"/>
    <cellStyle name="Normal 3 6 2 10" xfId="13135" xr:uid="{00000000-0005-0000-0000-000072330000}"/>
    <cellStyle name="Normal 3 6 2 11" xfId="13136" xr:uid="{00000000-0005-0000-0000-000073330000}"/>
    <cellStyle name="Normal 3 6 2 12" xfId="13137" xr:uid="{00000000-0005-0000-0000-000074330000}"/>
    <cellStyle name="Normal 3 6 2 13" xfId="13138" xr:uid="{00000000-0005-0000-0000-000075330000}"/>
    <cellStyle name="Normal 3 6 2 14" xfId="13139" xr:uid="{00000000-0005-0000-0000-000076330000}"/>
    <cellStyle name="Normal 3 6 2 15" xfId="13140" xr:uid="{00000000-0005-0000-0000-000077330000}"/>
    <cellStyle name="Normal 3 6 2 16" xfId="13141" xr:uid="{00000000-0005-0000-0000-000078330000}"/>
    <cellStyle name="Normal 3 6 2 17" xfId="13142" xr:uid="{00000000-0005-0000-0000-000079330000}"/>
    <cellStyle name="Normal 3 6 2 2" xfId="13143" xr:uid="{00000000-0005-0000-0000-00007A330000}"/>
    <cellStyle name="Normal 3 6 2 3" xfId="13144" xr:uid="{00000000-0005-0000-0000-00007B330000}"/>
    <cellStyle name="Normal 3 6 2 4" xfId="13145" xr:uid="{00000000-0005-0000-0000-00007C330000}"/>
    <cellStyle name="Normal 3 6 2 5" xfId="13146" xr:uid="{00000000-0005-0000-0000-00007D330000}"/>
    <cellStyle name="Normal 3 6 2 6" xfId="13147" xr:uid="{00000000-0005-0000-0000-00007E330000}"/>
    <cellStyle name="Normal 3 6 2 7" xfId="13148" xr:uid="{00000000-0005-0000-0000-00007F330000}"/>
    <cellStyle name="Normal 3 6 2 8" xfId="13149" xr:uid="{00000000-0005-0000-0000-000080330000}"/>
    <cellStyle name="Normal 3 6 2 9" xfId="13150" xr:uid="{00000000-0005-0000-0000-000081330000}"/>
    <cellStyle name="Normal 3 6 20" xfId="13151" xr:uid="{00000000-0005-0000-0000-000082330000}"/>
    <cellStyle name="Normal 3 6 21" xfId="13152" xr:uid="{00000000-0005-0000-0000-000083330000}"/>
    <cellStyle name="Normal 3 6 22" xfId="13153" xr:uid="{00000000-0005-0000-0000-000084330000}"/>
    <cellStyle name="Normal 3 6 23" xfId="13154" xr:uid="{00000000-0005-0000-0000-000085330000}"/>
    <cellStyle name="Normal 3 6 24" xfId="13155" xr:uid="{00000000-0005-0000-0000-000086330000}"/>
    <cellStyle name="Normal 3 6 25" xfId="13156" xr:uid="{00000000-0005-0000-0000-000087330000}"/>
    <cellStyle name="Normal 3 6 26" xfId="13157" xr:uid="{00000000-0005-0000-0000-000088330000}"/>
    <cellStyle name="Normal 3 6 27" xfId="13158" xr:uid="{00000000-0005-0000-0000-000089330000}"/>
    <cellStyle name="Normal 3 6 28" xfId="13159" xr:uid="{00000000-0005-0000-0000-00008A330000}"/>
    <cellStyle name="Normal 3 6 29" xfId="13160" xr:uid="{00000000-0005-0000-0000-00008B330000}"/>
    <cellStyle name="Normal 3 6 3" xfId="13161" xr:uid="{00000000-0005-0000-0000-00008C330000}"/>
    <cellStyle name="Normal 3 6 3 10" xfId="13162" xr:uid="{00000000-0005-0000-0000-00008D330000}"/>
    <cellStyle name="Normal 3 6 3 11" xfId="13163" xr:uid="{00000000-0005-0000-0000-00008E330000}"/>
    <cellStyle name="Normal 3 6 3 12" xfId="13164" xr:uid="{00000000-0005-0000-0000-00008F330000}"/>
    <cellStyle name="Normal 3 6 3 13" xfId="13165" xr:uid="{00000000-0005-0000-0000-000090330000}"/>
    <cellStyle name="Normal 3 6 3 14" xfId="13166" xr:uid="{00000000-0005-0000-0000-000091330000}"/>
    <cellStyle name="Normal 3 6 3 15" xfId="13167" xr:uid="{00000000-0005-0000-0000-000092330000}"/>
    <cellStyle name="Normal 3 6 3 16" xfId="13168" xr:uid="{00000000-0005-0000-0000-000093330000}"/>
    <cellStyle name="Normal 3 6 3 17" xfId="13169" xr:uid="{00000000-0005-0000-0000-000094330000}"/>
    <cellStyle name="Normal 3 6 3 2" xfId="13170" xr:uid="{00000000-0005-0000-0000-000095330000}"/>
    <cellStyle name="Normal 3 6 3 3" xfId="13171" xr:uid="{00000000-0005-0000-0000-000096330000}"/>
    <cellStyle name="Normal 3 6 3 4" xfId="13172" xr:uid="{00000000-0005-0000-0000-000097330000}"/>
    <cellStyle name="Normal 3 6 3 5" xfId="13173" xr:uid="{00000000-0005-0000-0000-000098330000}"/>
    <cellStyle name="Normal 3 6 3 6" xfId="13174" xr:uid="{00000000-0005-0000-0000-000099330000}"/>
    <cellStyle name="Normal 3 6 3 7" xfId="13175" xr:uid="{00000000-0005-0000-0000-00009A330000}"/>
    <cellStyle name="Normal 3 6 3 8" xfId="13176" xr:uid="{00000000-0005-0000-0000-00009B330000}"/>
    <cellStyle name="Normal 3 6 3 9" xfId="13177" xr:uid="{00000000-0005-0000-0000-00009C330000}"/>
    <cellStyle name="Normal 3 6 30" xfId="13178" xr:uid="{00000000-0005-0000-0000-00009D330000}"/>
    <cellStyle name="Normal 3 6 31" xfId="13179" xr:uid="{00000000-0005-0000-0000-00009E330000}"/>
    <cellStyle name="Normal 3 6 32" xfId="13180" xr:uid="{00000000-0005-0000-0000-00009F330000}"/>
    <cellStyle name="Normal 3 6 33" xfId="13181" xr:uid="{00000000-0005-0000-0000-0000A0330000}"/>
    <cellStyle name="Normal 3 6 34" xfId="13182" xr:uid="{00000000-0005-0000-0000-0000A1330000}"/>
    <cellStyle name="Normal 3 6 35" xfId="13183" xr:uid="{00000000-0005-0000-0000-0000A2330000}"/>
    <cellStyle name="Normal 3 6 36" xfId="13184" xr:uid="{00000000-0005-0000-0000-0000A3330000}"/>
    <cellStyle name="Normal 3 6 37" xfId="13185" xr:uid="{00000000-0005-0000-0000-0000A4330000}"/>
    <cellStyle name="Normal 3 6 38" xfId="13186" xr:uid="{00000000-0005-0000-0000-0000A5330000}"/>
    <cellStyle name="Normal 3 6 39" xfId="13187" xr:uid="{00000000-0005-0000-0000-0000A6330000}"/>
    <cellStyle name="Normal 3 6 4" xfId="13188" xr:uid="{00000000-0005-0000-0000-0000A7330000}"/>
    <cellStyle name="Normal 3 6 40" xfId="13189" xr:uid="{00000000-0005-0000-0000-0000A8330000}"/>
    <cellStyle name="Normal 3 6 41" xfId="13190" xr:uid="{00000000-0005-0000-0000-0000A9330000}"/>
    <cellStyle name="Normal 3 6 42" xfId="13191" xr:uid="{00000000-0005-0000-0000-0000AA330000}"/>
    <cellStyle name="Normal 3 6 43" xfId="13192" xr:uid="{00000000-0005-0000-0000-0000AB330000}"/>
    <cellStyle name="Normal 3 6 44" xfId="13193" xr:uid="{00000000-0005-0000-0000-0000AC330000}"/>
    <cellStyle name="Normal 3 6 45" xfId="13194" xr:uid="{00000000-0005-0000-0000-0000AD330000}"/>
    <cellStyle name="Normal 3 6 46" xfId="13195" xr:uid="{00000000-0005-0000-0000-0000AE330000}"/>
    <cellStyle name="Normal 3 6 47" xfId="13196" xr:uid="{00000000-0005-0000-0000-0000AF330000}"/>
    <cellStyle name="Normal 3 6 48" xfId="13197" xr:uid="{00000000-0005-0000-0000-0000B0330000}"/>
    <cellStyle name="Normal 3 6 49" xfId="13198" xr:uid="{00000000-0005-0000-0000-0000B1330000}"/>
    <cellStyle name="Normal 3 6 5" xfId="13199" xr:uid="{00000000-0005-0000-0000-0000B2330000}"/>
    <cellStyle name="Normal 3 6 50" xfId="13200" xr:uid="{00000000-0005-0000-0000-0000B3330000}"/>
    <cellStyle name="Normal 3 6 51" xfId="13201" xr:uid="{00000000-0005-0000-0000-0000B4330000}"/>
    <cellStyle name="Normal 3 6 52" xfId="13202" xr:uid="{00000000-0005-0000-0000-0000B5330000}"/>
    <cellStyle name="Normal 3 6 53" xfId="13203" xr:uid="{00000000-0005-0000-0000-0000B6330000}"/>
    <cellStyle name="Normal 3 6 54" xfId="13204" xr:uid="{00000000-0005-0000-0000-0000B7330000}"/>
    <cellStyle name="Normal 3 6 55" xfId="13205" xr:uid="{00000000-0005-0000-0000-0000B8330000}"/>
    <cellStyle name="Normal 3 6 56" xfId="13206" xr:uid="{00000000-0005-0000-0000-0000B9330000}"/>
    <cellStyle name="Normal 3 6 57" xfId="13207" xr:uid="{00000000-0005-0000-0000-0000BA330000}"/>
    <cellStyle name="Normal 3 6 58" xfId="13208" xr:uid="{00000000-0005-0000-0000-0000BB330000}"/>
    <cellStyle name="Normal 3 6 59" xfId="13209" xr:uid="{00000000-0005-0000-0000-0000BC330000}"/>
    <cellStyle name="Normal 3 6 6" xfId="13210" xr:uid="{00000000-0005-0000-0000-0000BD330000}"/>
    <cellStyle name="Normal 3 6 60" xfId="13211" xr:uid="{00000000-0005-0000-0000-0000BE330000}"/>
    <cellStyle name="Normal 3 6 61" xfId="13212" xr:uid="{00000000-0005-0000-0000-0000BF330000}"/>
    <cellStyle name="Normal 3 6 62" xfId="13213" xr:uid="{00000000-0005-0000-0000-0000C0330000}"/>
    <cellStyle name="Normal 3 6 63" xfId="13214" xr:uid="{00000000-0005-0000-0000-0000C1330000}"/>
    <cellStyle name="Normal 3 6 64" xfId="13215" xr:uid="{00000000-0005-0000-0000-0000C2330000}"/>
    <cellStyle name="Normal 3 6 65" xfId="13216" xr:uid="{00000000-0005-0000-0000-0000C3330000}"/>
    <cellStyle name="Normal 3 6 66" xfId="13217" xr:uid="{00000000-0005-0000-0000-0000C4330000}"/>
    <cellStyle name="Normal 3 6 67" xfId="13218" xr:uid="{00000000-0005-0000-0000-0000C5330000}"/>
    <cellStyle name="Normal 3 6 68" xfId="13219" xr:uid="{00000000-0005-0000-0000-0000C6330000}"/>
    <cellStyle name="Normal 3 6 69" xfId="13220" xr:uid="{00000000-0005-0000-0000-0000C7330000}"/>
    <cellStyle name="Normal 3 6 7" xfId="13221" xr:uid="{00000000-0005-0000-0000-0000C8330000}"/>
    <cellStyle name="Normal 3 6 70" xfId="13222" xr:uid="{00000000-0005-0000-0000-0000C9330000}"/>
    <cellStyle name="Normal 3 6 71" xfId="13223" xr:uid="{00000000-0005-0000-0000-0000CA330000}"/>
    <cellStyle name="Normal 3 6 72" xfId="13224" xr:uid="{00000000-0005-0000-0000-0000CB330000}"/>
    <cellStyle name="Normal 3 6 73" xfId="13225" xr:uid="{00000000-0005-0000-0000-0000CC330000}"/>
    <cellStyle name="Normal 3 6 74" xfId="13226" xr:uid="{00000000-0005-0000-0000-0000CD330000}"/>
    <cellStyle name="Normal 3 6 75" xfId="13227" xr:uid="{00000000-0005-0000-0000-0000CE330000}"/>
    <cellStyle name="Normal 3 6 76" xfId="13228" xr:uid="{00000000-0005-0000-0000-0000CF330000}"/>
    <cellStyle name="Normal 3 6 77" xfId="13229" xr:uid="{00000000-0005-0000-0000-0000D0330000}"/>
    <cellStyle name="Normal 3 6 78" xfId="13230" xr:uid="{00000000-0005-0000-0000-0000D1330000}"/>
    <cellStyle name="Normal 3 6 79" xfId="13231" xr:uid="{00000000-0005-0000-0000-0000D2330000}"/>
    <cellStyle name="Normal 3 6 8" xfId="13232" xr:uid="{00000000-0005-0000-0000-0000D3330000}"/>
    <cellStyle name="Normal 3 6 80" xfId="13233" xr:uid="{00000000-0005-0000-0000-0000D4330000}"/>
    <cellStyle name="Normal 3 6 81" xfId="13234" xr:uid="{00000000-0005-0000-0000-0000D5330000}"/>
    <cellStyle name="Normal 3 6 82" xfId="13235" xr:uid="{00000000-0005-0000-0000-0000D6330000}"/>
    <cellStyle name="Normal 3 6 9" xfId="13236" xr:uid="{00000000-0005-0000-0000-0000D7330000}"/>
    <cellStyle name="Normal 3 60" xfId="13237" xr:uid="{00000000-0005-0000-0000-0000D8330000}"/>
    <cellStyle name="Normal 3 61" xfId="13238" xr:uid="{00000000-0005-0000-0000-0000D9330000}"/>
    <cellStyle name="Normal 3 62" xfId="13239" xr:uid="{00000000-0005-0000-0000-0000DA330000}"/>
    <cellStyle name="Normal 3 63" xfId="13240" xr:uid="{00000000-0005-0000-0000-0000DB330000}"/>
    <cellStyle name="Normal 3 64" xfId="13241" xr:uid="{00000000-0005-0000-0000-0000DC330000}"/>
    <cellStyle name="Normal 3 65" xfId="13242" xr:uid="{00000000-0005-0000-0000-0000DD330000}"/>
    <cellStyle name="Normal 3 66" xfId="13243" xr:uid="{00000000-0005-0000-0000-0000DE330000}"/>
    <cellStyle name="Normal 3 67" xfId="13244" xr:uid="{00000000-0005-0000-0000-0000DF330000}"/>
    <cellStyle name="Normal 3 68" xfId="13245" xr:uid="{00000000-0005-0000-0000-0000E0330000}"/>
    <cellStyle name="Normal 3 69" xfId="13246" xr:uid="{00000000-0005-0000-0000-0000E1330000}"/>
    <cellStyle name="Normal 3 7" xfId="13247" xr:uid="{00000000-0005-0000-0000-0000E2330000}"/>
    <cellStyle name="Normal 3 7 10" xfId="13248" xr:uid="{00000000-0005-0000-0000-0000E3330000}"/>
    <cellStyle name="Normal 3 7 11" xfId="13249" xr:uid="{00000000-0005-0000-0000-0000E4330000}"/>
    <cellStyle name="Normal 3 7 12" xfId="13250" xr:uid="{00000000-0005-0000-0000-0000E5330000}"/>
    <cellStyle name="Normal 3 7 13" xfId="13251" xr:uid="{00000000-0005-0000-0000-0000E6330000}"/>
    <cellStyle name="Normal 3 7 14" xfId="13252" xr:uid="{00000000-0005-0000-0000-0000E7330000}"/>
    <cellStyle name="Normal 3 7 15" xfId="13253" xr:uid="{00000000-0005-0000-0000-0000E8330000}"/>
    <cellStyle name="Normal 3 7 16" xfId="13254" xr:uid="{00000000-0005-0000-0000-0000E9330000}"/>
    <cellStyle name="Normal 3 7 17" xfId="13255" xr:uid="{00000000-0005-0000-0000-0000EA330000}"/>
    <cellStyle name="Normal 3 7 18" xfId="13256" xr:uid="{00000000-0005-0000-0000-0000EB330000}"/>
    <cellStyle name="Normal 3 7 19" xfId="13257" xr:uid="{00000000-0005-0000-0000-0000EC330000}"/>
    <cellStyle name="Normal 3 7 2" xfId="13258" xr:uid="{00000000-0005-0000-0000-0000ED330000}"/>
    <cellStyle name="Normal 3 7 2 10" xfId="13259" xr:uid="{00000000-0005-0000-0000-0000EE330000}"/>
    <cellStyle name="Normal 3 7 2 11" xfId="13260" xr:uid="{00000000-0005-0000-0000-0000EF330000}"/>
    <cellStyle name="Normal 3 7 2 12" xfId="13261" xr:uid="{00000000-0005-0000-0000-0000F0330000}"/>
    <cellStyle name="Normal 3 7 2 13" xfId="13262" xr:uid="{00000000-0005-0000-0000-0000F1330000}"/>
    <cellStyle name="Normal 3 7 2 14" xfId="13263" xr:uid="{00000000-0005-0000-0000-0000F2330000}"/>
    <cellStyle name="Normal 3 7 2 15" xfId="13264" xr:uid="{00000000-0005-0000-0000-0000F3330000}"/>
    <cellStyle name="Normal 3 7 2 16" xfId="13265" xr:uid="{00000000-0005-0000-0000-0000F4330000}"/>
    <cellStyle name="Normal 3 7 2 17" xfId="13266" xr:uid="{00000000-0005-0000-0000-0000F5330000}"/>
    <cellStyle name="Normal 3 7 2 2" xfId="13267" xr:uid="{00000000-0005-0000-0000-0000F6330000}"/>
    <cellStyle name="Normal 3 7 2 3" xfId="13268" xr:uid="{00000000-0005-0000-0000-0000F7330000}"/>
    <cellStyle name="Normal 3 7 2 4" xfId="13269" xr:uid="{00000000-0005-0000-0000-0000F8330000}"/>
    <cellStyle name="Normal 3 7 2 5" xfId="13270" xr:uid="{00000000-0005-0000-0000-0000F9330000}"/>
    <cellStyle name="Normal 3 7 2 6" xfId="13271" xr:uid="{00000000-0005-0000-0000-0000FA330000}"/>
    <cellStyle name="Normal 3 7 2 7" xfId="13272" xr:uid="{00000000-0005-0000-0000-0000FB330000}"/>
    <cellStyle name="Normal 3 7 2 8" xfId="13273" xr:uid="{00000000-0005-0000-0000-0000FC330000}"/>
    <cellStyle name="Normal 3 7 2 9" xfId="13274" xr:uid="{00000000-0005-0000-0000-0000FD330000}"/>
    <cellStyle name="Normal 3 7 20" xfId="13275" xr:uid="{00000000-0005-0000-0000-0000FE330000}"/>
    <cellStyle name="Normal 3 7 21" xfId="13276" xr:uid="{00000000-0005-0000-0000-0000FF330000}"/>
    <cellStyle name="Normal 3 7 22" xfId="13277" xr:uid="{00000000-0005-0000-0000-000000340000}"/>
    <cellStyle name="Normal 3 7 23" xfId="13278" xr:uid="{00000000-0005-0000-0000-000001340000}"/>
    <cellStyle name="Normal 3 7 24" xfId="13279" xr:uid="{00000000-0005-0000-0000-000002340000}"/>
    <cellStyle name="Normal 3 7 25" xfId="13280" xr:uid="{00000000-0005-0000-0000-000003340000}"/>
    <cellStyle name="Normal 3 7 26" xfId="13281" xr:uid="{00000000-0005-0000-0000-000004340000}"/>
    <cellStyle name="Normal 3 7 27" xfId="13282" xr:uid="{00000000-0005-0000-0000-000005340000}"/>
    <cellStyle name="Normal 3 7 28" xfId="13283" xr:uid="{00000000-0005-0000-0000-000006340000}"/>
    <cellStyle name="Normal 3 7 29" xfId="13284" xr:uid="{00000000-0005-0000-0000-000007340000}"/>
    <cellStyle name="Normal 3 7 3" xfId="13285" xr:uid="{00000000-0005-0000-0000-000008340000}"/>
    <cellStyle name="Normal 3 7 3 10" xfId="13286" xr:uid="{00000000-0005-0000-0000-000009340000}"/>
    <cellStyle name="Normal 3 7 3 11" xfId="13287" xr:uid="{00000000-0005-0000-0000-00000A340000}"/>
    <cellStyle name="Normal 3 7 3 12" xfId="13288" xr:uid="{00000000-0005-0000-0000-00000B340000}"/>
    <cellStyle name="Normal 3 7 3 13" xfId="13289" xr:uid="{00000000-0005-0000-0000-00000C340000}"/>
    <cellStyle name="Normal 3 7 3 14" xfId="13290" xr:uid="{00000000-0005-0000-0000-00000D340000}"/>
    <cellStyle name="Normal 3 7 3 15" xfId="13291" xr:uid="{00000000-0005-0000-0000-00000E340000}"/>
    <cellStyle name="Normal 3 7 3 16" xfId="13292" xr:uid="{00000000-0005-0000-0000-00000F340000}"/>
    <cellStyle name="Normal 3 7 3 17" xfId="13293" xr:uid="{00000000-0005-0000-0000-000010340000}"/>
    <cellStyle name="Normal 3 7 3 2" xfId="13294" xr:uid="{00000000-0005-0000-0000-000011340000}"/>
    <cellStyle name="Normal 3 7 3 3" xfId="13295" xr:uid="{00000000-0005-0000-0000-000012340000}"/>
    <cellStyle name="Normal 3 7 3 4" xfId="13296" xr:uid="{00000000-0005-0000-0000-000013340000}"/>
    <cellStyle name="Normal 3 7 3 5" xfId="13297" xr:uid="{00000000-0005-0000-0000-000014340000}"/>
    <cellStyle name="Normal 3 7 3 6" xfId="13298" xr:uid="{00000000-0005-0000-0000-000015340000}"/>
    <cellStyle name="Normal 3 7 3 7" xfId="13299" xr:uid="{00000000-0005-0000-0000-000016340000}"/>
    <cellStyle name="Normal 3 7 3 8" xfId="13300" xr:uid="{00000000-0005-0000-0000-000017340000}"/>
    <cellStyle name="Normal 3 7 3 9" xfId="13301" xr:uid="{00000000-0005-0000-0000-000018340000}"/>
    <cellStyle name="Normal 3 7 30" xfId="13302" xr:uid="{00000000-0005-0000-0000-000019340000}"/>
    <cellStyle name="Normal 3 7 31" xfId="13303" xr:uid="{00000000-0005-0000-0000-00001A340000}"/>
    <cellStyle name="Normal 3 7 32" xfId="13304" xr:uid="{00000000-0005-0000-0000-00001B340000}"/>
    <cellStyle name="Normal 3 7 33" xfId="13305" xr:uid="{00000000-0005-0000-0000-00001C340000}"/>
    <cellStyle name="Normal 3 7 34" xfId="13306" xr:uid="{00000000-0005-0000-0000-00001D340000}"/>
    <cellStyle name="Normal 3 7 35" xfId="13307" xr:uid="{00000000-0005-0000-0000-00001E340000}"/>
    <cellStyle name="Normal 3 7 36" xfId="13308" xr:uid="{00000000-0005-0000-0000-00001F340000}"/>
    <cellStyle name="Normal 3 7 37" xfId="13309" xr:uid="{00000000-0005-0000-0000-000020340000}"/>
    <cellStyle name="Normal 3 7 38" xfId="13310" xr:uid="{00000000-0005-0000-0000-000021340000}"/>
    <cellStyle name="Normal 3 7 39" xfId="13311" xr:uid="{00000000-0005-0000-0000-000022340000}"/>
    <cellStyle name="Normal 3 7 4" xfId="13312" xr:uid="{00000000-0005-0000-0000-000023340000}"/>
    <cellStyle name="Normal 3 7 40" xfId="13313" xr:uid="{00000000-0005-0000-0000-000024340000}"/>
    <cellStyle name="Normal 3 7 41" xfId="13314" xr:uid="{00000000-0005-0000-0000-000025340000}"/>
    <cellStyle name="Normal 3 7 42" xfId="13315" xr:uid="{00000000-0005-0000-0000-000026340000}"/>
    <cellStyle name="Normal 3 7 43" xfId="13316" xr:uid="{00000000-0005-0000-0000-000027340000}"/>
    <cellStyle name="Normal 3 7 44" xfId="13317" xr:uid="{00000000-0005-0000-0000-000028340000}"/>
    <cellStyle name="Normal 3 7 45" xfId="13318" xr:uid="{00000000-0005-0000-0000-000029340000}"/>
    <cellStyle name="Normal 3 7 46" xfId="13319" xr:uid="{00000000-0005-0000-0000-00002A340000}"/>
    <cellStyle name="Normal 3 7 47" xfId="13320" xr:uid="{00000000-0005-0000-0000-00002B340000}"/>
    <cellStyle name="Normal 3 7 48" xfId="13321" xr:uid="{00000000-0005-0000-0000-00002C340000}"/>
    <cellStyle name="Normal 3 7 49" xfId="13322" xr:uid="{00000000-0005-0000-0000-00002D340000}"/>
    <cellStyle name="Normal 3 7 5" xfId="13323" xr:uid="{00000000-0005-0000-0000-00002E340000}"/>
    <cellStyle name="Normal 3 7 50" xfId="13324" xr:uid="{00000000-0005-0000-0000-00002F340000}"/>
    <cellStyle name="Normal 3 7 51" xfId="13325" xr:uid="{00000000-0005-0000-0000-000030340000}"/>
    <cellStyle name="Normal 3 7 52" xfId="13326" xr:uid="{00000000-0005-0000-0000-000031340000}"/>
    <cellStyle name="Normal 3 7 53" xfId="13327" xr:uid="{00000000-0005-0000-0000-000032340000}"/>
    <cellStyle name="Normal 3 7 54" xfId="13328" xr:uid="{00000000-0005-0000-0000-000033340000}"/>
    <cellStyle name="Normal 3 7 55" xfId="13329" xr:uid="{00000000-0005-0000-0000-000034340000}"/>
    <cellStyle name="Normal 3 7 56" xfId="13330" xr:uid="{00000000-0005-0000-0000-000035340000}"/>
    <cellStyle name="Normal 3 7 57" xfId="13331" xr:uid="{00000000-0005-0000-0000-000036340000}"/>
    <cellStyle name="Normal 3 7 58" xfId="13332" xr:uid="{00000000-0005-0000-0000-000037340000}"/>
    <cellStyle name="Normal 3 7 59" xfId="13333" xr:uid="{00000000-0005-0000-0000-000038340000}"/>
    <cellStyle name="Normal 3 7 6" xfId="13334" xr:uid="{00000000-0005-0000-0000-000039340000}"/>
    <cellStyle name="Normal 3 7 60" xfId="13335" xr:uid="{00000000-0005-0000-0000-00003A340000}"/>
    <cellStyle name="Normal 3 7 61" xfId="13336" xr:uid="{00000000-0005-0000-0000-00003B340000}"/>
    <cellStyle name="Normal 3 7 62" xfId="13337" xr:uid="{00000000-0005-0000-0000-00003C340000}"/>
    <cellStyle name="Normal 3 7 63" xfId="13338" xr:uid="{00000000-0005-0000-0000-00003D340000}"/>
    <cellStyle name="Normal 3 7 64" xfId="13339" xr:uid="{00000000-0005-0000-0000-00003E340000}"/>
    <cellStyle name="Normal 3 7 65" xfId="13340" xr:uid="{00000000-0005-0000-0000-00003F340000}"/>
    <cellStyle name="Normal 3 7 66" xfId="13341" xr:uid="{00000000-0005-0000-0000-000040340000}"/>
    <cellStyle name="Normal 3 7 67" xfId="13342" xr:uid="{00000000-0005-0000-0000-000041340000}"/>
    <cellStyle name="Normal 3 7 68" xfId="13343" xr:uid="{00000000-0005-0000-0000-000042340000}"/>
    <cellStyle name="Normal 3 7 69" xfId="13344" xr:uid="{00000000-0005-0000-0000-000043340000}"/>
    <cellStyle name="Normal 3 7 7" xfId="13345" xr:uid="{00000000-0005-0000-0000-000044340000}"/>
    <cellStyle name="Normal 3 7 70" xfId="13346" xr:uid="{00000000-0005-0000-0000-000045340000}"/>
    <cellStyle name="Normal 3 7 71" xfId="13347" xr:uid="{00000000-0005-0000-0000-000046340000}"/>
    <cellStyle name="Normal 3 7 72" xfId="13348" xr:uid="{00000000-0005-0000-0000-000047340000}"/>
    <cellStyle name="Normal 3 7 73" xfId="13349" xr:uid="{00000000-0005-0000-0000-000048340000}"/>
    <cellStyle name="Normal 3 7 74" xfId="13350" xr:uid="{00000000-0005-0000-0000-000049340000}"/>
    <cellStyle name="Normal 3 7 75" xfId="13351" xr:uid="{00000000-0005-0000-0000-00004A340000}"/>
    <cellStyle name="Normal 3 7 76" xfId="13352" xr:uid="{00000000-0005-0000-0000-00004B340000}"/>
    <cellStyle name="Normal 3 7 77" xfId="13353" xr:uid="{00000000-0005-0000-0000-00004C340000}"/>
    <cellStyle name="Normal 3 7 78" xfId="13354" xr:uid="{00000000-0005-0000-0000-00004D340000}"/>
    <cellStyle name="Normal 3 7 79" xfId="13355" xr:uid="{00000000-0005-0000-0000-00004E340000}"/>
    <cellStyle name="Normal 3 7 8" xfId="13356" xr:uid="{00000000-0005-0000-0000-00004F340000}"/>
    <cellStyle name="Normal 3 7 80" xfId="13357" xr:uid="{00000000-0005-0000-0000-000050340000}"/>
    <cellStyle name="Normal 3 7 81" xfId="13358" xr:uid="{00000000-0005-0000-0000-000051340000}"/>
    <cellStyle name="Normal 3 7 82" xfId="13359" xr:uid="{00000000-0005-0000-0000-000052340000}"/>
    <cellStyle name="Normal 3 7 9" xfId="13360" xr:uid="{00000000-0005-0000-0000-000053340000}"/>
    <cellStyle name="Normal 3 70" xfId="13361" xr:uid="{00000000-0005-0000-0000-000054340000}"/>
    <cellStyle name="Normal 3 71" xfId="13362" xr:uid="{00000000-0005-0000-0000-000055340000}"/>
    <cellStyle name="Normal 3 72" xfId="13363" xr:uid="{00000000-0005-0000-0000-000056340000}"/>
    <cellStyle name="Normal 3 73" xfId="13364" xr:uid="{00000000-0005-0000-0000-000057340000}"/>
    <cellStyle name="Normal 3 74" xfId="13365" xr:uid="{00000000-0005-0000-0000-000058340000}"/>
    <cellStyle name="Normal 3 75" xfId="13366" xr:uid="{00000000-0005-0000-0000-000059340000}"/>
    <cellStyle name="Normal 3 76" xfId="13367" xr:uid="{00000000-0005-0000-0000-00005A340000}"/>
    <cellStyle name="Normal 3 77" xfId="13368" xr:uid="{00000000-0005-0000-0000-00005B340000}"/>
    <cellStyle name="Normal 3 78" xfId="13369" xr:uid="{00000000-0005-0000-0000-00005C340000}"/>
    <cellStyle name="Normal 3 79" xfId="13370" xr:uid="{00000000-0005-0000-0000-00005D340000}"/>
    <cellStyle name="Normal 3 8" xfId="13371" xr:uid="{00000000-0005-0000-0000-00005E340000}"/>
    <cellStyle name="Normal 3 8 10" xfId="13372" xr:uid="{00000000-0005-0000-0000-00005F340000}"/>
    <cellStyle name="Normal 3 8 11" xfId="13373" xr:uid="{00000000-0005-0000-0000-000060340000}"/>
    <cellStyle name="Normal 3 8 12" xfId="13374" xr:uid="{00000000-0005-0000-0000-000061340000}"/>
    <cellStyle name="Normal 3 8 13" xfId="13375" xr:uid="{00000000-0005-0000-0000-000062340000}"/>
    <cellStyle name="Normal 3 8 14" xfId="13376" xr:uid="{00000000-0005-0000-0000-000063340000}"/>
    <cellStyle name="Normal 3 8 15" xfId="13377" xr:uid="{00000000-0005-0000-0000-000064340000}"/>
    <cellStyle name="Normal 3 8 16" xfId="13378" xr:uid="{00000000-0005-0000-0000-000065340000}"/>
    <cellStyle name="Normal 3 8 17" xfId="13379" xr:uid="{00000000-0005-0000-0000-000066340000}"/>
    <cellStyle name="Normal 3 8 18" xfId="13380" xr:uid="{00000000-0005-0000-0000-000067340000}"/>
    <cellStyle name="Normal 3 8 19" xfId="13381" xr:uid="{00000000-0005-0000-0000-000068340000}"/>
    <cellStyle name="Normal 3 8 2" xfId="13382" xr:uid="{00000000-0005-0000-0000-000069340000}"/>
    <cellStyle name="Normal 3 8 2 10" xfId="13383" xr:uid="{00000000-0005-0000-0000-00006A340000}"/>
    <cellStyle name="Normal 3 8 2 11" xfId="13384" xr:uid="{00000000-0005-0000-0000-00006B340000}"/>
    <cellStyle name="Normal 3 8 2 12" xfId="13385" xr:uid="{00000000-0005-0000-0000-00006C340000}"/>
    <cellStyle name="Normal 3 8 2 13" xfId="13386" xr:uid="{00000000-0005-0000-0000-00006D340000}"/>
    <cellStyle name="Normal 3 8 2 14" xfId="13387" xr:uid="{00000000-0005-0000-0000-00006E340000}"/>
    <cellStyle name="Normal 3 8 2 15" xfId="13388" xr:uid="{00000000-0005-0000-0000-00006F340000}"/>
    <cellStyle name="Normal 3 8 2 16" xfId="13389" xr:uid="{00000000-0005-0000-0000-000070340000}"/>
    <cellStyle name="Normal 3 8 2 17" xfId="13390" xr:uid="{00000000-0005-0000-0000-000071340000}"/>
    <cellStyle name="Normal 3 8 2 2" xfId="13391" xr:uid="{00000000-0005-0000-0000-000072340000}"/>
    <cellStyle name="Normal 3 8 2 3" xfId="13392" xr:uid="{00000000-0005-0000-0000-000073340000}"/>
    <cellStyle name="Normal 3 8 2 4" xfId="13393" xr:uid="{00000000-0005-0000-0000-000074340000}"/>
    <cellStyle name="Normal 3 8 2 5" xfId="13394" xr:uid="{00000000-0005-0000-0000-000075340000}"/>
    <cellStyle name="Normal 3 8 2 6" xfId="13395" xr:uid="{00000000-0005-0000-0000-000076340000}"/>
    <cellStyle name="Normal 3 8 2 7" xfId="13396" xr:uid="{00000000-0005-0000-0000-000077340000}"/>
    <cellStyle name="Normal 3 8 2 8" xfId="13397" xr:uid="{00000000-0005-0000-0000-000078340000}"/>
    <cellStyle name="Normal 3 8 2 9" xfId="13398" xr:uid="{00000000-0005-0000-0000-000079340000}"/>
    <cellStyle name="Normal 3 8 20" xfId="13399" xr:uid="{00000000-0005-0000-0000-00007A340000}"/>
    <cellStyle name="Normal 3 8 21" xfId="13400" xr:uid="{00000000-0005-0000-0000-00007B340000}"/>
    <cellStyle name="Normal 3 8 22" xfId="13401" xr:uid="{00000000-0005-0000-0000-00007C340000}"/>
    <cellStyle name="Normal 3 8 23" xfId="13402" xr:uid="{00000000-0005-0000-0000-00007D340000}"/>
    <cellStyle name="Normal 3 8 24" xfId="13403" xr:uid="{00000000-0005-0000-0000-00007E340000}"/>
    <cellStyle name="Normal 3 8 25" xfId="13404" xr:uid="{00000000-0005-0000-0000-00007F340000}"/>
    <cellStyle name="Normal 3 8 26" xfId="13405" xr:uid="{00000000-0005-0000-0000-000080340000}"/>
    <cellStyle name="Normal 3 8 27" xfId="13406" xr:uid="{00000000-0005-0000-0000-000081340000}"/>
    <cellStyle name="Normal 3 8 28" xfId="13407" xr:uid="{00000000-0005-0000-0000-000082340000}"/>
    <cellStyle name="Normal 3 8 29" xfId="13408" xr:uid="{00000000-0005-0000-0000-000083340000}"/>
    <cellStyle name="Normal 3 8 3" xfId="13409" xr:uid="{00000000-0005-0000-0000-000084340000}"/>
    <cellStyle name="Normal 3 8 3 10" xfId="13410" xr:uid="{00000000-0005-0000-0000-000085340000}"/>
    <cellStyle name="Normal 3 8 3 11" xfId="13411" xr:uid="{00000000-0005-0000-0000-000086340000}"/>
    <cellStyle name="Normal 3 8 3 12" xfId="13412" xr:uid="{00000000-0005-0000-0000-000087340000}"/>
    <cellStyle name="Normal 3 8 3 13" xfId="13413" xr:uid="{00000000-0005-0000-0000-000088340000}"/>
    <cellStyle name="Normal 3 8 3 14" xfId="13414" xr:uid="{00000000-0005-0000-0000-000089340000}"/>
    <cellStyle name="Normal 3 8 3 15" xfId="13415" xr:uid="{00000000-0005-0000-0000-00008A340000}"/>
    <cellStyle name="Normal 3 8 3 16" xfId="13416" xr:uid="{00000000-0005-0000-0000-00008B340000}"/>
    <cellStyle name="Normal 3 8 3 17" xfId="13417" xr:uid="{00000000-0005-0000-0000-00008C340000}"/>
    <cellStyle name="Normal 3 8 3 2" xfId="13418" xr:uid="{00000000-0005-0000-0000-00008D340000}"/>
    <cellStyle name="Normal 3 8 3 3" xfId="13419" xr:uid="{00000000-0005-0000-0000-00008E340000}"/>
    <cellStyle name="Normal 3 8 3 4" xfId="13420" xr:uid="{00000000-0005-0000-0000-00008F340000}"/>
    <cellStyle name="Normal 3 8 3 5" xfId="13421" xr:uid="{00000000-0005-0000-0000-000090340000}"/>
    <cellStyle name="Normal 3 8 3 6" xfId="13422" xr:uid="{00000000-0005-0000-0000-000091340000}"/>
    <cellStyle name="Normal 3 8 3 7" xfId="13423" xr:uid="{00000000-0005-0000-0000-000092340000}"/>
    <cellStyle name="Normal 3 8 3 8" xfId="13424" xr:uid="{00000000-0005-0000-0000-000093340000}"/>
    <cellStyle name="Normal 3 8 3 9" xfId="13425" xr:uid="{00000000-0005-0000-0000-000094340000}"/>
    <cellStyle name="Normal 3 8 30" xfId="13426" xr:uid="{00000000-0005-0000-0000-000095340000}"/>
    <cellStyle name="Normal 3 8 31" xfId="13427" xr:uid="{00000000-0005-0000-0000-000096340000}"/>
    <cellStyle name="Normal 3 8 32" xfId="13428" xr:uid="{00000000-0005-0000-0000-000097340000}"/>
    <cellStyle name="Normal 3 8 33" xfId="13429" xr:uid="{00000000-0005-0000-0000-000098340000}"/>
    <cellStyle name="Normal 3 8 34" xfId="13430" xr:uid="{00000000-0005-0000-0000-000099340000}"/>
    <cellStyle name="Normal 3 8 35" xfId="13431" xr:uid="{00000000-0005-0000-0000-00009A340000}"/>
    <cellStyle name="Normal 3 8 36" xfId="13432" xr:uid="{00000000-0005-0000-0000-00009B340000}"/>
    <cellStyle name="Normal 3 8 37" xfId="13433" xr:uid="{00000000-0005-0000-0000-00009C340000}"/>
    <cellStyle name="Normal 3 8 38" xfId="13434" xr:uid="{00000000-0005-0000-0000-00009D340000}"/>
    <cellStyle name="Normal 3 8 39" xfId="13435" xr:uid="{00000000-0005-0000-0000-00009E340000}"/>
    <cellStyle name="Normal 3 8 4" xfId="13436" xr:uid="{00000000-0005-0000-0000-00009F340000}"/>
    <cellStyle name="Normal 3 8 40" xfId="13437" xr:uid="{00000000-0005-0000-0000-0000A0340000}"/>
    <cellStyle name="Normal 3 8 41" xfId="13438" xr:uid="{00000000-0005-0000-0000-0000A1340000}"/>
    <cellStyle name="Normal 3 8 42" xfId="13439" xr:uid="{00000000-0005-0000-0000-0000A2340000}"/>
    <cellStyle name="Normal 3 8 43" xfId="13440" xr:uid="{00000000-0005-0000-0000-0000A3340000}"/>
    <cellStyle name="Normal 3 8 44" xfId="13441" xr:uid="{00000000-0005-0000-0000-0000A4340000}"/>
    <cellStyle name="Normal 3 8 45" xfId="13442" xr:uid="{00000000-0005-0000-0000-0000A5340000}"/>
    <cellStyle name="Normal 3 8 46" xfId="13443" xr:uid="{00000000-0005-0000-0000-0000A6340000}"/>
    <cellStyle name="Normal 3 8 47" xfId="13444" xr:uid="{00000000-0005-0000-0000-0000A7340000}"/>
    <cellStyle name="Normal 3 8 48" xfId="13445" xr:uid="{00000000-0005-0000-0000-0000A8340000}"/>
    <cellStyle name="Normal 3 8 49" xfId="13446" xr:uid="{00000000-0005-0000-0000-0000A9340000}"/>
    <cellStyle name="Normal 3 8 5" xfId="13447" xr:uid="{00000000-0005-0000-0000-0000AA340000}"/>
    <cellStyle name="Normal 3 8 50" xfId="13448" xr:uid="{00000000-0005-0000-0000-0000AB340000}"/>
    <cellStyle name="Normal 3 8 51" xfId="13449" xr:uid="{00000000-0005-0000-0000-0000AC340000}"/>
    <cellStyle name="Normal 3 8 52" xfId="13450" xr:uid="{00000000-0005-0000-0000-0000AD340000}"/>
    <cellStyle name="Normal 3 8 53" xfId="13451" xr:uid="{00000000-0005-0000-0000-0000AE340000}"/>
    <cellStyle name="Normal 3 8 54" xfId="13452" xr:uid="{00000000-0005-0000-0000-0000AF340000}"/>
    <cellStyle name="Normal 3 8 55" xfId="13453" xr:uid="{00000000-0005-0000-0000-0000B0340000}"/>
    <cellStyle name="Normal 3 8 56" xfId="13454" xr:uid="{00000000-0005-0000-0000-0000B1340000}"/>
    <cellStyle name="Normal 3 8 57" xfId="13455" xr:uid="{00000000-0005-0000-0000-0000B2340000}"/>
    <cellStyle name="Normal 3 8 58" xfId="13456" xr:uid="{00000000-0005-0000-0000-0000B3340000}"/>
    <cellStyle name="Normal 3 8 59" xfId="13457" xr:uid="{00000000-0005-0000-0000-0000B4340000}"/>
    <cellStyle name="Normal 3 8 6" xfId="13458" xr:uid="{00000000-0005-0000-0000-0000B5340000}"/>
    <cellStyle name="Normal 3 8 60" xfId="13459" xr:uid="{00000000-0005-0000-0000-0000B6340000}"/>
    <cellStyle name="Normal 3 8 61" xfId="13460" xr:uid="{00000000-0005-0000-0000-0000B7340000}"/>
    <cellStyle name="Normal 3 8 62" xfId="13461" xr:uid="{00000000-0005-0000-0000-0000B8340000}"/>
    <cellStyle name="Normal 3 8 63" xfId="13462" xr:uid="{00000000-0005-0000-0000-0000B9340000}"/>
    <cellStyle name="Normal 3 8 64" xfId="13463" xr:uid="{00000000-0005-0000-0000-0000BA340000}"/>
    <cellStyle name="Normal 3 8 65" xfId="13464" xr:uid="{00000000-0005-0000-0000-0000BB340000}"/>
    <cellStyle name="Normal 3 8 66" xfId="13465" xr:uid="{00000000-0005-0000-0000-0000BC340000}"/>
    <cellStyle name="Normal 3 8 67" xfId="13466" xr:uid="{00000000-0005-0000-0000-0000BD340000}"/>
    <cellStyle name="Normal 3 8 68" xfId="13467" xr:uid="{00000000-0005-0000-0000-0000BE340000}"/>
    <cellStyle name="Normal 3 8 69" xfId="13468" xr:uid="{00000000-0005-0000-0000-0000BF340000}"/>
    <cellStyle name="Normal 3 8 7" xfId="13469" xr:uid="{00000000-0005-0000-0000-0000C0340000}"/>
    <cellStyle name="Normal 3 8 70" xfId="13470" xr:uid="{00000000-0005-0000-0000-0000C1340000}"/>
    <cellStyle name="Normal 3 8 71" xfId="13471" xr:uid="{00000000-0005-0000-0000-0000C2340000}"/>
    <cellStyle name="Normal 3 8 72" xfId="13472" xr:uid="{00000000-0005-0000-0000-0000C3340000}"/>
    <cellStyle name="Normal 3 8 73" xfId="13473" xr:uid="{00000000-0005-0000-0000-0000C4340000}"/>
    <cellStyle name="Normal 3 8 74" xfId="13474" xr:uid="{00000000-0005-0000-0000-0000C5340000}"/>
    <cellStyle name="Normal 3 8 75" xfId="13475" xr:uid="{00000000-0005-0000-0000-0000C6340000}"/>
    <cellStyle name="Normal 3 8 76" xfId="13476" xr:uid="{00000000-0005-0000-0000-0000C7340000}"/>
    <cellStyle name="Normal 3 8 77" xfId="13477" xr:uid="{00000000-0005-0000-0000-0000C8340000}"/>
    <cellStyle name="Normal 3 8 78" xfId="13478" xr:uid="{00000000-0005-0000-0000-0000C9340000}"/>
    <cellStyle name="Normal 3 8 79" xfId="13479" xr:uid="{00000000-0005-0000-0000-0000CA340000}"/>
    <cellStyle name="Normal 3 8 8" xfId="13480" xr:uid="{00000000-0005-0000-0000-0000CB340000}"/>
    <cellStyle name="Normal 3 8 80" xfId="13481" xr:uid="{00000000-0005-0000-0000-0000CC340000}"/>
    <cellStyle name="Normal 3 8 81" xfId="13482" xr:uid="{00000000-0005-0000-0000-0000CD340000}"/>
    <cellStyle name="Normal 3 8 82" xfId="13483" xr:uid="{00000000-0005-0000-0000-0000CE340000}"/>
    <cellStyle name="Normal 3 8 9" xfId="13484" xr:uid="{00000000-0005-0000-0000-0000CF340000}"/>
    <cellStyle name="Normal 3 80" xfId="13485" xr:uid="{00000000-0005-0000-0000-0000D0340000}"/>
    <cellStyle name="Normal 3 81" xfId="13486" xr:uid="{00000000-0005-0000-0000-0000D1340000}"/>
    <cellStyle name="Normal 3 82" xfId="13487" xr:uid="{00000000-0005-0000-0000-0000D2340000}"/>
    <cellStyle name="Normal 3 83" xfId="13488" xr:uid="{00000000-0005-0000-0000-0000D3340000}"/>
    <cellStyle name="Normal 3 84" xfId="13489" xr:uid="{00000000-0005-0000-0000-0000D4340000}"/>
    <cellStyle name="Normal 3 85" xfId="13490" xr:uid="{00000000-0005-0000-0000-0000D5340000}"/>
    <cellStyle name="Normal 3 86" xfId="13491" xr:uid="{00000000-0005-0000-0000-0000D6340000}"/>
    <cellStyle name="Normal 3 87" xfId="13492" xr:uid="{00000000-0005-0000-0000-0000D7340000}"/>
    <cellStyle name="Normal 3 88" xfId="13493" xr:uid="{00000000-0005-0000-0000-0000D8340000}"/>
    <cellStyle name="Normal 3 89" xfId="13494" xr:uid="{00000000-0005-0000-0000-0000D9340000}"/>
    <cellStyle name="Normal 3 9" xfId="13495" xr:uid="{00000000-0005-0000-0000-0000DA340000}"/>
    <cellStyle name="Normal 3 9 10" xfId="13496" xr:uid="{00000000-0005-0000-0000-0000DB340000}"/>
    <cellStyle name="Normal 3 9 11" xfId="13497" xr:uid="{00000000-0005-0000-0000-0000DC340000}"/>
    <cellStyle name="Normal 3 9 12" xfId="13498" xr:uid="{00000000-0005-0000-0000-0000DD340000}"/>
    <cellStyle name="Normal 3 9 13" xfId="13499" xr:uid="{00000000-0005-0000-0000-0000DE340000}"/>
    <cellStyle name="Normal 3 9 14" xfId="13500" xr:uid="{00000000-0005-0000-0000-0000DF340000}"/>
    <cellStyle name="Normal 3 9 15" xfId="13501" xr:uid="{00000000-0005-0000-0000-0000E0340000}"/>
    <cellStyle name="Normal 3 9 16" xfId="13502" xr:uid="{00000000-0005-0000-0000-0000E1340000}"/>
    <cellStyle name="Normal 3 9 17" xfId="13503" xr:uid="{00000000-0005-0000-0000-0000E2340000}"/>
    <cellStyle name="Normal 3 9 18" xfId="13504" xr:uid="{00000000-0005-0000-0000-0000E3340000}"/>
    <cellStyle name="Normal 3 9 19" xfId="13505" xr:uid="{00000000-0005-0000-0000-0000E4340000}"/>
    <cellStyle name="Normal 3 9 2" xfId="13506" xr:uid="{00000000-0005-0000-0000-0000E5340000}"/>
    <cellStyle name="Normal 3 9 2 10" xfId="13507" xr:uid="{00000000-0005-0000-0000-0000E6340000}"/>
    <cellStyle name="Normal 3 9 2 11" xfId="13508" xr:uid="{00000000-0005-0000-0000-0000E7340000}"/>
    <cellStyle name="Normal 3 9 2 12" xfId="13509" xr:uid="{00000000-0005-0000-0000-0000E8340000}"/>
    <cellStyle name="Normal 3 9 2 13" xfId="13510" xr:uid="{00000000-0005-0000-0000-0000E9340000}"/>
    <cellStyle name="Normal 3 9 2 2" xfId="13511" xr:uid="{00000000-0005-0000-0000-0000EA340000}"/>
    <cellStyle name="Normal 3 9 2 3" xfId="13512" xr:uid="{00000000-0005-0000-0000-0000EB340000}"/>
    <cellStyle name="Normal 3 9 2 4" xfId="13513" xr:uid="{00000000-0005-0000-0000-0000EC340000}"/>
    <cellStyle name="Normal 3 9 2 5" xfId="13514" xr:uid="{00000000-0005-0000-0000-0000ED340000}"/>
    <cellStyle name="Normal 3 9 2 6" xfId="13515" xr:uid="{00000000-0005-0000-0000-0000EE340000}"/>
    <cellStyle name="Normal 3 9 2 7" xfId="13516" xr:uid="{00000000-0005-0000-0000-0000EF340000}"/>
    <cellStyle name="Normal 3 9 2 8" xfId="13517" xr:uid="{00000000-0005-0000-0000-0000F0340000}"/>
    <cellStyle name="Normal 3 9 2 9" xfId="13518" xr:uid="{00000000-0005-0000-0000-0000F1340000}"/>
    <cellStyle name="Normal 3 9 20" xfId="13519" xr:uid="{00000000-0005-0000-0000-0000F2340000}"/>
    <cellStyle name="Normal 3 9 21" xfId="13520" xr:uid="{00000000-0005-0000-0000-0000F3340000}"/>
    <cellStyle name="Normal 3 9 3" xfId="13521" xr:uid="{00000000-0005-0000-0000-0000F4340000}"/>
    <cellStyle name="Normal 3 9 4" xfId="13522" xr:uid="{00000000-0005-0000-0000-0000F5340000}"/>
    <cellStyle name="Normal 3 9 5" xfId="13523" xr:uid="{00000000-0005-0000-0000-0000F6340000}"/>
    <cellStyle name="Normal 3 9 6" xfId="13524" xr:uid="{00000000-0005-0000-0000-0000F7340000}"/>
    <cellStyle name="Normal 3 9 7" xfId="13525" xr:uid="{00000000-0005-0000-0000-0000F8340000}"/>
    <cellStyle name="Normal 3 9 8" xfId="13526" xr:uid="{00000000-0005-0000-0000-0000F9340000}"/>
    <cellStyle name="Normal 3 9 9" xfId="13527" xr:uid="{00000000-0005-0000-0000-0000FA340000}"/>
    <cellStyle name="Normal 3 90" xfId="13528" xr:uid="{00000000-0005-0000-0000-0000FB340000}"/>
    <cellStyle name="Normal 3_1.3s Accounting C Costs Scots" xfId="13529" xr:uid="{00000000-0005-0000-0000-0000FC340000}"/>
    <cellStyle name="Normal 30" xfId="13530" xr:uid="{00000000-0005-0000-0000-0000FD340000}"/>
    <cellStyle name="Normal 30 10" xfId="13531" xr:uid="{00000000-0005-0000-0000-0000FE340000}"/>
    <cellStyle name="Normal 30 10 2" xfId="13532" xr:uid="{00000000-0005-0000-0000-0000FF340000}"/>
    <cellStyle name="Normal 30 11" xfId="13533" xr:uid="{00000000-0005-0000-0000-000000350000}"/>
    <cellStyle name="Normal 30 11 2" xfId="13534" xr:uid="{00000000-0005-0000-0000-000001350000}"/>
    <cellStyle name="Normal 30 12" xfId="13535" xr:uid="{00000000-0005-0000-0000-000002350000}"/>
    <cellStyle name="Normal 30 12 2" xfId="13536" xr:uid="{00000000-0005-0000-0000-000003350000}"/>
    <cellStyle name="Normal 30 13" xfId="13537" xr:uid="{00000000-0005-0000-0000-000004350000}"/>
    <cellStyle name="Normal 30 13 2" xfId="13538" xr:uid="{00000000-0005-0000-0000-000005350000}"/>
    <cellStyle name="Normal 30 14" xfId="13539" xr:uid="{00000000-0005-0000-0000-000006350000}"/>
    <cellStyle name="Normal 30 14 2" xfId="13540" xr:uid="{00000000-0005-0000-0000-000007350000}"/>
    <cellStyle name="Normal 30 15" xfId="13541" xr:uid="{00000000-0005-0000-0000-000008350000}"/>
    <cellStyle name="Normal 30 15 2" xfId="13542" xr:uid="{00000000-0005-0000-0000-000009350000}"/>
    <cellStyle name="Normal 30 16" xfId="13543" xr:uid="{00000000-0005-0000-0000-00000A350000}"/>
    <cellStyle name="Normal 30 16 2" xfId="13544" xr:uid="{00000000-0005-0000-0000-00000B350000}"/>
    <cellStyle name="Normal 30 17" xfId="13545" xr:uid="{00000000-0005-0000-0000-00000C350000}"/>
    <cellStyle name="Normal 30 17 2" xfId="13546" xr:uid="{00000000-0005-0000-0000-00000D350000}"/>
    <cellStyle name="Normal 30 18" xfId="13547" xr:uid="{00000000-0005-0000-0000-00000E350000}"/>
    <cellStyle name="Normal 30 18 2" xfId="13548" xr:uid="{00000000-0005-0000-0000-00000F350000}"/>
    <cellStyle name="Normal 30 19" xfId="13549" xr:uid="{00000000-0005-0000-0000-000010350000}"/>
    <cellStyle name="Normal 30 19 2" xfId="13550" xr:uid="{00000000-0005-0000-0000-000011350000}"/>
    <cellStyle name="Normal 30 2" xfId="13551" xr:uid="{00000000-0005-0000-0000-000012350000}"/>
    <cellStyle name="Normal 30 2 2" xfId="13552" xr:uid="{00000000-0005-0000-0000-000013350000}"/>
    <cellStyle name="Normal 30 2 2 2" xfId="13553" xr:uid="{00000000-0005-0000-0000-000014350000}"/>
    <cellStyle name="Normal 30 2 2 3" xfId="13554" xr:uid="{00000000-0005-0000-0000-000015350000}"/>
    <cellStyle name="Normal 30 2 2 4" xfId="13555" xr:uid="{00000000-0005-0000-0000-000016350000}"/>
    <cellStyle name="Normal 30 2 3" xfId="13556" xr:uid="{00000000-0005-0000-0000-000017350000}"/>
    <cellStyle name="Normal 30 2 3 2" xfId="13557" xr:uid="{00000000-0005-0000-0000-000018350000}"/>
    <cellStyle name="Normal 30 2 3 3" xfId="13558" xr:uid="{00000000-0005-0000-0000-000019350000}"/>
    <cellStyle name="Normal 30 2 3 4" xfId="13559" xr:uid="{00000000-0005-0000-0000-00001A350000}"/>
    <cellStyle name="Normal 30 2 4" xfId="13560" xr:uid="{00000000-0005-0000-0000-00001B350000}"/>
    <cellStyle name="Normal 30 2 5" xfId="13561" xr:uid="{00000000-0005-0000-0000-00001C350000}"/>
    <cellStyle name="Normal 30 2 6" xfId="13562" xr:uid="{00000000-0005-0000-0000-00001D350000}"/>
    <cellStyle name="Normal 30 2 7" xfId="13563" xr:uid="{00000000-0005-0000-0000-00001E350000}"/>
    <cellStyle name="Normal 30 20" xfId="13564" xr:uid="{00000000-0005-0000-0000-00001F350000}"/>
    <cellStyle name="Normal 30 20 2" xfId="13565" xr:uid="{00000000-0005-0000-0000-000020350000}"/>
    <cellStyle name="Normal 30 21" xfId="13566" xr:uid="{00000000-0005-0000-0000-000021350000}"/>
    <cellStyle name="Normal 30 21 2" xfId="13567" xr:uid="{00000000-0005-0000-0000-000022350000}"/>
    <cellStyle name="Normal 30 22" xfId="13568" xr:uid="{00000000-0005-0000-0000-000023350000}"/>
    <cellStyle name="Normal 30 22 2" xfId="13569" xr:uid="{00000000-0005-0000-0000-000024350000}"/>
    <cellStyle name="Normal 30 23" xfId="13570" xr:uid="{00000000-0005-0000-0000-000025350000}"/>
    <cellStyle name="Normal 30 24" xfId="13571" xr:uid="{00000000-0005-0000-0000-000026350000}"/>
    <cellStyle name="Normal 30 25" xfId="13572" xr:uid="{00000000-0005-0000-0000-000027350000}"/>
    <cellStyle name="Normal 30 26" xfId="13573" xr:uid="{00000000-0005-0000-0000-000028350000}"/>
    <cellStyle name="Normal 30 27" xfId="13574" xr:uid="{00000000-0005-0000-0000-000029350000}"/>
    <cellStyle name="Normal 30 28" xfId="13575" xr:uid="{00000000-0005-0000-0000-00002A350000}"/>
    <cellStyle name="Normal 30 29" xfId="13576" xr:uid="{00000000-0005-0000-0000-00002B350000}"/>
    <cellStyle name="Normal 30 3" xfId="13577" xr:uid="{00000000-0005-0000-0000-00002C350000}"/>
    <cellStyle name="Normal 30 3 2" xfId="13578" xr:uid="{00000000-0005-0000-0000-00002D350000}"/>
    <cellStyle name="Normal 30 3 2 2" xfId="13579" xr:uid="{00000000-0005-0000-0000-00002E350000}"/>
    <cellStyle name="Normal 30 3 2 3" xfId="13580" xr:uid="{00000000-0005-0000-0000-00002F350000}"/>
    <cellStyle name="Normal 30 3 2 4" xfId="13581" xr:uid="{00000000-0005-0000-0000-000030350000}"/>
    <cellStyle name="Normal 30 3 3" xfId="13582" xr:uid="{00000000-0005-0000-0000-000031350000}"/>
    <cellStyle name="Normal 30 3 4" xfId="13583" xr:uid="{00000000-0005-0000-0000-000032350000}"/>
    <cellStyle name="Normal 30 3 5" xfId="13584" xr:uid="{00000000-0005-0000-0000-000033350000}"/>
    <cellStyle name="Normal 30 3 6" xfId="13585" xr:uid="{00000000-0005-0000-0000-000034350000}"/>
    <cellStyle name="Normal 30 30" xfId="13586" xr:uid="{00000000-0005-0000-0000-000035350000}"/>
    <cellStyle name="Normal 30 31" xfId="13587" xr:uid="{00000000-0005-0000-0000-000036350000}"/>
    <cellStyle name="Normal 30 32" xfId="13588" xr:uid="{00000000-0005-0000-0000-000037350000}"/>
    <cellStyle name="Normal 30 33" xfId="13589" xr:uid="{00000000-0005-0000-0000-000038350000}"/>
    <cellStyle name="Normal 30 34" xfId="13590" xr:uid="{00000000-0005-0000-0000-000039350000}"/>
    <cellStyle name="Normal 30 35" xfId="13591" xr:uid="{00000000-0005-0000-0000-00003A350000}"/>
    <cellStyle name="Normal 30 36" xfId="13592" xr:uid="{00000000-0005-0000-0000-00003B350000}"/>
    <cellStyle name="Normal 30 37" xfId="13593" xr:uid="{00000000-0005-0000-0000-00003C350000}"/>
    <cellStyle name="Normal 30 38" xfId="13594" xr:uid="{00000000-0005-0000-0000-00003D350000}"/>
    <cellStyle name="Normal 30 39" xfId="13595" xr:uid="{00000000-0005-0000-0000-00003E350000}"/>
    <cellStyle name="Normal 30 4" xfId="13596" xr:uid="{00000000-0005-0000-0000-00003F350000}"/>
    <cellStyle name="Normal 30 4 2" xfId="13597" xr:uid="{00000000-0005-0000-0000-000040350000}"/>
    <cellStyle name="Normal 30 4 3" xfId="13598" xr:uid="{00000000-0005-0000-0000-000041350000}"/>
    <cellStyle name="Normal 30 4 4" xfId="13599" xr:uid="{00000000-0005-0000-0000-000042350000}"/>
    <cellStyle name="Normal 30 40" xfId="13600" xr:uid="{00000000-0005-0000-0000-000043350000}"/>
    <cellStyle name="Normal 30 41" xfId="13601" xr:uid="{00000000-0005-0000-0000-000044350000}"/>
    <cellStyle name="Normal 30 42" xfId="13602" xr:uid="{00000000-0005-0000-0000-000045350000}"/>
    <cellStyle name="Normal 30 43" xfId="13603" xr:uid="{00000000-0005-0000-0000-000046350000}"/>
    <cellStyle name="Normal 30 44" xfId="13604" xr:uid="{00000000-0005-0000-0000-000047350000}"/>
    <cellStyle name="Normal 30 45" xfId="13605" xr:uid="{00000000-0005-0000-0000-000048350000}"/>
    <cellStyle name="Normal 30 46" xfId="13606" xr:uid="{00000000-0005-0000-0000-000049350000}"/>
    <cellStyle name="Normal 30 47" xfId="13607" xr:uid="{00000000-0005-0000-0000-00004A350000}"/>
    <cellStyle name="Normal 30 48" xfId="13608" xr:uid="{00000000-0005-0000-0000-00004B350000}"/>
    <cellStyle name="Normal 30 49" xfId="13609" xr:uid="{00000000-0005-0000-0000-00004C350000}"/>
    <cellStyle name="Normal 30 5" xfId="13610" xr:uid="{00000000-0005-0000-0000-00004D350000}"/>
    <cellStyle name="Normal 30 5 2" xfId="13611" xr:uid="{00000000-0005-0000-0000-00004E350000}"/>
    <cellStyle name="Normal 30 5 3" xfId="13612" xr:uid="{00000000-0005-0000-0000-00004F350000}"/>
    <cellStyle name="Normal 30 5 4" xfId="13613" xr:uid="{00000000-0005-0000-0000-000050350000}"/>
    <cellStyle name="Normal 30 50" xfId="13614" xr:uid="{00000000-0005-0000-0000-000051350000}"/>
    <cellStyle name="Normal 30 51" xfId="13615" xr:uid="{00000000-0005-0000-0000-000052350000}"/>
    <cellStyle name="Normal 30 52" xfId="13616" xr:uid="{00000000-0005-0000-0000-000053350000}"/>
    <cellStyle name="Normal 30 53" xfId="13617" xr:uid="{00000000-0005-0000-0000-000054350000}"/>
    <cellStyle name="Normal 30 54" xfId="13618" xr:uid="{00000000-0005-0000-0000-000055350000}"/>
    <cellStyle name="Normal 30 55" xfId="13619" xr:uid="{00000000-0005-0000-0000-000056350000}"/>
    <cellStyle name="Normal 30 56" xfId="13620" xr:uid="{00000000-0005-0000-0000-000057350000}"/>
    <cellStyle name="Normal 30 57" xfId="13621" xr:uid="{00000000-0005-0000-0000-000058350000}"/>
    <cellStyle name="Normal 30 58" xfId="13622" xr:uid="{00000000-0005-0000-0000-000059350000}"/>
    <cellStyle name="Normal 30 59" xfId="13623" xr:uid="{00000000-0005-0000-0000-00005A350000}"/>
    <cellStyle name="Normal 30 6" xfId="13624" xr:uid="{00000000-0005-0000-0000-00005B350000}"/>
    <cellStyle name="Normal 30 6 2" xfId="13625" xr:uid="{00000000-0005-0000-0000-00005C350000}"/>
    <cellStyle name="Normal 30 60" xfId="13626" xr:uid="{00000000-0005-0000-0000-00005D350000}"/>
    <cellStyle name="Normal 30 61" xfId="13627" xr:uid="{00000000-0005-0000-0000-00005E350000}"/>
    <cellStyle name="Normal 30 62" xfId="13628" xr:uid="{00000000-0005-0000-0000-00005F350000}"/>
    <cellStyle name="Normal 30 63" xfId="13629" xr:uid="{00000000-0005-0000-0000-000060350000}"/>
    <cellStyle name="Normal 30 64" xfId="13630" xr:uid="{00000000-0005-0000-0000-000061350000}"/>
    <cellStyle name="Normal 30 65" xfId="13631" xr:uid="{00000000-0005-0000-0000-000062350000}"/>
    <cellStyle name="Normal 30 66" xfId="13632" xr:uid="{00000000-0005-0000-0000-000063350000}"/>
    <cellStyle name="Normal 30 67" xfId="13633" xr:uid="{00000000-0005-0000-0000-000064350000}"/>
    <cellStyle name="Normal 30 68" xfId="13634" xr:uid="{00000000-0005-0000-0000-000065350000}"/>
    <cellStyle name="Normal 30 69" xfId="13635" xr:uid="{00000000-0005-0000-0000-000066350000}"/>
    <cellStyle name="Normal 30 7" xfId="13636" xr:uid="{00000000-0005-0000-0000-000067350000}"/>
    <cellStyle name="Normal 30 7 2" xfId="13637" xr:uid="{00000000-0005-0000-0000-000068350000}"/>
    <cellStyle name="Normal 30 70" xfId="13638" xr:uid="{00000000-0005-0000-0000-000069350000}"/>
    <cellStyle name="Normal 30 8" xfId="13639" xr:uid="{00000000-0005-0000-0000-00006A350000}"/>
    <cellStyle name="Normal 30 8 2" xfId="13640" xr:uid="{00000000-0005-0000-0000-00006B350000}"/>
    <cellStyle name="Normal 30 9" xfId="13641" xr:uid="{00000000-0005-0000-0000-00006C350000}"/>
    <cellStyle name="Normal 30 9 2" xfId="13642" xr:uid="{00000000-0005-0000-0000-00006D350000}"/>
    <cellStyle name="Normal 31" xfId="13643" xr:uid="{00000000-0005-0000-0000-00006E350000}"/>
    <cellStyle name="Normal 31 10" xfId="13644" xr:uid="{00000000-0005-0000-0000-00006F350000}"/>
    <cellStyle name="Normal 31 10 2" xfId="13645" xr:uid="{00000000-0005-0000-0000-000070350000}"/>
    <cellStyle name="Normal 31 11" xfId="13646" xr:uid="{00000000-0005-0000-0000-000071350000}"/>
    <cellStyle name="Normal 31 11 2" xfId="13647" xr:uid="{00000000-0005-0000-0000-000072350000}"/>
    <cellStyle name="Normal 31 12" xfId="13648" xr:uid="{00000000-0005-0000-0000-000073350000}"/>
    <cellStyle name="Normal 31 12 2" xfId="13649" xr:uid="{00000000-0005-0000-0000-000074350000}"/>
    <cellStyle name="Normal 31 13" xfId="13650" xr:uid="{00000000-0005-0000-0000-000075350000}"/>
    <cellStyle name="Normal 31 13 2" xfId="13651" xr:uid="{00000000-0005-0000-0000-000076350000}"/>
    <cellStyle name="Normal 31 14" xfId="13652" xr:uid="{00000000-0005-0000-0000-000077350000}"/>
    <cellStyle name="Normal 31 14 2" xfId="13653" xr:uid="{00000000-0005-0000-0000-000078350000}"/>
    <cellStyle name="Normal 31 15" xfId="13654" xr:uid="{00000000-0005-0000-0000-000079350000}"/>
    <cellStyle name="Normal 31 15 2" xfId="13655" xr:uid="{00000000-0005-0000-0000-00007A350000}"/>
    <cellStyle name="Normal 31 16" xfId="13656" xr:uid="{00000000-0005-0000-0000-00007B350000}"/>
    <cellStyle name="Normal 31 16 2" xfId="13657" xr:uid="{00000000-0005-0000-0000-00007C350000}"/>
    <cellStyle name="Normal 31 17" xfId="13658" xr:uid="{00000000-0005-0000-0000-00007D350000}"/>
    <cellStyle name="Normal 31 17 2" xfId="13659" xr:uid="{00000000-0005-0000-0000-00007E350000}"/>
    <cellStyle name="Normal 31 18" xfId="13660" xr:uid="{00000000-0005-0000-0000-00007F350000}"/>
    <cellStyle name="Normal 31 18 2" xfId="13661" xr:uid="{00000000-0005-0000-0000-000080350000}"/>
    <cellStyle name="Normal 31 19" xfId="13662" xr:uid="{00000000-0005-0000-0000-000081350000}"/>
    <cellStyle name="Normal 31 19 2" xfId="13663" xr:uid="{00000000-0005-0000-0000-000082350000}"/>
    <cellStyle name="Normal 31 2" xfId="13664" xr:uid="{00000000-0005-0000-0000-000083350000}"/>
    <cellStyle name="Normal 31 2 2" xfId="13665" xr:uid="{00000000-0005-0000-0000-000084350000}"/>
    <cellStyle name="Normal 31 2 2 2" xfId="13666" xr:uid="{00000000-0005-0000-0000-000085350000}"/>
    <cellStyle name="Normal 31 2 2 3" xfId="13667" xr:uid="{00000000-0005-0000-0000-000086350000}"/>
    <cellStyle name="Normal 31 2 2 4" xfId="13668" xr:uid="{00000000-0005-0000-0000-000087350000}"/>
    <cellStyle name="Normal 31 2 3" xfId="13669" xr:uid="{00000000-0005-0000-0000-000088350000}"/>
    <cellStyle name="Normal 31 2 3 2" xfId="13670" xr:uid="{00000000-0005-0000-0000-000089350000}"/>
    <cellStyle name="Normal 31 2 3 3" xfId="13671" xr:uid="{00000000-0005-0000-0000-00008A350000}"/>
    <cellStyle name="Normal 31 2 3 4" xfId="13672" xr:uid="{00000000-0005-0000-0000-00008B350000}"/>
    <cellStyle name="Normal 31 2 4" xfId="13673" xr:uid="{00000000-0005-0000-0000-00008C350000}"/>
    <cellStyle name="Normal 31 2 5" xfId="13674" xr:uid="{00000000-0005-0000-0000-00008D350000}"/>
    <cellStyle name="Normal 31 2 6" xfId="13675" xr:uid="{00000000-0005-0000-0000-00008E350000}"/>
    <cellStyle name="Normal 31 2 7" xfId="13676" xr:uid="{00000000-0005-0000-0000-00008F350000}"/>
    <cellStyle name="Normal 31 20" xfId="13677" xr:uid="{00000000-0005-0000-0000-000090350000}"/>
    <cellStyle name="Normal 31 20 2" xfId="13678" xr:uid="{00000000-0005-0000-0000-000091350000}"/>
    <cellStyle name="Normal 31 21" xfId="13679" xr:uid="{00000000-0005-0000-0000-000092350000}"/>
    <cellStyle name="Normal 31 21 2" xfId="13680" xr:uid="{00000000-0005-0000-0000-000093350000}"/>
    <cellStyle name="Normal 31 22" xfId="13681" xr:uid="{00000000-0005-0000-0000-000094350000}"/>
    <cellStyle name="Normal 31 22 2" xfId="13682" xr:uid="{00000000-0005-0000-0000-000095350000}"/>
    <cellStyle name="Normal 31 23" xfId="13683" xr:uid="{00000000-0005-0000-0000-000096350000}"/>
    <cellStyle name="Normal 31 24" xfId="13684" xr:uid="{00000000-0005-0000-0000-000097350000}"/>
    <cellStyle name="Normal 31 25" xfId="13685" xr:uid="{00000000-0005-0000-0000-000098350000}"/>
    <cellStyle name="Normal 31 26" xfId="13686" xr:uid="{00000000-0005-0000-0000-000099350000}"/>
    <cellStyle name="Normal 31 27" xfId="13687" xr:uid="{00000000-0005-0000-0000-00009A350000}"/>
    <cellStyle name="Normal 31 28" xfId="13688" xr:uid="{00000000-0005-0000-0000-00009B350000}"/>
    <cellStyle name="Normal 31 29" xfId="13689" xr:uid="{00000000-0005-0000-0000-00009C350000}"/>
    <cellStyle name="Normal 31 3" xfId="13690" xr:uid="{00000000-0005-0000-0000-00009D350000}"/>
    <cellStyle name="Normal 31 3 2" xfId="13691" xr:uid="{00000000-0005-0000-0000-00009E350000}"/>
    <cellStyle name="Normal 31 3 2 2" xfId="13692" xr:uid="{00000000-0005-0000-0000-00009F350000}"/>
    <cellStyle name="Normal 31 3 2 3" xfId="13693" xr:uid="{00000000-0005-0000-0000-0000A0350000}"/>
    <cellStyle name="Normal 31 3 2 4" xfId="13694" xr:uid="{00000000-0005-0000-0000-0000A1350000}"/>
    <cellStyle name="Normal 31 3 3" xfId="13695" xr:uid="{00000000-0005-0000-0000-0000A2350000}"/>
    <cellStyle name="Normal 31 3 4" xfId="13696" xr:uid="{00000000-0005-0000-0000-0000A3350000}"/>
    <cellStyle name="Normal 31 3 5" xfId="13697" xr:uid="{00000000-0005-0000-0000-0000A4350000}"/>
    <cellStyle name="Normal 31 3 6" xfId="13698" xr:uid="{00000000-0005-0000-0000-0000A5350000}"/>
    <cellStyle name="Normal 31 30" xfId="13699" xr:uid="{00000000-0005-0000-0000-0000A6350000}"/>
    <cellStyle name="Normal 31 31" xfId="13700" xr:uid="{00000000-0005-0000-0000-0000A7350000}"/>
    <cellStyle name="Normal 31 32" xfId="13701" xr:uid="{00000000-0005-0000-0000-0000A8350000}"/>
    <cellStyle name="Normal 31 33" xfId="13702" xr:uid="{00000000-0005-0000-0000-0000A9350000}"/>
    <cellStyle name="Normal 31 34" xfId="13703" xr:uid="{00000000-0005-0000-0000-0000AA350000}"/>
    <cellStyle name="Normal 31 35" xfId="13704" xr:uid="{00000000-0005-0000-0000-0000AB350000}"/>
    <cellStyle name="Normal 31 36" xfId="13705" xr:uid="{00000000-0005-0000-0000-0000AC350000}"/>
    <cellStyle name="Normal 31 37" xfId="13706" xr:uid="{00000000-0005-0000-0000-0000AD350000}"/>
    <cellStyle name="Normal 31 38" xfId="13707" xr:uid="{00000000-0005-0000-0000-0000AE350000}"/>
    <cellStyle name="Normal 31 39" xfId="13708" xr:uid="{00000000-0005-0000-0000-0000AF350000}"/>
    <cellStyle name="Normal 31 4" xfId="13709" xr:uid="{00000000-0005-0000-0000-0000B0350000}"/>
    <cellStyle name="Normal 31 4 2" xfId="13710" xr:uid="{00000000-0005-0000-0000-0000B1350000}"/>
    <cellStyle name="Normal 31 4 3" xfId="13711" xr:uid="{00000000-0005-0000-0000-0000B2350000}"/>
    <cellStyle name="Normal 31 4 4" xfId="13712" xr:uid="{00000000-0005-0000-0000-0000B3350000}"/>
    <cellStyle name="Normal 31 40" xfId="13713" xr:uid="{00000000-0005-0000-0000-0000B4350000}"/>
    <cellStyle name="Normal 31 41" xfId="13714" xr:uid="{00000000-0005-0000-0000-0000B5350000}"/>
    <cellStyle name="Normal 31 42" xfId="13715" xr:uid="{00000000-0005-0000-0000-0000B6350000}"/>
    <cellStyle name="Normal 31 43" xfId="13716" xr:uid="{00000000-0005-0000-0000-0000B7350000}"/>
    <cellStyle name="Normal 31 44" xfId="13717" xr:uid="{00000000-0005-0000-0000-0000B8350000}"/>
    <cellStyle name="Normal 31 45" xfId="13718" xr:uid="{00000000-0005-0000-0000-0000B9350000}"/>
    <cellStyle name="Normal 31 46" xfId="13719" xr:uid="{00000000-0005-0000-0000-0000BA350000}"/>
    <cellStyle name="Normal 31 47" xfId="13720" xr:uid="{00000000-0005-0000-0000-0000BB350000}"/>
    <cellStyle name="Normal 31 48" xfId="13721" xr:uid="{00000000-0005-0000-0000-0000BC350000}"/>
    <cellStyle name="Normal 31 49" xfId="13722" xr:uid="{00000000-0005-0000-0000-0000BD350000}"/>
    <cellStyle name="Normal 31 5" xfId="13723" xr:uid="{00000000-0005-0000-0000-0000BE350000}"/>
    <cellStyle name="Normal 31 5 2" xfId="13724" xr:uid="{00000000-0005-0000-0000-0000BF350000}"/>
    <cellStyle name="Normal 31 5 3" xfId="13725" xr:uid="{00000000-0005-0000-0000-0000C0350000}"/>
    <cellStyle name="Normal 31 5 4" xfId="13726" xr:uid="{00000000-0005-0000-0000-0000C1350000}"/>
    <cellStyle name="Normal 31 50" xfId="13727" xr:uid="{00000000-0005-0000-0000-0000C2350000}"/>
    <cellStyle name="Normal 31 51" xfId="13728" xr:uid="{00000000-0005-0000-0000-0000C3350000}"/>
    <cellStyle name="Normal 31 52" xfId="13729" xr:uid="{00000000-0005-0000-0000-0000C4350000}"/>
    <cellStyle name="Normal 31 53" xfId="13730" xr:uid="{00000000-0005-0000-0000-0000C5350000}"/>
    <cellStyle name="Normal 31 54" xfId="13731" xr:uid="{00000000-0005-0000-0000-0000C6350000}"/>
    <cellStyle name="Normal 31 55" xfId="13732" xr:uid="{00000000-0005-0000-0000-0000C7350000}"/>
    <cellStyle name="Normal 31 56" xfId="13733" xr:uid="{00000000-0005-0000-0000-0000C8350000}"/>
    <cellStyle name="Normal 31 57" xfId="13734" xr:uid="{00000000-0005-0000-0000-0000C9350000}"/>
    <cellStyle name="Normal 31 58" xfId="13735" xr:uid="{00000000-0005-0000-0000-0000CA350000}"/>
    <cellStyle name="Normal 31 59" xfId="13736" xr:uid="{00000000-0005-0000-0000-0000CB350000}"/>
    <cellStyle name="Normal 31 6" xfId="13737" xr:uid="{00000000-0005-0000-0000-0000CC350000}"/>
    <cellStyle name="Normal 31 6 2" xfId="13738" xr:uid="{00000000-0005-0000-0000-0000CD350000}"/>
    <cellStyle name="Normal 31 60" xfId="13739" xr:uid="{00000000-0005-0000-0000-0000CE350000}"/>
    <cellStyle name="Normal 31 61" xfId="13740" xr:uid="{00000000-0005-0000-0000-0000CF350000}"/>
    <cellStyle name="Normal 31 62" xfId="13741" xr:uid="{00000000-0005-0000-0000-0000D0350000}"/>
    <cellStyle name="Normal 31 63" xfId="13742" xr:uid="{00000000-0005-0000-0000-0000D1350000}"/>
    <cellStyle name="Normal 31 64" xfId="13743" xr:uid="{00000000-0005-0000-0000-0000D2350000}"/>
    <cellStyle name="Normal 31 65" xfId="13744" xr:uid="{00000000-0005-0000-0000-0000D3350000}"/>
    <cellStyle name="Normal 31 66" xfId="13745" xr:uid="{00000000-0005-0000-0000-0000D4350000}"/>
    <cellStyle name="Normal 31 67" xfId="13746" xr:uid="{00000000-0005-0000-0000-0000D5350000}"/>
    <cellStyle name="Normal 31 68" xfId="13747" xr:uid="{00000000-0005-0000-0000-0000D6350000}"/>
    <cellStyle name="Normal 31 69" xfId="13748" xr:uid="{00000000-0005-0000-0000-0000D7350000}"/>
    <cellStyle name="Normal 31 7" xfId="13749" xr:uid="{00000000-0005-0000-0000-0000D8350000}"/>
    <cellStyle name="Normal 31 7 2" xfId="13750" xr:uid="{00000000-0005-0000-0000-0000D9350000}"/>
    <cellStyle name="Normal 31 70" xfId="13751" xr:uid="{00000000-0005-0000-0000-0000DA350000}"/>
    <cellStyle name="Normal 31 8" xfId="13752" xr:uid="{00000000-0005-0000-0000-0000DB350000}"/>
    <cellStyle name="Normal 31 8 2" xfId="13753" xr:uid="{00000000-0005-0000-0000-0000DC350000}"/>
    <cellStyle name="Normal 31 9" xfId="13754" xr:uid="{00000000-0005-0000-0000-0000DD350000}"/>
    <cellStyle name="Normal 31 9 2" xfId="13755" xr:uid="{00000000-0005-0000-0000-0000DE350000}"/>
    <cellStyle name="Normal 32" xfId="13756" xr:uid="{00000000-0005-0000-0000-0000DF350000}"/>
    <cellStyle name="Normal 32 10" xfId="13757" xr:uid="{00000000-0005-0000-0000-0000E0350000}"/>
    <cellStyle name="Normal 32 10 2" xfId="13758" xr:uid="{00000000-0005-0000-0000-0000E1350000}"/>
    <cellStyle name="Normal 32 11" xfId="13759" xr:uid="{00000000-0005-0000-0000-0000E2350000}"/>
    <cellStyle name="Normal 32 11 2" xfId="13760" xr:uid="{00000000-0005-0000-0000-0000E3350000}"/>
    <cellStyle name="Normal 32 12" xfId="13761" xr:uid="{00000000-0005-0000-0000-0000E4350000}"/>
    <cellStyle name="Normal 32 12 2" xfId="13762" xr:uid="{00000000-0005-0000-0000-0000E5350000}"/>
    <cellStyle name="Normal 32 13" xfId="13763" xr:uid="{00000000-0005-0000-0000-0000E6350000}"/>
    <cellStyle name="Normal 32 13 2" xfId="13764" xr:uid="{00000000-0005-0000-0000-0000E7350000}"/>
    <cellStyle name="Normal 32 14" xfId="13765" xr:uid="{00000000-0005-0000-0000-0000E8350000}"/>
    <cellStyle name="Normal 32 14 2" xfId="13766" xr:uid="{00000000-0005-0000-0000-0000E9350000}"/>
    <cellStyle name="Normal 32 15" xfId="13767" xr:uid="{00000000-0005-0000-0000-0000EA350000}"/>
    <cellStyle name="Normal 32 15 2" xfId="13768" xr:uid="{00000000-0005-0000-0000-0000EB350000}"/>
    <cellStyle name="Normal 32 16" xfId="13769" xr:uid="{00000000-0005-0000-0000-0000EC350000}"/>
    <cellStyle name="Normal 32 16 2" xfId="13770" xr:uid="{00000000-0005-0000-0000-0000ED350000}"/>
    <cellStyle name="Normal 32 17" xfId="13771" xr:uid="{00000000-0005-0000-0000-0000EE350000}"/>
    <cellStyle name="Normal 32 17 2" xfId="13772" xr:uid="{00000000-0005-0000-0000-0000EF350000}"/>
    <cellStyle name="Normal 32 18" xfId="13773" xr:uid="{00000000-0005-0000-0000-0000F0350000}"/>
    <cellStyle name="Normal 32 18 2" xfId="13774" xr:uid="{00000000-0005-0000-0000-0000F1350000}"/>
    <cellStyle name="Normal 32 19" xfId="13775" xr:uid="{00000000-0005-0000-0000-0000F2350000}"/>
    <cellStyle name="Normal 32 19 2" xfId="13776" xr:uid="{00000000-0005-0000-0000-0000F3350000}"/>
    <cellStyle name="Normal 32 2" xfId="13777" xr:uid="{00000000-0005-0000-0000-0000F4350000}"/>
    <cellStyle name="Normal 32 2 2" xfId="13778" xr:uid="{00000000-0005-0000-0000-0000F5350000}"/>
    <cellStyle name="Normal 32 2 2 2" xfId="13779" xr:uid="{00000000-0005-0000-0000-0000F6350000}"/>
    <cellStyle name="Normal 32 2 2 3" xfId="13780" xr:uid="{00000000-0005-0000-0000-0000F7350000}"/>
    <cellStyle name="Normal 32 2 2 4" xfId="13781" xr:uid="{00000000-0005-0000-0000-0000F8350000}"/>
    <cellStyle name="Normal 32 2 3" xfId="13782" xr:uid="{00000000-0005-0000-0000-0000F9350000}"/>
    <cellStyle name="Normal 32 2 3 2" xfId="13783" xr:uid="{00000000-0005-0000-0000-0000FA350000}"/>
    <cellStyle name="Normal 32 2 3 3" xfId="13784" xr:uid="{00000000-0005-0000-0000-0000FB350000}"/>
    <cellStyle name="Normal 32 2 3 4" xfId="13785" xr:uid="{00000000-0005-0000-0000-0000FC350000}"/>
    <cellStyle name="Normal 32 2 4" xfId="13786" xr:uid="{00000000-0005-0000-0000-0000FD350000}"/>
    <cellStyle name="Normal 32 2 5" xfId="13787" xr:uid="{00000000-0005-0000-0000-0000FE350000}"/>
    <cellStyle name="Normal 32 2 6" xfId="13788" xr:uid="{00000000-0005-0000-0000-0000FF350000}"/>
    <cellStyle name="Normal 32 2 7" xfId="13789" xr:uid="{00000000-0005-0000-0000-000000360000}"/>
    <cellStyle name="Normal 32 20" xfId="13790" xr:uid="{00000000-0005-0000-0000-000001360000}"/>
    <cellStyle name="Normal 32 20 2" xfId="13791" xr:uid="{00000000-0005-0000-0000-000002360000}"/>
    <cellStyle name="Normal 32 21" xfId="13792" xr:uid="{00000000-0005-0000-0000-000003360000}"/>
    <cellStyle name="Normal 32 21 2" xfId="13793" xr:uid="{00000000-0005-0000-0000-000004360000}"/>
    <cellStyle name="Normal 32 22" xfId="13794" xr:uid="{00000000-0005-0000-0000-000005360000}"/>
    <cellStyle name="Normal 32 22 2" xfId="13795" xr:uid="{00000000-0005-0000-0000-000006360000}"/>
    <cellStyle name="Normal 32 23" xfId="13796" xr:uid="{00000000-0005-0000-0000-000007360000}"/>
    <cellStyle name="Normal 32 24" xfId="13797" xr:uid="{00000000-0005-0000-0000-000008360000}"/>
    <cellStyle name="Normal 32 25" xfId="13798" xr:uid="{00000000-0005-0000-0000-000009360000}"/>
    <cellStyle name="Normal 32 26" xfId="13799" xr:uid="{00000000-0005-0000-0000-00000A360000}"/>
    <cellStyle name="Normal 32 27" xfId="13800" xr:uid="{00000000-0005-0000-0000-00000B360000}"/>
    <cellStyle name="Normal 32 28" xfId="13801" xr:uid="{00000000-0005-0000-0000-00000C360000}"/>
    <cellStyle name="Normal 32 29" xfId="13802" xr:uid="{00000000-0005-0000-0000-00000D360000}"/>
    <cellStyle name="Normal 32 3" xfId="13803" xr:uid="{00000000-0005-0000-0000-00000E360000}"/>
    <cellStyle name="Normal 32 3 2" xfId="13804" xr:uid="{00000000-0005-0000-0000-00000F360000}"/>
    <cellStyle name="Normal 32 3 2 2" xfId="13805" xr:uid="{00000000-0005-0000-0000-000010360000}"/>
    <cellStyle name="Normal 32 3 2 3" xfId="13806" xr:uid="{00000000-0005-0000-0000-000011360000}"/>
    <cellStyle name="Normal 32 3 2 4" xfId="13807" xr:uid="{00000000-0005-0000-0000-000012360000}"/>
    <cellStyle name="Normal 32 3 3" xfId="13808" xr:uid="{00000000-0005-0000-0000-000013360000}"/>
    <cellStyle name="Normal 32 3 4" xfId="13809" xr:uid="{00000000-0005-0000-0000-000014360000}"/>
    <cellStyle name="Normal 32 3 5" xfId="13810" xr:uid="{00000000-0005-0000-0000-000015360000}"/>
    <cellStyle name="Normal 32 3 6" xfId="13811" xr:uid="{00000000-0005-0000-0000-000016360000}"/>
    <cellStyle name="Normal 32 30" xfId="13812" xr:uid="{00000000-0005-0000-0000-000017360000}"/>
    <cellStyle name="Normal 32 31" xfId="13813" xr:uid="{00000000-0005-0000-0000-000018360000}"/>
    <cellStyle name="Normal 32 32" xfId="13814" xr:uid="{00000000-0005-0000-0000-000019360000}"/>
    <cellStyle name="Normal 32 33" xfId="13815" xr:uid="{00000000-0005-0000-0000-00001A360000}"/>
    <cellStyle name="Normal 32 34" xfId="13816" xr:uid="{00000000-0005-0000-0000-00001B360000}"/>
    <cellStyle name="Normal 32 35" xfId="13817" xr:uid="{00000000-0005-0000-0000-00001C360000}"/>
    <cellStyle name="Normal 32 36" xfId="13818" xr:uid="{00000000-0005-0000-0000-00001D360000}"/>
    <cellStyle name="Normal 32 37" xfId="13819" xr:uid="{00000000-0005-0000-0000-00001E360000}"/>
    <cellStyle name="Normal 32 38" xfId="13820" xr:uid="{00000000-0005-0000-0000-00001F360000}"/>
    <cellStyle name="Normal 32 39" xfId="13821" xr:uid="{00000000-0005-0000-0000-000020360000}"/>
    <cellStyle name="Normal 32 4" xfId="13822" xr:uid="{00000000-0005-0000-0000-000021360000}"/>
    <cellStyle name="Normal 32 4 2" xfId="13823" xr:uid="{00000000-0005-0000-0000-000022360000}"/>
    <cellStyle name="Normal 32 4 3" xfId="13824" xr:uid="{00000000-0005-0000-0000-000023360000}"/>
    <cellStyle name="Normal 32 4 4" xfId="13825" xr:uid="{00000000-0005-0000-0000-000024360000}"/>
    <cellStyle name="Normal 32 40" xfId="13826" xr:uid="{00000000-0005-0000-0000-000025360000}"/>
    <cellStyle name="Normal 32 41" xfId="13827" xr:uid="{00000000-0005-0000-0000-000026360000}"/>
    <cellStyle name="Normal 32 42" xfId="13828" xr:uid="{00000000-0005-0000-0000-000027360000}"/>
    <cellStyle name="Normal 32 43" xfId="13829" xr:uid="{00000000-0005-0000-0000-000028360000}"/>
    <cellStyle name="Normal 32 44" xfId="13830" xr:uid="{00000000-0005-0000-0000-000029360000}"/>
    <cellStyle name="Normal 32 45" xfId="13831" xr:uid="{00000000-0005-0000-0000-00002A360000}"/>
    <cellStyle name="Normal 32 46" xfId="13832" xr:uid="{00000000-0005-0000-0000-00002B360000}"/>
    <cellStyle name="Normal 32 47" xfId="13833" xr:uid="{00000000-0005-0000-0000-00002C360000}"/>
    <cellStyle name="Normal 32 48" xfId="13834" xr:uid="{00000000-0005-0000-0000-00002D360000}"/>
    <cellStyle name="Normal 32 49" xfId="13835" xr:uid="{00000000-0005-0000-0000-00002E360000}"/>
    <cellStyle name="Normal 32 5" xfId="13836" xr:uid="{00000000-0005-0000-0000-00002F360000}"/>
    <cellStyle name="Normal 32 5 2" xfId="13837" xr:uid="{00000000-0005-0000-0000-000030360000}"/>
    <cellStyle name="Normal 32 5 3" xfId="13838" xr:uid="{00000000-0005-0000-0000-000031360000}"/>
    <cellStyle name="Normal 32 5 4" xfId="13839" xr:uid="{00000000-0005-0000-0000-000032360000}"/>
    <cellStyle name="Normal 32 50" xfId="13840" xr:uid="{00000000-0005-0000-0000-000033360000}"/>
    <cellStyle name="Normal 32 51" xfId="13841" xr:uid="{00000000-0005-0000-0000-000034360000}"/>
    <cellStyle name="Normal 32 52" xfId="13842" xr:uid="{00000000-0005-0000-0000-000035360000}"/>
    <cellStyle name="Normal 32 53" xfId="13843" xr:uid="{00000000-0005-0000-0000-000036360000}"/>
    <cellStyle name="Normal 32 54" xfId="13844" xr:uid="{00000000-0005-0000-0000-000037360000}"/>
    <cellStyle name="Normal 32 55" xfId="13845" xr:uid="{00000000-0005-0000-0000-000038360000}"/>
    <cellStyle name="Normal 32 56" xfId="13846" xr:uid="{00000000-0005-0000-0000-000039360000}"/>
    <cellStyle name="Normal 32 57" xfId="13847" xr:uid="{00000000-0005-0000-0000-00003A360000}"/>
    <cellStyle name="Normal 32 58" xfId="13848" xr:uid="{00000000-0005-0000-0000-00003B360000}"/>
    <cellStyle name="Normal 32 59" xfId="13849" xr:uid="{00000000-0005-0000-0000-00003C360000}"/>
    <cellStyle name="Normal 32 6" xfId="13850" xr:uid="{00000000-0005-0000-0000-00003D360000}"/>
    <cellStyle name="Normal 32 6 2" xfId="13851" xr:uid="{00000000-0005-0000-0000-00003E360000}"/>
    <cellStyle name="Normal 32 60" xfId="13852" xr:uid="{00000000-0005-0000-0000-00003F360000}"/>
    <cellStyle name="Normal 32 61" xfId="13853" xr:uid="{00000000-0005-0000-0000-000040360000}"/>
    <cellStyle name="Normal 32 62" xfId="13854" xr:uid="{00000000-0005-0000-0000-000041360000}"/>
    <cellStyle name="Normal 32 63" xfId="13855" xr:uid="{00000000-0005-0000-0000-000042360000}"/>
    <cellStyle name="Normal 32 64" xfId="13856" xr:uid="{00000000-0005-0000-0000-000043360000}"/>
    <cellStyle name="Normal 32 65" xfId="13857" xr:uid="{00000000-0005-0000-0000-000044360000}"/>
    <cellStyle name="Normal 32 66" xfId="13858" xr:uid="{00000000-0005-0000-0000-000045360000}"/>
    <cellStyle name="Normal 32 67" xfId="13859" xr:uid="{00000000-0005-0000-0000-000046360000}"/>
    <cellStyle name="Normal 32 68" xfId="13860" xr:uid="{00000000-0005-0000-0000-000047360000}"/>
    <cellStyle name="Normal 32 69" xfId="13861" xr:uid="{00000000-0005-0000-0000-000048360000}"/>
    <cellStyle name="Normal 32 7" xfId="13862" xr:uid="{00000000-0005-0000-0000-000049360000}"/>
    <cellStyle name="Normal 32 7 2" xfId="13863" xr:uid="{00000000-0005-0000-0000-00004A360000}"/>
    <cellStyle name="Normal 32 70" xfId="13864" xr:uid="{00000000-0005-0000-0000-00004B360000}"/>
    <cellStyle name="Normal 32 8" xfId="13865" xr:uid="{00000000-0005-0000-0000-00004C360000}"/>
    <cellStyle name="Normal 32 8 2" xfId="13866" xr:uid="{00000000-0005-0000-0000-00004D360000}"/>
    <cellStyle name="Normal 32 9" xfId="13867" xr:uid="{00000000-0005-0000-0000-00004E360000}"/>
    <cellStyle name="Normal 32 9 2" xfId="13868" xr:uid="{00000000-0005-0000-0000-00004F360000}"/>
    <cellStyle name="Normal 33" xfId="13869" xr:uid="{00000000-0005-0000-0000-000050360000}"/>
    <cellStyle name="Normal 33 10" xfId="13870" xr:uid="{00000000-0005-0000-0000-000051360000}"/>
    <cellStyle name="Normal 33 10 2" xfId="13871" xr:uid="{00000000-0005-0000-0000-000052360000}"/>
    <cellStyle name="Normal 33 11" xfId="13872" xr:uid="{00000000-0005-0000-0000-000053360000}"/>
    <cellStyle name="Normal 33 11 2" xfId="13873" xr:uid="{00000000-0005-0000-0000-000054360000}"/>
    <cellStyle name="Normal 33 12" xfId="13874" xr:uid="{00000000-0005-0000-0000-000055360000}"/>
    <cellStyle name="Normal 33 12 2" xfId="13875" xr:uid="{00000000-0005-0000-0000-000056360000}"/>
    <cellStyle name="Normal 33 13" xfId="13876" xr:uid="{00000000-0005-0000-0000-000057360000}"/>
    <cellStyle name="Normal 33 13 2" xfId="13877" xr:uid="{00000000-0005-0000-0000-000058360000}"/>
    <cellStyle name="Normal 33 14" xfId="13878" xr:uid="{00000000-0005-0000-0000-000059360000}"/>
    <cellStyle name="Normal 33 14 2" xfId="13879" xr:uid="{00000000-0005-0000-0000-00005A360000}"/>
    <cellStyle name="Normal 33 15" xfId="13880" xr:uid="{00000000-0005-0000-0000-00005B360000}"/>
    <cellStyle name="Normal 33 15 2" xfId="13881" xr:uid="{00000000-0005-0000-0000-00005C360000}"/>
    <cellStyle name="Normal 33 16" xfId="13882" xr:uid="{00000000-0005-0000-0000-00005D360000}"/>
    <cellStyle name="Normal 33 16 2" xfId="13883" xr:uid="{00000000-0005-0000-0000-00005E360000}"/>
    <cellStyle name="Normal 33 17" xfId="13884" xr:uid="{00000000-0005-0000-0000-00005F360000}"/>
    <cellStyle name="Normal 33 17 2" xfId="13885" xr:uid="{00000000-0005-0000-0000-000060360000}"/>
    <cellStyle name="Normal 33 18" xfId="13886" xr:uid="{00000000-0005-0000-0000-000061360000}"/>
    <cellStyle name="Normal 33 18 2" xfId="13887" xr:uid="{00000000-0005-0000-0000-000062360000}"/>
    <cellStyle name="Normal 33 19" xfId="13888" xr:uid="{00000000-0005-0000-0000-000063360000}"/>
    <cellStyle name="Normal 33 19 2" xfId="13889" xr:uid="{00000000-0005-0000-0000-000064360000}"/>
    <cellStyle name="Normal 33 2" xfId="13890" xr:uid="{00000000-0005-0000-0000-000065360000}"/>
    <cellStyle name="Normal 33 2 2" xfId="13891" xr:uid="{00000000-0005-0000-0000-000066360000}"/>
    <cellStyle name="Normal 33 2 2 2" xfId="13892" xr:uid="{00000000-0005-0000-0000-000067360000}"/>
    <cellStyle name="Normal 33 2 2 3" xfId="13893" xr:uid="{00000000-0005-0000-0000-000068360000}"/>
    <cellStyle name="Normal 33 2 2 4" xfId="13894" xr:uid="{00000000-0005-0000-0000-000069360000}"/>
    <cellStyle name="Normal 33 2 3" xfId="13895" xr:uid="{00000000-0005-0000-0000-00006A360000}"/>
    <cellStyle name="Normal 33 2 3 2" xfId="13896" xr:uid="{00000000-0005-0000-0000-00006B360000}"/>
    <cellStyle name="Normal 33 2 3 3" xfId="13897" xr:uid="{00000000-0005-0000-0000-00006C360000}"/>
    <cellStyle name="Normal 33 2 3 4" xfId="13898" xr:uid="{00000000-0005-0000-0000-00006D360000}"/>
    <cellStyle name="Normal 33 2 4" xfId="13899" xr:uid="{00000000-0005-0000-0000-00006E360000}"/>
    <cellStyle name="Normal 33 2 5" xfId="13900" xr:uid="{00000000-0005-0000-0000-00006F360000}"/>
    <cellStyle name="Normal 33 2 6" xfId="13901" xr:uid="{00000000-0005-0000-0000-000070360000}"/>
    <cellStyle name="Normal 33 2 7" xfId="13902" xr:uid="{00000000-0005-0000-0000-000071360000}"/>
    <cellStyle name="Normal 33 20" xfId="13903" xr:uid="{00000000-0005-0000-0000-000072360000}"/>
    <cellStyle name="Normal 33 20 2" xfId="13904" xr:uid="{00000000-0005-0000-0000-000073360000}"/>
    <cellStyle name="Normal 33 21" xfId="13905" xr:uid="{00000000-0005-0000-0000-000074360000}"/>
    <cellStyle name="Normal 33 21 2" xfId="13906" xr:uid="{00000000-0005-0000-0000-000075360000}"/>
    <cellStyle name="Normal 33 22" xfId="13907" xr:uid="{00000000-0005-0000-0000-000076360000}"/>
    <cellStyle name="Normal 33 22 2" xfId="13908" xr:uid="{00000000-0005-0000-0000-000077360000}"/>
    <cellStyle name="Normal 33 23" xfId="13909" xr:uid="{00000000-0005-0000-0000-000078360000}"/>
    <cellStyle name="Normal 33 24" xfId="13910" xr:uid="{00000000-0005-0000-0000-000079360000}"/>
    <cellStyle name="Normal 33 25" xfId="13911" xr:uid="{00000000-0005-0000-0000-00007A360000}"/>
    <cellStyle name="Normal 33 26" xfId="13912" xr:uid="{00000000-0005-0000-0000-00007B360000}"/>
    <cellStyle name="Normal 33 27" xfId="13913" xr:uid="{00000000-0005-0000-0000-00007C360000}"/>
    <cellStyle name="Normal 33 28" xfId="13914" xr:uid="{00000000-0005-0000-0000-00007D360000}"/>
    <cellStyle name="Normal 33 29" xfId="13915" xr:uid="{00000000-0005-0000-0000-00007E360000}"/>
    <cellStyle name="Normal 33 3" xfId="13916" xr:uid="{00000000-0005-0000-0000-00007F360000}"/>
    <cellStyle name="Normal 33 3 2" xfId="13917" xr:uid="{00000000-0005-0000-0000-000080360000}"/>
    <cellStyle name="Normal 33 3 2 2" xfId="13918" xr:uid="{00000000-0005-0000-0000-000081360000}"/>
    <cellStyle name="Normal 33 3 2 3" xfId="13919" xr:uid="{00000000-0005-0000-0000-000082360000}"/>
    <cellStyle name="Normal 33 3 2 4" xfId="13920" xr:uid="{00000000-0005-0000-0000-000083360000}"/>
    <cellStyle name="Normal 33 3 3" xfId="13921" xr:uid="{00000000-0005-0000-0000-000084360000}"/>
    <cellStyle name="Normal 33 3 4" xfId="13922" xr:uid="{00000000-0005-0000-0000-000085360000}"/>
    <cellStyle name="Normal 33 3 5" xfId="13923" xr:uid="{00000000-0005-0000-0000-000086360000}"/>
    <cellStyle name="Normal 33 3 6" xfId="13924" xr:uid="{00000000-0005-0000-0000-000087360000}"/>
    <cellStyle name="Normal 33 30" xfId="13925" xr:uid="{00000000-0005-0000-0000-000088360000}"/>
    <cellStyle name="Normal 33 31" xfId="13926" xr:uid="{00000000-0005-0000-0000-000089360000}"/>
    <cellStyle name="Normal 33 32" xfId="13927" xr:uid="{00000000-0005-0000-0000-00008A360000}"/>
    <cellStyle name="Normal 33 33" xfId="13928" xr:uid="{00000000-0005-0000-0000-00008B360000}"/>
    <cellStyle name="Normal 33 34" xfId="13929" xr:uid="{00000000-0005-0000-0000-00008C360000}"/>
    <cellStyle name="Normal 33 35" xfId="13930" xr:uid="{00000000-0005-0000-0000-00008D360000}"/>
    <cellStyle name="Normal 33 36" xfId="13931" xr:uid="{00000000-0005-0000-0000-00008E360000}"/>
    <cellStyle name="Normal 33 37" xfId="13932" xr:uid="{00000000-0005-0000-0000-00008F360000}"/>
    <cellStyle name="Normal 33 38" xfId="13933" xr:uid="{00000000-0005-0000-0000-000090360000}"/>
    <cellStyle name="Normal 33 39" xfId="13934" xr:uid="{00000000-0005-0000-0000-000091360000}"/>
    <cellStyle name="Normal 33 4" xfId="13935" xr:uid="{00000000-0005-0000-0000-000092360000}"/>
    <cellStyle name="Normal 33 4 2" xfId="13936" xr:uid="{00000000-0005-0000-0000-000093360000}"/>
    <cellStyle name="Normal 33 4 3" xfId="13937" xr:uid="{00000000-0005-0000-0000-000094360000}"/>
    <cellStyle name="Normal 33 4 4" xfId="13938" xr:uid="{00000000-0005-0000-0000-000095360000}"/>
    <cellStyle name="Normal 33 40" xfId="13939" xr:uid="{00000000-0005-0000-0000-000096360000}"/>
    <cellStyle name="Normal 33 41" xfId="13940" xr:uid="{00000000-0005-0000-0000-000097360000}"/>
    <cellStyle name="Normal 33 42" xfId="13941" xr:uid="{00000000-0005-0000-0000-000098360000}"/>
    <cellStyle name="Normal 33 43" xfId="13942" xr:uid="{00000000-0005-0000-0000-000099360000}"/>
    <cellStyle name="Normal 33 44" xfId="13943" xr:uid="{00000000-0005-0000-0000-00009A360000}"/>
    <cellStyle name="Normal 33 45" xfId="13944" xr:uid="{00000000-0005-0000-0000-00009B360000}"/>
    <cellStyle name="Normal 33 46" xfId="13945" xr:uid="{00000000-0005-0000-0000-00009C360000}"/>
    <cellStyle name="Normal 33 47" xfId="13946" xr:uid="{00000000-0005-0000-0000-00009D360000}"/>
    <cellStyle name="Normal 33 48" xfId="13947" xr:uid="{00000000-0005-0000-0000-00009E360000}"/>
    <cellStyle name="Normal 33 49" xfId="13948" xr:uid="{00000000-0005-0000-0000-00009F360000}"/>
    <cellStyle name="Normal 33 5" xfId="13949" xr:uid="{00000000-0005-0000-0000-0000A0360000}"/>
    <cellStyle name="Normal 33 5 2" xfId="13950" xr:uid="{00000000-0005-0000-0000-0000A1360000}"/>
    <cellStyle name="Normal 33 5 3" xfId="13951" xr:uid="{00000000-0005-0000-0000-0000A2360000}"/>
    <cellStyle name="Normal 33 5 4" xfId="13952" xr:uid="{00000000-0005-0000-0000-0000A3360000}"/>
    <cellStyle name="Normal 33 50" xfId="13953" xr:uid="{00000000-0005-0000-0000-0000A4360000}"/>
    <cellStyle name="Normal 33 51" xfId="13954" xr:uid="{00000000-0005-0000-0000-0000A5360000}"/>
    <cellStyle name="Normal 33 52" xfId="13955" xr:uid="{00000000-0005-0000-0000-0000A6360000}"/>
    <cellStyle name="Normal 33 53" xfId="13956" xr:uid="{00000000-0005-0000-0000-0000A7360000}"/>
    <cellStyle name="Normal 33 54" xfId="13957" xr:uid="{00000000-0005-0000-0000-0000A8360000}"/>
    <cellStyle name="Normal 33 55" xfId="13958" xr:uid="{00000000-0005-0000-0000-0000A9360000}"/>
    <cellStyle name="Normal 33 56" xfId="13959" xr:uid="{00000000-0005-0000-0000-0000AA360000}"/>
    <cellStyle name="Normal 33 57" xfId="13960" xr:uid="{00000000-0005-0000-0000-0000AB360000}"/>
    <cellStyle name="Normal 33 58" xfId="13961" xr:uid="{00000000-0005-0000-0000-0000AC360000}"/>
    <cellStyle name="Normal 33 59" xfId="13962" xr:uid="{00000000-0005-0000-0000-0000AD360000}"/>
    <cellStyle name="Normal 33 6" xfId="13963" xr:uid="{00000000-0005-0000-0000-0000AE360000}"/>
    <cellStyle name="Normal 33 6 2" xfId="13964" xr:uid="{00000000-0005-0000-0000-0000AF360000}"/>
    <cellStyle name="Normal 33 60" xfId="13965" xr:uid="{00000000-0005-0000-0000-0000B0360000}"/>
    <cellStyle name="Normal 33 61" xfId="13966" xr:uid="{00000000-0005-0000-0000-0000B1360000}"/>
    <cellStyle name="Normal 33 62" xfId="13967" xr:uid="{00000000-0005-0000-0000-0000B2360000}"/>
    <cellStyle name="Normal 33 63" xfId="13968" xr:uid="{00000000-0005-0000-0000-0000B3360000}"/>
    <cellStyle name="Normal 33 64" xfId="13969" xr:uid="{00000000-0005-0000-0000-0000B4360000}"/>
    <cellStyle name="Normal 33 65" xfId="13970" xr:uid="{00000000-0005-0000-0000-0000B5360000}"/>
    <cellStyle name="Normal 33 66" xfId="13971" xr:uid="{00000000-0005-0000-0000-0000B6360000}"/>
    <cellStyle name="Normal 33 67" xfId="13972" xr:uid="{00000000-0005-0000-0000-0000B7360000}"/>
    <cellStyle name="Normal 33 68" xfId="13973" xr:uid="{00000000-0005-0000-0000-0000B8360000}"/>
    <cellStyle name="Normal 33 69" xfId="13974" xr:uid="{00000000-0005-0000-0000-0000B9360000}"/>
    <cellStyle name="Normal 33 7" xfId="13975" xr:uid="{00000000-0005-0000-0000-0000BA360000}"/>
    <cellStyle name="Normal 33 7 2" xfId="13976" xr:uid="{00000000-0005-0000-0000-0000BB360000}"/>
    <cellStyle name="Normal 33 70" xfId="13977" xr:uid="{00000000-0005-0000-0000-0000BC360000}"/>
    <cellStyle name="Normal 33 8" xfId="13978" xr:uid="{00000000-0005-0000-0000-0000BD360000}"/>
    <cellStyle name="Normal 33 8 2" xfId="13979" xr:uid="{00000000-0005-0000-0000-0000BE360000}"/>
    <cellStyle name="Normal 33 9" xfId="13980" xr:uid="{00000000-0005-0000-0000-0000BF360000}"/>
    <cellStyle name="Normal 33 9 2" xfId="13981" xr:uid="{00000000-0005-0000-0000-0000C0360000}"/>
    <cellStyle name="Normal 34" xfId="13982" xr:uid="{00000000-0005-0000-0000-0000C1360000}"/>
    <cellStyle name="Normal 34 10" xfId="13983" xr:uid="{00000000-0005-0000-0000-0000C2360000}"/>
    <cellStyle name="Normal 34 10 2" xfId="13984" xr:uid="{00000000-0005-0000-0000-0000C3360000}"/>
    <cellStyle name="Normal 34 11" xfId="13985" xr:uid="{00000000-0005-0000-0000-0000C4360000}"/>
    <cellStyle name="Normal 34 11 2" xfId="13986" xr:uid="{00000000-0005-0000-0000-0000C5360000}"/>
    <cellStyle name="Normal 34 12" xfId="13987" xr:uid="{00000000-0005-0000-0000-0000C6360000}"/>
    <cellStyle name="Normal 34 12 2" xfId="13988" xr:uid="{00000000-0005-0000-0000-0000C7360000}"/>
    <cellStyle name="Normal 34 13" xfId="13989" xr:uid="{00000000-0005-0000-0000-0000C8360000}"/>
    <cellStyle name="Normal 34 13 2" xfId="13990" xr:uid="{00000000-0005-0000-0000-0000C9360000}"/>
    <cellStyle name="Normal 34 14" xfId="13991" xr:uid="{00000000-0005-0000-0000-0000CA360000}"/>
    <cellStyle name="Normal 34 14 2" xfId="13992" xr:uid="{00000000-0005-0000-0000-0000CB360000}"/>
    <cellStyle name="Normal 34 15" xfId="13993" xr:uid="{00000000-0005-0000-0000-0000CC360000}"/>
    <cellStyle name="Normal 34 15 2" xfId="13994" xr:uid="{00000000-0005-0000-0000-0000CD360000}"/>
    <cellStyle name="Normal 34 16" xfId="13995" xr:uid="{00000000-0005-0000-0000-0000CE360000}"/>
    <cellStyle name="Normal 34 16 2" xfId="13996" xr:uid="{00000000-0005-0000-0000-0000CF360000}"/>
    <cellStyle name="Normal 34 17" xfId="13997" xr:uid="{00000000-0005-0000-0000-0000D0360000}"/>
    <cellStyle name="Normal 34 17 2" xfId="13998" xr:uid="{00000000-0005-0000-0000-0000D1360000}"/>
    <cellStyle name="Normal 34 18" xfId="13999" xr:uid="{00000000-0005-0000-0000-0000D2360000}"/>
    <cellStyle name="Normal 34 18 2" xfId="14000" xr:uid="{00000000-0005-0000-0000-0000D3360000}"/>
    <cellStyle name="Normal 34 19" xfId="14001" xr:uid="{00000000-0005-0000-0000-0000D4360000}"/>
    <cellStyle name="Normal 34 19 2" xfId="14002" xr:uid="{00000000-0005-0000-0000-0000D5360000}"/>
    <cellStyle name="Normal 34 2" xfId="14003" xr:uid="{00000000-0005-0000-0000-0000D6360000}"/>
    <cellStyle name="Normal 34 2 2" xfId="14004" xr:uid="{00000000-0005-0000-0000-0000D7360000}"/>
    <cellStyle name="Normal 34 2 2 2" xfId="14005" xr:uid="{00000000-0005-0000-0000-0000D8360000}"/>
    <cellStyle name="Normal 34 2 2 3" xfId="14006" xr:uid="{00000000-0005-0000-0000-0000D9360000}"/>
    <cellStyle name="Normal 34 2 2 4" xfId="14007" xr:uid="{00000000-0005-0000-0000-0000DA360000}"/>
    <cellStyle name="Normal 34 2 3" xfId="14008" xr:uid="{00000000-0005-0000-0000-0000DB360000}"/>
    <cellStyle name="Normal 34 2 3 2" xfId="14009" xr:uid="{00000000-0005-0000-0000-0000DC360000}"/>
    <cellStyle name="Normal 34 2 3 3" xfId="14010" xr:uid="{00000000-0005-0000-0000-0000DD360000}"/>
    <cellStyle name="Normal 34 2 3 4" xfId="14011" xr:uid="{00000000-0005-0000-0000-0000DE360000}"/>
    <cellStyle name="Normal 34 2 4" xfId="14012" xr:uid="{00000000-0005-0000-0000-0000DF360000}"/>
    <cellStyle name="Normal 34 2 5" xfId="14013" xr:uid="{00000000-0005-0000-0000-0000E0360000}"/>
    <cellStyle name="Normal 34 2 6" xfId="14014" xr:uid="{00000000-0005-0000-0000-0000E1360000}"/>
    <cellStyle name="Normal 34 2 7" xfId="14015" xr:uid="{00000000-0005-0000-0000-0000E2360000}"/>
    <cellStyle name="Normal 34 20" xfId="14016" xr:uid="{00000000-0005-0000-0000-0000E3360000}"/>
    <cellStyle name="Normal 34 20 2" xfId="14017" xr:uid="{00000000-0005-0000-0000-0000E4360000}"/>
    <cellStyle name="Normal 34 21" xfId="14018" xr:uid="{00000000-0005-0000-0000-0000E5360000}"/>
    <cellStyle name="Normal 34 21 2" xfId="14019" xr:uid="{00000000-0005-0000-0000-0000E6360000}"/>
    <cellStyle name="Normal 34 22" xfId="14020" xr:uid="{00000000-0005-0000-0000-0000E7360000}"/>
    <cellStyle name="Normal 34 22 2" xfId="14021" xr:uid="{00000000-0005-0000-0000-0000E8360000}"/>
    <cellStyle name="Normal 34 23" xfId="14022" xr:uid="{00000000-0005-0000-0000-0000E9360000}"/>
    <cellStyle name="Normal 34 24" xfId="14023" xr:uid="{00000000-0005-0000-0000-0000EA360000}"/>
    <cellStyle name="Normal 34 25" xfId="14024" xr:uid="{00000000-0005-0000-0000-0000EB360000}"/>
    <cellStyle name="Normal 34 26" xfId="14025" xr:uid="{00000000-0005-0000-0000-0000EC360000}"/>
    <cellStyle name="Normal 34 27" xfId="14026" xr:uid="{00000000-0005-0000-0000-0000ED360000}"/>
    <cellStyle name="Normal 34 28" xfId="14027" xr:uid="{00000000-0005-0000-0000-0000EE360000}"/>
    <cellStyle name="Normal 34 29" xfId="14028" xr:uid="{00000000-0005-0000-0000-0000EF360000}"/>
    <cellStyle name="Normal 34 3" xfId="14029" xr:uid="{00000000-0005-0000-0000-0000F0360000}"/>
    <cellStyle name="Normal 34 3 2" xfId="14030" xr:uid="{00000000-0005-0000-0000-0000F1360000}"/>
    <cellStyle name="Normal 34 3 2 2" xfId="14031" xr:uid="{00000000-0005-0000-0000-0000F2360000}"/>
    <cellStyle name="Normal 34 3 2 3" xfId="14032" xr:uid="{00000000-0005-0000-0000-0000F3360000}"/>
    <cellStyle name="Normal 34 3 2 4" xfId="14033" xr:uid="{00000000-0005-0000-0000-0000F4360000}"/>
    <cellStyle name="Normal 34 3 3" xfId="14034" xr:uid="{00000000-0005-0000-0000-0000F5360000}"/>
    <cellStyle name="Normal 34 3 4" xfId="14035" xr:uid="{00000000-0005-0000-0000-0000F6360000}"/>
    <cellStyle name="Normal 34 3 5" xfId="14036" xr:uid="{00000000-0005-0000-0000-0000F7360000}"/>
    <cellStyle name="Normal 34 3 6" xfId="14037" xr:uid="{00000000-0005-0000-0000-0000F8360000}"/>
    <cellStyle name="Normal 34 30" xfId="14038" xr:uid="{00000000-0005-0000-0000-0000F9360000}"/>
    <cellStyle name="Normal 34 31" xfId="14039" xr:uid="{00000000-0005-0000-0000-0000FA360000}"/>
    <cellStyle name="Normal 34 32" xfId="14040" xr:uid="{00000000-0005-0000-0000-0000FB360000}"/>
    <cellStyle name="Normal 34 33" xfId="14041" xr:uid="{00000000-0005-0000-0000-0000FC360000}"/>
    <cellStyle name="Normal 34 34" xfId="14042" xr:uid="{00000000-0005-0000-0000-0000FD360000}"/>
    <cellStyle name="Normal 34 35" xfId="14043" xr:uid="{00000000-0005-0000-0000-0000FE360000}"/>
    <cellStyle name="Normal 34 36" xfId="14044" xr:uid="{00000000-0005-0000-0000-0000FF360000}"/>
    <cellStyle name="Normal 34 37" xfId="14045" xr:uid="{00000000-0005-0000-0000-000000370000}"/>
    <cellStyle name="Normal 34 38" xfId="14046" xr:uid="{00000000-0005-0000-0000-000001370000}"/>
    <cellStyle name="Normal 34 39" xfId="14047" xr:uid="{00000000-0005-0000-0000-000002370000}"/>
    <cellStyle name="Normal 34 4" xfId="14048" xr:uid="{00000000-0005-0000-0000-000003370000}"/>
    <cellStyle name="Normal 34 4 2" xfId="14049" xr:uid="{00000000-0005-0000-0000-000004370000}"/>
    <cellStyle name="Normal 34 4 3" xfId="14050" xr:uid="{00000000-0005-0000-0000-000005370000}"/>
    <cellStyle name="Normal 34 4 4" xfId="14051" xr:uid="{00000000-0005-0000-0000-000006370000}"/>
    <cellStyle name="Normal 34 40" xfId="14052" xr:uid="{00000000-0005-0000-0000-000007370000}"/>
    <cellStyle name="Normal 34 41" xfId="14053" xr:uid="{00000000-0005-0000-0000-000008370000}"/>
    <cellStyle name="Normal 34 42" xfId="14054" xr:uid="{00000000-0005-0000-0000-000009370000}"/>
    <cellStyle name="Normal 34 43" xfId="14055" xr:uid="{00000000-0005-0000-0000-00000A370000}"/>
    <cellStyle name="Normal 34 44" xfId="14056" xr:uid="{00000000-0005-0000-0000-00000B370000}"/>
    <cellStyle name="Normal 34 45" xfId="14057" xr:uid="{00000000-0005-0000-0000-00000C370000}"/>
    <cellStyle name="Normal 34 46" xfId="14058" xr:uid="{00000000-0005-0000-0000-00000D370000}"/>
    <cellStyle name="Normal 34 47" xfId="14059" xr:uid="{00000000-0005-0000-0000-00000E370000}"/>
    <cellStyle name="Normal 34 48" xfId="14060" xr:uid="{00000000-0005-0000-0000-00000F370000}"/>
    <cellStyle name="Normal 34 49" xfId="14061" xr:uid="{00000000-0005-0000-0000-000010370000}"/>
    <cellStyle name="Normal 34 5" xfId="14062" xr:uid="{00000000-0005-0000-0000-000011370000}"/>
    <cellStyle name="Normal 34 5 2" xfId="14063" xr:uid="{00000000-0005-0000-0000-000012370000}"/>
    <cellStyle name="Normal 34 5 3" xfId="14064" xr:uid="{00000000-0005-0000-0000-000013370000}"/>
    <cellStyle name="Normal 34 5 4" xfId="14065" xr:uid="{00000000-0005-0000-0000-000014370000}"/>
    <cellStyle name="Normal 34 50" xfId="14066" xr:uid="{00000000-0005-0000-0000-000015370000}"/>
    <cellStyle name="Normal 34 51" xfId="14067" xr:uid="{00000000-0005-0000-0000-000016370000}"/>
    <cellStyle name="Normal 34 52" xfId="14068" xr:uid="{00000000-0005-0000-0000-000017370000}"/>
    <cellStyle name="Normal 34 53" xfId="14069" xr:uid="{00000000-0005-0000-0000-000018370000}"/>
    <cellStyle name="Normal 34 54" xfId="14070" xr:uid="{00000000-0005-0000-0000-000019370000}"/>
    <cellStyle name="Normal 34 55" xfId="14071" xr:uid="{00000000-0005-0000-0000-00001A370000}"/>
    <cellStyle name="Normal 34 56" xfId="14072" xr:uid="{00000000-0005-0000-0000-00001B370000}"/>
    <cellStyle name="Normal 34 57" xfId="14073" xr:uid="{00000000-0005-0000-0000-00001C370000}"/>
    <cellStyle name="Normal 34 58" xfId="14074" xr:uid="{00000000-0005-0000-0000-00001D370000}"/>
    <cellStyle name="Normal 34 59" xfId="14075" xr:uid="{00000000-0005-0000-0000-00001E370000}"/>
    <cellStyle name="Normal 34 6" xfId="14076" xr:uid="{00000000-0005-0000-0000-00001F370000}"/>
    <cellStyle name="Normal 34 6 2" xfId="14077" xr:uid="{00000000-0005-0000-0000-000020370000}"/>
    <cellStyle name="Normal 34 60" xfId="14078" xr:uid="{00000000-0005-0000-0000-000021370000}"/>
    <cellStyle name="Normal 34 61" xfId="14079" xr:uid="{00000000-0005-0000-0000-000022370000}"/>
    <cellStyle name="Normal 34 62" xfId="14080" xr:uid="{00000000-0005-0000-0000-000023370000}"/>
    <cellStyle name="Normal 34 63" xfId="14081" xr:uid="{00000000-0005-0000-0000-000024370000}"/>
    <cellStyle name="Normal 34 64" xfId="14082" xr:uid="{00000000-0005-0000-0000-000025370000}"/>
    <cellStyle name="Normal 34 65" xfId="14083" xr:uid="{00000000-0005-0000-0000-000026370000}"/>
    <cellStyle name="Normal 34 66" xfId="14084" xr:uid="{00000000-0005-0000-0000-000027370000}"/>
    <cellStyle name="Normal 34 67" xfId="14085" xr:uid="{00000000-0005-0000-0000-000028370000}"/>
    <cellStyle name="Normal 34 68" xfId="14086" xr:uid="{00000000-0005-0000-0000-000029370000}"/>
    <cellStyle name="Normal 34 69" xfId="14087" xr:uid="{00000000-0005-0000-0000-00002A370000}"/>
    <cellStyle name="Normal 34 7" xfId="14088" xr:uid="{00000000-0005-0000-0000-00002B370000}"/>
    <cellStyle name="Normal 34 7 2" xfId="14089" xr:uid="{00000000-0005-0000-0000-00002C370000}"/>
    <cellStyle name="Normal 34 70" xfId="14090" xr:uid="{00000000-0005-0000-0000-00002D370000}"/>
    <cellStyle name="Normal 34 8" xfId="14091" xr:uid="{00000000-0005-0000-0000-00002E370000}"/>
    <cellStyle name="Normal 34 8 2" xfId="14092" xr:uid="{00000000-0005-0000-0000-00002F370000}"/>
    <cellStyle name="Normal 34 9" xfId="14093" xr:uid="{00000000-0005-0000-0000-000030370000}"/>
    <cellStyle name="Normal 34 9 2" xfId="14094" xr:uid="{00000000-0005-0000-0000-000031370000}"/>
    <cellStyle name="Normal 35" xfId="14095" xr:uid="{00000000-0005-0000-0000-000032370000}"/>
    <cellStyle name="Normal 35 10" xfId="14096" xr:uid="{00000000-0005-0000-0000-000033370000}"/>
    <cellStyle name="Normal 35 10 2" xfId="14097" xr:uid="{00000000-0005-0000-0000-000034370000}"/>
    <cellStyle name="Normal 35 11" xfId="14098" xr:uid="{00000000-0005-0000-0000-000035370000}"/>
    <cellStyle name="Normal 35 11 2" xfId="14099" xr:uid="{00000000-0005-0000-0000-000036370000}"/>
    <cellStyle name="Normal 35 12" xfId="14100" xr:uid="{00000000-0005-0000-0000-000037370000}"/>
    <cellStyle name="Normal 35 12 2" xfId="14101" xr:uid="{00000000-0005-0000-0000-000038370000}"/>
    <cellStyle name="Normal 35 13" xfId="14102" xr:uid="{00000000-0005-0000-0000-000039370000}"/>
    <cellStyle name="Normal 35 13 2" xfId="14103" xr:uid="{00000000-0005-0000-0000-00003A370000}"/>
    <cellStyle name="Normal 35 14" xfId="14104" xr:uid="{00000000-0005-0000-0000-00003B370000}"/>
    <cellStyle name="Normal 35 14 2" xfId="14105" xr:uid="{00000000-0005-0000-0000-00003C370000}"/>
    <cellStyle name="Normal 35 15" xfId="14106" xr:uid="{00000000-0005-0000-0000-00003D370000}"/>
    <cellStyle name="Normal 35 15 2" xfId="14107" xr:uid="{00000000-0005-0000-0000-00003E370000}"/>
    <cellStyle name="Normal 35 16" xfId="14108" xr:uid="{00000000-0005-0000-0000-00003F370000}"/>
    <cellStyle name="Normal 35 16 2" xfId="14109" xr:uid="{00000000-0005-0000-0000-000040370000}"/>
    <cellStyle name="Normal 35 17" xfId="14110" xr:uid="{00000000-0005-0000-0000-000041370000}"/>
    <cellStyle name="Normal 35 17 2" xfId="14111" xr:uid="{00000000-0005-0000-0000-000042370000}"/>
    <cellStyle name="Normal 35 18" xfId="14112" xr:uid="{00000000-0005-0000-0000-000043370000}"/>
    <cellStyle name="Normal 35 18 2" xfId="14113" xr:uid="{00000000-0005-0000-0000-000044370000}"/>
    <cellStyle name="Normal 35 19" xfId="14114" xr:uid="{00000000-0005-0000-0000-000045370000}"/>
    <cellStyle name="Normal 35 19 2" xfId="14115" xr:uid="{00000000-0005-0000-0000-000046370000}"/>
    <cellStyle name="Normal 35 2" xfId="14116" xr:uid="{00000000-0005-0000-0000-000047370000}"/>
    <cellStyle name="Normal 35 2 2" xfId="14117" xr:uid="{00000000-0005-0000-0000-000048370000}"/>
    <cellStyle name="Normal 35 2 2 2" xfId="14118" xr:uid="{00000000-0005-0000-0000-000049370000}"/>
    <cellStyle name="Normal 35 2 2 3" xfId="14119" xr:uid="{00000000-0005-0000-0000-00004A370000}"/>
    <cellStyle name="Normal 35 2 2 4" xfId="14120" xr:uid="{00000000-0005-0000-0000-00004B370000}"/>
    <cellStyle name="Normal 35 2 3" xfId="14121" xr:uid="{00000000-0005-0000-0000-00004C370000}"/>
    <cellStyle name="Normal 35 2 3 2" xfId="14122" xr:uid="{00000000-0005-0000-0000-00004D370000}"/>
    <cellStyle name="Normal 35 2 3 3" xfId="14123" xr:uid="{00000000-0005-0000-0000-00004E370000}"/>
    <cellStyle name="Normal 35 2 3 4" xfId="14124" xr:uid="{00000000-0005-0000-0000-00004F370000}"/>
    <cellStyle name="Normal 35 2 4" xfId="14125" xr:uid="{00000000-0005-0000-0000-000050370000}"/>
    <cellStyle name="Normal 35 2 5" xfId="14126" xr:uid="{00000000-0005-0000-0000-000051370000}"/>
    <cellStyle name="Normal 35 2 6" xfId="14127" xr:uid="{00000000-0005-0000-0000-000052370000}"/>
    <cellStyle name="Normal 35 2 7" xfId="14128" xr:uid="{00000000-0005-0000-0000-000053370000}"/>
    <cellStyle name="Normal 35 20" xfId="14129" xr:uid="{00000000-0005-0000-0000-000054370000}"/>
    <cellStyle name="Normal 35 20 2" xfId="14130" xr:uid="{00000000-0005-0000-0000-000055370000}"/>
    <cellStyle name="Normal 35 21" xfId="14131" xr:uid="{00000000-0005-0000-0000-000056370000}"/>
    <cellStyle name="Normal 35 21 2" xfId="14132" xr:uid="{00000000-0005-0000-0000-000057370000}"/>
    <cellStyle name="Normal 35 22" xfId="14133" xr:uid="{00000000-0005-0000-0000-000058370000}"/>
    <cellStyle name="Normal 35 22 2" xfId="14134" xr:uid="{00000000-0005-0000-0000-000059370000}"/>
    <cellStyle name="Normal 35 23" xfId="14135" xr:uid="{00000000-0005-0000-0000-00005A370000}"/>
    <cellStyle name="Normal 35 24" xfId="14136" xr:uid="{00000000-0005-0000-0000-00005B370000}"/>
    <cellStyle name="Normal 35 25" xfId="14137" xr:uid="{00000000-0005-0000-0000-00005C370000}"/>
    <cellStyle name="Normal 35 26" xfId="14138" xr:uid="{00000000-0005-0000-0000-00005D370000}"/>
    <cellStyle name="Normal 35 27" xfId="14139" xr:uid="{00000000-0005-0000-0000-00005E370000}"/>
    <cellStyle name="Normal 35 28" xfId="14140" xr:uid="{00000000-0005-0000-0000-00005F370000}"/>
    <cellStyle name="Normal 35 29" xfId="14141" xr:uid="{00000000-0005-0000-0000-000060370000}"/>
    <cellStyle name="Normal 35 3" xfId="14142" xr:uid="{00000000-0005-0000-0000-000061370000}"/>
    <cellStyle name="Normal 35 3 2" xfId="14143" xr:uid="{00000000-0005-0000-0000-000062370000}"/>
    <cellStyle name="Normal 35 3 2 2" xfId="14144" xr:uid="{00000000-0005-0000-0000-000063370000}"/>
    <cellStyle name="Normal 35 3 2 3" xfId="14145" xr:uid="{00000000-0005-0000-0000-000064370000}"/>
    <cellStyle name="Normal 35 3 2 4" xfId="14146" xr:uid="{00000000-0005-0000-0000-000065370000}"/>
    <cellStyle name="Normal 35 3 3" xfId="14147" xr:uid="{00000000-0005-0000-0000-000066370000}"/>
    <cellStyle name="Normal 35 3 4" xfId="14148" xr:uid="{00000000-0005-0000-0000-000067370000}"/>
    <cellStyle name="Normal 35 3 5" xfId="14149" xr:uid="{00000000-0005-0000-0000-000068370000}"/>
    <cellStyle name="Normal 35 3 6" xfId="14150" xr:uid="{00000000-0005-0000-0000-000069370000}"/>
    <cellStyle name="Normal 35 30" xfId="14151" xr:uid="{00000000-0005-0000-0000-00006A370000}"/>
    <cellStyle name="Normal 35 31" xfId="14152" xr:uid="{00000000-0005-0000-0000-00006B370000}"/>
    <cellStyle name="Normal 35 32" xfId="14153" xr:uid="{00000000-0005-0000-0000-00006C370000}"/>
    <cellStyle name="Normal 35 33" xfId="14154" xr:uid="{00000000-0005-0000-0000-00006D370000}"/>
    <cellStyle name="Normal 35 34" xfId="14155" xr:uid="{00000000-0005-0000-0000-00006E370000}"/>
    <cellStyle name="Normal 35 35" xfId="14156" xr:uid="{00000000-0005-0000-0000-00006F370000}"/>
    <cellStyle name="Normal 35 36" xfId="14157" xr:uid="{00000000-0005-0000-0000-000070370000}"/>
    <cellStyle name="Normal 35 37" xfId="14158" xr:uid="{00000000-0005-0000-0000-000071370000}"/>
    <cellStyle name="Normal 35 38" xfId="14159" xr:uid="{00000000-0005-0000-0000-000072370000}"/>
    <cellStyle name="Normal 35 39" xfId="14160" xr:uid="{00000000-0005-0000-0000-000073370000}"/>
    <cellStyle name="Normal 35 4" xfId="14161" xr:uid="{00000000-0005-0000-0000-000074370000}"/>
    <cellStyle name="Normal 35 4 2" xfId="14162" xr:uid="{00000000-0005-0000-0000-000075370000}"/>
    <cellStyle name="Normal 35 4 3" xfId="14163" xr:uid="{00000000-0005-0000-0000-000076370000}"/>
    <cellStyle name="Normal 35 4 4" xfId="14164" xr:uid="{00000000-0005-0000-0000-000077370000}"/>
    <cellStyle name="Normal 35 40" xfId="14165" xr:uid="{00000000-0005-0000-0000-000078370000}"/>
    <cellStyle name="Normal 35 41" xfId="14166" xr:uid="{00000000-0005-0000-0000-000079370000}"/>
    <cellStyle name="Normal 35 42" xfId="14167" xr:uid="{00000000-0005-0000-0000-00007A370000}"/>
    <cellStyle name="Normal 35 43" xfId="14168" xr:uid="{00000000-0005-0000-0000-00007B370000}"/>
    <cellStyle name="Normal 35 44" xfId="14169" xr:uid="{00000000-0005-0000-0000-00007C370000}"/>
    <cellStyle name="Normal 35 45" xfId="14170" xr:uid="{00000000-0005-0000-0000-00007D370000}"/>
    <cellStyle name="Normal 35 46" xfId="14171" xr:uid="{00000000-0005-0000-0000-00007E370000}"/>
    <cellStyle name="Normal 35 47" xfId="14172" xr:uid="{00000000-0005-0000-0000-00007F370000}"/>
    <cellStyle name="Normal 35 48" xfId="14173" xr:uid="{00000000-0005-0000-0000-000080370000}"/>
    <cellStyle name="Normal 35 49" xfId="14174" xr:uid="{00000000-0005-0000-0000-000081370000}"/>
    <cellStyle name="Normal 35 5" xfId="14175" xr:uid="{00000000-0005-0000-0000-000082370000}"/>
    <cellStyle name="Normal 35 5 2" xfId="14176" xr:uid="{00000000-0005-0000-0000-000083370000}"/>
    <cellStyle name="Normal 35 5 3" xfId="14177" xr:uid="{00000000-0005-0000-0000-000084370000}"/>
    <cellStyle name="Normal 35 5 4" xfId="14178" xr:uid="{00000000-0005-0000-0000-000085370000}"/>
    <cellStyle name="Normal 35 50" xfId="14179" xr:uid="{00000000-0005-0000-0000-000086370000}"/>
    <cellStyle name="Normal 35 51" xfId="14180" xr:uid="{00000000-0005-0000-0000-000087370000}"/>
    <cellStyle name="Normal 35 52" xfId="14181" xr:uid="{00000000-0005-0000-0000-000088370000}"/>
    <cellStyle name="Normal 35 53" xfId="14182" xr:uid="{00000000-0005-0000-0000-000089370000}"/>
    <cellStyle name="Normal 35 54" xfId="14183" xr:uid="{00000000-0005-0000-0000-00008A370000}"/>
    <cellStyle name="Normal 35 55" xfId="14184" xr:uid="{00000000-0005-0000-0000-00008B370000}"/>
    <cellStyle name="Normal 35 56" xfId="14185" xr:uid="{00000000-0005-0000-0000-00008C370000}"/>
    <cellStyle name="Normal 35 57" xfId="14186" xr:uid="{00000000-0005-0000-0000-00008D370000}"/>
    <cellStyle name="Normal 35 58" xfId="14187" xr:uid="{00000000-0005-0000-0000-00008E370000}"/>
    <cellStyle name="Normal 35 59" xfId="14188" xr:uid="{00000000-0005-0000-0000-00008F370000}"/>
    <cellStyle name="Normal 35 6" xfId="14189" xr:uid="{00000000-0005-0000-0000-000090370000}"/>
    <cellStyle name="Normal 35 6 2" xfId="14190" xr:uid="{00000000-0005-0000-0000-000091370000}"/>
    <cellStyle name="Normal 35 60" xfId="14191" xr:uid="{00000000-0005-0000-0000-000092370000}"/>
    <cellStyle name="Normal 35 61" xfId="14192" xr:uid="{00000000-0005-0000-0000-000093370000}"/>
    <cellStyle name="Normal 35 62" xfId="14193" xr:uid="{00000000-0005-0000-0000-000094370000}"/>
    <cellStyle name="Normal 35 63" xfId="14194" xr:uid="{00000000-0005-0000-0000-000095370000}"/>
    <cellStyle name="Normal 35 64" xfId="14195" xr:uid="{00000000-0005-0000-0000-000096370000}"/>
    <cellStyle name="Normal 35 65" xfId="14196" xr:uid="{00000000-0005-0000-0000-000097370000}"/>
    <cellStyle name="Normal 35 66" xfId="14197" xr:uid="{00000000-0005-0000-0000-000098370000}"/>
    <cellStyle name="Normal 35 67" xfId="14198" xr:uid="{00000000-0005-0000-0000-000099370000}"/>
    <cellStyle name="Normal 35 68" xfId="14199" xr:uid="{00000000-0005-0000-0000-00009A370000}"/>
    <cellStyle name="Normal 35 69" xfId="14200" xr:uid="{00000000-0005-0000-0000-00009B370000}"/>
    <cellStyle name="Normal 35 7" xfId="14201" xr:uid="{00000000-0005-0000-0000-00009C370000}"/>
    <cellStyle name="Normal 35 7 2" xfId="14202" xr:uid="{00000000-0005-0000-0000-00009D370000}"/>
    <cellStyle name="Normal 35 70" xfId="14203" xr:uid="{00000000-0005-0000-0000-00009E370000}"/>
    <cellStyle name="Normal 35 8" xfId="14204" xr:uid="{00000000-0005-0000-0000-00009F370000}"/>
    <cellStyle name="Normal 35 8 2" xfId="14205" xr:uid="{00000000-0005-0000-0000-0000A0370000}"/>
    <cellStyle name="Normal 35 9" xfId="14206" xr:uid="{00000000-0005-0000-0000-0000A1370000}"/>
    <cellStyle name="Normal 35 9 2" xfId="14207" xr:uid="{00000000-0005-0000-0000-0000A2370000}"/>
    <cellStyle name="Normal 36" xfId="14208" xr:uid="{00000000-0005-0000-0000-0000A3370000}"/>
    <cellStyle name="Normal 36 10" xfId="14209" xr:uid="{00000000-0005-0000-0000-0000A4370000}"/>
    <cellStyle name="Normal 36 10 2" xfId="14210" xr:uid="{00000000-0005-0000-0000-0000A5370000}"/>
    <cellStyle name="Normal 36 11" xfId="14211" xr:uid="{00000000-0005-0000-0000-0000A6370000}"/>
    <cellStyle name="Normal 36 11 2" xfId="14212" xr:uid="{00000000-0005-0000-0000-0000A7370000}"/>
    <cellStyle name="Normal 36 12" xfId="14213" xr:uid="{00000000-0005-0000-0000-0000A8370000}"/>
    <cellStyle name="Normal 36 12 2" xfId="14214" xr:uid="{00000000-0005-0000-0000-0000A9370000}"/>
    <cellStyle name="Normal 36 13" xfId="14215" xr:uid="{00000000-0005-0000-0000-0000AA370000}"/>
    <cellStyle name="Normal 36 13 2" xfId="14216" xr:uid="{00000000-0005-0000-0000-0000AB370000}"/>
    <cellStyle name="Normal 36 14" xfId="14217" xr:uid="{00000000-0005-0000-0000-0000AC370000}"/>
    <cellStyle name="Normal 36 14 2" xfId="14218" xr:uid="{00000000-0005-0000-0000-0000AD370000}"/>
    <cellStyle name="Normal 36 15" xfId="14219" xr:uid="{00000000-0005-0000-0000-0000AE370000}"/>
    <cellStyle name="Normal 36 15 2" xfId="14220" xr:uid="{00000000-0005-0000-0000-0000AF370000}"/>
    <cellStyle name="Normal 36 16" xfId="14221" xr:uid="{00000000-0005-0000-0000-0000B0370000}"/>
    <cellStyle name="Normal 36 16 2" xfId="14222" xr:uid="{00000000-0005-0000-0000-0000B1370000}"/>
    <cellStyle name="Normal 36 17" xfId="14223" xr:uid="{00000000-0005-0000-0000-0000B2370000}"/>
    <cellStyle name="Normal 36 17 2" xfId="14224" xr:uid="{00000000-0005-0000-0000-0000B3370000}"/>
    <cellStyle name="Normal 36 18" xfId="14225" xr:uid="{00000000-0005-0000-0000-0000B4370000}"/>
    <cellStyle name="Normal 36 18 2" xfId="14226" xr:uid="{00000000-0005-0000-0000-0000B5370000}"/>
    <cellStyle name="Normal 36 19" xfId="14227" xr:uid="{00000000-0005-0000-0000-0000B6370000}"/>
    <cellStyle name="Normal 36 19 2" xfId="14228" xr:uid="{00000000-0005-0000-0000-0000B7370000}"/>
    <cellStyle name="Normal 36 2" xfId="14229" xr:uid="{00000000-0005-0000-0000-0000B8370000}"/>
    <cellStyle name="Normal 36 2 2" xfId="14230" xr:uid="{00000000-0005-0000-0000-0000B9370000}"/>
    <cellStyle name="Normal 36 2 2 2" xfId="14231" xr:uid="{00000000-0005-0000-0000-0000BA370000}"/>
    <cellStyle name="Normal 36 2 2 3" xfId="14232" xr:uid="{00000000-0005-0000-0000-0000BB370000}"/>
    <cellStyle name="Normal 36 2 2 4" xfId="14233" xr:uid="{00000000-0005-0000-0000-0000BC370000}"/>
    <cellStyle name="Normal 36 2 3" xfId="14234" xr:uid="{00000000-0005-0000-0000-0000BD370000}"/>
    <cellStyle name="Normal 36 2 3 2" xfId="14235" xr:uid="{00000000-0005-0000-0000-0000BE370000}"/>
    <cellStyle name="Normal 36 2 3 3" xfId="14236" xr:uid="{00000000-0005-0000-0000-0000BF370000}"/>
    <cellStyle name="Normal 36 2 3 4" xfId="14237" xr:uid="{00000000-0005-0000-0000-0000C0370000}"/>
    <cellStyle name="Normal 36 2 4" xfId="14238" xr:uid="{00000000-0005-0000-0000-0000C1370000}"/>
    <cellStyle name="Normal 36 2 5" xfId="14239" xr:uid="{00000000-0005-0000-0000-0000C2370000}"/>
    <cellStyle name="Normal 36 2 6" xfId="14240" xr:uid="{00000000-0005-0000-0000-0000C3370000}"/>
    <cellStyle name="Normal 36 2 7" xfId="14241" xr:uid="{00000000-0005-0000-0000-0000C4370000}"/>
    <cellStyle name="Normal 36 20" xfId="14242" xr:uid="{00000000-0005-0000-0000-0000C5370000}"/>
    <cellStyle name="Normal 36 20 2" xfId="14243" xr:uid="{00000000-0005-0000-0000-0000C6370000}"/>
    <cellStyle name="Normal 36 21" xfId="14244" xr:uid="{00000000-0005-0000-0000-0000C7370000}"/>
    <cellStyle name="Normal 36 21 2" xfId="14245" xr:uid="{00000000-0005-0000-0000-0000C8370000}"/>
    <cellStyle name="Normal 36 22" xfId="14246" xr:uid="{00000000-0005-0000-0000-0000C9370000}"/>
    <cellStyle name="Normal 36 22 2" xfId="14247" xr:uid="{00000000-0005-0000-0000-0000CA370000}"/>
    <cellStyle name="Normal 36 23" xfId="14248" xr:uid="{00000000-0005-0000-0000-0000CB370000}"/>
    <cellStyle name="Normal 36 24" xfId="14249" xr:uid="{00000000-0005-0000-0000-0000CC370000}"/>
    <cellStyle name="Normal 36 25" xfId="14250" xr:uid="{00000000-0005-0000-0000-0000CD370000}"/>
    <cellStyle name="Normal 36 26" xfId="14251" xr:uid="{00000000-0005-0000-0000-0000CE370000}"/>
    <cellStyle name="Normal 36 27" xfId="14252" xr:uid="{00000000-0005-0000-0000-0000CF370000}"/>
    <cellStyle name="Normal 36 28" xfId="14253" xr:uid="{00000000-0005-0000-0000-0000D0370000}"/>
    <cellStyle name="Normal 36 29" xfId="14254" xr:uid="{00000000-0005-0000-0000-0000D1370000}"/>
    <cellStyle name="Normal 36 3" xfId="14255" xr:uid="{00000000-0005-0000-0000-0000D2370000}"/>
    <cellStyle name="Normal 36 3 2" xfId="14256" xr:uid="{00000000-0005-0000-0000-0000D3370000}"/>
    <cellStyle name="Normal 36 3 2 2" xfId="14257" xr:uid="{00000000-0005-0000-0000-0000D4370000}"/>
    <cellStyle name="Normal 36 3 2 3" xfId="14258" xr:uid="{00000000-0005-0000-0000-0000D5370000}"/>
    <cellStyle name="Normal 36 3 2 4" xfId="14259" xr:uid="{00000000-0005-0000-0000-0000D6370000}"/>
    <cellStyle name="Normal 36 3 3" xfId="14260" xr:uid="{00000000-0005-0000-0000-0000D7370000}"/>
    <cellStyle name="Normal 36 3 4" xfId="14261" xr:uid="{00000000-0005-0000-0000-0000D8370000}"/>
    <cellStyle name="Normal 36 3 5" xfId="14262" xr:uid="{00000000-0005-0000-0000-0000D9370000}"/>
    <cellStyle name="Normal 36 3 6" xfId="14263" xr:uid="{00000000-0005-0000-0000-0000DA370000}"/>
    <cellStyle name="Normal 36 30" xfId="14264" xr:uid="{00000000-0005-0000-0000-0000DB370000}"/>
    <cellStyle name="Normal 36 31" xfId="14265" xr:uid="{00000000-0005-0000-0000-0000DC370000}"/>
    <cellStyle name="Normal 36 32" xfId="14266" xr:uid="{00000000-0005-0000-0000-0000DD370000}"/>
    <cellStyle name="Normal 36 33" xfId="14267" xr:uid="{00000000-0005-0000-0000-0000DE370000}"/>
    <cellStyle name="Normal 36 34" xfId="14268" xr:uid="{00000000-0005-0000-0000-0000DF370000}"/>
    <cellStyle name="Normal 36 35" xfId="14269" xr:uid="{00000000-0005-0000-0000-0000E0370000}"/>
    <cellStyle name="Normal 36 36" xfId="14270" xr:uid="{00000000-0005-0000-0000-0000E1370000}"/>
    <cellStyle name="Normal 36 37" xfId="14271" xr:uid="{00000000-0005-0000-0000-0000E2370000}"/>
    <cellStyle name="Normal 36 38" xfId="14272" xr:uid="{00000000-0005-0000-0000-0000E3370000}"/>
    <cellStyle name="Normal 36 39" xfId="14273" xr:uid="{00000000-0005-0000-0000-0000E4370000}"/>
    <cellStyle name="Normal 36 4" xfId="14274" xr:uid="{00000000-0005-0000-0000-0000E5370000}"/>
    <cellStyle name="Normal 36 4 2" xfId="14275" xr:uid="{00000000-0005-0000-0000-0000E6370000}"/>
    <cellStyle name="Normal 36 4 3" xfId="14276" xr:uid="{00000000-0005-0000-0000-0000E7370000}"/>
    <cellStyle name="Normal 36 4 4" xfId="14277" xr:uid="{00000000-0005-0000-0000-0000E8370000}"/>
    <cellStyle name="Normal 36 40" xfId="14278" xr:uid="{00000000-0005-0000-0000-0000E9370000}"/>
    <cellStyle name="Normal 36 41" xfId="14279" xr:uid="{00000000-0005-0000-0000-0000EA370000}"/>
    <cellStyle name="Normal 36 42" xfId="14280" xr:uid="{00000000-0005-0000-0000-0000EB370000}"/>
    <cellStyle name="Normal 36 43" xfId="14281" xr:uid="{00000000-0005-0000-0000-0000EC370000}"/>
    <cellStyle name="Normal 36 44" xfId="14282" xr:uid="{00000000-0005-0000-0000-0000ED370000}"/>
    <cellStyle name="Normal 36 45" xfId="14283" xr:uid="{00000000-0005-0000-0000-0000EE370000}"/>
    <cellStyle name="Normal 36 46" xfId="14284" xr:uid="{00000000-0005-0000-0000-0000EF370000}"/>
    <cellStyle name="Normal 36 47" xfId="14285" xr:uid="{00000000-0005-0000-0000-0000F0370000}"/>
    <cellStyle name="Normal 36 48" xfId="14286" xr:uid="{00000000-0005-0000-0000-0000F1370000}"/>
    <cellStyle name="Normal 36 49" xfId="14287" xr:uid="{00000000-0005-0000-0000-0000F2370000}"/>
    <cellStyle name="Normal 36 5" xfId="14288" xr:uid="{00000000-0005-0000-0000-0000F3370000}"/>
    <cellStyle name="Normal 36 5 2" xfId="14289" xr:uid="{00000000-0005-0000-0000-0000F4370000}"/>
    <cellStyle name="Normal 36 5 3" xfId="14290" xr:uid="{00000000-0005-0000-0000-0000F5370000}"/>
    <cellStyle name="Normal 36 5 4" xfId="14291" xr:uid="{00000000-0005-0000-0000-0000F6370000}"/>
    <cellStyle name="Normal 36 50" xfId="14292" xr:uid="{00000000-0005-0000-0000-0000F7370000}"/>
    <cellStyle name="Normal 36 51" xfId="14293" xr:uid="{00000000-0005-0000-0000-0000F8370000}"/>
    <cellStyle name="Normal 36 52" xfId="14294" xr:uid="{00000000-0005-0000-0000-0000F9370000}"/>
    <cellStyle name="Normal 36 53" xfId="14295" xr:uid="{00000000-0005-0000-0000-0000FA370000}"/>
    <cellStyle name="Normal 36 54" xfId="14296" xr:uid="{00000000-0005-0000-0000-0000FB370000}"/>
    <cellStyle name="Normal 36 55" xfId="14297" xr:uid="{00000000-0005-0000-0000-0000FC370000}"/>
    <cellStyle name="Normal 36 56" xfId="14298" xr:uid="{00000000-0005-0000-0000-0000FD370000}"/>
    <cellStyle name="Normal 36 57" xfId="14299" xr:uid="{00000000-0005-0000-0000-0000FE370000}"/>
    <cellStyle name="Normal 36 58" xfId="14300" xr:uid="{00000000-0005-0000-0000-0000FF370000}"/>
    <cellStyle name="Normal 36 59" xfId="14301" xr:uid="{00000000-0005-0000-0000-000000380000}"/>
    <cellStyle name="Normal 36 6" xfId="14302" xr:uid="{00000000-0005-0000-0000-000001380000}"/>
    <cellStyle name="Normal 36 6 2" xfId="14303" xr:uid="{00000000-0005-0000-0000-000002380000}"/>
    <cellStyle name="Normal 36 60" xfId="14304" xr:uid="{00000000-0005-0000-0000-000003380000}"/>
    <cellStyle name="Normal 36 61" xfId="14305" xr:uid="{00000000-0005-0000-0000-000004380000}"/>
    <cellStyle name="Normal 36 62" xfId="14306" xr:uid="{00000000-0005-0000-0000-000005380000}"/>
    <cellStyle name="Normal 36 63" xfId="14307" xr:uid="{00000000-0005-0000-0000-000006380000}"/>
    <cellStyle name="Normal 36 64" xfId="14308" xr:uid="{00000000-0005-0000-0000-000007380000}"/>
    <cellStyle name="Normal 36 65" xfId="14309" xr:uid="{00000000-0005-0000-0000-000008380000}"/>
    <cellStyle name="Normal 36 66" xfId="14310" xr:uid="{00000000-0005-0000-0000-000009380000}"/>
    <cellStyle name="Normal 36 67" xfId="14311" xr:uid="{00000000-0005-0000-0000-00000A380000}"/>
    <cellStyle name="Normal 36 68" xfId="14312" xr:uid="{00000000-0005-0000-0000-00000B380000}"/>
    <cellStyle name="Normal 36 69" xfId="14313" xr:uid="{00000000-0005-0000-0000-00000C380000}"/>
    <cellStyle name="Normal 36 7" xfId="14314" xr:uid="{00000000-0005-0000-0000-00000D380000}"/>
    <cellStyle name="Normal 36 7 2" xfId="14315" xr:uid="{00000000-0005-0000-0000-00000E380000}"/>
    <cellStyle name="Normal 36 70" xfId="14316" xr:uid="{00000000-0005-0000-0000-00000F380000}"/>
    <cellStyle name="Normal 36 8" xfId="14317" xr:uid="{00000000-0005-0000-0000-000010380000}"/>
    <cellStyle name="Normal 36 8 2" xfId="14318" xr:uid="{00000000-0005-0000-0000-000011380000}"/>
    <cellStyle name="Normal 36 9" xfId="14319" xr:uid="{00000000-0005-0000-0000-000012380000}"/>
    <cellStyle name="Normal 36 9 2" xfId="14320" xr:uid="{00000000-0005-0000-0000-000013380000}"/>
    <cellStyle name="Normal 37" xfId="14321" xr:uid="{00000000-0005-0000-0000-000014380000}"/>
    <cellStyle name="Normal 37 10" xfId="14322" xr:uid="{00000000-0005-0000-0000-000015380000}"/>
    <cellStyle name="Normal 37 10 2" xfId="14323" xr:uid="{00000000-0005-0000-0000-000016380000}"/>
    <cellStyle name="Normal 37 11" xfId="14324" xr:uid="{00000000-0005-0000-0000-000017380000}"/>
    <cellStyle name="Normal 37 11 2" xfId="14325" xr:uid="{00000000-0005-0000-0000-000018380000}"/>
    <cellStyle name="Normal 37 12" xfId="14326" xr:uid="{00000000-0005-0000-0000-000019380000}"/>
    <cellStyle name="Normal 37 12 2" xfId="14327" xr:uid="{00000000-0005-0000-0000-00001A380000}"/>
    <cellStyle name="Normal 37 13" xfId="14328" xr:uid="{00000000-0005-0000-0000-00001B380000}"/>
    <cellStyle name="Normal 37 13 2" xfId="14329" xr:uid="{00000000-0005-0000-0000-00001C380000}"/>
    <cellStyle name="Normal 37 14" xfId="14330" xr:uid="{00000000-0005-0000-0000-00001D380000}"/>
    <cellStyle name="Normal 37 14 2" xfId="14331" xr:uid="{00000000-0005-0000-0000-00001E380000}"/>
    <cellStyle name="Normal 37 15" xfId="14332" xr:uid="{00000000-0005-0000-0000-00001F380000}"/>
    <cellStyle name="Normal 37 15 2" xfId="14333" xr:uid="{00000000-0005-0000-0000-000020380000}"/>
    <cellStyle name="Normal 37 16" xfId="14334" xr:uid="{00000000-0005-0000-0000-000021380000}"/>
    <cellStyle name="Normal 37 16 2" xfId="14335" xr:uid="{00000000-0005-0000-0000-000022380000}"/>
    <cellStyle name="Normal 37 17" xfId="14336" xr:uid="{00000000-0005-0000-0000-000023380000}"/>
    <cellStyle name="Normal 37 17 2" xfId="14337" xr:uid="{00000000-0005-0000-0000-000024380000}"/>
    <cellStyle name="Normal 37 18" xfId="14338" xr:uid="{00000000-0005-0000-0000-000025380000}"/>
    <cellStyle name="Normal 37 18 2" xfId="14339" xr:uid="{00000000-0005-0000-0000-000026380000}"/>
    <cellStyle name="Normal 37 19" xfId="14340" xr:uid="{00000000-0005-0000-0000-000027380000}"/>
    <cellStyle name="Normal 37 19 2" xfId="14341" xr:uid="{00000000-0005-0000-0000-000028380000}"/>
    <cellStyle name="Normal 37 2" xfId="14342" xr:uid="{00000000-0005-0000-0000-000029380000}"/>
    <cellStyle name="Normal 37 2 2" xfId="14343" xr:uid="{00000000-0005-0000-0000-00002A380000}"/>
    <cellStyle name="Normal 37 2 2 2" xfId="14344" xr:uid="{00000000-0005-0000-0000-00002B380000}"/>
    <cellStyle name="Normal 37 2 2 3" xfId="14345" xr:uid="{00000000-0005-0000-0000-00002C380000}"/>
    <cellStyle name="Normal 37 2 2 4" xfId="14346" xr:uid="{00000000-0005-0000-0000-00002D380000}"/>
    <cellStyle name="Normal 37 2 3" xfId="14347" xr:uid="{00000000-0005-0000-0000-00002E380000}"/>
    <cellStyle name="Normal 37 2 3 2" xfId="14348" xr:uid="{00000000-0005-0000-0000-00002F380000}"/>
    <cellStyle name="Normal 37 2 3 3" xfId="14349" xr:uid="{00000000-0005-0000-0000-000030380000}"/>
    <cellStyle name="Normal 37 2 3 4" xfId="14350" xr:uid="{00000000-0005-0000-0000-000031380000}"/>
    <cellStyle name="Normal 37 2 4" xfId="14351" xr:uid="{00000000-0005-0000-0000-000032380000}"/>
    <cellStyle name="Normal 37 2 5" xfId="14352" xr:uid="{00000000-0005-0000-0000-000033380000}"/>
    <cellStyle name="Normal 37 2 6" xfId="14353" xr:uid="{00000000-0005-0000-0000-000034380000}"/>
    <cellStyle name="Normal 37 2 7" xfId="14354" xr:uid="{00000000-0005-0000-0000-000035380000}"/>
    <cellStyle name="Normal 37 20" xfId="14355" xr:uid="{00000000-0005-0000-0000-000036380000}"/>
    <cellStyle name="Normal 37 20 2" xfId="14356" xr:uid="{00000000-0005-0000-0000-000037380000}"/>
    <cellStyle name="Normal 37 21" xfId="14357" xr:uid="{00000000-0005-0000-0000-000038380000}"/>
    <cellStyle name="Normal 37 21 2" xfId="14358" xr:uid="{00000000-0005-0000-0000-000039380000}"/>
    <cellStyle name="Normal 37 22" xfId="14359" xr:uid="{00000000-0005-0000-0000-00003A380000}"/>
    <cellStyle name="Normal 37 22 2" xfId="14360" xr:uid="{00000000-0005-0000-0000-00003B380000}"/>
    <cellStyle name="Normal 37 23" xfId="14361" xr:uid="{00000000-0005-0000-0000-00003C380000}"/>
    <cellStyle name="Normal 37 24" xfId="14362" xr:uid="{00000000-0005-0000-0000-00003D380000}"/>
    <cellStyle name="Normal 37 25" xfId="14363" xr:uid="{00000000-0005-0000-0000-00003E380000}"/>
    <cellStyle name="Normal 37 26" xfId="14364" xr:uid="{00000000-0005-0000-0000-00003F380000}"/>
    <cellStyle name="Normal 37 27" xfId="14365" xr:uid="{00000000-0005-0000-0000-000040380000}"/>
    <cellStyle name="Normal 37 28" xfId="14366" xr:uid="{00000000-0005-0000-0000-000041380000}"/>
    <cellStyle name="Normal 37 29" xfId="14367" xr:uid="{00000000-0005-0000-0000-000042380000}"/>
    <cellStyle name="Normal 37 3" xfId="14368" xr:uid="{00000000-0005-0000-0000-000043380000}"/>
    <cellStyle name="Normal 37 3 2" xfId="14369" xr:uid="{00000000-0005-0000-0000-000044380000}"/>
    <cellStyle name="Normal 37 3 2 2" xfId="14370" xr:uid="{00000000-0005-0000-0000-000045380000}"/>
    <cellStyle name="Normal 37 3 2 3" xfId="14371" xr:uid="{00000000-0005-0000-0000-000046380000}"/>
    <cellStyle name="Normal 37 3 2 4" xfId="14372" xr:uid="{00000000-0005-0000-0000-000047380000}"/>
    <cellStyle name="Normal 37 3 3" xfId="14373" xr:uid="{00000000-0005-0000-0000-000048380000}"/>
    <cellStyle name="Normal 37 3 4" xfId="14374" xr:uid="{00000000-0005-0000-0000-000049380000}"/>
    <cellStyle name="Normal 37 3 5" xfId="14375" xr:uid="{00000000-0005-0000-0000-00004A380000}"/>
    <cellStyle name="Normal 37 3 6" xfId="14376" xr:uid="{00000000-0005-0000-0000-00004B380000}"/>
    <cellStyle name="Normal 37 30" xfId="14377" xr:uid="{00000000-0005-0000-0000-00004C380000}"/>
    <cellStyle name="Normal 37 31" xfId="14378" xr:uid="{00000000-0005-0000-0000-00004D380000}"/>
    <cellStyle name="Normal 37 32" xfId="14379" xr:uid="{00000000-0005-0000-0000-00004E380000}"/>
    <cellStyle name="Normal 37 33" xfId="14380" xr:uid="{00000000-0005-0000-0000-00004F380000}"/>
    <cellStyle name="Normal 37 34" xfId="14381" xr:uid="{00000000-0005-0000-0000-000050380000}"/>
    <cellStyle name="Normal 37 35" xfId="14382" xr:uid="{00000000-0005-0000-0000-000051380000}"/>
    <cellStyle name="Normal 37 36" xfId="14383" xr:uid="{00000000-0005-0000-0000-000052380000}"/>
    <cellStyle name="Normal 37 37" xfId="14384" xr:uid="{00000000-0005-0000-0000-000053380000}"/>
    <cellStyle name="Normal 37 38" xfId="14385" xr:uid="{00000000-0005-0000-0000-000054380000}"/>
    <cellStyle name="Normal 37 39" xfId="14386" xr:uid="{00000000-0005-0000-0000-000055380000}"/>
    <cellStyle name="Normal 37 4" xfId="14387" xr:uid="{00000000-0005-0000-0000-000056380000}"/>
    <cellStyle name="Normal 37 4 2" xfId="14388" xr:uid="{00000000-0005-0000-0000-000057380000}"/>
    <cellStyle name="Normal 37 4 3" xfId="14389" xr:uid="{00000000-0005-0000-0000-000058380000}"/>
    <cellStyle name="Normal 37 4 4" xfId="14390" xr:uid="{00000000-0005-0000-0000-000059380000}"/>
    <cellStyle name="Normal 37 40" xfId="14391" xr:uid="{00000000-0005-0000-0000-00005A380000}"/>
    <cellStyle name="Normal 37 41" xfId="14392" xr:uid="{00000000-0005-0000-0000-00005B380000}"/>
    <cellStyle name="Normal 37 42" xfId="14393" xr:uid="{00000000-0005-0000-0000-00005C380000}"/>
    <cellStyle name="Normal 37 43" xfId="14394" xr:uid="{00000000-0005-0000-0000-00005D380000}"/>
    <cellStyle name="Normal 37 44" xfId="14395" xr:uid="{00000000-0005-0000-0000-00005E380000}"/>
    <cellStyle name="Normal 37 45" xfId="14396" xr:uid="{00000000-0005-0000-0000-00005F380000}"/>
    <cellStyle name="Normal 37 46" xfId="14397" xr:uid="{00000000-0005-0000-0000-000060380000}"/>
    <cellStyle name="Normal 37 47" xfId="14398" xr:uid="{00000000-0005-0000-0000-000061380000}"/>
    <cellStyle name="Normal 37 48" xfId="14399" xr:uid="{00000000-0005-0000-0000-000062380000}"/>
    <cellStyle name="Normal 37 49" xfId="14400" xr:uid="{00000000-0005-0000-0000-000063380000}"/>
    <cellStyle name="Normal 37 5" xfId="14401" xr:uid="{00000000-0005-0000-0000-000064380000}"/>
    <cellStyle name="Normal 37 5 2" xfId="14402" xr:uid="{00000000-0005-0000-0000-000065380000}"/>
    <cellStyle name="Normal 37 5 3" xfId="14403" xr:uid="{00000000-0005-0000-0000-000066380000}"/>
    <cellStyle name="Normal 37 5 4" xfId="14404" xr:uid="{00000000-0005-0000-0000-000067380000}"/>
    <cellStyle name="Normal 37 50" xfId="14405" xr:uid="{00000000-0005-0000-0000-000068380000}"/>
    <cellStyle name="Normal 37 51" xfId="14406" xr:uid="{00000000-0005-0000-0000-000069380000}"/>
    <cellStyle name="Normal 37 52" xfId="14407" xr:uid="{00000000-0005-0000-0000-00006A380000}"/>
    <cellStyle name="Normal 37 53" xfId="14408" xr:uid="{00000000-0005-0000-0000-00006B380000}"/>
    <cellStyle name="Normal 37 54" xfId="14409" xr:uid="{00000000-0005-0000-0000-00006C380000}"/>
    <cellStyle name="Normal 37 55" xfId="14410" xr:uid="{00000000-0005-0000-0000-00006D380000}"/>
    <cellStyle name="Normal 37 56" xfId="14411" xr:uid="{00000000-0005-0000-0000-00006E380000}"/>
    <cellStyle name="Normal 37 57" xfId="14412" xr:uid="{00000000-0005-0000-0000-00006F380000}"/>
    <cellStyle name="Normal 37 58" xfId="14413" xr:uid="{00000000-0005-0000-0000-000070380000}"/>
    <cellStyle name="Normal 37 59" xfId="14414" xr:uid="{00000000-0005-0000-0000-000071380000}"/>
    <cellStyle name="Normal 37 6" xfId="14415" xr:uid="{00000000-0005-0000-0000-000072380000}"/>
    <cellStyle name="Normal 37 6 2" xfId="14416" xr:uid="{00000000-0005-0000-0000-000073380000}"/>
    <cellStyle name="Normal 37 60" xfId="14417" xr:uid="{00000000-0005-0000-0000-000074380000}"/>
    <cellStyle name="Normal 37 61" xfId="14418" xr:uid="{00000000-0005-0000-0000-000075380000}"/>
    <cellStyle name="Normal 37 62" xfId="14419" xr:uid="{00000000-0005-0000-0000-000076380000}"/>
    <cellStyle name="Normal 37 63" xfId="14420" xr:uid="{00000000-0005-0000-0000-000077380000}"/>
    <cellStyle name="Normal 37 64" xfId="14421" xr:uid="{00000000-0005-0000-0000-000078380000}"/>
    <cellStyle name="Normal 37 65" xfId="14422" xr:uid="{00000000-0005-0000-0000-000079380000}"/>
    <cellStyle name="Normal 37 66" xfId="14423" xr:uid="{00000000-0005-0000-0000-00007A380000}"/>
    <cellStyle name="Normal 37 67" xfId="14424" xr:uid="{00000000-0005-0000-0000-00007B380000}"/>
    <cellStyle name="Normal 37 68" xfId="14425" xr:uid="{00000000-0005-0000-0000-00007C380000}"/>
    <cellStyle name="Normal 37 69" xfId="14426" xr:uid="{00000000-0005-0000-0000-00007D380000}"/>
    <cellStyle name="Normal 37 7" xfId="14427" xr:uid="{00000000-0005-0000-0000-00007E380000}"/>
    <cellStyle name="Normal 37 7 2" xfId="14428" xr:uid="{00000000-0005-0000-0000-00007F380000}"/>
    <cellStyle name="Normal 37 70" xfId="14429" xr:uid="{00000000-0005-0000-0000-000080380000}"/>
    <cellStyle name="Normal 37 8" xfId="14430" xr:uid="{00000000-0005-0000-0000-000081380000}"/>
    <cellStyle name="Normal 37 8 2" xfId="14431" xr:uid="{00000000-0005-0000-0000-000082380000}"/>
    <cellStyle name="Normal 37 9" xfId="14432" xr:uid="{00000000-0005-0000-0000-000083380000}"/>
    <cellStyle name="Normal 37 9 2" xfId="14433" xr:uid="{00000000-0005-0000-0000-000084380000}"/>
    <cellStyle name="Normal 38" xfId="14434" xr:uid="{00000000-0005-0000-0000-000085380000}"/>
    <cellStyle name="Normal 38 10" xfId="14435" xr:uid="{00000000-0005-0000-0000-000086380000}"/>
    <cellStyle name="Normal 38 10 2" xfId="14436" xr:uid="{00000000-0005-0000-0000-000087380000}"/>
    <cellStyle name="Normal 38 11" xfId="14437" xr:uid="{00000000-0005-0000-0000-000088380000}"/>
    <cellStyle name="Normal 38 11 2" xfId="14438" xr:uid="{00000000-0005-0000-0000-000089380000}"/>
    <cellStyle name="Normal 38 12" xfId="14439" xr:uid="{00000000-0005-0000-0000-00008A380000}"/>
    <cellStyle name="Normal 38 12 2" xfId="14440" xr:uid="{00000000-0005-0000-0000-00008B380000}"/>
    <cellStyle name="Normal 38 13" xfId="14441" xr:uid="{00000000-0005-0000-0000-00008C380000}"/>
    <cellStyle name="Normal 38 13 2" xfId="14442" xr:uid="{00000000-0005-0000-0000-00008D380000}"/>
    <cellStyle name="Normal 38 14" xfId="14443" xr:uid="{00000000-0005-0000-0000-00008E380000}"/>
    <cellStyle name="Normal 38 14 2" xfId="14444" xr:uid="{00000000-0005-0000-0000-00008F380000}"/>
    <cellStyle name="Normal 38 15" xfId="14445" xr:uid="{00000000-0005-0000-0000-000090380000}"/>
    <cellStyle name="Normal 38 15 2" xfId="14446" xr:uid="{00000000-0005-0000-0000-000091380000}"/>
    <cellStyle name="Normal 38 16" xfId="14447" xr:uid="{00000000-0005-0000-0000-000092380000}"/>
    <cellStyle name="Normal 38 16 2" xfId="14448" xr:uid="{00000000-0005-0000-0000-000093380000}"/>
    <cellStyle name="Normal 38 17" xfId="14449" xr:uid="{00000000-0005-0000-0000-000094380000}"/>
    <cellStyle name="Normal 38 17 2" xfId="14450" xr:uid="{00000000-0005-0000-0000-000095380000}"/>
    <cellStyle name="Normal 38 18" xfId="14451" xr:uid="{00000000-0005-0000-0000-000096380000}"/>
    <cellStyle name="Normal 38 18 2" xfId="14452" xr:uid="{00000000-0005-0000-0000-000097380000}"/>
    <cellStyle name="Normal 38 19" xfId="14453" xr:uid="{00000000-0005-0000-0000-000098380000}"/>
    <cellStyle name="Normal 38 19 2" xfId="14454" xr:uid="{00000000-0005-0000-0000-000099380000}"/>
    <cellStyle name="Normal 38 2" xfId="14455" xr:uid="{00000000-0005-0000-0000-00009A380000}"/>
    <cellStyle name="Normal 38 2 2" xfId="14456" xr:uid="{00000000-0005-0000-0000-00009B380000}"/>
    <cellStyle name="Normal 38 2 2 2" xfId="14457" xr:uid="{00000000-0005-0000-0000-00009C380000}"/>
    <cellStyle name="Normal 38 2 2 3" xfId="14458" xr:uid="{00000000-0005-0000-0000-00009D380000}"/>
    <cellStyle name="Normal 38 2 2 4" xfId="14459" xr:uid="{00000000-0005-0000-0000-00009E380000}"/>
    <cellStyle name="Normal 38 2 3" xfId="14460" xr:uid="{00000000-0005-0000-0000-00009F380000}"/>
    <cellStyle name="Normal 38 2 3 2" xfId="14461" xr:uid="{00000000-0005-0000-0000-0000A0380000}"/>
    <cellStyle name="Normal 38 2 3 3" xfId="14462" xr:uid="{00000000-0005-0000-0000-0000A1380000}"/>
    <cellStyle name="Normal 38 2 3 4" xfId="14463" xr:uid="{00000000-0005-0000-0000-0000A2380000}"/>
    <cellStyle name="Normal 38 2 4" xfId="14464" xr:uid="{00000000-0005-0000-0000-0000A3380000}"/>
    <cellStyle name="Normal 38 2 5" xfId="14465" xr:uid="{00000000-0005-0000-0000-0000A4380000}"/>
    <cellStyle name="Normal 38 2 6" xfId="14466" xr:uid="{00000000-0005-0000-0000-0000A5380000}"/>
    <cellStyle name="Normal 38 2 7" xfId="14467" xr:uid="{00000000-0005-0000-0000-0000A6380000}"/>
    <cellStyle name="Normal 38 20" xfId="14468" xr:uid="{00000000-0005-0000-0000-0000A7380000}"/>
    <cellStyle name="Normal 38 20 2" xfId="14469" xr:uid="{00000000-0005-0000-0000-0000A8380000}"/>
    <cellStyle name="Normal 38 21" xfId="14470" xr:uid="{00000000-0005-0000-0000-0000A9380000}"/>
    <cellStyle name="Normal 38 21 2" xfId="14471" xr:uid="{00000000-0005-0000-0000-0000AA380000}"/>
    <cellStyle name="Normal 38 22" xfId="14472" xr:uid="{00000000-0005-0000-0000-0000AB380000}"/>
    <cellStyle name="Normal 38 22 2" xfId="14473" xr:uid="{00000000-0005-0000-0000-0000AC380000}"/>
    <cellStyle name="Normal 38 23" xfId="14474" xr:uid="{00000000-0005-0000-0000-0000AD380000}"/>
    <cellStyle name="Normal 38 24" xfId="14475" xr:uid="{00000000-0005-0000-0000-0000AE380000}"/>
    <cellStyle name="Normal 38 25" xfId="14476" xr:uid="{00000000-0005-0000-0000-0000AF380000}"/>
    <cellStyle name="Normal 38 26" xfId="14477" xr:uid="{00000000-0005-0000-0000-0000B0380000}"/>
    <cellStyle name="Normal 38 27" xfId="14478" xr:uid="{00000000-0005-0000-0000-0000B1380000}"/>
    <cellStyle name="Normal 38 28" xfId="14479" xr:uid="{00000000-0005-0000-0000-0000B2380000}"/>
    <cellStyle name="Normal 38 29" xfId="14480" xr:uid="{00000000-0005-0000-0000-0000B3380000}"/>
    <cellStyle name="Normal 38 3" xfId="14481" xr:uid="{00000000-0005-0000-0000-0000B4380000}"/>
    <cellStyle name="Normal 38 3 2" xfId="14482" xr:uid="{00000000-0005-0000-0000-0000B5380000}"/>
    <cellStyle name="Normal 38 3 2 2" xfId="14483" xr:uid="{00000000-0005-0000-0000-0000B6380000}"/>
    <cellStyle name="Normal 38 3 2 3" xfId="14484" xr:uid="{00000000-0005-0000-0000-0000B7380000}"/>
    <cellStyle name="Normal 38 3 2 4" xfId="14485" xr:uid="{00000000-0005-0000-0000-0000B8380000}"/>
    <cellStyle name="Normal 38 3 3" xfId="14486" xr:uid="{00000000-0005-0000-0000-0000B9380000}"/>
    <cellStyle name="Normal 38 3 4" xfId="14487" xr:uid="{00000000-0005-0000-0000-0000BA380000}"/>
    <cellStyle name="Normal 38 3 5" xfId="14488" xr:uid="{00000000-0005-0000-0000-0000BB380000}"/>
    <cellStyle name="Normal 38 3 6" xfId="14489" xr:uid="{00000000-0005-0000-0000-0000BC380000}"/>
    <cellStyle name="Normal 38 30" xfId="14490" xr:uid="{00000000-0005-0000-0000-0000BD380000}"/>
    <cellStyle name="Normal 38 31" xfId="14491" xr:uid="{00000000-0005-0000-0000-0000BE380000}"/>
    <cellStyle name="Normal 38 32" xfId="14492" xr:uid="{00000000-0005-0000-0000-0000BF380000}"/>
    <cellStyle name="Normal 38 33" xfId="14493" xr:uid="{00000000-0005-0000-0000-0000C0380000}"/>
    <cellStyle name="Normal 38 34" xfId="14494" xr:uid="{00000000-0005-0000-0000-0000C1380000}"/>
    <cellStyle name="Normal 38 35" xfId="14495" xr:uid="{00000000-0005-0000-0000-0000C2380000}"/>
    <cellStyle name="Normal 38 36" xfId="14496" xr:uid="{00000000-0005-0000-0000-0000C3380000}"/>
    <cellStyle name="Normal 38 37" xfId="14497" xr:uid="{00000000-0005-0000-0000-0000C4380000}"/>
    <cellStyle name="Normal 38 38" xfId="14498" xr:uid="{00000000-0005-0000-0000-0000C5380000}"/>
    <cellStyle name="Normal 38 39" xfId="14499" xr:uid="{00000000-0005-0000-0000-0000C6380000}"/>
    <cellStyle name="Normal 38 4" xfId="14500" xr:uid="{00000000-0005-0000-0000-0000C7380000}"/>
    <cellStyle name="Normal 38 4 2" xfId="14501" xr:uid="{00000000-0005-0000-0000-0000C8380000}"/>
    <cellStyle name="Normal 38 4 3" xfId="14502" xr:uid="{00000000-0005-0000-0000-0000C9380000}"/>
    <cellStyle name="Normal 38 4 4" xfId="14503" xr:uid="{00000000-0005-0000-0000-0000CA380000}"/>
    <cellStyle name="Normal 38 40" xfId="14504" xr:uid="{00000000-0005-0000-0000-0000CB380000}"/>
    <cellStyle name="Normal 38 41" xfId="14505" xr:uid="{00000000-0005-0000-0000-0000CC380000}"/>
    <cellStyle name="Normal 38 42" xfId="14506" xr:uid="{00000000-0005-0000-0000-0000CD380000}"/>
    <cellStyle name="Normal 38 43" xfId="14507" xr:uid="{00000000-0005-0000-0000-0000CE380000}"/>
    <cellStyle name="Normal 38 44" xfId="14508" xr:uid="{00000000-0005-0000-0000-0000CF380000}"/>
    <cellStyle name="Normal 38 45" xfId="14509" xr:uid="{00000000-0005-0000-0000-0000D0380000}"/>
    <cellStyle name="Normal 38 46" xfId="14510" xr:uid="{00000000-0005-0000-0000-0000D1380000}"/>
    <cellStyle name="Normal 38 47" xfId="14511" xr:uid="{00000000-0005-0000-0000-0000D2380000}"/>
    <cellStyle name="Normal 38 48" xfId="14512" xr:uid="{00000000-0005-0000-0000-0000D3380000}"/>
    <cellStyle name="Normal 38 49" xfId="14513" xr:uid="{00000000-0005-0000-0000-0000D4380000}"/>
    <cellStyle name="Normal 38 5" xfId="14514" xr:uid="{00000000-0005-0000-0000-0000D5380000}"/>
    <cellStyle name="Normal 38 5 2" xfId="14515" xr:uid="{00000000-0005-0000-0000-0000D6380000}"/>
    <cellStyle name="Normal 38 5 3" xfId="14516" xr:uid="{00000000-0005-0000-0000-0000D7380000}"/>
    <cellStyle name="Normal 38 5 4" xfId="14517" xr:uid="{00000000-0005-0000-0000-0000D8380000}"/>
    <cellStyle name="Normal 38 50" xfId="14518" xr:uid="{00000000-0005-0000-0000-0000D9380000}"/>
    <cellStyle name="Normal 38 51" xfId="14519" xr:uid="{00000000-0005-0000-0000-0000DA380000}"/>
    <cellStyle name="Normal 38 52" xfId="14520" xr:uid="{00000000-0005-0000-0000-0000DB380000}"/>
    <cellStyle name="Normal 38 53" xfId="14521" xr:uid="{00000000-0005-0000-0000-0000DC380000}"/>
    <cellStyle name="Normal 38 54" xfId="14522" xr:uid="{00000000-0005-0000-0000-0000DD380000}"/>
    <cellStyle name="Normal 38 55" xfId="14523" xr:uid="{00000000-0005-0000-0000-0000DE380000}"/>
    <cellStyle name="Normal 38 56" xfId="14524" xr:uid="{00000000-0005-0000-0000-0000DF380000}"/>
    <cellStyle name="Normal 38 57" xfId="14525" xr:uid="{00000000-0005-0000-0000-0000E0380000}"/>
    <cellStyle name="Normal 38 58" xfId="14526" xr:uid="{00000000-0005-0000-0000-0000E1380000}"/>
    <cellStyle name="Normal 38 59" xfId="14527" xr:uid="{00000000-0005-0000-0000-0000E2380000}"/>
    <cellStyle name="Normal 38 6" xfId="14528" xr:uid="{00000000-0005-0000-0000-0000E3380000}"/>
    <cellStyle name="Normal 38 6 2" xfId="14529" xr:uid="{00000000-0005-0000-0000-0000E4380000}"/>
    <cellStyle name="Normal 38 60" xfId="14530" xr:uid="{00000000-0005-0000-0000-0000E5380000}"/>
    <cellStyle name="Normal 38 61" xfId="14531" xr:uid="{00000000-0005-0000-0000-0000E6380000}"/>
    <cellStyle name="Normal 38 62" xfId="14532" xr:uid="{00000000-0005-0000-0000-0000E7380000}"/>
    <cellStyle name="Normal 38 63" xfId="14533" xr:uid="{00000000-0005-0000-0000-0000E8380000}"/>
    <cellStyle name="Normal 38 64" xfId="14534" xr:uid="{00000000-0005-0000-0000-0000E9380000}"/>
    <cellStyle name="Normal 38 65" xfId="14535" xr:uid="{00000000-0005-0000-0000-0000EA380000}"/>
    <cellStyle name="Normal 38 66" xfId="14536" xr:uid="{00000000-0005-0000-0000-0000EB380000}"/>
    <cellStyle name="Normal 38 67" xfId="14537" xr:uid="{00000000-0005-0000-0000-0000EC380000}"/>
    <cellStyle name="Normal 38 68" xfId="14538" xr:uid="{00000000-0005-0000-0000-0000ED380000}"/>
    <cellStyle name="Normal 38 69" xfId="14539" xr:uid="{00000000-0005-0000-0000-0000EE380000}"/>
    <cellStyle name="Normal 38 7" xfId="14540" xr:uid="{00000000-0005-0000-0000-0000EF380000}"/>
    <cellStyle name="Normal 38 7 2" xfId="14541" xr:uid="{00000000-0005-0000-0000-0000F0380000}"/>
    <cellStyle name="Normal 38 70" xfId="14542" xr:uid="{00000000-0005-0000-0000-0000F1380000}"/>
    <cellStyle name="Normal 38 8" xfId="14543" xr:uid="{00000000-0005-0000-0000-0000F2380000}"/>
    <cellStyle name="Normal 38 8 2" xfId="14544" xr:uid="{00000000-0005-0000-0000-0000F3380000}"/>
    <cellStyle name="Normal 38 9" xfId="14545" xr:uid="{00000000-0005-0000-0000-0000F4380000}"/>
    <cellStyle name="Normal 38 9 2" xfId="14546" xr:uid="{00000000-0005-0000-0000-0000F5380000}"/>
    <cellStyle name="Normal 39" xfId="14547" xr:uid="{00000000-0005-0000-0000-0000F6380000}"/>
    <cellStyle name="Normal 39 10" xfId="14548" xr:uid="{00000000-0005-0000-0000-0000F7380000}"/>
    <cellStyle name="Normal 39 10 2" xfId="14549" xr:uid="{00000000-0005-0000-0000-0000F8380000}"/>
    <cellStyle name="Normal 39 11" xfId="14550" xr:uid="{00000000-0005-0000-0000-0000F9380000}"/>
    <cellStyle name="Normal 39 11 2" xfId="14551" xr:uid="{00000000-0005-0000-0000-0000FA380000}"/>
    <cellStyle name="Normal 39 12" xfId="14552" xr:uid="{00000000-0005-0000-0000-0000FB380000}"/>
    <cellStyle name="Normal 39 12 2" xfId="14553" xr:uid="{00000000-0005-0000-0000-0000FC380000}"/>
    <cellStyle name="Normal 39 13" xfId="14554" xr:uid="{00000000-0005-0000-0000-0000FD380000}"/>
    <cellStyle name="Normal 39 13 2" xfId="14555" xr:uid="{00000000-0005-0000-0000-0000FE380000}"/>
    <cellStyle name="Normal 39 14" xfId="14556" xr:uid="{00000000-0005-0000-0000-0000FF380000}"/>
    <cellStyle name="Normal 39 14 2" xfId="14557" xr:uid="{00000000-0005-0000-0000-000000390000}"/>
    <cellStyle name="Normal 39 15" xfId="14558" xr:uid="{00000000-0005-0000-0000-000001390000}"/>
    <cellStyle name="Normal 39 15 2" xfId="14559" xr:uid="{00000000-0005-0000-0000-000002390000}"/>
    <cellStyle name="Normal 39 16" xfId="14560" xr:uid="{00000000-0005-0000-0000-000003390000}"/>
    <cellStyle name="Normal 39 16 2" xfId="14561" xr:uid="{00000000-0005-0000-0000-000004390000}"/>
    <cellStyle name="Normal 39 17" xfId="14562" xr:uid="{00000000-0005-0000-0000-000005390000}"/>
    <cellStyle name="Normal 39 17 2" xfId="14563" xr:uid="{00000000-0005-0000-0000-000006390000}"/>
    <cellStyle name="Normal 39 18" xfId="14564" xr:uid="{00000000-0005-0000-0000-000007390000}"/>
    <cellStyle name="Normal 39 18 2" xfId="14565" xr:uid="{00000000-0005-0000-0000-000008390000}"/>
    <cellStyle name="Normal 39 19" xfId="14566" xr:uid="{00000000-0005-0000-0000-000009390000}"/>
    <cellStyle name="Normal 39 19 2" xfId="14567" xr:uid="{00000000-0005-0000-0000-00000A390000}"/>
    <cellStyle name="Normal 39 2" xfId="14568" xr:uid="{00000000-0005-0000-0000-00000B390000}"/>
    <cellStyle name="Normal 39 2 2" xfId="14569" xr:uid="{00000000-0005-0000-0000-00000C390000}"/>
    <cellStyle name="Normal 39 2 2 2" xfId="14570" xr:uid="{00000000-0005-0000-0000-00000D390000}"/>
    <cellStyle name="Normal 39 2 2 3" xfId="14571" xr:uid="{00000000-0005-0000-0000-00000E390000}"/>
    <cellStyle name="Normal 39 2 2 4" xfId="14572" xr:uid="{00000000-0005-0000-0000-00000F390000}"/>
    <cellStyle name="Normal 39 2 3" xfId="14573" xr:uid="{00000000-0005-0000-0000-000010390000}"/>
    <cellStyle name="Normal 39 2 3 2" xfId="14574" xr:uid="{00000000-0005-0000-0000-000011390000}"/>
    <cellStyle name="Normal 39 2 3 3" xfId="14575" xr:uid="{00000000-0005-0000-0000-000012390000}"/>
    <cellStyle name="Normal 39 2 3 4" xfId="14576" xr:uid="{00000000-0005-0000-0000-000013390000}"/>
    <cellStyle name="Normal 39 2 4" xfId="14577" xr:uid="{00000000-0005-0000-0000-000014390000}"/>
    <cellStyle name="Normal 39 2 5" xfId="14578" xr:uid="{00000000-0005-0000-0000-000015390000}"/>
    <cellStyle name="Normal 39 2 6" xfId="14579" xr:uid="{00000000-0005-0000-0000-000016390000}"/>
    <cellStyle name="Normal 39 2 7" xfId="14580" xr:uid="{00000000-0005-0000-0000-000017390000}"/>
    <cellStyle name="Normal 39 20" xfId="14581" xr:uid="{00000000-0005-0000-0000-000018390000}"/>
    <cellStyle name="Normal 39 20 2" xfId="14582" xr:uid="{00000000-0005-0000-0000-000019390000}"/>
    <cellStyle name="Normal 39 21" xfId="14583" xr:uid="{00000000-0005-0000-0000-00001A390000}"/>
    <cellStyle name="Normal 39 21 2" xfId="14584" xr:uid="{00000000-0005-0000-0000-00001B390000}"/>
    <cellStyle name="Normal 39 22" xfId="14585" xr:uid="{00000000-0005-0000-0000-00001C390000}"/>
    <cellStyle name="Normal 39 22 2" xfId="14586" xr:uid="{00000000-0005-0000-0000-00001D390000}"/>
    <cellStyle name="Normal 39 23" xfId="14587" xr:uid="{00000000-0005-0000-0000-00001E390000}"/>
    <cellStyle name="Normal 39 24" xfId="14588" xr:uid="{00000000-0005-0000-0000-00001F390000}"/>
    <cellStyle name="Normal 39 25" xfId="14589" xr:uid="{00000000-0005-0000-0000-000020390000}"/>
    <cellStyle name="Normal 39 26" xfId="14590" xr:uid="{00000000-0005-0000-0000-000021390000}"/>
    <cellStyle name="Normal 39 27" xfId="14591" xr:uid="{00000000-0005-0000-0000-000022390000}"/>
    <cellStyle name="Normal 39 28" xfId="14592" xr:uid="{00000000-0005-0000-0000-000023390000}"/>
    <cellStyle name="Normal 39 29" xfId="14593" xr:uid="{00000000-0005-0000-0000-000024390000}"/>
    <cellStyle name="Normal 39 3" xfId="14594" xr:uid="{00000000-0005-0000-0000-000025390000}"/>
    <cellStyle name="Normal 39 3 2" xfId="14595" xr:uid="{00000000-0005-0000-0000-000026390000}"/>
    <cellStyle name="Normal 39 3 2 2" xfId="14596" xr:uid="{00000000-0005-0000-0000-000027390000}"/>
    <cellStyle name="Normal 39 3 2 3" xfId="14597" xr:uid="{00000000-0005-0000-0000-000028390000}"/>
    <cellStyle name="Normal 39 3 2 4" xfId="14598" xr:uid="{00000000-0005-0000-0000-000029390000}"/>
    <cellStyle name="Normal 39 3 3" xfId="14599" xr:uid="{00000000-0005-0000-0000-00002A390000}"/>
    <cellStyle name="Normal 39 3 4" xfId="14600" xr:uid="{00000000-0005-0000-0000-00002B390000}"/>
    <cellStyle name="Normal 39 3 5" xfId="14601" xr:uid="{00000000-0005-0000-0000-00002C390000}"/>
    <cellStyle name="Normal 39 3 6" xfId="14602" xr:uid="{00000000-0005-0000-0000-00002D390000}"/>
    <cellStyle name="Normal 39 30" xfId="14603" xr:uid="{00000000-0005-0000-0000-00002E390000}"/>
    <cellStyle name="Normal 39 31" xfId="14604" xr:uid="{00000000-0005-0000-0000-00002F390000}"/>
    <cellStyle name="Normal 39 32" xfId="14605" xr:uid="{00000000-0005-0000-0000-000030390000}"/>
    <cellStyle name="Normal 39 33" xfId="14606" xr:uid="{00000000-0005-0000-0000-000031390000}"/>
    <cellStyle name="Normal 39 34" xfId="14607" xr:uid="{00000000-0005-0000-0000-000032390000}"/>
    <cellStyle name="Normal 39 35" xfId="14608" xr:uid="{00000000-0005-0000-0000-000033390000}"/>
    <cellStyle name="Normal 39 36" xfId="14609" xr:uid="{00000000-0005-0000-0000-000034390000}"/>
    <cellStyle name="Normal 39 37" xfId="14610" xr:uid="{00000000-0005-0000-0000-000035390000}"/>
    <cellStyle name="Normal 39 38" xfId="14611" xr:uid="{00000000-0005-0000-0000-000036390000}"/>
    <cellStyle name="Normal 39 39" xfId="14612" xr:uid="{00000000-0005-0000-0000-000037390000}"/>
    <cellStyle name="Normal 39 4" xfId="14613" xr:uid="{00000000-0005-0000-0000-000038390000}"/>
    <cellStyle name="Normal 39 4 2" xfId="14614" xr:uid="{00000000-0005-0000-0000-000039390000}"/>
    <cellStyle name="Normal 39 4 3" xfId="14615" xr:uid="{00000000-0005-0000-0000-00003A390000}"/>
    <cellStyle name="Normal 39 4 4" xfId="14616" xr:uid="{00000000-0005-0000-0000-00003B390000}"/>
    <cellStyle name="Normal 39 40" xfId="14617" xr:uid="{00000000-0005-0000-0000-00003C390000}"/>
    <cellStyle name="Normal 39 41" xfId="14618" xr:uid="{00000000-0005-0000-0000-00003D390000}"/>
    <cellStyle name="Normal 39 42" xfId="14619" xr:uid="{00000000-0005-0000-0000-00003E390000}"/>
    <cellStyle name="Normal 39 43" xfId="14620" xr:uid="{00000000-0005-0000-0000-00003F390000}"/>
    <cellStyle name="Normal 39 44" xfId="14621" xr:uid="{00000000-0005-0000-0000-000040390000}"/>
    <cellStyle name="Normal 39 45" xfId="14622" xr:uid="{00000000-0005-0000-0000-000041390000}"/>
    <cellStyle name="Normal 39 46" xfId="14623" xr:uid="{00000000-0005-0000-0000-000042390000}"/>
    <cellStyle name="Normal 39 47" xfId="14624" xr:uid="{00000000-0005-0000-0000-000043390000}"/>
    <cellStyle name="Normal 39 48" xfId="14625" xr:uid="{00000000-0005-0000-0000-000044390000}"/>
    <cellStyle name="Normal 39 49" xfId="14626" xr:uid="{00000000-0005-0000-0000-000045390000}"/>
    <cellStyle name="Normal 39 5" xfId="14627" xr:uid="{00000000-0005-0000-0000-000046390000}"/>
    <cellStyle name="Normal 39 5 2" xfId="14628" xr:uid="{00000000-0005-0000-0000-000047390000}"/>
    <cellStyle name="Normal 39 5 3" xfId="14629" xr:uid="{00000000-0005-0000-0000-000048390000}"/>
    <cellStyle name="Normal 39 5 4" xfId="14630" xr:uid="{00000000-0005-0000-0000-000049390000}"/>
    <cellStyle name="Normal 39 50" xfId="14631" xr:uid="{00000000-0005-0000-0000-00004A390000}"/>
    <cellStyle name="Normal 39 51" xfId="14632" xr:uid="{00000000-0005-0000-0000-00004B390000}"/>
    <cellStyle name="Normal 39 52" xfId="14633" xr:uid="{00000000-0005-0000-0000-00004C390000}"/>
    <cellStyle name="Normal 39 53" xfId="14634" xr:uid="{00000000-0005-0000-0000-00004D390000}"/>
    <cellStyle name="Normal 39 54" xfId="14635" xr:uid="{00000000-0005-0000-0000-00004E390000}"/>
    <cellStyle name="Normal 39 55" xfId="14636" xr:uid="{00000000-0005-0000-0000-00004F390000}"/>
    <cellStyle name="Normal 39 56" xfId="14637" xr:uid="{00000000-0005-0000-0000-000050390000}"/>
    <cellStyle name="Normal 39 57" xfId="14638" xr:uid="{00000000-0005-0000-0000-000051390000}"/>
    <cellStyle name="Normal 39 58" xfId="14639" xr:uid="{00000000-0005-0000-0000-000052390000}"/>
    <cellStyle name="Normal 39 59" xfId="14640" xr:uid="{00000000-0005-0000-0000-000053390000}"/>
    <cellStyle name="Normal 39 6" xfId="14641" xr:uid="{00000000-0005-0000-0000-000054390000}"/>
    <cellStyle name="Normal 39 6 2" xfId="14642" xr:uid="{00000000-0005-0000-0000-000055390000}"/>
    <cellStyle name="Normal 39 60" xfId="14643" xr:uid="{00000000-0005-0000-0000-000056390000}"/>
    <cellStyle name="Normal 39 61" xfId="14644" xr:uid="{00000000-0005-0000-0000-000057390000}"/>
    <cellStyle name="Normal 39 62" xfId="14645" xr:uid="{00000000-0005-0000-0000-000058390000}"/>
    <cellStyle name="Normal 39 63" xfId="14646" xr:uid="{00000000-0005-0000-0000-000059390000}"/>
    <cellStyle name="Normal 39 64" xfId="14647" xr:uid="{00000000-0005-0000-0000-00005A390000}"/>
    <cellStyle name="Normal 39 65" xfId="14648" xr:uid="{00000000-0005-0000-0000-00005B390000}"/>
    <cellStyle name="Normal 39 66" xfId="14649" xr:uid="{00000000-0005-0000-0000-00005C390000}"/>
    <cellStyle name="Normal 39 67" xfId="14650" xr:uid="{00000000-0005-0000-0000-00005D390000}"/>
    <cellStyle name="Normal 39 68" xfId="14651" xr:uid="{00000000-0005-0000-0000-00005E390000}"/>
    <cellStyle name="Normal 39 69" xfId="14652" xr:uid="{00000000-0005-0000-0000-00005F390000}"/>
    <cellStyle name="Normal 39 7" xfId="14653" xr:uid="{00000000-0005-0000-0000-000060390000}"/>
    <cellStyle name="Normal 39 7 2" xfId="14654" xr:uid="{00000000-0005-0000-0000-000061390000}"/>
    <cellStyle name="Normal 39 70" xfId="14655" xr:uid="{00000000-0005-0000-0000-000062390000}"/>
    <cellStyle name="Normal 39 8" xfId="14656" xr:uid="{00000000-0005-0000-0000-000063390000}"/>
    <cellStyle name="Normal 39 8 2" xfId="14657" xr:uid="{00000000-0005-0000-0000-000064390000}"/>
    <cellStyle name="Normal 39 9" xfId="14658" xr:uid="{00000000-0005-0000-0000-000065390000}"/>
    <cellStyle name="Normal 39 9 2" xfId="14659" xr:uid="{00000000-0005-0000-0000-000066390000}"/>
    <cellStyle name="Normal 4" xfId="14660" xr:uid="{00000000-0005-0000-0000-000067390000}"/>
    <cellStyle name="Normal 4 10" xfId="14661" xr:uid="{00000000-0005-0000-0000-000068390000}"/>
    <cellStyle name="Normal 4 11" xfId="14662" xr:uid="{00000000-0005-0000-0000-000069390000}"/>
    <cellStyle name="Normal 4 12" xfId="14663" xr:uid="{00000000-0005-0000-0000-00006A390000}"/>
    <cellStyle name="Normal 4 13" xfId="14664" xr:uid="{00000000-0005-0000-0000-00006B390000}"/>
    <cellStyle name="Normal 4 14" xfId="14665" xr:uid="{00000000-0005-0000-0000-00006C390000}"/>
    <cellStyle name="Normal 4 15" xfId="14666" xr:uid="{00000000-0005-0000-0000-00006D390000}"/>
    <cellStyle name="Normal 4 16" xfId="14667" xr:uid="{00000000-0005-0000-0000-00006E390000}"/>
    <cellStyle name="Normal 4 17" xfId="14668" xr:uid="{00000000-0005-0000-0000-00006F390000}"/>
    <cellStyle name="Normal 4 18" xfId="14669" xr:uid="{00000000-0005-0000-0000-000070390000}"/>
    <cellStyle name="Normal 4 19" xfId="14670" xr:uid="{00000000-0005-0000-0000-000071390000}"/>
    <cellStyle name="Normal 4 2" xfId="14671" xr:uid="{00000000-0005-0000-0000-000072390000}"/>
    <cellStyle name="Normal 4 2 10" xfId="14672" xr:uid="{00000000-0005-0000-0000-000073390000}"/>
    <cellStyle name="Normal 4 2 11" xfId="14673" xr:uid="{00000000-0005-0000-0000-000074390000}"/>
    <cellStyle name="Normal 4 2 12" xfId="14674" xr:uid="{00000000-0005-0000-0000-000075390000}"/>
    <cellStyle name="Normal 4 2 13" xfId="14675" xr:uid="{00000000-0005-0000-0000-000076390000}"/>
    <cellStyle name="Normal 4 2 14" xfId="14676" xr:uid="{00000000-0005-0000-0000-000077390000}"/>
    <cellStyle name="Normal 4 2 15" xfId="14677" xr:uid="{00000000-0005-0000-0000-000078390000}"/>
    <cellStyle name="Normal 4 2 16" xfId="14678" xr:uid="{00000000-0005-0000-0000-000079390000}"/>
    <cellStyle name="Normal 4 2 17" xfId="14679" xr:uid="{00000000-0005-0000-0000-00007A390000}"/>
    <cellStyle name="Normal 4 2 18" xfId="14680" xr:uid="{00000000-0005-0000-0000-00007B390000}"/>
    <cellStyle name="Normal 4 2 19" xfId="14681" xr:uid="{00000000-0005-0000-0000-00007C390000}"/>
    <cellStyle name="Normal 4 2 2" xfId="14682" xr:uid="{00000000-0005-0000-0000-00007D390000}"/>
    <cellStyle name="Normal 4 2 2 10" xfId="14683" xr:uid="{00000000-0005-0000-0000-00007E390000}"/>
    <cellStyle name="Normal 4 2 2 11" xfId="14684" xr:uid="{00000000-0005-0000-0000-00007F390000}"/>
    <cellStyle name="Normal 4 2 2 12" xfId="14685" xr:uid="{00000000-0005-0000-0000-000080390000}"/>
    <cellStyle name="Normal 4 2 2 13" xfId="14686" xr:uid="{00000000-0005-0000-0000-000081390000}"/>
    <cellStyle name="Normal 4 2 2 14" xfId="14687" xr:uid="{00000000-0005-0000-0000-000082390000}"/>
    <cellStyle name="Normal 4 2 2 15" xfId="14688" xr:uid="{00000000-0005-0000-0000-000083390000}"/>
    <cellStyle name="Normal 4 2 2 16" xfId="14689" xr:uid="{00000000-0005-0000-0000-000084390000}"/>
    <cellStyle name="Normal 4 2 2 17" xfId="14690" xr:uid="{00000000-0005-0000-0000-000085390000}"/>
    <cellStyle name="Normal 4 2 2 18" xfId="14691" xr:uid="{00000000-0005-0000-0000-000086390000}"/>
    <cellStyle name="Normal 4 2 2 19" xfId="14692" xr:uid="{00000000-0005-0000-0000-000087390000}"/>
    <cellStyle name="Normal 4 2 2 2" xfId="14693" xr:uid="{00000000-0005-0000-0000-000088390000}"/>
    <cellStyle name="Normal 4 2 2 2 10" xfId="14694" xr:uid="{00000000-0005-0000-0000-000089390000}"/>
    <cellStyle name="Normal 4 2 2 2 11" xfId="14695" xr:uid="{00000000-0005-0000-0000-00008A390000}"/>
    <cellStyle name="Normal 4 2 2 2 12" xfId="14696" xr:uid="{00000000-0005-0000-0000-00008B390000}"/>
    <cellStyle name="Normal 4 2 2 2 13" xfId="14697" xr:uid="{00000000-0005-0000-0000-00008C390000}"/>
    <cellStyle name="Normal 4 2 2 2 14" xfId="14698" xr:uid="{00000000-0005-0000-0000-00008D390000}"/>
    <cellStyle name="Normal 4 2 2 2 15" xfId="14699" xr:uid="{00000000-0005-0000-0000-00008E390000}"/>
    <cellStyle name="Normal 4 2 2 2 16" xfId="14700" xr:uid="{00000000-0005-0000-0000-00008F390000}"/>
    <cellStyle name="Normal 4 2 2 2 17" xfId="14701" xr:uid="{00000000-0005-0000-0000-000090390000}"/>
    <cellStyle name="Normal 4 2 2 2 18" xfId="14702" xr:uid="{00000000-0005-0000-0000-000091390000}"/>
    <cellStyle name="Normal 4 2 2 2 19" xfId="14703" xr:uid="{00000000-0005-0000-0000-000092390000}"/>
    <cellStyle name="Normal 4 2 2 2 2" xfId="14704" xr:uid="{00000000-0005-0000-0000-000093390000}"/>
    <cellStyle name="Normal 4 2 2 2 2 10" xfId="14705" xr:uid="{00000000-0005-0000-0000-000094390000}"/>
    <cellStyle name="Normal 4 2 2 2 2 11" xfId="14706" xr:uid="{00000000-0005-0000-0000-000095390000}"/>
    <cellStyle name="Normal 4 2 2 2 2 12" xfId="14707" xr:uid="{00000000-0005-0000-0000-000096390000}"/>
    <cellStyle name="Normal 4 2 2 2 2 13" xfId="14708" xr:uid="{00000000-0005-0000-0000-000097390000}"/>
    <cellStyle name="Normal 4 2 2 2 2 14" xfId="14709" xr:uid="{00000000-0005-0000-0000-000098390000}"/>
    <cellStyle name="Normal 4 2 2 2 2 15" xfId="14710" xr:uid="{00000000-0005-0000-0000-000099390000}"/>
    <cellStyle name="Normal 4 2 2 2 2 16" xfId="14711" xr:uid="{00000000-0005-0000-0000-00009A390000}"/>
    <cellStyle name="Normal 4 2 2 2 2 17" xfId="14712" xr:uid="{00000000-0005-0000-0000-00009B390000}"/>
    <cellStyle name="Normal 4 2 2 2 2 18" xfId="14713" xr:uid="{00000000-0005-0000-0000-00009C390000}"/>
    <cellStyle name="Normal 4 2 2 2 2 19" xfId="14714" xr:uid="{00000000-0005-0000-0000-00009D390000}"/>
    <cellStyle name="Normal 4 2 2 2 2 2" xfId="14715" xr:uid="{00000000-0005-0000-0000-00009E390000}"/>
    <cellStyle name="Normal 4 2 2 2 2 2 10" xfId="14716" xr:uid="{00000000-0005-0000-0000-00009F390000}"/>
    <cellStyle name="Normal 4 2 2 2 2 2 11" xfId="14717" xr:uid="{00000000-0005-0000-0000-0000A0390000}"/>
    <cellStyle name="Normal 4 2 2 2 2 2 12" xfId="14718" xr:uid="{00000000-0005-0000-0000-0000A1390000}"/>
    <cellStyle name="Normal 4 2 2 2 2 2 13" xfId="14719" xr:uid="{00000000-0005-0000-0000-0000A2390000}"/>
    <cellStyle name="Normal 4 2 2 2 2 2 14" xfId="14720" xr:uid="{00000000-0005-0000-0000-0000A3390000}"/>
    <cellStyle name="Normal 4 2 2 2 2 2 15" xfId="14721" xr:uid="{00000000-0005-0000-0000-0000A4390000}"/>
    <cellStyle name="Normal 4 2 2 2 2 2 16" xfId="14722" xr:uid="{00000000-0005-0000-0000-0000A5390000}"/>
    <cellStyle name="Normal 4 2 2 2 2 2 17" xfId="14723" xr:uid="{00000000-0005-0000-0000-0000A6390000}"/>
    <cellStyle name="Normal 4 2 2 2 2 2 18" xfId="14724" xr:uid="{00000000-0005-0000-0000-0000A7390000}"/>
    <cellStyle name="Normal 4 2 2 2 2 2 2" xfId="14725" xr:uid="{00000000-0005-0000-0000-0000A8390000}"/>
    <cellStyle name="Normal 4 2 2 2 2 2 3" xfId="14726" xr:uid="{00000000-0005-0000-0000-0000A9390000}"/>
    <cellStyle name="Normal 4 2 2 2 2 2 4" xfId="14727" xr:uid="{00000000-0005-0000-0000-0000AA390000}"/>
    <cellStyle name="Normal 4 2 2 2 2 2 5" xfId="14728" xr:uid="{00000000-0005-0000-0000-0000AB390000}"/>
    <cellStyle name="Normal 4 2 2 2 2 2 6" xfId="14729" xr:uid="{00000000-0005-0000-0000-0000AC390000}"/>
    <cellStyle name="Normal 4 2 2 2 2 2 7" xfId="14730" xr:uid="{00000000-0005-0000-0000-0000AD390000}"/>
    <cellStyle name="Normal 4 2 2 2 2 2 8" xfId="14731" xr:uid="{00000000-0005-0000-0000-0000AE390000}"/>
    <cellStyle name="Normal 4 2 2 2 2 2 9" xfId="14732" xr:uid="{00000000-0005-0000-0000-0000AF390000}"/>
    <cellStyle name="Normal 4 2 2 2 2 3" xfId="14733" xr:uid="{00000000-0005-0000-0000-0000B0390000}"/>
    <cellStyle name="Normal 4 2 2 2 2 4" xfId="14734" xr:uid="{00000000-0005-0000-0000-0000B1390000}"/>
    <cellStyle name="Normal 4 2 2 2 2 5" xfId="14735" xr:uid="{00000000-0005-0000-0000-0000B2390000}"/>
    <cellStyle name="Normal 4 2 2 2 2 6" xfId="14736" xr:uid="{00000000-0005-0000-0000-0000B3390000}"/>
    <cellStyle name="Normal 4 2 2 2 2 7" xfId="14737" xr:uid="{00000000-0005-0000-0000-0000B4390000}"/>
    <cellStyle name="Normal 4 2 2 2 2 8" xfId="14738" xr:uid="{00000000-0005-0000-0000-0000B5390000}"/>
    <cellStyle name="Normal 4 2 2 2 2 9" xfId="14739" xr:uid="{00000000-0005-0000-0000-0000B6390000}"/>
    <cellStyle name="Normal 4 2 2 2 2_ELEC SAP FCST UPLOAD" xfId="14740" xr:uid="{00000000-0005-0000-0000-0000B7390000}"/>
    <cellStyle name="Normal 4 2 2 2 20" xfId="14741" xr:uid="{00000000-0005-0000-0000-0000B8390000}"/>
    <cellStyle name="Normal 4 2 2 2 21" xfId="14742" xr:uid="{00000000-0005-0000-0000-0000B9390000}"/>
    <cellStyle name="Normal 4 2 2 2 22" xfId="14743" xr:uid="{00000000-0005-0000-0000-0000BA390000}"/>
    <cellStyle name="Normal 4 2 2 2 3" xfId="14744" xr:uid="{00000000-0005-0000-0000-0000BB390000}"/>
    <cellStyle name="Normal 4 2 2 2 4" xfId="14745" xr:uid="{00000000-0005-0000-0000-0000BC390000}"/>
    <cellStyle name="Normal 4 2 2 2 5" xfId="14746" xr:uid="{00000000-0005-0000-0000-0000BD390000}"/>
    <cellStyle name="Normal 4 2 2 2 6" xfId="14747" xr:uid="{00000000-0005-0000-0000-0000BE390000}"/>
    <cellStyle name="Normal 4 2 2 2 7" xfId="14748" xr:uid="{00000000-0005-0000-0000-0000BF390000}"/>
    <cellStyle name="Normal 4 2 2 2 8" xfId="14749" xr:uid="{00000000-0005-0000-0000-0000C0390000}"/>
    <cellStyle name="Normal 4 2 2 2 9" xfId="14750" xr:uid="{00000000-0005-0000-0000-0000C1390000}"/>
    <cellStyle name="Normal 4 2 2 2_ELEC SAP FCST UPLOAD" xfId="14751" xr:uid="{00000000-0005-0000-0000-0000C2390000}"/>
    <cellStyle name="Normal 4 2 2 20" xfId="14752" xr:uid="{00000000-0005-0000-0000-0000C3390000}"/>
    <cellStyle name="Normal 4 2 2 21" xfId="14753" xr:uid="{00000000-0005-0000-0000-0000C4390000}"/>
    <cellStyle name="Normal 4 2 2 22" xfId="14754" xr:uid="{00000000-0005-0000-0000-0000C5390000}"/>
    <cellStyle name="Normal 4 2 2 3" xfId="14755" xr:uid="{00000000-0005-0000-0000-0000C6390000}"/>
    <cellStyle name="Normal 4 2 2 3 2" xfId="14756" xr:uid="{00000000-0005-0000-0000-0000C7390000}"/>
    <cellStyle name="Normal 4 2 2 3 3" xfId="14757" xr:uid="{00000000-0005-0000-0000-0000C8390000}"/>
    <cellStyle name="Normal 4 2 2 3_ELEC SAP FCST UPLOAD" xfId="14758" xr:uid="{00000000-0005-0000-0000-0000C9390000}"/>
    <cellStyle name="Normal 4 2 2 4" xfId="14759" xr:uid="{00000000-0005-0000-0000-0000CA390000}"/>
    <cellStyle name="Normal 4 2 2 5" xfId="14760" xr:uid="{00000000-0005-0000-0000-0000CB390000}"/>
    <cellStyle name="Normal 4 2 2 6" xfId="14761" xr:uid="{00000000-0005-0000-0000-0000CC390000}"/>
    <cellStyle name="Normal 4 2 2 7" xfId="14762" xr:uid="{00000000-0005-0000-0000-0000CD390000}"/>
    <cellStyle name="Normal 4 2 2 8" xfId="14763" xr:uid="{00000000-0005-0000-0000-0000CE390000}"/>
    <cellStyle name="Normal 4 2 2 9" xfId="14764" xr:uid="{00000000-0005-0000-0000-0000CF390000}"/>
    <cellStyle name="Normal 4 2 2_ELEC SAP FCST UPLOAD" xfId="14765" xr:uid="{00000000-0005-0000-0000-0000D0390000}"/>
    <cellStyle name="Normal 4 2 20" xfId="14766" xr:uid="{00000000-0005-0000-0000-0000D1390000}"/>
    <cellStyle name="Normal 4 2 21" xfId="14767" xr:uid="{00000000-0005-0000-0000-0000D2390000}"/>
    <cellStyle name="Normal 4 2 22" xfId="14768" xr:uid="{00000000-0005-0000-0000-0000D3390000}"/>
    <cellStyle name="Normal 4 2 23" xfId="14769" xr:uid="{00000000-0005-0000-0000-0000D4390000}"/>
    <cellStyle name="Normal 4 2 24" xfId="48412" xr:uid="{00000000-0005-0000-0000-0000D5390000}"/>
    <cellStyle name="Normal 4 2 3" xfId="14770" xr:uid="{00000000-0005-0000-0000-0000D6390000}"/>
    <cellStyle name="Normal 4 2 3 2" xfId="14771" xr:uid="{00000000-0005-0000-0000-0000D7390000}"/>
    <cellStyle name="Normal 4 2 3 3" xfId="14772" xr:uid="{00000000-0005-0000-0000-0000D8390000}"/>
    <cellStyle name="Normal 4 2 3 4" xfId="48249" xr:uid="{00000000-0005-0000-0000-0000D9390000}"/>
    <cellStyle name="Normal 4 2 3_ELEC SAP FCST UPLOAD" xfId="14773" xr:uid="{00000000-0005-0000-0000-0000DA390000}"/>
    <cellStyle name="Normal 4 2 4" xfId="14774" xr:uid="{00000000-0005-0000-0000-0000DB390000}"/>
    <cellStyle name="Normal 4 2 5" xfId="14775" xr:uid="{00000000-0005-0000-0000-0000DC390000}"/>
    <cellStyle name="Normal 4 2 6" xfId="14776" xr:uid="{00000000-0005-0000-0000-0000DD390000}"/>
    <cellStyle name="Normal 4 2 7" xfId="14777" xr:uid="{00000000-0005-0000-0000-0000DE390000}"/>
    <cellStyle name="Normal 4 2 8" xfId="14778" xr:uid="{00000000-0005-0000-0000-0000DF390000}"/>
    <cellStyle name="Normal 4 2 9" xfId="14779" xr:uid="{00000000-0005-0000-0000-0000E0390000}"/>
    <cellStyle name="Normal 4 2_ELEC SAP FCST UPLOAD" xfId="14780" xr:uid="{00000000-0005-0000-0000-0000E1390000}"/>
    <cellStyle name="Normal 4 20" xfId="14781" xr:uid="{00000000-0005-0000-0000-0000E2390000}"/>
    <cellStyle name="Normal 4 21" xfId="14782" xr:uid="{00000000-0005-0000-0000-0000E3390000}"/>
    <cellStyle name="Normal 4 22" xfId="14783" xr:uid="{00000000-0005-0000-0000-0000E4390000}"/>
    <cellStyle name="Normal 4 23" xfId="14784" xr:uid="{00000000-0005-0000-0000-0000E5390000}"/>
    <cellStyle name="Normal 4 24" xfId="14785" xr:uid="{00000000-0005-0000-0000-0000E6390000}"/>
    <cellStyle name="Normal 4 25" xfId="14786" xr:uid="{00000000-0005-0000-0000-0000E7390000}"/>
    <cellStyle name="Normal 4 26" xfId="14787" xr:uid="{00000000-0005-0000-0000-0000E8390000}"/>
    <cellStyle name="Normal 4 27" xfId="14788" xr:uid="{00000000-0005-0000-0000-0000E9390000}"/>
    <cellStyle name="Normal 4 28" xfId="14789" xr:uid="{00000000-0005-0000-0000-0000EA390000}"/>
    <cellStyle name="Normal 4 29" xfId="14790" xr:uid="{00000000-0005-0000-0000-0000EB390000}"/>
    <cellStyle name="Normal 4 3" xfId="14791" xr:uid="{00000000-0005-0000-0000-0000EC390000}"/>
    <cellStyle name="Normal 4 3 2" xfId="14792" xr:uid="{00000000-0005-0000-0000-0000ED390000}"/>
    <cellStyle name="Normal 4 3 2 2" xfId="14793" xr:uid="{00000000-0005-0000-0000-0000EE390000}"/>
    <cellStyle name="Normal 4 3 2 3" xfId="14794" xr:uid="{00000000-0005-0000-0000-0000EF390000}"/>
    <cellStyle name="Normal 4 3 2 4" xfId="48250" xr:uid="{00000000-0005-0000-0000-0000F0390000}"/>
    <cellStyle name="Normal 4 3 2_ELEC SAP FCST UPLOAD" xfId="14795" xr:uid="{00000000-0005-0000-0000-0000F1390000}"/>
    <cellStyle name="Normal 4 3 3" xfId="14796" xr:uid="{00000000-0005-0000-0000-0000F2390000}"/>
    <cellStyle name="Normal 4 3 3 2" xfId="48251" xr:uid="{00000000-0005-0000-0000-0000F3390000}"/>
    <cellStyle name="Normal 4 3 3 3" xfId="48252" xr:uid="{00000000-0005-0000-0000-0000F4390000}"/>
    <cellStyle name="Normal 4 3 3 4" xfId="48253" xr:uid="{00000000-0005-0000-0000-0000F5390000}"/>
    <cellStyle name="Normal 4 3 4" xfId="14797" xr:uid="{00000000-0005-0000-0000-0000F6390000}"/>
    <cellStyle name="Normal 4 3 5" xfId="14798" xr:uid="{00000000-0005-0000-0000-0000F7390000}"/>
    <cellStyle name="Normal 4 3 6" xfId="14799" xr:uid="{00000000-0005-0000-0000-0000F8390000}"/>
    <cellStyle name="Normal 4 3_ELEC SAP FCST UPLOAD" xfId="14800" xr:uid="{00000000-0005-0000-0000-0000F9390000}"/>
    <cellStyle name="Normal 4 30" xfId="14801" xr:uid="{00000000-0005-0000-0000-0000FA390000}"/>
    <cellStyle name="Normal 4 31" xfId="14802" xr:uid="{00000000-0005-0000-0000-0000FB390000}"/>
    <cellStyle name="Normal 4 32" xfId="14803" xr:uid="{00000000-0005-0000-0000-0000FC390000}"/>
    <cellStyle name="Normal 4 33" xfId="14804" xr:uid="{00000000-0005-0000-0000-0000FD390000}"/>
    <cellStyle name="Normal 4 34" xfId="14805" xr:uid="{00000000-0005-0000-0000-0000FE390000}"/>
    <cellStyle name="Normal 4 35" xfId="14806" xr:uid="{00000000-0005-0000-0000-0000FF390000}"/>
    <cellStyle name="Normal 4 36" xfId="14807" xr:uid="{00000000-0005-0000-0000-0000003A0000}"/>
    <cellStyle name="Normal 4 37" xfId="14808" xr:uid="{00000000-0005-0000-0000-0000013A0000}"/>
    <cellStyle name="Normal 4 38" xfId="14809" xr:uid="{00000000-0005-0000-0000-0000023A0000}"/>
    <cellStyle name="Normal 4 39" xfId="14810" xr:uid="{00000000-0005-0000-0000-0000033A0000}"/>
    <cellStyle name="Normal 4 4" xfId="14811" xr:uid="{00000000-0005-0000-0000-0000043A0000}"/>
    <cellStyle name="Normal 4 4 2" xfId="48254" xr:uid="{00000000-0005-0000-0000-0000053A0000}"/>
    <cellStyle name="Normal 4 4 2 2" xfId="48255" xr:uid="{00000000-0005-0000-0000-0000063A0000}"/>
    <cellStyle name="Normal 4 4 2 3" xfId="48256" xr:uid="{00000000-0005-0000-0000-0000073A0000}"/>
    <cellStyle name="Normal 4 4 2 4" xfId="48257" xr:uid="{00000000-0005-0000-0000-0000083A0000}"/>
    <cellStyle name="Normal 4 4 3" xfId="48258" xr:uid="{00000000-0005-0000-0000-0000093A0000}"/>
    <cellStyle name="Normal 4 4 3 2" xfId="48259" xr:uid="{00000000-0005-0000-0000-00000A3A0000}"/>
    <cellStyle name="Normal 4 4 3 3" xfId="48260" xr:uid="{00000000-0005-0000-0000-00000B3A0000}"/>
    <cellStyle name="Normal 4 4 3 4" xfId="48261" xr:uid="{00000000-0005-0000-0000-00000C3A0000}"/>
    <cellStyle name="Normal 4 4 4" xfId="48262" xr:uid="{00000000-0005-0000-0000-00000D3A0000}"/>
    <cellStyle name="Normal 4 4 5" xfId="48263" xr:uid="{00000000-0005-0000-0000-00000E3A0000}"/>
    <cellStyle name="Normal 4 4 6" xfId="48264" xr:uid="{00000000-0005-0000-0000-00000F3A0000}"/>
    <cellStyle name="Normal 4 40" xfId="14812" xr:uid="{00000000-0005-0000-0000-0000103A0000}"/>
    <cellStyle name="Normal 4 41" xfId="14813" xr:uid="{00000000-0005-0000-0000-0000113A0000}"/>
    <cellStyle name="Normal 4 42" xfId="14814" xr:uid="{00000000-0005-0000-0000-0000123A0000}"/>
    <cellStyle name="Normal 4 43" xfId="14815" xr:uid="{00000000-0005-0000-0000-0000133A0000}"/>
    <cellStyle name="Normal 4 44" xfId="14816" xr:uid="{00000000-0005-0000-0000-0000143A0000}"/>
    <cellStyle name="Normal 4 45" xfId="14817" xr:uid="{00000000-0005-0000-0000-0000153A0000}"/>
    <cellStyle name="Normal 4 46" xfId="14818" xr:uid="{00000000-0005-0000-0000-0000163A0000}"/>
    <cellStyle name="Normal 4 47" xfId="14819" xr:uid="{00000000-0005-0000-0000-0000173A0000}"/>
    <cellStyle name="Normal 4 48" xfId="14820" xr:uid="{00000000-0005-0000-0000-0000183A0000}"/>
    <cellStyle name="Normal 4 49" xfId="14821" xr:uid="{00000000-0005-0000-0000-0000193A0000}"/>
    <cellStyle name="Normal 4 5" xfId="14822" xr:uid="{00000000-0005-0000-0000-00001A3A0000}"/>
    <cellStyle name="Normal 4 5 2" xfId="48265" xr:uid="{00000000-0005-0000-0000-00001B3A0000}"/>
    <cellStyle name="Normal 4 5 3" xfId="48266" xr:uid="{00000000-0005-0000-0000-00001C3A0000}"/>
    <cellStyle name="Normal 4 5 4" xfId="48267" xr:uid="{00000000-0005-0000-0000-00001D3A0000}"/>
    <cellStyle name="Normal 4 50" xfId="14823" xr:uid="{00000000-0005-0000-0000-00001E3A0000}"/>
    <cellStyle name="Normal 4 51" xfId="14824" xr:uid="{00000000-0005-0000-0000-00001F3A0000}"/>
    <cellStyle name="Normal 4 52" xfId="14825" xr:uid="{00000000-0005-0000-0000-0000203A0000}"/>
    <cellStyle name="Normal 4 53" xfId="14826" xr:uid="{00000000-0005-0000-0000-0000213A0000}"/>
    <cellStyle name="Normal 4 54" xfId="14827" xr:uid="{00000000-0005-0000-0000-0000223A0000}"/>
    <cellStyle name="Normal 4 55" xfId="14828" xr:uid="{00000000-0005-0000-0000-0000233A0000}"/>
    <cellStyle name="Normal 4 56" xfId="14829" xr:uid="{00000000-0005-0000-0000-0000243A0000}"/>
    <cellStyle name="Normal 4 57" xfId="14830" xr:uid="{00000000-0005-0000-0000-0000253A0000}"/>
    <cellStyle name="Normal 4 58" xfId="14831" xr:uid="{00000000-0005-0000-0000-0000263A0000}"/>
    <cellStyle name="Normal 4 59" xfId="14832" xr:uid="{00000000-0005-0000-0000-0000273A0000}"/>
    <cellStyle name="Normal 4 6" xfId="14833" xr:uid="{00000000-0005-0000-0000-0000283A0000}"/>
    <cellStyle name="Normal 4 6 2" xfId="48268" xr:uid="{00000000-0005-0000-0000-0000293A0000}"/>
    <cellStyle name="Normal 4 6 3" xfId="48269" xr:uid="{00000000-0005-0000-0000-00002A3A0000}"/>
    <cellStyle name="Normal 4 6 4" xfId="48270" xr:uid="{00000000-0005-0000-0000-00002B3A0000}"/>
    <cellStyle name="Normal 4 60" xfId="14834" xr:uid="{00000000-0005-0000-0000-00002C3A0000}"/>
    <cellStyle name="Normal 4 61" xfId="14835" xr:uid="{00000000-0005-0000-0000-00002D3A0000}"/>
    <cellStyle name="Normal 4 62" xfId="14836" xr:uid="{00000000-0005-0000-0000-00002E3A0000}"/>
    <cellStyle name="Normal 4 63" xfId="14837" xr:uid="{00000000-0005-0000-0000-00002F3A0000}"/>
    <cellStyle name="Normal 4 64" xfId="14838" xr:uid="{00000000-0005-0000-0000-0000303A0000}"/>
    <cellStyle name="Normal 4 65" xfId="14839" xr:uid="{00000000-0005-0000-0000-0000313A0000}"/>
    <cellStyle name="Normal 4 66" xfId="14840" xr:uid="{00000000-0005-0000-0000-0000323A0000}"/>
    <cellStyle name="Normal 4 67" xfId="14841" xr:uid="{00000000-0005-0000-0000-0000333A0000}"/>
    <cellStyle name="Normal 4 68" xfId="14842" xr:uid="{00000000-0005-0000-0000-0000343A0000}"/>
    <cellStyle name="Normal 4 69" xfId="14843" xr:uid="{00000000-0005-0000-0000-0000353A0000}"/>
    <cellStyle name="Normal 4 7" xfId="14844" xr:uid="{00000000-0005-0000-0000-0000363A0000}"/>
    <cellStyle name="Normal 4 7 10" xfId="14845" xr:uid="{00000000-0005-0000-0000-0000373A0000}"/>
    <cellStyle name="Normal 4 7 11" xfId="14846" xr:uid="{00000000-0005-0000-0000-0000383A0000}"/>
    <cellStyle name="Normal 4 7 12" xfId="14847" xr:uid="{00000000-0005-0000-0000-0000393A0000}"/>
    <cellStyle name="Normal 4 7 13" xfId="14848" xr:uid="{00000000-0005-0000-0000-00003A3A0000}"/>
    <cellStyle name="Normal 4 7 14" xfId="14849" xr:uid="{00000000-0005-0000-0000-00003B3A0000}"/>
    <cellStyle name="Normal 4 7 15" xfId="14850" xr:uid="{00000000-0005-0000-0000-00003C3A0000}"/>
    <cellStyle name="Normal 4 7 16" xfId="14851" xr:uid="{00000000-0005-0000-0000-00003D3A0000}"/>
    <cellStyle name="Normal 4 7 17" xfId="14852" xr:uid="{00000000-0005-0000-0000-00003E3A0000}"/>
    <cellStyle name="Normal 4 7 2" xfId="14853" xr:uid="{00000000-0005-0000-0000-00003F3A0000}"/>
    <cellStyle name="Normal 4 7 3" xfId="14854" xr:uid="{00000000-0005-0000-0000-0000403A0000}"/>
    <cellStyle name="Normal 4 7 4" xfId="14855" xr:uid="{00000000-0005-0000-0000-0000413A0000}"/>
    <cellStyle name="Normal 4 7 5" xfId="14856" xr:uid="{00000000-0005-0000-0000-0000423A0000}"/>
    <cellStyle name="Normal 4 7 6" xfId="14857" xr:uid="{00000000-0005-0000-0000-0000433A0000}"/>
    <cellStyle name="Normal 4 7 7" xfId="14858" xr:uid="{00000000-0005-0000-0000-0000443A0000}"/>
    <cellStyle name="Normal 4 7 8" xfId="14859" xr:uid="{00000000-0005-0000-0000-0000453A0000}"/>
    <cellStyle name="Normal 4 7 9" xfId="14860" xr:uid="{00000000-0005-0000-0000-0000463A0000}"/>
    <cellStyle name="Normal 4 70" xfId="14861" xr:uid="{00000000-0005-0000-0000-0000473A0000}"/>
    <cellStyle name="Normal 4 71" xfId="14862" xr:uid="{00000000-0005-0000-0000-0000483A0000}"/>
    <cellStyle name="Normal 4 72" xfId="14863" xr:uid="{00000000-0005-0000-0000-0000493A0000}"/>
    <cellStyle name="Normal 4 73" xfId="14864" xr:uid="{00000000-0005-0000-0000-00004A3A0000}"/>
    <cellStyle name="Normal 4 74" xfId="14865" xr:uid="{00000000-0005-0000-0000-00004B3A0000}"/>
    <cellStyle name="Normal 4 75" xfId="14866" xr:uid="{00000000-0005-0000-0000-00004C3A0000}"/>
    <cellStyle name="Normal 4 76" xfId="14867" xr:uid="{00000000-0005-0000-0000-00004D3A0000}"/>
    <cellStyle name="Normal 4 77" xfId="14868" xr:uid="{00000000-0005-0000-0000-00004E3A0000}"/>
    <cellStyle name="Normal 4 78" xfId="14869" xr:uid="{00000000-0005-0000-0000-00004F3A0000}"/>
    <cellStyle name="Normal 4 79" xfId="14870" xr:uid="{00000000-0005-0000-0000-0000503A0000}"/>
    <cellStyle name="Normal 4 8" xfId="14871" xr:uid="{00000000-0005-0000-0000-0000513A0000}"/>
    <cellStyle name="Normal 4 80" xfId="14872" xr:uid="{00000000-0005-0000-0000-0000523A0000}"/>
    <cellStyle name="Normal 4 81" xfId="14873" xr:uid="{00000000-0005-0000-0000-0000533A0000}"/>
    <cellStyle name="Normal 4 82" xfId="14874" xr:uid="{00000000-0005-0000-0000-0000543A0000}"/>
    <cellStyle name="Normal 4 83" xfId="14875" xr:uid="{00000000-0005-0000-0000-0000553A0000}"/>
    <cellStyle name="Normal 4 85" xfId="48423" xr:uid="{00000000-0005-0000-0000-0000563A0000}"/>
    <cellStyle name="Normal 4 9" xfId="14876" xr:uid="{00000000-0005-0000-0000-0000573A0000}"/>
    <cellStyle name="Normal 4 9 2" xfId="14877" xr:uid="{00000000-0005-0000-0000-0000583A0000}"/>
    <cellStyle name="Normal 4_Book1" xfId="14878" xr:uid="{00000000-0005-0000-0000-0000593A0000}"/>
    <cellStyle name="Normal 40" xfId="14879" xr:uid="{00000000-0005-0000-0000-00005A3A0000}"/>
    <cellStyle name="Normal 40 10" xfId="14880" xr:uid="{00000000-0005-0000-0000-00005B3A0000}"/>
    <cellStyle name="Normal 40 10 2" xfId="14881" xr:uid="{00000000-0005-0000-0000-00005C3A0000}"/>
    <cellStyle name="Normal 40 11" xfId="14882" xr:uid="{00000000-0005-0000-0000-00005D3A0000}"/>
    <cellStyle name="Normal 40 11 2" xfId="14883" xr:uid="{00000000-0005-0000-0000-00005E3A0000}"/>
    <cellStyle name="Normal 40 12" xfId="14884" xr:uid="{00000000-0005-0000-0000-00005F3A0000}"/>
    <cellStyle name="Normal 40 12 2" xfId="14885" xr:uid="{00000000-0005-0000-0000-0000603A0000}"/>
    <cellStyle name="Normal 40 13" xfId="14886" xr:uid="{00000000-0005-0000-0000-0000613A0000}"/>
    <cellStyle name="Normal 40 13 2" xfId="14887" xr:uid="{00000000-0005-0000-0000-0000623A0000}"/>
    <cellStyle name="Normal 40 14" xfId="14888" xr:uid="{00000000-0005-0000-0000-0000633A0000}"/>
    <cellStyle name="Normal 40 14 2" xfId="14889" xr:uid="{00000000-0005-0000-0000-0000643A0000}"/>
    <cellStyle name="Normal 40 15" xfId="14890" xr:uid="{00000000-0005-0000-0000-0000653A0000}"/>
    <cellStyle name="Normal 40 15 2" xfId="14891" xr:uid="{00000000-0005-0000-0000-0000663A0000}"/>
    <cellStyle name="Normal 40 16" xfId="14892" xr:uid="{00000000-0005-0000-0000-0000673A0000}"/>
    <cellStyle name="Normal 40 16 2" xfId="14893" xr:uid="{00000000-0005-0000-0000-0000683A0000}"/>
    <cellStyle name="Normal 40 17" xfId="14894" xr:uid="{00000000-0005-0000-0000-0000693A0000}"/>
    <cellStyle name="Normal 40 17 2" xfId="14895" xr:uid="{00000000-0005-0000-0000-00006A3A0000}"/>
    <cellStyle name="Normal 40 18" xfId="14896" xr:uid="{00000000-0005-0000-0000-00006B3A0000}"/>
    <cellStyle name="Normal 40 18 2" xfId="14897" xr:uid="{00000000-0005-0000-0000-00006C3A0000}"/>
    <cellStyle name="Normal 40 19" xfId="14898" xr:uid="{00000000-0005-0000-0000-00006D3A0000}"/>
    <cellStyle name="Normal 40 19 2" xfId="14899" xr:uid="{00000000-0005-0000-0000-00006E3A0000}"/>
    <cellStyle name="Normal 40 2" xfId="14900" xr:uid="{00000000-0005-0000-0000-00006F3A0000}"/>
    <cellStyle name="Normal 40 2 2" xfId="14901" xr:uid="{00000000-0005-0000-0000-0000703A0000}"/>
    <cellStyle name="Normal 40 2 2 2" xfId="14902" xr:uid="{00000000-0005-0000-0000-0000713A0000}"/>
    <cellStyle name="Normal 40 2 2 3" xfId="14903" xr:uid="{00000000-0005-0000-0000-0000723A0000}"/>
    <cellStyle name="Normal 40 2 2 4" xfId="14904" xr:uid="{00000000-0005-0000-0000-0000733A0000}"/>
    <cellStyle name="Normal 40 2 3" xfId="14905" xr:uid="{00000000-0005-0000-0000-0000743A0000}"/>
    <cellStyle name="Normal 40 2 3 2" xfId="14906" xr:uid="{00000000-0005-0000-0000-0000753A0000}"/>
    <cellStyle name="Normal 40 2 3 3" xfId="14907" xr:uid="{00000000-0005-0000-0000-0000763A0000}"/>
    <cellStyle name="Normal 40 2 3 4" xfId="14908" xr:uid="{00000000-0005-0000-0000-0000773A0000}"/>
    <cellStyle name="Normal 40 2 4" xfId="14909" xr:uid="{00000000-0005-0000-0000-0000783A0000}"/>
    <cellStyle name="Normal 40 2 5" xfId="14910" xr:uid="{00000000-0005-0000-0000-0000793A0000}"/>
    <cellStyle name="Normal 40 2 6" xfId="14911" xr:uid="{00000000-0005-0000-0000-00007A3A0000}"/>
    <cellStyle name="Normal 40 2 7" xfId="14912" xr:uid="{00000000-0005-0000-0000-00007B3A0000}"/>
    <cellStyle name="Normal 40 20" xfId="14913" xr:uid="{00000000-0005-0000-0000-00007C3A0000}"/>
    <cellStyle name="Normal 40 20 2" xfId="14914" xr:uid="{00000000-0005-0000-0000-00007D3A0000}"/>
    <cellStyle name="Normal 40 21" xfId="14915" xr:uid="{00000000-0005-0000-0000-00007E3A0000}"/>
    <cellStyle name="Normal 40 21 2" xfId="14916" xr:uid="{00000000-0005-0000-0000-00007F3A0000}"/>
    <cellStyle name="Normal 40 22" xfId="14917" xr:uid="{00000000-0005-0000-0000-0000803A0000}"/>
    <cellStyle name="Normal 40 22 2" xfId="14918" xr:uid="{00000000-0005-0000-0000-0000813A0000}"/>
    <cellStyle name="Normal 40 23" xfId="14919" xr:uid="{00000000-0005-0000-0000-0000823A0000}"/>
    <cellStyle name="Normal 40 24" xfId="14920" xr:uid="{00000000-0005-0000-0000-0000833A0000}"/>
    <cellStyle name="Normal 40 25" xfId="14921" xr:uid="{00000000-0005-0000-0000-0000843A0000}"/>
    <cellStyle name="Normal 40 26" xfId="14922" xr:uid="{00000000-0005-0000-0000-0000853A0000}"/>
    <cellStyle name="Normal 40 27" xfId="14923" xr:uid="{00000000-0005-0000-0000-0000863A0000}"/>
    <cellStyle name="Normal 40 28" xfId="14924" xr:uid="{00000000-0005-0000-0000-0000873A0000}"/>
    <cellStyle name="Normal 40 29" xfId="14925" xr:uid="{00000000-0005-0000-0000-0000883A0000}"/>
    <cellStyle name="Normal 40 3" xfId="14926" xr:uid="{00000000-0005-0000-0000-0000893A0000}"/>
    <cellStyle name="Normal 40 3 2" xfId="14927" xr:uid="{00000000-0005-0000-0000-00008A3A0000}"/>
    <cellStyle name="Normal 40 3 2 2" xfId="14928" xr:uid="{00000000-0005-0000-0000-00008B3A0000}"/>
    <cellStyle name="Normal 40 3 2 3" xfId="14929" xr:uid="{00000000-0005-0000-0000-00008C3A0000}"/>
    <cellStyle name="Normal 40 3 2 4" xfId="14930" xr:uid="{00000000-0005-0000-0000-00008D3A0000}"/>
    <cellStyle name="Normal 40 3 3" xfId="14931" xr:uid="{00000000-0005-0000-0000-00008E3A0000}"/>
    <cellStyle name="Normal 40 3 4" xfId="14932" xr:uid="{00000000-0005-0000-0000-00008F3A0000}"/>
    <cellStyle name="Normal 40 3 5" xfId="14933" xr:uid="{00000000-0005-0000-0000-0000903A0000}"/>
    <cellStyle name="Normal 40 3 6" xfId="14934" xr:uid="{00000000-0005-0000-0000-0000913A0000}"/>
    <cellStyle name="Normal 40 30" xfId="14935" xr:uid="{00000000-0005-0000-0000-0000923A0000}"/>
    <cellStyle name="Normal 40 31" xfId="14936" xr:uid="{00000000-0005-0000-0000-0000933A0000}"/>
    <cellStyle name="Normal 40 32" xfId="14937" xr:uid="{00000000-0005-0000-0000-0000943A0000}"/>
    <cellStyle name="Normal 40 33" xfId="14938" xr:uid="{00000000-0005-0000-0000-0000953A0000}"/>
    <cellStyle name="Normal 40 34" xfId="14939" xr:uid="{00000000-0005-0000-0000-0000963A0000}"/>
    <cellStyle name="Normal 40 35" xfId="14940" xr:uid="{00000000-0005-0000-0000-0000973A0000}"/>
    <cellStyle name="Normal 40 36" xfId="14941" xr:uid="{00000000-0005-0000-0000-0000983A0000}"/>
    <cellStyle name="Normal 40 37" xfId="14942" xr:uid="{00000000-0005-0000-0000-0000993A0000}"/>
    <cellStyle name="Normal 40 38" xfId="14943" xr:uid="{00000000-0005-0000-0000-00009A3A0000}"/>
    <cellStyle name="Normal 40 39" xfId="14944" xr:uid="{00000000-0005-0000-0000-00009B3A0000}"/>
    <cellStyle name="Normal 40 4" xfId="14945" xr:uid="{00000000-0005-0000-0000-00009C3A0000}"/>
    <cellStyle name="Normal 40 4 2" xfId="14946" xr:uid="{00000000-0005-0000-0000-00009D3A0000}"/>
    <cellStyle name="Normal 40 4 3" xfId="14947" xr:uid="{00000000-0005-0000-0000-00009E3A0000}"/>
    <cellStyle name="Normal 40 4 4" xfId="14948" xr:uid="{00000000-0005-0000-0000-00009F3A0000}"/>
    <cellStyle name="Normal 40 40" xfId="14949" xr:uid="{00000000-0005-0000-0000-0000A03A0000}"/>
    <cellStyle name="Normal 40 41" xfId="14950" xr:uid="{00000000-0005-0000-0000-0000A13A0000}"/>
    <cellStyle name="Normal 40 42" xfId="14951" xr:uid="{00000000-0005-0000-0000-0000A23A0000}"/>
    <cellStyle name="Normal 40 43" xfId="14952" xr:uid="{00000000-0005-0000-0000-0000A33A0000}"/>
    <cellStyle name="Normal 40 44" xfId="14953" xr:uid="{00000000-0005-0000-0000-0000A43A0000}"/>
    <cellStyle name="Normal 40 45" xfId="14954" xr:uid="{00000000-0005-0000-0000-0000A53A0000}"/>
    <cellStyle name="Normal 40 46" xfId="14955" xr:uid="{00000000-0005-0000-0000-0000A63A0000}"/>
    <cellStyle name="Normal 40 47" xfId="14956" xr:uid="{00000000-0005-0000-0000-0000A73A0000}"/>
    <cellStyle name="Normal 40 48" xfId="14957" xr:uid="{00000000-0005-0000-0000-0000A83A0000}"/>
    <cellStyle name="Normal 40 49" xfId="14958" xr:uid="{00000000-0005-0000-0000-0000A93A0000}"/>
    <cellStyle name="Normal 40 5" xfId="14959" xr:uid="{00000000-0005-0000-0000-0000AA3A0000}"/>
    <cellStyle name="Normal 40 5 2" xfId="14960" xr:uid="{00000000-0005-0000-0000-0000AB3A0000}"/>
    <cellStyle name="Normal 40 5 3" xfId="14961" xr:uid="{00000000-0005-0000-0000-0000AC3A0000}"/>
    <cellStyle name="Normal 40 5 4" xfId="14962" xr:uid="{00000000-0005-0000-0000-0000AD3A0000}"/>
    <cellStyle name="Normal 40 50" xfId="14963" xr:uid="{00000000-0005-0000-0000-0000AE3A0000}"/>
    <cellStyle name="Normal 40 51" xfId="14964" xr:uid="{00000000-0005-0000-0000-0000AF3A0000}"/>
    <cellStyle name="Normal 40 52" xfId="14965" xr:uid="{00000000-0005-0000-0000-0000B03A0000}"/>
    <cellStyle name="Normal 40 53" xfId="14966" xr:uid="{00000000-0005-0000-0000-0000B13A0000}"/>
    <cellStyle name="Normal 40 54" xfId="14967" xr:uid="{00000000-0005-0000-0000-0000B23A0000}"/>
    <cellStyle name="Normal 40 55" xfId="14968" xr:uid="{00000000-0005-0000-0000-0000B33A0000}"/>
    <cellStyle name="Normal 40 56" xfId="14969" xr:uid="{00000000-0005-0000-0000-0000B43A0000}"/>
    <cellStyle name="Normal 40 57" xfId="14970" xr:uid="{00000000-0005-0000-0000-0000B53A0000}"/>
    <cellStyle name="Normal 40 58" xfId="14971" xr:uid="{00000000-0005-0000-0000-0000B63A0000}"/>
    <cellStyle name="Normal 40 59" xfId="14972" xr:uid="{00000000-0005-0000-0000-0000B73A0000}"/>
    <cellStyle name="Normal 40 6" xfId="14973" xr:uid="{00000000-0005-0000-0000-0000B83A0000}"/>
    <cellStyle name="Normal 40 6 2" xfId="14974" xr:uid="{00000000-0005-0000-0000-0000B93A0000}"/>
    <cellStyle name="Normal 40 60" xfId="14975" xr:uid="{00000000-0005-0000-0000-0000BA3A0000}"/>
    <cellStyle name="Normal 40 61" xfId="14976" xr:uid="{00000000-0005-0000-0000-0000BB3A0000}"/>
    <cellStyle name="Normal 40 62" xfId="14977" xr:uid="{00000000-0005-0000-0000-0000BC3A0000}"/>
    <cellStyle name="Normal 40 63" xfId="14978" xr:uid="{00000000-0005-0000-0000-0000BD3A0000}"/>
    <cellStyle name="Normal 40 64" xfId="14979" xr:uid="{00000000-0005-0000-0000-0000BE3A0000}"/>
    <cellStyle name="Normal 40 65" xfId="14980" xr:uid="{00000000-0005-0000-0000-0000BF3A0000}"/>
    <cellStyle name="Normal 40 66" xfId="14981" xr:uid="{00000000-0005-0000-0000-0000C03A0000}"/>
    <cellStyle name="Normal 40 67" xfId="14982" xr:uid="{00000000-0005-0000-0000-0000C13A0000}"/>
    <cellStyle name="Normal 40 68" xfId="14983" xr:uid="{00000000-0005-0000-0000-0000C23A0000}"/>
    <cellStyle name="Normal 40 69" xfId="14984" xr:uid="{00000000-0005-0000-0000-0000C33A0000}"/>
    <cellStyle name="Normal 40 7" xfId="14985" xr:uid="{00000000-0005-0000-0000-0000C43A0000}"/>
    <cellStyle name="Normal 40 7 2" xfId="14986" xr:uid="{00000000-0005-0000-0000-0000C53A0000}"/>
    <cellStyle name="Normal 40 70" xfId="14987" xr:uid="{00000000-0005-0000-0000-0000C63A0000}"/>
    <cellStyle name="Normal 40 8" xfId="14988" xr:uid="{00000000-0005-0000-0000-0000C73A0000}"/>
    <cellStyle name="Normal 40 8 2" xfId="14989" xr:uid="{00000000-0005-0000-0000-0000C83A0000}"/>
    <cellStyle name="Normal 40 9" xfId="14990" xr:uid="{00000000-0005-0000-0000-0000C93A0000}"/>
    <cellStyle name="Normal 40 9 2" xfId="14991" xr:uid="{00000000-0005-0000-0000-0000CA3A0000}"/>
    <cellStyle name="Normal 41" xfId="14992" xr:uid="{00000000-0005-0000-0000-0000CB3A0000}"/>
    <cellStyle name="Normal 41 10" xfId="14993" xr:uid="{00000000-0005-0000-0000-0000CC3A0000}"/>
    <cellStyle name="Normal 41 10 2" xfId="14994" xr:uid="{00000000-0005-0000-0000-0000CD3A0000}"/>
    <cellStyle name="Normal 41 11" xfId="14995" xr:uid="{00000000-0005-0000-0000-0000CE3A0000}"/>
    <cellStyle name="Normal 41 11 2" xfId="14996" xr:uid="{00000000-0005-0000-0000-0000CF3A0000}"/>
    <cellStyle name="Normal 41 12" xfId="14997" xr:uid="{00000000-0005-0000-0000-0000D03A0000}"/>
    <cellStyle name="Normal 41 12 2" xfId="14998" xr:uid="{00000000-0005-0000-0000-0000D13A0000}"/>
    <cellStyle name="Normal 41 13" xfId="14999" xr:uid="{00000000-0005-0000-0000-0000D23A0000}"/>
    <cellStyle name="Normal 41 13 2" xfId="15000" xr:uid="{00000000-0005-0000-0000-0000D33A0000}"/>
    <cellStyle name="Normal 41 14" xfId="15001" xr:uid="{00000000-0005-0000-0000-0000D43A0000}"/>
    <cellStyle name="Normal 41 14 2" xfId="15002" xr:uid="{00000000-0005-0000-0000-0000D53A0000}"/>
    <cellStyle name="Normal 41 15" xfId="15003" xr:uid="{00000000-0005-0000-0000-0000D63A0000}"/>
    <cellStyle name="Normal 41 15 2" xfId="15004" xr:uid="{00000000-0005-0000-0000-0000D73A0000}"/>
    <cellStyle name="Normal 41 16" xfId="15005" xr:uid="{00000000-0005-0000-0000-0000D83A0000}"/>
    <cellStyle name="Normal 41 16 2" xfId="15006" xr:uid="{00000000-0005-0000-0000-0000D93A0000}"/>
    <cellStyle name="Normal 41 17" xfId="15007" xr:uid="{00000000-0005-0000-0000-0000DA3A0000}"/>
    <cellStyle name="Normal 41 17 2" xfId="15008" xr:uid="{00000000-0005-0000-0000-0000DB3A0000}"/>
    <cellStyle name="Normal 41 18" xfId="15009" xr:uid="{00000000-0005-0000-0000-0000DC3A0000}"/>
    <cellStyle name="Normal 41 18 2" xfId="15010" xr:uid="{00000000-0005-0000-0000-0000DD3A0000}"/>
    <cellStyle name="Normal 41 19" xfId="15011" xr:uid="{00000000-0005-0000-0000-0000DE3A0000}"/>
    <cellStyle name="Normal 41 19 2" xfId="15012" xr:uid="{00000000-0005-0000-0000-0000DF3A0000}"/>
    <cellStyle name="Normal 41 2" xfId="15013" xr:uid="{00000000-0005-0000-0000-0000E03A0000}"/>
    <cellStyle name="Normal 41 2 2" xfId="15014" xr:uid="{00000000-0005-0000-0000-0000E13A0000}"/>
    <cellStyle name="Normal 41 2 2 2" xfId="15015" xr:uid="{00000000-0005-0000-0000-0000E23A0000}"/>
    <cellStyle name="Normal 41 2 2 3" xfId="15016" xr:uid="{00000000-0005-0000-0000-0000E33A0000}"/>
    <cellStyle name="Normal 41 2 2 4" xfId="15017" xr:uid="{00000000-0005-0000-0000-0000E43A0000}"/>
    <cellStyle name="Normal 41 2 3" xfId="15018" xr:uid="{00000000-0005-0000-0000-0000E53A0000}"/>
    <cellStyle name="Normal 41 2 3 2" xfId="15019" xr:uid="{00000000-0005-0000-0000-0000E63A0000}"/>
    <cellStyle name="Normal 41 2 3 3" xfId="15020" xr:uid="{00000000-0005-0000-0000-0000E73A0000}"/>
    <cellStyle name="Normal 41 2 3 4" xfId="15021" xr:uid="{00000000-0005-0000-0000-0000E83A0000}"/>
    <cellStyle name="Normal 41 2 4" xfId="15022" xr:uid="{00000000-0005-0000-0000-0000E93A0000}"/>
    <cellStyle name="Normal 41 2 5" xfId="15023" xr:uid="{00000000-0005-0000-0000-0000EA3A0000}"/>
    <cellStyle name="Normal 41 2 6" xfId="15024" xr:uid="{00000000-0005-0000-0000-0000EB3A0000}"/>
    <cellStyle name="Normal 41 2 7" xfId="15025" xr:uid="{00000000-0005-0000-0000-0000EC3A0000}"/>
    <cellStyle name="Normal 41 20" xfId="15026" xr:uid="{00000000-0005-0000-0000-0000ED3A0000}"/>
    <cellStyle name="Normal 41 20 2" xfId="15027" xr:uid="{00000000-0005-0000-0000-0000EE3A0000}"/>
    <cellStyle name="Normal 41 21" xfId="15028" xr:uid="{00000000-0005-0000-0000-0000EF3A0000}"/>
    <cellStyle name="Normal 41 21 2" xfId="15029" xr:uid="{00000000-0005-0000-0000-0000F03A0000}"/>
    <cellStyle name="Normal 41 22" xfId="15030" xr:uid="{00000000-0005-0000-0000-0000F13A0000}"/>
    <cellStyle name="Normal 41 22 2" xfId="15031" xr:uid="{00000000-0005-0000-0000-0000F23A0000}"/>
    <cellStyle name="Normal 41 23" xfId="15032" xr:uid="{00000000-0005-0000-0000-0000F33A0000}"/>
    <cellStyle name="Normal 41 24" xfId="15033" xr:uid="{00000000-0005-0000-0000-0000F43A0000}"/>
    <cellStyle name="Normal 41 25" xfId="15034" xr:uid="{00000000-0005-0000-0000-0000F53A0000}"/>
    <cellStyle name="Normal 41 26" xfId="15035" xr:uid="{00000000-0005-0000-0000-0000F63A0000}"/>
    <cellStyle name="Normal 41 27" xfId="15036" xr:uid="{00000000-0005-0000-0000-0000F73A0000}"/>
    <cellStyle name="Normal 41 28" xfId="15037" xr:uid="{00000000-0005-0000-0000-0000F83A0000}"/>
    <cellStyle name="Normal 41 29" xfId="15038" xr:uid="{00000000-0005-0000-0000-0000F93A0000}"/>
    <cellStyle name="Normal 41 3" xfId="15039" xr:uid="{00000000-0005-0000-0000-0000FA3A0000}"/>
    <cellStyle name="Normal 41 3 2" xfId="15040" xr:uid="{00000000-0005-0000-0000-0000FB3A0000}"/>
    <cellStyle name="Normal 41 3 2 2" xfId="15041" xr:uid="{00000000-0005-0000-0000-0000FC3A0000}"/>
    <cellStyle name="Normal 41 3 2 3" xfId="15042" xr:uid="{00000000-0005-0000-0000-0000FD3A0000}"/>
    <cellStyle name="Normal 41 3 2 4" xfId="15043" xr:uid="{00000000-0005-0000-0000-0000FE3A0000}"/>
    <cellStyle name="Normal 41 3 3" xfId="15044" xr:uid="{00000000-0005-0000-0000-0000FF3A0000}"/>
    <cellStyle name="Normal 41 3 4" xfId="15045" xr:uid="{00000000-0005-0000-0000-0000003B0000}"/>
    <cellStyle name="Normal 41 3 5" xfId="15046" xr:uid="{00000000-0005-0000-0000-0000013B0000}"/>
    <cellStyle name="Normal 41 3 6" xfId="15047" xr:uid="{00000000-0005-0000-0000-0000023B0000}"/>
    <cellStyle name="Normal 41 30" xfId="15048" xr:uid="{00000000-0005-0000-0000-0000033B0000}"/>
    <cellStyle name="Normal 41 31" xfId="15049" xr:uid="{00000000-0005-0000-0000-0000043B0000}"/>
    <cellStyle name="Normal 41 32" xfId="15050" xr:uid="{00000000-0005-0000-0000-0000053B0000}"/>
    <cellStyle name="Normal 41 33" xfId="15051" xr:uid="{00000000-0005-0000-0000-0000063B0000}"/>
    <cellStyle name="Normal 41 34" xfId="15052" xr:uid="{00000000-0005-0000-0000-0000073B0000}"/>
    <cellStyle name="Normal 41 35" xfId="15053" xr:uid="{00000000-0005-0000-0000-0000083B0000}"/>
    <cellStyle name="Normal 41 36" xfId="15054" xr:uid="{00000000-0005-0000-0000-0000093B0000}"/>
    <cellStyle name="Normal 41 37" xfId="15055" xr:uid="{00000000-0005-0000-0000-00000A3B0000}"/>
    <cellStyle name="Normal 41 38" xfId="15056" xr:uid="{00000000-0005-0000-0000-00000B3B0000}"/>
    <cellStyle name="Normal 41 39" xfId="15057" xr:uid="{00000000-0005-0000-0000-00000C3B0000}"/>
    <cellStyle name="Normal 41 4" xfId="15058" xr:uid="{00000000-0005-0000-0000-00000D3B0000}"/>
    <cellStyle name="Normal 41 4 2" xfId="15059" xr:uid="{00000000-0005-0000-0000-00000E3B0000}"/>
    <cellStyle name="Normal 41 4 3" xfId="15060" xr:uid="{00000000-0005-0000-0000-00000F3B0000}"/>
    <cellStyle name="Normal 41 4 4" xfId="15061" xr:uid="{00000000-0005-0000-0000-0000103B0000}"/>
    <cellStyle name="Normal 41 40" xfId="15062" xr:uid="{00000000-0005-0000-0000-0000113B0000}"/>
    <cellStyle name="Normal 41 41" xfId="15063" xr:uid="{00000000-0005-0000-0000-0000123B0000}"/>
    <cellStyle name="Normal 41 42" xfId="15064" xr:uid="{00000000-0005-0000-0000-0000133B0000}"/>
    <cellStyle name="Normal 41 43" xfId="15065" xr:uid="{00000000-0005-0000-0000-0000143B0000}"/>
    <cellStyle name="Normal 41 44" xfId="15066" xr:uid="{00000000-0005-0000-0000-0000153B0000}"/>
    <cellStyle name="Normal 41 45" xfId="15067" xr:uid="{00000000-0005-0000-0000-0000163B0000}"/>
    <cellStyle name="Normal 41 46" xfId="15068" xr:uid="{00000000-0005-0000-0000-0000173B0000}"/>
    <cellStyle name="Normal 41 47" xfId="15069" xr:uid="{00000000-0005-0000-0000-0000183B0000}"/>
    <cellStyle name="Normal 41 48" xfId="15070" xr:uid="{00000000-0005-0000-0000-0000193B0000}"/>
    <cellStyle name="Normal 41 49" xfId="15071" xr:uid="{00000000-0005-0000-0000-00001A3B0000}"/>
    <cellStyle name="Normal 41 5" xfId="15072" xr:uid="{00000000-0005-0000-0000-00001B3B0000}"/>
    <cellStyle name="Normal 41 5 2" xfId="15073" xr:uid="{00000000-0005-0000-0000-00001C3B0000}"/>
    <cellStyle name="Normal 41 5 3" xfId="15074" xr:uid="{00000000-0005-0000-0000-00001D3B0000}"/>
    <cellStyle name="Normal 41 5 4" xfId="15075" xr:uid="{00000000-0005-0000-0000-00001E3B0000}"/>
    <cellStyle name="Normal 41 50" xfId="15076" xr:uid="{00000000-0005-0000-0000-00001F3B0000}"/>
    <cellStyle name="Normal 41 51" xfId="15077" xr:uid="{00000000-0005-0000-0000-0000203B0000}"/>
    <cellStyle name="Normal 41 52" xfId="15078" xr:uid="{00000000-0005-0000-0000-0000213B0000}"/>
    <cellStyle name="Normal 41 53" xfId="15079" xr:uid="{00000000-0005-0000-0000-0000223B0000}"/>
    <cellStyle name="Normal 41 54" xfId="15080" xr:uid="{00000000-0005-0000-0000-0000233B0000}"/>
    <cellStyle name="Normal 41 55" xfId="15081" xr:uid="{00000000-0005-0000-0000-0000243B0000}"/>
    <cellStyle name="Normal 41 56" xfId="15082" xr:uid="{00000000-0005-0000-0000-0000253B0000}"/>
    <cellStyle name="Normal 41 57" xfId="15083" xr:uid="{00000000-0005-0000-0000-0000263B0000}"/>
    <cellStyle name="Normal 41 58" xfId="15084" xr:uid="{00000000-0005-0000-0000-0000273B0000}"/>
    <cellStyle name="Normal 41 59" xfId="15085" xr:uid="{00000000-0005-0000-0000-0000283B0000}"/>
    <cellStyle name="Normal 41 6" xfId="15086" xr:uid="{00000000-0005-0000-0000-0000293B0000}"/>
    <cellStyle name="Normal 41 6 2" xfId="15087" xr:uid="{00000000-0005-0000-0000-00002A3B0000}"/>
    <cellStyle name="Normal 41 60" xfId="15088" xr:uid="{00000000-0005-0000-0000-00002B3B0000}"/>
    <cellStyle name="Normal 41 61" xfId="15089" xr:uid="{00000000-0005-0000-0000-00002C3B0000}"/>
    <cellStyle name="Normal 41 62" xfId="15090" xr:uid="{00000000-0005-0000-0000-00002D3B0000}"/>
    <cellStyle name="Normal 41 63" xfId="15091" xr:uid="{00000000-0005-0000-0000-00002E3B0000}"/>
    <cellStyle name="Normal 41 64" xfId="15092" xr:uid="{00000000-0005-0000-0000-00002F3B0000}"/>
    <cellStyle name="Normal 41 65" xfId="15093" xr:uid="{00000000-0005-0000-0000-0000303B0000}"/>
    <cellStyle name="Normal 41 66" xfId="15094" xr:uid="{00000000-0005-0000-0000-0000313B0000}"/>
    <cellStyle name="Normal 41 67" xfId="15095" xr:uid="{00000000-0005-0000-0000-0000323B0000}"/>
    <cellStyle name="Normal 41 68" xfId="15096" xr:uid="{00000000-0005-0000-0000-0000333B0000}"/>
    <cellStyle name="Normal 41 69" xfId="15097" xr:uid="{00000000-0005-0000-0000-0000343B0000}"/>
    <cellStyle name="Normal 41 7" xfId="15098" xr:uid="{00000000-0005-0000-0000-0000353B0000}"/>
    <cellStyle name="Normal 41 7 2" xfId="15099" xr:uid="{00000000-0005-0000-0000-0000363B0000}"/>
    <cellStyle name="Normal 41 70" xfId="15100" xr:uid="{00000000-0005-0000-0000-0000373B0000}"/>
    <cellStyle name="Normal 41 8" xfId="15101" xr:uid="{00000000-0005-0000-0000-0000383B0000}"/>
    <cellStyle name="Normal 41 8 2" xfId="15102" xr:uid="{00000000-0005-0000-0000-0000393B0000}"/>
    <cellStyle name="Normal 41 9" xfId="15103" xr:uid="{00000000-0005-0000-0000-00003A3B0000}"/>
    <cellStyle name="Normal 41 9 2" xfId="15104" xr:uid="{00000000-0005-0000-0000-00003B3B0000}"/>
    <cellStyle name="Normal 42" xfId="15105" xr:uid="{00000000-0005-0000-0000-00003C3B0000}"/>
    <cellStyle name="Normal 42 10" xfId="15106" xr:uid="{00000000-0005-0000-0000-00003D3B0000}"/>
    <cellStyle name="Normal 42 10 2" xfId="15107" xr:uid="{00000000-0005-0000-0000-00003E3B0000}"/>
    <cellStyle name="Normal 42 11" xfId="15108" xr:uid="{00000000-0005-0000-0000-00003F3B0000}"/>
    <cellStyle name="Normal 42 11 2" xfId="15109" xr:uid="{00000000-0005-0000-0000-0000403B0000}"/>
    <cellStyle name="Normal 42 12" xfId="15110" xr:uid="{00000000-0005-0000-0000-0000413B0000}"/>
    <cellStyle name="Normal 42 12 2" xfId="15111" xr:uid="{00000000-0005-0000-0000-0000423B0000}"/>
    <cellStyle name="Normal 42 13" xfId="15112" xr:uid="{00000000-0005-0000-0000-0000433B0000}"/>
    <cellStyle name="Normal 42 13 2" xfId="15113" xr:uid="{00000000-0005-0000-0000-0000443B0000}"/>
    <cellStyle name="Normal 42 14" xfId="15114" xr:uid="{00000000-0005-0000-0000-0000453B0000}"/>
    <cellStyle name="Normal 42 14 2" xfId="15115" xr:uid="{00000000-0005-0000-0000-0000463B0000}"/>
    <cellStyle name="Normal 42 15" xfId="15116" xr:uid="{00000000-0005-0000-0000-0000473B0000}"/>
    <cellStyle name="Normal 42 15 2" xfId="15117" xr:uid="{00000000-0005-0000-0000-0000483B0000}"/>
    <cellStyle name="Normal 42 16" xfId="15118" xr:uid="{00000000-0005-0000-0000-0000493B0000}"/>
    <cellStyle name="Normal 42 16 2" xfId="15119" xr:uid="{00000000-0005-0000-0000-00004A3B0000}"/>
    <cellStyle name="Normal 42 17" xfId="15120" xr:uid="{00000000-0005-0000-0000-00004B3B0000}"/>
    <cellStyle name="Normal 42 17 2" xfId="15121" xr:uid="{00000000-0005-0000-0000-00004C3B0000}"/>
    <cellStyle name="Normal 42 18" xfId="15122" xr:uid="{00000000-0005-0000-0000-00004D3B0000}"/>
    <cellStyle name="Normal 42 18 2" xfId="15123" xr:uid="{00000000-0005-0000-0000-00004E3B0000}"/>
    <cellStyle name="Normal 42 19" xfId="15124" xr:uid="{00000000-0005-0000-0000-00004F3B0000}"/>
    <cellStyle name="Normal 42 19 2" xfId="15125" xr:uid="{00000000-0005-0000-0000-0000503B0000}"/>
    <cellStyle name="Normal 42 2" xfId="15126" xr:uid="{00000000-0005-0000-0000-0000513B0000}"/>
    <cellStyle name="Normal 42 2 2" xfId="15127" xr:uid="{00000000-0005-0000-0000-0000523B0000}"/>
    <cellStyle name="Normal 42 2 2 2" xfId="15128" xr:uid="{00000000-0005-0000-0000-0000533B0000}"/>
    <cellStyle name="Normal 42 2 2 3" xfId="15129" xr:uid="{00000000-0005-0000-0000-0000543B0000}"/>
    <cellStyle name="Normal 42 2 2 4" xfId="15130" xr:uid="{00000000-0005-0000-0000-0000553B0000}"/>
    <cellStyle name="Normal 42 2 3" xfId="15131" xr:uid="{00000000-0005-0000-0000-0000563B0000}"/>
    <cellStyle name="Normal 42 2 3 2" xfId="15132" xr:uid="{00000000-0005-0000-0000-0000573B0000}"/>
    <cellStyle name="Normal 42 2 3 3" xfId="15133" xr:uid="{00000000-0005-0000-0000-0000583B0000}"/>
    <cellStyle name="Normal 42 2 3 4" xfId="15134" xr:uid="{00000000-0005-0000-0000-0000593B0000}"/>
    <cellStyle name="Normal 42 2 4" xfId="15135" xr:uid="{00000000-0005-0000-0000-00005A3B0000}"/>
    <cellStyle name="Normal 42 2 5" xfId="15136" xr:uid="{00000000-0005-0000-0000-00005B3B0000}"/>
    <cellStyle name="Normal 42 2 6" xfId="15137" xr:uid="{00000000-0005-0000-0000-00005C3B0000}"/>
    <cellStyle name="Normal 42 2 7" xfId="15138" xr:uid="{00000000-0005-0000-0000-00005D3B0000}"/>
    <cellStyle name="Normal 42 20" xfId="15139" xr:uid="{00000000-0005-0000-0000-00005E3B0000}"/>
    <cellStyle name="Normal 42 20 2" xfId="15140" xr:uid="{00000000-0005-0000-0000-00005F3B0000}"/>
    <cellStyle name="Normal 42 21" xfId="15141" xr:uid="{00000000-0005-0000-0000-0000603B0000}"/>
    <cellStyle name="Normal 42 21 2" xfId="15142" xr:uid="{00000000-0005-0000-0000-0000613B0000}"/>
    <cellStyle name="Normal 42 22" xfId="15143" xr:uid="{00000000-0005-0000-0000-0000623B0000}"/>
    <cellStyle name="Normal 42 22 2" xfId="15144" xr:uid="{00000000-0005-0000-0000-0000633B0000}"/>
    <cellStyle name="Normal 42 23" xfId="15145" xr:uid="{00000000-0005-0000-0000-0000643B0000}"/>
    <cellStyle name="Normal 42 24" xfId="15146" xr:uid="{00000000-0005-0000-0000-0000653B0000}"/>
    <cellStyle name="Normal 42 25" xfId="15147" xr:uid="{00000000-0005-0000-0000-0000663B0000}"/>
    <cellStyle name="Normal 42 26" xfId="15148" xr:uid="{00000000-0005-0000-0000-0000673B0000}"/>
    <cellStyle name="Normal 42 27" xfId="15149" xr:uid="{00000000-0005-0000-0000-0000683B0000}"/>
    <cellStyle name="Normal 42 28" xfId="15150" xr:uid="{00000000-0005-0000-0000-0000693B0000}"/>
    <cellStyle name="Normal 42 29" xfId="15151" xr:uid="{00000000-0005-0000-0000-00006A3B0000}"/>
    <cellStyle name="Normal 42 3" xfId="15152" xr:uid="{00000000-0005-0000-0000-00006B3B0000}"/>
    <cellStyle name="Normal 42 3 2" xfId="15153" xr:uid="{00000000-0005-0000-0000-00006C3B0000}"/>
    <cellStyle name="Normal 42 3 2 2" xfId="15154" xr:uid="{00000000-0005-0000-0000-00006D3B0000}"/>
    <cellStyle name="Normal 42 3 2 3" xfId="15155" xr:uid="{00000000-0005-0000-0000-00006E3B0000}"/>
    <cellStyle name="Normal 42 3 2 4" xfId="15156" xr:uid="{00000000-0005-0000-0000-00006F3B0000}"/>
    <cellStyle name="Normal 42 3 3" xfId="15157" xr:uid="{00000000-0005-0000-0000-0000703B0000}"/>
    <cellStyle name="Normal 42 3 4" xfId="15158" xr:uid="{00000000-0005-0000-0000-0000713B0000}"/>
    <cellStyle name="Normal 42 3 5" xfId="15159" xr:uid="{00000000-0005-0000-0000-0000723B0000}"/>
    <cellStyle name="Normal 42 3 6" xfId="15160" xr:uid="{00000000-0005-0000-0000-0000733B0000}"/>
    <cellStyle name="Normal 42 30" xfId="15161" xr:uid="{00000000-0005-0000-0000-0000743B0000}"/>
    <cellStyle name="Normal 42 31" xfId="15162" xr:uid="{00000000-0005-0000-0000-0000753B0000}"/>
    <cellStyle name="Normal 42 32" xfId="15163" xr:uid="{00000000-0005-0000-0000-0000763B0000}"/>
    <cellStyle name="Normal 42 33" xfId="15164" xr:uid="{00000000-0005-0000-0000-0000773B0000}"/>
    <cellStyle name="Normal 42 34" xfId="15165" xr:uid="{00000000-0005-0000-0000-0000783B0000}"/>
    <cellStyle name="Normal 42 35" xfId="15166" xr:uid="{00000000-0005-0000-0000-0000793B0000}"/>
    <cellStyle name="Normal 42 36" xfId="15167" xr:uid="{00000000-0005-0000-0000-00007A3B0000}"/>
    <cellStyle name="Normal 42 37" xfId="15168" xr:uid="{00000000-0005-0000-0000-00007B3B0000}"/>
    <cellStyle name="Normal 42 38" xfId="15169" xr:uid="{00000000-0005-0000-0000-00007C3B0000}"/>
    <cellStyle name="Normal 42 39" xfId="15170" xr:uid="{00000000-0005-0000-0000-00007D3B0000}"/>
    <cellStyle name="Normal 42 4" xfId="15171" xr:uid="{00000000-0005-0000-0000-00007E3B0000}"/>
    <cellStyle name="Normal 42 4 2" xfId="15172" xr:uid="{00000000-0005-0000-0000-00007F3B0000}"/>
    <cellStyle name="Normal 42 4 3" xfId="15173" xr:uid="{00000000-0005-0000-0000-0000803B0000}"/>
    <cellStyle name="Normal 42 4 4" xfId="15174" xr:uid="{00000000-0005-0000-0000-0000813B0000}"/>
    <cellStyle name="Normal 42 40" xfId="15175" xr:uid="{00000000-0005-0000-0000-0000823B0000}"/>
    <cellStyle name="Normal 42 41" xfId="15176" xr:uid="{00000000-0005-0000-0000-0000833B0000}"/>
    <cellStyle name="Normal 42 42" xfId="15177" xr:uid="{00000000-0005-0000-0000-0000843B0000}"/>
    <cellStyle name="Normal 42 43" xfId="15178" xr:uid="{00000000-0005-0000-0000-0000853B0000}"/>
    <cellStyle name="Normal 42 44" xfId="15179" xr:uid="{00000000-0005-0000-0000-0000863B0000}"/>
    <cellStyle name="Normal 42 45" xfId="15180" xr:uid="{00000000-0005-0000-0000-0000873B0000}"/>
    <cellStyle name="Normal 42 46" xfId="15181" xr:uid="{00000000-0005-0000-0000-0000883B0000}"/>
    <cellStyle name="Normal 42 47" xfId="15182" xr:uid="{00000000-0005-0000-0000-0000893B0000}"/>
    <cellStyle name="Normal 42 48" xfId="15183" xr:uid="{00000000-0005-0000-0000-00008A3B0000}"/>
    <cellStyle name="Normal 42 49" xfId="15184" xr:uid="{00000000-0005-0000-0000-00008B3B0000}"/>
    <cellStyle name="Normal 42 5" xfId="15185" xr:uid="{00000000-0005-0000-0000-00008C3B0000}"/>
    <cellStyle name="Normal 42 5 2" xfId="15186" xr:uid="{00000000-0005-0000-0000-00008D3B0000}"/>
    <cellStyle name="Normal 42 5 3" xfId="15187" xr:uid="{00000000-0005-0000-0000-00008E3B0000}"/>
    <cellStyle name="Normal 42 5 4" xfId="15188" xr:uid="{00000000-0005-0000-0000-00008F3B0000}"/>
    <cellStyle name="Normal 42 50" xfId="15189" xr:uid="{00000000-0005-0000-0000-0000903B0000}"/>
    <cellStyle name="Normal 42 51" xfId="15190" xr:uid="{00000000-0005-0000-0000-0000913B0000}"/>
    <cellStyle name="Normal 42 52" xfId="15191" xr:uid="{00000000-0005-0000-0000-0000923B0000}"/>
    <cellStyle name="Normal 42 53" xfId="15192" xr:uid="{00000000-0005-0000-0000-0000933B0000}"/>
    <cellStyle name="Normal 42 54" xfId="15193" xr:uid="{00000000-0005-0000-0000-0000943B0000}"/>
    <cellStyle name="Normal 42 55" xfId="15194" xr:uid="{00000000-0005-0000-0000-0000953B0000}"/>
    <cellStyle name="Normal 42 56" xfId="15195" xr:uid="{00000000-0005-0000-0000-0000963B0000}"/>
    <cellStyle name="Normal 42 57" xfId="15196" xr:uid="{00000000-0005-0000-0000-0000973B0000}"/>
    <cellStyle name="Normal 42 58" xfId="15197" xr:uid="{00000000-0005-0000-0000-0000983B0000}"/>
    <cellStyle name="Normal 42 59" xfId="15198" xr:uid="{00000000-0005-0000-0000-0000993B0000}"/>
    <cellStyle name="Normal 42 6" xfId="15199" xr:uid="{00000000-0005-0000-0000-00009A3B0000}"/>
    <cellStyle name="Normal 42 6 2" xfId="15200" xr:uid="{00000000-0005-0000-0000-00009B3B0000}"/>
    <cellStyle name="Normal 42 60" xfId="15201" xr:uid="{00000000-0005-0000-0000-00009C3B0000}"/>
    <cellStyle name="Normal 42 61" xfId="15202" xr:uid="{00000000-0005-0000-0000-00009D3B0000}"/>
    <cellStyle name="Normal 42 62" xfId="15203" xr:uid="{00000000-0005-0000-0000-00009E3B0000}"/>
    <cellStyle name="Normal 42 63" xfId="15204" xr:uid="{00000000-0005-0000-0000-00009F3B0000}"/>
    <cellStyle name="Normal 42 64" xfId="15205" xr:uid="{00000000-0005-0000-0000-0000A03B0000}"/>
    <cellStyle name="Normal 42 65" xfId="15206" xr:uid="{00000000-0005-0000-0000-0000A13B0000}"/>
    <cellStyle name="Normal 42 66" xfId="15207" xr:uid="{00000000-0005-0000-0000-0000A23B0000}"/>
    <cellStyle name="Normal 42 67" xfId="15208" xr:uid="{00000000-0005-0000-0000-0000A33B0000}"/>
    <cellStyle name="Normal 42 68" xfId="15209" xr:uid="{00000000-0005-0000-0000-0000A43B0000}"/>
    <cellStyle name="Normal 42 69" xfId="15210" xr:uid="{00000000-0005-0000-0000-0000A53B0000}"/>
    <cellStyle name="Normal 42 7" xfId="15211" xr:uid="{00000000-0005-0000-0000-0000A63B0000}"/>
    <cellStyle name="Normal 42 7 2" xfId="15212" xr:uid="{00000000-0005-0000-0000-0000A73B0000}"/>
    <cellStyle name="Normal 42 70" xfId="15213" xr:uid="{00000000-0005-0000-0000-0000A83B0000}"/>
    <cellStyle name="Normal 42 8" xfId="15214" xr:uid="{00000000-0005-0000-0000-0000A93B0000}"/>
    <cellStyle name="Normal 42 8 2" xfId="15215" xr:uid="{00000000-0005-0000-0000-0000AA3B0000}"/>
    <cellStyle name="Normal 42 9" xfId="15216" xr:uid="{00000000-0005-0000-0000-0000AB3B0000}"/>
    <cellStyle name="Normal 42 9 2" xfId="15217" xr:uid="{00000000-0005-0000-0000-0000AC3B0000}"/>
    <cellStyle name="Normal 43" xfId="15218" xr:uid="{00000000-0005-0000-0000-0000AD3B0000}"/>
    <cellStyle name="Normal 43 10" xfId="15219" xr:uid="{00000000-0005-0000-0000-0000AE3B0000}"/>
    <cellStyle name="Normal 43 10 2" xfId="15220" xr:uid="{00000000-0005-0000-0000-0000AF3B0000}"/>
    <cellStyle name="Normal 43 11" xfId="15221" xr:uid="{00000000-0005-0000-0000-0000B03B0000}"/>
    <cellStyle name="Normal 43 11 2" xfId="15222" xr:uid="{00000000-0005-0000-0000-0000B13B0000}"/>
    <cellStyle name="Normal 43 12" xfId="15223" xr:uid="{00000000-0005-0000-0000-0000B23B0000}"/>
    <cellStyle name="Normal 43 12 2" xfId="15224" xr:uid="{00000000-0005-0000-0000-0000B33B0000}"/>
    <cellStyle name="Normal 43 13" xfId="15225" xr:uid="{00000000-0005-0000-0000-0000B43B0000}"/>
    <cellStyle name="Normal 43 13 2" xfId="15226" xr:uid="{00000000-0005-0000-0000-0000B53B0000}"/>
    <cellStyle name="Normal 43 14" xfId="15227" xr:uid="{00000000-0005-0000-0000-0000B63B0000}"/>
    <cellStyle name="Normal 43 14 2" xfId="15228" xr:uid="{00000000-0005-0000-0000-0000B73B0000}"/>
    <cellStyle name="Normal 43 15" xfId="15229" xr:uid="{00000000-0005-0000-0000-0000B83B0000}"/>
    <cellStyle name="Normal 43 15 2" xfId="15230" xr:uid="{00000000-0005-0000-0000-0000B93B0000}"/>
    <cellStyle name="Normal 43 16" xfId="15231" xr:uid="{00000000-0005-0000-0000-0000BA3B0000}"/>
    <cellStyle name="Normal 43 16 2" xfId="15232" xr:uid="{00000000-0005-0000-0000-0000BB3B0000}"/>
    <cellStyle name="Normal 43 17" xfId="15233" xr:uid="{00000000-0005-0000-0000-0000BC3B0000}"/>
    <cellStyle name="Normal 43 17 2" xfId="15234" xr:uid="{00000000-0005-0000-0000-0000BD3B0000}"/>
    <cellStyle name="Normal 43 18" xfId="15235" xr:uid="{00000000-0005-0000-0000-0000BE3B0000}"/>
    <cellStyle name="Normal 43 18 2" xfId="15236" xr:uid="{00000000-0005-0000-0000-0000BF3B0000}"/>
    <cellStyle name="Normal 43 19" xfId="15237" xr:uid="{00000000-0005-0000-0000-0000C03B0000}"/>
    <cellStyle name="Normal 43 19 2" xfId="15238" xr:uid="{00000000-0005-0000-0000-0000C13B0000}"/>
    <cellStyle name="Normal 43 2" xfId="15239" xr:uid="{00000000-0005-0000-0000-0000C23B0000}"/>
    <cellStyle name="Normal 43 2 2" xfId="15240" xr:uid="{00000000-0005-0000-0000-0000C33B0000}"/>
    <cellStyle name="Normal 43 2 2 2" xfId="15241" xr:uid="{00000000-0005-0000-0000-0000C43B0000}"/>
    <cellStyle name="Normal 43 2 2 3" xfId="15242" xr:uid="{00000000-0005-0000-0000-0000C53B0000}"/>
    <cellStyle name="Normal 43 2 2 4" xfId="15243" xr:uid="{00000000-0005-0000-0000-0000C63B0000}"/>
    <cellStyle name="Normal 43 2 3" xfId="15244" xr:uid="{00000000-0005-0000-0000-0000C73B0000}"/>
    <cellStyle name="Normal 43 2 3 2" xfId="15245" xr:uid="{00000000-0005-0000-0000-0000C83B0000}"/>
    <cellStyle name="Normal 43 2 3 3" xfId="15246" xr:uid="{00000000-0005-0000-0000-0000C93B0000}"/>
    <cellStyle name="Normal 43 2 3 4" xfId="15247" xr:uid="{00000000-0005-0000-0000-0000CA3B0000}"/>
    <cellStyle name="Normal 43 2 4" xfId="15248" xr:uid="{00000000-0005-0000-0000-0000CB3B0000}"/>
    <cellStyle name="Normal 43 2 5" xfId="15249" xr:uid="{00000000-0005-0000-0000-0000CC3B0000}"/>
    <cellStyle name="Normal 43 2 6" xfId="15250" xr:uid="{00000000-0005-0000-0000-0000CD3B0000}"/>
    <cellStyle name="Normal 43 2 7" xfId="15251" xr:uid="{00000000-0005-0000-0000-0000CE3B0000}"/>
    <cellStyle name="Normal 43 20" xfId="15252" xr:uid="{00000000-0005-0000-0000-0000CF3B0000}"/>
    <cellStyle name="Normal 43 20 2" xfId="15253" xr:uid="{00000000-0005-0000-0000-0000D03B0000}"/>
    <cellStyle name="Normal 43 21" xfId="15254" xr:uid="{00000000-0005-0000-0000-0000D13B0000}"/>
    <cellStyle name="Normal 43 21 2" xfId="15255" xr:uid="{00000000-0005-0000-0000-0000D23B0000}"/>
    <cellStyle name="Normal 43 22" xfId="15256" xr:uid="{00000000-0005-0000-0000-0000D33B0000}"/>
    <cellStyle name="Normal 43 22 2" xfId="15257" xr:uid="{00000000-0005-0000-0000-0000D43B0000}"/>
    <cellStyle name="Normal 43 23" xfId="15258" xr:uid="{00000000-0005-0000-0000-0000D53B0000}"/>
    <cellStyle name="Normal 43 24" xfId="15259" xr:uid="{00000000-0005-0000-0000-0000D63B0000}"/>
    <cellStyle name="Normal 43 25" xfId="15260" xr:uid="{00000000-0005-0000-0000-0000D73B0000}"/>
    <cellStyle name="Normal 43 26" xfId="15261" xr:uid="{00000000-0005-0000-0000-0000D83B0000}"/>
    <cellStyle name="Normal 43 27" xfId="15262" xr:uid="{00000000-0005-0000-0000-0000D93B0000}"/>
    <cellStyle name="Normal 43 28" xfId="15263" xr:uid="{00000000-0005-0000-0000-0000DA3B0000}"/>
    <cellStyle name="Normal 43 29" xfId="15264" xr:uid="{00000000-0005-0000-0000-0000DB3B0000}"/>
    <cellStyle name="Normal 43 3" xfId="15265" xr:uid="{00000000-0005-0000-0000-0000DC3B0000}"/>
    <cellStyle name="Normal 43 3 2" xfId="15266" xr:uid="{00000000-0005-0000-0000-0000DD3B0000}"/>
    <cellStyle name="Normal 43 3 2 2" xfId="15267" xr:uid="{00000000-0005-0000-0000-0000DE3B0000}"/>
    <cellStyle name="Normal 43 3 2 3" xfId="15268" xr:uid="{00000000-0005-0000-0000-0000DF3B0000}"/>
    <cellStyle name="Normal 43 3 2 4" xfId="15269" xr:uid="{00000000-0005-0000-0000-0000E03B0000}"/>
    <cellStyle name="Normal 43 3 3" xfId="15270" xr:uid="{00000000-0005-0000-0000-0000E13B0000}"/>
    <cellStyle name="Normal 43 3 4" xfId="15271" xr:uid="{00000000-0005-0000-0000-0000E23B0000}"/>
    <cellStyle name="Normal 43 3 5" xfId="15272" xr:uid="{00000000-0005-0000-0000-0000E33B0000}"/>
    <cellStyle name="Normal 43 3 6" xfId="15273" xr:uid="{00000000-0005-0000-0000-0000E43B0000}"/>
    <cellStyle name="Normal 43 30" xfId="15274" xr:uid="{00000000-0005-0000-0000-0000E53B0000}"/>
    <cellStyle name="Normal 43 31" xfId="15275" xr:uid="{00000000-0005-0000-0000-0000E63B0000}"/>
    <cellStyle name="Normal 43 32" xfId="15276" xr:uid="{00000000-0005-0000-0000-0000E73B0000}"/>
    <cellStyle name="Normal 43 33" xfId="15277" xr:uid="{00000000-0005-0000-0000-0000E83B0000}"/>
    <cellStyle name="Normal 43 34" xfId="15278" xr:uid="{00000000-0005-0000-0000-0000E93B0000}"/>
    <cellStyle name="Normal 43 35" xfId="15279" xr:uid="{00000000-0005-0000-0000-0000EA3B0000}"/>
    <cellStyle name="Normal 43 36" xfId="15280" xr:uid="{00000000-0005-0000-0000-0000EB3B0000}"/>
    <cellStyle name="Normal 43 37" xfId="15281" xr:uid="{00000000-0005-0000-0000-0000EC3B0000}"/>
    <cellStyle name="Normal 43 38" xfId="15282" xr:uid="{00000000-0005-0000-0000-0000ED3B0000}"/>
    <cellStyle name="Normal 43 39" xfId="15283" xr:uid="{00000000-0005-0000-0000-0000EE3B0000}"/>
    <cellStyle name="Normal 43 4" xfId="15284" xr:uid="{00000000-0005-0000-0000-0000EF3B0000}"/>
    <cellStyle name="Normal 43 4 2" xfId="15285" xr:uid="{00000000-0005-0000-0000-0000F03B0000}"/>
    <cellStyle name="Normal 43 4 3" xfId="15286" xr:uid="{00000000-0005-0000-0000-0000F13B0000}"/>
    <cellStyle name="Normal 43 4 4" xfId="15287" xr:uid="{00000000-0005-0000-0000-0000F23B0000}"/>
    <cellStyle name="Normal 43 40" xfId="15288" xr:uid="{00000000-0005-0000-0000-0000F33B0000}"/>
    <cellStyle name="Normal 43 41" xfId="15289" xr:uid="{00000000-0005-0000-0000-0000F43B0000}"/>
    <cellStyle name="Normal 43 42" xfId="15290" xr:uid="{00000000-0005-0000-0000-0000F53B0000}"/>
    <cellStyle name="Normal 43 43" xfId="15291" xr:uid="{00000000-0005-0000-0000-0000F63B0000}"/>
    <cellStyle name="Normal 43 44" xfId="15292" xr:uid="{00000000-0005-0000-0000-0000F73B0000}"/>
    <cellStyle name="Normal 43 45" xfId="15293" xr:uid="{00000000-0005-0000-0000-0000F83B0000}"/>
    <cellStyle name="Normal 43 46" xfId="15294" xr:uid="{00000000-0005-0000-0000-0000F93B0000}"/>
    <cellStyle name="Normal 43 47" xfId="15295" xr:uid="{00000000-0005-0000-0000-0000FA3B0000}"/>
    <cellStyle name="Normal 43 48" xfId="15296" xr:uid="{00000000-0005-0000-0000-0000FB3B0000}"/>
    <cellStyle name="Normal 43 49" xfId="15297" xr:uid="{00000000-0005-0000-0000-0000FC3B0000}"/>
    <cellStyle name="Normal 43 5" xfId="15298" xr:uid="{00000000-0005-0000-0000-0000FD3B0000}"/>
    <cellStyle name="Normal 43 5 2" xfId="15299" xr:uid="{00000000-0005-0000-0000-0000FE3B0000}"/>
    <cellStyle name="Normal 43 5 3" xfId="15300" xr:uid="{00000000-0005-0000-0000-0000FF3B0000}"/>
    <cellStyle name="Normal 43 5 4" xfId="15301" xr:uid="{00000000-0005-0000-0000-0000003C0000}"/>
    <cellStyle name="Normal 43 50" xfId="15302" xr:uid="{00000000-0005-0000-0000-0000013C0000}"/>
    <cellStyle name="Normal 43 51" xfId="15303" xr:uid="{00000000-0005-0000-0000-0000023C0000}"/>
    <cellStyle name="Normal 43 52" xfId="15304" xr:uid="{00000000-0005-0000-0000-0000033C0000}"/>
    <cellStyle name="Normal 43 53" xfId="15305" xr:uid="{00000000-0005-0000-0000-0000043C0000}"/>
    <cellStyle name="Normal 43 54" xfId="15306" xr:uid="{00000000-0005-0000-0000-0000053C0000}"/>
    <cellStyle name="Normal 43 55" xfId="15307" xr:uid="{00000000-0005-0000-0000-0000063C0000}"/>
    <cellStyle name="Normal 43 56" xfId="15308" xr:uid="{00000000-0005-0000-0000-0000073C0000}"/>
    <cellStyle name="Normal 43 57" xfId="15309" xr:uid="{00000000-0005-0000-0000-0000083C0000}"/>
    <cellStyle name="Normal 43 58" xfId="15310" xr:uid="{00000000-0005-0000-0000-0000093C0000}"/>
    <cellStyle name="Normal 43 59" xfId="15311" xr:uid="{00000000-0005-0000-0000-00000A3C0000}"/>
    <cellStyle name="Normal 43 6" xfId="15312" xr:uid="{00000000-0005-0000-0000-00000B3C0000}"/>
    <cellStyle name="Normal 43 6 2" xfId="15313" xr:uid="{00000000-0005-0000-0000-00000C3C0000}"/>
    <cellStyle name="Normal 43 60" xfId="15314" xr:uid="{00000000-0005-0000-0000-00000D3C0000}"/>
    <cellStyle name="Normal 43 61" xfId="15315" xr:uid="{00000000-0005-0000-0000-00000E3C0000}"/>
    <cellStyle name="Normal 43 62" xfId="15316" xr:uid="{00000000-0005-0000-0000-00000F3C0000}"/>
    <cellStyle name="Normal 43 63" xfId="15317" xr:uid="{00000000-0005-0000-0000-0000103C0000}"/>
    <cellStyle name="Normal 43 64" xfId="15318" xr:uid="{00000000-0005-0000-0000-0000113C0000}"/>
    <cellStyle name="Normal 43 65" xfId="15319" xr:uid="{00000000-0005-0000-0000-0000123C0000}"/>
    <cellStyle name="Normal 43 66" xfId="15320" xr:uid="{00000000-0005-0000-0000-0000133C0000}"/>
    <cellStyle name="Normal 43 67" xfId="15321" xr:uid="{00000000-0005-0000-0000-0000143C0000}"/>
    <cellStyle name="Normal 43 68" xfId="15322" xr:uid="{00000000-0005-0000-0000-0000153C0000}"/>
    <cellStyle name="Normal 43 69" xfId="15323" xr:uid="{00000000-0005-0000-0000-0000163C0000}"/>
    <cellStyle name="Normal 43 7" xfId="15324" xr:uid="{00000000-0005-0000-0000-0000173C0000}"/>
    <cellStyle name="Normal 43 7 2" xfId="15325" xr:uid="{00000000-0005-0000-0000-0000183C0000}"/>
    <cellStyle name="Normal 43 70" xfId="15326" xr:uid="{00000000-0005-0000-0000-0000193C0000}"/>
    <cellStyle name="Normal 43 8" xfId="15327" xr:uid="{00000000-0005-0000-0000-00001A3C0000}"/>
    <cellStyle name="Normal 43 8 2" xfId="15328" xr:uid="{00000000-0005-0000-0000-00001B3C0000}"/>
    <cellStyle name="Normal 43 9" xfId="15329" xr:uid="{00000000-0005-0000-0000-00001C3C0000}"/>
    <cellStyle name="Normal 43 9 2" xfId="15330" xr:uid="{00000000-0005-0000-0000-00001D3C0000}"/>
    <cellStyle name="Normal 44" xfId="15331" xr:uid="{00000000-0005-0000-0000-00001E3C0000}"/>
    <cellStyle name="Normal 44 10" xfId="15332" xr:uid="{00000000-0005-0000-0000-00001F3C0000}"/>
    <cellStyle name="Normal 44 10 2" xfId="15333" xr:uid="{00000000-0005-0000-0000-0000203C0000}"/>
    <cellStyle name="Normal 44 11" xfId="15334" xr:uid="{00000000-0005-0000-0000-0000213C0000}"/>
    <cellStyle name="Normal 44 11 2" xfId="15335" xr:uid="{00000000-0005-0000-0000-0000223C0000}"/>
    <cellStyle name="Normal 44 12" xfId="15336" xr:uid="{00000000-0005-0000-0000-0000233C0000}"/>
    <cellStyle name="Normal 44 12 2" xfId="15337" xr:uid="{00000000-0005-0000-0000-0000243C0000}"/>
    <cellStyle name="Normal 44 13" xfId="15338" xr:uid="{00000000-0005-0000-0000-0000253C0000}"/>
    <cellStyle name="Normal 44 13 2" xfId="15339" xr:uid="{00000000-0005-0000-0000-0000263C0000}"/>
    <cellStyle name="Normal 44 14" xfId="15340" xr:uid="{00000000-0005-0000-0000-0000273C0000}"/>
    <cellStyle name="Normal 44 14 2" xfId="15341" xr:uid="{00000000-0005-0000-0000-0000283C0000}"/>
    <cellStyle name="Normal 44 15" xfId="15342" xr:uid="{00000000-0005-0000-0000-0000293C0000}"/>
    <cellStyle name="Normal 44 15 2" xfId="15343" xr:uid="{00000000-0005-0000-0000-00002A3C0000}"/>
    <cellStyle name="Normal 44 16" xfId="15344" xr:uid="{00000000-0005-0000-0000-00002B3C0000}"/>
    <cellStyle name="Normal 44 16 2" xfId="15345" xr:uid="{00000000-0005-0000-0000-00002C3C0000}"/>
    <cellStyle name="Normal 44 17" xfId="15346" xr:uid="{00000000-0005-0000-0000-00002D3C0000}"/>
    <cellStyle name="Normal 44 17 2" xfId="15347" xr:uid="{00000000-0005-0000-0000-00002E3C0000}"/>
    <cellStyle name="Normal 44 18" xfId="15348" xr:uid="{00000000-0005-0000-0000-00002F3C0000}"/>
    <cellStyle name="Normal 44 18 2" xfId="15349" xr:uid="{00000000-0005-0000-0000-0000303C0000}"/>
    <cellStyle name="Normal 44 19" xfId="15350" xr:uid="{00000000-0005-0000-0000-0000313C0000}"/>
    <cellStyle name="Normal 44 19 2" xfId="15351" xr:uid="{00000000-0005-0000-0000-0000323C0000}"/>
    <cellStyle name="Normal 44 2" xfId="15352" xr:uid="{00000000-0005-0000-0000-0000333C0000}"/>
    <cellStyle name="Normal 44 2 2" xfId="15353" xr:uid="{00000000-0005-0000-0000-0000343C0000}"/>
    <cellStyle name="Normal 44 2 2 2" xfId="15354" xr:uid="{00000000-0005-0000-0000-0000353C0000}"/>
    <cellStyle name="Normal 44 2 2 3" xfId="15355" xr:uid="{00000000-0005-0000-0000-0000363C0000}"/>
    <cellStyle name="Normal 44 2 2 4" xfId="15356" xr:uid="{00000000-0005-0000-0000-0000373C0000}"/>
    <cellStyle name="Normal 44 2 3" xfId="15357" xr:uid="{00000000-0005-0000-0000-0000383C0000}"/>
    <cellStyle name="Normal 44 2 3 2" xfId="15358" xr:uid="{00000000-0005-0000-0000-0000393C0000}"/>
    <cellStyle name="Normal 44 2 3 3" xfId="15359" xr:uid="{00000000-0005-0000-0000-00003A3C0000}"/>
    <cellStyle name="Normal 44 2 3 4" xfId="15360" xr:uid="{00000000-0005-0000-0000-00003B3C0000}"/>
    <cellStyle name="Normal 44 2 4" xfId="15361" xr:uid="{00000000-0005-0000-0000-00003C3C0000}"/>
    <cellStyle name="Normal 44 2 5" xfId="15362" xr:uid="{00000000-0005-0000-0000-00003D3C0000}"/>
    <cellStyle name="Normal 44 2 6" xfId="15363" xr:uid="{00000000-0005-0000-0000-00003E3C0000}"/>
    <cellStyle name="Normal 44 2 7" xfId="15364" xr:uid="{00000000-0005-0000-0000-00003F3C0000}"/>
    <cellStyle name="Normal 44 20" xfId="15365" xr:uid="{00000000-0005-0000-0000-0000403C0000}"/>
    <cellStyle name="Normal 44 20 2" xfId="15366" xr:uid="{00000000-0005-0000-0000-0000413C0000}"/>
    <cellStyle name="Normal 44 21" xfId="15367" xr:uid="{00000000-0005-0000-0000-0000423C0000}"/>
    <cellStyle name="Normal 44 21 2" xfId="15368" xr:uid="{00000000-0005-0000-0000-0000433C0000}"/>
    <cellStyle name="Normal 44 22" xfId="15369" xr:uid="{00000000-0005-0000-0000-0000443C0000}"/>
    <cellStyle name="Normal 44 22 2" xfId="15370" xr:uid="{00000000-0005-0000-0000-0000453C0000}"/>
    <cellStyle name="Normal 44 23" xfId="15371" xr:uid="{00000000-0005-0000-0000-0000463C0000}"/>
    <cellStyle name="Normal 44 24" xfId="15372" xr:uid="{00000000-0005-0000-0000-0000473C0000}"/>
    <cellStyle name="Normal 44 25" xfId="15373" xr:uid="{00000000-0005-0000-0000-0000483C0000}"/>
    <cellStyle name="Normal 44 26" xfId="15374" xr:uid="{00000000-0005-0000-0000-0000493C0000}"/>
    <cellStyle name="Normal 44 27" xfId="15375" xr:uid="{00000000-0005-0000-0000-00004A3C0000}"/>
    <cellStyle name="Normal 44 28" xfId="15376" xr:uid="{00000000-0005-0000-0000-00004B3C0000}"/>
    <cellStyle name="Normal 44 29" xfId="15377" xr:uid="{00000000-0005-0000-0000-00004C3C0000}"/>
    <cellStyle name="Normal 44 3" xfId="15378" xr:uid="{00000000-0005-0000-0000-00004D3C0000}"/>
    <cellStyle name="Normal 44 3 2" xfId="15379" xr:uid="{00000000-0005-0000-0000-00004E3C0000}"/>
    <cellStyle name="Normal 44 3 2 2" xfId="15380" xr:uid="{00000000-0005-0000-0000-00004F3C0000}"/>
    <cellStyle name="Normal 44 3 2 3" xfId="15381" xr:uid="{00000000-0005-0000-0000-0000503C0000}"/>
    <cellStyle name="Normal 44 3 2 4" xfId="15382" xr:uid="{00000000-0005-0000-0000-0000513C0000}"/>
    <cellStyle name="Normal 44 3 3" xfId="15383" xr:uid="{00000000-0005-0000-0000-0000523C0000}"/>
    <cellStyle name="Normal 44 3 4" xfId="15384" xr:uid="{00000000-0005-0000-0000-0000533C0000}"/>
    <cellStyle name="Normal 44 3 5" xfId="15385" xr:uid="{00000000-0005-0000-0000-0000543C0000}"/>
    <cellStyle name="Normal 44 3 6" xfId="15386" xr:uid="{00000000-0005-0000-0000-0000553C0000}"/>
    <cellStyle name="Normal 44 30" xfId="15387" xr:uid="{00000000-0005-0000-0000-0000563C0000}"/>
    <cellStyle name="Normal 44 31" xfId="15388" xr:uid="{00000000-0005-0000-0000-0000573C0000}"/>
    <cellStyle name="Normal 44 32" xfId="15389" xr:uid="{00000000-0005-0000-0000-0000583C0000}"/>
    <cellStyle name="Normal 44 33" xfId="15390" xr:uid="{00000000-0005-0000-0000-0000593C0000}"/>
    <cellStyle name="Normal 44 34" xfId="15391" xr:uid="{00000000-0005-0000-0000-00005A3C0000}"/>
    <cellStyle name="Normal 44 35" xfId="15392" xr:uid="{00000000-0005-0000-0000-00005B3C0000}"/>
    <cellStyle name="Normal 44 36" xfId="15393" xr:uid="{00000000-0005-0000-0000-00005C3C0000}"/>
    <cellStyle name="Normal 44 37" xfId="15394" xr:uid="{00000000-0005-0000-0000-00005D3C0000}"/>
    <cellStyle name="Normal 44 38" xfId="15395" xr:uid="{00000000-0005-0000-0000-00005E3C0000}"/>
    <cellStyle name="Normal 44 39" xfId="15396" xr:uid="{00000000-0005-0000-0000-00005F3C0000}"/>
    <cellStyle name="Normal 44 4" xfId="15397" xr:uid="{00000000-0005-0000-0000-0000603C0000}"/>
    <cellStyle name="Normal 44 4 2" xfId="15398" xr:uid="{00000000-0005-0000-0000-0000613C0000}"/>
    <cellStyle name="Normal 44 4 3" xfId="15399" xr:uid="{00000000-0005-0000-0000-0000623C0000}"/>
    <cellStyle name="Normal 44 4 4" xfId="15400" xr:uid="{00000000-0005-0000-0000-0000633C0000}"/>
    <cellStyle name="Normal 44 40" xfId="15401" xr:uid="{00000000-0005-0000-0000-0000643C0000}"/>
    <cellStyle name="Normal 44 41" xfId="15402" xr:uid="{00000000-0005-0000-0000-0000653C0000}"/>
    <cellStyle name="Normal 44 42" xfId="15403" xr:uid="{00000000-0005-0000-0000-0000663C0000}"/>
    <cellStyle name="Normal 44 43" xfId="15404" xr:uid="{00000000-0005-0000-0000-0000673C0000}"/>
    <cellStyle name="Normal 44 44" xfId="15405" xr:uid="{00000000-0005-0000-0000-0000683C0000}"/>
    <cellStyle name="Normal 44 45" xfId="15406" xr:uid="{00000000-0005-0000-0000-0000693C0000}"/>
    <cellStyle name="Normal 44 46" xfId="15407" xr:uid="{00000000-0005-0000-0000-00006A3C0000}"/>
    <cellStyle name="Normal 44 47" xfId="15408" xr:uid="{00000000-0005-0000-0000-00006B3C0000}"/>
    <cellStyle name="Normal 44 48" xfId="15409" xr:uid="{00000000-0005-0000-0000-00006C3C0000}"/>
    <cellStyle name="Normal 44 49" xfId="15410" xr:uid="{00000000-0005-0000-0000-00006D3C0000}"/>
    <cellStyle name="Normal 44 5" xfId="15411" xr:uid="{00000000-0005-0000-0000-00006E3C0000}"/>
    <cellStyle name="Normal 44 5 2" xfId="15412" xr:uid="{00000000-0005-0000-0000-00006F3C0000}"/>
    <cellStyle name="Normal 44 5 3" xfId="15413" xr:uid="{00000000-0005-0000-0000-0000703C0000}"/>
    <cellStyle name="Normal 44 5 4" xfId="15414" xr:uid="{00000000-0005-0000-0000-0000713C0000}"/>
    <cellStyle name="Normal 44 50" xfId="15415" xr:uid="{00000000-0005-0000-0000-0000723C0000}"/>
    <cellStyle name="Normal 44 51" xfId="15416" xr:uid="{00000000-0005-0000-0000-0000733C0000}"/>
    <cellStyle name="Normal 44 52" xfId="15417" xr:uid="{00000000-0005-0000-0000-0000743C0000}"/>
    <cellStyle name="Normal 44 53" xfId="15418" xr:uid="{00000000-0005-0000-0000-0000753C0000}"/>
    <cellStyle name="Normal 44 54" xfId="15419" xr:uid="{00000000-0005-0000-0000-0000763C0000}"/>
    <cellStyle name="Normal 44 55" xfId="15420" xr:uid="{00000000-0005-0000-0000-0000773C0000}"/>
    <cellStyle name="Normal 44 56" xfId="15421" xr:uid="{00000000-0005-0000-0000-0000783C0000}"/>
    <cellStyle name="Normal 44 57" xfId="15422" xr:uid="{00000000-0005-0000-0000-0000793C0000}"/>
    <cellStyle name="Normal 44 58" xfId="15423" xr:uid="{00000000-0005-0000-0000-00007A3C0000}"/>
    <cellStyle name="Normal 44 59" xfId="15424" xr:uid="{00000000-0005-0000-0000-00007B3C0000}"/>
    <cellStyle name="Normal 44 6" xfId="15425" xr:uid="{00000000-0005-0000-0000-00007C3C0000}"/>
    <cellStyle name="Normal 44 6 2" xfId="15426" xr:uid="{00000000-0005-0000-0000-00007D3C0000}"/>
    <cellStyle name="Normal 44 60" xfId="15427" xr:uid="{00000000-0005-0000-0000-00007E3C0000}"/>
    <cellStyle name="Normal 44 61" xfId="15428" xr:uid="{00000000-0005-0000-0000-00007F3C0000}"/>
    <cellStyle name="Normal 44 62" xfId="15429" xr:uid="{00000000-0005-0000-0000-0000803C0000}"/>
    <cellStyle name="Normal 44 63" xfId="15430" xr:uid="{00000000-0005-0000-0000-0000813C0000}"/>
    <cellStyle name="Normal 44 64" xfId="15431" xr:uid="{00000000-0005-0000-0000-0000823C0000}"/>
    <cellStyle name="Normal 44 65" xfId="15432" xr:uid="{00000000-0005-0000-0000-0000833C0000}"/>
    <cellStyle name="Normal 44 66" xfId="15433" xr:uid="{00000000-0005-0000-0000-0000843C0000}"/>
    <cellStyle name="Normal 44 67" xfId="15434" xr:uid="{00000000-0005-0000-0000-0000853C0000}"/>
    <cellStyle name="Normal 44 68" xfId="15435" xr:uid="{00000000-0005-0000-0000-0000863C0000}"/>
    <cellStyle name="Normal 44 69" xfId="15436" xr:uid="{00000000-0005-0000-0000-0000873C0000}"/>
    <cellStyle name="Normal 44 7" xfId="15437" xr:uid="{00000000-0005-0000-0000-0000883C0000}"/>
    <cellStyle name="Normal 44 7 2" xfId="15438" xr:uid="{00000000-0005-0000-0000-0000893C0000}"/>
    <cellStyle name="Normal 44 70" xfId="15439" xr:uid="{00000000-0005-0000-0000-00008A3C0000}"/>
    <cellStyle name="Normal 44 8" xfId="15440" xr:uid="{00000000-0005-0000-0000-00008B3C0000}"/>
    <cellStyle name="Normal 44 8 2" xfId="15441" xr:uid="{00000000-0005-0000-0000-00008C3C0000}"/>
    <cellStyle name="Normal 44 9" xfId="15442" xr:uid="{00000000-0005-0000-0000-00008D3C0000}"/>
    <cellStyle name="Normal 44 9 2" xfId="15443" xr:uid="{00000000-0005-0000-0000-00008E3C0000}"/>
    <cellStyle name="Normal 45" xfId="15444" xr:uid="{00000000-0005-0000-0000-00008F3C0000}"/>
    <cellStyle name="Normal 45 10" xfId="15445" xr:uid="{00000000-0005-0000-0000-0000903C0000}"/>
    <cellStyle name="Normal 45 10 2" xfId="15446" xr:uid="{00000000-0005-0000-0000-0000913C0000}"/>
    <cellStyle name="Normal 45 11" xfId="15447" xr:uid="{00000000-0005-0000-0000-0000923C0000}"/>
    <cellStyle name="Normal 45 11 2" xfId="15448" xr:uid="{00000000-0005-0000-0000-0000933C0000}"/>
    <cellStyle name="Normal 45 12" xfId="15449" xr:uid="{00000000-0005-0000-0000-0000943C0000}"/>
    <cellStyle name="Normal 45 12 2" xfId="15450" xr:uid="{00000000-0005-0000-0000-0000953C0000}"/>
    <cellStyle name="Normal 45 13" xfId="15451" xr:uid="{00000000-0005-0000-0000-0000963C0000}"/>
    <cellStyle name="Normal 45 13 2" xfId="15452" xr:uid="{00000000-0005-0000-0000-0000973C0000}"/>
    <cellStyle name="Normal 45 14" xfId="15453" xr:uid="{00000000-0005-0000-0000-0000983C0000}"/>
    <cellStyle name="Normal 45 14 2" xfId="15454" xr:uid="{00000000-0005-0000-0000-0000993C0000}"/>
    <cellStyle name="Normal 45 15" xfId="15455" xr:uid="{00000000-0005-0000-0000-00009A3C0000}"/>
    <cellStyle name="Normal 45 15 2" xfId="15456" xr:uid="{00000000-0005-0000-0000-00009B3C0000}"/>
    <cellStyle name="Normal 45 16" xfId="15457" xr:uid="{00000000-0005-0000-0000-00009C3C0000}"/>
    <cellStyle name="Normal 45 16 2" xfId="15458" xr:uid="{00000000-0005-0000-0000-00009D3C0000}"/>
    <cellStyle name="Normal 45 17" xfId="15459" xr:uid="{00000000-0005-0000-0000-00009E3C0000}"/>
    <cellStyle name="Normal 45 17 2" xfId="15460" xr:uid="{00000000-0005-0000-0000-00009F3C0000}"/>
    <cellStyle name="Normal 45 18" xfId="15461" xr:uid="{00000000-0005-0000-0000-0000A03C0000}"/>
    <cellStyle name="Normal 45 18 2" xfId="15462" xr:uid="{00000000-0005-0000-0000-0000A13C0000}"/>
    <cellStyle name="Normal 45 19" xfId="15463" xr:uid="{00000000-0005-0000-0000-0000A23C0000}"/>
    <cellStyle name="Normal 45 19 2" xfId="15464" xr:uid="{00000000-0005-0000-0000-0000A33C0000}"/>
    <cellStyle name="Normal 45 2" xfId="15465" xr:uid="{00000000-0005-0000-0000-0000A43C0000}"/>
    <cellStyle name="Normal 45 2 2" xfId="15466" xr:uid="{00000000-0005-0000-0000-0000A53C0000}"/>
    <cellStyle name="Normal 45 2 2 2" xfId="15467" xr:uid="{00000000-0005-0000-0000-0000A63C0000}"/>
    <cellStyle name="Normal 45 2 2 3" xfId="15468" xr:uid="{00000000-0005-0000-0000-0000A73C0000}"/>
    <cellStyle name="Normal 45 2 2 4" xfId="15469" xr:uid="{00000000-0005-0000-0000-0000A83C0000}"/>
    <cellStyle name="Normal 45 2 3" xfId="15470" xr:uid="{00000000-0005-0000-0000-0000A93C0000}"/>
    <cellStyle name="Normal 45 2 3 2" xfId="15471" xr:uid="{00000000-0005-0000-0000-0000AA3C0000}"/>
    <cellStyle name="Normal 45 2 3 3" xfId="15472" xr:uid="{00000000-0005-0000-0000-0000AB3C0000}"/>
    <cellStyle name="Normal 45 2 3 4" xfId="15473" xr:uid="{00000000-0005-0000-0000-0000AC3C0000}"/>
    <cellStyle name="Normal 45 2 4" xfId="15474" xr:uid="{00000000-0005-0000-0000-0000AD3C0000}"/>
    <cellStyle name="Normal 45 2 5" xfId="15475" xr:uid="{00000000-0005-0000-0000-0000AE3C0000}"/>
    <cellStyle name="Normal 45 2 6" xfId="15476" xr:uid="{00000000-0005-0000-0000-0000AF3C0000}"/>
    <cellStyle name="Normal 45 2 7" xfId="15477" xr:uid="{00000000-0005-0000-0000-0000B03C0000}"/>
    <cellStyle name="Normal 45 20" xfId="15478" xr:uid="{00000000-0005-0000-0000-0000B13C0000}"/>
    <cellStyle name="Normal 45 20 2" xfId="15479" xr:uid="{00000000-0005-0000-0000-0000B23C0000}"/>
    <cellStyle name="Normal 45 21" xfId="15480" xr:uid="{00000000-0005-0000-0000-0000B33C0000}"/>
    <cellStyle name="Normal 45 21 2" xfId="15481" xr:uid="{00000000-0005-0000-0000-0000B43C0000}"/>
    <cellStyle name="Normal 45 22" xfId="15482" xr:uid="{00000000-0005-0000-0000-0000B53C0000}"/>
    <cellStyle name="Normal 45 22 2" xfId="15483" xr:uid="{00000000-0005-0000-0000-0000B63C0000}"/>
    <cellStyle name="Normal 45 23" xfId="15484" xr:uid="{00000000-0005-0000-0000-0000B73C0000}"/>
    <cellStyle name="Normal 45 24" xfId="15485" xr:uid="{00000000-0005-0000-0000-0000B83C0000}"/>
    <cellStyle name="Normal 45 25" xfId="15486" xr:uid="{00000000-0005-0000-0000-0000B93C0000}"/>
    <cellStyle name="Normal 45 26" xfId="15487" xr:uid="{00000000-0005-0000-0000-0000BA3C0000}"/>
    <cellStyle name="Normal 45 27" xfId="15488" xr:uid="{00000000-0005-0000-0000-0000BB3C0000}"/>
    <cellStyle name="Normal 45 28" xfId="15489" xr:uid="{00000000-0005-0000-0000-0000BC3C0000}"/>
    <cellStyle name="Normal 45 29" xfId="15490" xr:uid="{00000000-0005-0000-0000-0000BD3C0000}"/>
    <cellStyle name="Normal 45 3" xfId="15491" xr:uid="{00000000-0005-0000-0000-0000BE3C0000}"/>
    <cellStyle name="Normal 45 3 2" xfId="15492" xr:uid="{00000000-0005-0000-0000-0000BF3C0000}"/>
    <cellStyle name="Normal 45 3 2 2" xfId="15493" xr:uid="{00000000-0005-0000-0000-0000C03C0000}"/>
    <cellStyle name="Normal 45 3 2 3" xfId="15494" xr:uid="{00000000-0005-0000-0000-0000C13C0000}"/>
    <cellStyle name="Normal 45 3 2 4" xfId="15495" xr:uid="{00000000-0005-0000-0000-0000C23C0000}"/>
    <cellStyle name="Normal 45 3 3" xfId="15496" xr:uid="{00000000-0005-0000-0000-0000C33C0000}"/>
    <cellStyle name="Normal 45 3 4" xfId="15497" xr:uid="{00000000-0005-0000-0000-0000C43C0000}"/>
    <cellStyle name="Normal 45 3 5" xfId="15498" xr:uid="{00000000-0005-0000-0000-0000C53C0000}"/>
    <cellStyle name="Normal 45 3 6" xfId="15499" xr:uid="{00000000-0005-0000-0000-0000C63C0000}"/>
    <cellStyle name="Normal 45 30" xfId="15500" xr:uid="{00000000-0005-0000-0000-0000C73C0000}"/>
    <cellStyle name="Normal 45 31" xfId="15501" xr:uid="{00000000-0005-0000-0000-0000C83C0000}"/>
    <cellStyle name="Normal 45 32" xfId="15502" xr:uid="{00000000-0005-0000-0000-0000C93C0000}"/>
    <cellStyle name="Normal 45 33" xfId="15503" xr:uid="{00000000-0005-0000-0000-0000CA3C0000}"/>
    <cellStyle name="Normal 45 34" xfId="15504" xr:uid="{00000000-0005-0000-0000-0000CB3C0000}"/>
    <cellStyle name="Normal 45 35" xfId="15505" xr:uid="{00000000-0005-0000-0000-0000CC3C0000}"/>
    <cellStyle name="Normal 45 36" xfId="15506" xr:uid="{00000000-0005-0000-0000-0000CD3C0000}"/>
    <cellStyle name="Normal 45 37" xfId="15507" xr:uid="{00000000-0005-0000-0000-0000CE3C0000}"/>
    <cellStyle name="Normal 45 38" xfId="15508" xr:uid="{00000000-0005-0000-0000-0000CF3C0000}"/>
    <cellStyle name="Normal 45 39" xfId="15509" xr:uid="{00000000-0005-0000-0000-0000D03C0000}"/>
    <cellStyle name="Normal 45 4" xfId="15510" xr:uid="{00000000-0005-0000-0000-0000D13C0000}"/>
    <cellStyle name="Normal 45 4 2" xfId="15511" xr:uid="{00000000-0005-0000-0000-0000D23C0000}"/>
    <cellStyle name="Normal 45 4 3" xfId="15512" xr:uid="{00000000-0005-0000-0000-0000D33C0000}"/>
    <cellStyle name="Normal 45 4 4" xfId="15513" xr:uid="{00000000-0005-0000-0000-0000D43C0000}"/>
    <cellStyle name="Normal 45 40" xfId="15514" xr:uid="{00000000-0005-0000-0000-0000D53C0000}"/>
    <cellStyle name="Normal 45 41" xfId="15515" xr:uid="{00000000-0005-0000-0000-0000D63C0000}"/>
    <cellStyle name="Normal 45 42" xfId="15516" xr:uid="{00000000-0005-0000-0000-0000D73C0000}"/>
    <cellStyle name="Normal 45 43" xfId="15517" xr:uid="{00000000-0005-0000-0000-0000D83C0000}"/>
    <cellStyle name="Normal 45 44" xfId="15518" xr:uid="{00000000-0005-0000-0000-0000D93C0000}"/>
    <cellStyle name="Normal 45 45" xfId="15519" xr:uid="{00000000-0005-0000-0000-0000DA3C0000}"/>
    <cellStyle name="Normal 45 46" xfId="15520" xr:uid="{00000000-0005-0000-0000-0000DB3C0000}"/>
    <cellStyle name="Normal 45 47" xfId="15521" xr:uid="{00000000-0005-0000-0000-0000DC3C0000}"/>
    <cellStyle name="Normal 45 48" xfId="15522" xr:uid="{00000000-0005-0000-0000-0000DD3C0000}"/>
    <cellStyle name="Normal 45 49" xfId="15523" xr:uid="{00000000-0005-0000-0000-0000DE3C0000}"/>
    <cellStyle name="Normal 45 5" xfId="15524" xr:uid="{00000000-0005-0000-0000-0000DF3C0000}"/>
    <cellStyle name="Normal 45 5 2" xfId="15525" xr:uid="{00000000-0005-0000-0000-0000E03C0000}"/>
    <cellStyle name="Normal 45 5 3" xfId="15526" xr:uid="{00000000-0005-0000-0000-0000E13C0000}"/>
    <cellStyle name="Normal 45 5 4" xfId="15527" xr:uid="{00000000-0005-0000-0000-0000E23C0000}"/>
    <cellStyle name="Normal 45 50" xfId="15528" xr:uid="{00000000-0005-0000-0000-0000E33C0000}"/>
    <cellStyle name="Normal 45 51" xfId="15529" xr:uid="{00000000-0005-0000-0000-0000E43C0000}"/>
    <cellStyle name="Normal 45 52" xfId="15530" xr:uid="{00000000-0005-0000-0000-0000E53C0000}"/>
    <cellStyle name="Normal 45 53" xfId="15531" xr:uid="{00000000-0005-0000-0000-0000E63C0000}"/>
    <cellStyle name="Normal 45 54" xfId="15532" xr:uid="{00000000-0005-0000-0000-0000E73C0000}"/>
    <cellStyle name="Normal 45 55" xfId="15533" xr:uid="{00000000-0005-0000-0000-0000E83C0000}"/>
    <cellStyle name="Normal 45 56" xfId="15534" xr:uid="{00000000-0005-0000-0000-0000E93C0000}"/>
    <cellStyle name="Normal 45 57" xfId="15535" xr:uid="{00000000-0005-0000-0000-0000EA3C0000}"/>
    <cellStyle name="Normal 45 58" xfId="15536" xr:uid="{00000000-0005-0000-0000-0000EB3C0000}"/>
    <cellStyle name="Normal 45 59" xfId="15537" xr:uid="{00000000-0005-0000-0000-0000EC3C0000}"/>
    <cellStyle name="Normal 45 6" xfId="15538" xr:uid="{00000000-0005-0000-0000-0000ED3C0000}"/>
    <cellStyle name="Normal 45 6 2" xfId="15539" xr:uid="{00000000-0005-0000-0000-0000EE3C0000}"/>
    <cellStyle name="Normal 45 60" xfId="15540" xr:uid="{00000000-0005-0000-0000-0000EF3C0000}"/>
    <cellStyle name="Normal 45 61" xfId="15541" xr:uid="{00000000-0005-0000-0000-0000F03C0000}"/>
    <cellStyle name="Normal 45 62" xfId="15542" xr:uid="{00000000-0005-0000-0000-0000F13C0000}"/>
    <cellStyle name="Normal 45 63" xfId="15543" xr:uid="{00000000-0005-0000-0000-0000F23C0000}"/>
    <cellStyle name="Normal 45 64" xfId="15544" xr:uid="{00000000-0005-0000-0000-0000F33C0000}"/>
    <cellStyle name="Normal 45 65" xfId="15545" xr:uid="{00000000-0005-0000-0000-0000F43C0000}"/>
    <cellStyle name="Normal 45 66" xfId="15546" xr:uid="{00000000-0005-0000-0000-0000F53C0000}"/>
    <cellStyle name="Normal 45 67" xfId="15547" xr:uid="{00000000-0005-0000-0000-0000F63C0000}"/>
    <cellStyle name="Normal 45 68" xfId="15548" xr:uid="{00000000-0005-0000-0000-0000F73C0000}"/>
    <cellStyle name="Normal 45 69" xfId="15549" xr:uid="{00000000-0005-0000-0000-0000F83C0000}"/>
    <cellStyle name="Normal 45 7" xfId="15550" xr:uid="{00000000-0005-0000-0000-0000F93C0000}"/>
    <cellStyle name="Normal 45 7 2" xfId="15551" xr:uid="{00000000-0005-0000-0000-0000FA3C0000}"/>
    <cellStyle name="Normal 45 70" xfId="15552" xr:uid="{00000000-0005-0000-0000-0000FB3C0000}"/>
    <cellStyle name="Normal 45 8" xfId="15553" xr:uid="{00000000-0005-0000-0000-0000FC3C0000}"/>
    <cellStyle name="Normal 45 8 2" xfId="15554" xr:uid="{00000000-0005-0000-0000-0000FD3C0000}"/>
    <cellStyle name="Normal 45 9" xfId="15555" xr:uid="{00000000-0005-0000-0000-0000FE3C0000}"/>
    <cellStyle name="Normal 45 9 2" xfId="15556" xr:uid="{00000000-0005-0000-0000-0000FF3C0000}"/>
    <cellStyle name="Normal 46" xfId="15557" xr:uid="{00000000-0005-0000-0000-0000003D0000}"/>
    <cellStyle name="Normal 46 10" xfId="15558" xr:uid="{00000000-0005-0000-0000-0000013D0000}"/>
    <cellStyle name="Normal 46 10 2" xfId="15559" xr:uid="{00000000-0005-0000-0000-0000023D0000}"/>
    <cellStyle name="Normal 46 11" xfId="15560" xr:uid="{00000000-0005-0000-0000-0000033D0000}"/>
    <cellStyle name="Normal 46 11 2" xfId="15561" xr:uid="{00000000-0005-0000-0000-0000043D0000}"/>
    <cellStyle name="Normal 46 12" xfId="15562" xr:uid="{00000000-0005-0000-0000-0000053D0000}"/>
    <cellStyle name="Normal 46 12 2" xfId="15563" xr:uid="{00000000-0005-0000-0000-0000063D0000}"/>
    <cellStyle name="Normal 46 13" xfId="15564" xr:uid="{00000000-0005-0000-0000-0000073D0000}"/>
    <cellStyle name="Normal 46 13 2" xfId="15565" xr:uid="{00000000-0005-0000-0000-0000083D0000}"/>
    <cellStyle name="Normal 46 14" xfId="15566" xr:uid="{00000000-0005-0000-0000-0000093D0000}"/>
    <cellStyle name="Normal 46 14 2" xfId="15567" xr:uid="{00000000-0005-0000-0000-00000A3D0000}"/>
    <cellStyle name="Normal 46 15" xfId="15568" xr:uid="{00000000-0005-0000-0000-00000B3D0000}"/>
    <cellStyle name="Normal 46 15 2" xfId="15569" xr:uid="{00000000-0005-0000-0000-00000C3D0000}"/>
    <cellStyle name="Normal 46 16" xfId="15570" xr:uid="{00000000-0005-0000-0000-00000D3D0000}"/>
    <cellStyle name="Normal 46 16 2" xfId="15571" xr:uid="{00000000-0005-0000-0000-00000E3D0000}"/>
    <cellStyle name="Normal 46 17" xfId="15572" xr:uid="{00000000-0005-0000-0000-00000F3D0000}"/>
    <cellStyle name="Normal 46 17 2" xfId="15573" xr:uid="{00000000-0005-0000-0000-0000103D0000}"/>
    <cellStyle name="Normal 46 18" xfId="15574" xr:uid="{00000000-0005-0000-0000-0000113D0000}"/>
    <cellStyle name="Normal 46 18 2" xfId="15575" xr:uid="{00000000-0005-0000-0000-0000123D0000}"/>
    <cellStyle name="Normal 46 19" xfId="15576" xr:uid="{00000000-0005-0000-0000-0000133D0000}"/>
    <cellStyle name="Normal 46 19 2" xfId="15577" xr:uid="{00000000-0005-0000-0000-0000143D0000}"/>
    <cellStyle name="Normal 46 2" xfId="15578" xr:uid="{00000000-0005-0000-0000-0000153D0000}"/>
    <cellStyle name="Normal 46 2 2" xfId="15579" xr:uid="{00000000-0005-0000-0000-0000163D0000}"/>
    <cellStyle name="Normal 46 2 2 2" xfId="15580" xr:uid="{00000000-0005-0000-0000-0000173D0000}"/>
    <cellStyle name="Normal 46 2 2 3" xfId="15581" xr:uid="{00000000-0005-0000-0000-0000183D0000}"/>
    <cellStyle name="Normal 46 2 2 4" xfId="15582" xr:uid="{00000000-0005-0000-0000-0000193D0000}"/>
    <cellStyle name="Normal 46 2 3" xfId="15583" xr:uid="{00000000-0005-0000-0000-00001A3D0000}"/>
    <cellStyle name="Normal 46 2 3 2" xfId="15584" xr:uid="{00000000-0005-0000-0000-00001B3D0000}"/>
    <cellStyle name="Normal 46 2 3 3" xfId="15585" xr:uid="{00000000-0005-0000-0000-00001C3D0000}"/>
    <cellStyle name="Normal 46 2 3 4" xfId="15586" xr:uid="{00000000-0005-0000-0000-00001D3D0000}"/>
    <cellStyle name="Normal 46 2 4" xfId="15587" xr:uid="{00000000-0005-0000-0000-00001E3D0000}"/>
    <cellStyle name="Normal 46 2 5" xfId="15588" xr:uid="{00000000-0005-0000-0000-00001F3D0000}"/>
    <cellStyle name="Normal 46 2 6" xfId="15589" xr:uid="{00000000-0005-0000-0000-0000203D0000}"/>
    <cellStyle name="Normal 46 2 7" xfId="15590" xr:uid="{00000000-0005-0000-0000-0000213D0000}"/>
    <cellStyle name="Normal 46 20" xfId="15591" xr:uid="{00000000-0005-0000-0000-0000223D0000}"/>
    <cellStyle name="Normal 46 20 2" xfId="15592" xr:uid="{00000000-0005-0000-0000-0000233D0000}"/>
    <cellStyle name="Normal 46 21" xfId="15593" xr:uid="{00000000-0005-0000-0000-0000243D0000}"/>
    <cellStyle name="Normal 46 21 2" xfId="15594" xr:uid="{00000000-0005-0000-0000-0000253D0000}"/>
    <cellStyle name="Normal 46 22" xfId="15595" xr:uid="{00000000-0005-0000-0000-0000263D0000}"/>
    <cellStyle name="Normal 46 22 2" xfId="15596" xr:uid="{00000000-0005-0000-0000-0000273D0000}"/>
    <cellStyle name="Normal 46 23" xfId="15597" xr:uid="{00000000-0005-0000-0000-0000283D0000}"/>
    <cellStyle name="Normal 46 24" xfId="15598" xr:uid="{00000000-0005-0000-0000-0000293D0000}"/>
    <cellStyle name="Normal 46 25" xfId="15599" xr:uid="{00000000-0005-0000-0000-00002A3D0000}"/>
    <cellStyle name="Normal 46 26" xfId="15600" xr:uid="{00000000-0005-0000-0000-00002B3D0000}"/>
    <cellStyle name="Normal 46 27" xfId="15601" xr:uid="{00000000-0005-0000-0000-00002C3D0000}"/>
    <cellStyle name="Normal 46 28" xfId="15602" xr:uid="{00000000-0005-0000-0000-00002D3D0000}"/>
    <cellStyle name="Normal 46 29" xfId="15603" xr:uid="{00000000-0005-0000-0000-00002E3D0000}"/>
    <cellStyle name="Normal 46 3" xfId="15604" xr:uid="{00000000-0005-0000-0000-00002F3D0000}"/>
    <cellStyle name="Normal 46 3 2" xfId="15605" xr:uid="{00000000-0005-0000-0000-0000303D0000}"/>
    <cellStyle name="Normal 46 3 2 2" xfId="15606" xr:uid="{00000000-0005-0000-0000-0000313D0000}"/>
    <cellStyle name="Normal 46 3 2 3" xfId="15607" xr:uid="{00000000-0005-0000-0000-0000323D0000}"/>
    <cellStyle name="Normal 46 3 2 4" xfId="15608" xr:uid="{00000000-0005-0000-0000-0000333D0000}"/>
    <cellStyle name="Normal 46 3 3" xfId="15609" xr:uid="{00000000-0005-0000-0000-0000343D0000}"/>
    <cellStyle name="Normal 46 3 4" xfId="15610" xr:uid="{00000000-0005-0000-0000-0000353D0000}"/>
    <cellStyle name="Normal 46 3 5" xfId="15611" xr:uid="{00000000-0005-0000-0000-0000363D0000}"/>
    <cellStyle name="Normal 46 3 6" xfId="15612" xr:uid="{00000000-0005-0000-0000-0000373D0000}"/>
    <cellStyle name="Normal 46 30" xfId="15613" xr:uid="{00000000-0005-0000-0000-0000383D0000}"/>
    <cellStyle name="Normal 46 31" xfId="15614" xr:uid="{00000000-0005-0000-0000-0000393D0000}"/>
    <cellStyle name="Normal 46 32" xfId="15615" xr:uid="{00000000-0005-0000-0000-00003A3D0000}"/>
    <cellStyle name="Normal 46 33" xfId="15616" xr:uid="{00000000-0005-0000-0000-00003B3D0000}"/>
    <cellStyle name="Normal 46 34" xfId="15617" xr:uid="{00000000-0005-0000-0000-00003C3D0000}"/>
    <cellStyle name="Normal 46 35" xfId="15618" xr:uid="{00000000-0005-0000-0000-00003D3D0000}"/>
    <cellStyle name="Normal 46 36" xfId="15619" xr:uid="{00000000-0005-0000-0000-00003E3D0000}"/>
    <cellStyle name="Normal 46 37" xfId="15620" xr:uid="{00000000-0005-0000-0000-00003F3D0000}"/>
    <cellStyle name="Normal 46 38" xfId="15621" xr:uid="{00000000-0005-0000-0000-0000403D0000}"/>
    <cellStyle name="Normal 46 39" xfId="15622" xr:uid="{00000000-0005-0000-0000-0000413D0000}"/>
    <cellStyle name="Normal 46 4" xfId="15623" xr:uid="{00000000-0005-0000-0000-0000423D0000}"/>
    <cellStyle name="Normal 46 4 2" xfId="15624" xr:uid="{00000000-0005-0000-0000-0000433D0000}"/>
    <cellStyle name="Normal 46 4 3" xfId="15625" xr:uid="{00000000-0005-0000-0000-0000443D0000}"/>
    <cellStyle name="Normal 46 4 4" xfId="15626" xr:uid="{00000000-0005-0000-0000-0000453D0000}"/>
    <cellStyle name="Normal 46 40" xfId="15627" xr:uid="{00000000-0005-0000-0000-0000463D0000}"/>
    <cellStyle name="Normal 46 41" xfId="15628" xr:uid="{00000000-0005-0000-0000-0000473D0000}"/>
    <cellStyle name="Normal 46 42" xfId="15629" xr:uid="{00000000-0005-0000-0000-0000483D0000}"/>
    <cellStyle name="Normal 46 43" xfId="15630" xr:uid="{00000000-0005-0000-0000-0000493D0000}"/>
    <cellStyle name="Normal 46 44" xfId="15631" xr:uid="{00000000-0005-0000-0000-00004A3D0000}"/>
    <cellStyle name="Normal 46 45" xfId="15632" xr:uid="{00000000-0005-0000-0000-00004B3D0000}"/>
    <cellStyle name="Normal 46 46" xfId="15633" xr:uid="{00000000-0005-0000-0000-00004C3D0000}"/>
    <cellStyle name="Normal 46 47" xfId="15634" xr:uid="{00000000-0005-0000-0000-00004D3D0000}"/>
    <cellStyle name="Normal 46 48" xfId="15635" xr:uid="{00000000-0005-0000-0000-00004E3D0000}"/>
    <cellStyle name="Normal 46 49" xfId="15636" xr:uid="{00000000-0005-0000-0000-00004F3D0000}"/>
    <cellStyle name="Normal 46 5" xfId="15637" xr:uid="{00000000-0005-0000-0000-0000503D0000}"/>
    <cellStyle name="Normal 46 5 2" xfId="15638" xr:uid="{00000000-0005-0000-0000-0000513D0000}"/>
    <cellStyle name="Normal 46 5 3" xfId="15639" xr:uid="{00000000-0005-0000-0000-0000523D0000}"/>
    <cellStyle name="Normal 46 5 4" xfId="15640" xr:uid="{00000000-0005-0000-0000-0000533D0000}"/>
    <cellStyle name="Normal 46 50" xfId="15641" xr:uid="{00000000-0005-0000-0000-0000543D0000}"/>
    <cellStyle name="Normal 46 51" xfId="15642" xr:uid="{00000000-0005-0000-0000-0000553D0000}"/>
    <cellStyle name="Normal 46 52" xfId="15643" xr:uid="{00000000-0005-0000-0000-0000563D0000}"/>
    <cellStyle name="Normal 46 53" xfId="15644" xr:uid="{00000000-0005-0000-0000-0000573D0000}"/>
    <cellStyle name="Normal 46 54" xfId="15645" xr:uid="{00000000-0005-0000-0000-0000583D0000}"/>
    <cellStyle name="Normal 46 55" xfId="15646" xr:uid="{00000000-0005-0000-0000-0000593D0000}"/>
    <cellStyle name="Normal 46 56" xfId="15647" xr:uid="{00000000-0005-0000-0000-00005A3D0000}"/>
    <cellStyle name="Normal 46 57" xfId="15648" xr:uid="{00000000-0005-0000-0000-00005B3D0000}"/>
    <cellStyle name="Normal 46 58" xfId="15649" xr:uid="{00000000-0005-0000-0000-00005C3D0000}"/>
    <cellStyle name="Normal 46 59" xfId="15650" xr:uid="{00000000-0005-0000-0000-00005D3D0000}"/>
    <cellStyle name="Normal 46 6" xfId="15651" xr:uid="{00000000-0005-0000-0000-00005E3D0000}"/>
    <cellStyle name="Normal 46 6 2" xfId="15652" xr:uid="{00000000-0005-0000-0000-00005F3D0000}"/>
    <cellStyle name="Normal 46 60" xfId="15653" xr:uid="{00000000-0005-0000-0000-0000603D0000}"/>
    <cellStyle name="Normal 46 61" xfId="15654" xr:uid="{00000000-0005-0000-0000-0000613D0000}"/>
    <cellStyle name="Normal 46 62" xfId="15655" xr:uid="{00000000-0005-0000-0000-0000623D0000}"/>
    <cellStyle name="Normal 46 63" xfId="15656" xr:uid="{00000000-0005-0000-0000-0000633D0000}"/>
    <cellStyle name="Normal 46 64" xfId="15657" xr:uid="{00000000-0005-0000-0000-0000643D0000}"/>
    <cellStyle name="Normal 46 65" xfId="15658" xr:uid="{00000000-0005-0000-0000-0000653D0000}"/>
    <cellStyle name="Normal 46 66" xfId="15659" xr:uid="{00000000-0005-0000-0000-0000663D0000}"/>
    <cellStyle name="Normal 46 67" xfId="15660" xr:uid="{00000000-0005-0000-0000-0000673D0000}"/>
    <cellStyle name="Normal 46 68" xfId="15661" xr:uid="{00000000-0005-0000-0000-0000683D0000}"/>
    <cellStyle name="Normal 46 69" xfId="15662" xr:uid="{00000000-0005-0000-0000-0000693D0000}"/>
    <cellStyle name="Normal 46 7" xfId="15663" xr:uid="{00000000-0005-0000-0000-00006A3D0000}"/>
    <cellStyle name="Normal 46 7 2" xfId="15664" xr:uid="{00000000-0005-0000-0000-00006B3D0000}"/>
    <cellStyle name="Normal 46 70" xfId="15665" xr:uid="{00000000-0005-0000-0000-00006C3D0000}"/>
    <cellStyle name="Normal 46 8" xfId="15666" xr:uid="{00000000-0005-0000-0000-00006D3D0000}"/>
    <cellStyle name="Normal 46 8 2" xfId="15667" xr:uid="{00000000-0005-0000-0000-00006E3D0000}"/>
    <cellStyle name="Normal 46 9" xfId="15668" xr:uid="{00000000-0005-0000-0000-00006F3D0000}"/>
    <cellStyle name="Normal 46 9 2" xfId="15669" xr:uid="{00000000-0005-0000-0000-0000703D0000}"/>
    <cellStyle name="Normal 47" xfId="15670" xr:uid="{00000000-0005-0000-0000-0000713D0000}"/>
    <cellStyle name="Normal 47 10" xfId="15671" xr:uid="{00000000-0005-0000-0000-0000723D0000}"/>
    <cellStyle name="Normal 47 10 2" xfId="15672" xr:uid="{00000000-0005-0000-0000-0000733D0000}"/>
    <cellStyle name="Normal 47 11" xfId="15673" xr:uid="{00000000-0005-0000-0000-0000743D0000}"/>
    <cellStyle name="Normal 47 11 2" xfId="15674" xr:uid="{00000000-0005-0000-0000-0000753D0000}"/>
    <cellStyle name="Normal 47 12" xfId="15675" xr:uid="{00000000-0005-0000-0000-0000763D0000}"/>
    <cellStyle name="Normal 47 12 2" xfId="15676" xr:uid="{00000000-0005-0000-0000-0000773D0000}"/>
    <cellStyle name="Normal 47 13" xfId="15677" xr:uid="{00000000-0005-0000-0000-0000783D0000}"/>
    <cellStyle name="Normal 47 13 2" xfId="15678" xr:uid="{00000000-0005-0000-0000-0000793D0000}"/>
    <cellStyle name="Normal 47 14" xfId="15679" xr:uid="{00000000-0005-0000-0000-00007A3D0000}"/>
    <cellStyle name="Normal 47 14 2" xfId="15680" xr:uid="{00000000-0005-0000-0000-00007B3D0000}"/>
    <cellStyle name="Normal 47 15" xfId="15681" xr:uid="{00000000-0005-0000-0000-00007C3D0000}"/>
    <cellStyle name="Normal 47 15 2" xfId="15682" xr:uid="{00000000-0005-0000-0000-00007D3D0000}"/>
    <cellStyle name="Normal 47 16" xfId="15683" xr:uid="{00000000-0005-0000-0000-00007E3D0000}"/>
    <cellStyle name="Normal 47 16 2" xfId="15684" xr:uid="{00000000-0005-0000-0000-00007F3D0000}"/>
    <cellStyle name="Normal 47 17" xfId="15685" xr:uid="{00000000-0005-0000-0000-0000803D0000}"/>
    <cellStyle name="Normal 47 17 2" xfId="15686" xr:uid="{00000000-0005-0000-0000-0000813D0000}"/>
    <cellStyle name="Normal 47 18" xfId="15687" xr:uid="{00000000-0005-0000-0000-0000823D0000}"/>
    <cellStyle name="Normal 47 18 2" xfId="15688" xr:uid="{00000000-0005-0000-0000-0000833D0000}"/>
    <cellStyle name="Normal 47 19" xfId="15689" xr:uid="{00000000-0005-0000-0000-0000843D0000}"/>
    <cellStyle name="Normal 47 19 2" xfId="15690" xr:uid="{00000000-0005-0000-0000-0000853D0000}"/>
    <cellStyle name="Normal 47 2" xfId="15691" xr:uid="{00000000-0005-0000-0000-0000863D0000}"/>
    <cellStyle name="Normal 47 2 2" xfId="15692" xr:uid="{00000000-0005-0000-0000-0000873D0000}"/>
    <cellStyle name="Normal 47 2 2 2" xfId="15693" xr:uid="{00000000-0005-0000-0000-0000883D0000}"/>
    <cellStyle name="Normal 47 2 2 3" xfId="15694" xr:uid="{00000000-0005-0000-0000-0000893D0000}"/>
    <cellStyle name="Normal 47 2 2 4" xfId="15695" xr:uid="{00000000-0005-0000-0000-00008A3D0000}"/>
    <cellStyle name="Normal 47 2 3" xfId="15696" xr:uid="{00000000-0005-0000-0000-00008B3D0000}"/>
    <cellStyle name="Normal 47 2 3 2" xfId="15697" xr:uid="{00000000-0005-0000-0000-00008C3D0000}"/>
    <cellStyle name="Normal 47 2 3 3" xfId="15698" xr:uid="{00000000-0005-0000-0000-00008D3D0000}"/>
    <cellStyle name="Normal 47 2 3 4" xfId="15699" xr:uid="{00000000-0005-0000-0000-00008E3D0000}"/>
    <cellStyle name="Normal 47 2 4" xfId="15700" xr:uid="{00000000-0005-0000-0000-00008F3D0000}"/>
    <cellStyle name="Normal 47 2 5" xfId="15701" xr:uid="{00000000-0005-0000-0000-0000903D0000}"/>
    <cellStyle name="Normal 47 2 6" xfId="15702" xr:uid="{00000000-0005-0000-0000-0000913D0000}"/>
    <cellStyle name="Normal 47 2 7" xfId="15703" xr:uid="{00000000-0005-0000-0000-0000923D0000}"/>
    <cellStyle name="Normal 47 20" xfId="15704" xr:uid="{00000000-0005-0000-0000-0000933D0000}"/>
    <cellStyle name="Normal 47 20 2" xfId="15705" xr:uid="{00000000-0005-0000-0000-0000943D0000}"/>
    <cellStyle name="Normal 47 21" xfId="15706" xr:uid="{00000000-0005-0000-0000-0000953D0000}"/>
    <cellStyle name="Normal 47 21 2" xfId="15707" xr:uid="{00000000-0005-0000-0000-0000963D0000}"/>
    <cellStyle name="Normal 47 22" xfId="15708" xr:uid="{00000000-0005-0000-0000-0000973D0000}"/>
    <cellStyle name="Normal 47 22 2" xfId="15709" xr:uid="{00000000-0005-0000-0000-0000983D0000}"/>
    <cellStyle name="Normal 47 23" xfId="15710" xr:uid="{00000000-0005-0000-0000-0000993D0000}"/>
    <cellStyle name="Normal 47 24" xfId="15711" xr:uid="{00000000-0005-0000-0000-00009A3D0000}"/>
    <cellStyle name="Normal 47 25" xfId="15712" xr:uid="{00000000-0005-0000-0000-00009B3D0000}"/>
    <cellStyle name="Normal 47 26" xfId="15713" xr:uid="{00000000-0005-0000-0000-00009C3D0000}"/>
    <cellStyle name="Normal 47 27" xfId="15714" xr:uid="{00000000-0005-0000-0000-00009D3D0000}"/>
    <cellStyle name="Normal 47 28" xfId="15715" xr:uid="{00000000-0005-0000-0000-00009E3D0000}"/>
    <cellStyle name="Normal 47 29" xfId="15716" xr:uid="{00000000-0005-0000-0000-00009F3D0000}"/>
    <cellStyle name="Normal 47 3" xfId="15717" xr:uid="{00000000-0005-0000-0000-0000A03D0000}"/>
    <cellStyle name="Normal 47 3 2" xfId="15718" xr:uid="{00000000-0005-0000-0000-0000A13D0000}"/>
    <cellStyle name="Normal 47 3 2 2" xfId="15719" xr:uid="{00000000-0005-0000-0000-0000A23D0000}"/>
    <cellStyle name="Normal 47 3 2 3" xfId="15720" xr:uid="{00000000-0005-0000-0000-0000A33D0000}"/>
    <cellStyle name="Normal 47 3 2 4" xfId="15721" xr:uid="{00000000-0005-0000-0000-0000A43D0000}"/>
    <cellStyle name="Normal 47 3 3" xfId="15722" xr:uid="{00000000-0005-0000-0000-0000A53D0000}"/>
    <cellStyle name="Normal 47 3 4" xfId="15723" xr:uid="{00000000-0005-0000-0000-0000A63D0000}"/>
    <cellStyle name="Normal 47 3 5" xfId="15724" xr:uid="{00000000-0005-0000-0000-0000A73D0000}"/>
    <cellStyle name="Normal 47 3 6" xfId="15725" xr:uid="{00000000-0005-0000-0000-0000A83D0000}"/>
    <cellStyle name="Normal 47 30" xfId="15726" xr:uid="{00000000-0005-0000-0000-0000A93D0000}"/>
    <cellStyle name="Normal 47 31" xfId="15727" xr:uid="{00000000-0005-0000-0000-0000AA3D0000}"/>
    <cellStyle name="Normal 47 32" xfId="15728" xr:uid="{00000000-0005-0000-0000-0000AB3D0000}"/>
    <cellStyle name="Normal 47 33" xfId="15729" xr:uid="{00000000-0005-0000-0000-0000AC3D0000}"/>
    <cellStyle name="Normal 47 34" xfId="15730" xr:uid="{00000000-0005-0000-0000-0000AD3D0000}"/>
    <cellStyle name="Normal 47 35" xfId="15731" xr:uid="{00000000-0005-0000-0000-0000AE3D0000}"/>
    <cellStyle name="Normal 47 36" xfId="15732" xr:uid="{00000000-0005-0000-0000-0000AF3D0000}"/>
    <cellStyle name="Normal 47 37" xfId="15733" xr:uid="{00000000-0005-0000-0000-0000B03D0000}"/>
    <cellStyle name="Normal 47 38" xfId="15734" xr:uid="{00000000-0005-0000-0000-0000B13D0000}"/>
    <cellStyle name="Normal 47 39" xfId="15735" xr:uid="{00000000-0005-0000-0000-0000B23D0000}"/>
    <cellStyle name="Normal 47 4" xfId="15736" xr:uid="{00000000-0005-0000-0000-0000B33D0000}"/>
    <cellStyle name="Normal 47 4 2" xfId="15737" xr:uid="{00000000-0005-0000-0000-0000B43D0000}"/>
    <cellStyle name="Normal 47 4 3" xfId="15738" xr:uid="{00000000-0005-0000-0000-0000B53D0000}"/>
    <cellStyle name="Normal 47 4 4" xfId="15739" xr:uid="{00000000-0005-0000-0000-0000B63D0000}"/>
    <cellStyle name="Normal 47 40" xfId="15740" xr:uid="{00000000-0005-0000-0000-0000B73D0000}"/>
    <cellStyle name="Normal 47 41" xfId="15741" xr:uid="{00000000-0005-0000-0000-0000B83D0000}"/>
    <cellStyle name="Normal 47 42" xfId="15742" xr:uid="{00000000-0005-0000-0000-0000B93D0000}"/>
    <cellStyle name="Normal 47 43" xfId="15743" xr:uid="{00000000-0005-0000-0000-0000BA3D0000}"/>
    <cellStyle name="Normal 47 44" xfId="15744" xr:uid="{00000000-0005-0000-0000-0000BB3D0000}"/>
    <cellStyle name="Normal 47 45" xfId="15745" xr:uid="{00000000-0005-0000-0000-0000BC3D0000}"/>
    <cellStyle name="Normal 47 46" xfId="15746" xr:uid="{00000000-0005-0000-0000-0000BD3D0000}"/>
    <cellStyle name="Normal 47 47" xfId="15747" xr:uid="{00000000-0005-0000-0000-0000BE3D0000}"/>
    <cellStyle name="Normal 47 48" xfId="15748" xr:uid="{00000000-0005-0000-0000-0000BF3D0000}"/>
    <cellStyle name="Normal 47 49" xfId="15749" xr:uid="{00000000-0005-0000-0000-0000C03D0000}"/>
    <cellStyle name="Normal 47 5" xfId="15750" xr:uid="{00000000-0005-0000-0000-0000C13D0000}"/>
    <cellStyle name="Normal 47 5 2" xfId="15751" xr:uid="{00000000-0005-0000-0000-0000C23D0000}"/>
    <cellStyle name="Normal 47 5 3" xfId="15752" xr:uid="{00000000-0005-0000-0000-0000C33D0000}"/>
    <cellStyle name="Normal 47 5 4" xfId="15753" xr:uid="{00000000-0005-0000-0000-0000C43D0000}"/>
    <cellStyle name="Normal 47 50" xfId="15754" xr:uid="{00000000-0005-0000-0000-0000C53D0000}"/>
    <cellStyle name="Normal 47 51" xfId="15755" xr:uid="{00000000-0005-0000-0000-0000C63D0000}"/>
    <cellStyle name="Normal 47 52" xfId="15756" xr:uid="{00000000-0005-0000-0000-0000C73D0000}"/>
    <cellStyle name="Normal 47 53" xfId="15757" xr:uid="{00000000-0005-0000-0000-0000C83D0000}"/>
    <cellStyle name="Normal 47 54" xfId="15758" xr:uid="{00000000-0005-0000-0000-0000C93D0000}"/>
    <cellStyle name="Normal 47 55" xfId="15759" xr:uid="{00000000-0005-0000-0000-0000CA3D0000}"/>
    <cellStyle name="Normal 47 56" xfId="15760" xr:uid="{00000000-0005-0000-0000-0000CB3D0000}"/>
    <cellStyle name="Normal 47 57" xfId="15761" xr:uid="{00000000-0005-0000-0000-0000CC3D0000}"/>
    <cellStyle name="Normal 47 58" xfId="15762" xr:uid="{00000000-0005-0000-0000-0000CD3D0000}"/>
    <cellStyle name="Normal 47 59" xfId="15763" xr:uid="{00000000-0005-0000-0000-0000CE3D0000}"/>
    <cellStyle name="Normal 47 6" xfId="15764" xr:uid="{00000000-0005-0000-0000-0000CF3D0000}"/>
    <cellStyle name="Normal 47 6 2" xfId="15765" xr:uid="{00000000-0005-0000-0000-0000D03D0000}"/>
    <cellStyle name="Normal 47 60" xfId="15766" xr:uid="{00000000-0005-0000-0000-0000D13D0000}"/>
    <cellStyle name="Normal 47 61" xfId="15767" xr:uid="{00000000-0005-0000-0000-0000D23D0000}"/>
    <cellStyle name="Normal 47 62" xfId="15768" xr:uid="{00000000-0005-0000-0000-0000D33D0000}"/>
    <cellStyle name="Normal 47 63" xfId="15769" xr:uid="{00000000-0005-0000-0000-0000D43D0000}"/>
    <cellStyle name="Normal 47 64" xfId="15770" xr:uid="{00000000-0005-0000-0000-0000D53D0000}"/>
    <cellStyle name="Normal 47 65" xfId="15771" xr:uid="{00000000-0005-0000-0000-0000D63D0000}"/>
    <cellStyle name="Normal 47 66" xfId="15772" xr:uid="{00000000-0005-0000-0000-0000D73D0000}"/>
    <cellStyle name="Normal 47 67" xfId="15773" xr:uid="{00000000-0005-0000-0000-0000D83D0000}"/>
    <cellStyle name="Normal 47 68" xfId="15774" xr:uid="{00000000-0005-0000-0000-0000D93D0000}"/>
    <cellStyle name="Normal 47 69" xfId="15775" xr:uid="{00000000-0005-0000-0000-0000DA3D0000}"/>
    <cellStyle name="Normal 47 7" xfId="15776" xr:uid="{00000000-0005-0000-0000-0000DB3D0000}"/>
    <cellStyle name="Normal 47 7 2" xfId="15777" xr:uid="{00000000-0005-0000-0000-0000DC3D0000}"/>
    <cellStyle name="Normal 47 70" xfId="15778" xr:uid="{00000000-0005-0000-0000-0000DD3D0000}"/>
    <cellStyle name="Normal 47 8" xfId="15779" xr:uid="{00000000-0005-0000-0000-0000DE3D0000}"/>
    <cellStyle name="Normal 47 8 2" xfId="15780" xr:uid="{00000000-0005-0000-0000-0000DF3D0000}"/>
    <cellStyle name="Normal 47 9" xfId="15781" xr:uid="{00000000-0005-0000-0000-0000E03D0000}"/>
    <cellStyle name="Normal 47 9 2" xfId="15782" xr:uid="{00000000-0005-0000-0000-0000E13D0000}"/>
    <cellStyle name="Normal 48" xfId="15783" xr:uid="{00000000-0005-0000-0000-0000E23D0000}"/>
    <cellStyle name="Normal 48 10" xfId="15784" xr:uid="{00000000-0005-0000-0000-0000E33D0000}"/>
    <cellStyle name="Normal 48 10 2" xfId="15785" xr:uid="{00000000-0005-0000-0000-0000E43D0000}"/>
    <cellStyle name="Normal 48 11" xfId="15786" xr:uid="{00000000-0005-0000-0000-0000E53D0000}"/>
    <cellStyle name="Normal 48 11 2" xfId="15787" xr:uid="{00000000-0005-0000-0000-0000E63D0000}"/>
    <cellStyle name="Normal 48 12" xfId="15788" xr:uid="{00000000-0005-0000-0000-0000E73D0000}"/>
    <cellStyle name="Normal 48 12 2" xfId="15789" xr:uid="{00000000-0005-0000-0000-0000E83D0000}"/>
    <cellStyle name="Normal 48 13" xfId="15790" xr:uid="{00000000-0005-0000-0000-0000E93D0000}"/>
    <cellStyle name="Normal 48 13 2" xfId="15791" xr:uid="{00000000-0005-0000-0000-0000EA3D0000}"/>
    <cellStyle name="Normal 48 14" xfId="15792" xr:uid="{00000000-0005-0000-0000-0000EB3D0000}"/>
    <cellStyle name="Normal 48 14 2" xfId="15793" xr:uid="{00000000-0005-0000-0000-0000EC3D0000}"/>
    <cellStyle name="Normal 48 15" xfId="15794" xr:uid="{00000000-0005-0000-0000-0000ED3D0000}"/>
    <cellStyle name="Normal 48 15 2" xfId="15795" xr:uid="{00000000-0005-0000-0000-0000EE3D0000}"/>
    <cellStyle name="Normal 48 16" xfId="15796" xr:uid="{00000000-0005-0000-0000-0000EF3D0000}"/>
    <cellStyle name="Normal 48 16 2" xfId="15797" xr:uid="{00000000-0005-0000-0000-0000F03D0000}"/>
    <cellStyle name="Normal 48 17" xfId="15798" xr:uid="{00000000-0005-0000-0000-0000F13D0000}"/>
    <cellStyle name="Normal 48 17 2" xfId="15799" xr:uid="{00000000-0005-0000-0000-0000F23D0000}"/>
    <cellStyle name="Normal 48 18" xfId="15800" xr:uid="{00000000-0005-0000-0000-0000F33D0000}"/>
    <cellStyle name="Normal 48 18 2" xfId="15801" xr:uid="{00000000-0005-0000-0000-0000F43D0000}"/>
    <cellStyle name="Normal 48 19" xfId="15802" xr:uid="{00000000-0005-0000-0000-0000F53D0000}"/>
    <cellStyle name="Normal 48 19 2" xfId="15803" xr:uid="{00000000-0005-0000-0000-0000F63D0000}"/>
    <cellStyle name="Normal 48 2" xfId="15804" xr:uid="{00000000-0005-0000-0000-0000F73D0000}"/>
    <cellStyle name="Normal 48 2 2" xfId="15805" xr:uid="{00000000-0005-0000-0000-0000F83D0000}"/>
    <cellStyle name="Normal 48 2 2 2" xfId="15806" xr:uid="{00000000-0005-0000-0000-0000F93D0000}"/>
    <cellStyle name="Normal 48 2 2 3" xfId="15807" xr:uid="{00000000-0005-0000-0000-0000FA3D0000}"/>
    <cellStyle name="Normal 48 2 2 4" xfId="15808" xr:uid="{00000000-0005-0000-0000-0000FB3D0000}"/>
    <cellStyle name="Normal 48 2 3" xfId="15809" xr:uid="{00000000-0005-0000-0000-0000FC3D0000}"/>
    <cellStyle name="Normal 48 2 3 2" xfId="15810" xr:uid="{00000000-0005-0000-0000-0000FD3D0000}"/>
    <cellStyle name="Normal 48 2 3 3" xfId="15811" xr:uid="{00000000-0005-0000-0000-0000FE3D0000}"/>
    <cellStyle name="Normal 48 2 3 4" xfId="15812" xr:uid="{00000000-0005-0000-0000-0000FF3D0000}"/>
    <cellStyle name="Normal 48 2 4" xfId="15813" xr:uid="{00000000-0005-0000-0000-0000003E0000}"/>
    <cellStyle name="Normal 48 2 5" xfId="15814" xr:uid="{00000000-0005-0000-0000-0000013E0000}"/>
    <cellStyle name="Normal 48 2 6" xfId="15815" xr:uid="{00000000-0005-0000-0000-0000023E0000}"/>
    <cellStyle name="Normal 48 2 7" xfId="15816" xr:uid="{00000000-0005-0000-0000-0000033E0000}"/>
    <cellStyle name="Normal 48 20" xfId="15817" xr:uid="{00000000-0005-0000-0000-0000043E0000}"/>
    <cellStyle name="Normal 48 20 2" xfId="15818" xr:uid="{00000000-0005-0000-0000-0000053E0000}"/>
    <cellStyle name="Normal 48 21" xfId="15819" xr:uid="{00000000-0005-0000-0000-0000063E0000}"/>
    <cellStyle name="Normal 48 21 2" xfId="15820" xr:uid="{00000000-0005-0000-0000-0000073E0000}"/>
    <cellStyle name="Normal 48 22" xfId="15821" xr:uid="{00000000-0005-0000-0000-0000083E0000}"/>
    <cellStyle name="Normal 48 22 2" xfId="15822" xr:uid="{00000000-0005-0000-0000-0000093E0000}"/>
    <cellStyle name="Normal 48 23" xfId="15823" xr:uid="{00000000-0005-0000-0000-00000A3E0000}"/>
    <cellStyle name="Normal 48 24" xfId="15824" xr:uid="{00000000-0005-0000-0000-00000B3E0000}"/>
    <cellStyle name="Normal 48 25" xfId="15825" xr:uid="{00000000-0005-0000-0000-00000C3E0000}"/>
    <cellStyle name="Normal 48 26" xfId="15826" xr:uid="{00000000-0005-0000-0000-00000D3E0000}"/>
    <cellStyle name="Normal 48 27" xfId="15827" xr:uid="{00000000-0005-0000-0000-00000E3E0000}"/>
    <cellStyle name="Normal 48 28" xfId="15828" xr:uid="{00000000-0005-0000-0000-00000F3E0000}"/>
    <cellStyle name="Normal 48 29" xfId="15829" xr:uid="{00000000-0005-0000-0000-0000103E0000}"/>
    <cellStyle name="Normal 48 3" xfId="15830" xr:uid="{00000000-0005-0000-0000-0000113E0000}"/>
    <cellStyle name="Normal 48 3 2" xfId="15831" xr:uid="{00000000-0005-0000-0000-0000123E0000}"/>
    <cellStyle name="Normal 48 3 2 2" xfId="15832" xr:uid="{00000000-0005-0000-0000-0000133E0000}"/>
    <cellStyle name="Normal 48 3 2 3" xfId="15833" xr:uid="{00000000-0005-0000-0000-0000143E0000}"/>
    <cellStyle name="Normal 48 3 2 4" xfId="15834" xr:uid="{00000000-0005-0000-0000-0000153E0000}"/>
    <cellStyle name="Normal 48 3 3" xfId="15835" xr:uid="{00000000-0005-0000-0000-0000163E0000}"/>
    <cellStyle name="Normal 48 3 4" xfId="15836" xr:uid="{00000000-0005-0000-0000-0000173E0000}"/>
    <cellStyle name="Normal 48 3 5" xfId="15837" xr:uid="{00000000-0005-0000-0000-0000183E0000}"/>
    <cellStyle name="Normal 48 3 6" xfId="15838" xr:uid="{00000000-0005-0000-0000-0000193E0000}"/>
    <cellStyle name="Normal 48 30" xfId="15839" xr:uid="{00000000-0005-0000-0000-00001A3E0000}"/>
    <cellStyle name="Normal 48 31" xfId="15840" xr:uid="{00000000-0005-0000-0000-00001B3E0000}"/>
    <cellStyle name="Normal 48 32" xfId="15841" xr:uid="{00000000-0005-0000-0000-00001C3E0000}"/>
    <cellStyle name="Normal 48 33" xfId="15842" xr:uid="{00000000-0005-0000-0000-00001D3E0000}"/>
    <cellStyle name="Normal 48 34" xfId="15843" xr:uid="{00000000-0005-0000-0000-00001E3E0000}"/>
    <cellStyle name="Normal 48 35" xfId="15844" xr:uid="{00000000-0005-0000-0000-00001F3E0000}"/>
    <cellStyle name="Normal 48 36" xfId="15845" xr:uid="{00000000-0005-0000-0000-0000203E0000}"/>
    <cellStyle name="Normal 48 37" xfId="15846" xr:uid="{00000000-0005-0000-0000-0000213E0000}"/>
    <cellStyle name="Normal 48 38" xfId="15847" xr:uid="{00000000-0005-0000-0000-0000223E0000}"/>
    <cellStyle name="Normal 48 39" xfId="15848" xr:uid="{00000000-0005-0000-0000-0000233E0000}"/>
    <cellStyle name="Normal 48 4" xfId="15849" xr:uid="{00000000-0005-0000-0000-0000243E0000}"/>
    <cellStyle name="Normal 48 4 2" xfId="15850" xr:uid="{00000000-0005-0000-0000-0000253E0000}"/>
    <cellStyle name="Normal 48 4 3" xfId="15851" xr:uid="{00000000-0005-0000-0000-0000263E0000}"/>
    <cellStyle name="Normal 48 4 4" xfId="15852" xr:uid="{00000000-0005-0000-0000-0000273E0000}"/>
    <cellStyle name="Normal 48 40" xfId="15853" xr:uid="{00000000-0005-0000-0000-0000283E0000}"/>
    <cellStyle name="Normal 48 41" xfId="15854" xr:uid="{00000000-0005-0000-0000-0000293E0000}"/>
    <cellStyle name="Normal 48 42" xfId="15855" xr:uid="{00000000-0005-0000-0000-00002A3E0000}"/>
    <cellStyle name="Normal 48 43" xfId="15856" xr:uid="{00000000-0005-0000-0000-00002B3E0000}"/>
    <cellStyle name="Normal 48 44" xfId="15857" xr:uid="{00000000-0005-0000-0000-00002C3E0000}"/>
    <cellStyle name="Normal 48 45" xfId="15858" xr:uid="{00000000-0005-0000-0000-00002D3E0000}"/>
    <cellStyle name="Normal 48 46" xfId="15859" xr:uid="{00000000-0005-0000-0000-00002E3E0000}"/>
    <cellStyle name="Normal 48 47" xfId="15860" xr:uid="{00000000-0005-0000-0000-00002F3E0000}"/>
    <cellStyle name="Normal 48 48" xfId="15861" xr:uid="{00000000-0005-0000-0000-0000303E0000}"/>
    <cellStyle name="Normal 48 49" xfId="15862" xr:uid="{00000000-0005-0000-0000-0000313E0000}"/>
    <cellStyle name="Normal 48 5" xfId="15863" xr:uid="{00000000-0005-0000-0000-0000323E0000}"/>
    <cellStyle name="Normal 48 5 2" xfId="15864" xr:uid="{00000000-0005-0000-0000-0000333E0000}"/>
    <cellStyle name="Normal 48 5 3" xfId="15865" xr:uid="{00000000-0005-0000-0000-0000343E0000}"/>
    <cellStyle name="Normal 48 5 4" xfId="15866" xr:uid="{00000000-0005-0000-0000-0000353E0000}"/>
    <cellStyle name="Normal 48 50" xfId="15867" xr:uid="{00000000-0005-0000-0000-0000363E0000}"/>
    <cellStyle name="Normal 48 51" xfId="15868" xr:uid="{00000000-0005-0000-0000-0000373E0000}"/>
    <cellStyle name="Normal 48 52" xfId="15869" xr:uid="{00000000-0005-0000-0000-0000383E0000}"/>
    <cellStyle name="Normal 48 53" xfId="15870" xr:uid="{00000000-0005-0000-0000-0000393E0000}"/>
    <cellStyle name="Normal 48 54" xfId="15871" xr:uid="{00000000-0005-0000-0000-00003A3E0000}"/>
    <cellStyle name="Normal 48 55" xfId="15872" xr:uid="{00000000-0005-0000-0000-00003B3E0000}"/>
    <cellStyle name="Normal 48 56" xfId="15873" xr:uid="{00000000-0005-0000-0000-00003C3E0000}"/>
    <cellStyle name="Normal 48 57" xfId="15874" xr:uid="{00000000-0005-0000-0000-00003D3E0000}"/>
    <cellStyle name="Normal 48 58" xfId="15875" xr:uid="{00000000-0005-0000-0000-00003E3E0000}"/>
    <cellStyle name="Normal 48 59" xfId="15876" xr:uid="{00000000-0005-0000-0000-00003F3E0000}"/>
    <cellStyle name="Normal 48 6" xfId="15877" xr:uid="{00000000-0005-0000-0000-0000403E0000}"/>
    <cellStyle name="Normal 48 6 2" xfId="15878" xr:uid="{00000000-0005-0000-0000-0000413E0000}"/>
    <cellStyle name="Normal 48 60" xfId="15879" xr:uid="{00000000-0005-0000-0000-0000423E0000}"/>
    <cellStyle name="Normal 48 61" xfId="15880" xr:uid="{00000000-0005-0000-0000-0000433E0000}"/>
    <cellStyle name="Normal 48 62" xfId="15881" xr:uid="{00000000-0005-0000-0000-0000443E0000}"/>
    <cellStyle name="Normal 48 63" xfId="15882" xr:uid="{00000000-0005-0000-0000-0000453E0000}"/>
    <cellStyle name="Normal 48 64" xfId="15883" xr:uid="{00000000-0005-0000-0000-0000463E0000}"/>
    <cellStyle name="Normal 48 65" xfId="15884" xr:uid="{00000000-0005-0000-0000-0000473E0000}"/>
    <cellStyle name="Normal 48 66" xfId="15885" xr:uid="{00000000-0005-0000-0000-0000483E0000}"/>
    <cellStyle name="Normal 48 67" xfId="15886" xr:uid="{00000000-0005-0000-0000-0000493E0000}"/>
    <cellStyle name="Normal 48 68" xfId="15887" xr:uid="{00000000-0005-0000-0000-00004A3E0000}"/>
    <cellStyle name="Normal 48 69" xfId="15888" xr:uid="{00000000-0005-0000-0000-00004B3E0000}"/>
    <cellStyle name="Normal 48 7" xfId="15889" xr:uid="{00000000-0005-0000-0000-00004C3E0000}"/>
    <cellStyle name="Normal 48 7 2" xfId="15890" xr:uid="{00000000-0005-0000-0000-00004D3E0000}"/>
    <cellStyle name="Normal 48 70" xfId="15891" xr:uid="{00000000-0005-0000-0000-00004E3E0000}"/>
    <cellStyle name="Normal 48 8" xfId="15892" xr:uid="{00000000-0005-0000-0000-00004F3E0000}"/>
    <cellStyle name="Normal 48 8 2" xfId="15893" xr:uid="{00000000-0005-0000-0000-0000503E0000}"/>
    <cellStyle name="Normal 48 9" xfId="15894" xr:uid="{00000000-0005-0000-0000-0000513E0000}"/>
    <cellStyle name="Normal 48 9 2" xfId="15895" xr:uid="{00000000-0005-0000-0000-0000523E0000}"/>
    <cellStyle name="Normal 49" xfId="15896" xr:uid="{00000000-0005-0000-0000-0000533E0000}"/>
    <cellStyle name="Normal 49 10" xfId="15897" xr:uid="{00000000-0005-0000-0000-0000543E0000}"/>
    <cellStyle name="Normal 49 10 2" xfId="15898" xr:uid="{00000000-0005-0000-0000-0000553E0000}"/>
    <cellStyle name="Normal 49 11" xfId="15899" xr:uid="{00000000-0005-0000-0000-0000563E0000}"/>
    <cellStyle name="Normal 49 11 2" xfId="15900" xr:uid="{00000000-0005-0000-0000-0000573E0000}"/>
    <cellStyle name="Normal 49 12" xfId="15901" xr:uid="{00000000-0005-0000-0000-0000583E0000}"/>
    <cellStyle name="Normal 49 12 2" xfId="15902" xr:uid="{00000000-0005-0000-0000-0000593E0000}"/>
    <cellStyle name="Normal 49 13" xfId="15903" xr:uid="{00000000-0005-0000-0000-00005A3E0000}"/>
    <cellStyle name="Normal 49 13 2" xfId="15904" xr:uid="{00000000-0005-0000-0000-00005B3E0000}"/>
    <cellStyle name="Normal 49 14" xfId="15905" xr:uid="{00000000-0005-0000-0000-00005C3E0000}"/>
    <cellStyle name="Normal 49 14 2" xfId="15906" xr:uid="{00000000-0005-0000-0000-00005D3E0000}"/>
    <cellStyle name="Normal 49 15" xfId="15907" xr:uid="{00000000-0005-0000-0000-00005E3E0000}"/>
    <cellStyle name="Normal 49 15 2" xfId="15908" xr:uid="{00000000-0005-0000-0000-00005F3E0000}"/>
    <cellStyle name="Normal 49 16" xfId="15909" xr:uid="{00000000-0005-0000-0000-0000603E0000}"/>
    <cellStyle name="Normal 49 16 2" xfId="15910" xr:uid="{00000000-0005-0000-0000-0000613E0000}"/>
    <cellStyle name="Normal 49 17" xfId="15911" xr:uid="{00000000-0005-0000-0000-0000623E0000}"/>
    <cellStyle name="Normal 49 17 2" xfId="15912" xr:uid="{00000000-0005-0000-0000-0000633E0000}"/>
    <cellStyle name="Normal 49 18" xfId="15913" xr:uid="{00000000-0005-0000-0000-0000643E0000}"/>
    <cellStyle name="Normal 49 18 2" xfId="15914" xr:uid="{00000000-0005-0000-0000-0000653E0000}"/>
    <cellStyle name="Normal 49 19" xfId="15915" xr:uid="{00000000-0005-0000-0000-0000663E0000}"/>
    <cellStyle name="Normal 49 19 2" xfId="15916" xr:uid="{00000000-0005-0000-0000-0000673E0000}"/>
    <cellStyle name="Normal 49 2" xfId="15917" xr:uid="{00000000-0005-0000-0000-0000683E0000}"/>
    <cellStyle name="Normal 49 2 2" xfId="15918" xr:uid="{00000000-0005-0000-0000-0000693E0000}"/>
    <cellStyle name="Normal 49 2 2 2" xfId="15919" xr:uid="{00000000-0005-0000-0000-00006A3E0000}"/>
    <cellStyle name="Normal 49 2 2 3" xfId="15920" xr:uid="{00000000-0005-0000-0000-00006B3E0000}"/>
    <cellStyle name="Normal 49 2 2 4" xfId="15921" xr:uid="{00000000-0005-0000-0000-00006C3E0000}"/>
    <cellStyle name="Normal 49 2 3" xfId="15922" xr:uid="{00000000-0005-0000-0000-00006D3E0000}"/>
    <cellStyle name="Normal 49 2 3 2" xfId="15923" xr:uid="{00000000-0005-0000-0000-00006E3E0000}"/>
    <cellStyle name="Normal 49 2 3 3" xfId="15924" xr:uid="{00000000-0005-0000-0000-00006F3E0000}"/>
    <cellStyle name="Normal 49 2 3 4" xfId="15925" xr:uid="{00000000-0005-0000-0000-0000703E0000}"/>
    <cellStyle name="Normal 49 2 4" xfId="15926" xr:uid="{00000000-0005-0000-0000-0000713E0000}"/>
    <cellStyle name="Normal 49 2 5" xfId="15927" xr:uid="{00000000-0005-0000-0000-0000723E0000}"/>
    <cellStyle name="Normal 49 2 6" xfId="15928" xr:uid="{00000000-0005-0000-0000-0000733E0000}"/>
    <cellStyle name="Normal 49 2 7" xfId="15929" xr:uid="{00000000-0005-0000-0000-0000743E0000}"/>
    <cellStyle name="Normal 49 20" xfId="15930" xr:uid="{00000000-0005-0000-0000-0000753E0000}"/>
    <cellStyle name="Normal 49 20 2" xfId="15931" xr:uid="{00000000-0005-0000-0000-0000763E0000}"/>
    <cellStyle name="Normal 49 21" xfId="15932" xr:uid="{00000000-0005-0000-0000-0000773E0000}"/>
    <cellStyle name="Normal 49 21 2" xfId="15933" xr:uid="{00000000-0005-0000-0000-0000783E0000}"/>
    <cellStyle name="Normal 49 22" xfId="15934" xr:uid="{00000000-0005-0000-0000-0000793E0000}"/>
    <cellStyle name="Normal 49 22 2" xfId="15935" xr:uid="{00000000-0005-0000-0000-00007A3E0000}"/>
    <cellStyle name="Normal 49 23" xfId="15936" xr:uid="{00000000-0005-0000-0000-00007B3E0000}"/>
    <cellStyle name="Normal 49 24" xfId="15937" xr:uid="{00000000-0005-0000-0000-00007C3E0000}"/>
    <cellStyle name="Normal 49 25" xfId="15938" xr:uid="{00000000-0005-0000-0000-00007D3E0000}"/>
    <cellStyle name="Normal 49 26" xfId="15939" xr:uid="{00000000-0005-0000-0000-00007E3E0000}"/>
    <cellStyle name="Normal 49 27" xfId="15940" xr:uid="{00000000-0005-0000-0000-00007F3E0000}"/>
    <cellStyle name="Normal 49 28" xfId="15941" xr:uid="{00000000-0005-0000-0000-0000803E0000}"/>
    <cellStyle name="Normal 49 29" xfId="15942" xr:uid="{00000000-0005-0000-0000-0000813E0000}"/>
    <cellStyle name="Normal 49 3" xfId="15943" xr:uid="{00000000-0005-0000-0000-0000823E0000}"/>
    <cellStyle name="Normal 49 3 2" xfId="15944" xr:uid="{00000000-0005-0000-0000-0000833E0000}"/>
    <cellStyle name="Normal 49 3 2 2" xfId="15945" xr:uid="{00000000-0005-0000-0000-0000843E0000}"/>
    <cellStyle name="Normal 49 3 2 3" xfId="15946" xr:uid="{00000000-0005-0000-0000-0000853E0000}"/>
    <cellStyle name="Normal 49 3 2 4" xfId="15947" xr:uid="{00000000-0005-0000-0000-0000863E0000}"/>
    <cellStyle name="Normal 49 3 3" xfId="15948" xr:uid="{00000000-0005-0000-0000-0000873E0000}"/>
    <cellStyle name="Normal 49 3 4" xfId="15949" xr:uid="{00000000-0005-0000-0000-0000883E0000}"/>
    <cellStyle name="Normal 49 3 5" xfId="15950" xr:uid="{00000000-0005-0000-0000-0000893E0000}"/>
    <cellStyle name="Normal 49 3 6" xfId="15951" xr:uid="{00000000-0005-0000-0000-00008A3E0000}"/>
    <cellStyle name="Normal 49 30" xfId="15952" xr:uid="{00000000-0005-0000-0000-00008B3E0000}"/>
    <cellStyle name="Normal 49 31" xfId="15953" xr:uid="{00000000-0005-0000-0000-00008C3E0000}"/>
    <cellStyle name="Normal 49 32" xfId="15954" xr:uid="{00000000-0005-0000-0000-00008D3E0000}"/>
    <cellStyle name="Normal 49 33" xfId="15955" xr:uid="{00000000-0005-0000-0000-00008E3E0000}"/>
    <cellStyle name="Normal 49 34" xfId="15956" xr:uid="{00000000-0005-0000-0000-00008F3E0000}"/>
    <cellStyle name="Normal 49 35" xfId="15957" xr:uid="{00000000-0005-0000-0000-0000903E0000}"/>
    <cellStyle name="Normal 49 36" xfId="15958" xr:uid="{00000000-0005-0000-0000-0000913E0000}"/>
    <cellStyle name="Normal 49 37" xfId="15959" xr:uid="{00000000-0005-0000-0000-0000923E0000}"/>
    <cellStyle name="Normal 49 38" xfId="15960" xr:uid="{00000000-0005-0000-0000-0000933E0000}"/>
    <cellStyle name="Normal 49 39" xfId="15961" xr:uid="{00000000-0005-0000-0000-0000943E0000}"/>
    <cellStyle name="Normal 49 4" xfId="15962" xr:uid="{00000000-0005-0000-0000-0000953E0000}"/>
    <cellStyle name="Normal 49 4 2" xfId="15963" xr:uid="{00000000-0005-0000-0000-0000963E0000}"/>
    <cellStyle name="Normal 49 4 3" xfId="15964" xr:uid="{00000000-0005-0000-0000-0000973E0000}"/>
    <cellStyle name="Normal 49 4 4" xfId="15965" xr:uid="{00000000-0005-0000-0000-0000983E0000}"/>
    <cellStyle name="Normal 49 40" xfId="15966" xr:uid="{00000000-0005-0000-0000-0000993E0000}"/>
    <cellStyle name="Normal 49 41" xfId="15967" xr:uid="{00000000-0005-0000-0000-00009A3E0000}"/>
    <cellStyle name="Normal 49 42" xfId="15968" xr:uid="{00000000-0005-0000-0000-00009B3E0000}"/>
    <cellStyle name="Normal 49 43" xfId="15969" xr:uid="{00000000-0005-0000-0000-00009C3E0000}"/>
    <cellStyle name="Normal 49 44" xfId="15970" xr:uid="{00000000-0005-0000-0000-00009D3E0000}"/>
    <cellStyle name="Normal 49 45" xfId="15971" xr:uid="{00000000-0005-0000-0000-00009E3E0000}"/>
    <cellStyle name="Normal 49 46" xfId="15972" xr:uid="{00000000-0005-0000-0000-00009F3E0000}"/>
    <cellStyle name="Normal 49 47" xfId="15973" xr:uid="{00000000-0005-0000-0000-0000A03E0000}"/>
    <cellStyle name="Normal 49 48" xfId="15974" xr:uid="{00000000-0005-0000-0000-0000A13E0000}"/>
    <cellStyle name="Normal 49 49" xfId="15975" xr:uid="{00000000-0005-0000-0000-0000A23E0000}"/>
    <cellStyle name="Normal 49 5" xfId="15976" xr:uid="{00000000-0005-0000-0000-0000A33E0000}"/>
    <cellStyle name="Normal 49 5 2" xfId="15977" xr:uid="{00000000-0005-0000-0000-0000A43E0000}"/>
    <cellStyle name="Normal 49 5 3" xfId="15978" xr:uid="{00000000-0005-0000-0000-0000A53E0000}"/>
    <cellStyle name="Normal 49 5 4" xfId="15979" xr:uid="{00000000-0005-0000-0000-0000A63E0000}"/>
    <cellStyle name="Normal 49 50" xfId="15980" xr:uid="{00000000-0005-0000-0000-0000A73E0000}"/>
    <cellStyle name="Normal 49 51" xfId="15981" xr:uid="{00000000-0005-0000-0000-0000A83E0000}"/>
    <cellStyle name="Normal 49 52" xfId="15982" xr:uid="{00000000-0005-0000-0000-0000A93E0000}"/>
    <cellStyle name="Normal 49 53" xfId="15983" xr:uid="{00000000-0005-0000-0000-0000AA3E0000}"/>
    <cellStyle name="Normal 49 54" xfId="15984" xr:uid="{00000000-0005-0000-0000-0000AB3E0000}"/>
    <cellStyle name="Normal 49 55" xfId="15985" xr:uid="{00000000-0005-0000-0000-0000AC3E0000}"/>
    <cellStyle name="Normal 49 56" xfId="15986" xr:uid="{00000000-0005-0000-0000-0000AD3E0000}"/>
    <cellStyle name="Normal 49 57" xfId="15987" xr:uid="{00000000-0005-0000-0000-0000AE3E0000}"/>
    <cellStyle name="Normal 49 58" xfId="15988" xr:uid="{00000000-0005-0000-0000-0000AF3E0000}"/>
    <cellStyle name="Normal 49 59" xfId="15989" xr:uid="{00000000-0005-0000-0000-0000B03E0000}"/>
    <cellStyle name="Normal 49 6" xfId="15990" xr:uid="{00000000-0005-0000-0000-0000B13E0000}"/>
    <cellStyle name="Normal 49 6 2" xfId="15991" xr:uid="{00000000-0005-0000-0000-0000B23E0000}"/>
    <cellStyle name="Normal 49 60" xfId="15992" xr:uid="{00000000-0005-0000-0000-0000B33E0000}"/>
    <cellStyle name="Normal 49 61" xfId="15993" xr:uid="{00000000-0005-0000-0000-0000B43E0000}"/>
    <cellStyle name="Normal 49 62" xfId="15994" xr:uid="{00000000-0005-0000-0000-0000B53E0000}"/>
    <cellStyle name="Normal 49 63" xfId="15995" xr:uid="{00000000-0005-0000-0000-0000B63E0000}"/>
    <cellStyle name="Normal 49 64" xfId="15996" xr:uid="{00000000-0005-0000-0000-0000B73E0000}"/>
    <cellStyle name="Normal 49 65" xfId="15997" xr:uid="{00000000-0005-0000-0000-0000B83E0000}"/>
    <cellStyle name="Normal 49 66" xfId="15998" xr:uid="{00000000-0005-0000-0000-0000B93E0000}"/>
    <cellStyle name="Normal 49 67" xfId="15999" xr:uid="{00000000-0005-0000-0000-0000BA3E0000}"/>
    <cellStyle name="Normal 49 68" xfId="16000" xr:uid="{00000000-0005-0000-0000-0000BB3E0000}"/>
    <cellStyle name="Normal 49 69" xfId="16001" xr:uid="{00000000-0005-0000-0000-0000BC3E0000}"/>
    <cellStyle name="Normal 49 7" xfId="16002" xr:uid="{00000000-0005-0000-0000-0000BD3E0000}"/>
    <cellStyle name="Normal 49 7 2" xfId="16003" xr:uid="{00000000-0005-0000-0000-0000BE3E0000}"/>
    <cellStyle name="Normal 49 70" xfId="16004" xr:uid="{00000000-0005-0000-0000-0000BF3E0000}"/>
    <cellStyle name="Normal 49 8" xfId="16005" xr:uid="{00000000-0005-0000-0000-0000C03E0000}"/>
    <cellStyle name="Normal 49 8 2" xfId="16006" xr:uid="{00000000-0005-0000-0000-0000C13E0000}"/>
    <cellStyle name="Normal 49 9" xfId="16007" xr:uid="{00000000-0005-0000-0000-0000C23E0000}"/>
    <cellStyle name="Normal 49 9 2" xfId="16008" xr:uid="{00000000-0005-0000-0000-0000C33E0000}"/>
    <cellStyle name="Normal 5" xfId="16009" xr:uid="{00000000-0005-0000-0000-0000C43E0000}"/>
    <cellStyle name="Normal 5 10" xfId="16010" xr:uid="{00000000-0005-0000-0000-0000C53E0000}"/>
    <cellStyle name="Normal 5 11" xfId="16011" xr:uid="{00000000-0005-0000-0000-0000C63E0000}"/>
    <cellStyle name="Normal 5 11 2" xfId="16012" xr:uid="{00000000-0005-0000-0000-0000C73E0000}"/>
    <cellStyle name="Normal 5 12" xfId="16013" xr:uid="{00000000-0005-0000-0000-0000C83E0000}"/>
    <cellStyle name="Normal 5 13" xfId="16014" xr:uid="{00000000-0005-0000-0000-0000C93E0000}"/>
    <cellStyle name="Normal 5 14" xfId="16015" xr:uid="{00000000-0005-0000-0000-0000CA3E0000}"/>
    <cellStyle name="Normal 5 15" xfId="16016" xr:uid="{00000000-0005-0000-0000-0000CB3E0000}"/>
    <cellStyle name="Normal 5 16" xfId="16017" xr:uid="{00000000-0005-0000-0000-0000CC3E0000}"/>
    <cellStyle name="Normal 5 17" xfId="16018" xr:uid="{00000000-0005-0000-0000-0000CD3E0000}"/>
    <cellStyle name="Normal 5 18" xfId="16019" xr:uid="{00000000-0005-0000-0000-0000CE3E0000}"/>
    <cellStyle name="Normal 5 19" xfId="16020" xr:uid="{00000000-0005-0000-0000-0000CF3E0000}"/>
    <cellStyle name="Normal 5 2" xfId="16021" xr:uid="{00000000-0005-0000-0000-0000D03E0000}"/>
    <cellStyle name="Normal 5 2 10" xfId="16022" xr:uid="{00000000-0005-0000-0000-0000D13E0000}"/>
    <cellStyle name="Normal 5 2 11" xfId="16023" xr:uid="{00000000-0005-0000-0000-0000D23E0000}"/>
    <cellStyle name="Normal 5 2 12" xfId="16024" xr:uid="{00000000-0005-0000-0000-0000D33E0000}"/>
    <cellStyle name="Normal 5 2 13" xfId="16025" xr:uid="{00000000-0005-0000-0000-0000D43E0000}"/>
    <cellStyle name="Normal 5 2 14" xfId="16026" xr:uid="{00000000-0005-0000-0000-0000D53E0000}"/>
    <cellStyle name="Normal 5 2 15" xfId="16027" xr:uid="{00000000-0005-0000-0000-0000D63E0000}"/>
    <cellStyle name="Normal 5 2 16" xfId="16028" xr:uid="{00000000-0005-0000-0000-0000D73E0000}"/>
    <cellStyle name="Normal 5 2 17" xfId="16029" xr:uid="{00000000-0005-0000-0000-0000D83E0000}"/>
    <cellStyle name="Normal 5 2 18" xfId="16030" xr:uid="{00000000-0005-0000-0000-0000D93E0000}"/>
    <cellStyle name="Normal 5 2 19" xfId="16031" xr:uid="{00000000-0005-0000-0000-0000DA3E0000}"/>
    <cellStyle name="Normal 5 2 2" xfId="16032" xr:uid="{00000000-0005-0000-0000-0000DB3E0000}"/>
    <cellStyle name="Normal 5 2 2 10" xfId="16033" xr:uid="{00000000-0005-0000-0000-0000DC3E0000}"/>
    <cellStyle name="Normal 5 2 2 11" xfId="16034" xr:uid="{00000000-0005-0000-0000-0000DD3E0000}"/>
    <cellStyle name="Normal 5 2 2 12" xfId="16035" xr:uid="{00000000-0005-0000-0000-0000DE3E0000}"/>
    <cellStyle name="Normal 5 2 2 13" xfId="16036" xr:uid="{00000000-0005-0000-0000-0000DF3E0000}"/>
    <cellStyle name="Normal 5 2 2 14" xfId="16037" xr:uid="{00000000-0005-0000-0000-0000E03E0000}"/>
    <cellStyle name="Normal 5 2 2 15" xfId="16038" xr:uid="{00000000-0005-0000-0000-0000E13E0000}"/>
    <cellStyle name="Normal 5 2 2 16" xfId="16039" xr:uid="{00000000-0005-0000-0000-0000E23E0000}"/>
    <cellStyle name="Normal 5 2 2 17" xfId="16040" xr:uid="{00000000-0005-0000-0000-0000E33E0000}"/>
    <cellStyle name="Normal 5 2 2 18" xfId="16041" xr:uid="{00000000-0005-0000-0000-0000E43E0000}"/>
    <cellStyle name="Normal 5 2 2 19" xfId="16042" xr:uid="{00000000-0005-0000-0000-0000E53E0000}"/>
    <cellStyle name="Normal 5 2 2 2" xfId="16043" xr:uid="{00000000-0005-0000-0000-0000E63E0000}"/>
    <cellStyle name="Normal 5 2 2 2 10" xfId="16044" xr:uid="{00000000-0005-0000-0000-0000E73E0000}"/>
    <cellStyle name="Normal 5 2 2 2 11" xfId="16045" xr:uid="{00000000-0005-0000-0000-0000E83E0000}"/>
    <cellStyle name="Normal 5 2 2 2 12" xfId="16046" xr:uid="{00000000-0005-0000-0000-0000E93E0000}"/>
    <cellStyle name="Normal 5 2 2 2 13" xfId="16047" xr:uid="{00000000-0005-0000-0000-0000EA3E0000}"/>
    <cellStyle name="Normal 5 2 2 2 14" xfId="16048" xr:uid="{00000000-0005-0000-0000-0000EB3E0000}"/>
    <cellStyle name="Normal 5 2 2 2 15" xfId="16049" xr:uid="{00000000-0005-0000-0000-0000EC3E0000}"/>
    <cellStyle name="Normal 5 2 2 2 16" xfId="16050" xr:uid="{00000000-0005-0000-0000-0000ED3E0000}"/>
    <cellStyle name="Normal 5 2 2 2 17" xfId="16051" xr:uid="{00000000-0005-0000-0000-0000EE3E0000}"/>
    <cellStyle name="Normal 5 2 2 2 18" xfId="16052" xr:uid="{00000000-0005-0000-0000-0000EF3E0000}"/>
    <cellStyle name="Normal 5 2 2 2 2" xfId="16053" xr:uid="{00000000-0005-0000-0000-0000F03E0000}"/>
    <cellStyle name="Normal 5 2 2 2 3" xfId="16054" xr:uid="{00000000-0005-0000-0000-0000F13E0000}"/>
    <cellStyle name="Normal 5 2 2 2 4" xfId="16055" xr:uid="{00000000-0005-0000-0000-0000F23E0000}"/>
    <cellStyle name="Normal 5 2 2 2 5" xfId="16056" xr:uid="{00000000-0005-0000-0000-0000F33E0000}"/>
    <cellStyle name="Normal 5 2 2 2 6" xfId="16057" xr:uid="{00000000-0005-0000-0000-0000F43E0000}"/>
    <cellStyle name="Normal 5 2 2 2 7" xfId="16058" xr:uid="{00000000-0005-0000-0000-0000F53E0000}"/>
    <cellStyle name="Normal 5 2 2 2 8" xfId="16059" xr:uid="{00000000-0005-0000-0000-0000F63E0000}"/>
    <cellStyle name="Normal 5 2 2 2 9" xfId="16060" xr:uid="{00000000-0005-0000-0000-0000F73E0000}"/>
    <cellStyle name="Normal 5 2 2 3" xfId="16061" xr:uid="{00000000-0005-0000-0000-0000F83E0000}"/>
    <cellStyle name="Normal 5 2 2 4" xfId="16062" xr:uid="{00000000-0005-0000-0000-0000F93E0000}"/>
    <cellStyle name="Normal 5 2 2 5" xfId="16063" xr:uid="{00000000-0005-0000-0000-0000FA3E0000}"/>
    <cellStyle name="Normal 5 2 2 6" xfId="16064" xr:uid="{00000000-0005-0000-0000-0000FB3E0000}"/>
    <cellStyle name="Normal 5 2 2 7" xfId="16065" xr:uid="{00000000-0005-0000-0000-0000FC3E0000}"/>
    <cellStyle name="Normal 5 2 2 8" xfId="16066" xr:uid="{00000000-0005-0000-0000-0000FD3E0000}"/>
    <cellStyle name="Normal 5 2 2 9" xfId="16067" xr:uid="{00000000-0005-0000-0000-0000FE3E0000}"/>
    <cellStyle name="Normal 5 2 2_ELEC SAP FCST UPLOAD" xfId="16068" xr:uid="{00000000-0005-0000-0000-0000FF3E0000}"/>
    <cellStyle name="Normal 5 2 20" xfId="16069" xr:uid="{00000000-0005-0000-0000-0000003F0000}"/>
    <cellStyle name="Normal 5 2 21" xfId="16070" xr:uid="{00000000-0005-0000-0000-0000013F0000}"/>
    <cellStyle name="Normal 5 2 22" xfId="16071" xr:uid="{00000000-0005-0000-0000-0000023F0000}"/>
    <cellStyle name="Normal 5 2 3" xfId="16072" xr:uid="{00000000-0005-0000-0000-0000033F0000}"/>
    <cellStyle name="Normal 5 2 4" xfId="16073" xr:uid="{00000000-0005-0000-0000-0000043F0000}"/>
    <cellStyle name="Normal 5 2 5" xfId="16074" xr:uid="{00000000-0005-0000-0000-0000053F0000}"/>
    <cellStyle name="Normal 5 2 6" xfId="16075" xr:uid="{00000000-0005-0000-0000-0000063F0000}"/>
    <cellStyle name="Normal 5 2 7" xfId="16076" xr:uid="{00000000-0005-0000-0000-0000073F0000}"/>
    <cellStyle name="Normal 5 2 8" xfId="16077" xr:uid="{00000000-0005-0000-0000-0000083F0000}"/>
    <cellStyle name="Normal 5 2 9" xfId="16078" xr:uid="{00000000-0005-0000-0000-0000093F0000}"/>
    <cellStyle name="Normal 5 2_ELEC SAP FCST UPLOAD" xfId="16079" xr:uid="{00000000-0005-0000-0000-00000A3F0000}"/>
    <cellStyle name="Normal 5 20" xfId="16080" xr:uid="{00000000-0005-0000-0000-00000B3F0000}"/>
    <cellStyle name="Normal 5 21" xfId="16081" xr:uid="{00000000-0005-0000-0000-00000C3F0000}"/>
    <cellStyle name="Normal 5 22" xfId="16082" xr:uid="{00000000-0005-0000-0000-00000D3F0000}"/>
    <cellStyle name="Normal 5 23" xfId="16083" xr:uid="{00000000-0005-0000-0000-00000E3F0000}"/>
    <cellStyle name="Normal 5 24" xfId="16084" xr:uid="{00000000-0005-0000-0000-00000F3F0000}"/>
    <cellStyle name="Normal 5 25" xfId="16085" xr:uid="{00000000-0005-0000-0000-0000103F0000}"/>
    <cellStyle name="Normal 5 26" xfId="16086" xr:uid="{00000000-0005-0000-0000-0000113F0000}"/>
    <cellStyle name="Normal 5 27" xfId="16087" xr:uid="{00000000-0005-0000-0000-0000123F0000}"/>
    <cellStyle name="Normal 5 28" xfId="16088" xr:uid="{00000000-0005-0000-0000-0000133F0000}"/>
    <cellStyle name="Normal 5 29" xfId="16089" xr:uid="{00000000-0005-0000-0000-0000143F0000}"/>
    <cellStyle name="Normal 5 3" xfId="16090" xr:uid="{00000000-0005-0000-0000-0000153F0000}"/>
    <cellStyle name="Normal 5 3 2" xfId="16091" xr:uid="{00000000-0005-0000-0000-0000163F0000}"/>
    <cellStyle name="Normal 5 3 3" xfId="16092" xr:uid="{00000000-0005-0000-0000-0000173F0000}"/>
    <cellStyle name="Normal 5 3 4" xfId="16093" xr:uid="{00000000-0005-0000-0000-0000183F0000}"/>
    <cellStyle name="Normal 5 3 5" xfId="16094" xr:uid="{00000000-0005-0000-0000-0000193F0000}"/>
    <cellStyle name="Normal 5 3 6" xfId="16095" xr:uid="{00000000-0005-0000-0000-00001A3F0000}"/>
    <cellStyle name="Normal 5 3 7" xfId="16096" xr:uid="{00000000-0005-0000-0000-00001B3F0000}"/>
    <cellStyle name="Normal 5 3 8" xfId="16097" xr:uid="{00000000-0005-0000-0000-00001C3F0000}"/>
    <cellStyle name="Normal 5 30" xfId="16098" xr:uid="{00000000-0005-0000-0000-00001D3F0000}"/>
    <cellStyle name="Normal 5 31" xfId="16099" xr:uid="{00000000-0005-0000-0000-00001E3F0000}"/>
    <cellStyle name="Normal 5 32" xfId="16100" xr:uid="{00000000-0005-0000-0000-00001F3F0000}"/>
    <cellStyle name="Normal 5 33" xfId="16101" xr:uid="{00000000-0005-0000-0000-0000203F0000}"/>
    <cellStyle name="Normal 5 34" xfId="16102" xr:uid="{00000000-0005-0000-0000-0000213F0000}"/>
    <cellStyle name="Normal 5 35" xfId="16103" xr:uid="{00000000-0005-0000-0000-0000223F0000}"/>
    <cellStyle name="Normal 5 36" xfId="16104" xr:uid="{00000000-0005-0000-0000-0000233F0000}"/>
    <cellStyle name="Normal 5 37" xfId="16105" xr:uid="{00000000-0005-0000-0000-0000243F0000}"/>
    <cellStyle name="Normal 5 38" xfId="16106" xr:uid="{00000000-0005-0000-0000-0000253F0000}"/>
    <cellStyle name="Normal 5 39" xfId="16107" xr:uid="{00000000-0005-0000-0000-0000263F0000}"/>
    <cellStyle name="Normal 5 4" xfId="16108" xr:uid="{00000000-0005-0000-0000-0000273F0000}"/>
    <cellStyle name="Normal 5 4 2" xfId="16109" xr:uid="{00000000-0005-0000-0000-0000283F0000}"/>
    <cellStyle name="Normal 5 4 3" xfId="16110" xr:uid="{00000000-0005-0000-0000-0000293F0000}"/>
    <cellStyle name="Normal 5 4 4" xfId="16111" xr:uid="{00000000-0005-0000-0000-00002A3F0000}"/>
    <cellStyle name="Normal 5 4 5" xfId="16112" xr:uid="{00000000-0005-0000-0000-00002B3F0000}"/>
    <cellStyle name="Normal 5 4 6" xfId="16113" xr:uid="{00000000-0005-0000-0000-00002C3F0000}"/>
    <cellStyle name="Normal 5 4 7" xfId="16114" xr:uid="{00000000-0005-0000-0000-00002D3F0000}"/>
    <cellStyle name="Normal 5 4 8" xfId="16115" xr:uid="{00000000-0005-0000-0000-00002E3F0000}"/>
    <cellStyle name="Normal 5 40" xfId="16116" xr:uid="{00000000-0005-0000-0000-00002F3F0000}"/>
    <cellStyle name="Normal 5 41" xfId="16117" xr:uid="{00000000-0005-0000-0000-0000303F0000}"/>
    <cellStyle name="Normal 5 42" xfId="16118" xr:uid="{00000000-0005-0000-0000-0000313F0000}"/>
    <cellStyle name="Normal 5 43" xfId="16119" xr:uid="{00000000-0005-0000-0000-0000323F0000}"/>
    <cellStyle name="Normal 5 44" xfId="16120" xr:uid="{00000000-0005-0000-0000-0000333F0000}"/>
    <cellStyle name="Normal 5 45" xfId="16121" xr:uid="{00000000-0005-0000-0000-0000343F0000}"/>
    <cellStyle name="Normal 5 46" xfId="16122" xr:uid="{00000000-0005-0000-0000-0000353F0000}"/>
    <cellStyle name="Normal 5 47" xfId="16123" xr:uid="{00000000-0005-0000-0000-0000363F0000}"/>
    <cellStyle name="Normal 5 48" xfId="16124" xr:uid="{00000000-0005-0000-0000-0000373F0000}"/>
    <cellStyle name="Normal 5 49" xfId="16125" xr:uid="{00000000-0005-0000-0000-0000383F0000}"/>
    <cellStyle name="Normal 5 5" xfId="16126" xr:uid="{00000000-0005-0000-0000-0000393F0000}"/>
    <cellStyle name="Normal 5 5 2" xfId="16127" xr:uid="{00000000-0005-0000-0000-00003A3F0000}"/>
    <cellStyle name="Normal 5 5 3" xfId="16128" xr:uid="{00000000-0005-0000-0000-00003B3F0000}"/>
    <cellStyle name="Normal 5 5 4" xfId="16129" xr:uid="{00000000-0005-0000-0000-00003C3F0000}"/>
    <cellStyle name="Normal 5 5 5" xfId="16130" xr:uid="{00000000-0005-0000-0000-00003D3F0000}"/>
    <cellStyle name="Normal 5 5 6" xfId="16131" xr:uid="{00000000-0005-0000-0000-00003E3F0000}"/>
    <cellStyle name="Normal 5 5 7" xfId="16132" xr:uid="{00000000-0005-0000-0000-00003F3F0000}"/>
    <cellStyle name="Normal 5 5 8" xfId="16133" xr:uid="{00000000-0005-0000-0000-0000403F0000}"/>
    <cellStyle name="Normal 5 50" xfId="16134" xr:uid="{00000000-0005-0000-0000-0000413F0000}"/>
    <cellStyle name="Normal 5 51" xfId="16135" xr:uid="{00000000-0005-0000-0000-0000423F0000}"/>
    <cellStyle name="Normal 5 52" xfId="16136" xr:uid="{00000000-0005-0000-0000-0000433F0000}"/>
    <cellStyle name="Normal 5 53" xfId="16137" xr:uid="{00000000-0005-0000-0000-0000443F0000}"/>
    <cellStyle name="Normal 5 54" xfId="16138" xr:uid="{00000000-0005-0000-0000-0000453F0000}"/>
    <cellStyle name="Normal 5 55" xfId="16139" xr:uid="{00000000-0005-0000-0000-0000463F0000}"/>
    <cellStyle name="Normal 5 56" xfId="16140" xr:uid="{00000000-0005-0000-0000-0000473F0000}"/>
    <cellStyle name="Normal 5 57" xfId="16141" xr:uid="{00000000-0005-0000-0000-0000483F0000}"/>
    <cellStyle name="Normal 5 58" xfId="16142" xr:uid="{00000000-0005-0000-0000-0000493F0000}"/>
    <cellStyle name="Normal 5 59" xfId="16143" xr:uid="{00000000-0005-0000-0000-00004A3F0000}"/>
    <cellStyle name="Normal 5 6" xfId="16144" xr:uid="{00000000-0005-0000-0000-00004B3F0000}"/>
    <cellStyle name="Normal 5 6 10" xfId="16145" xr:uid="{00000000-0005-0000-0000-00004C3F0000}"/>
    <cellStyle name="Normal 5 6 11" xfId="16146" xr:uid="{00000000-0005-0000-0000-00004D3F0000}"/>
    <cellStyle name="Normal 5 6 12" xfId="16147" xr:uid="{00000000-0005-0000-0000-00004E3F0000}"/>
    <cellStyle name="Normal 5 6 13" xfId="16148" xr:uid="{00000000-0005-0000-0000-00004F3F0000}"/>
    <cellStyle name="Normal 5 6 14" xfId="16149" xr:uid="{00000000-0005-0000-0000-0000503F0000}"/>
    <cellStyle name="Normal 5 6 15" xfId="16150" xr:uid="{00000000-0005-0000-0000-0000513F0000}"/>
    <cellStyle name="Normal 5 6 16" xfId="16151" xr:uid="{00000000-0005-0000-0000-0000523F0000}"/>
    <cellStyle name="Normal 5 6 17" xfId="16152" xr:uid="{00000000-0005-0000-0000-0000533F0000}"/>
    <cellStyle name="Normal 5 6 2" xfId="16153" xr:uid="{00000000-0005-0000-0000-0000543F0000}"/>
    <cellStyle name="Normal 5 6 3" xfId="16154" xr:uid="{00000000-0005-0000-0000-0000553F0000}"/>
    <cellStyle name="Normal 5 6 4" xfId="16155" xr:uid="{00000000-0005-0000-0000-0000563F0000}"/>
    <cellStyle name="Normal 5 6 5" xfId="16156" xr:uid="{00000000-0005-0000-0000-0000573F0000}"/>
    <cellStyle name="Normal 5 6 6" xfId="16157" xr:uid="{00000000-0005-0000-0000-0000583F0000}"/>
    <cellStyle name="Normal 5 6 7" xfId="16158" xr:uid="{00000000-0005-0000-0000-0000593F0000}"/>
    <cellStyle name="Normal 5 6 8" xfId="16159" xr:uid="{00000000-0005-0000-0000-00005A3F0000}"/>
    <cellStyle name="Normal 5 6 9" xfId="16160" xr:uid="{00000000-0005-0000-0000-00005B3F0000}"/>
    <cellStyle name="Normal 5 60" xfId="16161" xr:uid="{00000000-0005-0000-0000-00005C3F0000}"/>
    <cellStyle name="Normal 5 61" xfId="16162" xr:uid="{00000000-0005-0000-0000-00005D3F0000}"/>
    <cellStyle name="Normal 5 62" xfId="16163" xr:uid="{00000000-0005-0000-0000-00005E3F0000}"/>
    <cellStyle name="Normal 5 63" xfId="16164" xr:uid="{00000000-0005-0000-0000-00005F3F0000}"/>
    <cellStyle name="Normal 5 64" xfId="16165" xr:uid="{00000000-0005-0000-0000-0000603F0000}"/>
    <cellStyle name="Normal 5 65" xfId="16166" xr:uid="{00000000-0005-0000-0000-0000613F0000}"/>
    <cellStyle name="Normal 5 66" xfId="16167" xr:uid="{00000000-0005-0000-0000-0000623F0000}"/>
    <cellStyle name="Normal 5 67" xfId="16168" xr:uid="{00000000-0005-0000-0000-0000633F0000}"/>
    <cellStyle name="Normal 5 68" xfId="16169" xr:uid="{00000000-0005-0000-0000-0000643F0000}"/>
    <cellStyle name="Normal 5 69" xfId="16170" xr:uid="{00000000-0005-0000-0000-0000653F0000}"/>
    <cellStyle name="Normal 5 7" xfId="16171" xr:uid="{00000000-0005-0000-0000-0000663F0000}"/>
    <cellStyle name="Normal 5 7 2" xfId="16172" xr:uid="{00000000-0005-0000-0000-0000673F0000}"/>
    <cellStyle name="Normal 5 7 3" xfId="16173" xr:uid="{00000000-0005-0000-0000-0000683F0000}"/>
    <cellStyle name="Normal 5 7 4" xfId="16174" xr:uid="{00000000-0005-0000-0000-0000693F0000}"/>
    <cellStyle name="Normal 5 7 5" xfId="16175" xr:uid="{00000000-0005-0000-0000-00006A3F0000}"/>
    <cellStyle name="Normal 5 7 6" xfId="16176" xr:uid="{00000000-0005-0000-0000-00006B3F0000}"/>
    <cellStyle name="Normal 5 7 7" xfId="16177" xr:uid="{00000000-0005-0000-0000-00006C3F0000}"/>
    <cellStyle name="Normal 5 7 8" xfId="16178" xr:uid="{00000000-0005-0000-0000-00006D3F0000}"/>
    <cellStyle name="Normal 5 70" xfId="16179" xr:uid="{00000000-0005-0000-0000-00006E3F0000}"/>
    <cellStyle name="Normal 5 71" xfId="16180" xr:uid="{00000000-0005-0000-0000-00006F3F0000}"/>
    <cellStyle name="Normal 5 72" xfId="16181" xr:uid="{00000000-0005-0000-0000-0000703F0000}"/>
    <cellStyle name="Normal 5 73" xfId="16182" xr:uid="{00000000-0005-0000-0000-0000713F0000}"/>
    <cellStyle name="Normal 5 74" xfId="16183" xr:uid="{00000000-0005-0000-0000-0000723F0000}"/>
    <cellStyle name="Normal 5 75" xfId="16184" xr:uid="{00000000-0005-0000-0000-0000733F0000}"/>
    <cellStyle name="Normal 5 76" xfId="16185" xr:uid="{00000000-0005-0000-0000-0000743F0000}"/>
    <cellStyle name="Normal 5 77" xfId="16186" xr:uid="{00000000-0005-0000-0000-0000753F0000}"/>
    <cellStyle name="Normal 5 78" xfId="16187" xr:uid="{00000000-0005-0000-0000-0000763F0000}"/>
    <cellStyle name="Normal 5 79" xfId="16188" xr:uid="{00000000-0005-0000-0000-0000773F0000}"/>
    <cellStyle name="Normal 5 8" xfId="16189" xr:uid="{00000000-0005-0000-0000-0000783F0000}"/>
    <cellStyle name="Normal 5 80" xfId="16190" xr:uid="{00000000-0005-0000-0000-0000793F0000}"/>
    <cellStyle name="Normal 5 81" xfId="16191" xr:uid="{00000000-0005-0000-0000-00007A3F0000}"/>
    <cellStyle name="Normal 5 82" xfId="16192" xr:uid="{00000000-0005-0000-0000-00007B3F0000}"/>
    <cellStyle name="Normal 5 83" xfId="16193" xr:uid="{00000000-0005-0000-0000-00007C3F0000}"/>
    <cellStyle name="Normal 5 84" xfId="48424" xr:uid="{00000000-0005-0000-0000-00007D3F0000}"/>
    <cellStyle name="Normal 5 9" xfId="16194" xr:uid="{00000000-0005-0000-0000-00007E3F0000}"/>
    <cellStyle name="Normal 5_Customer Operations Business Plan Input Reqs (3)" xfId="16195" xr:uid="{00000000-0005-0000-0000-00007F3F0000}"/>
    <cellStyle name="Normal 50" xfId="16196" xr:uid="{00000000-0005-0000-0000-0000803F0000}"/>
    <cellStyle name="Normal 50 10" xfId="16197" xr:uid="{00000000-0005-0000-0000-0000813F0000}"/>
    <cellStyle name="Normal 50 10 2" xfId="16198" xr:uid="{00000000-0005-0000-0000-0000823F0000}"/>
    <cellStyle name="Normal 50 11" xfId="16199" xr:uid="{00000000-0005-0000-0000-0000833F0000}"/>
    <cellStyle name="Normal 50 11 2" xfId="16200" xr:uid="{00000000-0005-0000-0000-0000843F0000}"/>
    <cellStyle name="Normal 50 12" xfId="16201" xr:uid="{00000000-0005-0000-0000-0000853F0000}"/>
    <cellStyle name="Normal 50 12 2" xfId="16202" xr:uid="{00000000-0005-0000-0000-0000863F0000}"/>
    <cellStyle name="Normal 50 13" xfId="16203" xr:uid="{00000000-0005-0000-0000-0000873F0000}"/>
    <cellStyle name="Normal 50 13 2" xfId="16204" xr:uid="{00000000-0005-0000-0000-0000883F0000}"/>
    <cellStyle name="Normal 50 14" xfId="16205" xr:uid="{00000000-0005-0000-0000-0000893F0000}"/>
    <cellStyle name="Normal 50 14 2" xfId="16206" xr:uid="{00000000-0005-0000-0000-00008A3F0000}"/>
    <cellStyle name="Normal 50 15" xfId="16207" xr:uid="{00000000-0005-0000-0000-00008B3F0000}"/>
    <cellStyle name="Normal 50 15 2" xfId="16208" xr:uid="{00000000-0005-0000-0000-00008C3F0000}"/>
    <cellStyle name="Normal 50 16" xfId="16209" xr:uid="{00000000-0005-0000-0000-00008D3F0000}"/>
    <cellStyle name="Normal 50 16 2" xfId="16210" xr:uid="{00000000-0005-0000-0000-00008E3F0000}"/>
    <cellStyle name="Normal 50 17" xfId="16211" xr:uid="{00000000-0005-0000-0000-00008F3F0000}"/>
    <cellStyle name="Normal 50 17 2" xfId="16212" xr:uid="{00000000-0005-0000-0000-0000903F0000}"/>
    <cellStyle name="Normal 50 18" xfId="16213" xr:uid="{00000000-0005-0000-0000-0000913F0000}"/>
    <cellStyle name="Normal 50 18 2" xfId="16214" xr:uid="{00000000-0005-0000-0000-0000923F0000}"/>
    <cellStyle name="Normal 50 19" xfId="16215" xr:uid="{00000000-0005-0000-0000-0000933F0000}"/>
    <cellStyle name="Normal 50 19 2" xfId="16216" xr:uid="{00000000-0005-0000-0000-0000943F0000}"/>
    <cellStyle name="Normal 50 2" xfId="16217" xr:uid="{00000000-0005-0000-0000-0000953F0000}"/>
    <cellStyle name="Normal 50 2 2" xfId="16218" xr:uid="{00000000-0005-0000-0000-0000963F0000}"/>
    <cellStyle name="Normal 50 2 2 2" xfId="16219" xr:uid="{00000000-0005-0000-0000-0000973F0000}"/>
    <cellStyle name="Normal 50 2 2 3" xfId="16220" xr:uid="{00000000-0005-0000-0000-0000983F0000}"/>
    <cellStyle name="Normal 50 2 2 4" xfId="16221" xr:uid="{00000000-0005-0000-0000-0000993F0000}"/>
    <cellStyle name="Normal 50 2 3" xfId="16222" xr:uid="{00000000-0005-0000-0000-00009A3F0000}"/>
    <cellStyle name="Normal 50 2 3 2" xfId="16223" xr:uid="{00000000-0005-0000-0000-00009B3F0000}"/>
    <cellStyle name="Normal 50 2 3 3" xfId="16224" xr:uid="{00000000-0005-0000-0000-00009C3F0000}"/>
    <cellStyle name="Normal 50 2 3 4" xfId="16225" xr:uid="{00000000-0005-0000-0000-00009D3F0000}"/>
    <cellStyle name="Normal 50 2 4" xfId="16226" xr:uid="{00000000-0005-0000-0000-00009E3F0000}"/>
    <cellStyle name="Normal 50 2 5" xfId="16227" xr:uid="{00000000-0005-0000-0000-00009F3F0000}"/>
    <cellStyle name="Normal 50 2 6" xfId="16228" xr:uid="{00000000-0005-0000-0000-0000A03F0000}"/>
    <cellStyle name="Normal 50 2 7" xfId="16229" xr:uid="{00000000-0005-0000-0000-0000A13F0000}"/>
    <cellStyle name="Normal 50 20" xfId="16230" xr:uid="{00000000-0005-0000-0000-0000A23F0000}"/>
    <cellStyle name="Normal 50 20 2" xfId="16231" xr:uid="{00000000-0005-0000-0000-0000A33F0000}"/>
    <cellStyle name="Normal 50 21" xfId="16232" xr:uid="{00000000-0005-0000-0000-0000A43F0000}"/>
    <cellStyle name="Normal 50 21 2" xfId="16233" xr:uid="{00000000-0005-0000-0000-0000A53F0000}"/>
    <cellStyle name="Normal 50 22" xfId="16234" xr:uid="{00000000-0005-0000-0000-0000A63F0000}"/>
    <cellStyle name="Normal 50 22 2" xfId="16235" xr:uid="{00000000-0005-0000-0000-0000A73F0000}"/>
    <cellStyle name="Normal 50 23" xfId="16236" xr:uid="{00000000-0005-0000-0000-0000A83F0000}"/>
    <cellStyle name="Normal 50 24" xfId="16237" xr:uid="{00000000-0005-0000-0000-0000A93F0000}"/>
    <cellStyle name="Normal 50 25" xfId="16238" xr:uid="{00000000-0005-0000-0000-0000AA3F0000}"/>
    <cellStyle name="Normal 50 26" xfId="16239" xr:uid="{00000000-0005-0000-0000-0000AB3F0000}"/>
    <cellStyle name="Normal 50 27" xfId="16240" xr:uid="{00000000-0005-0000-0000-0000AC3F0000}"/>
    <cellStyle name="Normal 50 28" xfId="16241" xr:uid="{00000000-0005-0000-0000-0000AD3F0000}"/>
    <cellStyle name="Normal 50 29" xfId="16242" xr:uid="{00000000-0005-0000-0000-0000AE3F0000}"/>
    <cellStyle name="Normal 50 3" xfId="16243" xr:uid="{00000000-0005-0000-0000-0000AF3F0000}"/>
    <cellStyle name="Normal 50 3 2" xfId="16244" xr:uid="{00000000-0005-0000-0000-0000B03F0000}"/>
    <cellStyle name="Normal 50 3 2 2" xfId="16245" xr:uid="{00000000-0005-0000-0000-0000B13F0000}"/>
    <cellStyle name="Normal 50 3 2 3" xfId="16246" xr:uid="{00000000-0005-0000-0000-0000B23F0000}"/>
    <cellStyle name="Normal 50 3 2 4" xfId="16247" xr:uid="{00000000-0005-0000-0000-0000B33F0000}"/>
    <cellStyle name="Normal 50 3 3" xfId="16248" xr:uid="{00000000-0005-0000-0000-0000B43F0000}"/>
    <cellStyle name="Normal 50 3 4" xfId="16249" xr:uid="{00000000-0005-0000-0000-0000B53F0000}"/>
    <cellStyle name="Normal 50 3 5" xfId="16250" xr:uid="{00000000-0005-0000-0000-0000B63F0000}"/>
    <cellStyle name="Normal 50 3 6" xfId="16251" xr:uid="{00000000-0005-0000-0000-0000B73F0000}"/>
    <cellStyle name="Normal 50 30" xfId="16252" xr:uid="{00000000-0005-0000-0000-0000B83F0000}"/>
    <cellStyle name="Normal 50 31" xfId="16253" xr:uid="{00000000-0005-0000-0000-0000B93F0000}"/>
    <cellStyle name="Normal 50 32" xfId="16254" xr:uid="{00000000-0005-0000-0000-0000BA3F0000}"/>
    <cellStyle name="Normal 50 33" xfId="16255" xr:uid="{00000000-0005-0000-0000-0000BB3F0000}"/>
    <cellStyle name="Normal 50 34" xfId="16256" xr:uid="{00000000-0005-0000-0000-0000BC3F0000}"/>
    <cellStyle name="Normal 50 35" xfId="16257" xr:uid="{00000000-0005-0000-0000-0000BD3F0000}"/>
    <cellStyle name="Normal 50 36" xfId="16258" xr:uid="{00000000-0005-0000-0000-0000BE3F0000}"/>
    <cellStyle name="Normal 50 37" xfId="16259" xr:uid="{00000000-0005-0000-0000-0000BF3F0000}"/>
    <cellStyle name="Normal 50 38" xfId="16260" xr:uid="{00000000-0005-0000-0000-0000C03F0000}"/>
    <cellStyle name="Normal 50 39" xfId="16261" xr:uid="{00000000-0005-0000-0000-0000C13F0000}"/>
    <cellStyle name="Normal 50 4" xfId="16262" xr:uid="{00000000-0005-0000-0000-0000C23F0000}"/>
    <cellStyle name="Normal 50 4 2" xfId="16263" xr:uid="{00000000-0005-0000-0000-0000C33F0000}"/>
    <cellStyle name="Normal 50 4 3" xfId="16264" xr:uid="{00000000-0005-0000-0000-0000C43F0000}"/>
    <cellStyle name="Normal 50 4 4" xfId="16265" xr:uid="{00000000-0005-0000-0000-0000C53F0000}"/>
    <cellStyle name="Normal 50 40" xfId="16266" xr:uid="{00000000-0005-0000-0000-0000C63F0000}"/>
    <cellStyle name="Normal 50 41" xfId="16267" xr:uid="{00000000-0005-0000-0000-0000C73F0000}"/>
    <cellStyle name="Normal 50 42" xfId="16268" xr:uid="{00000000-0005-0000-0000-0000C83F0000}"/>
    <cellStyle name="Normal 50 43" xfId="16269" xr:uid="{00000000-0005-0000-0000-0000C93F0000}"/>
    <cellStyle name="Normal 50 44" xfId="16270" xr:uid="{00000000-0005-0000-0000-0000CA3F0000}"/>
    <cellStyle name="Normal 50 45" xfId="16271" xr:uid="{00000000-0005-0000-0000-0000CB3F0000}"/>
    <cellStyle name="Normal 50 46" xfId="16272" xr:uid="{00000000-0005-0000-0000-0000CC3F0000}"/>
    <cellStyle name="Normal 50 47" xfId="16273" xr:uid="{00000000-0005-0000-0000-0000CD3F0000}"/>
    <cellStyle name="Normal 50 48" xfId="16274" xr:uid="{00000000-0005-0000-0000-0000CE3F0000}"/>
    <cellStyle name="Normal 50 49" xfId="16275" xr:uid="{00000000-0005-0000-0000-0000CF3F0000}"/>
    <cellStyle name="Normal 50 5" xfId="16276" xr:uid="{00000000-0005-0000-0000-0000D03F0000}"/>
    <cellStyle name="Normal 50 5 2" xfId="16277" xr:uid="{00000000-0005-0000-0000-0000D13F0000}"/>
    <cellStyle name="Normal 50 5 3" xfId="16278" xr:uid="{00000000-0005-0000-0000-0000D23F0000}"/>
    <cellStyle name="Normal 50 5 4" xfId="16279" xr:uid="{00000000-0005-0000-0000-0000D33F0000}"/>
    <cellStyle name="Normal 50 50" xfId="16280" xr:uid="{00000000-0005-0000-0000-0000D43F0000}"/>
    <cellStyle name="Normal 50 51" xfId="16281" xr:uid="{00000000-0005-0000-0000-0000D53F0000}"/>
    <cellStyle name="Normal 50 52" xfId="16282" xr:uid="{00000000-0005-0000-0000-0000D63F0000}"/>
    <cellStyle name="Normal 50 53" xfId="16283" xr:uid="{00000000-0005-0000-0000-0000D73F0000}"/>
    <cellStyle name="Normal 50 54" xfId="16284" xr:uid="{00000000-0005-0000-0000-0000D83F0000}"/>
    <cellStyle name="Normal 50 55" xfId="16285" xr:uid="{00000000-0005-0000-0000-0000D93F0000}"/>
    <cellStyle name="Normal 50 56" xfId="16286" xr:uid="{00000000-0005-0000-0000-0000DA3F0000}"/>
    <cellStyle name="Normal 50 57" xfId="16287" xr:uid="{00000000-0005-0000-0000-0000DB3F0000}"/>
    <cellStyle name="Normal 50 58" xfId="16288" xr:uid="{00000000-0005-0000-0000-0000DC3F0000}"/>
    <cellStyle name="Normal 50 59" xfId="16289" xr:uid="{00000000-0005-0000-0000-0000DD3F0000}"/>
    <cellStyle name="Normal 50 6" xfId="16290" xr:uid="{00000000-0005-0000-0000-0000DE3F0000}"/>
    <cellStyle name="Normal 50 6 2" xfId="16291" xr:uid="{00000000-0005-0000-0000-0000DF3F0000}"/>
    <cellStyle name="Normal 50 60" xfId="16292" xr:uid="{00000000-0005-0000-0000-0000E03F0000}"/>
    <cellStyle name="Normal 50 61" xfId="16293" xr:uid="{00000000-0005-0000-0000-0000E13F0000}"/>
    <cellStyle name="Normal 50 62" xfId="16294" xr:uid="{00000000-0005-0000-0000-0000E23F0000}"/>
    <cellStyle name="Normal 50 63" xfId="16295" xr:uid="{00000000-0005-0000-0000-0000E33F0000}"/>
    <cellStyle name="Normal 50 64" xfId="16296" xr:uid="{00000000-0005-0000-0000-0000E43F0000}"/>
    <cellStyle name="Normal 50 65" xfId="16297" xr:uid="{00000000-0005-0000-0000-0000E53F0000}"/>
    <cellStyle name="Normal 50 66" xfId="16298" xr:uid="{00000000-0005-0000-0000-0000E63F0000}"/>
    <cellStyle name="Normal 50 67" xfId="16299" xr:uid="{00000000-0005-0000-0000-0000E73F0000}"/>
    <cellStyle name="Normal 50 68" xfId="16300" xr:uid="{00000000-0005-0000-0000-0000E83F0000}"/>
    <cellStyle name="Normal 50 69" xfId="16301" xr:uid="{00000000-0005-0000-0000-0000E93F0000}"/>
    <cellStyle name="Normal 50 7" xfId="16302" xr:uid="{00000000-0005-0000-0000-0000EA3F0000}"/>
    <cellStyle name="Normal 50 7 2" xfId="16303" xr:uid="{00000000-0005-0000-0000-0000EB3F0000}"/>
    <cellStyle name="Normal 50 70" xfId="16304" xr:uid="{00000000-0005-0000-0000-0000EC3F0000}"/>
    <cellStyle name="Normal 50 8" xfId="16305" xr:uid="{00000000-0005-0000-0000-0000ED3F0000}"/>
    <cellStyle name="Normal 50 8 2" xfId="16306" xr:uid="{00000000-0005-0000-0000-0000EE3F0000}"/>
    <cellStyle name="Normal 50 9" xfId="16307" xr:uid="{00000000-0005-0000-0000-0000EF3F0000}"/>
    <cellStyle name="Normal 50 9 2" xfId="16308" xr:uid="{00000000-0005-0000-0000-0000F03F0000}"/>
    <cellStyle name="Normal 51" xfId="16309" xr:uid="{00000000-0005-0000-0000-0000F13F0000}"/>
    <cellStyle name="Normal 51 10" xfId="16310" xr:uid="{00000000-0005-0000-0000-0000F23F0000}"/>
    <cellStyle name="Normal 51 11" xfId="16311" xr:uid="{00000000-0005-0000-0000-0000F33F0000}"/>
    <cellStyle name="Normal 51 12" xfId="16312" xr:uid="{00000000-0005-0000-0000-0000F43F0000}"/>
    <cellStyle name="Normal 51 13" xfId="16313" xr:uid="{00000000-0005-0000-0000-0000F53F0000}"/>
    <cellStyle name="Normal 51 14" xfId="16314" xr:uid="{00000000-0005-0000-0000-0000F63F0000}"/>
    <cellStyle name="Normal 51 15" xfId="16315" xr:uid="{00000000-0005-0000-0000-0000F73F0000}"/>
    <cellStyle name="Normal 51 16" xfId="16316" xr:uid="{00000000-0005-0000-0000-0000F83F0000}"/>
    <cellStyle name="Normal 51 17" xfId="16317" xr:uid="{00000000-0005-0000-0000-0000F93F0000}"/>
    <cellStyle name="Normal 51 2" xfId="16318" xr:uid="{00000000-0005-0000-0000-0000FA3F0000}"/>
    <cellStyle name="Normal 51 3" xfId="16319" xr:uid="{00000000-0005-0000-0000-0000FB3F0000}"/>
    <cellStyle name="Normal 51 4" xfId="16320" xr:uid="{00000000-0005-0000-0000-0000FC3F0000}"/>
    <cellStyle name="Normal 51 5" xfId="16321" xr:uid="{00000000-0005-0000-0000-0000FD3F0000}"/>
    <cellStyle name="Normal 51 6" xfId="16322" xr:uid="{00000000-0005-0000-0000-0000FE3F0000}"/>
    <cellStyle name="Normal 51 7" xfId="16323" xr:uid="{00000000-0005-0000-0000-0000FF3F0000}"/>
    <cellStyle name="Normal 51 8" xfId="16324" xr:uid="{00000000-0005-0000-0000-000000400000}"/>
    <cellStyle name="Normal 51 9" xfId="16325" xr:uid="{00000000-0005-0000-0000-000001400000}"/>
    <cellStyle name="Normal 52" xfId="16326" xr:uid="{00000000-0005-0000-0000-000002400000}"/>
    <cellStyle name="Normal 52 10" xfId="16327" xr:uid="{00000000-0005-0000-0000-000003400000}"/>
    <cellStyle name="Normal 52 10 2" xfId="16328" xr:uid="{00000000-0005-0000-0000-000004400000}"/>
    <cellStyle name="Normal 52 11" xfId="16329" xr:uid="{00000000-0005-0000-0000-000005400000}"/>
    <cellStyle name="Normal 52 11 2" xfId="16330" xr:uid="{00000000-0005-0000-0000-000006400000}"/>
    <cellStyle name="Normal 52 12" xfId="16331" xr:uid="{00000000-0005-0000-0000-000007400000}"/>
    <cellStyle name="Normal 52 12 2" xfId="16332" xr:uid="{00000000-0005-0000-0000-000008400000}"/>
    <cellStyle name="Normal 52 13" xfId="16333" xr:uid="{00000000-0005-0000-0000-000009400000}"/>
    <cellStyle name="Normal 52 13 2" xfId="16334" xr:uid="{00000000-0005-0000-0000-00000A400000}"/>
    <cellStyle name="Normal 52 14" xfId="16335" xr:uid="{00000000-0005-0000-0000-00000B400000}"/>
    <cellStyle name="Normal 52 14 2" xfId="16336" xr:uid="{00000000-0005-0000-0000-00000C400000}"/>
    <cellStyle name="Normal 52 15" xfId="16337" xr:uid="{00000000-0005-0000-0000-00000D400000}"/>
    <cellStyle name="Normal 52 15 2" xfId="16338" xr:uid="{00000000-0005-0000-0000-00000E400000}"/>
    <cellStyle name="Normal 52 16" xfId="16339" xr:uid="{00000000-0005-0000-0000-00000F400000}"/>
    <cellStyle name="Normal 52 16 2" xfId="16340" xr:uid="{00000000-0005-0000-0000-000010400000}"/>
    <cellStyle name="Normal 52 17" xfId="16341" xr:uid="{00000000-0005-0000-0000-000011400000}"/>
    <cellStyle name="Normal 52 17 2" xfId="16342" xr:uid="{00000000-0005-0000-0000-000012400000}"/>
    <cellStyle name="Normal 52 18" xfId="16343" xr:uid="{00000000-0005-0000-0000-000013400000}"/>
    <cellStyle name="Normal 52 18 2" xfId="16344" xr:uid="{00000000-0005-0000-0000-000014400000}"/>
    <cellStyle name="Normal 52 19" xfId="16345" xr:uid="{00000000-0005-0000-0000-000015400000}"/>
    <cellStyle name="Normal 52 19 2" xfId="16346" xr:uid="{00000000-0005-0000-0000-000016400000}"/>
    <cellStyle name="Normal 52 2" xfId="16347" xr:uid="{00000000-0005-0000-0000-000017400000}"/>
    <cellStyle name="Normal 52 2 2" xfId="16348" xr:uid="{00000000-0005-0000-0000-000018400000}"/>
    <cellStyle name="Normal 52 2 2 2" xfId="16349" xr:uid="{00000000-0005-0000-0000-000019400000}"/>
    <cellStyle name="Normal 52 2 2 3" xfId="16350" xr:uid="{00000000-0005-0000-0000-00001A400000}"/>
    <cellStyle name="Normal 52 2 2 4" xfId="16351" xr:uid="{00000000-0005-0000-0000-00001B400000}"/>
    <cellStyle name="Normal 52 2 3" xfId="16352" xr:uid="{00000000-0005-0000-0000-00001C400000}"/>
    <cellStyle name="Normal 52 2 3 2" xfId="16353" xr:uid="{00000000-0005-0000-0000-00001D400000}"/>
    <cellStyle name="Normal 52 2 3 3" xfId="16354" xr:uid="{00000000-0005-0000-0000-00001E400000}"/>
    <cellStyle name="Normal 52 2 3 4" xfId="16355" xr:uid="{00000000-0005-0000-0000-00001F400000}"/>
    <cellStyle name="Normal 52 2 4" xfId="16356" xr:uid="{00000000-0005-0000-0000-000020400000}"/>
    <cellStyle name="Normal 52 2 5" xfId="16357" xr:uid="{00000000-0005-0000-0000-000021400000}"/>
    <cellStyle name="Normal 52 2 6" xfId="16358" xr:uid="{00000000-0005-0000-0000-000022400000}"/>
    <cellStyle name="Normal 52 2 7" xfId="16359" xr:uid="{00000000-0005-0000-0000-000023400000}"/>
    <cellStyle name="Normal 52 20" xfId="16360" xr:uid="{00000000-0005-0000-0000-000024400000}"/>
    <cellStyle name="Normal 52 20 2" xfId="16361" xr:uid="{00000000-0005-0000-0000-000025400000}"/>
    <cellStyle name="Normal 52 21" xfId="16362" xr:uid="{00000000-0005-0000-0000-000026400000}"/>
    <cellStyle name="Normal 52 21 2" xfId="16363" xr:uid="{00000000-0005-0000-0000-000027400000}"/>
    <cellStyle name="Normal 52 22" xfId="16364" xr:uid="{00000000-0005-0000-0000-000028400000}"/>
    <cellStyle name="Normal 52 22 2" xfId="16365" xr:uid="{00000000-0005-0000-0000-000029400000}"/>
    <cellStyle name="Normal 52 23" xfId="16366" xr:uid="{00000000-0005-0000-0000-00002A400000}"/>
    <cellStyle name="Normal 52 24" xfId="16367" xr:uid="{00000000-0005-0000-0000-00002B400000}"/>
    <cellStyle name="Normal 52 25" xfId="16368" xr:uid="{00000000-0005-0000-0000-00002C400000}"/>
    <cellStyle name="Normal 52 26" xfId="16369" xr:uid="{00000000-0005-0000-0000-00002D400000}"/>
    <cellStyle name="Normal 52 27" xfId="16370" xr:uid="{00000000-0005-0000-0000-00002E400000}"/>
    <cellStyle name="Normal 52 28" xfId="16371" xr:uid="{00000000-0005-0000-0000-00002F400000}"/>
    <cellStyle name="Normal 52 29" xfId="16372" xr:uid="{00000000-0005-0000-0000-000030400000}"/>
    <cellStyle name="Normal 52 3" xfId="16373" xr:uid="{00000000-0005-0000-0000-000031400000}"/>
    <cellStyle name="Normal 52 3 2" xfId="16374" xr:uid="{00000000-0005-0000-0000-000032400000}"/>
    <cellStyle name="Normal 52 3 2 2" xfId="16375" xr:uid="{00000000-0005-0000-0000-000033400000}"/>
    <cellStyle name="Normal 52 3 2 3" xfId="16376" xr:uid="{00000000-0005-0000-0000-000034400000}"/>
    <cellStyle name="Normal 52 3 2 4" xfId="16377" xr:uid="{00000000-0005-0000-0000-000035400000}"/>
    <cellStyle name="Normal 52 3 3" xfId="16378" xr:uid="{00000000-0005-0000-0000-000036400000}"/>
    <cellStyle name="Normal 52 3 4" xfId="16379" xr:uid="{00000000-0005-0000-0000-000037400000}"/>
    <cellStyle name="Normal 52 3 5" xfId="16380" xr:uid="{00000000-0005-0000-0000-000038400000}"/>
    <cellStyle name="Normal 52 3 6" xfId="16381" xr:uid="{00000000-0005-0000-0000-000039400000}"/>
    <cellStyle name="Normal 52 30" xfId="16382" xr:uid="{00000000-0005-0000-0000-00003A400000}"/>
    <cellStyle name="Normal 52 31" xfId="16383" xr:uid="{00000000-0005-0000-0000-00003B400000}"/>
    <cellStyle name="Normal 52 32" xfId="16384" xr:uid="{00000000-0005-0000-0000-00003C400000}"/>
    <cellStyle name="Normal 52 33" xfId="16385" xr:uid="{00000000-0005-0000-0000-00003D400000}"/>
    <cellStyle name="Normal 52 34" xfId="16386" xr:uid="{00000000-0005-0000-0000-00003E400000}"/>
    <cellStyle name="Normal 52 35" xfId="16387" xr:uid="{00000000-0005-0000-0000-00003F400000}"/>
    <cellStyle name="Normal 52 36" xfId="16388" xr:uid="{00000000-0005-0000-0000-000040400000}"/>
    <cellStyle name="Normal 52 37" xfId="16389" xr:uid="{00000000-0005-0000-0000-000041400000}"/>
    <cellStyle name="Normal 52 38" xfId="16390" xr:uid="{00000000-0005-0000-0000-000042400000}"/>
    <cellStyle name="Normal 52 39" xfId="16391" xr:uid="{00000000-0005-0000-0000-000043400000}"/>
    <cellStyle name="Normal 52 4" xfId="16392" xr:uid="{00000000-0005-0000-0000-000044400000}"/>
    <cellStyle name="Normal 52 4 2" xfId="16393" xr:uid="{00000000-0005-0000-0000-000045400000}"/>
    <cellStyle name="Normal 52 4 3" xfId="16394" xr:uid="{00000000-0005-0000-0000-000046400000}"/>
    <cellStyle name="Normal 52 4 4" xfId="16395" xr:uid="{00000000-0005-0000-0000-000047400000}"/>
    <cellStyle name="Normal 52 40" xfId="16396" xr:uid="{00000000-0005-0000-0000-000048400000}"/>
    <cellStyle name="Normal 52 41" xfId="16397" xr:uid="{00000000-0005-0000-0000-000049400000}"/>
    <cellStyle name="Normal 52 42" xfId="16398" xr:uid="{00000000-0005-0000-0000-00004A400000}"/>
    <cellStyle name="Normal 52 43" xfId="16399" xr:uid="{00000000-0005-0000-0000-00004B400000}"/>
    <cellStyle name="Normal 52 44" xfId="16400" xr:uid="{00000000-0005-0000-0000-00004C400000}"/>
    <cellStyle name="Normal 52 45" xfId="16401" xr:uid="{00000000-0005-0000-0000-00004D400000}"/>
    <cellStyle name="Normal 52 46" xfId="16402" xr:uid="{00000000-0005-0000-0000-00004E400000}"/>
    <cellStyle name="Normal 52 47" xfId="16403" xr:uid="{00000000-0005-0000-0000-00004F400000}"/>
    <cellStyle name="Normal 52 48" xfId="16404" xr:uid="{00000000-0005-0000-0000-000050400000}"/>
    <cellStyle name="Normal 52 49" xfId="16405" xr:uid="{00000000-0005-0000-0000-000051400000}"/>
    <cellStyle name="Normal 52 5" xfId="16406" xr:uid="{00000000-0005-0000-0000-000052400000}"/>
    <cellStyle name="Normal 52 5 2" xfId="16407" xr:uid="{00000000-0005-0000-0000-000053400000}"/>
    <cellStyle name="Normal 52 5 3" xfId="16408" xr:uid="{00000000-0005-0000-0000-000054400000}"/>
    <cellStyle name="Normal 52 5 4" xfId="16409" xr:uid="{00000000-0005-0000-0000-000055400000}"/>
    <cellStyle name="Normal 52 50" xfId="16410" xr:uid="{00000000-0005-0000-0000-000056400000}"/>
    <cellStyle name="Normal 52 51" xfId="16411" xr:uid="{00000000-0005-0000-0000-000057400000}"/>
    <cellStyle name="Normal 52 52" xfId="16412" xr:uid="{00000000-0005-0000-0000-000058400000}"/>
    <cellStyle name="Normal 52 53" xfId="16413" xr:uid="{00000000-0005-0000-0000-000059400000}"/>
    <cellStyle name="Normal 52 54" xfId="16414" xr:uid="{00000000-0005-0000-0000-00005A400000}"/>
    <cellStyle name="Normal 52 55" xfId="16415" xr:uid="{00000000-0005-0000-0000-00005B400000}"/>
    <cellStyle name="Normal 52 56" xfId="16416" xr:uid="{00000000-0005-0000-0000-00005C400000}"/>
    <cellStyle name="Normal 52 57" xfId="16417" xr:uid="{00000000-0005-0000-0000-00005D400000}"/>
    <cellStyle name="Normal 52 58" xfId="16418" xr:uid="{00000000-0005-0000-0000-00005E400000}"/>
    <cellStyle name="Normal 52 59" xfId="16419" xr:uid="{00000000-0005-0000-0000-00005F400000}"/>
    <cellStyle name="Normal 52 6" xfId="16420" xr:uid="{00000000-0005-0000-0000-000060400000}"/>
    <cellStyle name="Normal 52 6 2" xfId="16421" xr:uid="{00000000-0005-0000-0000-000061400000}"/>
    <cellStyle name="Normal 52 60" xfId="16422" xr:uid="{00000000-0005-0000-0000-000062400000}"/>
    <cellStyle name="Normal 52 61" xfId="16423" xr:uid="{00000000-0005-0000-0000-000063400000}"/>
    <cellStyle name="Normal 52 62" xfId="16424" xr:uid="{00000000-0005-0000-0000-000064400000}"/>
    <cellStyle name="Normal 52 63" xfId="16425" xr:uid="{00000000-0005-0000-0000-000065400000}"/>
    <cellStyle name="Normal 52 64" xfId="16426" xr:uid="{00000000-0005-0000-0000-000066400000}"/>
    <cellStyle name="Normal 52 65" xfId="16427" xr:uid="{00000000-0005-0000-0000-000067400000}"/>
    <cellStyle name="Normal 52 66" xfId="16428" xr:uid="{00000000-0005-0000-0000-000068400000}"/>
    <cellStyle name="Normal 52 67" xfId="16429" xr:uid="{00000000-0005-0000-0000-000069400000}"/>
    <cellStyle name="Normal 52 68" xfId="16430" xr:uid="{00000000-0005-0000-0000-00006A400000}"/>
    <cellStyle name="Normal 52 69" xfId="16431" xr:uid="{00000000-0005-0000-0000-00006B400000}"/>
    <cellStyle name="Normal 52 7" xfId="16432" xr:uid="{00000000-0005-0000-0000-00006C400000}"/>
    <cellStyle name="Normal 52 7 2" xfId="16433" xr:uid="{00000000-0005-0000-0000-00006D400000}"/>
    <cellStyle name="Normal 52 70" xfId="16434" xr:uid="{00000000-0005-0000-0000-00006E400000}"/>
    <cellStyle name="Normal 52 8" xfId="16435" xr:uid="{00000000-0005-0000-0000-00006F400000}"/>
    <cellStyle name="Normal 52 8 2" xfId="16436" xr:uid="{00000000-0005-0000-0000-000070400000}"/>
    <cellStyle name="Normal 52 9" xfId="16437" xr:uid="{00000000-0005-0000-0000-000071400000}"/>
    <cellStyle name="Normal 52 9 2" xfId="16438" xr:uid="{00000000-0005-0000-0000-000072400000}"/>
    <cellStyle name="Normal 53" xfId="16439" xr:uid="{00000000-0005-0000-0000-000073400000}"/>
    <cellStyle name="Normal 53 10" xfId="16440" xr:uid="{00000000-0005-0000-0000-000074400000}"/>
    <cellStyle name="Normal 53 10 2" xfId="16441" xr:uid="{00000000-0005-0000-0000-000075400000}"/>
    <cellStyle name="Normal 53 11" xfId="16442" xr:uid="{00000000-0005-0000-0000-000076400000}"/>
    <cellStyle name="Normal 53 11 2" xfId="16443" xr:uid="{00000000-0005-0000-0000-000077400000}"/>
    <cellStyle name="Normal 53 12" xfId="16444" xr:uid="{00000000-0005-0000-0000-000078400000}"/>
    <cellStyle name="Normal 53 12 2" xfId="16445" xr:uid="{00000000-0005-0000-0000-000079400000}"/>
    <cellStyle name="Normal 53 13" xfId="16446" xr:uid="{00000000-0005-0000-0000-00007A400000}"/>
    <cellStyle name="Normal 53 13 2" xfId="16447" xr:uid="{00000000-0005-0000-0000-00007B400000}"/>
    <cellStyle name="Normal 53 14" xfId="16448" xr:uid="{00000000-0005-0000-0000-00007C400000}"/>
    <cellStyle name="Normal 53 14 2" xfId="16449" xr:uid="{00000000-0005-0000-0000-00007D400000}"/>
    <cellStyle name="Normal 53 15" xfId="16450" xr:uid="{00000000-0005-0000-0000-00007E400000}"/>
    <cellStyle name="Normal 53 15 2" xfId="16451" xr:uid="{00000000-0005-0000-0000-00007F400000}"/>
    <cellStyle name="Normal 53 16" xfId="16452" xr:uid="{00000000-0005-0000-0000-000080400000}"/>
    <cellStyle name="Normal 53 16 2" xfId="16453" xr:uid="{00000000-0005-0000-0000-000081400000}"/>
    <cellStyle name="Normal 53 17" xfId="16454" xr:uid="{00000000-0005-0000-0000-000082400000}"/>
    <cellStyle name="Normal 53 17 2" xfId="16455" xr:uid="{00000000-0005-0000-0000-000083400000}"/>
    <cellStyle name="Normal 53 18" xfId="16456" xr:uid="{00000000-0005-0000-0000-000084400000}"/>
    <cellStyle name="Normal 53 18 2" xfId="16457" xr:uid="{00000000-0005-0000-0000-000085400000}"/>
    <cellStyle name="Normal 53 19" xfId="16458" xr:uid="{00000000-0005-0000-0000-000086400000}"/>
    <cellStyle name="Normal 53 19 2" xfId="16459" xr:uid="{00000000-0005-0000-0000-000087400000}"/>
    <cellStyle name="Normal 53 2" xfId="16460" xr:uid="{00000000-0005-0000-0000-000088400000}"/>
    <cellStyle name="Normal 53 2 2" xfId="16461" xr:uid="{00000000-0005-0000-0000-000089400000}"/>
    <cellStyle name="Normal 53 2 2 2" xfId="16462" xr:uid="{00000000-0005-0000-0000-00008A400000}"/>
    <cellStyle name="Normal 53 2 2 3" xfId="16463" xr:uid="{00000000-0005-0000-0000-00008B400000}"/>
    <cellStyle name="Normal 53 2 2 4" xfId="16464" xr:uid="{00000000-0005-0000-0000-00008C400000}"/>
    <cellStyle name="Normal 53 2 3" xfId="16465" xr:uid="{00000000-0005-0000-0000-00008D400000}"/>
    <cellStyle name="Normal 53 2 3 2" xfId="16466" xr:uid="{00000000-0005-0000-0000-00008E400000}"/>
    <cellStyle name="Normal 53 2 3 3" xfId="16467" xr:uid="{00000000-0005-0000-0000-00008F400000}"/>
    <cellStyle name="Normal 53 2 3 4" xfId="16468" xr:uid="{00000000-0005-0000-0000-000090400000}"/>
    <cellStyle name="Normal 53 2 4" xfId="16469" xr:uid="{00000000-0005-0000-0000-000091400000}"/>
    <cellStyle name="Normal 53 2 5" xfId="16470" xr:uid="{00000000-0005-0000-0000-000092400000}"/>
    <cellStyle name="Normal 53 2 6" xfId="16471" xr:uid="{00000000-0005-0000-0000-000093400000}"/>
    <cellStyle name="Normal 53 2 7" xfId="16472" xr:uid="{00000000-0005-0000-0000-000094400000}"/>
    <cellStyle name="Normal 53 20" xfId="16473" xr:uid="{00000000-0005-0000-0000-000095400000}"/>
    <cellStyle name="Normal 53 20 2" xfId="16474" xr:uid="{00000000-0005-0000-0000-000096400000}"/>
    <cellStyle name="Normal 53 21" xfId="16475" xr:uid="{00000000-0005-0000-0000-000097400000}"/>
    <cellStyle name="Normal 53 21 2" xfId="16476" xr:uid="{00000000-0005-0000-0000-000098400000}"/>
    <cellStyle name="Normal 53 22" xfId="16477" xr:uid="{00000000-0005-0000-0000-000099400000}"/>
    <cellStyle name="Normal 53 22 2" xfId="16478" xr:uid="{00000000-0005-0000-0000-00009A400000}"/>
    <cellStyle name="Normal 53 23" xfId="16479" xr:uid="{00000000-0005-0000-0000-00009B400000}"/>
    <cellStyle name="Normal 53 24" xfId="16480" xr:uid="{00000000-0005-0000-0000-00009C400000}"/>
    <cellStyle name="Normal 53 25" xfId="16481" xr:uid="{00000000-0005-0000-0000-00009D400000}"/>
    <cellStyle name="Normal 53 26" xfId="16482" xr:uid="{00000000-0005-0000-0000-00009E400000}"/>
    <cellStyle name="Normal 53 27" xfId="16483" xr:uid="{00000000-0005-0000-0000-00009F400000}"/>
    <cellStyle name="Normal 53 28" xfId="16484" xr:uid="{00000000-0005-0000-0000-0000A0400000}"/>
    <cellStyle name="Normal 53 29" xfId="16485" xr:uid="{00000000-0005-0000-0000-0000A1400000}"/>
    <cellStyle name="Normal 53 3" xfId="16486" xr:uid="{00000000-0005-0000-0000-0000A2400000}"/>
    <cellStyle name="Normal 53 3 2" xfId="16487" xr:uid="{00000000-0005-0000-0000-0000A3400000}"/>
    <cellStyle name="Normal 53 3 2 2" xfId="16488" xr:uid="{00000000-0005-0000-0000-0000A4400000}"/>
    <cellStyle name="Normal 53 3 2 3" xfId="16489" xr:uid="{00000000-0005-0000-0000-0000A5400000}"/>
    <cellStyle name="Normal 53 3 2 4" xfId="16490" xr:uid="{00000000-0005-0000-0000-0000A6400000}"/>
    <cellStyle name="Normal 53 3 3" xfId="16491" xr:uid="{00000000-0005-0000-0000-0000A7400000}"/>
    <cellStyle name="Normal 53 3 4" xfId="16492" xr:uid="{00000000-0005-0000-0000-0000A8400000}"/>
    <cellStyle name="Normal 53 3 5" xfId="16493" xr:uid="{00000000-0005-0000-0000-0000A9400000}"/>
    <cellStyle name="Normal 53 3 6" xfId="16494" xr:uid="{00000000-0005-0000-0000-0000AA400000}"/>
    <cellStyle name="Normal 53 30" xfId="16495" xr:uid="{00000000-0005-0000-0000-0000AB400000}"/>
    <cellStyle name="Normal 53 31" xfId="16496" xr:uid="{00000000-0005-0000-0000-0000AC400000}"/>
    <cellStyle name="Normal 53 32" xfId="16497" xr:uid="{00000000-0005-0000-0000-0000AD400000}"/>
    <cellStyle name="Normal 53 33" xfId="16498" xr:uid="{00000000-0005-0000-0000-0000AE400000}"/>
    <cellStyle name="Normal 53 34" xfId="16499" xr:uid="{00000000-0005-0000-0000-0000AF400000}"/>
    <cellStyle name="Normal 53 35" xfId="16500" xr:uid="{00000000-0005-0000-0000-0000B0400000}"/>
    <cellStyle name="Normal 53 36" xfId="16501" xr:uid="{00000000-0005-0000-0000-0000B1400000}"/>
    <cellStyle name="Normal 53 37" xfId="16502" xr:uid="{00000000-0005-0000-0000-0000B2400000}"/>
    <cellStyle name="Normal 53 38" xfId="16503" xr:uid="{00000000-0005-0000-0000-0000B3400000}"/>
    <cellStyle name="Normal 53 39" xfId="16504" xr:uid="{00000000-0005-0000-0000-0000B4400000}"/>
    <cellStyle name="Normal 53 4" xfId="16505" xr:uid="{00000000-0005-0000-0000-0000B5400000}"/>
    <cellStyle name="Normal 53 4 2" xfId="16506" xr:uid="{00000000-0005-0000-0000-0000B6400000}"/>
    <cellStyle name="Normal 53 4 3" xfId="16507" xr:uid="{00000000-0005-0000-0000-0000B7400000}"/>
    <cellStyle name="Normal 53 4 4" xfId="16508" xr:uid="{00000000-0005-0000-0000-0000B8400000}"/>
    <cellStyle name="Normal 53 40" xfId="16509" xr:uid="{00000000-0005-0000-0000-0000B9400000}"/>
    <cellStyle name="Normal 53 41" xfId="16510" xr:uid="{00000000-0005-0000-0000-0000BA400000}"/>
    <cellStyle name="Normal 53 42" xfId="16511" xr:uid="{00000000-0005-0000-0000-0000BB400000}"/>
    <cellStyle name="Normal 53 43" xfId="16512" xr:uid="{00000000-0005-0000-0000-0000BC400000}"/>
    <cellStyle name="Normal 53 44" xfId="16513" xr:uid="{00000000-0005-0000-0000-0000BD400000}"/>
    <cellStyle name="Normal 53 45" xfId="16514" xr:uid="{00000000-0005-0000-0000-0000BE400000}"/>
    <cellStyle name="Normal 53 46" xfId="16515" xr:uid="{00000000-0005-0000-0000-0000BF400000}"/>
    <cellStyle name="Normal 53 47" xfId="16516" xr:uid="{00000000-0005-0000-0000-0000C0400000}"/>
    <cellStyle name="Normal 53 48" xfId="16517" xr:uid="{00000000-0005-0000-0000-0000C1400000}"/>
    <cellStyle name="Normal 53 49" xfId="16518" xr:uid="{00000000-0005-0000-0000-0000C2400000}"/>
    <cellStyle name="Normal 53 5" xfId="16519" xr:uid="{00000000-0005-0000-0000-0000C3400000}"/>
    <cellStyle name="Normal 53 5 2" xfId="16520" xr:uid="{00000000-0005-0000-0000-0000C4400000}"/>
    <cellStyle name="Normal 53 5 3" xfId="16521" xr:uid="{00000000-0005-0000-0000-0000C5400000}"/>
    <cellStyle name="Normal 53 5 4" xfId="16522" xr:uid="{00000000-0005-0000-0000-0000C6400000}"/>
    <cellStyle name="Normal 53 50" xfId="16523" xr:uid="{00000000-0005-0000-0000-0000C7400000}"/>
    <cellStyle name="Normal 53 51" xfId="16524" xr:uid="{00000000-0005-0000-0000-0000C8400000}"/>
    <cellStyle name="Normal 53 52" xfId="16525" xr:uid="{00000000-0005-0000-0000-0000C9400000}"/>
    <cellStyle name="Normal 53 53" xfId="16526" xr:uid="{00000000-0005-0000-0000-0000CA400000}"/>
    <cellStyle name="Normal 53 54" xfId="16527" xr:uid="{00000000-0005-0000-0000-0000CB400000}"/>
    <cellStyle name="Normal 53 55" xfId="16528" xr:uid="{00000000-0005-0000-0000-0000CC400000}"/>
    <cellStyle name="Normal 53 56" xfId="16529" xr:uid="{00000000-0005-0000-0000-0000CD400000}"/>
    <cellStyle name="Normal 53 57" xfId="16530" xr:uid="{00000000-0005-0000-0000-0000CE400000}"/>
    <cellStyle name="Normal 53 58" xfId="16531" xr:uid="{00000000-0005-0000-0000-0000CF400000}"/>
    <cellStyle name="Normal 53 59" xfId="16532" xr:uid="{00000000-0005-0000-0000-0000D0400000}"/>
    <cellStyle name="Normal 53 6" xfId="16533" xr:uid="{00000000-0005-0000-0000-0000D1400000}"/>
    <cellStyle name="Normal 53 6 2" xfId="16534" xr:uid="{00000000-0005-0000-0000-0000D2400000}"/>
    <cellStyle name="Normal 53 60" xfId="16535" xr:uid="{00000000-0005-0000-0000-0000D3400000}"/>
    <cellStyle name="Normal 53 61" xfId="16536" xr:uid="{00000000-0005-0000-0000-0000D4400000}"/>
    <cellStyle name="Normal 53 62" xfId="16537" xr:uid="{00000000-0005-0000-0000-0000D5400000}"/>
    <cellStyle name="Normal 53 63" xfId="16538" xr:uid="{00000000-0005-0000-0000-0000D6400000}"/>
    <cellStyle name="Normal 53 64" xfId="16539" xr:uid="{00000000-0005-0000-0000-0000D7400000}"/>
    <cellStyle name="Normal 53 65" xfId="16540" xr:uid="{00000000-0005-0000-0000-0000D8400000}"/>
    <cellStyle name="Normal 53 66" xfId="16541" xr:uid="{00000000-0005-0000-0000-0000D9400000}"/>
    <cellStyle name="Normal 53 67" xfId="16542" xr:uid="{00000000-0005-0000-0000-0000DA400000}"/>
    <cellStyle name="Normal 53 68" xfId="16543" xr:uid="{00000000-0005-0000-0000-0000DB400000}"/>
    <cellStyle name="Normal 53 69" xfId="16544" xr:uid="{00000000-0005-0000-0000-0000DC400000}"/>
    <cellStyle name="Normal 53 7" xfId="16545" xr:uid="{00000000-0005-0000-0000-0000DD400000}"/>
    <cellStyle name="Normal 53 7 2" xfId="16546" xr:uid="{00000000-0005-0000-0000-0000DE400000}"/>
    <cellStyle name="Normal 53 70" xfId="16547" xr:uid="{00000000-0005-0000-0000-0000DF400000}"/>
    <cellStyle name="Normal 53 8" xfId="16548" xr:uid="{00000000-0005-0000-0000-0000E0400000}"/>
    <cellStyle name="Normal 53 8 2" xfId="16549" xr:uid="{00000000-0005-0000-0000-0000E1400000}"/>
    <cellStyle name="Normal 53 9" xfId="16550" xr:uid="{00000000-0005-0000-0000-0000E2400000}"/>
    <cellStyle name="Normal 53 9 2" xfId="16551" xr:uid="{00000000-0005-0000-0000-0000E3400000}"/>
    <cellStyle name="Normal 54" xfId="16552" xr:uid="{00000000-0005-0000-0000-0000E4400000}"/>
    <cellStyle name="Normal 54 10" xfId="16553" xr:uid="{00000000-0005-0000-0000-0000E5400000}"/>
    <cellStyle name="Normal 54 11" xfId="16554" xr:uid="{00000000-0005-0000-0000-0000E6400000}"/>
    <cellStyle name="Normal 54 12" xfId="16555" xr:uid="{00000000-0005-0000-0000-0000E7400000}"/>
    <cellStyle name="Normal 54 13" xfId="16556" xr:uid="{00000000-0005-0000-0000-0000E8400000}"/>
    <cellStyle name="Normal 54 14" xfId="16557" xr:uid="{00000000-0005-0000-0000-0000E9400000}"/>
    <cellStyle name="Normal 54 15" xfId="16558" xr:uid="{00000000-0005-0000-0000-0000EA400000}"/>
    <cellStyle name="Normal 54 16" xfId="16559" xr:uid="{00000000-0005-0000-0000-0000EB400000}"/>
    <cellStyle name="Normal 54 17" xfId="16560" xr:uid="{00000000-0005-0000-0000-0000EC400000}"/>
    <cellStyle name="Normal 54 18" xfId="16561" xr:uid="{00000000-0005-0000-0000-0000ED400000}"/>
    <cellStyle name="Normal 54 19" xfId="16562" xr:uid="{00000000-0005-0000-0000-0000EE400000}"/>
    <cellStyle name="Normal 54 2" xfId="16563" xr:uid="{00000000-0005-0000-0000-0000EF400000}"/>
    <cellStyle name="Normal 54 2 10" xfId="16564" xr:uid="{00000000-0005-0000-0000-0000F0400000}"/>
    <cellStyle name="Normal 54 2 11" xfId="16565" xr:uid="{00000000-0005-0000-0000-0000F1400000}"/>
    <cellStyle name="Normal 54 2 12" xfId="16566" xr:uid="{00000000-0005-0000-0000-0000F2400000}"/>
    <cellStyle name="Normal 54 2 13" xfId="16567" xr:uid="{00000000-0005-0000-0000-0000F3400000}"/>
    <cellStyle name="Normal 54 2 2" xfId="16568" xr:uid="{00000000-0005-0000-0000-0000F4400000}"/>
    <cellStyle name="Normal 54 2 3" xfId="16569" xr:uid="{00000000-0005-0000-0000-0000F5400000}"/>
    <cellStyle name="Normal 54 2 4" xfId="16570" xr:uid="{00000000-0005-0000-0000-0000F6400000}"/>
    <cellStyle name="Normal 54 2 5" xfId="16571" xr:uid="{00000000-0005-0000-0000-0000F7400000}"/>
    <cellStyle name="Normal 54 2 6" xfId="16572" xr:uid="{00000000-0005-0000-0000-0000F8400000}"/>
    <cellStyle name="Normal 54 2 7" xfId="16573" xr:uid="{00000000-0005-0000-0000-0000F9400000}"/>
    <cellStyle name="Normal 54 2 8" xfId="16574" xr:uid="{00000000-0005-0000-0000-0000FA400000}"/>
    <cellStyle name="Normal 54 2 9" xfId="16575" xr:uid="{00000000-0005-0000-0000-0000FB400000}"/>
    <cellStyle name="Normal 54 20" xfId="16576" xr:uid="{00000000-0005-0000-0000-0000FC400000}"/>
    <cellStyle name="Normal 54 21" xfId="16577" xr:uid="{00000000-0005-0000-0000-0000FD400000}"/>
    <cellStyle name="Normal 54 3" xfId="16578" xr:uid="{00000000-0005-0000-0000-0000FE400000}"/>
    <cellStyle name="Normal 54 4" xfId="16579" xr:uid="{00000000-0005-0000-0000-0000FF400000}"/>
    <cellStyle name="Normal 54 5" xfId="16580" xr:uid="{00000000-0005-0000-0000-000000410000}"/>
    <cellStyle name="Normal 54 6" xfId="16581" xr:uid="{00000000-0005-0000-0000-000001410000}"/>
    <cellStyle name="Normal 54 7" xfId="16582" xr:uid="{00000000-0005-0000-0000-000002410000}"/>
    <cellStyle name="Normal 54 8" xfId="16583" xr:uid="{00000000-0005-0000-0000-000003410000}"/>
    <cellStyle name="Normal 54 9" xfId="16584" xr:uid="{00000000-0005-0000-0000-000004410000}"/>
    <cellStyle name="Normal 55" xfId="16585" xr:uid="{00000000-0005-0000-0000-000005410000}"/>
    <cellStyle name="Normal 55 10" xfId="16586" xr:uid="{00000000-0005-0000-0000-000006410000}"/>
    <cellStyle name="Normal 55 11" xfId="16587" xr:uid="{00000000-0005-0000-0000-000007410000}"/>
    <cellStyle name="Normal 55 12" xfId="16588" xr:uid="{00000000-0005-0000-0000-000008410000}"/>
    <cellStyle name="Normal 55 13" xfId="16589" xr:uid="{00000000-0005-0000-0000-000009410000}"/>
    <cellStyle name="Normal 55 14" xfId="16590" xr:uid="{00000000-0005-0000-0000-00000A410000}"/>
    <cellStyle name="Normal 55 2" xfId="16591" xr:uid="{00000000-0005-0000-0000-00000B410000}"/>
    <cellStyle name="Normal 55 2 10" xfId="16592" xr:uid="{00000000-0005-0000-0000-00000C410000}"/>
    <cellStyle name="Normal 55 2 11" xfId="16593" xr:uid="{00000000-0005-0000-0000-00000D410000}"/>
    <cellStyle name="Normal 55 2 12" xfId="16594" xr:uid="{00000000-0005-0000-0000-00000E410000}"/>
    <cellStyle name="Normal 55 2 13" xfId="16595" xr:uid="{00000000-0005-0000-0000-00000F410000}"/>
    <cellStyle name="Normal 55 2 2" xfId="16596" xr:uid="{00000000-0005-0000-0000-000010410000}"/>
    <cellStyle name="Normal 55 2 3" xfId="16597" xr:uid="{00000000-0005-0000-0000-000011410000}"/>
    <cellStyle name="Normal 55 2 4" xfId="16598" xr:uid="{00000000-0005-0000-0000-000012410000}"/>
    <cellStyle name="Normal 55 2 5" xfId="16599" xr:uid="{00000000-0005-0000-0000-000013410000}"/>
    <cellStyle name="Normal 55 2 6" xfId="16600" xr:uid="{00000000-0005-0000-0000-000014410000}"/>
    <cellStyle name="Normal 55 2 7" xfId="16601" xr:uid="{00000000-0005-0000-0000-000015410000}"/>
    <cellStyle name="Normal 55 2 8" xfId="16602" xr:uid="{00000000-0005-0000-0000-000016410000}"/>
    <cellStyle name="Normal 55 2 9" xfId="16603" xr:uid="{00000000-0005-0000-0000-000017410000}"/>
    <cellStyle name="Normal 55 3" xfId="16604" xr:uid="{00000000-0005-0000-0000-000018410000}"/>
    <cellStyle name="Normal 55 4" xfId="16605" xr:uid="{00000000-0005-0000-0000-000019410000}"/>
    <cellStyle name="Normal 55 5" xfId="16606" xr:uid="{00000000-0005-0000-0000-00001A410000}"/>
    <cellStyle name="Normal 55 6" xfId="16607" xr:uid="{00000000-0005-0000-0000-00001B410000}"/>
    <cellStyle name="Normal 55 7" xfId="16608" xr:uid="{00000000-0005-0000-0000-00001C410000}"/>
    <cellStyle name="Normal 55 8" xfId="16609" xr:uid="{00000000-0005-0000-0000-00001D410000}"/>
    <cellStyle name="Normal 55 9" xfId="16610" xr:uid="{00000000-0005-0000-0000-00001E410000}"/>
    <cellStyle name="Normal 56" xfId="16611" xr:uid="{00000000-0005-0000-0000-00001F410000}"/>
    <cellStyle name="Normal 56 10" xfId="16612" xr:uid="{00000000-0005-0000-0000-000020410000}"/>
    <cellStyle name="Normal 56 11" xfId="16613" xr:uid="{00000000-0005-0000-0000-000021410000}"/>
    <cellStyle name="Normal 56 12" xfId="16614" xr:uid="{00000000-0005-0000-0000-000022410000}"/>
    <cellStyle name="Normal 56 13" xfId="16615" xr:uid="{00000000-0005-0000-0000-000023410000}"/>
    <cellStyle name="Normal 56 14" xfId="16616" xr:uid="{00000000-0005-0000-0000-000024410000}"/>
    <cellStyle name="Normal 56 15" xfId="16617" xr:uid="{00000000-0005-0000-0000-000025410000}"/>
    <cellStyle name="Normal 56 16" xfId="16618" xr:uid="{00000000-0005-0000-0000-000026410000}"/>
    <cellStyle name="Normal 56 17" xfId="16619" xr:uid="{00000000-0005-0000-0000-000027410000}"/>
    <cellStyle name="Normal 56 2" xfId="16620" xr:uid="{00000000-0005-0000-0000-000028410000}"/>
    <cellStyle name="Normal 56 2 2" xfId="16621" xr:uid="{00000000-0005-0000-0000-000029410000}"/>
    <cellStyle name="Normal 56 2 3" xfId="16622" xr:uid="{00000000-0005-0000-0000-00002A410000}"/>
    <cellStyle name="Normal 56 3" xfId="16623" xr:uid="{00000000-0005-0000-0000-00002B410000}"/>
    <cellStyle name="Normal 56 4" xfId="16624" xr:uid="{00000000-0005-0000-0000-00002C410000}"/>
    <cellStyle name="Normal 56 5" xfId="16625" xr:uid="{00000000-0005-0000-0000-00002D410000}"/>
    <cellStyle name="Normal 56 6" xfId="16626" xr:uid="{00000000-0005-0000-0000-00002E410000}"/>
    <cellStyle name="Normal 56 7" xfId="16627" xr:uid="{00000000-0005-0000-0000-00002F410000}"/>
    <cellStyle name="Normal 56 8" xfId="16628" xr:uid="{00000000-0005-0000-0000-000030410000}"/>
    <cellStyle name="Normal 56 9" xfId="16629" xr:uid="{00000000-0005-0000-0000-000031410000}"/>
    <cellStyle name="Normal 57" xfId="16630" xr:uid="{00000000-0005-0000-0000-000032410000}"/>
    <cellStyle name="Normal 57 2" xfId="16631" xr:uid="{00000000-0005-0000-0000-000033410000}"/>
    <cellStyle name="Normal 57 2 2" xfId="16632" xr:uid="{00000000-0005-0000-0000-000034410000}"/>
    <cellStyle name="Normal 57 2 3" xfId="16633" xr:uid="{00000000-0005-0000-0000-000035410000}"/>
    <cellStyle name="Normal 57 3" xfId="16634" xr:uid="{00000000-0005-0000-0000-000036410000}"/>
    <cellStyle name="Normal 57 3 2" xfId="16635" xr:uid="{00000000-0005-0000-0000-000037410000}"/>
    <cellStyle name="Normal 57 3 3" xfId="16636" xr:uid="{00000000-0005-0000-0000-000038410000}"/>
    <cellStyle name="Normal 57 4" xfId="16637" xr:uid="{00000000-0005-0000-0000-000039410000}"/>
    <cellStyle name="Normal 57 5" xfId="16638" xr:uid="{00000000-0005-0000-0000-00003A410000}"/>
    <cellStyle name="Normal 58" xfId="16639" xr:uid="{00000000-0005-0000-0000-00003B410000}"/>
    <cellStyle name="Normal 58 2" xfId="16640" xr:uid="{00000000-0005-0000-0000-00003C410000}"/>
    <cellStyle name="Normal 58 2 2" xfId="16641" xr:uid="{00000000-0005-0000-0000-00003D410000}"/>
    <cellStyle name="Normal 58 2 3" xfId="16642" xr:uid="{00000000-0005-0000-0000-00003E410000}"/>
    <cellStyle name="Normal 58 3" xfId="16643" xr:uid="{00000000-0005-0000-0000-00003F410000}"/>
    <cellStyle name="Normal 58 4" xfId="16644" xr:uid="{00000000-0005-0000-0000-000040410000}"/>
    <cellStyle name="Normal 58 5" xfId="16645" xr:uid="{00000000-0005-0000-0000-000041410000}"/>
    <cellStyle name="Normal 58 6" xfId="16646" xr:uid="{00000000-0005-0000-0000-000042410000}"/>
    <cellStyle name="Normal 58_2.10 Streetworks version 2 - RW Update" xfId="16647" xr:uid="{00000000-0005-0000-0000-000043410000}"/>
    <cellStyle name="Normal 59" xfId="16648" xr:uid="{00000000-0005-0000-0000-000044410000}"/>
    <cellStyle name="Normal 59 2" xfId="16649" xr:uid="{00000000-0005-0000-0000-000045410000}"/>
    <cellStyle name="Normal 59 3" xfId="16650" xr:uid="{00000000-0005-0000-0000-000046410000}"/>
    <cellStyle name="Normal 59 4" xfId="16651" xr:uid="{00000000-0005-0000-0000-000047410000}"/>
    <cellStyle name="Normal 6" xfId="16652" xr:uid="{00000000-0005-0000-0000-000048410000}"/>
    <cellStyle name="Normal 6 10" xfId="16653" xr:uid="{00000000-0005-0000-0000-000049410000}"/>
    <cellStyle name="Normal 6 11" xfId="16654" xr:uid="{00000000-0005-0000-0000-00004A410000}"/>
    <cellStyle name="Normal 6 12" xfId="16655" xr:uid="{00000000-0005-0000-0000-00004B410000}"/>
    <cellStyle name="Normal 6 13" xfId="16656" xr:uid="{00000000-0005-0000-0000-00004C410000}"/>
    <cellStyle name="Normal 6 14" xfId="16657" xr:uid="{00000000-0005-0000-0000-00004D410000}"/>
    <cellStyle name="Normal 6 15" xfId="16658" xr:uid="{00000000-0005-0000-0000-00004E410000}"/>
    <cellStyle name="Normal 6 16" xfId="16659" xr:uid="{00000000-0005-0000-0000-00004F410000}"/>
    <cellStyle name="Normal 6 17" xfId="16660" xr:uid="{00000000-0005-0000-0000-000050410000}"/>
    <cellStyle name="Normal 6 18" xfId="16661" xr:uid="{00000000-0005-0000-0000-000051410000}"/>
    <cellStyle name="Normal 6 19" xfId="16662" xr:uid="{00000000-0005-0000-0000-000052410000}"/>
    <cellStyle name="Normal 6 2" xfId="16663" xr:uid="{00000000-0005-0000-0000-000053410000}"/>
    <cellStyle name="Normal 6 2 10" xfId="16664" xr:uid="{00000000-0005-0000-0000-000054410000}"/>
    <cellStyle name="Normal 6 2 11" xfId="16665" xr:uid="{00000000-0005-0000-0000-000055410000}"/>
    <cellStyle name="Normal 6 2 12" xfId="16666" xr:uid="{00000000-0005-0000-0000-000056410000}"/>
    <cellStyle name="Normal 6 2 13" xfId="16667" xr:uid="{00000000-0005-0000-0000-000057410000}"/>
    <cellStyle name="Normal 6 2 14" xfId="16668" xr:uid="{00000000-0005-0000-0000-000058410000}"/>
    <cellStyle name="Normal 6 2 15" xfId="16669" xr:uid="{00000000-0005-0000-0000-000059410000}"/>
    <cellStyle name="Normal 6 2 16" xfId="16670" xr:uid="{00000000-0005-0000-0000-00005A410000}"/>
    <cellStyle name="Normal 6 2 17" xfId="16671" xr:uid="{00000000-0005-0000-0000-00005B410000}"/>
    <cellStyle name="Normal 6 2 2" xfId="16672" xr:uid="{00000000-0005-0000-0000-00005C410000}"/>
    <cellStyle name="Normal 6 2 2 2" xfId="48271" xr:uid="{00000000-0005-0000-0000-00005D410000}"/>
    <cellStyle name="Normal 6 2 2 3" xfId="48272" xr:uid="{00000000-0005-0000-0000-00005E410000}"/>
    <cellStyle name="Normal 6 2 2 4" xfId="48273" xr:uid="{00000000-0005-0000-0000-00005F410000}"/>
    <cellStyle name="Normal 6 2 3" xfId="16673" xr:uid="{00000000-0005-0000-0000-000060410000}"/>
    <cellStyle name="Normal 6 2 3 2" xfId="48274" xr:uid="{00000000-0005-0000-0000-000061410000}"/>
    <cellStyle name="Normal 6 2 3 3" xfId="48275" xr:uid="{00000000-0005-0000-0000-000062410000}"/>
    <cellStyle name="Normal 6 2 3 4" xfId="48276" xr:uid="{00000000-0005-0000-0000-000063410000}"/>
    <cellStyle name="Normal 6 2 4" xfId="16674" xr:uid="{00000000-0005-0000-0000-000064410000}"/>
    <cellStyle name="Normal 6 2 5" xfId="16675" xr:uid="{00000000-0005-0000-0000-000065410000}"/>
    <cellStyle name="Normal 6 2 6" xfId="16676" xr:uid="{00000000-0005-0000-0000-000066410000}"/>
    <cellStyle name="Normal 6 2 7" xfId="16677" xr:uid="{00000000-0005-0000-0000-000067410000}"/>
    <cellStyle name="Normal 6 2 8" xfId="16678" xr:uid="{00000000-0005-0000-0000-000068410000}"/>
    <cellStyle name="Normal 6 2 9" xfId="16679" xr:uid="{00000000-0005-0000-0000-000069410000}"/>
    <cellStyle name="Normal 6 20" xfId="16680" xr:uid="{00000000-0005-0000-0000-00006A410000}"/>
    <cellStyle name="Normal 6 21" xfId="16681" xr:uid="{00000000-0005-0000-0000-00006B410000}"/>
    <cellStyle name="Normal 6 22" xfId="16682" xr:uid="{00000000-0005-0000-0000-00006C410000}"/>
    <cellStyle name="Normal 6 23" xfId="16683" xr:uid="{00000000-0005-0000-0000-00006D410000}"/>
    <cellStyle name="Normal 6 24" xfId="16684" xr:uid="{00000000-0005-0000-0000-00006E410000}"/>
    <cellStyle name="Normal 6 25" xfId="16685" xr:uid="{00000000-0005-0000-0000-00006F410000}"/>
    <cellStyle name="Normal 6 26" xfId="16686" xr:uid="{00000000-0005-0000-0000-000070410000}"/>
    <cellStyle name="Normal 6 27" xfId="16687" xr:uid="{00000000-0005-0000-0000-000071410000}"/>
    <cellStyle name="Normal 6 28" xfId="16688" xr:uid="{00000000-0005-0000-0000-000072410000}"/>
    <cellStyle name="Normal 6 29" xfId="16689" xr:uid="{00000000-0005-0000-0000-000073410000}"/>
    <cellStyle name="Normal 6 3" xfId="16690" xr:uid="{00000000-0005-0000-0000-000074410000}"/>
    <cellStyle name="Normal 6 3 10" xfId="16691" xr:uid="{00000000-0005-0000-0000-000075410000}"/>
    <cellStyle name="Normal 6 3 11" xfId="16692" xr:uid="{00000000-0005-0000-0000-000076410000}"/>
    <cellStyle name="Normal 6 3 12" xfId="16693" xr:uid="{00000000-0005-0000-0000-000077410000}"/>
    <cellStyle name="Normal 6 3 13" xfId="16694" xr:uid="{00000000-0005-0000-0000-000078410000}"/>
    <cellStyle name="Normal 6 3 14" xfId="16695" xr:uid="{00000000-0005-0000-0000-000079410000}"/>
    <cellStyle name="Normal 6 3 15" xfId="16696" xr:uid="{00000000-0005-0000-0000-00007A410000}"/>
    <cellStyle name="Normal 6 3 16" xfId="16697" xr:uid="{00000000-0005-0000-0000-00007B410000}"/>
    <cellStyle name="Normal 6 3 17" xfId="16698" xr:uid="{00000000-0005-0000-0000-00007C410000}"/>
    <cellStyle name="Normal 6 3 2" xfId="16699" xr:uid="{00000000-0005-0000-0000-00007D410000}"/>
    <cellStyle name="Normal 6 3 2 2" xfId="48277" xr:uid="{00000000-0005-0000-0000-00007E410000}"/>
    <cellStyle name="Normal 6 3 2 3" xfId="48278" xr:uid="{00000000-0005-0000-0000-00007F410000}"/>
    <cellStyle name="Normal 6 3 2 4" xfId="48279" xr:uid="{00000000-0005-0000-0000-000080410000}"/>
    <cellStyle name="Normal 6 3 3" xfId="16700" xr:uid="{00000000-0005-0000-0000-000081410000}"/>
    <cellStyle name="Normal 6 3 3 2" xfId="48280" xr:uid="{00000000-0005-0000-0000-000082410000}"/>
    <cellStyle name="Normal 6 3 3 3" xfId="48281" xr:uid="{00000000-0005-0000-0000-000083410000}"/>
    <cellStyle name="Normal 6 3 3 4" xfId="48282" xr:uid="{00000000-0005-0000-0000-000084410000}"/>
    <cellStyle name="Normal 6 3 4" xfId="16701" xr:uid="{00000000-0005-0000-0000-000085410000}"/>
    <cellStyle name="Normal 6 3 5" xfId="16702" xr:uid="{00000000-0005-0000-0000-000086410000}"/>
    <cellStyle name="Normal 6 3 6" xfId="16703" xr:uid="{00000000-0005-0000-0000-000087410000}"/>
    <cellStyle name="Normal 6 3 7" xfId="16704" xr:uid="{00000000-0005-0000-0000-000088410000}"/>
    <cellStyle name="Normal 6 3 8" xfId="16705" xr:uid="{00000000-0005-0000-0000-000089410000}"/>
    <cellStyle name="Normal 6 3 9" xfId="16706" xr:uid="{00000000-0005-0000-0000-00008A410000}"/>
    <cellStyle name="Normal 6 30" xfId="16707" xr:uid="{00000000-0005-0000-0000-00008B410000}"/>
    <cellStyle name="Normal 6 31" xfId="16708" xr:uid="{00000000-0005-0000-0000-00008C410000}"/>
    <cellStyle name="Normal 6 32" xfId="16709" xr:uid="{00000000-0005-0000-0000-00008D410000}"/>
    <cellStyle name="Normal 6 33" xfId="16710" xr:uid="{00000000-0005-0000-0000-00008E410000}"/>
    <cellStyle name="Normal 6 34" xfId="16711" xr:uid="{00000000-0005-0000-0000-00008F410000}"/>
    <cellStyle name="Normal 6 35" xfId="16712" xr:uid="{00000000-0005-0000-0000-000090410000}"/>
    <cellStyle name="Normal 6 36" xfId="16713" xr:uid="{00000000-0005-0000-0000-000091410000}"/>
    <cellStyle name="Normal 6 37" xfId="16714" xr:uid="{00000000-0005-0000-0000-000092410000}"/>
    <cellStyle name="Normal 6 38" xfId="16715" xr:uid="{00000000-0005-0000-0000-000093410000}"/>
    <cellStyle name="Normal 6 39" xfId="16716" xr:uid="{00000000-0005-0000-0000-000094410000}"/>
    <cellStyle name="Normal 6 4" xfId="16717" xr:uid="{00000000-0005-0000-0000-000095410000}"/>
    <cellStyle name="Normal 6 4 2" xfId="48283" xr:uid="{00000000-0005-0000-0000-000096410000}"/>
    <cellStyle name="Normal 6 4 2 2" xfId="48284" xr:uid="{00000000-0005-0000-0000-000097410000}"/>
    <cellStyle name="Normal 6 4 2 3" xfId="48285" xr:uid="{00000000-0005-0000-0000-000098410000}"/>
    <cellStyle name="Normal 6 4 2 4" xfId="48286" xr:uid="{00000000-0005-0000-0000-000099410000}"/>
    <cellStyle name="Normal 6 4 3" xfId="48287" xr:uid="{00000000-0005-0000-0000-00009A410000}"/>
    <cellStyle name="Normal 6 4 3 2" xfId="48288" xr:uid="{00000000-0005-0000-0000-00009B410000}"/>
    <cellStyle name="Normal 6 4 3 3" xfId="48289" xr:uid="{00000000-0005-0000-0000-00009C410000}"/>
    <cellStyle name="Normal 6 4 3 4" xfId="48290" xr:uid="{00000000-0005-0000-0000-00009D410000}"/>
    <cellStyle name="Normal 6 4 4" xfId="48291" xr:uid="{00000000-0005-0000-0000-00009E410000}"/>
    <cellStyle name="Normal 6 4 5" xfId="48292" xr:uid="{00000000-0005-0000-0000-00009F410000}"/>
    <cellStyle name="Normal 6 4 6" xfId="48293" xr:uid="{00000000-0005-0000-0000-0000A0410000}"/>
    <cellStyle name="Normal 6 40" xfId="16718" xr:uid="{00000000-0005-0000-0000-0000A1410000}"/>
    <cellStyle name="Normal 6 41" xfId="16719" xr:uid="{00000000-0005-0000-0000-0000A2410000}"/>
    <cellStyle name="Normal 6 42" xfId="16720" xr:uid="{00000000-0005-0000-0000-0000A3410000}"/>
    <cellStyle name="Normal 6 43" xfId="16721" xr:uid="{00000000-0005-0000-0000-0000A4410000}"/>
    <cellStyle name="Normal 6 44" xfId="16722" xr:uid="{00000000-0005-0000-0000-0000A5410000}"/>
    <cellStyle name="Normal 6 45" xfId="16723" xr:uid="{00000000-0005-0000-0000-0000A6410000}"/>
    <cellStyle name="Normal 6 46" xfId="16724" xr:uid="{00000000-0005-0000-0000-0000A7410000}"/>
    <cellStyle name="Normal 6 47" xfId="16725" xr:uid="{00000000-0005-0000-0000-0000A8410000}"/>
    <cellStyle name="Normal 6 48" xfId="16726" xr:uid="{00000000-0005-0000-0000-0000A9410000}"/>
    <cellStyle name="Normal 6 49" xfId="16727" xr:uid="{00000000-0005-0000-0000-0000AA410000}"/>
    <cellStyle name="Normal 6 5" xfId="16728" xr:uid="{00000000-0005-0000-0000-0000AB410000}"/>
    <cellStyle name="Normal 6 5 2" xfId="48294" xr:uid="{00000000-0005-0000-0000-0000AC410000}"/>
    <cellStyle name="Normal 6 5 3" xfId="48295" xr:uid="{00000000-0005-0000-0000-0000AD410000}"/>
    <cellStyle name="Normal 6 5 4" xfId="48296" xr:uid="{00000000-0005-0000-0000-0000AE410000}"/>
    <cellStyle name="Normal 6 50" xfId="16729" xr:uid="{00000000-0005-0000-0000-0000AF410000}"/>
    <cellStyle name="Normal 6 51" xfId="16730" xr:uid="{00000000-0005-0000-0000-0000B0410000}"/>
    <cellStyle name="Normal 6 52" xfId="16731" xr:uid="{00000000-0005-0000-0000-0000B1410000}"/>
    <cellStyle name="Normal 6 53" xfId="16732" xr:uid="{00000000-0005-0000-0000-0000B2410000}"/>
    <cellStyle name="Normal 6 54" xfId="16733" xr:uid="{00000000-0005-0000-0000-0000B3410000}"/>
    <cellStyle name="Normal 6 55" xfId="16734" xr:uid="{00000000-0005-0000-0000-0000B4410000}"/>
    <cellStyle name="Normal 6 56" xfId="16735" xr:uid="{00000000-0005-0000-0000-0000B5410000}"/>
    <cellStyle name="Normal 6 57" xfId="16736" xr:uid="{00000000-0005-0000-0000-0000B6410000}"/>
    <cellStyle name="Normal 6 58" xfId="16737" xr:uid="{00000000-0005-0000-0000-0000B7410000}"/>
    <cellStyle name="Normal 6 59" xfId="16738" xr:uid="{00000000-0005-0000-0000-0000B8410000}"/>
    <cellStyle name="Normal 6 6" xfId="16739" xr:uid="{00000000-0005-0000-0000-0000B9410000}"/>
    <cellStyle name="Normal 6 6 2" xfId="48297" xr:uid="{00000000-0005-0000-0000-0000BA410000}"/>
    <cellStyle name="Normal 6 6 3" xfId="48298" xr:uid="{00000000-0005-0000-0000-0000BB410000}"/>
    <cellStyle name="Normal 6 6 4" xfId="48299" xr:uid="{00000000-0005-0000-0000-0000BC410000}"/>
    <cellStyle name="Normal 6 60" xfId="16740" xr:uid="{00000000-0005-0000-0000-0000BD410000}"/>
    <cellStyle name="Normal 6 61" xfId="16741" xr:uid="{00000000-0005-0000-0000-0000BE410000}"/>
    <cellStyle name="Normal 6 62" xfId="16742" xr:uid="{00000000-0005-0000-0000-0000BF410000}"/>
    <cellStyle name="Normal 6 63" xfId="16743" xr:uid="{00000000-0005-0000-0000-0000C0410000}"/>
    <cellStyle name="Normal 6 64" xfId="16744" xr:uid="{00000000-0005-0000-0000-0000C1410000}"/>
    <cellStyle name="Normal 6 65" xfId="16745" xr:uid="{00000000-0005-0000-0000-0000C2410000}"/>
    <cellStyle name="Normal 6 66" xfId="16746" xr:uid="{00000000-0005-0000-0000-0000C3410000}"/>
    <cellStyle name="Normal 6 67" xfId="16747" xr:uid="{00000000-0005-0000-0000-0000C4410000}"/>
    <cellStyle name="Normal 6 68" xfId="16748" xr:uid="{00000000-0005-0000-0000-0000C5410000}"/>
    <cellStyle name="Normal 6 69" xfId="16749" xr:uid="{00000000-0005-0000-0000-0000C6410000}"/>
    <cellStyle name="Normal 6 7" xfId="16750" xr:uid="{00000000-0005-0000-0000-0000C7410000}"/>
    <cellStyle name="Normal 6 70" xfId="16751" xr:uid="{00000000-0005-0000-0000-0000C8410000}"/>
    <cellStyle name="Normal 6 71" xfId="16752" xr:uid="{00000000-0005-0000-0000-0000C9410000}"/>
    <cellStyle name="Normal 6 72" xfId="16753" xr:uid="{00000000-0005-0000-0000-0000CA410000}"/>
    <cellStyle name="Normal 6 73" xfId="16754" xr:uid="{00000000-0005-0000-0000-0000CB410000}"/>
    <cellStyle name="Normal 6 74" xfId="16755" xr:uid="{00000000-0005-0000-0000-0000CC410000}"/>
    <cellStyle name="Normal 6 75" xfId="16756" xr:uid="{00000000-0005-0000-0000-0000CD410000}"/>
    <cellStyle name="Normal 6 76" xfId="16757" xr:uid="{00000000-0005-0000-0000-0000CE410000}"/>
    <cellStyle name="Normal 6 77" xfId="16758" xr:uid="{00000000-0005-0000-0000-0000CF410000}"/>
    <cellStyle name="Normal 6 78" xfId="16759" xr:uid="{00000000-0005-0000-0000-0000D0410000}"/>
    <cellStyle name="Normal 6 79" xfId="16760" xr:uid="{00000000-0005-0000-0000-0000D1410000}"/>
    <cellStyle name="Normal 6 8" xfId="16761" xr:uid="{00000000-0005-0000-0000-0000D2410000}"/>
    <cellStyle name="Normal 6 80" xfId="16762" xr:uid="{00000000-0005-0000-0000-0000D3410000}"/>
    <cellStyle name="Normal 6 81" xfId="16763" xr:uid="{00000000-0005-0000-0000-0000D4410000}"/>
    <cellStyle name="Normal 6 82" xfId="16764" xr:uid="{00000000-0005-0000-0000-0000D5410000}"/>
    <cellStyle name="Normal 6 83" xfId="16765" xr:uid="{00000000-0005-0000-0000-0000D6410000}"/>
    <cellStyle name="Normal 6 84" xfId="16766" xr:uid="{00000000-0005-0000-0000-0000D7410000}"/>
    <cellStyle name="Normal 6 85" xfId="48425" xr:uid="{00000000-0005-0000-0000-0000D8410000}"/>
    <cellStyle name="Normal 6 9" xfId="16767" xr:uid="{00000000-0005-0000-0000-0000D9410000}"/>
    <cellStyle name="Normal 60" xfId="16768" xr:uid="{00000000-0005-0000-0000-0000DA410000}"/>
    <cellStyle name="Normal 60 2" xfId="48300" xr:uid="{00000000-0005-0000-0000-0000DB410000}"/>
    <cellStyle name="Normal 61" xfId="16769" xr:uid="{00000000-0005-0000-0000-0000DC410000}"/>
    <cellStyle name="Normal 61 2" xfId="16770" xr:uid="{00000000-0005-0000-0000-0000DD410000}"/>
    <cellStyle name="Normal 62" xfId="16771" xr:uid="{00000000-0005-0000-0000-0000DE410000}"/>
    <cellStyle name="Normal 62 2" xfId="48301" xr:uid="{00000000-0005-0000-0000-0000DF410000}"/>
    <cellStyle name="Normal 63" xfId="16772" xr:uid="{00000000-0005-0000-0000-0000E0410000}"/>
    <cellStyle name="Normal 64" xfId="16773" xr:uid="{00000000-0005-0000-0000-0000E1410000}"/>
    <cellStyle name="Normal 65" xfId="16774" xr:uid="{00000000-0005-0000-0000-0000E2410000}"/>
    <cellStyle name="Normal 66" xfId="16775" xr:uid="{00000000-0005-0000-0000-0000E3410000}"/>
    <cellStyle name="Normal 67" xfId="48212" xr:uid="{00000000-0005-0000-0000-0000E4410000}"/>
    <cellStyle name="Normal 68" xfId="48213" xr:uid="{00000000-0005-0000-0000-0000E5410000}"/>
    <cellStyle name="Normal 69" xfId="48302" xr:uid="{00000000-0005-0000-0000-0000E6410000}"/>
    <cellStyle name="Normal 69 2" xfId="48303" xr:uid="{00000000-0005-0000-0000-0000E7410000}"/>
    <cellStyle name="Normal 7" xfId="16776" xr:uid="{00000000-0005-0000-0000-0000E8410000}"/>
    <cellStyle name="Normal 7 10" xfId="16777" xr:uid="{00000000-0005-0000-0000-0000E9410000}"/>
    <cellStyle name="Normal 7 11" xfId="16778" xr:uid="{00000000-0005-0000-0000-0000EA410000}"/>
    <cellStyle name="Normal 7 12" xfId="16779" xr:uid="{00000000-0005-0000-0000-0000EB410000}"/>
    <cellStyle name="Normal 7 13" xfId="16780" xr:uid="{00000000-0005-0000-0000-0000EC410000}"/>
    <cellStyle name="Normal 7 14" xfId="16781" xr:uid="{00000000-0005-0000-0000-0000ED410000}"/>
    <cellStyle name="Normal 7 15" xfId="16782" xr:uid="{00000000-0005-0000-0000-0000EE410000}"/>
    <cellStyle name="Normal 7 16" xfId="16783" xr:uid="{00000000-0005-0000-0000-0000EF410000}"/>
    <cellStyle name="Normal 7 17" xfId="16784" xr:uid="{00000000-0005-0000-0000-0000F0410000}"/>
    <cellStyle name="Normal 7 18" xfId="16785" xr:uid="{00000000-0005-0000-0000-0000F1410000}"/>
    <cellStyle name="Normal 7 19" xfId="16786" xr:uid="{00000000-0005-0000-0000-0000F2410000}"/>
    <cellStyle name="Normal 7 2" xfId="16787" xr:uid="{00000000-0005-0000-0000-0000F3410000}"/>
    <cellStyle name="Normal 7 2 10" xfId="16788" xr:uid="{00000000-0005-0000-0000-0000F4410000}"/>
    <cellStyle name="Normal 7 2 11" xfId="16789" xr:uid="{00000000-0005-0000-0000-0000F5410000}"/>
    <cellStyle name="Normal 7 2 12" xfId="16790" xr:uid="{00000000-0005-0000-0000-0000F6410000}"/>
    <cellStyle name="Normal 7 2 13" xfId="16791" xr:uid="{00000000-0005-0000-0000-0000F7410000}"/>
    <cellStyle name="Normal 7 2 14" xfId="16792" xr:uid="{00000000-0005-0000-0000-0000F8410000}"/>
    <cellStyle name="Normal 7 2 15" xfId="16793" xr:uid="{00000000-0005-0000-0000-0000F9410000}"/>
    <cellStyle name="Normal 7 2 16" xfId="16794" xr:uid="{00000000-0005-0000-0000-0000FA410000}"/>
    <cellStyle name="Normal 7 2 17" xfId="16795" xr:uid="{00000000-0005-0000-0000-0000FB410000}"/>
    <cellStyle name="Normal 7 2 18" xfId="16796" xr:uid="{00000000-0005-0000-0000-0000FC410000}"/>
    <cellStyle name="Normal 7 2 19" xfId="16797" xr:uid="{00000000-0005-0000-0000-0000FD410000}"/>
    <cellStyle name="Normal 7 2 2" xfId="16798" xr:uid="{00000000-0005-0000-0000-0000FE410000}"/>
    <cellStyle name="Normal 7 2 20" xfId="16799" xr:uid="{00000000-0005-0000-0000-0000FF410000}"/>
    <cellStyle name="Normal 7 2 21" xfId="16800" xr:uid="{00000000-0005-0000-0000-000000420000}"/>
    <cellStyle name="Normal 7 2 22" xfId="16801" xr:uid="{00000000-0005-0000-0000-000001420000}"/>
    <cellStyle name="Normal 7 2 23" xfId="16802" xr:uid="{00000000-0005-0000-0000-000002420000}"/>
    <cellStyle name="Normal 7 2 24" xfId="16803" xr:uid="{00000000-0005-0000-0000-000003420000}"/>
    <cellStyle name="Normal 7 2 25" xfId="16804" xr:uid="{00000000-0005-0000-0000-000004420000}"/>
    <cellStyle name="Normal 7 2 26" xfId="16805" xr:uid="{00000000-0005-0000-0000-000005420000}"/>
    <cellStyle name="Normal 7 2 27" xfId="16806" xr:uid="{00000000-0005-0000-0000-000006420000}"/>
    <cellStyle name="Normal 7 2 28" xfId="16807" xr:uid="{00000000-0005-0000-0000-000007420000}"/>
    <cellStyle name="Normal 7 2 29" xfId="16808" xr:uid="{00000000-0005-0000-0000-000008420000}"/>
    <cellStyle name="Normal 7 2 3" xfId="16809" xr:uid="{00000000-0005-0000-0000-000009420000}"/>
    <cellStyle name="Normal 7 2 30" xfId="16810" xr:uid="{00000000-0005-0000-0000-00000A420000}"/>
    <cellStyle name="Normal 7 2 31" xfId="16811" xr:uid="{00000000-0005-0000-0000-00000B420000}"/>
    <cellStyle name="Normal 7 2 32" xfId="16812" xr:uid="{00000000-0005-0000-0000-00000C420000}"/>
    <cellStyle name="Normal 7 2 33" xfId="16813" xr:uid="{00000000-0005-0000-0000-00000D420000}"/>
    <cellStyle name="Normal 7 2 34" xfId="16814" xr:uid="{00000000-0005-0000-0000-00000E420000}"/>
    <cellStyle name="Normal 7 2 35" xfId="16815" xr:uid="{00000000-0005-0000-0000-00000F420000}"/>
    <cellStyle name="Normal 7 2 36" xfId="16816" xr:uid="{00000000-0005-0000-0000-000010420000}"/>
    <cellStyle name="Normal 7 2 37" xfId="16817" xr:uid="{00000000-0005-0000-0000-000011420000}"/>
    <cellStyle name="Normal 7 2 38" xfId="16818" xr:uid="{00000000-0005-0000-0000-000012420000}"/>
    <cellStyle name="Normal 7 2 39" xfId="16819" xr:uid="{00000000-0005-0000-0000-000013420000}"/>
    <cellStyle name="Normal 7 2 4" xfId="16820" xr:uid="{00000000-0005-0000-0000-000014420000}"/>
    <cellStyle name="Normal 7 2 40" xfId="16821" xr:uid="{00000000-0005-0000-0000-000015420000}"/>
    <cellStyle name="Normal 7 2 41" xfId="16822" xr:uid="{00000000-0005-0000-0000-000016420000}"/>
    <cellStyle name="Normal 7 2 42" xfId="16823" xr:uid="{00000000-0005-0000-0000-000017420000}"/>
    <cellStyle name="Normal 7 2 43" xfId="16824" xr:uid="{00000000-0005-0000-0000-000018420000}"/>
    <cellStyle name="Normal 7 2 44" xfId="16825" xr:uid="{00000000-0005-0000-0000-000019420000}"/>
    <cellStyle name="Normal 7 2 45" xfId="16826" xr:uid="{00000000-0005-0000-0000-00001A420000}"/>
    <cellStyle name="Normal 7 2 46" xfId="16827" xr:uid="{00000000-0005-0000-0000-00001B420000}"/>
    <cellStyle name="Normal 7 2 47" xfId="16828" xr:uid="{00000000-0005-0000-0000-00001C420000}"/>
    <cellStyle name="Normal 7 2 48" xfId="16829" xr:uid="{00000000-0005-0000-0000-00001D420000}"/>
    <cellStyle name="Normal 7 2 49" xfId="16830" xr:uid="{00000000-0005-0000-0000-00001E420000}"/>
    <cellStyle name="Normal 7 2 5" xfId="16831" xr:uid="{00000000-0005-0000-0000-00001F420000}"/>
    <cellStyle name="Normal 7 2 50" xfId="16832" xr:uid="{00000000-0005-0000-0000-000020420000}"/>
    <cellStyle name="Normal 7 2 51" xfId="16833" xr:uid="{00000000-0005-0000-0000-000021420000}"/>
    <cellStyle name="Normal 7 2 52" xfId="16834" xr:uid="{00000000-0005-0000-0000-000022420000}"/>
    <cellStyle name="Normal 7 2 53" xfId="16835" xr:uid="{00000000-0005-0000-0000-000023420000}"/>
    <cellStyle name="Normal 7 2 54" xfId="16836" xr:uid="{00000000-0005-0000-0000-000024420000}"/>
    <cellStyle name="Normal 7 2 55" xfId="16837" xr:uid="{00000000-0005-0000-0000-000025420000}"/>
    <cellStyle name="Normal 7 2 56" xfId="16838" xr:uid="{00000000-0005-0000-0000-000026420000}"/>
    <cellStyle name="Normal 7 2 57" xfId="16839" xr:uid="{00000000-0005-0000-0000-000027420000}"/>
    <cellStyle name="Normal 7 2 58" xfId="16840" xr:uid="{00000000-0005-0000-0000-000028420000}"/>
    <cellStyle name="Normal 7 2 59" xfId="16841" xr:uid="{00000000-0005-0000-0000-000029420000}"/>
    <cellStyle name="Normal 7 2 6" xfId="16842" xr:uid="{00000000-0005-0000-0000-00002A420000}"/>
    <cellStyle name="Normal 7 2 60" xfId="16843" xr:uid="{00000000-0005-0000-0000-00002B420000}"/>
    <cellStyle name="Normal 7 2 61" xfId="16844" xr:uid="{00000000-0005-0000-0000-00002C420000}"/>
    <cellStyle name="Normal 7 2 62" xfId="16845" xr:uid="{00000000-0005-0000-0000-00002D420000}"/>
    <cellStyle name="Normal 7 2 63" xfId="16846" xr:uid="{00000000-0005-0000-0000-00002E420000}"/>
    <cellStyle name="Normal 7 2 64" xfId="16847" xr:uid="{00000000-0005-0000-0000-00002F420000}"/>
    <cellStyle name="Normal 7 2 65" xfId="16848" xr:uid="{00000000-0005-0000-0000-000030420000}"/>
    <cellStyle name="Normal 7 2 66" xfId="16849" xr:uid="{00000000-0005-0000-0000-000031420000}"/>
    <cellStyle name="Normal 7 2 67" xfId="16850" xr:uid="{00000000-0005-0000-0000-000032420000}"/>
    <cellStyle name="Normal 7 2 68" xfId="16851" xr:uid="{00000000-0005-0000-0000-000033420000}"/>
    <cellStyle name="Normal 7 2 69" xfId="16852" xr:uid="{00000000-0005-0000-0000-000034420000}"/>
    <cellStyle name="Normal 7 2 7" xfId="16853" xr:uid="{00000000-0005-0000-0000-000035420000}"/>
    <cellStyle name="Normal 7 2 70" xfId="16854" xr:uid="{00000000-0005-0000-0000-000036420000}"/>
    <cellStyle name="Normal 7 2 71" xfId="16855" xr:uid="{00000000-0005-0000-0000-000037420000}"/>
    <cellStyle name="Normal 7 2 72" xfId="16856" xr:uid="{00000000-0005-0000-0000-000038420000}"/>
    <cellStyle name="Normal 7 2 73" xfId="16857" xr:uid="{00000000-0005-0000-0000-000039420000}"/>
    <cellStyle name="Normal 7 2 74" xfId="16858" xr:uid="{00000000-0005-0000-0000-00003A420000}"/>
    <cellStyle name="Normal 7 2 75" xfId="16859" xr:uid="{00000000-0005-0000-0000-00003B420000}"/>
    <cellStyle name="Normal 7 2 76" xfId="16860" xr:uid="{00000000-0005-0000-0000-00003C420000}"/>
    <cellStyle name="Normal 7 2 77" xfId="16861" xr:uid="{00000000-0005-0000-0000-00003D420000}"/>
    <cellStyle name="Normal 7 2 78" xfId="16862" xr:uid="{00000000-0005-0000-0000-00003E420000}"/>
    <cellStyle name="Normal 7 2 8" xfId="16863" xr:uid="{00000000-0005-0000-0000-00003F420000}"/>
    <cellStyle name="Normal 7 2 9" xfId="16864" xr:uid="{00000000-0005-0000-0000-000040420000}"/>
    <cellStyle name="Normal 7 20" xfId="16865" xr:uid="{00000000-0005-0000-0000-000041420000}"/>
    <cellStyle name="Normal 7 21" xfId="16866" xr:uid="{00000000-0005-0000-0000-000042420000}"/>
    <cellStyle name="Normal 7 22" xfId="16867" xr:uid="{00000000-0005-0000-0000-000043420000}"/>
    <cellStyle name="Normal 7 23" xfId="16868" xr:uid="{00000000-0005-0000-0000-000044420000}"/>
    <cellStyle name="Normal 7 24" xfId="16869" xr:uid="{00000000-0005-0000-0000-000045420000}"/>
    <cellStyle name="Normal 7 25" xfId="16870" xr:uid="{00000000-0005-0000-0000-000046420000}"/>
    <cellStyle name="Normal 7 26" xfId="16871" xr:uid="{00000000-0005-0000-0000-000047420000}"/>
    <cellStyle name="Normal 7 27" xfId="16872" xr:uid="{00000000-0005-0000-0000-000048420000}"/>
    <cellStyle name="Normal 7 28" xfId="16873" xr:uid="{00000000-0005-0000-0000-000049420000}"/>
    <cellStyle name="Normal 7 29" xfId="16874" xr:uid="{00000000-0005-0000-0000-00004A420000}"/>
    <cellStyle name="Normal 7 3" xfId="16875" xr:uid="{00000000-0005-0000-0000-00004B420000}"/>
    <cellStyle name="Normal 7 3 10" xfId="16876" xr:uid="{00000000-0005-0000-0000-00004C420000}"/>
    <cellStyle name="Normal 7 3 11" xfId="16877" xr:uid="{00000000-0005-0000-0000-00004D420000}"/>
    <cellStyle name="Normal 7 3 12" xfId="16878" xr:uid="{00000000-0005-0000-0000-00004E420000}"/>
    <cellStyle name="Normal 7 3 13" xfId="16879" xr:uid="{00000000-0005-0000-0000-00004F420000}"/>
    <cellStyle name="Normal 7 3 14" xfId="16880" xr:uid="{00000000-0005-0000-0000-000050420000}"/>
    <cellStyle name="Normal 7 3 15" xfId="16881" xr:uid="{00000000-0005-0000-0000-000051420000}"/>
    <cellStyle name="Normal 7 3 16" xfId="16882" xr:uid="{00000000-0005-0000-0000-000052420000}"/>
    <cellStyle name="Normal 7 3 17" xfId="16883" xr:uid="{00000000-0005-0000-0000-000053420000}"/>
    <cellStyle name="Normal 7 3 2" xfId="16884" xr:uid="{00000000-0005-0000-0000-000054420000}"/>
    <cellStyle name="Normal 7 3 3" xfId="16885" xr:uid="{00000000-0005-0000-0000-000055420000}"/>
    <cellStyle name="Normal 7 3 4" xfId="16886" xr:uid="{00000000-0005-0000-0000-000056420000}"/>
    <cellStyle name="Normal 7 3 5" xfId="16887" xr:uid="{00000000-0005-0000-0000-000057420000}"/>
    <cellStyle name="Normal 7 3 6" xfId="16888" xr:uid="{00000000-0005-0000-0000-000058420000}"/>
    <cellStyle name="Normal 7 3 7" xfId="16889" xr:uid="{00000000-0005-0000-0000-000059420000}"/>
    <cellStyle name="Normal 7 3 8" xfId="16890" xr:uid="{00000000-0005-0000-0000-00005A420000}"/>
    <cellStyle name="Normal 7 3 9" xfId="16891" xr:uid="{00000000-0005-0000-0000-00005B420000}"/>
    <cellStyle name="Normal 7 30" xfId="16892" xr:uid="{00000000-0005-0000-0000-00005C420000}"/>
    <cellStyle name="Normal 7 31" xfId="16893" xr:uid="{00000000-0005-0000-0000-00005D420000}"/>
    <cellStyle name="Normal 7 32" xfId="16894" xr:uid="{00000000-0005-0000-0000-00005E420000}"/>
    <cellStyle name="Normal 7 33" xfId="16895" xr:uid="{00000000-0005-0000-0000-00005F420000}"/>
    <cellStyle name="Normal 7 34" xfId="16896" xr:uid="{00000000-0005-0000-0000-000060420000}"/>
    <cellStyle name="Normal 7 35" xfId="16897" xr:uid="{00000000-0005-0000-0000-000061420000}"/>
    <cellStyle name="Normal 7 36" xfId="16898" xr:uid="{00000000-0005-0000-0000-000062420000}"/>
    <cellStyle name="Normal 7 37" xfId="16899" xr:uid="{00000000-0005-0000-0000-000063420000}"/>
    <cellStyle name="Normal 7 38" xfId="16900" xr:uid="{00000000-0005-0000-0000-000064420000}"/>
    <cellStyle name="Normal 7 39" xfId="16901" xr:uid="{00000000-0005-0000-0000-000065420000}"/>
    <cellStyle name="Normal 7 4" xfId="16902" xr:uid="{00000000-0005-0000-0000-000066420000}"/>
    <cellStyle name="Normal 7 4 10" xfId="16903" xr:uid="{00000000-0005-0000-0000-000067420000}"/>
    <cellStyle name="Normal 7 4 11" xfId="16904" xr:uid="{00000000-0005-0000-0000-000068420000}"/>
    <cellStyle name="Normal 7 4 12" xfId="16905" xr:uid="{00000000-0005-0000-0000-000069420000}"/>
    <cellStyle name="Normal 7 4 13" xfId="16906" xr:uid="{00000000-0005-0000-0000-00006A420000}"/>
    <cellStyle name="Normal 7 4 14" xfId="16907" xr:uid="{00000000-0005-0000-0000-00006B420000}"/>
    <cellStyle name="Normal 7 4 15" xfId="16908" xr:uid="{00000000-0005-0000-0000-00006C420000}"/>
    <cellStyle name="Normal 7 4 16" xfId="16909" xr:uid="{00000000-0005-0000-0000-00006D420000}"/>
    <cellStyle name="Normal 7 4 17" xfId="16910" xr:uid="{00000000-0005-0000-0000-00006E420000}"/>
    <cellStyle name="Normal 7 4 2" xfId="16911" xr:uid="{00000000-0005-0000-0000-00006F420000}"/>
    <cellStyle name="Normal 7 4 3" xfId="16912" xr:uid="{00000000-0005-0000-0000-000070420000}"/>
    <cellStyle name="Normal 7 4 4" xfId="16913" xr:uid="{00000000-0005-0000-0000-000071420000}"/>
    <cellStyle name="Normal 7 4 5" xfId="16914" xr:uid="{00000000-0005-0000-0000-000072420000}"/>
    <cellStyle name="Normal 7 4 6" xfId="16915" xr:uid="{00000000-0005-0000-0000-000073420000}"/>
    <cellStyle name="Normal 7 4 7" xfId="16916" xr:uid="{00000000-0005-0000-0000-000074420000}"/>
    <cellStyle name="Normal 7 4 8" xfId="16917" xr:uid="{00000000-0005-0000-0000-000075420000}"/>
    <cellStyle name="Normal 7 4 9" xfId="16918" xr:uid="{00000000-0005-0000-0000-000076420000}"/>
    <cellStyle name="Normal 7 40" xfId="16919" xr:uid="{00000000-0005-0000-0000-000077420000}"/>
    <cellStyle name="Normal 7 41" xfId="16920" xr:uid="{00000000-0005-0000-0000-000078420000}"/>
    <cellStyle name="Normal 7 42" xfId="16921" xr:uid="{00000000-0005-0000-0000-000079420000}"/>
    <cellStyle name="Normal 7 43" xfId="16922" xr:uid="{00000000-0005-0000-0000-00007A420000}"/>
    <cellStyle name="Normal 7 44" xfId="16923" xr:uid="{00000000-0005-0000-0000-00007B420000}"/>
    <cellStyle name="Normal 7 45" xfId="16924" xr:uid="{00000000-0005-0000-0000-00007C420000}"/>
    <cellStyle name="Normal 7 46" xfId="16925" xr:uid="{00000000-0005-0000-0000-00007D420000}"/>
    <cellStyle name="Normal 7 47" xfId="16926" xr:uid="{00000000-0005-0000-0000-00007E420000}"/>
    <cellStyle name="Normal 7 48" xfId="16927" xr:uid="{00000000-0005-0000-0000-00007F420000}"/>
    <cellStyle name="Normal 7 49" xfId="16928" xr:uid="{00000000-0005-0000-0000-000080420000}"/>
    <cellStyle name="Normal 7 5" xfId="16929" xr:uid="{00000000-0005-0000-0000-000081420000}"/>
    <cellStyle name="Normal 7 50" xfId="16930" xr:uid="{00000000-0005-0000-0000-000082420000}"/>
    <cellStyle name="Normal 7 51" xfId="16931" xr:uid="{00000000-0005-0000-0000-000083420000}"/>
    <cellStyle name="Normal 7 52" xfId="16932" xr:uid="{00000000-0005-0000-0000-000084420000}"/>
    <cellStyle name="Normal 7 53" xfId="16933" xr:uid="{00000000-0005-0000-0000-000085420000}"/>
    <cellStyle name="Normal 7 54" xfId="16934" xr:uid="{00000000-0005-0000-0000-000086420000}"/>
    <cellStyle name="Normal 7 55" xfId="16935" xr:uid="{00000000-0005-0000-0000-000087420000}"/>
    <cellStyle name="Normal 7 56" xfId="16936" xr:uid="{00000000-0005-0000-0000-000088420000}"/>
    <cellStyle name="Normal 7 57" xfId="16937" xr:uid="{00000000-0005-0000-0000-000089420000}"/>
    <cellStyle name="Normal 7 58" xfId="16938" xr:uid="{00000000-0005-0000-0000-00008A420000}"/>
    <cellStyle name="Normal 7 59" xfId="16939" xr:uid="{00000000-0005-0000-0000-00008B420000}"/>
    <cellStyle name="Normal 7 6" xfId="16940" xr:uid="{00000000-0005-0000-0000-00008C420000}"/>
    <cellStyle name="Normal 7 60" xfId="16941" xr:uid="{00000000-0005-0000-0000-00008D420000}"/>
    <cellStyle name="Normal 7 61" xfId="16942" xr:uid="{00000000-0005-0000-0000-00008E420000}"/>
    <cellStyle name="Normal 7 62" xfId="16943" xr:uid="{00000000-0005-0000-0000-00008F420000}"/>
    <cellStyle name="Normal 7 63" xfId="16944" xr:uid="{00000000-0005-0000-0000-000090420000}"/>
    <cellStyle name="Normal 7 64" xfId="16945" xr:uid="{00000000-0005-0000-0000-000091420000}"/>
    <cellStyle name="Normal 7 65" xfId="16946" xr:uid="{00000000-0005-0000-0000-000092420000}"/>
    <cellStyle name="Normal 7 66" xfId="16947" xr:uid="{00000000-0005-0000-0000-000093420000}"/>
    <cellStyle name="Normal 7 67" xfId="16948" xr:uid="{00000000-0005-0000-0000-000094420000}"/>
    <cellStyle name="Normal 7 68" xfId="16949" xr:uid="{00000000-0005-0000-0000-000095420000}"/>
    <cellStyle name="Normal 7 69" xfId="16950" xr:uid="{00000000-0005-0000-0000-000096420000}"/>
    <cellStyle name="Normal 7 7" xfId="16951" xr:uid="{00000000-0005-0000-0000-000097420000}"/>
    <cellStyle name="Normal 7 70" xfId="16952" xr:uid="{00000000-0005-0000-0000-000098420000}"/>
    <cellStyle name="Normal 7 71" xfId="16953" xr:uid="{00000000-0005-0000-0000-000099420000}"/>
    <cellStyle name="Normal 7 72" xfId="16954" xr:uid="{00000000-0005-0000-0000-00009A420000}"/>
    <cellStyle name="Normal 7 73" xfId="16955" xr:uid="{00000000-0005-0000-0000-00009B420000}"/>
    <cellStyle name="Normal 7 74" xfId="16956" xr:uid="{00000000-0005-0000-0000-00009C420000}"/>
    <cellStyle name="Normal 7 75" xfId="16957" xr:uid="{00000000-0005-0000-0000-00009D420000}"/>
    <cellStyle name="Normal 7 76" xfId="16958" xr:uid="{00000000-0005-0000-0000-00009E420000}"/>
    <cellStyle name="Normal 7 77" xfId="16959" xr:uid="{00000000-0005-0000-0000-00009F420000}"/>
    <cellStyle name="Normal 7 78" xfId="16960" xr:uid="{00000000-0005-0000-0000-0000A0420000}"/>
    <cellStyle name="Normal 7 8" xfId="16961" xr:uid="{00000000-0005-0000-0000-0000A1420000}"/>
    <cellStyle name="Normal 7 80" xfId="48426" xr:uid="{00000000-0005-0000-0000-0000A2420000}"/>
    <cellStyle name="Normal 7 9" xfId="16962" xr:uid="{00000000-0005-0000-0000-0000A3420000}"/>
    <cellStyle name="Normal 70" xfId="48304" xr:uid="{00000000-0005-0000-0000-0000A4420000}"/>
    <cellStyle name="Normal 71" xfId="48305" xr:uid="{00000000-0005-0000-0000-0000A5420000}"/>
    <cellStyle name="Normal 71 2" xfId="48413" xr:uid="{00000000-0005-0000-0000-0000A6420000}"/>
    <cellStyle name="Normal 72" xfId="48306" xr:uid="{00000000-0005-0000-0000-0000A7420000}"/>
    <cellStyle name="Normal 72 2" xfId="48409" xr:uid="{00000000-0005-0000-0000-0000A8420000}"/>
    <cellStyle name="Normal 73" xfId="48307" xr:uid="{00000000-0005-0000-0000-0000A9420000}"/>
    <cellStyle name="Normal 74" xfId="48308" xr:uid="{00000000-0005-0000-0000-0000AA420000}"/>
    <cellStyle name="Normal 75" xfId="48309" xr:uid="{00000000-0005-0000-0000-0000AB420000}"/>
    <cellStyle name="Normal 76" xfId="48310" xr:uid="{00000000-0005-0000-0000-0000AC420000}"/>
    <cellStyle name="Normal 77" xfId="48311" xr:uid="{00000000-0005-0000-0000-0000AD420000}"/>
    <cellStyle name="Normal 78" xfId="48312" xr:uid="{00000000-0005-0000-0000-0000AE420000}"/>
    <cellStyle name="Normal 79" xfId="48313" xr:uid="{00000000-0005-0000-0000-0000AF420000}"/>
    <cellStyle name="Normal 8" xfId="16963" xr:uid="{00000000-0005-0000-0000-0000B0420000}"/>
    <cellStyle name="Normal 8 10" xfId="16964" xr:uid="{00000000-0005-0000-0000-0000B1420000}"/>
    <cellStyle name="Normal 8 11" xfId="16965" xr:uid="{00000000-0005-0000-0000-0000B2420000}"/>
    <cellStyle name="Normal 8 12" xfId="16966" xr:uid="{00000000-0005-0000-0000-0000B3420000}"/>
    <cellStyle name="Normal 8 13" xfId="16967" xr:uid="{00000000-0005-0000-0000-0000B4420000}"/>
    <cellStyle name="Normal 8 14" xfId="16968" xr:uid="{00000000-0005-0000-0000-0000B5420000}"/>
    <cellStyle name="Normal 8 15" xfId="16969" xr:uid="{00000000-0005-0000-0000-0000B6420000}"/>
    <cellStyle name="Normal 8 16" xfId="16970" xr:uid="{00000000-0005-0000-0000-0000B7420000}"/>
    <cellStyle name="Normal 8 17" xfId="16971" xr:uid="{00000000-0005-0000-0000-0000B8420000}"/>
    <cellStyle name="Normal 8 18" xfId="16972" xr:uid="{00000000-0005-0000-0000-0000B9420000}"/>
    <cellStyle name="Normal 8 19" xfId="16973" xr:uid="{00000000-0005-0000-0000-0000BA420000}"/>
    <cellStyle name="Normal 8 2" xfId="16974" xr:uid="{00000000-0005-0000-0000-0000BB420000}"/>
    <cellStyle name="Normal 8 2 10" xfId="16975" xr:uid="{00000000-0005-0000-0000-0000BC420000}"/>
    <cellStyle name="Normal 8 2 11" xfId="16976" xr:uid="{00000000-0005-0000-0000-0000BD420000}"/>
    <cellStyle name="Normal 8 2 12" xfId="16977" xr:uid="{00000000-0005-0000-0000-0000BE420000}"/>
    <cellStyle name="Normal 8 2 13" xfId="16978" xr:uid="{00000000-0005-0000-0000-0000BF420000}"/>
    <cellStyle name="Normal 8 2 14" xfId="16979" xr:uid="{00000000-0005-0000-0000-0000C0420000}"/>
    <cellStyle name="Normal 8 2 15" xfId="16980" xr:uid="{00000000-0005-0000-0000-0000C1420000}"/>
    <cellStyle name="Normal 8 2 16" xfId="16981" xr:uid="{00000000-0005-0000-0000-0000C2420000}"/>
    <cellStyle name="Normal 8 2 17" xfId="16982" xr:uid="{00000000-0005-0000-0000-0000C3420000}"/>
    <cellStyle name="Normal 8 2 2" xfId="16983" xr:uid="{00000000-0005-0000-0000-0000C4420000}"/>
    <cellStyle name="Normal 8 2 3" xfId="16984" xr:uid="{00000000-0005-0000-0000-0000C5420000}"/>
    <cellStyle name="Normal 8 2 4" xfId="16985" xr:uid="{00000000-0005-0000-0000-0000C6420000}"/>
    <cellStyle name="Normal 8 2 5" xfId="16986" xr:uid="{00000000-0005-0000-0000-0000C7420000}"/>
    <cellStyle name="Normal 8 2 6" xfId="16987" xr:uid="{00000000-0005-0000-0000-0000C8420000}"/>
    <cellStyle name="Normal 8 2 7" xfId="16988" xr:uid="{00000000-0005-0000-0000-0000C9420000}"/>
    <cellStyle name="Normal 8 2 8" xfId="16989" xr:uid="{00000000-0005-0000-0000-0000CA420000}"/>
    <cellStyle name="Normal 8 2 9" xfId="16990" xr:uid="{00000000-0005-0000-0000-0000CB420000}"/>
    <cellStyle name="Normal 8 20" xfId="16991" xr:uid="{00000000-0005-0000-0000-0000CC420000}"/>
    <cellStyle name="Normal 8 21" xfId="16992" xr:uid="{00000000-0005-0000-0000-0000CD420000}"/>
    <cellStyle name="Normal 8 22" xfId="16993" xr:uid="{00000000-0005-0000-0000-0000CE420000}"/>
    <cellStyle name="Normal 8 23" xfId="16994" xr:uid="{00000000-0005-0000-0000-0000CF420000}"/>
    <cellStyle name="Normal 8 24" xfId="16995" xr:uid="{00000000-0005-0000-0000-0000D0420000}"/>
    <cellStyle name="Normal 8 25" xfId="16996" xr:uid="{00000000-0005-0000-0000-0000D1420000}"/>
    <cellStyle name="Normal 8 26" xfId="16997" xr:uid="{00000000-0005-0000-0000-0000D2420000}"/>
    <cellStyle name="Normal 8 27" xfId="16998" xr:uid="{00000000-0005-0000-0000-0000D3420000}"/>
    <cellStyle name="Normal 8 28" xfId="16999" xr:uid="{00000000-0005-0000-0000-0000D4420000}"/>
    <cellStyle name="Normal 8 29" xfId="17000" xr:uid="{00000000-0005-0000-0000-0000D5420000}"/>
    <cellStyle name="Normal 8 3" xfId="17001" xr:uid="{00000000-0005-0000-0000-0000D6420000}"/>
    <cellStyle name="Normal 8 3 10" xfId="17002" xr:uid="{00000000-0005-0000-0000-0000D7420000}"/>
    <cellStyle name="Normal 8 3 11" xfId="17003" xr:uid="{00000000-0005-0000-0000-0000D8420000}"/>
    <cellStyle name="Normal 8 3 12" xfId="17004" xr:uid="{00000000-0005-0000-0000-0000D9420000}"/>
    <cellStyle name="Normal 8 3 13" xfId="17005" xr:uid="{00000000-0005-0000-0000-0000DA420000}"/>
    <cellStyle name="Normal 8 3 14" xfId="17006" xr:uid="{00000000-0005-0000-0000-0000DB420000}"/>
    <cellStyle name="Normal 8 3 15" xfId="17007" xr:uid="{00000000-0005-0000-0000-0000DC420000}"/>
    <cellStyle name="Normal 8 3 16" xfId="17008" xr:uid="{00000000-0005-0000-0000-0000DD420000}"/>
    <cellStyle name="Normal 8 3 17" xfId="17009" xr:uid="{00000000-0005-0000-0000-0000DE420000}"/>
    <cellStyle name="Normal 8 3 2" xfId="17010" xr:uid="{00000000-0005-0000-0000-0000DF420000}"/>
    <cellStyle name="Normal 8 3 3" xfId="17011" xr:uid="{00000000-0005-0000-0000-0000E0420000}"/>
    <cellStyle name="Normal 8 3 4" xfId="17012" xr:uid="{00000000-0005-0000-0000-0000E1420000}"/>
    <cellStyle name="Normal 8 3 5" xfId="17013" xr:uid="{00000000-0005-0000-0000-0000E2420000}"/>
    <cellStyle name="Normal 8 3 6" xfId="17014" xr:uid="{00000000-0005-0000-0000-0000E3420000}"/>
    <cellStyle name="Normal 8 3 7" xfId="17015" xr:uid="{00000000-0005-0000-0000-0000E4420000}"/>
    <cellStyle name="Normal 8 3 8" xfId="17016" xr:uid="{00000000-0005-0000-0000-0000E5420000}"/>
    <cellStyle name="Normal 8 3 9" xfId="17017" xr:uid="{00000000-0005-0000-0000-0000E6420000}"/>
    <cellStyle name="Normal 8 30" xfId="17018" xr:uid="{00000000-0005-0000-0000-0000E7420000}"/>
    <cellStyle name="Normal 8 31" xfId="17019" xr:uid="{00000000-0005-0000-0000-0000E8420000}"/>
    <cellStyle name="Normal 8 32" xfId="17020" xr:uid="{00000000-0005-0000-0000-0000E9420000}"/>
    <cellStyle name="Normal 8 33" xfId="17021" xr:uid="{00000000-0005-0000-0000-0000EA420000}"/>
    <cellStyle name="Normal 8 34" xfId="17022" xr:uid="{00000000-0005-0000-0000-0000EB420000}"/>
    <cellStyle name="Normal 8 35" xfId="17023" xr:uid="{00000000-0005-0000-0000-0000EC420000}"/>
    <cellStyle name="Normal 8 36" xfId="17024" xr:uid="{00000000-0005-0000-0000-0000ED420000}"/>
    <cellStyle name="Normal 8 37" xfId="17025" xr:uid="{00000000-0005-0000-0000-0000EE420000}"/>
    <cellStyle name="Normal 8 38" xfId="17026" xr:uid="{00000000-0005-0000-0000-0000EF420000}"/>
    <cellStyle name="Normal 8 39" xfId="17027" xr:uid="{00000000-0005-0000-0000-0000F0420000}"/>
    <cellStyle name="Normal 8 4" xfId="17028" xr:uid="{00000000-0005-0000-0000-0000F1420000}"/>
    <cellStyle name="Normal 8 4 10" xfId="17029" xr:uid="{00000000-0005-0000-0000-0000F2420000}"/>
    <cellStyle name="Normal 8 4 11" xfId="17030" xr:uid="{00000000-0005-0000-0000-0000F3420000}"/>
    <cellStyle name="Normal 8 4 12" xfId="17031" xr:uid="{00000000-0005-0000-0000-0000F4420000}"/>
    <cellStyle name="Normal 8 4 13" xfId="17032" xr:uid="{00000000-0005-0000-0000-0000F5420000}"/>
    <cellStyle name="Normal 8 4 14" xfId="17033" xr:uid="{00000000-0005-0000-0000-0000F6420000}"/>
    <cellStyle name="Normal 8 4 15" xfId="17034" xr:uid="{00000000-0005-0000-0000-0000F7420000}"/>
    <cellStyle name="Normal 8 4 16" xfId="17035" xr:uid="{00000000-0005-0000-0000-0000F8420000}"/>
    <cellStyle name="Normal 8 4 17" xfId="17036" xr:uid="{00000000-0005-0000-0000-0000F9420000}"/>
    <cellStyle name="Normal 8 4 2" xfId="17037" xr:uid="{00000000-0005-0000-0000-0000FA420000}"/>
    <cellStyle name="Normal 8 4 3" xfId="17038" xr:uid="{00000000-0005-0000-0000-0000FB420000}"/>
    <cellStyle name="Normal 8 4 4" xfId="17039" xr:uid="{00000000-0005-0000-0000-0000FC420000}"/>
    <cellStyle name="Normal 8 4 5" xfId="17040" xr:uid="{00000000-0005-0000-0000-0000FD420000}"/>
    <cellStyle name="Normal 8 4 6" xfId="17041" xr:uid="{00000000-0005-0000-0000-0000FE420000}"/>
    <cellStyle name="Normal 8 4 7" xfId="17042" xr:uid="{00000000-0005-0000-0000-0000FF420000}"/>
    <cellStyle name="Normal 8 4 8" xfId="17043" xr:uid="{00000000-0005-0000-0000-000000430000}"/>
    <cellStyle name="Normal 8 4 9" xfId="17044" xr:uid="{00000000-0005-0000-0000-000001430000}"/>
    <cellStyle name="Normal 8 40" xfId="17045" xr:uid="{00000000-0005-0000-0000-000002430000}"/>
    <cellStyle name="Normal 8 41" xfId="17046" xr:uid="{00000000-0005-0000-0000-000003430000}"/>
    <cellStyle name="Normal 8 42" xfId="17047" xr:uid="{00000000-0005-0000-0000-000004430000}"/>
    <cellStyle name="Normal 8 43" xfId="17048" xr:uid="{00000000-0005-0000-0000-000005430000}"/>
    <cellStyle name="Normal 8 44" xfId="17049" xr:uid="{00000000-0005-0000-0000-000006430000}"/>
    <cellStyle name="Normal 8 45" xfId="17050" xr:uid="{00000000-0005-0000-0000-000007430000}"/>
    <cellStyle name="Normal 8 46" xfId="17051" xr:uid="{00000000-0005-0000-0000-000008430000}"/>
    <cellStyle name="Normal 8 47" xfId="17052" xr:uid="{00000000-0005-0000-0000-000009430000}"/>
    <cellStyle name="Normal 8 48" xfId="17053" xr:uid="{00000000-0005-0000-0000-00000A430000}"/>
    <cellStyle name="Normal 8 49" xfId="17054" xr:uid="{00000000-0005-0000-0000-00000B430000}"/>
    <cellStyle name="Normal 8 5" xfId="17055" xr:uid="{00000000-0005-0000-0000-00000C430000}"/>
    <cellStyle name="Normal 8 50" xfId="17056" xr:uid="{00000000-0005-0000-0000-00000D430000}"/>
    <cellStyle name="Normal 8 51" xfId="17057" xr:uid="{00000000-0005-0000-0000-00000E430000}"/>
    <cellStyle name="Normal 8 52" xfId="17058" xr:uid="{00000000-0005-0000-0000-00000F430000}"/>
    <cellStyle name="Normal 8 53" xfId="17059" xr:uid="{00000000-0005-0000-0000-000010430000}"/>
    <cellStyle name="Normal 8 54" xfId="17060" xr:uid="{00000000-0005-0000-0000-000011430000}"/>
    <cellStyle name="Normal 8 55" xfId="17061" xr:uid="{00000000-0005-0000-0000-000012430000}"/>
    <cellStyle name="Normal 8 56" xfId="17062" xr:uid="{00000000-0005-0000-0000-000013430000}"/>
    <cellStyle name="Normal 8 57" xfId="17063" xr:uid="{00000000-0005-0000-0000-000014430000}"/>
    <cellStyle name="Normal 8 58" xfId="17064" xr:uid="{00000000-0005-0000-0000-000015430000}"/>
    <cellStyle name="Normal 8 59" xfId="17065" xr:uid="{00000000-0005-0000-0000-000016430000}"/>
    <cellStyle name="Normal 8 6" xfId="17066" xr:uid="{00000000-0005-0000-0000-000017430000}"/>
    <cellStyle name="Normal 8 60" xfId="17067" xr:uid="{00000000-0005-0000-0000-000018430000}"/>
    <cellStyle name="Normal 8 61" xfId="17068" xr:uid="{00000000-0005-0000-0000-000019430000}"/>
    <cellStyle name="Normal 8 62" xfId="17069" xr:uid="{00000000-0005-0000-0000-00001A430000}"/>
    <cellStyle name="Normal 8 63" xfId="17070" xr:uid="{00000000-0005-0000-0000-00001B430000}"/>
    <cellStyle name="Normal 8 64" xfId="17071" xr:uid="{00000000-0005-0000-0000-00001C430000}"/>
    <cellStyle name="Normal 8 65" xfId="17072" xr:uid="{00000000-0005-0000-0000-00001D430000}"/>
    <cellStyle name="Normal 8 66" xfId="17073" xr:uid="{00000000-0005-0000-0000-00001E430000}"/>
    <cellStyle name="Normal 8 67" xfId="17074" xr:uid="{00000000-0005-0000-0000-00001F430000}"/>
    <cellStyle name="Normal 8 68" xfId="17075" xr:uid="{00000000-0005-0000-0000-000020430000}"/>
    <cellStyle name="Normal 8 69" xfId="17076" xr:uid="{00000000-0005-0000-0000-000021430000}"/>
    <cellStyle name="Normal 8 7" xfId="17077" xr:uid="{00000000-0005-0000-0000-000022430000}"/>
    <cellStyle name="Normal 8 70" xfId="17078" xr:uid="{00000000-0005-0000-0000-000023430000}"/>
    <cellStyle name="Normal 8 71" xfId="17079" xr:uid="{00000000-0005-0000-0000-000024430000}"/>
    <cellStyle name="Normal 8 72" xfId="17080" xr:uid="{00000000-0005-0000-0000-000025430000}"/>
    <cellStyle name="Normal 8 73" xfId="17081" xr:uid="{00000000-0005-0000-0000-000026430000}"/>
    <cellStyle name="Normal 8 74" xfId="17082" xr:uid="{00000000-0005-0000-0000-000027430000}"/>
    <cellStyle name="Normal 8 75" xfId="17083" xr:uid="{00000000-0005-0000-0000-000028430000}"/>
    <cellStyle name="Normal 8 76" xfId="17084" xr:uid="{00000000-0005-0000-0000-000029430000}"/>
    <cellStyle name="Normal 8 77" xfId="17085" xr:uid="{00000000-0005-0000-0000-00002A430000}"/>
    <cellStyle name="Normal 8 78" xfId="17086" xr:uid="{00000000-0005-0000-0000-00002B430000}"/>
    <cellStyle name="Normal 8 79" xfId="48427" xr:uid="{00000000-0005-0000-0000-00002C430000}"/>
    <cellStyle name="Normal 8 8" xfId="17087" xr:uid="{00000000-0005-0000-0000-00002D430000}"/>
    <cellStyle name="Normal 8 9" xfId="17088" xr:uid="{00000000-0005-0000-0000-00002E430000}"/>
    <cellStyle name="Normal 80" xfId="48314" xr:uid="{00000000-0005-0000-0000-00002F430000}"/>
    <cellStyle name="Normal 81" xfId="48315" xr:uid="{00000000-0005-0000-0000-000030430000}"/>
    <cellStyle name="Normal 82" xfId="48316" xr:uid="{00000000-0005-0000-0000-000031430000}"/>
    <cellStyle name="Normal 83" xfId="48317" xr:uid="{00000000-0005-0000-0000-000032430000}"/>
    <cellStyle name="Normal 84" xfId="48318" xr:uid="{00000000-0005-0000-0000-000033430000}"/>
    <cellStyle name="Normal 85" xfId="48319" xr:uid="{00000000-0005-0000-0000-000034430000}"/>
    <cellStyle name="Normal 86" xfId="48320" xr:uid="{00000000-0005-0000-0000-000035430000}"/>
    <cellStyle name="Normal 87" xfId="48321" xr:uid="{00000000-0005-0000-0000-000036430000}"/>
    <cellStyle name="Normal 88" xfId="48322" xr:uid="{00000000-0005-0000-0000-000037430000}"/>
    <cellStyle name="Normal 89" xfId="48323" xr:uid="{00000000-0005-0000-0000-000038430000}"/>
    <cellStyle name="Normal 9" xfId="17089" xr:uid="{00000000-0005-0000-0000-000039430000}"/>
    <cellStyle name="Normal 9 10" xfId="17090" xr:uid="{00000000-0005-0000-0000-00003A430000}"/>
    <cellStyle name="Normal 9 10 10" xfId="17091" xr:uid="{00000000-0005-0000-0000-00003B430000}"/>
    <cellStyle name="Normal 9 10 11" xfId="17092" xr:uid="{00000000-0005-0000-0000-00003C430000}"/>
    <cellStyle name="Normal 9 10 12" xfId="17093" xr:uid="{00000000-0005-0000-0000-00003D430000}"/>
    <cellStyle name="Normal 9 10 13" xfId="17094" xr:uid="{00000000-0005-0000-0000-00003E430000}"/>
    <cellStyle name="Normal 9 10 14" xfId="17095" xr:uid="{00000000-0005-0000-0000-00003F430000}"/>
    <cellStyle name="Normal 9 10 15" xfId="17096" xr:uid="{00000000-0005-0000-0000-000040430000}"/>
    <cellStyle name="Normal 9 10 16" xfId="17097" xr:uid="{00000000-0005-0000-0000-000041430000}"/>
    <cellStyle name="Normal 9 10 17" xfId="17098" xr:uid="{00000000-0005-0000-0000-000042430000}"/>
    <cellStyle name="Normal 9 10 2" xfId="17099" xr:uid="{00000000-0005-0000-0000-000043430000}"/>
    <cellStyle name="Normal 9 10 3" xfId="17100" xr:uid="{00000000-0005-0000-0000-000044430000}"/>
    <cellStyle name="Normal 9 10 4" xfId="17101" xr:uid="{00000000-0005-0000-0000-000045430000}"/>
    <cellStyle name="Normal 9 10 5" xfId="17102" xr:uid="{00000000-0005-0000-0000-000046430000}"/>
    <cellStyle name="Normal 9 10 6" xfId="17103" xr:uid="{00000000-0005-0000-0000-000047430000}"/>
    <cellStyle name="Normal 9 10 7" xfId="17104" xr:uid="{00000000-0005-0000-0000-000048430000}"/>
    <cellStyle name="Normal 9 10 8" xfId="17105" xr:uid="{00000000-0005-0000-0000-000049430000}"/>
    <cellStyle name="Normal 9 10 9" xfId="17106" xr:uid="{00000000-0005-0000-0000-00004A430000}"/>
    <cellStyle name="Normal 9 100" xfId="17107" xr:uid="{00000000-0005-0000-0000-00004B430000}"/>
    <cellStyle name="Normal 9 101" xfId="17108" xr:uid="{00000000-0005-0000-0000-00004C430000}"/>
    <cellStyle name="Normal 9 102" xfId="17109" xr:uid="{00000000-0005-0000-0000-00004D430000}"/>
    <cellStyle name="Normal 9 103" xfId="17110" xr:uid="{00000000-0005-0000-0000-00004E430000}"/>
    <cellStyle name="Normal 9 104" xfId="17111" xr:uid="{00000000-0005-0000-0000-00004F430000}"/>
    <cellStyle name="Normal 9 105" xfId="17112" xr:uid="{00000000-0005-0000-0000-000050430000}"/>
    <cellStyle name="Normal 9 106" xfId="17113" xr:uid="{00000000-0005-0000-0000-000051430000}"/>
    <cellStyle name="Normal 9 107" xfId="17114" xr:uid="{00000000-0005-0000-0000-000052430000}"/>
    <cellStyle name="Normal 9 108" xfId="17115" xr:uid="{00000000-0005-0000-0000-000053430000}"/>
    <cellStyle name="Normal 9 109" xfId="17116" xr:uid="{00000000-0005-0000-0000-000054430000}"/>
    <cellStyle name="Normal 9 11" xfId="17117" xr:uid="{00000000-0005-0000-0000-000055430000}"/>
    <cellStyle name="Normal 9 11 10" xfId="17118" xr:uid="{00000000-0005-0000-0000-000056430000}"/>
    <cellStyle name="Normal 9 11 11" xfId="17119" xr:uid="{00000000-0005-0000-0000-000057430000}"/>
    <cellStyle name="Normal 9 11 12" xfId="17120" xr:uid="{00000000-0005-0000-0000-000058430000}"/>
    <cellStyle name="Normal 9 11 13" xfId="17121" xr:uid="{00000000-0005-0000-0000-000059430000}"/>
    <cellStyle name="Normal 9 11 14" xfId="17122" xr:uid="{00000000-0005-0000-0000-00005A430000}"/>
    <cellStyle name="Normal 9 11 15" xfId="17123" xr:uid="{00000000-0005-0000-0000-00005B430000}"/>
    <cellStyle name="Normal 9 11 16" xfId="17124" xr:uid="{00000000-0005-0000-0000-00005C430000}"/>
    <cellStyle name="Normal 9 11 17" xfId="17125" xr:uid="{00000000-0005-0000-0000-00005D430000}"/>
    <cellStyle name="Normal 9 11 2" xfId="17126" xr:uid="{00000000-0005-0000-0000-00005E430000}"/>
    <cellStyle name="Normal 9 11 3" xfId="17127" xr:uid="{00000000-0005-0000-0000-00005F430000}"/>
    <cellStyle name="Normal 9 11 4" xfId="17128" xr:uid="{00000000-0005-0000-0000-000060430000}"/>
    <cellStyle name="Normal 9 11 5" xfId="17129" xr:uid="{00000000-0005-0000-0000-000061430000}"/>
    <cellStyle name="Normal 9 11 6" xfId="17130" xr:uid="{00000000-0005-0000-0000-000062430000}"/>
    <cellStyle name="Normal 9 11 7" xfId="17131" xr:uid="{00000000-0005-0000-0000-000063430000}"/>
    <cellStyle name="Normal 9 11 8" xfId="17132" xr:uid="{00000000-0005-0000-0000-000064430000}"/>
    <cellStyle name="Normal 9 11 9" xfId="17133" xr:uid="{00000000-0005-0000-0000-000065430000}"/>
    <cellStyle name="Normal 9 110" xfId="17134" xr:uid="{00000000-0005-0000-0000-000066430000}"/>
    <cellStyle name="Normal 9 111" xfId="17135" xr:uid="{00000000-0005-0000-0000-000067430000}"/>
    <cellStyle name="Normal 9 112" xfId="17136" xr:uid="{00000000-0005-0000-0000-000068430000}"/>
    <cellStyle name="Normal 9 113" xfId="17137" xr:uid="{00000000-0005-0000-0000-000069430000}"/>
    <cellStyle name="Normal 9 114" xfId="17138" xr:uid="{00000000-0005-0000-0000-00006A430000}"/>
    <cellStyle name="Normal 9 115" xfId="17139" xr:uid="{00000000-0005-0000-0000-00006B430000}"/>
    <cellStyle name="Normal 9 116" xfId="17140" xr:uid="{00000000-0005-0000-0000-00006C430000}"/>
    <cellStyle name="Normal 9 117" xfId="17141" xr:uid="{00000000-0005-0000-0000-00006D430000}"/>
    <cellStyle name="Normal 9 118" xfId="17142" xr:uid="{00000000-0005-0000-0000-00006E430000}"/>
    <cellStyle name="Normal 9 119" xfId="17143" xr:uid="{00000000-0005-0000-0000-00006F430000}"/>
    <cellStyle name="Normal 9 12" xfId="17144" xr:uid="{00000000-0005-0000-0000-000070430000}"/>
    <cellStyle name="Normal 9 12 10" xfId="17145" xr:uid="{00000000-0005-0000-0000-000071430000}"/>
    <cellStyle name="Normal 9 12 11" xfId="17146" xr:uid="{00000000-0005-0000-0000-000072430000}"/>
    <cellStyle name="Normal 9 12 12" xfId="17147" xr:uid="{00000000-0005-0000-0000-000073430000}"/>
    <cellStyle name="Normal 9 12 13" xfId="17148" xr:uid="{00000000-0005-0000-0000-000074430000}"/>
    <cellStyle name="Normal 9 12 14" xfId="17149" xr:uid="{00000000-0005-0000-0000-000075430000}"/>
    <cellStyle name="Normal 9 12 15" xfId="17150" xr:uid="{00000000-0005-0000-0000-000076430000}"/>
    <cellStyle name="Normal 9 12 16" xfId="17151" xr:uid="{00000000-0005-0000-0000-000077430000}"/>
    <cellStyle name="Normal 9 12 17" xfId="17152" xr:uid="{00000000-0005-0000-0000-000078430000}"/>
    <cellStyle name="Normal 9 12 2" xfId="17153" xr:uid="{00000000-0005-0000-0000-000079430000}"/>
    <cellStyle name="Normal 9 12 3" xfId="17154" xr:uid="{00000000-0005-0000-0000-00007A430000}"/>
    <cellStyle name="Normal 9 12 4" xfId="17155" xr:uid="{00000000-0005-0000-0000-00007B430000}"/>
    <cellStyle name="Normal 9 12 5" xfId="17156" xr:uid="{00000000-0005-0000-0000-00007C430000}"/>
    <cellStyle name="Normal 9 12 6" xfId="17157" xr:uid="{00000000-0005-0000-0000-00007D430000}"/>
    <cellStyle name="Normal 9 12 7" xfId="17158" xr:uid="{00000000-0005-0000-0000-00007E430000}"/>
    <cellStyle name="Normal 9 12 8" xfId="17159" xr:uid="{00000000-0005-0000-0000-00007F430000}"/>
    <cellStyle name="Normal 9 12 9" xfId="17160" xr:uid="{00000000-0005-0000-0000-000080430000}"/>
    <cellStyle name="Normal 9 120" xfId="17161" xr:uid="{00000000-0005-0000-0000-000081430000}"/>
    <cellStyle name="Normal 9 121" xfId="17162" xr:uid="{00000000-0005-0000-0000-000082430000}"/>
    <cellStyle name="Normal 9 122" xfId="17163" xr:uid="{00000000-0005-0000-0000-000083430000}"/>
    <cellStyle name="Normal 9 123" xfId="17164" xr:uid="{00000000-0005-0000-0000-000084430000}"/>
    <cellStyle name="Normal 9 124" xfId="17165" xr:uid="{00000000-0005-0000-0000-000085430000}"/>
    <cellStyle name="Normal 9 13" xfId="17166" xr:uid="{00000000-0005-0000-0000-000086430000}"/>
    <cellStyle name="Normal 9 13 10" xfId="17167" xr:uid="{00000000-0005-0000-0000-000087430000}"/>
    <cellStyle name="Normal 9 13 11" xfId="17168" xr:uid="{00000000-0005-0000-0000-000088430000}"/>
    <cellStyle name="Normal 9 13 12" xfId="17169" xr:uid="{00000000-0005-0000-0000-000089430000}"/>
    <cellStyle name="Normal 9 13 13" xfId="17170" xr:uid="{00000000-0005-0000-0000-00008A430000}"/>
    <cellStyle name="Normal 9 13 14" xfId="17171" xr:uid="{00000000-0005-0000-0000-00008B430000}"/>
    <cellStyle name="Normal 9 13 15" xfId="17172" xr:uid="{00000000-0005-0000-0000-00008C430000}"/>
    <cellStyle name="Normal 9 13 16" xfId="17173" xr:uid="{00000000-0005-0000-0000-00008D430000}"/>
    <cellStyle name="Normal 9 13 17" xfId="17174" xr:uid="{00000000-0005-0000-0000-00008E430000}"/>
    <cellStyle name="Normal 9 13 2" xfId="17175" xr:uid="{00000000-0005-0000-0000-00008F430000}"/>
    <cellStyle name="Normal 9 13 3" xfId="17176" xr:uid="{00000000-0005-0000-0000-000090430000}"/>
    <cellStyle name="Normal 9 13 4" xfId="17177" xr:uid="{00000000-0005-0000-0000-000091430000}"/>
    <cellStyle name="Normal 9 13 5" xfId="17178" xr:uid="{00000000-0005-0000-0000-000092430000}"/>
    <cellStyle name="Normal 9 13 6" xfId="17179" xr:uid="{00000000-0005-0000-0000-000093430000}"/>
    <cellStyle name="Normal 9 13 7" xfId="17180" xr:uid="{00000000-0005-0000-0000-000094430000}"/>
    <cellStyle name="Normal 9 13 8" xfId="17181" xr:uid="{00000000-0005-0000-0000-000095430000}"/>
    <cellStyle name="Normal 9 13 9" xfId="17182" xr:uid="{00000000-0005-0000-0000-000096430000}"/>
    <cellStyle name="Normal 9 14" xfId="17183" xr:uid="{00000000-0005-0000-0000-000097430000}"/>
    <cellStyle name="Normal 9 14 10" xfId="17184" xr:uid="{00000000-0005-0000-0000-000098430000}"/>
    <cellStyle name="Normal 9 14 11" xfId="17185" xr:uid="{00000000-0005-0000-0000-000099430000}"/>
    <cellStyle name="Normal 9 14 12" xfId="17186" xr:uid="{00000000-0005-0000-0000-00009A430000}"/>
    <cellStyle name="Normal 9 14 13" xfId="17187" xr:uid="{00000000-0005-0000-0000-00009B430000}"/>
    <cellStyle name="Normal 9 14 14" xfId="17188" xr:uid="{00000000-0005-0000-0000-00009C430000}"/>
    <cellStyle name="Normal 9 14 15" xfId="17189" xr:uid="{00000000-0005-0000-0000-00009D430000}"/>
    <cellStyle name="Normal 9 14 16" xfId="17190" xr:uid="{00000000-0005-0000-0000-00009E430000}"/>
    <cellStyle name="Normal 9 14 17" xfId="17191" xr:uid="{00000000-0005-0000-0000-00009F430000}"/>
    <cellStyle name="Normal 9 14 2" xfId="17192" xr:uid="{00000000-0005-0000-0000-0000A0430000}"/>
    <cellStyle name="Normal 9 14 3" xfId="17193" xr:uid="{00000000-0005-0000-0000-0000A1430000}"/>
    <cellStyle name="Normal 9 14 4" xfId="17194" xr:uid="{00000000-0005-0000-0000-0000A2430000}"/>
    <cellStyle name="Normal 9 14 5" xfId="17195" xr:uid="{00000000-0005-0000-0000-0000A3430000}"/>
    <cellStyle name="Normal 9 14 6" xfId="17196" xr:uid="{00000000-0005-0000-0000-0000A4430000}"/>
    <cellStyle name="Normal 9 14 7" xfId="17197" xr:uid="{00000000-0005-0000-0000-0000A5430000}"/>
    <cellStyle name="Normal 9 14 8" xfId="17198" xr:uid="{00000000-0005-0000-0000-0000A6430000}"/>
    <cellStyle name="Normal 9 14 9" xfId="17199" xr:uid="{00000000-0005-0000-0000-0000A7430000}"/>
    <cellStyle name="Normal 9 15" xfId="17200" xr:uid="{00000000-0005-0000-0000-0000A8430000}"/>
    <cellStyle name="Normal 9 15 10" xfId="17201" xr:uid="{00000000-0005-0000-0000-0000A9430000}"/>
    <cellStyle name="Normal 9 15 11" xfId="17202" xr:uid="{00000000-0005-0000-0000-0000AA430000}"/>
    <cellStyle name="Normal 9 15 12" xfId="17203" xr:uid="{00000000-0005-0000-0000-0000AB430000}"/>
    <cellStyle name="Normal 9 15 13" xfId="17204" xr:uid="{00000000-0005-0000-0000-0000AC430000}"/>
    <cellStyle name="Normal 9 15 14" xfId="17205" xr:uid="{00000000-0005-0000-0000-0000AD430000}"/>
    <cellStyle name="Normal 9 15 15" xfId="17206" xr:uid="{00000000-0005-0000-0000-0000AE430000}"/>
    <cellStyle name="Normal 9 15 16" xfId="17207" xr:uid="{00000000-0005-0000-0000-0000AF430000}"/>
    <cellStyle name="Normal 9 15 17" xfId="17208" xr:uid="{00000000-0005-0000-0000-0000B0430000}"/>
    <cellStyle name="Normal 9 15 2" xfId="17209" xr:uid="{00000000-0005-0000-0000-0000B1430000}"/>
    <cellStyle name="Normal 9 15 3" xfId="17210" xr:uid="{00000000-0005-0000-0000-0000B2430000}"/>
    <cellStyle name="Normal 9 15 4" xfId="17211" xr:uid="{00000000-0005-0000-0000-0000B3430000}"/>
    <cellStyle name="Normal 9 15 5" xfId="17212" xr:uid="{00000000-0005-0000-0000-0000B4430000}"/>
    <cellStyle name="Normal 9 15 6" xfId="17213" xr:uid="{00000000-0005-0000-0000-0000B5430000}"/>
    <cellStyle name="Normal 9 15 7" xfId="17214" xr:uid="{00000000-0005-0000-0000-0000B6430000}"/>
    <cellStyle name="Normal 9 15 8" xfId="17215" xr:uid="{00000000-0005-0000-0000-0000B7430000}"/>
    <cellStyle name="Normal 9 15 9" xfId="17216" xr:uid="{00000000-0005-0000-0000-0000B8430000}"/>
    <cellStyle name="Normal 9 16" xfId="17217" xr:uid="{00000000-0005-0000-0000-0000B9430000}"/>
    <cellStyle name="Normal 9 16 10" xfId="17218" xr:uid="{00000000-0005-0000-0000-0000BA430000}"/>
    <cellStyle name="Normal 9 16 11" xfId="17219" xr:uid="{00000000-0005-0000-0000-0000BB430000}"/>
    <cellStyle name="Normal 9 16 12" xfId="17220" xr:uid="{00000000-0005-0000-0000-0000BC430000}"/>
    <cellStyle name="Normal 9 16 13" xfId="17221" xr:uid="{00000000-0005-0000-0000-0000BD430000}"/>
    <cellStyle name="Normal 9 16 14" xfId="17222" xr:uid="{00000000-0005-0000-0000-0000BE430000}"/>
    <cellStyle name="Normal 9 16 15" xfId="17223" xr:uid="{00000000-0005-0000-0000-0000BF430000}"/>
    <cellStyle name="Normal 9 16 16" xfId="17224" xr:uid="{00000000-0005-0000-0000-0000C0430000}"/>
    <cellStyle name="Normal 9 16 17" xfId="17225" xr:uid="{00000000-0005-0000-0000-0000C1430000}"/>
    <cellStyle name="Normal 9 16 2" xfId="17226" xr:uid="{00000000-0005-0000-0000-0000C2430000}"/>
    <cellStyle name="Normal 9 16 3" xfId="17227" xr:uid="{00000000-0005-0000-0000-0000C3430000}"/>
    <cellStyle name="Normal 9 16 4" xfId="17228" xr:uid="{00000000-0005-0000-0000-0000C4430000}"/>
    <cellStyle name="Normal 9 16 5" xfId="17229" xr:uid="{00000000-0005-0000-0000-0000C5430000}"/>
    <cellStyle name="Normal 9 16 6" xfId="17230" xr:uid="{00000000-0005-0000-0000-0000C6430000}"/>
    <cellStyle name="Normal 9 16 7" xfId="17231" xr:uid="{00000000-0005-0000-0000-0000C7430000}"/>
    <cellStyle name="Normal 9 16 8" xfId="17232" xr:uid="{00000000-0005-0000-0000-0000C8430000}"/>
    <cellStyle name="Normal 9 16 9" xfId="17233" xr:uid="{00000000-0005-0000-0000-0000C9430000}"/>
    <cellStyle name="Normal 9 17" xfId="17234" xr:uid="{00000000-0005-0000-0000-0000CA430000}"/>
    <cellStyle name="Normal 9 17 10" xfId="17235" xr:uid="{00000000-0005-0000-0000-0000CB430000}"/>
    <cellStyle name="Normal 9 17 11" xfId="17236" xr:uid="{00000000-0005-0000-0000-0000CC430000}"/>
    <cellStyle name="Normal 9 17 12" xfId="17237" xr:uid="{00000000-0005-0000-0000-0000CD430000}"/>
    <cellStyle name="Normal 9 17 13" xfId="17238" xr:uid="{00000000-0005-0000-0000-0000CE430000}"/>
    <cellStyle name="Normal 9 17 14" xfId="17239" xr:uid="{00000000-0005-0000-0000-0000CF430000}"/>
    <cellStyle name="Normal 9 17 15" xfId="17240" xr:uid="{00000000-0005-0000-0000-0000D0430000}"/>
    <cellStyle name="Normal 9 17 16" xfId="17241" xr:uid="{00000000-0005-0000-0000-0000D1430000}"/>
    <cellStyle name="Normal 9 17 17" xfId="17242" xr:uid="{00000000-0005-0000-0000-0000D2430000}"/>
    <cellStyle name="Normal 9 17 2" xfId="17243" xr:uid="{00000000-0005-0000-0000-0000D3430000}"/>
    <cellStyle name="Normal 9 17 3" xfId="17244" xr:uid="{00000000-0005-0000-0000-0000D4430000}"/>
    <cellStyle name="Normal 9 17 4" xfId="17245" xr:uid="{00000000-0005-0000-0000-0000D5430000}"/>
    <cellStyle name="Normal 9 17 5" xfId="17246" xr:uid="{00000000-0005-0000-0000-0000D6430000}"/>
    <cellStyle name="Normal 9 17 6" xfId="17247" xr:uid="{00000000-0005-0000-0000-0000D7430000}"/>
    <cellStyle name="Normal 9 17 7" xfId="17248" xr:uid="{00000000-0005-0000-0000-0000D8430000}"/>
    <cellStyle name="Normal 9 17 8" xfId="17249" xr:uid="{00000000-0005-0000-0000-0000D9430000}"/>
    <cellStyle name="Normal 9 17 9" xfId="17250" xr:uid="{00000000-0005-0000-0000-0000DA430000}"/>
    <cellStyle name="Normal 9 18" xfId="17251" xr:uid="{00000000-0005-0000-0000-0000DB430000}"/>
    <cellStyle name="Normal 9 18 10" xfId="17252" xr:uid="{00000000-0005-0000-0000-0000DC430000}"/>
    <cellStyle name="Normal 9 18 11" xfId="17253" xr:uid="{00000000-0005-0000-0000-0000DD430000}"/>
    <cellStyle name="Normal 9 18 12" xfId="17254" xr:uid="{00000000-0005-0000-0000-0000DE430000}"/>
    <cellStyle name="Normal 9 18 13" xfId="17255" xr:uid="{00000000-0005-0000-0000-0000DF430000}"/>
    <cellStyle name="Normal 9 18 14" xfId="17256" xr:uid="{00000000-0005-0000-0000-0000E0430000}"/>
    <cellStyle name="Normal 9 18 15" xfId="17257" xr:uid="{00000000-0005-0000-0000-0000E1430000}"/>
    <cellStyle name="Normal 9 18 16" xfId="17258" xr:uid="{00000000-0005-0000-0000-0000E2430000}"/>
    <cellStyle name="Normal 9 18 17" xfId="17259" xr:uid="{00000000-0005-0000-0000-0000E3430000}"/>
    <cellStyle name="Normal 9 18 2" xfId="17260" xr:uid="{00000000-0005-0000-0000-0000E4430000}"/>
    <cellStyle name="Normal 9 18 3" xfId="17261" xr:uid="{00000000-0005-0000-0000-0000E5430000}"/>
    <cellStyle name="Normal 9 18 4" xfId="17262" xr:uid="{00000000-0005-0000-0000-0000E6430000}"/>
    <cellStyle name="Normal 9 18 5" xfId="17263" xr:uid="{00000000-0005-0000-0000-0000E7430000}"/>
    <cellStyle name="Normal 9 18 6" xfId="17264" xr:uid="{00000000-0005-0000-0000-0000E8430000}"/>
    <cellStyle name="Normal 9 18 7" xfId="17265" xr:uid="{00000000-0005-0000-0000-0000E9430000}"/>
    <cellStyle name="Normal 9 18 8" xfId="17266" xr:uid="{00000000-0005-0000-0000-0000EA430000}"/>
    <cellStyle name="Normal 9 18 9" xfId="17267" xr:uid="{00000000-0005-0000-0000-0000EB430000}"/>
    <cellStyle name="Normal 9 19" xfId="17268" xr:uid="{00000000-0005-0000-0000-0000EC430000}"/>
    <cellStyle name="Normal 9 19 10" xfId="17269" xr:uid="{00000000-0005-0000-0000-0000ED430000}"/>
    <cellStyle name="Normal 9 19 11" xfId="17270" xr:uid="{00000000-0005-0000-0000-0000EE430000}"/>
    <cellStyle name="Normal 9 19 12" xfId="17271" xr:uid="{00000000-0005-0000-0000-0000EF430000}"/>
    <cellStyle name="Normal 9 19 13" xfId="17272" xr:uid="{00000000-0005-0000-0000-0000F0430000}"/>
    <cellStyle name="Normal 9 19 14" xfId="17273" xr:uid="{00000000-0005-0000-0000-0000F1430000}"/>
    <cellStyle name="Normal 9 19 15" xfId="17274" xr:uid="{00000000-0005-0000-0000-0000F2430000}"/>
    <cellStyle name="Normal 9 19 16" xfId="17275" xr:uid="{00000000-0005-0000-0000-0000F3430000}"/>
    <cellStyle name="Normal 9 19 17" xfId="17276" xr:uid="{00000000-0005-0000-0000-0000F4430000}"/>
    <cellStyle name="Normal 9 19 2" xfId="17277" xr:uid="{00000000-0005-0000-0000-0000F5430000}"/>
    <cellStyle name="Normal 9 19 3" xfId="17278" xr:uid="{00000000-0005-0000-0000-0000F6430000}"/>
    <cellStyle name="Normal 9 19 4" xfId="17279" xr:uid="{00000000-0005-0000-0000-0000F7430000}"/>
    <cellStyle name="Normal 9 19 5" xfId="17280" xr:uid="{00000000-0005-0000-0000-0000F8430000}"/>
    <cellStyle name="Normal 9 19 6" xfId="17281" xr:uid="{00000000-0005-0000-0000-0000F9430000}"/>
    <cellStyle name="Normal 9 19 7" xfId="17282" xr:uid="{00000000-0005-0000-0000-0000FA430000}"/>
    <cellStyle name="Normal 9 19 8" xfId="17283" xr:uid="{00000000-0005-0000-0000-0000FB430000}"/>
    <cellStyle name="Normal 9 19 9" xfId="17284" xr:uid="{00000000-0005-0000-0000-0000FC430000}"/>
    <cellStyle name="Normal 9 2" xfId="17285" xr:uid="{00000000-0005-0000-0000-0000FD430000}"/>
    <cellStyle name="Normal 9 2 2" xfId="17286" xr:uid="{00000000-0005-0000-0000-0000FE430000}"/>
    <cellStyle name="Normal 9 2 2 10" xfId="17287" xr:uid="{00000000-0005-0000-0000-0000FF430000}"/>
    <cellStyle name="Normal 9 2 2 11" xfId="17288" xr:uid="{00000000-0005-0000-0000-000000440000}"/>
    <cellStyle name="Normal 9 2 2 12" xfId="17289" xr:uid="{00000000-0005-0000-0000-000001440000}"/>
    <cellStyle name="Normal 9 2 2 13" xfId="17290" xr:uid="{00000000-0005-0000-0000-000002440000}"/>
    <cellStyle name="Normal 9 2 2 14" xfId="17291" xr:uid="{00000000-0005-0000-0000-000003440000}"/>
    <cellStyle name="Normal 9 2 2 15" xfId="17292" xr:uid="{00000000-0005-0000-0000-000004440000}"/>
    <cellStyle name="Normal 9 2 2 16" xfId="17293" xr:uid="{00000000-0005-0000-0000-000005440000}"/>
    <cellStyle name="Normal 9 2 2 17" xfId="17294" xr:uid="{00000000-0005-0000-0000-000006440000}"/>
    <cellStyle name="Normal 9 2 2 2" xfId="17295" xr:uid="{00000000-0005-0000-0000-000007440000}"/>
    <cellStyle name="Normal 9 2 2 3" xfId="17296" xr:uid="{00000000-0005-0000-0000-000008440000}"/>
    <cellStyle name="Normal 9 2 2 4" xfId="17297" xr:uid="{00000000-0005-0000-0000-000009440000}"/>
    <cellStyle name="Normal 9 2 2 5" xfId="17298" xr:uid="{00000000-0005-0000-0000-00000A440000}"/>
    <cellStyle name="Normal 9 2 2 6" xfId="17299" xr:uid="{00000000-0005-0000-0000-00000B440000}"/>
    <cellStyle name="Normal 9 2 2 7" xfId="17300" xr:uid="{00000000-0005-0000-0000-00000C440000}"/>
    <cellStyle name="Normal 9 2 2 8" xfId="17301" xr:uid="{00000000-0005-0000-0000-00000D440000}"/>
    <cellStyle name="Normal 9 2 2 9" xfId="17302" xr:uid="{00000000-0005-0000-0000-00000E440000}"/>
    <cellStyle name="Normal 9 2 3" xfId="48324" xr:uid="{00000000-0005-0000-0000-00000F440000}"/>
    <cellStyle name="Normal 9 2 4" xfId="48325" xr:uid="{00000000-0005-0000-0000-000010440000}"/>
    <cellStyle name="Normal 9 20" xfId="17303" xr:uid="{00000000-0005-0000-0000-000011440000}"/>
    <cellStyle name="Normal 9 20 10" xfId="17304" xr:uid="{00000000-0005-0000-0000-000012440000}"/>
    <cellStyle name="Normal 9 20 11" xfId="17305" xr:uid="{00000000-0005-0000-0000-000013440000}"/>
    <cellStyle name="Normal 9 20 12" xfId="17306" xr:uid="{00000000-0005-0000-0000-000014440000}"/>
    <cellStyle name="Normal 9 20 13" xfId="17307" xr:uid="{00000000-0005-0000-0000-000015440000}"/>
    <cellStyle name="Normal 9 20 14" xfId="17308" xr:uid="{00000000-0005-0000-0000-000016440000}"/>
    <cellStyle name="Normal 9 20 15" xfId="17309" xr:uid="{00000000-0005-0000-0000-000017440000}"/>
    <cellStyle name="Normal 9 20 16" xfId="17310" xr:uid="{00000000-0005-0000-0000-000018440000}"/>
    <cellStyle name="Normal 9 20 17" xfId="17311" xr:uid="{00000000-0005-0000-0000-000019440000}"/>
    <cellStyle name="Normal 9 20 2" xfId="17312" xr:uid="{00000000-0005-0000-0000-00001A440000}"/>
    <cellStyle name="Normal 9 20 3" xfId="17313" xr:uid="{00000000-0005-0000-0000-00001B440000}"/>
    <cellStyle name="Normal 9 20 4" xfId="17314" xr:uid="{00000000-0005-0000-0000-00001C440000}"/>
    <cellStyle name="Normal 9 20 5" xfId="17315" xr:uid="{00000000-0005-0000-0000-00001D440000}"/>
    <cellStyle name="Normal 9 20 6" xfId="17316" xr:uid="{00000000-0005-0000-0000-00001E440000}"/>
    <cellStyle name="Normal 9 20 7" xfId="17317" xr:uid="{00000000-0005-0000-0000-00001F440000}"/>
    <cellStyle name="Normal 9 20 8" xfId="17318" xr:uid="{00000000-0005-0000-0000-000020440000}"/>
    <cellStyle name="Normal 9 20 9" xfId="17319" xr:uid="{00000000-0005-0000-0000-000021440000}"/>
    <cellStyle name="Normal 9 21" xfId="17320" xr:uid="{00000000-0005-0000-0000-000022440000}"/>
    <cellStyle name="Normal 9 21 10" xfId="17321" xr:uid="{00000000-0005-0000-0000-000023440000}"/>
    <cellStyle name="Normal 9 21 11" xfId="17322" xr:uid="{00000000-0005-0000-0000-000024440000}"/>
    <cellStyle name="Normal 9 21 12" xfId="17323" xr:uid="{00000000-0005-0000-0000-000025440000}"/>
    <cellStyle name="Normal 9 21 13" xfId="17324" xr:uid="{00000000-0005-0000-0000-000026440000}"/>
    <cellStyle name="Normal 9 21 14" xfId="17325" xr:uid="{00000000-0005-0000-0000-000027440000}"/>
    <cellStyle name="Normal 9 21 15" xfId="17326" xr:uid="{00000000-0005-0000-0000-000028440000}"/>
    <cellStyle name="Normal 9 21 16" xfId="17327" xr:uid="{00000000-0005-0000-0000-000029440000}"/>
    <cellStyle name="Normal 9 21 17" xfId="17328" xr:uid="{00000000-0005-0000-0000-00002A440000}"/>
    <cellStyle name="Normal 9 21 2" xfId="17329" xr:uid="{00000000-0005-0000-0000-00002B440000}"/>
    <cellStyle name="Normal 9 21 3" xfId="17330" xr:uid="{00000000-0005-0000-0000-00002C440000}"/>
    <cellStyle name="Normal 9 21 4" xfId="17331" xr:uid="{00000000-0005-0000-0000-00002D440000}"/>
    <cellStyle name="Normal 9 21 5" xfId="17332" xr:uid="{00000000-0005-0000-0000-00002E440000}"/>
    <cellStyle name="Normal 9 21 6" xfId="17333" xr:uid="{00000000-0005-0000-0000-00002F440000}"/>
    <cellStyle name="Normal 9 21 7" xfId="17334" xr:uid="{00000000-0005-0000-0000-000030440000}"/>
    <cellStyle name="Normal 9 21 8" xfId="17335" xr:uid="{00000000-0005-0000-0000-000031440000}"/>
    <cellStyle name="Normal 9 21 9" xfId="17336" xr:uid="{00000000-0005-0000-0000-000032440000}"/>
    <cellStyle name="Normal 9 22" xfId="17337" xr:uid="{00000000-0005-0000-0000-000033440000}"/>
    <cellStyle name="Normal 9 22 10" xfId="17338" xr:uid="{00000000-0005-0000-0000-000034440000}"/>
    <cellStyle name="Normal 9 22 11" xfId="17339" xr:uid="{00000000-0005-0000-0000-000035440000}"/>
    <cellStyle name="Normal 9 22 12" xfId="17340" xr:uid="{00000000-0005-0000-0000-000036440000}"/>
    <cellStyle name="Normal 9 22 13" xfId="17341" xr:uid="{00000000-0005-0000-0000-000037440000}"/>
    <cellStyle name="Normal 9 22 14" xfId="17342" xr:uid="{00000000-0005-0000-0000-000038440000}"/>
    <cellStyle name="Normal 9 22 15" xfId="17343" xr:uid="{00000000-0005-0000-0000-000039440000}"/>
    <cellStyle name="Normal 9 22 16" xfId="17344" xr:uid="{00000000-0005-0000-0000-00003A440000}"/>
    <cellStyle name="Normal 9 22 17" xfId="17345" xr:uid="{00000000-0005-0000-0000-00003B440000}"/>
    <cellStyle name="Normal 9 22 2" xfId="17346" xr:uid="{00000000-0005-0000-0000-00003C440000}"/>
    <cellStyle name="Normal 9 22 3" xfId="17347" xr:uid="{00000000-0005-0000-0000-00003D440000}"/>
    <cellStyle name="Normal 9 22 4" xfId="17348" xr:uid="{00000000-0005-0000-0000-00003E440000}"/>
    <cellStyle name="Normal 9 22 5" xfId="17349" xr:uid="{00000000-0005-0000-0000-00003F440000}"/>
    <cellStyle name="Normal 9 22 6" xfId="17350" xr:uid="{00000000-0005-0000-0000-000040440000}"/>
    <cellStyle name="Normal 9 22 7" xfId="17351" xr:uid="{00000000-0005-0000-0000-000041440000}"/>
    <cellStyle name="Normal 9 22 8" xfId="17352" xr:uid="{00000000-0005-0000-0000-000042440000}"/>
    <cellStyle name="Normal 9 22 9" xfId="17353" xr:uid="{00000000-0005-0000-0000-000043440000}"/>
    <cellStyle name="Normal 9 23" xfId="17354" xr:uid="{00000000-0005-0000-0000-000044440000}"/>
    <cellStyle name="Normal 9 23 10" xfId="17355" xr:uid="{00000000-0005-0000-0000-000045440000}"/>
    <cellStyle name="Normal 9 23 11" xfId="17356" xr:uid="{00000000-0005-0000-0000-000046440000}"/>
    <cellStyle name="Normal 9 23 12" xfId="17357" xr:uid="{00000000-0005-0000-0000-000047440000}"/>
    <cellStyle name="Normal 9 23 13" xfId="17358" xr:uid="{00000000-0005-0000-0000-000048440000}"/>
    <cellStyle name="Normal 9 23 14" xfId="17359" xr:uid="{00000000-0005-0000-0000-000049440000}"/>
    <cellStyle name="Normal 9 23 15" xfId="17360" xr:uid="{00000000-0005-0000-0000-00004A440000}"/>
    <cellStyle name="Normal 9 23 16" xfId="17361" xr:uid="{00000000-0005-0000-0000-00004B440000}"/>
    <cellStyle name="Normal 9 23 17" xfId="17362" xr:uid="{00000000-0005-0000-0000-00004C440000}"/>
    <cellStyle name="Normal 9 23 2" xfId="17363" xr:uid="{00000000-0005-0000-0000-00004D440000}"/>
    <cellStyle name="Normal 9 23 3" xfId="17364" xr:uid="{00000000-0005-0000-0000-00004E440000}"/>
    <cellStyle name="Normal 9 23 4" xfId="17365" xr:uid="{00000000-0005-0000-0000-00004F440000}"/>
    <cellStyle name="Normal 9 23 5" xfId="17366" xr:uid="{00000000-0005-0000-0000-000050440000}"/>
    <cellStyle name="Normal 9 23 6" xfId="17367" xr:uid="{00000000-0005-0000-0000-000051440000}"/>
    <cellStyle name="Normal 9 23 7" xfId="17368" xr:uid="{00000000-0005-0000-0000-000052440000}"/>
    <cellStyle name="Normal 9 23 8" xfId="17369" xr:uid="{00000000-0005-0000-0000-000053440000}"/>
    <cellStyle name="Normal 9 23 9" xfId="17370" xr:uid="{00000000-0005-0000-0000-000054440000}"/>
    <cellStyle name="Normal 9 24" xfId="17371" xr:uid="{00000000-0005-0000-0000-000055440000}"/>
    <cellStyle name="Normal 9 24 10" xfId="17372" xr:uid="{00000000-0005-0000-0000-000056440000}"/>
    <cellStyle name="Normal 9 24 11" xfId="17373" xr:uid="{00000000-0005-0000-0000-000057440000}"/>
    <cellStyle name="Normal 9 24 12" xfId="17374" xr:uid="{00000000-0005-0000-0000-000058440000}"/>
    <cellStyle name="Normal 9 24 13" xfId="17375" xr:uid="{00000000-0005-0000-0000-000059440000}"/>
    <cellStyle name="Normal 9 24 14" xfId="17376" xr:uid="{00000000-0005-0000-0000-00005A440000}"/>
    <cellStyle name="Normal 9 24 15" xfId="17377" xr:uid="{00000000-0005-0000-0000-00005B440000}"/>
    <cellStyle name="Normal 9 24 16" xfId="17378" xr:uid="{00000000-0005-0000-0000-00005C440000}"/>
    <cellStyle name="Normal 9 24 17" xfId="17379" xr:uid="{00000000-0005-0000-0000-00005D440000}"/>
    <cellStyle name="Normal 9 24 2" xfId="17380" xr:uid="{00000000-0005-0000-0000-00005E440000}"/>
    <cellStyle name="Normal 9 24 3" xfId="17381" xr:uid="{00000000-0005-0000-0000-00005F440000}"/>
    <cellStyle name="Normal 9 24 4" xfId="17382" xr:uid="{00000000-0005-0000-0000-000060440000}"/>
    <cellStyle name="Normal 9 24 5" xfId="17383" xr:uid="{00000000-0005-0000-0000-000061440000}"/>
    <cellStyle name="Normal 9 24 6" xfId="17384" xr:uid="{00000000-0005-0000-0000-000062440000}"/>
    <cellStyle name="Normal 9 24 7" xfId="17385" xr:uid="{00000000-0005-0000-0000-000063440000}"/>
    <cellStyle name="Normal 9 24 8" xfId="17386" xr:uid="{00000000-0005-0000-0000-000064440000}"/>
    <cellStyle name="Normal 9 24 9" xfId="17387" xr:uid="{00000000-0005-0000-0000-000065440000}"/>
    <cellStyle name="Normal 9 25" xfId="17388" xr:uid="{00000000-0005-0000-0000-000066440000}"/>
    <cellStyle name="Normal 9 25 10" xfId="17389" xr:uid="{00000000-0005-0000-0000-000067440000}"/>
    <cellStyle name="Normal 9 25 11" xfId="17390" xr:uid="{00000000-0005-0000-0000-000068440000}"/>
    <cellStyle name="Normal 9 25 12" xfId="17391" xr:uid="{00000000-0005-0000-0000-000069440000}"/>
    <cellStyle name="Normal 9 25 13" xfId="17392" xr:uid="{00000000-0005-0000-0000-00006A440000}"/>
    <cellStyle name="Normal 9 25 14" xfId="17393" xr:uid="{00000000-0005-0000-0000-00006B440000}"/>
    <cellStyle name="Normal 9 25 15" xfId="17394" xr:uid="{00000000-0005-0000-0000-00006C440000}"/>
    <cellStyle name="Normal 9 25 16" xfId="17395" xr:uid="{00000000-0005-0000-0000-00006D440000}"/>
    <cellStyle name="Normal 9 25 17" xfId="17396" xr:uid="{00000000-0005-0000-0000-00006E440000}"/>
    <cellStyle name="Normal 9 25 2" xfId="17397" xr:uid="{00000000-0005-0000-0000-00006F440000}"/>
    <cellStyle name="Normal 9 25 3" xfId="17398" xr:uid="{00000000-0005-0000-0000-000070440000}"/>
    <cellStyle name="Normal 9 25 4" xfId="17399" xr:uid="{00000000-0005-0000-0000-000071440000}"/>
    <cellStyle name="Normal 9 25 5" xfId="17400" xr:uid="{00000000-0005-0000-0000-000072440000}"/>
    <cellStyle name="Normal 9 25 6" xfId="17401" xr:uid="{00000000-0005-0000-0000-000073440000}"/>
    <cellStyle name="Normal 9 25 7" xfId="17402" xr:uid="{00000000-0005-0000-0000-000074440000}"/>
    <cellStyle name="Normal 9 25 8" xfId="17403" xr:uid="{00000000-0005-0000-0000-000075440000}"/>
    <cellStyle name="Normal 9 25 9" xfId="17404" xr:uid="{00000000-0005-0000-0000-000076440000}"/>
    <cellStyle name="Normal 9 26" xfId="17405" xr:uid="{00000000-0005-0000-0000-000077440000}"/>
    <cellStyle name="Normal 9 26 10" xfId="17406" xr:uid="{00000000-0005-0000-0000-000078440000}"/>
    <cellStyle name="Normal 9 26 11" xfId="17407" xr:uid="{00000000-0005-0000-0000-000079440000}"/>
    <cellStyle name="Normal 9 26 12" xfId="17408" xr:uid="{00000000-0005-0000-0000-00007A440000}"/>
    <cellStyle name="Normal 9 26 13" xfId="17409" xr:uid="{00000000-0005-0000-0000-00007B440000}"/>
    <cellStyle name="Normal 9 26 14" xfId="17410" xr:uid="{00000000-0005-0000-0000-00007C440000}"/>
    <cellStyle name="Normal 9 26 15" xfId="17411" xr:uid="{00000000-0005-0000-0000-00007D440000}"/>
    <cellStyle name="Normal 9 26 16" xfId="17412" xr:uid="{00000000-0005-0000-0000-00007E440000}"/>
    <cellStyle name="Normal 9 26 17" xfId="17413" xr:uid="{00000000-0005-0000-0000-00007F440000}"/>
    <cellStyle name="Normal 9 26 2" xfId="17414" xr:uid="{00000000-0005-0000-0000-000080440000}"/>
    <cellStyle name="Normal 9 26 3" xfId="17415" xr:uid="{00000000-0005-0000-0000-000081440000}"/>
    <cellStyle name="Normal 9 26 4" xfId="17416" xr:uid="{00000000-0005-0000-0000-000082440000}"/>
    <cellStyle name="Normal 9 26 5" xfId="17417" xr:uid="{00000000-0005-0000-0000-000083440000}"/>
    <cellStyle name="Normal 9 26 6" xfId="17418" xr:uid="{00000000-0005-0000-0000-000084440000}"/>
    <cellStyle name="Normal 9 26 7" xfId="17419" xr:uid="{00000000-0005-0000-0000-000085440000}"/>
    <cellStyle name="Normal 9 26 8" xfId="17420" xr:uid="{00000000-0005-0000-0000-000086440000}"/>
    <cellStyle name="Normal 9 26 9" xfId="17421" xr:uid="{00000000-0005-0000-0000-000087440000}"/>
    <cellStyle name="Normal 9 27" xfId="17422" xr:uid="{00000000-0005-0000-0000-000088440000}"/>
    <cellStyle name="Normal 9 27 10" xfId="17423" xr:uid="{00000000-0005-0000-0000-000089440000}"/>
    <cellStyle name="Normal 9 27 11" xfId="17424" xr:uid="{00000000-0005-0000-0000-00008A440000}"/>
    <cellStyle name="Normal 9 27 12" xfId="17425" xr:uid="{00000000-0005-0000-0000-00008B440000}"/>
    <cellStyle name="Normal 9 27 13" xfId="17426" xr:uid="{00000000-0005-0000-0000-00008C440000}"/>
    <cellStyle name="Normal 9 27 14" xfId="17427" xr:uid="{00000000-0005-0000-0000-00008D440000}"/>
    <cellStyle name="Normal 9 27 15" xfId="17428" xr:uid="{00000000-0005-0000-0000-00008E440000}"/>
    <cellStyle name="Normal 9 27 16" xfId="17429" xr:uid="{00000000-0005-0000-0000-00008F440000}"/>
    <cellStyle name="Normal 9 27 17" xfId="17430" xr:uid="{00000000-0005-0000-0000-000090440000}"/>
    <cellStyle name="Normal 9 27 2" xfId="17431" xr:uid="{00000000-0005-0000-0000-000091440000}"/>
    <cellStyle name="Normal 9 27 3" xfId="17432" xr:uid="{00000000-0005-0000-0000-000092440000}"/>
    <cellStyle name="Normal 9 27 4" xfId="17433" xr:uid="{00000000-0005-0000-0000-000093440000}"/>
    <cellStyle name="Normal 9 27 5" xfId="17434" xr:uid="{00000000-0005-0000-0000-000094440000}"/>
    <cellStyle name="Normal 9 27 6" xfId="17435" xr:uid="{00000000-0005-0000-0000-000095440000}"/>
    <cellStyle name="Normal 9 27 7" xfId="17436" xr:uid="{00000000-0005-0000-0000-000096440000}"/>
    <cellStyle name="Normal 9 27 8" xfId="17437" xr:uid="{00000000-0005-0000-0000-000097440000}"/>
    <cellStyle name="Normal 9 27 9" xfId="17438" xr:uid="{00000000-0005-0000-0000-000098440000}"/>
    <cellStyle name="Normal 9 28" xfId="17439" xr:uid="{00000000-0005-0000-0000-000099440000}"/>
    <cellStyle name="Normal 9 28 10" xfId="17440" xr:uid="{00000000-0005-0000-0000-00009A440000}"/>
    <cellStyle name="Normal 9 28 11" xfId="17441" xr:uid="{00000000-0005-0000-0000-00009B440000}"/>
    <cellStyle name="Normal 9 28 12" xfId="17442" xr:uid="{00000000-0005-0000-0000-00009C440000}"/>
    <cellStyle name="Normal 9 28 13" xfId="17443" xr:uid="{00000000-0005-0000-0000-00009D440000}"/>
    <cellStyle name="Normal 9 28 14" xfId="17444" xr:uid="{00000000-0005-0000-0000-00009E440000}"/>
    <cellStyle name="Normal 9 28 15" xfId="17445" xr:uid="{00000000-0005-0000-0000-00009F440000}"/>
    <cellStyle name="Normal 9 28 16" xfId="17446" xr:uid="{00000000-0005-0000-0000-0000A0440000}"/>
    <cellStyle name="Normal 9 28 17" xfId="17447" xr:uid="{00000000-0005-0000-0000-0000A1440000}"/>
    <cellStyle name="Normal 9 28 2" xfId="17448" xr:uid="{00000000-0005-0000-0000-0000A2440000}"/>
    <cellStyle name="Normal 9 28 3" xfId="17449" xr:uid="{00000000-0005-0000-0000-0000A3440000}"/>
    <cellStyle name="Normal 9 28 4" xfId="17450" xr:uid="{00000000-0005-0000-0000-0000A4440000}"/>
    <cellStyle name="Normal 9 28 5" xfId="17451" xr:uid="{00000000-0005-0000-0000-0000A5440000}"/>
    <cellStyle name="Normal 9 28 6" xfId="17452" xr:uid="{00000000-0005-0000-0000-0000A6440000}"/>
    <cellStyle name="Normal 9 28 7" xfId="17453" xr:uid="{00000000-0005-0000-0000-0000A7440000}"/>
    <cellStyle name="Normal 9 28 8" xfId="17454" xr:uid="{00000000-0005-0000-0000-0000A8440000}"/>
    <cellStyle name="Normal 9 28 9" xfId="17455" xr:uid="{00000000-0005-0000-0000-0000A9440000}"/>
    <cellStyle name="Normal 9 29" xfId="17456" xr:uid="{00000000-0005-0000-0000-0000AA440000}"/>
    <cellStyle name="Normal 9 29 10" xfId="17457" xr:uid="{00000000-0005-0000-0000-0000AB440000}"/>
    <cellStyle name="Normal 9 29 11" xfId="17458" xr:uid="{00000000-0005-0000-0000-0000AC440000}"/>
    <cellStyle name="Normal 9 29 12" xfId="17459" xr:uid="{00000000-0005-0000-0000-0000AD440000}"/>
    <cellStyle name="Normal 9 29 13" xfId="17460" xr:uid="{00000000-0005-0000-0000-0000AE440000}"/>
    <cellStyle name="Normal 9 29 14" xfId="17461" xr:uid="{00000000-0005-0000-0000-0000AF440000}"/>
    <cellStyle name="Normal 9 29 15" xfId="17462" xr:uid="{00000000-0005-0000-0000-0000B0440000}"/>
    <cellStyle name="Normal 9 29 16" xfId="17463" xr:uid="{00000000-0005-0000-0000-0000B1440000}"/>
    <cellStyle name="Normal 9 29 17" xfId="17464" xr:uid="{00000000-0005-0000-0000-0000B2440000}"/>
    <cellStyle name="Normal 9 29 2" xfId="17465" xr:uid="{00000000-0005-0000-0000-0000B3440000}"/>
    <cellStyle name="Normal 9 29 3" xfId="17466" xr:uid="{00000000-0005-0000-0000-0000B4440000}"/>
    <cellStyle name="Normal 9 29 4" xfId="17467" xr:uid="{00000000-0005-0000-0000-0000B5440000}"/>
    <cellStyle name="Normal 9 29 5" xfId="17468" xr:uid="{00000000-0005-0000-0000-0000B6440000}"/>
    <cellStyle name="Normal 9 29 6" xfId="17469" xr:uid="{00000000-0005-0000-0000-0000B7440000}"/>
    <cellStyle name="Normal 9 29 7" xfId="17470" xr:uid="{00000000-0005-0000-0000-0000B8440000}"/>
    <cellStyle name="Normal 9 29 8" xfId="17471" xr:uid="{00000000-0005-0000-0000-0000B9440000}"/>
    <cellStyle name="Normal 9 29 9" xfId="17472" xr:uid="{00000000-0005-0000-0000-0000BA440000}"/>
    <cellStyle name="Normal 9 3" xfId="17473" xr:uid="{00000000-0005-0000-0000-0000BB440000}"/>
    <cellStyle name="Normal 9 3 10" xfId="17474" xr:uid="{00000000-0005-0000-0000-0000BC440000}"/>
    <cellStyle name="Normal 9 3 11" xfId="17475" xr:uid="{00000000-0005-0000-0000-0000BD440000}"/>
    <cellStyle name="Normal 9 3 12" xfId="17476" xr:uid="{00000000-0005-0000-0000-0000BE440000}"/>
    <cellStyle name="Normal 9 3 13" xfId="17477" xr:uid="{00000000-0005-0000-0000-0000BF440000}"/>
    <cellStyle name="Normal 9 3 14" xfId="17478" xr:uid="{00000000-0005-0000-0000-0000C0440000}"/>
    <cellStyle name="Normal 9 3 15" xfId="17479" xr:uid="{00000000-0005-0000-0000-0000C1440000}"/>
    <cellStyle name="Normal 9 3 16" xfId="17480" xr:uid="{00000000-0005-0000-0000-0000C2440000}"/>
    <cellStyle name="Normal 9 3 17" xfId="17481" xr:uid="{00000000-0005-0000-0000-0000C3440000}"/>
    <cellStyle name="Normal 9 3 18" xfId="17482" xr:uid="{00000000-0005-0000-0000-0000C4440000}"/>
    <cellStyle name="Normal 9 3 19" xfId="17483" xr:uid="{00000000-0005-0000-0000-0000C5440000}"/>
    <cellStyle name="Normal 9 3 2" xfId="17484" xr:uid="{00000000-0005-0000-0000-0000C6440000}"/>
    <cellStyle name="Normal 9 3 20" xfId="17485" xr:uid="{00000000-0005-0000-0000-0000C7440000}"/>
    <cellStyle name="Normal 9 3 21" xfId="17486" xr:uid="{00000000-0005-0000-0000-0000C8440000}"/>
    <cellStyle name="Normal 9 3 22" xfId="17487" xr:uid="{00000000-0005-0000-0000-0000C9440000}"/>
    <cellStyle name="Normal 9 3 23" xfId="17488" xr:uid="{00000000-0005-0000-0000-0000CA440000}"/>
    <cellStyle name="Normal 9 3 24" xfId="17489" xr:uid="{00000000-0005-0000-0000-0000CB440000}"/>
    <cellStyle name="Normal 9 3 25" xfId="17490" xr:uid="{00000000-0005-0000-0000-0000CC440000}"/>
    <cellStyle name="Normal 9 3 26" xfId="17491" xr:uid="{00000000-0005-0000-0000-0000CD440000}"/>
    <cellStyle name="Normal 9 3 27" xfId="17492" xr:uid="{00000000-0005-0000-0000-0000CE440000}"/>
    <cellStyle name="Normal 9 3 28" xfId="17493" xr:uid="{00000000-0005-0000-0000-0000CF440000}"/>
    <cellStyle name="Normal 9 3 29" xfId="17494" xr:uid="{00000000-0005-0000-0000-0000D0440000}"/>
    <cellStyle name="Normal 9 3 3" xfId="17495" xr:uid="{00000000-0005-0000-0000-0000D1440000}"/>
    <cellStyle name="Normal 9 3 30" xfId="17496" xr:uid="{00000000-0005-0000-0000-0000D2440000}"/>
    <cellStyle name="Normal 9 3 31" xfId="17497" xr:uid="{00000000-0005-0000-0000-0000D3440000}"/>
    <cellStyle name="Normal 9 3 32" xfId="17498" xr:uid="{00000000-0005-0000-0000-0000D4440000}"/>
    <cellStyle name="Normal 9 3 33" xfId="17499" xr:uid="{00000000-0005-0000-0000-0000D5440000}"/>
    <cellStyle name="Normal 9 3 34" xfId="17500" xr:uid="{00000000-0005-0000-0000-0000D6440000}"/>
    <cellStyle name="Normal 9 3 35" xfId="17501" xr:uid="{00000000-0005-0000-0000-0000D7440000}"/>
    <cellStyle name="Normal 9 3 36" xfId="17502" xr:uid="{00000000-0005-0000-0000-0000D8440000}"/>
    <cellStyle name="Normal 9 3 37" xfId="17503" xr:uid="{00000000-0005-0000-0000-0000D9440000}"/>
    <cellStyle name="Normal 9 3 38" xfId="17504" xr:uid="{00000000-0005-0000-0000-0000DA440000}"/>
    <cellStyle name="Normal 9 3 39" xfId="17505" xr:uid="{00000000-0005-0000-0000-0000DB440000}"/>
    <cellStyle name="Normal 9 3 4" xfId="17506" xr:uid="{00000000-0005-0000-0000-0000DC440000}"/>
    <cellStyle name="Normal 9 3 40" xfId="17507" xr:uid="{00000000-0005-0000-0000-0000DD440000}"/>
    <cellStyle name="Normal 9 3 41" xfId="17508" xr:uid="{00000000-0005-0000-0000-0000DE440000}"/>
    <cellStyle name="Normal 9 3 42" xfId="17509" xr:uid="{00000000-0005-0000-0000-0000DF440000}"/>
    <cellStyle name="Normal 9 3 43" xfId="17510" xr:uid="{00000000-0005-0000-0000-0000E0440000}"/>
    <cellStyle name="Normal 9 3 44" xfId="17511" xr:uid="{00000000-0005-0000-0000-0000E1440000}"/>
    <cellStyle name="Normal 9 3 45" xfId="17512" xr:uid="{00000000-0005-0000-0000-0000E2440000}"/>
    <cellStyle name="Normal 9 3 46" xfId="17513" xr:uid="{00000000-0005-0000-0000-0000E3440000}"/>
    <cellStyle name="Normal 9 3 47" xfId="17514" xr:uid="{00000000-0005-0000-0000-0000E4440000}"/>
    <cellStyle name="Normal 9 3 48" xfId="17515" xr:uid="{00000000-0005-0000-0000-0000E5440000}"/>
    <cellStyle name="Normal 9 3 49" xfId="17516" xr:uid="{00000000-0005-0000-0000-0000E6440000}"/>
    <cellStyle name="Normal 9 3 5" xfId="17517" xr:uid="{00000000-0005-0000-0000-0000E7440000}"/>
    <cellStyle name="Normal 9 3 50" xfId="17518" xr:uid="{00000000-0005-0000-0000-0000E8440000}"/>
    <cellStyle name="Normal 9 3 51" xfId="17519" xr:uid="{00000000-0005-0000-0000-0000E9440000}"/>
    <cellStyle name="Normal 9 3 52" xfId="17520" xr:uid="{00000000-0005-0000-0000-0000EA440000}"/>
    <cellStyle name="Normal 9 3 53" xfId="17521" xr:uid="{00000000-0005-0000-0000-0000EB440000}"/>
    <cellStyle name="Normal 9 3 54" xfId="17522" xr:uid="{00000000-0005-0000-0000-0000EC440000}"/>
    <cellStyle name="Normal 9 3 55" xfId="17523" xr:uid="{00000000-0005-0000-0000-0000ED440000}"/>
    <cellStyle name="Normal 9 3 56" xfId="17524" xr:uid="{00000000-0005-0000-0000-0000EE440000}"/>
    <cellStyle name="Normal 9 3 57" xfId="17525" xr:uid="{00000000-0005-0000-0000-0000EF440000}"/>
    <cellStyle name="Normal 9 3 58" xfId="17526" xr:uid="{00000000-0005-0000-0000-0000F0440000}"/>
    <cellStyle name="Normal 9 3 59" xfId="17527" xr:uid="{00000000-0005-0000-0000-0000F1440000}"/>
    <cellStyle name="Normal 9 3 6" xfId="17528" xr:uid="{00000000-0005-0000-0000-0000F2440000}"/>
    <cellStyle name="Normal 9 3 60" xfId="17529" xr:uid="{00000000-0005-0000-0000-0000F3440000}"/>
    <cellStyle name="Normal 9 3 61" xfId="17530" xr:uid="{00000000-0005-0000-0000-0000F4440000}"/>
    <cellStyle name="Normal 9 3 62" xfId="17531" xr:uid="{00000000-0005-0000-0000-0000F5440000}"/>
    <cellStyle name="Normal 9 3 63" xfId="17532" xr:uid="{00000000-0005-0000-0000-0000F6440000}"/>
    <cellStyle name="Normal 9 3 64" xfId="17533" xr:uid="{00000000-0005-0000-0000-0000F7440000}"/>
    <cellStyle name="Normal 9 3 65" xfId="17534" xr:uid="{00000000-0005-0000-0000-0000F8440000}"/>
    <cellStyle name="Normal 9 3 66" xfId="17535" xr:uid="{00000000-0005-0000-0000-0000F9440000}"/>
    <cellStyle name="Normal 9 3 67" xfId="17536" xr:uid="{00000000-0005-0000-0000-0000FA440000}"/>
    <cellStyle name="Normal 9 3 68" xfId="17537" xr:uid="{00000000-0005-0000-0000-0000FB440000}"/>
    <cellStyle name="Normal 9 3 69" xfId="17538" xr:uid="{00000000-0005-0000-0000-0000FC440000}"/>
    <cellStyle name="Normal 9 3 7" xfId="17539" xr:uid="{00000000-0005-0000-0000-0000FD440000}"/>
    <cellStyle name="Normal 9 3 70" xfId="17540" xr:uid="{00000000-0005-0000-0000-0000FE440000}"/>
    <cellStyle name="Normal 9 3 71" xfId="17541" xr:uid="{00000000-0005-0000-0000-0000FF440000}"/>
    <cellStyle name="Normal 9 3 72" xfId="17542" xr:uid="{00000000-0005-0000-0000-000000450000}"/>
    <cellStyle name="Normal 9 3 73" xfId="17543" xr:uid="{00000000-0005-0000-0000-000001450000}"/>
    <cellStyle name="Normal 9 3 74" xfId="17544" xr:uid="{00000000-0005-0000-0000-000002450000}"/>
    <cellStyle name="Normal 9 3 75" xfId="17545" xr:uid="{00000000-0005-0000-0000-000003450000}"/>
    <cellStyle name="Normal 9 3 76" xfId="17546" xr:uid="{00000000-0005-0000-0000-000004450000}"/>
    <cellStyle name="Normal 9 3 77" xfId="17547" xr:uid="{00000000-0005-0000-0000-000005450000}"/>
    <cellStyle name="Normal 9 3 78" xfId="17548" xr:uid="{00000000-0005-0000-0000-000006450000}"/>
    <cellStyle name="Normal 9 3 8" xfId="17549" xr:uid="{00000000-0005-0000-0000-000007450000}"/>
    <cellStyle name="Normal 9 3 9" xfId="17550" xr:uid="{00000000-0005-0000-0000-000008450000}"/>
    <cellStyle name="Normal 9 30" xfId="17551" xr:uid="{00000000-0005-0000-0000-000009450000}"/>
    <cellStyle name="Normal 9 30 10" xfId="17552" xr:uid="{00000000-0005-0000-0000-00000A450000}"/>
    <cellStyle name="Normal 9 30 11" xfId="17553" xr:uid="{00000000-0005-0000-0000-00000B450000}"/>
    <cellStyle name="Normal 9 30 12" xfId="17554" xr:uid="{00000000-0005-0000-0000-00000C450000}"/>
    <cellStyle name="Normal 9 30 13" xfId="17555" xr:uid="{00000000-0005-0000-0000-00000D450000}"/>
    <cellStyle name="Normal 9 30 14" xfId="17556" xr:uid="{00000000-0005-0000-0000-00000E450000}"/>
    <cellStyle name="Normal 9 30 15" xfId="17557" xr:uid="{00000000-0005-0000-0000-00000F450000}"/>
    <cellStyle name="Normal 9 30 16" xfId="17558" xr:uid="{00000000-0005-0000-0000-000010450000}"/>
    <cellStyle name="Normal 9 30 17" xfId="17559" xr:uid="{00000000-0005-0000-0000-000011450000}"/>
    <cellStyle name="Normal 9 30 2" xfId="17560" xr:uid="{00000000-0005-0000-0000-000012450000}"/>
    <cellStyle name="Normal 9 30 3" xfId="17561" xr:uid="{00000000-0005-0000-0000-000013450000}"/>
    <cellStyle name="Normal 9 30 4" xfId="17562" xr:uid="{00000000-0005-0000-0000-000014450000}"/>
    <cellStyle name="Normal 9 30 5" xfId="17563" xr:uid="{00000000-0005-0000-0000-000015450000}"/>
    <cellStyle name="Normal 9 30 6" xfId="17564" xr:uid="{00000000-0005-0000-0000-000016450000}"/>
    <cellStyle name="Normal 9 30 7" xfId="17565" xr:uid="{00000000-0005-0000-0000-000017450000}"/>
    <cellStyle name="Normal 9 30 8" xfId="17566" xr:uid="{00000000-0005-0000-0000-000018450000}"/>
    <cellStyle name="Normal 9 30 9" xfId="17567" xr:uid="{00000000-0005-0000-0000-000019450000}"/>
    <cellStyle name="Normal 9 31" xfId="17568" xr:uid="{00000000-0005-0000-0000-00001A450000}"/>
    <cellStyle name="Normal 9 31 10" xfId="17569" xr:uid="{00000000-0005-0000-0000-00001B450000}"/>
    <cellStyle name="Normal 9 31 11" xfId="17570" xr:uid="{00000000-0005-0000-0000-00001C450000}"/>
    <cellStyle name="Normal 9 31 12" xfId="17571" xr:uid="{00000000-0005-0000-0000-00001D450000}"/>
    <cellStyle name="Normal 9 31 13" xfId="17572" xr:uid="{00000000-0005-0000-0000-00001E450000}"/>
    <cellStyle name="Normal 9 31 14" xfId="17573" xr:uid="{00000000-0005-0000-0000-00001F450000}"/>
    <cellStyle name="Normal 9 31 15" xfId="17574" xr:uid="{00000000-0005-0000-0000-000020450000}"/>
    <cellStyle name="Normal 9 31 16" xfId="17575" xr:uid="{00000000-0005-0000-0000-000021450000}"/>
    <cellStyle name="Normal 9 31 17" xfId="17576" xr:uid="{00000000-0005-0000-0000-000022450000}"/>
    <cellStyle name="Normal 9 31 2" xfId="17577" xr:uid="{00000000-0005-0000-0000-000023450000}"/>
    <cellStyle name="Normal 9 31 3" xfId="17578" xr:uid="{00000000-0005-0000-0000-000024450000}"/>
    <cellStyle name="Normal 9 31 4" xfId="17579" xr:uid="{00000000-0005-0000-0000-000025450000}"/>
    <cellStyle name="Normal 9 31 5" xfId="17580" xr:uid="{00000000-0005-0000-0000-000026450000}"/>
    <cellStyle name="Normal 9 31 6" xfId="17581" xr:uid="{00000000-0005-0000-0000-000027450000}"/>
    <cellStyle name="Normal 9 31 7" xfId="17582" xr:uid="{00000000-0005-0000-0000-000028450000}"/>
    <cellStyle name="Normal 9 31 8" xfId="17583" xr:uid="{00000000-0005-0000-0000-000029450000}"/>
    <cellStyle name="Normal 9 31 9" xfId="17584" xr:uid="{00000000-0005-0000-0000-00002A450000}"/>
    <cellStyle name="Normal 9 32" xfId="17585" xr:uid="{00000000-0005-0000-0000-00002B450000}"/>
    <cellStyle name="Normal 9 32 10" xfId="17586" xr:uid="{00000000-0005-0000-0000-00002C450000}"/>
    <cellStyle name="Normal 9 32 11" xfId="17587" xr:uid="{00000000-0005-0000-0000-00002D450000}"/>
    <cellStyle name="Normal 9 32 12" xfId="17588" xr:uid="{00000000-0005-0000-0000-00002E450000}"/>
    <cellStyle name="Normal 9 32 13" xfId="17589" xr:uid="{00000000-0005-0000-0000-00002F450000}"/>
    <cellStyle name="Normal 9 32 14" xfId="17590" xr:uid="{00000000-0005-0000-0000-000030450000}"/>
    <cellStyle name="Normal 9 32 15" xfId="17591" xr:uid="{00000000-0005-0000-0000-000031450000}"/>
    <cellStyle name="Normal 9 32 16" xfId="17592" xr:uid="{00000000-0005-0000-0000-000032450000}"/>
    <cellStyle name="Normal 9 32 17" xfId="17593" xr:uid="{00000000-0005-0000-0000-000033450000}"/>
    <cellStyle name="Normal 9 32 2" xfId="17594" xr:uid="{00000000-0005-0000-0000-000034450000}"/>
    <cellStyle name="Normal 9 32 3" xfId="17595" xr:uid="{00000000-0005-0000-0000-000035450000}"/>
    <cellStyle name="Normal 9 32 4" xfId="17596" xr:uid="{00000000-0005-0000-0000-000036450000}"/>
    <cellStyle name="Normal 9 32 5" xfId="17597" xr:uid="{00000000-0005-0000-0000-000037450000}"/>
    <cellStyle name="Normal 9 32 6" xfId="17598" xr:uid="{00000000-0005-0000-0000-000038450000}"/>
    <cellStyle name="Normal 9 32 7" xfId="17599" xr:uid="{00000000-0005-0000-0000-000039450000}"/>
    <cellStyle name="Normal 9 32 8" xfId="17600" xr:uid="{00000000-0005-0000-0000-00003A450000}"/>
    <cellStyle name="Normal 9 32 9" xfId="17601" xr:uid="{00000000-0005-0000-0000-00003B450000}"/>
    <cellStyle name="Normal 9 33" xfId="17602" xr:uid="{00000000-0005-0000-0000-00003C450000}"/>
    <cellStyle name="Normal 9 33 10" xfId="17603" xr:uid="{00000000-0005-0000-0000-00003D450000}"/>
    <cellStyle name="Normal 9 33 11" xfId="17604" xr:uid="{00000000-0005-0000-0000-00003E450000}"/>
    <cellStyle name="Normal 9 33 12" xfId="17605" xr:uid="{00000000-0005-0000-0000-00003F450000}"/>
    <cellStyle name="Normal 9 33 13" xfId="17606" xr:uid="{00000000-0005-0000-0000-000040450000}"/>
    <cellStyle name="Normal 9 33 14" xfId="17607" xr:uid="{00000000-0005-0000-0000-000041450000}"/>
    <cellStyle name="Normal 9 33 15" xfId="17608" xr:uid="{00000000-0005-0000-0000-000042450000}"/>
    <cellStyle name="Normal 9 33 16" xfId="17609" xr:uid="{00000000-0005-0000-0000-000043450000}"/>
    <cellStyle name="Normal 9 33 17" xfId="17610" xr:uid="{00000000-0005-0000-0000-000044450000}"/>
    <cellStyle name="Normal 9 33 2" xfId="17611" xr:uid="{00000000-0005-0000-0000-000045450000}"/>
    <cellStyle name="Normal 9 33 3" xfId="17612" xr:uid="{00000000-0005-0000-0000-000046450000}"/>
    <cellStyle name="Normal 9 33 4" xfId="17613" xr:uid="{00000000-0005-0000-0000-000047450000}"/>
    <cellStyle name="Normal 9 33 5" xfId="17614" xr:uid="{00000000-0005-0000-0000-000048450000}"/>
    <cellStyle name="Normal 9 33 6" xfId="17615" xr:uid="{00000000-0005-0000-0000-000049450000}"/>
    <cellStyle name="Normal 9 33 7" xfId="17616" xr:uid="{00000000-0005-0000-0000-00004A450000}"/>
    <cellStyle name="Normal 9 33 8" xfId="17617" xr:uid="{00000000-0005-0000-0000-00004B450000}"/>
    <cellStyle name="Normal 9 33 9" xfId="17618" xr:uid="{00000000-0005-0000-0000-00004C450000}"/>
    <cellStyle name="Normal 9 34" xfId="17619" xr:uid="{00000000-0005-0000-0000-00004D450000}"/>
    <cellStyle name="Normal 9 34 10" xfId="17620" xr:uid="{00000000-0005-0000-0000-00004E450000}"/>
    <cellStyle name="Normal 9 34 11" xfId="17621" xr:uid="{00000000-0005-0000-0000-00004F450000}"/>
    <cellStyle name="Normal 9 34 12" xfId="17622" xr:uid="{00000000-0005-0000-0000-000050450000}"/>
    <cellStyle name="Normal 9 34 13" xfId="17623" xr:uid="{00000000-0005-0000-0000-000051450000}"/>
    <cellStyle name="Normal 9 34 14" xfId="17624" xr:uid="{00000000-0005-0000-0000-000052450000}"/>
    <cellStyle name="Normal 9 34 15" xfId="17625" xr:uid="{00000000-0005-0000-0000-000053450000}"/>
    <cellStyle name="Normal 9 34 16" xfId="17626" xr:uid="{00000000-0005-0000-0000-000054450000}"/>
    <cellStyle name="Normal 9 34 17" xfId="17627" xr:uid="{00000000-0005-0000-0000-000055450000}"/>
    <cellStyle name="Normal 9 34 2" xfId="17628" xr:uid="{00000000-0005-0000-0000-000056450000}"/>
    <cellStyle name="Normal 9 34 3" xfId="17629" xr:uid="{00000000-0005-0000-0000-000057450000}"/>
    <cellStyle name="Normal 9 34 4" xfId="17630" xr:uid="{00000000-0005-0000-0000-000058450000}"/>
    <cellStyle name="Normal 9 34 5" xfId="17631" xr:uid="{00000000-0005-0000-0000-000059450000}"/>
    <cellStyle name="Normal 9 34 6" xfId="17632" xr:uid="{00000000-0005-0000-0000-00005A450000}"/>
    <cellStyle name="Normal 9 34 7" xfId="17633" xr:uid="{00000000-0005-0000-0000-00005B450000}"/>
    <cellStyle name="Normal 9 34 8" xfId="17634" xr:uid="{00000000-0005-0000-0000-00005C450000}"/>
    <cellStyle name="Normal 9 34 9" xfId="17635" xr:uid="{00000000-0005-0000-0000-00005D450000}"/>
    <cellStyle name="Normal 9 35" xfId="17636" xr:uid="{00000000-0005-0000-0000-00005E450000}"/>
    <cellStyle name="Normal 9 35 10" xfId="17637" xr:uid="{00000000-0005-0000-0000-00005F450000}"/>
    <cellStyle name="Normal 9 35 11" xfId="17638" xr:uid="{00000000-0005-0000-0000-000060450000}"/>
    <cellStyle name="Normal 9 35 12" xfId="17639" xr:uid="{00000000-0005-0000-0000-000061450000}"/>
    <cellStyle name="Normal 9 35 13" xfId="17640" xr:uid="{00000000-0005-0000-0000-000062450000}"/>
    <cellStyle name="Normal 9 35 14" xfId="17641" xr:uid="{00000000-0005-0000-0000-000063450000}"/>
    <cellStyle name="Normal 9 35 15" xfId="17642" xr:uid="{00000000-0005-0000-0000-000064450000}"/>
    <cellStyle name="Normal 9 35 16" xfId="17643" xr:uid="{00000000-0005-0000-0000-000065450000}"/>
    <cellStyle name="Normal 9 35 17" xfId="17644" xr:uid="{00000000-0005-0000-0000-000066450000}"/>
    <cellStyle name="Normal 9 35 2" xfId="17645" xr:uid="{00000000-0005-0000-0000-000067450000}"/>
    <cellStyle name="Normal 9 35 3" xfId="17646" xr:uid="{00000000-0005-0000-0000-000068450000}"/>
    <cellStyle name="Normal 9 35 4" xfId="17647" xr:uid="{00000000-0005-0000-0000-000069450000}"/>
    <cellStyle name="Normal 9 35 5" xfId="17648" xr:uid="{00000000-0005-0000-0000-00006A450000}"/>
    <cellStyle name="Normal 9 35 6" xfId="17649" xr:uid="{00000000-0005-0000-0000-00006B450000}"/>
    <cellStyle name="Normal 9 35 7" xfId="17650" xr:uid="{00000000-0005-0000-0000-00006C450000}"/>
    <cellStyle name="Normal 9 35 8" xfId="17651" xr:uid="{00000000-0005-0000-0000-00006D450000}"/>
    <cellStyle name="Normal 9 35 9" xfId="17652" xr:uid="{00000000-0005-0000-0000-00006E450000}"/>
    <cellStyle name="Normal 9 36" xfId="17653" xr:uid="{00000000-0005-0000-0000-00006F450000}"/>
    <cellStyle name="Normal 9 36 10" xfId="17654" xr:uid="{00000000-0005-0000-0000-000070450000}"/>
    <cellStyle name="Normal 9 36 11" xfId="17655" xr:uid="{00000000-0005-0000-0000-000071450000}"/>
    <cellStyle name="Normal 9 36 12" xfId="17656" xr:uid="{00000000-0005-0000-0000-000072450000}"/>
    <cellStyle name="Normal 9 36 13" xfId="17657" xr:uid="{00000000-0005-0000-0000-000073450000}"/>
    <cellStyle name="Normal 9 36 14" xfId="17658" xr:uid="{00000000-0005-0000-0000-000074450000}"/>
    <cellStyle name="Normal 9 36 15" xfId="17659" xr:uid="{00000000-0005-0000-0000-000075450000}"/>
    <cellStyle name="Normal 9 36 16" xfId="17660" xr:uid="{00000000-0005-0000-0000-000076450000}"/>
    <cellStyle name="Normal 9 36 17" xfId="17661" xr:uid="{00000000-0005-0000-0000-000077450000}"/>
    <cellStyle name="Normal 9 36 2" xfId="17662" xr:uid="{00000000-0005-0000-0000-000078450000}"/>
    <cellStyle name="Normal 9 36 3" xfId="17663" xr:uid="{00000000-0005-0000-0000-000079450000}"/>
    <cellStyle name="Normal 9 36 4" xfId="17664" xr:uid="{00000000-0005-0000-0000-00007A450000}"/>
    <cellStyle name="Normal 9 36 5" xfId="17665" xr:uid="{00000000-0005-0000-0000-00007B450000}"/>
    <cellStyle name="Normal 9 36 6" xfId="17666" xr:uid="{00000000-0005-0000-0000-00007C450000}"/>
    <cellStyle name="Normal 9 36 7" xfId="17667" xr:uid="{00000000-0005-0000-0000-00007D450000}"/>
    <cellStyle name="Normal 9 36 8" xfId="17668" xr:uid="{00000000-0005-0000-0000-00007E450000}"/>
    <cellStyle name="Normal 9 36 9" xfId="17669" xr:uid="{00000000-0005-0000-0000-00007F450000}"/>
    <cellStyle name="Normal 9 37" xfId="17670" xr:uid="{00000000-0005-0000-0000-000080450000}"/>
    <cellStyle name="Normal 9 37 10" xfId="17671" xr:uid="{00000000-0005-0000-0000-000081450000}"/>
    <cellStyle name="Normal 9 37 11" xfId="17672" xr:uid="{00000000-0005-0000-0000-000082450000}"/>
    <cellStyle name="Normal 9 37 12" xfId="17673" xr:uid="{00000000-0005-0000-0000-000083450000}"/>
    <cellStyle name="Normal 9 37 13" xfId="17674" xr:uid="{00000000-0005-0000-0000-000084450000}"/>
    <cellStyle name="Normal 9 37 14" xfId="17675" xr:uid="{00000000-0005-0000-0000-000085450000}"/>
    <cellStyle name="Normal 9 37 15" xfId="17676" xr:uid="{00000000-0005-0000-0000-000086450000}"/>
    <cellStyle name="Normal 9 37 16" xfId="17677" xr:uid="{00000000-0005-0000-0000-000087450000}"/>
    <cellStyle name="Normal 9 37 17" xfId="17678" xr:uid="{00000000-0005-0000-0000-000088450000}"/>
    <cellStyle name="Normal 9 37 2" xfId="17679" xr:uid="{00000000-0005-0000-0000-000089450000}"/>
    <cellStyle name="Normal 9 37 3" xfId="17680" xr:uid="{00000000-0005-0000-0000-00008A450000}"/>
    <cellStyle name="Normal 9 37 4" xfId="17681" xr:uid="{00000000-0005-0000-0000-00008B450000}"/>
    <cellStyle name="Normal 9 37 5" xfId="17682" xr:uid="{00000000-0005-0000-0000-00008C450000}"/>
    <cellStyle name="Normal 9 37 6" xfId="17683" xr:uid="{00000000-0005-0000-0000-00008D450000}"/>
    <cellStyle name="Normal 9 37 7" xfId="17684" xr:uid="{00000000-0005-0000-0000-00008E450000}"/>
    <cellStyle name="Normal 9 37 8" xfId="17685" xr:uid="{00000000-0005-0000-0000-00008F450000}"/>
    <cellStyle name="Normal 9 37 9" xfId="17686" xr:uid="{00000000-0005-0000-0000-000090450000}"/>
    <cellStyle name="Normal 9 38" xfId="17687" xr:uid="{00000000-0005-0000-0000-000091450000}"/>
    <cellStyle name="Normal 9 38 10" xfId="17688" xr:uid="{00000000-0005-0000-0000-000092450000}"/>
    <cellStyle name="Normal 9 38 11" xfId="17689" xr:uid="{00000000-0005-0000-0000-000093450000}"/>
    <cellStyle name="Normal 9 38 12" xfId="17690" xr:uid="{00000000-0005-0000-0000-000094450000}"/>
    <cellStyle name="Normal 9 38 13" xfId="17691" xr:uid="{00000000-0005-0000-0000-000095450000}"/>
    <cellStyle name="Normal 9 38 14" xfId="17692" xr:uid="{00000000-0005-0000-0000-000096450000}"/>
    <cellStyle name="Normal 9 38 15" xfId="17693" xr:uid="{00000000-0005-0000-0000-000097450000}"/>
    <cellStyle name="Normal 9 38 16" xfId="17694" xr:uid="{00000000-0005-0000-0000-000098450000}"/>
    <cellStyle name="Normal 9 38 17" xfId="17695" xr:uid="{00000000-0005-0000-0000-000099450000}"/>
    <cellStyle name="Normal 9 38 2" xfId="17696" xr:uid="{00000000-0005-0000-0000-00009A450000}"/>
    <cellStyle name="Normal 9 38 3" xfId="17697" xr:uid="{00000000-0005-0000-0000-00009B450000}"/>
    <cellStyle name="Normal 9 38 4" xfId="17698" xr:uid="{00000000-0005-0000-0000-00009C450000}"/>
    <cellStyle name="Normal 9 38 5" xfId="17699" xr:uid="{00000000-0005-0000-0000-00009D450000}"/>
    <cellStyle name="Normal 9 38 6" xfId="17700" xr:uid="{00000000-0005-0000-0000-00009E450000}"/>
    <cellStyle name="Normal 9 38 7" xfId="17701" xr:uid="{00000000-0005-0000-0000-00009F450000}"/>
    <cellStyle name="Normal 9 38 8" xfId="17702" xr:uid="{00000000-0005-0000-0000-0000A0450000}"/>
    <cellStyle name="Normal 9 38 9" xfId="17703" xr:uid="{00000000-0005-0000-0000-0000A1450000}"/>
    <cellStyle name="Normal 9 39" xfId="17704" xr:uid="{00000000-0005-0000-0000-0000A2450000}"/>
    <cellStyle name="Normal 9 39 10" xfId="17705" xr:uid="{00000000-0005-0000-0000-0000A3450000}"/>
    <cellStyle name="Normal 9 39 11" xfId="17706" xr:uid="{00000000-0005-0000-0000-0000A4450000}"/>
    <cellStyle name="Normal 9 39 12" xfId="17707" xr:uid="{00000000-0005-0000-0000-0000A5450000}"/>
    <cellStyle name="Normal 9 39 13" xfId="17708" xr:uid="{00000000-0005-0000-0000-0000A6450000}"/>
    <cellStyle name="Normal 9 39 14" xfId="17709" xr:uid="{00000000-0005-0000-0000-0000A7450000}"/>
    <cellStyle name="Normal 9 39 15" xfId="17710" xr:uid="{00000000-0005-0000-0000-0000A8450000}"/>
    <cellStyle name="Normal 9 39 16" xfId="17711" xr:uid="{00000000-0005-0000-0000-0000A9450000}"/>
    <cellStyle name="Normal 9 39 17" xfId="17712" xr:uid="{00000000-0005-0000-0000-0000AA450000}"/>
    <cellStyle name="Normal 9 39 2" xfId="17713" xr:uid="{00000000-0005-0000-0000-0000AB450000}"/>
    <cellStyle name="Normal 9 39 3" xfId="17714" xr:uid="{00000000-0005-0000-0000-0000AC450000}"/>
    <cellStyle name="Normal 9 39 4" xfId="17715" xr:uid="{00000000-0005-0000-0000-0000AD450000}"/>
    <cellStyle name="Normal 9 39 5" xfId="17716" xr:uid="{00000000-0005-0000-0000-0000AE450000}"/>
    <cellStyle name="Normal 9 39 6" xfId="17717" xr:uid="{00000000-0005-0000-0000-0000AF450000}"/>
    <cellStyle name="Normal 9 39 7" xfId="17718" xr:uid="{00000000-0005-0000-0000-0000B0450000}"/>
    <cellStyle name="Normal 9 39 8" xfId="17719" xr:uid="{00000000-0005-0000-0000-0000B1450000}"/>
    <cellStyle name="Normal 9 39 9" xfId="17720" xr:uid="{00000000-0005-0000-0000-0000B2450000}"/>
    <cellStyle name="Normal 9 4" xfId="17721" xr:uid="{00000000-0005-0000-0000-0000B3450000}"/>
    <cellStyle name="Normal 9 4 10" xfId="17722" xr:uid="{00000000-0005-0000-0000-0000B4450000}"/>
    <cellStyle name="Normal 9 4 11" xfId="17723" xr:uid="{00000000-0005-0000-0000-0000B5450000}"/>
    <cellStyle name="Normal 9 4 12" xfId="17724" xr:uid="{00000000-0005-0000-0000-0000B6450000}"/>
    <cellStyle name="Normal 9 4 13" xfId="17725" xr:uid="{00000000-0005-0000-0000-0000B7450000}"/>
    <cellStyle name="Normal 9 4 14" xfId="17726" xr:uid="{00000000-0005-0000-0000-0000B8450000}"/>
    <cellStyle name="Normal 9 4 15" xfId="17727" xr:uid="{00000000-0005-0000-0000-0000B9450000}"/>
    <cellStyle name="Normal 9 4 16" xfId="17728" xr:uid="{00000000-0005-0000-0000-0000BA450000}"/>
    <cellStyle name="Normal 9 4 17" xfId="17729" xr:uid="{00000000-0005-0000-0000-0000BB450000}"/>
    <cellStyle name="Normal 9 4 2" xfId="17730" xr:uid="{00000000-0005-0000-0000-0000BC450000}"/>
    <cellStyle name="Normal 9 4 3" xfId="17731" xr:uid="{00000000-0005-0000-0000-0000BD450000}"/>
    <cellStyle name="Normal 9 4 4" xfId="17732" xr:uid="{00000000-0005-0000-0000-0000BE450000}"/>
    <cellStyle name="Normal 9 4 5" xfId="17733" xr:uid="{00000000-0005-0000-0000-0000BF450000}"/>
    <cellStyle name="Normal 9 4 6" xfId="17734" xr:uid="{00000000-0005-0000-0000-0000C0450000}"/>
    <cellStyle name="Normal 9 4 7" xfId="17735" xr:uid="{00000000-0005-0000-0000-0000C1450000}"/>
    <cellStyle name="Normal 9 4 8" xfId="17736" xr:uid="{00000000-0005-0000-0000-0000C2450000}"/>
    <cellStyle name="Normal 9 4 9" xfId="17737" xr:uid="{00000000-0005-0000-0000-0000C3450000}"/>
    <cellStyle name="Normal 9 40" xfId="17738" xr:uid="{00000000-0005-0000-0000-0000C4450000}"/>
    <cellStyle name="Normal 9 40 10" xfId="17739" xr:uid="{00000000-0005-0000-0000-0000C5450000}"/>
    <cellStyle name="Normal 9 40 11" xfId="17740" xr:uid="{00000000-0005-0000-0000-0000C6450000}"/>
    <cellStyle name="Normal 9 40 12" xfId="17741" xr:uid="{00000000-0005-0000-0000-0000C7450000}"/>
    <cellStyle name="Normal 9 40 13" xfId="17742" xr:uid="{00000000-0005-0000-0000-0000C8450000}"/>
    <cellStyle name="Normal 9 40 14" xfId="17743" xr:uid="{00000000-0005-0000-0000-0000C9450000}"/>
    <cellStyle name="Normal 9 40 15" xfId="17744" xr:uid="{00000000-0005-0000-0000-0000CA450000}"/>
    <cellStyle name="Normal 9 40 16" xfId="17745" xr:uid="{00000000-0005-0000-0000-0000CB450000}"/>
    <cellStyle name="Normal 9 40 17" xfId="17746" xr:uid="{00000000-0005-0000-0000-0000CC450000}"/>
    <cellStyle name="Normal 9 40 2" xfId="17747" xr:uid="{00000000-0005-0000-0000-0000CD450000}"/>
    <cellStyle name="Normal 9 40 3" xfId="17748" xr:uid="{00000000-0005-0000-0000-0000CE450000}"/>
    <cellStyle name="Normal 9 40 4" xfId="17749" xr:uid="{00000000-0005-0000-0000-0000CF450000}"/>
    <cellStyle name="Normal 9 40 5" xfId="17750" xr:uid="{00000000-0005-0000-0000-0000D0450000}"/>
    <cellStyle name="Normal 9 40 6" xfId="17751" xr:uid="{00000000-0005-0000-0000-0000D1450000}"/>
    <cellStyle name="Normal 9 40 7" xfId="17752" xr:uid="{00000000-0005-0000-0000-0000D2450000}"/>
    <cellStyle name="Normal 9 40 8" xfId="17753" xr:uid="{00000000-0005-0000-0000-0000D3450000}"/>
    <cellStyle name="Normal 9 40 9" xfId="17754" xr:uid="{00000000-0005-0000-0000-0000D4450000}"/>
    <cellStyle name="Normal 9 41" xfId="17755" xr:uid="{00000000-0005-0000-0000-0000D5450000}"/>
    <cellStyle name="Normal 9 41 10" xfId="17756" xr:uid="{00000000-0005-0000-0000-0000D6450000}"/>
    <cellStyle name="Normal 9 41 11" xfId="17757" xr:uid="{00000000-0005-0000-0000-0000D7450000}"/>
    <cellStyle name="Normal 9 41 12" xfId="17758" xr:uid="{00000000-0005-0000-0000-0000D8450000}"/>
    <cellStyle name="Normal 9 41 13" xfId="17759" xr:uid="{00000000-0005-0000-0000-0000D9450000}"/>
    <cellStyle name="Normal 9 41 14" xfId="17760" xr:uid="{00000000-0005-0000-0000-0000DA450000}"/>
    <cellStyle name="Normal 9 41 15" xfId="17761" xr:uid="{00000000-0005-0000-0000-0000DB450000}"/>
    <cellStyle name="Normal 9 41 16" xfId="17762" xr:uid="{00000000-0005-0000-0000-0000DC450000}"/>
    <cellStyle name="Normal 9 41 17" xfId="17763" xr:uid="{00000000-0005-0000-0000-0000DD450000}"/>
    <cellStyle name="Normal 9 41 2" xfId="17764" xr:uid="{00000000-0005-0000-0000-0000DE450000}"/>
    <cellStyle name="Normal 9 41 3" xfId="17765" xr:uid="{00000000-0005-0000-0000-0000DF450000}"/>
    <cellStyle name="Normal 9 41 4" xfId="17766" xr:uid="{00000000-0005-0000-0000-0000E0450000}"/>
    <cellStyle name="Normal 9 41 5" xfId="17767" xr:uid="{00000000-0005-0000-0000-0000E1450000}"/>
    <cellStyle name="Normal 9 41 6" xfId="17768" xr:uid="{00000000-0005-0000-0000-0000E2450000}"/>
    <cellStyle name="Normal 9 41 7" xfId="17769" xr:uid="{00000000-0005-0000-0000-0000E3450000}"/>
    <cellStyle name="Normal 9 41 8" xfId="17770" xr:uid="{00000000-0005-0000-0000-0000E4450000}"/>
    <cellStyle name="Normal 9 41 9" xfId="17771" xr:uid="{00000000-0005-0000-0000-0000E5450000}"/>
    <cellStyle name="Normal 9 42" xfId="17772" xr:uid="{00000000-0005-0000-0000-0000E6450000}"/>
    <cellStyle name="Normal 9 42 10" xfId="17773" xr:uid="{00000000-0005-0000-0000-0000E7450000}"/>
    <cellStyle name="Normal 9 42 11" xfId="17774" xr:uid="{00000000-0005-0000-0000-0000E8450000}"/>
    <cellStyle name="Normal 9 42 12" xfId="17775" xr:uid="{00000000-0005-0000-0000-0000E9450000}"/>
    <cellStyle name="Normal 9 42 13" xfId="17776" xr:uid="{00000000-0005-0000-0000-0000EA450000}"/>
    <cellStyle name="Normal 9 42 14" xfId="17777" xr:uid="{00000000-0005-0000-0000-0000EB450000}"/>
    <cellStyle name="Normal 9 42 15" xfId="17778" xr:uid="{00000000-0005-0000-0000-0000EC450000}"/>
    <cellStyle name="Normal 9 42 16" xfId="17779" xr:uid="{00000000-0005-0000-0000-0000ED450000}"/>
    <cellStyle name="Normal 9 42 17" xfId="17780" xr:uid="{00000000-0005-0000-0000-0000EE450000}"/>
    <cellStyle name="Normal 9 42 2" xfId="17781" xr:uid="{00000000-0005-0000-0000-0000EF450000}"/>
    <cellStyle name="Normal 9 42 3" xfId="17782" xr:uid="{00000000-0005-0000-0000-0000F0450000}"/>
    <cellStyle name="Normal 9 42 4" xfId="17783" xr:uid="{00000000-0005-0000-0000-0000F1450000}"/>
    <cellStyle name="Normal 9 42 5" xfId="17784" xr:uid="{00000000-0005-0000-0000-0000F2450000}"/>
    <cellStyle name="Normal 9 42 6" xfId="17785" xr:uid="{00000000-0005-0000-0000-0000F3450000}"/>
    <cellStyle name="Normal 9 42 7" xfId="17786" xr:uid="{00000000-0005-0000-0000-0000F4450000}"/>
    <cellStyle name="Normal 9 42 8" xfId="17787" xr:uid="{00000000-0005-0000-0000-0000F5450000}"/>
    <cellStyle name="Normal 9 42 9" xfId="17788" xr:uid="{00000000-0005-0000-0000-0000F6450000}"/>
    <cellStyle name="Normal 9 43" xfId="17789" xr:uid="{00000000-0005-0000-0000-0000F7450000}"/>
    <cellStyle name="Normal 9 43 10" xfId="17790" xr:uid="{00000000-0005-0000-0000-0000F8450000}"/>
    <cellStyle name="Normal 9 43 11" xfId="17791" xr:uid="{00000000-0005-0000-0000-0000F9450000}"/>
    <cellStyle name="Normal 9 43 12" xfId="17792" xr:uid="{00000000-0005-0000-0000-0000FA450000}"/>
    <cellStyle name="Normal 9 43 13" xfId="17793" xr:uid="{00000000-0005-0000-0000-0000FB450000}"/>
    <cellStyle name="Normal 9 43 14" xfId="17794" xr:uid="{00000000-0005-0000-0000-0000FC450000}"/>
    <cellStyle name="Normal 9 43 15" xfId="17795" xr:uid="{00000000-0005-0000-0000-0000FD450000}"/>
    <cellStyle name="Normal 9 43 16" xfId="17796" xr:uid="{00000000-0005-0000-0000-0000FE450000}"/>
    <cellStyle name="Normal 9 43 17" xfId="17797" xr:uid="{00000000-0005-0000-0000-0000FF450000}"/>
    <cellStyle name="Normal 9 43 2" xfId="17798" xr:uid="{00000000-0005-0000-0000-000000460000}"/>
    <cellStyle name="Normal 9 43 3" xfId="17799" xr:uid="{00000000-0005-0000-0000-000001460000}"/>
    <cellStyle name="Normal 9 43 4" xfId="17800" xr:uid="{00000000-0005-0000-0000-000002460000}"/>
    <cellStyle name="Normal 9 43 5" xfId="17801" xr:uid="{00000000-0005-0000-0000-000003460000}"/>
    <cellStyle name="Normal 9 43 6" xfId="17802" xr:uid="{00000000-0005-0000-0000-000004460000}"/>
    <cellStyle name="Normal 9 43 7" xfId="17803" xr:uid="{00000000-0005-0000-0000-000005460000}"/>
    <cellStyle name="Normal 9 43 8" xfId="17804" xr:uid="{00000000-0005-0000-0000-000006460000}"/>
    <cellStyle name="Normal 9 43 9" xfId="17805" xr:uid="{00000000-0005-0000-0000-000007460000}"/>
    <cellStyle name="Normal 9 44" xfId="17806" xr:uid="{00000000-0005-0000-0000-000008460000}"/>
    <cellStyle name="Normal 9 44 10" xfId="17807" xr:uid="{00000000-0005-0000-0000-000009460000}"/>
    <cellStyle name="Normal 9 44 11" xfId="17808" xr:uid="{00000000-0005-0000-0000-00000A460000}"/>
    <cellStyle name="Normal 9 44 12" xfId="17809" xr:uid="{00000000-0005-0000-0000-00000B460000}"/>
    <cellStyle name="Normal 9 44 13" xfId="17810" xr:uid="{00000000-0005-0000-0000-00000C460000}"/>
    <cellStyle name="Normal 9 44 14" xfId="17811" xr:uid="{00000000-0005-0000-0000-00000D460000}"/>
    <cellStyle name="Normal 9 44 15" xfId="17812" xr:uid="{00000000-0005-0000-0000-00000E460000}"/>
    <cellStyle name="Normal 9 44 16" xfId="17813" xr:uid="{00000000-0005-0000-0000-00000F460000}"/>
    <cellStyle name="Normal 9 44 17" xfId="17814" xr:uid="{00000000-0005-0000-0000-000010460000}"/>
    <cellStyle name="Normal 9 44 2" xfId="17815" xr:uid="{00000000-0005-0000-0000-000011460000}"/>
    <cellStyle name="Normal 9 44 3" xfId="17816" xr:uid="{00000000-0005-0000-0000-000012460000}"/>
    <cellStyle name="Normal 9 44 4" xfId="17817" xr:uid="{00000000-0005-0000-0000-000013460000}"/>
    <cellStyle name="Normal 9 44 5" xfId="17818" xr:uid="{00000000-0005-0000-0000-000014460000}"/>
    <cellStyle name="Normal 9 44 6" xfId="17819" xr:uid="{00000000-0005-0000-0000-000015460000}"/>
    <cellStyle name="Normal 9 44 7" xfId="17820" xr:uid="{00000000-0005-0000-0000-000016460000}"/>
    <cellStyle name="Normal 9 44 8" xfId="17821" xr:uid="{00000000-0005-0000-0000-000017460000}"/>
    <cellStyle name="Normal 9 44 9" xfId="17822" xr:uid="{00000000-0005-0000-0000-000018460000}"/>
    <cellStyle name="Normal 9 45" xfId="17823" xr:uid="{00000000-0005-0000-0000-000019460000}"/>
    <cellStyle name="Normal 9 45 10" xfId="17824" xr:uid="{00000000-0005-0000-0000-00001A460000}"/>
    <cellStyle name="Normal 9 45 11" xfId="17825" xr:uid="{00000000-0005-0000-0000-00001B460000}"/>
    <cellStyle name="Normal 9 45 12" xfId="17826" xr:uid="{00000000-0005-0000-0000-00001C460000}"/>
    <cellStyle name="Normal 9 45 13" xfId="17827" xr:uid="{00000000-0005-0000-0000-00001D460000}"/>
    <cellStyle name="Normal 9 45 14" xfId="17828" xr:uid="{00000000-0005-0000-0000-00001E460000}"/>
    <cellStyle name="Normal 9 45 15" xfId="17829" xr:uid="{00000000-0005-0000-0000-00001F460000}"/>
    <cellStyle name="Normal 9 45 16" xfId="17830" xr:uid="{00000000-0005-0000-0000-000020460000}"/>
    <cellStyle name="Normal 9 45 17" xfId="17831" xr:uid="{00000000-0005-0000-0000-000021460000}"/>
    <cellStyle name="Normal 9 45 2" xfId="17832" xr:uid="{00000000-0005-0000-0000-000022460000}"/>
    <cellStyle name="Normal 9 45 3" xfId="17833" xr:uid="{00000000-0005-0000-0000-000023460000}"/>
    <cellStyle name="Normal 9 45 4" xfId="17834" xr:uid="{00000000-0005-0000-0000-000024460000}"/>
    <cellStyle name="Normal 9 45 5" xfId="17835" xr:uid="{00000000-0005-0000-0000-000025460000}"/>
    <cellStyle name="Normal 9 45 6" xfId="17836" xr:uid="{00000000-0005-0000-0000-000026460000}"/>
    <cellStyle name="Normal 9 45 7" xfId="17837" xr:uid="{00000000-0005-0000-0000-000027460000}"/>
    <cellStyle name="Normal 9 45 8" xfId="17838" xr:uid="{00000000-0005-0000-0000-000028460000}"/>
    <cellStyle name="Normal 9 45 9" xfId="17839" xr:uid="{00000000-0005-0000-0000-000029460000}"/>
    <cellStyle name="Normal 9 46" xfId="17840" xr:uid="{00000000-0005-0000-0000-00002A460000}"/>
    <cellStyle name="Normal 9 46 10" xfId="17841" xr:uid="{00000000-0005-0000-0000-00002B460000}"/>
    <cellStyle name="Normal 9 46 11" xfId="17842" xr:uid="{00000000-0005-0000-0000-00002C460000}"/>
    <cellStyle name="Normal 9 46 12" xfId="17843" xr:uid="{00000000-0005-0000-0000-00002D460000}"/>
    <cellStyle name="Normal 9 46 13" xfId="17844" xr:uid="{00000000-0005-0000-0000-00002E460000}"/>
    <cellStyle name="Normal 9 46 14" xfId="17845" xr:uid="{00000000-0005-0000-0000-00002F460000}"/>
    <cellStyle name="Normal 9 46 15" xfId="17846" xr:uid="{00000000-0005-0000-0000-000030460000}"/>
    <cellStyle name="Normal 9 46 16" xfId="17847" xr:uid="{00000000-0005-0000-0000-000031460000}"/>
    <cellStyle name="Normal 9 46 17" xfId="17848" xr:uid="{00000000-0005-0000-0000-000032460000}"/>
    <cellStyle name="Normal 9 46 2" xfId="17849" xr:uid="{00000000-0005-0000-0000-000033460000}"/>
    <cellStyle name="Normal 9 46 3" xfId="17850" xr:uid="{00000000-0005-0000-0000-000034460000}"/>
    <cellStyle name="Normal 9 46 4" xfId="17851" xr:uid="{00000000-0005-0000-0000-000035460000}"/>
    <cellStyle name="Normal 9 46 5" xfId="17852" xr:uid="{00000000-0005-0000-0000-000036460000}"/>
    <cellStyle name="Normal 9 46 6" xfId="17853" xr:uid="{00000000-0005-0000-0000-000037460000}"/>
    <cellStyle name="Normal 9 46 7" xfId="17854" xr:uid="{00000000-0005-0000-0000-000038460000}"/>
    <cellStyle name="Normal 9 46 8" xfId="17855" xr:uid="{00000000-0005-0000-0000-000039460000}"/>
    <cellStyle name="Normal 9 46 9" xfId="17856" xr:uid="{00000000-0005-0000-0000-00003A460000}"/>
    <cellStyle name="Normal 9 47" xfId="17857" xr:uid="{00000000-0005-0000-0000-00003B460000}"/>
    <cellStyle name="Normal 9 47 10" xfId="17858" xr:uid="{00000000-0005-0000-0000-00003C460000}"/>
    <cellStyle name="Normal 9 47 11" xfId="17859" xr:uid="{00000000-0005-0000-0000-00003D460000}"/>
    <cellStyle name="Normal 9 47 12" xfId="17860" xr:uid="{00000000-0005-0000-0000-00003E460000}"/>
    <cellStyle name="Normal 9 47 13" xfId="17861" xr:uid="{00000000-0005-0000-0000-00003F460000}"/>
    <cellStyle name="Normal 9 47 14" xfId="17862" xr:uid="{00000000-0005-0000-0000-000040460000}"/>
    <cellStyle name="Normal 9 47 15" xfId="17863" xr:uid="{00000000-0005-0000-0000-000041460000}"/>
    <cellStyle name="Normal 9 47 16" xfId="17864" xr:uid="{00000000-0005-0000-0000-000042460000}"/>
    <cellStyle name="Normal 9 47 17" xfId="17865" xr:uid="{00000000-0005-0000-0000-000043460000}"/>
    <cellStyle name="Normal 9 47 2" xfId="17866" xr:uid="{00000000-0005-0000-0000-000044460000}"/>
    <cellStyle name="Normal 9 47 3" xfId="17867" xr:uid="{00000000-0005-0000-0000-000045460000}"/>
    <cellStyle name="Normal 9 47 4" xfId="17868" xr:uid="{00000000-0005-0000-0000-000046460000}"/>
    <cellStyle name="Normal 9 47 5" xfId="17869" xr:uid="{00000000-0005-0000-0000-000047460000}"/>
    <cellStyle name="Normal 9 47 6" xfId="17870" xr:uid="{00000000-0005-0000-0000-000048460000}"/>
    <cellStyle name="Normal 9 47 7" xfId="17871" xr:uid="{00000000-0005-0000-0000-000049460000}"/>
    <cellStyle name="Normal 9 47 8" xfId="17872" xr:uid="{00000000-0005-0000-0000-00004A460000}"/>
    <cellStyle name="Normal 9 47 9" xfId="17873" xr:uid="{00000000-0005-0000-0000-00004B460000}"/>
    <cellStyle name="Normal 9 48" xfId="17874" xr:uid="{00000000-0005-0000-0000-00004C460000}"/>
    <cellStyle name="Normal 9 48 10" xfId="17875" xr:uid="{00000000-0005-0000-0000-00004D460000}"/>
    <cellStyle name="Normal 9 48 11" xfId="17876" xr:uid="{00000000-0005-0000-0000-00004E460000}"/>
    <cellStyle name="Normal 9 48 12" xfId="17877" xr:uid="{00000000-0005-0000-0000-00004F460000}"/>
    <cellStyle name="Normal 9 48 13" xfId="17878" xr:uid="{00000000-0005-0000-0000-000050460000}"/>
    <cellStyle name="Normal 9 48 14" xfId="17879" xr:uid="{00000000-0005-0000-0000-000051460000}"/>
    <cellStyle name="Normal 9 48 15" xfId="17880" xr:uid="{00000000-0005-0000-0000-000052460000}"/>
    <cellStyle name="Normal 9 48 16" xfId="17881" xr:uid="{00000000-0005-0000-0000-000053460000}"/>
    <cellStyle name="Normal 9 48 17" xfId="17882" xr:uid="{00000000-0005-0000-0000-000054460000}"/>
    <cellStyle name="Normal 9 48 2" xfId="17883" xr:uid="{00000000-0005-0000-0000-000055460000}"/>
    <cellStyle name="Normal 9 48 3" xfId="17884" xr:uid="{00000000-0005-0000-0000-000056460000}"/>
    <cellStyle name="Normal 9 48 4" xfId="17885" xr:uid="{00000000-0005-0000-0000-000057460000}"/>
    <cellStyle name="Normal 9 48 5" xfId="17886" xr:uid="{00000000-0005-0000-0000-000058460000}"/>
    <cellStyle name="Normal 9 48 6" xfId="17887" xr:uid="{00000000-0005-0000-0000-000059460000}"/>
    <cellStyle name="Normal 9 48 7" xfId="17888" xr:uid="{00000000-0005-0000-0000-00005A460000}"/>
    <cellStyle name="Normal 9 48 8" xfId="17889" xr:uid="{00000000-0005-0000-0000-00005B460000}"/>
    <cellStyle name="Normal 9 48 9" xfId="17890" xr:uid="{00000000-0005-0000-0000-00005C460000}"/>
    <cellStyle name="Normal 9 49" xfId="17891" xr:uid="{00000000-0005-0000-0000-00005D460000}"/>
    <cellStyle name="Normal 9 49 10" xfId="17892" xr:uid="{00000000-0005-0000-0000-00005E460000}"/>
    <cellStyle name="Normal 9 49 11" xfId="17893" xr:uid="{00000000-0005-0000-0000-00005F460000}"/>
    <cellStyle name="Normal 9 49 12" xfId="17894" xr:uid="{00000000-0005-0000-0000-000060460000}"/>
    <cellStyle name="Normal 9 49 13" xfId="17895" xr:uid="{00000000-0005-0000-0000-000061460000}"/>
    <cellStyle name="Normal 9 49 14" xfId="17896" xr:uid="{00000000-0005-0000-0000-000062460000}"/>
    <cellStyle name="Normal 9 49 15" xfId="17897" xr:uid="{00000000-0005-0000-0000-000063460000}"/>
    <cellStyle name="Normal 9 49 16" xfId="17898" xr:uid="{00000000-0005-0000-0000-000064460000}"/>
    <cellStyle name="Normal 9 49 17" xfId="17899" xr:uid="{00000000-0005-0000-0000-000065460000}"/>
    <cellStyle name="Normal 9 49 2" xfId="17900" xr:uid="{00000000-0005-0000-0000-000066460000}"/>
    <cellStyle name="Normal 9 49 3" xfId="17901" xr:uid="{00000000-0005-0000-0000-000067460000}"/>
    <cellStyle name="Normal 9 49 4" xfId="17902" xr:uid="{00000000-0005-0000-0000-000068460000}"/>
    <cellStyle name="Normal 9 49 5" xfId="17903" xr:uid="{00000000-0005-0000-0000-000069460000}"/>
    <cellStyle name="Normal 9 49 6" xfId="17904" xr:uid="{00000000-0005-0000-0000-00006A460000}"/>
    <cellStyle name="Normal 9 49 7" xfId="17905" xr:uid="{00000000-0005-0000-0000-00006B460000}"/>
    <cellStyle name="Normal 9 49 8" xfId="17906" xr:uid="{00000000-0005-0000-0000-00006C460000}"/>
    <cellStyle name="Normal 9 49 9" xfId="17907" xr:uid="{00000000-0005-0000-0000-00006D460000}"/>
    <cellStyle name="Normal 9 5" xfId="17908" xr:uid="{00000000-0005-0000-0000-00006E460000}"/>
    <cellStyle name="Normal 9 5 10" xfId="17909" xr:uid="{00000000-0005-0000-0000-00006F460000}"/>
    <cellStyle name="Normal 9 5 11" xfId="17910" xr:uid="{00000000-0005-0000-0000-000070460000}"/>
    <cellStyle name="Normal 9 5 12" xfId="17911" xr:uid="{00000000-0005-0000-0000-000071460000}"/>
    <cellStyle name="Normal 9 5 13" xfId="17912" xr:uid="{00000000-0005-0000-0000-000072460000}"/>
    <cellStyle name="Normal 9 5 14" xfId="17913" xr:uid="{00000000-0005-0000-0000-000073460000}"/>
    <cellStyle name="Normal 9 5 15" xfId="17914" xr:uid="{00000000-0005-0000-0000-000074460000}"/>
    <cellStyle name="Normal 9 5 16" xfId="17915" xr:uid="{00000000-0005-0000-0000-000075460000}"/>
    <cellStyle name="Normal 9 5 17" xfId="17916" xr:uid="{00000000-0005-0000-0000-000076460000}"/>
    <cellStyle name="Normal 9 5 2" xfId="17917" xr:uid="{00000000-0005-0000-0000-000077460000}"/>
    <cellStyle name="Normal 9 5 3" xfId="17918" xr:uid="{00000000-0005-0000-0000-000078460000}"/>
    <cellStyle name="Normal 9 5 4" xfId="17919" xr:uid="{00000000-0005-0000-0000-000079460000}"/>
    <cellStyle name="Normal 9 5 5" xfId="17920" xr:uid="{00000000-0005-0000-0000-00007A460000}"/>
    <cellStyle name="Normal 9 5 6" xfId="17921" xr:uid="{00000000-0005-0000-0000-00007B460000}"/>
    <cellStyle name="Normal 9 5 7" xfId="17922" xr:uid="{00000000-0005-0000-0000-00007C460000}"/>
    <cellStyle name="Normal 9 5 8" xfId="17923" xr:uid="{00000000-0005-0000-0000-00007D460000}"/>
    <cellStyle name="Normal 9 5 9" xfId="17924" xr:uid="{00000000-0005-0000-0000-00007E460000}"/>
    <cellStyle name="Normal 9 50" xfId="17925" xr:uid="{00000000-0005-0000-0000-00007F460000}"/>
    <cellStyle name="Normal 9 50 10" xfId="17926" xr:uid="{00000000-0005-0000-0000-000080460000}"/>
    <cellStyle name="Normal 9 50 11" xfId="17927" xr:uid="{00000000-0005-0000-0000-000081460000}"/>
    <cellStyle name="Normal 9 50 12" xfId="17928" xr:uid="{00000000-0005-0000-0000-000082460000}"/>
    <cellStyle name="Normal 9 50 13" xfId="17929" xr:uid="{00000000-0005-0000-0000-000083460000}"/>
    <cellStyle name="Normal 9 50 14" xfId="17930" xr:uid="{00000000-0005-0000-0000-000084460000}"/>
    <cellStyle name="Normal 9 50 15" xfId="17931" xr:uid="{00000000-0005-0000-0000-000085460000}"/>
    <cellStyle name="Normal 9 50 16" xfId="17932" xr:uid="{00000000-0005-0000-0000-000086460000}"/>
    <cellStyle name="Normal 9 50 17" xfId="17933" xr:uid="{00000000-0005-0000-0000-000087460000}"/>
    <cellStyle name="Normal 9 50 2" xfId="17934" xr:uid="{00000000-0005-0000-0000-000088460000}"/>
    <cellStyle name="Normal 9 50 3" xfId="17935" xr:uid="{00000000-0005-0000-0000-000089460000}"/>
    <cellStyle name="Normal 9 50 4" xfId="17936" xr:uid="{00000000-0005-0000-0000-00008A460000}"/>
    <cellStyle name="Normal 9 50 5" xfId="17937" xr:uid="{00000000-0005-0000-0000-00008B460000}"/>
    <cellStyle name="Normal 9 50 6" xfId="17938" xr:uid="{00000000-0005-0000-0000-00008C460000}"/>
    <cellStyle name="Normal 9 50 7" xfId="17939" xr:uid="{00000000-0005-0000-0000-00008D460000}"/>
    <cellStyle name="Normal 9 50 8" xfId="17940" xr:uid="{00000000-0005-0000-0000-00008E460000}"/>
    <cellStyle name="Normal 9 50 9" xfId="17941" xr:uid="{00000000-0005-0000-0000-00008F460000}"/>
    <cellStyle name="Normal 9 51" xfId="17942" xr:uid="{00000000-0005-0000-0000-000090460000}"/>
    <cellStyle name="Normal 9 52" xfId="17943" xr:uid="{00000000-0005-0000-0000-000091460000}"/>
    <cellStyle name="Normal 9 53" xfId="17944" xr:uid="{00000000-0005-0000-0000-000092460000}"/>
    <cellStyle name="Normal 9 54" xfId="17945" xr:uid="{00000000-0005-0000-0000-000093460000}"/>
    <cellStyle name="Normal 9 55" xfId="17946" xr:uid="{00000000-0005-0000-0000-000094460000}"/>
    <cellStyle name="Normal 9 56" xfId="17947" xr:uid="{00000000-0005-0000-0000-000095460000}"/>
    <cellStyle name="Normal 9 57" xfId="17948" xr:uid="{00000000-0005-0000-0000-000096460000}"/>
    <cellStyle name="Normal 9 58" xfId="17949" xr:uid="{00000000-0005-0000-0000-000097460000}"/>
    <cellStyle name="Normal 9 59" xfId="17950" xr:uid="{00000000-0005-0000-0000-000098460000}"/>
    <cellStyle name="Normal 9 6" xfId="17951" xr:uid="{00000000-0005-0000-0000-000099460000}"/>
    <cellStyle name="Normal 9 6 10" xfId="17952" xr:uid="{00000000-0005-0000-0000-00009A460000}"/>
    <cellStyle name="Normal 9 6 11" xfId="17953" xr:uid="{00000000-0005-0000-0000-00009B460000}"/>
    <cellStyle name="Normal 9 6 12" xfId="17954" xr:uid="{00000000-0005-0000-0000-00009C460000}"/>
    <cellStyle name="Normal 9 6 13" xfId="17955" xr:uid="{00000000-0005-0000-0000-00009D460000}"/>
    <cellStyle name="Normal 9 6 14" xfId="17956" xr:uid="{00000000-0005-0000-0000-00009E460000}"/>
    <cellStyle name="Normal 9 6 15" xfId="17957" xr:uid="{00000000-0005-0000-0000-00009F460000}"/>
    <cellStyle name="Normal 9 6 16" xfId="17958" xr:uid="{00000000-0005-0000-0000-0000A0460000}"/>
    <cellStyle name="Normal 9 6 17" xfId="17959" xr:uid="{00000000-0005-0000-0000-0000A1460000}"/>
    <cellStyle name="Normal 9 6 2" xfId="17960" xr:uid="{00000000-0005-0000-0000-0000A2460000}"/>
    <cellStyle name="Normal 9 6 3" xfId="17961" xr:uid="{00000000-0005-0000-0000-0000A3460000}"/>
    <cellStyle name="Normal 9 6 4" xfId="17962" xr:uid="{00000000-0005-0000-0000-0000A4460000}"/>
    <cellStyle name="Normal 9 6 5" xfId="17963" xr:uid="{00000000-0005-0000-0000-0000A5460000}"/>
    <cellStyle name="Normal 9 6 6" xfId="17964" xr:uid="{00000000-0005-0000-0000-0000A6460000}"/>
    <cellStyle name="Normal 9 6 7" xfId="17965" xr:uid="{00000000-0005-0000-0000-0000A7460000}"/>
    <cellStyle name="Normal 9 6 8" xfId="17966" xr:uid="{00000000-0005-0000-0000-0000A8460000}"/>
    <cellStyle name="Normal 9 6 9" xfId="17967" xr:uid="{00000000-0005-0000-0000-0000A9460000}"/>
    <cellStyle name="Normal 9 60" xfId="17968" xr:uid="{00000000-0005-0000-0000-0000AA460000}"/>
    <cellStyle name="Normal 9 61" xfId="17969" xr:uid="{00000000-0005-0000-0000-0000AB460000}"/>
    <cellStyle name="Normal 9 62" xfId="17970" xr:uid="{00000000-0005-0000-0000-0000AC460000}"/>
    <cellStyle name="Normal 9 63" xfId="17971" xr:uid="{00000000-0005-0000-0000-0000AD460000}"/>
    <cellStyle name="Normal 9 64" xfId="17972" xr:uid="{00000000-0005-0000-0000-0000AE460000}"/>
    <cellStyle name="Normal 9 65" xfId="17973" xr:uid="{00000000-0005-0000-0000-0000AF460000}"/>
    <cellStyle name="Normal 9 66" xfId="17974" xr:uid="{00000000-0005-0000-0000-0000B0460000}"/>
    <cellStyle name="Normal 9 67" xfId="17975" xr:uid="{00000000-0005-0000-0000-0000B1460000}"/>
    <cellStyle name="Normal 9 68" xfId="17976" xr:uid="{00000000-0005-0000-0000-0000B2460000}"/>
    <cellStyle name="Normal 9 69" xfId="17977" xr:uid="{00000000-0005-0000-0000-0000B3460000}"/>
    <cellStyle name="Normal 9 7" xfId="17978" xr:uid="{00000000-0005-0000-0000-0000B4460000}"/>
    <cellStyle name="Normal 9 7 10" xfId="17979" xr:uid="{00000000-0005-0000-0000-0000B5460000}"/>
    <cellStyle name="Normal 9 7 11" xfId="17980" xr:uid="{00000000-0005-0000-0000-0000B6460000}"/>
    <cellStyle name="Normal 9 7 12" xfId="17981" xr:uid="{00000000-0005-0000-0000-0000B7460000}"/>
    <cellStyle name="Normal 9 7 13" xfId="17982" xr:uid="{00000000-0005-0000-0000-0000B8460000}"/>
    <cellStyle name="Normal 9 7 14" xfId="17983" xr:uid="{00000000-0005-0000-0000-0000B9460000}"/>
    <cellStyle name="Normal 9 7 15" xfId="17984" xr:uid="{00000000-0005-0000-0000-0000BA460000}"/>
    <cellStyle name="Normal 9 7 16" xfId="17985" xr:uid="{00000000-0005-0000-0000-0000BB460000}"/>
    <cellStyle name="Normal 9 7 17" xfId="17986" xr:uid="{00000000-0005-0000-0000-0000BC460000}"/>
    <cellStyle name="Normal 9 7 2" xfId="17987" xr:uid="{00000000-0005-0000-0000-0000BD460000}"/>
    <cellStyle name="Normal 9 7 3" xfId="17988" xr:uid="{00000000-0005-0000-0000-0000BE460000}"/>
    <cellStyle name="Normal 9 7 4" xfId="17989" xr:uid="{00000000-0005-0000-0000-0000BF460000}"/>
    <cellStyle name="Normal 9 7 5" xfId="17990" xr:uid="{00000000-0005-0000-0000-0000C0460000}"/>
    <cellStyle name="Normal 9 7 6" xfId="17991" xr:uid="{00000000-0005-0000-0000-0000C1460000}"/>
    <cellStyle name="Normal 9 7 7" xfId="17992" xr:uid="{00000000-0005-0000-0000-0000C2460000}"/>
    <cellStyle name="Normal 9 7 8" xfId="17993" xr:uid="{00000000-0005-0000-0000-0000C3460000}"/>
    <cellStyle name="Normal 9 7 9" xfId="17994" xr:uid="{00000000-0005-0000-0000-0000C4460000}"/>
    <cellStyle name="Normal 9 70" xfId="17995" xr:uid="{00000000-0005-0000-0000-0000C5460000}"/>
    <cellStyle name="Normal 9 71" xfId="17996" xr:uid="{00000000-0005-0000-0000-0000C6460000}"/>
    <cellStyle name="Normal 9 72" xfId="17997" xr:uid="{00000000-0005-0000-0000-0000C7460000}"/>
    <cellStyle name="Normal 9 73" xfId="17998" xr:uid="{00000000-0005-0000-0000-0000C8460000}"/>
    <cellStyle name="Normal 9 74" xfId="17999" xr:uid="{00000000-0005-0000-0000-0000C9460000}"/>
    <cellStyle name="Normal 9 75" xfId="18000" xr:uid="{00000000-0005-0000-0000-0000CA460000}"/>
    <cellStyle name="Normal 9 76" xfId="18001" xr:uid="{00000000-0005-0000-0000-0000CB460000}"/>
    <cellStyle name="Normal 9 77" xfId="18002" xr:uid="{00000000-0005-0000-0000-0000CC460000}"/>
    <cellStyle name="Normal 9 78" xfId="18003" xr:uid="{00000000-0005-0000-0000-0000CD460000}"/>
    <cellStyle name="Normal 9 79" xfId="18004" xr:uid="{00000000-0005-0000-0000-0000CE460000}"/>
    <cellStyle name="Normal 9 8" xfId="18005" xr:uid="{00000000-0005-0000-0000-0000CF460000}"/>
    <cellStyle name="Normal 9 8 10" xfId="18006" xr:uid="{00000000-0005-0000-0000-0000D0460000}"/>
    <cellStyle name="Normal 9 8 11" xfId="18007" xr:uid="{00000000-0005-0000-0000-0000D1460000}"/>
    <cellStyle name="Normal 9 8 12" xfId="18008" xr:uid="{00000000-0005-0000-0000-0000D2460000}"/>
    <cellStyle name="Normal 9 8 13" xfId="18009" xr:uid="{00000000-0005-0000-0000-0000D3460000}"/>
    <cellStyle name="Normal 9 8 14" xfId="18010" xr:uid="{00000000-0005-0000-0000-0000D4460000}"/>
    <cellStyle name="Normal 9 8 15" xfId="18011" xr:uid="{00000000-0005-0000-0000-0000D5460000}"/>
    <cellStyle name="Normal 9 8 16" xfId="18012" xr:uid="{00000000-0005-0000-0000-0000D6460000}"/>
    <cellStyle name="Normal 9 8 17" xfId="18013" xr:uid="{00000000-0005-0000-0000-0000D7460000}"/>
    <cellStyle name="Normal 9 8 2" xfId="18014" xr:uid="{00000000-0005-0000-0000-0000D8460000}"/>
    <cellStyle name="Normal 9 8 3" xfId="18015" xr:uid="{00000000-0005-0000-0000-0000D9460000}"/>
    <cellStyle name="Normal 9 8 4" xfId="18016" xr:uid="{00000000-0005-0000-0000-0000DA460000}"/>
    <cellStyle name="Normal 9 8 5" xfId="18017" xr:uid="{00000000-0005-0000-0000-0000DB460000}"/>
    <cellStyle name="Normal 9 8 6" xfId="18018" xr:uid="{00000000-0005-0000-0000-0000DC460000}"/>
    <cellStyle name="Normal 9 8 7" xfId="18019" xr:uid="{00000000-0005-0000-0000-0000DD460000}"/>
    <cellStyle name="Normal 9 8 8" xfId="18020" xr:uid="{00000000-0005-0000-0000-0000DE460000}"/>
    <cellStyle name="Normal 9 8 9" xfId="18021" xr:uid="{00000000-0005-0000-0000-0000DF460000}"/>
    <cellStyle name="Normal 9 80" xfId="18022" xr:uid="{00000000-0005-0000-0000-0000E0460000}"/>
    <cellStyle name="Normal 9 81" xfId="18023" xr:uid="{00000000-0005-0000-0000-0000E1460000}"/>
    <cellStyle name="Normal 9 82" xfId="18024" xr:uid="{00000000-0005-0000-0000-0000E2460000}"/>
    <cellStyle name="Normal 9 83" xfId="18025" xr:uid="{00000000-0005-0000-0000-0000E3460000}"/>
    <cellStyle name="Normal 9 84" xfId="18026" xr:uid="{00000000-0005-0000-0000-0000E4460000}"/>
    <cellStyle name="Normal 9 85" xfId="18027" xr:uid="{00000000-0005-0000-0000-0000E5460000}"/>
    <cellStyle name="Normal 9 86" xfId="18028" xr:uid="{00000000-0005-0000-0000-0000E6460000}"/>
    <cellStyle name="Normal 9 87" xfId="18029" xr:uid="{00000000-0005-0000-0000-0000E7460000}"/>
    <cellStyle name="Normal 9 88" xfId="18030" xr:uid="{00000000-0005-0000-0000-0000E8460000}"/>
    <cellStyle name="Normal 9 89" xfId="18031" xr:uid="{00000000-0005-0000-0000-0000E9460000}"/>
    <cellStyle name="Normal 9 9" xfId="18032" xr:uid="{00000000-0005-0000-0000-0000EA460000}"/>
    <cellStyle name="Normal 9 9 10" xfId="18033" xr:uid="{00000000-0005-0000-0000-0000EB460000}"/>
    <cellStyle name="Normal 9 9 11" xfId="18034" xr:uid="{00000000-0005-0000-0000-0000EC460000}"/>
    <cellStyle name="Normal 9 9 12" xfId="18035" xr:uid="{00000000-0005-0000-0000-0000ED460000}"/>
    <cellStyle name="Normal 9 9 13" xfId="18036" xr:uid="{00000000-0005-0000-0000-0000EE460000}"/>
    <cellStyle name="Normal 9 9 14" xfId="18037" xr:uid="{00000000-0005-0000-0000-0000EF460000}"/>
    <cellStyle name="Normal 9 9 15" xfId="18038" xr:uid="{00000000-0005-0000-0000-0000F0460000}"/>
    <cellStyle name="Normal 9 9 16" xfId="18039" xr:uid="{00000000-0005-0000-0000-0000F1460000}"/>
    <cellStyle name="Normal 9 9 17" xfId="18040" xr:uid="{00000000-0005-0000-0000-0000F2460000}"/>
    <cellStyle name="Normal 9 9 2" xfId="18041" xr:uid="{00000000-0005-0000-0000-0000F3460000}"/>
    <cellStyle name="Normal 9 9 3" xfId="18042" xr:uid="{00000000-0005-0000-0000-0000F4460000}"/>
    <cellStyle name="Normal 9 9 4" xfId="18043" xr:uid="{00000000-0005-0000-0000-0000F5460000}"/>
    <cellStyle name="Normal 9 9 5" xfId="18044" xr:uid="{00000000-0005-0000-0000-0000F6460000}"/>
    <cellStyle name="Normal 9 9 6" xfId="18045" xr:uid="{00000000-0005-0000-0000-0000F7460000}"/>
    <cellStyle name="Normal 9 9 7" xfId="18046" xr:uid="{00000000-0005-0000-0000-0000F8460000}"/>
    <cellStyle name="Normal 9 9 8" xfId="18047" xr:uid="{00000000-0005-0000-0000-0000F9460000}"/>
    <cellStyle name="Normal 9 9 9" xfId="18048" xr:uid="{00000000-0005-0000-0000-0000FA460000}"/>
    <cellStyle name="Normal 9 90" xfId="18049" xr:uid="{00000000-0005-0000-0000-0000FB460000}"/>
    <cellStyle name="Normal 9 91" xfId="18050" xr:uid="{00000000-0005-0000-0000-0000FC460000}"/>
    <cellStyle name="Normal 9 92" xfId="18051" xr:uid="{00000000-0005-0000-0000-0000FD460000}"/>
    <cellStyle name="Normal 9 93" xfId="18052" xr:uid="{00000000-0005-0000-0000-0000FE460000}"/>
    <cellStyle name="Normal 9 94" xfId="18053" xr:uid="{00000000-0005-0000-0000-0000FF460000}"/>
    <cellStyle name="Normal 9 95" xfId="18054" xr:uid="{00000000-0005-0000-0000-000000470000}"/>
    <cellStyle name="Normal 9 96" xfId="18055" xr:uid="{00000000-0005-0000-0000-000001470000}"/>
    <cellStyle name="Normal 9 97" xfId="18056" xr:uid="{00000000-0005-0000-0000-000002470000}"/>
    <cellStyle name="Normal 9 98" xfId="18057" xr:uid="{00000000-0005-0000-0000-000003470000}"/>
    <cellStyle name="Normal 9 99" xfId="18058" xr:uid="{00000000-0005-0000-0000-000004470000}"/>
    <cellStyle name="Normal 9_1.3s Accounting C Costs Scots" xfId="18059" xr:uid="{00000000-0005-0000-0000-000005470000}"/>
    <cellStyle name="Normal 90" xfId="48326" xr:uid="{00000000-0005-0000-0000-000006470000}"/>
    <cellStyle name="Normal 91" xfId="48327" xr:uid="{00000000-0005-0000-0000-000007470000}"/>
    <cellStyle name="Normal 92" xfId="48328" xr:uid="{00000000-0005-0000-0000-000008470000}"/>
    <cellStyle name="Normal 93" xfId="48329" xr:uid="{00000000-0005-0000-0000-000009470000}"/>
    <cellStyle name="Normal 94" xfId="48330" xr:uid="{00000000-0005-0000-0000-00000A470000}"/>
    <cellStyle name="Normal 95" xfId="48331" xr:uid="{00000000-0005-0000-0000-00000B470000}"/>
    <cellStyle name="Normal 96" xfId="48332" xr:uid="{00000000-0005-0000-0000-00000C470000}"/>
    <cellStyle name="Normal 97" xfId="48333" xr:uid="{00000000-0005-0000-0000-00000D470000}"/>
    <cellStyle name="Normal 98" xfId="48334" xr:uid="{00000000-0005-0000-0000-00000E470000}"/>
    <cellStyle name="Normal 99" xfId="48335" xr:uid="{00000000-0005-0000-0000-00000F470000}"/>
    <cellStyle name="Normal dotted under" xfId="18060" xr:uid="{00000000-0005-0000-0000-000010470000}"/>
    <cellStyle name="Normal U" xfId="18061" xr:uid="{00000000-0005-0000-0000-000011470000}"/>
    <cellStyle name="Normal_07-08 RRP - Section 5" xfId="1" xr:uid="{00000000-0005-0000-0000-000012470000}"/>
    <cellStyle name="Normál_Cost_Baseline v1.1" xfId="18062" xr:uid="{00000000-0005-0000-0000-000013470000}"/>
    <cellStyle name="Normal_Network Tables 07_08" xfId="2" xr:uid="{00000000-0005-0000-0000-000014470000}"/>
    <cellStyle name="Normal_risk table" xfId="3" xr:uid="{00000000-0005-0000-0000-000015470000}"/>
    <cellStyle name="Normal1" xfId="18063" xr:uid="{00000000-0005-0000-0000-000016470000}"/>
    <cellStyle name="NormalGB" xfId="18064" xr:uid="{00000000-0005-0000-0000-000017470000}"/>
    <cellStyle name="normální_Rozvaha - aktiva" xfId="18065" xr:uid="{00000000-0005-0000-0000-000018470000}"/>
    <cellStyle name="Normalny_0" xfId="18066" xr:uid="{00000000-0005-0000-0000-000019470000}"/>
    <cellStyle name="normбlnм_laroux" xfId="18067" xr:uid="{00000000-0005-0000-0000-00001A470000}"/>
    <cellStyle name="nos13" xfId="18068" xr:uid="{00000000-0005-0000-0000-00001B470000}"/>
    <cellStyle name="Note 2" xfId="18069" xr:uid="{00000000-0005-0000-0000-00001C470000}"/>
    <cellStyle name="Note 2 10" xfId="18070" xr:uid="{00000000-0005-0000-0000-00001D470000}"/>
    <cellStyle name="Note 2 11" xfId="18071" xr:uid="{00000000-0005-0000-0000-00001E470000}"/>
    <cellStyle name="Note 2 12" xfId="18072" xr:uid="{00000000-0005-0000-0000-00001F470000}"/>
    <cellStyle name="Note 2 13" xfId="18073" xr:uid="{00000000-0005-0000-0000-000020470000}"/>
    <cellStyle name="Note 2 14" xfId="18074" xr:uid="{00000000-0005-0000-0000-000021470000}"/>
    <cellStyle name="Note 2 15" xfId="18075" xr:uid="{00000000-0005-0000-0000-000022470000}"/>
    <cellStyle name="Note 2 16" xfId="18076" xr:uid="{00000000-0005-0000-0000-000023470000}"/>
    <cellStyle name="Note 2 17" xfId="18077" xr:uid="{00000000-0005-0000-0000-000024470000}"/>
    <cellStyle name="Note 2 18" xfId="18078" xr:uid="{00000000-0005-0000-0000-000025470000}"/>
    <cellStyle name="Note 2 19" xfId="18079" xr:uid="{00000000-0005-0000-0000-000026470000}"/>
    <cellStyle name="Note 2 2" xfId="18080" xr:uid="{00000000-0005-0000-0000-000027470000}"/>
    <cellStyle name="Note 2 2 2" xfId="18081" xr:uid="{00000000-0005-0000-0000-000028470000}"/>
    <cellStyle name="Note 2 2 2 2" xfId="18082" xr:uid="{00000000-0005-0000-0000-000029470000}"/>
    <cellStyle name="Note 2 2 2 2 2" xfId="18083" xr:uid="{00000000-0005-0000-0000-00002A470000}"/>
    <cellStyle name="Note 2 2 2 2 2 2" xfId="18084" xr:uid="{00000000-0005-0000-0000-00002B470000}"/>
    <cellStyle name="Note 2 2 2 2 2 3" xfId="18085" xr:uid="{00000000-0005-0000-0000-00002C470000}"/>
    <cellStyle name="Note 2 2 2 2 3" xfId="18086" xr:uid="{00000000-0005-0000-0000-00002D470000}"/>
    <cellStyle name="Note 2 2 2 3" xfId="18087" xr:uid="{00000000-0005-0000-0000-00002E470000}"/>
    <cellStyle name="Note 2 2 2 3 2" xfId="18088" xr:uid="{00000000-0005-0000-0000-00002F470000}"/>
    <cellStyle name="Note 2 2 2 4" xfId="18089" xr:uid="{00000000-0005-0000-0000-000030470000}"/>
    <cellStyle name="Note 2 2 2 4 2" xfId="18090" xr:uid="{00000000-0005-0000-0000-000031470000}"/>
    <cellStyle name="Note 2 2 2 5" xfId="18091" xr:uid="{00000000-0005-0000-0000-000032470000}"/>
    <cellStyle name="Note 2 2 3" xfId="18092" xr:uid="{00000000-0005-0000-0000-000033470000}"/>
    <cellStyle name="Note 2 2 3 2" xfId="18093" xr:uid="{00000000-0005-0000-0000-000034470000}"/>
    <cellStyle name="Note 2 2 3 2 2" xfId="18094" xr:uid="{00000000-0005-0000-0000-000035470000}"/>
    <cellStyle name="Note 2 2 3 2 2 2" xfId="18095" xr:uid="{00000000-0005-0000-0000-000036470000}"/>
    <cellStyle name="Note 2 2 3 2 3" xfId="18096" xr:uid="{00000000-0005-0000-0000-000037470000}"/>
    <cellStyle name="Note 2 2 3 3" xfId="18097" xr:uid="{00000000-0005-0000-0000-000038470000}"/>
    <cellStyle name="Note 2 2 4" xfId="18098" xr:uid="{00000000-0005-0000-0000-000039470000}"/>
    <cellStyle name="Note 2 2 4 2" xfId="18099" xr:uid="{00000000-0005-0000-0000-00003A470000}"/>
    <cellStyle name="Note 2 2 5" xfId="18100" xr:uid="{00000000-0005-0000-0000-00003B470000}"/>
    <cellStyle name="Note 2 2 5 2" xfId="18101" xr:uid="{00000000-0005-0000-0000-00003C470000}"/>
    <cellStyle name="Note 2 2 6" xfId="18102" xr:uid="{00000000-0005-0000-0000-00003D470000}"/>
    <cellStyle name="Note 2 2 6 2" xfId="18103" xr:uid="{00000000-0005-0000-0000-00003E470000}"/>
    <cellStyle name="Note 2 2 6 2 2" xfId="18104" xr:uid="{00000000-0005-0000-0000-00003F470000}"/>
    <cellStyle name="Note 2 2 6 3" xfId="18105" xr:uid="{00000000-0005-0000-0000-000040470000}"/>
    <cellStyle name="Note 2 2 7" xfId="18106" xr:uid="{00000000-0005-0000-0000-000041470000}"/>
    <cellStyle name="Note 2 20" xfId="18107" xr:uid="{00000000-0005-0000-0000-000042470000}"/>
    <cellStyle name="Note 2 21" xfId="18108" xr:uid="{00000000-0005-0000-0000-000043470000}"/>
    <cellStyle name="Note 2 22" xfId="18109" xr:uid="{00000000-0005-0000-0000-000044470000}"/>
    <cellStyle name="Note 2 23" xfId="18110" xr:uid="{00000000-0005-0000-0000-000045470000}"/>
    <cellStyle name="Note 2 24" xfId="18111" xr:uid="{00000000-0005-0000-0000-000046470000}"/>
    <cellStyle name="Note 2 25" xfId="18112" xr:uid="{00000000-0005-0000-0000-000047470000}"/>
    <cellStyle name="Note 2 26" xfId="18113" xr:uid="{00000000-0005-0000-0000-000048470000}"/>
    <cellStyle name="Note 2 27" xfId="18114" xr:uid="{00000000-0005-0000-0000-000049470000}"/>
    <cellStyle name="Note 2 28" xfId="18115" xr:uid="{00000000-0005-0000-0000-00004A470000}"/>
    <cellStyle name="Note 2 29" xfId="18116" xr:uid="{00000000-0005-0000-0000-00004B470000}"/>
    <cellStyle name="Note 2 3" xfId="18117" xr:uid="{00000000-0005-0000-0000-00004C470000}"/>
    <cellStyle name="Note 2 3 2" xfId="18118" xr:uid="{00000000-0005-0000-0000-00004D470000}"/>
    <cellStyle name="Note 2 3 3" xfId="18119" xr:uid="{00000000-0005-0000-0000-00004E470000}"/>
    <cellStyle name="Note 2 30" xfId="18120" xr:uid="{00000000-0005-0000-0000-00004F470000}"/>
    <cellStyle name="Note 2 31" xfId="18121" xr:uid="{00000000-0005-0000-0000-000050470000}"/>
    <cellStyle name="Note 2 32" xfId="18122" xr:uid="{00000000-0005-0000-0000-000051470000}"/>
    <cellStyle name="Note 2 33" xfId="18123" xr:uid="{00000000-0005-0000-0000-000052470000}"/>
    <cellStyle name="Note 2 34" xfId="18124" xr:uid="{00000000-0005-0000-0000-000053470000}"/>
    <cellStyle name="Note 2 35" xfId="18125" xr:uid="{00000000-0005-0000-0000-000054470000}"/>
    <cellStyle name="Note 2 36" xfId="18126" xr:uid="{00000000-0005-0000-0000-000055470000}"/>
    <cellStyle name="Note 2 37" xfId="18127" xr:uid="{00000000-0005-0000-0000-000056470000}"/>
    <cellStyle name="Note 2 38" xfId="18128" xr:uid="{00000000-0005-0000-0000-000057470000}"/>
    <cellStyle name="Note 2 39" xfId="18129" xr:uid="{00000000-0005-0000-0000-000058470000}"/>
    <cellStyle name="Note 2 4" xfId="18130" xr:uid="{00000000-0005-0000-0000-000059470000}"/>
    <cellStyle name="Note 2 4 2" xfId="18131" xr:uid="{00000000-0005-0000-0000-00005A470000}"/>
    <cellStyle name="Note 2 4 2 2" xfId="18132" xr:uid="{00000000-0005-0000-0000-00005B470000}"/>
    <cellStyle name="Note 2 4 3" xfId="18133" xr:uid="{00000000-0005-0000-0000-00005C470000}"/>
    <cellStyle name="Note 2 40" xfId="18134" xr:uid="{00000000-0005-0000-0000-00005D470000}"/>
    <cellStyle name="Note 2 41" xfId="18135" xr:uid="{00000000-0005-0000-0000-00005E470000}"/>
    <cellStyle name="Note 2 42" xfId="18136" xr:uid="{00000000-0005-0000-0000-00005F470000}"/>
    <cellStyle name="Note 2 43" xfId="18137" xr:uid="{00000000-0005-0000-0000-000060470000}"/>
    <cellStyle name="Note 2 44" xfId="18138" xr:uid="{00000000-0005-0000-0000-000061470000}"/>
    <cellStyle name="Note 2 45" xfId="18139" xr:uid="{00000000-0005-0000-0000-000062470000}"/>
    <cellStyle name="Note 2 46" xfId="18140" xr:uid="{00000000-0005-0000-0000-000063470000}"/>
    <cellStyle name="Note 2 47" xfId="18141" xr:uid="{00000000-0005-0000-0000-000064470000}"/>
    <cellStyle name="Note 2 48" xfId="18142" xr:uid="{00000000-0005-0000-0000-000065470000}"/>
    <cellStyle name="Note 2 49" xfId="18143" xr:uid="{00000000-0005-0000-0000-000066470000}"/>
    <cellStyle name="Note 2 5" xfId="18144" xr:uid="{00000000-0005-0000-0000-000067470000}"/>
    <cellStyle name="Note 2 5 2" xfId="18145" xr:uid="{00000000-0005-0000-0000-000068470000}"/>
    <cellStyle name="Note 2 5 2 2" xfId="18146" xr:uid="{00000000-0005-0000-0000-000069470000}"/>
    <cellStyle name="Note 2 5 3" xfId="18147" xr:uid="{00000000-0005-0000-0000-00006A470000}"/>
    <cellStyle name="Note 2 50" xfId="18148" xr:uid="{00000000-0005-0000-0000-00006B470000}"/>
    <cellStyle name="Note 2 51" xfId="18149" xr:uid="{00000000-0005-0000-0000-00006C470000}"/>
    <cellStyle name="Note 2 52" xfId="18150" xr:uid="{00000000-0005-0000-0000-00006D470000}"/>
    <cellStyle name="Note 2 53" xfId="18151" xr:uid="{00000000-0005-0000-0000-00006E470000}"/>
    <cellStyle name="Note 2 54" xfId="18152" xr:uid="{00000000-0005-0000-0000-00006F470000}"/>
    <cellStyle name="Note 2 55" xfId="18153" xr:uid="{00000000-0005-0000-0000-000070470000}"/>
    <cellStyle name="Note 2 56" xfId="18154" xr:uid="{00000000-0005-0000-0000-000071470000}"/>
    <cellStyle name="Note 2 57" xfId="18155" xr:uid="{00000000-0005-0000-0000-000072470000}"/>
    <cellStyle name="Note 2 58" xfId="18156" xr:uid="{00000000-0005-0000-0000-000073470000}"/>
    <cellStyle name="Note 2 59" xfId="18157" xr:uid="{00000000-0005-0000-0000-000074470000}"/>
    <cellStyle name="Note 2 6" xfId="18158" xr:uid="{00000000-0005-0000-0000-000075470000}"/>
    <cellStyle name="Note 2 6 2" xfId="18159" xr:uid="{00000000-0005-0000-0000-000076470000}"/>
    <cellStyle name="Note 2 60" xfId="18160" xr:uid="{00000000-0005-0000-0000-000077470000}"/>
    <cellStyle name="Note 2 61" xfId="18161" xr:uid="{00000000-0005-0000-0000-000078470000}"/>
    <cellStyle name="Note 2 62" xfId="18162" xr:uid="{00000000-0005-0000-0000-000079470000}"/>
    <cellStyle name="Note 2 63" xfId="18163" xr:uid="{00000000-0005-0000-0000-00007A470000}"/>
    <cellStyle name="Note 2 64" xfId="18164" xr:uid="{00000000-0005-0000-0000-00007B470000}"/>
    <cellStyle name="Note 2 65" xfId="18165" xr:uid="{00000000-0005-0000-0000-00007C470000}"/>
    <cellStyle name="Note 2 66" xfId="18166" xr:uid="{00000000-0005-0000-0000-00007D470000}"/>
    <cellStyle name="Note 2 67" xfId="18167" xr:uid="{00000000-0005-0000-0000-00007E470000}"/>
    <cellStyle name="Note 2 68" xfId="18168" xr:uid="{00000000-0005-0000-0000-00007F470000}"/>
    <cellStyle name="Note 2 69" xfId="18169" xr:uid="{00000000-0005-0000-0000-000080470000}"/>
    <cellStyle name="Note 2 7" xfId="18170" xr:uid="{00000000-0005-0000-0000-000081470000}"/>
    <cellStyle name="Note 2 7 2" xfId="18171" xr:uid="{00000000-0005-0000-0000-000082470000}"/>
    <cellStyle name="Note 2 70" xfId="18172" xr:uid="{00000000-0005-0000-0000-000083470000}"/>
    <cellStyle name="Note 2 71" xfId="18173" xr:uid="{00000000-0005-0000-0000-000084470000}"/>
    <cellStyle name="Note 2 72" xfId="18174" xr:uid="{00000000-0005-0000-0000-000085470000}"/>
    <cellStyle name="Note 2 73" xfId="18175" xr:uid="{00000000-0005-0000-0000-000086470000}"/>
    <cellStyle name="Note 2 74" xfId="18176" xr:uid="{00000000-0005-0000-0000-000087470000}"/>
    <cellStyle name="Note 2 75" xfId="18177" xr:uid="{00000000-0005-0000-0000-000088470000}"/>
    <cellStyle name="Note 2 76" xfId="18178" xr:uid="{00000000-0005-0000-0000-000089470000}"/>
    <cellStyle name="Note 2 77" xfId="18179" xr:uid="{00000000-0005-0000-0000-00008A470000}"/>
    <cellStyle name="Note 2 78" xfId="18180" xr:uid="{00000000-0005-0000-0000-00008B470000}"/>
    <cellStyle name="Note 2 79" xfId="18181" xr:uid="{00000000-0005-0000-0000-00008C470000}"/>
    <cellStyle name="Note 2 8" xfId="18182" xr:uid="{00000000-0005-0000-0000-00008D470000}"/>
    <cellStyle name="Note 2 8 2" xfId="18183" xr:uid="{00000000-0005-0000-0000-00008E470000}"/>
    <cellStyle name="Note 2 80" xfId="18184" xr:uid="{00000000-0005-0000-0000-00008F470000}"/>
    <cellStyle name="Note 2 81" xfId="18185" xr:uid="{00000000-0005-0000-0000-000090470000}"/>
    <cellStyle name="Note 2 82" xfId="18186" xr:uid="{00000000-0005-0000-0000-000091470000}"/>
    <cellStyle name="Note 2 83" xfId="18187" xr:uid="{00000000-0005-0000-0000-000092470000}"/>
    <cellStyle name="Note 2 84" xfId="18188" xr:uid="{00000000-0005-0000-0000-000093470000}"/>
    <cellStyle name="Note 2 85" xfId="18189" xr:uid="{00000000-0005-0000-0000-000094470000}"/>
    <cellStyle name="Note 2 86" xfId="18190" xr:uid="{00000000-0005-0000-0000-000095470000}"/>
    <cellStyle name="Note 2 87" xfId="18191" xr:uid="{00000000-0005-0000-0000-000096470000}"/>
    <cellStyle name="Note 2 88" xfId="18192" xr:uid="{00000000-0005-0000-0000-000097470000}"/>
    <cellStyle name="Note 2 89" xfId="18193" xr:uid="{00000000-0005-0000-0000-000098470000}"/>
    <cellStyle name="Note 2 9" xfId="18194" xr:uid="{00000000-0005-0000-0000-000099470000}"/>
    <cellStyle name="Note 2 9 2" xfId="18195" xr:uid="{00000000-0005-0000-0000-00009A470000}"/>
    <cellStyle name="Note 2 90" xfId="18196" xr:uid="{00000000-0005-0000-0000-00009B470000}"/>
    <cellStyle name="Note 2 91" xfId="18197" xr:uid="{00000000-0005-0000-0000-00009C470000}"/>
    <cellStyle name="Note 2 92" xfId="18198" xr:uid="{00000000-0005-0000-0000-00009D470000}"/>
    <cellStyle name="Note 2 93" xfId="18199" xr:uid="{00000000-0005-0000-0000-00009E470000}"/>
    <cellStyle name="Note 2 94" xfId="18200" xr:uid="{00000000-0005-0000-0000-00009F470000}"/>
    <cellStyle name="Note 3" xfId="18201" xr:uid="{00000000-0005-0000-0000-0000A0470000}"/>
    <cellStyle name="Note 3 2" xfId="18202" xr:uid="{00000000-0005-0000-0000-0000A1470000}"/>
    <cellStyle name="Note 3 2 2" xfId="18203" xr:uid="{00000000-0005-0000-0000-0000A2470000}"/>
    <cellStyle name="Note 3 3" xfId="18204" xr:uid="{00000000-0005-0000-0000-0000A3470000}"/>
    <cellStyle name="Note 3 3 2" xfId="18205" xr:uid="{00000000-0005-0000-0000-0000A4470000}"/>
    <cellStyle name="Note 3 4" xfId="18206" xr:uid="{00000000-0005-0000-0000-0000A5470000}"/>
    <cellStyle name="Note 4" xfId="18207" xr:uid="{00000000-0005-0000-0000-0000A6470000}"/>
    <cellStyle name="Note 4 2" xfId="18208" xr:uid="{00000000-0005-0000-0000-0000A7470000}"/>
    <cellStyle name="Note 5" xfId="18209" xr:uid="{00000000-0005-0000-0000-0000A8470000}"/>
    <cellStyle name="Note 5 2" xfId="18210" xr:uid="{00000000-0005-0000-0000-0000A9470000}"/>
    <cellStyle name="Note 6" xfId="18211" xr:uid="{00000000-0005-0000-0000-0000AA470000}"/>
    <cellStyle name="Note 6 2" xfId="18212" xr:uid="{00000000-0005-0000-0000-0000AB470000}"/>
    <cellStyle name="Note 7" xfId="18213" xr:uid="{00000000-0005-0000-0000-0000AC470000}"/>
    <cellStyle name="Note 7 2" xfId="18214" xr:uid="{00000000-0005-0000-0000-0000AD470000}"/>
    <cellStyle name="Notes_multi" xfId="18215" xr:uid="{00000000-0005-0000-0000-0000AE470000}"/>
    <cellStyle name="Number" xfId="18216" xr:uid="{00000000-0005-0000-0000-0000AF470000}"/>
    <cellStyle name="NumberFormat" xfId="18217" xr:uid="{00000000-0005-0000-0000-0000B0470000}"/>
    <cellStyle name="nXt - Calc 1" xfId="18218" xr:uid="{00000000-0005-0000-0000-0000B1470000}"/>
    <cellStyle name="nXt - Calc 10" xfId="18219" xr:uid="{00000000-0005-0000-0000-0000B2470000}"/>
    <cellStyle name="nXt - Calc 2" xfId="18220" xr:uid="{00000000-0005-0000-0000-0000B3470000}"/>
    <cellStyle name="nXt - Calc 3" xfId="18221" xr:uid="{00000000-0005-0000-0000-0000B4470000}"/>
    <cellStyle name="nXt - Calc 4" xfId="18222" xr:uid="{00000000-0005-0000-0000-0000B5470000}"/>
    <cellStyle name="nXt - Calc 5" xfId="18223" xr:uid="{00000000-0005-0000-0000-0000B6470000}"/>
    <cellStyle name="nXt - Calc 6" xfId="18224" xr:uid="{00000000-0005-0000-0000-0000B7470000}"/>
    <cellStyle name="nXt - Calc 7" xfId="18225" xr:uid="{00000000-0005-0000-0000-0000B8470000}"/>
    <cellStyle name="nXt - Calc 8" xfId="18226" xr:uid="{00000000-0005-0000-0000-0000B9470000}"/>
    <cellStyle name="nXt - Calc 9" xfId="18227" xr:uid="{00000000-0005-0000-0000-0000BA470000}"/>
    <cellStyle name="nXt - Input 1" xfId="18228" xr:uid="{00000000-0005-0000-0000-0000BB470000}"/>
    <cellStyle name="nXt - Input 2" xfId="18229" xr:uid="{00000000-0005-0000-0000-0000BC470000}"/>
    <cellStyle name="nXt - Named Range" xfId="18230" xr:uid="{00000000-0005-0000-0000-0000BD470000}"/>
    <cellStyle name="nXt - Named Rng Lbl" xfId="18231" xr:uid="{00000000-0005-0000-0000-0000BE470000}"/>
    <cellStyle name="nXt - Title 1" xfId="18232" xr:uid="{00000000-0005-0000-0000-0000BF470000}"/>
    <cellStyle name="nXt - Title 2" xfId="18233" xr:uid="{00000000-0005-0000-0000-0000C0470000}"/>
    <cellStyle name="nXt - Title 3" xfId="18234" xr:uid="{00000000-0005-0000-0000-0000C1470000}"/>
    <cellStyle name="nXt - Title 4" xfId="18235" xr:uid="{00000000-0005-0000-0000-0000C2470000}"/>
    <cellStyle name="O Formula" xfId="48214" xr:uid="{00000000-0005-0000-0000-0000C3470000}"/>
    <cellStyle name="O Input" xfId="48215" xr:uid="{00000000-0005-0000-0000-0000C4470000}"/>
    <cellStyle name="O Licence" xfId="48216" xr:uid="{00000000-0005-0000-0000-0000C5470000}"/>
    <cellStyle name="O No Data" xfId="48217" xr:uid="{00000000-0005-0000-0000-0000C6470000}"/>
    <cellStyle name="Œ…‹æØ‚è [0.00]_Area" xfId="18236" xr:uid="{00000000-0005-0000-0000-0000C7470000}"/>
    <cellStyle name="Œ…‹æØ‚è_Area" xfId="18237" xr:uid="{00000000-0005-0000-0000-0000C8470000}"/>
    <cellStyle name="Œ…‹æǘ‚è_Area" xfId="18238" xr:uid="{00000000-0005-0000-0000-0000C9470000}"/>
    <cellStyle name="OHnplode" xfId="18239" xr:uid="{00000000-0005-0000-0000-0000CA470000}"/>
    <cellStyle name="OLELink" xfId="18240" xr:uid="{00000000-0005-0000-0000-0000CB470000}"/>
    <cellStyle name="OperisBase" xfId="18241" xr:uid="{00000000-0005-0000-0000-0000CC470000}"/>
    <cellStyle name="OptionPricerGreyed" xfId="18242" xr:uid="{00000000-0005-0000-0000-0000CD470000}"/>
    <cellStyle name="OptionPricerVisible" xfId="18243" xr:uid="{00000000-0005-0000-0000-0000CE470000}"/>
    <cellStyle name="orange text cell" xfId="18244" xr:uid="{00000000-0005-0000-0000-0000CF470000}"/>
    <cellStyle name="Output 2" xfId="18245" xr:uid="{00000000-0005-0000-0000-0000D0470000}"/>
    <cellStyle name="Output 2 10" xfId="18246" xr:uid="{00000000-0005-0000-0000-0000D1470000}"/>
    <cellStyle name="Output 2 11" xfId="18247" xr:uid="{00000000-0005-0000-0000-0000D2470000}"/>
    <cellStyle name="Output 2 12" xfId="18248" xr:uid="{00000000-0005-0000-0000-0000D3470000}"/>
    <cellStyle name="Output 2 13" xfId="18249" xr:uid="{00000000-0005-0000-0000-0000D4470000}"/>
    <cellStyle name="Output 2 14" xfId="18250" xr:uid="{00000000-0005-0000-0000-0000D5470000}"/>
    <cellStyle name="Output 2 15" xfId="18251" xr:uid="{00000000-0005-0000-0000-0000D6470000}"/>
    <cellStyle name="Output 2 16" xfId="18252" xr:uid="{00000000-0005-0000-0000-0000D7470000}"/>
    <cellStyle name="Output 2 17" xfId="18253" xr:uid="{00000000-0005-0000-0000-0000D8470000}"/>
    <cellStyle name="Output 2 18" xfId="18254" xr:uid="{00000000-0005-0000-0000-0000D9470000}"/>
    <cellStyle name="Output 2 19" xfId="18255" xr:uid="{00000000-0005-0000-0000-0000DA470000}"/>
    <cellStyle name="Output 2 2" xfId="18256" xr:uid="{00000000-0005-0000-0000-0000DB470000}"/>
    <cellStyle name="Output 2 2 2" xfId="18257" xr:uid="{00000000-0005-0000-0000-0000DC470000}"/>
    <cellStyle name="Output 2 2 2 2" xfId="18258" xr:uid="{00000000-0005-0000-0000-0000DD470000}"/>
    <cellStyle name="Output 2 2 2 2 2" xfId="18259" xr:uid="{00000000-0005-0000-0000-0000DE470000}"/>
    <cellStyle name="Output 2 2 2 2 2 2" xfId="18260" xr:uid="{00000000-0005-0000-0000-0000DF470000}"/>
    <cellStyle name="Output 2 2 2 2 2 3" xfId="18261" xr:uid="{00000000-0005-0000-0000-0000E0470000}"/>
    <cellStyle name="Output 2 2 2 2 3" xfId="18262" xr:uid="{00000000-0005-0000-0000-0000E1470000}"/>
    <cellStyle name="Output 2 2 2 3" xfId="18263" xr:uid="{00000000-0005-0000-0000-0000E2470000}"/>
    <cellStyle name="Output 2 2 2 3 2" xfId="18264" xr:uid="{00000000-0005-0000-0000-0000E3470000}"/>
    <cellStyle name="Output 2 2 2 4" xfId="18265" xr:uid="{00000000-0005-0000-0000-0000E4470000}"/>
    <cellStyle name="Output 2 2 2 4 2" xfId="18266" xr:uid="{00000000-0005-0000-0000-0000E5470000}"/>
    <cellStyle name="Output 2 2 2 5" xfId="18267" xr:uid="{00000000-0005-0000-0000-0000E6470000}"/>
    <cellStyle name="Output 2 2 3" xfId="18268" xr:uid="{00000000-0005-0000-0000-0000E7470000}"/>
    <cellStyle name="Output 2 2 3 2" xfId="18269" xr:uid="{00000000-0005-0000-0000-0000E8470000}"/>
    <cellStyle name="Output 2 2 3 2 2" xfId="18270" xr:uid="{00000000-0005-0000-0000-0000E9470000}"/>
    <cellStyle name="Output 2 2 3 2 2 2" xfId="18271" xr:uid="{00000000-0005-0000-0000-0000EA470000}"/>
    <cellStyle name="Output 2 2 3 2 3" xfId="18272" xr:uid="{00000000-0005-0000-0000-0000EB470000}"/>
    <cellStyle name="Output 2 2 3 3" xfId="18273" xr:uid="{00000000-0005-0000-0000-0000EC470000}"/>
    <cellStyle name="Output 2 2 4" xfId="18274" xr:uid="{00000000-0005-0000-0000-0000ED470000}"/>
    <cellStyle name="Output 2 2 4 2" xfId="18275" xr:uid="{00000000-0005-0000-0000-0000EE470000}"/>
    <cellStyle name="Output 2 2 5" xfId="18276" xr:uid="{00000000-0005-0000-0000-0000EF470000}"/>
    <cellStyle name="Output 2 2 5 2" xfId="18277" xr:uid="{00000000-0005-0000-0000-0000F0470000}"/>
    <cellStyle name="Output 2 2 6" xfId="18278" xr:uid="{00000000-0005-0000-0000-0000F1470000}"/>
    <cellStyle name="Output 2 2 6 2" xfId="18279" xr:uid="{00000000-0005-0000-0000-0000F2470000}"/>
    <cellStyle name="Output 2 2 6 2 2" xfId="18280" xr:uid="{00000000-0005-0000-0000-0000F3470000}"/>
    <cellStyle name="Output 2 2 6 3" xfId="18281" xr:uid="{00000000-0005-0000-0000-0000F4470000}"/>
    <cellStyle name="Output 2 2 7" xfId="18282" xr:uid="{00000000-0005-0000-0000-0000F5470000}"/>
    <cellStyle name="Output 2 20" xfId="18283" xr:uid="{00000000-0005-0000-0000-0000F6470000}"/>
    <cellStyle name="Output 2 21" xfId="18284" xr:uid="{00000000-0005-0000-0000-0000F7470000}"/>
    <cellStyle name="Output 2 22" xfId="18285" xr:uid="{00000000-0005-0000-0000-0000F8470000}"/>
    <cellStyle name="Output 2 23" xfId="18286" xr:uid="{00000000-0005-0000-0000-0000F9470000}"/>
    <cellStyle name="Output 2 24" xfId="18287" xr:uid="{00000000-0005-0000-0000-0000FA470000}"/>
    <cellStyle name="Output 2 25" xfId="18288" xr:uid="{00000000-0005-0000-0000-0000FB470000}"/>
    <cellStyle name="Output 2 26" xfId="18289" xr:uid="{00000000-0005-0000-0000-0000FC470000}"/>
    <cellStyle name="Output 2 27" xfId="18290" xr:uid="{00000000-0005-0000-0000-0000FD470000}"/>
    <cellStyle name="Output 2 28" xfId="18291" xr:uid="{00000000-0005-0000-0000-0000FE470000}"/>
    <cellStyle name="Output 2 29" xfId="18292" xr:uid="{00000000-0005-0000-0000-0000FF470000}"/>
    <cellStyle name="Output 2 3" xfId="18293" xr:uid="{00000000-0005-0000-0000-000000480000}"/>
    <cellStyle name="Output 2 3 2" xfId="18294" xr:uid="{00000000-0005-0000-0000-000001480000}"/>
    <cellStyle name="Output 2 3 3" xfId="18295" xr:uid="{00000000-0005-0000-0000-000002480000}"/>
    <cellStyle name="Output 2 30" xfId="18296" xr:uid="{00000000-0005-0000-0000-000003480000}"/>
    <cellStyle name="Output 2 31" xfId="18297" xr:uid="{00000000-0005-0000-0000-000004480000}"/>
    <cellStyle name="Output 2 32" xfId="18298" xr:uid="{00000000-0005-0000-0000-000005480000}"/>
    <cellStyle name="Output 2 33" xfId="18299" xr:uid="{00000000-0005-0000-0000-000006480000}"/>
    <cellStyle name="Output 2 34" xfId="18300" xr:uid="{00000000-0005-0000-0000-000007480000}"/>
    <cellStyle name="Output 2 35" xfId="18301" xr:uid="{00000000-0005-0000-0000-000008480000}"/>
    <cellStyle name="Output 2 36" xfId="18302" xr:uid="{00000000-0005-0000-0000-000009480000}"/>
    <cellStyle name="Output 2 37" xfId="18303" xr:uid="{00000000-0005-0000-0000-00000A480000}"/>
    <cellStyle name="Output 2 38" xfId="18304" xr:uid="{00000000-0005-0000-0000-00000B480000}"/>
    <cellStyle name="Output 2 39" xfId="18305" xr:uid="{00000000-0005-0000-0000-00000C480000}"/>
    <cellStyle name="Output 2 4" xfId="18306" xr:uid="{00000000-0005-0000-0000-00000D480000}"/>
    <cellStyle name="Output 2 4 2" xfId="18307" xr:uid="{00000000-0005-0000-0000-00000E480000}"/>
    <cellStyle name="Output 2 4 2 2" xfId="18308" xr:uid="{00000000-0005-0000-0000-00000F480000}"/>
    <cellStyle name="Output 2 4 2 2 2" xfId="18309" xr:uid="{00000000-0005-0000-0000-000010480000}"/>
    <cellStyle name="Output 2 4 2 2 3" xfId="18310" xr:uid="{00000000-0005-0000-0000-000011480000}"/>
    <cellStyle name="Output 2 4 2 3" xfId="18311" xr:uid="{00000000-0005-0000-0000-000012480000}"/>
    <cellStyle name="Output 2 4 3" xfId="18312" xr:uid="{00000000-0005-0000-0000-000013480000}"/>
    <cellStyle name="Output 2 40" xfId="18313" xr:uid="{00000000-0005-0000-0000-000014480000}"/>
    <cellStyle name="Output 2 41" xfId="18314" xr:uid="{00000000-0005-0000-0000-000015480000}"/>
    <cellStyle name="Output 2 42" xfId="18315" xr:uid="{00000000-0005-0000-0000-000016480000}"/>
    <cellStyle name="Output 2 43" xfId="18316" xr:uid="{00000000-0005-0000-0000-000017480000}"/>
    <cellStyle name="Output 2 44" xfId="18317" xr:uid="{00000000-0005-0000-0000-000018480000}"/>
    <cellStyle name="Output 2 45" xfId="18318" xr:uid="{00000000-0005-0000-0000-000019480000}"/>
    <cellStyle name="Output 2 46" xfId="18319" xr:uid="{00000000-0005-0000-0000-00001A480000}"/>
    <cellStyle name="Output 2 47" xfId="18320" xr:uid="{00000000-0005-0000-0000-00001B480000}"/>
    <cellStyle name="Output 2 48" xfId="18321" xr:uid="{00000000-0005-0000-0000-00001C480000}"/>
    <cellStyle name="Output 2 5" xfId="18322" xr:uid="{00000000-0005-0000-0000-00001D480000}"/>
    <cellStyle name="Output 2 5 2" xfId="18323" xr:uid="{00000000-0005-0000-0000-00001E480000}"/>
    <cellStyle name="Output 2 5 2 2" xfId="18324" xr:uid="{00000000-0005-0000-0000-00001F480000}"/>
    <cellStyle name="Output 2 5 2 2 2" xfId="18325" xr:uid="{00000000-0005-0000-0000-000020480000}"/>
    <cellStyle name="Output 2 5 2 3" xfId="18326" xr:uid="{00000000-0005-0000-0000-000021480000}"/>
    <cellStyle name="Output 2 5 3" xfId="18327" xr:uid="{00000000-0005-0000-0000-000022480000}"/>
    <cellStyle name="Output 2 6" xfId="18328" xr:uid="{00000000-0005-0000-0000-000023480000}"/>
    <cellStyle name="Output 2 6 2" xfId="18329" xr:uid="{00000000-0005-0000-0000-000024480000}"/>
    <cellStyle name="Output 2 7" xfId="18330" xr:uid="{00000000-0005-0000-0000-000025480000}"/>
    <cellStyle name="Output 2 7 2" xfId="18331" xr:uid="{00000000-0005-0000-0000-000026480000}"/>
    <cellStyle name="Output 2 8" xfId="18332" xr:uid="{00000000-0005-0000-0000-000027480000}"/>
    <cellStyle name="Output 2 9" xfId="18333" xr:uid="{00000000-0005-0000-0000-000028480000}"/>
    <cellStyle name="Output 3" xfId="18334" xr:uid="{00000000-0005-0000-0000-000029480000}"/>
    <cellStyle name="Output 3 2" xfId="18335" xr:uid="{00000000-0005-0000-0000-00002A480000}"/>
    <cellStyle name="Output 3 2 2" xfId="18336" xr:uid="{00000000-0005-0000-0000-00002B480000}"/>
    <cellStyle name="Output 3 3" xfId="18337" xr:uid="{00000000-0005-0000-0000-00002C480000}"/>
    <cellStyle name="Output 3 3 2" xfId="18338" xr:uid="{00000000-0005-0000-0000-00002D480000}"/>
    <cellStyle name="Output 3 4" xfId="18339" xr:uid="{00000000-0005-0000-0000-00002E480000}"/>
    <cellStyle name="Output 4" xfId="18340" xr:uid="{00000000-0005-0000-0000-00002F480000}"/>
    <cellStyle name="Output 4 2" xfId="18341" xr:uid="{00000000-0005-0000-0000-000030480000}"/>
    <cellStyle name="Output 5" xfId="18342" xr:uid="{00000000-0005-0000-0000-000031480000}"/>
    <cellStyle name="Output 5 2" xfId="18343" xr:uid="{00000000-0005-0000-0000-000032480000}"/>
    <cellStyle name="Output 6" xfId="18344" xr:uid="{00000000-0005-0000-0000-000033480000}"/>
    <cellStyle name="Output 6 2" xfId="18345" xr:uid="{00000000-0005-0000-0000-000034480000}"/>
    <cellStyle name="Output 7" xfId="18346" xr:uid="{00000000-0005-0000-0000-000035480000}"/>
    <cellStyle name="Output 7 2" xfId="18347" xr:uid="{00000000-0005-0000-0000-000036480000}"/>
    <cellStyle name="Output Amounts" xfId="18348" xr:uid="{00000000-0005-0000-0000-000037480000}"/>
    <cellStyle name="Output Column Headings" xfId="18349" xr:uid="{00000000-0005-0000-0000-000038480000}"/>
    <cellStyle name="Output Line Items" xfId="18350" xr:uid="{00000000-0005-0000-0000-000039480000}"/>
    <cellStyle name="Output Report Heading" xfId="18351" xr:uid="{00000000-0005-0000-0000-00003A480000}"/>
    <cellStyle name="Output Report Title" xfId="18352" xr:uid="{00000000-0005-0000-0000-00003B480000}"/>
    <cellStyle name="output:0" xfId="18353" xr:uid="{00000000-0005-0000-0000-00003C480000}"/>
    <cellStyle name="output:0 2" xfId="18354" xr:uid="{00000000-0005-0000-0000-00003D480000}"/>
    <cellStyle name="output:0 2 2" xfId="18355" xr:uid="{00000000-0005-0000-0000-00003E480000}"/>
    <cellStyle name="output:0 3" xfId="18356" xr:uid="{00000000-0005-0000-0000-00003F480000}"/>
    <cellStyle name="output:0.0" xfId="18357" xr:uid="{00000000-0005-0000-0000-000040480000}"/>
    <cellStyle name="output:0.0 2" xfId="18358" xr:uid="{00000000-0005-0000-0000-000041480000}"/>
    <cellStyle name="output:0.0 2 2" xfId="18359" xr:uid="{00000000-0005-0000-0000-000042480000}"/>
    <cellStyle name="output:0.0 3" xfId="18360" xr:uid="{00000000-0005-0000-0000-000043480000}"/>
    <cellStyle name="output:0.0_SGN_14m" xfId="18361" xr:uid="{00000000-0005-0000-0000-000044480000}"/>
    <cellStyle name="output:0_SGN_14m" xfId="18362" xr:uid="{00000000-0005-0000-0000-000045480000}"/>
    <cellStyle name="Output1_Back" xfId="18363" xr:uid="{00000000-0005-0000-0000-000046480000}"/>
    <cellStyle name="Page Number" xfId="18364" xr:uid="{00000000-0005-0000-0000-000047480000}"/>
    <cellStyle name="PAGE6" xfId="18365" xr:uid="{00000000-0005-0000-0000-000048480000}"/>
    <cellStyle name="pe" xfId="18366" xr:uid="{00000000-0005-0000-0000-000049480000}"/>
    <cellStyle name="PEG" xfId="18367" xr:uid="{00000000-0005-0000-0000-00004A480000}"/>
    <cellStyle name="Pénznem [0]_Munka1" xfId="18368" xr:uid="{00000000-0005-0000-0000-00004B480000}"/>
    <cellStyle name="Pénznem_Munka1" xfId="18369" xr:uid="{00000000-0005-0000-0000-00004C480000}"/>
    <cellStyle name="Percent" xfId="48433" builtinId="5"/>
    <cellStyle name="Percent (1)" xfId="18370" xr:uid="{00000000-0005-0000-0000-00004E480000}"/>
    <cellStyle name="Percent (2)" xfId="18371" xr:uid="{00000000-0005-0000-0000-00004F480000}"/>
    <cellStyle name="Percent [2]" xfId="18372" xr:uid="{00000000-0005-0000-0000-000050480000}"/>
    <cellStyle name="Percent 10" xfId="18373" xr:uid="{00000000-0005-0000-0000-000051480000}"/>
    <cellStyle name="Percent 10 10" xfId="18374" xr:uid="{00000000-0005-0000-0000-000052480000}"/>
    <cellStyle name="Percent 10 10 10" xfId="18375" xr:uid="{00000000-0005-0000-0000-000053480000}"/>
    <cellStyle name="Percent 10 10 11" xfId="18376" xr:uid="{00000000-0005-0000-0000-000054480000}"/>
    <cellStyle name="Percent 10 10 12" xfId="18377" xr:uid="{00000000-0005-0000-0000-000055480000}"/>
    <cellStyle name="Percent 10 10 13" xfId="18378" xr:uid="{00000000-0005-0000-0000-000056480000}"/>
    <cellStyle name="Percent 10 10 14" xfId="18379" xr:uid="{00000000-0005-0000-0000-000057480000}"/>
    <cellStyle name="Percent 10 10 15" xfId="18380" xr:uid="{00000000-0005-0000-0000-000058480000}"/>
    <cellStyle name="Percent 10 10 16" xfId="18381" xr:uid="{00000000-0005-0000-0000-000059480000}"/>
    <cellStyle name="Percent 10 10 17" xfId="18382" xr:uid="{00000000-0005-0000-0000-00005A480000}"/>
    <cellStyle name="Percent 10 10 2" xfId="18383" xr:uid="{00000000-0005-0000-0000-00005B480000}"/>
    <cellStyle name="Percent 10 10 3" xfId="18384" xr:uid="{00000000-0005-0000-0000-00005C480000}"/>
    <cellStyle name="Percent 10 10 4" xfId="18385" xr:uid="{00000000-0005-0000-0000-00005D480000}"/>
    <cellStyle name="Percent 10 10 5" xfId="18386" xr:uid="{00000000-0005-0000-0000-00005E480000}"/>
    <cellStyle name="Percent 10 10 6" xfId="18387" xr:uid="{00000000-0005-0000-0000-00005F480000}"/>
    <cellStyle name="Percent 10 10 7" xfId="18388" xr:uid="{00000000-0005-0000-0000-000060480000}"/>
    <cellStyle name="Percent 10 10 8" xfId="18389" xr:uid="{00000000-0005-0000-0000-000061480000}"/>
    <cellStyle name="Percent 10 10 9" xfId="18390" xr:uid="{00000000-0005-0000-0000-000062480000}"/>
    <cellStyle name="Percent 10 11" xfId="18391" xr:uid="{00000000-0005-0000-0000-000063480000}"/>
    <cellStyle name="Percent 10 11 10" xfId="18392" xr:uid="{00000000-0005-0000-0000-000064480000}"/>
    <cellStyle name="Percent 10 11 11" xfId="18393" xr:uid="{00000000-0005-0000-0000-000065480000}"/>
    <cellStyle name="Percent 10 11 12" xfId="18394" xr:uid="{00000000-0005-0000-0000-000066480000}"/>
    <cellStyle name="Percent 10 11 13" xfId="18395" xr:uid="{00000000-0005-0000-0000-000067480000}"/>
    <cellStyle name="Percent 10 11 14" xfId="18396" xr:uid="{00000000-0005-0000-0000-000068480000}"/>
    <cellStyle name="Percent 10 11 15" xfId="18397" xr:uid="{00000000-0005-0000-0000-000069480000}"/>
    <cellStyle name="Percent 10 11 16" xfId="18398" xr:uid="{00000000-0005-0000-0000-00006A480000}"/>
    <cellStyle name="Percent 10 11 17" xfId="18399" xr:uid="{00000000-0005-0000-0000-00006B480000}"/>
    <cellStyle name="Percent 10 11 2" xfId="18400" xr:uid="{00000000-0005-0000-0000-00006C480000}"/>
    <cellStyle name="Percent 10 11 3" xfId="18401" xr:uid="{00000000-0005-0000-0000-00006D480000}"/>
    <cellStyle name="Percent 10 11 4" xfId="18402" xr:uid="{00000000-0005-0000-0000-00006E480000}"/>
    <cellStyle name="Percent 10 11 5" xfId="18403" xr:uid="{00000000-0005-0000-0000-00006F480000}"/>
    <cellStyle name="Percent 10 11 6" xfId="18404" xr:uid="{00000000-0005-0000-0000-000070480000}"/>
    <cellStyle name="Percent 10 11 7" xfId="18405" xr:uid="{00000000-0005-0000-0000-000071480000}"/>
    <cellStyle name="Percent 10 11 8" xfId="18406" xr:uid="{00000000-0005-0000-0000-000072480000}"/>
    <cellStyle name="Percent 10 11 9" xfId="18407" xr:uid="{00000000-0005-0000-0000-000073480000}"/>
    <cellStyle name="Percent 10 12" xfId="18408" xr:uid="{00000000-0005-0000-0000-000074480000}"/>
    <cellStyle name="Percent 10 12 10" xfId="18409" xr:uid="{00000000-0005-0000-0000-000075480000}"/>
    <cellStyle name="Percent 10 12 11" xfId="18410" xr:uid="{00000000-0005-0000-0000-000076480000}"/>
    <cellStyle name="Percent 10 12 12" xfId="18411" xr:uid="{00000000-0005-0000-0000-000077480000}"/>
    <cellStyle name="Percent 10 12 13" xfId="18412" xr:uid="{00000000-0005-0000-0000-000078480000}"/>
    <cellStyle name="Percent 10 12 14" xfId="18413" xr:uid="{00000000-0005-0000-0000-000079480000}"/>
    <cellStyle name="Percent 10 12 15" xfId="18414" xr:uid="{00000000-0005-0000-0000-00007A480000}"/>
    <cellStyle name="Percent 10 12 16" xfId="18415" xr:uid="{00000000-0005-0000-0000-00007B480000}"/>
    <cellStyle name="Percent 10 12 17" xfId="18416" xr:uid="{00000000-0005-0000-0000-00007C480000}"/>
    <cellStyle name="Percent 10 12 2" xfId="18417" xr:uid="{00000000-0005-0000-0000-00007D480000}"/>
    <cellStyle name="Percent 10 12 3" xfId="18418" xr:uid="{00000000-0005-0000-0000-00007E480000}"/>
    <cellStyle name="Percent 10 12 4" xfId="18419" xr:uid="{00000000-0005-0000-0000-00007F480000}"/>
    <cellStyle name="Percent 10 12 5" xfId="18420" xr:uid="{00000000-0005-0000-0000-000080480000}"/>
    <cellStyle name="Percent 10 12 6" xfId="18421" xr:uid="{00000000-0005-0000-0000-000081480000}"/>
    <cellStyle name="Percent 10 12 7" xfId="18422" xr:uid="{00000000-0005-0000-0000-000082480000}"/>
    <cellStyle name="Percent 10 12 8" xfId="18423" xr:uid="{00000000-0005-0000-0000-000083480000}"/>
    <cellStyle name="Percent 10 12 9" xfId="18424" xr:uid="{00000000-0005-0000-0000-000084480000}"/>
    <cellStyle name="Percent 10 13" xfId="18425" xr:uid="{00000000-0005-0000-0000-000085480000}"/>
    <cellStyle name="Percent 10 13 10" xfId="18426" xr:uid="{00000000-0005-0000-0000-000086480000}"/>
    <cellStyle name="Percent 10 13 11" xfId="18427" xr:uid="{00000000-0005-0000-0000-000087480000}"/>
    <cellStyle name="Percent 10 13 12" xfId="18428" xr:uid="{00000000-0005-0000-0000-000088480000}"/>
    <cellStyle name="Percent 10 13 13" xfId="18429" xr:uid="{00000000-0005-0000-0000-000089480000}"/>
    <cellStyle name="Percent 10 13 14" xfId="18430" xr:uid="{00000000-0005-0000-0000-00008A480000}"/>
    <cellStyle name="Percent 10 13 15" xfId="18431" xr:uid="{00000000-0005-0000-0000-00008B480000}"/>
    <cellStyle name="Percent 10 13 16" xfId="18432" xr:uid="{00000000-0005-0000-0000-00008C480000}"/>
    <cellStyle name="Percent 10 13 17" xfId="18433" xr:uid="{00000000-0005-0000-0000-00008D480000}"/>
    <cellStyle name="Percent 10 13 2" xfId="18434" xr:uid="{00000000-0005-0000-0000-00008E480000}"/>
    <cellStyle name="Percent 10 13 3" xfId="18435" xr:uid="{00000000-0005-0000-0000-00008F480000}"/>
    <cellStyle name="Percent 10 13 4" xfId="18436" xr:uid="{00000000-0005-0000-0000-000090480000}"/>
    <cellStyle name="Percent 10 13 5" xfId="18437" xr:uid="{00000000-0005-0000-0000-000091480000}"/>
    <cellStyle name="Percent 10 13 6" xfId="18438" xr:uid="{00000000-0005-0000-0000-000092480000}"/>
    <cellStyle name="Percent 10 13 7" xfId="18439" xr:uid="{00000000-0005-0000-0000-000093480000}"/>
    <cellStyle name="Percent 10 13 8" xfId="18440" xr:uid="{00000000-0005-0000-0000-000094480000}"/>
    <cellStyle name="Percent 10 13 9" xfId="18441" xr:uid="{00000000-0005-0000-0000-000095480000}"/>
    <cellStyle name="Percent 10 14" xfId="18442" xr:uid="{00000000-0005-0000-0000-000096480000}"/>
    <cellStyle name="Percent 10 14 10" xfId="18443" xr:uid="{00000000-0005-0000-0000-000097480000}"/>
    <cellStyle name="Percent 10 14 11" xfId="18444" xr:uid="{00000000-0005-0000-0000-000098480000}"/>
    <cellStyle name="Percent 10 14 12" xfId="18445" xr:uid="{00000000-0005-0000-0000-000099480000}"/>
    <cellStyle name="Percent 10 14 13" xfId="18446" xr:uid="{00000000-0005-0000-0000-00009A480000}"/>
    <cellStyle name="Percent 10 14 14" xfId="18447" xr:uid="{00000000-0005-0000-0000-00009B480000}"/>
    <cellStyle name="Percent 10 14 15" xfId="18448" xr:uid="{00000000-0005-0000-0000-00009C480000}"/>
    <cellStyle name="Percent 10 14 16" xfId="18449" xr:uid="{00000000-0005-0000-0000-00009D480000}"/>
    <cellStyle name="Percent 10 14 17" xfId="18450" xr:uid="{00000000-0005-0000-0000-00009E480000}"/>
    <cellStyle name="Percent 10 14 2" xfId="18451" xr:uid="{00000000-0005-0000-0000-00009F480000}"/>
    <cellStyle name="Percent 10 14 3" xfId="18452" xr:uid="{00000000-0005-0000-0000-0000A0480000}"/>
    <cellStyle name="Percent 10 14 4" xfId="18453" xr:uid="{00000000-0005-0000-0000-0000A1480000}"/>
    <cellStyle name="Percent 10 14 5" xfId="18454" xr:uid="{00000000-0005-0000-0000-0000A2480000}"/>
    <cellStyle name="Percent 10 14 6" xfId="18455" xr:uid="{00000000-0005-0000-0000-0000A3480000}"/>
    <cellStyle name="Percent 10 14 7" xfId="18456" xr:uid="{00000000-0005-0000-0000-0000A4480000}"/>
    <cellStyle name="Percent 10 14 8" xfId="18457" xr:uid="{00000000-0005-0000-0000-0000A5480000}"/>
    <cellStyle name="Percent 10 14 9" xfId="18458" xr:uid="{00000000-0005-0000-0000-0000A6480000}"/>
    <cellStyle name="Percent 10 15" xfId="18459" xr:uid="{00000000-0005-0000-0000-0000A7480000}"/>
    <cellStyle name="Percent 10 15 10" xfId="18460" xr:uid="{00000000-0005-0000-0000-0000A8480000}"/>
    <cellStyle name="Percent 10 15 11" xfId="18461" xr:uid="{00000000-0005-0000-0000-0000A9480000}"/>
    <cellStyle name="Percent 10 15 12" xfId="18462" xr:uid="{00000000-0005-0000-0000-0000AA480000}"/>
    <cellStyle name="Percent 10 15 13" xfId="18463" xr:uid="{00000000-0005-0000-0000-0000AB480000}"/>
    <cellStyle name="Percent 10 15 14" xfId="18464" xr:uid="{00000000-0005-0000-0000-0000AC480000}"/>
    <cellStyle name="Percent 10 15 15" xfId="18465" xr:uid="{00000000-0005-0000-0000-0000AD480000}"/>
    <cellStyle name="Percent 10 15 16" xfId="18466" xr:uid="{00000000-0005-0000-0000-0000AE480000}"/>
    <cellStyle name="Percent 10 15 17" xfId="18467" xr:uid="{00000000-0005-0000-0000-0000AF480000}"/>
    <cellStyle name="Percent 10 15 2" xfId="18468" xr:uid="{00000000-0005-0000-0000-0000B0480000}"/>
    <cellStyle name="Percent 10 15 3" xfId="18469" xr:uid="{00000000-0005-0000-0000-0000B1480000}"/>
    <cellStyle name="Percent 10 15 4" xfId="18470" xr:uid="{00000000-0005-0000-0000-0000B2480000}"/>
    <cellStyle name="Percent 10 15 5" xfId="18471" xr:uid="{00000000-0005-0000-0000-0000B3480000}"/>
    <cellStyle name="Percent 10 15 6" xfId="18472" xr:uid="{00000000-0005-0000-0000-0000B4480000}"/>
    <cellStyle name="Percent 10 15 7" xfId="18473" xr:uid="{00000000-0005-0000-0000-0000B5480000}"/>
    <cellStyle name="Percent 10 15 8" xfId="18474" xr:uid="{00000000-0005-0000-0000-0000B6480000}"/>
    <cellStyle name="Percent 10 15 9" xfId="18475" xr:uid="{00000000-0005-0000-0000-0000B7480000}"/>
    <cellStyle name="Percent 10 16" xfId="18476" xr:uid="{00000000-0005-0000-0000-0000B8480000}"/>
    <cellStyle name="Percent 10 16 10" xfId="18477" xr:uid="{00000000-0005-0000-0000-0000B9480000}"/>
    <cellStyle name="Percent 10 16 11" xfId="18478" xr:uid="{00000000-0005-0000-0000-0000BA480000}"/>
    <cellStyle name="Percent 10 16 12" xfId="18479" xr:uid="{00000000-0005-0000-0000-0000BB480000}"/>
    <cellStyle name="Percent 10 16 13" xfId="18480" xr:uid="{00000000-0005-0000-0000-0000BC480000}"/>
    <cellStyle name="Percent 10 16 14" xfId="18481" xr:uid="{00000000-0005-0000-0000-0000BD480000}"/>
    <cellStyle name="Percent 10 16 15" xfId="18482" xr:uid="{00000000-0005-0000-0000-0000BE480000}"/>
    <cellStyle name="Percent 10 16 16" xfId="18483" xr:uid="{00000000-0005-0000-0000-0000BF480000}"/>
    <cellStyle name="Percent 10 16 17" xfId="18484" xr:uid="{00000000-0005-0000-0000-0000C0480000}"/>
    <cellStyle name="Percent 10 16 2" xfId="18485" xr:uid="{00000000-0005-0000-0000-0000C1480000}"/>
    <cellStyle name="Percent 10 16 3" xfId="18486" xr:uid="{00000000-0005-0000-0000-0000C2480000}"/>
    <cellStyle name="Percent 10 16 4" xfId="18487" xr:uid="{00000000-0005-0000-0000-0000C3480000}"/>
    <cellStyle name="Percent 10 16 5" xfId="18488" xr:uid="{00000000-0005-0000-0000-0000C4480000}"/>
    <cellStyle name="Percent 10 16 6" xfId="18489" xr:uid="{00000000-0005-0000-0000-0000C5480000}"/>
    <cellStyle name="Percent 10 16 7" xfId="18490" xr:uid="{00000000-0005-0000-0000-0000C6480000}"/>
    <cellStyle name="Percent 10 16 8" xfId="18491" xr:uid="{00000000-0005-0000-0000-0000C7480000}"/>
    <cellStyle name="Percent 10 16 9" xfId="18492" xr:uid="{00000000-0005-0000-0000-0000C8480000}"/>
    <cellStyle name="Percent 10 17" xfId="18493" xr:uid="{00000000-0005-0000-0000-0000C9480000}"/>
    <cellStyle name="Percent 10 17 10" xfId="18494" xr:uid="{00000000-0005-0000-0000-0000CA480000}"/>
    <cellStyle name="Percent 10 17 11" xfId="18495" xr:uid="{00000000-0005-0000-0000-0000CB480000}"/>
    <cellStyle name="Percent 10 17 12" xfId="18496" xr:uid="{00000000-0005-0000-0000-0000CC480000}"/>
    <cellStyle name="Percent 10 17 13" xfId="18497" xr:uid="{00000000-0005-0000-0000-0000CD480000}"/>
    <cellStyle name="Percent 10 17 14" xfId="18498" xr:uid="{00000000-0005-0000-0000-0000CE480000}"/>
    <cellStyle name="Percent 10 17 15" xfId="18499" xr:uid="{00000000-0005-0000-0000-0000CF480000}"/>
    <cellStyle name="Percent 10 17 16" xfId="18500" xr:uid="{00000000-0005-0000-0000-0000D0480000}"/>
    <cellStyle name="Percent 10 17 17" xfId="18501" xr:uid="{00000000-0005-0000-0000-0000D1480000}"/>
    <cellStyle name="Percent 10 17 2" xfId="18502" xr:uid="{00000000-0005-0000-0000-0000D2480000}"/>
    <cellStyle name="Percent 10 17 3" xfId="18503" xr:uid="{00000000-0005-0000-0000-0000D3480000}"/>
    <cellStyle name="Percent 10 17 4" xfId="18504" xr:uid="{00000000-0005-0000-0000-0000D4480000}"/>
    <cellStyle name="Percent 10 17 5" xfId="18505" xr:uid="{00000000-0005-0000-0000-0000D5480000}"/>
    <cellStyle name="Percent 10 17 6" xfId="18506" xr:uid="{00000000-0005-0000-0000-0000D6480000}"/>
    <cellStyle name="Percent 10 17 7" xfId="18507" xr:uid="{00000000-0005-0000-0000-0000D7480000}"/>
    <cellStyle name="Percent 10 17 8" xfId="18508" xr:uid="{00000000-0005-0000-0000-0000D8480000}"/>
    <cellStyle name="Percent 10 17 9" xfId="18509" xr:uid="{00000000-0005-0000-0000-0000D9480000}"/>
    <cellStyle name="Percent 10 18" xfId="18510" xr:uid="{00000000-0005-0000-0000-0000DA480000}"/>
    <cellStyle name="Percent 10 18 10" xfId="18511" xr:uid="{00000000-0005-0000-0000-0000DB480000}"/>
    <cellStyle name="Percent 10 18 11" xfId="18512" xr:uid="{00000000-0005-0000-0000-0000DC480000}"/>
    <cellStyle name="Percent 10 18 12" xfId="18513" xr:uid="{00000000-0005-0000-0000-0000DD480000}"/>
    <cellStyle name="Percent 10 18 13" xfId="18514" xr:uid="{00000000-0005-0000-0000-0000DE480000}"/>
    <cellStyle name="Percent 10 18 14" xfId="18515" xr:uid="{00000000-0005-0000-0000-0000DF480000}"/>
    <cellStyle name="Percent 10 18 15" xfId="18516" xr:uid="{00000000-0005-0000-0000-0000E0480000}"/>
    <cellStyle name="Percent 10 18 16" xfId="18517" xr:uid="{00000000-0005-0000-0000-0000E1480000}"/>
    <cellStyle name="Percent 10 18 17" xfId="18518" xr:uid="{00000000-0005-0000-0000-0000E2480000}"/>
    <cellStyle name="Percent 10 18 2" xfId="18519" xr:uid="{00000000-0005-0000-0000-0000E3480000}"/>
    <cellStyle name="Percent 10 18 3" xfId="18520" xr:uid="{00000000-0005-0000-0000-0000E4480000}"/>
    <cellStyle name="Percent 10 18 4" xfId="18521" xr:uid="{00000000-0005-0000-0000-0000E5480000}"/>
    <cellStyle name="Percent 10 18 5" xfId="18522" xr:uid="{00000000-0005-0000-0000-0000E6480000}"/>
    <cellStyle name="Percent 10 18 6" xfId="18523" xr:uid="{00000000-0005-0000-0000-0000E7480000}"/>
    <cellStyle name="Percent 10 18 7" xfId="18524" xr:uid="{00000000-0005-0000-0000-0000E8480000}"/>
    <cellStyle name="Percent 10 18 8" xfId="18525" xr:uid="{00000000-0005-0000-0000-0000E9480000}"/>
    <cellStyle name="Percent 10 18 9" xfId="18526" xr:uid="{00000000-0005-0000-0000-0000EA480000}"/>
    <cellStyle name="Percent 10 19" xfId="18527" xr:uid="{00000000-0005-0000-0000-0000EB480000}"/>
    <cellStyle name="Percent 10 19 10" xfId="18528" xr:uid="{00000000-0005-0000-0000-0000EC480000}"/>
    <cellStyle name="Percent 10 19 11" xfId="18529" xr:uid="{00000000-0005-0000-0000-0000ED480000}"/>
    <cellStyle name="Percent 10 19 12" xfId="18530" xr:uid="{00000000-0005-0000-0000-0000EE480000}"/>
    <cellStyle name="Percent 10 19 13" xfId="18531" xr:uid="{00000000-0005-0000-0000-0000EF480000}"/>
    <cellStyle name="Percent 10 19 14" xfId="18532" xr:uid="{00000000-0005-0000-0000-0000F0480000}"/>
    <cellStyle name="Percent 10 19 15" xfId="18533" xr:uid="{00000000-0005-0000-0000-0000F1480000}"/>
    <cellStyle name="Percent 10 19 16" xfId="18534" xr:uid="{00000000-0005-0000-0000-0000F2480000}"/>
    <cellStyle name="Percent 10 19 17" xfId="18535" xr:uid="{00000000-0005-0000-0000-0000F3480000}"/>
    <cellStyle name="Percent 10 19 2" xfId="18536" xr:uid="{00000000-0005-0000-0000-0000F4480000}"/>
    <cellStyle name="Percent 10 19 3" xfId="18537" xr:uid="{00000000-0005-0000-0000-0000F5480000}"/>
    <cellStyle name="Percent 10 19 4" xfId="18538" xr:uid="{00000000-0005-0000-0000-0000F6480000}"/>
    <cellStyle name="Percent 10 19 5" xfId="18539" xr:uid="{00000000-0005-0000-0000-0000F7480000}"/>
    <cellStyle name="Percent 10 19 6" xfId="18540" xr:uid="{00000000-0005-0000-0000-0000F8480000}"/>
    <cellStyle name="Percent 10 19 7" xfId="18541" xr:uid="{00000000-0005-0000-0000-0000F9480000}"/>
    <cellStyle name="Percent 10 19 8" xfId="18542" xr:uid="{00000000-0005-0000-0000-0000FA480000}"/>
    <cellStyle name="Percent 10 19 9" xfId="18543" xr:uid="{00000000-0005-0000-0000-0000FB480000}"/>
    <cellStyle name="Percent 10 2" xfId="18544" xr:uid="{00000000-0005-0000-0000-0000FC480000}"/>
    <cellStyle name="Percent 10 2 10" xfId="18545" xr:uid="{00000000-0005-0000-0000-0000FD480000}"/>
    <cellStyle name="Percent 10 2 11" xfId="18546" xr:uid="{00000000-0005-0000-0000-0000FE480000}"/>
    <cellStyle name="Percent 10 2 12" xfId="18547" xr:uid="{00000000-0005-0000-0000-0000FF480000}"/>
    <cellStyle name="Percent 10 2 13" xfId="18548" xr:uid="{00000000-0005-0000-0000-000000490000}"/>
    <cellStyle name="Percent 10 2 14" xfId="18549" xr:uid="{00000000-0005-0000-0000-000001490000}"/>
    <cellStyle name="Percent 10 2 15" xfId="18550" xr:uid="{00000000-0005-0000-0000-000002490000}"/>
    <cellStyle name="Percent 10 2 16" xfId="18551" xr:uid="{00000000-0005-0000-0000-000003490000}"/>
    <cellStyle name="Percent 10 2 17" xfId="18552" xr:uid="{00000000-0005-0000-0000-000004490000}"/>
    <cellStyle name="Percent 10 2 2" xfId="18553" xr:uid="{00000000-0005-0000-0000-000005490000}"/>
    <cellStyle name="Percent 10 2 2 10" xfId="18554" xr:uid="{00000000-0005-0000-0000-000006490000}"/>
    <cellStyle name="Percent 10 2 2 11" xfId="18555" xr:uid="{00000000-0005-0000-0000-000007490000}"/>
    <cellStyle name="Percent 10 2 2 12" xfId="18556" xr:uid="{00000000-0005-0000-0000-000008490000}"/>
    <cellStyle name="Percent 10 2 2 13" xfId="18557" xr:uid="{00000000-0005-0000-0000-000009490000}"/>
    <cellStyle name="Percent 10 2 2 14" xfId="18558" xr:uid="{00000000-0005-0000-0000-00000A490000}"/>
    <cellStyle name="Percent 10 2 2 15" xfId="18559" xr:uid="{00000000-0005-0000-0000-00000B490000}"/>
    <cellStyle name="Percent 10 2 2 16" xfId="18560" xr:uid="{00000000-0005-0000-0000-00000C490000}"/>
    <cellStyle name="Percent 10 2 2 2" xfId="18561" xr:uid="{00000000-0005-0000-0000-00000D490000}"/>
    <cellStyle name="Percent 10 2 2 2 10" xfId="18562" xr:uid="{00000000-0005-0000-0000-00000E490000}"/>
    <cellStyle name="Percent 10 2 2 2 11" xfId="18563" xr:uid="{00000000-0005-0000-0000-00000F490000}"/>
    <cellStyle name="Percent 10 2 2 2 12" xfId="18564" xr:uid="{00000000-0005-0000-0000-000010490000}"/>
    <cellStyle name="Percent 10 2 2 2 13" xfId="18565" xr:uid="{00000000-0005-0000-0000-000011490000}"/>
    <cellStyle name="Percent 10 2 2 2 2" xfId="18566" xr:uid="{00000000-0005-0000-0000-000012490000}"/>
    <cellStyle name="Percent 10 2 2 2 3" xfId="18567" xr:uid="{00000000-0005-0000-0000-000013490000}"/>
    <cellStyle name="Percent 10 2 2 2 4" xfId="18568" xr:uid="{00000000-0005-0000-0000-000014490000}"/>
    <cellStyle name="Percent 10 2 2 2 5" xfId="18569" xr:uid="{00000000-0005-0000-0000-000015490000}"/>
    <cellStyle name="Percent 10 2 2 2 6" xfId="18570" xr:uid="{00000000-0005-0000-0000-000016490000}"/>
    <cellStyle name="Percent 10 2 2 2 7" xfId="18571" xr:uid="{00000000-0005-0000-0000-000017490000}"/>
    <cellStyle name="Percent 10 2 2 2 8" xfId="18572" xr:uid="{00000000-0005-0000-0000-000018490000}"/>
    <cellStyle name="Percent 10 2 2 2 9" xfId="18573" xr:uid="{00000000-0005-0000-0000-000019490000}"/>
    <cellStyle name="Percent 10 2 2 3" xfId="18574" xr:uid="{00000000-0005-0000-0000-00001A490000}"/>
    <cellStyle name="Percent 10 2 2 3 10" xfId="18575" xr:uid="{00000000-0005-0000-0000-00001B490000}"/>
    <cellStyle name="Percent 10 2 2 3 11" xfId="18576" xr:uid="{00000000-0005-0000-0000-00001C490000}"/>
    <cellStyle name="Percent 10 2 2 3 12" xfId="18577" xr:uid="{00000000-0005-0000-0000-00001D490000}"/>
    <cellStyle name="Percent 10 2 2 3 13" xfId="18578" xr:uid="{00000000-0005-0000-0000-00001E490000}"/>
    <cellStyle name="Percent 10 2 2 3 2" xfId="18579" xr:uid="{00000000-0005-0000-0000-00001F490000}"/>
    <cellStyle name="Percent 10 2 2 3 3" xfId="18580" xr:uid="{00000000-0005-0000-0000-000020490000}"/>
    <cellStyle name="Percent 10 2 2 3 4" xfId="18581" xr:uid="{00000000-0005-0000-0000-000021490000}"/>
    <cellStyle name="Percent 10 2 2 3 5" xfId="18582" xr:uid="{00000000-0005-0000-0000-000022490000}"/>
    <cellStyle name="Percent 10 2 2 3 6" xfId="18583" xr:uid="{00000000-0005-0000-0000-000023490000}"/>
    <cellStyle name="Percent 10 2 2 3 7" xfId="18584" xr:uid="{00000000-0005-0000-0000-000024490000}"/>
    <cellStyle name="Percent 10 2 2 3 8" xfId="18585" xr:uid="{00000000-0005-0000-0000-000025490000}"/>
    <cellStyle name="Percent 10 2 2 3 9" xfId="18586" xr:uid="{00000000-0005-0000-0000-000026490000}"/>
    <cellStyle name="Percent 10 2 2 4" xfId="18587" xr:uid="{00000000-0005-0000-0000-000027490000}"/>
    <cellStyle name="Percent 10 2 2 4 10" xfId="18588" xr:uid="{00000000-0005-0000-0000-000028490000}"/>
    <cellStyle name="Percent 10 2 2 4 11" xfId="18589" xr:uid="{00000000-0005-0000-0000-000029490000}"/>
    <cellStyle name="Percent 10 2 2 4 12" xfId="18590" xr:uid="{00000000-0005-0000-0000-00002A490000}"/>
    <cellStyle name="Percent 10 2 2 4 13" xfId="18591" xr:uid="{00000000-0005-0000-0000-00002B490000}"/>
    <cellStyle name="Percent 10 2 2 4 2" xfId="18592" xr:uid="{00000000-0005-0000-0000-00002C490000}"/>
    <cellStyle name="Percent 10 2 2 4 3" xfId="18593" xr:uid="{00000000-0005-0000-0000-00002D490000}"/>
    <cellStyle name="Percent 10 2 2 4 4" xfId="18594" xr:uid="{00000000-0005-0000-0000-00002E490000}"/>
    <cellStyle name="Percent 10 2 2 4 5" xfId="18595" xr:uid="{00000000-0005-0000-0000-00002F490000}"/>
    <cellStyle name="Percent 10 2 2 4 6" xfId="18596" xr:uid="{00000000-0005-0000-0000-000030490000}"/>
    <cellStyle name="Percent 10 2 2 4 7" xfId="18597" xr:uid="{00000000-0005-0000-0000-000031490000}"/>
    <cellStyle name="Percent 10 2 2 4 8" xfId="18598" xr:uid="{00000000-0005-0000-0000-000032490000}"/>
    <cellStyle name="Percent 10 2 2 4 9" xfId="18599" xr:uid="{00000000-0005-0000-0000-000033490000}"/>
    <cellStyle name="Percent 10 2 2 5" xfId="18600" xr:uid="{00000000-0005-0000-0000-000034490000}"/>
    <cellStyle name="Percent 10 2 2 6" xfId="18601" xr:uid="{00000000-0005-0000-0000-000035490000}"/>
    <cellStyle name="Percent 10 2 2 7" xfId="18602" xr:uid="{00000000-0005-0000-0000-000036490000}"/>
    <cellStyle name="Percent 10 2 2 8" xfId="18603" xr:uid="{00000000-0005-0000-0000-000037490000}"/>
    <cellStyle name="Percent 10 2 2 9" xfId="18604" xr:uid="{00000000-0005-0000-0000-000038490000}"/>
    <cellStyle name="Percent 10 2 3" xfId="18605" xr:uid="{00000000-0005-0000-0000-000039490000}"/>
    <cellStyle name="Percent 10 2 3 10" xfId="18606" xr:uid="{00000000-0005-0000-0000-00003A490000}"/>
    <cellStyle name="Percent 10 2 3 11" xfId="18607" xr:uid="{00000000-0005-0000-0000-00003B490000}"/>
    <cellStyle name="Percent 10 2 3 12" xfId="18608" xr:uid="{00000000-0005-0000-0000-00003C490000}"/>
    <cellStyle name="Percent 10 2 3 13" xfId="18609" xr:uid="{00000000-0005-0000-0000-00003D490000}"/>
    <cellStyle name="Percent 10 2 3 2" xfId="18610" xr:uid="{00000000-0005-0000-0000-00003E490000}"/>
    <cellStyle name="Percent 10 2 3 3" xfId="18611" xr:uid="{00000000-0005-0000-0000-00003F490000}"/>
    <cellStyle name="Percent 10 2 3 4" xfId="18612" xr:uid="{00000000-0005-0000-0000-000040490000}"/>
    <cellStyle name="Percent 10 2 3 5" xfId="18613" xr:uid="{00000000-0005-0000-0000-000041490000}"/>
    <cellStyle name="Percent 10 2 3 6" xfId="18614" xr:uid="{00000000-0005-0000-0000-000042490000}"/>
    <cellStyle name="Percent 10 2 3 7" xfId="18615" xr:uid="{00000000-0005-0000-0000-000043490000}"/>
    <cellStyle name="Percent 10 2 3 8" xfId="18616" xr:uid="{00000000-0005-0000-0000-000044490000}"/>
    <cellStyle name="Percent 10 2 3 9" xfId="18617" xr:uid="{00000000-0005-0000-0000-000045490000}"/>
    <cellStyle name="Percent 10 2 4" xfId="18618" xr:uid="{00000000-0005-0000-0000-000046490000}"/>
    <cellStyle name="Percent 10 2 5" xfId="18619" xr:uid="{00000000-0005-0000-0000-000047490000}"/>
    <cellStyle name="Percent 10 2 6" xfId="18620" xr:uid="{00000000-0005-0000-0000-000048490000}"/>
    <cellStyle name="Percent 10 2 7" xfId="18621" xr:uid="{00000000-0005-0000-0000-000049490000}"/>
    <cellStyle name="Percent 10 2 8" xfId="18622" xr:uid="{00000000-0005-0000-0000-00004A490000}"/>
    <cellStyle name="Percent 10 2 9" xfId="18623" xr:uid="{00000000-0005-0000-0000-00004B490000}"/>
    <cellStyle name="Percent 10 20" xfId="18624" xr:uid="{00000000-0005-0000-0000-00004C490000}"/>
    <cellStyle name="Percent 10 20 10" xfId="18625" xr:uid="{00000000-0005-0000-0000-00004D490000}"/>
    <cellStyle name="Percent 10 20 11" xfId="18626" xr:uid="{00000000-0005-0000-0000-00004E490000}"/>
    <cellStyle name="Percent 10 20 12" xfId="18627" xr:uid="{00000000-0005-0000-0000-00004F490000}"/>
    <cellStyle name="Percent 10 20 13" xfId="18628" xr:uid="{00000000-0005-0000-0000-000050490000}"/>
    <cellStyle name="Percent 10 20 14" xfId="18629" xr:uid="{00000000-0005-0000-0000-000051490000}"/>
    <cellStyle name="Percent 10 20 15" xfId="18630" xr:uid="{00000000-0005-0000-0000-000052490000}"/>
    <cellStyle name="Percent 10 20 16" xfId="18631" xr:uid="{00000000-0005-0000-0000-000053490000}"/>
    <cellStyle name="Percent 10 20 17" xfId="18632" xr:uid="{00000000-0005-0000-0000-000054490000}"/>
    <cellStyle name="Percent 10 20 2" xfId="18633" xr:uid="{00000000-0005-0000-0000-000055490000}"/>
    <cellStyle name="Percent 10 20 3" xfId="18634" xr:uid="{00000000-0005-0000-0000-000056490000}"/>
    <cellStyle name="Percent 10 20 4" xfId="18635" xr:uid="{00000000-0005-0000-0000-000057490000}"/>
    <cellStyle name="Percent 10 20 5" xfId="18636" xr:uid="{00000000-0005-0000-0000-000058490000}"/>
    <cellStyle name="Percent 10 20 6" xfId="18637" xr:uid="{00000000-0005-0000-0000-000059490000}"/>
    <cellStyle name="Percent 10 20 7" xfId="18638" xr:uid="{00000000-0005-0000-0000-00005A490000}"/>
    <cellStyle name="Percent 10 20 8" xfId="18639" xr:uid="{00000000-0005-0000-0000-00005B490000}"/>
    <cellStyle name="Percent 10 20 9" xfId="18640" xr:uid="{00000000-0005-0000-0000-00005C490000}"/>
    <cellStyle name="Percent 10 21" xfId="18641" xr:uid="{00000000-0005-0000-0000-00005D490000}"/>
    <cellStyle name="Percent 10 21 10" xfId="18642" xr:uid="{00000000-0005-0000-0000-00005E490000}"/>
    <cellStyle name="Percent 10 21 11" xfId="18643" xr:uid="{00000000-0005-0000-0000-00005F490000}"/>
    <cellStyle name="Percent 10 21 12" xfId="18644" xr:uid="{00000000-0005-0000-0000-000060490000}"/>
    <cellStyle name="Percent 10 21 13" xfId="18645" xr:uid="{00000000-0005-0000-0000-000061490000}"/>
    <cellStyle name="Percent 10 21 14" xfId="18646" xr:uid="{00000000-0005-0000-0000-000062490000}"/>
    <cellStyle name="Percent 10 21 15" xfId="18647" xr:uid="{00000000-0005-0000-0000-000063490000}"/>
    <cellStyle name="Percent 10 21 16" xfId="18648" xr:uid="{00000000-0005-0000-0000-000064490000}"/>
    <cellStyle name="Percent 10 21 17" xfId="18649" xr:uid="{00000000-0005-0000-0000-000065490000}"/>
    <cellStyle name="Percent 10 21 2" xfId="18650" xr:uid="{00000000-0005-0000-0000-000066490000}"/>
    <cellStyle name="Percent 10 21 3" xfId="18651" xr:uid="{00000000-0005-0000-0000-000067490000}"/>
    <cellStyle name="Percent 10 21 4" xfId="18652" xr:uid="{00000000-0005-0000-0000-000068490000}"/>
    <cellStyle name="Percent 10 21 5" xfId="18653" xr:uid="{00000000-0005-0000-0000-000069490000}"/>
    <cellStyle name="Percent 10 21 6" xfId="18654" xr:uid="{00000000-0005-0000-0000-00006A490000}"/>
    <cellStyle name="Percent 10 21 7" xfId="18655" xr:uid="{00000000-0005-0000-0000-00006B490000}"/>
    <cellStyle name="Percent 10 21 8" xfId="18656" xr:uid="{00000000-0005-0000-0000-00006C490000}"/>
    <cellStyle name="Percent 10 21 9" xfId="18657" xr:uid="{00000000-0005-0000-0000-00006D490000}"/>
    <cellStyle name="Percent 10 22" xfId="18658" xr:uid="{00000000-0005-0000-0000-00006E490000}"/>
    <cellStyle name="Percent 10 22 10" xfId="18659" xr:uid="{00000000-0005-0000-0000-00006F490000}"/>
    <cellStyle name="Percent 10 22 11" xfId="18660" xr:uid="{00000000-0005-0000-0000-000070490000}"/>
    <cellStyle name="Percent 10 22 12" xfId="18661" xr:uid="{00000000-0005-0000-0000-000071490000}"/>
    <cellStyle name="Percent 10 22 13" xfId="18662" xr:uid="{00000000-0005-0000-0000-000072490000}"/>
    <cellStyle name="Percent 10 22 14" xfId="18663" xr:uid="{00000000-0005-0000-0000-000073490000}"/>
    <cellStyle name="Percent 10 22 15" xfId="18664" xr:uid="{00000000-0005-0000-0000-000074490000}"/>
    <cellStyle name="Percent 10 22 16" xfId="18665" xr:uid="{00000000-0005-0000-0000-000075490000}"/>
    <cellStyle name="Percent 10 22 17" xfId="18666" xr:uid="{00000000-0005-0000-0000-000076490000}"/>
    <cellStyle name="Percent 10 22 2" xfId="18667" xr:uid="{00000000-0005-0000-0000-000077490000}"/>
    <cellStyle name="Percent 10 22 3" xfId="18668" xr:uid="{00000000-0005-0000-0000-000078490000}"/>
    <cellStyle name="Percent 10 22 4" xfId="18669" xr:uid="{00000000-0005-0000-0000-000079490000}"/>
    <cellStyle name="Percent 10 22 5" xfId="18670" xr:uid="{00000000-0005-0000-0000-00007A490000}"/>
    <cellStyle name="Percent 10 22 6" xfId="18671" xr:uid="{00000000-0005-0000-0000-00007B490000}"/>
    <cellStyle name="Percent 10 22 7" xfId="18672" xr:uid="{00000000-0005-0000-0000-00007C490000}"/>
    <cellStyle name="Percent 10 22 8" xfId="18673" xr:uid="{00000000-0005-0000-0000-00007D490000}"/>
    <cellStyle name="Percent 10 22 9" xfId="18674" xr:uid="{00000000-0005-0000-0000-00007E490000}"/>
    <cellStyle name="Percent 10 23" xfId="18675" xr:uid="{00000000-0005-0000-0000-00007F490000}"/>
    <cellStyle name="Percent 10 24" xfId="18676" xr:uid="{00000000-0005-0000-0000-000080490000}"/>
    <cellStyle name="Percent 10 25" xfId="18677" xr:uid="{00000000-0005-0000-0000-000081490000}"/>
    <cellStyle name="Percent 10 26" xfId="18678" xr:uid="{00000000-0005-0000-0000-000082490000}"/>
    <cellStyle name="Percent 10 27" xfId="18679" xr:uid="{00000000-0005-0000-0000-000083490000}"/>
    <cellStyle name="Percent 10 28" xfId="18680" xr:uid="{00000000-0005-0000-0000-000084490000}"/>
    <cellStyle name="Percent 10 29" xfId="18681" xr:uid="{00000000-0005-0000-0000-000085490000}"/>
    <cellStyle name="Percent 10 3" xfId="18682" xr:uid="{00000000-0005-0000-0000-000086490000}"/>
    <cellStyle name="Percent 10 3 10" xfId="18683" xr:uid="{00000000-0005-0000-0000-000087490000}"/>
    <cellStyle name="Percent 10 3 11" xfId="18684" xr:uid="{00000000-0005-0000-0000-000088490000}"/>
    <cellStyle name="Percent 10 3 12" xfId="18685" xr:uid="{00000000-0005-0000-0000-000089490000}"/>
    <cellStyle name="Percent 10 3 13" xfId="18686" xr:uid="{00000000-0005-0000-0000-00008A490000}"/>
    <cellStyle name="Percent 10 3 14" xfId="18687" xr:uid="{00000000-0005-0000-0000-00008B490000}"/>
    <cellStyle name="Percent 10 3 15" xfId="18688" xr:uid="{00000000-0005-0000-0000-00008C490000}"/>
    <cellStyle name="Percent 10 3 16" xfId="18689" xr:uid="{00000000-0005-0000-0000-00008D490000}"/>
    <cellStyle name="Percent 10 3 17" xfId="18690" xr:uid="{00000000-0005-0000-0000-00008E490000}"/>
    <cellStyle name="Percent 10 3 2" xfId="18691" xr:uid="{00000000-0005-0000-0000-00008F490000}"/>
    <cellStyle name="Percent 10 3 3" xfId="18692" xr:uid="{00000000-0005-0000-0000-000090490000}"/>
    <cellStyle name="Percent 10 3 4" xfId="18693" xr:uid="{00000000-0005-0000-0000-000091490000}"/>
    <cellStyle name="Percent 10 3 5" xfId="18694" xr:uid="{00000000-0005-0000-0000-000092490000}"/>
    <cellStyle name="Percent 10 3 6" xfId="18695" xr:uid="{00000000-0005-0000-0000-000093490000}"/>
    <cellStyle name="Percent 10 3 7" xfId="18696" xr:uid="{00000000-0005-0000-0000-000094490000}"/>
    <cellStyle name="Percent 10 3 8" xfId="18697" xr:uid="{00000000-0005-0000-0000-000095490000}"/>
    <cellStyle name="Percent 10 3 9" xfId="18698" xr:uid="{00000000-0005-0000-0000-000096490000}"/>
    <cellStyle name="Percent 10 30" xfId="18699" xr:uid="{00000000-0005-0000-0000-000097490000}"/>
    <cellStyle name="Percent 10 31" xfId="18700" xr:uid="{00000000-0005-0000-0000-000098490000}"/>
    <cellStyle name="Percent 10 32" xfId="18701" xr:uid="{00000000-0005-0000-0000-000099490000}"/>
    <cellStyle name="Percent 10 33" xfId="18702" xr:uid="{00000000-0005-0000-0000-00009A490000}"/>
    <cellStyle name="Percent 10 34" xfId="18703" xr:uid="{00000000-0005-0000-0000-00009B490000}"/>
    <cellStyle name="Percent 10 35" xfId="18704" xr:uid="{00000000-0005-0000-0000-00009C490000}"/>
    <cellStyle name="Percent 10 36" xfId="18705" xr:uid="{00000000-0005-0000-0000-00009D490000}"/>
    <cellStyle name="Percent 10 37" xfId="18706" xr:uid="{00000000-0005-0000-0000-00009E490000}"/>
    <cellStyle name="Percent 10 38" xfId="18707" xr:uid="{00000000-0005-0000-0000-00009F490000}"/>
    <cellStyle name="Percent 10 39" xfId="18708" xr:uid="{00000000-0005-0000-0000-0000A0490000}"/>
    <cellStyle name="Percent 10 4" xfId="18709" xr:uid="{00000000-0005-0000-0000-0000A1490000}"/>
    <cellStyle name="Percent 10 4 10" xfId="18710" xr:uid="{00000000-0005-0000-0000-0000A2490000}"/>
    <cellStyle name="Percent 10 4 11" xfId="18711" xr:uid="{00000000-0005-0000-0000-0000A3490000}"/>
    <cellStyle name="Percent 10 4 12" xfId="18712" xr:uid="{00000000-0005-0000-0000-0000A4490000}"/>
    <cellStyle name="Percent 10 4 13" xfId="18713" xr:uid="{00000000-0005-0000-0000-0000A5490000}"/>
    <cellStyle name="Percent 10 4 14" xfId="18714" xr:uid="{00000000-0005-0000-0000-0000A6490000}"/>
    <cellStyle name="Percent 10 4 15" xfId="18715" xr:uid="{00000000-0005-0000-0000-0000A7490000}"/>
    <cellStyle name="Percent 10 4 16" xfId="18716" xr:uid="{00000000-0005-0000-0000-0000A8490000}"/>
    <cellStyle name="Percent 10 4 17" xfId="18717" xr:uid="{00000000-0005-0000-0000-0000A9490000}"/>
    <cellStyle name="Percent 10 4 2" xfId="18718" xr:uid="{00000000-0005-0000-0000-0000AA490000}"/>
    <cellStyle name="Percent 10 4 3" xfId="18719" xr:uid="{00000000-0005-0000-0000-0000AB490000}"/>
    <cellStyle name="Percent 10 4 4" xfId="18720" xr:uid="{00000000-0005-0000-0000-0000AC490000}"/>
    <cellStyle name="Percent 10 4 5" xfId="18721" xr:uid="{00000000-0005-0000-0000-0000AD490000}"/>
    <cellStyle name="Percent 10 4 6" xfId="18722" xr:uid="{00000000-0005-0000-0000-0000AE490000}"/>
    <cellStyle name="Percent 10 4 7" xfId="18723" xr:uid="{00000000-0005-0000-0000-0000AF490000}"/>
    <cellStyle name="Percent 10 4 8" xfId="18724" xr:uid="{00000000-0005-0000-0000-0000B0490000}"/>
    <cellStyle name="Percent 10 4 9" xfId="18725" xr:uid="{00000000-0005-0000-0000-0000B1490000}"/>
    <cellStyle name="Percent 10 40" xfId="18726" xr:uid="{00000000-0005-0000-0000-0000B2490000}"/>
    <cellStyle name="Percent 10 41" xfId="18727" xr:uid="{00000000-0005-0000-0000-0000B3490000}"/>
    <cellStyle name="Percent 10 42" xfId="18728" xr:uid="{00000000-0005-0000-0000-0000B4490000}"/>
    <cellStyle name="Percent 10 43" xfId="18729" xr:uid="{00000000-0005-0000-0000-0000B5490000}"/>
    <cellStyle name="Percent 10 44" xfId="18730" xr:uid="{00000000-0005-0000-0000-0000B6490000}"/>
    <cellStyle name="Percent 10 45" xfId="18731" xr:uid="{00000000-0005-0000-0000-0000B7490000}"/>
    <cellStyle name="Percent 10 46" xfId="18732" xr:uid="{00000000-0005-0000-0000-0000B8490000}"/>
    <cellStyle name="Percent 10 47" xfId="18733" xr:uid="{00000000-0005-0000-0000-0000B9490000}"/>
    <cellStyle name="Percent 10 48" xfId="18734" xr:uid="{00000000-0005-0000-0000-0000BA490000}"/>
    <cellStyle name="Percent 10 49" xfId="18735" xr:uid="{00000000-0005-0000-0000-0000BB490000}"/>
    <cellStyle name="Percent 10 5" xfId="18736" xr:uid="{00000000-0005-0000-0000-0000BC490000}"/>
    <cellStyle name="Percent 10 5 10" xfId="18737" xr:uid="{00000000-0005-0000-0000-0000BD490000}"/>
    <cellStyle name="Percent 10 5 11" xfId="18738" xr:uid="{00000000-0005-0000-0000-0000BE490000}"/>
    <cellStyle name="Percent 10 5 12" xfId="18739" xr:uid="{00000000-0005-0000-0000-0000BF490000}"/>
    <cellStyle name="Percent 10 5 13" xfId="18740" xr:uid="{00000000-0005-0000-0000-0000C0490000}"/>
    <cellStyle name="Percent 10 5 14" xfId="18741" xr:uid="{00000000-0005-0000-0000-0000C1490000}"/>
    <cellStyle name="Percent 10 5 15" xfId="18742" xr:uid="{00000000-0005-0000-0000-0000C2490000}"/>
    <cellStyle name="Percent 10 5 16" xfId="18743" xr:uid="{00000000-0005-0000-0000-0000C3490000}"/>
    <cellStyle name="Percent 10 5 17" xfId="18744" xr:uid="{00000000-0005-0000-0000-0000C4490000}"/>
    <cellStyle name="Percent 10 5 2" xfId="18745" xr:uid="{00000000-0005-0000-0000-0000C5490000}"/>
    <cellStyle name="Percent 10 5 3" xfId="18746" xr:uid="{00000000-0005-0000-0000-0000C6490000}"/>
    <cellStyle name="Percent 10 5 4" xfId="18747" xr:uid="{00000000-0005-0000-0000-0000C7490000}"/>
    <cellStyle name="Percent 10 5 5" xfId="18748" xr:uid="{00000000-0005-0000-0000-0000C8490000}"/>
    <cellStyle name="Percent 10 5 6" xfId="18749" xr:uid="{00000000-0005-0000-0000-0000C9490000}"/>
    <cellStyle name="Percent 10 5 7" xfId="18750" xr:uid="{00000000-0005-0000-0000-0000CA490000}"/>
    <cellStyle name="Percent 10 5 8" xfId="18751" xr:uid="{00000000-0005-0000-0000-0000CB490000}"/>
    <cellStyle name="Percent 10 5 9" xfId="18752" xr:uid="{00000000-0005-0000-0000-0000CC490000}"/>
    <cellStyle name="Percent 10 50" xfId="18753" xr:uid="{00000000-0005-0000-0000-0000CD490000}"/>
    <cellStyle name="Percent 10 51" xfId="18754" xr:uid="{00000000-0005-0000-0000-0000CE490000}"/>
    <cellStyle name="Percent 10 52" xfId="18755" xr:uid="{00000000-0005-0000-0000-0000CF490000}"/>
    <cellStyle name="Percent 10 53" xfId="18756" xr:uid="{00000000-0005-0000-0000-0000D0490000}"/>
    <cellStyle name="Percent 10 54" xfId="18757" xr:uid="{00000000-0005-0000-0000-0000D1490000}"/>
    <cellStyle name="Percent 10 55" xfId="18758" xr:uid="{00000000-0005-0000-0000-0000D2490000}"/>
    <cellStyle name="Percent 10 56" xfId="18759" xr:uid="{00000000-0005-0000-0000-0000D3490000}"/>
    <cellStyle name="Percent 10 57" xfId="18760" xr:uid="{00000000-0005-0000-0000-0000D4490000}"/>
    <cellStyle name="Percent 10 58" xfId="18761" xr:uid="{00000000-0005-0000-0000-0000D5490000}"/>
    <cellStyle name="Percent 10 59" xfId="18762" xr:uid="{00000000-0005-0000-0000-0000D6490000}"/>
    <cellStyle name="Percent 10 6" xfId="18763" xr:uid="{00000000-0005-0000-0000-0000D7490000}"/>
    <cellStyle name="Percent 10 6 10" xfId="18764" xr:uid="{00000000-0005-0000-0000-0000D8490000}"/>
    <cellStyle name="Percent 10 6 11" xfId="18765" xr:uid="{00000000-0005-0000-0000-0000D9490000}"/>
    <cellStyle name="Percent 10 6 12" xfId="18766" xr:uid="{00000000-0005-0000-0000-0000DA490000}"/>
    <cellStyle name="Percent 10 6 13" xfId="18767" xr:uid="{00000000-0005-0000-0000-0000DB490000}"/>
    <cellStyle name="Percent 10 6 14" xfId="18768" xr:uid="{00000000-0005-0000-0000-0000DC490000}"/>
    <cellStyle name="Percent 10 6 15" xfId="18769" xr:uid="{00000000-0005-0000-0000-0000DD490000}"/>
    <cellStyle name="Percent 10 6 16" xfId="18770" xr:uid="{00000000-0005-0000-0000-0000DE490000}"/>
    <cellStyle name="Percent 10 6 17" xfId="18771" xr:uid="{00000000-0005-0000-0000-0000DF490000}"/>
    <cellStyle name="Percent 10 6 2" xfId="18772" xr:uid="{00000000-0005-0000-0000-0000E0490000}"/>
    <cellStyle name="Percent 10 6 3" xfId="18773" xr:uid="{00000000-0005-0000-0000-0000E1490000}"/>
    <cellStyle name="Percent 10 6 4" xfId="18774" xr:uid="{00000000-0005-0000-0000-0000E2490000}"/>
    <cellStyle name="Percent 10 6 5" xfId="18775" xr:uid="{00000000-0005-0000-0000-0000E3490000}"/>
    <cellStyle name="Percent 10 6 6" xfId="18776" xr:uid="{00000000-0005-0000-0000-0000E4490000}"/>
    <cellStyle name="Percent 10 6 7" xfId="18777" xr:uid="{00000000-0005-0000-0000-0000E5490000}"/>
    <cellStyle name="Percent 10 6 8" xfId="18778" xr:uid="{00000000-0005-0000-0000-0000E6490000}"/>
    <cellStyle name="Percent 10 6 9" xfId="18779" xr:uid="{00000000-0005-0000-0000-0000E7490000}"/>
    <cellStyle name="Percent 10 60" xfId="18780" xr:uid="{00000000-0005-0000-0000-0000E8490000}"/>
    <cellStyle name="Percent 10 61" xfId="18781" xr:uid="{00000000-0005-0000-0000-0000E9490000}"/>
    <cellStyle name="Percent 10 62" xfId="18782" xr:uid="{00000000-0005-0000-0000-0000EA490000}"/>
    <cellStyle name="Percent 10 63" xfId="18783" xr:uid="{00000000-0005-0000-0000-0000EB490000}"/>
    <cellStyle name="Percent 10 64" xfId="18784" xr:uid="{00000000-0005-0000-0000-0000EC490000}"/>
    <cellStyle name="Percent 10 65" xfId="18785" xr:uid="{00000000-0005-0000-0000-0000ED490000}"/>
    <cellStyle name="Percent 10 66" xfId="18786" xr:uid="{00000000-0005-0000-0000-0000EE490000}"/>
    <cellStyle name="Percent 10 67" xfId="18787" xr:uid="{00000000-0005-0000-0000-0000EF490000}"/>
    <cellStyle name="Percent 10 68" xfId="18788" xr:uid="{00000000-0005-0000-0000-0000F0490000}"/>
    <cellStyle name="Percent 10 69" xfId="18789" xr:uid="{00000000-0005-0000-0000-0000F1490000}"/>
    <cellStyle name="Percent 10 7" xfId="18790" xr:uid="{00000000-0005-0000-0000-0000F2490000}"/>
    <cellStyle name="Percent 10 7 10" xfId="18791" xr:uid="{00000000-0005-0000-0000-0000F3490000}"/>
    <cellStyle name="Percent 10 7 11" xfId="18792" xr:uid="{00000000-0005-0000-0000-0000F4490000}"/>
    <cellStyle name="Percent 10 7 12" xfId="18793" xr:uid="{00000000-0005-0000-0000-0000F5490000}"/>
    <cellStyle name="Percent 10 7 13" xfId="18794" xr:uid="{00000000-0005-0000-0000-0000F6490000}"/>
    <cellStyle name="Percent 10 7 14" xfId="18795" xr:uid="{00000000-0005-0000-0000-0000F7490000}"/>
    <cellStyle name="Percent 10 7 15" xfId="18796" xr:uid="{00000000-0005-0000-0000-0000F8490000}"/>
    <cellStyle name="Percent 10 7 16" xfId="18797" xr:uid="{00000000-0005-0000-0000-0000F9490000}"/>
    <cellStyle name="Percent 10 7 17" xfId="18798" xr:uid="{00000000-0005-0000-0000-0000FA490000}"/>
    <cellStyle name="Percent 10 7 2" xfId="18799" xr:uid="{00000000-0005-0000-0000-0000FB490000}"/>
    <cellStyle name="Percent 10 7 3" xfId="18800" xr:uid="{00000000-0005-0000-0000-0000FC490000}"/>
    <cellStyle name="Percent 10 7 4" xfId="18801" xr:uid="{00000000-0005-0000-0000-0000FD490000}"/>
    <cellStyle name="Percent 10 7 5" xfId="18802" xr:uid="{00000000-0005-0000-0000-0000FE490000}"/>
    <cellStyle name="Percent 10 7 6" xfId="18803" xr:uid="{00000000-0005-0000-0000-0000FF490000}"/>
    <cellStyle name="Percent 10 7 7" xfId="18804" xr:uid="{00000000-0005-0000-0000-0000004A0000}"/>
    <cellStyle name="Percent 10 7 8" xfId="18805" xr:uid="{00000000-0005-0000-0000-0000014A0000}"/>
    <cellStyle name="Percent 10 7 9" xfId="18806" xr:uid="{00000000-0005-0000-0000-0000024A0000}"/>
    <cellStyle name="Percent 10 70" xfId="18807" xr:uid="{00000000-0005-0000-0000-0000034A0000}"/>
    <cellStyle name="Percent 10 71" xfId="18808" xr:uid="{00000000-0005-0000-0000-0000044A0000}"/>
    <cellStyle name="Percent 10 72" xfId="18809" xr:uid="{00000000-0005-0000-0000-0000054A0000}"/>
    <cellStyle name="Percent 10 73" xfId="18810" xr:uid="{00000000-0005-0000-0000-0000064A0000}"/>
    <cellStyle name="Percent 10 74" xfId="18811" xr:uid="{00000000-0005-0000-0000-0000074A0000}"/>
    <cellStyle name="Percent 10 75" xfId="18812" xr:uid="{00000000-0005-0000-0000-0000084A0000}"/>
    <cellStyle name="Percent 10 76" xfId="18813" xr:uid="{00000000-0005-0000-0000-0000094A0000}"/>
    <cellStyle name="Percent 10 77" xfId="18814" xr:uid="{00000000-0005-0000-0000-00000A4A0000}"/>
    <cellStyle name="Percent 10 78" xfId="18815" xr:uid="{00000000-0005-0000-0000-00000B4A0000}"/>
    <cellStyle name="Percent 10 79" xfId="18816" xr:uid="{00000000-0005-0000-0000-00000C4A0000}"/>
    <cellStyle name="Percent 10 8" xfId="18817" xr:uid="{00000000-0005-0000-0000-00000D4A0000}"/>
    <cellStyle name="Percent 10 8 10" xfId="18818" xr:uid="{00000000-0005-0000-0000-00000E4A0000}"/>
    <cellStyle name="Percent 10 8 11" xfId="18819" xr:uid="{00000000-0005-0000-0000-00000F4A0000}"/>
    <cellStyle name="Percent 10 8 12" xfId="18820" xr:uid="{00000000-0005-0000-0000-0000104A0000}"/>
    <cellStyle name="Percent 10 8 13" xfId="18821" xr:uid="{00000000-0005-0000-0000-0000114A0000}"/>
    <cellStyle name="Percent 10 8 14" xfId="18822" xr:uid="{00000000-0005-0000-0000-0000124A0000}"/>
    <cellStyle name="Percent 10 8 15" xfId="18823" xr:uid="{00000000-0005-0000-0000-0000134A0000}"/>
    <cellStyle name="Percent 10 8 16" xfId="18824" xr:uid="{00000000-0005-0000-0000-0000144A0000}"/>
    <cellStyle name="Percent 10 8 17" xfId="18825" xr:uid="{00000000-0005-0000-0000-0000154A0000}"/>
    <cellStyle name="Percent 10 8 2" xfId="18826" xr:uid="{00000000-0005-0000-0000-0000164A0000}"/>
    <cellStyle name="Percent 10 8 3" xfId="18827" xr:uid="{00000000-0005-0000-0000-0000174A0000}"/>
    <cellStyle name="Percent 10 8 4" xfId="18828" xr:uid="{00000000-0005-0000-0000-0000184A0000}"/>
    <cellStyle name="Percent 10 8 5" xfId="18829" xr:uid="{00000000-0005-0000-0000-0000194A0000}"/>
    <cellStyle name="Percent 10 8 6" xfId="18830" xr:uid="{00000000-0005-0000-0000-00001A4A0000}"/>
    <cellStyle name="Percent 10 8 7" xfId="18831" xr:uid="{00000000-0005-0000-0000-00001B4A0000}"/>
    <cellStyle name="Percent 10 8 8" xfId="18832" xr:uid="{00000000-0005-0000-0000-00001C4A0000}"/>
    <cellStyle name="Percent 10 8 9" xfId="18833" xr:uid="{00000000-0005-0000-0000-00001D4A0000}"/>
    <cellStyle name="Percent 10 80" xfId="18834" xr:uid="{00000000-0005-0000-0000-00001E4A0000}"/>
    <cellStyle name="Percent 10 81" xfId="18835" xr:uid="{00000000-0005-0000-0000-00001F4A0000}"/>
    <cellStyle name="Percent 10 82" xfId="18836" xr:uid="{00000000-0005-0000-0000-0000204A0000}"/>
    <cellStyle name="Percent 10 83" xfId="18837" xr:uid="{00000000-0005-0000-0000-0000214A0000}"/>
    <cellStyle name="Percent 10 84" xfId="18838" xr:uid="{00000000-0005-0000-0000-0000224A0000}"/>
    <cellStyle name="Percent 10 85" xfId="18839" xr:uid="{00000000-0005-0000-0000-0000234A0000}"/>
    <cellStyle name="Percent 10 86" xfId="18840" xr:uid="{00000000-0005-0000-0000-0000244A0000}"/>
    <cellStyle name="Percent 10 87" xfId="18841" xr:uid="{00000000-0005-0000-0000-0000254A0000}"/>
    <cellStyle name="Percent 10 88" xfId="18842" xr:uid="{00000000-0005-0000-0000-0000264A0000}"/>
    <cellStyle name="Percent 10 89" xfId="18843" xr:uid="{00000000-0005-0000-0000-0000274A0000}"/>
    <cellStyle name="Percent 10 9" xfId="18844" xr:uid="{00000000-0005-0000-0000-0000284A0000}"/>
    <cellStyle name="Percent 10 9 10" xfId="18845" xr:uid="{00000000-0005-0000-0000-0000294A0000}"/>
    <cellStyle name="Percent 10 9 11" xfId="18846" xr:uid="{00000000-0005-0000-0000-00002A4A0000}"/>
    <cellStyle name="Percent 10 9 12" xfId="18847" xr:uid="{00000000-0005-0000-0000-00002B4A0000}"/>
    <cellStyle name="Percent 10 9 13" xfId="18848" xr:uid="{00000000-0005-0000-0000-00002C4A0000}"/>
    <cellStyle name="Percent 10 9 14" xfId="18849" xr:uid="{00000000-0005-0000-0000-00002D4A0000}"/>
    <cellStyle name="Percent 10 9 15" xfId="18850" xr:uid="{00000000-0005-0000-0000-00002E4A0000}"/>
    <cellStyle name="Percent 10 9 16" xfId="18851" xr:uid="{00000000-0005-0000-0000-00002F4A0000}"/>
    <cellStyle name="Percent 10 9 17" xfId="18852" xr:uid="{00000000-0005-0000-0000-0000304A0000}"/>
    <cellStyle name="Percent 10 9 2" xfId="18853" xr:uid="{00000000-0005-0000-0000-0000314A0000}"/>
    <cellStyle name="Percent 10 9 3" xfId="18854" xr:uid="{00000000-0005-0000-0000-0000324A0000}"/>
    <cellStyle name="Percent 10 9 4" xfId="18855" xr:uid="{00000000-0005-0000-0000-0000334A0000}"/>
    <cellStyle name="Percent 10 9 5" xfId="18856" xr:uid="{00000000-0005-0000-0000-0000344A0000}"/>
    <cellStyle name="Percent 10 9 6" xfId="18857" xr:uid="{00000000-0005-0000-0000-0000354A0000}"/>
    <cellStyle name="Percent 10 9 7" xfId="18858" xr:uid="{00000000-0005-0000-0000-0000364A0000}"/>
    <cellStyle name="Percent 10 9 8" xfId="18859" xr:uid="{00000000-0005-0000-0000-0000374A0000}"/>
    <cellStyle name="Percent 10 9 9" xfId="18860" xr:uid="{00000000-0005-0000-0000-0000384A0000}"/>
    <cellStyle name="Percent 10 90" xfId="18861" xr:uid="{00000000-0005-0000-0000-0000394A0000}"/>
    <cellStyle name="Percent 10 91" xfId="18862" xr:uid="{00000000-0005-0000-0000-00003A4A0000}"/>
    <cellStyle name="Percent 10 92" xfId="18863" xr:uid="{00000000-0005-0000-0000-00003B4A0000}"/>
    <cellStyle name="Percent 10 93" xfId="18864" xr:uid="{00000000-0005-0000-0000-00003C4A0000}"/>
    <cellStyle name="Percent 10 94" xfId="18865" xr:uid="{00000000-0005-0000-0000-00003D4A0000}"/>
    <cellStyle name="Percent 10 95" xfId="18866" xr:uid="{00000000-0005-0000-0000-00003E4A0000}"/>
    <cellStyle name="Percent 11" xfId="18867" xr:uid="{00000000-0005-0000-0000-00003F4A0000}"/>
    <cellStyle name="Percent 11 2" xfId="18868" xr:uid="{00000000-0005-0000-0000-0000404A0000}"/>
    <cellStyle name="Percent 11 2 2" xfId="18869" xr:uid="{00000000-0005-0000-0000-0000414A0000}"/>
    <cellStyle name="Percent 11 2 3" xfId="18870" xr:uid="{00000000-0005-0000-0000-0000424A0000}"/>
    <cellStyle name="Percent 11 3" xfId="18871" xr:uid="{00000000-0005-0000-0000-0000434A0000}"/>
    <cellStyle name="Percent 11 4" xfId="18872" xr:uid="{00000000-0005-0000-0000-0000444A0000}"/>
    <cellStyle name="Percent 11 5" xfId="18873" xr:uid="{00000000-0005-0000-0000-0000454A0000}"/>
    <cellStyle name="Percent 11 6" xfId="18874" xr:uid="{00000000-0005-0000-0000-0000464A0000}"/>
    <cellStyle name="Percent 11 7" xfId="18875" xr:uid="{00000000-0005-0000-0000-0000474A0000}"/>
    <cellStyle name="Percent 12" xfId="18876" xr:uid="{00000000-0005-0000-0000-0000484A0000}"/>
    <cellStyle name="Percent 12 2" xfId="18877" xr:uid="{00000000-0005-0000-0000-0000494A0000}"/>
    <cellStyle name="Percent 12 3" xfId="18878" xr:uid="{00000000-0005-0000-0000-00004A4A0000}"/>
    <cellStyle name="Percent 12 4" xfId="18879" xr:uid="{00000000-0005-0000-0000-00004B4A0000}"/>
    <cellStyle name="Percent 13" xfId="18880" xr:uid="{00000000-0005-0000-0000-00004C4A0000}"/>
    <cellStyle name="Percent 13 2" xfId="18881" xr:uid="{00000000-0005-0000-0000-00004D4A0000}"/>
    <cellStyle name="Percent 13 3" xfId="18882" xr:uid="{00000000-0005-0000-0000-00004E4A0000}"/>
    <cellStyle name="Percent 13 4" xfId="18883" xr:uid="{00000000-0005-0000-0000-00004F4A0000}"/>
    <cellStyle name="Percent 14" xfId="48336" xr:uid="{00000000-0005-0000-0000-0000504A0000}"/>
    <cellStyle name="Percent 14 2" xfId="48414" xr:uid="{00000000-0005-0000-0000-0000514A0000}"/>
    <cellStyle name="Percent 15" xfId="48337" xr:uid="{00000000-0005-0000-0000-0000524A0000}"/>
    <cellStyle name="Percent 16" xfId="48338" xr:uid="{00000000-0005-0000-0000-0000534A0000}"/>
    <cellStyle name="Percent 17" xfId="48339" xr:uid="{00000000-0005-0000-0000-0000544A0000}"/>
    <cellStyle name="Percent 18" xfId="48340" xr:uid="{00000000-0005-0000-0000-0000554A0000}"/>
    <cellStyle name="Percent 19" xfId="48341" xr:uid="{00000000-0005-0000-0000-0000564A0000}"/>
    <cellStyle name="Percent 2" xfId="18884" xr:uid="{00000000-0005-0000-0000-0000574A0000}"/>
    <cellStyle name="Percent 2 10" xfId="18885" xr:uid="{00000000-0005-0000-0000-0000584A0000}"/>
    <cellStyle name="Percent 2 10 10" xfId="18886" xr:uid="{00000000-0005-0000-0000-0000594A0000}"/>
    <cellStyle name="Percent 2 10 11" xfId="18887" xr:uid="{00000000-0005-0000-0000-00005A4A0000}"/>
    <cellStyle name="Percent 2 10 12" xfId="18888" xr:uid="{00000000-0005-0000-0000-00005B4A0000}"/>
    <cellStyle name="Percent 2 10 13" xfId="18889" xr:uid="{00000000-0005-0000-0000-00005C4A0000}"/>
    <cellStyle name="Percent 2 10 14" xfId="18890" xr:uid="{00000000-0005-0000-0000-00005D4A0000}"/>
    <cellStyle name="Percent 2 10 15" xfId="18891" xr:uid="{00000000-0005-0000-0000-00005E4A0000}"/>
    <cellStyle name="Percent 2 10 16" xfId="18892" xr:uid="{00000000-0005-0000-0000-00005F4A0000}"/>
    <cellStyle name="Percent 2 10 17" xfId="18893" xr:uid="{00000000-0005-0000-0000-0000604A0000}"/>
    <cellStyle name="Percent 2 10 2" xfId="18894" xr:uid="{00000000-0005-0000-0000-0000614A0000}"/>
    <cellStyle name="Percent 2 10 3" xfId="18895" xr:uid="{00000000-0005-0000-0000-0000624A0000}"/>
    <cellStyle name="Percent 2 10 4" xfId="18896" xr:uid="{00000000-0005-0000-0000-0000634A0000}"/>
    <cellStyle name="Percent 2 10 5" xfId="18897" xr:uid="{00000000-0005-0000-0000-0000644A0000}"/>
    <cellStyle name="Percent 2 10 6" xfId="18898" xr:uid="{00000000-0005-0000-0000-0000654A0000}"/>
    <cellStyle name="Percent 2 10 7" xfId="18899" xr:uid="{00000000-0005-0000-0000-0000664A0000}"/>
    <cellStyle name="Percent 2 10 8" xfId="18900" xr:uid="{00000000-0005-0000-0000-0000674A0000}"/>
    <cellStyle name="Percent 2 10 9" xfId="18901" xr:uid="{00000000-0005-0000-0000-0000684A0000}"/>
    <cellStyle name="Percent 2 11" xfId="18902" xr:uid="{00000000-0005-0000-0000-0000694A0000}"/>
    <cellStyle name="Percent 2 11 10" xfId="18903" xr:uid="{00000000-0005-0000-0000-00006A4A0000}"/>
    <cellStyle name="Percent 2 11 11" xfId="18904" xr:uid="{00000000-0005-0000-0000-00006B4A0000}"/>
    <cellStyle name="Percent 2 11 12" xfId="18905" xr:uid="{00000000-0005-0000-0000-00006C4A0000}"/>
    <cellStyle name="Percent 2 11 13" xfId="18906" xr:uid="{00000000-0005-0000-0000-00006D4A0000}"/>
    <cellStyle name="Percent 2 11 14" xfId="18907" xr:uid="{00000000-0005-0000-0000-00006E4A0000}"/>
    <cellStyle name="Percent 2 11 15" xfId="18908" xr:uid="{00000000-0005-0000-0000-00006F4A0000}"/>
    <cellStyle name="Percent 2 11 16" xfId="18909" xr:uid="{00000000-0005-0000-0000-0000704A0000}"/>
    <cellStyle name="Percent 2 11 17" xfId="18910" xr:uid="{00000000-0005-0000-0000-0000714A0000}"/>
    <cellStyle name="Percent 2 11 2" xfId="18911" xr:uid="{00000000-0005-0000-0000-0000724A0000}"/>
    <cellStyle name="Percent 2 11 3" xfId="18912" xr:uid="{00000000-0005-0000-0000-0000734A0000}"/>
    <cellStyle name="Percent 2 11 4" xfId="18913" xr:uid="{00000000-0005-0000-0000-0000744A0000}"/>
    <cellStyle name="Percent 2 11 5" xfId="18914" xr:uid="{00000000-0005-0000-0000-0000754A0000}"/>
    <cellStyle name="Percent 2 11 6" xfId="18915" xr:uid="{00000000-0005-0000-0000-0000764A0000}"/>
    <cellStyle name="Percent 2 11 7" xfId="18916" xr:uid="{00000000-0005-0000-0000-0000774A0000}"/>
    <cellStyle name="Percent 2 11 8" xfId="18917" xr:uid="{00000000-0005-0000-0000-0000784A0000}"/>
    <cellStyle name="Percent 2 11 9" xfId="18918" xr:uid="{00000000-0005-0000-0000-0000794A0000}"/>
    <cellStyle name="Percent 2 12" xfId="18919" xr:uid="{00000000-0005-0000-0000-00007A4A0000}"/>
    <cellStyle name="Percent 2 12 10" xfId="18920" xr:uid="{00000000-0005-0000-0000-00007B4A0000}"/>
    <cellStyle name="Percent 2 12 11" xfId="18921" xr:uid="{00000000-0005-0000-0000-00007C4A0000}"/>
    <cellStyle name="Percent 2 12 12" xfId="18922" xr:uid="{00000000-0005-0000-0000-00007D4A0000}"/>
    <cellStyle name="Percent 2 12 13" xfId="18923" xr:uid="{00000000-0005-0000-0000-00007E4A0000}"/>
    <cellStyle name="Percent 2 12 14" xfId="18924" xr:uid="{00000000-0005-0000-0000-00007F4A0000}"/>
    <cellStyle name="Percent 2 12 15" xfId="18925" xr:uid="{00000000-0005-0000-0000-0000804A0000}"/>
    <cellStyle name="Percent 2 12 16" xfId="18926" xr:uid="{00000000-0005-0000-0000-0000814A0000}"/>
    <cellStyle name="Percent 2 12 17" xfId="18927" xr:uid="{00000000-0005-0000-0000-0000824A0000}"/>
    <cellStyle name="Percent 2 12 2" xfId="18928" xr:uid="{00000000-0005-0000-0000-0000834A0000}"/>
    <cellStyle name="Percent 2 12 3" xfId="18929" xr:uid="{00000000-0005-0000-0000-0000844A0000}"/>
    <cellStyle name="Percent 2 12 4" xfId="18930" xr:uid="{00000000-0005-0000-0000-0000854A0000}"/>
    <cellStyle name="Percent 2 12 5" xfId="18931" xr:uid="{00000000-0005-0000-0000-0000864A0000}"/>
    <cellStyle name="Percent 2 12 6" xfId="18932" xr:uid="{00000000-0005-0000-0000-0000874A0000}"/>
    <cellStyle name="Percent 2 12 7" xfId="18933" xr:uid="{00000000-0005-0000-0000-0000884A0000}"/>
    <cellStyle name="Percent 2 12 8" xfId="18934" xr:uid="{00000000-0005-0000-0000-0000894A0000}"/>
    <cellStyle name="Percent 2 12 9" xfId="18935" xr:uid="{00000000-0005-0000-0000-00008A4A0000}"/>
    <cellStyle name="Percent 2 13" xfId="18936" xr:uid="{00000000-0005-0000-0000-00008B4A0000}"/>
    <cellStyle name="Percent 2 13 10" xfId="18937" xr:uid="{00000000-0005-0000-0000-00008C4A0000}"/>
    <cellStyle name="Percent 2 13 11" xfId="18938" xr:uid="{00000000-0005-0000-0000-00008D4A0000}"/>
    <cellStyle name="Percent 2 13 12" xfId="18939" xr:uid="{00000000-0005-0000-0000-00008E4A0000}"/>
    <cellStyle name="Percent 2 13 13" xfId="18940" xr:uid="{00000000-0005-0000-0000-00008F4A0000}"/>
    <cellStyle name="Percent 2 13 14" xfId="18941" xr:uid="{00000000-0005-0000-0000-0000904A0000}"/>
    <cellStyle name="Percent 2 13 15" xfId="18942" xr:uid="{00000000-0005-0000-0000-0000914A0000}"/>
    <cellStyle name="Percent 2 13 16" xfId="18943" xr:uid="{00000000-0005-0000-0000-0000924A0000}"/>
    <cellStyle name="Percent 2 13 17" xfId="18944" xr:uid="{00000000-0005-0000-0000-0000934A0000}"/>
    <cellStyle name="Percent 2 13 2" xfId="18945" xr:uid="{00000000-0005-0000-0000-0000944A0000}"/>
    <cellStyle name="Percent 2 13 3" xfId="18946" xr:uid="{00000000-0005-0000-0000-0000954A0000}"/>
    <cellStyle name="Percent 2 13 4" xfId="18947" xr:uid="{00000000-0005-0000-0000-0000964A0000}"/>
    <cellStyle name="Percent 2 13 5" xfId="18948" xr:uid="{00000000-0005-0000-0000-0000974A0000}"/>
    <cellStyle name="Percent 2 13 6" xfId="18949" xr:uid="{00000000-0005-0000-0000-0000984A0000}"/>
    <cellStyle name="Percent 2 13 7" xfId="18950" xr:uid="{00000000-0005-0000-0000-0000994A0000}"/>
    <cellStyle name="Percent 2 13 8" xfId="18951" xr:uid="{00000000-0005-0000-0000-00009A4A0000}"/>
    <cellStyle name="Percent 2 13 9" xfId="18952" xr:uid="{00000000-0005-0000-0000-00009B4A0000}"/>
    <cellStyle name="Percent 2 14" xfId="18953" xr:uid="{00000000-0005-0000-0000-00009C4A0000}"/>
    <cellStyle name="Percent 2 14 10" xfId="18954" xr:uid="{00000000-0005-0000-0000-00009D4A0000}"/>
    <cellStyle name="Percent 2 14 11" xfId="18955" xr:uid="{00000000-0005-0000-0000-00009E4A0000}"/>
    <cellStyle name="Percent 2 14 12" xfId="18956" xr:uid="{00000000-0005-0000-0000-00009F4A0000}"/>
    <cellStyle name="Percent 2 14 13" xfId="18957" xr:uid="{00000000-0005-0000-0000-0000A04A0000}"/>
    <cellStyle name="Percent 2 14 14" xfId="18958" xr:uid="{00000000-0005-0000-0000-0000A14A0000}"/>
    <cellStyle name="Percent 2 14 15" xfId="18959" xr:uid="{00000000-0005-0000-0000-0000A24A0000}"/>
    <cellStyle name="Percent 2 14 16" xfId="18960" xr:uid="{00000000-0005-0000-0000-0000A34A0000}"/>
    <cellStyle name="Percent 2 14 17" xfId="18961" xr:uid="{00000000-0005-0000-0000-0000A44A0000}"/>
    <cellStyle name="Percent 2 14 2" xfId="18962" xr:uid="{00000000-0005-0000-0000-0000A54A0000}"/>
    <cellStyle name="Percent 2 14 3" xfId="18963" xr:uid="{00000000-0005-0000-0000-0000A64A0000}"/>
    <cellStyle name="Percent 2 14 4" xfId="18964" xr:uid="{00000000-0005-0000-0000-0000A74A0000}"/>
    <cellStyle name="Percent 2 14 5" xfId="18965" xr:uid="{00000000-0005-0000-0000-0000A84A0000}"/>
    <cellStyle name="Percent 2 14 6" xfId="18966" xr:uid="{00000000-0005-0000-0000-0000A94A0000}"/>
    <cellStyle name="Percent 2 14 7" xfId="18967" xr:uid="{00000000-0005-0000-0000-0000AA4A0000}"/>
    <cellStyle name="Percent 2 14 8" xfId="18968" xr:uid="{00000000-0005-0000-0000-0000AB4A0000}"/>
    <cellStyle name="Percent 2 14 9" xfId="18969" xr:uid="{00000000-0005-0000-0000-0000AC4A0000}"/>
    <cellStyle name="Percent 2 15" xfId="18970" xr:uid="{00000000-0005-0000-0000-0000AD4A0000}"/>
    <cellStyle name="Percent 2 15 10" xfId="18971" xr:uid="{00000000-0005-0000-0000-0000AE4A0000}"/>
    <cellStyle name="Percent 2 15 11" xfId="18972" xr:uid="{00000000-0005-0000-0000-0000AF4A0000}"/>
    <cellStyle name="Percent 2 15 12" xfId="18973" xr:uid="{00000000-0005-0000-0000-0000B04A0000}"/>
    <cellStyle name="Percent 2 15 13" xfId="18974" xr:uid="{00000000-0005-0000-0000-0000B14A0000}"/>
    <cellStyle name="Percent 2 15 14" xfId="18975" xr:uid="{00000000-0005-0000-0000-0000B24A0000}"/>
    <cellStyle name="Percent 2 15 15" xfId="18976" xr:uid="{00000000-0005-0000-0000-0000B34A0000}"/>
    <cellStyle name="Percent 2 15 16" xfId="18977" xr:uid="{00000000-0005-0000-0000-0000B44A0000}"/>
    <cellStyle name="Percent 2 15 17" xfId="18978" xr:uid="{00000000-0005-0000-0000-0000B54A0000}"/>
    <cellStyle name="Percent 2 15 2" xfId="18979" xr:uid="{00000000-0005-0000-0000-0000B64A0000}"/>
    <cellStyle name="Percent 2 15 3" xfId="18980" xr:uid="{00000000-0005-0000-0000-0000B74A0000}"/>
    <cellStyle name="Percent 2 15 4" xfId="18981" xr:uid="{00000000-0005-0000-0000-0000B84A0000}"/>
    <cellStyle name="Percent 2 15 5" xfId="18982" xr:uid="{00000000-0005-0000-0000-0000B94A0000}"/>
    <cellStyle name="Percent 2 15 6" xfId="18983" xr:uid="{00000000-0005-0000-0000-0000BA4A0000}"/>
    <cellStyle name="Percent 2 15 7" xfId="18984" xr:uid="{00000000-0005-0000-0000-0000BB4A0000}"/>
    <cellStyle name="Percent 2 15 8" xfId="18985" xr:uid="{00000000-0005-0000-0000-0000BC4A0000}"/>
    <cellStyle name="Percent 2 15 9" xfId="18986" xr:uid="{00000000-0005-0000-0000-0000BD4A0000}"/>
    <cellStyle name="Percent 2 16" xfId="18987" xr:uid="{00000000-0005-0000-0000-0000BE4A0000}"/>
    <cellStyle name="Percent 2 16 10" xfId="18988" xr:uid="{00000000-0005-0000-0000-0000BF4A0000}"/>
    <cellStyle name="Percent 2 16 11" xfId="18989" xr:uid="{00000000-0005-0000-0000-0000C04A0000}"/>
    <cellStyle name="Percent 2 16 12" xfId="18990" xr:uid="{00000000-0005-0000-0000-0000C14A0000}"/>
    <cellStyle name="Percent 2 16 13" xfId="18991" xr:uid="{00000000-0005-0000-0000-0000C24A0000}"/>
    <cellStyle name="Percent 2 16 14" xfId="18992" xr:uid="{00000000-0005-0000-0000-0000C34A0000}"/>
    <cellStyle name="Percent 2 16 15" xfId="18993" xr:uid="{00000000-0005-0000-0000-0000C44A0000}"/>
    <cellStyle name="Percent 2 16 16" xfId="18994" xr:uid="{00000000-0005-0000-0000-0000C54A0000}"/>
    <cellStyle name="Percent 2 16 17" xfId="18995" xr:uid="{00000000-0005-0000-0000-0000C64A0000}"/>
    <cellStyle name="Percent 2 16 2" xfId="18996" xr:uid="{00000000-0005-0000-0000-0000C74A0000}"/>
    <cellStyle name="Percent 2 16 3" xfId="18997" xr:uid="{00000000-0005-0000-0000-0000C84A0000}"/>
    <cellStyle name="Percent 2 16 4" xfId="18998" xr:uid="{00000000-0005-0000-0000-0000C94A0000}"/>
    <cellStyle name="Percent 2 16 5" xfId="18999" xr:uid="{00000000-0005-0000-0000-0000CA4A0000}"/>
    <cellStyle name="Percent 2 16 6" xfId="19000" xr:uid="{00000000-0005-0000-0000-0000CB4A0000}"/>
    <cellStyle name="Percent 2 16 7" xfId="19001" xr:uid="{00000000-0005-0000-0000-0000CC4A0000}"/>
    <cellStyle name="Percent 2 16 8" xfId="19002" xr:uid="{00000000-0005-0000-0000-0000CD4A0000}"/>
    <cellStyle name="Percent 2 16 9" xfId="19003" xr:uid="{00000000-0005-0000-0000-0000CE4A0000}"/>
    <cellStyle name="Percent 2 17" xfId="19004" xr:uid="{00000000-0005-0000-0000-0000CF4A0000}"/>
    <cellStyle name="Percent 2 17 10" xfId="19005" xr:uid="{00000000-0005-0000-0000-0000D04A0000}"/>
    <cellStyle name="Percent 2 17 11" xfId="19006" xr:uid="{00000000-0005-0000-0000-0000D14A0000}"/>
    <cellStyle name="Percent 2 17 12" xfId="19007" xr:uid="{00000000-0005-0000-0000-0000D24A0000}"/>
    <cellStyle name="Percent 2 17 13" xfId="19008" xr:uid="{00000000-0005-0000-0000-0000D34A0000}"/>
    <cellStyle name="Percent 2 17 14" xfId="19009" xr:uid="{00000000-0005-0000-0000-0000D44A0000}"/>
    <cellStyle name="Percent 2 17 15" xfId="19010" xr:uid="{00000000-0005-0000-0000-0000D54A0000}"/>
    <cellStyle name="Percent 2 17 16" xfId="19011" xr:uid="{00000000-0005-0000-0000-0000D64A0000}"/>
    <cellStyle name="Percent 2 17 17" xfId="19012" xr:uid="{00000000-0005-0000-0000-0000D74A0000}"/>
    <cellStyle name="Percent 2 17 2" xfId="19013" xr:uid="{00000000-0005-0000-0000-0000D84A0000}"/>
    <cellStyle name="Percent 2 17 3" xfId="19014" xr:uid="{00000000-0005-0000-0000-0000D94A0000}"/>
    <cellStyle name="Percent 2 17 4" xfId="19015" xr:uid="{00000000-0005-0000-0000-0000DA4A0000}"/>
    <cellStyle name="Percent 2 17 5" xfId="19016" xr:uid="{00000000-0005-0000-0000-0000DB4A0000}"/>
    <cellStyle name="Percent 2 17 6" xfId="19017" xr:uid="{00000000-0005-0000-0000-0000DC4A0000}"/>
    <cellStyle name="Percent 2 17 7" xfId="19018" xr:uid="{00000000-0005-0000-0000-0000DD4A0000}"/>
    <cellStyle name="Percent 2 17 8" xfId="19019" xr:uid="{00000000-0005-0000-0000-0000DE4A0000}"/>
    <cellStyle name="Percent 2 17 9" xfId="19020" xr:uid="{00000000-0005-0000-0000-0000DF4A0000}"/>
    <cellStyle name="Percent 2 18" xfId="19021" xr:uid="{00000000-0005-0000-0000-0000E04A0000}"/>
    <cellStyle name="Percent 2 18 10" xfId="19022" xr:uid="{00000000-0005-0000-0000-0000E14A0000}"/>
    <cellStyle name="Percent 2 18 11" xfId="19023" xr:uid="{00000000-0005-0000-0000-0000E24A0000}"/>
    <cellStyle name="Percent 2 18 12" xfId="19024" xr:uid="{00000000-0005-0000-0000-0000E34A0000}"/>
    <cellStyle name="Percent 2 18 13" xfId="19025" xr:uid="{00000000-0005-0000-0000-0000E44A0000}"/>
    <cellStyle name="Percent 2 18 14" xfId="19026" xr:uid="{00000000-0005-0000-0000-0000E54A0000}"/>
    <cellStyle name="Percent 2 18 15" xfId="19027" xr:uid="{00000000-0005-0000-0000-0000E64A0000}"/>
    <cellStyle name="Percent 2 18 16" xfId="19028" xr:uid="{00000000-0005-0000-0000-0000E74A0000}"/>
    <cellStyle name="Percent 2 18 17" xfId="19029" xr:uid="{00000000-0005-0000-0000-0000E84A0000}"/>
    <cellStyle name="Percent 2 18 2" xfId="19030" xr:uid="{00000000-0005-0000-0000-0000E94A0000}"/>
    <cellStyle name="Percent 2 18 3" xfId="19031" xr:uid="{00000000-0005-0000-0000-0000EA4A0000}"/>
    <cellStyle name="Percent 2 18 4" xfId="19032" xr:uid="{00000000-0005-0000-0000-0000EB4A0000}"/>
    <cellStyle name="Percent 2 18 5" xfId="19033" xr:uid="{00000000-0005-0000-0000-0000EC4A0000}"/>
    <cellStyle name="Percent 2 18 6" xfId="19034" xr:uid="{00000000-0005-0000-0000-0000ED4A0000}"/>
    <cellStyle name="Percent 2 18 7" xfId="19035" xr:uid="{00000000-0005-0000-0000-0000EE4A0000}"/>
    <cellStyle name="Percent 2 18 8" xfId="19036" xr:uid="{00000000-0005-0000-0000-0000EF4A0000}"/>
    <cellStyle name="Percent 2 18 9" xfId="19037" xr:uid="{00000000-0005-0000-0000-0000F04A0000}"/>
    <cellStyle name="Percent 2 19" xfId="19038" xr:uid="{00000000-0005-0000-0000-0000F14A0000}"/>
    <cellStyle name="Percent 2 19 10" xfId="19039" xr:uid="{00000000-0005-0000-0000-0000F24A0000}"/>
    <cellStyle name="Percent 2 19 11" xfId="19040" xr:uid="{00000000-0005-0000-0000-0000F34A0000}"/>
    <cellStyle name="Percent 2 19 12" xfId="19041" xr:uid="{00000000-0005-0000-0000-0000F44A0000}"/>
    <cellStyle name="Percent 2 19 13" xfId="19042" xr:uid="{00000000-0005-0000-0000-0000F54A0000}"/>
    <cellStyle name="Percent 2 19 14" xfId="19043" xr:uid="{00000000-0005-0000-0000-0000F64A0000}"/>
    <cellStyle name="Percent 2 19 15" xfId="19044" xr:uid="{00000000-0005-0000-0000-0000F74A0000}"/>
    <cellStyle name="Percent 2 19 16" xfId="19045" xr:uid="{00000000-0005-0000-0000-0000F84A0000}"/>
    <cellStyle name="Percent 2 19 17" xfId="19046" xr:uid="{00000000-0005-0000-0000-0000F94A0000}"/>
    <cellStyle name="Percent 2 19 2" xfId="19047" xr:uid="{00000000-0005-0000-0000-0000FA4A0000}"/>
    <cellStyle name="Percent 2 19 3" xfId="19048" xr:uid="{00000000-0005-0000-0000-0000FB4A0000}"/>
    <cellStyle name="Percent 2 19 4" xfId="19049" xr:uid="{00000000-0005-0000-0000-0000FC4A0000}"/>
    <cellStyle name="Percent 2 19 5" xfId="19050" xr:uid="{00000000-0005-0000-0000-0000FD4A0000}"/>
    <cellStyle name="Percent 2 19 6" xfId="19051" xr:uid="{00000000-0005-0000-0000-0000FE4A0000}"/>
    <cellStyle name="Percent 2 19 7" xfId="19052" xr:uid="{00000000-0005-0000-0000-0000FF4A0000}"/>
    <cellStyle name="Percent 2 19 8" xfId="19053" xr:uid="{00000000-0005-0000-0000-0000004B0000}"/>
    <cellStyle name="Percent 2 19 9" xfId="19054" xr:uid="{00000000-0005-0000-0000-0000014B0000}"/>
    <cellStyle name="Percent 2 2" xfId="19055" xr:uid="{00000000-0005-0000-0000-0000024B0000}"/>
    <cellStyle name="Percent 2 2 10" xfId="19056" xr:uid="{00000000-0005-0000-0000-0000034B0000}"/>
    <cellStyle name="Percent 2 2 10 10" xfId="19057" xr:uid="{00000000-0005-0000-0000-0000044B0000}"/>
    <cellStyle name="Percent 2 2 10 11" xfId="19058" xr:uid="{00000000-0005-0000-0000-0000054B0000}"/>
    <cellStyle name="Percent 2 2 10 12" xfId="19059" xr:uid="{00000000-0005-0000-0000-0000064B0000}"/>
    <cellStyle name="Percent 2 2 10 13" xfId="19060" xr:uid="{00000000-0005-0000-0000-0000074B0000}"/>
    <cellStyle name="Percent 2 2 10 14" xfId="19061" xr:uid="{00000000-0005-0000-0000-0000084B0000}"/>
    <cellStyle name="Percent 2 2 10 15" xfId="19062" xr:uid="{00000000-0005-0000-0000-0000094B0000}"/>
    <cellStyle name="Percent 2 2 10 16" xfId="19063" xr:uid="{00000000-0005-0000-0000-00000A4B0000}"/>
    <cellStyle name="Percent 2 2 10 17" xfId="19064" xr:uid="{00000000-0005-0000-0000-00000B4B0000}"/>
    <cellStyle name="Percent 2 2 10 2" xfId="19065" xr:uid="{00000000-0005-0000-0000-00000C4B0000}"/>
    <cellStyle name="Percent 2 2 10 3" xfId="19066" xr:uid="{00000000-0005-0000-0000-00000D4B0000}"/>
    <cellStyle name="Percent 2 2 10 4" xfId="19067" xr:uid="{00000000-0005-0000-0000-00000E4B0000}"/>
    <cellStyle name="Percent 2 2 10 5" xfId="19068" xr:uid="{00000000-0005-0000-0000-00000F4B0000}"/>
    <cellStyle name="Percent 2 2 10 6" xfId="19069" xr:uid="{00000000-0005-0000-0000-0000104B0000}"/>
    <cellStyle name="Percent 2 2 10 7" xfId="19070" xr:uid="{00000000-0005-0000-0000-0000114B0000}"/>
    <cellStyle name="Percent 2 2 10 8" xfId="19071" xr:uid="{00000000-0005-0000-0000-0000124B0000}"/>
    <cellStyle name="Percent 2 2 10 9" xfId="19072" xr:uid="{00000000-0005-0000-0000-0000134B0000}"/>
    <cellStyle name="Percent 2 2 11" xfId="19073" xr:uid="{00000000-0005-0000-0000-0000144B0000}"/>
    <cellStyle name="Percent 2 2 11 10" xfId="19074" xr:uid="{00000000-0005-0000-0000-0000154B0000}"/>
    <cellStyle name="Percent 2 2 11 11" xfId="19075" xr:uid="{00000000-0005-0000-0000-0000164B0000}"/>
    <cellStyle name="Percent 2 2 11 12" xfId="19076" xr:uid="{00000000-0005-0000-0000-0000174B0000}"/>
    <cellStyle name="Percent 2 2 11 13" xfId="19077" xr:uid="{00000000-0005-0000-0000-0000184B0000}"/>
    <cellStyle name="Percent 2 2 11 14" xfId="19078" xr:uid="{00000000-0005-0000-0000-0000194B0000}"/>
    <cellStyle name="Percent 2 2 11 15" xfId="19079" xr:uid="{00000000-0005-0000-0000-00001A4B0000}"/>
    <cellStyle name="Percent 2 2 11 16" xfId="19080" xr:uid="{00000000-0005-0000-0000-00001B4B0000}"/>
    <cellStyle name="Percent 2 2 11 17" xfId="19081" xr:uid="{00000000-0005-0000-0000-00001C4B0000}"/>
    <cellStyle name="Percent 2 2 11 2" xfId="19082" xr:uid="{00000000-0005-0000-0000-00001D4B0000}"/>
    <cellStyle name="Percent 2 2 11 3" xfId="19083" xr:uid="{00000000-0005-0000-0000-00001E4B0000}"/>
    <cellStyle name="Percent 2 2 11 4" xfId="19084" xr:uid="{00000000-0005-0000-0000-00001F4B0000}"/>
    <cellStyle name="Percent 2 2 11 5" xfId="19085" xr:uid="{00000000-0005-0000-0000-0000204B0000}"/>
    <cellStyle name="Percent 2 2 11 6" xfId="19086" xr:uid="{00000000-0005-0000-0000-0000214B0000}"/>
    <cellStyle name="Percent 2 2 11 7" xfId="19087" xr:uid="{00000000-0005-0000-0000-0000224B0000}"/>
    <cellStyle name="Percent 2 2 11 8" xfId="19088" xr:uid="{00000000-0005-0000-0000-0000234B0000}"/>
    <cellStyle name="Percent 2 2 11 9" xfId="19089" xr:uid="{00000000-0005-0000-0000-0000244B0000}"/>
    <cellStyle name="Percent 2 2 12" xfId="19090" xr:uid="{00000000-0005-0000-0000-0000254B0000}"/>
    <cellStyle name="Percent 2 2 12 10" xfId="19091" xr:uid="{00000000-0005-0000-0000-0000264B0000}"/>
    <cellStyle name="Percent 2 2 12 11" xfId="19092" xr:uid="{00000000-0005-0000-0000-0000274B0000}"/>
    <cellStyle name="Percent 2 2 12 12" xfId="19093" xr:uid="{00000000-0005-0000-0000-0000284B0000}"/>
    <cellStyle name="Percent 2 2 12 13" xfId="19094" xr:uid="{00000000-0005-0000-0000-0000294B0000}"/>
    <cellStyle name="Percent 2 2 12 14" xfId="19095" xr:uid="{00000000-0005-0000-0000-00002A4B0000}"/>
    <cellStyle name="Percent 2 2 12 15" xfId="19096" xr:uid="{00000000-0005-0000-0000-00002B4B0000}"/>
    <cellStyle name="Percent 2 2 12 16" xfId="19097" xr:uid="{00000000-0005-0000-0000-00002C4B0000}"/>
    <cellStyle name="Percent 2 2 12 17" xfId="19098" xr:uid="{00000000-0005-0000-0000-00002D4B0000}"/>
    <cellStyle name="Percent 2 2 12 2" xfId="19099" xr:uid="{00000000-0005-0000-0000-00002E4B0000}"/>
    <cellStyle name="Percent 2 2 12 3" xfId="19100" xr:uid="{00000000-0005-0000-0000-00002F4B0000}"/>
    <cellStyle name="Percent 2 2 12 4" xfId="19101" xr:uid="{00000000-0005-0000-0000-0000304B0000}"/>
    <cellStyle name="Percent 2 2 12 5" xfId="19102" xr:uid="{00000000-0005-0000-0000-0000314B0000}"/>
    <cellStyle name="Percent 2 2 12 6" xfId="19103" xr:uid="{00000000-0005-0000-0000-0000324B0000}"/>
    <cellStyle name="Percent 2 2 12 7" xfId="19104" xr:uid="{00000000-0005-0000-0000-0000334B0000}"/>
    <cellStyle name="Percent 2 2 12 8" xfId="19105" xr:uid="{00000000-0005-0000-0000-0000344B0000}"/>
    <cellStyle name="Percent 2 2 12 9" xfId="19106" xr:uid="{00000000-0005-0000-0000-0000354B0000}"/>
    <cellStyle name="Percent 2 2 13" xfId="19107" xr:uid="{00000000-0005-0000-0000-0000364B0000}"/>
    <cellStyle name="Percent 2 2 13 10" xfId="19108" xr:uid="{00000000-0005-0000-0000-0000374B0000}"/>
    <cellStyle name="Percent 2 2 13 11" xfId="19109" xr:uid="{00000000-0005-0000-0000-0000384B0000}"/>
    <cellStyle name="Percent 2 2 13 12" xfId="19110" xr:uid="{00000000-0005-0000-0000-0000394B0000}"/>
    <cellStyle name="Percent 2 2 13 13" xfId="19111" xr:uid="{00000000-0005-0000-0000-00003A4B0000}"/>
    <cellStyle name="Percent 2 2 13 14" xfId="19112" xr:uid="{00000000-0005-0000-0000-00003B4B0000}"/>
    <cellStyle name="Percent 2 2 13 15" xfId="19113" xr:uid="{00000000-0005-0000-0000-00003C4B0000}"/>
    <cellStyle name="Percent 2 2 13 16" xfId="19114" xr:uid="{00000000-0005-0000-0000-00003D4B0000}"/>
    <cellStyle name="Percent 2 2 13 17" xfId="19115" xr:uid="{00000000-0005-0000-0000-00003E4B0000}"/>
    <cellStyle name="Percent 2 2 13 2" xfId="19116" xr:uid="{00000000-0005-0000-0000-00003F4B0000}"/>
    <cellStyle name="Percent 2 2 13 3" xfId="19117" xr:uid="{00000000-0005-0000-0000-0000404B0000}"/>
    <cellStyle name="Percent 2 2 13 4" xfId="19118" xr:uid="{00000000-0005-0000-0000-0000414B0000}"/>
    <cellStyle name="Percent 2 2 13 5" xfId="19119" xr:uid="{00000000-0005-0000-0000-0000424B0000}"/>
    <cellStyle name="Percent 2 2 13 6" xfId="19120" xr:uid="{00000000-0005-0000-0000-0000434B0000}"/>
    <cellStyle name="Percent 2 2 13 7" xfId="19121" xr:uid="{00000000-0005-0000-0000-0000444B0000}"/>
    <cellStyle name="Percent 2 2 13 8" xfId="19122" xr:uid="{00000000-0005-0000-0000-0000454B0000}"/>
    <cellStyle name="Percent 2 2 13 9" xfId="19123" xr:uid="{00000000-0005-0000-0000-0000464B0000}"/>
    <cellStyle name="Percent 2 2 14" xfId="19124" xr:uid="{00000000-0005-0000-0000-0000474B0000}"/>
    <cellStyle name="Percent 2 2 14 10" xfId="19125" xr:uid="{00000000-0005-0000-0000-0000484B0000}"/>
    <cellStyle name="Percent 2 2 14 11" xfId="19126" xr:uid="{00000000-0005-0000-0000-0000494B0000}"/>
    <cellStyle name="Percent 2 2 14 12" xfId="19127" xr:uid="{00000000-0005-0000-0000-00004A4B0000}"/>
    <cellStyle name="Percent 2 2 14 13" xfId="19128" xr:uid="{00000000-0005-0000-0000-00004B4B0000}"/>
    <cellStyle name="Percent 2 2 14 14" xfId="19129" xr:uid="{00000000-0005-0000-0000-00004C4B0000}"/>
    <cellStyle name="Percent 2 2 14 15" xfId="19130" xr:uid="{00000000-0005-0000-0000-00004D4B0000}"/>
    <cellStyle name="Percent 2 2 14 16" xfId="19131" xr:uid="{00000000-0005-0000-0000-00004E4B0000}"/>
    <cellStyle name="Percent 2 2 14 17" xfId="19132" xr:uid="{00000000-0005-0000-0000-00004F4B0000}"/>
    <cellStyle name="Percent 2 2 14 2" xfId="19133" xr:uid="{00000000-0005-0000-0000-0000504B0000}"/>
    <cellStyle name="Percent 2 2 14 3" xfId="19134" xr:uid="{00000000-0005-0000-0000-0000514B0000}"/>
    <cellStyle name="Percent 2 2 14 4" xfId="19135" xr:uid="{00000000-0005-0000-0000-0000524B0000}"/>
    <cellStyle name="Percent 2 2 14 5" xfId="19136" xr:uid="{00000000-0005-0000-0000-0000534B0000}"/>
    <cellStyle name="Percent 2 2 14 6" xfId="19137" xr:uid="{00000000-0005-0000-0000-0000544B0000}"/>
    <cellStyle name="Percent 2 2 14 7" xfId="19138" xr:uid="{00000000-0005-0000-0000-0000554B0000}"/>
    <cellStyle name="Percent 2 2 14 8" xfId="19139" xr:uid="{00000000-0005-0000-0000-0000564B0000}"/>
    <cellStyle name="Percent 2 2 14 9" xfId="19140" xr:uid="{00000000-0005-0000-0000-0000574B0000}"/>
    <cellStyle name="Percent 2 2 15" xfId="19141" xr:uid="{00000000-0005-0000-0000-0000584B0000}"/>
    <cellStyle name="Percent 2 2 15 10" xfId="19142" xr:uid="{00000000-0005-0000-0000-0000594B0000}"/>
    <cellStyle name="Percent 2 2 15 11" xfId="19143" xr:uid="{00000000-0005-0000-0000-00005A4B0000}"/>
    <cellStyle name="Percent 2 2 15 12" xfId="19144" xr:uid="{00000000-0005-0000-0000-00005B4B0000}"/>
    <cellStyle name="Percent 2 2 15 13" xfId="19145" xr:uid="{00000000-0005-0000-0000-00005C4B0000}"/>
    <cellStyle name="Percent 2 2 15 14" xfId="19146" xr:uid="{00000000-0005-0000-0000-00005D4B0000}"/>
    <cellStyle name="Percent 2 2 15 15" xfId="19147" xr:uid="{00000000-0005-0000-0000-00005E4B0000}"/>
    <cellStyle name="Percent 2 2 15 16" xfId="19148" xr:uid="{00000000-0005-0000-0000-00005F4B0000}"/>
    <cellStyle name="Percent 2 2 15 17" xfId="19149" xr:uid="{00000000-0005-0000-0000-0000604B0000}"/>
    <cellStyle name="Percent 2 2 15 2" xfId="19150" xr:uid="{00000000-0005-0000-0000-0000614B0000}"/>
    <cellStyle name="Percent 2 2 15 3" xfId="19151" xr:uid="{00000000-0005-0000-0000-0000624B0000}"/>
    <cellStyle name="Percent 2 2 15 4" xfId="19152" xr:uid="{00000000-0005-0000-0000-0000634B0000}"/>
    <cellStyle name="Percent 2 2 15 5" xfId="19153" xr:uid="{00000000-0005-0000-0000-0000644B0000}"/>
    <cellStyle name="Percent 2 2 15 6" xfId="19154" xr:uid="{00000000-0005-0000-0000-0000654B0000}"/>
    <cellStyle name="Percent 2 2 15 7" xfId="19155" xr:uid="{00000000-0005-0000-0000-0000664B0000}"/>
    <cellStyle name="Percent 2 2 15 8" xfId="19156" xr:uid="{00000000-0005-0000-0000-0000674B0000}"/>
    <cellStyle name="Percent 2 2 15 9" xfId="19157" xr:uid="{00000000-0005-0000-0000-0000684B0000}"/>
    <cellStyle name="Percent 2 2 16" xfId="19158" xr:uid="{00000000-0005-0000-0000-0000694B0000}"/>
    <cellStyle name="Percent 2 2 16 10" xfId="19159" xr:uid="{00000000-0005-0000-0000-00006A4B0000}"/>
    <cellStyle name="Percent 2 2 16 11" xfId="19160" xr:uid="{00000000-0005-0000-0000-00006B4B0000}"/>
    <cellStyle name="Percent 2 2 16 12" xfId="19161" xr:uid="{00000000-0005-0000-0000-00006C4B0000}"/>
    <cellStyle name="Percent 2 2 16 13" xfId="19162" xr:uid="{00000000-0005-0000-0000-00006D4B0000}"/>
    <cellStyle name="Percent 2 2 16 14" xfId="19163" xr:uid="{00000000-0005-0000-0000-00006E4B0000}"/>
    <cellStyle name="Percent 2 2 16 15" xfId="19164" xr:uid="{00000000-0005-0000-0000-00006F4B0000}"/>
    <cellStyle name="Percent 2 2 16 16" xfId="19165" xr:uid="{00000000-0005-0000-0000-0000704B0000}"/>
    <cellStyle name="Percent 2 2 16 17" xfId="19166" xr:uid="{00000000-0005-0000-0000-0000714B0000}"/>
    <cellStyle name="Percent 2 2 16 2" xfId="19167" xr:uid="{00000000-0005-0000-0000-0000724B0000}"/>
    <cellStyle name="Percent 2 2 16 3" xfId="19168" xr:uid="{00000000-0005-0000-0000-0000734B0000}"/>
    <cellStyle name="Percent 2 2 16 4" xfId="19169" xr:uid="{00000000-0005-0000-0000-0000744B0000}"/>
    <cellStyle name="Percent 2 2 16 5" xfId="19170" xr:uid="{00000000-0005-0000-0000-0000754B0000}"/>
    <cellStyle name="Percent 2 2 16 6" xfId="19171" xr:uid="{00000000-0005-0000-0000-0000764B0000}"/>
    <cellStyle name="Percent 2 2 16 7" xfId="19172" xr:uid="{00000000-0005-0000-0000-0000774B0000}"/>
    <cellStyle name="Percent 2 2 16 8" xfId="19173" xr:uid="{00000000-0005-0000-0000-0000784B0000}"/>
    <cellStyle name="Percent 2 2 16 9" xfId="19174" xr:uid="{00000000-0005-0000-0000-0000794B0000}"/>
    <cellStyle name="Percent 2 2 17" xfId="19175" xr:uid="{00000000-0005-0000-0000-00007A4B0000}"/>
    <cellStyle name="Percent 2 2 17 10" xfId="19176" xr:uid="{00000000-0005-0000-0000-00007B4B0000}"/>
    <cellStyle name="Percent 2 2 17 11" xfId="19177" xr:uid="{00000000-0005-0000-0000-00007C4B0000}"/>
    <cellStyle name="Percent 2 2 17 12" xfId="19178" xr:uid="{00000000-0005-0000-0000-00007D4B0000}"/>
    <cellStyle name="Percent 2 2 17 13" xfId="19179" xr:uid="{00000000-0005-0000-0000-00007E4B0000}"/>
    <cellStyle name="Percent 2 2 17 14" xfId="19180" xr:uid="{00000000-0005-0000-0000-00007F4B0000}"/>
    <cellStyle name="Percent 2 2 17 15" xfId="19181" xr:uid="{00000000-0005-0000-0000-0000804B0000}"/>
    <cellStyle name="Percent 2 2 17 16" xfId="19182" xr:uid="{00000000-0005-0000-0000-0000814B0000}"/>
    <cellStyle name="Percent 2 2 17 17" xfId="19183" xr:uid="{00000000-0005-0000-0000-0000824B0000}"/>
    <cellStyle name="Percent 2 2 17 2" xfId="19184" xr:uid="{00000000-0005-0000-0000-0000834B0000}"/>
    <cellStyle name="Percent 2 2 17 3" xfId="19185" xr:uid="{00000000-0005-0000-0000-0000844B0000}"/>
    <cellStyle name="Percent 2 2 17 4" xfId="19186" xr:uid="{00000000-0005-0000-0000-0000854B0000}"/>
    <cellStyle name="Percent 2 2 17 5" xfId="19187" xr:uid="{00000000-0005-0000-0000-0000864B0000}"/>
    <cellStyle name="Percent 2 2 17 6" xfId="19188" xr:uid="{00000000-0005-0000-0000-0000874B0000}"/>
    <cellStyle name="Percent 2 2 17 7" xfId="19189" xr:uid="{00000000-0005-0000-0000-0000884B0000}"/>
    <cellStyle name="Percent 2 2 17 8" xfId="19190" xr:uid="{00000000-0005-0000-0000-0000894B0000}"/>
    <cellStyle name="Percent 2 2 17 9" xfId="19191" xr:uid="{00000000-0005-0000-0000-00008A4B0000}"/>
    <cellStyle name="Percent 2 2 18" xfId="19192" xr:uid="{00000000-0005-0000-0000-00008B4B0000}"/>
    <cellStyle name="Percent 2 2 18 10" xfId="19193" xr:uid="{00000000-0005-0000-0000-00008C4B0000}"/>
    <cellStyle name="Percent 2 2 18 11" xfId="19194" xr:uid="{00000000-0005-0000-0000-00008D4B0000}"/>
    <cellStyle name="Percent 2 2 18 12" xfId="19195" xr:uid="{00000000-0005-0000-0000-00008E4B0000}"/>
    <cellStyle name="Percent 2 2 18 13" xfId="19196" xr:uid="{00000000-0005-0000-0000-00008F4B0000}"/>
    <cellStyle name="Percent 2 2 18 14" xfId="19197" xr:uid="{00000000-0005-0000-0000-0000904B0000}"/>
    <cellStyle name="Percent 2 2 18 15" xfId="19198" xr:uid="{00000000-0005-0000-0000-0000914B0000}"/>
    <cellStyle name="Percent 2 2 18 16" xfId="19199" xr:uid="{00000000-0005-0000-0000-0000924B0000}"/>
    <cellStyle name="Percent 2 2 18 17" xfId="19200" xr:uid="{00000000-0005-0000-0000-0000934B0000}"/>
    <cellStyle name="Percent 2 2 18 2" xfId="19201" xr:uid="{00000000-0005-0000-0000-0000944B0000}"/>
    <cellStyle name="Percent 2 2 18 3" xfId="19202" xr:uid="{00000000-0005-0000-0000-0000954B0000}"/>
    <cellStyle name="Percent 2 2 18 4" xfId="19203" xr:uid="{00000000-0005-0000-0000-0000964B0000}"/>
    <cellStyle name="Percent 2 2 18 5" xfId="19204" xr:uid="{00000000-0005-0000-0000-0000974B0000}"/>
    <cellStyle name="Percent 2 2 18 6" xfId="19205" xr:uid="{00000000-0005-0000-0000-0000984B0000}"/>
    <cellStyle name="Percent 2 2 18 7" xfId="19206" xr:uid="{00000000-0005-0000-0000-0000994B0000}"/>
    <cellStyle name="Percent 2 2 18 8" xfId="19207" xr:uid="{00000000-0005-0000-0000-00009A4B0000}"/>
    <cellStyle name="Percent 2 2 18 9" xfId="19208" xr:uid="{00000000-0005-0000-0000-00009B4B0000}"/>
    <cellStyle name="Percent 2 2 19" xfId="19209" xr:uid="{00000000-0005-0000-0000-00009C4B0000}"/>
    <cellStyle name="Percent 2 2 19 10" xfId="19210" xr:uid="{00000000-0005-0000-0000-00009D4B0000}"/>
    <cellStyle name="Percent 2 2 19 11" xfId="19211" xr:uid="{00000000-0005-0000-0000-00009E4B0000}"/>
    <cellStyle name="Percent 2 2 19 12" xfId="19212" xr:uid="{00000000-0005-0000-0000-00009F4B0000}"/>
    <cellStyle name="Percent 2 2 19 13" xfId="19213" xr:uid="{00000000-0005-0000-0000-0000A04B0000}"/>
    <cellStyle name="Percent 2 2 19 14" xfId="19214" xr:uid="{00000000-0005-0000-0000-0000A14B0000}"/>
    <cellStyle name="Percent 2 2 19 15" xfId="19215" xr:uid="{00000000-0005-0000-0000-0000A24B0000}"/>
    <cellStyle name="Percent 2 2 19 16" xfId="19216" xr:uid="{00000000-0005-0000-0000-0000A34B0000}"/>
    <cellStyle name="Percent 2 2 19 17" xfId="19217" xr:uid="{00000000-0005-0000-0000-0000A44B0000}"/>
    <cellStyle name="Percent 2 2 19 2" xfId="19218" xr:uid="{00000000-0005-0000-0000-0000A54B0000}"/>
    <cellStyle name="Percent 2 2 19 3" xfId="19219" xr:uid="{00000000-0005-0000-0000-0000A64B0000}"/>
    <cellStyle name="Percent 2 2 19 4" xfId="19220" xr:uid="{00000000-0005-0000-0000-0000A74B0000}"/>
    <cellStyle name="Percent 2 2 19 5" xfId="19221" xr:uid="{00000000-0005-0000-0000-0000A84B0000}"/>
    <cellStyle name="Percent 2 2 19 6" xfId="19222" xr:uid="{00000000-0005-0000-0000-0000A94B0000}"/>
    <cellStyle name="Percent 2 2 19 7" xfId="19223" xr:uid="{00000000-0005-0000-0000-0000AA4B0000}"/>
    <cellStyle name="Percent 2 2 19 8" xfId="19224" xr:uid="{00000000-0005-0000-0000-0000AB4B0000}"/>
    <cellStyle name="Percent 2 2 19 9" xfId="19225" xr:uid="{00000000-0005-0000-0000-0000AC4B0000}"/>
    <cellStyle name="Percent 2 2 2" xfId="19226" xr:uid="{00000000-0005-0000-0000-0000AD4B0000}"/>
    <cellStyle name="Percent 2 2 2 2" xfId="19227" xr:uid="{00000000-0005-0000-0000-0000AE4B0000}"/>
    <cellStyle name="Percent 2 2 2 2 10" xfId="19228" xr:uid="{00000000-0005-0000-0000-0000AF4B0000}"/>
    <cellStyle name="Percent 2 2 2 2 11" xfId="19229" xr:uid="{00000000-0005-0000-0000-0000B04B0000}"/>
    <cellStyle name="Percent 2 2 2 2 12" xfId="19230" xr:uid="{00000000-0005-0000-0000-0000B14B0000}"/>
    <cellStyle name="Percent 2 2 2 2 13" xfId="19231" xr:uid="{00000000-0005-0000-0000-0000B24B0000}"/>
    <cellStyle name="Percent 2 2 2 2 14" xfId="19232" xr:uid="{00000000-0005-0000-0000-0000B34B0000}"/>
    <cellStyle name="Percent 2 2 2 2 15" xfId="19233" xr:uid="{00000000-0005-0000-0000-0000B44B0000}"/>
    <cellStyle name="Percent 2 2 2 2 16" xfId="19234" xr:uid="{00000000-0005-0000-0000-0000B54B0000}"/>
    <cellStyle name="Percent 2 2 2 2 17" xfId="19235" xr:uid="{00000000-0005-0000-0000-0000B64B0000}"/>
    <cellStyle name="Percent 2 2 2 2 2" xfId="19236" xr:uid="{00000000-0005-0000-0000-0000B74B0000}"/>
    <cellStyle name="Percent 2 2 2 2 3" xfId="19237" xr:uid="{00000000-0005-0000-0000-0000B84B0000}"/>
    <cellStyle name="Percent 2 2 2 2 4" xfId="19238" xr:uid="{00000000-0005-0000-0000-0000B94B0000}"/>
    <cellStyle name="Percent 2 2 2 2 5" xfId="19239" xr:uid="{00000000-0005-0000-0000-0000BA4B0000}"/>
    <cellStyle name="Percent 2 2 2 2 6" xfId="19240" xr:uid="{00000000-0005-0000-0000-0000BB4B0000}"/>
    <cellStyle name="Percent 2 2 2 2 7" xfId="19241" xr:uid="{00000000-0005-0000-0000-0000BC4B0000}"/>
    <cellStyle name="Percent 2 2 2 2 8" xfId="19242" xr:uid="{00000000-0005-0000-0000-0000BD4B0000}"/>
    <cellStyle name="Percent 2 2 2 2 9" xfId="19243" xr:uid="{00000000-0005-0000-0000-0000BE4B0000}"/>
    <cellStyle name="Percent 2 2 2 3" xfId="19244" xr:uid="{00000000-0005-0000-0000-0000BF4B0000}"/>
    <cellStyle name="Percent 2 2 2 3 10" xfId="19245" xr:uid="{00000000-0005-0000-0000-0000C04B0000}"/>
    <cellStyle name="Percent 2 2 2 3 11" xfId="19246" xr:uid="{00000000-0005-0000-0000-0000C14B0000}"/>
    <cellStyle name="Percent 2 2 2 3 12" xfId="19247" xr:uid="{00000000-0005-0000-0000-0000C24B0000}"/>
    <cellStyle name="Percent 2 2 2 3 13" xfId="19248" xr:uid="{00000000-0005-0000-0000-0000C34B0000}"/>
    <cellStyle name="Percent 2 2 2 3 14" xfId="19249" xr:uid="{00000000-0005-0000-0000-0000C44B0000}"/>
    <cellStyle name="Percent 2 2 2 3 15" xfId="19250" xr:uid="{00000000-0005-0000-0000-0000C54B0000}"/>
    <cellStyle name="Percent 2 2 2 3 16" xfId="19251" xr:uid="{00000000-0005-0000-0000-0000C64B0000}"/>
    <cellStyle name="Percent 2 2 2 3 17" xfId="19252" xr:uid="{00000000-0005-0000-0000-0000C74B0000}"/>
    <cellStyle name="Percent 2 2 2 3 2" xfId="19253" xr:uid="{00000000-0005-0000-0000-0000C84B0000}"/>
    <cellStyle name="Percent 2 2 2 3 3" xfId="19254" xr:uid="{00000000-0005-0000-0000-0000C94B0000}"/>
    <cellStyle name="Percent 2 2 2 3 4" xfId="19255" xr:uid="{00000000-0005-0000-0000-0000CA4B0000}"/>
    <cellStyle name="Percent 2 2 2 3 5" xfId="19256" xr:uid="{00000000-0005-0000-0000-0000CB4B0000}"/>
    <cellStyle name="Percent 2 2 2 3 6" xfId="19257" xr:uid="{00000000-0005-0000-0000-0000CC4B0000}"/>
    <cellStyle name="Percent 2 2 2 3 7" xfId="19258" xr:uid="{00000000-0005-0000-0000-0000CD4B0000}"/>
    <cellStyle name="Percent 2 2 2 3 8" xfId="19259" xr:uid="{00000000-0005-0000-0000-0000CE4B0000}"/>
    <cellStyle name="Percent 2 2 2 3 9" xfId="19260" xr:uid="{00000000-0005-0000-0000-0000CF4B0000}"/>
    <cellStyle name="Percent 2 2 20" xfId="19261" xr:uid="{00000000-0005-0000-0000-0000D04B0000}"/>
    <cellStyle name="Percent 2 2 20 10" xfId="19262" xr:uid="{00000000-0005-0000-0000-0000D14B0000}"/>
    <cellStyle name="Percent 2 2 20 11" xfId="19263" xr:uid="{00000000-0005-0000-0000-0000D24B0000}"/>
    <cellStyle name="Percent 2 2 20 12" xfId="19264" xr:uid="{00000000-0005-0000-0000-0000D34B0000}"/>
    <cellStyle name="Percent 2 2 20 13" xfId="19265" xr:uid="{00000000-0005-0000-0000-0000D44B0000}"/>
    <cellStyle name="Percent 2 2 20 14" xfId="19266" xr:uid="{00000000-0005-0000-0000-0000D54B0000}"/>
    <cellStyle name="Percent 2 2 20 15" xfId="19267" xr:uid="{00000000-0005-0000-0000-0000D64B0000}"/>
    <cellStyle name="Percent 2 2 20 16" xfId="19268" xr:uid="{00000000-0005-0000-0000-0000D74B0000}"/>
    <cellStyle name="Percent 2 2 20 17" xfId="19269" xr:uid="{00000000-0005-0000-0000-0000D84B0000}"/>
    <cellStyle name="Percent 2 2 20 2" xfId="19270" xr:uid="{00000000-0005-0000-0000-0000D94B0000}"/>
    <cellStyle name="Percent 2 2 20 3" xfId="19271" xr:uid="{00000000-0005-0000-0000-0000DA4B0000}"/>
    <cellStyle name="Percent 2 2 20 4" xfId="19272" xr:uid="{00000000-0005-0000-0000-0000DB4B0000}"/>
    <cellStyle name="Percent 2 2 20 5" xfId="19273" xr:uid="{00000000-0005-0000-0000-0000DC4B0000}"/>
    <cellStyle name="Percent 2 2 20 6" xfId="19274" xr:uid="{00000000-0005-0000-0000-0000DD4B0000}"/>
    <cellStyle name="Percent 2 2 20 7" xfId="19275" xr:uid="{00000000-0005-0000-0000-0000DE4B0000}"/>
    <cellStyle name="Percent 2 2 20 8" xfId="19276" xr:uid="{00000000-0005-0000-0000-0000DF4B0000}"/>
    <cellStyle name="Percent 2 2 20 9" xfId="19277" xr:uid="{00000000-0005-0000-0000-0000E04B0000}"/>
    <cellStyle name="Percent 2 2 21" xfId="19278" xr:uid="{00000000-0005-0000-0000-0000E14B0000}"/>
    <cellStyle name="Percent 2 2 21 10" xfId="19279" xr:uid="{00000000-0005-0000-0000-0000E24B0000}"/>
    <cellStyle name="Percent 2 2 21 11" xfId="19280" xr:uid="{00000000-0005-0000-0000-0000E34B0000}"/>
    <cellStyle name="Percent 2 2 21 12" xfId="19281" xr:uid="{00000000-0005-0000-0000-0000E44B0000}"/>
    <cellStyle name="Percent 2 2 21 13" xfId="19282" xr:uid="{00000000-0005-0000-0000-0000E54B0000}"/>
    <cellStyle name="Percent 2 2 21 14" xfId="19283" xr:uid="{00000000-0005-0000-0000-0000E64B0000}"/>
    <cellStyle name="Percent 2 2 21 15" xfId="19284" xr:uid="{00000000-0005-0000-0000-0000E74B0000}"/>
    <cellStyle name="Percent 2 2 21 16" xfId="19285" xr:uid="{00000000-0005-0000-0000-0000E84B0000}"/>
    <cellStyle name="Percent 2 2 21 17" xfId="19286" xr:uid="{00000000-0005-0000-0000-0000E94B0000}"/>
    <cellStyle name="Percent 2 2 21 2" xfId="19287" xr:uid="{00000000-0005-0000-0000-0000EA4B0000}"/>
    <cellStyle name="Percent 2 2 21 3" xfId="19288" xr:uid="{00000000-0005-0000-0000-0000EB4B0000}"/>
    <cellStyle name="Percent 2 2 21 4" xfId="19289" xr:uid="{00000000-0005-0000-0000-0000EC4B0000}"/>
    <cellStyle name="Percent 2 2 21 5" xfId="19290" xr:uid="{00000000-0005-0000-0000-0000ED4B0000}"/>
    <cellStyle name="Percent 2 2 21 6" xfId="19291" xr:uid="{00000000-0005-0000-0000-0000EE4B0000}"/>
    <cellStyle name="Percent 2 2 21 7" xfId="19292" xr:uid="{00000000-0005-0000-0000-0000EF4B0000}"/>
    <cellStyle name="Percent 2 2 21 8" xfId="19293" xr:uid="{00000000-0005-0000-0000-0000F04B0000}"/>
    <cellStyle name="Percent 2 2 21 9" xfId="19294" xr:uid="{00000000-0005-0000-0000-0000F14B0000}"/>
    <cellStyle name="Percent 2 2 22" xfId="19295" xr:uid="{00000000-0005-0000-0000-0000F24B0000}"/>
    <cellStyle name="Percent 2 2 22 10" xfId="19296" xr:uid="{00000000-0005-0000-0000-0000F34B0000}"/>
    <cellStyle name="Percent 2 2 22 11" xfId="19297" xr:uid="{00000000-0005-0000-0000-0000F44B0000}"/>
    <cellStyle name="Percent 2 2 22 12" xfId="19298" xr:uid="{00000000-0005-0000-0000-0000F54B0000}"/>
    <cellStyle name="Percent 2 2 22 13" xfId="19299" xr:uid="{00000000-0005-0000-0000-0000F64B0000}"/>
    <cellStyle name="Percent 2 2 22 14" xfId="19300" xr:uid="{00000000-0005-0000-0000-0000F74B0000}"/>
    <cellStyle name="Percent 2 2 22 15" xfId="19301" xr:uid="{00000000-0005-0000-0000-0000F84B0000}"/>
    <cellStyle name="Percent 2 2 22 16" xfId="19302" xr:uid="{00000000-0005-0000-0000-0000F94B0000}"/>
    <cellStyle name="Percent 2 2 22 17" xfId="19303" xr:uid="{00000000-0005-0000-0000-0000FA4B0000}"/>
    <cellStyle name="Percent 2 2 22 2" xfId="19304" xr:uid="{00000000-0005-0000-0000-0000FB4B0000}"/>
    <cellStyle name="Percent 2 2 22 3" xfId="19305" xr:uid="{00000000-0005-0000-0000-0000FC4B0000}"/>
    <cellStyle name="Percent 2 2 22 4" xfId="19306" xr:uid="{00000000-0005-0000-0000-0000FD4B0000}"/>
    <cellStyle name="Percent 2 2 22 5" xfId="19307" xr:uid="{00000000-0005-0000-0000-0000FE4B0000}"/>
    <cellStyle name="Percent 2 2 22 6" xfId="19308" xr:uid="{00000000-0005-0000-0000-0000FF4B0000}"/>
    <cellStyle name="Percent 2 2 22 7" xfId="19309" xr:uid="{00000000-0005-0000-0000-0000004C0000}"/>
    <cellStyle name="Percent 2 2 22 8" xfId="19310" xr:uid="{00000000-0005-0000-0000-0000014C0000}"/>
    <cellStyle name="Percent 2 2 22 9" xfId="19311" xr:uid="{00000000-0005-0000-0000-0000024C0000}"/>
    <cellStyle name="Percent 2 2 23" xfId="19312" xr:uid="{00000000-0005-0000-0000-0000034C0000}"/>
    <cellStyle name="Percent 2 2 23 10" xfId="19313" xr:uid="{00000000-0005-0000-0000-0000044C0000}"/>
    <cellStyle name="Percent 2 2 23 11" xfId="19314" xr:uid="{00000000-0005-0000-0000-0000054C0000}"/>
    <cellStyle name="Percent 2 2 23 12" xfId="19315" xr:uid="{00000000-0005-0000-0000-0000064C0000}"/>
    <cellStyle name="Percent 2 2 23 13" xfId="19316" xr:uid="{00000000-0005-0000-0000-0000074C0000}"/>
    <cellStyle name="Percent 2 2 23 14" xfId="19317" xr:uid="{00000000-0005-0000-0000-0000084C0000}"/>
    <cellStyle name="Percent 2 2 23 15" xfId="19318" xr:uid="{00000000-0005-0000-0000-0000094C0000}"/>
    <cellStyle name="Percent 2 2 23 16" xfId="19319" xr:uid="{00000000-0005-0000-0000-00000A4C0000}"/>
    <cellStyle name="Percent 2 2 23 17" xfId="19320" xr:uid="{00000000-0005-0000-0000-00000B4C0000}"/>
    <cellStyle name="Percent 2 2 23 2" xfId="19321" xr:uid="{00000000-0005-0000-0000-00000C4C0000}"/>
    <cellStyle name="Percent 2 2 23 3" xfId="19322" xr:uid="{00000000-0005-0000-0000-00000D4C0000}"/>
    <cellStyle name="Percent 2 2 23 4" xfId="19323" xr:uid="{00000000-0005-0000-0000-00000E4C0000}"/>
    <cellStyle name="Percent 2 2 23 5" xfId="19324" xr:uid="{00000000-0005-0000-0000-00000F4C0000}"/>
    <cellStyle name="Percent 2 2 23 6" xfId="19325" xr:uid="{00000000-0005-0000-0000-0000104C0000}"/>
    <cellStyle name="Percent 2 2 23 7" xfId="19326" xr:uid="{00000000-0005-0000-0000-0000114C0000}"/>
    <cellStyle name="Percent 2 2 23 8" xfId="19327" xr:uid="{00000000-0005-0000-0000-0000124C0000}"/>
    <cellStyle name="Percent 2 2 23 9" xfId="19328" xr:uid="{00000000-0005-0000-0000-0000134C0000}"/>
    <cellStyle name="Percent 2 2 24" xfId="19329" xr:uid="{00000000-0005-0000-0000-0000144C0000}"/>
    <cellStyle name="Percent 2 2 24 10" xfId="19330" xr:uid="{00000000-0005-0000-0000-0000154C0000}"/>
    <cellStyle name="Percent 2 2 24 11" xfId="19331" xr:uid="{00000000-0005-0000-0000-0000164C0000}"/>
    <cellStyle name="Percent 2 2 24 12" xfId="19332" xr:uid="{00000000-0005-0000-0000-0000174C0000}"/>
    <cellStyle name="Percent 2 2 24 13" xfId="19333" xr:uid="{00000000-0005-0000-0000-0000184C0000}"/>
    <cellStyle name="Percent 2 2 24 14" xfId="19334" xr:uid="{00000000-0005-0000-0000-0000194C0000}"/>
    <cellStyle name="Percent 2 2 24 15" xfId="19335" xr:uid="{00000000-0005-0000-0000-00001A4C0000}"/>
    <cellStyle name="Percent 2 2 24 16" xfId="19336" xr:uid="{00000000-0005-0000-0000-00001B4C0000}"/>
    <cellStyle name="Percent 2 2 24 17" xfId="19337" xr:uid="{00000000-0005-0000-0000-00001C4C0000}"/>
    <cellStyle name="Percent 2 2 24 2" xfId="19338" xr:uid="{00000000-0005-0000-0000-00001D4C0000}"/>
    <cellStyle name="Percent 2 2 24 3" xfId="19339" xr:uid="{00000000-0005-0000-0000-00001E4C0000}"/>
    <cellStyle name="Percent 2 2 24 4" xfId="19340" xr:uid="{00000000-0005-0000-0000-00001F4C0000}"/>
    <cellStyle name="Percent 2 2 24 5" xfId="19341" xr:uid="{00000000-0005-0000-0000-0000204C0000}"/>
    <cellStyle name="Percent 2 2 24 6" xfId="19342" xr:uid="{00000000-0005-0000-0000-0000214C0000}"/>
    <cellStyle name="Percent 2 2 24 7" xfId="19343" xr:uid="{00000000-0005-0000-0000-0000224C0000}"/>
    <cellStyle name="Percent 2 2 24 8" xfId="19344" xr:uid="{00000000-0005-0000-0000-0000234C0000}"/>
    <cellStyle name="Percent 2 2 24 9" xfId="19345" xr:uid="{00000000-0005-0000-0000-0000244C0000}"/>
    <cellStyle name="Percent 2 2 25" xfId="19346" xr:uid="{00000000-0005-0000-0000-0000254C0000}"/>
    <cellStyle name="Percent 2 2 25 10" xfId="19347" xr:uid="{00000000-0005-0000-0000-0000264C0000}"/>
    <cellStyle name="Percent 2 2 25 11" xfId="19348" xr:uid="{00000000-0005-0000-0000-0000274C0000}"/>
    <cellStyle name="Percent 2 2 25 12" xfId="19349" xr:uid="{00000000-0005-0000-0000-0000284C0000}"/>
    <cellStyle name="Percent 2 2 25 13" xfId="19350" xr:uid="{00000000-0005-0000-0000-0000294C0000}"/>
    <cellStyle name="Percent 2 2 25 14" xfId="19351" xr:uid="{00000000-0005-0000-0000-00002A4C0000}"/>
    <cellStyle name="Percent 2 2 25 15" xfId="19352" xr:uid="{00000000-0005-0000-0000-00002B4C0000}"/>
    <cellStyle name="Percent 2 2 25 16" xfId="19353" xr:uid="{00000000-0005-0000-0000-00002C4C0000}"/>
    <cellStyle name="Percent 2 2 25 17" xfId="19354" xr:uid="{00000000-0005-0000-0000-00002D4C0000}"/>
    <cellStyle name="Percent 2 2 25 2" xfId="19355" xr:uid="{00000000-0005-0000-0000-00002E4C0000}"/>
    <cellStyle name="Percent 2 2 25 3" xfId="19356" xr:uid="{00000000-0005-0000-0000-00002F4C0000}"/>
    <cellStyle name="Percent 2 2 25 4" xfId="19357" xr:uid="{00000000-0005-0000-0000-0000304C0000}"/>
    <cellStyle name="Percent 2 2 25 5" xfId="19358" xr:uid="{00000000-0005-0000-0000-0000314C0000}"/>
    <cellStyle name="Percent 2 2 25 6" xfId="19359" xr:uid="{00000000-0005-0000-0000-0000324C0000}"/>
    <cellStyle name="Percent 2 2 25 7" xfId="19360" xr:uid="{00000000-0005-0000-0000-0000334C0000}"/>
    <cellStyle name="Percent 2 2 25 8" xfId="19361" xr:uid="{00000000-0005-0000-0000-0000344C0000}"/>
    <cellStyle name="Percent 2 2 25 9" xfId="19362" xr:uid="{00000000-0005-0000-0000-0000354C0000}"/>
    <cellStyle name="Percent 2 2 26" xfId="19363" xr:uid="{00000000-0005-0000-0000-0000364C0000}"/>
    <cellStyle name="Percent 2 2 26 10" xfId="19364" xr:uid="{00000000-0005-0000-0000-0000374C0000}"/>
    <cellStyle name="Percent 2 2 26 11" xfId="19365" xr:uid="{00000000-0005-0000-0000-0000384C0000}"/>
    <cellStyle name="Percent 2 2 26 12" xfId="19366" xr:uid="{00000000-0005-0000-0000-0000394C0000}"/>
    <cellStyle name="Percent 2 2 26 13" xfId="19367" xr:uid="{00000000-0005-0000-0000-00003A4C0000}"/>
    <cellStyle name="Percent 2 2 26 14" xfId="19368" xr:uid="{00000000-0005-0000-0000-00003B4C0000}"/>
    <cellStyle name="Percent 2 2 26 15" xfId="19369" xr:uid="{00000000-0005-0000-0000-00003C4C0000}"/>
    <cellStyle name="Percent 2 2 26 16" xfId="19370" xr:uid="{00000000-0005-0000-0000-00003D4C0000}"/>
    <cellStyle name="Percent 2 2 26 17" xfId="19371" xr:uid="{00000000-0005-0000-0000-00003E4C0000}"/>
    <cellStyle name="Percent 2 2 26 2" xfId="19372" xr:uid="{00000000-0005-0000-0000-00003F4C0000}"/>
    <cellStyle name="Percent 2 2 26 3" xfId="19373" xr:uid="{00000000-0005-0000-0000-0000404C0000}"/>
    <cellStyle name="Percent 2 2 26 4" xfId="19374" xr:uid="{00000000-0005-0000-0000-0000414C0000}"/>
    <cellStyle name="Percent 2 2 26 5" xfId="19375" xr:uid="{00000000-0005-0000-0000-0000424C0000}"/>
    <cellStyle name="Percent 2 2 26 6" xfId="19376" xr:uid="{00000000-0005-0000-0000-0000434C0000}"/>
    <cellStyle name="Percent 2 2 26 7" xfId="19377" xr:uid="{00000000-0005-0000-0000-0000444C0000}"/>
    <cellStyle name="Percent 2 2 26 8" xfId="19378" xr:uid="{00000000-0005-0000-0000-0000454C0000}"/>
    <cellStyle name="Percent 2 2 26 9" xfId="19379" xr:uid="{00000000-0005-0000-0000-0000464C0000}"/>
    <cellStyle name="Percent 2 2 27" xfId="19380" xr:uid="{00000000-0005-0000-0000-0000474C0000}"/>
    <cellStyle name="Percent 2 2 27 10" xfId="19381" xr:uid="{00000000-0005-0000-0000-0000484C0000}"/>
    <cellStyle name="Percent 2 2 27 11" xfId="19382" xr:uid="{00000000-0005-0000-0000-0000494C0000}"/>
    <cellStyle name="Percent 2 2 27 12" xfId="19383" xr:uid="{00000000-0005-0000-0000-00004A4C0000}"/>
    <cellStyle name="Percent 2 2 27 13" xfId="19384" xr:uid="{00000000-0005-0000-0000-00004B4C0000}"/>
    <cellStyle name="Percent 2 2 27 14" xfId="19385" xr:uid="{00000000-0005-0000-0000-00004C4C0000}"/>
    <cellStyle name="Percent 2 2 27 15" xfId="19386" xr:uid="{00000000-0005-0000-0000-00004D4C0000}"/>
    <cellStyle name="Percent 2 2 27 16" xfId="19387" xr:uid="{00000000-0005-0000-0000-00004E4C0000}"/>
    <cellStyle name="Percent 2 2 27 17" xfId="19388" xr:uid="{00000000-0005-0000-0000-00004F4C0000}"/>
    <cellStyle name="Percent 2 2 27 2" xfId="19389" xr:uid="{00000000-0005-0000-0000-0000504C0000}"/>
    <cellStyle name="Percent 2 2 27 3" xfId="19390" xr:uid="{00000000-0005-0000-0000-0000514C0000}"/>
    <cellStyle name="Percent 2 2 27 4" xfId="19391" xr:uid="{00000000-0005-0000-0000-0000524C0000}"/>
    <cellStyle name="Percent 2 2 27 5" xfId="19392" xr:uid="{00000000-0005-0000-0000-0000534C0000}"/>
    <cellStyle name="Percent 2 2 27 6" xfId="19393" xr:uid="{00000000-0005-0000-0000-0000544C0000}"/>
    <cellStyle name="Percent 2 2 27 7" xfId="19394" xr:uid="{00000000-0005-0000-0000-0000554C0000}"/>
    <cellStyle name="Percent 2 2 27 8" xfId="19395" xr:uid="{00000000-0005-0000-0000-0000564C0000}"/>
    <cellStyle name="Percent 2 2 27 9" xfId="19396" xr:uid="{00000000-0005-0000-0000-0000574C0000}"/>
    <cellStyle name="Percent 2 2 28" xfId="19397" xr:uid="{00000000-0005-0000-0000-0000584C0000}"/>
    <cellStyle name="Percent 2 2 28 10" xfId="19398" xr:uid="{00000000-0005-0000-0000-0000594C0000}"/>
    <cellStyle name="Percent 2 2 28 11" xfId="19399" xr:uid="{00000000-0005-0000-0000-00005A4C0000}"/>
    <cellStyle name="Percent 2 2 28 12" xfId="19400" xr:uid="{00000000-0005-0000-0000-00005B4C0000}"/>
    <cellStyle name="Percent 2 2 28 13" xfId="19401" xr:uid="{00000000-0005-0000-0000-00005C4C0000}"/>
    <cellStyle name="Percent 2 2 28 14" xfId="19402" xr:uid="{00000000-0005-0000-0000-00005D4C0000}"/>
    <cellStyle name="Percent 2 2 28 15" xfId="19403" xr:uid="{00000000-0005-0000-0000-00005E4C0000}"/>
    <cellStyle name="Percent 2 2 28 16" xfId="19404" xr:uid="{00000000-0005-0000-0000-00005F4C0000}"/>
    <cellStyle name="Percent 2 2 28 17" xfId="19405" xr:uid="{00000000-0005-0000-0000-0000604C0000}"/>
    <cellStyle name="Percent 2 2 28 2" xfId="19406" xr:uid="{00000000-0005-0000-0000-0000614C0000}"/>
    <cellStyle name="Percent 2 2 28 3" xfId="19407" xr:uid="{00000000-0005-0000-0000-0000624C0000}"/>
    <cellStyle name="Percent 2 2 28 4" xfId="19408" xr:uid="{00000000-0005-0000-0000-0000634C0000}"/>
    <cellStyle name="Percent 2 2 28 5" xfId="19409" xr:uid="{00000000-0005-0000-0000-0000644C0000}"/>
    <cellStyle name="Percent 2 2 28 6" xfId="19410" xr:uid="{00000000-0005-0000-0000-0000654C0000}"/>
    <cellStyle name="Percent 2 2 28 7" xfId="19411" xr:uid="{00000000-0005-0000-0000-0000664C0000}"/>
    <cellStyle name="Percent 2 2 28 8" xfId="19412" xr:uid="{00000000-0005-0000-0000-0000674C0000}"/>
    <cellStyle name="Percent 2 2 28 9" xfId="19413" xr:uid="{00000000-0005-0000-0000-0000684C0000}"/>
    <cellStyle name="Percent 2 2 29" xfId="19414" xr:uid="{00000000-0005-0000-0000-0000694C0000}"/>
    <cellStyle name="Percent 2 2 29 10" xfId="19415" xr:uid="{00000000-0005-0000-0000-00006A4C0000}"/>
    <cellStyle name="Percent 2 2 29 11" xfId="19416" xr:uid="{00000000-0005-0000-0000-00006B4C0000}"/>
    <cellStyle name="Percent 2 2 29 12" xfId="19417" xr:uid="{00000000-0005-0000-0000-00006C4C0000}"/>
    <cellStyle name="Percent 2 2 29 13" xfId="19418" xr:uid="{00000000-0005-0000-0000-00006D4C0000}"/>
    <cellStyle name="Percent 2 2 29 14" xfId="19419" xr:uid="{00000000-0005-0000-0000-00006E4C0000}"/>
    <cellStyle name="Percent 2 2 29 15" xfId="19420" xr:uid="{00000000-0005-0000-0000-00006F4C0000}"/>
    <cellStyle name="Percent 2 2 29 16" xfId="19421" xr:uid="{00000000-0005-0000-0000-0000704C0000}"/>
    <cellStyle name="Percent 2 2 29 17" xfId="19422" xr:uid="{00000000-0005-0000-0000-0000714C0000}"/>
    <cellStyle name="Percent 2 2 29 2" xfId="19423" xr:uid="{00000000-0005-0000-0000-0000724C0000}"/>
    <cellStyle name="Percent 2 2 29 3" xfId="19424" xr:uid="{00000000-0005-0000-0000-0000734C0000}"/>
    <cellStyle name="Percent 2 2 29 4" xfId="19425" xr:uid="{00000000-0005-0000-0000-0000744C0000}"/>
    <cellStyle name="Percent 2 2 29 5" xfId="19426" xr:uid="{00000000-0005-0000-0000-0000754C0000}"/>
    <cellStyle name="Percent 2 2 29 6" xfId="19427" xr:uid="{00000000-0005-0000-0000-0000764C0000}"/>
    <cellStyle name="Percent 2 2 29 7" xfId="19428" xr:uid="{00000000-0005-0000-0000-0000774C0000}"/>
    <cellStyle name="Percent 2 2 29 8" xfId="19429" xr:uid="{00000000-0005-0000-0000-0000784C0000}"/>
    <cellStyle name="Percent 2 2 29 9" xfId="19430" xr:uid="{00000000-0005-0000-0000-0000794C0000}"/>
    <cellStyle name="Percent 2 2 3" xfId="19431" xr:uid="{00000000-0005-0000-0000-00007A4C0000}"/>
    <cellStyle name="Percent 2 2 3 10" xfId="19432" xr:uid="{00000000-0005-0000-0000-00007B4C0000}"/>
    <cellStyle name="Percent 2 2 3 11" xfId="19433" xr:uid="{00000000-0005-0000-0000-00007C4C0000}"/>
    <cellStyle name="Percent 2 2 3 12" xfId="19434" xr:uid="{00000000-0005-0000-0000-00007D4C0000}"/>
    <cellStyle name="Percent 2 2 3 13" xfId="19435" xr:uid="{00000000-0005-0000-0000-00007E4C0000}"/>
    <cellStyle name="Percent 2 2 3 14" xfId="19436" xr:uid="{00000000-0005-0000-0000-00007F4C0000}"/>
    <cellStyle name="Percent 2 2 3 15" xfId="19437" xr:uid="{00000000-0005-0000-0000-0000804C0000}"/>
    <cellStyle name="Percent 2 2 3 16" xfId="19438" xr:uid="{00000000-0005-0000-0000-0000814C0000}"/>
    <cellStyle name="Percent 2 2 3 17" xfId="19439" xr:uid="{00000000-0005-0000-0000-0000824C0000}"/>
    <cellStyle name="Percent 2 2 3 2" xfId="19440" xr:uid="{00000000-0005-0000-0000-0000834C0000}"/>
    <cellStyle name="Percent 2 2 3 3" xfId="19441" xr:uid="{00000000-0005-0000-0000-0000844C0000}"/>
    <cellStyle name="Percent 2 2 3 4" xfId="19442" xr:uid="{00000000-0005-0000-0000-0000854C0000}"/>
    <cellStyle name="Percent 2 2 3 5" xfId="19443" xr:uid="{00000000-0005-0000-0000-0000864C0000}"/>
    <cellStyle name="Percent 2 2 3 6" xfId="19444" xr:uid="{00000000-0005-0000-0000-0000874C0000}"/>
    <cellStyle name="Percent 2 2 3 7" xfId="19445" xr:uid="{00000000-0005-0000-0000-0000884C0000}"/>
    <cellStyle name="Percent 2 2 3 8" xfId="19446" xr:uid="{00000000-0005-0000-0000-0000894C0000}"/>
    <cellStyle name="Percent 2 2 3 9" xfId="19447" xr:uid="{00000000-0005-0000-0000-00008A4C0000}"/>
    <cellStyle name="Percent 2 2 30" xfId="19448" xr:uid="{00000000-0005-0000-0000-00008B4C0000}"/>
    <cellStyle name="Percent 2 2 30 10" xfId="19449" xr:uid="{00000000-0005-0000-0000-00008C4C0000}"/>
    <cellStyle name="Percent 2 2 30 11" xfId="19450" xr:uid="{00000000-0005-0000-0000-00008D4C0000}"/>
    <cellStyle name="Percent 2 2 30 12" xfId="19451" xr:uid="{00000000-0005-0000-0000-00008E4C0000}"/>
    <cellStyle name="Percent 2 2 30 13" xfId="19452" xr:uid="{00000000-0005-0000-0000-00008F4C0000}"/>
    <cellStyle name="Percent 2 2 30 14" xfId="19453" xr:uid="{00000000-0005-0000-0000-0000904C0000}"/>
    <cellStyle name="Percent 2 2 30 15" xfId="19454" xr:uid="{00000000-0005-0000-0000-0000914C0000}"/>
    <cellStyle name="Percent 2 2 30 16" xfId="19455" xr:uid="{00000000-0005-0000-0000-0000924C0000}"/>
    <cellStyle name="Percent 2 2 30 17" xfId="19456" xr:uid="{00000000-0005-0000-0000-0000934C0000}"/>
    <cellStyle name="Percent 2 2 30 2" xfId="19457" xr:uid="{00000000-0005-0000-0000-0000944C0000}"/>
    <cellStyle name="Percent 2 2 30 3" xfId="19458" xr:uid="{00000000-0005-0000-0000-0000954C0000}"/>
    <cellStyle name="Percent 2 2 30 4" xfId="19459" xr:uid="{00000000-0005-0000-0000-0000964C0000}"/>
    <cellStyle name="Percent 2 2 30 5" xfId="19460" xr:uid="{00000000-0005-0000-0000-0000974C0000}"/>
    <cellStyle name="Percent 2 2 30 6" xfId="19461" xr:uid="{00000000-0005-0000-0000-0000984C0000}"/>
    <cellStyle name="Percent 2 2 30 7" xfId="19462" xr:uid="{00000000-0005-0000-0000-0000994C0000}"/>
    <cellStyle name="Percent 2 2 30 8" xfId="19463" xr:uid="{00000000-0005-0000-0000-00009A4C0000}"/>
    <cellStyle name="Percent 2 2 30 9" xfId="19464" xr:uid="{00000000-0005-0000-0000-00009B4C0000}"/>
    <cellStyle name="Percent 2 2 31" xfId="19465" xr:uid="{00000000-0005-0000-0000-00009C4C0000}"/>
    <cellStyle name="Percent 2 2 31 10" xfId="19466" xr:uid="{00000000-0005-0000-0000-00009D4C0000}"/>
    <cellStyle name="Percent 2 2 31 11" xfId="19467" xr:uid="{00000000-0005-0000-0000-00009E4C0000}"/>
    <cellStyle name="Percent 2 2 31 12" xfId="19468" xr:uid="{00000000-0005-0000-0000-00009F4C0000}"/>
    <cellStyle name="Percent 2 2 31 13" xfId="19469" xr:uid="{00000000-0005-0000-0000-0000A04C0000}"/>
    <cellStyle name="Percent 2 2 31 14" xfId="19470" xr:uid="{00000000-0005-0000-0000-0000A14C0000}"/>
    <cellStyle name="Percent 2 2 31 15" xfId="19471" xr:uid="{00000000-0005-0000-0000-0000A24C0000}"/>
    <cellStyle name="Percent 2 2 31 16" xfId="19472" xr:uid="{00000000-0005-0000-0000-0000A34C0000}"/>
    <cellStyle name="Percent 2 2 31 17" xfId="19473" xr:uid="{00000000-0005-0000-0000-0000A44C0000}"/>
    <cellStyle name="Percent 2 2 31 2" xfId="19474" xr:uid="{00000000-0005-0000-0000-0000A54C0000}"/>
    <cellStyle name="Percent 2 2 31 3" xfId="19475" xr:uid="{00000000-0005-0000-0000-0000A64C0000}"/>
    <cellStyle name="Percent 2 2 31 4" xfId="19476" xr:uid="{00000000-0005-0000-0000-0000A74C0000}"/>
    <cellStyle name="Percent 2 2 31 5" xfId="19477" xr:uid="{00000000-0005-0000-0000-0000A84C0000}"/>
    <cellStyle name="Percent 2 2 31 6" xfId="19478" xr:uid="{00000000-0005-0000-0000-0000A94C0000}"/>
    <cellStyle name="Percent 2 2 31 7" xfId="19479" xr:uid="{00000000-0005-0000-0000-0000AA4C0000}"/>
    <cellStyle name="Percent 2 2 31 8" xfId="19480" xr:uid="{00000000-0005-0000-0000-0000AB4C0000}"/>
    <cellStyle name="Percent 2 2 31 9" xfId="19481" xr:uid="{00000000-0005-0000-0000-0000AC4C0000}"/>
    <cellStyle name="Percent 2 2 32" xfId="19482" xr:uid="{00000000-0005-0000-0000-0000AD4C0000}"/>
    <cellStyle name="Percent 2 2 32 10" xfId="19483" xr:uid="{00000000-0005-0000-0000-0000AE4C0000}"/>
    <cellStyle name="Percent 2 2 32 11" xfId="19484" xr:uid="{00000000-0005-0000-0000-0000AF4C0000}"/>
    <cellStyle name="Percent 2 2 32 12" xfId="19485" xr:uid="{00000000-0005-0000-0000-0000B04C0000}"/>
    <cellStyle name="Percent 2 2 32 13" xfId="19486" xr:uid="{00000000-0005-0000-0000-0000B14C0000}"/>
    <cellStyle name="Percent 2 2 32 14" xfId="19487" xr:uid="{00000000-0005-0000-0000-0000B24C0000}"/>
    <cellStyle name="Percent 2 2 32 15" xfId="19488" xr:uid="{00000000-0005-0000-0000-0000B34C0000}"/>
    <cellStyle name="Percent 2 2 32 16" xfId="19489" xr:uid="{00000000-0005-0000-0000-0000B44C0000}"/>
    <cellStyle name="Percent 2 2 32 17" xfId="19490" xr:uid="{00000000-0005-0000-0000-0000B54C0000}"/>
    <cellStyle name="Percent 2 2 32 2" xfId="19491" xr:uid="{00000000-0005-0000-0000-0000B64C0000}"/>
    <cellStyle name="Percent 2 2 32 3" xfId="19492" xr:uid="{00000000-0005-0000-0000-0000B74C0000}"/>
    <cellStyle name="Percent 2 2 32 4" xfId="19493" xr:uid="{00000000-0005-0000-0000-0000B84C0000}"/>
    <cellStyle name="Percent 2 2 32 5" xfId="19494" xr:uid="{00000000-0005-0000-0000-0000B94C0000}"/>
    <cellStyle name="Percent 2 2 32 6" xfId="19495" xr:uid="{00000000-0005-0000-0000-0000BA4C0000}"/>
    <cellStyle name="Percent 2 2 32 7" xfId="19496" xr:uid="{00000000-0005-0000-0000-0000BB4C0000}"/>
    <cellStyle name="Percent 2 2 32 8" xfId="19497" xr:uid="{00000000-0005-0000-0000-0000BC4C0000}"/>
    <cellStyle name="Percent 2 2 32 9" xfId="19498" xr:uid="{00000000-0005-0000-0000-0000BD4C0000}"/>
    <cellStyle name="Percent 2 2 33" xfId="19499" xr:uid="{00000000-0005-0000-0000-0000BE4C0000}"/>
    <cellStyle name="Percent 2 2 33 10" xfId="19500" xr:uid="{00000000-0005-0000-0000-0000BF4C0000}"/>
    <cellStyle name="Percent 2 2 33 11" xfId="19501" xr:uid="{00000000-0005-0000-0000-0000C04C0000}"/>
    <cellStyle name="Percent 2 2 33 12" xfId="19502" xr:uid="{00000000-0005-0000-0000-0000C14C0000}"/>
    <cellStyle name="Percent 2 2 33 13" xfId="19503" xr:uid="{00000000-0005-0000-0000-0000C24C0000}"/>
    <cellStyle name="Percent 2 2 33 14" xfId="19504" xr:uid="{00000000-0005-0000-0000-0000C34C0000}"/>
    <cellStyle name="Percent 2 2 33 15" xfId="19505" xr:uid="{00000000-0005-0000-0000-0000C44C0000}"/>
    <cellStyle name="Percent 2 2 33 16" xfId="19506" xr:uid="{00000000-0005-0000-0000-0000C54C0000}"/>
    <cellStyle name="Percent 2 2 33 17" xfId="19507" xr:uid="{00000000-0005-0000-0000-0000C64C0000}"/>
    <cellStyle name="Percent 2 2 33 2" xfId="19508" xr:uid="{00000000-0005-0000-0000-0000C74C0000}"/>
    <cellStyle name="Percent 2 2 33 3" xfId="19509" xr:uid="{00000000-0005-0000-0000-0000C84C0000}"/>
    <cellStyle name="Percent 2 2 33 4" xfId="19510" xr:uid="{00000000-0005-0000-0000-0000C94C0000}"/>
    <cellStyle name="Percent 2 2 33 5" xfId="19511" xr:uid="{00000000-0005-0000-0000-0000CA4C0000}"/>
    <cellStyle name="Percent 2 2 33 6" xfId="19512" xr:uid="{00000000-0005-0000-0000-0000CB4C0000}"/>
    <cellStyle name="Percent 2 2 33 7" xfId="19513" xr:uid="{00000000-0005-0000-0000-0000CC4C0000}"/>
    <cellStyle name="Percent 2 2 33 8" xfId="19514" xr:uid="{00000000-0005-0000-0000-0000CD4C0000}"/>
    <cellStyle name="Percent 2 2 33 9" xfId="19515" xr:uid="{00000000-0005-0000-0000-0000CE4C0000}"/>
    <cellStyle name="Percent 2 2 34" xfId="19516" xr:uid="{00000000-0005-0000-0000-0000CF4C0000}"/>
    <cellStyle name="Percent 2 2 34 10" xfId="19517" xr:uid="{00000000-0005-0000-0000-0000D04C0000}"/>
    <cellStyle name="Percent 2 2 34 11" xfId="19518" xr:uid="{00000000-0005-0000-0000-0000D14C0000}"/>
    <cellStyle name="Percent 2 2 34 12" xfId="19519" xr:uid="{00000000-0005-0000-0000-0000D24C0000}"/>
    <cellStyle name="Percent 2 2 34 13" xfId="19520" xr:uid="{00000000-0005-0000-0000-0000D34C0000}"/>
    <cellStyle name="Percent 2 2 34 14" xfId="19521" xr:uid="{00000000-0005-0000-0000-0000D44C0000}"/>
    <cellStyle name="Percent 2 2 34 15" xfId="19522" xr:uid="{00000000-0005-0000-0000-0000D54C0000}"/>
    <cellStyle name="Percent 2 2 34 16" xfId="19523" xr:uid="{00000000-0005-0000-0000-0000D64C0000}"/>
    <cellStyle name="Percent 2 2 34 17" xfId="19524" xr:uid="{00000000-0005-0000-0000-0000D74C0000}"/>
    <cellStyle name="Percent 2 2 34 2" xfId="19525" xr:uid="{00000000-0005-0000-0000-0000D84C0000}"/>
    <cellStyle name="Percent 2 2 34 3" xfId="19526" xr:uid="{00000000-0005-0000-0000-0000D94C0000}"/>
    <cellStyle name="Percent 2 2 34 4" xfId="19527" xr:uid="{00000000-0005-0000-0000-0000DA4C0000}"/>
    <cellStyle name="Percent 2 2 34 5" xfId="19528" xr:uid="{00000000-0005-0000-0000-0000DB4C0000}"/>
    <cellStyle name="Percent 2 2 34 6" xfId="19529" xr:uid="{00000000-0005-0000-0000-0000DC4C0000}"/>
    <cellStyle name="Percent 2 2 34 7" xfId="19530" xr:uid="{00000000-0005-0000-0000-0000DD4C0000}"/>
    <cellStyle name="Percent 2 2 34 8" xfId="19531" xr:uid="{00000000-0005-0000-0000-0000DE4C0000}"/>
    <cellStyle name="Percent 2 2 34 9" xfId="19532" xr:uid="{00000000-0005-0000-0000-0000DF4C0000}"/>
    <cellStyle name="Percent 2 2 35" xfId="19533" xr:uid="{00000000-0005-0000-0000-0000E04C0000}"/>
    <cellStyle name="Percent 2 2 35 10" xfId="19534" xr:uid="{00000000-0005-0000-0000-0000E14C0000}"/>
    <cellStyle name="Percent 2 2 35 11" xfId="19535" xr:uid="{00000000-0005-0000-0000-0000E24C0000}"/>
    <cellStyle name="Percent 2 2 35 12" xfId="19536" xr:uid="{00000000-0005-0000-0000-0000E34C0000}"/>
    <cellStyle name="Percent 2 2 35 13" xfId="19537" xr:uid="{00000000-0005-0000-0000-0000E44C0000}"/>
    <cellStyle name="Percent 2 2 35 14" xfId="19538" xr:uid="{00000000-0005-0000-0000-0000E54C0000}"/>
    <cellStyle name="Percent 2 2 35 15" xfId="19539" xr:uid="{00000000-0005-0000-0000-0000E64C0000}"/>
    <cellStyle name="Percent 2 2 35 16" xfId="19540" xr:uid="{00000000-0005-0000-0000-0000E74C0000}"/>
    <cellStyle name="Percent 2 2 35 17" xfId="19541" xr:uid="{00000000-0005-0000-0000-0000E84C0000}"/>
    <cellStyle name="Percent 2 2 35 2" xfId="19542" xr:uid="{00000000-0005-0000-0000-0000E94C0000}"/>
    <cellStyle name="Percent 2 2 35 3" xfId="19543" xr:uid="{00000000-0005-0000-0000-0000EA4C0000}"/>
    <cellStyle name="Percent 2 2 35 4" xfId="19544" xr:uid="{00000000-0005-0000-0000-0000EB4C0000}"/>
    <cellStyle name="Percent 2 2 35 5" xfId="19545" xr:uid="{00000000-0005-0000-0000-0000EC4C0000}"/>
    <cellStyle name="Percent 2 2 35 6" xfId="19546" xr:uid="{00000000-0005-0000-0000-0000ED4C0000}"/>
    <cellStyle name="Percent 2 2 35 7" xfId="19547" xr:uid="{00000000-0005-0000-0000-0000EE4C0000}"/>
    <cellStyle name="Percent 2 2 35 8" xfId="19548" xr:uid="{00000000-0005-0000-0000-0000EF4C0000}"/>
    <cellStyle name="Percent 2 2 35 9" xfId="19549" xr:uid="{00000000-0005-0000-0000-0000F04C0000}"/>
    <cellStyle name="Percent 2 2 36" xfId="19550" xr:uid="{00000000-0005-0000-0000-0000F14C0000}"/>
    <cellStyle name="Percent 2 2 36 10" xfId="19551" xr:uid="{00000000-0005-0000-0000-0000F24C0000}"/>
    <cellStyle name="Percent 2 2 36 11" xfId="19552" xr:uid="{00000000-0005-0000-0000-0000F34C0000}"/>
    <cellStyle name="Percent 2 2 36 12" xfId="19553" xr:uid="{00000000-0005-0000-0000-0000F44C0000}"/>
    <cellStyle name="Percent 2 2 36 13" xfId="19554" xr:uid="{00000000-0005-0000-0000-0000F54C0000}"/>
    <cellStyle name="Percent 2 2 36 14" xfId="19555" xr:uid="{00000000-0005-0000-0000-0000F64C0000}"/>
    <cellStyle name="Percent 2 2 36 15" xfId="19556" xr:uid="{00000000-0005-0000-0000-0000F74C0000}"/>
    <cellStyle name="Percent 2 2 36 16" xfId="19557" xr:uid="{00000000-0005-0000-0000-0000F84C0000}"/>
    <cellStyle name="Percent 2 2 36 17" xfId="19558" xr:uid="{00000000-0005-0000-0000-0000F94C0000}"/>
    <cellStyle name="Percent 2 2 36 2" xfId="19559" xr:uid="{00000000-0005-0000-0000-0000FA4C0000}"/>
    <cellStyle name="Percent 2 2 36 3" xfId="19560" xr:uid="{00000000-0005-0000-0000-0000FB4C0000}"/>
    <cellStyle name="Percent 2 2 36 4" xfId="19561" xr:uid="{00000000-0005-0000-0000-0000FC4C0000}"/>
    <cellStyle name="Percent 2 2 36 5" xfId="19562" xr:uid="{00000000-0005-0000-0000-0000FD4C0000}"/>
    <cellStyle name="Percent 2 2 36 6" xfId="19563" xr:uid="{00000000-0005-0000-0000-0000FE4C0000}"/>
    <cellStyle name="Percent 2 2 36 7" xfId="19564" xr:uid="{00000000-0005-0000-0000-0000FF4C0000}"/>
    <cellStyle name="Percent 2 2 36 8" xfId="19565" xr:uid="{00000000-0005-0000-0000-0000004D0000}"/>
    <cellStyle name="Percent 2 2 36 9" xfId="19566" xr:uid="{00000000-0005-0000-0000-0000014D0000}"/>
    <cellStyle name="Percent 2 2 37" xfId="19567" xr:uid="{00000000-0005-0000-0000-0000024D0000}"/>
    <cellStyle name="Percent 2 2 37 10" xfId="19568" xr:uid="{00000000-0005-0000-0000-0000034D0000}"/>
    <cellStyle name="Percent 2 2 37 11" xfId="19569" xr:uid="{00000000-0005-0000-0000-0000044D0000}"/>
    <cellStyle name="Percent 2 2 37 12" xfId="19570" xr:uid="{00000000-0005-0000-0000-0000054D0000}"/>
    <cellStyle name="Percent 2 2 37 13" xfId="19571" xr:uid="{00000000-0005-0000-0000-0000064D0000}"/>
    <cellStyle name="Percent 2 2 37 14" xfId="19572" xr:uid="{00000000-0005-0000-0000-0000074D0000}"/>
    <cellStyle name="Percent 2 2 37 15" xfId="19573" xr:uid="{00000000-0005-0000-0000-0000084D0000}"/>
    <cellStyle name="Percent 2 2 37 16" xfId="19574" xr:uid="{00000000-0005-0000-0000-0000094D0000}"/>
    <cellStyle name="Percent 2 2 37 17" xfId="19575" xr:uid="{00000000-0005-0000-0000-00000A4D0000}"/>
    <cellStyle name="Percent 2 2 37 2" xfId="19576" xr:uid="{00000000-0005-0000-0000-00000B4D0000}"/>
    <cellStyle name="Percent 2 2 37 3" xfId="19577" xr:uid="{00000000-0005-0000-0000-00000C4D0000}"/>
    <cellStyle name="Percent 2 2 37 4" xfId="19578" xr:uid="{00000000-0005-0000-0000-00000D4D0000}"/>
    <cellStyle name="Percent 2 2 37 5" xfId="19579" xr:uid="{00000000-0005-0000-0000-00000E4D0000}"/>
    <cellStyle name="Percent 2 2 37 6" xfId="19580" xr:uid="{00000000-0005-0000-0000-00000F4D0000}"/>
    <cellStyle name="Percent 2 2 37 7" xfId="19581" xr:uid="{00000000-0005-0000-0000-0000104D0000}"/>
    <cellStyle name="Percent 2 2 37 8" xfId="19582" xr:uid="{00000000-0005-0000-0000-0000114D0000}"/>
    <cellStyle name="Percent 2 2 37 9" xfId="19583" xr:uid="{00000000-0005-0000-0000-0000124D0000}"/>
    <cellStyle name="Percent 2 2 38" xfId="19584" xr:uid="{00000000-0005-0000-0000-0000134D0000}"/>
    <cellStyle name="Percent 2 2 38 10" xfId="19585" xr:uid="{00000000-0005-0000-0000-0000144D0000}"/>
    <cellStyle name="Percent 2 2 38 11" xfId="19586" xr:uid="{00000000-0005-0000-0000-0000154D0000}"/>
    <cellStyle name="Percent 2 2 38 12" xfId="19587" xr:uid="{00000000-0005-0000-0000-0000164D0000}"/>
    <cellStyle name="Percent 2 2 38 13" xfId="19588" xr:uid="{00000000-0005-0000-0000-0000174D0000}"/>
    <cellStyle name="Percent 2 2 38 14" xfId="19589" xr:uid="{00000000-0005-0000-0000-0000184D0000}"/>
    <cellStyle name="Percent 2 2 38 15" xfId="19590" xr:uid="{00000000-0005-0000-0000-0000194D0000}"/>
    <cellStyle name="Percent 2 2 38 16" xfId="19591" xr:uid="{00000000-0005-0000-0000-00001A4D0000}"/>
    <cellStyle name="Percent 2 2 38 17" xfId="19592" xr:uid="{00000000-0005-0000-0000-00001B4D0000}"/>
    <cellStyle name="Percent 2 2 38 2" xfId="19593" xr:uid="{00000000-0005-0000-0000-00001C4D0000}"/>
    <cellStyle name="Percent 2 2 38 3" xfId="19594" xr:uid="{00000000-0005-0000-0000-00001D4D0000}"/>
    <cellStyle name="Percent 2 2 38 4" xfId="19595" xr:uid="{00000000-0005-0000-0000-00001E4D0000}"/>
    <cellStyle name="Percent 2 2 38 5" xfId="19596" xr:uid="{00000000-0005-0000-0000-00001F4D0000}"/>
    <cellStyle name="Percent 2 2 38 6" xfId="19597" xr:uid="{00000000-0005-0000-0000-0000204D0000}"/>
    <cellStyle name="Percent 2 2 38 7" xfId="19598" xr:uid="{00000000-0005-0000-0000-0000214D0000}"/>
    <cellStyle name="Percent 2 2 38 8" xfId="19599" xr:uid="{00000000-0005-0000-0000-0000224D0000}"/>
    <cellStyle name="Percent 2 2 38 9" xfId="19600" xr:uid="{00000000-0005-0000-0000-0000234D0000}"/>
    <cellStyle name="Percent 2 2 39" xfId="19601" xr:uid="{00000000-0005-0000-0000-0000244D0000}"/>
    <cellStyle name="Percent 2 2 39 10" xfId="19602" xr:uid="{00000000-0005-0000-0000-0000254D0000}"/>
    <cellStyle name="Percent 2 2 39 11" xfId="19603" xr:uid="{00000000-0005-0000-0000-0000264D0000}"/>
    <cellStyle name="Percent 2 2 39 12" xfId="19604" xr:uid="{00000000-0005-0000-0000-0000274D0000}"/>
    <cellStyle name="Percent 2 2 39 13" xfId="19605" xr:uid="{00000000-0005-0000-0000-0000284D0000}"/>
    <cellStyle name="Percent 2 2 39 14" xfId="19606" xr:uid="{00000000-0005-0000-0000-0000294D0000}"/>
    <cellStyle name="Percent 2 2 39 15" xfId="19607" xr:uid="{00000000-0005-0000-0000-00002A4D0000}"/>
    <cellStyle name="Percent 2 2 39 16" xfId="19608" xr:uid="{00000000-0005-0000-0000-00002B4D0000}"/>
    <cellStyle name="Percent 2 2 39 17" xfId="19609" xr:uid="{00000000-0005-0000-0000-00002C4D0000}"/>
    <cellStyle name="Percent 2 2 39 2" xfId="19610" xr:uid="{00000000-0005-0000-0000-00002D4D0000}"/>
    <cellStyle name="Percent 2 2 39 3" xfId="19611" xr:uid="{00000000-0005-0000-0000-00002E4D0000}"/>
    <cellStyle name="Percent 2 2 39 4" xfId="19612" xr:uid="{00000000-0005-0000-0000-00002F4D0000}"/>
    <cellStyle name="Percent 2 2 39 5" xfId="19613" xr:uid="{00000000-0005-0000-0000-0000304D0000}"/>
    <cellStyle name="Percent 2 2 39 6" xfId="19614" xr:uid="{00000000-0005-0000-0000-0000314D0000}"/>
    <cellStyle name="Percent 2 2 39 7" xfId="19615" xr:uid="{00000000-0005-0000-0000-0000324D0000}"/>
    <cellStyle name="Percent 2 2 39 8" xfId="19616" xr:uid="{00000000-0005-0000-0000-0000334D0000}"/>
    <cellStyle name="Percent 2 2 39 9" xfId="19617" xr:uid="{00000000-0005-0000-0000-0000344D0000}"/>
    <cellStyle name="Percent 2 2 4" xfId="19618" xr:uid="{00000000-0005-0000-0000-0000354D0000}"/>
    <cellStyle name="Percent 2 2 4 10" xfId="19619" xr:uid="{00000000-0005-0000-0000-0000364D0000}"/>
    <cellStyle name="Percent 2 2 4 11" xfId="19620" xr:uid="{00000000-0005-0000-0000-0000374D0000}"/>
    <cellStyle name="Percent 2 2 4 12" xfId="19621" xr:uid="{00000000-0005-0000-0000-0000384D0000}"/>
    <cellStyle name="Percent 2 2 4 13" xfId="19622" xr:uid="{00000000-0005-0000-0000-0000394D0000}"/>
    <cellStyle name="Percent 2 2 4 14" xfId="19623" xr:uid="{00000000-0005-0000-0000-00003A4D0000}"/>
    <cellStyle name="Percent 2 2 4 15" xfId="19624" xr:uid="{00000000-0005-0000-0000-00003B4D0000}"/>
    <cellStyle name="Percent 2 2 4 16" xfId="19625" xr:uid="{00000000-0005-0000-0000-00003C4D0000}"/>
    <cellStyle name="Percent 2 2 4 17" xfId="19626" xr:uid="{00000000-0005-0000-0000-00003D4D0000}"/>
    <cellStyle name="Percent 2 2 4 2" xfId="19627" xr:uid="{00000000-0005-0000-0000-00003E4D0000}"/>
    <cellStyle name="Percent 2 2 4 3" xfId="19628" xr:uid="{00000000-0005-0000-0000-00003F4D0000}"/>
    <cellStyle name="Percent 2 2 4 4" xfId="19629" xr:uid="{00000000-0005-0000-0000-0000404D0000}"/>
    <cellStyle name="Percent 2 2 4 5" xfId="19630" xr:uid="{00000000-0005-0000-0000-0000414D0000}"/>
    <cellStyle name="Percent 2 2 4 6" xfId="19631" xr:uid="{00000000-0005-0000-0000-0000424D0000}"/>
    <cellStyle name="Percent 2 2 4 7" xfId="19632" xr:uid="{00000000-0005-0000-0000-0000434D0000}"/>
    <cellStyle name="Percent 2 2 4 8" xfId="19633" xr:uid="{00000000-0005-0000-0000-0000444D0000}"/>
    <cellStyle name="Percent 2 2 4 9" xfId="19634" xr:uid="{00000000-0005-0000-0000-0000454D0000}"/>
    <cellStyle name="Percent 2 2 40" xfId="19635" xr:uid="{00000000-0005-0000-0000-0000464D0000}"/>
    <cellStyle name="Percent 2 2 40 10" xfId="19636" xr:uid="{00000000-0005-0000-0000-0000474D0000}"/>
    <cellStyle name="Percent 2 2 40 11" xfId="19637" xr:uid="{00000000-0005-0000-0000-0000484D0000}"/>
    <cellStyle name="Percent 2 2 40 12" xfId="19638" xr:uid="{00000000-0005-0000-0000-0000494D0000}"/>
    <cellStyle name="Percent 2 2 40 13" xfId="19639" xr:uid="{00000000-0005-0000-0000-00004A4D0000}"/>
    <cellStyle name="Percent 2 2 40 14" xfId="19640" xr:uid="{00000000-0005-0000-0000-00004B4D0000}"/>
    <cellStyle name="Percent 2 2 40 15" xfId="19641" xr:uid="{00000000-0005-0000-0000-00004C4D0000}"/>
    <cellStyle name="Percent 2 2 40 16" xfId="19642" xr:uid="{00000000-0005-0000-0000-00004D4D0000}"/>
    <cellStyle name="Percent 2 2 40 17" xfId="19643" xr:uid="{00000000-0005-0000-0000-00004E4D0000}"/>
    <cellStyle name="Percent 2 2 40 2" xfId="19644" xr:uid="{00000000-0005-0000-0000-00004F4D0000}"/>
    <cellStyle name="Percent 2 2 40 3" xfId="19645" xr:uid="{00000000-0005-0000-0000-0000504D0000}"/>
    <cellStyle name="Percent 2 2 40 4" xfId="19646" xr:uid="{00000000-0005-0000-0000-0000514D0000}"/>
    <cellStyle name="Percent 2 2 40 5" xfId="19647" xr:uid="{00000000-0005-0000-0000-0000524D0000}"/>
    <cellStyle name="Percent 2 2 40 6" xfId="19648" xr:uid="{00000000-0005-0000-0000-0000534D0000}"/>
    <cellStyle name="Percent 2 2 40 7" xfId="19649" xr:uid="{00000000-0005-0000-0000-0000544D0000}"/>
    <cellStyle name="Percent 2 2 40 8" xfId="19650" xr:uid="{00000000-0005-0000-0000-0000554D0000}"/>
    <cellStyle name="Percent 2 2 40 9" xfId="19651" xr:uid="{00000000-0005-0000-0000-0000564D0000}"/>
    <cellStyle name="Percent 2 2 41" xfId="19652" xr:uid="{00000000-0005-0000-0000-0000574D0000}"/>
    <cellStyle name="Percent 2 2 41 10" xfId="19653" xr:uid="{00000000-0005-0000-0000-0000584D0000}"/>
    <cellStyle name="Percent 2 2 41 11" xfId="19654" xr:uid="{00000000-0005-0000-0000-0000594D0000}"/>
    <cellStyle name="Percent 2 2 41 12" xfId="19655" xr:uid="{00000000-0005-0000-0000-00005A4D0000}"/>
    <cellStyle name="Percent 2 2 41 13" xfId="19656" xr:uid="{00000000-0005-0000-0000-00005B4D0000}"/>
    <cellStyle name="Percent 2 2 41 14" xfId="19657" xr:uid="{00000000-0005-0000-0000-00005C4D0000}"/>
    <cellStyle name="Percent 2 2 41 15" xfId="19658" xr:uid="{00000000-0005-0000-0000-00005D4D0000}"/>
    <cellStyle name="Percent 2 2 41 16" xfId="19659" xr:uid="{00000000-0005-0000-0000-00005E4D0000}"/>
    <cellStyle name="Percent 2 2 41 17" xfId="19660" xr:uid="{00000000-0005-0000-0000-00005F4D0000}"/>
    <cellStyle name="Percent 2 2 41 2" xfId="19661" xr:uid="{00000000-0005-0000-0000-0000604D0000}"/>
    <cellStyle name="Percent 2 2 41 3" xfId="19662" xr:uid="{00000000-0005-0000-0000-0000614D0000}"/>
    <cellStyle name="Percent 2 2 41 4" xfId="19663" xr:uid="{00000000-0005-0000-0000-0000624D0000}"/>
    <cellStyle name="Percent 2 2 41 5" xfId="19664" xr:uid="{00000000-0005-0000-0000-0000634D0000}"/>
    <cellStyle name="Percent 2 2 41 6" xfId="19665" xr:uid="{00000000-0005-0000-0000-0000644D0000}"/>
    <cellStyle name="Percent 2 2 41 7" xfId="19666" xr:uid="{00000000-0005-0000-0000-0000654D0000}"/>
    <cellStyle name="Percent 2 2 41 8" xfId="19667" xr:uid="{00000000-0005-0000-0000-0000664D0000}"/>
    <cellStyle name="Percent 2 2 41 9" xfId="19668" xr:uid="{00000000-0005-0000-0000-0000674D0000}"/>
    <cellStyle name="Percent 2 2 42" xfId="19669" xr:uid="{00000000-0005-0000-0000-0000684D0000}"/>
    <cellStyle name="Percent 2 2 42 10" xfId="19670" xr:uid="{00000000-0005-0000-0000-0000694D0000}"/>
    <cellStyle name="Percent 2 2 42 11" xfId="19671" xr:uid="{00000000-0005-0000-0000-00006A4D0000}"/>
    <cellStyle name="Percent 2 2 42 12" xfId="19672" xr:uid="{00000000-0005-0000-0000-00006B4D0000}"/>
    <cellStyle name="Percent 2 2 42 13" xfId="19673" xr:uid="{00000000-0005-0000-0000-00006C4D0000}"/>
    <cellStyle name="Percent 2 2 42 14" xfId="19674" xr:uid="{00000000-0005-0000-0000-00006D4D0000}"/>
    <cellStyle name="Percent 2 2 42 15" xfId="19675" xr:uid="{00000000-0005-0000-0000-00006E4D0000}"/>
    <cellStyle name="Percent 2 2 42 16" xfId="19676" xr:uid="{00000000-0005-0000-0000-00006F4D0000}"/>
    <cellStyle name="Percent 2 2 42 17" xfId="19677" xr:uid="{00000000-0005-0000-0000-0000704D0000}"/>
    <cellStyle name="Percent 2 2 42 2" xfId="19678" xr:uid="{00000000-0005-0000-0000-0000714D0000}"/>
    <cellStyle name="Percent 2 2 42 3" xfId="19679" xr:uid="{00000000-0005-0000-0000-0000724D0000}"/>
    <cellStyle name="Percent 2 2 42 4" xfId="19680" xr:uid="{00000000-0005-0000-0000-0000734D0000}"/>
    <cellStyle name="Percent 2 2 42 5" xfId="19681" xr:uid="{00000000-0005-0000-0000-0000744D0000}"/>
    <cellStyle name="Percent 2 2 42 6" xfId="19682" xr:uid="{00000000-0005-0000-0000-0000754D0000}"/>
    <cellStyle name="Percent 2 2 42 7" xfId="19683" xr:uid="{00000000-0005-0000-0000-0000764D0000}"/>
    <cellStyle name="Percent 2 2 42 8" xfId="19684" xr:uid="{00000000-0005-0000-0000-0000774D0000}"/>
    <cellStyle name="Percent 2 2 42 9" xfId="19685" xr:uid="{00000000-0005-0000-0000-0000784D0000}"/>
    <cellStyle name="Percent 2 2 43" xfId="19686" xr:uid="{00000000-0005-0000-0000-0000794D0000}"/>
    <cellStyle name="Percent 2 2 43 10" xfId="19687" xr:uid="{00000000-0005-0000-0000-00007A4D0000}"/>
    <cellStyle name="Percent 2 2 43 11" xfId="19688" xr:uid="{00000000-0005-0000-0000-00007B4D0000}"/>
    <cellStyle name="Percent 2 2 43 12" xfId="19689" xr:uid="{00000000-0005-0000-0000-00007C4D0000}"/>
    <cellStyle name="Percent 2 2 43 13" xfId="19690" xr:uid="{00000000-0005-0000-0000-00007D4D0000}"/>
    <cellStyle name="Percent 2 2 43 14" xfId="19691" xr:uid="{00000000-0005-0000-0000-00007E4D0000}"/>
    <cellStyle name="Percent 2 2 43 15" xfId="19692" xr:uid="{00000000-0005-0000-0000-00007F4D0000}"/>
    <cellStyle name="Percent 2 2 43 16" xfId="19693" xr:uid="{00000000-0005-0000-0000-0000804D0000}"/>
    <cellStyle name="Percent 2 2 43 17" xfId="19694" xr:uid="{00000000-0005-0000-0000-0000814D0000}"/>
    <cellStyle name="Percent 2 2 43 2" xfId="19695" xr:uid="{00000000-0005-0000-0000-0000824D0000}"/>
    <cellStyle name="Percent 2 2 43 3" xfId="19696" xr:uid="{00000000-0005-0000-0000-0000834D0000}"/>
    <cellStyle name="Percent 2 2 43 4" xfId="19697" xr:uid="{00000000-0005-0000-0000-0000844D0000}"/>
    <cellStyle name="Percent 2 2 43 5" xfId="19698" xr:uid="{00000000-0005-0000-0000-0000854D0000}"/>
    <cellStyle name="Percent 2 2 43 6" xfId="19699" xr:uid="{00000000-0005-0000-0000-0000864D0000}"/>
    <cellStyle name="Percent 2 2 43 7" xfId="19700" xr:uid="{00000000-0005-0000-0000-0000874D0000}"/>
    <cellStyle name="Percent 2 2 43 8" xfId="19701" xr:uid="{00000000-0005-0000-0000-0000884D0000}"/>
    <cellStyle name="Percent 2 2 43 9" xfId="19702" xr:uid="{00000000-0005-0000-0000-0000894D0000}"/>
    <cellStyle name="Percent 2 2 44" xfId="19703" xr:uid="{00000000-0005-0000-0000-00008A4D0000}"/>
    <cellStyle name="Percent 2 2 44 10" xfId="19704" xr:uid="{00000000-0005-0000-0000-00008B4D0000}"/>
    <cellStyle name="Percent 2 2 44 11" xfId="19705" xr:uid="{00000000-0005-0000-0000-00008C4D0000}"/>
    <cellStyle name="Percent 2 2 44 12" xfId="19706" xr:uid="{00000000-0005-0000-0000-00008D4D0000}"/>
    <cellStyle name="Percent 2 2 44 13" xfId="19707" xr:uid="{00000000-0005-0000-0000-00008E4D0000}"/>
    <cellStyle name="Percent 2 2 44 14" xfId="19708" xr:uid="{00000000-0005-0000-0000-00008F4D0000}"/>
    <cellStyle name="Percent 2 2 44 15" xfId="19709" xr:uid="{00000000-0005-0000-0000-0000904D0000}"/>
    <cellStyle name="Percent 2 2 44 16" xfId="19710" xr:uid="{00000000-0005-0000-0000-0000914D0000}"/>
    <cellStyle name="Percent 2 2 44 17" xfId="19711" xr:uid="{00000000-0005-0000-0000-0000924D0000}"/>
    <cellStyle name="Percent 2 2 44 2" xfId="19712" xr:uid="{00000000-0005-0000-0000-0000934D0000}"/>
    <cellStyle name="Percent 2 2 44 3" xfId="19713" xr:uid="{00000000-0005-0000-0000-0000944D0000}"/>
    <cellStyle name="Percent 2 2 44 4" xfId="19714" xr:uid="{00000000-0005-0000-0000-0000954D0000}"/>
    <cellStyle name="Percent 2 2 44 5" xfId="19715" xr:uid="{00000000-0005-0000-0000-0000964D0000}"/>
    <cellStyle name="Percent 2 2 44 6" xfId="19716" xr:uid="{00000000-0005-0000-0000-0000974D0000}"/>
    <cellStyle name="Percent 2 2 44 7" xfId="19717" xr:uid="{00000000-0005-0000-0000-0000984D0000}"/>
    <cellStyle name="Percent 2 2 44 8" xfId="19718" xr:uid="{00000000-0005-0000-0000-0000994D0000}"/>
    <cellStyle name="Percent 2 2 44 9" xfId="19719" xr:uid="{00000000-0005-0000-0000-00009A4D0000}"/>
    <cellStyle name="Percent 2 2 45" xfId="19720" xr:uid="{00000000-0005-0000-0000-00009B4D0000}"/>
    <cellStyle name="Percent 2 2 45 10" xfId="19721" xr:uid="{00000000-0005-0000-0000-00009C4D0000}"/>
    <cellStyle name="Percent 2 2 45 11" xfId="19722" xr:uid="{00000000-0005-0000-0000-00009D4D0000}"/>
    <cellStyle name="Percent 2 2 45 12" xfId="19723" xr:uid="{00000000-0005-0000-0000-00009E4D0000}"/>
    <cellStyle name="Percent 2 2 45 13" xfId="19724" xr:uid="{00000000-0005-0000-0000-00009F4D0000}"/>
    <cellStyle name="Percent 2 2 45 14" xfId="19725" xr:uid="{00000000-0005-0000-0000-0000A04D0000}"/>
    <cellStyle name="Percent 2 2 45 15" xfId="19726" xr:uid="{00000000-0005-0000-0000-0000A14D0000}"/>
    <cellStyle name="Percent 2 2 45 16" xfId="19727" xr:uid="{00000000-0005-0000-0000-0000A24D0000}"/>
    <cellStyle name="Percent 2 2 45 17" xfId="19728" xr:uid="{00000000-0005-0000-0000-0000A34D0000}"/>
    <cellStyle name="Percent 2 2 45 2" xfId="19729" xr:uid="{00000000-0005-0000-0000-0000A44D0000}"/>
    <cellStyle name="Percent 2 2 45 3" xfId="19730" xr:uid="{00000000-0005-0000-0000-0000A54D0000}"/>
    <cellStyle name="Percent 2 2 45 4" xfId="19731" xr:uid="{00000000-0005-0000-0000-0000A64D0000}"/>
    <cellStyle name="Percent 2 2 45 5" xfId="19732" xr:uid="{00000000-0005-0000-0000-0000A74D0000}"/>
    <cellStyle name="Percent 2 2 45 6" xfId="19733" xr:uid="{00000000-0005-0000-0000-0000A84D0000}"/>
    <cellStyle name="Percent 2 2 45 7" xfId="19734" xr:uid="{00000000-0005-0000-0000-0000A94D0000}"/>
    <cellStyle name="Percent 2 2 45 8" xfId="19735" xr:uid="{00000000-0005-0000-0000-0000AA4D0000}"/>
    <cellStyle name="Percent 2 2 45 9" xfId="19736" xr:uid="{00000000-0005-0000-0000-0000AB4D0000}"/>
    <cellStyle name="Percent 2 2 46" xfId="19737" xr:uid="{00000000-0005-0000-0000-0000AC4D0000}"/>
    <cellStyle name="Percent 2 2 46 10" xfId="19738" xr:uid="{00000000-0005-0000-0000-0000AD4D0000}"/>
    <cellStyle name="Percent 2 2 46 11" xfId="19739" xr:uid="{00000000-0005-0000-0000-0000AE4D0000}"/>
    <cellStyle name="Percent 2 2 46 12" xfId="19740" xr:uid="{00000000-0005-0000-0000-0000AF4D0000}"/>
    <cellStyle name="Percent 2 2 46 13" xfId="19741" xr:uid="{00000000-0005-0000-0000-0000B04D0000}"/>
    <cellStyle name="Percent 2 2 46 14" xfId="19742" xr:uid="{00000000-0005-0000-0000-0000B14D0000}"/>
    <cellStyle name="Percent 2 2 46 15" xfId="19743" xr:uid="{00000000-0005-0000-0000-0000B24D0000}"/>
    <cellStyle name="Percent 2 2 46 16" xfId="19744" xr:uid="{00000000-0005-0000-0000-0000B34D0000}"/>
    <cellStyle name="Percent 2 2 46 17" xfId="19745" xr:uid="{00000000-0005-0000-0000-0000B44D0000}"/>
    <cellStyle name="Percent 2 2 46 2" xfId="19746" xr:uid="{00000000-0005-0000-0000-0000B54D0000}"/>
    <cellStyle name="Percent 2 2 46 3" xfId="19747" xr:uid="{00000000-0005-0000-0000-0000B64D0000}"/>
    <cellStyle name="Percent 2 2 46 4" xfId="19748" xr:uid="{00000000-0005-0000-0000-0000B74D0000}"/>
    <cellStyle name="Percent 2 2 46 5" xfId="19749" xr:uid="{00000000-0005-0000-0000-0000B84D0000}"/>
    <cellStyle name="Percent 2 2 46 6" xfId="19750" xr:uid="{00000000-0005-0000-0000-0000B94D0000}"/>
    <cellStyle name="Percent 2 2 46 7" xfId="19751" xr:uid="{00000000-0005-0000-0000-0000BA4D0000}"/>
    <cellStyle name="Percent 2 2 46 8" xfId="19752" xr:uid="{00000000-0005-0000-0000-0000BB4D0000}"/>
    <cellStyle name="Percent 2 2 46 9" xfId="19753" xr:uid="{00000000-0005-0000-0000-0000BC4D0000}"/>
    <cellStyle name="Percent 2 2 47" xfId="19754" xr:uid="{00000000-0005-0000-0000-0000BD4D0000}"/>
    <cellStyle name="Percent 2 2 47 10" xfId="19755" xr:uid="{00000000-0005-0000-0000-0000BE4D0000}"/>
    <cellStyle name="Percent 2 2 47 11" xfId="19756" xr:uid="{00000000-0005-0000-0000-0000BF4D0000}"/>
    <cellStyle name="Percent 2 2 47 12" xfId="19757" xr:uid="{00000000-0005-0000-0000-0000C04D0000}"/>
    <cellStyle name="Percent 2 2 47 13" xfId="19758" xr:uid="{00000000-0005-0000-0000-0000C14D0000}"/>
    <cellStyle name="Percent 2 2 47 14" xfId="19759" xr:uid="{00000000-0005-0000-0000-0000C24D0000}"/>
    <cellStyle name="Percent 2 2 47 15" xfId="19760" xr:uid="{00000000-0005-0000-0000-0000C34D0000}"/>
    <cellStyle name="Percent 2 2 47 16" xfId="19761" xr:uid="{00000000-0005-0000-0000-0000C44D0000}"/>
    <cellStyle name="Percent 2 2 47 17" xfId="19762" xr:uid="{00000000-0005-0000-0000-0000C54D0000}"/>
    <cellStyle name="Percent 2 2 47 2" xfId="19763" xr:uid="{00000000-0005-0000-0000-0000C64D0000}"/>
    <cellStyle name="Percent 2 2 47 3" xfId="19764" xr:uid="{00000000-0005-0000-0000-0000C74D0000}"/>
    <cellStyle name="Percent 2 2 47 4" xfId="19765" xr:uid="{00000000-0005-0000-0000-0000C84D0000}"/>
    <cellStyle name="Percent 2 2 47 5" xfId="19766" xr:uid="{00000000-0005-0000-0000-0000C94D0000}"/>
    <cellStyle name="Percent 2 2 47 6" xfId="19767" xr:uid="{00000000-0005-0000-0000-0000CA4D0000}"/>
    <cellStyle name="Percent 2 2 47 7" xfId="19768" xr:uid="{00000000-0005-0000-0000-0000CB4D0000}"/>
    <cellStyle name="Percent 2 2 47 8" xfId="19769" xr:uid="{00000000-0005-0000-0000-0000CC4D0000}"/>
    <cellStyle name="Percent 2 2 47 9" xfId="19770" xr:uid="{00000000-0005-0000-0000-0000CD4D0000}"/>
    <cellStyle name="Percent 2 2 48" xfId="19771" xr:uid="{00000000-0005-0000-0000-0000CE4D0000}"/>
    <cellStyle name="Percent 2 2 48 10" xfId="19772" xr:uid="{00000000-0005-0000-0000-0000CF4D0000}"/>
    <cellStyle name="Percent 2 2 48 11" xfId="19773" xr:uid="{00000000-0005-0000-0000-0000D04D0000}"/>
    <cellStyle name="Percent 2 2 48 12" xfId="19774" xr:uid="{00000000-0005-0000-0000-0000D14D0000}"/>
    <cellStyle name="Percent 2 2 48 13" xfId="19775" xr:uid="{00000000-0005-0000-0000-0000D24D0000}"/>
    <cellStyle name="Percent 2 2 48 14" xfId="19776" xr:uid="{00000000-0005-0000-0000-0000D34D0000}"/>
    <cellStyle name="Percent 2 2 48 15" xfId="19777" xr:uid="{00000000-0005-0000-0000-0000D44D0000}"/>
    <cellStyle name="Percent 2 2 48 16" xfId="19778" xr:uid="{00000000-0005-0000-0000-0000D54D0000}"/>
    <cellStyle name="Percent 2 2 48 17" xfId="19779" xr:uid="{00000000-0005-0000-0000-0000D64D0000}"/>
    <cellStyle name="Percent 2 2 48 2" xfId="19780" xr:uid="{00000000-0005-0000-0000-0000D74D0000}"/>
    <cellStyle name="Percent 2 2 48 3" xfId="19781" xr:uid="{00000000-0005-0000-0000-0000D84D0000}"/>
    <cellStyle name="Percent 2 2 48 4" xfId="19782" xr:uid="{00000000-0005-0000-0000-0000D94D0000}"/>
    <cellStyle name="Percent 2 2 48 5" xfId="19783" xr:uid="{00000000-0005-0000-0000-0000DA4D0000}"/>
    <cellStyle name="Percent 2 2 48 6" xfId="19784" xr:uid="{00000000-0005-0000-0000-0000DB4D0000}"/>
    <cellStyle name="Percent 2 2 48 7" xfId="19785" xr:uid="{00000000-0005-0000-0000-0000DC4D0000}"/>
    <cellStyle name="Percent 2 2 48 8" xfId="19786" xr:uid="{00000000-0005-0000-0000-0000DD4D0000}"/>
    <cellStyle name="Percent 2 2 48 9" xfId="19787" xr:uid="{00000000-0005-0000-0000-0000DE4D0000}"/>
    <cellStyle name="Percent 2 2 49" xfId="19788" xr:uid="{00000000-0005-0000-0000-0000DF4D0000}"/>
    <cellStyle name="Percent 2 2 49 10" xfId="19789" xr:uid="{00000000-0005-0000-0000-0000E04D0000}"/>
    <cellStyle name="Percent 2 2 49 11" xfId="19790" xr:uid="{00000000-0005-0000-0000-0000E14D0000}"/>
    <cellStyle name="Percent 2 2 49 12" xfId="19791" xr:uid="{00000000-0005-0000-0000-0000E24D0000}"/>
    <cellStyle name="Percent 2 2 49 13" xfId="19792" xr:uid="{00000000-0005-0000-0000-0000E34D0000}"/>
    <cellStyle name="Percent 2 2 49 14" xfId="19793" xr:uid="{00000000-0005-0000-0000-0000E44D0000}"/>
    <cellStyle name="Percent 2 2 49 15" xfId="19794" xr:uid="{00000000-0005-0000-0000-0000E54D0000}"/>
    <cellStyle name="Percent 2 2 49 16" xfId="19795" xr:uid="{00000000-0005-0000-0000-0000E64D0000}"/>
    <cellStyle name="Percent 2 2 49 17" xfId="19796" xr:uid="{00000000-0005-0000-0000-0000E74D0000}"/>
    <cellStyle name="Percent 2 2 49 2" xfId="19797" xr:uid="{00000000-0005-0000-0000-0000E84D0000}"/>
    <cellStyle name="Percent 2 2 49 3" xfId="19798" xr:uid="{00000000-0005-0000-0000-0000E94D0000}"/>
    <cellStyle name="Percent 2 2 49 4" xfId="19799" xr:uid="{00000000-0005-0000-0000-0000EA4D0000}"/>
    <cellStyle name="Percent 2 2 49 5" xfId="19800" xr:uid="{00000000-0005-0000-0000-0000EB4D0000}"/>
    <cellStyle name="Percent 2 2 49 6" xfId="19801" xr:uid="{00000000-0005-0000-0000-0000EC4D0000}"/>
    <cellStyle name="Percent 2 2 49 7" xfId="19802" xr:uid="{00000000-0005-0000-0000-0000ED4D0000}"/>
    <cellStyle name="Percent 2 2 49 8" xfId="19803" xr:uid="{00000000-0005-0000-0000-0000EE4D0000}"/>
    <cellStyle name="Percent 2 2 49 9" xfId="19804" xr:uid="{00000000-0005-0000-0000-0000EF4D0000}"/>
    <cellStyle name="Percent 2 2 5" xfId="19805" xr:uid="{00000000-0005-0000-0000-0000F04D0000}"/>
    <cellStyle name="Percent 2 2 5 10" xfId="19806" xr:uid="{00000000-0005-0000-0000-0000F14D0000}"/>
    <cellStyle name="Percent 2 2 5 11" xfId="19807" xr:uid="{00000000-0005-0000-0000-0000F24D0000}"/>
    <cellStyle name="Percent 2 2 5 12" xfId="19808" xr:uid="{00000000-0005-0000-0000-0000F34D0000}"/>
    <cellStyle name="Percent 2 2 5 13" xfId="19809" xr:uid="{00000000-0005-0000-0000-0000F44D0000}"/>
    <cellStyle name="Percent 2 2 5 14" xfId="19810" xr:uid="{00000000-0005-0000-0000-0000F54D0000}"/>
    <cellStyle name="Percent 2 2 5 15" xfId="19811" xr:uid="{00000000-0005-0000-0000-0000F64D0000}"/>
    <cellStyle name="Percent 2 2 5 16" xfId="19812" xr:uid="{00000000-0005-0000-0000-0000F74D0000}"/>
    <cellStyle name="Percent 2 2 5 17" xfId="19813" xr:uid="{00000000-0005-0000-0000-0000F84D0000}"/>
    <cellStyle name="Percent 2 2 5 2" xfId="19814" xr:uid="{00000000-0005-0000-0000-0000F94D0000}"/>
    <cellStyle name="Percent 2 2 5 3" xfId="19815" xr:uid="{00000000-0005-0000-0000-0000FA4D0000}"/>
    <cellStyle name="Percent 2 2 5 4" xfId="19816" xr:uid="{00000000-0005-0000-0000-0000FB4D0000}"/>
    <cellStyle name="Percent 2 2 5 5" xfId="19817" xr:uid="{00000000-0005-0000-0000-0000FC4D0000}"/>
    <cellStyle name="Percent 2 2 5 6" xfId="19818" xr:uid="{00000000-0005-0000-0000-0000FD4D0000}"/>
    <cellStyle name="Percent 2 2 5 7" xfId="19819" xr:uid="{00000000-0005-0000-0000-0000FE4D0000}"/>
    <cellStyle name="Percent 2 2 5 8" xfId="19820" xr:uid="{00000000-0005-0000-0000-0000FF4D0000}"/>
    <cellStyle name="Percent 2 2 5 9" xfId="19821" xr:uid="{00000000-0005-0000-0000-0000004E0000}"/>
    <cellStyle name="Percent 2 2 50" xfId="19822" xr:uid="{00000000-0005-0000-0000-0000014E0000}"/>
    <cellStyle name="Percent 2 2 6" xfId="19823" xr:uid="{00000000-0005-0000-0000-0000024E0000}"/>
    <cellStyle name="Percent 2 2 6 10" xfId="19824" xr:uid="{00000000-0005-0000-0000-0000034E0000}"/>
    <cellStyle name="Percent 2 2 6 11" xfId="19825" xr:uid="{00000000-0005-0000-0000-0000044E0000}"/>
    <cellStyle name="Percent 2 2 6 12" xfId="19826" xr:uid="{00000000-0005-0000-0000-0000054E0000}"/>
    <cellStyle name="Percent 2 2 6 13" xfId="19827" xr:uid="{00000000-0005-0000-0000-0000064E0000}"/>
    <cellStyle name="Percent 2 2 6 14" xfId="19828" xr:uid="{00000000-0005-0000-0000-0000074E0000}"/>
    <cellStyle name="Percent 2 2 6 15" xfId="19829" xr:uid="{00000000-0005-0000-0000-0000084E0000}"/>
    <cellStyle name="Percent 2 2 6 16" xfId="19830" xr:uid="{00000000-0005-0000-0000-0000094E0000}"/>
    <cellStyle name="Percent 2 2 6 17" xfId="19831" xr:uid="{00000000-0005-0000-0000-00000A4E0000}"/>
    <cellStyle name="Percent 2 2 6 2" xfId="19832" xr:uid="{00000000-0005-0000-0000-00000B4E0000}"/>
    <cellStyle name="Percent 2 2 6 3" xfId="19833" xr:uid="{00000000-0005-0000-0000-00000C4E0000}"/>
    <cellStyle name="Percent 2 2 6 4" xfId="19834" xr:uid="{00000000-0005-0000-0000-00000D4E0000}"/>
    <cellStyle name="Percent 2 2 6 5" xfId="19835" xr:uid="{00000000-0005-0000-0000-00000E4E0000}"/>
    <cellStyle name="Percent 2 2 6 6" xfId="19836" xr:uid="{00000000-0005-0000-0000-00000F4E0000}"/>
    <cellStyle name="Percent 2 2 6 7" xfId="19837" xr:uid="{00000000-0005-0000-0000-0000104E0000}"/>
    <cellStyle name="Percent 2 2 6 8" xfId="19838" xr:uid="{00000000-0005-0000-0000-0000114E0000}"/>
    <cellStyle name="Percent 2 2 6 9" xfId="19839" xr:uid="{00000000-0005-0000-0000-0000124E0000}"/>
    <cellStyle name="Percent 2 2 7" xfId="19840" xr:uid="{00000000-0005-0000-0000-0000134E0000}"/>
    <cellStyle name="Percent 2 2 7 10" xfId="19841" xr:uid="{00000000-0005-0000-0000-0000144E0000}"/>
    <cellStyle name="Percent 2 2 7 11" xfId="19842" xr:uid="{00000000-0005-0000-0000-0000154E0000}"/>
    <cellStyle name="Percent 2 2 7 12" xfId="19843" xr:uid="{00000000-0005-0000-0000-0000164E0000}"/>
    <cellStyle name="Percent 2 2 7 13" xfId="19844" xr:uid="{00000000-0005-0000-0000-0000174E0000}"/>
    <cellStyle name="Percent 2 2 7 14" xfId="19845" xr:uid="{00000000-0005-0000-0000-0000184E0000}"/>
    <cellStyle name="Percent 2 2 7 15" xfId="19846" xr:uid="{00000000-0005-0000-0000-0000194E0000}"/>
    <cellStyle name="Percent 2 2 7 16" xfId="19847" xr:uid="{00000000-0005-0000-0000-00001A4E0000}"/>
    <cellStyle name="Percent 2 2 7 17" xfId="19848" xr:uid="{00000000-0005-0000-0000-00001B4E0000}"/>
    <cellStyle name="Percent 2 2 7 2" xfId="19849" xr:uid="{00000000-0005-0000-0000-00001C4E0000}"/>
    <cellStyle name="Percent 2 2 7 3" xfId="19850" xr:uid="{00000000-0005-0000-0000-00001D4E0000}"/>
    <cellStyle name="Percent 2 2 7 4" xfId="19851" xr:uid="{00000000-0005-0000-0000-00001E4E0000}"/>
    <cellStyle name="Percent 2 2 7 5" xfId="19852" xr:uid="{00000000-0005-0000-0000-00001F4E0000}"/>
    <cellStyle name="Percent 2 2 7 6" xfId="19853" xr:uid="{00000000-0005-0000-0000-0000204E0000}"/>
    <cellStyle name="Percent 2 2 7 7" xfId="19854" xr:uid="{00000000-0005-0000-0000-0000214E0000}"/>
    <cellStyle name="Percent 2 2 7 8" xfId="19855" xr:uid="{00000000-0005-0000-0000-0000224E0000}"/>
    <cellStyle name="Percent 2 2 7 9" xfId="19856" xr:uid="{00000000-0005-0000-0000-0000234E0000}"/>
    <cellStyle name="Percent 2 2 8" xfId="19857" xr:uid="{00000000-0005-0000-0000-0000244E0000}"/>
    <cellStyle name="Percent 2 2 8 10" xfId="19858" xr:uid="{00000000-0005-0000-0000-0000254E0000}"/>
    <cellStyle name="Percent 2 2 8 11" xfId="19859" xr:uid="{00000000-0005-0000-0000-0000264E0000}"/>
    <cellStyle name="Percent 2 2 8 12" xfId="19860" xr:uid="{00000000-0005-0000-0000-0000274E0000}"/>
    <cellStyle name="Percent 2 2 8 13" xfId="19861" xr:uid="{00000000-0005-0000-0000-0000284E0000}"/>
    <cellStyle name="Percent 2 2 8 14" xfId="19862" xr:uid="{00000000-0005-0000-0000-0000294E0000}"/>
    <cellStyle name="Percent 2 2 8 15" xfId="19863" xr:uid="{00000000-0005-0000-0000-00002A4E0000}"/>
    <cellStyle name="Percent 2 2 8 16" xfId="19864" xr:uid="{00000000-0005-0000-0000-00002B4E0000}"/>
    <cellStyle name="Percent 2 2 8 17" xfId="19865" xr:uid="{00000000-0005-0000-0000-00002C4E0000}"/>
    <cellStyle name="Percent 2 2 8 2" xfId="19866" xr:uid="{00000000-0005-0000-0000-00002D4E0000}"/>
    <cellStyle name="Percent 2 2 8 3" xfId="19867" xr:uid="{00000000-0005-0000-0000-00002E4E0000}"/>
    <cellStyle name="Percent 2 2 8 4" xfId="19868" xr:uid="{00000000-0005-0000-0000-00002F4E0000}"/>
    <cellStyle name="Percent 2 2 8 5" xfId="19869" xr:uid="{00000000-0005-0000-0000-0000304E0000}"/>
    <cellStyle name="Percent 2 2 8 6" xfId="19870" xr:uid="{00000000-0005-0000-0000-0000314E0000}"/>
    <cellStyle name="Percent 2 2 8 7" xfId="19871" xr:uid="{00000000-0005-0000-0000-0000324E0000}"/>
    <cellStyle name="Percent 2 2 8 8" xfId="19872" xr:uid="{00000000-0005-0000-0000-0000334E0000}"/>
    <cellStyle name="Percent 2 2 8 9" xfId="19873" xr:uid="{00000000-0005-0000-0000-0000344E0000}"/>
    <cellStyle name="Percent 2 2 9" xfId="19874" xr:uid="{00000000-0005-0000-0000-0000354E0000}"/>
    <cellStyle name="Percent 2 2 9 10" xfId="19875" xr:uid="{00000000-0005-0000-0000-0000364E0000}"/>
    <cellStyle name="Percent 2 2 9 11" xfId="19876" xr:uid="{00000000-0005-0000-0000-0000374E0000}"/>
    <cellStyle name="Percent 2 2 9 12" xfId="19877" xr:uid="{00000000-0005-0000-0000-0000384E0000}"/>
    <cellStyle name="Percent 2 2 9 13" xfId="19878" xr:uid="{00000000-0005-0000-0000-0000394E0000}"/>
    <cellStyle name="Percent 2 2 9 14" xfId="19879" xr:uid="{00000000-0005-0000-0000-00003A4E0000}"/>
    <cellStyle name="Percent 2 2 9 15" xfId="19880" xr:uid="{00000000-0005-0000-0000-00003B4E0000}"/>
    <cellStyle name="Percent 2 2 9 16" xfId="19881" xr:uid="{00000000-0005-0000-0000-00003C4E0000}"/>
    <cellStyle name="Percent 2 2 9 17" xfId="19882" xr:uid="{00000000-0005-0000-0000-00003D4E0000}"/>
    <cellStyle name="Percent 2 2 9 2" xfId="19883" xr:uid="{00000000-0005-0000-0000-00003E4E0000}"/>
    <cellStyle name="Percent 2 2 9 3" xfId="19884" xr:uid="{00000000-0005-0000-0000-00003F4E0000}"/>
    <cellStyle name="Percent 2 2 9 4" xfId="19885" xr:uid="{00000000-0005-0000-0000-0000404E0000}"/>
    <cellStyle name="Percent 2 2 9 5" xfId="19886" xr:uid="{00000000-0005-0000-0000-0000414E0000}"/>
    <cellStyle name="Percent 2 2 9 6" xfId="19887" xr:uid="{00000000-0005-0000-0000-0000424E0000}"/>
    <cellStyle name="Percent 2 2 9 7" xfId="19888" xr:uid="{00000000-0005-0000-0000-0000434E0000}"/>
    <cellStyle name="Percent 2 2 9 8" xfId="19889" xr:uid="{00000000-0005-0000-0000-0000444E0000}"/>
    <cellStyle name="Percent 2 2 9 9" xfId="19890" xr:uid="{00000000-0005-0000-0000-0000454E0000}"/>
    <cellStyle name="Percent 2 20" xfId="19891" xr:uid="{00000000-0005-0000-0000-0000464E0000}"/>
    <cellStyle name="Percent 2 20 10" xfId="19892" xr:uid="{00000000-0005-0000-0000-0000474E0000}"/>
    <cellStyle name="Percent 2 20 11" xfId="19893" xr:uid="{00000000-0005-0000-0000-0000484E0000}"/>
    <cellStyle name="Percent 2 20 12" xfId="19894" xr:uid="{00000000-0005-0000-0000-0000494E0000}"/>
    <cellStyle name="Percent 2 20 13" xfId="19895" xr:uid="{00000000-0005-0000-0000-00004A4E0000}"/>
    <cellStyle name="Percent 2 20 14" xfId="19896" xr:uid="{00000000-0005-0000-0000-00004B4E0000}"/>
    <cellStyle name="Percent 2 20 15" xfId="19897" xr:uid="{00000000-0005-0000-0000-00004C4E0000}"/>
    <cellStyle name="Percent 2 20 16" xfId="19898" xr:uid="{00000000-0005-0000-0000-00004D4E0000}"/>
    <cellStyle name="Percent 2 20 17" xfId="19899" xr:uid="{00000000-0005-0000-0000-00004E4E0000}"/>
    <cellStyle name="Percent 2 20 2" xfId="19900" xr:uid="{00000000-0005-0000-0000-00004F4E0000}"/>
    <cellStyle name="Percent 2 20 3" xfId="19901" xr:uid="{00000000-0005-0000-0000-0000504E0000}"/>
    <cellStyle name="Percent 2 20 4" xfId="19902" xr:uid="{00000000-0005-0000-0000-0000514E0000}"/>
    <cellStyle name="Percent 2 20 5" xfId="19903" xr:uid="{00000000-0005-0000-0000-0000524E0000}"/>
    <cellStyle name="Percent 2 20 6" xfId="19904" xr:uid="{00000000-0005-0000-0000-0000534E0000}"/>
    <cellStyle name="Percent 2 20 7" xfId="19905" xr:uid="{00000000-0005-0000-0000-0000544E0000}"/>
    <cellStyle name="Percent 2 20 8" xfId="19906" xr:uid="{00000000-0005-0000-0000-0000554E0000}"/>
    <cellStyle name="Percent 2 20 9" xfId="19907" xr:uid="{00000000-0005-0000-0000-0000564E0000}"/>
    <cellStyle name="Percent 2 21" xfId="19908" xr:uid="{00000000-0005-0000-0000-0000574E0000}"/>
    <cellStyle name="Percent 2 21 10" xfId="19909" xr:uid="{00000000-0005-0000-0000-0000584E0000}"/>
    <cellStyle name="Percent 2 21 11" xfId="19910" xr:uid="{00000000-0005-0000-0000-0000594E0000}"/>
    <cellStyle name="Percent 2 21 12" xfId="19911" xr:uid="{00000000-0005-0000-0000-00005A4E0000}"/>
    <cellStyle name="Percent 2 21 13" xfId="19912" xr:uid="{00000000-0005-0000-0000-00005B4E0000}"/>
    <cellStyle name="Percent 2 21 14" xfId="19913" xr:uid="{00000000-0005-0000-0000-00005C4E0000}"/>
    <cellStyle name="Percent 2 21 15" xfId="19914" xr:uid="{00000000-0005-0000-0000-00005D4E0000}"/>
    <cellStyle name="Percent 2 21 16" xfId="19915" xr:uid="{00000000-0005-0000-0000-00005E4E0000}"/>
    <cellStyle name="Percent 2 21 17" xfId="19916" xr:uid="{00000000-0005-0000-0000-00005F4E0000}"/>
    <cellStyle name="Percent 2 21 2" xfId="19917" xr:uid="{00000000-0005-0000-0000-0000604E0000}"/>
    <cellStyle name="Percent 2 21 3" xfId="19918" xr:uid="{00000000-0005-0000-0000-0000614E0000}"/>
    <cellStyle name="Percent 2 21 4" xfId="19919" xr:uid="{00000000-0005-0000-0000-0000624E0000}"/>
    <cellStyle name="Percent 2 21 5" xfId="19920" xr:uid="{00000000-0005-0000-0000-0000634E0000}"/>
    <cellStyle name="Percent 2 21 6" xfId="19921" xr:uid="{00000000-0005-0000-0000-0000644E0000}"/>
    <cellStyle name="Percent 2 21 7" xfId="19922" xr:uid="{00000000-0005-0000-0000-0000654E0000}"/>
    <cellStyle name="Percent 2 21 8" xfId="19923" xr:uid="{00000000-0005-0000-0000-0000664E0000}"/>
    <cellStyle name="Percent 2 21 9" xfId="19924" xr:uid="{00000000-0005-0000-0000-0000674E0000}"/>
    <cellStyle name="Percent 2 22" xfId="19925" xr:uid="{00000000-0005-0000-0000-0000684E0000}"/>
    <cellStyle name="Percent 2 22 10" xfId="19926" xr:uid="{00000000-0005-0000-0000-0000694E0000}"/>
    <cellStyle name="Percent 2 22 11" xfId="19927" xr:uid="{00000000-0005-0000-0000-00006A4E0000}"/>
    <cellStyle name="Percent 2 22 12" xfId="19928" xr:uid="{00000000-0005-0000-0000-00006B4E0000}"/>
    <cellStyle name="Percent 2 22 13" xfId="19929" xr:uid="{00000000-0005-0000-0000-00006C4E0000}"/>
    <cellStyle name="Percent 2 22 14" xfId="19930" xr:uid="{00000000-0005-0000-0000-00006D4E0000}"/>
    <cellStyle name="Percent 2 22 15" xfId="19931" xr:uid="{00000000-0005-0000-0000-00006E4E0000}"/>
    <cellStyle name="Percent 2 22 16" xfId="19932" xr:uid="{00000000-0005-0000-0000-00006F4E0000}"/>
    <cellStyle name="Percent 2 22 17" xfId="19933" xr:uid="{00000000-0005-0000-0000-0000704E0000}"/>
    <cellStyle name="Percent 2 22 2" xfId="19934" xr:uid="{00000000-0005-0000-0000-0000714E0000}"/>
    <cellStyle name="Percent 2 22 3" xfId="19935" xr:uid="{00000000-0005-0000-0000-0000724E0000}"/>
    <cellStyle name="Percent 2 22 4" xfId="19936" xr:uid="{00000000-0005-0000-0000-0000734E0000}"/>
    <cellStyle name="Percent 2 22 5" xfId="19937" xr:uid="{00000000-0005-0000-0000-0000744E0000}"/>
    <cellStyle name="Percent 2 22 6" xfId="19938" xr:uid="{00000000-0005-0000-0000-0000754E0000}"/>
    <cellStyle name="Percent 2 22 7" xfId="19939" xr:uid="{00000000-0005-0000-0000-0000764E0000}"/>
    <cellStyle name="Percent 2 22 8" xfId="19940" xr:uid="{00000000-0005-0000-0000-0000774E0000}"/>
    <cellStyle name="Percent 2 22 9" xfId="19941" xr:uid="{00000000-0005-0000-0000-0000784E0000}"/>
    <cellStyle name="Percent 2 23" xfId="19942" xr:uid="{00000000-0005-0000-0000-0000794E0000}"/>
    <cellStyle name="Percent 2 23 10" xfId="19943" xr:uid="{00000000-0005-0000-0000-00007A4E0000}"/>
    <cellStyle name="Percent 2 23 11" xfId="19944" xr:uid="{00000000-0005-0000-0000-00007B4E0000}"/>
    <cellStyle name="Percent 2 23 12" xfId="19945" xr:uid="{00000000-0005-0000-0000-00007C4E0000}"/>
    <cellStyle name="Percent 2 23 13" xfId="19946" xr:uid="{00000000-0005-0000-0000-00007D4E0000}"/>
    <cellStyle name="Percent 2 23 14" xfId="19947" xr:uid="{00000000-0005-0000-0000-00007E4E0000}"/>
    <cellStyle name="Percent 2 23 15" xfId="19948" xr:uid="{00000000-0005-0000-0000-00007F4E0000}"/>
    <cellStyle name="Percent 2 23 16" xfId="19949" xr:uid="{00000000-0005-0000-0000-0000804E0000}"/>
    <cellStyle name="Percent 2 23 17" xfId="19950" xr:uid="{00000000-0005-0000-0000-0000814E0000}"/>
    <cellStyle name="Percent 2 23 2" xfId="19951" xr:uid="{00000000-0005-0000-0000-0000824E0000}"/>
    <cellStyle name="Percent 2 23 3" xfId="19952" xr:uid="{00000000-0005-0000-0000-0000834E0000}"/>
    <cellStyle name="Percent 2 23 4" xfId="19953" xr:uid="{00000000-0005-0000-0000-0000844E0000}"/>
    <cellStyle name="Percent 2 23 5" xfId="19954" xr:uid="{00000000-0005-0000-0000-0000854E0000}"/>
    <cellStyle name="Percent 2 23 6" xfId="19955" xr:uid="{00000000-0005-0000-0000-0000864E0000}"/>
    <cellStyle name="Percent 2 23 7" xfId="19956" xr:uid="{00000000-0005-0000-0000-0000874E0000}"/>
    <cellStyle name="Percent 2 23 8" xfId="19957" xr:uid="{00000000-0005-0000-0000-0000884E0000}"/>
    <cellStyle name="Percent 2 23 9" xfId="19958" xr:uid="{00000000-0005-0000-0000-0000894E0000}"/>
    <cellStyle name="Percent 2 24" xfId="19959" xr:uid="{00000000-0005-0000-0000-00008A4E0000}"/>
    <cellStyle name="Percent 2 24 10" xfId="19960" xr:uid="{00000000-0005-0000-0000-00008B4E0000}"/>
    <cellStyle name="Percent 2 24 11" xfId="19961" xr:uid="{00000000-0005-0000-0000-00008C4E0000}"/>
    <cellStyle name="Percent 2 24 12" xfId="19962" xr:uid="{00000000-0005-0000-0000-00008D4E0000}"/>
    <cellStyle name="Percent 2 24 13" xfId="19963" xr:uid="{00000000-0005-0000-0000-00008E4E0000}"/>
    <cellStyle name="Percent 2 24 14" xfId="19964" xr:uid="{00000000-0005-0000-0000-00008F4E0000}"/>
    <cellStyle name="Percent 2 24 15" xfId="19965" xr:uid="{00000000-0005-0000-0000-0000904E0000}"/>
    <cellStyle name="Percent 2 24 16" xfId="19966" xr:uid="{00000000-0005-0000-0000-0000914E0000}"/>
    <cellStyle name="Percent 2 24 17" xfId="19967" xr:uid="{00000000-0005-0000-0000-0000924E0000}"/>
    <cellStyle name="Percent 2 24 2" xfId="19968" xr:uid="{00000000-0005-0000-0000-0000934E0000}"/>
    <cellStyle name="Percent 2 24 3" xfId="19969" xr:uid="{00000000-0005-0000-0000-0000944E0000}"/>
    <cellStyle name="Percent 2 24 4" xfId="19970" xr:uid="{00000000-0005-0000-0000-0000954E0000}"/>
    <cellStyle name="Percent 2 24 5" xfId="19971" xr:uid="{00000000-0005-0000-0000-0000964E0000}"/>
    <cellStyle name="Percent 2 24 6" xfId="19972" xr:uid="{00000000-0005-0000-0000-0000974E0000}"/>
    <cellStyle name="Percent 2 24 7" xfId="19973" xr:uid="{00000000-0005-0000-0000-0000984E0000}"/>
    <cellStyle name="Percent 2 24 8" xfId="19974" xr:uid="{00000000-0005-0000-0000-0000994E0000}"/>
    <cellStyle name="Percent 2 24 9" xfId="19975" xr:uid="{00000000-0005-0000-0000-00009A4E0000}"/>
    <cellStyle name="Percent 2 25" xfId="19976" xr:uid="{00000000-0005-0000-0000-00009B4E0000}"/>
    <cellStyle name="Percent 2 25 10" xfId="19977" xr:uid="{00000000-0005-0000-0000-00009C4E0000}"/>
    <cellStyle name="Percent 2 25 11" xfId="19978" xr:uid="{00000000-0005-0000-0000-00009D4E0000}"/>
    <cellStyle name="Percent 2 25 12" xfId="19979" xr:uid="{00000000-0005-0000-0000-00009E4E0000}"/>
    <cellStyle name="Percent 2 25 13" xfId="19980" xr:uid="{00000000-0005-0000-0000-00009F4E0000}"/>
    <cellStyle name="Percent 2 25 14" xfId="19981" xr:uid="{00000000-0005-0000-0000-0000A04E0000}"/>
    <cellStyle name="Percent 2 25 15" xfId="19982" xr:uid="{00000000-0005-0000-0000-0000A14E0000}"/>
    <cellStyle name="Percent 2 25 16" xfId="19983" xr:uid="{00000000-0005-0000-0000-0000A24E0000}"/>
    <cellStyle name="Percent 2 25 17" xfId="19984" xr:uid="{00000000-0005-0000-0000-0000A34E0000}"/>
    <cellStyle name="Percent 2 25 2" xfId="19985" xr:uid="{00000000-0005-0000-0000-0000A44E0000}"/>
    <cellStyle name="Percent 2 25 3" xfId="19986" xr:uid="{00000000-0005-0000-0000-0000A54E0000}"/>
    <cellStyle name="Percent 2 25 4" xfId="19987" xr:uid="{00000000-0005-0000-0000-0000A64E0000}"/>
    <cellStyle name="Percent 2 25 5" xfId="19988" xr:uid="{00000000-0005-0000-0000-0000A74E0000}"/>
    <cellStyle name="Percent 2 25 6" xfId="19989" xr:uid="{00000000-0005-0000-0000-0000A84E0000}"/>
    <cellStyle name="Percent 2 25 7" xfId="19990" xr:uid="{00000000-0005-0000-0000-0000A94E0000}"/>
    <cellStyle name="Percent 2 25 8" xfId="19991" xr:uid="{00000000-0005-0000-0000-0000AA4E0000}"/>
    <cellStyle name="Percent 2 25 9" xfId="19992" xr:uid="{00000000-0005-0000-0000-0000AB4E0000}"/>
    <cellStyle name="Percent 2 26" xfId="19993" xr:uid="{00000000-0005-0000-0000-0000AC4E0000}"/>
    <cellStyle name="Percent 2 26 10" xfId="19994" xr:uid="{00000000-0005-0000-0000-0000AD4E0000}"/>
    <cellStyle name="Percent 2 26 11" xfId="19995" xr:uid="{00000000-0005-0000-0000-0000AE4E0000}"/>
    <cellStyle name="Percent 2 26 12" xfId="19996" xr:uid="{00000000-0005-0000-0000-0000AF4E0000}"/>
    <cellStyle name="Percent 2 26 13" xfId="19997" xr:uid="{00000000-0005-0000-0000-0000B04E0000}"/>
    <cellStyle name="Percent 2 26 14" xfId="19998" xr:uid="{00000000-0005-0000-0000-0000B14E0000}"/>
    <cellStyle name="Percent 2 26 15" xfId="19999" xr:uid="{00000000-0005-0000-0000-0000B24E0000}"/>
    <cellStyle name="Percent 2 26 16" xfId="20000" xr:uid="{00000000-0005-0000-0000-0000B34E0000}"/>
    <cellStyle name="Percent 2 26 17" xfId="20001" xr:uid="{00000000-0005-0000-0000-0000B44E0000}"/>
    <cellStyle name="Percent 2 26 2" xfId="20002" xr:uid="{00000000-0005-0000-0000-0000B54E0000}"/>
    <cellStyle name="Percent 2 26 3" xfId="20003" xr:uid="{00000000-0005-0000-0000-0000B64E0000}"/>
    <cellStyle name="Percent 2 26 4" xfId="20004" xr:uid="{00000000-0005-0000-0000-0000B74E0000}"/>
    <cellStyle name="Percent 2 26 5" xfId="20005" xr:uid="{00000000-0005-0000-0000-0000B84E0000}"/>
    <cellStyle name="Percent 2 26 6" xfId="20006" xr:uid="{00000000-0005-0000-0000-0000B94E0000}"/>
    <cellStyle name="Percent 2 26 7" xfId="20007" xr:uid="{00000000-0005-0000-0000-0000BA4E0000}"/>
    <cellStyle name="Percent 2 26 8" xfId="20008" xr:uid="{00000000-0005-0000-0000-0000BB4E0000}"/>
    <cellStyle name="Percent 2 26 9" xfId="20009" xr:uid="{00000000-0005-0000-0000-0000BC4E0000}"/>
    <cellStyle name="Percent 2 27" xfId="20010" xr:uid="{00000000-0005-0000-0000-0000BD4E0000}"/>
    <cellStyle name="Percent 2 27 10" xfId="20011" xr:uid="{00000000-0005-0000-0000-0000BE4E0000}"/>
    <cellStyle name="Percent 2 27 11" xfId="20012" xr:uid="{00000000-0005-0000-0000-0000BF4E0000}"/>
    <cellStyle name="Percent 2 27 12" xfId="20013" xr:uid="{00000000-0005-0000-0000-0000C04E0000}"/>
    <cellStyle name="Percent 2 27 13" xfId="20014" xr:uid="{00000000-0005-0000-0000-0000C14E0000}"/>
    <cellStyle name="Percent 2 27 14" xfId="20015" xr:uid="{00000000-0005-0000-0000-0000C24E0000}"/>
    <cellStyle name="Percent 2 27 15" xfId="20016" xr:uid="{00000000-0005-0000-0000-0000C34E0000}"/>
    <cellStyle name="Percent 2 27 16" xfId="20017" xr:uid="{00000000-0005-0000-0000-0000C44E0000}"/>
    <cellStyle name="Percent 2 27 17" xfId="20018" xr:uid="{00000000-0005-0000-0000-0000C54E0000}"/>
    <cellStyle name="Percent 2 27 2" xfId="20019" xr:uid="{00000000-0005-0000-0000-0000C64E0000}"/>
    <cellStyle name="Percent 2 27 3" xfId="20020" xr:uid="{00000000-0005-0000-0000-0000C74E0000}"/>
    <cellStyle name="Percent 2 27 4" xfId="20021" xr:uid="{00000000-0005-0000-0000-0000C84E0000}"/>
    <cellStyle name="Percent 2 27 5" xfId="20022" xr:uid="{00000000-0005-0000-0000-0000C94E0000}"/>
    <cellStyle name="Percent 2 27 6" xfId="20023" xr:uid="{00000000-0005-0000-0000-0000CA4E0000}"/>
    <cellStyle name="Percent 2 27 7" xfId="20024" xr:uid="{00000000-0005-0000-0000-0000CB4E0000}"/>
    <cellStyle name="Percent 2 27 8" xfId="20025" xr:uid="{00000000-0005-0000-0000-0000CC4E0000}"/>
    <cellStyle name="Percent 2 27 9" xfId="20026" xr:uid="{00000000-0005-0000-0000-0000CD4E0000}"/>
    <cellStyle name="Percent 2 28" xfId="20027" xr:uid="{00000000-0005-0000-0000-0000CE4E0000}"/>
    <cellStyle name="Percent 2 28 10" xfId="20028" xr:uid="{00000000-0005-0000-0000-0000CF4E0000}"/>
    <cellStyle name="Percent 2 28 11" xfId="20029" xr:uid="{00000000-0005-0000-0000-0000D04E0000}"/>
    <cellStyle name="Percent 2 28 12" xfId="20030" xr:uid="{00000000-0005-0000-0000-0000D14E0000}"/>
    <cellStyle name="Percent 2 28 13" xfId="20031" xr:uid="{00000000-0005-0000-0000-0000D24E0000}"/>
    <cellStyle name="Percent 2 28 14" xfId="20032" xr:uid="{00000000-0005-0000-0000-0000D34E0000}"/>
    <cellStyle name="Percent 2 28 15" xfId="20033" xr:uid="{00000000-0005-0000-0000-0000D44E0000}"/>
    <cellStyle name="Percent 2 28 16" xfId="20034" xr:uid="{00000000-0005-0000-0000-0000D54E0000}"/>
    <cellStyle name="Percent 2 28 17" xfId="20035" xr:uid="{00000000-0005-0000-0000-0000D64E0000}"/>
    <cellStyle name="Percent 2 28 2" xfId="20036" xr:uid="{00000000-0005-0000-0000-0000D74E0000}"/>
    <cellStyle name="Percent 2 28 3" xfId="20037" xr:uid="{00000000-0005-0000-0000-0000D84E0000}"/>
    <cellStyle name="Percent 2 28 4" xfId="20038" xr:uid="{00000000-0005-0000-0000-0000D94E0000}"/>
    <cellStyle name="Percent 2 28 5" xfId="20039" xr:uid="{00000000-0005-0000-0000-0000DA4E0000}"/>
    <cellStyle name="Percent 2 28 6" xfId="20040" xr:uid="{00000000-0005-0000-0000-0000DB4E0000}"/>
    <cellStyle name="Percent 2 28 7" xfId="20041" xr:uid="{00000000-0005-0000-0000-0000DC4E0000}"/>
    <cellStyle name="Percent 2 28 8" xfId="20042" xr:uid="{00000000-0005-0000-0000-0000DD4E0000}"/>
    <cellStyle name="Percent 2 28 9" xfId="20043" xr:uid="{00000000-0005-0000-0000-0000DE4E0000}"/>
    <cellStyle name="Percent 2 29" xfId="20044" xr:uid="{00000000-0005-0000-0000-0000DF4E0000}"/>
    <cellStyle name="Percent 2 29 10" xfId="20045" xr:uid="{00000000-0005-0000-0000-0000E04E0000}"/>
    <cellStyle name="Percent 2 29 11" xfId="20046" xr:uid="{00000000-0005-0000-0000-0000E14E0000}"/>
    <cellStyle name="Percent 2 29 12" xfId="20047" xr:uid="{00000000-0005-0000-0000-0000E24E0000}"/>
    <cellStyle name="Percent 2 29 13" xfId="20048" xr:uid="{00000000-0005-0000-0000-0000E34E0000}"/>
    <cellStyle name="Percent 2 29 14" xfId="20049" xr:uid="{00000000-0005-0000-0000-0000E44E0000}"/>
    <cellStyle name="Percent 2 29 15" xfId="20050" xr:uid="{00000000-0005-0000-0000-0000E54E0000}"/>
    <cellStyle name="Percent 2 29 16" xfId="20051" xr:uid="{00000000-0005-0000-0000-0000E64E0000}"/>
    <cellStyle name="Percent 2 29 17" xfId="20052" xr:uid="{00000000-0005-0000-0000-0000E74E0000}"/>
    <cellStyle name="Percent 2 29 2" xfId="20053" xr:uid="{00000000-0005-0000-0000-0000E84E0000}"/>
    <cellStyle name="Percent 2 29 3" xfId="20054" xr:uid="{00000000-0005-0000-0000-0000E94E0000}"/>
    <cellStyle name="Percent 2 29 4" xfId="20055" xr:uid="{00000000-0005-0000-0000-0000EA4E0000}"/>
    <cellStyle name="Percent 2 29 5" xfId="20056" xr:uid="{00000000-0005-0000-0000-0000EB4E0000}"/>
    <cellStyle name="Percent 2 29 6" xfId="20057" xr:uid="{00000000-0005-0000-0000-0000EC4E0000}"/>
    <cellStyle name="Percent 2 29 7" xfId="20058" xr:uid="{00000000-0005-0000-0000-0000ED4E0000}"/>
    <cellStyle name="Percent 2 29 8" xfId="20059" xr:uid="{00000000-0005-0000-0000-0000EE4E0000}"/>
    <cellStyle name="Percent 2 29 9" xfId="20060" xr:uid="{00000000-0005-0000-0000-0000EF4E0000}"/>
    <cellStyle name="Percent 2 3" xfId="20061" xr:uid="{00000000-0005-0000-0000-0000F04E0000}"/>
    <cellStyle name="Percent 2 3 10" xfId="20062" xr:uid="{00000000-0005-0000-0000-0000F14E0000}"/>
    <cellStyle name="Percent 2 3 10 10" xfId="20063" xr:uid="{00000000-0005-0000-0000-0000F24E0000}"/>
    <cellStyle name="Percent 2 3 10 11" xfId="20064" xr:uid="{00000000-0005-0000-0000-0000F34E0000}"/>
    <cellStyle name="Percent 2 3 10 12" xfId="20065" xr:uid="{00000000-0005-0000-0000-0000F44E0000}"/>
    <cellStyle name="Percent 2 3 10 13" xfId="20066" xr:uid="{00000000-0005-0000-0000-0000F54E0000}"/>
    <cellStyle name="Percent 2 3 10 14" xfId="20067" xr:uid="{00000000-0005-0000-0000-0000F64E0000}"/>
    <cellStyle name="Percent 2 3 10 15" xfId="20068" xr:uid="{00000000-0005-0000-0000-0000F74E0000}"/>
    <cellStyle name="Percent 2 3 10 16" xfId="20069" xr:uid="{00000000-0005-0000-0000-0000F84E0000}"/>
    <cellStyle name="Percent 2 3 10 17" xfId="20070" xr:uid="{00000000-0005-0000-0000-0000F94E0000}"/>
    <cellStyle name="Percent 2 3 10 2" xfId="20071" xr:uid="{00000000-0005-0000-0000-0000FA4E0000}"/>
    <cellStyle name="Percent 2 3 10 3" xfId="20072" xr:uid="{00000000-0005-0000-0000-0000FB4E0000}"/>
    <cellStyle name="Percent 2 3 10 4" xfId="20073" xr:uid="{00000000-0005-0000-0000-0000FC4E0000}"/>
    <cellStyle name="Percent 2 3 10 5" xfId="20074" xr:uid="{00000000-0005-0000-0000-0000FD4E0000}"/>
    <cellStyle name="Percent 2 3 10 6" xfId="20075" xr:uid="{00000000-0005-0000-0000-0000FE4E0000}"/>
    <cellStyle name="Percent 2 3 10 7" xfId="20076" xr:uid="{00000000-0005-0000-0000-0000FF4E0000}"/>
    <cellStyle name="Percent 2 3 10 8" xfId="20077" xr:uid="{00000000-0005-0000-0000-0000004F0000}"/>
    <cellStyle name="Percent 2 3 10 9" xfId="20078" xr:uid="{00000000-0005-0000-0000-0000014F0000}"/>
    <cellStyle name="Percent 2 3 11" xfId="20079" xr:uid="{00000000-0005-0000-0000-0000024F0000}"/>
    <cellStyle name="Percent 2 3 11 10" xfId="20080" xr:uid="{00000000-0005-0000-0000-0000034F0000}"/>
    <cellStyle name="Percent 2 3 11 11" xfId="20081" xr:uid="{00000000-0005-0000-0000-0000044F0000}"/>
    <cellStyle name="Percent 2 3 11 12" xfId="20082" xr:uid="{00000000-0005-0000-0000-0000054F0000}"/>
    <cellStyle name="Percent 2 3 11 13" xfId="20083" xr:uid="{00000000-0005-0000-0000-0000064F0000}"/>
    <cellStyle name="Percent 2 3 11 14" xfId="20084" xr:uid="{00000000-0005-0000-0000-0000074F0000}"/>
    <cellStyle name="Percent 2 3 11 15" xfId="20085" xr:uid="{00000000-0005-0000-0000-0000084F0000}"/>
    <cellStyle name="Percent 2 3 11 16" xfId="20086" xr:uid="{00000000-0005-0000-0000-0000094F0000}"/>
    <cellStyle name="Percent 2 3 11 17" xfId="20087" xr:uid="{00000000-0005-0000-0000-00000A4F0000}"/>
    <cellStyle name="Percent 2 3 11 2" xfId="20088" xr:uid="{00000000-0005-0000-0000-00000B4F0000}"/>
    <cellStyle name="Percent 2 3 11 3" xfId="20089" xr:uid="{00000000-0005-0000-0000-00000C4F0000}"/>
    <cellStyle name="Percent 2 3 11 4" xfId="20090" xr:uid="{00000000-0005-0000-0000-00000D4F0000}"/>
    <cellStyle name="Percent 2 3 11 5" xfId="20091" xr:uid="{00000000-0005-0000-0000-00000E4F0000}"/>
    <cellStyle name="Percent 2 3 11 6" xfId="20092" xr:uid="{00000000-0005-0000-0000-00000F4F0000}"/>
    <cellStyle name="Percent 2 3 11 7" xfId="20093" xr:uid="{00000000-0005-0000-0000-0000104F0000}"/>
    <cellStyle name="Percent 2 3 11 8" xfId="20094" xr:uid="{00000000-0005-0000-0000-0000114F0000}"/>
    <cellStyle name="Percent 2 3 11 9" xfId="20095" xr:uid="{00000000-0005-0000-0000-0000124F0000}"/>
    <cellStyle name="Percent 2 3 12" xfId="20096" xr:uid="{00000000-0005-0000-0000-0000134F0000}"/>
    <cellStyle name="Percent 2 3 12 10" xfId="20097" xr:uid="{00000000-0005-0000-0000-0000144F0000}"/>
    <cellStyle name="Percent 2 3 12 11" xfId="20098" xr:uid="{00000000-0005-0000-0000-0000154F0000}"/>
    <cellStyle name="Percent 2 3 12 12" xfId="20099" xr:uid="{00000000-0005-0000-0000-0000164F0000}"/>
    <cellStyle name="Percent 2 3 12 13" xfId="20100" xr:uid="{00000000-0005-0000-0000-0000174F0000}"/>
    <cellStyle name="Percent 2 3 12 14" xfId="20101" xr:uid="{00000000-0005-0000-0000-0000184F0000}"/>
    <cellStyle name="Percent 2 3 12 15" xfId="20102" xr:uid="{00000000-0005-0000-0000-0000194F0000}"/>
    <cellStyle name="Percent 2 3 12 16" xfId="20103" xr:uid="{00000000-0005-0000-0000-00001A4F0000}"/>
    <cellStyle name="Percent 2 3 12 17" xfId="20104" xr:uid="{00000000-0005-0000-0000-00001B4F0000}"/>
    <cellStyle name="Percent 2 3 12 2" xfId="20105" xr:uid="{00000000-0005-0000-0000-00001C4F0000}"/>
    <cellStyle name="Percent 2 3 12 3" xfId="20106" xr:uid="{00000000-0005-0000-0000-00001D4F0000}"/>
    <cellStyle name="Percent 2 3 12 4" xfId="20107" xr:uid="{00000000-0005-0000-0000-00001E4F0000}"/>
    <cellStyle name="Percent 2 3 12 5" xfId="20108" xr:uid="{00000000-0005-0000-0000-00001F4F0000}"/>
    <cellStyle name="Percent 2 3 12 6" xfId="20109" xr:uid="{00000000-0005-0000-0000-0000204F0000}"/>
    <cellStyle name="Percent 2 3 12 7" xfId="20110" xr:uid="{00000000-0005-0000-0000-0000214F0000}"/>
    <cellStyle name="Percent 2 3 12 8" xfId="20111" xr:uid="{00000000-0005-0000-0000-0000224F0000}"/>
    <cellStyle name="Percent 2 3 12 9" xfId="20112" xr:uid="{00000000-0005-0000-0000-0000234F0000}"/>
    <cellStyle name="Percent 2 3 13" xfId="20113" xr:uid="{00000000-0005-0000-0000-0000244F0000}"/>
    <cellStyle name="Percent 2 3 13 10" xfId="20114" xr:uid="{00000000-0005-0000-0000-0000254F0000}"/>
    <cellStyle name="Percent 2 3 13 11" xfId="20115" xr:uid="{00000000-0005-0000-0000-0000264F0000}"/>
    <cellStyle name="Percent 2 3 13 12" xfId="20116" xr:uid="{00000000-0005-0000-0000-0000274F0000}"/>
    <cellStyle name="Percent 2 3 13 13" xfId="20117" xr:uid="{00000000-0005-0000-0000-0000284F0000}"/>
    <cellStyle name="Percent 2 3 13 14" xfId="20118" xr:uid="{00000000-0005-0000-0000-0000294F0000}"/>
    <cellStyle name="Percent 2 3 13 15" xfId="20119" xr:uid="{00000000-0005-0000-0000-00002A4F0000}"/>
    <cellStyle name="Percent 2 3 13 16" xfId="20120" xr:uid="{00000000-0005-0000-0000-00002B4F0000}"/>
    <cellStyle name="Percent 2 3 13 17" xfId="20121" xr:uid="{00000000-0005-0000-0000-00002C4F0000}"/>
    <cellStyle name="Percent 2 3 13 2" xfId="20122" xr:uid="{00000000-0005-0000-0000-00002D4F0000}"/>
    <cellStyle name="Percent 2 3 13 3" xfId="20123" xr:uid="{00000000-0005-0000-0000-00002E4F0000}"/>
    <cellStyle name="Percent 2 3 13 4" xfId="20124" xr:uid="{00000000-0005-0000-0000-00002F4F0000}"/>
    <cellStyle name="Percent 2 3 13 5" xfId="20125" xr:uid="{00000000-0005-0000-0000-0000304F0000}"/>
    <cellStyle name="Percent 2 3 13 6" xfId="20126" xr:uid="{00000000-0005-0000-0000-0000314F0000}"/>
    <cellStyle name="Percent 2 3 13 7" xfId="20127" xr:uid="{00000000-0005-0000-0000-0000324F0000}"/>
    <cellStyle name="Percent 2 3 13 8" xfId="20128" xr:uid="{00000000-0005-0000-0000-0000334F0000}"/>
    <cellStyle name="Percent 2 3 13 9" xfId="20129" xr:uid="{00000000-0005-0000-0000-0000344F0000}"/>
    <cellStyle name="Percent 2 3 14" xfId="20130" xr:uid="{00000000-0005-0000-0000-0000354F0000}"/>
    <cellStyle name="Percent 2 3 14 10" xfId="20131" xr:uid="{00000000-0005-0000-0000-0000364F0000}"/>
    <cellStyle name="Percent 2 3 14 11" xfId="20132" xr:uid="{00000000-0005-0000-0000-0000374F0000}"/>
    <cellStyle name="Percent 2 3 14 12" xfId="20133" xr:uid="{00000000-0005-0000-0000-0000384F0000}"/>
    <cellStyle name="Percent 2 3 14 13" xfId="20134" xr:uid="{00000000-0005-0000-0000-0000394F0000}"/>
    <cellStyle name="Percent 2 3 14 14" xfId="20135" xr:uid="{00000000-0005-0000-0000-00003A4F0000}"/>
    <cellStyle name="Percent 2 3 14 15" xfId="20136" xr:uid="{00000000-0005-0000-0000-00003B4F0000}"/>
    <cellStyle name="Percent 2 3 14 16" xfId="20137" xr:uid="{00000000-0005-0000-0000-00003C4F0000}"/>
    <cellStyle name="Percent 2 3 14 17" xfId="20138" xr:uid="{00000000-0005-0000-0000-00003D4F0000}"/>
    <cellStyle name="Percent 2 3 14 2" xfId="20139" xr:uid="{00000000-0005-0000-0000-00003E4F0000}"/>
    <cellStyle name="Percent 2 3 14 3" xfId="20140" xr:uid="{00000000-0005-0000-0000-00003F4F0000}"/>
    <cellStyle name="Percent 2 3 14 4" xfId="20141" xr:uid="{00000000-0005-0000-0000-0000404F0000}"/>
    <cellStyle name="Percent 2 3 14 5" xfId="20142" xr:uid="{00000000-0005-0000-0000-0000414F0000}"/>
    <cellStyle name="Percent 2 3 14 6" xfId="20143" xr:uid="{00000000-0005-0000-0000-0000424F0000}"/>
    <cellStyle name="Percent 2 3 14 7" xfId="20144" xr:uid="{00000000-0005-0000-0000-0000434F0000}"/>
    <cellStyle name="Percent 2 3 14 8" xfId="20145" xr:uid="{00000000-0005-0000-0000-0000444F0000}"/>
    <cellStyle name="Percent 2 3 14 9" xfId="20146" xr:uid="{00000000-0005-0000-0000-0000454F0000}"/>
    <cellStyle name="Percent 2 3 15" xfId="20147" xr:uid="{00000000-0005-0000-0000-0000464F0000}"/>
    <cellStyle name="Percent 2 3 15 10" xfId="20148" xr:uid="{00000000-0005-0000-0000-0000474F0000}"/>
    <cellStyle name="Percent 2 3 15 11" xfId="20149" xr:uid="{00000000-0005-0000-0000-0000484F0000}"/>
    <cellStyle name="Percent 2 3 15 12" xfId="20150" xr:uid="{00000000-0005-0000-0000-0000494F0000}"/>
    <cellStyle name="Percent 2 3 15 13" xfId="20151" xr:uid="{00000000-0005-0000-0000-00004A4F0000}"/>
    <cellStyle name="Percent 2 3 15 14" xfId="20152" xr:uid="{00000000-0005-0000-0000-00004B4F0000}"/>
    <cellStyle name="Percent 2 3 15 15" xfId="20153" xr:uid="{00000000-0005-0000-0000-00004C4F0000}"/>
    <cellStyle name="Percent 2 3 15 16" xfId="20154" xr:uid="{00000000-0005-0000-0000-00004D4F0000}"/>
    <cellStyle name="Percent 2 3 15 17" xfId="20155" xr:uid="{00000000-0005-0000-0000-00004E4F0000}"/>
    <cellStyle name="Percent 2 3 15 2" xfId="20156" xr:uid="{00000000-0005-0000-0000-00004F4F0000}"/>
    <cellStyle name="Percent 2 3 15 3" xfId="20157" xr:uid="{00000000-0005-0000-0000-0000504F0000}"/>
    <cellStyle name="Percent 2 3 15 4" xfId="20158" xr:uid="{00000000-0005-0000-0000-0000514F0000}"/>
    <cellStyle name="Percent 2 3 15 5" xfId="20159" xr:uid="{00000000-0005-0000-0000-0000524F0000}"/>
    <cellStyle name="Percent 2 3 15 6" xfId="20160" xr:uid="{00000000-0005-0000-0000-0000534F0000}"/>
    <cellStyle name="Percent 2 3 15 7" xfId="20161" xr:uid="{00000000-0005-0000-0000-0000544F0000}"/>
    <cellStyle name="Percent 2 3 15 8" xfId="20162" xr:uid="{00000000-0005-0000-0000-0000554F0000}"/>
    <cellStyle name="Percent 2 3 15 9" xfId="20163" xr:uid="{00000000-0005-0000-0000-0000564F0000}"/>
    <cellStyle name="Percent 2 3 16" xfId="20164" xr:uid="{00000000-0005-0000-0000-0000574F0000}"/>
    <cellStyle name="Percent 2 3 16 10" xfId="20165" xr:uid="{00000000-0005-0000-0000-0000584F0000}"/>
    <cellStyle name="Percent 2 3 16 11" xfId="20166" xr:uid="{00000000-0005-0000-0000-0000594F0000}"/>
    <cellStyle name="Percent 2 3 16 12" xfId="20167" xr:uid="{00000000-0005-0000-0000-00005A4F0000}"/>
    <cellStyle name="Percent 2 3 16 13" xfId="20168" xr:uid="{00000000-0005-0000-0000-00005B4F0000}"/>
    <cellStyle name="Percent 2 3 16 14" xfId="20169" xr:uid="{00000000-0005-0000-0000-00005C4F0000}"/>
    <cellStyle name="Percent 2 3 16 15" xfId="20170" xr:uid="{00000000-0005-0000-0000-00005D4F0000}"/>
    <cellStyle name="Percent 2 3 16 16" xfId="20171" xr:uid="{00000000-0005-0000-0000-00005E4F0000}"/>
    <cellStyle name="Percent 2 3 16 17" xfId="20172" xr:uid="{00000000-0005-0000-0000-00005F4F0000}"/>
    <cellStyle name="Percent 2 3 16 2" xfId="20173" xr:uid="{00000000-0005-0000-0000-0000604F0000}"/>
    <cellStyle name="Percent 2 3 16 3" xfId="20174" xr:uid="{00000000-0005-0000-0000-0000614F0000}"/>
    <cellStyle name="Percent 2 3 16 4" xfId="20175" xr:uid="{00000000-0005-0000-0000-0000624F0000}"/>
    <cellStyle name="Percent 2 3 16 5" xfId="20176" xr:uid="{00000000-0005-0000-0000-0000634F0000}"/>
    <cellStyle name="Percent 2 3 16 6" xfId="20177" xr:uid="{00000000-0005-0000-0000-0000644F0000}"/>
    <cellStyle name="Percent 2 3 16 7" xfId="20178" xr:uid="{00000000-0005-0000-0000-0000654F0000}"/>
    <cellStyle name="Percent 2 3 16 8" xfId="20179" xr:uid="{00000000-0005-0000-0000-0000664F0000}"/>
    <cellStyle name="Percent 2 3 16 9" xfId="20180" xr:uid="{00000000-0005-0000-0000-0000674F0000}"/>
    <cellStyle name="Percent 2 3 17" xfId="20181" xr:uid="{00000000-0005-0000-0000-0000684F0000}"/>
    <cellStyle name="Percent 2 3 17 10" xfId="20182" xr:uid="{00000000-0005-0000-0000-0000694F0000}"/>
    <cellStyle name="Percent 2 3 17 11" xfId="20183" xr:uid="{00000000-0005-0000-0000-00006A4F0000}"/>
    <cellStyle name="Percent 2 3 17 12" xfId="20184" xr:uid="{00000000-0005-0000-0000-00006B4F0000}"/>
    <cellStyle name="Percent 2 3 17 13" xfId="20185" xr:uid="{00000000-0005-0000-0000-00006C4F0000}"/>
    <cellStyle name="Percent 2 3 17 14" xfId="20186" xr:uid="{00000000-0005-0000-0000-00006D4F0000}"/>
    <cellStyle name="Percent 2 3 17 15" xfId="20187" xr:uid="{00000000-0005-0000-0000-00006E4F0000}"/>
    <cellStyle name="Percent 2 3 17 16" xfId="20188" xr:uid="{00000000-0005-0000-0000-00006F4F0000}"/>
    <cellStyle name="Percent 2 3 17 17" xfId="20189" xr:uid="{00000000-0005-0000-0000-0000704F0000}"/>
    <cellStyle name="Percent 2 3 17 2" xfId="20190" xr:uid="{00000000-0005-0000-0000-0000714F0000}"/>
    <cellStyle name="Percent 2 3 17 3" xfId="20191" xr:uid="{00000000-0005-0000-0000-0000724F0000}"/>
    <cellStyle name="Percent 2 3 17 4" xfId="20192" xr:uid="{00000000-0005-0000-0000-0000734F0000}"/>
    <cellStyle name="Percent 2 3 17 5" xfId="20193" xr:uid="{00000000-0005-0000-0000-0000744F0000}"/>
    <cellStyle name="Percent 2 3 17 6" xfId="20194" xr:uid="{00000000-0005-0000-0000-0000754F0000}"/>
    <cellStyle name="Percent 2 3 17 7" xfId="20195" xr:uid="{00000000-0005-0000-0000-0000764F0000}"/>
    <cellStyle name="Percent 2 3 17 8" xfId="20196" xr:uid="{00000000-0005-0000-0000-0000774F0000}"/>
    <cellStyle name="Percent 2 3 17 9" xfId="20197" xr:uid="{00000000-0005-0000-0000-0000784F0000}"/>
    <cellStyle name="Percent 2 3 18" xfId="20198" xr:uid="{00000000-0005-0000-0000-0000794F0000}"/>
    <cellStyle name="Percent 2 3 18 10" xfId="20199" xr:uid="{00000000-0005-0000-0000-00007A4F0000}"/>
    <cellStyle name="Percent 2 3 18 11" xfId="20200" xr:uid="{00000000-0005-0000-0000-00007B4F0000}"/>
    <cellStyle name="Percent 2 3 18 12" xfId="20201" xr:uid="{00000000-0005-0000-0000-00007C4F0000}"/>
    <cellStyle name="Percent 2 3 18 13" xfId="20202" xr:uid="{00000000-0005-0000-0000-00007D4F0000}"/>
    <cellStyle name="Percent 2 3 18 14" xfId="20203" xr:uid="{00000000-0005-0000-0000-00007E4F0000}"/>
    <cellStyle name="Percent 2 3 18 15" xfId="20204" xr:uid="{00000000-0005-0000-0000-00007F4F0000}"/>
    <cellStyle name="Percent 2 3 18 16" xfId="20205" xr:uid="{00000000-0005-0000-0000-0000804F0000}"/>
    <cellStyle name="Percent 2 3 18 17" xfId="20206" xr:uid="{00000000-0005-0000-0000-0000814F0000}"/>
    <cellStyle name="Percent 2 3 18 2" xfId="20207" xr:uid="{00000000-0005-0000-0000-0000824F0000}"/>
    <cellStyle name="Percent 2 3 18 3" xfId="20208" xr:uid="{00000000-0005-0000-0000-0000834F0000}"/>
    <cellStyle name="Percent 2 3 18 4" xfId="20209" xr:uid="{00000000-0005-0000-0000-0000844F0000}"/>
    <cellStyle name="Percent 2 3 18 5" xfId="20210" xr:uid="{00000000-0005-0000-0000-0000854F0000}"/>
    <cellStyle name="Percent 2 3 18 6" xfId="20211" xr:uid="{00000000-0005-0000-0000-0000864F0000}"/>
    <cellStyle name="Percent 2 3 18 7" xfId="20212" xr:uid="{00000000-0005-0000-0000-0000874F0000}"/>
    <cellStyle name="Percent 2 3 18 8" xfId="20213" xr:uid="{00000000-0005-0000-0000-0000884F0000}"/>
    <cellStyle name="Percent 2 3 18 9" xfId="20214" xr:uid="{00000000-0005-0000-0000-0000894F0000}"/>
    <cellStyle name="Percent 2 3 19" xfId="20215" xr:uid="{00000000-0005-0000-0000-00008A4F0000}"/>
    <cellStyle name="Percent 2 3 19 10" xfId="20216" xr:uid="{00000000-0005-0000-0000-00008B4F0000}"/>
    <cellStyle name="Percent 2 3 19 11" xfId="20217" xr:uid="{00000000-0005-0000-0000-00008C4F0000}"/>
    <cellStyle name="Percent 2 3 19 12" xfId="20218" xr:uid="{00000000-0005-0000-0000-00008D4F0000}"/>
    <cellStyle name="Percent 2 3 19 13" xfId="20219" xr:uid="{00000000-0005-0000-0000-00008E4F0000}"/>
    <cellStyle name="Percent 2 3 19 14" xfId="20220" xr:uid="{00000000-0005-0000-0000-00008F4F0000}"/>
    <cellStyle name="Percent 2 3 19 15" xfId="20221" xr:uid="{00000000-0005-0000-0000-0000904F0000}"/>
    <cellStyle name="Percent 2 3 19 16" xfId="20222" xr:uid="{00000000-0005-0000-0000-0000914F0000}"/>
    <cellStyle name="Percent 2 3 19 17" xfId="20223" xr:uid="{00000000-0005-0000-0000-0000924F0000}"/>
    <cellStyle name="Percent 2 3 19 2" xfId="20224" xr:uid="{00000000-0005-0000-0000-0000934F0000}"/>
    <cellStyle name="Percent 2 3 19 3" xfId="20225" xr:uid="{00000000-0005-0000-0000-0000944F0000}"/>
    <cellStyle name="Percent 2 3 19 4" xfId="20226" xr:uid="{00000000-0005-0000-0000-0000954F0000}"/>
    <cellStyle name="Percent 2 3 19 5" xfId="20227" xr:uid="{00000000-0005-0000-0000-0000964F0000}"/>
    <cellStyle name="Percent 2 3 19 6" xfId="20228" xr:uid="{00000000-0005-0000-0000-0000974F0000}"/>
    <cellStyle name="Percent 2 3 19 7" xfId="20229" xr:uid="{00000000-0005-0000-0000-0000984F0000}"/>
    <cellStyle name="Percent 2 3 19 8" xfId="20230" xr:uid="{00000000-0005-0000-0000-0000994F0000}"/>
    <cellStyle name="Percent 2 3 19 9" xfId="20231" xr:uid="{00000000-0005-0000-0000-00009A4F0000}"/>
    <cellStyle name="Percent 2 3 2" xfId="20232" xr:uid="{00000000-0005-0000-0000-00009B4F0000}"/>
    <cellStyle name="Percent 2 3 2 2" xfId="20233" xr:uid="{00000000-0005-0000-0000-00009C4F0000}"/>
    <cellStyle name="Percent 2 3 2 2 10" xfId="20234" xr:uid="{00000000-0005-0000-0000-00009D4F0000}"/>
    <cellStyle name="Percent 2 3 2 2 11" xfId="20235" xr:uid="{00000000-0005-0000-0000-00009E4F0000}"/>
    <cellStyle name="Percent 2 3 2 2 12" xfId="20236" xr:uid="{00000000-0005-0000-0000-00009F4F0000}"/>
    <cellStyle name="Percent 2 3 2 2 13" xfId="20237" xr:uid="{00000000-0005-0000-0000-0000A04F0000}"/>
    <cellStyle name="Percent 2 3 2 2 14" xfId="20238" xr:uid="{00000000-0005-0000-0000-0000A14F0000}"/>
    <cellStyle name="Percent 2 3 2 2 15" xfId="20239" xr:uid="{00000000-0005-0000-0000-0000A24F0000}"/>
    <cellStyle name="Percent 2 3 2 2 16" xfId="20240" xr:uid="{00000000-0005-0000-0000-0000A34F0000}"/>
    <cellStyle name="Percent 2 3 2 2 17" xfId="20241" xr:uid="{00000000-0005-0000-0000-0000A44F0000}"/>
    <cellStyle name="Percent 2 3 2 2 2" xfId="20242" xr:uid="{00000000-0005-0000-0000-0000A54F0000}"/>
    <cellStyle name="Percent 2 3 2 2 3" xfId="20243" xr:uid="{00000000-0005-0000-0000-0000A64F0000}"/>
    <cellStyle name="Percent 2 3 2 2 4" xfId="20244" xr:uid="{00000000-0005-0000-0000-0000A74F0000}"/>
    <cellStyle name="Percent 2 3 2 2 5" xfId="20245" xr:uid="{00000000-0005-0000-0000-0000A84F0000}"/>
    <cellStyle name="Percent 2 3 2 2 6" xfId="20246" xr:uid="{00000000-0005-0000-0000-0000A94F0000}"/>
    <cellStyle name="Percent 2 3 2 2 7" xfId="20247" xr:uid="{00000000-0005-0000-0000-0000AA4F0000}"/>
    <cellStyle name="Percent 2 3 2 2 8" xfId="20248" xr:uid="{00000000-0005-0000-0000-0000AB4F0000}"/>
    <cellStyle name="Percent 2 3 2 2 9" xfId="20249" xr:uid="{00000000-0005-0000-0000-0000AC4F0000}"/>
    <cellStyle name="Percent 2 3 2 3" xfId="20250" xr:uid="{00000000-0005-0000-0000-0000AD4F0000}"/>
    <cellStyle name="Percent 2 3 2 3 10" xfId="20251" xr:uid="{00000000-0005-0000-0000-0000AE4F0000}"/>
    <cellStyle name="Percent 2 3 2 3 11" xfId="20252" xr:uid="{00000000-0005-0000-0000-0000AF4F0000}"/>
    <cellStyle name="Percent 2 3 2 3 12" xfId="20253" xr:uid="{00000000-0005-0000-0000-0000B04F0000}"/>
    <cellStyle name="Percent 2 3 2 3 13" xfId="20254" xr:uid="{00000000-0005-0000-0000-0000B14F0000}"/>
    <cellStyle name="Percent 2 3 2 3 14" xfId="20255" xr:uid="{00000000-0005-0000-0000-0000B24F0000}"/>
    <cellStyle name="Percent 2 3 2 3 15" xfId="20256" xr:uid="{00000000-0005-0000-0000-0000B34F0000}"/>
    <cellStyle name="Percent 2 3 2 3 16" xfId="20257" xr:uid="{00000000-0005-0000-0000-0000B44F0000}"/>
    <cellStyle name="Percent 2 3 2 3 17" xfId="20258" xr:uid="{00000000-0005-0000-0000-0000B54F0000}"/>
    <cellStyle name="Percent 2 3 2 3 2" xfId="20259" xr:uid="{00000000-0005-0000-0000-0000B64F0000}"/>
    <cellStyle name="Percent 2 3 2 3 3" xfId="20260" xr:uid="{00000000-0005-0000-0000-0000B74F0000}"/>
    <cellStyle name="Percent 2 3 2 3 4" xfId="20261" xr:uid="{00000000-0005-0000-0000-0000B84F0000}"/>
    <cellStyle name="Percent 2 3 2 3 5" xfId="20262" xr:uid="{00000000-0005-0000-0000-0000B94F0000}"/>
    <cellStyle name="Percent 2 3 2 3 6" xfId="20263" xr:uid="{00000000-0005-0000-0000-0000BA4F0000}"/>
    <cellStyle name="Percent 2 3 2 3 7" xfId="20264" xr:uid="{00000000-0005-0000-0000-0000BB4F0000}"/>
    <cellStyle name="Percent 2 3 2 3 8" xfId="20265" xr:uid="{00000000-0005-0000-0000-0000BC4F0000}"/>
    <cellStyle name="Percent 2 3 2 3 9" xfId="20266" xr:uid="{00000000-0005-0000-0000-0000BD4F0000}"/>
    <cellStyle name="Percent 2 3 20" xfId="20267" xr:uid="{00000000-0005-0000-0000-0000BE4F0000}"/>
    <cellStyle name="Percent 2 3 20 10" xfId="20268" xr:uid="{00000000-0005-0000-0000-0000BF4F0000}"/>
    <cellStyle name="Percent 2 3 20 11" xfId="20269" xr:uid="{00000000-0005-0000-0000-0000C04F0000}"/>
    <cellStyle name="Percent 2 3 20 12" xfId="20270" xr:uid="{00000000-0005-0000-0000-0000C14F0000}"/>
    <cellStyle name="Percent 2 3 20 13" xfId="20271" xr:uid="{00000000-0005-0000-0000-0000C24F0000}"/>
    <cellStyle name="Percent 2 3 20 14" xfId="20272" xr:uid="{00000000-0005-0000-0000-0000C34F0000}"/>
    <cellStyle name="Percent 2 3 20 15" xfId="20273" xr:uid="{00000000-0005-0000-0000-0000C44F0000}"/>
    <cellStyle name="Percent 2 3 20 16" xfId="20274" xr:uid="{00000000-0005-0000-0000-0000C54F0000}"/>
    <cellStyle name="Percent 2 3 20 17" xfId="20275" xr:uid="{00000000-0005-0000-0000-0000C64F0000}"/>
    <cellStyle name="Percent 2 3 20 2" xfId="20276" xr:uid="{00000000-0005-0000-0000-0000C74F0000}"/>
    <cellStyle name="Percent 2 3 20 3" xfId="20277" xr:uid="{00000000-0005-0000-0000-0000C84F0000}"/>
    <cellStyle name="Percent 2 3 20 4" xfId="20278" xr:uid="{00000000-0005-0000-0000-0000C94F0000}"/>
    <cellStyle name="Percent 2 3 20 5" xfId="20279" xr:uid="{00000000-0005-0000-0000-0000CA4F0000}"/>
    <cellStyle name="Percent 2 3 20 6" xfId="20280" xr:uid="{00000000-0005-0000-0000-0000CB4F0000}"/>
    <cellStyle name="Percent 2 3 20 7" xfId="20281" xr:uid="{00000000-0005-0000-0000-0000CC4F0000}"/>
    <cellStyle name="Percent 2 3 20 8" xfId="20282" xr:uid="{00000000-0005-0000-0000-0000CD4F0000}"/>
    <cellStyle name="Percent 2 3 20 9" xfId="20283" xr:uid="{00000000-0005-0000-0000-0000CE4F0000}"/>
    <cellStyle name="Percent 2 3 21" xfId="20284" xr:uid="{00000000-0005-0000-0000-0000CF4F0000}"/>
    <cellStyle name="Percent 2 3 21 10" xfId="20285" xr:uid="{00000000-0005-0000-0000-0000D04F0000}"/>
    <cellStyle name="Percent 2 3 21 11" xfId="20286" xr:uid="{00000000-0005-0000-0000-0000D14F0000}"/>
    <cellStyle name="Percent 2 3 21 12" xfId="20287" xr:uid="{00000000-0005-0000-0000-0000D24F0000}"/>
    <cellStyle name="Percent 2 3 21 13" xfId="20288" xr:uid="{00000000-0005-0000-0000-0000D34F0000}"/>
    <cellStyle name="Percent 2 3 21 14" xfId="20289" xr:uid="{00000000-0005-0000-0000-0000D44F0000}"/>
    <cellStyle name="Percent 2 3 21 15" xfId="20290" xr:uid="{00000000-0005-0000-0000-0000D54F0000}"/>
    <cellStyle name="Percent 2 3 21 16" xfId="20291" xr:uid="{00000000-0005-0000-0000-0000D64F0000}"/>
    <cellStyle name="Percent 2 3 21 17" xfId="20292" xr:uid="{00000000-0005-0000-0000-0000D74F0000}"/>
    <cellStyle name="Percent 2 3 21 2" xfId="20293" xr:uid="{00000000-0005-0000-0000-0000D84F0000}"/>
    <cellStyle name="Percent 2 3 21 3" xfId="20294" xr:uid="{00000000-0005-0000-0000-0000D94F0000}"/>
    <cellStyle name="Percent 2 3 21 4" xfId="20295" xr:uid="{00000000-0005-0000-0000-0000DA4F0000}"/>
    <cellStyle name="Percent 2 3 21 5" xfId="20296" xr:uid="{00000000-0005-0000-0000-0000DB4F0000}"/>
    <cellStyle name="Percent 2 3 21 6" xfId="20297" xr:uid="{00000000-0005-0000-0000-0000DC4F0000}"/>
    <cellStyle name="Percent 2 3 21 7" xfId="20298" xr:uid="{00000000-0005-0000-0000-0000DD4F0000}"/>
    <cellStyle name="Percent 2 3 21 8" xfId="20299" xr:uid="{00000000-0005-0000-0000-0000DE4F0000}"/>
    <cellStyle name="Percent 2 3 21 9" xfId="20300" xr:uid="{00000000-0005-0000-0000-0000DF4F0000}"/>
    <cellStyle name="Percent 2 3 22" xfId="20301" xr:uid="{00000000-0005-0000-0000-0000E04F0000}"/>
    <cellStyle name="Percent 2 3 22 10" xfId="20302" xr:uid="{00000000-0005-0000-0000-0000E14F0000}"/>
    <cellStyle name="Percent 2 3 22 11" xfId="20303" xr:uid="{00000000-0005-0000-0000-0000E24F0000}"/>
    <cellStyle name="Percent 2 3 22 12" xfId="20304" xr:uid="{00000000-0005-0000-0000-0000E34F0000}"/>
    <cellStyle name="Percent 2 3 22 13" xfId="20305" xr:uid="{00000000-0005-0000-0000-0000E44F0000}"/>
    <cellStyle name="Percent 2 3 22 14" xfId="20306" xr:uid="{00000000-0005-0000-0000-0000E54F0000}"/>
    <cellStyle name="Percent 2 3 22 15" xfId="20307" xr:uid="{00000000-0005-0000-0000-0000E64F0000}"/>
    <cellStyle name="Percent 2 3 22 16" xfId="20308" xr:uid="{00000000-0005-0000-0000-0000E74F0000}"/>
    <cellStyle name="Percent 2 3 22 17" xfId="20309" xr:uid="{00000000-0005-0000-0000-0000E84F0000}"/>
    <cellStyle name="Percent 2 3 22 2" xfId="20310" xr:uid="{00000000-0005-0000-0000-0000E94F0000}"/>
    <cellStyle name="Percent 2 3 22 3" xfId="20311" xr:uid="{00000000-0005-0000-0000-0000EA4F0000}"/>
    <cellStyle name="Percent 2 3 22 4" xfId="20312" xr:uid="{00000000-0005-0000-0000-0000EB4F0000}"/>
    <cellStyle name="Percent 2 3 22 5" xfId="20313" xr:uid="{00000000-0005-0000-0000-0000EC4F0000}"/>
    <cellStyle name="Percent 2 3 22 6" xfId="20314" xr:uid="{00000000-0005-0000-0000-0000ED4F0000}"/>
    <cellStyle name="Percent 2 3 22 7" xfId="20315" xr:uid="{00000000-0005-0000-0000-0000EE4F0000}"/>
    <cellStyle name="Percent 2 3 22 8" xfId="20316" xr:uid="{00000000-0005-0000-0000-0000EF4F0000}"/>
    <cellStyle name="Percent 2 3 22 9" xfId="20317" xr:uid="{00000000-0005-0000-0000-0000F04F0000}"/>
    <cellStyle name="Percent 2 3 23" xfId="20318" xr:uid="{00000000-0005-0000-0000-0000F14F0000}"/>
    <cellStyle name="Percent 2 3 23 10" xfId="20319" xr:uid="{00000000-0005-0000-0000-0000F24F0000}"/>
    <cellStyle name="Percent 2 3 23 11" xfId="20320" xr:uid="{00000000-0005-0000-0000-0000F34F0000}"/>
    <cellStyle name="Percent 2 3 23 12" xfId="20321" xr:uid="{00000000-0005-0000-0000-0000F44F0000}"/>
    <cellStyle name="Percent 2 3 23 13" xfId="20322" xr:uid="{00000000-0005-0000-0000-0000F54F0000}"/>
    <cellStyle name="Percent 2 3 23 14" xfId="20323" xr:uid="{00000000-0005-0000-0000-0000F64F0000}"/>
    <cellStyle name="Percent 2 3 23 15" xfId="20324" xr:uid="{00000000-0005-0000-0000-0000F74F0000}"/>
    <cellStyle name="Percent 2 3 23 16" xfId="20325" xr:uid="{00000000-0005-0000-0000-0000F84F0000}"/>
    <cellStyle name="Percent 2 3 23 17" xfId="20326" xr:uid="{00000000-0005-0000-0000-0000F94F0000}"/>
    <cellStyle name="Percent 2 3 23 2" xfId="20327" xr:uid="{00000000-0005-0000-0000-0000FA4F0000}"/>
    <cellStyle name="Percent 2 3 23 3" xfId="20328" xr:uid="{00000000-0005-0000-0000-0000FB4F0000}"/>
    <cellStyle name="Percent 2 3 23 4" xfId="20329" xr:uid="{00000000-0005-0000-0000-0000FC4F0000}"/>
    <cellStyle name="Percent 2 3 23 5" xfId="20330" xr:uid="{00000000-0005-0000-0000-0000FD4F0000}"/>
    <cellStyle name="Percent 2 3 23 6" xfId="20331" xr:uid="{00000000-0005-0000-0000-0000FE4F0000}"/>
    <cellStyle name="Percent 2 3 23 7" xfId="20332" xr:uid="{00000000-0005-0000-0000-0000FF4F0000}"/>
    <cellStyle name="Percent 2 3 23 8" xfId="20333" xr:uid="{00000000-0005-0000-0000-000000500000}"/>
    <cellStyle name="Percent 2 3 23 9" xfId="20334" xr:uid="{00000000-0005-0000-0000-000001500000}"/>
    <cellStyle name="Percent 2 3 24" xfId="20335" xr:uid="{00000000-0005-0000-0000-000002500000}"/>
    <cellStyle name="Percent 2 3 24 10" xfId="20336" xr:uid="{00000000-0005-0000-0000-000003500000}"/>
    <cellStyle name="Percent 2 3 24 11" xfId="20337" xr:uid="{00000000-0005-0000-0000-000004500000}"/>
    <cellStyle name="Percent 2 3 24 12" xfId="20338" xr:uid="{00000000-0005-0000-0000-000005500000}"/>
    <cellStyle name="Percent 2 3 24 13" xfId="20339" xr:uid="{00000000-0005-0000-0000-000006500000}"/>
    <cellStyle name="Percent 2 3 24 14" xfId="20340" xr:uid="{00000000-0005-0000-0000-000007500000}"/>
    <cellStyle name="Percent 2 3 24 15" xfId="20341" xr:uid="{00000000-0005-0000-0000-000008500000}"/>
    <cellStyle name="Percent 2 3 24 16" xfId="20342" xr:uid="{00000000-0005-0000-0000-000009500000}"/>
    <cellStyle name="Percent 2 3 24 17" xfId="20343" xr:uid="{00000000-0005-0000-0000-00000A500000}"/>
    <cellStyle name="Percent 2 3 24 2" xfId="20344" xr:uid="{00000000-0005-0000-0000-00000B500000}"/>
    <cellStyle name="Percent 2 3 24 3" xfId="20345" xr:uid="{00000000-0005-0000-0000-00000C500000}"/>
    <cellStyle name="Percent 2 3 24 4" xfId="20346" xr:uid="{00000000-0005-0000-0000-00000D500000}"/>
    <cellStyle name="Percent 2 3 24 5" xfId="20347" xr:uid="{00000000-0005-0000-0000-00000E500000}"/>
    <cellStyle name="Percent 2 3 24 6" xfId="20348" xr:uid="{00000000-0005-0000-0000-00000F500000}"/>
    <cellStyle name="Percent 2 3 24 7" xfId="20349" xr:uid="{00000000-0005-0000-0000-000010500000}"/>
    <cellStyle name="Percent 2 3 24 8" xfId="20350" xr:uid="{00000000-0005-0000-0000-000011500000}"/>
    <cellStyle name="Percent 2 3 24 9" xfId="20351" xr:uid="{00000000-0005-0000-0000-000012500000}"/>
    <cellStyle name="Percent 2 3 25" xfId="20352" xr:uid="{00000000-0005-0000-0000-000013500000}"/>
    <cellStyle name="Percent 2 3 25 10" xfId="20353" xr:uid="{00000000-0005-0000-0000-000014500000}"/>
    <cellStyle name="Percent 2 3 25 11" xfId="20354" xr:uid="{00000000-0005-0000-0000-000015500000}"/>
    <cellStyle name="Percent 2 3 25 12" xfId="20355" xr:uid="{00000000-0005-0000-0000-000016500000}"/>
    <cellStyle name="Percent 2 3 25 13" xfId="20356" xr:uid="{00000000-0005-0000-0000-000017500000}"/>
    <cellStyle name="Percent 2 3 25 14" xfId="20357" xr:uid="{00000000-0005-0000-0000-000018500000}"/>
    <cellStyle name="Percent 2 3 25 15" xfId="20358" xr:uid="{00000000-0005-0000-0000-000019500000}"/>
    <cellStyle name="Percent 2 3 25 16" xfId="20359" xr:uid="{00000000-0005-0000-0000-00001A500000}"/>
    <cellStyle name="Percent 2 3 25 17" xfId="20360" xr:uid="{00000000-0005-0000-0000-00001B500000}"/>
    <cellStyle name="Percent 2 3 25 2" xfId="20361" xr:uid="{00000000-0005-0000-0000-00001C500000}"/>
    <cellStyle name="Percent 2 3 25 3" xfId="20362" xr:uid="{00000000-0005-0000-0000-00001D500000}"/>
    <cellStyle name="Percent 2 3 25 4" xfId="20363" xr:uid="{00000000-0005-0000-0000-00001E500000}"/>
    <cellStyle name="Percent 2 3 25 5" xfId="20364" xr:uid="{00000000-0005-0000-0000-00001F500000}"/>
    <cellStyle name="Percent 2 3 25 6" xfId="20365" xr:uid="{00000000-0005-0000-0000-000020500000}"/>
    <cellStyle name="Percent 2 3 25 7" xfId="20366" xr:uid="{00000000-0005-0000-0000-000021500000}"/>
    <cellStyle name="Percent 2 3 25 8" xfId="20367" xr:uid="{00000000-0005-0000-0000-000022500000}"/>
    <cellStyle name="Percent 2 3 25 9" xfId="20368" xr:uid="{00000000-0005-0000-0000-000023500000}"/>
    <cellStyle name="Percent 2 3 26" xfId="20369" xr:uid="{00000000-0005-0000-0000-000024500000}"/>
    <cellStyle name="Percent 2 3 26 10" xfId="20370" xr:uid="{00000000-0005-0000-0000-000025500000}"/>
    <cellStyle name="Percent 2 3 26 11" xfId="20371" xr:uid="{00000000-0005-0000-0000-000026500000}"/>
    <cellStyle name="Percent 2 3 26 12" xfId="20372" xr:uid="{00000000-0005-0000-0000-000027500000}"/>
    <cellStyle name="Percent 2 3 26 13" xfId="20373" xr:uid="{00000000-0005-0000-0000-000028500000}"/>
    <cellStyle name="Percent 2 3 26 14" xfId="20374" xr:uid="{00000000-0005-0000-0000-000029500000}"/>
    <cellStyle name="Percent 2 3 26 15" xfId="20375" xr:uid="{00000000-0005-0000-0000-00002A500000}"/>
    <cellStyle name="Percent 2 3 26 16" xfId="20376" xr:uid="{00000000-0005-0000-0000-00002B500000}"/>
    <cellStyle name="Percent 2 3 26 17" xfId="20377" xr:uid="{00000000-0005-0000-0000-00002C500000}"/>
    <cellStyle name="Percent 2 3 26 2" xfId="20378" xr:uid="{00000000-0005-0000-0000-00002D500000}"/>
    <cellStyle name="Percent 2 3 26 3" xfId="20379" xr:uid="{00000000-0005-0000-0000-00002E500000}"/>
    <cellStyle name="Percent 2 3 26 4" xfId="20380" xr:uid="{00000000-0005-0000-0000-00002F500000}"/>
    <cellStyle name="Percent 2 3 26 5" xfId="20381" xr:uid="{00000000-0005-0000-0000-000030500000}"/>
    <cellStyle name="Percent 2 3 26 6" xfId="20382" xr:uid="{00000000-0005-0000-0000-000031500000}"/>
    <cellStyle name="Percent 2 3 26 7" xfId="20383" xr:uid="{00000000-0005-0000-0000-000032500000}"/>
    <cellStyle name="Percent 2 3 26 8" xfId="20384" xr:uid="{00000000-0005-0000-0000-000033500000}"/>
    <cellStyle name="Percent 2 3 26 9" xfId="20385" xr:uid="{00000000-0005-0000-0000-000034500000}"/>
    <cellStyle name="Percent 2 3 27" xfId="20386" xr:uid="{00000000-0005-0000-0000-000035500000}"/>
    <cellStyle name="Percent 2 3 27 10" xfId="20387" xr:uid="{00000000-0005-0000-0000-000036500000}"/>
    <cellStyle name="Percent 2 3 27 11" xfId="20388" xr:uid="{00000000-0005-0000-0000-000037500000}"/>
    <cellStyle name="Percent 2 3 27 12" xfId="20389" xr:uid="{00000000-0005-0000-0000-000038500000}"/>
    <cellStyle name="Percent 2 3 27 13" xfId="20390" xr:uid="{00000000-0005-0000-0000-000039500000}"/>
    <cellStyle name="Percent 2 3 27 14" xfId="20391" xr:uid="{00000000-0005-0000-0000-00003A500000}"/>
    <cellStyle name="Percent 2 3 27 15" xfId="20392" xr:uid="{00000000-0005-0000-0000-00003B500000}"/>
    <cellStyle name="Percent 2 3 27 16" xfId="20393" xr:uid="{00000000-0005-0000-0000-00003C500000}"/>
    <cellStyle name="Percent 2 3 27 17" xfId="20394" xr:uid="{00000000-0005-0000-0000-00003D500000}"/>
    <cellStyle name="Percent 2 3 27 2" xfId="20395" xr:uid="{00000000-0005-0000-0000-00003E500000}"/>
    <cellStyle name="Percent 2 3 27 3" xfId="20396" xr:uid="{00000000-0005-0000-0000-00003F500000}"/>
    <cellStyle name="Percent 2 3 27 4" xfId="20397" xr:uid="{00000000-0005-0000-0000-000040500000}"/>
    <cellStyle name="Percent 2 3 27 5" xfId="20398" xr:uid="{00000000-0005-0000-0000-000041500000}"/>
    <cellStyle name="Percent 2 3 27 6" xfId="20399" xr:uid="{00000000-0005-0000-0000-000042500000}"/>
    <cellStyle name="Percent 2 3 27 7" xfId="20400" xr:uid="{00000000-0005-0000-0000-000043500000}"/>
    <cellStyle name="Percent 2 3 27 8" xfId="20401" xr:uid="{00000000-0005-0000-0000-000044500000}"/>
    <cellStyle name="Percent 2 3 27 9" xfId="20402" xr:uid="{00000000-0005-0000-0000-000045500000}"/>
    <cellStyle name="Percent 2 3 28" xfId="20403" xr:uid="{00000000-0005-0000-0000-000046500000}"/>
    <cellStyle name="Percent 2 3 28 10" xfId="20404" xr:uid="{00000000-0005-0000-0000-000047500000}"/>
    <cellStyle name="Percent 2 3 28 11" xfId="20405" xr:uid="{00000000-0005-0000-0000-000048500000}"/>
    <cellStyle name="Percent 2 3 28 12" xfId="20406" xr:uid="{00000000-0005-0000-0000-000049500000}"/>
    <cellStyle name="Percent 2 3 28 13" xfId="20407" xr:uid="{00000000-0005-0000-0000-00004A500000}"/>
    <cellStyle name="Percent 2 3 28 14" xfId="20408" xr:uid="{00000000-0005-0000-0000-00004B500000}"/>
    <cellStyle name="Percent 2 3 28 15" xfId="20409" xr:uid="{00000000-0005-0000-0000-00004C500000}"/>
    <cellStyle name="Percent 2 3 28 16" xfId="20410" xr:uid="{00000000-0005-0000-0000-00004D500000}"/>
    <cellStyle name="Percent 2 3 28 17" xfId="20411" xr:uid="{00000000-0005-0000-0000-00004E500000}"/>
    <cellStyle name="Percent 2 3 28 2" xfId="20412" xr:uid="{00000000-0005-0000-0000-00004F500000}"/>
    <cellStyle name="Percent 2 3 28 3" xfId="20413" xr:uid="{00000000-0005-0000-0000-000050500000}"/>
    <cellStyle name="Percent 2 3 28 4" xfId="20414" xr:uid="{00000000-0005-0000-0000-000051500000}"/>
    <cellStyle name="Percent 2 3 28 5" xfId="20415" xr:uid="{00000000-0005-0000-0000-000052500000}"/>
    <cellStyle name="Percent 2 3 28 6" xfId="20416" xr:uid="{00000000-0005-0000-0000-000053500000}"/>
    <cellStyle name="Percent 2 3 28 7" xfId="20417" xr:uid="{00000000-0005-0000-0000-000054500000}"/>
    <cellStyle name="Percent 2 3 28 8" xfId="20418" xr:uid="{00000000-0005-0000-0000-000055500000}"/>
    <cellStyle name="Percent 2 3 28 9" xfId="20419" xr:uid="{00000000-0005-0000-0000-000056500000}"/>
    <cellStyle name="Percent 2 3 29" xfId="20420" xr:uid="{00000000-0005-0000-0000-000057500000}"/>
    <cellStyle name="Percent 2 3 29 10" xfId="20421" xr:uid="{00000000-0005-0000-0000-000058500000}"/>
    <cellStyle name="Percent 2 3 29 11" xfId="20422" xr:uid="{00000000-0005-0000-0000-000059500000}"/>
    <cellStyle name="Percent 2 3 29 12" xfId="20423" xr:uid="{00000000-0005-0000-0000-00005A500000}"/>
    <cellStyle name="Percent 2 3 29 13" xfId="20424" xr:uid="{00000000-0005-0000-0000-00005B500000}"/>
    <cellStyle name="Percent 2 3 29 14" xfId="20425" xr:uid="{00000000-0005-0000-0000-00005C500000}"/>
    <cellStyle name="Percent 2 3 29 15" xfId="20426" xr:uid="{00000000-0005-0000-0000-00005D500000}"/>
    <cellStyle name="Percent 2 3 29 16" xfId="20427" xr:uid="{00000000-0005-0000-0000-00005E500000}"/>
    <cellStyle name="Percent 2 3 29 17" xfId="20428" xr:uid="{00000000-0005-0000-0000-00005F500000}"/>
    <cellStyle name="Percent 2 3 29 2" xfId="20429" xr:uid="{00000000-0005-0000-0000-000060500000}"/>
    <cellStyle name="Percent 2 3 29 3" xfId="20430" xr:uid="{00000000-0005-0000-0000-000061500000}"/>
    <cellStyle name="Percent 2 3 29 4" xfId="20431" xr:uid="{00000000-0005-0000-0000-000062500000}"/>
    <cellStyle name="Percent 2 3 29 5" xfId="20432" xr:uid="{00000000-0005-0000-0000-000063500000}"/>
    <cellStyle name="Percent 2 3 29 6" xfId="20433" xr:uid="{00000000-0005-0000-0000-000064500000}"/>
    <cellStyle name="Percent 2 3 29 7" xfId="20434" xr:uid="{00000000-0005-0000-0000-000065500000}"/>
    <cellStyle name="Percent 2 3 29 8" xfId="20435" xr:uid="{00000000-0005-0000-0000-000066500000}"/>
    <cellStyle name="Percent 2 3 29 9" xfId="20436" xr:uid="{00000000-0005-0000-0000-000067500000}"/>
    <cellStyle name="Percent 2 3 3" xfId="20437" xr:uid="{00000000-0005-0000-0000-000068500000}"/>
    <cellStyle name="Percent 2 3 3 10" xfId="20438" xr:uid="{00000000-0005-0000-0000-000069500000}"/>
    <cellStyle name="Percent 2 3 3 11" xfId="20439" xr:uid="{00000000-0005-0000-0000-00006A500000}"/>
    <cellStyle name="Percent 2 3 3 12" xfId="20440" xr:uid="{00000000-0005-0000-0000-00006B500000}"/>
    <cellStyle name="Percent 2 3 3 13" xfId="20441" xr:uid="{00000000-0005-0000-0000-00006C500000}"/>
    <cellStyle name="Percent 2 3 3 14" xfId="20442" xr:uid="{00000000-0005-0000-0000-00006D500000}"/>
    <cellStyle name="Percent 2 3 3 15" xfId="20443" xr:uid="{00000000-0005-0000-0000-00006E500000}"/>
    <cellStyle name="Percent 2 3 3 16" xfId="20444" xr:uid="{00000000-0005-0000-0000-00006F500000}"/>
    <cellStyle name="Percent 2 3 3 17" xfId="20445" xr:uid="{00000000-0005-0000-0000-000070500000}"/>
    <cellStyle name="Percent 2 3 3 2" xfId="20446" xr:uid="{00000000-0005-0000-0000-000071500000}"/>
    <cellStyle name="Percent 2 3 3 3" xfId="20447" xr:uid="{00000000-0005-0000-0000-000072500000}"/>
    <cellStyle name="Percent 2 3 3 4" xfId="20448" xr:uid="{00000000-0005-0000-0000-000073500000}"/>
    <cellStyle name="Percent 2 3 3 5" xfId="20449" xr:uid="{00000000-0005-0000-0000-000074500000}"/>
    <cellStyle name="Percent 2 3 3 6" xfId="20450" xr:uid="{00000000-0005-0000-0000-000075500000}"/>
    <cellStyle name="Percent 2 3 3 7" xfId="20451" xr:uid="{00000000-0005-0000-0000-000076500000}"/>
    <cellStyle name="Percent 2 3 3 8" xfId="20452" xr:uid="{00000000-0005-0000-0000-000077500000}"/>
    <cellStyle name="Percent 2 3 3 9" xfId="20453" xr:uid="{00000000-0005-0000-0000-000078500000}"/>
    <cellStyle name="Percent 2 3 30" xfId="20454" xr:uid="{00000000-0005-0000-0000-000079500000}"/>
    <cellStyle name="Percent 2 3 30 10" xfId="20455" xr:uid="{00000000-0005-0000-0000-00007A500000}"/>
    <cellStyle name="Percent 2 3 30 11" xfId="20456" xr:uid="{00000000-0005-0000-0000-00007B500000}"/>
    <cellStyle name="Percent 2 3 30 12" xfId="20457" xr:uid="{00000000-0005-0000-0000-00007C500000}"/>
    <cellStyle name="Percent 2 3 30 13" xfId="20458" xr:uid="{00000000-0005-0000-0000-00007D500000}"/>
    <cellStyle name="Percent 2 3 30 14" xfId="20459" xr:uid="{00000000-0005-0000-0000-00007E500000}"/>
    <cellStyle name="Percent 2 3 30 15" xfId="20460" xr:uid="{00000000-0005-0000-0000-00007F500000}"/>
    <cellStyle name="Percent 2 3 30 16" xfId="20461" xr:uid="{00000000-0005-0000-0000-000080500000}"/>
    <cellStyle name="Percent 2 3 30 17" xfId="20462" xr:uid="{00000000-0005-0000-0000-000081500000}"/>
    <cellStyle name="Percent 2 3 30 2" xfId="20463" xr:uid="{00000000-0005-0000-0000-000082500000}"/>
    <cellStyle name="Percent 2 3 30 3" xfId="20464" xr:uid="{00000000-0005-0000-0000-000083500000}"/>
    <cellStyle name="Percent 2 3 30 4" xfId="20465" xr:uid="{00000000-0005-0000-0000-000084500000}"/>
    <cellStyle name="Percent 2 3 30 5" xfId="20466" xr:uid="{00000000-0005-0000-0000-000085500000}"/>
    <cellStyle name="Percent 2 3 30 6" xfId="20467" xr:uid="{00000000-0005-0000-0000-000086500000}"/>
    <cellStyle name="Percent 2 3 30 7" xfId="20468" xr:uid="{00000000-0005-0000-0000-000087500000}"/>
    <cellStyle name="Percent 2 3 30 8" xfId="20469" xr:uid="{00000000-0005-0000-0000-000088500000}"/>
    <cellStyle name="Percent 2 3 30 9" xfId="20470" xr:uid="{00000000-0005-0000-0000-000089500000}"/>
    <cellStyle name="Percent 2 3 31" xfId="20471" xr:uid="{00000000-0005-0000-0000-00008A500000}"/>
    <cellStyle name="Percent 2 3 31 10" xfId="20472" xr:uid="{00000000-0005-0000-0000-00008B500000}"/>
    <cellStyle name="Percent 2 3 31 11" xfId="20473" xr:uid="{00000000-0005-0000-0000-00008C500000}"/>
    <cellStyle name="Percent 2 3 31 12" xfId="20474" xr:uid="{00000000-0005-0000-0000-00008D500000}"/>
    <cellStyle name="Percent 2 3 31 13" xfId="20475" xr:uid="{00000000-0005-0000-0000-00008E500000}"/>
    <cellStyle name="Percent 2 3 31 14" xfId="20476" xr:uid="{00000000-0005-0000-0000-00008F500000}"/>
    <cellStyle name="Percent 2 3 31 15" xfId="20477" xr:uid="{00000000-0005-0000-0000-000090500000}"/>
    <cellStyle name="Percent 2 3 31 16" xfId="20478" xr:uid="{00000000-0005-0000-0000-000091500000}"/>
    <cellStyle name="Percent 2 3 31 17" xfId="20479" xr:uid="{00000000-0005-0000-0000-000092500000}"/>
    <cellStyle name="Percent 2 3 31 2" xfId="20480" xr:uid="{00000000-0005-0000-0000-000093500000}"/>
    <cellStyle name="Percent 2 3 31 3" xfId="20481" xr:uid="{00000000-0005-0000-0000-000094500000}"/>
    <cellStyle name="Percent 2 3 31 4" xfId="20482" xr:uid="{00000000-0005-0000-0000-000095500000}"/>
    <cellStyle name="Percent 2 3 31 5" xfId="20483" xr:uid="{00000000-0005-0000-0000-000096500000}"/>
    <cellStyle name="Percent 2 3 31 6" xfId="20484" xr:uid="{00000000-0005-0000-0000-000097500000}"/>
    <cellStyle name="Percent 2 3 31 7" xfId="20485" xr:uid="{00000000-0005-0000-0000-000098500000}"/>
    <cellStyle name="Percent 2 3 31 8" xfId="20486" xr:uid="{00000000-0005-0000-0000-000099500000}"/>
    <cellStyle name="Percent 2 3 31 9" xfId="20487" xr:uid="{00000000-0005-0000-0000-00009A500000}"/>
    <cellStyle name="Percent 2 3 32" xfId="20488" xr:uid="{00000000-0005-0000-0000-00009B500000}"/>
    <cellStyle name="Percent 2 3 32 10" xfId="20489" xr:uid="{00000000-0005-0000-0000-00009C500000}"/>
    <cellStyle name="Percent 2 3 32 11" xfId="20490" xr:uid="{00000000-0005-0000-0000-00009D500000}"/>
    <cellStyle name="Percent 2 3 32 12" xfId="20491" xr:uid="{00000000-0005-0000-0000-00009E500000}"/>
    <cellStyle name="Percent 2 3 32 13" xfId="20492" xr:uid="{00000000-0005-0000-0000-00009F500000}"/>
    <cellStyle name="Percent 2 3 32 14" xfId="20493" xr:uid="{00000000-0005-0000-0000-0000A0500000}"/>
    <cellStyle name="Percent 2 3 32 15" xfId="20494" xr:uid="{00000000-0005-0000-0000-0000A1500000}"/>
    <cellStyle name="Percent 2 3 32 16" xfId="20495" xr:uid="{00000000-0005-0000-0000-0000A2500000}"/>
    <cellStyle name="Percent 2 3 32 17" xfId="20496" xr:uid="{00000000-0005-0000-0000-0000A3500000}"/>
    <cellStyle name="Percent 2 3 32 2" xfId="20497" xr:uid="{00000000-0005-0000-0000-0000A4500000}"/>
    <cellStyle name="Percent 2 3 32 3" xfId="20498" xr:uid="{00000000-0005-0000-0000-0000A5500000}"/>
    <cellStyle name="Percent 2 3 32 4" xfId="20499" xr:uid="{00000000-0005-0000-0000-0000A6500000}"/>
    <cellStyle name="Percent 2 3 32 5" xfId="20500" xr:uid="{00000000-0005-0000-0000-0000A7500000}"/>
    <cellStyle name="Percent 2 3 32 6" xfId="20501" xr:uid="{00000000-0005-0000-0000-0000A8500000}"/>
    <cellStyle name="Percent 2 3 32 7" xfId="20502" xr:uid="{00000000-0005-0000-0000-0000A9500000}"/>
    <cellStyle name="Percent 2 3 32 8" xfId="20503" xr:uid="{00000000-0005-0000-0000-0000AA500000}"/>
    <cellStyle name="Percent 2 3 32 9" xfId="20504" xr:uid="{00000000-0005-0000-0000-0000AB500000}"/>
    <cellStyle name="Percent 2 3 33" xfId="20505" xr:uid="{00000000-0005-0000-0000-0000AC500000}"/>
    <cellStyle name="Percent 2 3 33 10" xfId="20506" xr:uid="{00000000-0005-0000-0000-0000AD500000}"/>
    <cellStyle name="Percent 2 3 33 11" xfId="20507" xr:uid="{00000000-0005-0000-0000-0000AE500000}"/>
    <cellStyle name="Percent 2 3 33 12" xfId="20508" xr:uid="{00000000-0005-0000-0000-0000AF500000}"/>
    <cellStyle name="Percent 2 3 33 13" xfId="20509" xr:uid="{00000000-0005-0000-0000-0000B0500000}"/>
    <cellStyle name="Percent 2 3 33 14" xfId="20510" xr:uid="{00000000-0005-0000-0000-0000B1500000}"/>
    <cellStyle name="Percent 2 3 33 15" xfId="20511" xr:uid="{00000000-0005-0000-0000-0000B2500000}"/>
    <cellStyle name="Percent 2 3 33 16" xfId="20512" xr:uid="{00000000-0005-0000-0000-0000B3500000}"/>
    <cellStyle name="Percent 2 3 33 17" xfId="20513" xr:uid="{00000000-0005-0000-0000-0000B4500000}"/>
    <cellStyle name="Percent 2 3 33 2" xfId="20514" xr:uid="{00000000-0005-0000-0000-0000B5500000}"/>
    <cellStyle name="Percent 2 3 33 3" xfId="20515" xr:uid="{00000000-0005-0000-0000-0000B6500000}"/>
    <cellStyle name="Percent 2 3 33 4" xfId="20516" xr:uid="{00000000-0005-0000-0000-0000B7500000}"/>
    <cellStyle name="Percent 2 3 33 5" xfId="20517" xr:uid="{00000000-0005-0000-0000-0000B8500000}"/>
    <cellStyle name="Percent 2 3 33 6" xfId="20518" xr:uid="{00000000-0005-0000-0000-0000B9500000}"/>
    <cellStyle name="Percent 2 3 33 7" xfId="20519" xr:uid="{00000000-0005-0000-0000-0000BA500000}"/>
    <cellStyle name="Percent 2 3 33 8" xfId="20520" xr:uid="{00000000-0005-0000-0000-0000BB500000}"/>
    <cellStyle name="Percent 2 3 33 9" xfId="20521" xr:uid="{00000000-0005-0000-0000-0000BC500000}"/>
    <cellStyle name="Percent 2 3 34" xfId="20522" xr:uid="{00000000-0005-0000-0000-0000BD500000}"/>
    <cellStyle name="Percent 2 3 34 10" xfId="20523" xr:uid="{00000000-0005-0000-0000-0000BE500000}"/>
    <cellStyle name="Percent 2 3 34 11" xfId="20524" xr:uid="{00000000-0005-0000-0000-0000BF500000}"/>
    <cellStyle name="Percent 2 3 34 12" xfId="20525" xr:uid="{00000000-0005-0000-0000-0000C0500000}"/>
    <cellStyle name="Percent 2 3 34 13" xfId="20526" xr:uid="{00000000-0005-0000-0000-0000C1500000}"/>
    <cellStyle name="Percent 2 3 34 14" xfId="20527" xr:uid="{00000000-0005-0000-0000-0000C2500000}"/>
    <cellStyle name="Percent 2 3 34 15" xfId="20528" xr:uid="{00000000-0005-0000-0000-0000C3500000}"/>
    <cellStyle name="Percent 2 3 34 16" xfId="20529" xr:uid="{00000000-0005-0000-0000-0000C4500000}"/>
    <cellStyle name="Percent 2 3 34 17" xfId="20530" xr:uid="{00000000-0005-0000-0000-0000C5500000}"/>
    <cellStyle name="Percent 2 3 34 2" xfId="20531" xr:uid="{00000000-0005-0000-0000-0000C6500000}"/>
    <cellStyle name="Percent 2 3 34 3" xfId="20532" xr:uid="{00000000-0005-0000-0000-0000C7500000}"/>
    <cellStyle name="Percent 2 3 34 4" xfId="20533" xr:uid="{00000000-0005-0000-0000-0000C8500000}"/>
    <cellStyle name="Percent 2 3 34 5" xfId="20534" xr:uid="{00000000-0005-0000-0000-0000C9500000}"/>
    <cellStyle name="Percent 2 3 34 6" xfId="20535" xr:uid="{00000000-0005-0000-0000-0000CA500000}"/>
    <cellStyle name="Percent 2 3 34 7" xfId="20536" xr:uid="{00000000-0005-0000-0000-0000CB500000}"/>
    <cellStyle name="Percent 2 3 34 8" xfId="20537" xr:uid="{00000000-0005-0000-0000-0000CC500000}"/>
    <cellStyle name="Percent 2 3 34 9" xfId="20538" xr:uid="{00000000-0005-0000-0000-0000CD500000}"/>
    <cellStyle name="Percent 2 3 35" xfId="20539" xr:uid="{00000000-0005-0000-0000-0000CE500000}"/>
    <cellStyle name="Percent 2 3 35 10" xfId="20540" xr:uid="{00000000-0005-0000-0000-0000CF500000}"/>
    <cellStyle name="Percent 2 3 35 11" xfId="20541" xr:uid="{00000000-0005-0000-0000-0000D0500000}"/>
    <cellStyle name="Percent 2 3 35 12" xfId="20542" xr:uid="{00000000-0005-0000-0000-0000D1500000}"/>
    <cellStyle name="Percent 2 3 35 13" xfId="20543" xr:uid="{00000000-0005-0000-0000-0000D2500000}"/>
    <cellStyle name="Percent 2 3 35 14" xfId="20544" xr:uid="{00000000-0005-0000-0000-0000D3500000}"/>
    <cellStyle name="Percent 2 3 35 15" xfId="20545" xr:uid="{00000000-0005-0000-0000-0000D4500000}"/>
    <cellStyle name="Percent 2 3 35 16" xfId="20546" xr:uid="{00000000-0005-0000-0000-0000D5500000}"/>
    <cellStyle name="Percent 2 3 35 17" xfId="20547" xr:uid="{00000000-0005-0000-0000-0000D6500000}"/>
    <cellStyle name="Percent 2 3 35 2" xfId="20548" xr:uid="{00000000-0005-0000-0000-0000D7500000}"/>
    <cellStyle name="Percent 2 3 35 3" xfId="20549" xr:uid="{00000000-0005-0000-0000-0000D8500000}"/>
    <cellStyle name="Percent 2 3 35 4" xfId="20550" xr:uid="{00000000-0005-0000-0000-0000D9500000}"/>
    <cellStyle name="Percent 2 3 35 5" xfId="20551" xr:uid="{00000000-0005-0000-0000-0000DA500000}"/>
    <cellStyle name="Percent 2 3 35 6" xfId="20552" xr:uid="{00000000-0005-0000-0000-0000DB500000}"/>
    <cellStyle name="Percent 2 3 35 7" xfId="20553" xr:uid="{00000000-0005-0000-0000-0000DC500000}"/>
    <cellStyle name="Percent 2 3 35 8" xfId="20554" xr:uid="{00000000-0005-0000-0000-0000DD500000}"/>
    <cellStyle name="Percent 2 3 35 9" xfId="20555" xr:uid="{00000000-0005-0000-0000-0000DE500000}"/>
    <cellStyle name="Percent 2 3 36" xfId="20556" xr:uid="{00000000-0005-0000-0000-0000DF500000}"/>
    <cellStyle name="Percent 2 3 36 10" xfId="20557" xr:uid="{00000000-0005-0000-0000-0000E0500000}"/>
    <cellStyle name="Percent 2 3 36 11" xfId="20558" xr:uid="{00000000-0005-0000-0000-0000E1500000}"/>
    <cellStyle name="Percent 2 3 36 12" xfId="20559" xr:uid="{00000000-0005-0000-0000-0000E2500000}"/>
    <cellStyle name="Percent 2 3 36 13" xfId="20560" xr:uid="{00000000-0005-0000-0000-0000E3500000}"/>
    <cellStyle name="Percent 2 3 36 14" xfId="20561" xr:uid="{00000000-0005-0000-0000-0000E4500000}"/>
    <cellStyle name="Percent 2 3 36 15" xfId="20562" xr:uid="{00000000-0005-0000-0000-0000E5500000}"/>
    <cellStyle name="Percent 2 3 36 16" xfId="20563" xr:uid="{00000000-0005-0000-0000-0000E6500000}"/>
    <cellStyle name="Percent 2 3 36 17" xfId="20564" xr:uid="{00000000-0005-0000-0000-0000E7500000}"/>
    <cellStyle name="Percent 2 3 36 2" xfId="20565" xr:uid="{00000000-0005-0000-0000-0000E8500000}"/>
    <cellStyle name="Percent 2 3 36 3" xfId="20566" xr:uid="{00000000-0005-0000-0000-0000E9500000}"/>
    <cellStyle name="Percent 2 3 36 4" xfId="20567" xr:uid="{00000000-0005-0000-0000-0000EA500000}"/>
    <cellStyle name="Percent 2 3 36 5" xfId="20568" xr:uid="{00000000-0005-0000-0000-0000EB500000}"/>
    <cellStyle name="Percent 2 3 36 6" xfId="20569" xr:uid="{00000000-0005-0000-0000-0000EC500000}"/>
    <cellStyle name="Percent 2 3 36 7" xfId="20570" xr:uid="{00000000-0005-0000-0000-0000ED500000}"/>
    <cellStyle name="Percent 2 3 36 8" xfId="20571" xr:uid="{00000000-0005-0000-0000-0000EE500000}"/>
    <cellStyle name="Percent 2 3 36 9" xfId="20572" xr:uid="{00000000-0005-0000-0000-0000EF500000}"/>
    <cellStyle name="Percent 2 3 37" xfId="20573" xr:uid="{00000000-0005-0000-0000-0000F0500000}"/>
    <cellStyle name="Percent 2 3 37 10" xfId="20574" xr:uid="{00000000-0005-0000-0000-0000F1500000}"/>
    <cellStyle name="Percent 2 3 37 11" xfId="20575" xr:uid="{00000000-0005-0000-0000-0000F2500000}"/>
    <cellStyle name="Percent 2 3 37 12" xfId="20576" xr:uid="{00000000-0005-0000-0000-0000F3500000}"/>
    <cellStyle name="Percent 2 3 37 13" xfId="20577" xr:uid="{00000000-0005-0000-0000-0000F4500000}"/>
    <cellStyle name="Percent 2 3 37 14" xfId="20578" xr:uid="{00000000-0005-0000-0000-0000F5500000}"/>
    <cellStyle name="Percent 2 3 37 15" xfId="20579" xr:uid="{00000000-0005-0000-0000-0000F6500000}"/>
    <cellStyle name="Percent 2 3 37 16" xfId="20580" xr:uid="{00000000-0005-0000-0000-0000F7500000}"/>
    <cellStyle name="Percent 2 3 37 17" xfId="20581" xr:uid="{00000000-0005-0000-0000-0000F8500000}"/>
    <cellStyle name="Percent 2 3 37 2" xfId="20582" xr:uid="{00000000-0005-0000-0000-0000F9500000}"/>
    <cellStyle name="Percent 2 3 37 3" xfId="20583" xr:uid="{00000000-0005-0000-0000-0000FA500000}"/>
    <cellStyle name="Percent 2 3 37 4" xfId="20584" xr:uid="{00000000-0005-0000-0000-0000FB500000}"/>
    <cellStyle name="Percent 2 3 37 5" xfId="20585" xr:uid="{00000000-0005-0000-0000-0000FC500000}"/>
    <cellStyle name="Percent 2 3 37 6" xfId="20586" xr:uid="{00000000-0005-0000-0000-0000FD500000}"/>
    <cellStyle name="Percent 2 3 37 7" xfId="20587" xr:uid="{00000000-0005-0000-0000-0000FE500000}"/>
    <cellStyle name="Percent 2 3 37 8" xfId="20588" xr:uid="{00000000-0005-0000-0000-0000FF500000}"/>
    <cellStyle name="Percent 2 3 37 9" xfId="20589" xr:uid="{00000000-0005-0000-0000-000000510000}"/>
    <cellStyle name="Percent 2 3 38" xfId="20590" xr:uid="{00000000-0005-0000-0000-000001510000}"/>
    <cellStyle name="Percent 2 3 38 10" xfId="20591" xr:uid="{00000000-0005-0000-0000-000002510000}"/>
    <cellStyle name="Percent 2 3 38 11" xfId="20592" xr:uid="{00000000-0005-0000-0000-000003510000}"/>
    <cellStyle name="Percent 2 3 38 12" xfId="20593" xr:uid="{00000000-0005-0000-0000-000004510000}"/>
    <cellStyle name="Percent 2 3 38 13" xfId="20594" xr:uid="{00000000-0005-0000-0000-000005510000}"/>
    <cellStyle name="Percent 2 3 38 14" xfId="20595" xr:uid="{00000000-0005-0000-0000-000006510000}"/>
    <cellStyle name="Percent 2 3 38 15" xfId="20596" xr:uid="{00000000-0005-0000-0000-000007510000}"/>
    <cellStyle name="Percent 2 3 38 16" xfId="20597" xr:uid="{00000000-0005-0000-0000-000008510000}"/>
    <cellStyle name="Percent 2 3 38 17" xfId="20598" xr:uid="{00000000-0005-0000-0000-000009510000}"/>
    <cellStyle name="Percent 2 3 38 2" xfId="20599" xr:uid="{00000000-0005-0000-0000-00000A510000}"/>
    <cellStyle name="Percent 2 3 38 3" xfId="20600" xr:uid="{00000000-0005-0000-0000-00000B510000}"/>
    <cellStyle name="Percent 2 3 38 4" xfId="20601" xr:uid="{00000000-0005-0000-0000-00000C510000}"/>
    <cellStyle name="Percent 2 3 38 5" xfId="20602" xr:uid="{00000000-0005-0000-0000-00000D510000}"/>
    <cellStyle name="Percent 2 3 38 6" xfId="20603" xr:uid="{00000000-0005-0000-0000-00000E510000}"/>
    <cellStyle name="Percent 2 3 38 7" xfId="20604" xr:uid="{00000000-0005-0000-0000-00000F510000}"/>
    <cellStyle name="Percent 2 3 38 8" xfId="20605" xr:uid="{00000000-0005-0000-0000-000010510000}"/>
    <cellStyle name="Percent 2 3 38 9" xfId="20606" xr:uid="{00000000-0005-0000-0000-000011510000}"/>
    <cellStyle name="Percent 2 3 39" xfId="20607" xr:uid="{00000000-0005-0000-0000-000012510000}"/>
    <cellStyle name="Percent 2 3 39 10" xfId="20608" xr:uid="{00000000-0005-0000-0000-000013510000}"/>
    <cellStyle name="Percent 2 3 39 11" xfId="20609" xr:uid="{00000000-0005-0000-0000-000014510000}"/>
    <cellStyle name="Percent 2 3 39 12" xfId="20610" xr:uid="{00000000-0005-0000-0000-000015510000}"/>
    <cellStyle name="Percent 2 3 39 13" xfId="20611" xr:uid="{00000000-0005-0000-0000-000016510000}"/>
    <cellStyle name="Percent 2 3 39 14" xfId="20612" xr:uid="{00000000-0005-0000-0000-000017510000}"/>
    <cellStyle name="Percent 2 3 39 15" xfId="20613" xr:uid="{00000000-0005-0000-0000-000018510000}"/>
    <cellStyle name="Percent 2 3 39 16" xfId="20614" xr:uid="{00000000-0005-0000-0000-000019510000}"/>
    <cellStyle name="Percent 2 3 39 17" xfId="20615" xr:uid="{00000000-0005-0000-0000-00001A510000}"/>
    <cellStyle name="Percent 2 3 39 2" xfId="20616" xr:uid="{00000000-0005-0000-0000-00001B510000}"/>
    <cellStyle name="Percent 2 3 39 3" xfId="20617" xr:uid="{00000000-0005-0000-0000-00001C510000}"/>
    <cellStyle name="Percent 2 3 39 4" xfId="20618" xr:uid="{00000000-0005-0000-0000-00001D510000}"/>
    <cellStyle name="Percent 2 3 39 5" xfId="20619" xr:uid="{00000000-0005-0000-0000-00001E510000}"/>
    <cellStyle name="Percent 2 3 39 6" xfId="20620" xr:uid="{00000000-0005-0000-0000-00001F510000}"/>
    <cellStyle name="Percent 2 3 39 7" xfId="20621" xr:uid="{00000000-0005-0000-0000-000020510000}"/>
    <cellStyle name="Percent 2 3 39 8" xfId="20622" xr:uid="{00000000-0005-0000-0000-000021510000}"/>
    <cellStyle name="Percent 2 3 39 9" xfId="20623" xr:uid="{00000000-0005-0000-0000-000022510000}"/>
    <cellStyle name="Percent 2 3 4" xfId="20624" xr:uid="{00000000-0005-0000-0000-000023510000}"/>
    <cellStyle name="Percent 2 3 4 10" xfId="20625" xr:uid="{00000000-0005-0000-0000-000024510000}"/>
    <cellStyle name="Percent 2 3 4 11" xfId="20626" xr:uid="{00000000-0005-0000-0000-000025510000}"/>
    <cellStyle name="Percent 2 3 4 12" xfId="20627" xr:uid="{00000000-0005-0000-0000-000026510000}"/>
    <cellStyle name="Percent 2 3 4 13" xfId="20628" xr:uid="{00000000-0005-0000-0000-000027510000}"/>
    <cellStyle name="Percent 2 3 4 14" xfId="20629" xr:uid="{00000000-0005-0000-0000-000028510000}"/>
    <cellStyle name="Percent 2 3 4 15" xfId="20630" xr:uid="{00000000-0005-0000-0000-000029510000}"/>
    <cellStyle name="Percent 2 3 4 16" xfId="20631" xr:uid="{00000000-0005-0000-0000-00002A510000}"/>
    <cellStyle name="Percent 2 3 4 17" xfId="20632" xr:uid="{00000000-0005-0000-0000-00002B510000}"/>
    <cellStyle name="Percent 2 3 4 2" xfId="20633" xr:uid="{00000000-0005-0000-0000-00002C510000}"/>
    <cellStyle name="Percent 2 3 4 3" xfId="20634" xr:uid="{00000000-0005-0000-0000-00002D510000}"/>
    <cellStyle name="Percent 2 3 4 4" xfId="20635" xr:uid="{00000000-0005-0000-0000-00002E510000}"/>
    <cellStyle name="Percent 2 3 4 5" xfId="20636" xr:uid="{00000000-0005-0000-0000-00002F510000}"/>
    <cellStyle name="Percent 2 3 4 6" xfId="20637" xr:uid="{00000000-0005-0000-0000-000030510000}"/>
    <cellStyle name="Percent 2 3 4 7" xfId="20638" xr:uid="{00000000-0005-0000-0000-000031510000}"/>
    <cellStyle name="Percent 2 3 4 8" xfId="20639" xr:uid="{00000000-0005-0000-0000-000032510000}"/>
    <cellStyle name="Percent 2 3 4 9" xfId="20640" xr:uid="{00000000-0005-0000-0000-000033510000}"/>
    <cellStyle name="Percent 2 3 40" xfId="20641" xr:uid="{00000000-0005-0000-0000-000034510000}"/>
    <cellStyle name="Percent 2 3 40 10" xfId="20642" xr:uid="{00000000-0005-0000-0000-000035510000}"/>
    <cellStyle name="Percent 2 3 40 11" xfId="20643" xr:uid="{00000000-0005-0000-0000-000036510000}"/>
    <cellStyle name="Percent 2 3 40 12" xfId="20644" xr:uid="{00000000-0005-0000-0000-000037510000}"/>
    <cellStyle name="Percent 2 3 40 13" xfId="20645" xr:uid="{00000000-0005-0000-0000-000038510000}"/>
    <cellStyle name="Percent 2 3 40 14" xfId="20646" xr:uid="{00000000-0005-0000-0000-000039510000}"/>
    <cellStyle name="Percent 2 3 40 15" xfId="20647" xr:uid="{00000000-0005-0000-0000-00003A510000}"/>
    <cellStyle name="Percent 2 3 40 16" xfId="20648" xr:uid="{00000000-0005-0000-0000-00003B510000}"/>
    <cellStyle name="Percent 2 3 40 17" xfId="20649" xr:uid="{00000000-0005-0000-0000-00003C510000}"/>
    <cellStyle name="Percent 2 3 40 2" xfId="20650" xr:uid="{00000000-0005-0000-0000-00003D510000}"/>
    <cellStyle name="Percent 2 3 40 3" xfId="20651" xr:uid="{00000000-0005-0000-0000-00003E510000}"/>
    <cellStyle name="Percent 2 3 40 4" xfId="20652" xr:uid="{00000000-0005-0000-0000-00003F510000}"/>
    <cellStyle name="Percent 2 3 40 5" xfId="20653" xr:uid="{00000000-0005-0000-0000-000040510000}"/>
    <cellStyle name="Percent 2 3 40 6" xfId="20654" xr:uid="{00000000-0005-0000-0000-000041510000}"/>
    <cellStyle name="Percent 2 3 40 7" xfId="20655" xr:uid="{00000000-0005-0000-0000-000042510000}"/>
    <cellStyle name="Percent 2 3 40 8" xfId="20656" xr:uid="{00000000-0005-0000-0000-000043510000}"/>
    <cellStyle name="Percent 2 3 40 9" xfId="20657" xr:uid="{00000000-0005-0000-0000-000044510000}"/>
    <cellStyle name="Percent 2 3 41" xfId="20658" xr:uid="{00000000-0005-0000-0000-000045510000}"/>
    <cellStyle name="Percent 2 3 41 10" xfId="20659" xr:uid="{00000000-0005-0000-0000-000046510000}"/>
    <cellStyle name="Percent 2 3 41 11" xfId="20660" xr:uid="{00000000-0005-0000-0000-000047510000}"/>
    <cellStyle name="Percent 2 3 41 12" xfId="20661" xr:uid="{00000000-0005-0000-0000-000048510000}"/>
    <cellStyle name="Percent 2 3 41 13" xfId="20662" xr:uid="{00000000-0005-0000-0000-000049510000}"/>
    <cellStyle name="Percent 2 3 41 14" xfId="20663" xr:uid="{00000000-0005-0000-0000-00004A510000}"/>
    <cellStyle name="Percent 2 3 41 15" xfId="20664" xr:uid="{00000000-0005-0000-0000-00004B510000}"/>
    <cellStyle name="Percent 2 3 41 16" xfId="20665" xr:uid="{00000000-0005-0000-0000-00004C510000}"/>
    <cellStyle name="Percent 2 3 41 17" xfId="20666" xr:uid="{00000000-0005-0000-0000-00004D510000}"/>
    <cellStyle name="Percent 2 3 41 2" xfId="20667" xr:uid="{00000000-0005-0000-0000-00004E510000}"/>
    <cellStyle name="Percent 2 3 41 3" xfId="20668" xr:uid="{00000000-0005-0000-0000-00004F510000}"/>
    <cellStyle name="Percent 2 3 41 4" xfId="20669" xr:uid="{00000000-0005-0000-0000-000050510000}"/>
    <cellStyle name="Percent 2 3 41 5" xfId="20670" xr:uid="{00000000-0005-0000-0000-000051510000}"/>
    <cellStyle name="Percent 2 3 41 6" xfId="20671" xr:uid="{00000000-0005-0000-0000-000052510000}"/>
    <cellStyle name="Percent 2 3 41 7" xfId="20672" xr:uid="{00000000-0005-0000-0000-000053510000}"/>
    <cellStyle name="Percent 2 3 41 8" xfId="20673" xr:uid="{00000000-0005-0000-0000-000054510000}"/>
    <cellStyle name="Percent 2 3 41 9" xfId="20674" xr:uid="{00000000-0005-0000-0000-000055510000}"/>
    <cellStyle name="Percent 2 3 42" xfId="20675" xr:uid="{00000000-0005-0000-0000-000056510000}"/>
    <cellStyle name="Percent 2 3 42 10" xfId="20676" xr:uid="{00000000-0005-0000-0000-000057510000}"/>
    <cellStyle name="Percent 2 3 42 11" xfId="20677" xr:uid="{00000000-0005-0000-0000-000058510000}"/>
    <cellStyle name="Percent 2 3 42 12" xfId="20678" xr:uid="{00000000-0005-0000-0000-000059510000}"/>
    <cellStyle name="Percent 2 3 42 13" xfId="20679" xr:uid="{00000000-0005-0000-0000-00005A510000}"/>
    <cellStyle name="Percent 2 3 42 14" xfId="20680" xr:uid="{00000000-0005-0000-0000-00005B510000}"/>
    <cellStyle name="Percent 2 3 42 15" xfId="20681" xr:uid="{00000000-0005-0000-0000-00005C510000}"/>
    <cellStyle name="Percent 2 3 42 16" xfId="20682" xr:uid="{00000000-0005-0000-0000-00005D510000}"/>
    <cellStyle name="Percent 2 3 42 17" xfId="20683" xr:uid="{00000000-0005-0000-0000-00005E510000}"/>
    <cellStyle name="Percent 2 3 42 2" xfId="20684" xr:uid="{00000000-0005-0000-0000-00005F510000}"/>
    <cellStyle name="Percent 2 3 42 3" xfId="20685" xr:uid="{00000000-0005-0000-0000-000060510000}"/>
    <cellStyle name="Percent 2 3 42 4" xfId="20686" xr:uid="{00000000-0005-0000-0000-000061510000}"/>
    <cellStyle name="Percent 2 3 42 5" xfId="20687" xr:uid="{00000000-0005-0000-0000-000062510000}"/>
    <cellStyle name="Percent 2 3 42 6" xfId="20688" xr:uid="{00000000-0005-0000-0000-000063510000}"/>
    <cellStyle name="Percent 2 3 42 7" xfId="20689" xr:uid="{00000000-0005-0000-0000-000064510000}"/>
    <cellStyle name="Percent 2 3 42 8" xfId="20690" xr:uid="{00000000-0005-0000-0000-000065510000}"/>
    <cellStyle name="Percent 2 3 42 9" xfId="20691" xr:uid="{00000000-0005-0000-0000-000066510000}"/>
    <cellStyle name="Percent 2 3 43" xfId="20692" xr:uid="{00000000-0005-0000-0000-000067510000}"/>
    <cellStyle name="Percent 2 3 43 10" xfId="20693" xr:uid="{00000000-0005-0000-0000-000068510000}"/>
    <cellStyle name="Percent 2 3 43 11" xfId="20694" xr:uid="{00000000-0005-0000-0000-000069510000}"/>
    <cellStyle name="Percent 2 3 43 12" xfId="20695" xr:uid="{00000000-0005-0000-0000-00006A510000}"/>
    <cellStyle name="Percent 2 3 43 13" xfId="20696" xr:uid="{00000000-0005-0000-0000-00006B510000}"/>
    <cellStyle name="Percent 2 3 43 14" xfId="20697" xr:uid="{00000000-0005-0000-0000-00006C510000}"/>
    <cellStyle name="Percent 2 3 43 15" xfId="20698" xr:uid="{00000000-0005-0000-0000-00006D510000}"/>
    <cellStyle name="Percent 2 3 43 16" xfId="20699" xr:uid="{00000000-0005-0000-0000-00006E510000}"/>
    <cellStyle name="Percent 2 3 43 17" xfId="20700" xr:uid="{00000000-0005-0000-0000-00006F510000}"/>
    <cellStyle name="Percent 2 3 43 2" xfId="20701" xr:uid="{00000000-0005-0000-0000-000070510000}"/>
    <cellStyle name="Percent 2 3 43 3" xfId="20702" xr:uid="{00000000-0005-0000-0000-000071510000}"/>
    <cellStyle name="Percent 2 3 43 4" xfId="20703" xr:uid="{00000000-0005-0000-0000-000072510000}"/>
    <cellStyle name="Percent 2 3 43 5" xfId="20704" xr:uid="{00000000-0005-0000-0000-000073510000}"/>
    <cellStyle name="Percent 2 3 43 6" xfId="20705" xr:uid="{00000000-0005-0000-0000-000074510000}"/>
    <cellStyle name="Percent 2 3 43 7" xfId="20706" xr:uid="{00000000-0005-0000-0000-000075510000}"/>
    <cellStyle name="Percent 2 3 43 8" xfId="20707" xr:uid="{00000000-0005-0000-0000-000076510000}"/>
    <cellStyle name="Percent 2 3 43 9" xfId="20708" xr:uid="{00000000-0005-0000-0000-000077510000}"/>
    <cellStyle name="Percent 2 3 44" xfId="20709" xr:uid="{00000000-0005-0000-0000-000078510000}"/>
    <cellStyle name="Percent 2 3 44 10" xfId="20710" xr:uid="{00000000-0005-0000-0000-000079510000}"/>
    <cellStyle name="Percent 2 3 44 11" xfId="20711" xr:uid="{00000000-0005-0000-0000-00007A510000}"/>
    <cellStyle name="Percent 2 3 44 12" xfId="20712" xr:uid="{00000000-0005-0000-0000-00007B510000}"/>
    <cellStyle name="Percent 2 3 44 13" xfId="20713" xr:uid="{00000000-0005-0000-0000-00007C510000}"/>
    <cellStyle name="Percent 2 3 44 14" xfId="20714" xr:uid="{00000000-0005-0000-0000-00007D510000}"/>
    <cellStyle name="Percent 2 3 44 15" xfId="20715" xr:uid="{00000000-0005-0000-0000-00007E510000}"/>
    <cellStyle name="Percent 2 3 44 16" xfId="20716" xr:uid="{00000000-0005-0000-0000-00007F510000}"/>
    <cellStyle name="Percent 2 3 44 17" xfId="20717" xr:uid="{00000000-0005-0000-0000-000080510000}"/>
    <cellStyle name="Percent 2 3 44 2" xfId="20718" xr:uid="{00000000-0005-0000-0000-000081510000}"/>
    <cellStyle name="Percent 2 3 44 3" xfId="20719" xr:uid="{00000000-0005-0000-0000-000082510000}"/>
    <cellStyle name="Percent 2 3 44 4" xfId="20720" xr:uid="{00000000-0005-0000-0000-000083510000}"/>
    <cellStyle name="Percent 2 3 44 5" xfId="20721" xr:uid="{00000000-0005-0000-0000-000084510000}"/>
    <cellStyle name="Percent 2 3 44 6" xfId="20722" xr:uid="{00000000-0005-0000-0000-000085510000}"/>
    <cellStyle name="Percent 2 3 44 7" xfId="20723" xr:uid="{00000000-0005-0000-0000-000086510000}"/>
    <cellStyle name="Percent 2 3 44 8" xfId="20724" xr:uid="{00000000-0005-0000-0000-000087510000}"/>
    <cellStyle name="Percent 2 3 44 9" xfId="20725" xr:uid="{00000000-0005-0000-0000-000088510000}"/>
    <cellStyle name="Percent 2 3 45" xfId="20726" xr:uid="{00000000-0005-0000-0000-000089510000}"/>
    <cellStyle name="Percent 2 3 45 10" xfId="20727" xr:uid="{00000000-0005-0000-0000-00008A510000}"/>
    <cellStyle name="Percent 2 3 45 11" xfId="20728" xr:uid="{00000000-0005-0000-0000-00008B510000}"/>
    <cellStyle name="Percent 2 3 45 12" xfId="20729" xr:uid="{00000000-0005-0000-0000-00008C510000}"/>
    <cellStyle name="Percent 2 3 45 13" xfId="20730" xr:uid="{00000000-0005-0000-0000-00008D510000}"/>
    <cellStyle name="Percent 2 3 45 14" xfId="20731" xr:uid="{00000000-0005-0000-0000-00008E510000}"/>
    <cellStyle name="Percent 2 3 45 15" xfId="20732" xr:uid="{00000000-0005-0000-0000-00008F510000}"/>
    <cellStyle name="Percent 2 3 45 16" xfId="20733" xr:uid="{00000000-0005-0000-0000-000090510000}"/>
    <cellStyle name="Percent 2 3 45 17" xfId="20734" xr:uid="{00000000-0005-0000-0000-000091510000}"/>
    <cellStyle name="Percent 2 3 45 2" xfId="20735" xr:uid="{00000000-0005-0000-0000-000092510000}"/>
    <cellStyle name="Percent 2 3 45 3" xfId="20736" xr:uid="{00000000-0005-0000-0000-000093510000}"/>
    <cellStyle name="Percent 2 3 45 4" xfId="20737" xr:uid="{00000000-0005-0000-0000-000094510000}"/>
    <cellStyle name="Percent 2 3 45 5" xfId="20738" xr:uid="{00000000-0005-0000-0000-000095510000}"/>
    <cellStyle name="Percent 2 3 45 6" xfId="20739" xr:uid="{00000000-0005-0000-0000-000096510000}"/>
    <cellStyle name="Percent 2 3 45 7" xfId="20740" xr:uid="{00000000-0005-0000-0000-000097510000}"/>
    <cellStyle name="Percent 2 3 45 8" xfId="20741" xr:uid="{00000000-0005-0000-0000-000098510000}"/>
    <cellStyle name="Percent 2 3 45 9" xfId="20742" xr:uid="{00000000-0005-0000-0000-000099510000}"/>
    <cellStyle name="Percent 2 3 46" xfId="20743" xr:uid="{00000000-0005-0000-0000-00009A510000}"/>
    <cellStyle name="Percent 2 3 46 10" xfId="20744" xr:uid="{00000000-0005-0000-0000-00009B510000}"/>
    <cellStyle name="Percent 2 3 46 11" xfId="20745" xr:uid="{00000000-0005-0000-0000-00009C510000}"/>
    <cellStyle name="Percent 2 3 46 12" xfId="20746" xr:uid="{00000000-0005-0000-0000-00009D510000}"/>
    <cellStyle name="Percent 2 3 46 13" xfId="20747" xr:uid="{00000000-0005-0000-0000-00009E510000}"/>
    <cellStyle name="Percent 2 3 46 14" xfId="20748" xr:uid="{00000000-0005-0000-0000-00009F510000}"/>
    <cellStyle name="Percent 2 3 46 15" xfId="20749" xr:uid="{00000000-0005-0000-0000-0000A0510000}"/>
    <cellStyle name="Percent 2 3 46 16" xfId="20750" xr:uid="{00000000-0005-0000-0000-0000A1510000}"/>
    <cellStyle name="Percent 2 3 46 17" xfId="20751" xr:uid="{00000000-0005-0000-0000-0000A2510000}"/>
    <cellStyle name="Percent 2 3 46 2" xfId="20752" xr:uid="{00000000-0005-0000-0000-0000A3510000}"/>
    <cellStyle name="Percent 2 3 46 3" xfId="20753" xr:uid="{00000000-0005-0000-0000-0000A4510000}"/>
    <cellStyle name="Percent 2 3 46 4" xfId="20754" xr:uid="{00000000-0005-0000-0000-0000A5510000}"/>
    <cellStyle name="Percent 2 3 46 5" xfId="20755" xr:uid="{00000000-0005-0000-0000-0000A6510000}"/>
    <cellStyle name="Percent 2 3 46 6" xfId="20756" xr:uid="{00000000-0005-0000-0000-0000A7510000}"/>
    <cellStyle name="Percent 2 3 46 7" xfId="20757" xr:uid="{00000000-0005-0000-0000-0000A8510000}"/>
    <cellStyle name="Percent 2 3 46 8" xfId="20758" xr:uid="{00000000-0005-0000-0000-0000A9510000}"/>
    <cellStyle name="Percent 2 3 46 9" xfId="20759" xr:uid="{00000000-0005-0000-0000-0000AA510000}"/>
    <cellStyle name="Percent 2 3 47" xfId="20760" xr:uid="{00000000-0005-0000-0000-0000AB510000}"/>
    <cellStyle name="Percent 2 3 47 10" xfId="20761" xr:uid="{00000000-0005-0000-0000-0000AC510000}"/>
    <cellStyle name="Percent 2 3 47 11" xfId="20762" xr:uid="{00000000-0005-0000-0000-0000AD510000}"/>
    <cellStyle name="Percent 2 3 47 12" xfId="20763" xr:uid="{00000000-0005-0000-0000-0000AE510000}"/>
    <cellStyle name="Percent 2 3 47 13" xfId="20764" xr:uid="{00000000-0005-0000-0000-0000AF510000}"/>
    <cellStyle name="Percent 2 3 47 14" xfId="20765" xr:uid="{00000000-0005-0000-0000-0000B0510000}"/>
    <cellStyle name="Percent 2 3 47 15" xfId="20766" xr:uid="{00000000-0005-0000-0000-0000B1510000}"/>
    <cellStyle name="Percent 2 3 47 16" xfId="20767" xr:uid="{00000000-0005-0000-0000-0000B2510000}"/>
    <cellStyle name="Percent 2 3 47 17" xfId="20768" xr:uid="{00000000-0005-0000-0000-0000B3510000}"/>
    <cellStyle name="Percent 2 3 47 2" xfId="20769" xr:uid="{00000000-0005-0000-0000-0000B4510000}"/>
    <cellStyle name="Percent 2 3 47 3" xfId="20770" xr:uid="{00000000-0005-0000-0000-0000B5510000}"/>
    <cellStyle name="Percent 2 3 47 4" xfId="20771" xr:uid="{00000000-0005-0000-0000-0000B6510000}"/>
    <cellStyle name="Percent 2 3 47 5" xfId="20772" xr:uid="{00000000-0005-0000-0000-0000B7510000}"/>
    <cellStyle name="Percent 2 3 47 6" xfId="20773" xr:uid="{00000000-0005-0000-0000-0000B8510000}"/>
    <cellStyle name="Percent 2 3 47 7" xfId="20774" xr:uid="{00000000-0005-0000-0000-0000B9510000}"/>
    <cellStyle name="Percent 2 3 47 8" xfId="20775" xr:uid="{00000000-0005-0000-0000-0000BA510000}"/>
    <cellStyle name="Percent 2 3 47 9" xfId="20776" xr:uid="{00000000-0005-0000-0000-0000BB510000}"/>
    <cellStyle name="Percent 2 3 5" xfId="20777" xr:uid="{00000000-0005-0000-0000-0000BC510000}"/>
    <cellStyle name="Percent 2 3 5 10" xfId="20778" xr:uid="{00000000-0005-0000-0000-0000BD510000}"/>
    <cellStyle name="Percent 2 3 5 11" xfId="20779" xr:uid="{00000000-0005-0000-0000-0000BE510000}"/>
    <cellStyle name="Percent 2 3 5 12" xfId="20780" xr:uid="{00000000-0005-0000-0000-0000BF510000}"/>
    <cellStyle name="Percent 2 3 5 13" xfId="20781" xr:uid="{00000000-0005-0000-0000-0000C0510000}"/>
    <cellStyle name="Percent 2 3 5 14" xfId="20782" xr:uid="{00000000-0005-0000-0000-0000C1510000}"/>
    <cellStyle name="Percent 2 3 5 15" xfId="20783" xr:uid="{00000000-0005-0000-0000-0000C2510000}"/>
    <cellStyle name="Percent 2 3 5 16" xfId="20784" xr:uid="{00000000-0005-0000-0000-0000C3510000}"/>
    <cellStyle name="Percent 2 3 5 17" xfId="20785" xr:uid="{00000000-0005-0000-0000-0000C4510000}"/>
    <cellStyle name="Percent 2 3 5 2" xfId="20786" xr:uid="{00000000-0005-0000-0000-0000C5510000}"/>
    <cellStyle name="Percent 2 3 5 3" xfId="20787" xr:uid="{00000000-0005-0000-0000-0000C6510000}"/>
    <cellStyle name="Percent 2 3 5 4" xfId="20788" xr:uid="{00000000-0005-0000-0000-0000C7510000}"/>
    <cellStyle name="Percent 2 3 5 5" xfId="20789" xr:uid="{00000000-0005-0000-0000-0000C8510000}"/>
    <cellStyle name="Percent 2 3 5 6" xfId="20790" xr:uid="{00000000-0005-0000-0000-0000C9510000}"/>
    <cellStyle name="Percent 2 3 5 7" xfId="20791" xr:uid="{00000000-0005-0000-0000-0000CA510000}"/>
    <cellStyle name="Percent 2 3 5 8" xfId="20792" xr:uid="{00000000-0005-0000-0000-0000CB510000}"/>
    <cellStyle name="Percent 2 3 5 9" xfId="20793" xr:uid="{00000000-0005-0000-0000-0000CC510000}"/>
    <cellStyle name="Percent 2 3 6" xfId="20794" xr:uid="{00000000-0005-0000-0000-0000CD510000}"/>
    <cellStyle name="Percent 2 3 6 10" xfId="20795" xr:uid="{00000000-0005-0000-0000-0000CE510000}"/>
    <cellStyle name="Percent 2 3 6 11" xfId="20796" xr:uid="{00000000-0005-0000-0000-0000CF510000}"/>
    <cellStyle name="Percent 2 3 6 12" xfId="20797" xr:uid="{00000000-0005-0000-0000-0000D0510000}"/>
    <cellStyle name="Percent 2 3 6 13" xfId="20798" xr:uid="{00000000-0005-0000-0000-0000D1510000}"/>
    <cellStyle name="Percent 2 3 6 14" xfId="20799" xr:uid="{00000000-0005-0000-0000-0000D2510000}"/>
    <cellStyle name="Percent 2 3 6 15" xfId="20800" xr:uid="{00000000-0005-0000-0000-0000D3510000}"/>
    <cellStyle name="Percent 2 3 6 16" xfId="20801" xr:uid="{00000000-0005-0000-0000-0000D4510000}"/>
    <cellStyle name="Percent 2 3 6 17" xfId="20802" xr:uid="{00000000-0005-0000-0000-0000D5510000}"/>
    <cellStyle name="Percent 2 3 6 2" xfId="20803" xr:uid="{00000000-0005-0000-0000-0000D6510000}"/>
    <cellStyle name="Percent 2 3 6 3" xfId="20804" xr:uid="{00000000-0005-0000-0000-0000D7510000}"/>
    <cellStyle name="Percent 2 3 6 4" xfId="20805" xr:uid="{00000000-0005-0000-0000-0000D8510000}"/>
    <cellStyle name="Percent 2 3 6 5" xfId="20806" xr:uid="{00000000-0005-0000-0000-0000D9510000}"/>
    <cellStyle name="Percent 2 3 6 6" xfId="20807" xr:uid="{00000000-0005-0000-0000-0000DA510000}"/>
    <cellStyle name="Percent 2 3 6 7" xfId="20808" xr:uid="{00000000-0005-0000-0000-0000DB510000}"/>
    <cellStyle name="Percent 2 3 6 8" xfId="20809" xr:uid="{00000000-0005-0000-0000-0000DC510000}"/>
    <cellStyle name="Percent 2 3 6 9" xfId="20810" xr:uid="{00000000-0005-0000-0000-0000DD510000}"/>
    <cellStyle name="Percent 2 3 7" xfId="20811" xr:uid="{00000000-0005-0000-0000-0000DE510000}"/>
    <cellStyle name="Percent 2 3 7 10" xfId="20812" xr:uid="{00000000-0005-0000-0000-0000DF510000}"/>
    <cellStyle name="Percent 2 3 7 11" xfId="20813" xr:uid="{00000000-0005-0000-0000-0000E0510000}"/>
    <cellStyle name="Percent 2 3 7 12" xfId="20814" xr:uid="{00000000-0005-0000-0000-0000E1510000}"/>
    <cellStyle name="Percent 2 3 7 13" xfId="20815" xr:uid="{00000000-0005-0000-0000-0000E2510000}"/>
    <cellStyle name="Percent 2 3 7 14" xfId="20816" xr:uid="{00000000-0005-0000-0000-0000E3510000}"/>
    <cellStyle name="Percent 2 3 7 15" xfId="20817" xr:uid="{00000000-0005-0000-0000-0000E4510000}"/>
    <cellStyle name="Percent 2 3 7 16" xfId="20818" xr:uid="{00000000-0005-0000-0000-0000E5510000}"/>
    <cellStyle name="Percent 2 3 7 17" xfId="20819" xr:uid="{00000000-0005-0000-0000-0000E6510000}"/>
    <cellStyle name="Percent 2 3 7 2" xfId="20820" xr:uid="{00000000-0005-0000-0000-0000E7510000}"/>
    <cellStyle name="Percent 2 3 7 3" xfId="20821" xr:uid="{00000000-0005-0000-0000-0000E8510000}"/>
    <cellStyle name="Percent 2 3 7 4" xfId="20822" xr:uid="{00000000-0005-0000-0000-0000E9510000}"/>
    <cellStyle name="Percent 2 3 7 5" xfId="20823" xr:uid="{00000000-0005-0000-0000-0000EA510000}"/>
    <cellStyle name="Percent 2 3 7 6" xfId="20824" xr:uid="{00000000-0005-0000-0000-0000EB510000}"/>
    <cellStyle name="Percent 2 3 7 7" xfId="20825" xr:uid="{00000000-0005-0000-0000-0000EC510000}"/>
    <cellStyle name="Percent 2 3 7 8" xfId="20826" xr:uid="{00000000-0005-0000-0000-0000ED510000}"/>
    <cellStyle name="Percent 2 3 7 9" xfId="20827" xr:uid="{00000000-0005-0000-0000-0000EE510000}"/>
    <cellStyle name="Percent 2 3 8" xfId="20828" xr:uid="{00000000-0005-0000-0000-0000EF510000}"/>
    <cellStyle name="Percent 2 3 8 10" xfId="20829" xr:uid="{00000000-0005-0000-0000-0000F0510000}"/>
    <cellStyle name="Percent 2 3 8 11" xfId="20830" xr:uid="{00000000-0005-0000-0000-0000F1510000}"/>
    <cellStyle name="Percent 2 3 8 12" xfId="20831" xr:uid="{00000000-0005-0000-0000-0000F2510000}"/>
    <cellStyle name="Percent 2 3 8 13" xfId="20832" xr:uid="{00000000-0005-0000-0000-0000F3510000}"/>
    <cellStyle name="Percent 2 3 8 14" xfId="20833" xr:uid="{00000000-0005-0000-0000-0000F4510000}"/>
    <cellStyle name="Percent 2 3 8 15" xfId="20834" xr:uid="{00000000-0005-0000-0000-0000F5510000}"/>
    <cellStyle name="Percent 2 3 8 16" xfId="20835" xr:uid="{00000000-0005-0000-0000-0000F6510000}"/>
    <cellStyle name="Percent 2 3 8 17" xfId="20836" xr:uid="{00000000-0005-0000-0000-0000F7510000}"/>
    <cellStyle name="Percent 2 3 8 2" xfId="20837" xr:uid="{00000000-0005-0000-0000-0000F8510000}"/>
    <cellStyle name="Percent 2 3 8 3" xfId="20838" xr:uid="{00000000-0005-0000-0000-0000F9510000}"/>
    <cellStyle name="Percent 2 3 8 4" xfId="20839" xr:uid="{00000000-0005-0000-0000-0000FA510000}"/>
    <cellStyle name="Percent 2 3 8 5" xfId="20840" xr:uid="{00000000-0005-0000-0000-0000FB510000}"/>
    <cellStyle name="Percent 2 3 8 6" xfId="20841" xr:uid="{00000000-0005-0000-0000-0000FC510000}"/>
    <cellStyle name="Percent 2 3 8 7" xfId="20842" xr:uid="{00000000-0005-0000-0000-0000FD510000}"/>
    <cellStyle name="Percent 2 3 8 8" xfId="20843" xr:uid="{00000000-0005-0000-0000-0000FE510000}"/>
    <cellStyle name="Percent 2 3 8 9" xfId="20844" xr:uid="{00000000-0005-0000-0000-0000FF510000}"/>
    <cellStyle name="Percent 2 3 9" xfId="20845" xr:uid="{00000000-0005-0000-0000-000000520000}"/>
    <cellStyle name="Percent 2 3 9 10" xfId="20846" xr:uid="{00000000-0005-0000-0000-000001520000}"/>
    <cellStyle name="Percent 2 3 9 11" xfId="20847" xr:uid="{00000000-0005-0000-0000-000002520000}"/>
    <cellStyle name="Percent 2 3 9 12" xfId="20848" xr:uid="{00000000-0005-0000-0000-000003520000}"/>
    <cellStyle name="Percent 2 3 9 13" xfId="20849" xr:uid="{00000000-0005-0000-0000-000004520000}"/>
    <cellStyle name="Percent 2 3 9 14" xfId="20850" xr:uid="{00000000-0005-0000-0000-000005520000}"/>
    <cellStyle name="Percent 2 3 9 15" xfId="20851" xr:uid="{00000000-0005-0000-0000-000006520000}"/>
    <cellStyle name="Percent 2 3 9 16" xfId="20852" xr:uid="{00000000-0005-0000-0000-000007520000}"/>
    <cellStyle name="Percent 2 3 9 17" xfId="20853" xr:uid="{00000000-0005-0000-0000-000008520000}"/>
    <cellStyle name="Percent 2 3 9 2" xfId="20854" xr:uid="{00000000-0005-0000-0000-000009520000}"/>
    <cellStyle name="Percent 2 3 9 3" xfId="20855" xr:uid="{00000000-0005-0000-0000-00000A520000}"/>
    <cellStyle name="Percent 2 3 9 4" xfId="20856" xr:uid="{00000000-0005-0000-0000-00000B520000}"/>
    <cellStyle name="Percent 2 3 9 5" xfId="20857" xr:uid="{00000000-0005-0000-0000-00000C520000}"/>
    <cellStyle name="Percent 2 3 9 6" xfId="20858" xr:uid="{00000000-0005-0000-0000-00000D520000}"/>
    <cellStyle name="Percent 2 3 9 7" xfId="20859" xr:uid="{00000000-0005-0000-0000-00000E520000}"/>
    <cellStyle name="Percent 2 3 9 8" xfId="20860" xr:uid="{00000000-0005-0000-0000-00000F520000}"/>
    <cellStyle name="Percent 2 3 9 9" xfId="20861" xr:uid="{00000000-0005-0000-0000-000010520000}"/>
    <cellStyle name="Percent 2 30" xfId="20862" xr:uid="{00000000-0005-0000-0000-000011520000}"/>
    <cellStyle name="Percent 2 30 10" xfId="20863" xr:uid="{00000000-0005-0000-0000-000012520000}"/>
    <cellStyle name="Percent 2 30 11" xfId="20864" xr:uid="{00000000-0005-0000-0000-000013520000}"/>
    <cellStyle name="Percent 2 30 12" xfId="20865" xr:uid="{00000000-0005-0000-0000-000014520000}"/>
    <cellStyle name="Percent 2 30 13" xfId="20866" xr:uid="{00000000-0005-0000-0000-000015520000}"/>
    <cellStyle name="Percent 2 30 14" xfId="20867" xr:uid="{00000000-0005-0000-0000-000016520000}"/>
    <cellStyle name="Percent 2 30 15" xfId="20868" xr:uid="{00000000-0005-0000-0000-000017520000}"/>
    <cellStyle name="Percent 2 30 16" xfId="20869" xr:uid="{00000000-0005-0000-0000-000018520000}"/>
    <cellStyle name="Percent 2 30 17" xfId="20870" xr:uid="{00000000-0005-0000-0000-000019520000}"/>
    <cellStyle name="Percent 2 30 2" xfId="20871" xr:uid="{00000000-0005-0000-0000-00001A520000}"/>
    <cellStyle name="Percent 2 30 3" xfId="20872" xr:uid="{00000000-0005-0000-0000-00001B520000}"/>
    <cellStyle name="Percent 2 30 4" xfId="20873" xr:uid="{00000000-0005-0000-0000-00001C520000}"/>
    <cellStyle name="Percent 2 30 5" xfId="20874" xr:uid="{00000000-0005-0000-0000-00001D520000}"/>
    <cellStyle name="Percent 2 30 6" xfId="20875" xr:uid="{00000000-0005-0000-0000-00001E520000}"/>
    <cellStyle name="Percent 2 30 7" xfId="20876" xr:uid="{00000000-0005-0000-0000-00001F520000}"/>
    <cellStyle name="Percent 2 30 8" xfId="20877" xr:uid="{00000000-0005-0000-0000-000020520000}"/>
    <cellStyle name="Percent 2 30 9" xfId="20878" xr:uid="{00000000-0005-0000-0000-000021520000}"/>
    <cellStyle name="Percent 2 31" xfId="20879" xr:uid="{00000000-0005-0000-0000-000022520000}"/>
    <cellStyle name="Percent 2 31 10" xfId="20880" xr:uid="{00000000-0005-0000-0000-000023520000}"/>
    <cellStyle name="Percent 2 31 11" xfId="20881" xr:uid="{00000000-0005-0000-0000-000024520000}"/>
    <cellStyle name="Percent 2 31 12" xfId="20882" xr:uid="{00000000-0005-0000-0000-000025520000}"/>
    <cellStyle name="Percent 2 31 13" xfId="20883" xr:uid="{00000000-0005-0000-0000-000026520000}"/>
    <cellStyle name="Percent 2 31 14" xfId="20884" xr:uid="{00000000-0005-0000-0000-000027520000}"/>
    <cellStyle name="Percent 2 31 15" xfId="20885" xr:uid="{00000000-0005-0000-0000-000028520000}"/>
    <cellStyle name="Percent 2 31 16" xfId="20886" xr:uid="{00000000-0005-0000-0000-000029520000}"/>
    <cellStyle name="Percent 2 31 17" xfId="20887" xr:uid="{00000000-0005-0000-0000-00002A520000}"/>
    <cellStyle name="Percent 2 31 2" xfId="20888" xr:uid="{00000000-0005-0000-0000-00002B520000}"/>
    <cellStyle name="Percent 2 31 3" xfId="20889" xr:uid="{00000000-0005-0000-0000-00002C520000}"/>
    <cellStyle name="Percent 2 31 4" xfId="20890" xr:uid="{00000000-0005-0000-0000-00002D520000}"/>
    <cellStyle name="Percent 2 31 5" xfId="20891" xr:uid="{00000000-0005-0000-0000-00002E520000}"/>
    <cellStyle name="Percent 2 31 6" xfId="20892" xr:uid="{00000000-0005-0000-0000-00002F520000}"/>
    <cellStyle name="Percent 2 31 7" xfId="20893" xr:uid="{00000000-0005-0000-0000-000030520000}"/>
    <cellStyle name="Percent 2 31 8" xfId="20894" xr:uid="{00000000-0005-0000-0000-000031520000}"/>
    <cellStyle name="Percent 2 31 9" xfId="20895" xr:uid="{00000000-0005-0000-0000-000032520000}"/>
    <cellStyle name="Percent 2 32" xfId="20896" xr:uid="{00000000-0005-0000-0000-000033520000}"/>
    <cellStyle name="Percent 2 32 10" xfId="20897" xr:uid="{00000000-0005-0000-0000-000034520000}"/>
    <cellStyle name="Percent 2 32 11" xfId="20898" xr:uid="{00000000-0005-0000-0000-000035520000}"/>
    <cellStyle name="Percent 2 32 12" xfId="20899" xr:uid="{00000000-0005-0000-0000-000036520000}"/>
    <cellStyle name="Percent 2 32 13" xfId="20900" xr:uid="{00000000-0005-0000-0000-000037520000}"/>
    <cellStyle name="Percent 2 32 14" xfId="20901" xr:uid="{00000000-0005-0000-0000-000038520000}"/>
    <cellStyle name="Percent 2 32 15" xfId="20902" xr:uid="{00000000-0005-0000-0000-000039520000}"/>
    <cellStyle name="Percent 2 32 16" xfId="20903" xr:uid="{00000000-0005-0000-0000-00003A520000}"/>
    <cellStyle name="Percent 2 32 17" xfId="20904" xr:uid="{00000000-0005-0000-0000-00003B520000}"/>
    <cellStyle name="Percent 2 32 2" xfId="20905" xr:uid="{00000000-0005-0000-0000-00003C520000}"/>
    <cellStyle name="Percent 2 32 3" xfId="20906" xr:uid="{00000000-0005-0000-0000-00003D520000}"/>
    <cellStyle name="Percent 2 32 4" xfId="20907" xr:uid="{00000000-0005-0000-0000-00003E520000}"/>
    <cellStyle name="Percent 2 32 5" xfId="20908" xr:uid="{00000000-0005-0000-0000-00003F520000}"/>
    <cellStyle name="Percent 2 32 6" xfId="20909" xr:uid="{00000000-0005-0000-0000-000040520000}"/>
    <cellStyle name="Percent 2 32 7" xfId="20910" xr:uid="{00000000-0005-0000-0000-000041520000}"/>
    <cellStyle name="Percent 2 32 8" xfId="20911" xr:uid="{00000000-0005-0000-0000-000042520000}"/>
    <cellStyle name="Percent 2 32 9" xfId="20912" xr:uid="{00000000-0005-0000-0000-000043520000}"/>
    <cellStyle name="Percent 2 33" xfId="20913" xr:uid="{00000000-0005-0000-0000-000044520000}"/>
    <cellStyle name="Percent 2 33 10" xfId="20914" xr:uid="{00000000-0005-0000-0000-000045520000}"/>
    <cellStyle name="Percent 2 33 11" xfId="20915" xr:uid="{00000000-0005-0000-0000-000046520000}"/>
    <cellStyle name="Percent 2 33 12" xfId="20916" xr:uid="{00000000-0005-0000-0000-000047520000}"/>
    <cellStyle name="Percent 2 33 13" xfId="20917" xr:uid="{00000000-0005-0000-0000-000048520000}"/>
    <cellStyle name="Percent 2 33 14" xfId="20918" xr:uid="{00000000-0005-0000-0000-000049520000}"/>
    <cellStyle name="Percent 2 33 15" xfId="20919" xr:uid="{00000000-0005-0000-0000-00004A520000}"/>
    <cellStyle name="Percent 2 33 16" xfId="20920" xr:uid="{00000000-0005-0000-0000-00004B520000}"/>
    <cellStyle name="Percent 2 33 17" xfId="20921" xr:uid="{00000000-0005-0000-0000-00004C520000}"/>
    <cellStyle name="Percent 2 33 2" xfId="20922" xr:uid="{00000000-0005-0000-0000-00004D520000}"/>
    <cellStyle name="Percent 2 33 3" xfId="20923" xr:uid="{00000000-0005-0000-0000-00004E520000}"/>
    <cellStyle name="Percent 2 33 4" xfId="20924" xr:uid="{00000000-0005-0000-0000-00004F520000}"/>
    <cellStyle name="Percent 2 33 5" xfId="20925" xr:uid="{00000000-0005-0000-0000-000050520000}"/>
    <cellStyle name="Percent 2 33 6" xfId="20926" xr:uid="{00000000-0005-0000-0000-000051520000}"/>
    <cellStyle name="Percent 2 33 7" xfId="20927" xr:uid="{00000000-0005-0000-0000-000052520000}"/>
    <cellStyle name="Percent 2 33 8" xfId="20928" xr:uid="{00000000-0005-0000-0000-000053520000}"/>
    <cellStyle name="Percent 2 33 9" xfId="20929" xr:uid="{00000000-0005-0000-0000-000054520000}"/>
    <cellStyle name="Percent 2 34" xfId="20930" xr:uid="{00000000-0005-0000-0000-000055520000}"/>
    <cellStyle name="Percent 2 34 10" xfId="20931" xr:uid="{00000000-0005-0000-0000-000056520000}"/>
    <cellStyle name="Percent 2 34 11" xfId="20932" xr:uid="{00000000-0005-0000-0000-000057520000}"/>
    <cellStyle name="Percent 2 34 12" xfId="20933" xr:uid="{00000000-0005-0000-0000-000058520000}"/>
    <cellStyle name="Percent 2 34 13" xfId="20934" xr:uid="{00000000-0005-0000-0000-000059520000}"/>
    <cellStyle name="Percent 2 34 14" xfId="20935" xr:uid="{00000000-0005-0000-0000-00005A520000}"/>
    <cellStyle name="Percent 2 34 15" xfId="20936" xr:uid="{00000000-0005-0000-0000-00005B520000}"/>
    <cellStyle name="Percent 2 34 16" xfId="20937" xr:uid="{00000000-0005-0000-0000-00005C520000}"/>
    <cellStyle name="Percent 2 34 17" xfId="20938" xr:uid="{00000000-0005-0000-0000-00005D520000}"/>
    <cellStyle name="Percent 2 34 2" xfId="20939" xr:uid="{00000000-0005-0000-0000-00005E520000}"/>
    <cellStyle name="Percent 2 34 3" xfId="20940" xr:uid="{00000000-0005-0000-0000-00005F520000}"/>
    <cellStyle name="Percent 2 34 4" xfId="20941" xr:uid="{00000000-0005-0000-0000-000060520000}"/>
    <cellStyle name="Percent 2 34 5" xfId="20942" xr:uid="{00000000-0005-0000-0000-000061520000}"/>
    <cellStyle name="Percent 2 34 6" xfId="20943" xr:uid="{00000000-0005-0000-0000-000062520000}"/>
    <cellStyle name="Percent 2 34 7" xfId="20944" xr:uid="{00000000-0005-0000-0000-000063520000}"/>
    <cellStyle name="Percent 2 34 8" xfId="20945" xr:uid="{00000000-0005-0000-0000-000064520000}"/>
    <cellStyle name="Percent 2 34 9" xfId="20946" xr:uid="{00000000-0005-0000-0000-000065520000}"/>
    <cellStyle name="Percent 2 35" xfId="20947" xr:uid="{00000000-0005-0000-0000-000066520000}"/>
    <cellStyle name="Percent 2 35 10" xfId="20948" xr:uid="{00000000-0005-0000-0000-000067520000}"/>
    <cellStyle name="Percent 2 35 11" xfId="20949" xr:uid="{00000000-0005-0000-0000-000068520000}"/>
    <cellStyle name="Percent 2 35 12" xfId="20950" xr:uid="{00000000-0005-0000-0000-000069520000}"/>
    <cellStyle name="Percent 2 35 13" xfId="20951" xr:uid="{00000000-0005-0000-0000-00006A520000}"/>
    <cellStyle name="Percent 2 35 14" xfId="20952" xr:uid="{00000000-0005-0000-0000-00006B520000}"/>
    <cellStyle name="Percent 2 35 15" xfId="20953" xr:uid="{00000000-0005-0000-0000-00006C520000}"/>
    <cellStyle name="Percent 2 35 16" xfId="20954" xr:uid="{00000000-0005-0000-0000-00006D520000}"/>
    <cellStyle name="Percent 2 35 17" xfId="20955" xr:uid="{00000000-0005-0000-0000-00006E520000}"/>
    <cellStyle name="Percent 2 35 2" xfId="20956" xr:uid="{00000000-0005-0000-0000-00006F520000}"/>
    <cellStyle name="Percent 2 35 3" xfId="20957" xr:uid="{00000000-0005-0000-0000-000070520000}"/>
    <cellStyle name="Percent 2 35 4" xfId="20958" xr:uid="{00000000-0005-0000-0000-000071520000}"/>
    <cellStyle name="Percent 2 35 5" xfId="20959" xr:uid="{00000000-0005-0000-0000-000072520000}"/>
    <cellStyle name="Percent 2 35 6" xfId="20960" xr:uid="{00000000-0005-0000-0000-000073520000}"/>
    <cellStyle name="Percent 2 35 7" xfId="20961" xr:uid="{00000000-0005-0000-0000-000074520000}"/>
    <cellStyle name="Percent 2 35 8" xfId="20962" xr:uid="{00000000-0005-0000-0000-000075520000}"/>
    <cellStyle name="Percent 2 35 9" xfId="20963" xr:uid="{00000000-0005-0000-0000-000076520000}"/>
    <cellStyle name="Percent 2 36" xfId="20964" xr:uid="{00000000-0005-0000-0000-000077520000}"/>
    <cellStyle name="Percent 2 36 10" xfId="20965" xr:uid="{00000000-0005-0000-0000-000078520000}"/>
    <cellStyle name="Percent 2 36 11" xfId="20966" xr:uid="{00000000-0005-0000-0000-000079520000}"/>
    <cellStyle name="Percent 2 36 12" xfId="20967" xr:uid="{00000000-0005-0000-0000-00007A520000}"/>
    <cellStyle name="Percent 2 36 13" xfId="20968" xr:uid="{00000000-0005-0000-0000-00007B520000}"/>
    <cellStyle name="Percent 2 36 14" xfId="20969" xr:uid="{00000000-0005-0000-0000-00007C520000}"/>
    <cellStyle name="Percent 2 36 15" xfId="20970" xr:uid="{00000000-0005-0000-0000-00007D520000}"/>
    <cellStyle name="Percent 2 36 16" xfId="20971" xr:uid="{00000000-0005-0000-0000-00007E520000}"/>
    <cellStyle name="Percent 2 36 17" xfId="20972" xr:uid="{00000000-0005-0000-0000-00007F520000}"/>
    <cellStyle name="Percent 2 36 2" xfId="20973" xr:uid="{00000000-0005-0000-0000-000080520000}"/>
    <cellStyle name="Percent 2 36 3" xfId="20974" xr:uid="{00000000-0005-0000-0000-000081520000}"/>
    <cellStyle name="Percent 2 36 4" xfId="20975" xr:uid="{00000000-0005-0000-0000-000082520000}"/>
    <cellStyle name="Percent 2 36 5" xfId="20976" xr:uid="{00000000-0005-0000-0000-000083520000}"/>
    <cellStyle name="Percent 2 36 6" xfId="20977" xr:uid="{00000000-0005-0000-0000-000084520000}"/>
    <cellStyle name="Percent 2 36 7" xfId="20978" xr:uid="{00000000-0005-0000-0000-000085520000}"/>
    <cellStyle name="Percent 2 36 8" xfId="20979" xr:uid="{00000000-0005-0000-0000-000086520000}"/>
    <cellStyle name="Percent 2 36 9" xfId="20980" xr:uid="{00000000-0005-0000-0000-000087520000}"/>
    <cellStyle name="Percent 2 37" xfId="20981" xr:uid="{00000000-0005-0000-0000-000088520000}"/>
    <cellStyle name="Percent 2 37 10" xfId="20982" xr:uid="{00000000-0005-0000-0000-000089520000}"/>
    <cellStyle name="Percent 2 37 11" xfId="20983" xr:uid="{00000000-0005-0000-0000-00008A520000}"/>
    <cellStyle name="Percent 2 37 12" xfId="20984" xr:uid="{00000000-0005-0000-0000-00008B520000}"/>
    <cellStyle name="Percent 2 37 13" xfId="20985" xr:uid="{00000000-0005-0000-0000-00008C520000}"/>
    <cellStyle name="Percent 2 37 14" xfId="20986" xr:uid="{00000000-0005-0000-0000-00008D520000}"/>
    <cellStyle name="Percent 2 37 15" xfId="20987" xr:uid="{00000000-0005-0000-0000-00008E520000}"/>
    <cellStyle name="Percent 2 37 16" xfId="20988" xr:uid="{00000000-0005-0000-0000-00008F520000}"/>
    <cellStyle name="Percent 2 37 17" xfId="20989" xr:uid="{00000000-0005-0000-0000-000090520000}"/>
    <cellStyle name="Percent 2 37 2" xfId="20990" xr:uid="{00000000-0005-0000-0000-000091520000}"/>
    <cellStyle name="Percent 2 37 3" xfId="20991" xr:uid="{00000000-0005-0000-0000-000092520000}"/>
    <cellStyle name="Percent 2 37 4" xfId="20992" xr:uid="{00000000-0005-0000-0000-000093520000}"/>
    <cellStyle name="Percent 2 37 5" xfId="20993" xr:uid="{00000000-0005-0000-0000-000094520000}"/>
    <cellStyle name="Percent 2 37 6" xfId="20994" xr:uid="{00000000-0005-0000-0000-000095520000}"/>
    <cellStyle name="Percent 2 37 7" xfId="20995" xr:uid="{00000000-0005-0000-0000-000096520000}"/>
    <cellStyle name="Percent 2 37 8" xfId="20996" xr:uid="{00000000-0005-0000-0000-000097520000}"/>
    <cellStyle name="Percent 2 37 9" xfId="20997" xr:uid="{00000000-0005-0000-0000-000098520000}"/>
    <cellStyle name="Percent 2 38" xfId="20998" xr:uid="{00000000-0005-0000-0000-000099520000}"/>
    <cellStyle name="Percent 2 38 10" xfId="20999" xr:uid="{00000000-0005-0000-0000-00009A520000}"/>
    <cellStyle name="Percent 2 38 11" xfId="21000" xr:uid="{00000000-0005-0000-0000-00009B520000}"/>
    <cellStyle name="Percent 2 38 12" xfId="21001" xr:uid="{00000000-0005-0000-0000-00009C520000}"/>
    <cellStyle name="Percent 2 38 13" xfId="21002" xr:uid="{00000000-0005-0000-0000-00009D520000}"/>
    <cellStyle name="Percent 2 38 14" xfId="21003" xr:uid="{00000000-0005-0000-0000-00009E520000}"/>
    <cellStyle name="Percent 2 38 15" xfId="21004" xr:uid="{00000000-0005-0000-0000-00009F520000}"/>
    <cellStyle name="Percent 2 38 16" xfId="21005" xr:uid="{00000000-0005-0000-0000-0000A0520000}"/>
    <cellStyle name="Percent 2 38 17" xfId="21006" xr:uid="{00000000-0005-0000-0000-0000A1520000}"/>
    <cellStyle name="Percent 2 38 2" xfId="21007" xr:uid="{00000000-0005-0000-0000-0000A2520000}"/>
    <cellStyle name="Percent 2 38 3" xfId="21008" xr:uid="{00000000-0005-0000-0000-0000A3520000}"/>
    <cellStyle name="Percent 2 38 4" xfId="21009" xr:uid="{00000000-0005-0000-0000-0000A4520000}"/>
    <cellStyle name="Percent 2 38 5" xfId="21010" xr:uid="{00000000-0005-0000-0000-0000A5520000}"/>
    <cellStyle name="Percent 2 38 6" xfId="21011" xr:uid="{00000000-0005-0000-0000-0000A6520000}"/>
    <cellStyle name="Percent 2 38 7" xfId="21012" xr:uid="{00000000-0005-0000-0000-0000A7520000}"/>
    <cellStyle name="Percent 2 38 8" xfId="21013" xr:uid="{00000000-0005-0000-0000-0000A8520000}"/>
    <cellStyle name="Percent 2 38 9" xfId="21014" xr:uid="{00000000-0005-0000-0000-0000A9520000}"/>
    <cellStyle name="Percent 2 39" xfId="21015" xr:uid="{00000000-0005-0000-0000-0000AA520000}"/>
    <cellStyle name="Percent 2 39 10" xfId="21016" xr:uid="{00000000-0005-0000-0000-0000AB520000}"/>
    <cellStyle name="Percent 2 39 11" xfId="21017" xr:uid="{00000000-0005-0000-0000-0000AC520000}"/>
    <cellStyle name="Percent 2 39 12" xfId="21018" xr:uid="{00000000-0005-0000-0000-0000AD520000}"/>
    <cellStyle name="Percent 2 39 13" xfId="21019" xr:uid="{00000000-0005-0000-0000-0000AE520000}"/>
    <cellStyle name="Percent 2 39 14" xfId="21020" xr:uid="{00000000-0005-0000-0000-0000AF520000}"/>
    <cellStyle name="Percent 2 39 15" xfId="21021" xr:uid="{00000000-0005-0000-0000-0000B0520000}"/>
    <cellStyle name="Percent 2 39 16" xfId="21022" xr:uid="{00000000-0005-0000-0000-0000B1520000}"/>
    <cellStyle name="Percent 2 39 17" xfId="21023" xr:uid="{00000000-0005-0000-0000-0000B2520000}"/>
    <cellStyle name="Percent 2 39 2" xfId="21024" xr:uid="{00000000-0005-0000-0000-0000B3520000}"/>
    <cellStyle name="Percent 2 39 3" xfId="21025" xr:uid="{00000000-0005-0000-0000-0000B4520000}"/>
    <cellStyle name="Percent 2 39 4" xfId="21026" xr:uid="{00000000-0005-0000-0000-0000B5520000}"/>
    <cellStyle name="Percent 2 39 5" xfId="21027" xr:uid="{00000000-0005-0000-0000-0000B6520000}"/>
    <cellStyle name="Percent 2 39 6" xfId="21028" xr:uid="{00000000-0005-0000-0000-0000B7520000}"/>
    <cellStyle name="Percent 2 39 7" xfId="21029" xr:uid="{00000000-0005-0000-0000-0000B8520000}"/>
    <cellStyle name="Percent 2 39 8" xfId="21030" xr:uid="{00000000-0005-0000-0000-0000B9520000}"/>
    <cellStyle name="Percent 2 39 9" xfId="21031" xr:uid="{00000000-0005-0000-0000-0000BA520000}"/>
    <cellStyle name="Percent 2 4" xfId="21032" xr:uid="{00000000-0005-0000-0000-0000BB520000}"/>
    <cellStyle name="Percent 2 4 10" xfId="21033" xr:uid="{00000000-0005-0000-0000-0000BC520000}"/>
    <cellStyle name="Percent 2 4 11" xfId="21034" xr:uid="{00000000-0005-0000-0000-0000BD520000}"/>
    <cellStyle name="Percent 2 4 12" xfId="21035" xr:uid="{00000000-0005-0000-0000-0000BE520000}"/>
    <cellStyle name="Percent 2 4 13" xfId="21036" xr:uid="{00000000-0005-0000-0000-0000BF520000}"/>
    <cellStyle name="Percent 2 4 14" xfId="21037" xr:uid="{00000000-0005-0000-0000-0000C0520000}"/>
    <cellStyle name="Percent 2 4 15" xfId="21038" xr:uid="{00000000-0005-0000-0000-0000C1520000}"/>
    <cellStyle name="Percent 2 4 16" xfId="21039" xr:uid="{00000000-0005-0000-0000-0000C2520000}"/>
    <cellStyle name="Percent 2 4 17" xfId="21040" xr:uid="{00000000-0005-0000-0000-0000C3520000}"/>
    <cellStyle name="Percent 2 4 2" xfId="21041" xr:uid="{00000000-0005-0000-0000-0000C4520000}"/>
    <cellStyle name="Percent 2 4 3" xfId="21042" xr:uid="{00000000-0005-0000-0000-0000C5520000}"/>
    <cellStyle name="Percent 2 4 4" xfId="21043" xr:uid="{00000000-0005-0000-0000-0000C6520000}"/>
    <cellStyle name="Percent 2 4 5" xfId="21044" xr:uid="{00000000-0005-0000-0000-0000C7520000}"/>
    <cellStyle name="Percent 2 4 6" xfId="21045" xr:uid="{00000000-0005-0000-0000-0000C8520000}"/>
    <cellStyle name="Percent 2 4 7" xfId="21046" xr:uid="{00000000-0005-0000-0000-0000C9520000}"/>
    <cellStyle name="Percent 2 4 8" xfId="21047" xr:uid="{00000000-0005-0000-0000-0000CA520000}"/>
    <cellStyle name="Percent 2 4 9" xfId="21048" xr:uid="{00000000-0005-0000-0000-0000CB520000}"/>
    <cellStyle name="Percent 2 40" xfId="21049" xr:uid="{00000000-0005-0000-0000-0000CC520000}"/>
    <cellStyle name="Percent 2 40 10" xfId="21050" xr:uid="{00000000-0005-0000-0000-0000CD520000}"/>
    <cellStyle name="Percent 2 40 11" xfId="21051" xr:uid="{00000000-0005-0000-0000-0000CE520000}"/>
    <cellStyle name="Percent 2 40 12" xfId="21052" xr:uid="{00000000-0005-0000-0000-0000CF520000}"/>
    <cellStyle name="Percent 2 40 13" xfId="21053" xr:uid="{00000000-0005-0000-0000-0000D0520000}"/>
    <cellStyle name="Percent 2 40 14" xfId="21054" xr:uid="{00000000-0005-0000-0000-0000D1520000}"/>
    <cellStyle name="Percent 2 40 15" xfId="21055" xr:uid="{00000000-0005-0000-0000-0000D2520000}"/>
    <cellStyle name="Percent 2 40 16" xfId="21056" xr:uid="{00000000-0005-0000-0000-0000D3520000}"/>
    <cellStyle name="Percent 2 40 17" xfId="21057" xr:uid="{00000000-0005-0000-0000-0000D4520000}"/>
    <cellStyle name="Percent 2 40 2" xfId="21058" xr:uid="{00000000-0005-0000-0000-0000D5520000}"/>
    <cellStyle name="Percent 2 40 3" xfId="21059" xr:uid="{00000000-0005-0000-0000-0000D6520000}"/>
    <cellStyle name="Percent 2 40 4" xfId="21060" xr:uid="{00000000-0005-0000-0000-0000D7520000}"/>
    <cellStyle name="Percent 2 40 5" xfId="21061" xr:uid="{00000000-0005-0000-0000-0000D8520000}"/>
    <cellStyle name="Percent 2 40 6" xfId="21062" xr:uid="{00000000-0005-0000-0000-0000D9520000}"/>
    <cellStyle name="Percent 2 40 7" xfId="21063" xr:uid="{00000000-0005-0000-0000-0000DA520000}"/>
    <cellStyle name="Percent 2 40 8" xfId="21064" xr:uid="{00000000-0005-0000-0000-0000DB520000}"/>
    <cellStyle name="Percent 2 40 9" xfId="21065" xr:uid="{00000000-0005-0000-0000-0000DC520000}"/>
    <cellStyle name="Percent 2 41" xfId="21066" xr:uid="{00000000-0005-0000-0000-0000DD520000}"/>
    <cellStyle name="Percent 2 41 10" xfId="21067" xr:uid="{00000000-0005-0000-0000-0000DE520000}"/>
    <cellStyle name="Percent 2 41 11" xfId="21068" xr:uid="{00000000-0005-0000-0000-0000DF520000}"/>
    <cellStyle name="Percent 2 41 12" xfId="21069" xr:uid="{00000000-0005-0000-0000-0000E0520000}"/>
    <cellStyle name="Percent 2 41 13" xfId="21070" xr:uid="{00000000-0005-0000-0000-0000E1520000}"/>
    <cellStyle name="Percent 2 41 14" xfId="21071" xr:uid="{00000000-0005-0000-0000-0000E2520000}"/>
    <cellStyle name="Percent 2 41 15" xfId="21072" xr:uid="{00000000-0005-0000-0000-0000E3520000}"/>
    <cellStyle name="Percent 2 41 16" xfId="21073" xr:uid="{00000000-0005-0000-0000-0000E4520000}"/>
    <cellStyle name="Percent 2 41 17" xfId="21074" xr:uid="{00000000-0005-0000-0000-0000E5520000}"/>
    <cellStyle name="Percent 2 41 2" xfId="21075" xr:uid="{00000000-0005-0000-0000-0000E6520000}"/>
    <cellStyle name="Percent 2 41 3" xfId="21076" xr:uid="{00000000-0005-0000-0000-0000E7520000}"/>
    <cellStyle name="Percent 2 41 4" xfId="21077" xr:uid="{00000000-0005-0000-0000-0000E8520000}"/>
    <cellStyle name="Percent 2 41 5" xfId="21078" xr:uid="{00000000-0005-0000-0000-0000E9520000}"/>
    <cellStyle name="Percent 2 41 6" xfId="21079" xr:uid="{00000000-0005-0000-0000-0000EA520000}"/>
    <cellStyle name="Percent 2 41 7" xfId="21080" xr:uid="{00000000-0005-0000-0000-0000EB520000}"/>
    <cellStyle name="Percent 2 41 8" xfId="21081" xr:uid="{00000000-0005-0000-0000-0000EC520000}"/>
    <cellStyle name="Percent 2 41 9" xfId="21082" xr:uid="{00000000-0005-0000-0000-0000ED520000}"/>
    <cellStyle name="Percent 2 42" xfId="21083" xr:uid="{00000000-0005-0000-0000-0000EE520000}"/>
    <cellStyle name="Percent 2 42 10" xfId="21084" xr:uid="{00000000-0005-0000-0000-0000EF520000}"/>
    <cellStyle name="Percent 2 42 11" xfId="21085" xr:uid="{00000000-0005-0000-0000-0000F0520000}"/>
    <cellStyle name="Percent 2 42 12" xfId="21086" xr:uid="{00000000-0005-0000-0000-0000F1520000}"/>
    <cellStyle name="Percent 2 42 13" xfId="21087" xr:uid="{00000000-0005-0000-0000-0000F2520000}"/>
    <cellStyle name="Percent 2 42 14" xfId="21088" xr:uid="{00000000-0005-0000-0000-0000F3520000}"/>
    <cellStyle name="Percent 2 42 15" xfId="21089" xr:uid="{00000000-0005-0000-0000-0000F4520000}"/>
    <cellStyle name="Percent 2 42 16" xfId="21090" xr:uid="{00000000-0005-0000-0000-0000F5520000}"/>
    <cellStyle name="Percent 2 42 17" xfId="21091" xr:uid="{00000000-0005-0000-0000-0000F6520000}"/>
    <cellStyle name="Percent 2 42 2" xfId="21092" xr:uid="{00000000-0005-0000-0000-0000F7520000}"/>
    <cellStyle name="Percent 2 42 3" xfId="21093" xr:uid="{00000000-0005-0000-0000-0000F8520000}"/>
    <cellStyle name="Percent 2 42 4" xfId="21094" xr:uid="{00000000-0005-0000-0000-0000F9520000}"/>
    <cellStyle name="Percent 2 42 5" xfId="21095" xr:uid="{00000000-0005-0000-0000-0000FA520000}"/>
    <cellStyle name="Percent 2 42 6" xfId="21096" xr:uid="{00000000-0005-0000-0000-0000FB520000}"/>
    <cellStyle name="Percent 2 42 7" xfId="21097" xr:uid="{00000000-0005-0000-0000-0000FC520000}"/>
    <cellStyle name="Percent 2 42 8" xfId="21098" xr:uid="{00000000-0005-0000-0000-0000FD520000}"/>
    <cellStyle name="Percent 2 42 9" xfId="21099" xr:uid="{00000000-0005-0000-0000-0000FE520000}"/>
    <cellStyle name="Percent 2 43" xfId="21100" xr:uid="{00000000-0005-0000-0000-0000FF520000}"/>
    <cellStyle name="Percent 2 43 10" xfId="21101" xr:uid="{00000000-0005-0000-0000-000000530000}"/>
    <cellStyle name="Percent 2 43 11" xfId="21102" xr:uid="{00000000-0005-0000-0000-000001530000}"/>
    <cellStyle name="Percent 2 43 12" xfId="21103" xr:uid="{00000000-0005-0000-0000-000002530000}"/>
    <cellStyle name="Percent 2 43 13" xfId="21104" xr:uid="{00000000-0005-0000-0000-000003530000}"/>
    <cellStyle name="Percent 2 43 14" xfId="21105" xr:uid="{00000000-0005-0000-0000-000004530000}"/>
    <cellStyle name="Percent 2 43 15" xfId="21106" xr:uid="{00000000-0005-0000-0000-000005530000}"/>
    <cellStyle name="Percent 2 43 16" xfId="21107" xr:uid="{00000000-0005-0000-0000-000006530000}"/>
    <cellStyle name="Percent 2 43 17" xfId="21108" xr:uid="{00000000-0005-0000-0000-000007530000}"/>
    <cellStyle name="Percent 2 43 2" xfId="21109" xr:uid="{00000000-0005-0000-0000-000008530000}"/>
    <cellStyle name="Percent 2 43 3" xfId="21110" xr:uid="{00000000-0005-0000-0000-000009530000}"/>
    <cellStyle name="Percent 2 43 4" xfId="21111" xr:uid="{00000000-0005-0000-0000-00000A530000}"/>
    <cellStyle name="Percent 2 43 5" xfId="21112" xr:uid="{00000000-0005-0000-0000-00000B530000}"/>
    <cellStyle name="Percent 2 43 6" xfId="21113" xr:uid="{00000000-0005-0000-0000-00000C530000}"/>
    <cellStyle name="Percent 2 43 7" xfId="21114" xr:uid="{00000000-0005-0000-0000-00000D530000}"/>
    <cellStyle name="Percent 2 43 8" xfId="21115" xr:uid="{00000000-0005-0000-0000-00000E530000}"/>
    <cellStyle name="Percent 2 43 9" xfId="21116" xr:uid="{00000000-0005-0000-0000-00000F530000}"/>
    <cellStyle name="Percent 2 44" xfId="21117" xr:uid="{00000000-0005-0000-0000-000010530000}"/>
    <cellStyle name="Percent 2 44 10" xfId="21118" xr:uid="{00000000-0005-0000-0000-000011530000}"/>
    <cellStyle name="Percent 2 44 11" xfId="21119" xr:uid="{00000000-0005-0000-0000-000012530000}"/>
    <cellStyle name="Percent 2 44 12" xfId="21120" xr:uid="{00000000-0005-0000-0000-000013530000}"/>
    <cellStyle name="Percent 2 44 13" xfId="21121" xr:uid="{00000000-0005-0000-0000-000014530000}"/>
    <cellStyle name="Percent 2 44 14" xfId="21122" xr:uid="{00000000-0005-0000-0000-000015530000}"/>
    <cellStyle name="Percent 2 44 15" xfId="21123" xr:uid="{00000000-0005-0000-0000-000016530000}"/>
    <cellStyle name="Percent 2 44 16" xfId="21124" xr:uid="{00000000-0005-0000-0000-000017530000}"/>
    <cellStyle name="Percent 2 44 17" xfId="21125" xr:uid="{00000000-0005-0000-0000-000018530000}"/>
    <cellStyle name="Percent 2 44 2" xfId="21126" xr:uid="{00000000-0005-0000-0000-000019530000}"/>
    <cellStyle name="Percent 2 44 3" xfId="21127" xr:uid="{00000000-0005-0000-0000-00001A530000}"/>
    <cellStyle name="Percent 2 44 4" xfId="21128" xr:uid="{00000000-0005-0000-0000-00001B530000}"/>
    <cellStyle name="Percent 2 44 5" xfId="21129" xr:uid="{00000000-0005-0000-0000-00001C530000}"/>
    <cellStyle name="Percent 2 44 6" xfId="21130" xr:uid="{00000000-0005-0000-0000-00001D530000}"/>
    <cellStyle name="Percent 2 44 7" xfId="21131" xr:uid="{00000000-0005-0000-0000-00001E530000}"/>
    <cellStyle name="Percent 2 44 8" xfId="21132" xr:uid="{00000000-0005-0000-0000-00001F530000}"/>
    <cellStyle name="Percent 2 44 9" xfId="21133" xr:uid="{00000000-0005-0000-0000-000020530000}"/>
    <cellStyle name="Percent 2 45" xfId="21134" xr:uid="{00000000-0005-0000-0000-000021530000}"/>
    <cellStyle name="Percent 2 45 10" xfId="21135" xr:uid="{00000000-0005-0000-0000-000022530000}"/>
    <cellStyle name="Percent 2 45 11" xfId="21136" xr:uid="{00000000-0005-0000-0000-000023530000}"/>
    <cellStyle name="Percent 2 45 12" xfId="21137" xr:uid="{00000000-0005-0000-0000-000024530000}"/>
    <cellStyle name="Percent 2 45 13" xfId="21138" xr:uid="{00000000-0005-0000-0000-000025530000}"/>
    <cellStyle name="Percent 2 45 14" xfId="21139" xr:uid="{00000000-0005-0000-0000-000026530000}"/>
    <cellStyle name="Percent 2 45 15" xfId="21140" xr:uid="{00000000-0005-0000-0000-000027530000}"/>
    <cellStyle name="Percent 2 45 16" xfId="21141" xr:uid="{00000000-0005-0000-0000-000028530000}"/>
    <cellStyle name="Percent 2 45 17" xfId="21142" xr:uid="{00000000-0005-0000-0000-000029530000}"/>
    <cellStyle name="Percent 2 45 2" xfId="21143" xr:uid="{00000000-0005-0000-0000-00002A530000}"/>
    <cellStyle name="Percent 2 45 3" xfId="21144" xr:uid="{00000000-0005-0000-0000-00002B530000}"/>
    <cellStyle name="Percent 2 45 4" xfId="21145" xr:uid="{00000000-0005-0000-0000-00002C530000}"/>
    <cellStyle name="Percent 2 45 5" xfId="21146" xr:uid="{00000000-0005-0000-0000-00002D530000}"/>
    <cellStyle name="Percent 2 45 6" xfId="21147" xr:uid="{00000000-0005-0000-0000-00002E530000}"/>
    <cellStyle name="Percent 2 45 7" xfId="21148" xr:uid="{00000000-0005-0000-0000-00002F530000}"/>
    <cellStyle name="Percent 2 45 8" xfId="21149" xr:uid="{00000000-0005-0000-0000-000030530000}"/>
    <cellStyle name="Percent 2 45 9" xfId="21150" xr:uid="{00000000-0005-0000-0000-000031530000}"/>
    <cellStyle name="Percent 2 46" xfId="21151" xr:uid="{00000000-0005-0000-0000-000032530000}"/>
    <cellStyle name="Percent 2 46 10" xfId="21152" xr:uid="{00000000-0005-0000-0000-000033530000}"/>
    <cellStyle name="Percent 2 46 11" xfId="21153" xr:uid="{00000000-0005-0000-0000-000034530000}"/>
    <cellStyle name="Percent 2 46 12" xfId="21154" xr:uid="{00000000-0005-0000-0000-000035530000}"/>
    <cellStyle name="Percent 2 46 13" xfId="21155" xr:uid="{00000000-0005-0000-0000-000036530000}"/>
    <cellStyle name="Percent 2 46 14" xfId="21156" xr:uid="{00000000-0005-0000-0000-000037530000}"/>
    <cellStyle name="Percent 2 46 15" xfId="21157" xr:uid="{00000000-0005-0000-0000-000038530000}"/>
    <cellStyle name="Percent 2 46 16" xfId="21158" xr:uid="{00000000-0005-0000-0000-000039530000}"/>
    <cellStyle name="Percent 2 46 17" xfId="21159" xr:uid="{00000000-0005-0000-0000-00003A530000}"/>
    <cellStyle name="Percent 2 46 2" xfId="21160" xr:uid="{00000000-0005-0000-0000-00003B530000}"/>
    <cellStyle name="Percent 2 46 3" xfId="21161" xr:uid="{00000000-0005-0000-0000-00003C530000}"/>
    <cellStyle name="Percent 2 46 4" xfId="21162" xr:uid="{00000000-0005-0000-0000-00003D530000}"/>
    <cellStyle name="Percent 2 46 5" xfId="21163" xr:uid="{00000000-0005-0000-0000-00003E530000}"/>
    <cellStyle name="Percent 2 46 6" xfId="21164" xr:uid="{00000000-0005-0000-0000-00003F530000}"/>
    <cellStyle name="Percent 2 46 7" xfId="21165" xr:uid="{00000000-0005-0000-0000-000040530000}"/>
    <cellStyle name="Percent 2 46 8" xfId="21166" xr:uid="{00000000-0005-0000-0000-000041530000}"/>
    <cellStyle name="Percent 2 46 9" xfId="21167" xr:uid="{00000000-0005-0000-0000-000042530000}"/>
    <cellStyle name="Percent 2 47" xfId="21168" xr:uid="{00000000-0005-0000-0000-000043530000}"/>
    <cellStyle name="Percent 2 47 10" xfId="21169" xr:uid="{00000000-0005-0000-0000-000044530000}"/>
    <cellStyle name="Percent 2 47 11" xfId="21170" xr:uid="{00000000-0005-0000-0000-000045530000}"/>
    <cellStyle name="Percent 2 47 12" xfId="21171" xr:uid="{00000000-0005-0000-0000-000046530000}"/>
    <cellStyle name="Percent 2 47 13" xfId="21172" xr:uid="{00000000-0005-0000-0000-000047530000}"/>
    <cellStyle name="Percent 2 47 14" xfId="21173" xr:uid="{00000000-0005-0000-0000-000048530000}"/>
    <cellStyle name="Percent 2 47 15" xfId="21174" xr:uid="{00000000-0005-0000-0000-000049530000}"/>
    <cellStyle name="Percent 2 47 16" xfId="21175" xr:uid="{00000000-0005-0000-0000-00004A530000}"/>
    <cellStyle name="Percent 2 47 17" xfId="21176" xr:uid="{00000000-0005-0000-0000-00004B530000}"/>
    <cellStyle name="Percent 2 47 2" xfId="21177" xr:uid="{00000000-0005-0000-0000-00004C530000}"/>
    <cellStyle name="Percent 2 47 3" xfId="21178" xr:uid="{00000000-0005-0000-0000-00004D530000}"/>
    <cellStyle name="Percent 2 47 4" xfId="21179" xr:uid="{00000000-0005-0000-0000-00004E530000}"/>
    <cellStyle name="Percent 2 47 5" xfId="21180" xr:uid="{00000000-0005-0000-0000-00004F530000}"/>
    <cellStyle name="Percent 2 47 6" xfId="21181" xr:uid="{00000000-0005-0000-0000-000050530000}"/>
    <cellStyle name="Percent 2 47 7" xfId="21182" xr:uid="{00000000-0005-0000-0000-000051530000}"/>
    <cellStyle name="Percent 2 47 8" xfId="21183" xr:uid="{00000000-0005-0000-0000-000052530000}"/>
    <cellStyle name="Percent 2 47 9" xfId="21184" xr:uid="{00000000-0005-0000-0000-000053530000}"/>
    <cellStyle name="Percent 2 48" xfId="21185" xr:uid="{00000000-0005-0000-0000-000054530000}"/>
    <cellStyle name="Percent 2 48 10" xfId="21186" xr:uid="{00000000-0005-0000-0000-000055530000}"/>
    <cellStyle name="Percent 2 48 11" xfId="21187" xr:uid="{00000000-0005-0000-0000-000056530000}"/>
    <cellStyle name="Percent 2 48 12" xfId="21188" xr:uid="{00000000-0005-0000-0000-000057530000}"/>
    <cellStyle name="Percent 2 48 13" xfId="21189" xr:uid="{00000000-0005-0000-0000-000058530000}"/>
    <cellStyle name="Percent 2 48 14" xfId="21190" xr:uid="{00000000-0005-0000-0000-000059530000}"/>
    <cellStyle name="Percent 2 48 15" xfId="21191" xr:uid="{00000000-0005-0000-0000-00005A530000}"/>
    <cellStyle name="Percent 2 48 16" xfId="21192" xr:uid="{00000000-0005-0000-0000-00005B530000}"/>
    <cellStyle name="Percent 2 48 17" xfId="21193" xr:uid="{00000000-0005-0000-0000-00005C530000}"/>
    <cellStyle name="Percent 2 48 2" xfId="21194" xr:uid="{00000000-0005-0000-0000-00005D530000}"/>
    <cellStyle name="Percent 2 48 3" xfId="21195" xr:uid="{00000000-0005-0000-0000-00005E530000}"/>
    <cellStyle name="Percent 2 48 4" xfId="21196" xr:uid="{00000000-0005-0000-0000-00005F530000}"/>
    <cellStyle name="Percent 2 48 5" xfId="21197" xr:uid="{00000000-0005-0000-0000-000060530000}"/>
    <cellStyle name="Percent 2 48 6" xfId="21198" xr:uid="{00000000-0005-0000-0000-000061530000}"/>
    <cellStyle name="Percent 2 48 7" xfId="21199" xr:uid="{00000000-0005-0000-0000-000062530000}"/>
    <cellStyle name="Percent 2 48 8" xfId="21200" xr:uid="{00000000-0005-0000-0000-000063530000}"/>
    <cellStyle name="Percent 2 48 9" xfId="21201" xr:uid="{00000000-0005-0000-0000-000064530000}"/>
    <cellStyle name="Percent 2 49" xfId="21202" xr:uid="{00000000-0005-0000-0000-000065530000}"/>
    <cellStyle name="Percent 2 49 10" xfId="21203" xr:uid="{00000000-0005-0000-0000-000066530000}"/>
    <cellStyle name="Percent 2 49 11" xfId="21204" xr:uid="{00000000-0005-0000-0000-000067530000}"/>
    <cellStyle name="Percent 2 49 12" xfId="21205" xr:uid="{00000000-0005-0000-0000-000068530000}"/>
    <cellStyle name="Percent 2 49 13" xfId="21206" xr:uid="{00000000-0005-0000-0000-000069530000}"/>
    <cellStyle name="Percent 2 49 14" xfId="21207" xr:uid="{00000000-0005-0000-0000-00006A530000}"/>
    <cellStyle name="Percent 2 49 15" xfId="21208" xr:uid="{00000000-0005-0000-0000-00006B530000}"/>
    <cellStyle name="Percent 2 49 16" xfId="21209" xr:uid="{00000000-0005-0000-0000-00006C530000}"/>
    <cellStyle name="Percent 2 49 17" xfId="21210" xr:uid="{00000000-0005-0000-0000-00006D530000}"/>
    <cellStyle name="Percent 2 49 2" xfId="21211" xr:uid="{00000000-0005-0000-0000-00006E530000}"/>
    <cellStyle name="Percent 2 49 3" xfId="21212" xr:uid="{00000000-0005-0000-0000-00006F530000}"/>
    <cellStyle name="Percent 2 49 4" xfId="21213" xr:uid="{00000000-0005-0000-0000-000070530000}"/>
    <cellStyle name="Percent 2 49 5" xfId="21214" xr:uid="{00000000-0005-0000-0000-000071530000}"/>
    <cellStyle name="Percent 2 49 6" xfId="21215" xr:uid="{00000000-0005-0000-0000-000072530000}"/>
    <cellStyle name="Percent 2 49 7" xfId="21216" xr:uid="{00000000-0005-0000-0000-000073530000}"/>
    <cellStyle name="Percent 2 49 8" xfId="21217" xr:uid="{00000000-0005-0000-0000-000074530000}"/>
    <cellStyle name="Percent 2 49 9" xfId="21218" xr:uid="{00000000-0005-0000-0000-000075530000}"/>
    <cellStyle name="Percent 2 5" xfId="21219" xr:uid="{00000000-0005-0000-0000-000076530000}"/>
    <cellStyle name="Percent 2 5 10" xfId="21220" xr:uid="{00000000-0005-0000-0000-000077530000}"/>
    <cellStyle name="Percent 2 5 11" xfId="21221" xr:uid="{00000000-0005-0000-0000-000078530000}"/>
    <cellStyle name="Percent 2 5 12" xfId="21222" xr:uid="{00000000-0005-0000-0000-000079530000}"/>
    <cellStyle name="Percent 2 5 13" xfId="21223" xr:uid="{00000000-0005-0000-0000-00007A530000}"/>
    <cellStyle name="Percent 2 5 14" xfId="21224" xr:uid="{00000000-0005-0000-0000-00007B530000}"/>
    <cellStyle name="Percent 2 5 15" xfId="21225" xr:uid="{00000000-0005-0000-0000-00007C530000}"/>
    <cellStyle name="Percent 2 5 16" xfId="21226" xr:uid="{00000000-0005-0000-0000-00007D530000}"/>
    <cellStyle name="Percent 2 5 17" xfId="21227" xr:uid="{00000000-0005-0000-0000-00007E530000}"/>
    <cellStyle name="Percent 2 5 2" xfId="21228" xr:uid="{00000000-0005-0000-0000-00007F530000}"/>
    <cellStyle name="Percent 2 5 3" xfId="21229" xr:uid="{00000000-0005-0000-0000-000080530000}"/>
    <cellStyle name="Percent 2 5 4" xfId="21230" xr:uid="{00000000-0005-0000-0000-000081530000}"/>
    <cellStyle name="Percent 2 5 5" xfId="21231" xr:uid="{00000000-0005-0000-0000-000082530000}"/>
    <cellStyle name="Percent 2 5 6" xfId="21232" xr:uid="{00000000-0005-0000-0000-000083530000}"/>
    <cellStyle name="Percent 2 5 7" xfId="21233" xr:uid="{00000000-0005-0000-0000-000084530000}"/>
    <cellStyle name="Percent 2 5 8" xfId="21234" xr:uid="{00000000-0005-0000-0000-000085530000}"/>
    <cellStyle name="Percent 2 5 9" xfId="21235" xr:uid="{00000000-0005-0000-0000-000086530000}"/>
    <cellStyle name="Percent 2 50" xfId="21236" xr:uid="{00000000-0005-0000-0000-000087530000}"/>
    <cellStyle name="Percent 2 50 10" xfId="21237" xr:uid="{00000000-0005-0000-0000-000088530000}"/>
    <cellStyle name="Percent 2 50 11" xfId="21238" xr:uid="{00000000-0005-0000-0000-000089530000}"/>
    <cellStyle name="Percent 2 50 12" xfId="21239" xr:uid="{00000000-0005-0000-0000-00008A530000}"/>
    <cellStyle name="Percent 2 50 13" xfId="21240" xr:uid="{00000000-0005-0000-0000-00008B530000}"/>
    <cellStyle name="Percent 2 50 14" xfId="21241" xr:uid="{00000000-0005-0000-0000-00008C530000}"/>
    <cellStyle name="Percent 2 50 15" xfId="21242" xr:uid="{00000000-0005-0000-0000-00008D530000}"/>
    <cellStyle name="Percent 2 50 16" xfId="21243" xr:uid="{00000000-0005-0000-0000-00008E530000}"/>
    <cellStyle name="Percent 2 50 17" xfId="21244" xr:uid="{00000000-0005-0000-0000-00008F530000}"/>
    <cellStyle name="Percent 2 50 2" xfId="21245" xr:uid="{00000000-0005-0000-0000-000090530000}"/>
    <cellStyle name="Percent 2 50 3" xfId="21246" xr:uid="{00000000-0005-0000-0000-000091530000}"/>
    <cellStyle name="Percent 2 50 4" xfId="21247" xr:uid="{00000000-0005-0000-0000-000092530000}"/>
    <cellStyle name="Percent 2 50 5" xfId="21248" xr:uid="{00000000-0005-0000-0000-000093530000}"/>
    <cellStyle name="Percent 2 50 6" xfId="21249" xr:uid="{00000000-0005-0000-0000-000094530000}"/>
    <cellStyle name="Percent 2 50 7" xfId="21250" xr:uid="{00000000-0005-0000-0000-000095530000}"/>
    <cellStyle name="Percent 2 50 8" xfId="21251" xr:uid="{00000000-0005-0000-0000-000096530000}"/>
    <cellStyle name="Percent 2 50 9" xfId="21252" xr:uid="{00000000-0005-0000-0000-000097530000}"/>
    <cellStyle name="Percent 2 51" xfId="21253" xr:uid="{00000000-0005-0000-0000-000098530000}"/>
    <cellStyle name="Percent 2 51 10" xfId="21254" xr:uid="{00000000-0005-0000-0000-000099530000}"/>
    <cellStyle name="Percent 2 51 11" xfId="21255" xr:uid="{00000000-0005-0000-0000-00009A530000}"/>
    <cellStyle name="Percent 2 51 12" xfId="21256" xr:uid="{00000000-0005-0000-0000-00009B530000}"/>
    <cellStyle name="Percent 2 51 13" xfId="21257" xr:uid="{00000000-0005-0000-0000-00009C530000}"/>
    <cellStyle name="Percent 2 51 14" xfId="21258" xr:uid="{00000000-0005-0000-0000-00009D530000}"/>
    <cellStyle name="Percent 2 51 15" xfId="21259" xr:uid="{00000000-0005-0000-0000-00009E530000}"/>
    <cellStyle name="Percent 2 51 16" xfId="21260" xr:uid="{00000000-0005-0000-0000-00009F530000}"/>
    <cellStyle name="Percent 2 51 17" xfId="21261" xr:uid="{00000000-0005-0000-0000-0000A0530000}"/>
    <cellStyle name="Percent 2 51 2" xfId="21262" xr:uid="{00000000-0005-0000-0000-0000A1530000}"/>
    <cellStyle name="Percent 2 51 3" xfId="21263" xr:uid="{00000000-0005-0000-0000-0000A2530000}"/>
    <cellStyle name="Percent 2 51 4" xfId="21264" xr:uid="{00000000-0005-0000-0000-0000A3530000}"/>
    <cellStyle name="Percent 2 51 5" xfId="21265" xr:uid="{00000000-0005-0000-0000-0000A4530000}"/>
    <cellStyle name="Percent 2 51 6" xfId="21266" xr:uid="{00000000-0005-0000-0000-0000A5530000}"/>
    <cellStyle name="Percent 2 51 7" xfId="21267" xr:uid="{00000000-0005-0000-0000-0000A6530000}"/>
    <cellStyle name="Percent 2 51 8" xfId="21268" xr:uid="{00000000-0005-0000-0000-0000A7530000}"/>
    <cellStyle name="Percent 2 51 9" xfId="21269" xr:uid="{00000000-0005-0000-0000-0000A8530000}"/>
    <cellStyle name="Percent 2 52" xfId="21270" xr:uid="{00000000-0005-0000-0000-0000A9530000}"/>
    <cellStyle name="Percent 2 53" xfId="21271" xr:uid="{00000000-0005-0000-0000-0000AA530000}"/>
    <cellStyle name="Percent 2 54" xfId="21272" xr:uid="{00000000-0005-0000-0000-0000AB530000}"/>
    <cellStyle name="Percent 2 55" xfId="21273" xr:uid="{00000000-0005-0000-0000-0000AC530000}"/>
    <cellStyle name="Percent 2 56" xfId="21274" xr:uid="{00000000-0005-0000-0000-0000AD530000}"/>
    <cellStyle name="Percent 2 57" xfId="21275" xr:uid="{00000000-0005-0000-0000-0000AE530000}"/>
    <cellStyle name="Percent 2 58" xfId="21276" xr:uid="{00000000-0005-0000-0000-0000AF530000}"/>
    <cellStyle name="Percent 2 59" xfId="21277" xr:uid="{00000000-0005-0000-0000-0000B0530000}"/>
    <cellStyle name="Percent 2 6" xfId="21278" xr:uid="{00000000-0005-0000-0000-0000B1530000}"/>
    <cellStyle name="Percent 2 6 10" xfId="21279" xr:uid="{00000000-0005-0000-0000-0000B2530000}"/>
    <cellStyle name="Percent 2 6 11" xfId="21280" xr:uid="{00000000-0005-0000-0000-0000B3530000}"/>
    <cellStyle name="Percent 2 6 12" xfId="21281" xr:uid="{00000000-0005-0000-0000-0000B4530000}"/>
    <cellStyle name="Percent 2 6 13" xfId="21282" xr:uid="{00000000-0005-0000-0000-0000B5530000}"/>
    <cellStyle name="Percent 2 6 14" xfId="21283" xr:uid="{00000000-0005-0000-0000-0000B6530000}"/>
    <cellStyle name="Percent 2 6 15" xfId="21284" xr:uid="{00000000-0005-0000-0000-0000B7530000}"/>
    <cellStyle name="Percent 2 6 16" xfId="21285" xr:uid="{00000000-0005-0000-0000-0000B8530000}"/>
    <cellStyle name="Percent 2 6 17" xfId="21286" xr:uid="{00000000-0005-0000-0000-0000B9530000}"/>
    <cellStyle name="Percent 2 6 2" xfId="21287" xr:uid="{00000000-0005-0000-0000-0000BA530000}"/>
    <cellStyle name="Percent 2 6 3" xfId="21288" xr:uid="{00000000-0005-0000-0000-0000BB530000}"/>
    <cellStyle name="Percent 2 6 4" xfId="21289" xr:uid="{00000000-0005-0000-0000-0000BC530000}"/>
    <cellStyle name="Percent 2 6 5" xfId="21290" xr:uid="{00000000-0005-0000-0000-0000BD530000}"/>
    <cellStyle name="Percent 2 6 6" xfId="21291" xr:uid="{00000000-0005-0000-0000-0000BE530000}"/>
    <cellStyle name="Percent 2 6 7" xfId="21292" xr:uid="{00000000-0005-0000-0000-0000BF530000}"/>
    <cellStyle name="Percent 2 6 8" xfId="21293" xr:uid="{00000000-0005-0000-0000-0000C0530000}"/>
    <cellStyle name="Percent 2 6 9" xfId="21294" xr:uid="{00000000-0005-0000-0000-0000C1530000}"/>
    <cellStyle name="Percent 2 60" xfId="21295" xr:uid="{00000000-0005-0000-0000-0000C2530000}"/>
    <cellStyle name="Percent 2 61" xfId="21296" xr:uid="{00000000-0005-0000-0000-0000C3530000}"/>
    <cellStyle name="Percent 2 62" xfId="21297" xr:uid="{00000000-0005-0000-0000-0000C4530000}"/>
    <cellStyle name="Percent 2 63" xfId="21298" xr:uid="{00000000-0005-0000-0000-0000C5530000}"/>
    <cellStyle name="Percent 2 64" xfId="21299" xr:uid="{00000000-0005-0000-0000-0000C6530000}"/>
    <cellStyle name="Percent 2 7" xfId="21300" xr:uid="{00000000-0005-0000-0000-0000C7530000}"/>
    <cellStyle name="Percent 2 7 10" xfId="21301" xr:uid="{00000000-0005-0000-0000-0000C8530000}"/>
    <cellStyle name="Percent 2 7 11" xfId="21302" xr:uid="{00000000-0005-0000-0000-0000C9530000}"/>
    <cellStyle name="Percent 2 7 12" xfId="21303" xr:uid="{00000000-0005-0000-0000-0000CA530000}"/>
    <cellStyle name="Percent 2 7 13" xfId="21304" xr:uid="{00000000-0005-0000-0000-0000CB530000}"/>
    <cellStyle name="Percent 2 7 14" xfId="21305" xr:uid="{00000000-0005-0000-0000-0000CC530000}"/>
    <cellStyle name="Percent 2 7 15" xfId="21306" xr:uid="{00000000-0005-0000-0000-0000CD530000}"/>
    <cellStyle name="Percent 2 7 16" xfId="21307" xr:uid="{00000000-0005-0000-0000-0000CE530000}"/>
    <cellStyle name="Percent 2 7 17" xfId="21308" xr:uid="{00000000-0005-0000-0000-0000CF530000}"/>
    <cellStyle name="Percent 2 7 2" xfId="21309" xr:uid="{00000000-0005-0000-0000-0000D0530000}"/>
    <cellStyle name="Percent 2 7 3" xfId="21310" xr:uid="{00000000-0005-0000-0000-0000D1530000}"/>
    <cellStyle name="Percent 2 7 4" xfId="21311" xr:uid="{00000000-0005-0000-0000-0000D2530000}"/>
    <cellStyle name="Percent 2 7 5" xfId="21312" xr:uid="{00000000-0005-0000-0000-0000D3530000}"/>
    <cellStyle name="Percent 2 7 6" xfId="21313" xr:uid="{00000000-0005-0000-0000-0000D4530000}"/>
    <cellStyle name="Percent 2 7 7" xfId="21314" xr:uid="{00000000-0005-0000-0000-0000D5530000}"/>
    <cellStyle name="Percent 2 7 8" xfId="21315" xr:uid="{00000000-0005-0000-0000-0000D6530000}"/>
    <cellStyle name="Percent 2 7 9" xfId="21316" xr:uid="{00000000-0005-0000-0000-0000D7530000}"/>
    <cellStyle name="Percent 2 8" xfId="21317" xr:uid="{00000000-0005-0000-0000-0000D8530000}"/>
    <cellStyle name="Percent 2 8 10" xfId="21318" xr:uid="{00000000-0005-0000-0000-0000D9530000}"/>
    <cellStyle name="Percent 2 8 11" xfId="21319" xr:uid="{00000000-0005-0000-0000-0000DA530000}"/>
    <cellStyle name="Percent 2 8 12" xfId="21320" xr:uid="{00000000-0005-0000-0000-0000DB530000}"/>
    <cellStyle name="Percent 2 8 13" xfId="21321" xr:uid="{00000000-0005-0000-0000-0000DC530000}"/>
    <cellStyle name="Percent 2 8 14" xfId="21322" xr:uid="{00000000-0005-0000-0000-0000DD530000}"/>
    <cellStyle name="Percent 2 8 15" xfId="21323" xr:uid="{00000000-0005-0000-0000-0000DE530000}"/>
    <cellStyle name="Percent 2 8 16" xfId="21324" xr:uid="{00000000-0005-0000-0000-0000DF530000}"/>
    <cellStyle name="Percent 2 8 17" xfId="21325" xr:uid="{00000000-0005-0000-0000-0000E0530000}"/>
    <cellStyle name="Percent 2 8 2" xfId="21326" xr:uid="{00000000-0005-0000-0000-0000E1530000}"/>
    <cellStyle name="Percent 2 8 3" xfId="21327" xr:uid="{00000000-0005-0000-0000-0000E2530000}"/>
    <cellStyle name="Percent 2 8 4" xfId="21328" xr:uid="{00000000-0005-0000-0000-0000E3530000}"/>
    <cellStyle name="Percent 2 8 5" xfId="21329" xr:uid="{00000000-0005-0000-0000-0000E4530000}"/>
    <cellStyle name="Percent 2 8 6" xfId="21330" xr:uid="{00000000-0005-0000-0000-0000E5530000}"/>
    <cellStyle name="Percent 2 8 7" xfId="21331" xr:uid="{00000000-0005-0000-0000-0000E6530000}"/>
    <cellStyle name="Percent 2 8 8" xfId="21332" xr:uid="{00000000-0005-0000-0000-0000E7530000}"/>
    <cellStyle name="Percent 2 8 9" xfId="21333" xr:uid="{00000000-0005-0000-0000-0000E8530000}"/>
    <cellStyle name="Percent 2 9" xfId="21334" xr:uid="{00000000-0005-0000-0000-0000E9530000}"/>
    <cellStyle name="Percent 2 9 10" xfId="21335" xr:uid="{00000000-0005-0000-0000-0000EA530000}"/>
    <cellStyle name="Percent 2 9 11" xfId="21336" xr:uid="{00000000-0005-0000-0000-0000EB530000}"/>
    <cellStyle name="Percent 2 9 12" xfId="21337" xr:uid="{00000000-0005-0000-0000-0000EC530000}"/>
    <cellStyle name="Percent 2 9 13" xfId="21338" xr:uid="{00000000-0005-0000-0000-0000ED530000}"/>
    <cellStyle name="Percent 2 9 14" xfId="21339" xr:uid="{00000000-0005-0000-0000-0000EE530000}"/>
    <cellStyle name="Percent 2 9 15" xfId="21340" xr:uid="{00000000-0005-0000-0000-0000EF530000}"/>
    <cellStyle name="Percent 2 9 16" xfId="21341" xr:uid="{00000000-0005-0000-0000-0000F0530000}"/>
    <cellStyle name="Percent 2 9 17" xfId="21342" xr:uid="{00000000-0005-0000-0000-0000F1530000}"/>
    <cellStyle name="Percent 2 9 2" xfId="21343" xr:uid="{00000000-0005-0000-0000-0000F2530000}"/>
    <cellStyle name="Percent 2 9 3" xfId="21344" xr:uid="{00000000-0005-0000-0000-0000F3530000}"/>
    <cellStyle name="Percent 2 9 4" xfId="21345" xr:uid="{00000000-0005-0000-0000-0000F4530000}"/>
    <cellStyle name="Percent 2 9 5" xfId="21346" xr:uid="{00000000-0005-0000-0000-0000F5530000}"/>
    <cellStyle name="Percent 2 9 6" xfId="21347" xr:uid="{00000000-0005-0000-0000-0000F6530000}"/>
    <cellStyle name="Percent 2 9 7" xfId="21348" xr:uid="{00000000-0005-0000-0000-0000F7530000}"/>
    <cellStyle name="Percent 2 9 8" xfId="21349" xr:uid="{00000000-0005-0000-0000-0000F8530000}"/>
    <cellStyle name="Percent 2 9 9" xfId="21350" xr:uid="{00000000-0005-0000-0000-0000F9530000}"/>
    <cellStyle name="Percent 2 DP" xfId="21351" xr:uid="{00000000-0005-0000-0000-0000FA530000}"/>
    <cellStyle name="Percent 20" xfId="48342" xr:uid="{00000000-0005-0000-0000-0000FB530000}"/>
    <cellStyle name="Percent 21" xfId="48343" xr:uid="{00000000-0005-0000-0000-0000FC530000}"/>
    <cellStyle name="Percent 22" xfId="48344" xr:uid="{00000000-0005-0000-0000-0000FD530000}"/>
    <cellStyle name="Percent 23" xfId="48345" xr:uid="{00000000-0005-0000-0000-0000FE530000}"/>
    <cellStyle name="Percent 24" xfId="48346" xr:uid="{00000000-0005-0000-0000-0000FF530000}"/>
    <cellStyle name="Percent 25" xfId="48347" xr:uid="{00000000-0005-0000-0000-000000540000}"/>
    <cellStyle name="Percent 26" xfId="48348" xr:uid="{00000000-0005-0000-0000-000001540000}"/>
    <cellStyle name="Percent 27" xfId="48349" xr:uid="{00000000-0005-0000-0000-000002540000}"/>
    <cellStyle name="Percent 28" xfId="48350" xr:uid="{00000000-0005-0000-0000-000003540000}"/>
    <cellStyle name="Percent 29" xfId="48351" xr:uid="{00000000-0005-0000-0000-000004540000}"/>
    <cellStyle name="Percent 3" xfId="21352" xr:uid="{00000000-0005-0000-0000-000005540000}"/>
    <cellStyle name="Percent 3 10" xfId="48416" xr:uid="{00000000-0005-0000-0000-000006540000}"/>
    <cellStyle name="Percent 3 2" xfId="21353" xr:uid="{00000000-0005-0000-0000-000007540000}"/>
    <cellStyle name="Percent 3 3" xfId="21354" xr:uid="{00000000-0005-0000-0000-000008540000}"/>
    <cellStyle name="Percent 3 4" xfId="21355" xr:uid="{00000000-0005-0000-0000-000009540000}"/>
    <cellStyle name="Percent 3 5" xfId="21356" xr:uid="{00000000-0005-0000-0000-00000A540000}"/>
    <cellStyle name="Percent 3 6" xfId="21357" xr:uid="{00000000-0005-0000-0000-00000B540000}"/>
    <cellStyle name="Percent 3 7" xfId="21358" xr:uid="{00000000-0005-0000-0000-00000C540000}"/>
    <cellStyle name="Percent 3 8" xfId="21359" xr:uid="{00000000-0005-0000-0000-00000D540000}"/>
    <cellStyle name="Percent 30" xfId="48352" xr:uid="{00000000-0005-0000-0000-00000E540000}"/>
    <cellStyle name="Percent 31" xfId="48353" xr:uid="{00000000-0005-0000-0000-00000F540000}"/>
    <cellStyle name="Percent 32" xfId="48354" xr:uid="{00000000-0005-0000-0000-000010540000}"/>
    <cellStyle name="Percent 33" xfId="48355" xr:uid="{00000000-0005-0000-0000-000011540000}"/>
    <cellStyle name="Percent 34" xfId="48356" xr:uid="{00000000-0005-0000-0000-000012540000}"/>
    <cellStyle name="Percent 35" xfId="48357" xr:uid="{00000000-0005-0000-0000-000013540000}"/>
    <cellStyle name="Percent 36" xfId="48358" xr:uid="{00000000-0005-0000-0000-000014540000}"/>
    <cellStyle name="Percent 37" xfId="48359" xr:uid="{00000000-0005-0000-0000-000015540000}"/>
    <cellStyle name="Percent 38" xfId="48360" xr:uid="{00000000-0005-0000-0000-000016540000}"/>
    <cellStyle name="Percent 39" xfId="48361" xr:uid="{00000000-0005-0000-0000-000017540000}"/>
    <cellStyle name="Percent 4" xfId="21360" xr:uid="{00000000-0005-0000-0000-000018540000}"/>
    <cellStyle name="Percent 4 10" xfId="21361" xr:uid="{00000000-0005-0000-0000-000019540000}"/>
    <cellStyle name="Percent 4 10 10" xfId="21362" xr:uid="{00000000-0005-0000-0000-00001A540000}"/>
    <cellStyle name="Percent 4 10 11" xfId="21363" xr:uid="{00000000-0005-0000-0000-00001B540000}"/>
    <cellStyle name="Percent 4 10 12" xfId="21364" xr:uid="{00000000-0005-0000-0000-00001C540000}"/>
    <cellStyle name="Percent 4 10 13" xfId="21365" xr:uid="{00000000-0005-0000-0000-00001D540000}"/>
    <cellStyle name="Percent 4 10 14" xfId="21366" xr:uid="{00000000-0005-0000-0000-00001E540000}"/>
    <cellStyle name="Percent 4 10 15" xfId="21367" xr:uid="{00000000-0005-0000-0000-00001F540000}"/>
    <cellStyle name="Percent 4 10 16" xfId="21368" xr:uid="{00000000-0005-0000-0000-000020540000}"/>
    <cellStyle name="Percent 4 10 17" xfId="21369" xr:uid="{00000000-0005-0000-0000-000021540000}"/>
    <cellStyle name="Percent 4 10 2" xfId="21370" xr:uid="{00000000-0005-0000-0000-000022540000}"/>
    <cellStyle name="Percent 4 10 3" xfId="21371" xr:uid="{00000000-0005-0000-0000-000023540000}"/>
    <cellStyle name="Percent 4 10 4" xfId="21372" xr:uid="{00000000-0005-0000-0000-000024540000}"/>
    <cellStyle name="Percent 4 10 5" xfId="21373" xr:uid="{00000000-0005-0000-0000-000025540000}"/>
    <cellStyle name="Percent 4 10 6" xfId="21374" xr:uid="{00000000-0005-0000-0000-000026540000}"/>
    <cellStyle name="Percent 4 10 7" xfId="21375" xr:uid="{00000000-0005-0000-0000-000027540000}"/>
    <cellStyle name="Percent 4 10 8" xfId="21376" xr:uid="{00000000-0005-0000-0000-000028540000}"/>
    <cellStyle name="Percent 4 10 9" xfId="21377" xr:uid="{00000000-0005-0000-0000-000029540000}"/>
    <cellStyle name="Percent 4 11" xfId="21378" xr:uid="{00000000-0005-0000-0000-00002A540000}"/>
    <cellStyle name="Percent 4 11 10" xfId="21379" xr:uid="{00000000-0005-0000-0000-00002B540000}"/>
    <cellStyle name="Percent 4 11 11" xfId="21380" xr:uid="{00000000-0005-0000-0000-00002C540000}"/>
    <cellStyle name="Percent 4 11 12" xfId="21381" xr:uid="{00000000-0005-0000-0000-00002D540000}"/>
    <cellStyle name="Percent 4 11 13" xfId="21382" xr:uid="{00000000-0005-0000-0000-00002E540000}"/>
    <cellStyle name="Percent 4 11 14" xfId="21383" xr:uid="{00000000-0005-0000-0000-00002F540000}"/>
    <cellStyle name="Percent 4 11 15" xfId="21384" xr:uid="{00000000-0005-0000-0000-000030540000}"/>
    <cellStyle name="Percent 4 11 16" xfId="21385" xr:uid="{00000000-0005-0000-0000-000031540000}"/>
    <cellStyle name="Percent 4 11 17" xfId="21386" xr:uid="{00000000-0005-0000-0000-000032540000}"/>
    <cellStyle name="Percent 4 11 2" xfId="21387" xr:uid="{00000000-0005-0000-0000-000033540000}"/>
    <cellStyle name="Percent 4 11 3" xfId="21388" xr:uid="{00000000-0005-0000-0000-000034540000}"/>
    <cellStyle name="Percent 4 11 4" xfId="21389" xr:uid="{00000000-0005-0000-0000-000035540000}"/>
    <cellStyle name="Percent 4 11 5" xfId="21390" xr:uid="{00000000-0005-0000-0000-000036540000}"/>
    <cellStyle name="Percent 4 11 6" xfId="21391" xr:uid="{00000000-0005-0000-0000-000037540000}"/>
    <cellStyle name="Percent 4 11 7" xfId="21392" xr:uid="{00000000-0005-0000-0000-000038540000}"/>
    <cellStyle name="Percent 4 11 8" xfId="21393" xr:uid="{00000000-0005-0000-0000-000039540000}"/>
    <cellStyle name="Percent 4 11 9" xfId="21394" xr:uid="{00000000-0005-0000-0000-00003A540000}"/>
    <cellStyle name="Percent 4 12" xfId="21395" xr:uid="{00000000-0005-0000-0000-00003B540000}"/>
    <cellStyle name="Percent 4 12 10" xfId="21396" xr:uid="{00000000-0005-0000-0000-00003C540000}"/>
    <cellStyle name="Percent 4 12 11" xfId="21397" xr:uid="{00000000-0005-0000-0000-00003D540000}"/>
    <cellStyle name="Percent 4 12 12" xfId="21398" xr:uid="{00000000-0005-0000-0000-00003E540000}"/>
    <cellStyle name="Percent 4 12 13" xfId="21399" xr:uid="{00000000-0005-0000-0000-00003F540000}"/>
    <cellStyle name="Percent 4 12 14" xfId="21400" xr:uid="{00000000-0005-0000-0000-000040540000}"/>
    <cellStyle name="Percent 4 12 15" xfId="21401" xr:uid="{00000000-0005-0000-0000-000041540000}"/>
    <cellStyle name="Percent 4 12 16" xfId="21402" xr:uid="{00000000-0005-0000-0000-000042540000}"/>
    <cellStyle name="Percent 4 12 17" xfId="21403" xr:uid="{00000000-0005-0000-0000-000043540000}"/>
    <cellStyle name="Percent 4 12 2" xfId="21404" xr:uid="{00000000-0005-0000-0000-000044540000}"/>
    <cellStyle name="Percent 4 12 3" xfId="21405" xr:uid="{00000000-0005-0000-0000-000045540000}"/>
    <cellStyle name="Percent 4 12 4" xfId="21406" xr:uid="{00000000-0005-0000-0000-000046540000}"/>
    <cellStyle name="Percent 4 12 5" xfId="21407" xr:uid="{00000000-0005-0000-0000-000047540000}"/>
    <cellStyle name="Percent 4 12 6" xfId="21408" xr:uid="{00000000-0005-0000-0000-000048540000}"/>
    <cellStyle name="Percent 4 12 7" xfId="21409" xr:uid="{00000000-0005-0000-0000-000049540000}"/>
    <cellStyle name="Percent 4 12 8" xfId="21410" xr:uid="{00000000-0005-0000-0000-00004A540000}"/>
    <cellStyle name="Percent 4 12 9" xfId="21411" xr:uid="{00000000-0005-0000-0000-00004B540000}"/>
    <cellStyle name="Percent 4 13" xfId="21412" xr:uid="{00000000-0005-0000-0000-00004C540000}"/>
    <cellStyle name="Percent 4 13 10" xfId="21413" xr:uid="{00000000-0005-0000-0000-00004D540000}"/>
    <cellStyle name="Percent 4 13 11" xfId="21414" xr:uid="{00000000-0005-0000-0000-00004E540000}"/>
    <cellStyle name="Percent 4 13 12" xfId="21415" xr:uid="{00000000-0005-0000-0000-00004F540000}"/>
    <cellStyle name="Percent 4 13 13" xfId="21416" xr:uid="{00000000-0005-0000-0000-000050540000}"/>
    <cellStyle name="Percent 4 13 14" xfId="21417" xr:uid="{00000000-0005-0000-0000-000051540000}"/>
    <cellStyle name="Percent 4 13 15" xfId="21418" xr:uid="{00000000-0005-0000-0000-000052540000}"/>
    <cellStyle name="Percent 4 13 16" xfId="21419" xr:uid="{00000000-0005-0000-0000-000053540000}"/>
    <cellStyle name="Percent 4 13 17" xfId="21420" xr:uid="{00000000-0005-0000-0000-000054540000}"/>
    <cellStyle name="Percent 4 13 2" xfId="21421" xr:uid="{00000000-0005-0000-0000-000055540000}"/>
    <cellStyle name="Percent 4 13 3" xfId="21422" xr:uid="{00000000-0005-0000-0000-000056540000}"/>
    <cellStyle name="Percent 4 13 4" xfId="21423" xr:uid="{00000000-0005-0000-0000-000057540000}"/>
    <cellStyle name="Percent 4 13 5" xfId="21424" xr:uid="{00000000-0005-0000-0000-000058540000}"/>
    <cellStyle name="Percent 4 13 6" xfId="21425" xr:uid="{00000000-0005-0000-0000-000059540000}"/>
    <cellStyle name="Percent 4 13 7" xfId="21426" xr:uid="{00000000-0005-0000-0000-00005A540000}"/>
    <cellStyle name="Percent 4 13 8" xfId="21427" xr:uid="{00000000-0005-0000-0000-00005B540000}"/>
    <cellStyle name="Percent 4 13 9" xfId="21428" xr:uid="{00000000-0005-0000-0000-00005C540000}"/>
    <cellStyle name="Percent 4 14" xfId="21429" xr:uid="{00000000-0005-0000-0000-00005D540000}"/>
    <cellStyle name="Percent 4 14 10" xfId="21430" xr:uid="{00000000-0005-0000-0000-00005E540000}"/>
    <cellStyle name="Percent 4 14 11" xfId="21431" xr:uid="{00000000-0005-0000-0000-00005F540000}"/>
    <cellStyle name="Percent 4 14 12" xfId="21432" xr:uid="{00000000-0005-0000-0000-000060540000}"/>
    <cellStyle name="Percent 4 14 13" xfId="21433" xr:uid="{00000000-0005-0000-0000-000061540000}"/>
    <cellStyle name="Percent 4 14 14" xfId="21434" xr:uid="{00000000-0005-0000-0000-000062540000}"/>
    <cellStyle name="Percent 4 14 15" xfId="21435" xr:uid="{00000000-0005-0000-0000-000063540000}"/>
    <cellStyle name="Percent 4 14 16" xfId="21436" xr:uid="{00000000-0005-0000-0000-000064540000}"/>
    <cellStyle name="Percent 4 14 17" xfId="21437" xr:uid="{00000000-0005-0000-0000-000065540000}"/>
    <cellStyle name="Percent 4 14 2" xfId="21438" xr:uid="{00000000-0005-0000-0000-000066540000}"/>
    <cellStyle name="Percent 4 14 3" xfId="21439" xr:uid="{00000000-0005-0000-0000-000067540000}"/>
    <cellStyle name="Percent 4 14 4" xfId="21440" xr:uid="{00000000-0005-0000-0000-000068540000}"/>
    <cellStyle name="Percent 4 14 5" xfId="21441" xr:uid="{00000000-0005-0000-0000-000069540000}"/>
    <cellStyle name="Percent 4 14 6" xfId="21442" xr:uid="{00000000-0005-0000-0000-00006A540000}"/>
    <cellStyle name="Percent 4 14 7" xfId="21443" xr:uid="{00000000-0005-0000-0000-00006B540000}"/>
    <cellStyle name="Percent 4 14 8" xfId="21444" xr:uid="{00000000-0005-0000-0000-00006C540000}"/>
    <cellStyle name="Percent 4 14 9" xfId="21445" xr:uid="{00000000-0005-0000-0000-00006D540000}"/>
    <cellStyle name="Percent 4 15" xfId="21446" xr:uid="{00000000-0005-0000-0000-00006E540000}"/>
    <cellStyle name="Percent 4 15 10" xfId="21447" xr:uid="{00000000-0005-0000-0000-00006F540000}"/>
    <cellStyle name="Percent 4 15 11" xfId="21448" xr:uid="{00000000-0005-0000-0000-000070540000}"/>
    <cellStyle name="Percent 4 15 12" xfId="21449" xr:uid="{00000000-0005-0000-0000-000071540000}"/>
    <cellStyle name="Percent 4 15 13" xfId="21450" xr:uid="{00000000-0005-0000-0000-000072540000}"/>
    <cellStyle name="Percent 4 15 14" xfId="21451" xr:uid="{00000000-0005-0000-0000-000073540000}"/>
    <cellStyle name="Percent 4 15 15" xfId="21452" xr:uid="{00000000-0005-0000-0000-000074540000}"/>
    <cellStyle name="Percent 4 15 16" xfId="21453" xr:uid="{00000000-0005-0000-0000-000075540000}"/>
    <cellStyle name="Percent 4 15 17" xfId="21454" xr:uid="{00000000-0005-0000-0000-000076540000}"/>
    <cellStyle name="Percent 4 15 2" xfId="21455" xr:uid="{00000000-0005-0000-0000-000077540000}"/>
    <cellStyle name="Percent 4 15 3" xfId="21456" xr:uid="{00000000-0005-0000-0000-000078540000}"/>
    <cellStyle name="Percent 4 15 4" xfId="21457" xr:uid="{00000000-0005-0000-0000-000079540000}"/>
    <cellStyle name="Percent 4 15 5" xfId="21458" xr:uid="{00000000-0005-0000-0000-00007A540000}"/>
    <cellStyle name="Percent 4 15 6" xfId="21459" xr:uid="{00000000-0005-0000-0000-00007B540000}"/>
    <cellStyle name="Percent 4 15 7" xfId="21460" xr:uid="{00000000-0005-0000-0000-00007C540000}"/>
    <cellStyle name="Percent 4 15 8" xfId="21461" xr:uid="{00000000-0005-0000-0000-00007D540000}"/>
    <cellStyle name="Percent 4 15 9" xfId="21462" xr:uid="{00000000-0005-0000-0000-00007E540000}"/>
    <cellStyle name="Percent 4 16" xfId="21463" xr:uid="{00000000-0005-0000-0000-00007F540000}"/>
    <cellStyle name="Percent 4 16 10" xfId="21464" xr:uid="{00000000-0005-0000-0000-000080540000}"/>
    <cellStyle name="Percent 4 16 11" xfId="21465" xr:uid="{00000000-0005-0000-0000-000081540000}"/>
    <cellStyle name="Percent 4 16 12" xfId="21466" xr:uid="{00000000-0005-0000-0000-000082540000}"/>
    <cellStyle name="Percent 4 16 13" xfId="21467" xr:uid="{00000000-0005-0000-0000-000083540000}"/>
    <cellStyle name="Percent 4 16 14" xfId="21468" xr:uid="{00000000-0005-0000-0000-000084540000}"/>
    <cellStyle name="Percent 4 16 15" xfId="21469" xr:uid="{00000000-0005-0000-0000-000085540000}"/>
    <cellStyle name="Percent 4 16 16" xfId="21470" xr:uid="{00000000-0005-0000-0000-000086540000}"/>
    <cellStyle name="Percent 4 16 17" xfId="21471" xr:uid="{00000000-0005-0000-0000-000087540000}"/>
    <cellStyle name="Percent 4 16 2" xfId="21472" xr:uid="{00000000-0005-0000-0000-000088540000}"/>
    <cellStyle name="Percent 4 16 3" xfId="21473" xr:uid="{00000000-0005-0000-0000-000089540000}"/>
    <cellStyle name="Percent 4 16 4" xfId="21474" xr:uid="{00000000-0005-0000-0000-00008A540000}"/>
    <cellStyle name="Percent 4 16 5" xfId="21475" xr:uid="{00000000-0005-0000-0000-00008B540000}"/>
    <cellStyle name="Percent 4 16 6" xfId="21476" xr:uid="{00000000-0005-0000-0000-00008C540000}"/>
    <cellStyle name="Percent 4 16 7" xfId="21477" xr:uid="{00000000-0005-0000-0000-00008D540000}"/>
    <cellStyle name="Percent 4 16 8" xfId="21478" xr:uid="{00000000-0005-0000-0000-00008E540000}"/>
    <cellStyle name="Percent 4 16 9" xfId="21479" xr:uid="{00000000-0005-0000-0000-00008F540000}"/>
    <cellStyle name="Percent 4 17" xfId="21480" xr:uid="{00000000-0005-0000-0000-000090540000}"/>
    <cellStyle name="Percent 4 17 10" xfId="21481" xr:uid="{00000000-0005-0000-0000-000091540000}"/>
    <cellStyle name="Percent 4 17 11" xfId="21482" xr:uid="{00000000-0005-0000-0000-000092540000}"/>
    <cellStyle name="Percent 4 17 12" xfId="21483" xr:uid="{00000000-0005-0000-0000-000093540000}"/>
    <cellStyle name="Percent 4 17 13" xfId="21484" xr:uid="{00000000-0005-0000-0000-000094540000}"/>
    <cellStyle name="Percent 4 17 14" xfId="21485" xr:uid="{00000000-0005-0000-0000-000095540000}"/>
    <cellStyle name="Percent 4 17 15" xfId="21486" xr:uid="{00000000-0005-0000-0000-000096540000}"/>
    <cellStyle name="Percent 4 17 16" xfId="21487" xr:uid="{00000000-0005-0000-0000-000097540000}"/>
    <cellStyle name="Percent 4 17 17" xfId="21488" xr:uid="{00000000-0005-0000-0000-000098540000}"/>
    <cellStyle name="Percent 4 17 2" xfId="21489" xr:uid="{00000000-0005-0000-0000-000099540000}"/>
    <cellStyle name="Percent 4 17 3" xfId="21490" xr:uid="{00000000-0005-0000-0000-00009A540000}"/>
    <cellStyle name="Percent 4 17 4" xfId="21491" xr:uid="{00000000-0005-0000-0000-00009B540000}"/>
    <cellStyle name="Percent 4 17 5" xfId="21492" xr:uid="{00000000-0005-0000-0000-00009C540000}"/>
    <cellStyle name="Percent 4 17 6" xfId="21493" xr:uid="{00000000-0005-0000-0000-00009D540000}"/>
    <cellStyle name="Percent 4 17 7" xfId="21494" xr:uid="{00000000-0005-0000-0000-00009E540000}"/>
    <cellStyle name="Percent 4 17 8" xfId="21495" xr:uid="{00000000-0005-0000-0000-00009F540000}"/>
    <cellStyle name="Percent 4 17 9" xfId="21496" xr:uid="{00000000-0005-0000-0000-0000A0540000}"/>
    <cellStyle name="Percent 4 18" xfId="21497" xr:uid="{00000000-0005-0000-0000-0000A1540000}"/>
    <cellStyle name="Percent 4 18 10" xfId="21498" xr:uid="{00000000-0005-0000-0000-0000A2540000}"/>
    <cellStyle name="Percent 4 18 11" xfId="21499" xr:uid="{00000000-0005-0000-0000-0000A3540000}"/>
    <cellStyle name="Percent 4 18 12" xfId="21500" xr:uid="{00000000-0005-0000-0000-0000A4540000}"/>
    <cellStyle name="Percent 4 18 13" xfId="21501" xr:uid="{00000000-0005-0000-0000-0000A5540000}"/>
    <cellStyle name="Percent 4 18 14" xfId="21502" xr:uid="{00000000-0005-0000-0000-0000A6540000}"/>
    <cellStyle name="Percent 4 18 15" xfId="21503" xr:uid="{00000000-0005-0000-0000-0000A7540000}"/>
    <cellStyle name="Percent 4 18 16" xfId="21504" xr:uid="{00000000-0005-0000-0000-0000A8540000}"/>
    <cellStyle name="Percent 4 18 17" xfId="21505" xr:uid="{00000000-0005-0000-0000-0000A9540000}"/>
    <cellStyle name="Percent 4 18 2" xfId="21506" xr:uid="{00000000-0005-0000-0000-0000AA540000}"/>
    <cellStyle name="Percent 4 18 3" xfId="21507" xr:uid="{00000000-0005-0000-0000-0000AB540000}"/>
    <cellStyle name="Percent 4 18 4" xfId="21508" xr:uid="{00000000-0005-0000-0000-0000AC540000}"/>
    <cellStyle name="Percent 4 18 5" xfId="21509" xr:uid="{00000000-0005-0000-0000-0000AD540000}"/>
    <cellStyle name="Percent 4 18 6" xfId="21510" xr:uid="{00000000-0005-0000-0000-0000AE540000}"/>
    <cellStyle name="Percent 4 18 7" xfId="21511" xr:uid="{00000000-0005-0000-0000-0000AF540000}"/>
    <cellStyle name="Percent 4 18 8" xfId="21512" xr:uid="{00000000-0005-0000-0000-0000B0540000}"/>
    <cellStyle name="Percent 4 18 9" xfId="21513" xr:uid="{00000000-0005-0000-0000-0000B1540000}"/>
    <cellStyle name="Percent 4 19" xfId="21514" xr:uid="{00000000-0005-0000-0000-0000B2540000}"/>
    <cellStyle name="Percent 4 19 10" xfId="21515" xr:uid="{00000000-0005-0000-0000-0000B3540000}"/>
    <cellStyle name="Percent 4 19 11" xfId="21516" xr:uid="{00000000-0005-0000-0000-0000B4540000}"/>
    <cellStyle name="Percent 4 19 12" xfId="21517" xr:uid="{00000000-0005-0000-0000-0000B5540000}"/>
    <cellStyle name="Percent 4 19 13" xfId="21518" xr:uid="{00000000-0005-0000-0000-0000B6540000}"/>
    <cellStyle name="Percent 4 19 14" xfId="21519" xr:uid="{00000000-0005-0000-0000-0000B7540000}"/>
    <cellStyle name="Percent 4 19 15" xfId="21520" xr:uid="{00000000-0005-0000-0000-0000B8540000}"/>
    <cellStyle name="Percent 4 19 16" xfId="21521" xr:uid="{00000000-0005-0000-0000-0000B9540000}"/>
    <cellStyle name="Percent 4 19 17" xfId="21522" xr:uid="{00000000-0005-0000-0000-0000BA540000}"/>
    <cellStyle name="Percent 4 19 2" xfId="21523" xr:uid="{00000000-0005-0000-0000-0000BB540000}"/>
    <cellStyle name="Percent 4 19 3" xfId="21524" xr:uid="{00000000-0005-0000-0000-0000BC540000}"/>
    <cellStyle name="Percent 4 19 4" xfId="21525" xr:uid="{00000000-0005-0000-0000-0000BD540000}"/>
    <cellStyle name="Percent 4 19 5" xfId="21526" xr:uid="{00000000-0005-0000-0000-0000BE540000}"/>
    <cellStyle name="Percent 4 19 6" xfId="21527" xr:uid="{00000000-0005-0000-0000-0000BF540000}"/>
    <cellStyle name="Percent 4 19 7" xfId="21528" xr:uid="{00000000-0005-0000-0000-0000C0540000}"/>
    <cellStyle name="Percent 4 19 8" xfId="21529" xr:uid="{00000000-0005-0000-0000-0000C1540000}"/>
    <cellStyle name="Percent 4 19 9" xfId="21530" xr:uid="{00000000-0005-0000-0000-0000C2540000}"/>
    <cellStyle name="Percent 4 2" xfId="21531" xr:uid="{00000000-0005-0000-0000-0000C3540000}"/>
    <cellStyle name="Percent 4 2 10" xfId="21532" xr:uid="{00000000-0005-0000-0000-0000C4540000}"/>
    <cellStyle name="Percent 4 2 10 10" xfId="21533" xr:uid="{00000000-0005-0000-0000-0000C5540000}"/>
    <cellStyle name="Percent 4 2 10 11" xfId="21534" xr:uid="{00000000-0005-0000-0000-0000C6540000}"/>
    <cellStyle name="Percent 4 2 10 12" xfId="21535" xr:uid="{00000000-0005-0000-0000-0000C7540000}"/>
    <cellStyle name="Percent 4 2 10 13" xfId="21536" xr:uid="{00000000-0005-0000-0000-0000C8540000}"/>
    <cellStyle name="Percent 4 2 10 14" xfId="21537" xr:uid="{00000000-0005-0000-0000-0000C9540000}"/>
    <cellStyle name="Percent 4 2 10 15" xfId="21538" xr:uid="{00000000-0005-0000-0000-0000CA540000}"/>
    <cellStyle name="Percent 4 2 10 16" xfId="21539" xr:uid="{00000000-0005-0000-0000-0000CB540000}"/>
    <cellStyle name="Percent 4 2 10 17" xfId="21540" xr:uid="{00000000-0005-0000-0000-0000CC540000}"/>
    <cellStyle name="Percent 4 2 10 2" xfId="21541" xr:uid="{00000000-0005-0000-0000-0000CD540000}"/>
    <cellStyle name="Percent 4 2 10 3" xfId="21542" xr:uid="{00000000-0005-0000-0000-0000CE540000}"/>
    <cellStyle name="Percent 4 2 10 4" xfId="21543" xr:uid="{00000000-0005-0000-0000-0000CF540000}"/>
    <cellStyle name="Percent 4 2 10 5" xfId="21544" xr:uid="{00000000-0005-0000-0000-0000D0540000}"/>
    <cellStyle name="Percent 4 2 10 6" xfId="21545" xr:uid="{00000000-0005-0000-0000-0000D1540000}"/>
    <cellStyle name="Percent 4 2 10 7" xfId="21546" xr:uid="{00000000-0005-0000-0000-0000D2540000}"/>
    <cellStyle name="Percent 4 2 10 8" xfId="21547" xr:uid="{00000000-0005-0000-0000-0000D3540000}"/>
    <cellStyle name="Percent 4 2 10 9" xfId="21548" xr:uid="{00000000-0005-0000-0000-0000D4540000}"/>
    <cellStyle name="Percent 4 2 11" xfId="21549" xr:uid="{00000000-0005-0000-0000-0000D5540000}"/>
    <cellStyle name="Percent 4 2 11 10" xfId="21550" xr:uid="{00000000-0005-0000-0000-0000D6540000}"/>
    <cellStyle name="Percent 4 2 11 11" xfId="21551" xr:uid="{00000000-0005-0000-0000-0000D7540000}"/>
    <cellStyle name="Percent 4 2 11 12" xfId="21552" xr:uid="{00000000-0005-0000-0000-0000D8540000}"/>
    <cellStyle name="Percent 4 2 11 13" xfId="21553" xr:uid="{00000000-0005-0000-0000-0000D9540000}"/>
    <cellStyle name="Percent 4 2 11 14" xfId="21554" xr:uid="{00000000-0005-0000-0000-0000DA540000}"/>
    <cellStyle name="Percent 4 2 11 15" xfId="21555" xr:uid="{00000000-0005-0000-0000-0000DB540000}"/>
    <cellStyle name="Percent 4 2 11 16" xfId="21556" xr:uid="{00000000-0005-0000-0000-0000DC540000}"/>
    <cellStyle name="Percent 4 2 11 17" xfId="21557" xr:uid="{00000000-0005-0000-0000-0000DD540000}"/>
    <cellStyle name="Percent 4 2 11 2" xfId="21558" xr:uid="{00000000-0005-0000-0000-0000DE540000}"/>
    <cellStyle name="Percent 4 2 11 3" xfId="21559" xr:uid="{00000000-0005-0000-0000-0000DF540000}"/>
    <cellStyle name="Percent 4 2 11 4" xfId="21560" xr:uid="{00000000-0005-0000-0000-0000E0540000}"/>
    <cellStyle name="Percent 4 2 11 5" xfId="21561" xr:uid="{00000000-0005-0000-0000-0000E1540000}"/>
    <cellStyle name="Percent 4 2 11 6" xfId="21562" xr:uid="{00000000-0005-0000-0000-0000E2540000}"/>
    <cellStyle name="Percent 4 2 11 7" xfId="21563" xr:uid="{00000000-0005-0000-0000-0000E3540000}"/>
    <cellStyle name="Percent 4 2 11 8" xfId="21564" xr:uid="{00000000-0005-0000-0000-0000E4540000}"/>
    <cellStyle name="Percent 4 2 11 9" xfId="21565" xr:uid="{00000000-0005-0000-0000-0000E5540000}"/>
    <cellStyle name="Percent 4 2 12" xfId="21566" xr:uid="{00000000-0005-0000-0000-0000E6540000}"/>
    <cellStyle name="Percent 4 2 12 10" xfId="21567" xr:uid="{00000000-0005-0000-0000-0000E7540000}"/>
    <cellStyle name="Percent 4 2 12 11" xfId="21568" xr:uid="{00000000-0005-0000-0000-0000E8540000}"/>
    <cellStyle name="Percent 4 2 12 12" xfId="21569" xr:uid="{00000000-0005-0000-0000-0000E9540000}"/>
    <cellStyle name="Percent 4 2 12 13" xfId="21570" xr:uid="{00000000-0005-0000-0000-0000EA540000}"/>
    <cellStyle name="Percent 4 2 12 14" xfId="21571" xr:uid="{00000000-0005-0000-0000-0000EB540000}"/>
    <cellStyle name="Percent 4 2 12 15" xfId="21572" xr:uid="{00000000-0005-0000-0000-0000EC540000}"/>
    <cellStyle name="Percent 4 2 12 16" xfId="21573" xr:uid="{00000000-0005-0000-0000-0000ED540000}"/>
    <cellStyle name="Percent 4 2 12 17" xfId="21574" xr:uid="{00000000-0005-0000-0000-0000EE540000}"/>
    <cellStyle name="Percent 4 2 12 2" xfId="21575" xr:uid="{00000000-0005-0000-0000-0000EF540000}"/>
    <cellStyle name="Percent 4 2 12 3" xfId="21576" xr:uid="{00000000-0005-0000-0000-0000F0540000}"/>
    <cellStyle name="Percent 4 2 12 4" xfId="21577" xr:uid="{00000000-0005-0000-0000-0000F1540000}"/>
    <cellStyle name="Percent 4 2 12 5" xfId="21578" xr:uid="{00000000-0005-0000-0000-0000F2540000}"/>
    <cellStyle name="Percent 4 2 12 6" xfId="21579" xr:uid="{00000000-0005-0000-0000-0000F3540000}"/>
    <cellStyle name="Percent 4 2 12 7" xfId="21580" xr:uid="{00000000-0005-0000-0000-0000F4540000}"/>
    <cellStyle name="Percent 4 2 12 8" xfId="21581" xr:uid="{00000000-0005-0000-0000-0000F5540000}"/>
    <cellStyle name="Percent 4 2 12 9" xfId="21582" xr:uid="{00000000-0005-0000-0000-0000F6540000}"/>
    <cellStyle name="Percent 4 2 13" xfId="21583" xr:uid="{00000000-0005-0000-0000-0000F7540000}"/>
    <cellStyle name="Percent 4 2 13 10" xfId="21584" xr:uid="{00000000-0005-0000-0000-0000F8540000}"/>
    <cellStyle name="Percent 4 2 13 11" xfId="21585" xr:uid="{00000000-0005-0000-0000-0000F9540000}"/>
    <cellStyle name="Percent 4 2 13 12" xfId="21586" xr:uid="{00000000-0005-0000-0000-0000FA540000}"/>
    <cellStyle name="Percent 4 2 13 13" xfId="21587" xr:uid="{00000000-0005-0000-0000-0000FB540000}"/>
    <cellStyle name="Percent 4 2 13 14" xfId="21588" xr:uid="{00000000-0005-0000-0000-0000FC540000}"/>
    <cellStyle name="Percent 4 2 13 15" xfId="21589" xr:uid="{00000000-0005-0000-0000-0000FD540000}"/>
    <cellStyle name="Percent 4 2 13 16" xfId="21590" xr:uid="{00000000-0005-0000-0000-0000FE540000}"/>
    <cellStyle name="Percent 4 2 13 17" xfId="21591" xr:uid="{00000000-0005-0000-0000-0000FF540000}"/>
    <cellStyle name="Percent 4 2 13 2" xfId="21592" xr:uid="{00000000-0005-0000-0000-000000550000}"/>
    <cellStyle name="Percent 4 2 13 3" xfId="21593" xr:uid="{00000000-0005-0000-0000-000001550000}"/>
    <cellStyle name="Percent 4 2 13 4" xfId="21594" xr:uid="{00000000-0005-0000-0000-000002550000}"/>
    <cellStyle name="Percent 4 2 13 5" xfId="21595" xr:uid="{00000000-0005-0000-0000-000003550000}"/>
    <cellStyle name="Percent 4 2 13 6" xfId="21596" xr:uid="{00000000-0005-0000-0000-000004550000}"/>
    <cellStyle name="Percent 4 2 13 7" xfId="21597" xr:uid="{00000000-0005-0000-0000-000005550000}"/>
    <cellStyle name="Percent 4 2 13 8" xfId="21598" xr:uid="{00000000-0005-0000-0000-000006550000}"/>
    <cellStyle name="Percent 4 2 13 9" xfId="21599" xr:uid="{00000000-0005-0000-0000-000007550000}"/>
    <cellStyle name="Percent 4 2 14" xfId="21600" xr:uid="{00000000-0005-0000-0000-000008550000}"/>
    <cellStyle name="Percent 4 2 14 10" xfId="21601" xr:uid="{00000000-0005-0000-0000-000009550000}"/>
    <cellStyle name="Percent 4 2 14 11" xfId="21602" xr:uid="{00000000-0005-0000-0000-00000A550000}"/>
    <cellStyle name="Percent 4 2 14 12" xfId="21603" xr:uid="{00000000-0005-0000-0000-00000B550000}"/>
    <cellStyle name="Percent 4 2 14 13" xfId="21604" xr:uid="{00000000-0005-0000-0000-00000C550000}"/>
    <cellStyle name="Percent 4 2 14 14" xfId="21605" xr:uid="{00000000-0005-0000-0000-00000D550000}"/>
    <cellStyle name="Percent 4 2 14 15" xfId="21606" xr:uid="{00000000-0005-0000-0000-00000E550000}"/>
    <cellStyle name="Percent 4 2 14 16" xfId="21607" xr:uid="{00000000-0005-0000-0000-00000F550000}"/>
    <cellStyle name="Percent 4 2 14 17" xfId="21608" xr:uid="{00000000-0005-0000-0000-000010550000}"/>
    <cellStyle name="Percent 4 2 14 2" xfId="21609" xr:uid="{00000000-0005-0000-0000-000011550000}"/>
    <cellStyle name="Percent 4 2 14 3" xfId="21610" xr:uid="{00000000-0005-0000-0000-000012550000}"/>
    <cellStyle name="Percent 4 2 14 4" xfId="21611" xr:uid="{00000000-0005-0000-0000-000013550000}"/>
    <cellStyle name="Percent 4 2 14 5" xfId="21612" xr:uid="{00000000-0005-0000-0000-000014550000}"/>
    <cellStyle name="Percent 4 2 14 6" xfId="21613" xr:uid="{00000000-0005-0000-0000-000015550000}"/>
    <cellStyle name="Percent 4 2 14 7" xfId="21614" xr:uid="{00000000-0005-0000-0000-000016550000}"/>
    <cellStyle name="Percent 4 2 14 8" xfId="21615" xr:uid="{00000000-0005-0000-0000-000017550000}"/>
    <cellStyle name="Percent 4 2 14 9" xfId="21616" xr:uid="{00000000-0005-0000-0000-000018550000}"/>
    <cellStyle name="Percent 4 2 15" xfId="21617" xr:uid="{00000000-0005-0000-0000-000019550000}"/>
    <cellStyle name="Percent 4 2 15 10" xfId="21618" xr:uid="{00000000-0005-0000-0000-00001A550000}"/>
    <cellStyle name="Percent 4 2 15 11" xfId="21619" xr:uid="{00000000-0005-0000-0000-00001B550000}"/>
    <cellStyle name="Percent 4 2 15 12" xfId="21620" xr:uid="{00000000-0005-0000-0000-00001C550000}"/>
    <cellStyle name="Percent 4 2 15 13" xfId="21621" xr:uid="{00000000-0005-0000-0000-00001D550000}"/>
    <cellStyle name="Percent 4 2 15 14" xfId="21622" xr:uid="{00000000-0005-0000-0000-00001E550000}"/>
    <cellStyle name="Percent 4 2 15 15" xfId="21623" xr:uid="{00000000-0005-0000-0000-00001F550000}"/>
    <cellStyle name="Percent 4 2 15 16" xfId="21624" xr:uid="{00000000-0005-0000-0000-000020550000}"/>
    <cellStyle name="Percent 4 2 15 17" xfId="21625" xr:uid="{00000000-0005-0000-0000-000021550000}"/>
    <cellStyle name="Percent 4 2 15 2" xfId="21626" xr:uid="{00000000-0005-0000-0000-000022550000}"/>
    <cellStyle name="Percent 4 2 15 3" xfId="21627" xr:uid="{00000000-0005-0000-0000-000023550000}"/>
    <cellStyle name="Percent 4 2 15 4" xfId="21628" xr:uid="{00000000-0005-0000-0000-000024550000}"/>
    <cellStyle name="Percent 4 2 15 5" xfId="21629" xr:uid="{00000000-0005-0000-0000-000025550000}"/>
    <cellStyle name="Percent 4 2 15 6" xfId="21630" xr:uid="{00000000-0005-0000-0000-000026550000}"/>
    <cellStyle name="Percent 4 2 15 7" xfId="21631" xr:uid="{00000000-0005-0000-0000-000027550000}"/>
    <cellStyle name="Percent 4 2 15 8" xfId="21632" xr:uid="{00000000-0005-0000-0000-000028550000}"/>
    <cellStyle name="Percent 4 2 15 9" xfId="21633" xr:uid="{00000000-0005-0000-0000-000029550000}"/>
    <cellStyle name="Percent 4 2 16" xfId="21634" xr:uid="{00000000-0005-0000-0000-00002A550000}"/>
    <cellStyle name="Percent 4 2 16 10" xfId="21635" xr:uid="{00000000-0005-0000-0000-00002B550000}"/>
    <cellStyle name="Percent 4 2 16 11" xfId="21636" xr:uid="{00000000-0005-0000-0000-00002C550000}"/>
    <cellStyle name="Percent 4 2 16 12" xfId="21637" xr:uid="{00000000-0005-0000-0000-00002D550000}"/>
    <cellStyle name="Percent 4 2 16 13" xfId="21638" xr:uid="{00000000-0005-0000-0000-00002E550000}"/>
    <cellStyle name="Percent 4 2 16 14" xfId="21639" xr:uid="{00000000-0005-0000-0000-00002F550000}"/>
    <cellStyle name="Percent 4 2 16 15" xfId="21640" xr:uid="{00000000-0005-0000-0000-000030550000}"/>
    <cellStyle name="Percent 4 2 16 16" xfId="21641" xr:uid="{00000000-0005-0000-0000-000031550000}"/>
    <cellStyle name="Percent 4 2 16 17" xfId="21642" xr:uid="{00000000-0005-0000-0000-000032550000}"/>
    <cellStyle name="Percent 4 2 16 2" xfId="21643" xr:uid="{00000000-0005-0000-0000-000033550000}"/>
    <cellStyle name="Percent 4 2 16 3" xfId="21644" xr:uid="{00000000-0005-0000-0000-000034550000}"/>
    <cellStyle name="Percent 4 2 16 4" xfId="21645" xr:uid="{00000000-0005-0000-0000-000035550000}"/>
    <cellStyle name="Percent 4 2 16 5" xfId="21646" xr:uid="{00000000-0005-0000-0000-000036550000}"/>
    <cellStyle name="Percent 4 2 16 6" xfId="21647" xr:uid="{00000000-0005-0000-0000-000037550000}"/>
    <cellStyle name="Percent 4 2 16 7" xfId="21648" xr:uid="{00000000-0005-0000-0000-000038550000}"/>
    <cellStyle name="Percent 4 2 16 8" xfId="21649" xr:uid="{00000000-0005-0000-0000-000039550000}"/>
    <cellStyle name="Percent 4 2 16 9" xfId="21650" xr:uid="{00000000-0005-0000-0000-00003A550000}"/>
    <cellStyle name="Percent 4 2 17" xfId="21651" xr:uid="{00000000-0005-0000-0000-00003B550000}"/>
    <cellStyle name="Percent 4 2 17 10" xfId="21652" xr:uid="{00000000-0005-0000-0000-00003C550000}"/>
    <cellStyle name="Percent 4 2 17 11" xfId="21653" xr:uid="{00000000-0005-0000-0000-00003D550000}"/>
    <cellStyle name="Percent 4 2 17 12" xfId="21654" xr:uid="{00000000-0005-0000-0000-00003E550000}"/>
    <cellStyle name="Percent 4 2 17 13" xfId="21655" xr:uid="{00000000-0005-0000-0000-00003F550000}"/>
    <cellStyle name="Percent 4 2 17 14" xfId="21656" xr:uid="{00000000-0005-0000-0000-000040550000}"/>
    <cellStyle name="Percent 4 2 17 15" xfId="21657" xr:uid="{00000000-0005-0000-0000-000041550000}"/>
    <cellStyle name="Percent 4 2 17 16" xfId="21658" xr:uid="{00000000-0005-0000-0000-000042550000}"/>
    <cellStyle name="Percent 4 2 17 17" xfId="21659" xr:uid="{00000000-0005-0000-0000-000043550000}"/>
    <cellStyle name="Percent 4 2 17 2" xfId="21660" xr:uid="{00000000-0005-0000-0000-000044550000}"/>
    <cellStyle name="Percent 4 2 17 3" xfId="21661" xr:uid="{00000000-0005-0000-0000-000045550000}"/>
    <cellStyle name="Percent 4 2 17 4" xfId="21662" xr:uid="{00000000-0005-0000-0000-000046550000}"/>
    <cellStyle name="Percent 4 2 17 5" xfId="21663" xr:uid="{00000000-0005-0000-0000-000047550000}"/>
    <cellStyle name="Percent 4 2 17 6" xfId="21664" xr:uid="{00000000-0005-0000-0000-000048550000}"/>
    <cellStyle name="Percent 4 2 17 7" xfId="21665" xr:uid="{00000000-0005-0000-0000-000049550000}"/>
    <cellStyle name="Percent 4 2 17 8" xfId="21666" xr:uid="{00000000-0005-0000-0000-00004A550000}"/>
    <cellStyle name="Percent 4 2 17 9" xfId="21667" xr:uid="{00000000-0005-0000-0000-00004B550000}"/>
    <cellStyle name="Percent 4 2 18" xfId="21668" xr:uid="{00000000-0005-0000-0000-00004C550000}"/>
    <cellStyle name="Percent 4 2 18 10" xfId="21669" xr:uid="{00000000-0005-0000-0000-00004D550000}"/>
    <cellStyle name="Percent 4 2 18 11" xfId="21670" xr:uid="{00000000-0005-0000-0000-00004E550000}"/>
    <cellStyle name="Percent 4 2 18 12" xfId="21671" xr:uid="{00000000-0005-0000-0000-00004F550000}"/>
    <cellStyle name="Percent 4 2 18 13" xfId="21672" xr:uid="{00000000-0005-0000-0000-000050550000}"/>
    <cellStyle name="Percent 4 2 18 14" xfId="21673" xr:uid="{00000000-0005-0000-0000-000051550000}"/>
    <cellStyle name="Percent 4 2 18 15" xfId="21674" xr:uid="{00000000-0005-0000-0000-000052550000}"/>
    <cellStyle name="Percent 4 2 18 16" xfId="21675" xr:uid="{00000000-0005-0000-0000-000053550000}"/>
    <cellStyle name="Percent 4 2 18 17" xfId="21676" xr:uid="{00000000-0005-0000-0000-000054550000}"/>
    <cellStyle name="Percent 4 2 18 2" xfId="21677" xr:uid="{00000000-0005-0000-0000-000055550000}"/>
    <cellStyle name="Percent 4 2 18 3" xfId="21678" xr:uid="{00000000-0005-0000-0000-000056550000}"/>
    <cellStyle name="Percent 4 2 18 4" xfId="21679" xr:uid="{00000000-0005-0000-0000-000057550000}"/>
    <cellStyle name="Percent 4 2 18 5" xfId="21680" xr:uid="{00000000-0005-0000-0000-000058550000}"/>
    <cellStyle name="Percent 4 2 18 6" xfId="21681" xr:uid="{00000000-0005-0000-0000-000059550000}"/>
    <cellStyle name="Percent 4 2 18 7" xfId="21682" xr:uid="{00000000-0005-0000-0000-00005A550000}"/>
    <cellStyle name="Percent 4 2 18 8" xfId="21683" xr:uid="{00000000-0005-0000-0000-00005B550000}"/>
    <cellStyle name="Percent 4 2 18 9" xfId="21684" xr:uid="{00000000-0005-0000-0000-00005C550000}"/>
    <cellStyle name="Percent 4 2 19" xfId="21685" xr:uid="{00000000-0005-0000-0000-00005D550000}"/>
    <cellStyle name="Percent 4 2 19 10" xfId="21686" xr:uid="{00000000-0005-0000-0000-00005E550000}"/>
    <cellStyle name="Percent 4 2 19 11" xfId="21687" xr:uid="{00000000-0005-0000-0000-00005F550000}"/>
    <cellStyle name="Percent 4 2 19 12" xfId="21688" xr:uid="{00000000-0005-0000-0000-000060550000}"/>
    <cellStyle name="Percent 4 2 19 13" xfId="21689" xr:uid="{00000000-0005-0000-0000-000061550000}"/>
    <cellStyle name="Percent 4 2 19 14" xfId="21690" xr:uid="{00000000-0005-0000-0000-000062550000}"/>
    <cellStyle name="Percent 4 2 19 15" xfId="21691" xr:uid="{00000000-0005-0000-0000-000063550000}"/>
    <cellStyle name="Percent 4 2 19 16" xfId="21692" xr:uid="{00000000-0005-0000-0000-000064550000}"/>
    <cellStyle name="Percent 4 2 19 17" xfId="21693" xr:uid="{00000000-0005-0000-0000-000065550000}"/>
    <cellStyle name="Percent 4 2 19 2" xfId="21694" xr:uid="{00000000-0005-0000-0000-000066550000}"/>
    <cellStyle name="Percent 4 2 19 3" xfId="21695" xr:uid="{00000000-0005-0000-0000-000067550000}"/>
    <cellStyle name="Percent 4 2 19 4" xfId="21696" xr:uid="{00000000-0005-0000-0000-000068550000}"/>
    <cellStyle name="Percent 4 2 19 5" xfId="21697" xr:uid="{00000000-0005-0000-0000-000069550000}"/>
    <cellStyle name="Percent 4 2 19 6" xfId="21698" xr:uid="{00000000-0005-0000-0000-00006A550000}"/>
    <cellStyle name="Percent 4 2 19 7" xfId="21699" xr:uid="{00000000-0005-0000-0000-00006B550000}"/>
    <cellStyle name="Percent 4 2 19 8" xfId="21700" xr:uid="{00000000-0005-0000-0000-00006C550000}"/>
    <cellStyle name="Percent 4 2 19 9" xfId="21701" xr:uid="{00000000-0005-0000-0000-00006D550000}"/>
    <cellStyle name="Percent 4 2 2" xfId="21702" xr:uid="{00000000-0005-0000-0000-00006E550000}"/>
    <cellStyle name="Percent 4 2 2 2" xfId="48362" xr:uid="{00000000-0005-0000-0000-00006F550000}"/>
    <cellStyle name="Percent 4 2 20" xfId="21703" xr:uid="{00000000-0005-0000-0000-000070550000}"/>
    <cellStyle name="Percent 4 2 20 10" xfId="21704" xr:uid="{00000000-0005-0000-0000-000071550000}"/>
    <cellStyle name="Percent 4 2 20 11" xfId="21705" xr:uid="{00000000-0005-0000-0000-000072550000}"/>
    <cellStyle name="Percent 4 2 20 12" xfId="21706" xr:uid="{00000000-0005-0000-0000-000073550000}"/>
    <cellStyle name="Percent 4 2 20 13" xfId="21707" xr:uid="{00000000-0005-0000-0000-000074550000}"/>
    <cellStyle name="Percent 4 2 20 14" xfId="21708" xr:uid="{00000000-0005-0000-0000-000075550000}"/>
    <cellStyle name="Percent 4 2 20 15" xfId="21709" xr:uid="{00000000-0005-0000-0000-000076550000}"/>
    <cellStyle name="Percent 4 2 20 16" xfId="21710" xr:uid="{00000000-0005-0000-0000-000077550000}"/>
    <cellStyle name="Percent 4 2 20 17" xfId="21711" xr:uid="{00000000-0005-0000-0000-000078550000}"/>
    <cellStyle name="Percent 4 2 20 2" xfId="21712" xr:uid="{00000000-0005-0000-0000-000079550000}"/>
    <cellStyle name="Percent 4 2 20 3" xfId="21713" xr:uid="{00000000-0005-0000-0000-00007A550000}"/>
    <cellStyle name="Percent 4 2 20 4" xfId="21714" xr:uid="{00000000-0005-0000-0000-00007B550000}"/>
    <cellStyle name="Percent 4 2 20 5" xfId="21715" xr:uid="{00000000-0005-0000-0000-00007C550000}"/>
    <cellStyle name="Percent 4 2 20 6" xfId="21716" xr:uid="{00000000-0005-0000-0000-00007D550000}"/>
    <cellStyle name="Percent 4 2 20 7" xfId="21717" xr:uid="{00000000-0005-0000-0000-00007E550000}"/>
    <cellStyle name="Percent 4 2 20 8" xfId="21718" xr:uid="{00000000-0005-0000-0000-00007F550000}"/>
    <cellStyle name="Percent 4 2 20 9" xfId="21719" xr:uid="{00000000-0005-0000-0000-000080550000}"/>
    <cellStyle name="Percent 4 2 21" xfId="21720" xr:uid="{00000000-0005-0000-0000-000081550000}"/>
    <cellStyle name="Percent 4 2 21 10" xfId="21721" xr:uid="{00000000-0005-0000-0000-000082550000}"/>
    <cellStyle name="Percent 4 2 21 11" xfId="21722" xr:uid="{00000000-0005-0000-0000-000083550000}"/>
    <cellStyle name="Percent 4 2 21 12" xfId="21723" xr:uid="{00000000-0005-0000-0000-000084550000}"/>
    <cellStyle name="Percent 4 2 21 13" xfId="21724" xr:uid="{00000000-0005-0000-0000-000085550000}"/>
    <cellStyle name="Percent 4 2 21 14" xfId="21725" xr:uid="{00000000-0005-0000-0000-000086550000}"/>
    <cellStyle name="Percent 4 2 21 15" xfId="21726" xr:uid="{00000000-0005-0000-0000-000087550000}"/>
    <cellStyle name="Percent 4 2 21 16" xfId="21727" xr:uid="{00000000-0005-0000-0000-000088550000}"/>
    <cellStyle name="Percent 4 2 21 17" xfId="21728" xr:uid="{00000000-0005-0000-0000-000089550000}"/>
    <cellStyle name="Percent 4 2 21 2" xfId="21729" xr:uid="{00000000-0005-0000-0000-00008A550000}"/>
    <cellStyle name="Percent 4 2 21 3" xfId="21730" xr:uid="{00000000-0005-0000-0000-00008B550000}"/>
    <cellStyle name="Percent 4 2 21 4" xfId="21731" xr:uid="{00000000-0005-0000-0000-00008C550000}"/>
    <cellStyle name="Percent 4 2 21 5" xfId="21732" xr:uid="{00000000-0005-0000-0000-00008D550000}"/>
    <cellStyle name="Percent 4 2 21 6" xfId="21733" xr:uid="{00000000-0005-0000-0000-00008E550000}"/>
    <cellStyle name="Percent 4 2 21 7" xfId="21734" xr:uid="{00000000-0005-0000-0000-00008F550000}"/>
    <cellStyle name="Percent 4 2 21 8" xfId="21735" xr:uid="{00000000-0005-0000-0000-000090550000}"/>
    <cellStyle name="Percent 4 2 21 9" xfId="21736" xr:uid="{00000000-0005-0000-0000-000091550000}"/>
    <cellStyle name="Percent 4 2 22" xfId="21737" xr:uid="{00000000-0005-0000-0000-000092550000}"/>
    <cellStyle name="Percent 4 2 22 10" xfId="21738" xr:uid="{00000000-0005-0000-0000-000093550000}"/>
    <cellStyle name="Percent 4 2 22 11" xfId="21739" xr:uid="{00000000-0005-0000-0000-000094550000}"/>
    <cellStyle name="Percent 4 2 22 12" xfId="21740" xr:uid="{00000000-0005-0000-0000-000095550000}"/>
    <cellStyle name="Percent 4 2 22 13" xfId="21741" xr:uid="{00000000-0005-0000-0000-000096550000}"/>
    <cellStyle name="Percent 4 2 22 14" xfId="21742" xr:uid="{00000000-0005-0000-0000-000097550000}"/>
    <cellStyle name="Percent 4 2 22 15" xfId="21743" xr:uid="{00000000-0005-0000-0000-000098550000}"/>
    <cellStyle name="Percent 4 2 22 16" xfId="21744" xr:uid="{00000000-0005-0000-0000-000099550000}"/>
    <cellStyle name="Percent 4 2 22 17" xfId="21745" xr:uid="{00000000-0005-0000-0000-00009A550000}"/>
    <cellStyle name="Percent 4 2 22 2" xfId="21746" xr:uid="{00000000-0005-0000-0000-00009B550000}"/>
    <cellStyle name="Percent 4 2 22 3" xfId="21747" xr:uid="{00000000-0005-0000-0000-00009C550000}"/>
    <cellStyle name="Percent 4 2 22 4" xfId="21748" xr:uid="{00000000-0005-0000-0000-00009D550000}"/>
    <cellStyle name="Percent 4 2 22 5" xfId="21749" xr:uid="{00000000-0005-0000-0000-00009E550000}"/>
    <cellStyle name="Percent 4 2 22 6" xfId="21750" xr:uid="{00000000-0005-0000-0000-00009F550000}"/>
    <cellStyle name="Percent 4 2 22 7" xfId="21751" xr:uid="{00000000-0005-0000-0000-0000A0550000}"/>
    <cellStyle name="Percent 4 2 22 8" xfId="21752" xr:uid="{00000000-0005-0000-0000-0000A1550000}"/>
    <cellStyle name="Percent 4 2 22 9" xfId="21753" xr:uid="{00000000-0005-0000-0000-0000A2550000}"/>
    <cellStyle name="Percent 4 2 23" xfId="21754" xr:uid="{00000000-0005-0000-0000-0000A3550000}"/>
    <cellStyle name="Percent 4 2 23 10" xfId="21755" xr:uid="{00000000-0005-0000-0000-0000A4550000}"/>
    <cellStyle name="Percent 4 2 23 11" xfId="21756" xr:uid="{00000000-0005-0000-0000-0000A5550000}"/>
    <cellStyle name="Percent 4 2 23 12" xfId="21757" xr:uid="{00000000-0005-0000-0000-0000A6550000}"/>
    <cellStyle name="Percent 4 2 23 13" xfId="21758" xr:uid="{00000000-0005-0000-0000-0000A7550000}"/>
    <cellStyle name="Percent 4 2 23 14" xfId="21759" xr:uid="{00000000-0005-0000-0000-0000A8550000}"/>
    <cellStyle name="Percent 4 2 23 15" xfId="21760" xr:uid="{00000000-0005-0000-0000-0000A9550000}"/>
    <cellStyle name="Percent 4 2 23 16" xfId="21761" xr:uid="{00000000-0005-0000-0000-0000AA550000}"/>
    <cellStyle name="Percent 4 2 23 17" xfId="21762" xr:uid="{00000000-0005-0000-0000-0000AB550000}"/>
    <cellStyle name="Percent 4 2 23 2" xfId="21763" xr:uid="{00000000-0005-0000-0000-0000AC550000}"/>
    <cellStyle name="Percent 4 2 23 3" xfId="21764" xr:uid="{00000000-0005-0000-0000-0000AD550000}"/>
    <cellStyle name="Percent 4 2 23 4" xfId="21765" xr:uid="{00000000-0005-0000-0000-0000AE550000}"/>
    <cellStyle name="Percent 4 2 23 5" xfId="21766" xr:uid="{00000000-0005-0000-0000-0000AF550000}"/>
    <cellStyle name="Percent 4 2 23 6" xfId="21767" xr:uid="{00000000-0005-0000-0000-0000B0550000}"/>
    <cellStyle name="Percent 4 2 23 7" xfId="21768" xr:uid="{00000000-0005-0000-0000-0000B1550000}"/>
    <cellStyle name="Percent 4 2 23 8" xfId="21769" xr:uid="{00000000-0005-0000-0000-0000B2550000}"/>
    <cellStyle name="Percent 4 2 23 9" xfId="21770" xr:uid="{00000000-0005-0000-0000-0000B3550000}"/>
    <cellStyle name="Percent 4 2 24" xfId="21771" xr:uid="{00000000-0005-0000-0000-0000B4550000}"/>
    <cellStyle name="Percent 4 2 24 10" xfId="21772" xr:uid="{00000000-0005-0000-0000-0000B5550000}"/>
    <cellStyle name="Percent 4 2 24 11" xfId="21773" xr:uid="{00000000-0005-0000-0000-0000B6550000}"/>
    <cellStyle name="Percent 4 2 24 12" xfId="21774" xr:uid="{00000000-0005-0000-0000-0000B7550000}"/>
    <cellStyle name="Percent 4 2 24 13" xfId="21775" xr:uid="{00000000-0005-0000-0000-0000B8550000}"/>
    <cellStyle name="Percent 4 2 24 14" xfId="21776" xr:uid="{00000000-0005-0000-0000-0000B9550000}"/>
    <cellStyle name="Percent 4 2 24 15" xfId="21777" xr:uid="{00000000-0005-0000-0000-0000BA550000}"/>
    <cellStyle name="Percent 4 2 24 16" xfId="21778" xr:uid="{00000000-0005-0000-0000-0000BB550000}"/>
    <cellStyle name="Percent 4 2 24 17" xfId="21779" xr:uid="{00000000-0005-0000-0000-0000BC550000}"/>
    <cellStyle name="Percent 4 2 24 2" xfId="21780" xr:uid="{00000000-0005-0000-0000-0000BD550000}"/>
    <cellStyle name="Percent 4 2 24 3" xfId="21781" xr:uid="{00000000-0005-0000-0000-0000BE550000}"/>
    <cellStyle name="Percent 4 2 24 4" xfId="21782" xr:uid="{00000000-0005-0000-0000-0000BF550000}"/>
    <cellStyle name="Percent 4 2 24 5" xfId="21783" xr:uid="{00000000-0005-0000-0000-0000C0550000}"/>
    <cellStyle name="Percent 4 2 24 6" xfId="21784" xr:uid="{00000000-0005-0000-0000-0000C1550000}"/>
    <cellStyle name="Percent 4 2 24 7" xfId="21785" xr:uid="{00000000-0005-0000-0000-0000C2550000}"/>
    <cellStyle name="Percent 4 2 24 8" xfId="21786" xr:uid="{00000000-0005-0000-0000-0000C3550000}"/>
    <cellStyle name="Percent 4 2 24 9" xfId="21787" xr:uid="{00000000-0005-0000-0000-0000C4550000}"/>
    <cellStyle name="Percent 4 2 25" xfId="21788" xr:uid="{00000000-0005-0000-0000-0000C5550000}"/>
    <cellStyle name="Percent 4 2 25 10" xfId="21789" xr:uid="{00000000-0005-0000-0000-0000C6550000}"/>
    <cellStyle name="Percent 4 2 25 11" xfId="21790" xr:uid="{00000000-0005-0000-0000-0000C7550000}"/>
    <cellStyle name="Percent 4 2 25 12" xfId="21791" xr:uid="{00000000-0005-0000-0000-0000C8550000}"/>
    <cellStyle name="Percent 4 2 25 13" xfId="21792" xr:uid="{00000000-0005-0000-0000-0000C9550000}"/>
    <cellStyle name="Percent 4 2 25 14" xfId="21793" xr:uid="{00000000-0005-0000-0000-0000CA550000}"/>
    <cellStyle name="Percent 4 2 25 15" xfId="21794" xr:uid="{00000000-0005-0000-0000-0000CB550000}"/>
    <cellStyle name="Percent 4 2 25 16" xfId="21795" xr:uid="{00000000-0005-0000-0000-0000CC550000}"/>
    <cellStyle name="Percent 4 2 25 17" xfId="21796" xr:uid="{00000000-0005-0000-0000-0000CD550000}"/>
    <cellStyle name="Percent 4 2 25 2" xfId="21797" xr:uid="{00000000-0005-0000-0000-0000CE550000}"/>
    <cellStyle name="Percent 4 2 25 3" xfId="21798" xr:uid="{00000000-0005-0000-0000-0000CF550000}"/>
    <cellStyle name="Percent 4 2 25 4" xfId="21799" xr:uid="{00000000-0005-0000-0000-0000D0550000}"/>
    <cellStyle name="Percent 4 2 25 5" xfId="21800" xr:uid="{00000000-0005-0000-0000-0000D1550000}"/>
    <cellStyle name="Percent 4 2 25 6" xfId="21801" xr:uid="{00000000-0005-0000-0000-0000D2550000}"/>
    <cellStyle name="Percent 4 2 25 7" xfId="21802" xr:uid="{00000000-0005-0000-0000-0000D3550000}"/>
    <cellStyle name="Percent 4 2 25 8" xfId="21803" xr:uid="{00000000-0005-0000-0000-0000D4550000}"/>
    <cellStyle name="Percent 4 2 25 9" xfId="21804" xr:uid="{00000000-0005-0000-0000-0000D5550000}"/>
    <cellStyle name="Percent 4 2 26" xfId="21805" xr:uid="{00000000-0005-0000-0000-0000D6550000}"/>
    <cellStyle name="Percent 4 2 26 10" xfId="21806" xr:uid="{00000000-0005-0000-0000-0000D7550000}"/>
    <cellStyle name="Percent 4 2 26 11" xfId="21807" xr:uid="{00000000-0005-0000-0000-0000D8550000}"/>
    <cellStyle name="Percent 4 2 26 12" xfId="21808" xr:uid="{00000000-0005-0000-0000-0000D9550000}"/>
    <cellStyle name="Percent 4 2 26 13" xfId="21809" xr:uid="{00000000-0005-0000-0000-0000DA550000}"/>
    <cellStyle name="Percent 4 2 26 14" xfId="21810" xr:uid="{00000000-0005-0000-0000-0000DB550000}"/>
    <cellStyle name="Percent 4 2 26 15" xfId="21811" xr:uid="{00000000-0005-0000-0000-0000DC550000}"/>
    <cellStyle name="Percent 4 2 26 16" xfId="21812" xr:uid="{00000000-0005-0000-0000-0000DD550000}"/>
    <cellStyle name="Percent 4 2 26 17" xfId="21813" xr:uid="{00000000-0005-0000-0000-0000DE550000}"/>
    <cellStyle name="Percent 4 2 26 2" xfId="21814" xr:uid="{00000000-0005-0000-0000-0000DF550000}"/>
    <cellStyle name="Percent 4 2 26 3" xfId="21815" xr:uid="{00000000-0005-0000-0000-0000E0550000}"/>
    <cellStyle name="Percent 4 2 26 4" xfId="21816" xr:uid="{00000000-0005-0000-0000-0000E1550000}"/>
    <cellStyle name="Percent 4 2 26 5" xfId="21817" xr:uid="{00000000-0005-0000-0000-0000E2550000}"/>
    <cellStyle name="Percent 4 2 26 6" xfId="21818" xr:uid="{00000000-0005-0000-0000-0000E3550000}"/>
    <cellStyle name="Percent 4 2 26 7" xfId="21819" xr:uid="{00000000-0005-0000-0000-0000E4550000}"/>
    <cellStyle name="Percent 4 2 26 8" xfId="21820" xr:uid="{00000000-0005-0000-0000-0000E5550000}"/>
    <cellStyle name="Percent 4 2 26 9" xfId="21821" xr:uid="{00000000-0005-0000-0000-0000E6550000}"/>
    <cellStyle name="Percent 4 2 27" xfId="21822" xr:uid="{00000000-0005-0000-0000-0000E7550000}"/>
    <cellStyle name="Percent 4 2 27 10" xfId="21823" xr:uid="{00000000-0005-0000-0000-0000E8550000}"/>
    <cellStyle name="Percent 4 2 27 11" xfId="21824" xr:uid="{00000000-0005-0000-0000-0000E9550000}"/>
    <cellStyle name="Percent 4 2 27 12" xfId="21825" xr:uid="{00000000-0005-0000-0000-0000EA550000}"/>
    <cellStyle name="Percent 4 2 27 13" xfId="21826" xr:uid="{00000000-0005-0000-0000-0000EB550000}"/>
    <cellStyle name="Percent 4 2 27 14" xfId="21827" xr:uid="{00000000-0005-0000-0000-0000EC550000}"/>
    <cellStyle name="Percent 4 2 27 15" xfId="21828" xr:uid="{00000000-0005-0000-0000-0000ED550000}"/>
    <cellStyle name="Percent 4 2 27 16" xfId="21829" xr:uid="{00000000-0005-0000-0000-0000EE550000}"/>
    <cellStyle name="Percent 4 2 27 17" xfId="21830" xr:uid="{00000000-0005-0000-0000-0000EF550000}"/>
    <cellStyle name="Percent 4 2 27 2" xfId="21831" xr:uid="{00000000-0005-0000-0000-0000F0550000}"/>
    <cellStyle name="Percent 4 2 27 3" xfId="21832" xr:uid="{00000000-0005-0000-0000-0000F1550000}"/>
    <cellStyle name="Percent 4 2 27 4" xfId="21833" xr:uid="{00000000-0005-0000-0000-0000F2550000}"/>
    <cellStyle name="Percent 4 2 27 5" xfId="21834" xr:uid="{00000000-0005-0000-0000-0000F3550000}"/>
    <cellStyle name="Percent 4 2 27 6" xfId="21835" xr:uid="{00000000-0005-0000-0000-0000F4550000}"/>
    <cellStyle name="Percent 4 2 27 7" xfId="21836" xr:uid="{00000000-0005-0000-0000-0000F5550000}"/>
    <cellStyle name="Percent 4 2 27 8" xfId="21837" xr:uid="{00000000-0005-0000-0000-0000F6550000}"/>
    <cellStyle name="Percent 4 2 27 9" xfId="21838" xr:uid="{00000000-0005-0000-0000-0000F7550000}"/>
    <cellStyle name="Percent 4 2 28" xfId="21839" xr:uid="{00000000-0005-0000-0000-0000F8550000}"/>
    <cellStyle name="Percent 4 2 28 10" xfId="21840" xr:uid="{00000000-0005-0000-0000-0000F9550000}"/>
    <cellStyle name="Percent 4 2 28 11" xfId="21841" xr:uid="{00000000-0005-0000-0000-0000FA550000}"/>
    <cellStyle name="Percent 4 2 28 12" xfId="21842" xr:uid="{00000000-0005-0000-0000-0000FB550000}"/>
    <cellStyle name="Percent 4 2 28 13" xfId="21843" xr:uid="{00000000-0005-0000-0000-0000FC550000}"/>
    <cellStyle name="Percent 4 2 28 14" xfId="21844" xr:uid="{00000000-0005-0000-0000-0000FD550000}"/>
    <cellStyle name="Percent 4 2 28 15" xfId="21845" xr:uid="{00000000-0005-0000-0000-0000FE550000}"/>
    <cellStyle name="Percent 4 2 28 16" xfId="21846" xr:uid="{00000000-0005-0000-0000-0000FF550000}"/>
    <cellStyle name="Percent 4 2 28 17" xfId="21847" xr:uid="{00000000-0005-0000-0000-000000560000}"/>
    <cellStyle name="Percent 4 2 28 2" xfId="21848" xr:uid="{00000000-0005-0000-0000-000001560000}"/>
    <cellStyle name="Percent 4 2 28 3" xfId="21849" xr:uid="{00000000-0005-0000-0000-000002560000}"/>
    <cellStyle name="Percent 4 2 28 4" xfId="21850" xr:uid="{00000000-0005-0000-0000-000003560000}"/>
    <cellStyle name="Percent 4 2 28 5" xfId="21851" xr:uid="{00000000-0005-0000-0000-000004560000}"/>
    <cellStyle name="Percent 4 2 28 6" xfId="21852" xr:uid="{00000000-0005-0000-0000-000005560000}"/>
    <cellStyle name="Percent 4 2 28 7" xfId="21853" xr:uid="{00000000-0005-0000-0000-000006560000}"/>
    <cellStyle name="Percent 4 2 28 8" xfId="21854" xr:uid="{00000000-0005-0000-0000-000007560000}"/>
    <cellStyle name="Percent 4 2 28 9" xfId="21855" xr:uid="{00000000-0005-0000-0000-000008560000}"/>
    <cellStyle name="Percent 4 2 29" xfId="21856" xr:uid="{00000000-0005-0000-0000-000009560000}"/>
    <cellStyle name="Percent 4 2 29 10" xfId="21857" xr:uid="{00000000-0005-0000-0000-00000A560000}"/>
    <cellStyle name="Percent 4 2 29 11" xfId="21858" xr:uid="{00000000-0005-0000-0000-00000B560000}"/>
    <cellStyle name="Percent 4 2 29 12" xfId="21859" xr:uid="{00000000-0005-0000-0000-00000C560000}"/>
    <cellStyle name="Percent 4 2 29 13" xfId="21860" xr:uid="{00000000-0005-0000-0000-00000D560000}"/>
    <cellStyle name="Percent 4 2 29 14" xfId="21861" xr:uid="{00000000-0005-0000-0000-00000E560000}"/>
    <cellStyle name="Percent 4 2 29 15" xfId="21862" xr:uid="{00000000-0005-0000-0000-00000F560000}"/>
    <cellStyle name="Percent 4 2 29 16" xfId="21863" xr:uid="{00000000-0005-0000-0000-000010560000}"/>
    <cellStyle name="Percent 4 2 29 17" xfId="21864" xr:uid="{00000000-0005-0000-0000-000011560000}"/>
    <cellStyle name="Percent 4 2 29 2" xfId="21865" xr:uid="{00000000-0005-0000-0000-000012560000}"/>
    <cellStyle name="Percent 4 2 29 3" xfId="21866" xr:uid="{00000000-0005-0000-0000-000013560000}"/>
    <cellStyle name="Percent 4 2 29 4" xfId="21867" xr:uid="{00000000-0005-0000-0000-000014560000}"/>
    <cellStyle name="Percent 4 2 29 5" xfId="21868" xr:uid="{00000000-0005-0000-0000-000015560000}"/>
    <cellStyle name="Percent 4 2 29 6" xfId="21869" xr:uid="{00000000-0005-0000-0000-000016560000}"/>
    <cellStyle name="Percent 4 2 29 7" xfId="21870" xr:uid="{00000000-0005-0000-0000-000017560000}"/>
    <cellStyle name="Percent 4 2 29 8" xfId="21871" xr:uid="{00000000-0005-0000-0000-000018560000}"/>
    <cellStyle name="Percent 4 2 29 9" xfId="21872" xr:uid="{00000000-0005-0000-0000-000019560000}"/>
    <cellStyle name="Percent 4 2 3" xfId="21873" xr:uid="{00000000-0005-0000-0000-00001A560000}"/>
    <cellStyle name="Percent 4 2 3 10" xfId="21874" xr:uid="{00000000-0005-0000-0000-00001B560000}"/>
    <cellStyle name="Percent 4 2 3 11" xfId="21875" xr:uid="{00000000-0005-0000-0000-00001C560000}"/>
    <cellStyle name="Percent 4 2 3 12" xfId="21876" xr:uid="{00000000-0005-0000-0000-00001D560000}"/>
    <cellStyle name="Percent 4 2 3 13" xfId="21877" xr:uid="{00000000-0005-0000-0000-00001E560000}"/>
    <cellStyle name="Percent 4 2 3 14" xfId="21878" xr:uid="{00000000-0005-0000-0000-00001F560000}"/>
    <cellStyle name="Percent 4 2 3 15" xfId="21879" xr:uid="{00000000-0005-0000-0000-000020560000}"/>
    <cellStyle name="Percent 4 2 3 16" xfId="21880" xr:uid="{00000000-0005-0000-0000-000021560000}"/>
    <cellStyle name="Percent 4 2 3 17" xfId="21881" xr:uid="{00000000-0005-0000-0000-000022560000}"/>
    <cellStyle name="Percent 4 2 3 2" xfId="21882" xr:uid="{00000000-0005-0000-0000-000023560000}"/>
    <cellStyle name="Percent 4 2 3 3" xfId="21883" xr:uid="{00000000-0005-0000-0000-000024560000}"/>
    <cellStyle name="Percent 4 2 3 4" xfId="21884" xr:uid="{00000000-0005-0000-0000-000025560000}"/>
    <cellStyle name="Percent 4 2 3 5" xfId="21885" xr:uid="{00000000-0005-0000-0000-000026560000}"/>
    <cellStyle name="Percent 4 2 3 6" xfId="21886" xr:uid="{00000000-0005-0000-0000-000027560000}"/>
    <cellStyle name="Percent 4 2 3 7" xfId="21887" xr:uid="{00000000-0005-0000-0000-000028560000}"/>
    <cellStyle name="Percent 4 2 3 8" xfId="21888" xr:uid="{00000000-0005-0000-0000-000029560000}"/>
    <cellStyle name="Percent 4 2 3 9" xfId="21889" xr:uid="{00000000-0005-0000-0000-00002A560000}"/>
    <cellStyle name="Percent 4 2 30" xfId="21890" xr:uid="{00000000-0005-0000-0000-00002B560000}"/>
    <cellStyle name="Percent 4 2 30 10" xfId="21891" xr:uid="{00000000-0005-0000-0000-00002C560000}"/>
    <cellStyle name="Percent 4 2 30 11" xfId="21892" xr:uid="{00000000-0005-0000-0000-00002D560000}"/>
    <cellStyle name="Percent 4 2 30 12" xfId="21893" xr:uid="{00000000-0005-0000-0000-00002E560000}"/>
    <cellStyle name="Percent 4 2 30 13" xfId="21894" xr:uid="{00000000-0005-0000-0000-00002F560000}"/>
    <cellStyle name="Percent 4 2 30 14" xfId="21895" xr:uid="{00000000-0005-0000-0000-000030560000}"/>
    <cellStyle name="Percent 4 2 30 15" xfId="21896" xr:uid="{00000000-0005-0000-0000-000031560000}"/>
    <cellStyle name="Percent 4 2 30 16" xfId="21897" xr:uid="{00000000-0005-0000-0000-000032560000}"/>
    <cellStyle name="Percent 4 2 30 17" xfId="21898" xr:uid="{00000000-0005-0000-0000-000033560000}"/>
    <cellStyle name="Percent 4 2 30 2" xfId="21899" xr:uid="{00000000-0005-0000-0000-000034560000}"/>
    <cellStyle name="Percent 4 2 30 3" xfId="21900" xr:uid="{00000000-0005-0000-0000-000035560000}"/>
    <cellStyle name="Percent 4 2 30 4" xfId="21901" xr:uid="{00000000-0005-0000-0000-000036560000}"/>
    <cellStyle name="Percent 4 2 30 5" xfId="21902" xr:uid="{00000000-0005-0000-0000-000037560000}"/>
    <cellStyle name="Percent 4 2 30 6" xfId="21903" xr:uid="{00000000-0005-0000-0000-000038560000}"/>
    <cellStyle name="Percent 4 2 30 7" xfId="21904" xr:uid="{00000000-0005-0000-0000-000039560000}"/>
    <cellStyle name="Percent 4 2 30 8" xfId="21905" xr:uid="{00000000-0005-0000-0000-00003A560000}"/>
    <cellStyle name="Percent 4 2 30 9" xfId="21906" xr:uid="{00000000-0005-0000-0000-00003B560000}"/>
    <cellStyle name="Percent 4 2 31" xfId="21907" xr:uid="{00000000-0005-0000-0000-00003C560000}"/>
    <cellStyle name="Percent 4 2 31 10" xfId="21908" xr:uid="{00000000-0005-0000-0000-00003D560000}"/>
    <cellStyle name="Percent 4 2 31 11" xfId="21909" xr:uid="{00000000-0005-0000-0000-00003E560000}"/>
    <cellStyle name="Percent 4 2 31 12" xfId="21910" xr:uid="{00000000-0005-0000-0000-00003F560000}"/>
    <cellStyle name="Percent 4 2 31 13" xfId="21911" xr:uid="{00000000-0005-0000-0000-000040560000}"/>
    <cellStyle name="Percent 4 2 31 14" xfId="21912" xr:uid="{00000000-0005-0000-0000-000041560000}"/>
    <cellStyle name="Percent 4 2 31 15" xfId="21913" xr:uid="{00000000-0005-0000-0000-000042560000}"/>
    <cellStyle name="Percent 4 2 31 16" xfId="21914" xr:uid="{00000000-0005-0000-0000-000043560000}"/>
    <cellStyle name="Percent 4 2 31 17" xfId="21915" xr:uid="{00000000-0005-0000-0000-000044560000}"/>
    <cellStyle name="Percent 4 2 31 2" xfId="21916" xr:uid="{00000000-0005-0000-0000-000045560000}"/>
    <cellStyle name="Percent 4 2 31 3" xfId="21917" xr:uid="{00000000-0005-0000-0000-000046560000}"/>
    <cellStyle name="Percent 4 2 31 4" xfId="21918" xr:uid="{00000000-0005-0000-0000-000047560000}"/>
    <cellStyle name="Percent 4 2 31 5" xfId="21919" xr:uid="{00000000-0005-0000-0000-000048560000}"/>
    <cellStyle name="Percent 4 2 31 6" xfId="21920" xr:uid="{00000000-0005-0000-0000-000049560000}"/>
    <cellStyle name="Percent 4 2 31 7" xfId="21921" xr:uid="{00000000-0005-0000-0000-00004A560000}"/>
    <cellStyle name="Percent 4 2 31 8" xfId="21922" xr:uid="{00000000-0005-0000-0000-00004B560000}"/>
    <cellStyle name="Percent 4 2 31 9" xfId="21923" xr:uid="{00000000-0005-0000-0000-00004C560000}"/>
    <cellStyle name="Percent 4 2 32" xfId="21924" xr:uid="{00000000-0005-0000-0000-00004D560000}"/>
    <cellStyle name="Percent 4 2 32 10" xfId="21925" xr:uid="{00000000-0005-0000-0000-00004E560000}"/>
    <cellStyle name="Percent 4 2 32 11" xfId="21926" xr:uid="{00000000-0005-0000-0000-00004F560000}"/>
    <cellStyle name="Percent 4 2 32 12" xfId="21927" xr:uid="{00000000-0005-0000-0000-000050560000}"/>
    <cellStyle name="Percent 4 2 32 13" xfId="21928" xr:uid="{00000000-0005-0000-0000-000051560000}"/>
    <cellStyle name="Percent 4 2 32 14" xfId="21929" xr:uid="{00000000-0005-0000-0000-000052560000}"/>
    <cellStyle name="Percent 4 2 32 15" xfId="21930" xr:uid="{00000000-0005-0000-0000-000053560000}"/>
    <cellStyle name="Percent 4 2 32 16" xfId="21931" xr:uid="{00000000-0005-0000-0000-000054560000}"/>
    <cellStyle name="Percent 4 2 32 17" xfId="21932" xr:uid="{00000000-0005-0000-0000-000055560000}"/>
    <cellStyle name="Percent 4 2 32 2" xfId="21933" xr:uid="{00000000-0005-0000-0000-000056560000}"/>
    <cellStyle name="Percent 4 2 32 3" xfId="21934" xr:uid="{00000000-0005-0000-0000-000057560000}"/>
    <cellStyle name="Percent 4 2 32 4" xfId="21935" xr:uid="{00000000-0005-0000-0000-000058560000}"/>
    <cellStyle name="Percent 4 2 32 5" xfId="21936" xr:uid="{00000000-0005-0000-0000-000059560000}"/>
    <cellStyle name="Percent 4 2 32 6" xfId="21937" xr:uid="{00000000-0005-0000-0000-00005A560000}"/>
    <cellStyle name="Percent 4 2 32 7" xfId="21938" xr:uid="{00000000-0005-0000-0000-00005B560000}"/>
    <cellStyle name="Percent 4 2 32 8" xfId="21939" xr:uid="{00000000-0005-0000-0000-00005C560000}"/>
    <cellStyle name="Percent 4 2 32 9" xfId="21940" xr:uid="{00000000-0005-0000-0000-00005D560000}"/>
    <cellStyle name="Percent 4 2 33" xfId="21941" xr:uid="{00000000-0005-0000-0000-00005E560000}"/>
    <cellStyle name="Percent 4 2 33 10" xfId="21942" xr:uid="{00000000-0005-0000-0000-00005F560000}"/>
    <cellStyle name="Percent 4 2 33 11" xfId="21943" xr:uid="{00000000-0005-0000-0000-000060560000}"/>
    <cellStyle name="Percent 4 2 33 12" xfId="21944" xr:uid="{00000000-0005-0000-0000-000061560000}"/>
    <cellStyle name="Percent 4 2 33 13" xfId="21945" xr:uid="{00000000-0005-0000-0000-000062560000}"/>
    <cellStyle name="Percent 4 2 33 14" xfId="21946" xr:uid="{00000000-0005-0000-0000-000063560000}"/>
    <cellStyle name="Percent 4 2 33 15" xfId="21947" xr:uid="{00000000-0005-0000-0000-000064560000}"/>
    <cellStyle name="Percent 4 2 33 16" xfId="21948" xr:uid="{00000000-0005-0000-0000-000065560000}"/>
    <cellStyle name="Percent 4 2 33 17" xfId="21949" xr:uid="{00000000-0005-0000-0000-000066560000}"/>
    <cellStyle name="Percent 4 2 33 2" xfId="21950" xr:uid="{00000000-0005-0000-0000-000067560000}"/>
    <cellStyle name="Percent 4 2 33 3" xfId="21951" xr:uid="{00000000-0005-0000-0000-000068560000}"/>
    <cellStyle name="Percent 4 2 33 4" xfId="21952" xr:uid="{00000000-0005-0000-0000-000069560000}"/>
    <cellStyle name="Percent 4 2 33 5" xfId="21953" xr:uid="{00000000-0005-0000-0000-00006A560000}"/>
    <cellStyle name="Percent 4 2 33 6" xfId="21954" xr:uid="{00000000-0005-0000-0000-00006B560000}"/>
    <cellStyle name="Percent 4 2 33 7" xfId="21955" xr:uid="{00000000-0005-0000-0000-00006C560000}"/>
    <cellStyle name="Percent 4 2 33 8" xfId="21956" xr:uid="{00000000-0005-0000-0000-00006D560000}"/>
    <cellStyle name="Percent 4 2 33 9" xfId="21957" xr:uid="{00000000-0005-0000-0000-00006E560000}"/>
    <cellStyle name="Percent 4 2 34" xfId="21958" xr:uid="{00000000-0005-0000-0000-00006F560000}"/>
    <cellStyle name="Percent 4 2 34 10" xfId="21959" xr:uid="{00000000-0005-0000-0000-000070560000}"/>
    <cellStyle name="Percent 4 2 34 11" xfId="21960" xr:uid="{00000000-0005-0000-0000-000071560000}"/>
    <cellStyle name="Percent 4 2 34 12" xfId="21961" xr:uid="{00000000-0005-0000-0000-000072560000}"/>
    <cellStyle name="Percent 4 2 34 13" xfId="21962" xr:uid="{00000000-0005-0000-0000-000073560000}"/>
    <cellStyle name="Percent 4 2 34 14" xfId="21963" xr:uid="{00000000-0005-0000-0000-000074560000}"/>
    <cellStyle name="Percent 4 2 34 15" xfId="21964" xr:uid="{00000000-0005-0000-0000-000075560000}"/>
    <cellStyle name="Percent 4 2 34 16" xfId="21965" xr:uid="{00000000-0005-0000-0000-000076560000}"/>
    <cellStyle name="Percent 4 2 34 17" xfId="21966" xr:uid="{00000000-0005-0000-0000-000077560000}"/>
    <cellStyle name="Percent 4 2 34 2" xfId="21967" xr:uid="{00000000-0005-0000-0000-000078560000}"/>
    <cellStyle name="Percent 4 2 34 3" xfId="21968" xr:uid="{00000000-0005-0000-0000-000079560000}"/>
    <cellStyle name="Percent 4 2 34 4" xfId="21969" xr:uid="{00000000-0005-0000-0000-00007A560000}"/>
    <cellStyle name="Percent 4 2 34 5" xfId="21970" xr:uid="{00000000-0005-0000-0000-00007B560000}"/>
    <cellStyle name="Percent 4 2 34 6" xfId="21971" xr:uid="{00000000-0005-0000-0000-00007C560000}"/>
    <cellStyle name="Percent 4 2 34 7" xfId="21972" xr:uid="{00000000-0005-0000-0000-00007D560000}"/>
    <cellStyle name="Percent 4 2 34 8" xfId="21973" xr:uid="{00000000-0005-0000-0000-00007E560000}"/>
    <cellStyle name="Percent 4 2 34 9" xfId="21974" xr:uid="{00000000-0005-0000-0000-00007F560000}"/>
    <cellStyle name="Percent 4 2 35" xfId="21975" xr:uid="{00000000-0005-0000-0000-000080560000}"/>
    <cellStyle name="Percent 4 2 35 10" xfId="21976" xr:uid="{00000000-0005-0000-0000-000081560000}"/>
    <cellStyle name="Percent 4 2 35 11" xfId="21977" xr:uid="{00000000-0005-0000-0000-000082560000}"/>
    <cellStyle name="Percent 4 2 35 12" xfId="21978" xr:uid="{00000000-0005-0000-0000-000083560000}"/>
    <cellStyle name="Percent 4 2 35 13" xfId="21979" xr:uid="{00000000-0005-0000-0000-000084560000}"/>
    <cellStyle name="Percent 4 2 35 14" xfId="21980" xr:uid="{00000000-0005-0000-0000-000085560000}"/>
    <cellStyle name="Percent 4 2 35 15" xfId="21981" xr:uid="{00000000-0005-0000-0000-000086560000}"/>
    <cellStyle name="Percent 4 2 35 16" xfId="21982" xr:uid="{00000000-0005-0000-0000-000087560000}"/>
    <cellStyle name="Percent 4 2 35 17" xfId="21983" xr:uid="{00000000-0005-0000-0000-000088560000}"/>
    <cellStyle name="Percent 4 2 35 2" xfId="21984" xr:uid="{00000000-0005-0000-0000-000089560000}"/>
    <cellStyle name="Percent 4 2 35 3" xfId="21985" xr:uid="{00000000-0005-0000-0000-00008A560000}"/>
    <cellStyle name="Percent 4 2 35 4" xfId="21986" xr:uid="{00000000-0005-0000-0000-00008B560000}"/>
    <cellStyle name="Percent 4 2 35 5" xfId="21987" xr:uid="{00000000-0005-0000-0000-00008C560000}"/>
    <cellStyle name="Percent 4 2 35 6" xfId="21988" xr:uid="{00000000-0005-0000-0000-00008D560000}"/>
    <cellStyle name="Percent 4 2 35 7" xfId="21989" xr:uid="{00000000-0005-0000-0000-00008E560000}"/>
    <cellStyle name="Percent 4 2 35 8" xfId="21990" xr:uid="{00000000-0005-0000-0000-00008F560000}"/>
    <cellStyle name="Percent 4 2 35 9" xfId="21991" xr:uid="{00000000-0005-0000-0000-000090560000}"/>
    <cellStyle name="Percent 4 2 36" xfId="21992" xr:uid="{00000000-0005-0000-0000-000091560000}"/>
    <cellStyle name="Percent 4 2 36 10" xfId="21993" xr:uid="{00000000-0005-0000-0000-000092560000}"/>
    <cellStyle name="Percent 4 2 36 11" xfId="21994" xr:uid="{00000000-0005-0000-0000-000093560000}"/>
    <cellStyle name="Percent 4 2 36 12" xfId="21995" xr:uid="{00000000-0005-0000-0000-000094560000}"/>
    <cellStyle name="Percent 4 2 36 13" xfId="21996" xr:uid="{00000000-0005-0000-0000-000095560000}"/>
    <cellStyle name="Percent 4 2 36 14" xfId="21997" xr:uid="{00000000-0005-0000-0000-000096560000}"/>
    <cellStyle name="Percent 4 2 36 15" xfId="21998" xr:uid="{00000000-0005-0000-0000-000097560000}"/>
    <cellStyle name="Percent 4 2 36 16" xfId="21999" xr:uid="{00000000-0005-0000-0000-000098560000}"/>
    <cellStyle name="Percent 4 2 36 17" xfId="22000" xr:uid="{00000000-0005-0000-0000-000099560000}"/>
    <cellStyle name="Percent 4 2 36 2" xfId="22001" xr:uid="{00000000-0005-0000-0000-00009A560000}"/>
    <cellStyle name="Percent 4 2 36 3" xfId="22002" xr:uid="{00000000-0005-0000-0000-00009B560000}"/>
    <cellStyle name="Percent 4 2 36 4" xfId="22003" xr:uid="{00000000-0005-0000-0000-00009C560000}"/>
    <cellStyle name="Percent 4 2 36 5" xfId="22004" xr:uid="{00000000-0005-0000-0000-00009D560000}"/>
    <cellStyle name="Percent 4 2 36 6" xfId="22005" xr:uid="{00000000-0005-0000-0000-00009E560000}"/>
    <cellStyle name="Percent 4 2 36 7" xfId="22006" xr:uid="{00000000-0005-0000-0000-00009F560000}"/>
    <cellStyle name="Percent 4 2 36 8" xfId="22007" xr:uid="{00000000-0005-0000-0000-0000A0560000}"/>
    <cellStyle name="Percent 4 2 36 9" xfId="22008" xr:uid="{00000000-0005-0000-0000-0000A1560000}"/>
    <cellStyle name="Percent 4 2 37" xfId="22009" xr:uid="{00000000-0005-0000-0000-0000A2560000}"/>
    <cellStyle name="Percent 4 2 37 10" xfId="22010" xr:uid="{00000000-0005-0000-0000-0000A3560000}"/>
    <cellStyle name="Percent 4 2 37 11" xfId="22011" xr:uid="{00000000-0005-0000-0000-0000A4560000}"/>
    <cellStyle name="Percent 4 2 37 12" xfId="22012" xr:uid="{00000000-0005-0000-0000-0000A5560000}"/>
    <cellStyle name="Percent 4 2 37 13" xfId="22013" xr:uid="{00000000-0005-0000-0000-0000A6560000}"/>
    <cellStyle name="Percent 4 2 37 14" xfId="22014" xr:uid="{00000000-0005-0000-0000-0000A7560000}"/>
    <cellStyle name="Percent 4 2 37 15" xfId="22015" xr:uid="{00000000-0005-0000-0000-0000A8560000}"/>
    <cellStyle name="Percent 4 2 37 16" xfId="22016" xr:uid="{00000000-0005-0000-0000-0000A9560000}"/>
    <cellStyle name="Percent 4 2 37 17" xfId="22017" xr:uid="{00000000-0005-0000-0000-0000AA560000}"/>
    <cellStyle name="Percent 4 2 37 2" xfId="22018" xr:uid="{00000000-0005-0000-0000-0000AB560000}"/>
    <cellStyle name="Percent 4 2 37 3" xfId="22019" xr:uid="{00000000-0005-0000-0000-0000AC560000}"/>
    <cellStyle name="Percent 4 2 37 4" xfId="22020" xr:uid="{00000000-0005-0000-0000-0000AD560000}"/>
    <cellStyle name="Percent 4 2 37 5" xfId="22021" xr:uid="{00000000-0005-0000-0000-0000AE560000}"/>
    <cellStyle name="Percent 4 2 37 6" xfId="22022" xr:uid="{00000000-0005-0000-0000-0000AF560000}"/>
    <cellStyle name="Percent 4 2 37 7" xfId="22023" xr:uid="{00000000-0005-0000-0000-0000B0560000}"/>
    <cellStyle name="Percent 4 2 37 8" xfId="22024" xr:uid="{00000000-0005-0000-0000-0000B1560000}"/>
    <cellStyle name="Percent 4 2 37 9" xfId="22025" xr:uid="{00000000-0005-0000-0000-0000B2560000}"/>
    <cellStyle name="Percent 4 2 38" xfId="22026" xr:uid="{00000000-0005-0000-0000-0000B3560000}"/>
    <cellStyle name="Percent 4 2 38 10" xfId="22027" xr:uid="{00000000-0005-0000-0000-0000B4560000}"/>
    <cellStyle name="Percent 4 2 38 11" xfId="22028" xr:uid="{00000000-0005-0000-0000-0000B5560000}"/>
    <cellStyle name="Percent 4 2 38 12" xfId="22029" xr:uid="{00000000-0005-0000-0000-0000B6560000}"/>
    <cellStyle name="Percent 4 2 38 13" xfId="22030" xr:uid="{00000000-0005-0000-0000-0000B7560000}"/>
    <cellStyle name="Percent 4 2 38 14" xfId="22031" xr:uid="{00000000-0005-0000-0000-0000B8560000}"/>
    <cellStyle name="Percent 4 2 38 15" xfId="22032" xr:uid="{00000000-0005-0000-0000-0000B9560000}"/>
    <cellStyle name="Percent 4 2 38 16" xfId="22033" xr:uid="{00000000-0005-0000-0000-0000BA560000}"/>
    <cellStyle name="Percent 4 2 38 17" xfId="22034" xr:uid="{00000000-0005-0000-0000-0000BB560000}"/>
    <cellStyle name="Percent 4 2 38 2" xfId="22035" xr:uid="{00000000-0005-0000-0000-0000BC560000}"/>
    <cellStyle name="Percent 4 2 38 3" xfId="22036" xr:uid="{00000000-0005-0000-0000-0000BD560000}"/>
    <cellStyle name="Percent 4 2 38 4" xfId="22037" xr:uid="{00000000-0005-0000-0000-0000BE560000}"/>
    <cellStyle name="Percent 4 2 38 5" xfId="22038" xr:uid="{00000000-0005-0000-0000-0000BF560000}"/>
    <cellStyle name="Percent 4 2 38 6" xfId="22039" xr:uid="{00000000-0005-0000-0000-0000C0560000}"/>
    <cellStyle name="Percent 4 2 38 7" xfId="22040" xr:uid="{00000000-0005-0000-0000-0000C1560000}"/>
    <cellStyle name="Percent 4 2 38 8" xfId="22041" xr:uid="{00000000-0005-0000-0000-0000C2560000}"/>
    <cellStyle name="Percent 4 2 38 9" xfId="22042" xr:uid="{00000000-0005-0000-0000-0000C3560000}"/>
    <cellStyle name="Percent 4 2 39" xfId="22043" xr:uid="{00000000-0005-0000-0000-0000C4560000}"/>
    <cellStyle name="Percent 4 2 39 10" xfId="22044" xr:uid="{00000000-0005-0000-0000-0000C5560000}"/>
    <cellStyle name="Percent 4 2 39 11" xfId="22045" xr:uid="{00000000-0005-0000-0000-0000C6560000}"/>
    <cellStyle name="Percent 4 2 39 12" xfId="22046" xr:uid="{00000000-0005-0000-0000-0000C7560000}"/>
    <cellStyle name="Percent 4 2 39 13" xfId="22047" xr:uid="{00000000-0005-0000-0000-0000C8560000}"/>
    <cellStyle name="Percent 4 2 39 14" xfId="22048" xr:uid="{00000000-0005-0000-0000-0000C9560000}"/>
    <cellStyle name="Percent 4 2 39 15" xfId="22049" xr:uid="{00000000-0005-0000-0000-0000CA560000}"/>
    <cellStyle name="Percent 4 2 39 16" xfId="22050" xr:uid="{00000000-0005-0000-0000-0000CB560000}"/>
    <cellStyle name="Percent 4 2 39 17" xfId="22051" xr:uid="{00000000-0005-0000-0000-0000CC560000}"/>
    <cellStyle name="Percent 4 2 39 2" xfId="22052" xr:uid="{00000000-0005-0000-0000-0000CD560000}"/>
    <cellStyle name="Percent 4 2 39 3" xfId="22053" xr:uid="{00000000-0005-0000-0000-0000CE560000}"/>
    <cellStyle name="Percent 4 2 39 4" xfId="22054" xr:uid="{00000000-0005-0000-0000-0000CF560000}"/>
    <cellStyle name="Percent 4 2 39 5" xfId="22055" xr:uid="{00000000-0005-0000-0000-0000D0560000}"/>
    <cellStyle name="Percent 4 2 39 6" xfId="22056" xr:uid="{00000000-0005-0000-0000-0000D1560000}"/>
    <cellStyle name="Percent 4 2 39 7" xfId="22057" xr:uid="{00000000-0005-0000-0000-0000D2560000}"/>
    <cellStyle name="Percent 4 2 39 8" xfId="22058" xr:uid="{00000000-0005-0000-0000-0000D3560000}"/>
    <cellStyle name="Percent 4 2 39 9" xfId="22059" xr:uid="{00000000-0005-0000-0000-0000D4560000}"/>
    <cellStyle name="Percent 4 2 4" xfId="22060" xr:uid="{00000000-0005-0000-0000-0000D5560000}"/>
    <cellStyle name="Percent 4 2 4 10" xfId="22061" xr:uid="{00000000-0005-0000-0000-0000D6560000}"/>
    <cellStyle name="Percent 4 2 4 11" xfId="22062" xr:uid="{00000000-0005-0000-0000-0000D7560000}"/>
    <cellStyle name="Percent 4 2 4 12" xfId="22063" xr:uid="{00000000-0005-0000-0000-0000D8560000}"/>
    <cellStyle name="Percent 4 2 4 13" xfId="22064" xr:uid="{00000000-0005-0000-0000-0000D9560000}"/>
    <cellStyle name="Percent 4 2 4 14" xfId="22065" xr:uid="{00000000-0005-0000-0000-0000DA560000}"/>
    <cellStyle name="Percent 4 2 4 15" xfId="22066" xr:uid="{00000000-0005-0000-0000-0000DB560000}"/>
    <cellStyle name="Percent 4 2 4 16" xfId="22067" xr:uid="{00000000-0005-0000-0000-0000DC560000}"/>
    <cellStyle name="Percent 4 2 4 17" xfId="22068" xr:uid="{00000000-0005-0000-0000-0000DD560000}"/>
    <cellStyle name="Percent 4 2 4 2" xfId="22069" xr:uid="{00000000-0005-0000-0000-0000DE560000}"/>
    <cellStyle name="Percent 4 2 4 3" xfId="22070" xr:uid="{00000000-0005-0000-0000-0000DF560000}"/>
    <cellStyle name="Percent 4 2 4 4" xfId="22071" xr:uid="{00000000-0005-0000-0000-0000E0560000}"/>
    <cellStyle name="Percent 4 2 4 5" xfId="22072" xr:uid="{00000000-0005-0000-0000-0000E1560000}"/>
    <cellStyle name="Percent 4 2 4 6" xfId="22073" xr:uid="{00000000-0005-0000-0000-0000E2560000}"/>
    <cellStyle name="Percent 4 2 4 7" xfId="22074" xr:uid="{00000000-0005-0000-0000-0000E3560000}"/>
    <cellStyle name="Percent 4 2 4 8" xfId="22075" xr:uid="{00000000-0005-0000-0000-0000E4560000}"/>
    <cellStyle name="Percent 4 2 4 9" xfId="22076" xr:uid="{00000000-0005-0000-0000-0000E5560000}"/>
    <cellStyle name="Percent 4 2 40" xfId="22077" xr:uid="{00000000-0005-0000-0000-0000E6560000}"/>
    <cellStyle name="Percent 4 2 40 10" xfId="22078" xr:uid="{00000000-0005-0000-0000-0000E7560000}"/>
    <cellStyle name="Percent 4 2 40 11" xfId="22079" xr:uid="{00000000-0005-0000-0000-0000E8560000}"/>
    <cellStyle name="Percent 4 2 40 12" xfId="22080" xr:uid="{00000000-0005-0000-0000-0000E9560000}"/>
    <cellStyle name="Percent 4 2 40 13" xfId="22081" xr:uid="{00000000-0005-0000-0000-0000EA560000}"/>
    <cellStyle name="Percent 4 2 40 14" xfId="22082" xr:uid="{00000000-0005-0000-0000-0000EB560000}"/>
    <cellStyle name="Percent 4 2 40 15" xfId="22083" xr:uid="{00000000-0005-0000-0000-0000EC560000}"/>
    <cellStyle name="Percent 4 2 40 16" xfId="22084" xr:uid="{00000000-0005-0000-0000-0000ED560000}"/>
    <cellStyle name="Percent 4 2 40 17" xfId="22085" xr:uid="{00000000-0005-0000-0000-0000EE560000}"/>
    <cellStyle name="Percent 4 2 40 2" xfId="22086" xr:uid="{00000000-0005-0000-0000-0000EF560000}"/>
    <cellStyle name="Percent 4 2 40 3" xfId="22087" xr:uid="{00000000-0005-0000-0000-0000F0560000}"/>
    <cellStyle name="Percent 4 2 40 4" xfId="22088" xr:uid="{00000000-0005-0000-0000-0000F1560000}"/>
    <cellStyle name="Percent 4 2 40 5" xfId="22089" xr:uid="{00000000-0005-0000-0000-0000F2560000}"/>
    <cellStyle name="Percent 4 2 40 6" xfId="22090" xr:uid="{00000000-0005-0000-0000-0000F3560000}"/>
    <cellStyle name="Percent 4 2 40 7" xfId="22091" xr:uid="{00000000-0005-0000-0000-0000F4560000}"/>
    <cellStyle name="Percent 4 2 40 8" xfId="22092" xr:uid="{00000000-0005-0000-0000-0000F5560000}"/>
    <cellStyle name="Percent 4 2 40 9" xfId="22093" xr:uid="{00000000-0005-0000-0000-0000F6560000}"/>
    <cellStyle name="Percent 4 2 41" xfId="22094" xr:uid="{00000000-0005-0000-0000-0000F7560000}"/>
    <cellStyle name="Percent 4 2 41 10" xfId="22095" xr:uid="{00000000-0005-0000-0000-0000F8560000}"/>
    <cellStyle name="Percent 4 2 41 11" xfId="22096" xr:uid="{00000000-0005-0000-0000-0000F9560000}"/>
    <cellStyle name="Percent 4 2 41 12" xfId="22097" xr:uid="{00000000-0005-0000-0000-0000FA560000}"/>
    <cellStyle name="Percent 4 2 41 13" xfId="22098" xr:uid="{00000000-0005-0000-0000-0000FB560000}"/>
    <cellStyle name="Percent 4 2 41 14" xfId="22099" xr:uid="{00000000-0005-0000-0000-0000FC560000}"/>
    <cellStyle name="Percent 4 2 41 15" xfId="22100" xr:uid="{00000000-0005-0000-0000-0000FD560000}"/>
    <cellStyle name="Percent 4 2 41 16" xfId="22101" xr:uid="{00000000-0005-0000-0000-0000FE560000}"/>
    <cellStyle name="Percent 4 2 41 17" xfId="22102" xr:uid="{00000000-0005-0000-0000-0000FF560000}"/>
    <cellStyle name="Percent 4 2 41 2" xfId="22103" xr:uid="{00000000-0005-0000-0000-000000570000}"/>
    <cellStyle name="Percent 4 2 41 3" xfId="22104" xr:uid="{00000000-0005-0000-0000-000001570000}"/>
    <cellStyle name="Percent 4 2 41 4" xfId="22105" xr:uid="{00000000-0005-0000-0000-000002570000}"/>
    <cellStyle name="Percent 4 2 41 5" xfId="22106" xr:uid="{00000000-0005-0000-0000-000003570000}"/>
    <cellStyle name="Percent 4 2 41 6" xfId="22107" xr:uid="{00000000-0005-0000-0000-000004570000}"/>
    <cellStyle name="Percent 4 2 41 7" xfId="22108" xr:uid="{00000000-0005-0000-0000-000005570000}"/>
    <cellStyle name="Percent 4 2 41 8" xfId="22109" xr:uid="{00000000-0005-0000-0000-000006570000}"/>
    <cellStyle name="Percent 4 2 41 9" xfId="22110" xr:uid="{00000000-0005-0000-0000-000007570000}"/>
    <cellStyle name="Percent 4 2 42" xfId="22111" xr:uid="{00000000-0005-0000-0000-000008570000}"/>
    <cellStyle name="Percent 4 2 42 10" xfId="22112" xr:uid="{00000000-0005-0000-0000-000009570000}"/>
    <cellStyle name="Percent 4 2 42 11" xfId="22113" xr:uid="{00000000-0005-0000-0000-00000A570000}"/>
    <cellStyle name="Percent 4 2 42 12" xfId="22114" xr:uid="{00000000-0005-0000-0000-00000B570000}"/>
    <cellStyle name="Percent 4 2 42 13" xfId="22115" xr:uid="{00000000-0005-0000-0000-00000C570000}"/>
    <cellStyle name="Percent 4 2 42 14" xfId="22116" xr:uid="{00000000-0005-0000-0000-00000D570000}"/>
    <cellStyle name="Percent 4 2 42 15" xfId="22117" xr:uid="{00000000-0005-0000-0000-00000E570000}"/>
    <cellStyle name="Percent 4 2 42 16" xfId="22118" xr:uid="{00000000-0005-0000-0000-00000F570000}"/>
    <cellStyle name="Percent 4 2 42 17" xfId="22119" xr:uid="{00000000-0005-0000-0000-000010570000}"/>
    <cellStyle name="Percent 4 2 42 2" xfId="22120" xr:uid="{00000000-0005-0000-0000-000011570000}"/>
    <cellStyle name="Percent 4 2 42 3" xfId="22121" xr:uid="{00000000-0005-0000-0000-000012570000}"/>
    <cellStyle name="Percent 4 2 42 4" xfId="22122" xr:uid="{00000000-0005-0000-0000-000013570000}"/>
    <cellStyle name="Percent 4 2 42 5" xfId="22123" xr:uid="{00000000-0005-0000-0000-000014570000}"/>
    <cellStyle name="Percent 4 2 42 6" xfId="22124" xr:uid="{00000000-0005-0000-0000-000015570000}"/>
    <cellStyle name="Percent 4 2 42 7" xfId="22125" xr:uid="{00000000-0005-0000-0000-000016570000}"/>
    <cellStyle name="Percent 4 2 42 8" xfId="22126" xr:uid="{00000000-0005-0000-0000-000017570000}"/>
    <cellStyle name="Percent 4 2 42 9" xfId="22127" xr:uid="{00000000-0005-0000-0000-000018570000}"/>
    <cellStyle name="Percent 4 2 43" xfId="22128" xr:uid="{00000000-0005-0000-0000-000019570000}"/>
    <cellStyle name="Percent 4 2 43 10" xfId="22129" xr:uid="{00000000-0005-0000-0000-00001A570000}"/>
    <cellStyle name="Percent 4 2 43 11" xfId="22130" xr:uid="{00000000-0005-0000-0000-00001B570000}"/>
    <cellStyle name="Percent 4 2 43 12" xfId="22131" xr:uid="{00000000-0005-0000-0000-00001C570000}"/>
    <cellStyle name="Percent 4 2 43 13" xfId="22132" xr:uid="{00000000-0005-0000-0000-00001D570000}"/>
    <cellStyle name="Percent 4 2 43 14" xfId="22133" xr:uid="{00000000-0005-0000-0000-00001E570000}"/>
    <cellStyle name="Percent 4 2 43 15" xfId="22134" xr:uid="{00000000-0005-0000-0000-00001F570000}"/>
    <cellStyle name="Percent 4 2 43 16" xfId="22135" xr:uid="{00000000-0005-0000-0000-000020570000}"/>
    <cellStyle name="Percent 4 2 43 17" xfId="22136" xr:uid="{00000000-0005-0000-0000-000021570000}"/>
    <cellStyle name="Percent 4 2 43 2" xfId="22137" xr:uid="{00000000-0005-0000-0000-000022570000}"/>
    <cellStyle name="Percent 4 2 43 3" xfId="22138" xr:uid="{00000000-0005-0000-0000-000023570000}"/>
    <cellStyle name="Percent 4 2 43 4" xfId="22139" xr:uid="{00000000-0005-0000-0000-000024570000}"/>
    <cellStyle name="Percent 4 2 43 5" xfId="22140" xr:uid="{00000000-0005-0000-0000-000025570000}"/>
    <cellStyle name="Percent 4 2 43 6" xfId="22141" xr:uid="{00000000-0005-0000-0000-000026570000}"/>
    <cellStyle name="Percent 4 2 43 7" xfId="22142" xr:uid="{00000000-0005-0000-0000-000027570000}"/>
    <cellStyle name="Percent 4 2 43 8" xfId="22143" xr:uid="{00000000-0005-0000-0000-000028570000}"/>
    <cellStyle name="Percent 4 2 43 9" xfId="22144" xr:uid="{00000000-0005-0000-0000-000029570000}"/>
    <cellStyle name="Percent 4 2 44" xfId="22145" xr:uid="{00000000-0005-0000-0000-00002A570000}"/>
    <cellStyle name="Percent 4 2 44 10" xfId="22146" xr:uid="{00000000-0005-0000-0000-00002B570000}"/>
    <cellStyle name="Percent 4 2 44 11" xfId="22147" xr:uid="{00000000-0005-0000-0000-00002C570000}"/>
    <cellStyle name="Percent 4 2 44 12" xfId="22148" xr:uid="{00000000-0005-0000-0000-00002D570000}"/>
    <cellStyle name="Percent 4 2 44 13" xfId="22149" xr:uid="{00000000-0005-0000-0000-00002E570000}"/>
    <cellStyle name="Percent 4 2 44 14" xfId="22150" xr:uid="{00000000-0005-0000-0000-00002F570000}"/>
    <cellStyle name="Percent 4 2 44 15" xfId="22151" xr:uid="{00000000-0005-0000-0000-000030570000}"/>
    <cellStyle name="Percent 4 2 44 16" xfId="22152" xr:uid="{00000000-0005-0000-0000-000031570000}"/>
    <cellStyle name="Percent 4 2 44 17" xfId="22153" xr:uid="{00000000-0005-0000-0000-000032570000}"/>
    <cellStyle name="Percent 4 2 44 2" xfId="22154" xr:uid="{00000000-0005-0000-0000-000033570000}"/>
    <cellStyle name="Percent 4 2 44 3" xfId="22155" xr:uid="{00000000-0005-0000-0000-000034570000}"/>
    <cellStyle name="Percent 4 2 44 4" xfId="22156" xr:uid="{00000000-0005-0000-0000-000035570000}"/>
    <cellStyle name="Percent 4 2 44 5" xfId="22157" xr:uid="{00000000-0005-0000-0000-000036570000}"/>
    <cellStyle name="Percent 4 2 44 6" xfId="22158" xr:uid="{00000000-0005-0000-0000-000037570000}"/>
    <cellStyle name="Percent 4 2 44 7" xfId="22159" xr:uid="{00000000-0005-0000-0000-000038570000}"/>
    <cellStyle name="Percent 4 2 44 8" xfId="22160" xr:uid="{00000000-0005-0000-0000-000039570000}"/>
    <cellStyle name="Percent 4 2 44 9" xfId="22161" xr:uid="{00000000-0005-0000-0000-00003A570000}"/>
    <cellStyle name="Percent 4 2 45" xfId="22162" xr:uid="{00000000-0005-0000-0000-00003B570000}"/>
    <cellStyle name="Percent 4 2 45 10" xfId="22163" xr:uid="{00000000-0005-0000-0000-00003C570000}"/>
    <cellStyle name="Percent 4 2 45 11" xfId="22164" xr:uid="{00000000-0005-0000-0000-00003D570000}"/>
    <cellStyle name="Percent 4 2 45 12" xfId="22165" xr:uid="{00000000-0005-0000-0000-00003E570000}"/>
    <cellStyle name="Percent 4 2 45 13" xfId="22166" xr:uid="{00000000-0005-0000-0000-00003F570000}"/>
    <cellStyle name="Percent 4 2 45 14" xfId="22167" xr:uid="{00000000-0005-0000-0000-000040570000}"/>
    <cellStyle name="Percent 4 2 45 15" xfId="22168" xr:uid="{00000000-0005-0000-0000-000041570000}"/>
    <cellStyle name="Percent 4 2 45 16" xfId="22169" xr:uid="{00000000-0005-0000-0000-000042570000}"/>
    <cellStyle name="Percent 4 2 45 17" xfId="22170" xr:uid="{00000000-0005-0000-0000-000043570000}"/>
    <cellStyle name="Percent 4 2 45 2" xfId="22171" xr:uid="{00000000-0005-0000-0000-000044570000}"/>
    <cellStyle name="Percent 4 2 45 3" xfId="22172" xr:uid="{00000000-0005-0000-0000-000045570000}"/>
    <cellStyle name="Percent 4 2 45 4" xfId="22173" xr:uid="{00000000-0005-0000-0000-000046570000}"/>
    <cellStyle name="Percent 4 2 45 5" xfId="22174" xr:uid="{00000000-0005-0000-0000-000047570000}"/>
    <cellStyle name="Percent 4 2 45 6" xfId="22175" xr:uid="{00000000-0005-0000-0000-000048570000}"/>
    <cellStyle name="Percent 4 2 45 7" xfId="22176" xr:uid="{00000000-0005-0000-0000-000049570000}"/>
    <cellStyle name="Percent 4 2 45 8" xfId="22177" xr:uid="{00000000-0005-0000-0000-00004A570000}"/>
    <cellStyle name="Percent 4 2 45 9" xfId="22178" xr:uid="{00000000-0005-0000-0000-00004B570000}"/>
    <cellStyle name="Percent 4 2 46" xfId="22179" xr:uid="{00000000-0005-0000-0000-00004C570000}"/>
    <cellStyle name="Percent 4 2 46 10" xfId="22180" xr:uid="{00000000-0005-0000-0000-00004D570000}"/>
    <cellStyle name="Percent 4 2 46 11" xfId="22181" xr:uid="{00000000-0005-0000-0000-00004E570000}"/>
    <cellStyle name="Percent 4 2 46 12" xfId="22182" xr:uid="{00000000-0005-0000-0000-00004F570000}"/>
    <cellStyle name="Percent 4 2 46 13" xfId="22183" xr:uid="{00000000-0005-0000-0000-000050570000}"/>
    <cellStyle name="Percent 4 2 46 14" xfId="22184" xr:uid="{00000000-0005-0000-0000-000051570000}"/>
    <cellStyle name="Percent 4 2 46 15" xfId="22185" xr:uid="{00000000-0005-0000-0000-000052570000}"/>
    <cellStyle name="Percent 4 2 46 16" xfId="22186" xr:uid="{00000000-0005-0000-0000-000053570000}"/>
    <cellStyle name="Percent 4 2 46 17" xfId="22187" xr:uid="{00000000-0005-0000-0000-000054570000}"/>
    <cellStyle name="Percent 4 2 46 2" xfId="22188" xr:uid="{00000000-0005-0000-0000-000055570000}"/>
    <cellStyle name="Percent 4 2 46 3" xfId="22189" xr:uid="{00000000-0005-0000-0000-000056570000}"/>
    <cellStyle name="Percent 4 2 46 4" xfId="22190" xr:uid="{00000000-0005-0000-0000-000057570000}"/>
    <cellStyle name="Percent 4 2 46 5" xfId="22191" xr:uid="{00000000-0005-0000-0000-000058570000}"/>
    <cellStyle name="Percent 4 2 46 6" xfId="22192" xr:uid="{00000000-0005-0000-0000-000059570000}"/>
    <cellStyle name="Percent 4 2 46 7" xfId="22193" xr:uid="{00000000-0005-0000-0000-00005A570000}"/>
    <cellStyle name="Percent 4 2 46 8" xfId="22194" xr:uid="{00000000-0005-0000-0000-00005B570000}"/>
    <cellStyle name="Percent 4 2 46 9" xfId="22195" xr:uid="{00000000-0005-0000-0000-00005C570000}"/>
    <cellStyle name="Percent 4 2 47" xfId="22196" xr:uid="{00000000-0005-0000-0000-00005D570000}"/>
    <cellStyle name="Percent 4 2 47 10" xfId="22197" xr:uid="{00000000-0005-0000-0000-00005E570000}"/>
    <cellStyle name="Percent 4 2 47 11" xfId="22198" xr:uid="{00000000-0005-0000-0000-00005F570000}"/>
    <cellStyle name="Percent 4 2 47 12" xfId="22199" xr:uid="{00000000-0005-0000-0000-000060570000}"/>
    <cellStyle name="Percent 4 2 47 13" xfId="22200" xr:uid="{00000000-0005-0000-0000-000061570000}"/>
    <cellStyle name="Percent 4 2 47 14" xfId="22201" xr:uid="{00000000-0005-0000-0000-000062570000}"/>
    <cellStyle name="Percent 4 2 47 15" xfId="22202" xr:uid="{00000000-0005-0000-0000-000063570000}"/>
    <cellStyle name="Percent 4 2 47 16" xfId="22203" xr:uid="{00000000-0005-0000-0000-000064570000}"/>
    <cellStyle name="Percent 4 2 47 17" xfId="22204" xr:uid="{00000000-0005-0000-0000-000065570000}"/>
    <cellStyle name="Percent 4 2 47 2" xfId="22205" xr:uid="{00000000-0005-0000-0000-000066570000}"/>
    <cellStyle name="Percent 4 2 47 3" xfId="22206" xr:uid="{00000000-0005-0000-0000-000067570000}"/>
    <cellStyle name="Percent 4 2 47 4" xfId="22207" xr:uid="{00000000-0005-0000-0000-000068570000}"/>
    <cellStyle name="Percent 4 2 47 5" xfId="22208" xr:uid="{00000000-0005-0000-0000-000069570000}"/>
    <cellStyle name="Percent 4 2 47 6" xfId="22209" xr:uid="{00000000-0005-0000-0000-00006A570000}"/>
    <cellStyle name="Percent 4 2 47 7" xfId="22210" xr:uid="{00000000-0005-0000-0000-00006B570000}"/>
    <cellStyle name="Percent 4 2 47 8" xfId="22211" xr:uid="{00000000-0005-0000-0000-00006C570000}"/>
    <cellStyle name="Percent 4 2 47 9" xfId="22212" xr:uid="{00000000-0005-0000-0000-00006D570000}"/>
    <cellStyle name="Percent 4 2 48" xfId="22213" xr:uid="{00000000-0005-0000-0000-00006E570000}"/>
    <cellStyle name="Percent 4 2 49" xfId="22214" xr:uid="{00000000-0005-0000-0000-00006F570000}"/>
    <cellStyle name="Percent 4 2 5" xfId="22215" xr:uid="{00000000-0005-0000-0000-000070570000}"/>
    <cellStyle name="Percent 4 2 5 10" xfId="22216" xr:uid="{00000000-0005-0000-0000-000071570000}"/>
    <cellStyle name="Percent 4 2 5 11" xfId="22217" xr:uid="{00000000-0005-0000-0000-000072570000}"/>
    <cellStyle name="Percent 4 2 5 12" xfId="22218" xr:uid="{00000000-0005-0000-0000-000073570000}"/>
    <cellStyle name="Percent 4 2 5 13" xfId="22219" xr:uid="{00000000-0005-0000-0000-000074570000}"/>
    <cellStyle name="Percent 4 2 5 14" xfId="22220" xr:uid="{00000000-0005-0000-0000-000075570000}"/>
    <cellStyle name="Percent 4 2 5 15" xfId="22221" xr:uid="{00000000-0005-0000-0000-000076570000}"/>
    <cellStyle name="Percent 4 2 5 16" xfId="22222" xr:uid="{00000000-0005-0000-0000-000077570000}"/>
    <cellStyle name="Percent 4 2 5 17" xfId="22223" xr:uid="{00000000-0005-0000-0000-000078570000}"/>
    <cellStyle name="Percent 4 2 5 2" xfId="22224" xr:uid="{00000000-0005-0000-0000-000079570000}"/>
    <cellStyle name="Percent 4 2 5 3" xfId="22225" xr:uid="{00000000-0005-0000-0000-00007A570000}"/>
    <cellStyle name="Percent 4 2 5 4" xfId="22226" xr:uid="{00000000-0005-0000-0000-00007B570000}"/>
    <cellStyle name="Percent 4 2 5 5" xfId="22227" xr:uid="{00000000-0005-0000-0000-00007C570000}"/>
    <cellStyle name="Percent 4 2 5 6" xfId="22228" xr:uid="{00000000-0005-0000-0000-00007D570000}"/>
    <cellStyle name="Percent 4 2 5 7" xfId="22229" xr:uid="{00000000-0005-0000-0000-00007E570000}"/>
    <cellStyle name="Percent 4 2 5 8" xfId="22230" xr:uid="{00000000-0005-0000-0000-00007F570000}"/>
    <cellStyle name="Percent 4 2 5 9" xfId="22231" xr:uid="{00000000-0005-0000-0000-000080570000}"/>
    <cellStyle name="Percent 4 2 50" xfId="22232" xr:uid="{00000000-0005-0000-0000-000081570000}"/>
    <cellStyle name="Percent 4 2 51" xfId="22233" xr:uid="{00000000-0005-0000-0000-000082570000}"/>
    <cellStyle name="Percent 4 2 52" xfId="22234" xr:uid="{00000000-0005-0000-0000-000083570000}"/>
    <cellStyle name="Percent 4 2 53" xfId="22235" xr:uid="{00000000-0005-0000-0000-000084570000}"/>
    <cellStyle name="Percent 4 2 54" xfId="22236" xr:uid="{00000000-0005-0000-0000-000085570000}"/>
    <cellStyle name="Percent 4 2 55" xfId="22237" xr:uid="{00000000-0005-0000-0000-000086570000}"/>
    <cellStyle name="Percent 4 2 56" xfId="22238" xr:uid="{00000000-0005-0000-0000-000087570000}"/>
    <cellStyle name="Percent 4 2 57" xfId="22239" xr:uid="{00000000-0005-0000-0000-000088570000}"/>
    <cellStyle name="Percent 4 2 58" xfId="22240" xr:uid="{00000000-0005-0000-0000-000089570000}"/>
    <cellStyle name="Percent 4 2 59" xfId="22241" xr:uid="{00000000-0005-0000-0000-00008A570000}"/>
    <cellStyle name="Percent 4 2 6" xfId="22242" xr:uid="{00000000-0005-0000-0000-00008B570000}"/>
    <cellStyle name="Percent 4 2 6 10" xfId="22243" xr:uid="{00000000-0005-0000-0000-00008C570000}"/>
    <cellStyle name="Percent 4 2 6 11" xfId="22244" xr:uid="{00000000-0005-0000-0000-00008D570000}"/>
    <cellStyle name="Percent 4 2 6 12" xfId="22245" xr:uid="{00000000-0005-0000-0000-00008E570000}"/>
    <cellStyle name="Percent 4 2 6 13" xfId="22246" xr:uid="{00000000-0005-0000-0000-00008F570000}"/>
    <cellStyle name="Percent 4 2 6 14" xfId="22247" xr:uid="{00000000-0005-0000-0000-000090570000}"/>
    <cellStyle name="Percent 4 2 6 15" xfId="22248" xr:uid="{00000000-0005-0000-0000-000091570000}"/>
    <cellStyle name="Percent 4 2 6 16" xfId="22249" xr:uid="{00000000-0005-0000-0000-000092570000}"/>
    <cellStyle name="Percent 4 2 6 17" xfId="22250" xr:uid="{00000000-0005-0000-0000-000093570000}"/>
    <cellStyle name="Percent 4 2 6 2" xfId="22251" xr:uid="{00000000-0005-0000-0000-000094570000}"/>
    <cellStyle name="Percent 4 2 6 3" xfId="22252" xr:uid="{00000000-0005-0000-0000-000095570000}"/>
    <cellStyle name="Percent 4 2 6 4" xfId="22253" xr:uid="{00000000-0005-0000-0000-000096570000}"/>
    <cellStyle name="Percent 4 2 6 5" xfId="22254" xr:uid="{00000000-0005-0000-0000-000097570000}"/>
    <cellStyle name="Percent 4 2 6 6" xfId="22255" xr:uid="{00000000-0005-0000-0000-000098570000}"/>
    <cellStyle name="Percent 4 2 6 7" xfId="22256" xr:uid="{00000000-0005-0000-0000-000099570000}"/>
    <cellStyle name="Percent 4 2 6 8" xfId="22257" xr:uid="{00000000-0005-0000-0000-00009A570000}"/>
    <cellStyle name="Percent 4 2 6 9" xfId="22258" xr:uid="{00000000-0005-0000-0000-00009B570000}"/>
    <cellStyle name="Percent 4 2 60" xfId="22259" xr:uid="{00000000-0005-0000-0000-00009C570000}"/>
    <cellStyle name="Percent 4 2 7" xfId="22260" xr:uid="{00000000-0005-0000-0000-00009D570000}"/>
    <cellStyle name="Percent 4 2 7 10" xfId="22261" xr:uid="{00000000-0005-0000-0000-00009E570000}"/>
    <cellStyle name="Percent 4 2 7 11" xfId="22262" xr:uid="{00000000-0005-0000-0000-00009F570000}"/>
    <cellStyle name="Percent 4 2 7 12" xfId="22263" xr:uid="{00000000-0005-0000-0000-0000A0570000}"/>
    <cellStyle name="Percent 4 2 7 13" xfId="22264" xr:uid="{00000000-0005-0000-0000-0000A1570000}"/>
    <cellStyle name="Percent 4 2 7 14" xfId="22265" xr:uid="{00000000-0005-0000-0000-0000A2570000}"/>
    <cellStyle name="Percent 4 2 7 15" xfId="22266" xr:uid="{00000000-0005-0000-0000-0000A3570000}"/>
    <cellStyle name="Percent 4 2 7 16" xfId="22267" xr:uid="{00000000-0005-0000-0000-0000A4570000}"/>
    <cellStyle name="Percent 4 2 7 17" xfId="22268" xr:uid="{00000000-0005-0000-0000-0000A5570000}"/>
    <cellStyle name="Percent 4 2 7 2" xfId="22269" xr:uid="{00000000-0005-0000-0000-0000A6570000}"/>
    <cellStyle name="Percent 4 2 7 3" xfId="22270" xr:uid="{00000000-0005-0000-0000-0000A7570000}"/>
    <cellStyle name="Percent 4 2 7 4" xfId="22271" xr:uid="{00000000-0005-0000-0000-0000A8570000}"/>
    <cellStyle name="Percent 4 2 7 5" xfId="22272" xr:uid="{00000000-0005-0000-0000-0000A9570000}"/>
    <cellStyle name="Percent 4 2 7 6" xfId="22273" xr:uid="{00000000-0005-0000-0000-0000AA570000}"/>
    <cellStyle name="Percent 4 2 7 7" xfId="22274" xr:uid="{00000000-0005-0000-0000-0000AB570000}"/>
    <cellStyle name="Percent 4 2 7 8" xfId="22275" xr:uid="{00000000-0005-0000-0000-0000AC570000}"/>
    <cellStyle name="Percent 4 2 7 9" xfId="22276" xr:uid="{00000000-0005-0000-0000-0000AD570000}"/>
    <cellStyle name="Percent 4 2 8" xfId="22277" xr:uid="{00000000-0005-0000-0000-0000AE570000}"/>
    <cellStyle name="Percent 4 2 8 10" xfId="22278" xr:uid="{00000000-0005-0000-0000-0000AF570000}"/>
    <cellStyle name="Percent 4 2 8 11" xfId="22279" xr:uid="{00000000-0005-0000-0000-0000B0570000}"/>
    <cellStyle name="Percent 4 2 8 12" xfId="22280" xr:uid="{00000000-0005-0000-0000-0000B1570000}"/>
    <cellStyle name="Percent 4 2 8 13" xfId="22281" xr:uid="{00000000-0005-0000-0000-0000B2570000}"/>
    <cellStyle name="Percent 4 2 8 14" xfId="22282" xr:uid="{00000000-0005-0000-0000-0000B3570000}"/>
    <cellStyle name="Percent 4 2 8 15" xfId="22283" xr:uid="{00000000-0005-0000-0000-0000B4570000}"/>
    <cellStyle name="Percent 4 2 8 16" xfId="22284" xr:uid="{00000000-0005-0000-0000-0000B5570000}"/>
    <cellStyle name="Percent 4 2 8 17" xfId="22285" xr:uid="{00000000-0005-0000-0000-0000B6570000}"/>
    <cellStyle name="Percent 4 2 8 2" xfId="22286" xr:uid="{00000000-0005-0000-0000-0000B7570000}"/>
    <cellStyle name="Percent 4 2 8 3" xfId="22287" xr:uid="{00000000-0005-0000-0000-0000B8570000}"/>
    <cellStyle name="Percent 4 2 8 4" xfId="22288" xr:uid="{00000000-0005-0000-0000-0000B9570000}"/>
    <cellStyle name="Percent 4 2 8 5" xfId="22289" xr:uid="{00000000-0005-0000-0000-0000BA570000}"/>
    <cellStyle name="Percent 4 2 8 6" xfId="22290" xr:uid="{00000000-0005-0000-0000-0000BB570000}"/>
    <cellStyle name="Percent 4 2 8 7" xfId="22291" xr:uid="{00000000-0005-0000-0000-0000BC570000}"/>
    <cellStyle name="Percent 4 2 8 8" xfId="22292" xr:uid="{00000000-0005-0000-0000-0000BD570000}"/>
    <cellStyle name="Percent 4 2 8 9" xfId="22293" xr:uid="{00000000-0005-0000-0000-0000BE570000}"/>
    <cellStyle name="Percent 4 2 9" xfId="22294" xr:uid="{00000000-0005-0000-0000-0000BF570000}"/>
    <cellStyle name="Percent 4 2 9 10" xfId="22295" xr:uid="{00000000-0005-0000-0000-0000C0570000}"/>
    <cellStyle name="Percent 4 2 9 11" xfId="22296" xr:uid="{00000000-0005-0000-0000-0000C1570000}"/>
    <cellStyle name="Percent 4 2 9 12" xfId="22297" xr:uid="{00000000-0005-0000-0000-0000C2570000}"/>
    <cellStyle name="Percent 4 2 9 13" xfId="22298" xr:uid="{00000000-0005-0000-0000-0000C3570000}"/>
    <cellStyle name="Percent 4 2 9 14" xfId="22299" xr:uid="{00000000-0005-0000-0000-0000C4570000}"/>
    <cellStyle name="Percent 4 2 9 15" xfId="22300" xr:uid="{00000000-0005-0000-0000-0000C5570000}"/>
    <cellStyle name="Percent 4 2 9 16" xfId="22301" xr:uid="{00000000-0005-0000-0000-0000C6570000}"/>
    <cellStyle name="Percent 4 2 9 17" xfId="22302" xr:uid="{00000000-0005-0000-0000-0000C7570000}"/>
    <cellStyle name="Percent 4 2 9 2" xfId="22303" xr:uid="{00000000-0005-0000-0000-0000C8570000}"/>
    <cellStyle name="Percent 4 2 9 3" xfId="22304" xr:uid="{00000000-0005-0000-0000-0000C9570000}"/>
    <cellStyle name="Percent 4 2 9 4" xfId="22305" xr:uid="{00000000-0005-0000-0000-0000CA570000}"/>
    <cellStyle name="Percent 4 2 9 5" xfId="22306" xr:uid="{00000000-0005-0000-0000-0000CB570000}"/>
    <cellStyle name="Percent 4 2 9 6" xfId="22307" xr:uid="{00000000-0005-0000-0000-0000CC570000}"/>
    <cellStyle name="Percent 4 2 9 7" xfId="22308" xr:uid="{00000000-0005-0000-0000-0000CD570000}"/>
    <cellStyle name="Percent 4 2 9 8" xfId="22309" xr:uid="{00000000-0005-0000-0000-0000CE570000}"/>
    <cellStyle name="Percent 4 2 9 9" xfId="22310" xr:uid="{00000000-0005-0000-0000-0000CF570000}"/>
    <cellStyle name="Percent 4 20" xfId="22311" xr:uid="{00000000-0005-0000-0000-0000D0570000}"/>
    <cellStyle name="Percent 4 20 10" xfId="22312" xr:uid="{00000000-0005-0000-0000-0000D1570000}"/>
    <cellStyle name="Percent 4 20 11" xfId="22313" xr:uid="{00000000-0005-0000-0000-0000D2570000}"/>
    <cellStyle name="Percent 4 20 12" xfId="22314" xr:uid="{00000000-0005-0000-0000-0000D3570000}"/>
    <cellStyle name="Percent 4 20 13" xfId="22315" xr:uid="{00000000-0005-0000-0000-0000D4570000}"/>
    <cellStyle name="Percent 4 20 14" xfId="22316" xr:uid="{00000000-0005-0000-0000-0000D5570000}"/>
    <cellStyle name="Percent 4 20 15" xfId="22317" xr:uid="{00000000-0005-0000-0000-0000D6570000}"/>
    <cellStyle name="Percent 4 20 16" xfId="22318" xr:uid="{00000000-0005-0000-0000-0000D7570000}"/>
    <cellStyle name="Percent 4 20 17" xfId="22319" xr:uid="{00000000-0005-0000-0000-0000D8570000}"/>
    <cellStyle name="Percent 4 20 2" xfId="22320" xr:uid="{00000000-0005-0000-0000-0000D9570000}"/>
    <cellStyle name="Percent 4 20 3" xfId="22321" xr:uid="{00000000-0005-0000-0000-0000DA570000}"/>
    <cellStyle name="Percent 4 20 4" xfId="22322" xr:uid="{00000000-0005-0000-0000-0000DB570000}"/>
    <cellStyle name="Percent 4 20 5" xfId="22323" xr:uid="{00000000-0005-0000-0000-0000DC570000}"/>
    <cellStyle name="Percent 4 20 6" xfId="22324" xr:uid="{00000000-0005-0000-0000-0000DD570000}"/>
    <cellStyle name="Percent 4 20 7" xfId="22325" xr:uid="{00000000-0005-0000-0000-0000DE570000}"/>
    <cellStyle name="Percent 4 20 8" xfId="22326" xr:uid="{00000000-0005-0000-0000-0000DF570000}"/>
    <cellStyle name="Percent 4 20 9" xfId="22327" xr:uid="{00000000-0005-0000-0000-0000E0570000}"/>
    <cellStyle name="Percent 4 21" xfId="22328" xr:uid="{00000000-0005-0000-0000-0000E1570000}"/>
    <cellStyle name="Percent 4 21 10" xfId="22329" xr:uid="{00000000-0005-0000-0000-0000E2570000}"/>
    <cellStyle name="Percent 4 21 11" xfId="22330" xr:uid="{00000000-0005-0000-0000-0000E3570000}"/>
    <cellStyle name="Percent 4 21 12" xfId="22331" xr:uid="{00000000-0005-0000-0000-0000E4570000}"/>
    <cellStyle name="Percent 4 21 13" xfId="22332" xr:uid="{00000000-0005-0000-0000-0000E5570000}"/>
    <cellStyle name="Percent 4 21 14" xfId="22333" xr:uid="{00000000-0005-0000-0000-0000E6570000}"/>
    <cellStyle name="Percent 4 21 15" xfId="22334" xr:uid="{00000000-0005-0000-0000-0000E7570000}"/>
    <cellStyle name="Percent 4 21 16" xfId="22335" xr:uid="{00000000-0005-0000-0000-0000E8570000}"/>
    <cellStyle name="Percent 4 21 17" xfId="22336" xr:uid="{00000000-0005-0000-0000-0000E9570000}"/>
    <cellStyle name="Percent 4 21 2" xfId="22337" xr:uid="{00000000-0005-0000-0000-0000EA570000}"/>
    <cellStyle name="Percent 4 21 3" xfId="22338" xr:uid="{00000000-0005-0000-0000-0000EB570000}"/>
    <cellStyle name="Percent 4 21 4" xfId="22339" xr:uid="{00000000-0005-0000-0000-0000EC570000}"/>
    <cellStyle name="Percent 4 21 5" xfId="22340" xr:uid="{00000000-0005-0000-0000-0000ED570000}"/>
    <cellStyle name="Percent 4 21 6" xfId="22341" xr:uid="{00000000-0005-0000-0000-0000EE570000}"/>
    <cellStyle name="Percent 4 21 7" xfId="22342" xr:uid="{00000000-0005-0000-0000-0000EF570000}"/>
    <cellStyle name="Percent 4 21 8" xfId="22343" xr:uid="{00000000-0005-0000-0000-0000F0570000}"/>
    <cellStyle name="Percent 4 21 9" xfId="22344" xr:uid="{00000000-0005-0000-0000-0000F1570000}"/>
    <cellStyle name="Percent 4 22" xfId="22345" xr:uid="{00000000-0005-0000-0000-0000F2570000}"/>
    <cellStyle name="Percent 4 22 10" xfId="22346" xr:uid="{00000000-0005-0000-0000-0000F3570000}"/>
    <cellStyle name="Percent 4 22 11" xfId="22347" xr:uid="{00000000-0005-0000-0000-0000F4570000}"/>
    <cellStyle name="Percent 4 22 12" xfId="22348" xr:uid="{00000000-0005-0000-0000-0000F5570000}"/>
    <cellStyle name="Percent 4 22 13" xfId="22349" xr:uid="{00000000-0005-0000-0000-0000F6570000}"/>
    <cellStyle name="Percent 4 22 14" xfId="22350" xr:uid="{00000000-0005-0000-0000-0000F7570000}"/>
    <cellStyle name="Percent 4 22 15" xfId="22351" xr:uid="{00000000-0005-0000-0000-0000F8570000}"/>
    <cellStyle name="Percent 4 22 16" xfId="22352" xr:uid="{00000000-0005-0000-0000-0000F9570000}"/>
    <cellStyle name="Percent 4 22 17" xfId="22353" xr:uid="{00000000-0005-0000-0000-0000FA570000}"/>
    <cellStyle name="Percent 4 22 2" xfId="22354" xr:uid="{00000000-0005-0000-0000-0000FB570000}"/>
    <cellStyle name="Percent 4 22 3" xfId="22355" xr:uid="{00000000-0005-0000-0000-0000FC570000}"/>
    <cellStyle name="Percent 4 22 4" xfId="22356" xr:uid="{00000000-0005-0000-0000-0000FD570000}"/>
    <cellStyle name="Percent 4 22 5" xfId="22357" xr:uid="{00000000-0005-0000-0000-0000FE570000}"/>
    <cellStyle name="Percent 4 22 6" xfId="22358" xr:uid="{00000000-0005-0000-0000-0000FF570000}"/>
    <cellStyle name="Percent 4 22 7" xfId="22359" xr:uid="{00000000-0005-0000-0000-000000580000}"/>
    <cellStyle name="Percent 4 22 8" xfId="22360" xr:uid="{00000000-0005-0000-0000-000001580000}"/>
    <cellStyle name="Percent 4 22 9" xfId="22361" xr:uid="{00000000-0005-0000-0000-000002580000}"/>
    <cellStyle name="Percent 4 23" xfId="22362" xr:uid="{00000000-0005-0000-0000-000003580000}"/>
    <cellStyle name="Percent 4 23 10" xfId="22363" xr:uid="{00000000-0005-0000-0000-000004580000}"/>
    <cellStyle name="Percent 4 23 11" xfId="22364" xr:uid="{00000000-0005-0000-0000-000005580000}"/>
    <cellStyle name="Percent 4 23 12" xfId="22365" xr:uid="{00000000-0005-0000-0000-000006580000}"/>
    <cellStyle name="Percent 4 23 13" xfId="22366" xr:uid="{00000000-0005-0000-0000-000007580000}"/>
    <cellStyle name="Percent 4 23 14" xfId="22367" xr:uid="{00000000-0005-0000-0000-000008580000}"/>
    <cellStyle name="Percent 4 23 15" xfId="22368" xr:uid="{00000000-0005-0000-0000-000009580000}"/>
    <cellStyle name="Percent 4 23 16" xfId="22369" xr:uid="{00000000-0005-0000-0000-00000A580000}"/>
    <cellStyle name="Percent 4 23 17" xfId="22370" xr:uid="{00000000-0005-0000-0000-00000B580000}"/>
    <cellStyle name="Percent 4 23 2" xfId="22371" xr:uid="{00000000-0005-0000-0000-00000C580000}"/>
    <cellStyle name="Percent 4 23 3" xfId="22372" xr:uid="{00000000-0005-0000-0000-00000D580000}"/>
    <cellStyle name="Percent 4 23 4" xfId="22373" xr:uid="{00000000-0005-0000-0000-00000E580000}"/>
    <cellStyle name="Percent 4 23 5" xfId="22374" xr:uid="{00000000-0005-0000-0000-00000F580000}"/>
    <cellStyle name="Percent 4 23 6" xfId="22375" xr:uid="{00000000-0005-0000-0000-000010580000}"/>
    <cellStyle name="Percent 4 23 7" xfId="22376" xr:uid="{00000000-0005-0000-0000-000011580000}"/>
    <cellStyle name="Percent 4 23 8" xfId="22377" xr:uid="{00000000-0005-0000-0000-000012580000}"/>
    <cellStyle name="Percent 4 23 9" xfId="22378" xr:uid="{00000000-0005-0000-0000-000013580000}"/>
    <cellStyle name="Percent 4 24" xfId="22379" xr:uid="{00000000-0005-0000-0000-000014580000}"/>
    <cellStyle name="Percent 4 24 10" xfId="22380" xr:uid="{00000000-0005-0000-0000-000015580000}"/>
    <cellStyle name="Percent 4 24 11" xfId="22381" xr:uid="{00000000-0005-0000-0000-000016580000}"/>
    <cellStyle name="Percent 4 24 12" xfId="22382" xr:uid="{00000000-0005-0000-0000-000017580000}"/>
    <cellStyle name="Percent 4 24 13" xfId="22383" xr:uid="{00000000-0005-0000-0000-000018580000}"/>
    <cellStyle name="Percent 4 24 14" xfId="22384" xr:uid="{00000000-0005-0000-0000-000019580000}"/>
    <cellStyle name="Percent 4 24 15" xfId="22385" xr:uid="{00000000-0005-0000-0000-00001A580000}"/>
    <cellStyle name="Percent 4 24 16" xfId="22386" xr:uid="{00000000-0005-0000-0000-00001B580000}"/>
    <cellStyle name="Percent 4 24 17" xfId="22387" xr:uid="{00000000-0005-0000-0000-00001C580000}"/>
    <cellStyle name="Percent 4 24 2" xfId="22388" xr:uid="{00000000-0005-0000-0000-00001D580000}"/>
    <cellStyle name="Percent 4 24 3" xfId="22389" xr:uid="{00000000-0005-0000-0000-00001E580000}"/>
    <cellStyle name="Percent 4 24 4" xfId="22390" xr:uid="{00000000-0005-0000-0000-00001F580000}"/>
    <cellStyle name="Percent 4 24 5" xfId="22391" xr:uid="{00000000-0005-0000-0000-000020580000}"/>
    <cellStyle name="Percent 4 24 6" xfId="22392" xr:uid="{00000000-0005-0000-0000-000021580000}"/>
    <cellStyle name="Percent 4 24 7" xfId="22393" xr:uid="{00000000-0005-0000-0000-000022580000}"/>
    <cellStyle name="Percent 4 24 8" xfId="22394" xr:uid="{00000000-0005-0000-0000-000023580000}"/>
    <cellStyle name="Percent 4 24 9" xfId="22395" xr:uid="{00000000-0005-0000-0000-000024580000}"/>
    <cellStyle name="Percent 4 25" xfId="22396" xr:uid="{00000000-0005-0000-0000-000025580000}"/>
    <cellStyle name="Percent 4 25 10" xfId="22397" xr:uid="{00000000-0005-0000-0000-000026580000}"/>
    <cellStyle name="Percent 4 25 11" xfId="22398" xr:uid="{00000000-0005-0000-0000-000027580000}"/>
    <cellStyle name="Percent 4 25 12" xfId="22399" xr:uid="{00000000-0005-0000-0000-000028580000}"/>
    <cellStyle name="Percent 4 25 13" xfId="22400" xr:uid="{00000000-0005-0000-0000-000029580000}"/>
    <cellStyle name="Percent 4 25 14" xfId="22401" xr:uid="{00000000-0005-0000-0000-00002A580000}"/>
    <cellStyle name="Percent 4 25 15" xfId="22402" xr:uid="{00000000-0005-0000-0000-00002B580000}"/>
    <cellStyle name="Percent 4 25 16" xfId="22403" xr:uid="{00000000-0005-0000-0000-00002C580000}"/>
    <cellStyle name="Percent 4 25 17" xfId="22404" xr:uid="{00000000-0005-0000-0000-00002D580000}"/>
    <cellStyle name="Percent 4 25 2" xfId="22405" xr:uid="{00000000-0005-0000-0000-00002E580000}"/>
    <cellStyle name="Percent 4 25 3" xfId="22406" xr:uid="{00000000-0005-0000-0000-00002F580000}"/>
    <cellStyle name="Percent 4 25 4" xfId="22407" xr:uid="{00000000-0005-0000-0000-000030580000}"/>
    <cellStyle name="Percent 4 25 5" xfId="22408" xr:uid="{00000000-0005-0000-0000-000031580000}"/>
    <cellStyle name="Percent 4 25 6" xfId="22409" xr:uid="{00000000-0005-0000-0000-000032580000}"/>
    <cellStyle name="Percent 4 25 7" xfId="22410" xr:uid="{00000000-0005-0000-0000-000033580000}"/>
    <cellStyle name="Percent 4 25 8" xfId="22411" xr:uid="{00000000-0005-0000-0000-000034580000}"/>
    <cellStyle name="Percent 4 25 9" xfId="22412" xr:uid="{00000000-0005-0000-0000-000035580000}"/>
    <cellStyle name="Percent 4 26" xfId="22413" xr:uid="{00000000-0005-0000-0000-000036580000}"/>
    <cellStyle name="Percent 4 26 10" xfId="22414" xr:uid="{00000000-0005-0000-0000-000037580000}"/>
    <cellStyle name="Percent 4 26 11" xfId="22415" xr:uid="{00000000-0005-0000-0000-000038580000}"/>
    <cellStyle name="Percent 4 26 12" xfId="22416" xr:uid="{00000000-0005-0000-0000-000039580000}"/>
    <cellStyle name="Percent 4 26 13" xfId="22417" xr:uid="{00000000-0005-0000-0000-00003A580000}"/>
    <cellStyle name="Percent 4 26 14" xfId="22418" xr:uid="{00000000-0005-0000-0000-00003B580000}"/>
    <cellStyle name="Percent 4 26 15" xfId="22419" xr:uid="{00000000-0005-0000-0000-00003C580000}"/>
    <cellStyle name="Percent 4 26 16" xfId="22420" xr:uid="{00000000-0005-0000-0000-00003D580000}"/>
    <cellStyle name="Percent 4 26 17" xfId="22421" xr:uid="{00000000-0005-0000-0000-00003E580000}"/>
    <cellStyle name="Percent 4 26 2" xfId="22422" xr:uid="{00000000-0005-0000-0000-00003F580000}"/>
    <cellStyle name="Percent 4 26 3" xfId="22423" xr:uid="{00000000-0005-0000-0000-000040580000}"/>
    <cellStyle name="Percent 4 26 4" xfId="22424" xr:uid="{00000000-0005-0000-0000-000041580000}"/>
    <cellStyle name="Percent 4 26 5" xfId="22425" xr:uid="{00000000-0005-0000-0000-000042580000}"/>
    <cellStyle name="Percent 4 26 6" xfId="22426" xr:uid="{00000000-0005-0000-0000-000043580000}"/>
    <cellStyle name="Percent 4 26 7" xfId="22427" xr:uid="{00000000-0005-0000-0000-000044580000}"/>
    <cellStyle name="Percent 4 26 8" xfId="22428" xr:uid="{00000000-0005-0000-0000-000045580000}"/>
    <cellStyle name="Percent 4 26 9" xfId="22429" xr:uid="{00000000-0005-0000-0000-000046580000}"/>
    <cellStyle name="Percent 4 27" xfId="22430" xr:uid="{00000000-0005-0000-0000-000047580000}"/>
    <cellStyle name="Percent 4 27 10" xfId="22431" xr:uid="{00000000-0005-0000-0000-000048580000}"/>
    <cellStyle name="Percent 4 27 11" xfId="22432" xr:uid="{00000000-0005-0000-0000-000049580000}"/>
    <cellStyle name="Percent 4 27 12" xfId="22433" xr:uid="{00000000-0005-0000-0000-00004A580000}"/>
    <cellStyle name="Percent 4 27 13" xfId="22434" xr:uid="{00000000-0005-0000-0000-00004B580000}"/>
    <cellStyle name="Percent 4 27 14" xfId="22435" xr:uid="{00000000-0005-0000-0000-00004C580000}"/>
    <cellStyle name="Percent 4 27 15" xfId="22436" xr:uid="{00000000-0005-0000-0000-00004D580000}"/>
    <cellStyle name="Percent 4 27 16" xfId="22437" xr:uid="{00000000-0005-0000-0000-00004E580000}"/>
    <cellStyle name="Percent 4 27 17" xfId="22438" xr:uid="{00000000-0005-0000-0000-00004F580000}"/>
    <cellStyle name="Percent 4 27 2" xfId="22439" xr:uid="{00000000-0005-0000-0000-000050580000}"/>
    <cellStyle name="Percent 4 27 3" xfId="22440" xr:uid="{00000000-0005-0000-0000-000051580000}"/>
    <cellStyle name="Percent 4 27 4" xfId="22441" xr:uid="{00000000-0005-0000-0000-000052580000}"/>
    <cellStyle name="Percent 4 27 5" xfId="22442" xr:uid="{00000000-0005-0000-0000-000053580000}"/>
    <cellStyle name="Percent 4 27 6" xfId="22443" xr:uid="{00000000-0005-0000-0000-000054580000}"/>
    <cellStyle name="Percent 4 27 7" xfId="22444" xr:uid="{00000000-0005-0000-0000-000055580000}"/>
    <cellStyle name="Percent 4 27 8" xfId="22445" xr:uid="{00000000-0005-0000-0000-000056580000}"/>
    <cellStyle name="Percent 4 27 9" xfId="22446" xr:uid="{00000000-0005-0000-0000-000057580000}"/>
    <cellStyle name="Percent 4 28" xfId="22447" xr:uid="{00000000-0005-0000-0000-000058580000}"/>
    <cellStyle name="Percent 4 28 10" xfId="22448" xr:uid="{00000000-0005-0000-0000-000059580000}"/>
    <cellStyle name="Percent 4 28 11" xfId="22449" xr:uid="{00000000-0005-0000-0000-00005A580000}"/>
    <cellStyle name="Percent 4 28 12" xfId="22450" xr:uid="{00000000-0005-0000-0000-00005B580000}"/>
    <cellStyle name="Percent 4 28 13" xfId="22451" xr:uid="{00000000-0005-0000-0000-00005C580000}"/>
    <cellStyle name="Percent 4 28 14" xfId="22452" xr:uid="{00000000-0005-0000-0000-00005D580000}"/>
    <cellStyle name="Percent 4 28 15" xfId="22453" xr:uid="{00000000-0005-0000-0000-00005E580000}"/>
    <cellStyle name="Percent 4 28 16" xfId="22454" xr:uid="{00000000-0005-0000-0000-00005F580000}"/>
    <cellStyle name="Percent 4 28 17" xfId="22455" xr:uid="{00000000-0005-0000-0000-000060580000}"/>
    <cellStyle name="Percent 4 28 2" xfId="22456" xr:uid="{00000000-0005-0000-0000-000061580000}"/>
    <cellStyle name="Percent 4 28 3" xfId="22457" xr:uid="{00000000-0005-0000-0000-000062580000}"/>
    <cellStyle name="Percent 4 28 4" xfId="22458" xr:uid="{00000000-0005-0000-0000-000063580000}"/>
    <cellStyle name="Percent 4 28 5" xfId="22459" xr:uid="{00000000-0005-0000-0000-000064580000}"/>
    <cellStyle name="Percent 4 28 6" xfId="22460" xr:uid="{00000000-0005-0000-0000-000065580000}"/>
    <cellStyle name="Percent 4 28 7" xfId="22461" xr:uid="{00000000-0005-0000-0000-000066580000}"/>
    <cellStyle name="Percent 4 28 8" xfId="22462" xr:uid="{00000000-0005-0000-0000-000067580000}"/>
    <cellStyle name="Percent 4 28 9" xfId="22463" xr:uid="{00000000-0005-0000-0000-000068580000}"/>
    <cellStyle name="Percent 4 29" xfId="22464" xr:uid="{00000000-0005-0000-0000-000069580000}"/>
    <cellStyle name="Percent 4 29 10" xfId="22465" xr:uid="{00000000-0005-0000-0000-00006A580000}"/>
    <cellStyle name="Percent 4 29 11" xfId="22466" xr:uid="{00000000-0005-0000-0000-00006B580000}"/>
    <cellStyle name="Percent 4 29 12" xfId="22467" xr:uid="{00000000-0005-0000-0000-00006C580000}"/>
    <cellStyle name="Percent 4 29 13" xfId="22468" xr:uid="{00000000-0005-0000-0000-00006D580000}"/>
    <cellStyle name="Percent 4 29 14" xfId="22469" xr:uid="{00000000-0005-0000-0000-00006E580000}"/>
    <cellStyle name="Percent 4 29 15" xfId="22470" xr:uid="{00000000-0005-0000-0000-00006F580000}"/>
    <cellStyle name="Percent 4 29 16" xfId="22471" xr:uid="{00000000-0005-0000-0000-000070580000}"/>
    <cellStyle name="Percent 4 29 17" xfId="22472" xr:uid="{00000000-0005-0000-0000-000071580000}"/>
    <cellStyle name="Percent 4 29 2" xfId="22473" xr:uid="{00000000-0005-0000-0000-000072580000}"/>
    <cellStyle name="Percent 4 29 3" xfId="22474" xr:uid="{00000000-0005-0000-0000-000073580000}"/>
    <cellStyle name="Percent 4 29 4" xfId="22475" xr:uid="{00000000-0005-0000-0000-000074580000}"/>
    <cellStyle name="Percent 4 29 5" xfId="22476" xr:uid="{00000000-0005-0000-0000-000075580000}"/>
    <cellStyle name="Percent 4 29 6" xfId="22477" xr:uid="{00000000-0005-0000-0000-000076580000}"/>
    <cellStyle name="Percent 4 29 7" xfId="22478" xr:uid="{00000000-0005-0000-0000-000077580000}"/>
    <cellStyle name="Percent 4 29 8" xfId="22479" xr:uid="{00000000-0005-0000-0000-000078580000}"/>
    <cellStyle name="Percent 4 29 9" xfId="22480" xr:uid="{00000000-0005-0000-0000-000079580000}"/>
    <cellStyle name="Percent 4 3" xfId="22481" xr:uid="{00000000-0005-0000-0000-00007A580000}"/>
    <cellStyle name="Percent 4 3 10" xfId="22482" xr:uid="{00000000-0005-0000-0000-00007B580000}"/>
    <cellStyle name="Percent 4 3 10 2" xfId="48363" xr:uid="{00000000-0005-0000-0000-00007C580000}"/>
    <cellStyle name="Percent 4 3 11" xfId="48364" xr:uid="{00000000-0005-0000-0000-00007D580000}"/>
    <cellStyle name="Percent 4 3 2" xfId="22483" xr:uid="{00000000-0005-0000-0000-00007E580000}"/>
    <cellStyle name="Percent 4 3 2 2" xfId="48365" xr:uid="{00000000-0005-0000-0000-00007F580000}"/>
    <cellStyle name="Percent 4 3 3" xfId="22484" xr:uid="{00000000-0005-0000-0000-000080580000}"/>
    <cellStyle name="Percent 4 3 3 2" xfId="48366" xr:uid="{00000000-0005-0000-0000-000081580000}"/>
    <cellStyle name="Percent 4 3 4" xfId="22485" xr:uid="{00000000-0005-0000-0000-000082580000}"/>
    <cellStyle name="Percent 4 3 4 2" xfId="48367" xr:uid="{00000000-0005-0000-0000-000083580000}"/>
    <cellStyle name="Percent 4 3 5" xfId="22486" xr:uid="{00000000-0005-0000-0000-000084580000}"/>
    <cellStyle name="Percent 4 3 5 2" xfId="48368" xr:uid="{00000000-0005-0000-0000-000085580000}"/>
    <cellStyle name="Percent 4 3 6" xfId="22487" xr:uid="{00000000-0005-0000-0000-000086580000}"/>
    <cellStyle name="Percent 4 3 6 2" xfId="48369" xr:uid="{00000000-0005-0000-0000-000087580000}"/>
    <cellStyle name="Percent 4 3 7" xfId="22488" xr:uid="{00000000-0005-0000-0000-000088580000}"/>
    <cellStyle name="Percent 4 3 7 2" xfId="48370" xr:uid="{00000000-0005-0000-0000-000089580000}"/>
    <cellStyle name="Percent 4 3 8" xfId="22489" xr:uid="{00000000-0005-0000-0000-00008A580000}"/>
    <cellStyle name="Percent 4 3 8 2" xfId="48371" xr:uid="{00000000-0005-0000-0000-00008B580000}"/>
    <cellStyle name="Percent 4 3 9" xfId="22490" xr:uid="{00000000-0005-0000-0000-00008C580000}"/>
    <cellStyle name="Percent 4 3 9 2" xfId="48372" xr:uid="{00000000-0005-0000-0000-00008D580000}"/>
    <cellStyle name="Percent 4 30" xfId="22491" xr:uid="{00000000-0005-0000-0000-00008E580000}"/>
    <cellStyle name="Percent 4 30 10" xfId="22492" xr:uid="{00000000-0005-0000-0000-00008F580000}"/>
    <cellStyle name="Percent 4 30 11" xfId="22493" xr:uid="{00000000-0005-0000-0000-000090580000}"/>
    <cellStyle name="Percent 4 30 12" xfId="22494" xr:uid="{00000000-0005-0000-0000-000091580000}"/>
    <cellStyle name="Percent 4 30 13" xfId="22495" xr:uid="{00000000-0005-0000-0000-000092580000}"/>
    <cellStyle name="Percent 4 30 14" xfId="22496" xr:uid="{00000000-0005-0000-0000-000093580000}"/>
    <cellStyle name="Percent 4 30 15" xfId="22497" xr:uid="{00000000-0005-0000-0000-000094580000}"/>
    <cellStyle name="Percent 4 30 16" xfId="22498" xr:uid="{00000000-0005-0000-0000-000095580000}"/>
    <cellStyle name="Percent 4 30 17" xfId="22499" xr:uid="{00000000-0005-0000-0000-000096580000}"/>
    <cellStyle name="Percent 4 30 2" xfId="22500" xr:uid="{00000000-0005-0000-0000-000097580000}"/>
    <cellStyle name="Percent 4 30 3" xfId="22501" xr:uid="{00000000-0005-0000-0000-000098580000}"/>
    <cellStyle name="Percent 4 30 4" xfId="22502" xr:uid="{00000000-0005-0000-0000-000099580000}"/>
    <cellStyle name="Percent 4 30 5" xfId="22503" xr:uid="{00000000-0005-0000-0000-00009A580000}"/>
    <cellStyle name="Percent 4 30 6" xfId="22504" xr:uid="{00000000-0005-0000-0000-00009B580000}"/>
    <cellStyle name="Percent 4 30 7" xfId="22505" xr:uid="{00000000-0005-0000-0000-00009C580000}"/>
    <cellStyle name="Percent 4 30 8" xfId="22506" xr:uid="{00000000-0005-0000-0000-00009D580000}"/>
    <cellStyle name="Percent 4 30 9" xfId="22507" xr:uid="{00000000-0005-0000-0000-00009E580000}"/>
    <cellStyle name="Percent 4 31" xfId="22508" xr:uid="{00000000-0005-0000-0000-00009F580000}"/>
    <cellStyle name="Percent 4 31 10" xfId="22509" xr:uid="{00000000-0005-0000-0000-0000A0580000}"/>
    <cellStyle name="Percent 4 31 11" xfId="22510" xr:uid="{00000000-0005-0000-0000-0000A1580000}"/>
    <cellStyle name="Percent 4 31 12" xfId="22511" xr:uid="{00000000-0005-0000-0000-0000A2580000}"/>
    <cellStyle name="Percent 4 31 13" xfId="22512" xr:uid="{00000000-0005-0000-0000-0000A3580000}"/>
    <cellStyle name="Percent 4 31 14" xfId="22513" xr:uid="{00000000-0005-0000-0000-0000A4580000}"/>
    <cellStyle name="Percent 4 31 15" xfId="22514" xr:uid="{00000000-0005-0000-0000-0000A5580000}"/>
    <cellStyle name="Percent 4 31 16" xfId="22515" xr:uid="{00000000-0005-0000-0000-0000A6580000}"/>
    <cellStyle name="Percent 4 31 17" xfId="22516" xr:uid="{00000000-0005-0000-0000-0000A7580000}"/>
    <cellStyle name="Percent 4 31 2" xfId="22517" xr:uid="{00000000-0005-0000-0000-0000A8580000}"/>
    <cellStyle name="Percent 4 31 3" xfId="22518" xr:uid="{00000000-0005-0000-0000-0000A9580000}"/>
    <cellStyle name="Percent 4 31 4" xfId="22519" xr:uid="{00000000-0005-0000-0000-0000AA580000}"/>
    <cellStyle name="Percent 4 31 5" xfId="22520" xr:uid="{00000000-0005-0000-0000-0000AB580000}"/>
    <cellStyle name="Percent 4 31 6" xfId="22521" xr:uid="{00000000-0005-0000-0000-0000AC580000}"/>
    <cellStyle name="Percent 4 31 7" xfId="22522" xr:uid="{00000000-0005-0000-0000-0000AD580000}"/>
    <cellStyle name="Percent 4 31 8" xfId="22523" xr:uid="{00000000-0005-0000-0000-0000AE580000}"/>
    <cellStyle name="Percent 4 31 9" xfId="22524" xr:uid="{00000000-0005-0000-0000-0000AF580000}"/>
    <cellStyle name="Percent 4 32" xfId="22525" xr:uid="{00000000-0005-0000-0000-0000B0580000}"/>
    <cellStyle name="Percent 4 32 10" xfId="22526" xr:uid="{00000000-0005-0000-0000-0000B1580000}"/>
    <cellStyle name="Percent 4 32 11" xfId="22527" xr:uid="{00000000-0005-0000-0000-0000B2580000}"/>
    <cellStyle name="Percent 4 32 12" xfId="22528" xr:uid="{00000000-0005-0000-0000-0000B3580000}"/>
    <cellStyle name="Percent 4 32 13" xfId="22529" xr:uid="{00000000-0005-0000-0000-0000B4580000}"/>
    <cellStyle name="Percent 4 32 14" xfId="22530" xr:uid="{00000000-0005-0000-0000-0000B5580000}"/>
    <cellStyle name="Percent 4 32 15" xfId="22531" xr:uid="{00000000-0005-0000-0000-0000B6580000}"/>
    <cellStyle name="Percent 4 32 16" xfId="22532" xr:uid="{00000000-0005-0000-0000-0000B7580000}"/>
    <cellStyle name="Percent 4 32 17" xfId="22533" xr:uid="{00000000-0005-0000-0000-0000B8580000}"/>
    <cellStyle name="Percent 4 32 2" xfId="22534" xr:uid="{00000000-0005-0000-0000-0000B9580000}"/>
    <cellStyle name="Percent 4 32 3" xfId="22535" xr:uid="{00000000-0005-0000-0000-0000BA580000}"/>
    <cellStyle name="Percent 4 32 4" xfId="22536" xr:uid="{00000000-0005-0000-0000-0000BB580000}"/>
    <cellStyle name="Percent 4 32 5" xfId="22537" xr:uid="{00000000-0005-0000-0000-0000BC580000}"/>
    <cellStyle name="Percent 4 32 6" xfId="22538" xr:uid="{00000000-0005-0000-0000-0000BD580000}"/>
    <cellStyle name="Percent 4 32 7" xfId="22539" xr:uid="{00000000-0005-0000-0000-0000BE580000}"/>
    <cellStyle name="Percent 4 32 8" xfId="22540" xr:uid="{00000000-0005-0000-0000-0000BF580000}"/>
    <cellStyle name="Percent 4 32 9" xfId="22541" xr:uid="{00000000-0005-0000-0000-0000C0580000}"/>
    <cellStyle name="Percent 4 33" xfId="22542" xr:uid="{00000000-0005-0000-0000-0000C1580000}"/>
    <cellStyle name="Percent 4 33 10" xfId="22543" xr:uid="{00000000-0005-0000-0000-0000C2580000}"/>
    <cellStyle name="Percent 4 33 11" xfId="22544" xr:uid="{00000000-0005-0000-0000-0000C3580000}"/>
    <cellStyle name="Percent 4 33 12" xfId="22545" xr:uid="{00000000-0005-0000-0000-0000C4580000}"/>
    <cellStyle name="Percent 4 33 13" xfId="22546" xr:uid="{00000000-0005-0000-0000-0000C5580000}"/>
    <cellStyle name="Percent 4 33 14" xfId="22547" xr:uid="{00000000-0005-0000-0000-0000C6580000}"/>
    <cellStyle name="Percent 4 33 15" xfId="22548" xr:uid="{00000000-0005-0000-0000-0000C7580000}"/>
    <cellStyle name="Percent 4 33 16" xfId="22549" xr:uid="{00000000-0005-0000-0000-0000C8580000}"/>
    <cellStyle name="Percent 4 33 17" xfId="22550" xr:uid="{00000000-0005-0000-0000-0000C9580000}"/>
    <cellStyle name="Percent 4 33 2" xfId="22551" xr:uid="{00000000-0005-0000-0000-0000CA580000}"/>
    <cellStyle name="Percent 4 33 3" xfId="22552" xr:uid="{00000000-0005-0000-0000-0000CB580000}"/>
    <cellStyle name="Percent 4 33 4" xfId="22553" xr:uid="{00000000-0005-0000-0000-0000CC580000}"/>
    <cellStyle name="Percent 4 33 5" xfId="22554" xr:uid="{00000000-0005-0000-0000-0000CD580000}"/>
    <cellStyle name="Percent 4 33 6" xfId="22555" xr:uid="{00000000-0005-0000-0000-0000CE580000}"/>
    <cellStyle name="Percent 4 33 7" xfId="22556" xr:uid="{00000000-0005-0000-0000-0000CF580000}"/>
    <cellStyle name="Percent 4 33 8" xfId="22557" xr:uid="{00000000-0005-0000-0000-0000D0580000}"/>
    <cellStyle name="Percent 4 33 9" xfId="22558" xr:uid="{00000000-0005-0000-0000-0000D1580000}"/>
    <cellStyle name="Percent 4 34" xfId="22559" xr:uid="{00000000-0005-0000-0000-0000D2580000}"/>
    <cellStyle name="Percent 4 34 10" xfId="22560" xr:uid="{00000000-0005-0000-0000-0000D3580000}"/>
    <cellStyle name="Percent 4 34 11" xfId="22561" xr:uid="{00000000-0005-0000-0000-0000D4580000}"/>
    <cellStyle name="Percent 4 34 12" xfId="22562" xr:uid="{00000000-0005-0000-0000-0000D5580000}"/>
    <cellStyle name="Percent 4 34 13" xfId="22563" xr:uid="{00000000-0005-0000-0000-0000D6580000}"/>
    <cellStyle name="Percent 4 34 14" xfId="22564" xr:uid="{00000000-0005-0000-0000-0000D7580000}"/>
    <cellStyle name="Percent 4 34 15" xfId="22565" xr:uid="{00000000-0005-0000-0000-0000D8580000}"/>
    <cellStyle name="Percent 4 34 16" xfId="22566" xr:uid="{00000000-0005-0000-0000-0000D9580000}"/>
    <cellStyle name="Percent 4 34 17" xfId="22567" xr:uid="{00000000-0005-0000-0000-0000DA580000}"/>
    <cellStyle name="Percent 4 34 2" xfId="22568" xr:uid="{00000000-0005-0000-0000-0000DB580000}"/>
    <cellStyle name="Percent 4 34 3" xfId="22569" xr:uid="{00000000-0005-0000-0000-0000DC580000}"/>
    <cellStyle name="Percent 4 34 4" xfId="22570" xr:uid="{00000000-0005-0000-0000-0000DD580000}"/>
    <cellStyle name="Percent 4 34 5" xfId="22571" xr:uid="{00000000-0005-0000-0000-0000DE580000}"/>
    <cellStyle name="Percent 4 34 6" xfId="22572" xr:uid="{00000000-0005-0000-0000-0000DF580000}"/>
    <cellStyle name="Percent 4 34 7" xfId="22573" xr:uid="{00000000-0005-0000-0000-0000E0580000}"/>
    <cellStyle name="Percent 4 34 8" xfId="22574" xr:uid="{00000000-0005-0000-0000-0000E1580000}"/>
    <cellStyle name="Percent 4 34 9" xfId="22575" xr:uid="{00000000-0005-0000-0000-0000E2580000}"/>
    <cellStyle name="Percent 4 35" xfId="22576" xr:uid="{00000000-0005-0000-0000-0000E3580000}"/>
    <cellStyle name="Percent 4 35 10" xfId="22577" xr:uid="{00000000-0005-0000-0000-0000E4580000}"/>
    <cellStyle name="Percent 4 35 11" xfId="22578" xr:uid="{00000000-0005-0000-0000-0000E5580000}"/>
    <cellStyle name="Percent 4 35 12" xfId="22579" xr:uid="{00000000-0005-0000-0000-0000E6580000}"/>
    <cellStyle name="Percent 4 35 13" xfId="22580" xr:uid="{00000000-0005-0000-0000-0000E7580000}"/>
    <cellStyle name="Percent 4 35 14" xfId="22581" xr:uid="{00000000-0005-0000-0000-0000E8580000}"/>
    <cellStyle name="Percent 4 35 15" xfId="22582" xr:uid="{00000000-0005-0000-0000-0000E9580000}"/>
    <cellStyle name="Percent 4 35 16" xfId="22583" xr:uid="{00000000-0005-0000-0000-0000EA580000}"/>
    <cellStyle name="Percent 4 35 17" xfId="22584" xr:uid="{00000000-0005-0000-0000-0000EB580000}"/>
    <cellStyle name="Percent 4 35 2" xfId="22585" xr:uid="{00000000-0005-0000-0000-0000EC580000}"/>
    <cellStyle name="Percent 4 35 3" xfId="22586" xr:uid="{00000000-0005-0000-0000-0000ED580000}"/>
    <cellStyle name="Percent 4 35 4" xfId="22587" xr:uid="{00000000-0005-0000-0000-0000EE580000}"/>
    <cellStyle name="Percent 4 35 5" xfId="22588" xr:uid="{00000000-0005-0000-0000-0000EF580000}"/>
    <cellStyle name="Percent 4 35 6" xfId="22589" xr:uid="{00000000-0005-0000-0000-0000F0580000}"/>
    <cellStyle name="Percent 4 35 7" xfId="22590" xr:uid="{00000000-0005-0000-0000-0000F1580000}"/>
    <cellStyle name="Percent 4 35 8" xfId="22591" xr:uid="{00000000-0005-0000-0000-0000F2580000}"/>
    <cellStyle name="Percent 4 35 9" xfId="22592" xr:uid="{00000000-0005-0000-0000-0000F3580000}"/>
    <cellStyle name="Percent 4 36" xfId="22593" xr:uid="{00000000-0005-0000-0000-0000F4580000}"/>
    <cellStyle name="Percent 4 36 10" xfId="22594" xr:uid="{00000000-0005-0000-0000-0000F5580000}"/>
    <cellStyle name="Percent 4 36 11" xfId="22595" xr:uid="{00000000-0005-0000-0000-0000F6580000}"/>
    <cellStyle name="Percent 4 36 12" xfId="22596" xr:uid="{00000000-0005-0000-0000-0000F7580000}"/>
    <cellStyle name="Percent 4 36 13" xfId="22597" xr:uid="{00000000-0005-0000-0000-0000F8580000}"/>
    <cellStyle name="Percent 4 36 14" xfId="22598" xr:uid="{00000000-0005-0000-0000-0000F9580000}"/>
    <cellStyle name="Percent 4 36 15" xfId="22599" xr:uid="{00000000-0005-0000-0000-0000FA580000}"/>
    <cellStyle name="Percent 4 36 16" xfId="22600" xr:uid="{00000000-0005-0000-0000-0000FB580000}"/>
    <cellStyle name="Percent 4 36 17" xfId="22601" xr:uid="{00000000-0005-0000-0000-0000FC580000}"/>
    <cellStyle name="Percent 4 36 2" xfId="22602" xr:uid="{00000000-0005-0000-0000-0000FD580000}"/>
    <cellStyle name="Percent 4 36 3" xfId="22603" xr:uid="{00000000-0005-0000-0000-0000FE580000}"/>
    <cellStyle name="Percent 4 36 4" xfId="22604" xr:uid="{00000000-0005-0000-0000-0000FF580000}"/>
    <cellStyle name="Percent 4 36 5" xfId="22605" xr:uid="{00000000-0005-0000-0000-000000590000}"/>
    <cellStyle name="Percent 4 36 6" xfId="22606" xr:uid="{00000000-0005-0000-0000-000001590000}"/>
    <cellStyle name="Percent 4 36 7" xfId="22607" xr:uid="{00000000-0005-0000-0000-000002590000}"/>
    <cellStyle name="Percent 4 36 8" xfId="22608" xr:uid="{00000000-0005-0000-0000-000003590000}"/>
    <cellStyle name="Percent 4 36 9" xfId="22609" xr:uid="{00000000-0005-0000-0000-000004590000}"/>
    <cellStyle name="Percent 4 37" xfId="22610" xr:uid="{00000000-0005-0000-0000-000005590000}"/>
    <cellStyle name="Percent 4 37 10" xfId="22611" xr:uid="{00000000-0005-0000-0000-000006590000}"/>
    <cellStyle name="Percent 4 37 11" xfId="22612" xr:uid="{00000000-0005-0000-0000-000007590000}"/>
    <cellStyle name="Percent 4 37 12" xfId="22613" xr:uid="{00000000-0005-0000-0000-000008590000}"/>
    <cellStyle name="Percent 4 37 13" xfId="22614" xr:uid="{00000000-0005-0000-0000-000009590000}"/>
    <cellStyle name="Percent 4 37 14" xfId="22615" xr:uid="{00000000-0005-0000-0000-00000A590000}"/>
    <cellStyle name="Percent 4 37 15" xfId="22616" xr:uid="{00000000-0005-0000-0000-00000B590000}"/>
    <cellStyle name="Percent 4 37 16" xfId="22617" xr:uid="{00000000-0005-0000-0000-00000C590000}"/>
    <cellStyle name="Percent 4 37 17" xfId="22618" xr:uid="{00000000-0005-0000-0000-00000D590000}"/>
    <cellStyle name="Percent 4 37 2" xfId="22619" xr:uid="{00000000-0005-0000-0000-00000E590000}"/>
    <cellStyle name="Percent 4 37 3" xfId="22620" xr:uid="{00000000-0005-0000-0000-00000F590000}"/>
    <cellStyle name="Percent 4 37 4" xfId="22621" xr:uid="{00000000-0005-0000-0000-000010590000}"/>
    <cellStyle name="Percent 4 37 5" xfId="22622" xr:uid="{00000000-0005-0000-0000-000011590000}"/>
    <cellStyle name="Percent 4 37 6" xfId="22623" xr:uid="{00000000-0005-0000-0000-000012590000}"/>
    <cellStyle name="Percent 4 37 7" xfId="22624" xr:uid="{00000000-0005-0000-0000-000013590000}"/>
    <cellStyle name="Percent 4 37 8" xfId="22625" xr:uid="{00000000-0005-0000-0000-000014590000}"/>
    <cellStyle name="Percent 4 37 9" xfId="22626" xr:uid="{00000000-0005-0000-0000-000015590000}"/>
    <cellStyle name="Percent 4 38" xfId="22627" xr:uid="{00000000-0005-0000-0000-000016590000}"/>
    <cellStyle name="Percent 4 38 10" xfId="22628" xr:uid="{00000000-0005-0000-0000-000017590000}"/>
    <cellStyle name="Percent 4 38 11" xfId="22629" xr:uid="{00000000-0005-0000-0000-000018590000}"/>
    <cellStyle name="Percent 4 38 12" xfId="22630" xr:uid="{00000000-0005-0000-0000-000019590000}"/>
    <cellStyle name="Percent 4 38 13" xfId="22631" xr:uid="{00000000-0005-0000-0000-00001A590000}"/>
    <cellStyle name="Percent 4 38 14" xfId="22632" xr:uid="{00000000-0005-0000-0000-00001B590000}"/>
    <cellStyle name="Percent 4 38 15" xfId="22633" xr:uid="{00000000-0005-0000-0000-00001C590000}"/>
    <cellStyle name="Percent 4 38 16" xfId="22634" xr:uid="{00000000-0005-0000-0000-00001D590000}"/>
    <cellStyle name="Percent 4 38 17" xfId="22635" xr:uid="{00000000-0005-0000-0000-00001E590000}"/>
    <cellStyle name="Percent 4 38 2" xfId="22636" xr:uid="{00000000-0005-0000-0000-00001F590000}"/>
    <cellStyle name="Percent 4 38 3" xfId="22637" xr:uid="{00000000-0005-0000-0000-000020590000}"/>
    <cellStyle name="Percent 4 38 4" xfId="22638" xr:uid="{00000000-0005-0000-0000-000021590000}"/>
    <cellStyle name="Percent 4 38 5" xfId="22639" xr:uid="{00000000-0005-0000-0000-000022590000}"/>
    <cellStyle name="Percent 4 38 6" xfId="22640" xr:uid="{00000000-0005-0000-0000-000023590000}"/>
    <cellStyle name="Percent 4 38 7" xfId="22641" xr:uid="{00000000-0005-0000-0000-000024590000}"/>
    <cellStyle name="Percent 4 38 8" xfId="22642" xr:uid="{00000000-0005-0000-0000-000025590000}"/>
    <cellStyle name="Percent 4 38 9" xfId="22643" xr:uid="{00000000-0005-0000-0000-000026590000}"/>
    <cellStyle name="Percent 4 39" xfId="22644" xr:uid="{00000000-0005-0000-0000-000027590000}"/>
    <cellStyle name="Percent 4 39 10" xfId="22645" xr:uid="{00000000-0005-0000-0000-000028590000}"/>
    <cellStyle name="Percent 4 39 11" xfId="22646" xr:uid="{00000000-0005-0000-0000-000029590000}"/>
    <cellStyle name="Percent 4 39 12" xfId="22647" xr:uid="{00000000-0005-0000-0000-00002A590000}"/>
    <cellStyle name="Percent 4 39 13" xfId="22648" xr:uid="{00000000-0005-0000-0000-00002B590000}"/>
    <cellStyle name="Percent 4 39 14" xfId="22649" xr:uid="{00000000-0005-0000-0000-00002C590000}"/>
    <cellStyle name="Percent 4 39 15" xfId="22650" xr:uid="{00000000-0005-0000-0000-00002D590000}"/>
    <cellStyle name="Percent 4 39 16" xfId="22651" xr:uid="{00000000-0005-0000-0000-00002E590000}"/>
    <cellStyle name="Percent 4 39 17" xfId="22652" xr:uid="{00000000-0005-0000-0000-00002F590000}"/>
    <cellStyle name="Percent 4 39 2" xfId="22653" xr:uid="{00000000-0005-0000-0000-000030590000}"/>
    <cellStyle name="Percent 4 39 3" xfId="22654" xr:uid="{00000000-0005-0000-0000-000031590000}"/>
    <cellStyle name="Percent 4 39 4" xfId="22655" xr:uid="{00000000-0005-0000-0000-000032590000}"/>
    <cellStyle name="Percent 4 39 5" xfId="22656" xr:uid="{00000000-0005-0000-0000-000033590000}"/>
    <cellStyle name="Percent 4 39 6" xfId="22657" xr:uid="{00000000-0005-0000-0000-000034590000}"/>
    <cellStyle name="Percent 4 39 7" xfId="22658" xr:uid="{00000000-0005-0000-0000-000035590000}"/>
    <cellStyle name="Percent 4 39 8" xfId="22659" xr:uid="{00000000-0005-0000-0000-000036590000}"/>
    <cellStyle name="Percent 4 39 9" xfId="22660" xr:uid="{00000000-0005-0000-0000-000037590000}"/>
    <cellStyle name="Percent 4 4" xfId="22661" xr:uid="{00000000-0005-0000-0000-000038590000}"/>
    <cellStyle name="Percent 4 4 10" xfId="22662" xr:uid="{00000000-0005-0000-0000-000039590000}"/>
    <cellStyle name="Percent 4 4 10 2" xfId="48373" xr:uid="{00000000-0005-0000-0000-00003A590000}"/>
    <cellStyle name="Percent 4 4 11" xfId="22663" xr:uid="{00000000-0005-0000-0000-00003B590000}"/>
    <cellStyle name="Percent 4 4 12" xfId="22664" xr:uid="{00000000-0005-0000-0000-00003C590000}"/>
    <cellStyle name="Percent 4 4 13" xfId="22665" xr:uid="{00000000-0005-0000-0000-00003D590000}"/>
    <cellStyle name="Percent 4 4 14" xfId="22666" xr:uid="{00000000-0005-0000-0000-00003E590000}"/>
    <cellStyle name="Percent 4 4 15" xfId="22667" xr:uid="{00000000-0005-0000-0000-00003F590000}"/>
    <cellStyle name="Percent 4 4 16" xfId="22668" xr:uid="{00000000-0005-0000-0000-000040590000}"/>
    <cellStyle name="Percent 4 4 17" xfId="22669" xr:uid="{00000000-0005-0000-0000-000041590000}"/>
    <cellStyle name="Percent 4 4 2" xfId="22670" xr:uid="{00000000-0005-0000-0000-000042590000}"/>
    <cellStyle name="Percent 4 4 2 2" xfId="48374" xr:uid="{00000000-0005-0000-0000-000043590000}"/>
    <cellStyle name="Percent 4 4 3" xfId="22671" xr:uid="{00000000-0005-0000-0000-000044590000}"/>
    <cellStyle name="Percent 4 4 3 2" xfId="48375" xr:uid="{00000000-0005-0000-0000-000045590000}"/>
    <cellStyle name="Percent 4 4 4" xfId="22672" xr:uid="{00000000-0005-0000-0000-000046590000}"/>
    <cellStyle name="Percent 4 4 4 2" xfId="48376" xr:uid="{00000000-0005-0000-0000-000047590000}"/>
    <cellStyle name="Percent 4 4 5" xfId="22673" xr:uid="{00000000-0005-0000-0000-000048590000}"/>
    <cellStyle name="Percent 4 4 5 2" xfId="48377" xr:uid="{00000000-0005-0000-0000-000049590000}"/>
    <cellStyle name="Percent 4 4 6" xfId="22674" xr:uid="{00000000-0005-0000-0000-00004A590000}"/>
    <cellStyle name="Percent 4 4 6 2" xfId="48378" xr:uid="{00000000-0005-0000-0000-00004B590000}"/>
    <cellStyle name="Percent 4 4 7" xfId="22675" xr:uid="{00000000-0005-0000-0000-00004C590000}"/>
    <cellStyle name="Percent 4 4 7 2" xfId="48379" xr:uid="{00000000-0005-0000-0000-00004D590000}"/>
    <cellStyle name="Percent 4 4 8" xfId="22676" xr:uid="{00000000-0005-0000-0000-00004E590000}"/>
    <cellStyle name="Percent 4 4 8 2" xfId="48380" xr:uid="{00000000-0005-0000-0000-00004F590000}"/>
    <cellStyle name="Percent 4 4 9" xfId="22677" xr:uid="{00000000-0005-0000-0000-000050590000}"/>
    <cellStyle name="Percent 4 4 9 2" xfId="48381" xr:uid="{00000000-0005-0000-0000-000051590000}"/>
    <cellStyle name="Percent 4 40" xfId="22678" xr:uid="{00000000-0005-0000-0000-000052590000}"/>
    <cellStyle name="Percent 4 40 10" xfId="22679" xr:uid="{00000000-0005-0000-0000-000053590000}"/>
    <cellStyle name="Percent 4 40 11" xfId="22680" xr:uid="{00000000-0005-0000-0000-000054590000}"/>
    <cellStyle name="Percent 4 40 12" xfId="22681" xr:uid="{00000000-0005-0000-0000-000055590000}"/>
    <cellStyle name="Percent 4 40 13" xfId="22682" xr:uid="{00000000-0005-0000-0000-000056590000}"/>
    <cellStyle name="Percent 4 40 14" xfId="22683" xr:uid="{00000000-0005-0000-0000-000057590000}"/>
    <cellStyle name="Percent 4 40 15" xfId="22684" xr:uid="{00000000-0005-0000-0000-000058590000}"/>
    <cellStyle name="Percent 4 40 16" xfId="22685" xr:uid="{00000000-0005-0000-0000-000059590000}"/>
    <cellStyle name="Percent 4 40 17" xfId="22686" xr:uid="{00000000-0005-0000-0000-00005A590000}"/>
    <cellStyle name="Percent 4 40 2" xfId="22687" xr:uid="{00000000-0005-0000-0000-00005B590000}"/>
    <cellStyle name="Percent 4 40 3" xfId="22688" xr:uid="{00000000-0005-0000-0000-00005C590000}"/>
    <cellStyle name="Percent 4 40 4" xfId="22689" xr:uid="{00000000-0005-0000-0000-00005D590000}"/>
    <cellStyle name="Percent 4 40 5" xfId="22690" xr:uid="{00000000-0005-0000-0000-00005E590000}"/>
    <cellStyle name="Percent 4 40 6" xfId="22691" xr:uid="{00000000-0005-0000-0000-00005F590000}"/>
    <cellStyle name="Percent 4 40 7" xfId="22692" xr:uid="{00000000-0005-0000-0000-000060590000}"/>
    <cellStyle name="Percent 4 40 8" xfId="22693" xr:uid="{00000000-0005-0000-0000-000061590000}"/>
    <cellStyle name="Percent 4 40 9" xfId="22694" xr:uid="{00000000-0005-0000-0000-000062590000}"/>
    <cellStyle name="Percent 4 41" xfId="22695" xr:uid="{00000000-0005-0000-0000-000063590000}"/>
    <cellStyle name="Percent 4 41 10" xfId="22696" xr:uid="{00000000-0005-0000-0000-000064590000}"/>
    <cellStyle name="Percent 4 41 11" xfId="22697" xr:uid="{00000000-0005-0000-0000-000065590000}"/>
    <cellStyle name="Percent 4 41 12" xfId="22698" xr:uid="{00000000-0005-0000-0000-000066590000}"/>
    <cellStyle name="Percent 4 41 13" xfId="22699" xr:uid="{00000000-0005-0000-0000-000067590000}"/>
    <cellStyle name="Percent 4 41 14" xfId="22700" xr:uid="{00000000-0005-0000-0000-000068590000}"/>
    <cellStyle name="Percent 4 41 15" xfId="22701" xr:uid="{00000000-0005-0000-0000-000069590000}"/>
    <cellStyle name="Percent 4 41 16" xfId="22702" xr:uid="{00000000-0005-0000-0000-00006A590000}"/>
    <cellStyle name="Percent 4 41 17" xfId="22703" xr:uid="{00000000-0005-0000-0000-00006B590000}"/>
    <cellStyle name="Percent 4 41 2" xfId="22704" xr:uid="{00000000-0005-0000-0000-00006C590000}"/>
    <cellStyle name="Percent 4 41 3" xfId="22705" xr:uid="{00000000-0005-0000-0000-00006D590000}"/>
    <cellStyle name="Percent 4 41 4" xfId="22706" xr:uid="{00000000-0005-0000-0000-00006E590000}"/>
    <cellStyle name="Percent 4 41 5" xfId="22707" xr:uid="{00000000-0005-0000-0000-00006F590000}"/>
    <cellStyle name="Percent 4 41 6" xfId="22708" xr:uid="{00000000-0005-0000-0000-000070590000}"/>
    <cellStyle name="Percent 4 41 7" xfId="22709" xr:uid="{00000000-0005-0000-0000-000071590000}"/>
    <cellStyle name="Percent 4 41 8" xfId="22710" xr:uid="{00000000-0005-0000-0000-000072590000}"/>
    <cellStyle name="Percent 4 41 9" xfId="22711" xr:uid="{00000000-0005-0000-0000-000073590000}"/>
    <cellStyle name="Percent 4 42" xfId="22712" xr:uid="{00000000-0005-0000-0000-000074590000}"/>
    <cellStyle name="Percent 4 42 10" xfId="22713" xr:uid="{00000000-0005-0000-0000-000075590000}"/>
    <cellStyle name="Percent 4 42 11" xfId="22714" xr:uid="{00000000-0005-0000-0000-000076590000}"/>
    <cellStyle name="Percent 4 42 12" xfId="22715" xr:uid="{00000000-0005-0000-0000-000077590000}"/>
    <cellStyle name="Percent 4 42 13" xfId="22716" xr:uid="{00000000-0005-0000-0000-000078590000}"/>
    <cellStyle name="Percent 4 42 14" xfId="22717" xr:uid="{00000000-0005-0000-0000-000079590000}"/>
    <cellStyle name="Percent 4 42 15" xfId="22718" xr:uid="{00000000-0005-0000-0000-00007A590000}"/>
    <cellStyle name="Percent 4 42 16" xfId="22719" xr:uid="{00000000-0005-0000-0000-00007B590000}"/>
    <cellStyle name="Percent 4 42 17" xfId="22720" xr:uid="{00000000-0005-0000-0000-00007C590000}"/>
    <cellStyle name="Percent 4 42 2" xfId="22721" xr:uid="{00000000-0005-0000-0000-00007D590000}"/>
    <cellStyle name="Percent 4 42 3" xfId="22722" xr:uid="{00000000-0005-0000-0000-00007E590000}"/>
    <cellStyle name="Percent 4 42 4" xfId="22723" xr:uid="{00000000-0005-0000-0000-00007F590000}"/>
    <cellStyle name="Percent 4 42 5" xfId="22724" xr:uid="{00000000-0005-0000-0000-000080590000}"/>
    <cellStyle name="Percent 4 42 6" xfId="22725" xr:uid="{00000000-0005-0000-0000-000081590000}"/>
    <cellStyle name="Percent 4 42 7" xfId="22726" xr:uid="{00000000-0005-0000-0000-000082590000}"/>
    <cellStyle name="Percent 4 42 8" xfId="22727" xr:uid="{00000000-0005-0000-0000-000083590000}"/>
    <cellStyle name="Percent 4 42 9" xfId="22728" xr:uid="{00000000-0005-0000-0000-000084590000}"/>
    <cellStyle name="Percent 4 43" xfId="22729" xr:uid="{00000000-0005-0000-0000-000085590000}"/>
    <cellStyle name="Percent 4 43 10" xfId="22730" xr:uid="{00000000-0005-0000-0000-000086590000}"/>
    <cellStyle name="Percent 4 43 11" xfId="22731" xr:uid="{00000000-0005-0000-0000-000087590000}"/>
    <cellStyle name="Percent 4 43 12" xfId="22732" xr:uid="{00000000-0005-0000-0000-000088590000}"/>
    <cellStyle name="Percent 4 43 13" xfId="22733" xr:uid="{00000000-0005-0000-0000-000089590000}"/>
    <cellStyle name="Percent 4 43 14" xfId="22734" xr:uid="{00000000-0005-0000-0000-00008A590000}"/>
    <cellStyle name="Percent 4 43 15" xfId="22735" xr:uid="{00000000-0005-0000-0000-00008B590000}"/>
    <cellStyle name="Percent 4 43 16" xfId="22736" xr:uid="{00000000-0005-0000-0000-00008C590000}"/>
    <cellStyle name="Percent 4 43 17" xfId="22737" xr:uid="{00000000-0005-0000-0000-00008D590000}"/>
    <cellStyle name="Percent 4 43 2" xfId="22738" xr:uid="{00000000-0005-0000-0000-00008E590000}"/>
    <cellStyle name="Percent 4 43 3" xfId="22739" xr:uid="{00000000-0005-0000-0000-00008F590000}"/>
    <cellStyle name="Percent 4 43 4" xfId="22740" xr:uid="{00000000-0005-0000-0000-000090590000}"/>
    <cellStyle name="Percent 4 43 5" xfId="22741" xr:uid="{00000000-0005-0000-0000-000091590000}"/>
    <cellStyle name="Percent 4 43 6" xfId="22742" xr:uid="{00000000-0005-0000-0000-000092590000}"/>
    <cellStyle name="Percent 4 43 7" xfId="22743" xr:uid="{00000000-0005-0000-0000-000093590000}"/>
    <cellStyle name="Percent 4 43 8" xfId="22744" xr:uid="{00000000-0005-0000-0000-000094590000}"/>
    <cellStyle name="Percent 4 43 9" xfId="22745" xr:uid="{00000000-0005-0000-0000-000095590000}"/>
    <cellStyle name="Percent 4 44" xfId="22746" xr:uid="{00000000-0005-0000-0000-000096590000}"/>
    <cellStyle name="Percent 4 44 10" xfId="22747" xr:uid="{00000000-0005-0000-0000-000097590000}"/>
    <cellStyle name="Percent 4 44 11" xfId="22748" xr:uid="{00000000-0005-0000-0000-000098590000}"/>
    <cellStyle name="Percent 4 44 12" xfId="22749" xr:uid="{00000000-0005-0000-0000-000099590000}"/>
    <cellStyle name="Percent 4 44 13" xfId="22750" xr:uid="{00000000-0005-0000-0000-00009A590000}"/>
    <cellStyle name="Percent 4 44 14" xfId="22751" xr:uid="{00000000-0005-0000-0000-00009B590000}"/>
    <cellStyle name="Percent 4 44 15" xfId="22752" xr:uid="{00000000-0005-0000-0000-00009C590000}"/>
    <cellStyle name="Percent 4 44 16" xfId="22753" xr:uid="{00000000-0005-0000-0000-00009D590000}"/>
    <cellStyle name="Percent 4 44 17" xfId="22754" xr:uid="{00000000-0005-0000-0000-00009E590000}"/>
    <cellStyle name="Percent 4 44 2" xfId="22755" xr:uid="{00000000-0005-0000-0000-00009F590000}"/>
    <cellStyle name="Percent 4 44 3" xfId="22756" xr:uid="{00000000-0005-0000-0000-0000A0590000}"/>
    <cellStyle name="Percent 4 44 4" xfId="22757" xr:uid="{00000000-0005-0000-0000-0000A1590000}"/>
    <cellStyle name="Percent 4 44 5" xfId="22758" xr:uid="{00000000-0005-0000-0000-0000A2590000}"/>
    <cellStyle name="Percent 4 44 6" xfId="22759" xr:uid="{00000000-0005-0000-0000-0000A3590000}"/>
    <cellStyle name="Percent 4 44 7" xfId="22760" xr:uid="{00000000-0005-0000-0000-0000A4590000}"/>
    <cellStyle name="Percent 4 44 8" xfId="22761" xr:uid="{00000000-0005-0000-0000-0000A5590000}"/>
    <cellStyle name="Percent 4 44 9" xfId="22762" xr:uid="{00000000-0005-0000-0000-0000A6590000}"/>
    <cellStyle name="Percent 4 45" xfId="22763" xr:uid="{00000000-0005-0000-0000-0000A7590000}"/>
    <cellStyle name="Percent 4 45 10" xfId="22764" xr:uid="{00000000-0005-0000-0000-0000A8590000}"/>
    <cellStyle name="Percent 4 45 11" xfId="22765" xr:uid="{00000000-0005-0000-0000-0000A9590000}"/>
    <cellStyle name="Percent 4 45 12" xfId="22766" xr:uid="{00000000-0005-0000-0000-0000AA590000}"/>
    <cellStyle name="Percent 4 45 13" xfId="22767" xr:uid="{00000000-0005-0000-0000-0000AB590000}"/>
    <cellStyle name="Percent 4 45 14" xfId="22768" xr:uid="{00000000-0005-0000-0000-0000AC590000}"/>
    <cellStyle name="Percent 4 45 15" xfId="22769" xr:uid="{00000000-0005-0000-0000-0000AD590000}"/>
    <cellStyle name="Percent 4 45 16" xfId="22770" xr:uid="{00000000-0005-0000-0000-0000AE590000}"/>
    <cellStyle name="Percent 4 45 17" xfId="22771" xr:uid="{00000000-0005-0000-0000-0000AF590000}"/>
    <cellStyle name="Percent 4 45 2" xfId="22772" xr:uid="{00000000-0005-0000-0000-0000B0590000}"/>
    <cellStyle name="Percent 4 45 3" xfId="22773" xr:uid="{00000000-0005-0000-0000-0000B1590000}"/>
    <cellStyle name="Percent 4 45 4" xfId="22774" xr:uid="{00000000-0005-0000-0000-0000B2590000}"/>
    <cellStyle name="Percent 4 45 5" xfId="22775" xr:uid="{00000000-0005-0000-0000-0000B3590000}"/>
    <cellStyle name="Percent 4 45 6" xfId="22776" xr:uid="{00000000-0005-0000-0000-0000B4590000}"/>
    <cellStyle name="Percent 4 45 7" xfId="22777" xr:uid="{00000000-0005-0000-0000-0000B5590000}"/>
    <cellStyle name="Percent 4 45 8" xfId="22778" xr:uid="{00000000-0005-0000-0000-0000B6590000}"/>
    <cellStyle name="Percent 4 45 9" xfId="22779" xr:uid="{00000000-0005-0000-0000-0000B7590000}"/>
    <cellStyle name="Percent 4 46" xfId="22780" xr:uid="{00000000-0005-0000-0000-0000B8590000}"/>
    <cellStyle name="Percent 4 46 10" xfId="22781" xr:uid="{00000000-0005-0000-0000-0000B9590000}"/>
    <cellStyle name="Percent 4 46 11" xfId="22782" xr:uid="{00000000-0005-0000-0000-0000BA590000}"/>
    <cellStyle name="Percent 4 46 12" xfId="22783" xr:uid="{00000000-0005-0000-0000-0000BB590000}"/>
    <cellStyle name="Percent 4 46 13" xfId="22784" xr:uid="{00000000-0005-0000-0000-0000BC590000}"/>
    <cellStyle name="Percent 4 46 14" xfId="22785" xr:uid="{00000000-0005-0000-0000-0000BD590000}"/>
    <cellStyle name="Percent 4 46 15" xfId="22786" xr:uid="{00000000-0005-0000-0000-0000BE590000}"/>
    <cellStyle name="Percent 4 46 16" xfId="22787" xr:uid="{00000000-0005-0000-0000-0000BF590000}"/>
    <cellStyle name="Percent 4 46 17" xfId="22788" xr:uid="{00000000-0005-0000-0000-0000C0590000}"/>
    <cellStyle name="Percent 4 46 2" xfId="22789" xr:uid="{00000000-0005-0000-0000-0000C1590000}"/>
    <cellStyle name="Percent 4 46 3" xfId="22790" xr:uid="{00000000-0005-0000-0000-0000C2590000}"/>
    <cellStyle name="Percent 4 46 4" xfId="22791" xr:uid="{00000000-0005-0000-0000-0000C3590000}"/>
    <cellStyle name="Percent 4 46 5" xfId="22792" xr:uid="{00000000-0005-0000-0000-0000C4590000}"/>
    <cellStyle name="Percent 4 46 6" xfId="22793" xr:uid="{00000000-0005-0000-0000-0000C5590000}"/>
    <cellStyle name="Percent 4 46 7" xfId="22794" xr:uid="{00000000-0005-0000-0000-0000C6590000}"/>
    <cellStyle name="Percent 4 46 8" xfId="22795" xr:uid="{00000000-0005-0000-0000-0000C7590000}"/>
    <cellStyle name="Percent 4 46 9" xfId="22796" xr:uid="{00000000-0005-0000-0000-0000C8590000}"/>
    <cellStyle name="Percent 4 47" xfId="22797" xr:uid="{00000000-0005-0000-0000-0000C9590000}"/>
    <cellStyle name="Percent 4 47 10" xfId="22798" xr:uid="{00000000-0005-0000-0000-0000CA590000}"/>
    <cellStyle name="Percent 4 47 11" xfId="22799" xr:uid="{00000000-0005-0000-0000-0000CB590000}"/>
    <cellStyle name="Percent 4 47 12" xfId="22800" xr:uid="{00000000-0005-0000-0000-0000CC590000}"/>
    <cellStyle name="Percent 4 47 13" xfId="22801" xr:uid="{00000000-0005-0000-0000-0000CD590000}"/>
    <cellStyle name="Percent 4 47 14" xfId="22802" xr:uid="{00000000-0005-0000-0000-0000CE590000}"/>
    <cellStyle name="Percent 4 47 15" xfId="22803" xr:uid="{00000000-0005-0000-0000-0000CF590000}"/>
    <cellStyle name="Percent 4 47 16" xfId="22804" xr:uid="{00000000-0005-0000-0000-0000D0590000}"/>
    <cellStyle name="Percent 4 47 17" xfId="22805" xr:uid="{00000000-0005-0000-0000-0000D1590000}"/>
    <cellStyle name="Percent 4 47 2" xfId="22806" xr:uid="{00000000-0005-0000-0000-0000D2590000}"/>
    <cellStyle name="Percent 4 47 3" xfId="22807" xr:uid="{00000000-0005-0000-0000-0000D3590000}"/>
    <cellStyle name="Percent 4 47 4" xfId="22808" xr:uid="{00000000-0005-0000-0000-0000D4590000}"/>
    <cellStyle name="Percent 4 47 5" xfId="22809" xr:uid="{00000000-0005-0000-0000-0000D5590000}"/>
    <cellStyle name="Percent 4 47 6" xfId="22810" xr:uid="{00000000-0005-0000-0000-0000D6590000}"/>
    <cellStyle name="Percent 4 47 7" xfId="22811" xr:uid="{00000000-0005-0000-0000-0000D7590000}"/>
    <cellStyle name="Percent 4 47 8" xfId="22812" xr:uid="{00000000-0005-0000-0000-0000D8590000}"/>
    <cellStyle name="Percent 4 47 9" xfId="22813" xr:uid="{00000000-0005-0000-0000-0000D9590000}"/>
    <cellStyle name="Percent 4 48" xfId="22814" xr:uid="{00000000-0005-0000-0000-0000DA590000}"/>
    <cellStyle name="Percent 4 48 10" xfId="22815" xr:uid="{00000000-0005-0000-0000-0000DB590000}"/>
    <cellStyle name="Percent 4 48 11" xfId="22816" xr:uid="{00000000-0005-0000-0000-0000DC590000}"/>
    <cellStyle name="Percent 4 48 12" xfId="22817" xr:uid="{00000000-0005-0000-0000-0000DD590000}"/>
    <cellStyle name="Percent 4 48 13" xfId="22818" xr:uid="{00000000-0005-0000-0000-0000DE590000}"/>
    <cellStyle name="Percent 4 48 14" xfId="22819" xr:uid="{00000000-0005-0000-0000-0000DF590000}"/>
    <cellStyle name="Percent 4 48 15" xfId="22820" xr:uid="{00000000-0005-0000-0000-0000E0590000}"/>
    <cellStyle name="Percent 4 48 16" xfId="22821" xr:uid="{00000000-0005-0000-0000-0000E1590000}"/>
    <cellStyle name="Percent 4 48 17" xfId="22822" xr:uid="{00000000-0005-0000-0000-0000E2590000}"/>
    <cellStyle name="Percent 4 48 2" xfId="22823" xr:uid="{00000000-0005-0000-0000-0000E3590000}"/>
    <cellStyle name="Percent 4 48 3" xfId="22824" xr:uid="{00000000-0005-0000-0000-0000E4590000}"/>
    <cellStyle name="Percent 4 48 4" xfId="22825" xr:uid="{00000000-0005-0000-0000-0000E5590000}"/>
    <cellStyle name="Percent 4 48 5" xfId="22826" xr:uid="{00000000-0005-0000-0000-0000E6590000}"/>
    <cellStyle name="Percent 4 48 6" xfId="22827" xr:uid="{00000000-0005-0000-0000-0000E7590000}"/>
    <cellStyle name="Percent 4 48 7" xfId="22828" xr:uid="{00000000-0005-0000-0000-0000E8590000}"/>
    <cellStyle name="Percent 4 48 8" xfId="22829" xr:uid="{00000000-0005-0000-0000-0000E9590000}"/>
    <cellStyle name="Percent 4 48 9" xfId="22830" xr:uid="{00000000-0005-0000-0000-0000EA590000}"/>
    <cellStyle name="Percent 4 49" xfId="22831" xr:uid="{00000000-0005-0000-0000-0000EB590000}"/>
    <cellStyle name="Percent 4 5" xfId="22832" xr:uid="{00000000-0005-0000-0000-0000EC590000}"/>
    <cellStyle name="Percent 4 5 10" xfId="22833" xr:uid="{00000000-0005-0000-0000-0000ED590000}"/>
    <cellStyle name="Percent 4 5 10 2" xfId="48382" xr:uid="{00000000-0005-0000-0000-0000EE590000}"/>
    <cellStyle name="Percent 4 5 11" xfId="22834" xr:uid="{00000000-0005-0000-0000-0000EF590000}"/>
    <cellStyle name="Percent 4 5 12" xfId="22835" xr:uid="{00000000-0005-0000-0000-0000F0590000}"/>
    <cellStyle name="Percent 4 5 13" xfId="22836" xr:uid="{00000000-0005-0000-0000-0000F1590000}"/>
    <cellStyle name="Percent 4 5 14" xfId="22837" xr:uid="{00000000-0005-0000-0000-0000F2590000}"/>
    <cellStyle name="Percent 4 5 15" xfId="22838" xr:uid="{00000000-0005-0000-0000-0000F3590000}"/>
    <cellStyle name="Percent 4 5 16" xfId="22839" xr:uid="{00000000-0005-0000-0000-0000F4590000}"/>
    <cellStyle name="Percent 4 5 17" xfId="22840" xr:uid="{00000000-0005-0000-0000-0000F5590000}"/>
    <cellStyle name="Percent 4 5 2" xfId="22841" xr:uid="{00000000-0005-0000-0000-0000F6590000}"/>
    <cellStyle name="Percent 4 5 2 2" xfId="48383" xr:uid="{00000000-0005-0000-0000-0000F7590000}"/>
    <cellStyle name="Percent 4 5 3" xfId="22842" xr:uid="{00000000-0005-0000-0000-0000F8590000}"/>
    <cellStyle name="Percent 4 5 3 2" xfId="48384" xr:uid="{00000000-0005-0000-0000-0000F9590000}"/>
    <cellStyle name="Percent 4 5 4" xfId="22843" xr:uid="{00000000-0005-0000-0000-0000FA590000}"/>
    <cellStyle name="Percent 4 5 4 2" xfId="48385" xr:uid="{00000000-0005-0000-0000-0000FB590000}"/>
    <cellStyle name="Percent 4 5 5" xfId="22844" xr:uid="{00000000-0005-0000-0000-0000FC590000}"/>
    <cellStyle name="Percent 4 5 5 2" xfId="48386" xr:uid="{00000000-0005-0000-0000-0000FD590000}"/>
    <cellStyle name="Percent 4 5 6" xfId="22845" xr:uid="{00000000-0005-0000-0000-0000FE590000}"/>
    <cellStyle name="Percent 4 5 6 2" xfId="48387" xr:uid="{00000000-0005-0000-0000-0000FF590000}"/>
    <cellStyle name="Percent 4 5 7" xfId="22846" xr:uid="{00000000-0005-0000-0000-0000005A0000}"/>
    <cellStyle name="Percent 4 5 7 2" xfId="48388" xr:uid="{00000000-0005-0000-0000-0000015A0000}"/>
    <cellStyle name="Percent 4 5 8" xfId="22847" xr:uid="{00000000-0005-0000-0000-0000025A0000}"/>
    <cellStyle name="Percent 4 5 8 2" xfId="48389" xr:uid="{00000000-0005-0000-0000-0000035A0000}"/>
    <cellStyle name="Percent 4 5 9" xfId="22848" xr:uid="{00000000-0005-0000-0000-0000045A0000}"/>
    <cellStyle name="Percent 4 5 9 2" xfId="48390" xr:uid="{00000000-0005-0000-0000-0000055A0000}"/>
    <cellStyle name="Percent 4 50" xfId="22849" xr:uid="{00000000-0005-0000-0000-0000065A0000}"/>
    <cellStyle name="Percent 4 51" xfId="22850" xr:uid="{00000000-0005-0000-0000-0000075A0000}"/>
    <cellStyle name="Percent 4 52" xfId="22851" xr:uid="{00000000-0005-0000-0000-0000085A0000}"/>
    <cellStyle name="Percent 4 53" xfId="22852" xr:uid="{00000000-0005-0000-0000-0000095A0000}"/>
    <cellStyle name="Percent 4 54" xfId="22853" xr:uid="{00000000-0005-0000-0000-00000A5A0000}"/>
    <cellStyle name="Percent 4 55" xfId="22854" xr:uid="{00000000-0005-0000-0000-00000B5A0000}"/>
    <cellStyle name="Percent 4 56" xfId="22855" xr:uid="{00000000-0005-0000-0000-00000C5A0000}"/>
    <cellStyle name="Percent 4 57" xfId="22856" xr:uid="{00000000-0005-0000-0000-00000D5A0000}"/>
    <cellStyle name="Percent 4 58" xfId="22857" xr:uid="{00000000-0005-0000-0000-00000E5A0000}"/>
    <cellStyle name="Percent 4 59" xfId="22858" xr:uid="{00000000-0005-0000-0000-00000F5A0000}"/>
    <cellStyle name="Percent 4 6" xfId="22859" xr:uid="{00000000-0005-0000-0000-0000105A0000}"/>
    <cellStyle name="Percent 4 6 10" xfId="22860" xr:uid="{00000000-0005-0000-0000-0000115A0000}"/>
    <cellStyle name="Percent 4 6 11" xfId="22861" xr:uid="{00000000-0005-0000-0000-0000125A0000}"/>
    <cellStyle name="Percent 4 6 12" xfId="22862" xr:uid="{00000000-0005-0000-0000-0000135A0000}"/>
    <cellStyle name="Percent 4 6 13" xfId="22863" xr:uid="{00000000-0005-0000-0000-0000145A0000}"/>
    <cellStyle name="Percent 4 6 14" xfId="22864" xr:uid="{00000000-0005-0000-0000-0000155A0000}"/>
    <cellStyle name="Percent 4 6 15" xfId="22865" xr:uid="{00000000-0005-0000-0000-0000165A0000}"/>
    <cellStyle name="Percent 4 6 16" xfId="22866" xr:uid="{00000000-0005-0000-0000-0000175A0000}"/>
    <cellStyle name="Percent 4 6 17" xfId="22867" xr:uid="{00000000-0005-0000-0000-0000185A0000}"/>
    <cellStyle name="Percent 4 6 2" xfId="22868" xr:uid="{00000000-0005-0000-0000-0000195A0000}"/>
    <cellStyle name="Percent 4 6 3" xfId="22869" xr:uid="{00000000-0005-0000-0000-00001A5A0000}"/>
    <cellStyle name="Percent 4 6 4" xfId="22870" xr:uid="{00000000-0005-0000-0000-00001B5A0000}"/>
    <cellStyle name="Percent 4 6 5" xfId="22871" xr:uid="{00000000-0005-0000-0000-00001C5A0000}"/>
    <cellStyle name="Percent 4 6 6" xfId="22872" xr:uid="{00000000-0005-0000-0000-00001D5A0000}"/>
    <cellStyle name="Percent 4 6 7" xfId="22873" xr:uid="{00000000-0005-0000-0000-00001E5A0000}"/>
    <cellStyle name="Percent 4 6 8" xfId="22874" xr:uid="{00000000-0005-0000-0000-00001F5A0000}"/>
    <cellStyle name="Percent 4 6 9" xfId="22875" xr:uid="{00000000-0005-0000-0000-0000205A0000}"/>
    <cellStyle name="Percent 4 60" xfId="22876" xr:uid="{00000000-0005-0000-0000-0000215A0000}"/>
    <cellStyle name="Percent 4 61" xfId="22877" xr:uid="{00000000-0005-0000-0000-0000225A0000}"/>
    <cellStyle name="Percent 4 7" xfId="22878" xr:uid="{00000000-0005-0000-0000-0000235A0000}"/>
    <cellStyle name="Percent 4 7 10" xfId="22879" xr:uid="{00000000-0005-0000-0000-0000245A0000}"/>
    <cellStyle name="Percent 4 7 11" xfId="22880" xr:uid="{00000000-0005-0000-0000-0000255A0000}"/>
    <cellStyle name="Percent 4 7 12" xfId="22881" xr:uid="{00000000-0005-0000-0000-0000265A0000}"/>
    <cellStyle name="Percent 4 7 13" xfId="22882" xr:uid="{00000000-0005-0000-0000-0000275A0000}"/>
    <cellStyle name="Percent 4 7 14" xfId="22883" xr:uid="{00000000-0005-0000-0000-0000285A0000}"/>
    <cellStyle name="Percent 4 7 15" xfId="22884" xr:uid="{00000000-0005-0000-0000-0000295A0000}"/>
    <cellStyle name="Percent 4 7 16" xfId="22885" xr:uid="{00000000-0005-0000-0000-00002A5A0000}"/>
    <cellStyle name="Percent 4 7 17" xfId="22886" xr:uid="{00000000-0005-0000-0000-00002B5A0000}"/>
    <cellStyle name="Percent 4 7 2" xfId="22887" xr:uid="{00000000-0005-0000-0000-00002C5A0000}"/>
    <cellStyle name="Percent 4 7 3" xfId="22888" xr:uid="{00000000-0005-0000-0000-00002D5A0000}"/>
    <cellStyle name="Percent 4 7 4" xfId="22889" xr:uid="{00000000-0005-0000-0000-00002E5A0000}"/>
    <cellStyle name="Percent 4 7 5" xfId="22890" xr:uid="{00000000-0005-0000-0000-00002F5A0000}"/>
    <cellStyle name="Percent 4 7 6" xfId="22891" xr:uid="{00000000-0005-0000-0000-0000305A0000}"/>
    <cellStyle name="Percent 4 7 7" xfId="22892" xr:uid="{00000000-0005-0000-0000-0000315A0000}"/>
    <cellStyle name="Percent 4 7 8" xfId="22893" xr:uid="{00000000-0005-0000-0000-0000325A0000}"/>
    <cellStyle name="Percent 4 7 9" xfId="22894" xr:uid="{00000000-0005-0000-0000-0000335A0000}"/>
    <cellStyle name="Percent 4 8" xfId="22895" xr:uid="{00000000-0005-0000-0000-0000345A0000}"/>
    <cellStyle name="Percent 4 8 10" xfId="22896" xr:uid="{00000000-0005-0000-0000-0000355A0000}"/>
    <cellStyle name="Percent 4 8 11" xfId="22897" xr:uid="{00000000-0005-0000-0000-0000365A0000}"/>
    <cellStyle name="Percent 4 8 12" xfId="22898" xr:uid="{00000000-0005-0000-0000-0000375A0000}"/>
    <cellStyle name="Percent 4 8 13" xfId="22899" xr:uid="{00000000-0005-0000-0000-0000385A0000}"/>
    <cellStyle name="Percent 4 8 14" xfId="22900" xr:uid="{00000000-0005-0000-0000-0000395A0000}"/>
    <cellStyle name="Percent 4 8 15" xfId="22901" xr:uid="{00000000-0005-0000-0000-00003A5A0000}"/>
    <cellStyle name="Percent 4 8 16" xfId="22902" xr:uid="{00000000-0005-0000-0000-00003B5A0000}"/>
    <cellStyle name="Percent 4 8 17" xfId="22903" xr:uid="{00000000-0005-0000-0000-00003C5A0000}"/>
    <cellStyle name="Percent 4 8 2" xfId="22904" xr:uid="{00000000-0005-0000-0000-00003D5A0000}"/>
    <cellStyle name="Percent 4 8 3" xfId="22905" xr:uid="{00000000-0005-0000-0000-00003E5A0000}"/>
    <cellStyle name="Percent 4 8 4" xfId="22906" xr:uid="{00000000-0005-0000-0000-00003F5A0000}"/>
    <cellStyle name="Percent 4 8 5" xfId="22907" xr:uid="{00000000-0005-0000-0000-0000405A0000}"/>
    <cellStyle name="Percent 4 8 6" xfId="22908" xr:uid="{00000000-0005-0000-0000-0000415A0000}"/>
    <cellStyle name="Percent 4 8 7" xfId="22909" xr:uid="{00000000-0005-0000-0000-0000425A0000}"/>
    <cellStyle name="Percent 4 8 8" xfId="22910" xr:uid="{00000000-0005-0000-0000-0000435A0000}"/>
    <cellStyle name="Percent 4 8 9" xfId="22911" xr:uid="{00000000-0005-0000-0000-0000445A0000}"/>
    <cellStyle name="Percent 4 9" xfId="22912" xr:uid="{00000000-0005-0000-0000-0000455A0000}"/>
    <cellStyle name="Percent 4 9 10" xfId="22913" xr:uid="{00000000-0005-0000-0000-0000465A0000}"/>
    <cellStyle name="Percent 4 9 11" xfId="22914" xr:uid="{00000000-0005-0000-0000-0000475A0000}"/>
    <cellStyle name="Percent 4 9 12" xfId="22915" xr:uid="{00000000-0005-0000-0000-0000485A0000}"/>
    <cellStyle name="Percent 4 9 13" xfId="22916" xr:uid="{00000000-0005-0000-0000-0000495A0000}"/>
    <cellStyle name="Percent 4 9 14" xfId="22917" xr:uid="{00000000-0005-0000-0000-00004A5A0000}"/>
    <cellStyle name="Percent 4 9 15" xfId="22918" xr:uid="{00000000-0005-0000-0000-00004B5A0000}"/>
    <cellStyle name="Percent 4 9 16" xfId="22919" xr:uid="{00000000-0005-0000-0000-00004C5A0000}"/>
    <cellStyle name="Percent 4 9 17" xfId="22920" xr:uid="{00000000-0005-0000-0000-00004D5A0000}"/>
    <cellStyle name="Percent 4 9 2" xfId="22921" xr:uid="{00000000-0005-0000-0000-00004E5A0000}"/>
    <cellStyle name="Percent 4 9 3" xfId="22922" xr:uid="{00000000-0005-0000-0000-00004F5A0000}"/>
    <cellStyle name="Percent 4 9 4" xfId="22923" xr:uid="{00000000-0005-0000-0000-0000505A0000}"/>
    <cellStyle name="Percent 4 9 5" xfId="22924" xr:uid="{00000000-0005-0000-0000-0000515A0000}"/>
    <cellStyle name="Percent 4 9 6" xfId="22925" xr:uid="{00000000-0005-0000-0000-0000525A0000}"/>
    <cellStyle name="Percent 4 9 7" xfId="22926" xr:uid="{00000000-0005-0000-0000-0000535A0000}"/>
    <cellStyle name="Percent 4 9 8" xfId="22927" xr:uid="{00000000-0005-0000-0000-0000545A0000}"/>
    <cellStyle name="Percent 4 9 9" xfId="22928" xr:uid="{00000000-0005-0000-0000-0000555A0000}"/>
    <cellStyle name="Percent 40" xfId="48391" xr:uid="{00000000-0005-0000-0000-0000565A0000}"/>
    <cellStyle name="Percent 41" xfId="48392" xr:uid="{00000000-0005-0000-0000-0000575A0000}"/>
    <cellStyle name="Percent 42" xfId="48393" xr:uid="{00000000-0005-0000-0000-0000585A0000}"/>
    <cellStyle name="Percent 43" xfId="48394" xr:uid="{00000000-0005-0000-0000-0000595A0000}"/>
    <cellStyle name="Percent 44" xfId="48395" xr:uid="{00000000-0005-0000-0000-00005A5A0000}"/>
    <cellStyle name="Percent 45" xfId="48396" xr:uid="{00000000-0005-0000-0000-00005B5A0000}"/>
    <cellStyle name="Percent 46" xfId="48397" xr:uid="{00000000-0005-0000-0000-00005C5A0000}"/>
    <cellStyle name="Percent 47" xfId="48398" xr:uid="{00000000-0005-0000-0000-00005D5A0000}"/>
    <cellStyle name="Percent 48" xfId="48399" xr:uid="{00000000-0005-0000-0000-00005E5A0000}"/>
    <cellStyle name="Percent 49" xfId="48400" xr:uid="{00000000-0005-0000-0000-00005F5A0000}"/>
    <cellStyle name="Percent 5" xfId="22929" xr:uid="{00000000-0005-0000-0000-0000605A0000}"/>
    <cellStyle name="Percent 5 2" xfId="22930" xr:uid="{00000000-0005-0000-0000-0000615A0000}"/>
    <cellStyle name="Percent 50" xfId="48401" xr:uid="{00000000-0005-0000-0000-0000625A0000}"/>
    <cellStyle name="Percent 51" xfId="48415" xr:uid="{00000000-0005-0000-0000-0000635A0000}"/>
    <cellStyle name="Percent 52" xfId="48410" xr:uid="{00000000-0005-0000-0000-0000645A0000}"/>
    <cellStyle name="Percent 6" xfId="22931" xr:uid="{00000000-0005-0000-0000-0000655A0000}"/>
    <cellStyle name="Percent 6 10" xfId="22932" xr:uid="{00000000-0005-0000-0000-0000665A0000}"/>
    <cellStyle name="Percent 6 10 10" xfId="22933" xr:uid="{00000000-0005-0000-0000-0000675A0000}"/>
    <cellStyle name="Percent 6 10 11" xfId="22934" xr:uid="{00000000-0005-0000-0000-0000685A0000}"/>
    <cellStyle name="Percent 6 10 12" xfId="22935" xr:uid="{00000000-0005-0000-0000-0000695A0000}"/>
    <cellStyle name="Percent 6 10 13" xfId="22936" xr:uid="{00000000-0005-0000-0000-00006A5A0000}"/>
    <cellStyle name="Percent 6 10 14" xfId="22937" xr:uid="{00000000-0005-0000-0000-00006B5A0000}"/>
    <cellStyle name="Percent 6 10 15" xfId="22938" xr:uid="{00000000-0005-0000-0000-00006C5A0000}"/>
    <cellStyle name="Percent 6 10 16" xfId="22939" xr:uid="{00000000-0005-0000-0000-00006D5A0000}"/>
    <cellStyle name="Percent 6 10 17" xfId="22940" xr:uid="{00000000-0005-0000-0000-00006E5A0000}"/>
    <cellStyle name="Percent 6 10 2" xfId="22941" xr:uid="{00000000-0005-0000-0000-00006F5A0000}"/>
    <cellStyle name="Percent 6 10 3" xfId="22942" xr:uid="{00000000-0005-0000-0000-0000705A0000}"/>
    <cellStyle name="Percent 6 10 4" xfId="22943" xr:uid="{00000000-0005-0000-0000-0000715A0000}"/>
    <cellStyle name="Percent 6 10 5" xfId="22944" xr:uid="{00000000-0005-0000-0000-0000725A0000}"/>
    <cellStyle name="Percent 6 10 6" xfId="22945" xr:uid="{00000000-0005-0000-0000-0000735A0000}"/>
    <cellStyle name="Percent 6 10 7" xfId="22946" xr:uid="{00000000-0005-0000-0000-0000745A0000}"/>
    <cellStyle name="Percent 6 10 8" xfId="22947" xr:uid="{00000000-0005-0000-0000-0000755A0000}"/>
    <cellStyle name="Percent 6 10 9" xfId="22948" xr:uid="{00000000-0005-0000-0000-0000765A0000}"/>
    <cellStyle name="Percent 6 11" xfId="22949" xr:uid="{00000000-0005-0000-0000-0000775A0000}"/>
    <cellStyle name="Percent 6 11 10" xfId="22950" xr:uid="{00000000-0005-0000-0000-0000785A0000}"/>
    <cellStyle name="Percent 6 11 11" xfId="22951" xr:uid="{00000000-0005-0000-0000-0000795A0000}"/>
    <cellStyle name="Percent 6 11 12" xfId="22952" xr:uid="{00000000-0005-0000-0000-00007A5A0000}"/>
    <cellStyle name="Percent 6 11 13" xfId="22953" xr:uid="{00000000-0005-0000-0000-00007B5A0000}"/>
    <cellStyle name="Percent 6 11 14" xfId="22954" xr:uid="{00000000-0005-0000-0000-00007C5A0000}"/>
    <cellStyle name="Percent 6 11 15" xfId="22955" xr:uid="{00000000-0005-0000-0000-00007D5A0000}"/>
    <cellStyle name="Percent 6 11 16" xfId="22956" xr:uid="{00000000-0005-0000-0000-00007E5A0000}"/>
    <cellStyle name="Percent 6 11 17" xfId="22957" xr:uid="{00000000-0005-0000-0000-00007F5A0000}"/>
    <cellStyle name="Percent 6 11 2" xfId="22958" xr:uid="{00000000-0005-0000-0000-0000805A0000}"/>
    <cellStyle name="Percent 6 11 3" xfId="22959" xr:uid="{00000000-0005-0000-0000-0000815A0000}"/>
    <cellStyle name="Percent 6 11 4" xfId="22960" xr:uid="{00000000-0005-0000-0000-0000825A0000}"/>
    <cellStyle name="Percent 6 11 5" xfId="22961" xr:uid="{00000000-0005-0000-0000-0000835A0000}"/>
    <cellStyle name="Percent 6 11 6" xfId="22962" xr:uid="{00000000-0005-0000-0000-0000845A0000}"/>
    <cellStyle name="Percent 6 11 7" xfId="22963" xr:uid="{00000000-0005-0000-0000-0000855A0000}"/>
    <cellStyle name="Percent 6 11 8" xfId="22964" xr:uid="{00000000-0005-0000-0000-0000865A0000}"/>
    <cellStyle name="Percent 6 11 9" xfId="22965" xr:uid="{00000000-0005-0000-0000-0000875A0000}"/>
    <cellStyle name="Percent 6 12" xfId="22966" xr:uid="{00000000-0005-0000-0000-0000885A0000}"/>
    <cellStyle name="Percent 6 12 10" xfId="22967" xr:uid="{00000000-0005-0000-0000-0000895A0000}"/>
    <cellStyle name="Percent 6 12 11" xfId="22968" xr:uid="{00000000-0005-0000-0000-00008A5A0000}"/>
    <cellStyle name="Percent 6 12 12" xfId="22969" xr:uid="{00000000-0005-0000-0000-00008B5A0000}"/>
    <cellStyle name="Percent 6 12 13" xfId="22970" xr:uid="{00000000-0005-0000-0000-00008C5A0000}"/>
    <cellStyle name="Percent 6 12 14" xfId="22971" xr:uid="{00000000-0005-0000-0000-00008D5A0000}"/>
    <cellStyle name="Percent 6 12 15" xfId="22972" xr:uid="{00000000-0005-0000-0000-00008E5A0000}"/>
    <cellStyle name="Percent 6 12 16" xfId="22973" xr:uid="{00000000-0005-0000-0000-00008F5A0000}"/>
    <cellStyle name="Percent 6 12 17" xfId="22974" xr:uid="{00000000-0005-0000-0000-0000905A0000}"/>
    <cellStyle name="Percent 6 12 2" xfId="22975" xr:uid="{00000000-0005-0000-0000-0000915A0000}"/>
    <cellStyle name="Percent 6 12 3" xfId="22976" xr:uid="{00000000-0005-0000-0000-0000925A0000}"/>
    <cellStyle name="Percent 6 12 4" xfId="22977" xr:uid="{00000000-0005-0000-0000-0000935A0000}"/>
    <cellStyle name="Percent 6 12 5" xfId="22978" xr:uid="{00000000-0005-0000-0000-0000945A0000}"/>
    <cellStyle name="Percent 6 12 6" xfId="22979" xr:uid="{00000000-0005-0000-0000-0000955A0000}"/>
    <cellStyle name="Percent 6 12 7" xfId="22980" xr:uid="{00000000-0005-0000-0000-0000965A0000}"/>
    <cellStyle name="Percent 6 12 8" xfId="22981" xr:uid="{00000000-0005-0000-0000-0000975A0000}"/>
    <cellStyle name="Percent 6 12 9" xfId="22982" xr:uid="{00000000-0005-0000-0000-0000985A0000}"/>
    <cellStyle name="Percent 6 13" xfId="22983" xr:uid="{00000000-0005-0000-0000-0000995A0000}"/>
    <cellStyle name="Percent 6 13 10" xfId="22984" xr:uid="{00000000-0005-0000-0000-00009A5A0000}"/>
    <cellStyle name="Percent 6 13 11" xfId="22985" xr:uid="{00000000-0005-0000-0000-00009B5A0000}"/>
    <cellStyle name="Percent 6 13 12" xfId="22986" xr:uid="{00000000-0005-0000-0000-00009C5A0000}"/>
    <cellStyle name="Percent 6 13 13" xfId="22987" xr:uid="{00000000-0005-0000-0000-00009D5A0000}"/>
    <cellStyle name="Percent 6 13 14" xfId="22988" xr:uid="{00000000-0005-0000-0000-00009E5A0000}"/>
    <cellStyle name="Percent 6 13 15" xfId="22989" xr:uid="{00000000-0005-0000-0000-00009F5A0000}"/>
    <cellStyle name="Percent 6 13 16" xfId="22990" xr:uid="{00000000-0005-0000-0000-0000A05A0000}"/>
    <cellStyle name="Percent 6 13 17" xfId="22991" xr:uid="{00000000-0005-0000-0000-0000A15A0000}"/>
    <cellStyle name="Percent 6 13 2" xfId="22992" xr:uid="{00000000-0005-0000-0000-0000A25A0000}"/>
    <cellStyle name="Percent 6 13 3" xfId="22993" xr:uid="{00000000-0005-0000-0000-0000A35A0000}"/>
    <cellStyle name="Percent 6 13 4" xfId="22994" xr:uid="{00000000-0005-0000-0000-0000A45A0000}"/>
    <cellStyle name="Percent 6 13 5" xfId="22995" xr:uid="{00000000-0005-0000-0000-0000A55A0000}"/>
    <cellStyle name="Percent 6 13 6" xfId="22996" xr:uid="{00000000-0005-0000-0000-0000A65A0000}"/>
    <cellStyle name="Percent 6 13 7" xfId="22997" xr:uid="{00000000-0005-0000-0000-0000A75A0000}"/>
    <cellStyle name="Percent 6 13 8" xfId="22998" xr:uid="{00000000-0005-0000-0000-0000A85A0000}"/>
    <cellStyle name="Percent 6 13 9" xfId="22999" xr:uid="{00000000-0005-0000-0000-0000A95A0000}"/>
    <cellStyle name="Percent 6 14" xfId="23000" xr:uid="{00000000-0005-0000-0000-0000AA5A0000}"/>
    <cellStyle name="Percent 6 14 10" xfId="23001" xr:uid="{00000000-0005-0000-0000-0000AB5A0000}"/>
    <cellStyle name="Percent 6 14 11" xfId="23002" xr:uid="{00000000-0005-0000-0000-0000AC5A0000}"/>
    <cellStyle name="Percent 6 14 12" xfId="23003" xr:uid="{00000000-0005-0000-0000-0000AD5A0000}"/>
    <cellStyle name="Percent 6 14 13" xfId="23004" xr:uid="{00000000-0005-0000-0000-0000AE5A0000}"/>
    <cellStyle name="Percent 6 14 14" xfId="23005" xr:uid="{00000000-0005-0000-0000-0000AF5A0000}"/>
    <cellStyle name="Percent 6 14 15" xfId="23006" xr:uid="{00000000-0005-0000-0000-0000B05A0000}"/>
    <cellStyle name="Percent 6 14 16" xfId="23007" xr:uid="{00000000-0005-0000-0000-0000B15A0000}"/>
    <cellStyle name="Percent 6 14 17" xfId="23008" xr:uid="{00000000-0005-0000-0000-0000B25A0000}"/>
    <cellStyle name="Percent 6 14 2" xfId="23009" xr:uid="{00000000-0005-0000-0000-0000B35A0000}"/>
    <cellStyle name="Percent 6 14 3" xfId="23010" xr:uid="{00000000-0005-0000-0000-0000B45A0000}"/>
    <cellStyle name="Percent 6 14 4" xfId="23011" xr:uid="{00000000-0005-0000-0000-0000B55A0000}"/>
    <cellStyle name="Percent 6 14 5" xfId="23012" xr:uid="{00000000-0005-0000-0000-0000B65A0000}"/>
    <cellStyle name="Percent 6 14 6" xfId="23013" xr:uid="{00000000-0005-0000-0000-0000B75A0000}"/>
    <cellStyle name="Percent 6 14 7" xfId="23014" xr:uid="{00000000-0005-0000-0000-0000B85A0000}"/>
    <cellStyle name="Percent 6 14 8" xfId="23015" xr:uid="{00000000-0005-0000-0000-0000B95A0000}"/>
    <cellStyle name="Percent 6 14 9" xfId="23016" xr:uid="{00000000-0005-0000-0000-0000BA5A0000}"/>
    <cellStyle name="Percent 6 15" xfId="23017" xr:uid="{00000000-0005-0000-0000-0000BB5A0000}"/>
    <cellStyle name="Percent 6 15 10" xfId="23018" xr:uid="{00000000-0005-0000-0000-0000BC5A0000}"/>
    <cellStyle name="Percent 6 15 11" xfId="23019" xr:uid="{00000000-0005-0000-0000-0000BD5A0000}"/>
    <cellStyle name="Percent 6 15 12" xfId="23020" xr:uid="{00000000-0005-0000-0000-0000BE5A0000}"/>
    <cellStyle name="Percent 6 15 13" xfId="23021" xr:uid="{00000000-0005-0000-0000-0000BF5A0000}"/>
    <cellStyle name="Percent 6 15 14" xfId="23022" xr:uid="{00000000-0005-0000-0000-0000C05A0000}"/>
    <cellStyle name="Percent 6 15 15" xfId="23023" xr:uid="{00000000-0005-0000-0000-0000C15A0000}"/>
    <cellStyle name="Percent 6 15 16" xfId="23024" xr:uid="{00000000-0005-0000-0000-0000C25A0000}"/>
    <cellStyle name="Percent 6 15 17" xfId="23025" xr:uid="{00000000-0005-0000-0000-0000C35A0000}"/>
    <cellStyle name="Percent 6 15 2" xfId="23026" xr:uid="{00000000-0005-0000-0000-0000C45A0000}"/>
    <cellStyle name="Percent 6 15 3" xfId="23027" xr:uid="{00000000-0005-0000-0000-0000C55A0000}"/>
    <cellStyle name="Percent 6 15 4" xfId="23028" xr:uid="{00000000-0005-0000-0000-0000C65A0000}"/>
    <cellStyle name="Percent 6 15 5" xfId="23029" xr:uid="{00000000-0005-0000-0000-0000C75A0000}"/>
    <cellStyle name="Percent 6 15 6" xfId="23030" xr:uid="{00000000-0005-0000-0000-0000C85A0000}"/>
    <cellStyle name="Percent 6 15 7" xfId="23031" xr:uid="{00000000-0005-0000-0000-0000C95A0000}"/>
    <cellStyle name="Percent 6 15 8" xfId="23032" xr:uid="{00000000-0005-0000-0000-0000CA5A0000}"/>
    <cellStyle name="Percent 6 15 9" xfId="23033" xr:uid="{00000000-0005-0000-0000-0000CB5A0000}"/>
    <cellStyle name="Percent 6 16" xfId="23034" xr:uid="{00000000-0005-0000-0000-0000CC5A0000}"/>
    <cellStyle name="Percent 6 16 10" xfId="23035" xr:uid="{00000000-0005-0000-0000-0000CD5A0000}"/>
    <cellStyle name="Percent 6 16 11" xfId="23036" xr:uid="{00000000-0005-0000-0000-0000CE5A0000}"/>
    <cellStyle name="Percent 6 16 12" xfId="23037" xr:uid="{00000000-0005-0000-0000-0000CF5A0000}"/>
    <cellStyle name="Percent 6 16 13" xfId="23038" xr:uid="{00000000-0005-0000-0000-0000D05A0000}"/>
    <cellStyle name="Percent 6 16 14" xfId="23039" xr:uid="{00000000-0005-0000-0000-0000D15A0000}"/>
    <cellStyle name="Percent 6 16 15" xfId="23040" xr:uid="{00000000-0005-0000-0000-0000D25A0000}"/>
    <cellStyle name="Percent 6 16 16" xfId="23041" xr:uid="{00000000-0005-0000-0000-0000D35A0000}"/>
    <cellStyle name="Percent 6 16 17" xfId="23042" xr:uid="{00000000-0005-0000-0000-0000D45A0000}"/>
    <cellStyle name="Percent 6 16 2" xfId="23043" xr:uid="{00000000-0005-0000-0000-0000D55A0000}"/>
    <cellStyle name="Percent 6 16 3" xfId="23044" xr:uid="{00000000-0005-0000-0000-0000D65A0000}"/>
    <cellStyle name="Percent 6 16 4" xfId="23045" xr:uid="{00000000-0005-0000-0000-0000D75A0000}"/>
    <cellStyle name="Percent 6 16 5" xfId="23046" xr:uid="{00000000-0005-0000-0000-0000D85A0000}"/>
    <cellStyle name="Percent 6 16 6" xfId="23047" xr:uid="{00000000-0005-0000-0000-0000D95A0000}"/>
    <cellStyle name="Percent 6 16 7" xfId="23048" xr:uid="{00000000-0005-0000-0000-0000DA5A0000}"/>
    <cellStyle name="Percent 6 16 8" xfId="23049" xr:uid="{00000000-0005-0000-0000-0000DB5A0000}"/>
    <cellStyle name="Percent 6 16 9" xfId="23050" xr:uid="{00000000-0005-0000-0000-0000DC5A0000}"/>
    <cellStyle name="Percent 6 17" xfId="23051" xr:uid="{00000000-0005-0000-0000-0000DD5A0000}"/>
    <cellStyle name="Percent 6 17 10" xfId="23052" xr:uid="{00000000-0005-0000-0000-0000DE5A0000}"/>
    <cellStyle name="Percent 6 17 11" xfId="23053" xr:uid="{00000000-0005-0000-0000-0000DF5A0000}"/>
    <cellStyle name="Percent 6 17 12" xfId="23054" xr:uid="{00000000-0005-0000-0000-0000E05A0000}"/>
    <cellStyle name="Percent 6 17 13" xfId="23055" xr:uid="{00000000-0005-0000-0000-0000E15A0000}"/>
    <cellStyle name="Percent 6 17 14" xfId="23056" xr:uid="{00000000-0005-0000-0000-0000E25A0000}"/>
    <cellStyle name="Percent 6 17 15" xfId="23057" xr:uid="{00000000-0005-0000-0000-0000E35A0000}"/>
    <cellStyle name="Percent 6 17 16" xfId="23058" xr:uid="{00000000-0005-0000-0000-0000E45A0000}"/>
    <cellStyle name="Percent 6 17 17" xfId="23059" xr:uid="{00000000-0005-0000-0000-0000E55A0000}"/>
    <cellStyle name="Percent 6 17 2" xfId="23060" xr:uid="{00000000-0005-0000-0000-0000E65A0000}"/>
    <cellStyle name="Percent 6 17 3" xfId="23061" xr:uid="{00000000-0005-0000-0000-0000E75A0000}"/>
    <cellStyle name="Percent 6 17 4" xfId="23062" xr:uid="{00000000-0005-0000-0000-0000E85A0000}"/>
    <cellStyle name="Percent 6 17 5" xfId="23063" xr:uid="{00000000-0005-0000-0000-0000E95A0000}"/>
    <cellStyle name="Percent 6 17 6" xfId="23064" xr:uid="{00000000-0005-0000-0000-0000EA5A0000}"/>
    <cellStyle name="Percent 6 17 7" xfId="23065" xr:uid="{00000000-0005-0000-0000-0000EB5A0000}"/>
    <cellStyle name="Percent 6 17 8" xfId="23066" xr:uid="{00000000-0005-0000-0000-0000EC5A0000}"/>
    <cellStyle name="Percent 6 17 9" xfId="23067" xr:uid="{00000000-0005-0000-0000-0000ED5A0000}"/>
    <cellStyle name="Percent 6 18" xfId="23068" xr:uid="{00000000-0005-0000-0000-0000EE5A0000}"/>
    <cellStyle name="Percent 6 18 10" xfId="23069" xr:uid="{00000000-0005-0000-0000-0000EF5A0000}"/>
    <cellStyle name="Percent 6 18 11" xfId="23070" xr:uid="{00000000-0005-0000-0000-0000F05A0000}"/>
    <cellStyle name="Percent 6 18 12" xfId="23071" xr:uid="{00000000-0005-0000-0000-0000F15A0000}"/>
    <cellStyle name="Percent 6 18 13" xfId="23072" xr:uid="{00000000-0005-0000-0000-0000F25A0000}"/>
    <cellStyle name="Percent 6 18 14" xfId="23073" xr:uid="{00000000-0005-0000-0000-0000F35A0000}"/>
    <cellStyle name="Percent 6 18 15" xfId="23074" xr:uid="{00000000-0005-0000-0000-0000F45A0000}"/>
    <cellStyle name="Percent 6 18 16" xfId="23075" xr:uid="{00000000-0005-0000-0000-0000F55A0000}"/>
    <cellStyle name="Percent 6 18 17" xfId="23076" xr:uid="{00000000-0005-0000-0000-0000F65A0000}"/>
    <cellStyle name="Percent 6 18 2" xfId="23077" xr:uid="{00000000-0005-0000-0000-0000F75A0000}"/>
    <cellStyle name="Percent 6 18 3" xfId="23078" xr:uid="{00000000-0005-0000-0000-0000F85A0000}"/>
    <cellStyle name="Percent 6 18 4" xfId="23079" xr:uid="{00000000-0005-0000-0000-0000F95A0000}"/>
    <cellStyle name="Percent 6 18 5" xfId="23080" xr:uid="{00000000-0005-0000-0000-0000FA5A0000}"/>
    <cellStyle name="Percent 6 18 6" xfId="23081" xr:uid="{00000000-0005-0000-0000-0000FB5A0000}"/>
    <cellStyle name="Percent 6 18 7" xfId="23082" xr:uid="{00000000-0005-0000-0000-0000FC5A0000}"/>
    <cellStyle name="Percent 6 18 8" xfId="23083" xr:uid="{00000000-0005-0000-0000-0000FD5A0000}"/>
    <cellStyle name="Percent 6 18 9" xfId="23084" xr:uid="{00000000-0005-0000-0000-0000FE5A0000}"/>
    <cellStyle name="Percent 6 19" xfId="23085" xr:uid="{00000000-0005-0000-0000-0000FF5A0000}"/>
    <cellStyle name="Percent 6 19 10" xfId="23086" xr:uid="{00000000-0005-0000-0000-0000005B0000}"/>
    <cellStyle name="Percent 6 19 11" xfId="23087" xr:uid="{00000000-0005-0000-0000-0000015B0000}"/>
    <cellStyle name="Percent 6 19 12" xfId="23088" xr:uid="{00000000-0005-0000-0000-0000025B0000}"/>
    <cellStyle name="Percent 6 19 13" xfId="23089" xr:uid="{00000000-0005-0000-0000-0000035B0000}"/>
    <cellStyle name="Percent 6 19 14" xfId="23090" xr:uid="{00000000-0005-0000-0000-0000045B0000}"/>
    <cellStyle name="Percent 6 19 15" xfId="23091" xr:uid="{00000000-0005-0000-0000-0000055B0000}"/>
    <cellStyle name="Percent 6 19 16" xfId="23092" xr:uid="{00000000-0005-0000-0000-0000065B0000}"/>
    <cellStyle name="Percent 6 19 17" xfId="23093" xr:uid="{00000000-0005-0000-0000-0000075B0000}"/>
    <cellStyle name="Percent 6 19 2" xfId="23094" xr:uid="{00000000-0005-0000-0000-0000085B0000}"/>
    <cellStyle name="Percent 6 19 3" xfId="23095" xr:uid="{00000000-0005-0000-0000-0000095B0000}"/>
    <cellStyle name="Percent 6 19 4" xfId="23096" xr:uid="{00000000-0005-0000-0000-00000A5B0000}"/>
    <cellStyle name="Percent 6 19 5" xfId="23097" xr:uid="{00000000-0005-0000-0000-00000B5B0000}"/>
    <cellStyle name="Percent 6 19 6" xfId="23098" xr:uid="{00000000-0005-0000-0000-00000C5B0000}"/>
    <cellStyle name="Percent 6 19 7" xfId="23099" xr:uid="{00000000-0005-0000-0000-00000D5B0000}"/>
    <cellStyle name="Percent 6 19 8" xfId="23100" xr:uid="{00000000-0005-0000-0000-00000E5B0000}"/>
    <cellStyle name="Percent 6 19 9" xfId="23101" xr:uid="{00000000-0005-0000-0000-00000F5B0000}"/>
    <cellStyle name="Percent 6 2" xfId="23102" xr:uid="{00000000-0005-0000-0000-0000105B0000}"/>
    <cellStyle name="Percent 6 20" xfId="23103" xr:uid="{00000000-0005-0000-0000-0000115B0000}"/>
    <cellStyle name="Percent 6 20 10" xfId="23104" xr:uid="{00000000-0005-0000-0000-0000125B0000}"/>
    <cellStyle name="Percent 6 20 11" xfId="23105" xr:uid="{00000000-0005-0000-0000-0000135B0000}"/>
    <cellStyle name="Percent 6 20 12" xfId="23106" xr:uid="{00000000-0005-0000-0000-0000145B0000}"/>
    <cellStyle name="Percent 6 20 13" xfId="23107" xr:uid="{00000000-0005-0000-0000-0000155B0000}"/>
    <cellStyle name="Percent 6 20 14" xfId="23108" xr:uid="{00000000-0005-0000-0000-0000165B0000}"/>
    <cellStyle name="Percent 6 20 15" xfId="23109" xr:uid="{00000000-0005-0000-0000-0000175B0000}"/>
    <cellStyle name="Percent 6 20 16" xfId="23110" xr:uid="{00000000-0005-0000-0000-0000185B0000}"/>
    <cellStyle name="Percent 6 20 17" xfId="23111" xr:uid="{00000000-0005-0000-0000-0000195B0000}"/>
    <cellStyle name="Percent 6 20 2" xfId="23112" xr:uid="{00000000-0005-0000-0000-00001A5B0000}"/>
    <cellStyle name="Percent 6 20 3" xfId="23113" xr:uid="{00000000-0005-0000-0000-00001B5B0000}"/>
    <cellStyle name="Percent 6 20 4" xfId="23114" xr:uid="{00000000-0005-0000-0000-00001C5B0000}"/>
    <cellStyle name="Percent 6 20 5" xfId="23115" xr:uid="{00000000-0005-0000-0000-00001D5B0000}"/>
    <cellStyle name="Percent 6 20 6" xfId="23116" xr:uid="{00000000-0005-0000-0000-00001E5B0000}"/>
    <cellStyle name="Percent 6 20 7" xfId="23117" xr:uid="{00000000-0005-0000-0000-00001F5B0000}"/>
    <cellStyle name="Percent 6 20 8" xfId="23118" xr:uid="{00000000-0005-0000-0000-0000205B0000}"/>
    <cellStyle name="Percent 6 20 9" xfId="23119" xr:uid="{00000000-0005-0000-0000-0000215B0000}"/>
    <cellStyle name="Percent 6 21" xfId="23120" xr:uid="{00000000-0005-0000-0000-0000225B0000}"/>
    <cellStyle name="Percent 6 21 10" xfId="23121" xr:uid="{00000000-0005-0000-0000-0000235B0000}"/>
    <cellStyle name="Percent 6 21 11" xfId="23122" xr:uid="{00000000-0005-0000-0000-0000245B0000}"/>
    <cellStyle name="Percent 6 21 12" xfId="23123" xr:uid="{00000000-0005-0000-0000-0000255B0000}"/>
    <cellStyle name="Percent 6 21 13" xfId="23124" xr:uid="{00000000-0005-0000-0000-0000265B0000}"/>
    <cellStyle name="Percent 6 21 14" xfId="23125" xr:uid="{00000000-0005-0000-0000-0000275B0000}"/>
    <cellStyle name="Percent 6 21 15" xfId="23126" xr:uid="{00000000-0005-0000-0000-0000285B0000}"/>
    <cellStyle name="Percent 6 21 16" xfId="23127" xr:uid="{00000000-0005-0000-0000-0000295B0000}"/>
    <cellStyle name="Percent 6 21 17" xfId="23128" xr:uid="{00000000-0005-0000-0000-00002A5B0000}"/>
    <cellStyle name="Percent 6 21 2" xfId="23129" xr:uid="{00000000-0005-0000-0000-00002B5B0000}"/>
    <cellStyle name="Percent 6 21 3" xfId="23130" xr:uid="{00000000-0005-0000-0000-00002C5B0000}"/>
    <cellStyle name="Percent 6 21 4" xfId="23131" xr:uid="{00000000-0005-0000-0000-00002D5B0000}"/>
    <cellStyle name="Percent 6 21 5" xfId="23132" xr:uid="{00000000-0005-0000-0000-00002E5B0000}"/>
    <cellStyle name="Percent 6 21 6" xfId="23133" xr:uid="{00000000-0005-0000-0000-00002F5B0000}"/>
    <cellStyle name="Percent 6 21 7" xfId="23134" xr:uid="{00000000-0005-0000-0000-0000305B0000}"/>
    <cellStyle name="Percent 6 21 8" xfId="23135" xr:uid="{00000000-0005-0000-0000-0000315B0000}"/>
    <cellStyle name="Percent 6 21 9" xfId="23136" xr:uid="{00000000-0005-0000-0000-0000325B0000}"/>
    <cellStyle name="Percent 6 22" xfId="23137" xr:uid="{00000000-0005-0000-0000-0000335B0000}"/>
    <cellStyle name="Percent 6 22 10" xfId="23138" xr:uid="{00000000-0005-0000-0000-0000345B0000}"/>
    <cellStyle name="Percent 6 22 11" xfId="23139" xr:uid="{00000000-0005-0000-0000-0000355B0000}"/>
    <cellStyle name="Percent 6 22 12" xfId="23140" xr:uid="{00000000-0005-0000-0000-0000365B0000}"/>
    <cellStyle name="Percent 6 22 13" xfId="23141" xr:uid="{00000000-0005-0000-0000-0000375B0000}"/>
    <cellStyle name="Percent 6 22 14" xfId="23142" xr:uid="{00000000-0005-0000-0000-0000385B0000}"/>
    <cellStyle name="Percent 6 22 15" xfId="23143" xr:uid="{00000000-0005-0000-0000-0000395B0000}"/>
    <cellStyle name="Percent 6 22 16" xfId="23144" xr:uid="{00000000-0005-0000-0000-00003A5B0000}"/>
    <cellStyle name="Percent 6 22 17" xfId="23145" xr:uid="{00000000-0005-0000-0000-00003B5B0000}"/>
    <cellStyle name="Percent 6 22 2" xfId="23146" xr:uid="{00000000-0005-0000-0000-00003C5B0000}"/>
    <cellStyle name="Percent 6 22 3" xfId="23147" xr:uid="{00000000-0005-0000-0000-00003D5B0000}"/>
    <cellStyle name="Percent 6 22 4" xfId="23148" xr:uid="{00000000-0005-0000-0000-00003E5B0000}"/>
    <cellStyle name="Percent 6 22 5" xfId="23149" xr:uid="{00000000-0005-0000-0000-00003F5B0000}"/>
    <cellStyle name="Percent 6 22 6" xfId="23150" xr:uid="{00000000-0005-0000-0000-0000405B0000}"/>
    <cellStyle name="Percent 6 22 7" xfId="23151" xr:uid="{00000000-0005-0000-0000-0000415B0000}"/>
    <cellStyle name="Percent 6 22 8" xfId="23152" xr:uid="{00000000-0005-0000-0000-0000425B0000}"/>
    <cellStyle name="Percent 6 22 9" xfId="23153" xr:uid="{00000000-0005-0000-0000-0000435B0000}"/>
    <cellStyle name="Percent 6 23" xfId="23154" xr:uid="{00000000-0005-0000-0000-0000445B0000}"/>
    <cellStyle name="Percent 6 23 10" xfId="23155" xr:uid="{00000000-0005-0000-0000-0000455B0000}"/>
    <cellStyle name="Percent 6 23 11" xfId="23156" xr:uid="{00000000-0005-0000-0000-0000465B0000}"/>
    <cellStyle name="Percent 6 23 12" xfId="23157" xr:uid="{00000000-0005-0000-0000-0000475B0000}"/>
    <cellStyle name="Percent 6 23 13" xfId="23158" xr:uid="{00000000-0005-0000-0000-0000485B0000}"/>
    <cellStyle name="Percent 6 23 14" xfId="23159" xr:uid="{00000000-0005-0000-0000-0000495B0000}"/>
    <cellStyle name="Percent 6 23 15" xfId="23160" xr:uid="{00000000-0005-0000-0000-00004A5B0000}"/>
    <cellStyle name="Percent 6 23 16" xfId="23161" xr:uid="{00000000-0005-0000-0000-00004B5B0000}"/>
    <cellStyle name="Percent 6 23 17" xfId="23162" xr:uid="{00000000-0005-0000-0000-00004C5B0000}"/>
    <cellStyle name="Percent 6 23 2" xfId="23163" xr:uid="{00000000-0005-0000-0000-00004D5B0000}"/>
    <cellStyle name="Percent 6 23 3" xfId="23164" xr:uid="{00000000-0005-0000-0000-00004E5B0000}"/>
    <cellStyle name="Percent 6 23 4" xfId="23165" xr:uid="{00000000-0005-0000-0000-00004F5B0000}"/>
    <cellStyle name="Percent 6 23 5" xfId="23166" xr:uid="{00000000-0005-0000-0000-0000505B0000}"/>
    <cellStyle name="Percent 6 23 6" xfId="23167" xr:uid="{00000000-0005-0000-0000-0000515B0000}"/>
    <cellStyle name="Percent 6 23 7" xfId="23168" xr:uid="{00000000-0005-0000-0000-0000525B0000}"/>
    <cellStyle name="Percent 6 23 8" xfId="23169" xr:uid="{00000000-0005-0000-0000-0000535B0000}"/>
    <cellStyle name="Percent 6 23 9" xfId="23170" xr:uid="{00000000-0005-0000-0000-0000545B0000}"/>
    <cellStyle name="Percent 6 24" xfId="23171" xr:uid="{00000000-0005-0000-0000-0000555B0000}"/>
    <cellStyle name="Percent 6 24 10" xfId="23172" xr:uid="{00000000-0005-0000-0000-0000565B0000}"/>
    <cellStyle name="Percent 6 24 11" xfId="23173" xr:uid="{00000000-0005-0000-0000-0000575B0000}"/>
    <cellStyle name="Percent 6 24 12" xfId="23174" xr:uid="{00000000-0005-0000-0000-0000585B0000}"/>
    <cellStyle name="Percent 6 24 13" xfId="23175" xr:uid="{00000000-0005-0000-0000-0000595B0000}"/>
    <cellStyle name="Percent 6 24 14" xfId="23176" xr:uid="{00000000-0005-0000-0000-00005A5B0000}"/>
    <cellStyle name="Percent 6 24 15" xfId="23177" xr:uid="{00000000-0005-0000-0000-00005B5B0000}"/>
    <cellStyle name="Percent 6 24 16" xfId="23178" xr:uid="{00000000-0005-0000-0000-00005C5B0000}"/>
    <cellStyle name="Percent 6 24 17" xfId="23179" xr:uid="{00000000-0005-0000-0000-00005D5B0000}"/>
    <cellStyle name="Percent 6 24 2" xfId="23180" xr:uid="{00000000-0005-0000-0000-00005E5B0000}"/>
    <cellStyle name="Percent 6 24 3" xfId="23181" xr:uid="{00000000-0005-0000-0000-00005F5B0000}"/>
    <cellStyle name="Percent 6 24 4" xfId="23182" xr:uid="{00000000-0005-0000-0000-0000605B0000}"/>
    <cellStyle name="Percent 6 24 5" xfId="23183" xr:uid="{00000000-0005-0000-0000-0000615B0000}"/>
    <cellStyle name="Percent 6 24 6" xfId="23184" xr:uid="{00000000-0005-0000-0000-0000625B0000}"/>
    <cellStyle name="Percent 6 24 7" xfId="23185" xr:uid="{00000000-0005-0000-0000-0000635B0000}"/>
    <cellStyle name="Percent 6 24 8" xfId="23186" xr:uid="{00000000-0005-0000-0000-0000645B0000}"/>
    <cellStyle name="Percent 6 24 9" xfId="23187" xr:uid="{00000000-0005-0000-0000-0000655B0000}"/>
    <cellStyle name="Percent 6 25" xfId="23188" xr:uid="{00000000-0005-0000-0000-0000665B0000}"/>
    <cellStyle name="Percent 6 25 10" xfId="23189" xr:uid="{00000000-0005-0000-0000-0000675B0000}"/>
    <cellStyle name="Percent 6 25 11" xfId="23190" xr:uid="{00000000-0005-0000-0000-0000685B0000}"/>
    <cellStyle name="Percent 6 25 12" xfId="23191" xr:uid="{00000000-0005-0000-0000-0000695B0000}"/>
    <cellStyle name="Percent 6 25 13" xfId="23192" xr:uid="{00000000-0005-0000-0000-00006A5B0000}"/>
    <cellStyle name="Percent 6 25 14" xfId="23193" xr:uid="{00000000-0005-0000-0000-00006B5B0000}"/>
    <cellStyle name="Percent 6 25 15" xfId="23194" xr:uid="{00000000-0005-0000-0000-00006C5B0000}"/>
    <cellStyle name="Percent 6 25 16" xfId="23195" xr:uid="{00000000-0005-0000-0000-00006D5B0000}"/>
    <cellStyle name="Percent 6 25 17" xfId="23196" xr:uid="{00000000-0005-0000-0000-00006E5B0000}"/>
    <cellStyle name="Percent 6 25 2" xfId="23197" xr:uid="{00000000-0005-0000-0000-00006F5B0000}"/>
    <cellStyle name="Percent 6 25 3" xfId="23198" xr:uid="{00000000-0005-0000-0000-0000705B0000}"/>
    <cellStyle name="Percent 6 25 4" xfId="23199" xr:uid="{00000000-0005-0000-0000-0000715B0000}"/>
    <cellStyle name="Percent 6 25 5" xfId="23200" xr:uid="{00000000-0005-0000-0000-0000725B0000}"/>
    <cellStyle name="Percent 6 25 6" xfId="23201" xr:uid="{00000000-0005-0000-0000-0000735B0000}"/>
    <cellStyle name="Percent 6 25 7" xfId="23202" xr:uid="{00000000-0005-0000-0000-0000745B0000}"/>
    <cellStyle name="Percent 6 25 8" xfId="23203" xr:uid="{00000000-0005-0000-0000-0000755B0000}"/>
    <cellStyle name="Percent 6 25 9" xfId="23204" xr:uid="{00000000-0005-0000-0000-0000765B0000}"/>
    <cellStyle name="Percent 6 26" xfId="23205" xr:uid="{00000000-0005-0000-0000-0000775B0000}"/>
    <cellStyle name="Percent 6 26 10" xfId="23206" xr:uid="{00000000-0005-0000-0000-0000785B0000}"/>
    <cellStyle name="Percent 6 26 11" xfId="23207" xr:uid="{00000000-0005-0000-0000-0000795B0000}"/>
    <cellStyle name="Percent 6 26 12" xfId="23208" xr:uid="{00000000-0005-0000-0000-00007A5B0000}"/>
    <cellStyle name="Percent 6 26 13" xfId="23209" xr:uid="{00000000-0005-0000-0000-00007B5B0000}"/>
    <cellStyle name="Percent 6 26 14" xfId="23210" xr:uid="{00000000-0005-0000-0000-00007C5B0000}"/>
    <cellStyle name="Percent 6 26 15" xfId="23211" xr:uid="{00000000-0005-0000-0000-00007D5B0000}"/>
    <cellStyle name="Percent 6 26 16" xfId="23212" xr:uid="{00000000-0005-0000-0000-00007E5B0000}"/>
    <cellStyle name="Percent 6 26 17" xfId="23213" xr:uid="{00000000-0005-0000-0000-00007F5B0000}"/>
    <cellStyle name="Percent 6 26 2" xfId="23214" xr:uid="{00000000-0005-0000-0000-0000805B0000}"/>
    <cellStyle name="Percent 6 26 3" xfId="23215" xr:uid="{00000000-0005-0000-0000-0000815B0000}"/>
    <cellStyle name="Percent 6 26 4" xfId="23216" xr:uid="{00000000-0005-0000-0000-0000825B0000}"/>
    <cellStyle name="Percent 6 26 5" xfId="23217" xr:uid="{00000000-0005-0000-0000-0000835B0000}"/>
    <cellStyle name="Percent 6 26 6" xfId="23218" xr:uid="{00000000-0005-0000-0000-0000845B0000}"/>
    <cellStyle name="Percent 6 26 7" xfId="23219" xr:uid="{00000000-0005-0000-0000-0000855B0000}"/>
    <cellStyle name="Percent 6 26 8" xfId="23220" xr:uid="{00000000-0005-0000-0000-0000865B0000}"/>
    <cellStyle name="Percent 6 26 9" xfId="23221" xr:uid="{00000000-0005-0000-0000-0000875B0000}"/>
    <cellStyle name="Percent 6 27" xfId="23222" xr:uid="{00000000-0005-0000-0000-0000885B0000}"/>
    <cellStyle name="Percent 6 27 10" xfId="23223" xr:uid="{00000000-0005-0000-0000-0000895B0000}"/>
    <cellStyle name="Percent 6 27 11" xfId="23224" xr:uid="{00000000-0005-0000-0000-00008A5B0000}"/>
    <cellStyle name="Percent 6 27 12" xfId="23225" xr:uid="{00000000-0005-0000-0000-00008B5B0000}"/>
    <cellStyle name="Percent 6 27 13" xfId="23226" xr:uid="{00000000-0005-0000-0000-00008C5B0000}"/>
    <cellStyle name="Percent 6 27 14" xfId="23227" xr:uid="{00000000-0005-0000-0000-00008D5B0000}"/>
    <cellStyle name="Percent 6 27 15" xfId="23228" xr:uid="{00000000-0005-0000-0000-00008E5B0000}"/>
    <cellStyle name="Percent 6 27 16" xfId="23229" xr:uid="{00000000-0005-0000-0000-00008F5B0000}"/>
    <cellStyle name="Percent 6 27 17" xfId="23230" xr:uid="{00000000-0005-0000-0000-0000905B0000}"/>
    <cellStyle name="Percent 6 27 2" xfId="23231" xr:uid="{00000000-0005-0000-0000-0000915B0000}"/>
    <cellStyle name="Percent 6 27 3" xfId="23232" xr:uid="{00000000-0005-0000-0000-0000925B0000}"/>
    <cellStyle name="Percent 6 27 4" xfId="23233" xr:uid="{00000000-0005-0000-0000-0000935B0000}"/>
    <cellStyle name="Percent 6 27 5" xfId="23234" xr:uid="{00000000-0005-0000-0000-0000945B0000}"/>
    <cellStyle name="Percent 6 27 6" xfId="23235" xr:uid="{00000000-0005-0000-0000-0000955B0000}"/>
    <cellStyle name="Percent 6 27 7" xfId="23236" xr:uid="{00000000-0005-0000-0000-0000965B0000}"/>
    <cellStyle name="Percent 6 27 8" xfId="23237" xr:uid="{00000000-0005-0000-0000-0000975B0000}"/>
    <cellStyle name="Percent 6 27 9" xfId="23238" xr:uid="{00000000-0005-0000-0000-0000985B0000}"/>
    <cellStyle name="Percent 6 28" xfId="23239" xr:uid="{00000000-0005-0000-0000-0000995B0000}"/>
    <cellStyle name="Percent 6 28 10" xfId="23240" xr:uid="{00000000-0005-0000-0000-00009A5B0000}"/>
    <cellStyle name="Percent 6 28 11" xfId="23241" xr:uid="{00000000-0005-0000-0000-00009B5B0000}"/>
    <cellStyle name="Percent 6 28 12" xfId="23242" xr:uid="{00000000-0005-0000-0000-00009C5B0000}"/>
    <cellStyle name="Percent 6 28 13" xfId="23243" xr:uid="{00000000-0005-0000-0000-00009D5B0000}"/>
    <cellStyle name="Percent 6 28 14" xfId="23244" xr:uid="{00000000-0005-0000-0000-00009E5B0000}"/>
    <cellStyle name="Percent 6 28 15" xfId="23245" xr:uid="{00000000-0005-0000-0000-00009F5B0000}"/>
    <cellStyle name="Percent 6 28 16" xfId="23246" xr:uid="{00000000-0005-0000-0000-0000A05B0000}"/>
    <cellStyle name="Percent 6 28 17" xfId="23247" xr:uid="{00000000-0005-0000-0000-0000A15B0000}"/>
    <cellStyle name="Percent 6 28 2" xfId="23248" xr:uid="{00000000-0005-0000-0000-0000A25B0000}"/>
    <cellStyle name="Percent 6 28 3" xfId="23249" xr:uid="{00000000-0005-0000-0000-0000A35B0000}"/>
    <cellStyle name="Percent 6 28 4" xfId="23250" xr:uid="{00000000-0005-0000-0000-0000A45B0000}"/>
    <cellStyle name="Percent 6 28 5" xfId="23251" xr:uid="{00000000-0005-0000-0000-0000A55B0000}"/>
    <cellStyle name="Percent 6 28 6" xfId="23252" xr:uid="{00000000-0005-0000-0000-0000A65B0000}"/>
    <cellStyle name="Percent 6 28 7" xfId="23253" xr:uid="{00000000-0005-0000-0000-0000A75B0000}"/>
    <cellStyle name="Percent 6 28 8" xfId="23254" xr:uid="{00000000-0005-0000-0000-0000A85B0000}"/>
    <cellStyle name="Percent 6 28 9" xfId="23255" xr:uid="{00000000-0005-0000-0000-0000A95B0000}"/>
    <cellStyle name="Percent 6 29" xfId="23256" xr:uid="{00000000-0005-0000-0000-0000AA5B0000}"/>
    <cellStyle name="Percent 6 29 10" xfId="23257" xr:uid="{00000000-0005-0000-0000-0000AB5B0000}"/>
    <cellStyle name="Percent 6 29 11" xfId="23258" xr:uid="{00000000-0005-0000-0000-0000AC5B0000}"/>
    <cellStyle name="Percent 6 29 12" xfId="23259" xr:uid="{00000000-0005-0000-0000-0000AD5B0000}"/>
    <cellStyle name="Percent 6 29 13" xfId="23260" xr:uid="{00000000-0005-0000-0000-0000AE5B0000}"/>
    <cellStyle name="Percent 6 29 14" xfId="23261" xr:uid="{00000000-0005-0000-0000-0000AF5B0000}"/>
    <cellStyle name="Percent 6 29 15" xfId="23262" xr:uid="{00000000-0005-0000-0000-0000B05B0000}"/>
    <cellStyle name="Percent 6 29 16" xfId="23263" xr:uid="{00000000-0005-0000-0000-0000B15B0000}"/>
    <cellStyle name="Percent 6 29 17" xfId="23264" xr:uid="{00000000-0005-0000-0000-0000B25B0000}"/>
    <cellStyle name="Percent 6 29 2" xfId="23265" xr:uid="{00000000-0005-0000-0000-0000B35B0000}"/>
    <cellStyle name="Percent 6 29 3" xfId="23266" xr:uid="{00000000-0005-0000-0000-0000B45B0000}"/>
    <cellStyle name="Percent 6 29 4" xfId="23267" xr:uid="{00000000-0005-0000-0000-0000B55B0000}"/>
    <cellStyle name="Percent 6 29 5" xfId="23268" xr:uid="{00000000-0005-0000-0000-0000B65B0000}"/>
    <cellStyle name="Percent 6 29 6" xfId="23269" xr:uid="{00000000-0005-0000-0000-0000B75B0000}"/>
    <cellStyle name="Percent 6 29 7" xfId="23270" xr:uid="{00000000-0005-0000-0000-0000B85B0000}"/>
    <cellStyle name="Percent 6 29 8" xfId="23271" xr:uid="{00000000-0005-0000-0000-0000B95B0000}"/>
    <cellStyle name="Percent 6 29 9" xfId="23272" xr:uid="{00000000-0005-0000-0000-0000BA5B0000}"/>
    <cellStyle name="Percent 6 3" xfId="23273" xr:uid="{00000000-0005-0000-0000-0000BB5B0000}"/>
    <cellStyle name="Percent 6 3 10" xfId="23274" xr:uid="{00000000-0005-0000-0000-0000BC5B0000}"/>
    <cellStyle name="Percent 6 3 11" xfId="23275" xr:uid="{00000000-0005-0000-0000-0000BD5B0000}"/>
    <cellStyle name="Percent 6 3 12" xfId="23276" xr:uid="{00000000-0005-0000-0000-0000BE5B0000}"/>
    <cellStyle name="Percent 6 3 13" xfId="23277" xr:uid="{00000000-0005-0000-0000-0000BF5B0000}"/>
    <cellStyle name="Percent 6 3 14" xfId="23278" xr:uid="{00000000-0005-0000-0000-0000C05B0000}"/>
    <cellStyle name="Percent 6 3 15" xfId="23279" xr:uid="{00000000-0005-0000-0000-0000C15B0000}"/>
    <cellStyle name="Percent 6 3 16" xfId="23280" xr:uid="{00000000-0005-0000-0000-0000C25B0000}"/>
    <cellStyle name="Percent 6 3 17" xfId="23281" xr:uid="{00000000-0005-0000-0000-0000C35B0000}"/>
    <cellStyle name="Percent 6 3 2" xfId="23282" xr:uid="{00000000-0005-0000-0000-0000C45B0000}"/>
    <cellStyle name="Percent 6 3 3" xfId="23283" xr:uid="{00000000-0005-0000-0000-0000C55B0000}"/>
    <cellStyle name="Percent 6 3 4" xfId="23284" xr:uid="{00000000-0005-0000-0000-0000C65B0000}"/>
    <cellStyle name="Percent 6 3 5" xfId="23285" xr:uid="{00000000-0005-0000-0000-0000C75B0000}"/>
    <cellStyle name="Percent 6 3 6" xfId="23286" xr:uid="{00000000-0005-0000-0000-0000C85B0000}"/>
    <cellStyle name="Percent 6 3 7" xfId="23287" xr:uid="{00000000-0005-0000-0000-0000C95B0000}"/>
    <cellStyle name="Percent 6 3 8" xfId="23288" xr:uid="{00000000-0005-0000-0000-0000CA5B0000}"/>
    <cellStyle name="Percent 6 3 9" xfId="23289" xr:uid="{00000000-0005-0000-0000-0000CB5B0000}"/>
    <cellStyle name="Percent 6 30" xfId="23290" xr:uid="{00000000-0005-0000-0000-0000CC5B0000}"/>
    <cellStyle name="Percent 6 30 10" xfId="23291" xr:uid="{00000000-0005-0000-0000-0000CD5B0000}"/>
    <cellStyle name="Percent 6 30 11" xfId="23292" xr:uid="{00000000-0005-0000-0000-0000CE5B0000}"/>
    <cellStyle name="Percent 6 30 12" xfId="23293" xr:uid="{00000000-0005-0000-0000-0000CF5B0000}"/>
    <cellStyle name="Percent 6 30 13" xfId="23294" xr:uid="{00000000-0005-0000-0000-0000D05B0000}"/>
    <cellStyle name="Percent 6 30 14" xfId="23295" xr:uid="{00000000-0005-0000-0000-0000D15B0000}"/>
    <cellStyle name="Percent 6 30 15" xfId="23296" xr:uid="{00000000-0005-0000-0000-0000D25B0000}"/>
    <cellStyle name="Percent 6 30 16" xfId="23297" xr:uid="{00000000-0005-0000-0000-0000D35B0000}"/>
    <cellStyle name="Percent 6 30 17" xfId="23298" xr:uid="{00000000-0005-0000-0000-0000D45B0000}"/>
    <cellStyle name="Percent 6 30 2" xfId="23299" xr:uid="{00000000-0005-0000-0000-0000D55B0000}"/>
    <cellStyle name="Percent 6 30 3" xfId="23300" xr:uid="{00000000-0005-0000-0000-0000D65B0000}"/>
    <cellStyle name="Percent 6 30 4" xfId="23301" xr:uid="{00000000-0005-0000-0000-0000D75B0000}"/>
    <cellStyle name="Percent 6 30 5" xfId="23302" xr:uid="{00000000-0005-0000-0000-0000D85B0000}"/>
    <cellStyle name="Percent 6 30 6" xfId="23303" xr:uid="{00000000-0005-0000-0000-0000D95B0000}"/>
    <cellStyle name="Percent 6 30 7" xfId="23304" xr:uid="{00000000-0005-0000-0000-0000DA5B0000}"/>
    <cellStyle name="Percent 6 30 8" xfId="23305" xr:uid="{00000000-0005-0000-0000-0000DB5B0000}"/>
    <cellStyle name="Percent 6 30 9" xfId="23306" xr:uid="{00000000-0005-0000-0000-0000DC5B0000}"/>
    <cellStyle name="Percent 6 31" xfId="23307" xr:uid="{00000000-0005-0000-0000-0000DD5B0000}"/>
    <cellStyle name="Percent 6 31 10" xfId="23308" xr:uid="{00000000-0005-0000-0000-0000DE5B0000}"/>
    <cellStyle name="Percent 6 31 11" xfId="23309" xr:uid="{00000000-0005-0000-0000-0000DF5B0000}"/>
    <cellStyle name="Percent 6 31 12" xfId="23310" xr:uid="{00000000-0005-0000-0000-0000E05B0000}"/>
    <cellStyle name="Percent 6 31 13" xfId="23311" xr:uid="{00000000-0005-0000-0000-0000E15B0000}"/>
    <cellStyle name="Percent 6 31 14" xfId="23312" xr:uid="{00000000-0005-0000-0000-0000E25B0000}"/>
    <cellStyle name="Percent 6 31 15" xfId="23313" xr:uid="{00000000-0005-0000-0000-0000E35B0000}"/>
    <cellStyle name="Percent 6 31 16" xfId="23314" xr:uid="{00000000-0005-0000-0000-0000E45B0000}"/>
    <cellStyle name="Percent 6 31 17" xfId="23315" xr:uid="{00000000-0005-0000-0000-0000E55B0000}"/>
    <cellStyle name="Percent 6 31 2" xfId="23316" xr:uid="{00000000-0005-0000-0000-0000E65B0000}"/>
    <cellStyle name="Percent 6 31 3" xfId="23317" xr:uid="{00000000-0005-0000-0000-0000E75B0000}"/>
    <cellStyle name="Percent 6 31 4" xfId="23318" xr:uid="{00000000-0005-0000-0000-0000E85B0000}"/>
    <cellStyle name="Percent 6 31 5" xfId="23319" xr:uid="{00000000-0005-0000-0000-0000E95B0000}"/>
    <cellStyle name="Percent 6 31 6" xfId="23320" xr:uid="{00000000-0005-0000-0000-0000EA5B0000}"/>
    <cellStyle name="Percent 6 31 7" xfId="23321" xr:uid="{00000000-0005-0000-0000-0000EB5B0000}"/>
    <cellStyle name="Percent 6 31 8" xfId="23322" xr:uid="{00000000-0005-0000-0000-0000EC5B0000}"/>
    <cellStyle name="Percent 6 31 9" xfId="23323" xr:uid="{00000000-0005-0000-0000-0000ED5B0000}"/>
    <cellStyle name="Percent 6 32" xfId="23324" xr:uid="{00000000-0005-0000-0000-0000EE5B0000}"/>
    <cellStyle name="Percent 6 32 10" xfId="23325" xr:uid="{00000000-0005-0000-0000-0000EF5B0000}"/>
    <cellStyle name="Percent 6 32 11" xfId="23326" xr:uid="{00000000-0005-0000-0000-0000F05B0000}"/>
    <cellStyle name="Percent 6 32 12" xfId="23327" xr:uid="{00000000-0005-0000-0000-0000F15B0000}"/>
    <cellStyle name="Percent 6 32 13" xfId="23328" xr:uid="{00000000-0005-0000-0000-0000F25B0000}"/>
    <cellStyle name="Percent 6 32 14" xfId="23329" xr:uid="{00000000-0005-0000-0000-0000F35B0000}"/>
    <cellStyle name="Percent 6 32 15" xfId="23330" xr:uid="{00000000-0005-0000-0000-0000F45B0000}"/>
    <cellStyle name="Percent 6 32 16" xfId="23331" xr:uid="{00000000-0005-0000-0000-0000F55B0000}"/>
    <cellStyle name="Percent 6 32 17" xfId="23332" xr:uid="{00000000-0005-0000-0000-0000F65B0000}"/>
    <cellStyle name="Percent 6 32 2" xfId="23333" xr:uid="{00000000-0005-0000-0000-0000F75B0000}"/>
    <cellStyle name="Percent 6 32 3" xfId="23334" xr:uid="{00000000-0005-0000-0000-0000F85B0000}"/>
    <cellStyle name="Percent 6 32 4" xfId="23335" xr:uid="{00000000-0005-0000-0000-0000F95B0000}"/>
    <cellStyle name="Percent 6 32 5" xfId="23336" xr:uid="{00000000-0005-0000-0000-0000FA5B0000}"/>
    <cellStyle name="Percent 6 32 6" xfId="23337" xr:uid="{00000000-0005-0000-0000-0000FB5B0000}"/>
    <cellStyle name="Percent 6 32 7" xfId="23338" xr:uid="{00000000-0005-0000-0000-0000FC5B0000}"/>
    <cellStyle name="Percent 6 32 8" xfId="23339" xr:uid="{00000000-0005-0000-0000-0000FD5B0000}"/>
    <cellStyle name="Percent 6 32 9" xfId="23340" xr:uid="{00000000-0005-0000-0000-0000FE5B0000}"/>
    <cellStyle name="Percent 6 33" xfId="23341" xr:uid="{00000000-0005-0000-0000-0000FF5B0000}"/>
    <cellStyle name="Percent 6 33 10" xfId="23342" xr:uid="{00000000-0005-0000-0000-0000005C0000}"/>
    <cellStyle name="Percent 6 33 11" xfId="23343" xr:uid="{00000000-0005-0000-0000-0000015C0000}"/>
    <cellStyle name="Percent 6 33 12" xfId="23344" xr:uid="{00000000-0005-0000-0000-0000025C0000}"/>
    <cellStyle name="Percent 6 33 13" xfId="23345" xr:uid="{00000000-0005-0000-0000-0000035C0000}"/>
    <cellStyle name="Percent 6 33 14" xfId="23346" xr:uid="{00000000-0005-0000-0000-0000045C0000}"/>
    <cellStyle name="Percent 6 33 15" xfId="23347" xr:uid="{00000000-0005-0000-0000-0000055C0000}"/>
    <cellStyle name="Percent 6 33 16" xfId="23348" xr:uid="{00000000-0005-0000-0000-0000065C0000}"/>
    <cellStyle name="Percent 6 33 17" xfId="23349" xr:uid="{00000000-0005-0000-0000-0000075C0000}"/>
    <cellStyle name="Percent 6 33 2" xfId="23350" xr:uid="{00000000-0005-0000-0000-0000085C0000}"/>
    <cellStyle name="Percent 6 33 3" xfId="23351" xr:uid="{00000000-0005-0000-0000-0000095C0000}"/>
    <cellStyle name="Percent 6 33 4" xfId="23352" xr:uid="{00000000-0005-0000-0000-00000A5C0000}"/>
    <cellStyle name="Percent 6 33 5" xfId="23353" xr:uid="{00000000-0005-0000-0000-00000B5C0000}"/>
    <cellStyle name="Percent 6 33 6" xfId="23354" xr:uid="{00000000-0005-0000-0000-00000C5C0000}"/>
    <cellStyle name="Percent 6 33 7" xfId="23355" xr:uid="{00000000-0005-0000-0000-00000D5C0000}"/>
    <cellStyle name="Percent 6 33 8" xfId="23356" xr:uid="{00000000-0005-0000-0000-00000E5C0000}"/>
    <cellStyle name="Percent 6 33 9" xfId="23357" xr:uid="{00000000-0005-0000-0000-00000F5C0000}"/>
    <cellStyle name="Percent 6 34" xfId="23358" xr:uid="{00000000-0005-0000-0000-0000105C0000}"/>
    <cellStyle name="Percent 6 34 10" xfId="23359" xr:uid="{00000000-0005-0000-0000-0000115C0000}"/>
    <cellStyle name="Percent 6 34 11" xfId="23360" xr:uid="{00000000-0005-0000-0000-0000125C0000}"/>
    <cellStyle name="Percent 6 34 12" xfId="23361" xr:uid="{00000000-0005-0000-0000-0000135C0000}"/>
    <cellStyle name="Percent 6 34 13" xfId="23362" xr:uid="{00000000-0005-0000-0000-0000145C0000}"/>
    <cellStyle name="Percent 6 34 14" xfId="23363" xr:uid="{00000000-0005-0000-0000-0000155C0000}"/>
    <cellStyle name="Percent 6 34 15" xfId="23364" xr:uid="{00000000-0005-0000-0000-0000165C0000}"/>
    <cellStyle name="Percent 6 34 16" xfId="23365" xr:uid="{00000000-0005-0000-0000-0000175C0000}"/>
    <cellStyle name="Percent 6 34 17" xfId="23366" xr:uid="{00000000-0005-0000-0000-0000185C0000}"/>
    <cellStyle name="Percent 6 34 2" xfId="23367" xr:uid="{00000000-0005-0000-0000-0000195C0000}"/>
    <cellStyle name="Percent 6 34 3" xfId="23368" xr:uid="{00000000-0005-0000-0000-00001A5C0000}"/>
    <cellStyle name="Percent 6 34 4" xfId="23369" xr:uid="{00000000-0005-0000-0000-00001B5C0000}"/>
    <cellStyle name="Percent 6 34 5" xfId="23370" xr:uid="{00000000-0005-0000-0000-00001C5C0000}"/>
    <cellStyle name="Percent 6 34 6" xfId="23371" xr:uid="{00000000-0005-0000-0000-00001D5C0000}"/>
    <cellStyle name="Percent 6 34 7" xfId="23372" xr:uid="{00000000-0005-0000-0000-00001E5C0000}"/>
    <cellStyle name="Percent 6 34 8" xfId="23373" xr:uid="{00000000-0005-0000-0000-00001F5C0000}"/>
    <cellStyle name="Percent 6 34 9" xfId="23374" xr:uid="{00000000-0005-0000-0000-0000205C0000}"/>
    <cellStyle name="Percent 6 35" xfId="23375" xr:uid="{00000000-0005-0000-0000-0000215C0000}"/>
    <cellStyle name="Percent 6 35 10" xfId="23376" xr:uid="{00000000-0005-0000-0000-0000225C0000}"/>
    <cellStyle name="Percent 6 35 11" xfId="23377" xr:uid="{00000000-0005-0000-0000-0000235C0000}"/>
    <cellStyle name="Percent 6 35 12" xfId="23378" xr:uid="{00000000-0005-0000-0000-0000245C0000}"/>
    <cellStyle name="Percent 6 35 13" xfId="23379" xr:uid="{00000000-0005-0000-0000-0000255C0000}"/>
    <cellStyle name="Percent 6 35 14" xfId="23380" xr:uid="{00000000-0005-0000-0000-0000265C0000}"/>
    <cellStyle name="Percent 6 35 15" xfId="23381" xr:uid="{00000000-0005-0000-0000-0000275C0000}"/>
    <cellStyle name="Percent 6 35 16" xfId="23382" xr:uid="{00000000-0005-0000-0000-0000285C0000}"/>
    <cellStyle name="Percent 6 35 17" xfId="23383" xr:uid="{00000000-0005-0000-0000-0000295C0000}"/>
    <cellStyle name="Percent 6 35 2" xfId="23384" xr:uid="{00000000-0005-0000-0000-00002A5C0000}"/>
    <cellStyle name="Percent 6 35 3" xfId="23385" xr:uid="{00000000-0005-0000-0000-00002B5C0000}"/>
    <cellStyle name="Percent 6 35 4" xfId="23386" xr:uid="{00000000-0005-0000-0000-00002C5C0000}"/>
    <cellStyle name="Percent 6 35 5" xfId="23387" xr:uid="{00000000-0005-0000-0000-00002D5C0000}"/>
    <cellStyle name="Percent 6 35 6" xfId="23388" xr:uid="{00000000-0005-0000-0000-00002E5C0000}"/>
    <cellStyle name="Percent 6 35 7" xfId="23389" xr:uid="{00000000-0005-0000-0000-00002F5C0000}"/>
    <cellStyle name="Percent 6 35 8" xfId="23390" xr:uid="{00000000-0005-0000-0000-0000305C0000}"/>
    <cellStyle name="Percent 6 35 9" xfId="23391" xr:uid="{00000000-0005-0000-0000-0000315C0000}"/>
    <cellStyle name="Percent 6 36" xfId="23392" xr:uid="{00000000-0005-0000-0000-0000325C0000}"/>
    <cellStyle name="Percent 6 36 10" xfId="23393" xr:uid="{00000000-0005-0000-0000-0000335C0000}"/>
    <cellStyle name="Percent 6 36 11" xfId="23394" xr:uid="{00000000-0005-0000-0000-0000345C0000}"/>
    <cellStyle name="Percent 6 36 12" xfId="23395" xr:uid="{00000000-0005-0000-0000-0000355C0000}"/>
    <cellStyle name="Percent 6 36 13" xfId="23396" xr:uid="{00000000-0005-0000-0000-0000365C0000}"/>
    <cellStyle name="Percent 6 36 14" xfId="23397" xr:uid="{00000000-0005-0000-0000-0000375C0000}"/>
    <cellStyle name="Percent 6 36 15" xfId="23398" xr:uid="{00000000-0005-0000-0000-0000385C0000}"/>
    <cellStyle name="Percent 6 36 16" xfId="23399" xr:uid="{00000000-0005-0000-0000-0000395C0000}"/>
    <cellStyle name="Percent 6 36 17" xfId="23400" xr:uid="{00000000-0005-0000-0000-00003A5C0000}"/>
    <cellStyle name="Percent 6 36 2" xfId="23401" xr:uid="{00000000-0005-0000-0000-00003B5C0000}"/>
    <cellStyle name="Percent 6 36 3" xfId="23402" xr:uid="{00000000-0005-0000-0000-00003C5C0000}"/>
    <cellStyle name="Percent 6 36 4" xfId="23403" xr:uid="{00000000-0005-0000-0000-00003D5C0000}"/>
    <cellStyle name="Percent 6 36 5" xfId="23404" xr:uid="{00000000-0005-0000-0000-00003E5C0000}"/>
    <cellStyle name="Percent 6 36 6" xfId="23405" xr:uid="{00000000-0005-0000-0000-00003F5C0000}"/>
    <cellStyle name="Percent 6 36 7" xfId="23406" xr:uid="{00000000-0005-0000-0000-0000405C0000}"/>
    <cellStyle name="Percent 6 36 8" xfId="23407" xr:uid="{00000000-0005-0000-0000-0000415C0000}"/>
    <cellStyle name="Percent 6 36 9" xfId="23408" xr:uid="{00000000-0005-0000-0000-0000425C0000}"/>
    <cellStyle name="Percent 6 37" xfId="23409" xr:uid="{00000000-0005-0000-0000-0000435C0000}"/>
    <cellStyle name="Percent 6 37 10" xfId="23410" xr:uid="{00000000-0005-0000-0000-0000445C0000}"/>
    <cellStyle name="Percent 6 37 11" xfId="23411" xr:uid="{00000000-0005-0000-0000-0000455C0000}"/>
    <cellStyle name="Percent 6 37 12" xfId="23412" xr:uid="{00000000-0005-0000-0000-0000465C0000}"/>
    <cellStyle name="Percent 6 37 13" xfId="23413" xr:uid="{00000000-0005-0000-0000-0000475C0000}"/>
    <cellStyle name="Percent 6 37 14" xfId="23414" xr:uid="{00000000-0005-0000-0000-0000485C0000}"/>
    <cellStyle name="Percent 6 37 15" xfId="23415" xr:uid="{00000000-0005-0000-0000-0000495C0000}"/>
    <cellStyle name="Percent 6 37 16" xfId="23416" xr:uid="{00000000-0005-0000-0000-00004A5C0000}"/>
    <cellStyle name="Percent 6 37 17" xfId="23417" xr:uid="{00000000-0005-0000-0000-00004B5C0000}"/>
    <cellStyle name="Percent 6 37 2" xfId="23418" xr:uid="{00000000-0005-0000-0000-00004C5C0000}"/>
    <cellStyle name="Percent 6 37 3" xfId="23419" xr:uid="{00000000-0005-0000-0000-00004D5C0000}"/>
    <cellStyle name="Percent 6 37 4" xfId="23420" xr:uid="{00000000-0005-0000-0000-00004E5C0000}"/>
    <cellStyle name="Percent 6 37 5" xfId="23421" xr:uid="{00000000-0005-0000-0000-00004F5C0000}"/>
    <cellStyle name="Percent 6 37 6" xfId="23422" xr:uid="{00000000-0005-0000-0000-0000505C0000}"/>
    <cellStyle name="Percent 6 37 7" xfId="23423" xr:uid="{00000000-0005-0000-0000-0000515C0000}"/>
    <cellStyle name="Percent 6 37 8" xfId="23424" xr:uid="{00000000-0005-0000-0000-0000525C0000}"/>
    <cellStyle name="Percent 6 37 9" xfId="23425" xr:uid="{00000000-0005-0000-0000-0000535C0000}"/>
    <cellStyle name="Percent 6 38" xfId="23426" xr:uid="{00000000-0005-0000-0000-0000545C0000}"/>
    <cellStyle name="Percent 6 38 10" xfId="23427" xr:uid="{00000000-0005-0000-0000-0000555C0000}"/>
    <cellStyle name="Percent 6 38 11" xfId="23428" xr:uid="{00000000-0005-0000-0000-0000565C0000}"/>
    <cellStyle name="Percent 6 38 12" xfId="23429" xr:uid="{00000000-0005-0000-0000-0000575C0000}"/>
    <cellStyle name="Percent 6 38 13" xfId="23430" xr:uid="{00000000-0005-0000-0000-0000585C0000}"/>
    <cellStyle name="Percent 6 38 14" xfId="23431" xr:uid="{00000000-0005-0000-0000-0000595C0000}"/>
    <cellStyle name="Percent 6 38 15" xfId="23432" xr:uid="{00000000-0005-0000-0000-00005A5C0000}"/>
    <cellStyle name="Percent 6 38 16" xfId="23433" xr:uid="{00000000-0005-0000-0000-00005B5C0000}"/>
    <cellStyle name="Percent 6 38 17" xfId="23434" xr:uid="{00000000-0005-0000-0000-00005C5C0000}"/>
    <cellStyle name="Percent 6 38 2" xfId="23435" xr:uid="{00000000-0005-0000-0000-00005D5C0000}"/>
    <cellStyle name="Percent 6 38 3" xfId="23436" xr:uid="{00000000-0005-0000-0000-00005E5C0000}"/>
    <cellStyle name="Percent 6 38 4" xfId="23437" xr:uid="{00000000-0005-0000-0000-00005F5C0000}"/>
    <cellStyle name="Percent 6 38 5" xfId="23438" xr:uid="{00000000-0005-0000-0000-0000605C0000}"/>
    <cellStyle name="Percent 6 38 6" xfId="23439" xr:uid="{00000000-0005-0000-0000-0000615C0000}"/>
    <cellStyle name="Percent 6 38 7" xfId="23440" xr:uid="{00000000-0005-0000-0000-0000625C0000}"/>
    <cellStyle name="Percent 6 38 8" xfId="23441" xr:uid="{00000000-0005-0000-0000-0000635C0000}"/>
    <cellStyle name="Percent 6 38 9" xfId="23442" xr:uid="{00000000-0005-0000-0000-0000645C0000}"/>
    <cellStyle name="Percent 6 39" xfId="23443" xr:uid="{00000000-0005-0000-0000-0000655C0000}"/>
    <cellStyle name="Percent 6 39 10" xfId="23444" xr:uid="{00000000-0005-0000-0000-0000665C0000}"/>
    <cellStyle name="Percent 6 39 11" xfId="23445" xr:uid="{00000000-0005-0000-0000-0000675C0000}"/>
    <cellStyle name="Percent 6 39 12" xfId="23446" xr:uid="{00000000-0005-0000-0000-0000685C0000}"/>
    <cellStyle name="Percent 6 39 13" xfId="23447" xr:uid="{00000000-0005-0000-0000-0000695C0000}"/>
    <cellStyle name="Percent 6 39 14" xfId="23448" xr:uid="{00000000-0005-0000-0000-00006A5C0000}"/>
    <cellStyle name="Percent 6 39 15" xfId="23449" xr:uid="{00000000-0005-0000-0000-00006B5C0000}"/>
    <cellStyle name="Percent 6 39 16" xfId="23450" xr:uid="{00000000-0005-0000-0000-00006C5C0000}"/>
    <cellStyle name="Percent 6 39 17" xfId="23451" xr:uid="{00000000-0005-0000-0000-00006D5C0000}"/>
    <cellStyle name="Percent 6 39 2" xfId="23452" xr:uid="{00000000-0005-0000-0000-00006E5C0000}"/>
    <cellStyle name="Percent 6 39 3" xfId="23453" xr:uid="{00000000-0005-0000-0000-00006F5C0000}"/>
    <cellStyle name="Percent 6 39 4" xfId="23454" xr:uid="{00000000-0005-0000-0000-0000705C0000}"/>
    <cellStyle name="Percent 6 39 5" xfId="23455" xr:uid="{00000000-0005-0000-0000-0000715C0000}"/>
    <cellStyle name="Percent 6 39 6" xfId="23456" xr:uid="{00000000-0005-0000-0000-0000725C0000}"/>
    <cellStyle name="Percent 6 39 7" xfId="23457" xr:uid="{00000000-0005-0000-0000-0000735C0000}"/>
    <cellStyle name="Percent 6 39 8" xfId="23458" xr:uid="{00000000-0005-0000-0000-0000745C0000}"/>
    <cellStyle name="Percent 6 39 9" xfId="23459" xr:uid="{00000000-0005-0000-0000-0000755C0000}"/>
    <cellStyle name="Percent 6 4" xfId="23460" xr:uid="{00000000-0005-0000-0000-0000765C0000}"/>
    <cellStyle name="Percent 6 4 10" xfId="23461" xr:uid="{00000000-0005-0000-0000-0000775C0000}"/>
    <cellStyle name="Percent 6 4 11" xfId="23462" xr:uid="{00000000-0005-0000-0000-0000785C0000}"/>
    <cellStyle name="Percent 6 4 12" xfId="23463" xr:uid="{00000000-0005-0000-0000-0000795C0000}"/>
    <cellStyle name="Percent 6 4 13" xfId="23464" xr:uid="{00000000-0005-0000-0000-00007A5C0000}"/>
    <cellStyle name="Percent 6 4 14" xfId="23465" xr:uid="{00000000-0005-0000-0000-00007B5C0000}"/>
    <cellStyle name="Percent 6 4 15" xfId="23466" xr:uid="{00000000-0005-0000-0000-00007C5C0000}"/>
    <cellStyle name="Percent 6 4 16" xfId="23467" xr:uid="{00000000-0005-0000-0000-00007D5C0000}"/>
    <cellStyle name="Percent 6 4 17" xfId="23468" xr:uid="{00000000-0005-0000-0000-00007E5C0000}"/>
    <cellStyle name="Percent 6 4 2" xfId="23469" xr:uid="{00000000-0005-0000-0000-00007F5C0000}"/>
    <cellStyle name="Percent 6 4 3" xfId="23470" xr:uid="{00000000-0005-0000-0000-0000805C0000}"/>
    <cellStyle name="Percent 6 4 4" xfId="23471" xr:uid="{00000000-0005-0000-0000-0000815C0000}"/>
    <cellStyle name="Percent 6 4 5" xfId="23472" xr:uid="{00000000-0005-0000-0000-0000825C0000}"/>
    <cellStyle name="Percent 6 4 6" xfId="23473" xr:uid="{00000000-0005-0000-0000-0000835C0000}"/>
    <cellStyle name="Percent 6 4 7" xfId="23474" xr:uid="{00000000-0005-0000-0000-0000845C0000}"/>
    <cellStyle name="Percent 6 4 8" xfId="23475" xr:uid="{00000000-0005-0000-0000-0000855C0000}"/>
    <cellStyle name="Percent 6 4 9" xfId="23476" xr:uid="{00000000-0005-0000-0000-0000865C0000}"/>
    <cellStyle name="Percent 6 40" xfId="23477" xr:uid="{00000000-0005-0000-0000-0000875C0000}"/>
    <cellStyle name="Percent 6 40 10" xfId="23478" xr:uid="{00000000-0005-0000-0000-0000885C0000}"/>
    <cellStyle name="Percent 6 40 11" xfId="23479" xr:uid="{00000000-0005-0000-0000-0000895C0000}"/>
    <cellStyle name="Percent 6 40 12" xfId="23480" xr:uid="{00000000-0005-0000-0000-00008A5C0000}"/>
    <cellStyle name="Percent 6 40 13" xfId="23481" xr:uid="{00000000-0005-0000-0000-00008B5C0000}"/>
    <cellStyle name="Percent 6 40 14" xfId="23482" xr:uid="{00000000-0005-0000-0000-00008C5C0000}"/>
    <cellStyle name="Percent 6 40 15" xfId="23483" xr:uid="{00000000-0005-0000-0000-00008D5C0000}"/>
    <cellStyle name="Percent 6 40 16" xfId="23484" xr:uid="{00000000-0005-0000-0000-00008E5C0000}"/>
    <cellStyle name="Percent 6 40 17" xfId="23485" xr:uid="{00000000-0005-0000-0000-00008F5C0000}"/>
    <cellStyle name="Percent 6 40 2" xfId="23486" xr:uid="{00000000-0005-0000-0000-0000905C0000}"/>
    <cellStyle name="Percent 6 40 3" xfId="23487" xr:uid="{00000000-0005-0000-0000-0000915C0000}"/>
    <cellStyle name="Percent 6 40 4" xfId="23488" xr:uid="{00000000-0005-0000-0000-0000925C0000}"/>
    <cellStyle name="Percent 6 40 5" xfId="23489" xr:uid="{00000000-0005-0000-0000-0000935C0000}"/>
    <cellStyle name="Percent 6 40 6" xfId="23490" xr:uid="{00000000-0005-0000-0000-0000945C0000}"/>
    <cellStyle name="Percent 6 40 7" xfId="23491" xr:uid="{00000000-0005-0000-0000-0000955C0000}"/>
    <cellStyle name="Percent 6 40 8" xfId="23492" xr:uid="{00000000-0005-0000-0000-0000965C0000}"/>
    <cellStyle name="Percent 6 40 9" xfId="23493" xr:uid="{00000000-0005-0000-0000-0000975C0000}"/>
    <cellStyle name="Percent 6 41" xfId="23494" xr:uid="{00000000-0005-0000-0000-0000985C0000}"/>
    <cellStyle name="Percent 6 41 10" xfId="23495" xr:uid="{00000000-0005-0000-0000-0000995C0000}"/>
    <cellStyle name="Percent 6 41 11" xfId="23496" xr:uid="{00000000-0005-0000-0000-00009A5C0000}"/>
    <cellStyle name="Percent 6 41 12" xfId="23497" xr:uid="{00000000-0005-0000-0000-00009B5C0000}"/>
    <cellStyle name="Percent 6 41 13" xfId="23498" xr:uid="{00000000-0005-0000-0000-00009C5C0000}"/>
    <cellStyle name="Percent 6 41 14" xfId="23499" xr:uid="{00000000-0005-0000-0000-00009D5C0000}"/>
    <cellStyle name="Percent 6 41 15" xfId="23500" xr:uid="{00000000-0005-0000-0000-00009E5C0000}"/>
    <cellStyle name="Percent 6 41 16" xfId="23501" xr:uid="{00000000-0005-0000-0000-00009F5C0000}"/>
    <cellStyle name="Percent 6 41 17" xfId="23502" xr:uid="{00000000-0005-0000-0000-0000A05C0000}"/>
    <cellStyle name="Percent 6 41 2" xfId="23503" xr:uid="{00000000-0005-0000-0000-0000A15C0000}"/>
    <cellStyle name="Percent 6 41 3" xfId="23504" xr:uid="{00000000-0005-0000-0000-0000A25C0000}"/>
    <cellStyle name="Percent 6 41 4" xfId="23505" xr:uid="{00000000-0005-0000-0000-0000A35C0000}"/>
    <cellStyle name="Percent 6 41 5" xfId="23506" xr:uid="{00000000-0005-0000-0000-0000A45C0000}"/>
    <cellStyle name="Percent 6 41 6" xfId="23507" xr:uid="{00000000-0005-0000-0000-0000A55C0000}"/>
    <cellStyle name="Percent 6 41 7" xfId="23508" xr:uid="{00000000-0005-0000-0000-0000A65C0000}"/>
    <cellStyle name="Percent 6 41 8" xfId="23509" xr:uid="{00000000-0005-0000-0000-0000A75C0000}"/>
    <cellStyle name="Percent 6 41 9" xfId="23510" xr:uid="{00000000-0005-0000-0000-0000A85C0000}"/>
    <cellStyle name="Percent 6 42" xfId="23511" xr:uid="{00000000-0005-0000-0000-0000A95C0000}"/>
    <cellStyle name="Percent 6 42 10" xfId="23512" xr:uid="{00000000-0005-0000-0000-0000AA5C0000}"/>
    <cellStyle name="Percent 6 42 11" xfId="23513" xr:uid="{00000000-0005-0000-0000-0000AB5C0000}"/>
    <cellStyle name="Percent 6 42 12" xfId="23514" xr:uid="{00000000-0005-0000-0000-0000AC5C0000}"/>
    <cellStyle name="Percent 6 42 13" xfId="23515" xr:uid="{00000000-0005-0000-0000-0000AD5C0000}"/>
    <cellStyle name="Percent 6 42 14" xfId="23516" xr:uid="{00000000-0005-0000-0000-0000AE5C0000}"/>
    <cellStyle name="Percent 6 42 15" xfId="23517" xr:uid="{00000000-0005-0000-0000-0000AF5C0000}"/>
    <cellStyle name="Percent 6 42 16" xfId="23518" xr:uid="{00000000-0005-0000-0000-0000B05C0000}"/>
    <cellStyle name="Percent 6 42 17" xfId="23519" xr:uid="{00000000-0005-0000-0000-0000B15C0000}"/>
    <cellStyle name="Percent 6 42 2" xfId="23520" xr:uid="{00000000-0005-0000-0000-0000B25C0000}"/>
    <cellStyle name="Percent 6 42 3" xfId="23521" xr:uid="{00000000-0005-0000-0000-0000B35C0000}"/>
    <cellStyle name="Percent 6 42 4" xfId="23522" xr:uid="{00000000-0005-0000-0000-0000B45C0000}"/>
    <cellStyle name="Percent 6 42 5" xfId="23523" xr:uid="{00000000-0005-0000-0000-0000B55C0000}"/>
    <cellStyle name="Percent 6 42 6" xfId="23524" xr:uid="{00000000-0005-0000-0000-0000B65C0000}"/>
    <cellStyle name="Percent 6 42 7" xfId="23525" xr:uid="{00000000-0005-0000-0000-0000B75C0000}"/>
    <cellStyle name="Percent 6 42 8" xfId="23526" xr:uid="{00000000-0005-0000-0000-0000B85C0000}"/>
    <cellStyle name="Percent 6 42 9" xfId="23527" xr:uid="{00000000-0005-0000-0000-0000B95C0000}"/>
    <cellStyle name="Percent 6 43" xfId="23528" xr:uid="{00000000-0005-0000-0000-0000BA5C0000}"/>
    <cellStyle name="Percent 6 43 10" xfId="23529" xr:uid="{00000000-0005-0000-0000-0000BB5C0000}"/>
    <cellStyle name="Percent 6 43 11" xfId="23530" xr:uid="{00000000-0005-0000-0000-0000BC5C0000}"/>
    <cellStyle name="Percent 6 43 12" xfId="23531" xr:uid="{00000000-0005-0000-0000-0000BD5C0000}"/>
    <cellStyle name="Percent 6 43 13" xfId="23532" xr:uid="{00000000-0005-0000-0000-0000BE5C0000}"/>
    <cellStyle name="Percent 6 43 14" xfId="23533" xr:uid="{00000000-0005-0000-0000-0000BF5C0000}"/>
    <cellStyle name="Percent 6 43 15" xfId="23534" xr:uid="{00000000-0005-0000-0000-0000C05C0000}"/>
    <cellStyle name="Percent 6 43 16" xfId="23535" xr:uid="{00000000-0005-0000-0000-0000C15C0000}"/>
    <cellStyle name="Percent 6 43 17" xfId="23536" xr:uid="{00000000-0005-0000-0000-0000C25C0000}"/>
    <cellStyle name="Percent 6 43 2" xfId="23537" xr:uid="{00000000-0005-0000-0000-0000C35C0000}"/>
    <cellStyle name="Percent 6 43 3" xfId="23538" xr:uid="{00000000-0005-0000-0000-0000C45C0000}"/>
    <cellStyle name="Percent 6 43 4" xfId="23539" xr:uid="{00000000-0005-0000-0000-0000C55C0000}"/>
    <cellStyle name="Percent 6 43 5" xfId="23540" xr:uid="{00000000-0005-0000-0000-0000C65C0000}"/>
    <cellStyle name="Percent 6 43 6" xfId="23541" xr:uid="{00000000-0005-0000-0000-0000C75C0000}"/>
    <cellStyle name="Percent 6 43 7" xfId="23542" xr:uid="{00000000-0005-0000-0000-0000C85C0000}"/>
    <cellStyle name="Percent 6 43 8" xfId="23543" xr:uid="{00000000-0005-0000-0000-0000C95C0000}"/>
    <cellStyle name="Percent 6 43 9" xfId="23544" xr:uid="{00000000-0005-0000-0000-0000CA5C0000}"/>
    <cellStyle name="Percent 6 44" xfId="23545" xr:uid="{00000000-0005-0000-0000-0000CB5C0000}"/>
    <cellStyle name="Percent 6 44 10" xfId="23546" xr:uid="{00000000-0005-0000-0000-0000CC5C0000}"/>
    <cellStyle name="Percent 6 44 11" xfId="23547" xr:uid="{00000000-0005-0000-0000-0000CD5C0000}"/>
    <cellStyle name="Percent 6 44 12" xfId="23548" xr:uid="{00000000-0005-0000-0000-0000CE5C0000}"/>
    <cellStyle name="Percent 6 44 13" xfId="23549" xr:uid="{00000000-0005-0000-0000-0000CF5C0000}"/>
    <cellStyle name="Percent 6 44 14" xfId="23550" xr:uid="{00000000-0005-0000-0000-0000D05C0000}"/>
    <cellStyle name="Percent 6 44 15" xfId="23551" xr:uid="{00000000-0005-0000-0000-0000D15C0000}"/>
    <cellStyle name="Percent 6 44 16" xfId="23552" xr:uid="{00000000-0005-0000-0000-0000D25C0000}"/>
    <cellStyle name="Percent 6 44 17" xfId="23553" xr:uid="{00000000-0005-0000-0000-0000D35C0000}"/>
    <cellStyle name="Percent 6 44 2" xfId="23554" xr:uid="{00000000-0005-0000-0000-0000D45C0000}"/>
    <cellStyle name="Percent 6 44 3" xfId="23555" xr:uid="{00000000-0005-0000-0000-0000D55C0000}"/>
    <cellStyle name="Percent 6 44 4" xfId="23556" xr:uid="{00000000-0005-0000-0000-0000D65C0000}"/>
    <cellStyle name="Percent 6 44 5" xfId="23557" xr:uid="{00000000-0005-0000-0000-0000D75C0000}"/>
    <cellStyle name="Percent 6 44 6" xfId="23558" xr:uid="{00000000-0005-0000-0000-0000D85C0000}"/>
    <cellStyle name="Percent 6 44 7" xfId="23559" xr:uid="{00000000-0005-0000-0000-0000D95C0000}"/>
    <cellStyle name="Percent 6 44 8" xfId="23560" xr:uid="{00000000-0005-0000-0000-0000DA5C0000}"/>
    <cellStyle name="Percent 6 44 9" xfId="23561" xr:uid="{00000000-0005-0000-0000-0000DB5C0000}"/>
    <cellStyle name="Percent 6 45" xfId="23562" xr:uid="{00000000-0005-0000-0000-0000DC5C0000}"/>
    <cellStyle name="Percent 6 45 10" xfId="23563" xr:uid="{00000000-0005-0000-0000-0000DD5C0000}"/>
    <cellStyle name="Percent 6 45 11" xfId="23564" xr:uid="{00000000-0005-0000-0000-0000DE5C0000}"/>
    <cellStyle name="Percent 6 45 12" xfId="23565" xr:uid="{00000000-0005-0000-0000-0000DF5C0000}"/>
    <cellStyle name="Percent 6 45 13" xfId="23566" xr:uid="{00000000-0005-0000-0000-0000E05C0000}"/>
    <cellStyle name="Percent 6 45 14" xfId="23567" xr:uid="{00000000-0005-0000-0000-0000E15C0000}"/>
    <cellStyle name="Percent 6 45 15" xfId="23568" xr:uid="{00000000-0005-0000-0000-0000E25C0000}"/>
    <cellStyle name="Percent 6 45 16" xfId="23569" xr:uid="{00000000-0005-0000-0000-0000E35C0000}"/>
    <cellStyle name="Percent 6 45 17" xfId="23570" xr:uid="{00000000-0005-0000-0000-0000E45C0000}"/>
    <cellStyle name="Percent 6 45 2" xfId="23571" xr:uid="{00000000-0005-0000-0000-0000E55C0000}"/>
    <cellStyle name="Percent 6 45 3" xfId="23572" xr:uid="{00000000-0005-0000-0000-0000E65C0000}"/>
    <cellStyle name="Percent 6 45 4" xfId="23573" xr:uid="{00000000-0005-0000-0000-0000E75C0000}"/>
    <cellStyle name="Percent 6 45 5" xfId="23574" xr:uid="{00000000-0005-0000-0000-0000E85C0000}"/>
    <cellStyle name="Percent 6 45 6" xfId="23575" xr:uid="{00000000-0005-0000-0000-0000E95C0000}"/>
    <cellStyle name="Percent 6 45 7" xfId="23576" xr:uid="{00000000-0005-0000-0000-0000EA5C0000}"/>
    <cellStyle name="Percent 6 45 8" xfId="23577" xr:uid="{00000000-0005-0000-0000-0000EB5C0000}"/>
    <cellStyle name="Percent 6 45 9" xfId="23578" xr:uid="{00000000-0005-0000-0000-0000EC5C0000}"/>
    <cellStyle name="Percent 6 46" xfId="23579" xr:uid="{00000000-0005-0000-0000-0000ED5C0000}"/>
    <cellStyle name="Percent 6 46 10" xfId="23580" xr:uid="{00000000-0005-0000-0000-0000EE5C0000}"/>
    <cellStyle name="Percent 6 46 11" xfId="23581" xr:uid="{00000000-0005-0000-0000-0000EF5C0000}"/>
    <cellStyle name="Percent 6 46 12" xfId="23582" xr:uid="{00000000-0005-0000-0000-0000F05C0000}"/>
    <cellStyle name="Percent 6 46 13" xfId="23583" xr:uid="{00000000-0005-0000-0000-0000F15C0000}"/>
    <cellStyle name="Percent 6 46 14" xfId="23584" xr:uid="{00000000-0005-0000-0000-0000F25C0000}"/>
    <cellStyle name="Percent 6 46 15" xfId="23585" xr:uid="{00000000-0005-0000-0000-0000F35C0000}"/>
    <cellStyle name="Percent 6 46 16" xfId="23586" xr:uid="{00000000-0005-0000-0000-0000F45C0000}"/>
    <cellStyle name="Percent 6 46 17" xfId="23587" xr:uid="{00000000-0005-0000-0000-0000F55C0000}"/>
    <cellStyle name="Percent 6 46 2" xfId="23588" xr:uid="{00000000-0005-0000-0000-0000F65C0000}"/>
    <cellStyle name="Percent 6 46 3" xfId="23589" xr:uid="{00000000-0005-0000-0000-0000F75C0000}"/>
    <cellStyle name="Percent 6 46 4" xfId="23590" xr:uid="{00000000-0005-0000-0000-0000F85C0000}"/>
    <cellStyle name="Percent 6 46 5" xfId="23591" xr:uid="{00000000-0005-0000-0000-0000F95C0000}"/>
    <cellStyle name="Percent 6 46 6" xfId="23592" xr:uid="{00000000-0005-0000-0000-0000FA5C0000}"/>
    <cellStyle name="Percent 6 46 7" xfId="23593" xr:uid="{00000000-0005-0000-0000-0000FB5C0000}"/>
    <cellStyle name="Percent 6 46 8" xfId="23594" xr:uid="{00000000-0005-0000-0000-0000FC5C0000}"/>
    <cellStyle name="Percent 6 46 9" xfId="23595" xr:uid="{00000000-0005-0000-0000-0000FD5C0000}"/>
    <cellStyle name="Percent 6 47" xfId="23596" xr:uid="{00000000-0005-0000-0000-0000FE5C0000}"/>
    <cellStyle name="Percent 6 47 10" xfId="23597" xr:uid="{00000000-0005-0000-0000-0000FF5C0000}"/>
    <cellStyle name="Percent 6 47 11" xfId="23598" xr:uid="{00000000-0005-0000-0000-0000005D0000}"/>
    <cellStyle name="Percent 6 47 12" xfId="23599" xr:uid="{00000000-0005-0000-0000-0000015D0000}"/>
    <cellStyle name="Percent 6 47 13" xfId="23600" xr:uid="{00000000-0005-0000-0000-0000025D0000}"/>
    <cellStyle name="Percent 6 47 14" xfId="23601" xr:uid="{00000000-0005-0000-0000-0000035D0000}"/>
    <cellStyle name="Percent 6 47 15" xfId="23602" xr:uid="{00000000-0005-0000-0000-0000045D0000}"/>
    <cellStyle name="Percent 6 47 16" xfId="23603" xr:uid="{00000000-0005-0000-0000-0000055D0000}"/>
    <cellStyle name="Percent 6 47 17" xfId="23604" xr:uid="{00000000-0005-0000-0000-0000065D0000}"/>
    <cellStyle name="Percent 6 47 2" xfId="23605" xr:uid="{00000000-0005-0000-0000-0000075D0000}"/>
    <cellStyle name="Percent 6 47 3" xfId="23606" xr:uid="{00000000-0005-0000-0000-0000085D0000}"/>
    <cellStyle name="Percent 6 47 4" xfId="23607" xr:uid="{00000000-0005-0000-0000-0000095D0000}"/>
    <cellStyle name="Percent 6 47 5" xfId="23608" xr:uid="{00000000-0005-0000-0000-00000A5D0000}"/>
    <cellStyle name="Percent 6 47 6" xfId="23609" xr:uid="{00000000-0005-0000-0000-00000B5D0000}"/>
    <cellStyle name="Percent 6 47 7" xfId="23610" xr:uid="{00000000-0005-0000-0000-00000C5D0000}"/>
    <cellStyle name="Percent 6 47 8" xfId="23611" xr:uid="{00000000-0005-0000-0000-00000D5D0000}"/>
    <cellStyle name="Percent 6 47 9" xfId="23612" xr:uid="{00000000-0005-0000-0000-00000E5D0000}"/>
    <cellStyle name="Percent 6 48" xfId="23613" xr:uid="{00000000-0005-0000-0000-00000F5D0000}"/>
    <cellStyle name="Percent 6 49" xfId="23614" xr:uid="{00000000-0005-0000-0000-0000105D0000}"/>
    <cellStyle name="Percent 6 5" xfId="23615" xr:uid="{00000000-0005-0000-0000-0000115D0000}"/>
    <cellStyle name="Percent 6 5 10" xfId="23616" xr:uid="{00000000-0005-0000-0000-0000125D0000}"/>
    <cellStyle name="Percent 6 5 11" xfId="23617" xr:uid="{00000000-0005-0000-0000-0000135D0000}"/>
    <cellStyle name="Percent 6 5 12" xfId="23618" xr:uid="{00000000-0005-0000-0000-0000145D0000}"/>
    <cellStyle name="Percent 6 5 13" xfId="23619" xr:uid="{00000000-0005-0000-0000-0000155D0000}"/>
    <cellStyle name="Percent 6 5 14" xfId="23620" xr:uid="{00000000-0005-0000-0000-0000165D0000}"/>
    <cellStyle name="Percent 6 5 15" xfId="23621" xr:uid="{00000000-0005-0000-0000-0000175D0000}"/>
    <cellStyle name="Percent 6 5 16" xfId="23622" xr:uid="{00000000-0005-0000-0000-0000185D0000}"/>
    <cellStyle name="Percent 6 5 17" xfId="23623" xr:uid="{00000000-0005-0000-0000-0000195D0000}"/>
    <cellStyle name="Percent 6 5 2" xfId="23624" xr:uid="{00000000-0005-0000-0000-00001A5D0000}"/>
    <cellStyle name="Percent 6 5 3" xfId="23625" xr:uid="{00000000-0005-0000-0000-00001B5D0000}"/>
    <cellStyle name="Percent 6 5 4" xfId="23626" xr:uid="{00000000-0005-0000-0000-00001C5D0000}"/>
    <cellStyle name="Percent 6 5 5" xfId="23627" xr:uid="{00000000-0005-0000-0000-00001D5D0000}"/>
    <cellStyle name="Percent 6 5 6" xfId="23628" xr:uid="{00000000-0005-0000-0000-00001E5D0000}"/>
    <cellStyle name="Percent 6 5 7" xfId="23629" xr:uid="{00000000-0005-0000-0000-00001F5D0000}"/>
    <cellStyle name="Percent 6 5 8" xfId="23630" xr:uid="{00000000-0005-0000-0000-0000205D0000}"/>
    <cellStyle name="Percent 6 5 9" xfId="23631" xr:uid="{00000000-0005-0000-0000-0000215D0000}"/>
    <cellStyle name="Percent 6 50" xfId="23632" xr:uid="{00000000-0005-0000-0000-0000225D0000}"/>
    <cellStyle name="Percent 6 51" xfId="23633" xr:uid="{00000000-0005-0000-0000-0000235D0000}"/>
    <cellStyle name="Percent 6 52" xfId="23634" xr:uid="{00000000-0005-0000-0000-0000245D0000}"/>
    <cellStyle name="Percent 6 53" xfId="23635" xr:uid="{00000000-0005-0000-0000-0000255D0000}"/>
    <cellStyle name="Percent 6 54" xfId="23636" xr:uid="{00000000-0005-0000-0000-0000265D0000}"/>
    <cellStyle name="Percent 6 55" xfId="23637" xr:uid="{00000000-0005-0000-0000-0000275D0000}"/>
    <cellStyle name="Percent 6 56" xfId="23638" xr:uid="{00000000-0005-0000-0000-0000285D0000}"/>
    <cellStyle name="Percent 6 57" xfId="23639" xr:uid="{00000000-0005-0000-0000-0000295D0000}"/>
    <cellStyle name="Percent 6 58" xfId="23640" xr:uid="{00000000-0005-0000-0000-00002A5D0000}"/>
    <cellStyle name="Percent 6 59" xfId="23641" xr:uid="{00000000-0005-0000-0000-00002B5D0000}"/>
    <cellStyle name="Percent 6 6" xfId="23642" xr:uid="{00000000-0005-0000-0000-00002C5D0000}"/>
    <cellStyle name="Percent 6 6 10" xfId="23643" xr:uid="{00000000-0005-0000-0000-00002D5D0000}"/>
    <cellStyle name="Percent 6 6 11" xfId="23644" xr:uid="{00000000-0005-0000-0000-00002E5D0000}"/>
    <cellStyle name="Percent 6 6 12" xfId="23645" xr:uid="{00000000-0005-0000-0000-00002F5D0000}"/>
    <cellStyle name="Percent 6 6 13" xfId="23646" xr:uid="{00000000-0005-0000-0000-0000305D0000}"/>
    <cellStyle name="Percent 6 6 14" xfId="23647" xr:uid="{00000000-0005-0000-0000-0000315D0000}"/>
    <cellStyle name="Percent 6 6 15" xfId="23648" xr:uid="{00000000-0005-0000-0000-0000325D0000}"/>
    <cellStyle name="Percent 6 6 16" xfId="23649" xr:uid="{00000000-0005-0000-0000-0000335D0000}"/>
    <cellStyle name="Percent 6 6 17" xfId="23650" xr:uid="{00000000-0005-0000-0000-0000345D0000}"/>
    <cellStyle name="Percent 6 6 2" xfId="23651" xr:uid="{00000000-0005-0000-0000-0000355D0000}"/>
    <cellStyle name="Percent 6 6 3" xfId="23652" xr:uid="{00000000-0005-0000-0000-0000365D0000}"/>
    <cellStyle name="Percent 6 6 4" xfId="23653" xr:uid="{00000000-0005-0000-0000-0000375D0000}"/>
    <cellStyle name="Percent 6 6 5" xfId="23654" xr:uid="{00000000-0005-0000-0000-0000385D0000}"/>
    <cellStyle name="Percent 6 6 6" xfId="23655" xr:uid="{00000000-0005-0000-0000-0000395D0000}"/>
    <cellStyle name="Percent 6 6 7" xfId="23656" xr:uid="{00000000-0005-0000-0000-00003A5D0000}"/>
    <cellStyle name="Percent 6 6 8" xfId="23657" xr:uid="{00000000-0005-0000-0000-00003B5D0000}"/>
    <cellStyle name="Percent 6 6 9" xfId="23658" xr:uid="{00000000-0005-0000-0000-00003C5D0000}"/>
    <cellStyle name="Percent 6 60" xfId="23659" xr:uid="{00000000-0005-0000-0000-00003D5D0000}"/>
    <cellStyle name="Percent 6 7" xfId="23660" xr:uid="{00000000-0005-0000-0000-00003E5D0000}"/>
    <cellStyle name="Percent 6 7 10" xfId="23661" xr:uid="{00000000-0005-0000-0000-00003F5D0000}"/>
    <cellStyle name="Percent 6 7 11" xfId="23662" xr:uid="{00000000-0005-0000-0000-0000405D0000}"/>
    <cellStyle name="Percent 6 7 12" xfId="23663" xr:uid="{00000000-0005-0000-0000-0000415D0000}"/>
    <cellStyle name="Percent 6 7 13" xfId="23664" xr:uid="{00000000-0005-0000-0000-0000425D0000}"/>
    <cellStyle name="Percent 6 7 14" xfId="23665" xr:uid="{00000000-0005-0000-0000-0000435D0000}"/>
    <cellStyle name="Percent 6 7 15" xfId="23666" xr:uid="{00000000-0005-0000-0000-0000445D0000}"/>
    <cellStyle name="Percent 6 7 16" xfId="23667" xr:uid="{00000000-0005-0000-0000-0000455D0000}"/>
    <cellStyle name="Percent 6 7 17" xfId="23668" xr:uid="{00000000-0005-0000-0000-0000465D0000}"/>
    <cellStyle name="Percent 6 7 2" xfId="23669" xr:uid="{00000000-0005-0000-0000-0000475D0000}"/>
    <cellStyle name="Percent 6 7 3" xfId="23670" xr:uid="{00000000-0005-0000-0000-0000485D0000}"/>
    <cellStyle name="Percent 6 7 4" xfId="23671" xr:uid="{00000000-0005-0000-0000-0000495D0000}"/>
    <cellStyle name="Percent 6 7 5" xfId="23672" xr:uid="{00000000-0005-0000-0000-00004A5D0000}"/>
    <cellStyle name="Percent 6 7 6" xfId="23673" xr:uid="{00000000-0005-0000-0000-00004B5D0000}"/>
    <cellStyle name="Percent 6 7 7" xfId="23674" xr:uid="{00000000-0005-0000-0000-00004C5D0000}"/>
    <cellStyle name="Percent 6 7 8" xfId="23675" xr:uid="{00000000-0005-0000-0000-00004D5D0000}"/>
    <cellStyle name="Percent 6 7 9" xfId="23676" xr:uid="{00000000-0005-0000-0000-00004E5D0000}"/>
    <cellStyle name="Percent 6 8" xfId="23677" xr:uid="{00000000-0005-0000-0000-00004F5D0000}"/>
    <cellStyle name="Percent 6 8 10" xfId="23678" xr:uid="{00000000-0005-0000-0000-0000505D0000}"/>
    <cellStyle name="Percent 6 8 11" xfId="23679" xr:uid="{00000000-0005-0000-0000-0000515D0000}"/>
    <cellStyle name="Percent 6 8 12" xfId="23680" xr:uid="{00000000-0005-0000-0000-0000525D0000}"/>
    <cellStyle name="Percent 6 8 13" xfId="23681" xr:uid="{00000000-0005-0000-0000-0000535D0000}"/>
    <cellStyle name="Percent 6 8 14" xfId="23682" xr:uid="{00000000-0005-0000-0000-0000545D0000}"/>
    <cellStyle name="Percent 6 8 15" xfId="23683" xr:uid="{00000000-0005-0000-0000-0000555D0000}"/>
    <cellStyle name="Percent 6 8 16" xfId="23684" xr:uid="{00000000-0005-0000-0000-0000565D0000}"/>
    <cellStyle name="Percent 6 8 17" xfId="23685" xr:uid="{00000000-0005-0000-0000-0000575D0000}"/>
    <cellStyle name="Percent 6 8 2" xfId="23686" xr:uid="{00000000-0005-0000-0000-0000585D0000}"/>
    <cellStyle name="Percent 6 8 3" xfId="23687" xr:uid="{00000000-0005-0000-0000-0000595D0000}"/>
    <cellStyle name="Percent 6 8 4" xfId="23688" xr:uid="{00000000-0005-0000-0000-00005A5D0000}"/>
    <cellStyle name="Percent 6 8 5" xfId="23689" xr:uid="{00000000-0005-0000-0000-00005B5D0000}"/>
    <cellStyle name="Percent 6 8 6" xfId="23690" xr:uid="{00000000-0005-0000-0000-00005C5D0000}"/>
    <cellStyle name="Percent 6 8 7" xfId="23691" xr:uid="{00000000-0005-0000-0000-00005D5D0000}"/>
    <cellStyle name="Percent 6 8 8" xfId="23692" xr:uid="{00000000-0005-0000-0000-00005E5D0000}"/>
    <cellStyle name="Percent 6 8 9" xfId="23693" xr:uid="{00000000-0005-0000-0000-00005F5D0000}"/>
    <cellStyle name="Percent 6 9" xfId="23694" xr:uid="{00000000-0005-0000-0000-0000605D0000}"/>
    <cellStyle name="Percent 6 9 10" xfId="23695" xr:uid="{00000000-0005-0000-0000-0000615D0000}"/>
    <cellStyle name="Percent 6 9 11" xfId="23696" xr:uid="{00000000-0005-0000-0000-0000625D0000}"/>
    <cellStyle name="Percent 6 9 12" xfId="23697" xr:uid="{00000000-0005-0000-0000-0000635D0000}"/>
    <cellStyle name="Percent 6 9 13" xfId="23698" xr:uid="{00000000-0005-0000-0000-0000645D0000}"/>
    <cellStyle name="Percent 6 9 14" xfId="23699" xr:uid="{00000000-0005-0000-0000-0000655D0000}"/>
    <cellStyle name="Percent 6 9 15" xfId="23700" xr:uid="{00000000-0005-0000-0000-0000665D0000}"/>
    <cellStyle name="Percent 6 9 16" xfId="23701" xr:uid="{00000000-0005-0000-0000-0000675D0000}"/>
    <cellStyle name="Percent 6 9 17" xfId="23702" xr:uid="{00000000-0005-0000-0000-0000685D0000}"/>
    <cellStyle name="Percent 6 9 2" xfId="23703" xr:uid="{00000000-0005-0000-0000-0000695D0000}"/>
    <cellStyle name="Percent 6 9 3" xfId="23704" xr:uid="{00000000-0005-0000-0000-00006A5D0000}"/>
    <cellStyle name="Percent 6 9 4" xfId="23705" xr:uid="{00000000-0005-0000-0000-00006B5D0000}"/>
    <cellStyle name="Percent 6 9 5" xfId="23706" xr:uid="{00000000-0005-0000-0000-00006C5D0000}"/>
    <cellStyle name="Percent 6 9 6" xfId="23707" xr:uid="{00000000-0005-0000-0000-00006D5D0000}"/>
    <cellStyle name="Percent 6 9 7" xfId="23708" xr:uid="{00000000-0005-0000-0000-00006E5D0000}"/>
    <cellStyle name="Percent 6 9 8" xfId="23709" xr:uid="{00000000-0005-0000-0000-00006F5D0000}"/>
    <cellStyle name="Percent 6 9 9" xfId="23710" xr:uid="{00000000-0005-0000-0000-0000705D0000}"/>
    <cellStyle name="Percent 7" xfId="23711" xr:uid="{00000000-0005-0000-0000-0000715D0000}"/>
    <cellStyle name="Percent 7 2" xfId="23712" xr:uid="{00000000-0005-0000-0000-0000725D0000}"/>
    <cellStyle name="Percent 7 2 10" xfId="23713" xr:uid="{00000000-0005-0000-0000-0000735D0000}"/>
    <cellStyle name="Percent 7 2 11" xfId="23714" xr:uid="{00000000-0005-0000-0000-0000745D0000}"/>
    <cellStyle name="Percent 7 2 12" xfId="23715" xr:uid="{00000000-0005-0000-0000-0000755D0000}"/>
    <cellStyle name="Percent 7 2 13" xfId="23716" xr:uid="{00000000-0005-0000-0000-0000765D0000}"/>
    <cellStyle name="Percent 7 2 14" xfId="23717" xr:uid="{00000000-0005-0000-0000-0000775D0000}"/>
    <cellStyle name="Percent 7 2 15" xfId="23718" xr:uid="{00000000-0005-0000-0000-0000785D0000}"/>
    <cellStyle name="Percent 7 2 16" xfId="23719" xr:uid="{00000000-0005-0000-0000-0000795D0000}"/>
    <cellStyle name="Percent 7 2 17" xfId="23720" xr:uid="{00000000-0005-0000-0000-00007A5D0000}"/>
    <cellStyle name="Percent 7 2 2" xfId="23721" xr:uid="{00000000-0005-0000-0000-00007B5D0000}"/>
    <cellStyle name="Percent 7 2 3" xfId="23722" xr:uid="{00000000-0005-0000-0000-00007C5D0000}"/>
    <cellStyle name="Percent 7 2 4" xfId="23723" xr:uid="{00000000-0005-0000-0000-00007D5D0000}"/>
    <cellStyle name="Percent 7 2 5" xfId="23724" xr:uid="{00000000-0005-0000-0000-00007E5D0000}"/>
    <cellStyle name="Percent 7 2 6" xfId="23725" xr:uid="{00000000-0005-0000-0000-00007F5D0000}"/>
    <cellStyle name="Percent 7 2 7" xfId="23726" xr:uid="{00000000-0005-0000-0000-0000805D0000}"/>
    <cellStyle name="Percent 7 2 8" xfId="23727" xr:uid="{00000000-0005-0000-0000-0000815D0000}"/>
    <cellStyle name="Percent 7 2 9" xfId="23728" xr:uid="{00000000-0005-0000-0000-0000825D0000}"/>
    <cellStyle name="Percent 7 3" xfId="23729" xr:uid="{00000000-0005-0000-0000-0000835D0000}"/>
    <cellStyle name="Percent 7 4" xfId="23730" xr:uid="{00000000-0005-0000-0000-0000845D0000}"/>
    <cellStyle name="Percent 7 5" xfId="23731" xr:uid="{00000000-0005-0000-0000-0000855D0000}"/>
    <cellStyle name="Percent 7 6" xfId="23732" xr:uid="{00000000-0005-0000-0000-0000865D0000}"/>
    <cellStyle name="Percent 7 7" xfId="23733" xr:uid="{00000000-0005-0000-0000-0000875D0000}"/>
    <cellStyle name="Percent 7 8" xfId="23734" xr:uid="{00000000-0005-0000-0000-0000885D0000}"/>
    <cellStyle name="Percent 7 9" xfId="23735" xr:uid="{00000000-0005-0000-0000-0000895D0000}"/>
    <cellStyle name="Percent 8" xfId="23736" xr:uid="{00000000-0005-0000-0000-00008A5D0000}"/>
    <cellStyle name="Percent 8 10" xfId="23737" xr:uid="{00000000-0005-0000-0000-00008B5D0000}"/>
    <cellStyle name="Percent 8 10 10" xfId="23738" xr:uid="{00000000-0005-0000-0000-00008C5D0000}"/>
    <cellStyle name="Percent 8 10 11" xfId="23739" xr:uid="{00000000-0005-0000-0000-00008D5D0000}"/>
    <cellStyle name="Percent 8 10 12" xfId="23740" xr:uid="{00000000-0005-0000-0000-00008E5D0000}"/>
    <cellStyle name="Percent 8 10 13" xfId="23741" xr:uid="{00000000-0005-0000-0000-00008F5D0000}"/>
    <cellStyle name="Percent 8 10 14" xfId="23742" xr:uid="{00000000-0005-0000-0000-0000905D0000}"/>
    <cellStyle name="Percent 8 10 15" xfId="23743" xr:uid="{00000000-0005-0000-0000-0000915D0000}"/>
    <cellStyle name="Percent 8 10 16" xfId="23744" xr:uid="{00000000-0005-0000-0000-0000925D0000}"/>
    <cellStyle name="Percent 8 10 17" xfId="23745" xr:uid="{00000000-0005-0000-0000-0000935D0000}"/>
    <cellStyle name="Percent 8 10 2" xfId="23746" xr:uid="{00000000-0005-0000-0000-0000945D0000}"/>
    <cellStyle name="Percent 8 10 3" xfId="23747" xr:uid="{00000000-0005-0000-0000-0000955D0000}"/>
    <cellStyle name="Percent 8 10 4" xfId="23748" xr:uid="{00000000-0005-0000-0000-0000965D0000}"/>
    <cellStyle name="Percent 8 10 5" xfId="23749" xr:uid="{00000000-0005-0000-0000-0000975D0000}"/>
    <cellStyle name="Percent 8 10 6" xfId="23750" xr:uid="{00000000-0005-0000-0000-0000985D0000}"/>
    <cellStyle name="Percent 8 10 7" xfId="23751" xr:uid="{00000000-0005-0000-0000-0000995D0000}"/>
    <cellStyle name="Percent 8 10 8" xfId="23752" xr:uid="{00000000-0005-0000-0000-00009A5D0000}"/>
    <cellStyle name="Percent 8 10 9" xfId="23753" xr:uid="{00000000-0005-0000-0000-00009B5D0000}"/>
    <cellStyle name="Percent 8 11" xfId="23754" xr:uid="{00000000-0005-0000-0000-00009C5D0000}"/>
    <cellStyle name="Percent 8 11 10" xfId="23755" xr:uid="{00000000-0005-0000-0000-00009D5D0000}"/>
    <cellStyle name="Percent 8 11 11" xfId="23756" xr:uid="{00000000-0005-0000-0000-00009E5D0000}"/>
    <cellStyle name="Percent 8 11 12" xfId="23757" xr:uid="{00000000-0005-0000-0000-00009F5D0000}"/>
    <cellStyle name="Percent 8 11 13" xfId="23758" xr:uid="{00000000-0005-0000-0000-0000A05D0000}"/>
    <cellStyle name="Percent 8 11 14" xfId="23759" xr:uid="{00000000-0005-0000-0000-0000A15D0000}"/>
    <cellStyle name="Percent 8 11 15" xfId="23760" xr:uid="{00000000-0005-0000-0000-0000A25D0000}"/>
    <cellStyle name="Percent 8 11 16" xfId="23761" xr:uid="{00000000-0005-0000-0000-0000A35D0000}"/>
    <cellStyle name="Percent 8 11 17" xfId="23762" xr:uid="{00000000-0005-0000-0000-0000A45D0000}"/>
    <cellStyle name="Percent 8 11 2" xfId="23763" xr:uid="{00000000-0005-0000-0000-0000A55D0000}"/>
    <cellStyle name="Percent 8 11 3" xfId="23764" xr:uid="{00000000-0005-0000-0000-0000A65D0000}"/>
    <cellStyle name="Percent 8 11 4" xfId="23765" xr:uid="{00000000-0005-0000-0000-0000A75D0000}"/>
    <cellStyle name="Percent 8 11 5" xfId="23766" xr:uid="{00000000-0005-0000-0000-0000A85D0000}"/>
    <cellStyle name="Percent 8 11 6" xfId="23767" xr:uid="{00000000-0005-0000-0000-0000A95D0000}"/>
    <cellStyle name="Percent 8 11 7" xfId="23768" xr:uid="{00000000-0005-0000-0000-0000AA5D0000}"/>
    <cellStyle name="Percent 8 11 8" xfId="23769" xr:uid="{00000000-0005-0000-0000-0000AB5D0000}"/>
    <cellStyle name="Percent 8 11 9" xfId="23770" xr:uid="{00000000-0005-0000-0000-0000AC5D0000}"/>
    <cellStyle name="Percent 8 12" xfId="23771" xr:uid="{00000000-0005-0000-0000-0000AD5D0000}"/>
    <cellStyle name="Percent 8 12 10" xfId="23772" xr:uid="{00000000-0005-0000-0000-0000AE5D0000}"/>
    <cellStyle name="Percent 8 12 11" xfId="23773" xr:uid="{00000000-0005-0000-0000-0000AF5D0000}"/>
    <cellStyle name="Percent 8 12 12" xfId="23774" xr:uid="{00000000-0005-0000-0000-0000B05D0000}"/>
    <cellStyle name="Percent 8 12 13" xfId="23775" xr:uid="{00000000-0005-0000-0000-0000B15D0000}"/>
    <cellStyle name="Percent 8 12 14" xfId="23776" xr:uid="{00000000-0005-0000-0000-0000B25D0000}"/>
    <cellStyle name="Percent 8 12 15" xfId="23777" xr:uid="{00000000-0005-0000-0000-0000B35D0000}"/>
    <cellStyle name="Percent 8 12 16" xfId="23778" xr:uid="{00000000-0005-0000-0000-0000B45D0000}"/>
    <cellStyle name="Percent 8 12 17" xfId="23779" xr:uid="{00000000-0005-0000-0000-0000B55D0000}"/>
    <cellStyle name="Percent 8 12 2" xfId="23780" xr:uid="{00000000-0005-0000-0000-0000B65D0000}"/>
    <cellStyle name="Percent 8 12 3" xfId="23781" xr:uid="{00000000-0005-0000-0000-0000B75D0000}"/>
    <cellStyle name="Percent 8 12 4" xfId="23782" xr:uid="{00000000-0005-0000-0000-0000B85D0000}"/>
    <cellStyle name="Percent 8 12 5" xfId="23783" xr:uid="{00000000-0005-0000-0000-0000B95D0000}"/>
    <cellStyle name="Percent 8 12 6" xfId="23784" xr:uid="{00000000-0005-0000-0000-0000BA5D0000}"/>
    <cellStyle name="Percent 8 12 7" xfId="23785" xr:uid="{00000000-0005-0000-0000-0000BB5D0000}"/>
    <cellStyle name="Percent 8 12 8" xfId="23786" xr:uid="{00000000-0005-0000-0000-0000BC5D0000}"/>
    <cellStyle name="Percent 8 12 9" xfId="23787" xr:uid="{00000000-0005-0000-0000-0000BD5D0000}"/>
    <cellStyle name="Percent 8 13" xfId="23788" xr:uid="{00000000-0005-0000-0000-0000BE5D0000}"/>
    <cellStyle name="Percent 8 13 10" xfId="23789" xr:uid="{00000000-0005-0000-0000-0000BF5D0000}"/>
    <cellStyle name="Percent 8 13 11" xfId="23790" xr:uid="{00000000-0005-0000-0000-0000C05D0000}"/>
    <cellStyle name="Percent 8 13 12" xfId="23791" xr:uid="{00000000-0005-0000-0000-0000C15D0000}"/>
    <cellStyle name="Percent 8 13 13" xfId="23792" xr:uid="{00000000-0005-0000-0000-0000C25D0000}"/>
    <cellStyle name="Percent 8 13 14" xfId="23793" xr:uid="{00000000-0005-0000-0000-0000C35D0000}"/>
    <cellStyle name="Percent 8 13 15" xfId="23794" xr:uid="{00000000-0005-0000-0000-0000C45D0000}"/>
    <cellStyle name="Percent 8 13 16" xfId="23795" xr:uid="{00000000-0005-0000-0000-0000C55D0000}"/>
    <cellStyle name="Percent 8 13 17" xfId="23796" xr:uid="{00000000-0005-0000-0000-0000C65D0000}"/>
    <cellStyle name="Percent 8 13 2" xfId="23797" xr:uid="{00000000-0005-0000-0000-0000C75D0000}"/>
    <cellStyle name="Percent 8 13 3" xfId="23798" xr:uid="{00000000-0005-0000-0000-0000C85D0000}"/>
    <cellStyle name="Percent 8 13 4" xfId="23799" xr:uid="{00000000-0005-0000-0000-0000C95D0000}"/>
    <cellStyle name="Percent 8 13 5" xfId="23800" xr:uid="{00000000-0005-0000-0000-0000CA5D0000}"/>
    <cellStyle name="Percent 8 13 6" xfId="23801" xr:uid="{00000000-0005-0000-0000-0000CB5D0000}"/>
    <cellStyle name="Percent 8 13 7" xfId="23802" xr:uid="{00000000-0005-0000-0000-0000CC5D0000}"/>
    <cellStyle name="Percent 8 13 8" xfId="23803" xr:uid="{00000000-0005-0000-0000-0000CD5D0000}"/>
    <cellStyle name="Percent 8 13 9" xfId="23804" xr:uid="{00000000-0005-0000-0000-0000CE5D0000}"/>
    <cellStyle name="Percent 8 14" xfId="23805" xr:uid="{00000000-0005-0000-0000-0000CF5D0000}"/>
    <cellStyle name="Percent 8 14 10" xfId="23806" xr:uid="{00000000-0005-0000-0000-0000D05D0000}"/>
    <cellStyle name="Percent 8 14 11" xfId="23807" xr:uid="{00000000-0005-0000-0000-0000D15D0000}"/>
    <cellStyle name="Percent 8 14 12" xfId="23808" xr:uid="{00000000-0005-0000-0000-0000D25D0000}"/>
    <cellStyle name="Percent 8 14 13" xfId="23809" xr:uid="{00000000-0005-0000-0000-0000D35D0000}"/>
    <cellStyle name="Percent 8 14 14" xfId="23810" xr:uid="{00000000-0005-0000-0000-0000D45D0000}"/>
    <cellStyle name="Percent 8 14 15" xfId="23811" xr:uid="{00000000-0005-0000-0000-0000D55D0000}"/>
    <cellStyle name="Percent 8 14 16" xfId="23812" xr:uid="{00000000-0005-0000-0000-0000D65D0000}"/>
    <cellStyle name="Percent 8 14 17" xfId="23813" xr:uid="{00000000-0005-0000-0000-0000D75D0000}"/>
    <cellStyle name="Percent 8 14 2" xfId="23814" xr:uid="{00000000-0005-0000-0000-0000D85D0000}"/>
    <cellStyle name="Percent 8 14 3" xfId="23815" xr:uid="{00000000-0005-0000-0000-0000D95D0000}"/>
    <cellStyle name="Percent 8 14 4" xfId="23816" xr:uid="{00000000-0005-0000-0000-0000DA5D0000}"/>
    <cellStyle name="Percent 8 14 5" xfId="23817" xr:uid="{00000000-0005-0000-0000-0000DB5D0000}"/>
    <cellStyle name="Percent 8 14 6" xfId="23818" xr:uid="{00000000-0005-0000-0000-0000DC5D0000}"/>
    <cellStyle name="Percent 8 14 7" xfId="23819" xr:uid="{00000000-0005-0000-0000-0000DD5D0000}"/>
    <cellStyle name="Percent 8 14 8" xfId="23820" xr:uid="{00000000-0005-0000-0000-0000DE5D0000}"/>
    <cellStyle name="Percent 8 14 9" xfId="23821" xr:uid="{00000000-0005-0000-0000-0000DF5D0000}"/>
    <cellStyle name="Percent 8 15" xfId="23822" xr:uid="{00000000-0005-0000-0000-0000E05D0000}"/>
    <cellStyle name="Percent 8 15 10" xfId="23823" xr:uid="{00000000-0005-0000-0000-0000E15D0000}"/>
    <cellStyle name="Percent 8 15 11" xfId="23824" xr:uid="{00000000-0005-0000-0000-0000E25D0000}"/>
    <cellStyle name="Percent 8 15 12" xfId="23825" xr:uid="{00000000-0005-0000-0000-0000E35D0000}"/>
    <cellStyle name="Percent 8 15 13" xfId="23826" xr:uid="{00000000-0005-0000-0000-0000E45D0000}"/>
    <cellStyle name="Percent 8 15 14" xfId="23827" xr:uid="{00000000-0005-0000-0000-0000E55D0000}"/>
    <cellStyle name="Percent 8 15 15" xfId="23828" xr:uid="{00000000-0005-0000-0000-0000E65D0000}"/>
    <cellStyle name="Percent 8 15 16" xfId="23829" xr:uid="{00000000-0005-0000-0000-0000E75D0000}"/>
    <cellStyle name="Percent 8 15 17" xfId="23830" xr:uid="{00000000-0005-0000-0000-0000E85D0000}"/>
    <cellStyle name="Percent 8 15 2" xfId="23831" xr:uid="{00000000-0005-0000-0000-0000E95D0000}"/>
    <cellStyle name="Percent 8 15 3" xfId="23832" xr:uid="{00000000-0005-0000-0000-0000EA5D0000}"/>
    <cellStyle name="Percent 8 15 4" xfId="23833" xr:uid="{00000000-0005-0000-0000-0000EB5D0000}"/>
    <cellStyle name="Percent 8 15 5" xfId="23834" xr:uid="{00000000-0005-0000-0000-0000EC5D0000}"/>
    <cellStyle name="Percent 8 15 6" xfId="23835" xr:uid="{00000000-0005-0000-0000-0000ED5D0000}"/>
    <cellStyle name="Percent 8 15 7" xfId="23836" xr:uid="{00000000-0005-0000-0000-0000EE5D0000}"/>
    <cellStyle name="Percent 8 15 8" xfId="23837" xr:uid="{00000000-0005-0000-0000-0000EF5D0000}"/>
    <cellStyle name="Percent 8 15 9" xfId="23838" xr:uid="{00000000-0005-0000-0000-0000F05D0000}"/>
    <cellStyle name="Percent 8 16" xfId="23839" xr:uid="{00000000-0005-0000-0000-0000F15D0000}"/>
    <cellStyle name="Percent 8 16 10" xfId="23840" xr:uid="{00000000-0005-0000-0000-0000F25D0000}"/>
    <cellStyle name="Percent 8 16 11" xfId="23841" xr:uid="{00000000-0005-0000-0000-0000F35D0000}"/>
    <cellStyle name="Percent 8 16 12" xfId="23842" xr:uid="{00000000-0005-0000-0000-0000F45D0000}"/>
    <cellStyle name="Percent 8 16 13" xfId="23843" xr:uid="{00000000-0005-0000-0000-0000F55D0000}"/>
    <cellStyle name="Percent 8 16 14" xfId="23844" xr:uid="{00000000-0005-0000-0000-0000F65D0000}"/>
    <cellStyle name="Percent 8 16 15" xfId="23845" xr:uid="{00000000-0005-0000-0000-0000F75D0000}"/>
    <cellStyle name="Percent 8 16 16" xfId="23846" xr:uid="{00000000-0005-0000-0000-0000F85D0000}"/>
    <cellStyle name="Percent 8 16 17" xfId="23847" xr:uid="{00000000-0005-0000-0000-0000F95D0000}"/>
    <cellStyle name="Percent 8 16 2" xfId="23848" xr:uid="{00000000-0005-0000-0000-0000FA5D0000}"/>
    <cellStyle name="Percent 8 16 3" xfId="23849" xr:uid="{00000000-0005-0000-0000-0000FB5D0000}"/>
    <cellStyle name="Percent 8 16 4" xfId="23850" xr:uid="{00000000-0005-0000-0000-0000FC5D0000}"/>
    <cellStyle name="Percent 8 16 5" xfId="23851" xr:uid="{00000000-0005-0000-0000-0000FD5D0000}"/>
    <cellStyle name="Percent 8 16 6" xfId="23852" xr:uid="{00000000-0005-0000-0000-0000FE5D0000}"/>
    <cellStyle name="Percent 8 16 7" xfId="23853" xr:uid="{00000000-0005-0000-0000-0000FF5D0000}"/>
    <cellStyle name="Percent 8 16 8" xfId="23854" xr:uid="{00000000-0005-0000-0000-0000005E0000}"/>
    <cellStyle name="Percent 8 16 9" xfId="23855" xr:uid="{00000000-0005-0000-0000-0000015E0000}"/>
    <cellStyle name="Percent 8 17" xfId="23856" xr:uid="{00000000-0005-0000-0000-0000025E0000}"/>
    <cellStyle name="Percent 8 17 10" xfId="23857" xr:uid="{00000000-0005-0000-0000-0000035E0000}"/>
    <cellStyle name="Percent 8 17 11" xfId="23858" xr:uid="{00000000-0005-0000-0000-0000045E0000}"/>
    <cellStyle name="Percent 8 17 12" xfId="23859" xr:uid="{00000000-0005-0000-0000-0000055E0000}"/>
    <cellStyle name="Percent 8 17 13" xfId="23860" xr:uid="{00000000-0005-0000-0000-0000065E0000}"/>
    <cellStyle name="Percent 8 17 14" xfId="23861" xr:uid="{00000000-0005-0000-0000-0000075E0000}"/>
    <cellStyle name="Percent 8 17 15" xfId="23862" xr:uid="{00000000-0005-0000-0000-0000085E0000}"/>
    <cellStyle name="Percent 8 17 16" xfId="23863" xr:uid="{00000000-0005-0000-0000-0000095E0000}"/>
    <cellStyle name="Percent 8 17 17" xfId="23864" xr:uid="{00000000-0005-0000-0000-00000A5E0000}"/>
    <cellStyle name="Percent 8 17 2" xfId="23865" xr:uid="{00000000-0005-0000-0000-00000B5E0000}"/>
    <cellStyle name="Percent 8 17 3" xfId="23866" xr:uid="{00000000-0005-0000-0000-00000C5E0000}"/>
    <cellStyle name="Percent 8 17 4" xfId="23867" xr:uid="{00000000-0005-0000-0000-00000D5E0000}"/>
    <cellStyle name="Percent 8 17 5" xfId="23868" xr:uid="{00000000-0005-0000-0000-00000E5E0000}"/>
    <cellStyle name="Percent 8 17 6" xfId="23869" xr:uid="{00000000-0005-0000-0000-00000F5E0000}"/>
    <cellStyle name="Percent 8 17 7" xfId="23870" xr:uid="{00000000-0005-0000-0000-0000105E0000}"/>
    <cellStyle name="Percent 8 17 8" xfId="23871" xr:uid="{00000000-0005-0000-0000-0000115E0000}"/>
    <cellStyle name="Percent 8 17 9" xfId="23872" xr:uid="{00000000-0005-0000-0000-0000125E0000}"/>
    <cellStyle name="Percent 8 18" xfId="23873" xr:uid="{00000000-0005-0000-0000-0000135E0000}"/>
    <cellStyle name="Percent 8 18 10" xfId="23874" xr:uid="{00000000-0005-0000-0000-0000145E0000}"/>
    <cellStyle name="Percent 8 18 11" xfId="23875" xr:uid="{00000000-0005-0000-0000-0000155E0000}"/>
    <cellStyle name="Percent 8 18 12" xfId="23876" xr:uid="{00000000-0005-0000-0000-0000165E0000}"/>
    <cellStyle name="Percent 8 18 13" xfId="23877" xr:uid="{00000000-0005-0000-0000-0000175E0000}"/>
    <cellStyle name="Percent 8 18 14" xfId="23878" xr:uid="{00000000-0005-0000-0000-0000185E0000}"/>
    <cellStyle name="Percent 8 18 15" xfId="23879" xr:uid="{00000000-0005-0000-0000-0000195E0000}"/>
    <cellStyle name="Percent 8 18 16" xfId="23880" xr:uid="{00000000-0005-0000-0000-00001A5E0000}"/>
    <cellStyle name="Percent 8 18 17" xfId="23881" xr:uid="{00000000-0005-0000-0000-00001B5E0000}"/>
    <cellStyle name="Percent 8 18 2" xfId="23882" xr:uid="{00000000-0005-0000-0000-00001C5E0000}"/>
    <cellStyle name="Percent 8 18 3" xfId="23883" xr:uid="{00000000-0005-0000-0000-00001D5E0000}"/>
    <cellStyle name="Percent 8 18 4" xfId="23884" xr:uid="{00000000-0005-0000-0000-00001E5E0000}"/>
    <cellStyle name="Percent 8 18 5" xfId="23885" xr:uid="{00000000-0005-0000-0000-00001F5E0000}"/>
    <cellStyle name="Percent 8 18 6" xfId="23886" xr:uid="{00000000-0005-0000-0000-0000205E0000}"/>
    <cellStyle name="Percent 8 18 7" xfId="23887" xr:uid="{00000000-0005-0000-0000-0000215E0000}"/>
    <cellStyle name="Percent 8 18 8" xfId="23888" xr:uid="{00000000-0005-0000-0000-0000225E0000}"/>
    <cellStyle name="Percent 8 18 9" xfId="23889" xr:uid="{00000000-0005-0000-0000-0000235E0000}"/>
    <cellStyle name="Percent 8 19" xfId="23890" xr:uid="{00000000-0005-0000-0000-0000245E0000}"/>
    <cellStyle name="Percent 8 19 10" xfId="23891" xr:uid="{00000000-0005-0000-0000-0000255E0000}"/>
    <cellStyle name="Percent 8 19 11" xfId="23892" xr:uid="{00000000-0005-0000-0000-0000265E0000}"/>
    <cellStyle name="Percent 8 19 12" xfId="23893" xr:uid="{00000000-0005-0000-0000-0000275E0000}"/>
    <cellStyle name="Percent 8 19 13" xfId="23894" xr:uid="{00000000-0005-0000-0000-0000285E0000}"/>
    <cellStyle name="Percent 8 19 14" xfId="23895" xr:uid="{00000000-0005-0000-0000-0000295E0000}"/>
    <cellStyle name="Percent 8 19 15" xfId="23896" xr:uid="{00000000-0005-0000-0000-00002A5E0000}"/>
    <cellStyle name="Percent 8 19 16" xfId="23897" xr:uid="{00000000-0005-0000-0000-00002B5E0000}"/>
    <cellStyle name="Percent 8 19 17" xfId="23898" xr:uid="{00000000-0005-0000-0000-00002C5E0000}"/>
    <cellStyle name="Percent 8 19 2" xfId="23899" xr:uid="{00000000-0005-0000-0000-00002D5E0000}"/>
    <cellStyle name="Percent 8 19 3" xfId="23900" xr:uid="{00000000-0005-0000-0000-00002E5E0000}"/>
    <cellStyle name="Percent 8 19 4" xfId="23901" xr:uid="{00000000-0005-0000-0000-00002F5E0000}"/>
    <cellStyle name="Percent 8 19 5" xfId="23902" xr:uid="{00000000-0005-0000-0000-0000305E0000}"/>
    <cellStyle name="Percent 8 19 6" xfId="23903" xr:uid="{00000000-0005-0000-0000-0000315E0000}"/>
    <cellStyle name="Percent 8 19 7" xfId="23904" xr:uid="{00000000-0005-0000-0000-0000325E0000}"/>
    <cellStyle name="Percent 8 19 8" xfId="23905" xr:uid="{00000000-0005-0000-0000-0000335E0000}"/>
    <cellStyle name="Percent 8 19 9" xfId="23906" xr:uid="{00000000-0005-0000-0000-0000345E0000}"/>
    <cellStyle name="Percent 8 2" xfId="23907" xr:uid="{00000000-0005-0000-0000-0000355E0000}"/>
    <cellStyle name="Percent 8 2 2" xfId="23908" xr:uid="{00000000-0005-0000-0000-0000365E0000}"/>
    <cellStyle name="Percent 8 2 2 10" xfId="23909" xr:uid="{00000000-0005-0000-0000-0000375E0000}"/>
    <cellStyle name="Percent 8 2 2 11" xfId="23910" xr:uid="{00000000-0005-0000-0000-0000385E0000}"/>
    <cellStyle name="Percent 8 2 2 12" xfId="23911" xr:uid="{00000000-0005-0000-0000-0000395E0000}"/>
    <cellStyle name="Percent 8 2 2 13" xfId="23912" xr:uid="{00000000-0005-0000-0000-00003A5E0000}"/>
    <cellStyle name="Percent 8 2 2 14" xfId="23913" xr:uid="{00000000-0005-0000-0000-00003B5E0000}"/>
    <cellStyle name="Percent 8 2 2 15" xfId="23914" xr:uid="{00000000-0005-0000-0000-00003C5E0000}"/>
    <cellStyle name="Percent 8 2 2 16" xfId="23915" xr:uid="{00000000-0005-0000-0000-00003D5E0000}"/>
    <cellStyle name="Percent 8 2 2 17" xfId="23916" xr:uid="{00000000-0005-0000-0000-00003E5E0000}"/>
    <cellStyle name="Percent 8 2 2 18" xfId="23917" xr:uid="{00000000-0005-0000-0000-00003F5E0000}"/>
    <cellStyle name="Percent 8 2 2 19" xfId="23918" xr:uid="{00000000-0005-0000-0000-0000405E0000}"/>
    <cellStyle name="Percent 8 2 2 2" xfId="23919" xr:uid="{00000000-0005-0000-0000-0000415E0000}"/>
    <cellStyle name="Percent 8 2 2 2 10" xfId="23920" xr:uid="{00000000-0005-0000-0000-0000425E0000}"/>
    <cellStyle name="Percent 8 2 2 2 11" xfId="23921" xr:uid="{00000000-0005-0000-0000-0000435E0000}"/>
    <cellStyle name="Percent 8 2 2 2 12" xfId="23922" xr:uid="{00000000-0005-0000-0000-0000445E0000}"/>
    <cellStyle name="Percent 8 2 2 2 13" xfId="23923" xr:uid="{00000000-0005-0000-0000-0000455E0000}"/>
    <cellStyle name="Percent 8 2 2 2 14" xfId="23924" xr:uid="{00000000-0005-0000-0000-0000465E0000}"/>
    <cellStyle name="Percent 8 2 2 2 15" xfId="23925" xr:uid="{00000000-0005-0000-0000-0000475E0000}"/>
    <cellStyle name="Percent 8 2 2 2 16" xfId="23926" xr:uid="{00000000-0005-0000-0000-0000485E0000}"/>
    <cellStyle name="Percent 8 2 2 2 17" xfId="23927" xr:uid="{00000000-0005-0000-0000-0000495E0000}"/>
    <cellStyle name="Percent 8 2 2 2 18" xfId="23928" xr:uid="{00000000-0005-0000-0000-00004A5E0000}"/>
    <cellStyle name="Percent 8 2 2 2 19" xfId="23929" xr:uid="{00000000-0005-0000-0000-00004B5E0000}"/>
    <cellStyle name="Percent 8 2 2 2 2" xfId="23930" xr:uid="{00000000-0005-0000-0000-00004C5E0000}"/>
    <cellStyle name="Percent 8 2 2 2 2 10" xfId="23931" xr:uid="{00000000-0005-0000-0000-00004D5E0000}"/>
    <cellStyle name="Percent 8 2 2 2 2 11" xfId="23932" xr:uid="{00000000-0005-0000-0000-00004E5E0000}"/>
    <cellStyle name="Percent 8 2 2 2 2 12" xfId="23933" xr:uid="{00000000-0005-0000-0000-00004F5E0000}"/>
    <cellStyle name="Percent 8 2 2 2 2 13" xfId="23934" xr:uid="{00000000-0005-0000-0000-0000505E0000}"/>
    <cellStyle name="Percent 8 2 2 2 2 2" xfId="23935" xr:uid="{00000000-0005-0000-0000-0000515E0000}"/>
    <cellStyle name="Percent 8 2 2 2 2 3" xfId="23936" xr:uid="{00000000-0005-0000-0000-0000525E0000}"/>
    <cellStyle name="Percent 8 2 2 2 2 4" xfId="23937" xr:uid="{00000000-0005-0000-0000-0000535E0000}"/>
    <cellStyle name="Percent 8 2 2 2 2 5" xfId="23938" xr:uid="{00000000-0005-0000-0000-0000545E0000}"/>
    <cellStyle name="Percent 8 2 2 2 2 6" xfId="23939" xr:uid="{00000000-0005-0000-0000-0000555E0000}"/>
    <cellStyle name="Percent 8 2 2 2 2 7" xfId="23940" xr:uid="{00000000-0005-0000-0000-0000565E0000}"/>
    <cellStyle name="Percent 8 2 2 2 2 8" xfId="23941" xr:uid="{00000000-0005-0000-0000-0000575E0000}"/>
    <cellStyle name="Percent 8 2 2 2 2 9" xfId="23942" xr:uid="{00000000-0005-0000-0000-0000585E0000}"/>
    <cellStyle name="Percent 8 2 2 2 20" xfId="23943" xr:uid="{00000000-0005-0000-0000-0000595E0000}"/>
    <cellStyle name="Percent 8 2 2 2 21" xfId="23944" xr:uid="{00000000-0005-0000-0000-00005A5E0000}"/>
    <cellStyle name="Percent 8 2 2 2 22" xfId="23945" xr:uid="{00000000-0005-0000-0000-00005B5E0000}"/>
    <cellStyle name="Percent 8 2 2 2 23" xfId="23946" xr:uid="{00000000-0005-0000-0000-00005C5E0000}"/>
    <cellStyle name="Percent 8 2 2 2 24" xfId="23947" xr:uid="{00000000-0005-0000-0000-00005D5E0000}"/>
    <cellStyle name="Percent 8 2 2 2 25" xfId="23948" xr:uid="{00000000-0005-0000-0000-00005E5E0000}"/>
    <cellStyle name="Percent 8 2 2 2 26" xfId="23949" xr:uid="{00000000-0005-0000-0000-00005F5E0000}"/>
    <cellStyle name="Percent 8 2 2 2 27" xfId="23950" xr:uid="{00000000-0005-0000-0000-0000605E0000}"/>
    <cellStyle name="Percent 8 2 2 2 28" xfId="23951" xr:uid="{00000000-0005-0000-0000-0000615E0000}"/>
    <cellStyle name="Percent 8 2 2 2 29" xfId="23952" xr:uid="{00000000-0005-0000-0000-0000625E0000}"/>
    <cellStyle name="Percent 8 2 2 2 3" xfId="23953" xr:uid="{00000000-0005-0000-0000-0000635E0000}"/>
    <cellStyle name="Percent 8 2 2 2 30" xfId="23954" xr:uid="{00000000-0005-0000-0000-0000645E0000}"/>
    <cellStyle name="Percent 8 2 2 2 31" xfId="23955" xr:uid="{00000000-0005-0000-0000-0000655E0000}"/>
    <cellStyle name="Percent 8 2 2 2 32" xfId="23956" xr:uid="{00000000-0005-0000-0000-0000665E0000}"/>
    <cellStyle name="Percent 8 2 2 2 33" xfId="23957" xr:uid="{00000000-0005-0000-0000-0000675E0000}"/>
    <cellStyle name="Percent 8 2 2 2 34" xfId="23958" xr:uid="{00000000-0005-0000-0000-0000685E0000}"/>
    <cellStyle name="Percent 8 2 2 2 35" xfId="23959" xr:uid="{00000000-0005-0000-0000-0000695E0000}"/>
    <cellStyle name="Percent 8 2 2 2 36" xfId="23960" xr:uid="{00000000-0005-0000-0000-00006A5E0000}"/>
    <cellStyle name="Percent 8 2 2 2 37" xfId="23961" xr:uid="{00000000-0005-0000-0000-00006B5E0000}"/>
    <cellStyle name="Percent 8 2 2 2 38" xfId="23962" xr:uid="{00000000-0005-0000-0000-00006C5E0000}"/>
    <cellStyle name="Percent 8 2 2 2 39" xfId="23963" xr:uid="{00000000-0005-0000-0000-00006D5E0000}"/>
    <cellStyle name="Percent 8 2 2 2 4" xfId="23964" xr:uid="{00000000-0005-0000-0000-00006E5E0000}"/>
    <cellStyle name="Percent 8 2 2 2 40" xfId="23965" xr:uid="{00000000-0005-0000-0000-00006F5E0000}"/>
    <cellStyle name="Percent 8 2 2 2 41" xfId="23966" xr:uid="{00000000-0005-0000-0000-0000705E0000}"/>
    <cellStyle name="Percent 8 2 2 2 42" xfId="23967" xr:uid="{00000000-0005-0000-0000-0000715E0000}"/>
    <cellStyle name="Percent 8 2 2 2 43" xfId="23968" xr:uid="{00000000-0005-0000-0000-0000725E0000}"/>
    <cellStyle name="Percent 8 2 2 2 44" xfId="23969" xr:uid="{00000000-0005-0000-0000-0000735E0000}"/>
    <cellStyle name="Percent 8 2 2 2 45" xfId="23970" xr:uid="{00000000-0005-0000-0000-0000745E0000}"/>
    <cellStyle name="Percent 8 2 2 2 46" xfId="23971" xr:uid="{00000000-0005-0000-0000-0000755E0000}"/>
    <cellStyle name="Percent 8 2 2 2 47" xfId="23972" xr:uid="{00000000-0005-0000-0000-0000765E0000}"/>
    <cellStyle name="Percent 8 2 2 2 48" xfId="23973" xr:uid="{00000000-0005-0000-0000-0000775E0000}"/>
    <cellStyle name="Percent 8 2 2 2 49" xfId="23974" xr:uid="{00000000-0005-0000-0000-0000785E0000}"/>
    <cellStyle name="Percent 8 2 2 2 5" xfId="23975" xr:uid="{00000000-0005-0000-0000-0000795E0000}"/>
    <cellStyle name="Percent 8 2 2 2 50" xfId="23976" xr:uid="{00000000-0005-0000-0000-00007A5E0000}"/>
    <cellStyle name="Percent 8 2 2 2 51" xfId="23977" xr:uid="{00000000-0005-0000-0000-00007B5E0000}"/>
    <cellStyle name="Percent 8 2 2 2 52" xfId="23978" xr:uid="{00000000-0005-0000-0000-00007C5E0000}"/>
    <cellStyle name="Percent 8 2 2 2 53" xfId="23979" xr:uid="{00000000-0005-0000-0000-00007D5E0000}"/>
    <cellStyle name="Percent 8 2 2 2 54" xfId="23980" xr:uid="{00000000-0005-0000-0000-00007E5E0000}"/>
    <cellStyle name="Percent 8 2 2 2 55" xfId="23981" xr:uid="{00000000-0005-0000-0000-00007F5E0000}"/>
    <cellStyle name="Percent 8 2 2 2 56" xfId="23982" xr:uid="{00000000-0005-0000-0000-0000805E0000}"/>
    <cellStyle name="Percent 8 2 2 2 57" xfId="23983" xr:uid="{00000000-0005-0000-0000-0000815E0000}"/>
    <cellStyle name="Percent 8 2 2 2 58" xfId="23984" xr:uid="{00000000-0005-0000-0000-0000825E0000}"/>
    <cellStyle name="Percent 8 2 2 2 59" xfId="23985" xr:uid="{00000000-0005-0000-0000-0000835E0000}"/>
    <cellStyle name="Percent 8 2 2 2 6" xfId="23986" xr:uid="{00000000-0005-0000-0000-0000845E0000}"/>
    <cellStyle name="Percent 8 2 2 2 60" xfId="23987" xr:uid="{00000000-0005-0000-0000-0000855E0000}"/>
    <cellStyle name="Percent 8 2 2 2 61" xfId="23988" xr:uid="{00000000-0005-0000-0000-0000865E0000}"/>
    <cellStyle name="Percent 8 2 2 2 62" xfId="23989" xr:uid="{00000000-0005-0000-0000-0000875E0000}"/>
    <cellStyle name="Percent 8 2 2 2 63" xfId="23990" xr:uid="{00000000-0005-0000-0000-0000885E0000}"/>
    <cellStyle name="Percent 8 2 2 2 64" xfId="23991" xr:uid="{00000000-0005-0000-0000-0000895E0000}"/>
    <cellStyle name="Percent 8 2 2 2 65" xfId="23992" xr:uid="{00000000-0005-0000-0000-00008A5E0000}"/>
    <cellStyle name="Percent 8 2 2 2 66" xfId="23993" xr:uid="{00000000-0005-0000-0000-00008B5E0000}"/>
    <cellStyle name="Percent 8 2 2 2 67" xfId="23994" xr:uid="{00000000-0005-0000-0000-00008C5E0000}"/>
    <cellStyle name="Percent 8 2 2 2 68" xfId="23995" xr:uid="{00000000-0005-0000-0000-00008D5E0000}"/>
    <cellStyle name="Percent 8 2 2 2 69" xfId="23996" xr:uid="{00000000-0005-0000-0000-00008E5E0000}"/>
    <cellStyle name="Percent 8 2 2 2 7" xfId="23997" xr:uid="{00000000-0005-0000-0000-00008F5E0000}"/>
    <cellStyle name="Percent 8 2 2 2 8" xfId="23998" xr:uid="{00000000-0005-0000-0000-0000905E0000}"/>
    <cellStyle name="Percent 8 2 2 2 9" xfId="23999" xr:uid="{00000000-0005-0000-0000-0000915E0000}"/>
    <cellStyle name="Percent 8 2 2 20" xfId="24000" xr:uid="{00000000-0005-0000-0000-0000925E0000}"/>
    <cellStyle name="Percent 8 2 2 21" xfId="24001" xr:uid="{00000000-0005-0000-0000-0000935E0000}"/>
    <cellStyle name="Percent 8 2 2 22" xfId="24002" xr:uid="{00000000-0005-0000-0000-0000945E0000}"/>
    <cellStyle name="Percent 8 2 2 23" xfId="24003" xr:uid="{00000000-0005-0000-0000-0000955E0000}"/>
    <cellStyle name="Percent 8 2 2 24" xfId="24004" xr:uid="{00000000-0005-0000-0000-0000965E0000}"/>
    <cellStyle name="Percent 8 2 2 25" xfId="24005" xr:uid="{00000000-0005-0000-0000-0000975E0000}"/>
    <cellStyle name="Percent 8 2 2 26" xfId="24006" xr:uid="{00000000-0005-0000-0000-0000985E0000}"/>
    <cellStyle name="Percent 8 2 2 27" xfId="24007" xr:uid="{00000000-0005-0000-0000-0000995E0000}"/>
    <cellStyle name="Percent 8 2 2 28" xfId="24008" xr:uid="{00000000-0005-0000-0000-00009A5E0000}"/>
    <cellStyle name="Percent 8 2 2 29" xfId="24009" xr:uid="{00000000-0005-0000-0000-00009B5E0000}"/>
    <cellStyle name="Percent 8 2 2 3" xfId="24010" xr:uid="{00000000-0005-0000-0000-00009C5E0000}"/>
    <cellStyle name="Percent 8 2 2 3 10" xfId="24011" xr:uid="{00000000-0005-0000-0000-00009D5E0000}"/>
    <cellStyle name="Percent 8 2 2 3 11" xfId="24012" xr:uid="{00000000-0005-0000-0000-00009E5E0000}"/>
    <cellStyle name="Percent 8 2 2 3 12" xfId="24013" xr:uid="{00000000-0005-0000-0000-00009F5E0000}"/>
    <cellStyle name="Percent 8 2 2 3 13" xfId="24014" xr:uid="{00000000-0005-0000-0000-0000A05E0000}"/>
    <cellStyle name="Percent 8 2 2 3 2" xfId="24015" xr:uid="{00000000-0005-0000-0000-0000A15E0000}"/>
    <cellStyle name="Percent 8 2 2 3 3" xfId="24016" xr:uid="{00000000-0005-0000-0000-0000A25E0000}"/>
    <cellStyle name="Percent 8 2 2 3 4" xfId="24017" xr:uid="{00000000-0005-0000-0000-0000A35E0000}"/>
    <cellStyle name="Percent 8 2 2 3 5" xfId="24018" xr:uid="{00000000-0005-0000-0000-0000A45E0000}"/>
    <cellStyle name="Percent 8 2 2 3 6" xfId="24019" xr:uid="{00000000-0005-0000-0000-0000A55E0000}"/>
    <cellStyle name="Percent 8 2 2 3 7" xfId="24020" xr:uid="{00000000-0005-0000-0000-0000A65E0000}"/>
    <cellStyle name="Percent 8 2 2 3 8" xfId="24021" xr:uid="{00000000-0005-0000-0000-0000A75E0000}"/>
    <cellStyle name="Percent 8 2 2 3 9" xfId="24022" xr:uid="{00000000-0005-0000-0000-0000A85E0000}"/>
    <cellStyle name="Percent 8 2 2 30" xfId="24023" xr:uid="{00000000-0005-0000-0000-0000A95E0000}"/>
    <cellStyle name="Percent 8 2 2 31" xfId="24024" xr:uid="{00000000-0005-0000-0000-0000AA5E0000}"/>
    <cellStyle name="Percent 8 2 2 32" xfId="24025" xr:uid="{00000000-0005-0000-0000-0000AB5E0000}"/>
    <cellStyle name="Percent 8 2 2 33" xfId="24026" xr:uid="{00000000-0005-0000-0000-0000AC5E0000}"/>
    <cellStyle name="Percent 8 2 2 34" xfId="24027" xr:uid="{00000000-0005-0000-0000-0000AD5E0000}"/>
    <cellStyle name="Percent 8 2 2 35" xfId="24028" xr:uid="{00000000-0005-0000-0000-0000AE5E0000}"/>
    <cellStyle name="Percent 8 2 2 36" xfId="24029" xr:uid="{00000000-0005-0000-0000-0000AF5E0000}"/>
    <cellStyle name="Percent 8 2 2 37" xfId="24030" xr:uid="{00000000-0005-0000-0000-0000B05E0000}"/>
    <cellStyle name="Percent 8 2 2 38" xfId="24031" xr:uid="{00000000-0005-0000-0000-0000B15E0000}"/>
    <cellStyle name="Percent 8 2 2 39" xfId="24032" xr:uid="{00000000-0005-0000-0000-0000B25E0000}"/>
    <cellStyle name="Percent 8 2 2 4" xfId="24033" xr:uid="{00000000-0005-0000-0000-0000B35E0000}"/>
    <cellStyle name="Percent 8 2 2 40" xfId="24034" xr:uid="{00000000-0005-0000-0000-0000B45E0000}"/>
    <cellStyle name="Percent 8 2 2 41" xfId="24035" xr:uid="{00000000-0005-0000-0000-0000B55E0000}"/>
    <cellStyle name="Percent 8 2 2 42" xfId="24036" xr:uid="{00000000-0005-0000-0000-0000B65E0000}"/>
    <cellStyle name="Percent 8 2 2 43" xfId="24037" xr:uid="{00000000-0005-0000-0000-0000B75E0000}"/>
    <cellStyle name="Percent 8 2 2 44" xfId="24038" xr:uid="{00000000-0005-0000-0000-0000B85E0000}"/>
    <cellStyle name="Percent 8 2 2 45" xfId="24039" xr:uid="{00000000-0005-0000-0000-0000B95E0000}"/>
    <cellStyle name="Percent 8 2 2 46" xfId="24040" xr:uid="{00000000-0005-0000-0000-0000BA5E0000}"/>
    <cellStyle name="Percent 8 2 2 47" xfId="24041" xr:uid="{00000000-0005-0000-0000-0000BB5E0000}"/>
    <cellStyle name="Percent 8 2 2 48" xfId="24042" xr:uid="{00000000-0005-0000-0000-0000BC5E0000}"/>
    <cellStyle name="Percent 8 2 2 49" xfId="24043" xr:uid="{00000000-0005-0000-0000-0000BD5E0000}"/>
    <cellStyle name="Percent 8 2 2 5" xfId="24044" xr:uid="{00000000-0005-0000-0000-0000BE5E0000}"/>
    <cellStyle name="Percent 8 2 2 50" xfId="24045" xr:uid="{00000000-0005-0000-0000-0000BF5E0000}"/>
    <cellStyle name="Percent 8 2 2 51" xfId="24046" xr:uid="{00000000-0005-0000-0000-0000C05E0000}"/>
    <cellStyle name="Percent 8 2 2 52" xfId="24047" xr:uid="{00000000-0005-0000-0000-0000C15E0000}"/>
    <cellStyle name="Percent 8 2 2 53" xfId="24048" xr:uid="{00000000-0005-0000-0000-0000C25E0000}"/>
    <cellStyle name="Percent 8 2 2 54" xfId="24049" xr:uid="{00000000-0005-0000-0000-0000C35E0000}"/>
    <cellStyle name="Percent 8 2 2 55" xfId="24050" xr:uid="{00000000-0005-0000-0000-0000C45E0000}"/>
    <cellStyle name="Percent 8 2 2 56" xfId="24051" xr:uid="{00000000-0005-0000-0000-0000C55E0000}"/>
    <cellStyle name="Percent 8 2 2 57" xfId="24052" xr:uid="{00000000-0005-0000-0000-0000C65E0000}"/>
    <cellStyle name="Percent 8 2 2 58" xfId="24053" xr:uid="{00000000-0005-0000-0000-0000C75E0000}"/>
    <cellStyle name="Percent 8 2 2 59" xfId="24054" xr:uid="{00000000-0005-0000-0000-0000C85E0000}"/>
    <cellStyle name="Percent 8 2 2 6" xfId="24055" xr:uid="{00000000-0005-0000-0000-0000C95E0000}"/>
    <cellStyle name="Percent 8 2 2 60" xfId="24056" xr:uid="{00000000-0005-0000-0000-0000CA5E0000}"/>
    <cellStyle name="Percent 8 2 2 61" xfId="24057" xr:uid="{00000000-0005-0000-0000-0000CB5E0000}"/>
    <cellStyle name="Percent 8 2 2 62" xfId="24058" xr:uid="{00000000-0005-0000-0000-0000CC5E0000}"/>
    <cellStyle name="Percent 8 2 2 63" xfId="24059" xr:uid="{00000000-0005-0000-0000-0000CD5E0000}"/>
    <cellStyle name="Percent 8 2 2 64" xfId="24060" xr:uid="{00000000-0005-0000-0000-0000CE5E0000}"/>
    <cellStyle name="Percent 8 2 2 65" xfId="24061" xr:uid="{00000000-0005-0000-0000-0000CF5E0000}"/>
    <cellStyle name="Percent 8 2 2 66" xfId="24062" xr:uid="{00000000-0005-0000-0000-0000D05E0000}"/>
    <cellStyle name="Percent 8 2 2 67" xfId="24063" xr:uid="{00000000-0005-0000-0000-0000D15E0000}"/>
    <cellStyle name="Percent 8 2 2 68" xfId="24064" xr:uid="{00000000-0005-0000-0000-0000D25E0000}"/>
    <cellStyle name="Percent 8 2 2 69" xfId="24065" xr:uid="{00000000-0005-0000-0000-0000D35E0000}"/>
    <cellStyle name="Percent 8 2 2 7" xfId="24066" xr:uid="{00000000-0005-0000-0000-0000D45E0000}"/>
    <cellStyle name="Percent 8 2 2 70" xfId="24067" xr:uid="{00000000-0005-0000-0000-0000D55E0000}"/>
    <cellStyle name="Percent 8 2 2 8" xfId="24068" xr:uid="{00000000-0005-0000-0000-0000D65E0000}"/>
    <cellStyle name="Percent 8 2 2 9" xfId="24069" xr:uid="{00000000-0005-0000-0000-0000D75E0000}"/>
    <cellStyle name="Percent 8 2 3" xfId="24070" xr:uid="{00000000-0005-0000-0000-0000D85E0000}"/>
    <cellStyle name="Percent 8 2 3 10" xfId="24071" xr:uid="{00000000-0005-0000-0000-0000D95E0000}"/>
    <cellStyle name="Percent 8 2 3 11" xfId="24072" xr:uid="{00000000-0005-0000-0000-0000DA5E0000}"/>
    <cellStyle name="Percent 8 2 3 12" xfId="24073" xr:uid="{00000000-0005-0000-0000-0000DB5E0000}"/>
    <cellStyle name="Percent 8 2 3 13" xfId="24074" xr:uid="{00000000-0005-0000-0000-0000DC5E0000}"/>
    <cellStyle name="Percent 8 2 3 14" xfId="24075" xr:uid="{00000000-0005-0000-0000-0000DD5E0000}"/>
    <cellStyle name="Percent 8 2 3 15" xfId="24076" xr:uid="{00000000-0005-0000-0000-0000DE5E0000}"/>
    <cellStyle name="Percent 8 2 3 16" xfId="24077" xr:uid="{00000000-0005-0000-0000-0000DF5E0000}"/>
    <cellStyle name="Percent 8 2 3 17" xfId="24078" xr:uid="{00000000-0005-0000-0000-0000E05E0000}"/>
    <cellStyle name="Percent 8 2 3 18" xfId="24079" xr:uid="{00000000-0005-0000-0000-0000E15E0000}"/>
    <cellStyle name="Percent 8 2 3 19" xfId="24080" xr:uid="{00000000-0005-0000-0000-0000E25E0000}"/>
    <cellStyle name="Percent 8 2 3 2" xfId="24081" xr:uid="{00000000-0005-0000-0000-0000E35E0000}"/>
    <cellStyle name="Percent 8 2 3 2 10" xfId="24082" xr:uid="{00000000-0005-0000-0000-0000E45E0000}"/>
    <cellStyle name="Percent 8 2 3 2 11" xfId="24083" xr:uid="{00000000-0005-0000-0000-0000E55E0000}"/>
    <cellStyle name="Percent 8 2 3 2 12" xfId="24084" xr:uid="{00000000-0005-0000-0000-0000E65E0000}"/>
    <cellStyle name="Percent 8 2 3 2 13" xfId="24085" xr:uid="{00000000-0005-0000-0000-0000E75E0000}"/>
    <cellStyle name="Percent 8 2 3 2 2" xfId="24086" xr:uid="{00000000-0005-0000-0000-0000E85E0000}"/>
    <cellStyle name="Percent 8 2 3 2 3" xfId="24087" xr:uid="{00000000-0005-0000-0000-0000E95E0000}"/>
    <cellStyle name="Percent 8 2 3 2 4" xfId="24088" xr:uid="{00000000-0005-0000-0000-0000EA5E0000}"/>
    <cellStyle name="Percent 8 2 3 2 5" xfId="24089" xr:uid="{00000000-0005-0000-0000-0000EB5E0000}"/>
    <cellStyle name="Percent 8 2 3 2 6" xfId="24090" xr:uid="{00000000-0005-0000-0000-0000EC5E0000}"/>
    <cellStyle name="Percent 8 2 3 2 7" xfId="24091" xr:uid="{00000000-0005-0000-0000-0000ED5E0000}"/>
    <cellStyle name="Percent 8 2 3 2 8" xfId="24092" xr:uid="{00000000-0005-0000-0000-0000EE5E0000}"/>
    <cellStyle name="Percent 8 2 3 2 9" xfId="24093" xr:uid="{00000000-0005-0000-0000-0000EF5E0000}"/>
    <cellStyle name="Percent 8 2 3 20" xfId="24094" xr:uid="{00000000-0005-0000-0000-0000F05E0000}"/>
    <cellStyle name="Percent 8 2 3 21" xfId="24095" xr:uid="{00000000-0005-0000-0000-0000F15E0000}"/>
    <cellStyle name="Percent 8 2 3 22" xfId="24096" xr:uid="{00000000-0005-0000-0000-0000F25E0000}"/>
    <cellStyle name="Percent 8 2 3 23" xfId="24097" xr:uid="{00000000-0005-0000-0000-0000F35E0000}"/>
    <cellStyle name="Percent 8 2 3 24" xfId="24098" xr:uid="{00000000-0005-0000-0000-0000F45E0000}"/>
    <cellStyle name="Percent 8 2 3 25" xfId="24099" xr:uid="{00000000-0005-0000-0000-0000F55E0000}"/>
    <cellStyle name="Percent 8 2 3 26" xfId="24100" xr:uid="{00000000-0005-0000-0000-0000F65E0000}"/>
    <cellStyle name="Percent 8 2 3 27" xfId="24101" xr:uid="{00000000-0005-0000-0000-0000F75E0000}"/>
    <cellStyle name="Percent 8 2 3 28" xfId="24102" xr:uid="{00000000-0005-0000-0000-0000F85E0000}"/>
    <cellStyle name="Percent 8 2 3 29" xfId="24103" xr:uid="{00000000-0005-0000-0000-0000F95E0000}"/>
    <cellStyle name="Percent 8 2 3 3" xfId="24104" xr:uid="{00000000-0005-0000-0000-0000FA5E0000}"/>
    <cellStyle name="Percent 8 2 3 30" xfId="24105" xr:uid="{00000000-0005-0000-0000-0000FB5E0000}"/>
    <cellStyle name="Percent 8 2 3 31" xfId="24106" xr:uid="{00000000-0005-0000-0000-0000FC5E0000}"/>
    <cellStyle name="Percent 8 2 3 32" xfId="24107" xr:uid="{00000000-0005-0000-0000-0000FD5E0000}"/>
    <cellStyle name="Percent 8 2 3 33" xfId="24108" xr:uid="{00000000-0005-0000-0000-0000FE5E0000}"/>
    <cellStyle name="Percent 8 2 3 34" xfId="24109" xr:uid="{00000000-0005-0000-0000-0000FF5E0000}"/>
    <cellStyle name="Percent 8 2 3 35" xfId="24110" xr:uid="{00000000-0005-0000-0000-0000005F0000}"/>
    <cellStyle name="Percent 8 2 3 36" xfId="24111" xr:uid="{00000000-0005-0000-0000-0000015F0000}"/>
    <cellStyle name="Percent 8 2 3 37" xfId="24112" xr:uid="{00000000-0005-0000-0000-0000025F0000}"/>
    <cellStyle name="Percent 8 2 3 38" xfId="24113" xr:uid="{00000000-0005-0000-0000-0000035F0000}"/>
    <cellStyle name="Percent 8 2 3 39" xfId="24114" xr:uid="{00000000-0005-0000-0000-0000045F0000}"/>
    <cellStyle name="Percent 8 2 3 4" xfId="24115" xr:uid="{00000000-0005-0000-0000-0000055F0000}"/>
    <cellStyle name="Percent 8 2 3 40" xfId="24116" xr:uid="{00000000-0005-0000-0000-0000065F0000}"/>
    <cellStyle name="Percent 8 2 3 41" xfId="24117" xr:uid="{00000000-0005-0000-0000-0000075F0000}"/>
    <cellStyle name="Percent 8 2 3 42" xfId="24118" xr:uid="{00000000-0005-0000-0000-0000085F0000}"/>
    <cellStyle name="Percent 8 2 3 43" xfId="24119" xr:uid="{00000000-0005-0000-0000-0000095F0000}"/>
    <cellStyle name="Percent 8 2 3 44" xfId="24120" xr:uid="{00000000-0005-0000-0000-00000A5F0000}"/>
    <cellStyle name="Percent 8 2 3 45" xfId="24121" xr:uid="{00000000-0005-0000-0000-00000B5F0000}"/>
    <cellStyle name="Percent 8 2 3 46" xfId="24122" xr:uid="{00000000-0005-0000-0000-00000C5F0000}"/>
    <cellStyle name="Percent 8 2 3 47" xfId="24123" xr:uid="{00000000-0005-0000-0000-00000D5F0000}"/>
    <cellStyle name="Percent 8 2 3 48" xfId="24124" xr:uid="{00000000-0005-0000-0000-00000E5F0000}"/>
    <cellStyle name="Percent 8 2 3 49" xfId="24125" xr:uid="{00000000-0005-0000-0000-00000F5F0000}"/>
    <cellStyle name="Percent 8 2 3 5" xfId="24126" xr:uid="{00000000-0005-0000-0000-0000105F0000}"/>
    <cellStyle name="Percent 8 2 3 50" xfId="24127" xr:uid="{00000000-0005-0000-0000-0000115F0000}"/>
    <cellStyle name="Percent 8 2 3 51" xfId="24128" xr:uid="{00000000-0005-0000-0000-0000125F0000}"/>
    <cellStyle name="Percent 8 2 3 52" xfId="24129" xr:uid="{00000000-0005-0000-0000-0000135F0000}"/>
    <cellStyle name="Percent 8 2 3 53" xfId="24130" xr:uid="{00000000-0005-0000-0000-0000145F0000}"/>
    <cellStyle name="Percent 8 2 3 54" xfId="24131" xr:uid="{00000000-0005-0000-0000-0000155F0000}"/>
    <cellStyle name="Percent 8 2 3 55" xfId="24132" xr:uid="{00000000-0005-0000-0000-0000165F0000}"/>
    <cellStyle name="Percent 8 2 3 56" xfId="24133" xr:uid="{00000000-0005-0000-0000-0000175F0000}"/>
    <cellStyle name="Percent 8 2 3 57" xfId="24134" xr:uid="{00000000-0005-0000-0000-0000185F0000}"/>
    <cellStyle name="Percent 8 2 3 58" xfId="24135" xr:uid="{00000000-0005-0000-0000-0000195F0000}"/>
    <cellStyle name="Percent 8 2 3 59" xfId="24136" xr:uid="{00000000-0005-0000-0000-00001A5F0000}"/>
    <cellStyle name="Percent 8 2 3 6" xfId="24137" xr:uid="{00000000-0005-0000-0000-00001B5F0000}"/>
    <cellStyle name="Percent 8 2 3 60" xfId="24138" xr:uid="{00000000-0005-0000-0000-00001C5F0000}"/>
    <cellStyle name="Percent 8 2 3 61" xfId="24139" xr:uid="{00000000-0005-0000-0000-00001D5F0000}"/>
    <cellStyle name="Percent 8 2 3 62" xfId="24140" xr:uid="{00000000-0005-0000-0000-00001E5F0000}"/>
    <cellStyle name="Percent 8 2 3 63" xfId="24141" xr:uid="{00000000-0005-0000-0000-00001F5F0000}"/>
    <cellStyle name="Percent 8 2 3 64" xfId="24142" xr:uid="{00000000-0005-0000-0000-0000205F0000}"/>
    <cellStyle name="Percent 8 2 3 65" xfId="24143" xr:uid="{00000000-0005-0000-0000-0000215F0000}"/>
    <cellStyle name="Percent 8 2 3 66" xfId="24144" xr:uid="{00000000-0005-0000-0000-0000225F0000}"/>
    <cellStyle name="Percent 8 2 3 67" xfId="24145" xr:uid="{00000000-0005-0000-0000-0000235F0000}"/>
    <cellStyle name="Percent 8 2 3 68" xfId="24146" xr:uid="{00000000-0005-0000-0000-0000245F0000}"/>
    <cellStyle name="Percent 8 2 3 69" xfId="24147" xr:uid="{00000000-0005-0000-0000-0000255F0000}"/>
    <cellStyle name="Percent 8 2 3 7" xfId="24148" xr:uid="{00000000-0005-0000-0000-0000265F0000}"/>
    <cellStyle name="Percent 8 2 3 8" xfId="24149" xr:uid="{00000000-0005-0000-0000-0000275F0000}"/>
    <cellStyle name="Percent 8 2 3 9" xfId="24150" xr:uid="{00000000-0005-0000-0000-0000285F0000}"/>
    <cellStyle name="Percent 8 20" xfId="24151" xr:uid="{00000000-0005-0000-0000-0000295F0000}"/>
    <cellStyle name="Percent 8 20 10" xfId="24152" xr:uid="{00000000-0005-0000-0000-00002A5F0000}"/>
    <cellStyle name="Percent 8 20 11" xfId="24153" xr:uid="{00000000-0005-0000-0000-00002B5F0000}"/>
    <cellStyle name="Percent 8 20 12" xfId="24154" xr:uid="{00000000-0005-0000-0000-00002C5F0000}"/>
    <cellStyle name="Percent 8 20 13" xfId="24155" xr:uid="{00000000-0005-0000-0000-00002D5F0000}"/>
    <cellStyle name="Percent 8 20 14" xfId="24156" xr:uid="{00000000-0005-0000-0000-00002E5F0000}"/>
    <cellStyle name="Percent 8 20 15" xfId="24157" xr:uid="{00000000-0005-0000-0000-00002F5F0000}"/>
    <cellStyle name="Percent 8 20 16" xfId="24158" xr:uid="{00000000-0005-0000-0000-0000305F0000}"/>
    <cellStyle name="Percent 8 20 17" xfId="24159" xr:uid="{00000000-0005-0000-0000-0000315F0000}"/>
    <cellStyle name="Percent 8 20 2" xfId="24160" xr:uid="{00000000-0005-0000-0000-0000325F0000}"/>
    <cellStyle name="Percent 8 20 3" xfId="24161" xr:uid="{00000000-0005-0000-0000-0000335F0000}"/>
    <cellStyle name="Percent 8 20 4" xfId="24162" xr:uid="{00000000-0005-0000-0000-0000345F0000}"/>
    <cellStyle name="Percent 8 20 5" xfId="24163" xr:uid="{00000000-0005-0000-0000-0000355F0000}"/>
    <cellStyle name="Percent 8 20 6" xfId="24164" xr:uid="{00000000-0005-0000-0000-0000365F0000}"/>
    <cellStyle name="Percent 8 20 7" xfId="24165" xr:uid="{00000000-0005-0000-0000-0000375F0000}"/>
    <cellStyle name="Percent 8 20 8" xfId="24166" xr:uid="{00000000-0005-0000-0000-0000385F0000}"/>
    <cellStyle name="Percent 8 20 9" xfId="24167" xr:uid="{00000000-0005-0000-0000-0000395F0000}"/>
    <cellStyle name="Percent 8 21" xfId="24168" xr:uid="{00000000-0005-0000-0000-00003A5F0000}"/>
    <cellStyle name="Percent 8 21 10" xfId="24169" xr:uid="{00000000-0005-0000-0000-00003B5F0000}"/>
    <cellStyle name="Percent 8 21 11" xfId="24170" xr:uid="{00000000-0005-0000-0000-00003C5F0000}"/>
    <cellStyle name="Percent 8 21 12" xfId="24171" xr:uid="{00000000-0005-0000-0000-00003D5F0000}"/>
    <cellStyle name="Percent 8 21 13" xfId="24172" xr:uid="{00000000-0005-0000-0000-00003E5F0000}"/>
    <cellStyle name="Percent 8 21 14" xfId="24173" xr:uid="{00000000-0005-0000-0000-00003F5F0000}"/>
    <cellStyle name="Percent 8 21 15" xfId="24174" xr:uid="{00000000-0005-0000-0000-0000405F0000}"/>
    <cellStyle name="Percent 8 21 16" xfId="24175" xr:uid="{00000000-0005-0000-0000-0000415F0000}"/>
    <cellStyle name="Percent 8 21 17" xfId="24176" xr:uid="{00000000-0005-0000-0000-0000425F0000}"/>
    <cellStyle name="Percent 8 21 2" xfId="24177" xr:uid="{00000000-0005-0000-0000-0000435F0000}"/>
    <cellStyle name="Percent 8 21 3" xfId="24178" xr:uid="{00000000-0005-0000-0000-0000445F0000}"/>
    <cellStyle name="Percent 8 21 4" xfId="24179" xr:uid="{00000000-0005-0000-0000-0000455F0000}"/>
    <cellStyle name="Percent 8 21 5" xfId="24180" xr:uid="{00000000-0005-0000-0000-0000465F0000}"/>
    <cellStyle name="Percent 8 21 6" xfId="24181" xr:uid="{00000000-0005-0000-0000-0000475F0000}"/>
    <cellStyle name="Percent 8 21 7" xfId="24182" xr:uid="{00000000-0005-0000-0000-0000485F0000}"/>
    <cellStyle name="Percent 8 21 8" xfId="24183" xr:uid="{00000000-0005-0000-0000-0000495F0000}"/>
    <cellStyle name="Percent 8 21 9" xfId="24184" xr:uid="{00000000-0005-0000-0000-00004A5F0000}"/>
    <cellStyle name="Percent 8 22" xfId="24185" xr:uid="{00000000-0005-0000-0000-00004B5F0000}"/>
    <cellStyle name="Percent 8 22 10" xfId="24186" xr:uid="{00000000-0005-0000-0000-00004C5F0000}"/>
    <cellStyle name="Percent 8 22 11" xfId="24187" xr:uid="{00000000-0005-0000-0000-00004D5F0000}"/>
    <cellStyle name="Percent 8 22 12" xfId="24188" xr:uid="{00000000-0005-0000-0000-00004E5F0000}"/>
    <cellStyle name="Percent 8 22 13" xfId="24189" xr:uid="{00000000-0005-0000-0000-00004F5F0000}"/>
    <cellStyle name="Percent 8 22 14" xfId="24190" xr:uid="{00000000-0005-0000-0000-0000505F0000}"/>
    <cellStyle name="Percent 8 22 15" xfId="24191" xr:uid="{00000000-0005-0000-0000-0000515F0000}"/>
    <cellStyle name="Percent 8 22 16" xfId="24192" xr:uid="{00000000-0005-0000-0000-0000525F0000}"/>
    <cellStyle name="Percent 8 22 17" xfId="24193" xr:uid="{00000000-0005-0000-0000-0000535F0000}"/>
    <cellStyle name="Percent 8 22 2" xfId="24194" xr:uid="{00000000-0005-0000-0000-0000545F0000}"/>
    <cellStyle name="Percent 8 22 3" xfId="24195" xr:uid="{00000000-0005-0000-0000-0000555F0000}"/>
    <cellStyle name="Percent 8 22 4" xfId="24196" xr:uid="{00000000-0005-0000-0000-0000565F0000}"/>
    <cellStyle name="Percent 8 22 5" xfId="24197" xr:uid="{00000000-0005-0000-0000-0000575F0000}"/>
    <cellStyle name="Percent 8 22 6" xfId="24198" xr:uid="{00000000-0005-0000-0000-0000585F0000}"/>
    <cellStyle name="Percent 8 22 7" xfId="24199" xr:uid="{00000000-0005-0000-0000-0000595F0000}"/>
    <cellStyle name="Percent 8 22 8" xfId="24200" xr:uid="{00000000-0005-0000-0000-00005A5F0000}"/>
    <cellStyle name="Percent 8 22 9" xfId="24201" xr:uid="{00000000-0005-0000-0000-00005B5F0000}"/>
    <cellStyle name="Percent 8 23" xfId="24202" xr:uid="{00000000-0005-0000-0000-00005C5F0000}"/>
    <cellStyle name="Percent 8 23 10" xfId="24203" xr:uid="{00000000-0005-0000-0000-00005D5F0000}"/>
    <cellStyle name="Percent 8 23 11" xfId="24204" xr:uid="{00000000-0005-0000-0000-00005E5F0000}"/>
    <cellStyle name="Percent 8 23 12" xfId="24205" xr:uid="{00000000-0005-0000-0000-00005F5F0000}"/>
    <cellStyle name="Percent 8 23 13" xfId="24206" xr:uid="{00000000-0005-0000-0000-0000605F0000}"/>
    <cellStyle name="Percent 8 23 14" xfId="24207" xr:uid="{00000000-0005-0000-0000-0000615F0000}"/>
    <cellStyle name="Percent 8 23 15" xfId="24208" xr:uid="{00000000-0005-0000-0000-0000625F0000}"/>
    <cellStyle name="Percent 8 23 16" xfId="24209" xr:uid="{00000000-0005-0000-0000-0000635F0000}"/>
    <cellStyle name="Percent 8 23 17" xfId="24210" xr:uid="{00000000-0005-0000-0000-0000645F0000}"/>
    <cellStyle name="Percent 8 23 2" xfId="24211" xr:uid="{00000000-0005-0000-0000-0000655F0000}"/>
    <cellStyle name="Percent 8 23 3" xfId="24212" xr:uid="{00000000-0005-0000-0000-0000665F0000}"/>
    <cellStyle name="Percent 8 23 4" xfId="24213" xr:uid="{00000000-0005-0000-0000-0000675F0000}"/>
    <cellStyle name="Percent 8 23 5" xfId="24214" xr:uid="{00000000-0005-0000-0000-0000685F0000}"/>
    <cellStyle name="Percent 8 23 6" xfId="24215" xr:uid="{00000000-0005-0000-0000-0000695F0000}"/>
    <cellStyle name="Percent 8 23 7" xfId="24216" xr:uid="{00000000-0005-0000-0000-00006A5F0000}"/>
    <cellStyle name="Percent 8 23 8" xfId="24217" xr:uid="{00000000-0005-0000-0000-00006B5F0000}"/>
    <cellStyle name="Percent 8 23 9" xfId="24218" xr:uid="{00000000-0005-0000-0000-00006C5F0000}"/>
    <cellStyle name="Percent 8 24" xfId="24219" xr:uid="{00000000-0005-0000-0000-00006D5F0000}"/>
    <cellStyle name="Percent 8 24 10" xfId="24220" xr:uid="{00000000-0005-0000-0000-00006E5F0000}"/>
    <cellStyle name="Percent 8 24 11" xfId="24221" xr:uid="{00000000-0005-0000-0000-00006F5F0000}"/>
    <cellStyle name="Percent 8 24 12" xfId="24222" xr:uid="{00000000-0005-0000-0000-0000705F0000}"/>
    <cellStyle name="Percent 8 24 13" xfId="24223" xr:uid="{00000000-0005-0000-0000-0000715F0000}"/>
    <cellStyle name="Percent 8 24 14" xfId="24224" xr:uid="{00000000-0005-0000-0000-0000725F0000}"/>
    <cellStyle name="Percent 8 24 15" xfId="24225" xr:uid="{00000000-0005-0000-0000-0000735F0000}"/>
    <cellStyle name="Percent 8 24 16" xfId="24226" xr:uid="{00000000-0005-0000-0000-0000745F0000}"/>
    <cellStyle name="Percent 8 24 17" xfId="24227" xr:uid="{00000000-0005-0000-0000-0000755F0000}"/>
    <cellStyle name="Percent 8 24 2" xfId="24228" xr:uid="{00000000-0005-0000-0000-0000765F0000}"/>
    <cellStyle name="Percent 8 24 3" xfId="24229" xr:uid="{00000000-0005-0000-0000-0000775F0000}"/>
    <cellStyle name="Percent 8 24 4" xfId="24230" xr:uid="{00000000-0005-0000-0000-0000785F0000}"/>
    <cellStyle name="Percent 8 24 5" xfId="24231" xr:uid="{00000000-0005-0000-0000-0000795F0000}"/>
    <cellStyle name="Percent 8 24 6" xfId="24232" xr:uid="{00000000-0005-0000-0000-00007A5F0000}"/>
    <cellStyle name="Percent 8 24 7" xfId="24233" xr:uid="{00000000-0005-0000-0000-00007B5F0000}"/>
    <cellStyle name="Percent 8 24 8" xfId="24234" xr:uid="{00000000-0005-0000-0000-00007C5F0000}"/>
    <cellStyle name="Percent 8 24 9" xfId="24235" xr:uid="{00000000-0005-0000-0000-00007D5F0000}"/>
    <cellStyle name="Percent 8 25" xfId="24236" xr:uid="{00000000-0005-0000-0000-00007E5F0000}"/>
    <cellStyle name="Percent 8 25 10" xfId="24237" xr:uid="{00000000-0005-0000-0000-00007F5F0000}"/>
    <cellStyle name="Percent 8 25 11" xfId="24238" xr:uid="{00000000-0005-0000-0000-0000805F0000}"/>
    <cellStyle name="Percent 8 25 12" xfId="24239" xr:uid="{00000000-0005-0000-0000-0000815F0000}"/>
    <cellStyle name="Percent 8 25 13" xfId="24240" xr:uid="{00000000-0005-0000-0000-0000825F0000}"/>
    <cellStyle name="Percent 8 25 14" xfId="24241" xr:uid="{00000000-0005-0000-0000-0000835F0000}"/>
    <cellStyle name="Percent 8 25 15" xfId="24242" xr:uid="{00000000-0005-0000-0000-0000845F0000}"/>
    <cellStyle name="Percent 8 25 16" xfId="24243" xr:uid="{00000000-0005-0000-0000-0000855F0000}"/>
    <cellStyle name="Percent 8 25 17" xfId="24244" xr:uid="{00000000-0005-0000-0000-0000865F0000}"/>
    <cellStyle name="Percent 8 25 2" xfId="24245" xr:uid="{00000000-0005-0000-0000-0000875F0000}"/>
    <cellStyle name="Percent 8 25 3" xfId="24246" xr:uid="{00000000-0005-0000-0000-0000885F0000}"/>
    <cellStyle name="Percent 8 25 4" xfId="24247" xr:uid="{00000000-0005-0000-0000-0000895F0000}"/>
    <cellStyle name="Percent 8 25 5" xfId="24248" xr:uid="{00000000-0005-0000-0000-00008A5F0000}"/>
    <cellStyle name="Percent 8 25 6" xfId="24249" xr:uid="{00000000-0005-0000-0000-00008B5F0000}"/>
    <cellStyle name="Percent 8 25 7" xfId="24250" xr:uid="{00000000-0005-0000-0000-00008C5F0000}"/>
    <cellStyle name="Percent 8 25 8" xfId="24251" xr:uid="{00000000-0005-0000-0000-00008D5F0000}"/>
    <cellStyle name="Percent 8 25 9" xfId="24252" xr:uid="{00000000-0005-0000-0000-00008E5F0000}"/>
    <cellStyle name="Percent 8 26" xfId="24253" xr:uid="{00000000-0005-0000-0000-00008F5F0000}"/>
    <cellStyle name="Percent 8 26 10" xfId="24254" xr:uid="{00000000-0005-0000-0000-0000905F0000}"/>
    <cellStyle name="Percent 8 26 11" xfId="24255" xr:uid="{00000000-0005-0000-0000-0000915F0000}"/>
    <cellStyle name="Percent 8 26 12" xfId="24256" xr:uid="{00000000-0005-0000-0000-0000925F0000}"/>
    <cellStyle name="Percent 8 26 13" xfId="24257" xr:uid="{00000000-0005-0000-0000-0000935F0000}"/>
    <cellStyle name="Percent 8 26 14" xfId="24258" xr:uid="{00000000-0005-0000-0000-0000945F0000}"/>
    <cellStyle name="Percent 8 26 15" xfId="24259" xr:uid="{00000000-0005-0000-0000-0000955F0000}"/>
    <cellStyle name="Percent 8 26 16" xfId="24260" xr:uid="{00000000-0005-0000-0000-0000965F0000}"/>
    <cellStyle name="Percent 8 26 17" xfId="24261" xr:uid="{00000000-0005-0000-0000-0000975F0000}"/>
    <cellStyle name="Percent 8 26 2" xfId="24262" xr:uid="{00000000-0005-0000-0000-0000985F0000}"/>
    <cellStyle name="Percent 8 26 3" xfId="24263" xr:uid="{00000000-0005-0000-0000-0000995F0000}"/>
    <cellStyle name="Percent 8 26 4" xfId="24264" xr:uid="{00000000-0005-0000-0000-00009A5F0000}"/>
    <cellStyle name="Percent 8 26 5" xfId="24265" xr:uid="{00000000-0005-0000-0000-00009B5F0000}"/>
    <cellStyle name="Percent 8 26 6" xfId="24266" xr:uid="{00000000-0005-0000-0000-00009C5F0000}"/>
    <cellStyle name="Percent 8 26 7" xfId="24267" xr:uid="{00000000-0005-0000-0000-00009D5F0000}"/>
    <cellStyle name="Percent 8 26 8" xfId="24268" xr:uid="{00000000-0005-0000-0000-00009E5F0000}"/>
    <cellStyle name="Percent 8 26 9" xfId="24269" xr:uid="{00000000-0005-0000-0000-00009F5F0000}"/>
    <cellStyle name="Percent 8 27" xfId="24270" xr:uid="{00000000-0005-0000-0000-0000A05F0000}"/>
    <cellStyle name="Percent 8 27 10" xfId="24271" xr:uid="{00000000-0005-0000-0000-0000A15F0000}"/>
    <cellStyle name="Percent 8 27 11" xfId="24272" xr:uid="{00000000-0005-0000-0000-0000A25F0000}"/>
    <cellStyle name="Percent 8 27 12" xfId="24273" xr:uid="{00000000-0005-0000-0000-0000A35F0000}"/>
    <cellStyle name="Percent 8 27 13" xfId="24274" xr:uid="{00000000-0005-0000-0000-0000A45F0000}"/>
    <cellStyle name="Percent 8 27 14" xfId="24275" xr:uid="{00000000-0005-0000-0000-0000A55F0000}"/>
    <cellStyle name="Percent 8 27 15" xfId="24276" xr:uid="{00000000-0005-0000-0000-0000A65F0000}"/>
    <cellStyle name="Percent 8 27 16" xfId="24277" xr:uid="{00000000-0005-0000-0000-0000A75F0000}"/>
    <cellStyle name="Percent 8 27 17" xfId="24278" xr:uid="{00000000-0005-0000-0000-0000A85F0000}"/>
    <cellStyle name="Percent 8 27 2" xfId="24279" xr:uid="{00000000-0005-0000-0000-0000A95F0000}"/>
    <cellStyle name="Percent 8 27 3" xfId="24280" xr:uid="{00000000-0005-0000-0000-0000AA5F0000}"/>
    <cellStyle name="Percent 8 27 4" xfId="24281" xr:uid="{00000000-0005-0000-0000-0000AB5F0000}"/>
    <cellStyle name="Percent 8 27 5" xfId="24282" xr:uid="{00000000-0005-0000-0000-0000AC5F0000}"/>
    <cellStyle name="Percent 8 27 6" xfId="24283" xr:uid="{00000000-0005-0000-0000-0000AD5F0000}"/>
    <cellStyle name="Percent 8 27 7" xfId="24284" xr:uid="{00000000-0005-0000-0000-0000AE5F0000}"/>
    <cellStyle name="Percent 8 27 8" xfId="24285" xr:uid="{00000000-0005-0000-0000-0000AF5F0000}"/>
    <cellStyle name="Percent 8 27 9" xfId="24286" xr:uid="{00000000-0005-0000-0000-0000B05F0000}"/>
    <cellStyle name="Percent 8 28" xfId="24287" xr:uid="{00000000-0005-0000-0000-0000B15F0000}"/>
    <cellStyle name="Percent 8 28 10" xfId="24288" xr:uid="{00000000-0005-0000-0000-0000B25F0000}"/>
    <cellStyle name="Percent 8 28 11" xfId="24289" xr:uid="{00000000-0005-0000-0000-0000B35F0000}"/>
    <cellStyle name="Percent 8 28 12" xfId="24290" xr:uid="{00000000-0005-0000-0000-0000B45F0000}"/>
    <cellStyle name="Percent 8 28 13" xfId="24291" xr:uid="{00000000-0005-0000-0000-0000B55F0000}"/>
    <cellStyle name="Percent 8 28 14" xfId="24292" xr:uid="{00000000-0005-0000-0000-0000B65F0000}"/>
    <cellStyle name="Percent 8 28 15" xfId="24293" xr:uid="{00000000-0005-0000-0000-0000B75F0000}"/>
    <cellStyle name="Percent 8 28 16" xfId="24294" xr:uid="{00000000-0005-0000-0000-0000B85F0000}"/>
    <cellStyle name="Percent 8 28 17" xfId="24295" xr:uid="{00000000-0005-0000-0000-0000B95F0000}"/>
    <cellStyle name="Percent 8 28 2" xfId="24296" xr:uid="{00000000-0005-0000-0000-0000BA5F0000}"/>
    <cellStyle name="Percent 8 28 3" xfId="24297" xr:uid="{00000000-0005-0000-0000-0000BB5F0000}"/>
    <cellStyle name="Percent 8 28 4" xfId="24298" xr:uid="{00000000-0005-0000-0000-0000BC5F0000}"/>
    <cellStyle name="Percent 8 28 5" xfId="24299" xr:uid="{00000000-0005-0000-0000-0000BD5F0000}"/>
    <cellStyle name="Percent 8 28 6" xfId="24300" xr:uid="{00000000-0005-0000-0000-0000BE5F0000}"/>
    <cellStyle name="Percent 8 28 7" xfId="24301" xr:uid="{00000000-0005-0000-0000-0000BF5F0000}"/>
    <cellStyle name="Percent 8 28 8" xfId="24302" xr:uid="{00000000-0005-0000-0000-0000C05F0000}"/>
    <cellStyle name="Percent 8 28 9" xfId="24303" xr:uid="{00000000-0005-0000-0000-0000C15F0000}"/>
    <cellStyle name="Percent 8 29" xfId="24304" xr:uid="{00000000-0005-0000-0000-0000C25F0000}"/>
    <cellStyle name="Percent 8 29 10" xfId="24305" xr:uid="{00000000-0005-0000-0000-0000C35F0000}"/>
    <cellStyle name="Percent 8 29 11" xfId="24306" xr:uid="{00000000-0005-0000-0000-0000C45F0000}"/>
    <cellStyle name="Percent 8 29 12" xfId="24307" xr:uid="{00000000-0005-0000-0000-0000C55F0000}"/>
    <cellStyle name="Percent 8 29 13" xfId="24308" xr:uid="{00000000-0005-0000-0000-0000C65F0000}"/>
    <cellStyle name="Percent 8 29 14" xfId="24309" xr:uid="{00000000-0005-0000-0000-0000C75F0000}"/>
    <cellStyle name="Percent 8 29 15" xfId="24310" xr:uid="{00000000-0005-0000-0000-0000C85F0000}"/>
    <cellStyle name="Percent 8 29 16" xfId="24311" xr:uid="{00000000-0005-0000-0000-0000C95F0000}"/>
    <cellStyle name="Percent 8 29 17" xfId="24312" xr:uid="{00000000-0005-0000-0000-0000CA5F0000}"/>
    <cellStyle name="Percent 8 29 2" xfId="24313" xr:uid="{00000000-0005-0000-0000-0000CB5F0000}"/>
    <cellStyle name="Percent 8 29 3" xfId="24314" xr:uid="{00000000-0005-0000-0000-0000CC5F0000}"/>
    <cellStyle name="Percent 8 29 4" xfId="24315" xr:uid="{00000000-0005-0000-0000-0000CD5F0000}"/>
    <cellStyle name="Percent 8 29 5" xfId="24316" xr:uid="{00000000-0005-0000-0000-0000CE5F0000}"/>
    <cellStyle name="Percent 8 29 6" xfId="24317" xr:uid="{00000000-0005-0000-0000-0000CF5F0000}"/>
    <cellStyle name="Percent 8 29 7" xfId="24318" xr:uid="{00000000-0005-0000-0000-0000D05F0000}"/>
    <cellStyle name="Percent 8 29 8" xfId="24319" xr:uid="{00000000-0005-0000-0000-0000D15F0000}"/>
    <cellStyle name="Percent 8 29 9" xfId="24320" xr:uid="{00000000-0005-0000-0000-0000D25F0000}"/>
    <cellStyle name="Percent 8 3" xfId="24321" xr:uid="{00000000-0005-0000-0000-0000D35F0000}"/>
    <cellStyle name="Percent 8 3 10" xfId="24322" xr:uid="{00000000-0005-0000-0000-0000D45F0000}"/>
    <cellStyle name="Percent 8 3 11" xfId="24323" xr:uid="{00000000-0005-0000-0000-0000D55F0000}"/>
    <cellStyle name="Percent 8 3 12" xfId="24324" xr:uid="{00000000-0005-0000-0000-0000D65F0000}"/>
    <cellStyle name="Percent 8 3 13" xfId="24325" xr:uid="{00000000-0005-0000-0000-0000D75F0000}"/>
    <cellStyle name="Percent 8 3 14" xfId="24326" xr:uid="{00000000-0005-0000-0000-0000D85F0000}"/>
    <cellStyle name="Percent 8 3 15" xfId="24327" xr:uid="{00000000-0005-0000-0000-0000D95F0000}"/>
    <cellStyle name="Percent 8 3 16" xfId="24328" xr:uid="{00000000-0005-0000-0000-0000DA5F0000}"/>
    <cellStyle name="Percent 8 3 17" xfId="24329" xr:uid="{00000000-0005-0000-0000-0000DB5F0000}"/>
    <cellStyle name="Percent 8 3 18" xfId="24330" xr:uid="{00000000-0005-0000-0000-0000DC5F0000}"/>
    <cellStyle name="Percent 8 3 2" xfId="24331" xr:uid="{00000000-0005-0000-0000-0000DD5F0000}"/>
    <cellStyle name="Percent 8 3 2 10" xfId="24332" xr:uid="{00000000-0005-0000-0000-0000DE5F0000}"/>
    <cellStyle name="Percent 8 3 2 11" xfId="24333" xr:uid="{00000000-0005-0000-0000-0000DF5F0000}"/>
    <cellStyle name="Percent 8 3 2 12" xfId="24334" xr:uid="{00000000-0005-0000-0000-0000E05F0000}"/>
    <cellStyle name="Percent 8 3 2 13" xfId="24335" xr:uid="{00000000-0005-0000-0000-0000E15F0000}"/>
    <cellStyle name="Percent 8 3 2 14" xfId="24336" xr:uid="{00000000-0005-0000-0000-0000E25F0000}"/>
    <cellStyle name="Percent 8 3 2 15" xfId="24337" xr:uid="{00000000-0005-0000-0000-0000E35F0000}"/>
    <cellStyle name="Percent 8 3 2 16" xfId="24338" xr:uid="{00000000-0005-0000-0000-0000E45F0000}"/>
    <cellStyle name="Percent 8 3 2 17" xfId="24339" xr:uid="{00000000-0005-0000-0000-0000E55F0000}"/>
    <cellStyle name="Percent 8 3 2 18" xfId="24340" xr:uid="{00000000-0005-0000-0000-0000E65F0000}"/>
    <cellStyle name="Percent 8 3 2 19" xfId="24341" xr:uid="{00000000-0005-0000-0000-0000E75F0000}"/>
    <cellStyle name="Percent 8 3 2 2" xfId="24342" xr:uid="{00000000-0005-0000-0000-0000E85F0000}"/>
    <cellStyle name="Percent 8 3 2 2 10" xfId="24343" xr:uid="{00000000-0005-0000-0000-0000E95F0000}"/>
    <cellStyle name="Percent 8 3 2 2 11" xfId="24344" xr:uid="{00000000-0005-0000-0000-0000EA5F0000}"/>
    <cellStyle name="Percent 8 3 2 2 12" xfId="24345" xr:uid="{00000000-0005-0000-0000-0000EB5F0000}"/>
    <cellStyle name="Percent 8 3 2 2 13" xfId="24346" xr:uid="{00000000-0005-0000-0000-0000EC5F0000}"/>
    <cellStyle name="Percent 8 3 2 2 2" xfId="24347" xr:uid="{00000000-0005-0000-0000-0000ED5F0000}"/>
    <cellStyle name="Percent 8 3 2 2 3" xfId="24348" xr:uid="{00000000-0005-0000-0000-0000EE5F0000}"/>
    <cellStyle name="Percent 8 3 2 2 4" xfId="24349" xr:uid="{00000000-0005-0000-0000-0000EF5F0000}"/>
    <cellStyle name="Percent 8 3 2 2 5" xfId="24350" xr:uid="{00000000-0005-0000-0000-0000F05F0000}"/>
    <cellStyle name="Percent 8 3 2 2 6" xfId="24351" xr:uid="{00000000-0005-0000-0000-0000F15F0000}"/>
    <cellStyle name="Percent 8 3 2 2 7" xfId="24352" xr:uid="{00000000-0005-0000-0000-0000F25F0000}"/>
    <cellStyle name="Percent 8 3 2 2 8" xfId="24353" xr:uid="{00000000-0005-0000-0000-0000F35F0000}"/>
    <cellStyle name="Percent 8 3 2 2 9" xfId="24354" xr:uid="{00000000-0005-0000-0000-0000F45F0000}"/>
    <cellStyle name="Percent 8 3 2 20" xfId="24355" xr:uid="{00000000-0005-0000-0000-0000F55F0000}"/>
    <cellStyle name="Percent 8 3 2 21" xfId="24356" xr:uid="{00000000-0005-0000-0000-0000F65F0000}"/>
    <cellStyle name="Percent 8 3 2 22" xfId="24357" xr:uid="{00000000-0005-0000-0000-0000F75F0000}"/>
    <cellStyle name="Percent 8 3 2 23" xfId="24358" xr:uid="{00000000-0005-0000-0000-0000F85F0000}"/>
    <cellStyle name="Percent 8 3 2 24" xfId="24359" xr:uid="{00000000-0005-0000-0000-0000F95F0000}"/>
    <cellStyle name="Percent 8 3 2 25" xfId="24360" xr:uid="{00000000-0005-0000-0000-0000FA5F0000}"/>
    <cellStyle name="Percent 8 3 2 26" xfId="24361" xr:uid="{00000000-0005-0000-0000-0000FB5F0000}"/>
    <cellStyle name="Percent 8 3 2 27" xfId="24362" xr:uid="{00000000-0005-0000-0000-0000FC5F0000}"/>
    <cellStyle name="Percent 8 3 2 28" xfId="24363" xr:uid="{00000000-0005-0000-0000-0000FD5F0000}"/>
    <cellStyle name="Percent 8 3 2 29" xfId="24364" xr:uid="{00000000-0005-0000-0000-0000FE5F0000}"/>
    <cellStyle name="Percent 8 3 2 3" xfId="24365" xr:uid="{00000000-0005-0000-0000-0000FF5F0000}"/>
    <cellStyle name="Percent 8 3 2 30" xfId="24366" xr:uid="{00000000-0005-0000-0000-000000600000}"/>
    <cellStyle name="Percent 8 3 2 31" xfId="24367" xr:uid="{00000000-0005-0000-0000-000001600000}"/>
    <cellStyle name="Percent 8 3 2 32" xfId="24368" xr:uid="{00000000-0005-0000-0000-000002600000}"/>
    <cellStyle name="Percent 8 3 2 33" xfId="24369" xr:uid="{00000000-0005-0000-0000-000003600000}"/>
    <cellStyle name="Percent 8 3 2 34" xfId="24370" xr:uid="{00000000-0005-0000-0000-000004600000}"/>
    <cellStyle name="Percent 8 3 2 35" xfId="24371" xr:uid="{00000000-0005-0000-0000-000005600000}"/>
    <cellStyle name="Percent 8 3 2 36" xfId="24372" xr:uid="{00000000-0005-0000-0000-000006600000}"/>
    <cellStyle name="Percent 8 3 2 37" xfId="24373" xr:uid="{00000000-0005-0000-0000-000007600000}"/>
    <cellStyle name="Percent 8 3 2 38" xfId="24374" xr:uid="{00000000-0005-0000-0000-000008600000}"/>
    <cellStyle name="Percent 8 3 2 39" xfId="24375" xr:uid="{00000000-0005-0000-0000-000009600000}"/>
    <cellStyle name="Percent 8 3 2 4" xfId="24376" xr:uid="{00000000-0005-0000-0000-00000A600000}"/>
    <cellStyle name="Percent 8 3 2 40" xfId="24377" xr:uid="{00000000-0005-0000-0000-00000B600000}"/>
    <cellStyle name="Percent 8 3 2 41" xfId="24378" xr:uid="{00000000-0005-0000-0000-00000C600000}"/>
    <cellStyle name="Percent 8 3 2 42" xfId="24379" xr:uid="{00000000-0005-0000-0000-00000D600000}"/>
    <cellStyle name="Percent 8 3 2 43" xfId="24380" xr:uid="{00000000-0005-0000-0000-00000E600000}"/>
    <cellStyle name="Percent 8 3 2 44" xfId="24381" xr:uid="{00000000-0005-0000-0000-00000F600000}"/>
    <cellStyle name="Percent 8 3 2 45" xfId="24382" xr:uid="{00000000-0005-0000-0000-000010600000}"/>
    <cellStyle name="Percent 8 3 2 46" xfId="24383" xr:uid="{00000000-0005-0000-0000-000011600000}"/>
    <cellStyle name="Percent 8 3 2 47" xfId="24384" xr:uid="{00000000-0005-0000-0000-000012600000}"/>
    <cellStyle name="Percent 8 3 2 48" xfId="24385" xr:uid="{00000000-0005-0000-0000-000013600000}"/>
    <cellStyle name="Percent 8 3 2 49" xfId="24386" xr:uid="{00000000-0005-0000-0000-000014600000}"/>
    <cellStyle name="Percent 8 3 2 5" xfId="24387" xr:uid="{00000000-0005-0000-0000-000015600000}"/>
    <cellStyle name="Percent 8 3 2 50" xfId="24388" xr:uid="{00000000-0005-0000-0000-000016600000}"/>
    <cellStyle name="Percent 8 3 2 51" xfId="24389" xr:uid="{00000000-0005-0000-0000-000017600000}"/>
    <cellStyle name="Percent 8 3 2 52" xfId="24390" xr:uid="{00000000-0005-0000-0000-000018600000}"/>
    <cellStyle name="Percent 8 3 2 53" xfId="24391" xr:uid="{00000000-0005-0000-0000-000019600000}"/>
    <cellStyle name="Percent 8 3 2 54" xfId="24392" xr:uid="{00000000-0005-0000-0000-00001A600000}"/>
    <cellStyle name="Percent 8 3 2 55" xfId="24393" xr:uid="{00000000-0005-0000-0000-00001B600000}"/>
    <cellStyle name="Percent 8 3 2 56" xfId="24394" xr:uid="{00000000-0005-0000-0000-00001C600000}"/>
    <cellStyle name="Percent 8 3 2 57" xfId="24395" xr:uid="{00000000-0005-0000-0000-00001D600000}"/>
    <cellStyle name="Percent 8 3 2 58" xfId="24396" xr:uid="{00000000-0005-0000-0000-00001E600000}"/>
    <cellStyle name="Percent 8 3 2 59" xfId="24397" xr:uid="{00000000-0005-0000-0000-00001F600000}"/>
    <cellStyle name="Percent 8 3 2 6" xfId="24398" xr:uid="{00000000-0005-0000-0000-000020600000}"/>
    <cellStyle name="Percent 8 3 2 60" xfId="24399" xr:uid="{00000000-0005-0000-0000-000021600000}"/>
    <cellStyle name="Percent 8 3 2 61" xfId="24400" xr:uid="{00000000-0005-0000-0000-000022600000}"/>
    <cellStyle name="Percent 8 3 2 62" xfId="24401" xr:uid="{00000000-0005-0000-0000-000023600000}"/>
    <cellStyle name="Percent 8 3 2 63" xfId="24402" xr:uid="{00000000-0005-0000-0000-000024600000}"/>
    <cellStyle name="Percent 8 3 2 64" xfId="24403" xr:uid="{00000000-0005-0000-0000-000025600000}"/>
    <cellStyle name="Percent 8 3 2 65" xfId="24404" xr:uid="{00000000-0005-0000-0000-000026600000}"/>
    <cellStyle name="Percent 8 3 2 66" xfId="24405" xr:uid="{00000000-0005-0000-0000-000027600000}"/>
    <cellStyle name="Percent 8 3 2 67" xfId="24406" xr:uid="{00000000-0005-0000-0000-000028600000}"/>
    <cellStyle name="Percent 8 3 2 68" xfId="24407" xr:uid="{00000000-0005-0000-0000-000029600000}"/>
    <cellStyle name="Percent 8 3 2 69" xfId="24408" xr:uid="{00000000-0005-0000-0000-00002A600000}"/>
    <cellStyle name="Percent 8 3 2 7" xfId="24409" xr:uid="{00000000-0005-0000-0000-00002B600000}"/>
    <cellStyle name="Percent 8 3 2 8" xfId="24410" xr:uid="{00000000-0005-0000-0000-00002C600000}"/>
    <cellStyle name="Percent 8 3 2 9" xfId="24411" xr:uid="{00000000-0005-0000-0000-00002D600000}"/>
    <cellStyle name="Percent 8 3 3" xfId="24412" xr:uid="{00000000-0005-0000-0000-00002E600000}"/>
    <cellStyle name="Percent 8 3 3 10" xfId="24413" xr:uid="{00000000-0005-0000-0000-00002F600000}"/>
    <cellStyle name="Percent 8 3 3 11" xfId="24414" xr:uid="{00000000-0005-0000-0000-000030600000}"/>
    <cellStyle name="Percent 8 3 3 12" xfId="24415" xr:uid="{00000000-0005-0000-0000-000031600000}"/>
    <cellStyle name="Percent 8 3 3 13" xfId="24416" xr:uid="{00000000-0005-0000-0000-000032600000}"/>
    <cellStyle name="Percent 8 3 3 2" xfId="24417" xr:uid="{00000000-0005-0000-0000-000033600000}"/>
    <cellStyle name="Percent 8 3 3 3" xfId="24418" xr:uid="{00000000-0005-0000-0000-000034600000}"/>
    <cellStyle name="Percent 8 3 3 4" xfId="24419" xr:uid="{00000000-0005-0000-0000-000035600000}"/>
    <cellStyle name="Percent 8 3 3 5" xfId="24420" xr:uid="{00000000-0005-0000-0000-000036600000}"/>
    <cellStyle name="Percent 8 3 3 6" xfId="24421" xr:uid="{00000000-0005-0000-0000-000037600000}"/>
    <cellStyle name="Percent 8 3 3 7" xfId="24422" xr:uid="{00000000-0005-0000-0000-000038600000}"/>
    <cellStyle name="Percent 8 3 3 8" xfId="24423" xr:uid="{00000000-0005-0000-0000-000039600000}"/>
    <cellStyle name="Percent 8 3 3 9" xfId="24424" xr:uid="{00000000-0005-0000-0000-00003A600000}"/>
    <cellStyle name="Percent 8 3 4" xfId="24425" xr:uid="{00000000-0005-0000-0000-00003B600000}"/>
    <cellStyle name="Percent 8 3 5" xfId="24426" xr:uid="{00000000-0005-0000-0000-00003C600000}"/>
    <cellStyle name="Percent 8 3 6" xfId="24427" xr:uid="{00000000-0005-0000-0000-00003D600000}"/>
    <cellStyle name="Percent 8 3 7" xfId="24428" xr:uid="{00000000-0005-0000-0000-00003E600000}"/>
    <cellStyle name="Percent 8 3 8" xfId="24429" xr:uid="{00000000-0005-0000-0000-00003F600000}"/>
    <cellStyle name="Percent 8 3 9" xfId="24430" xr:uid="{00000000-0005-0000-0000-000040600000}"/>
    <cellStyle name="Percent 8 30" xfId="24431" xr:uid="{00000000-0005-0000-0000-000041600000}"/>
    <cellStyle name="Percent 8 30 10" xfId="24432" xr:uid="{00000000-0005-0000-0000-000042600000}"/>
    <cellStyle name="Percent 8 30 11" xfId="24433" xr:uid="{00000000-0005-0000-0000-000043600000}"/>
    <cellStyle name="Percent 8 30 12" xfId="24434" xr:uid="{00000000-0005-0000-0000-000044600000}"/>
    <cellStyle name="Percent 8 30 13" xfId="24435" xr:uid="{00000000-0005-0000-0000-000045600000}"/>
    <cellStyle name="Percent 8 30 14" xfId="24436" xr:uid="{00000000-0005-0000-0000-000046600000}"/>
    <cellStyle name="Percent 8 30 15" xfId="24437" xr:uid="{00000000-0005-0000-0000-000047600000}"/>
    <cellStyle name="Percent 8 30 16" xfId="24438" xr:uid="{00000000-0005-0000-0000-000048600000}"/>
    <cellStyle name="Percent 8 30 17" xfId="24439" xr:uid="{00000000-0005-0000-0000-000049600000}"/>
    <cellStyle name="Percent 8 30 2" xfId="24440" xr:uid="{00000000-0005-0000-0000-00004A600000}"/>
    <cellStyle name="Percent 8 30 3" xfId="24441" xr:uid="{00000000-0005-0000-0000-00004B600000}"/>
    <cellStyle name="Percent 8 30 4" xfId="24442" xr:uid="{00000000-0005-0000-0000-00004C600000}"/>
    <cellStyle name="Percent 8 30 5" xfId="24443" xr:uid="{00000000-0005-0000-0000-00004D600000}"/>
    <cellStyle name="Percent 8 30 6" xfId="24444" xr:uid="{00000000-0005-0000-0000-00004E600000}"/>
    <cellStyle name="Percent 8 30 7" xfId="24445" xr:uid="{00000000-0005-0000-0000-00004F600000}"/>
    <cellStyle name="Percent 8 30 8" xfId="24446" xr:uid="{00000000-0005-0000-0000-000050600000}"/>
    <cellStyle name="Percent 8 30 9" xfId="24447" xr:uid="{00000000-0005-0000-0000-000051600000}"/>
    <cellStyle name="Percent 8 31" xfId="24448" xr:uid="{00000000-0005-0000-0000-000052600000}"/>
    <cellStyle name="Percent 8 31 10" xfId="24449" xr:uid="{00000000-0005-0000-0000-000053600000}"/>
    <cellStyle name="Percent 8 31 11" xfId="24450" xr:uid="{00000000-0005-0000-0000-000054600000}"/>
    <cellStyle name="Percent 8 31 12" xfId="24451" xr:uid="{00000000-0005-0000-0000-000055600000}"/>
    <cellStyle name="Percent 8 31 13" xfId="24452" xr:uid="{00000000-0005-0000-0000-000056600000}"/>
    <cellStyle name="Percent 8 31 14" xfId="24453" xr:uid="{00000000-0005-0000-0000-000057600000}"/>
    <cellStyle name="Percent 8 31 15" xfId="24454" xr:uid="{00000000-0005-0000-0000-000058600000}"/>
    <cellStyle name="Percent 8 31 16" xfId="24455" xr:uid="{00000000-0005-0000-0000-000059600000}"/>
    <cellStyle name="Percent 8 31 17" xfId="24456" xr:uid="{00000000-0005-0000-0000-00005A600000}"/>
    <cellStyle name="Percent 8 31 2" xfId="24457" xr:uid="{00000000-0005-0000-0000-00005B600000}"/>
    <cellStyle name="Percent 8 31 3" xfId="24458" xr:uid="{00000000-0005-0000-0000-00005C600000}"/>
    <cellStyle name="Percent 8 31 4" xfId="24459" xr:uid="{00000000-0005-0000-0000-00005D600000}"/>
    <cellStyle name="Percent 8 31 5" xfId="24460" xr:uid="{00000000-0005-0000-0000-00005E600000}"/>
    <cellStyle name="Percent 8 31 6" xfId="24461" xr:uid="{00000000-0005-0000-0000-00005F600000}"/>
    <cellStyle name="Percent 8 31 7" xfId="24462" xr:uid="{00000000-0005-0000-0000-000060600000}"/>
    <cellStyle name="Percent 8 31 8" xfId="24463" xr:uid="{00000000-0005-0000-0000-000061600000}"/>
    <cellStyle name="Percent 8 31 9" xfId="24464" xr:uid="{00000000-0005-0000-0000-000062600000}"/>
    <cellStyle name="Percent 8 32" xfId="24465" xr:uid="{00000000-0005-0000-0000-000063600000}"/>
    <cellStyle name="Percent 8 32 10" xfId="24466" xr:uid="{00000000-0005-0000-0000-000064600000}"/>
    <cellStyle name="Percent 8 32 11" xfId="24467" xr:uid="{00000000-0005-0000-0000-000065600000}"/>
    <cellStyle name="Percent 8 32 12" xfId="24468" xr:uid="{00000000-0005-0000-0000-000066600000}"/>
    <cellStyle name="Percent 8 32 13" xfId="24469" xr:uid="{00000000-0005-0000-0000-000067600000}"/>
    <cellStyle name="Percent 8 32 14" xfId="24470" xr:uid="{00000000-0005-0000-0000-000068600000}"/>
    <cellStyle name="Percent 8 32 15" xfId="24471" xr:uid="{00000000-0005-0000-0000-000069600000}"/>
    <cellStyle name="Percent 8 32 16" xfId="24472" xr:uid="{00000000-0005-0000-0000-00006A600000}"/>
    <cellStyle name="Percent 8 32 17" xfId="24473" xr:uid="{00000000-0005-0000-0000-00006B600000}"/>
    <cellStyle name="Percent 8 32 2" xfId="24474" xr:uid="{00000000-0005-0000-0000-00006C600000}"/>
    <cellStyle name="Percent 8 32 3" xfId="24475" xr:uid="{00000000-0005-0000-0000-00006D600000}"/>
    <cellStyle name="Percent 8 32 4" xfId="24476" xr:uid="{00000000-0005-0000-0000-00006E600000}"/>
    <cellStyle name="Percent 8 32 5" xfId="24477" xr:uid="{00000000-0005-0000-0000-00006F600000}"/>
    <cellStyle name="Percent 8 32 6" xfId="24478" xr:uid="{00000000-0005-0000-0000-000070600000}"/>
    <cellStyle name="Percent 8 32 7" xfId="24479" xr:uid="{00000000-0005-0000-0000-000071600000}"/>
    <cellStyle name="Percent 8 32 8" xfId="24480" xr:uid="{00000000-0005-0000-0000-000072600000}"/>
    <cellStyle name="Percent 8 32 9" xfId="24481" xr:uid="{00000000-0005-0000-0000-000073600000}"/>
    <cellStyle name="Percent 8 33" xfId="24482" xr:uid="{00000000-0005-0000-0000-000074600000}"/>
    <cellStyle name="Percent 8 33 10" xfId="24483" xr:uid="{00000000-0005-0000-0000-000075600000}"/>
    <cellStyle name="Percent 8 33 11" xfId="24484" xr:uid="{00000000-0005-0000-0000-000076600000}"/>
    <cellStyle name="Percent 8 33 12" xfId="24485" xr:uid="{00000000-0005-0000-0000-000077600000}"/>
    <cellStyle name="Percent 8 33 13" xfId="24486" xr:uid="{00000000-0005-0000-0000-000078600000}"/>
    <cellStyle name="Percent 8 33 14" xfId="24487" xr:uid="{00000000-0005-0000-0000-000079600000}"/>
    <cellStyle name="Percent 8 33 15" xfId="24488" xr:uid="{00000000-0005-0000-0000-00007A600000}"/>
    <cellStyle name="Percent 8 33 16" xfId="24489" xr:uid="{00000000-0005-0000-0000-00007B600000}"/>
    <cellStyle name="Percent 8 33 17" xfId="24490" xr:uid="{00000000-0005-0000-0000-00007C600000}"/>
    <cellStyle name="Percent 8 33 2" xfId="24491" xr:uid="{00000000-0005-0000-0000-00007D600000}"/>
    <cellStyle name="Percent 8 33 3" xfId="24492" xr:uid="{00000000-0005-0000-0000-00007E600000}"/>
    <cellStyle name="Percent 8 33 4" xfId="24493" xr:uid="{00000000-0005-0000-0000-00007F600000}"/>
    <cellStyle name="Percent 8 33 5" xfId="24494" xr:uid="{00000000-0005-0000-0000-000080600000}"/>
    <cellStyle name="Percent 8 33 6" xfId="24495" xr:uid="{00000000-0005-0000-0000-000081600000}"/>
    <cellStyle name="Percent 8 33 7" xfId="24496" xr:uid="{00000000-0005-0000-0000-000082600000}"/>
    <cellStyle name="Percent 8 33 8" xfId="24497" xr:uid="{00000000-0005-0000-0000-000083600000}"/>
    <cellStyle name="Percent 8 33 9" xfId="24498" xr:uid="{00000000-0005-0000-0000-000084600000}"/>
    <cellStyle name="Percent 8 34" xfId="24499" xr:uid="{00000000-0005-0000-0000-000085600000}"/>
    <cellStyle name="Percent 8 34 10" xfId="24500" xr:uid="{00000000-0005-0000-0000-000086600000}"/>
    <cellStyle name="Percent 8 34 11" xfId="24501" xr:uid="{00000000-0005-0000-0000-000087600000}"/>
    <cellStyle name="Percent 8 34 12" xfId="24502" xr:uid="{00000000-0005-0000-0000-000088600000}"/>
    <cellStyle name="Percent 8 34 13" xfId="24503" xr:uid="{00000000-0005-0000-0000-000089600000}"/>
    <cellStyle name="Percent 8 34 14" xfId="24504" xr:uid="{00000000-0005-0000-0000-00008A600000}"/>
    <cellStyle name="Percent 8 34 15" xfId="24505" xr:uid="{00000000-0005-0000-0000-00008B600000}"/>
    <cellStyle name="Percent 8 34 16" xfId="24506" xr:uid="{00000000-0005-0000-0000-00008C600000}"/>
    <cellStyle name="Percent 8 34 17" xfId="24507" xr:uid="{00000000-0005-0000-0000-00008D600000}"/>
    <cellStyle name="Percent 8 34 2" xfId="24508" xr:uid="{00000000-0005-0000-0000-00008E600000}"/>
    <cellStyle name="Percent 8 34 3" xfId="24509" xr:uid="{00000000-0005-0000-0000-00008F600000}"/>
    <cellStyle name="Percent 8 34 4" xfId="24510" xr:uid="{00000000-0005-0000-0000-000090600000}"/>
    <cellStyle name="Percent 8 34 5" xfId="24511" xr:uid="{00000000-0005-0000-0000-000091600000}"/>
    <cellStyle name="Percent 8 34 6" xfId="24512" xr:uid="{00000000-0005-0000-0000-000092600000}"/>
    <cellStyle name="Percent 8 34 7" xfId="24513" xr:uid="{00000000-0005-0000-0000-000093600000}"/>
    <cellStyle name="Percent 8 34 8" xfId="24514" xr:uid="{00000000-0005-0000-0000-000094600000}"/>
    <cellStyle name="Percent 8 34 9" xfId="24515" xr:uid="{00000000-0005-0000-0000-000095600000}"/>
    <cellStyle name="Percent 8 35" xfId="24516" xr:uid="{00000000-0005-0000-0000-000096600000}"/>
    <cellStyle name="Percent 8 35 10" xfId="24517" xr:uid="{00000000-0005-0000-0000-000097600000}"/>
    <cellStyle name="Percent 8 35 11" xfId="24518" xr:uid="{00000000-0005-0000-0000-000098600000}"/>
    <cellStyle name="Percent 8 35 12" xfId="24519" xr:uid="{00000000-0005-0000-0000-000099600000}"/>
    <cellStyle name="Percent 8 35 13" xfId="24520" xr:uid="{00000000-0005-0000-0000-00009A600000}"/>
    <cellStyle name="Percent 8 35 14" xfId="24521" xr:uid="{00000000-0005-0000-0000-00009B600000}"/>
    <cellStyle name="Percent 8 35 15" xfId="24522" xr:uid="{00000000-0005-0000-0000-00009C600000}"/>
    <cellStyle name="Percent 8 35 16" xfId="24523" xr:uid="{00000000-0005-0000-0000-00009D600000}"/>
    <cellStyle name="Percent 8 35 17" xfId="24524" xr:uid="{00000000-0005-0000-0000-00009E600000}"/>
    <cellStyle name="Percent 8 35 2" xfId="24525" xr:uid="{00000000-0005-0000-0000-00009F600000}"/>
    <cellStyle name="Percent 8 35 3" xfId="24526" xr:uid="{00000000-0005-0000-0000-0000A0600000}"/>
    <cellStyle name="Percent 8 35 4" xfId="24527" xr:uid="{00000000-0005-0000-0000-0000A1600000}"/>
    <cellStyle name="Percent 8 35 5" xfId="24528" xr:uid="{00000000-0005-0000-0000-0000A2600000}"/>
    <cellStyle name="Percent 8 35 6" xfId="24529" xr:uid="{00000000-0005-0000-0000-0000A3600000}"/>
    <cellStyle name="Percent 8 35 7" xfId="24530" xr:uid="{00000000-0005-0000-0000-0000A4600000}"/>
    <cellStyle name="Percent 8 35 8" xfId="24531" xr:uid="{00000000-0005-0000-0000-0000A5600000}"/>
    <cellStyle name="Percent 8 35 9" xfId="24532" xr:uid="{00000000-0005-0000-0000-0000A6600000}"/>
    <cellStyle name="Percent 8 36" xfId="24533" xr:uid="{00000000-0005-0000-0000-0000A7600000}"/>
    <cellStyle name="Percent 8 36 10" xfId="24534" xr:uid="{00000000-0005-0000-0000-0000A8600000}"/>
    <cellStyle name="Percent 8 36 11" xfId="24535" xr:uid="{00000000-0005-0000-0000-0000A9600000}"/>
    <cellStyle name="Percent 8 36 12" xfId="24536" xr:uid="{00000000-0005-0000-0000-0000AA600000}"/>
    <cellStyle name="Percent 8 36 13" xfId="24537" xr:uid="{00000000-0005-0000-0000-0000AB600000}"/>
    <cellStyle name="Percent 8 36 14" xfId="24538" xr:uid="{00000000-0005-0000-0000-0000AC600000}"/>
    <cellStyle name="Percent 8 36 15" xfId="24539" xr:uid="{00000000-0005-0000-0000-0000AD600000}"/>
    <cellStyle name="Percent 8 36 16" xfId="24540" xr:uid="{00000000-0005-0000-0000-0000AE600000}"/>
    <cellStyle name="Percent 8 36 17" xfId="24541" xr:uid="{00000000-0005-0000-0000-0000AF600000}"/>
    <cellStyle name="Percent 8 36 2" xfId="24542" xr:uid="{00000000-0005-0000-0000-0000B0600000}"/>
    <cellStyle name="Percent 8 36 3" xfId="24543" xr:uid="{00000000-0005-0000-0000-0000B1600000}"/>
    <cellStyle name="Percent 8 36 4" xfId="24544" xr:uid="{00000000-0005-0000-0000-0000B2600000}"/>
    <cellStyle name="Percent 8 36 5" xfId="24545" xr:uid="{00000000-0005-0000-0000-0000B3600000}"/>
    <cellStyle name="Percent 8 36 6" xfId="24546" xr:uid="{00000000-0005-0000-0000-0000B4600000}"/>
    <cellStyle name="Percent 8 36 7" xfId="24547" xr:uid="{00000000-0005-0000-0000-0000B5600000}"/>
    <cellStyle name="Percent 8 36 8" xfId="24548" xr:uid="{00000000-0005-0000-0000-0000B6600000}"/>
    <cellStyle name="Percent 8 36 9" xfId="24549" xr:uid="{00000000-0005-0000-0000-0000B7600000}"/>
    <cellStyle name="Percent 8 37" xfId="24550" xr:uid="{00000000-0005-0000-0000-0000B8600000}"/>
    <cellStyle name="Percent 8 37 10" xfId="24551" xr:uid="{00000000-0005-0000-0000-0000B9600000}"/>
    <cellStyle name="Percent 8 37 11" xfId="24552" xr:uid="{00000000-0005-0000-0000-0000BA600000}"/>
    <cellStyle name="Percent 8 37 12" xfId="24553" xr:uid="{00000000-0005-0000-0000-0000BB600000}"/>
    <cellStyle name="Percent 8 37 13" xfId="24554" xr:uid="{00000000-0005-0000-0000-0000BC600000}"/>
    <cellStyle name="Percent 8 37 14" xfId="24555" xr:uid="{00000000-0005-0000-0000-0000BD600000}"/>
    <cellStyle name="Percent 8 37 15" xfId="24556" xr:uid="{00000000-0005-0000-0000-0000BE600000}"/>
    <cellStyle name="Percent 8 37 16" xfId="24557" xr:uid="{00000000-0005-0000-0000-0000BF600000}"/>
    <cellStyle name="Percent 8 37 17" xfId="24558" xr:uid="{00000000-0005-0000-0000-0000C0600000}"/>
    <cellStyle name="Percent 8 37 2" xfId="24559" xr:uid="{00000000-0005-0000-0000-0000C1600000}"/>
    <cellStyle name="Percent 8 37 3" xfId="24560" xr:uid="{00000000-0005-0000-0000-0000C2600000}"/>
    <cellStyle name="Percent 8 37 4" xfId="24561" xr:uid="{00000000-0005-0000-0000-0000C3600000}"/>
    <cellStyle name="Percent 8 37 5" xfId="24562" xr:uid="{00000000-0005-0000-0000-0000C4600000}"/>
    <cellStyle name="Percent 8 37 6" xfId="24563" xr:uid="{00000000-0005-0000-0000-0000C5600000}"/>
    <cellStyle name="Percent 8 37 7" xfId="24564" xr:uid="{00000000-0005-0000-0000-0000C6600000}"/>
    <cellStyle name="Percent 8 37 8" xfId="24565" xr:uid="{00000000-0005-0000-0000-0000C7600000}"/>
    <cellStyle name="Percent 8 37 9" xfId="24566" xr:uid="{00000000-0005-0000-0000-0000C8600000}"/>
    <cellStyle name="Percent 8 38" xfId="24567" xr:uid="{00000000-0005-0000-0000-0000C9600000}"/>
    <cellStyle name="Percent 8 38 10" xfId="24568" xr:uid="{00000000-0005-0000-0000-0000CA600000}"/>
    <cellStyle name="Percent 8 38 11" xfId="24569" xr:uid="{00000000-0005-0000-0000-0000CB600000}"/>
    <cellStyle name="Percent 8 38 12" xfId="24570" xr:uid="{00000000-0005-0000-0000-0000CC600000}"/>
    <cellStyle name="Percent 8 38 13" xfId="24571" xr:uid="{00000000-0005-0000-0000-0000CD600000}"/>
    <cellStyle name="Percent 8 38 14" xfId="24572" xr:uid="{00000000-0005-0000-0000-0000CE600000}"/>
    <cellStyle name="Percent 8 38 15" xfId="24573" xr:uid="{00000000-0005-0000-0000-0000CF600000}"/>
    <cellStyle name="Percent 8 38 16" xfId="24574" xr:uid="{00000000-0005-0000-0000-0000D0600000}"/>
    <cellStyle name="Percent 8 38 17" xfId="24575" xr:uid="{00000000-0005-0000-0000-0000D1600000}"/>
    <cellStyle name="Percent 8 38 2" xfId="24576" xr:uid="{00000000-0005-0000-0000-0000D2600000}"/>
    <cellStyle name="Percent 8 38 3" xfId="24577" xr:uid="{00000000-0005-0000-0000-0000D3600000}"/>
    <cellStyle name="Percent 8 38 4" xfId="24578" xr:uid="{00000000-0005-0000-0000-0000D4600000}"/>
    <cellStyle name="Percent 8 38 5" xfId="24579" xr:uid="{00000000-0005-0000-0000-0000D5600000}"/>
    <cellStyle name="Percent 8 38 6" xfId="24580" xr:uid="{00000000-0005-0000-0000-0000D6600000}"/>
    <cellStyle name="Percent 8 38 7" xfId="24581" xr:uid="{00000000-0005-0000-0000-0000D7600000}"/>
    <cellStyle name="Percent 8 38 8" xfId="24582" xr:uid="{00000000-0005-0000-0000-0000D8600000}"/>
    <cellStyle name="Percent 8 38 9" xfId="24583" xr:uid="{00000000-0005-0000-0000-0000D9600000}"/>
    <cellStyle name="Percent 8 39" xfId="24584" xr:uid="{00000000-0005-0000-0000-0000DA600000}"/>
    <cellStyle name="Percent 8 39 10" xfId="24585" xr:uid="{00000000-0005-0000-0000-0000DB600000}"/>
    <cellStyle name="Percent 8 39 11" xfId="24586" xr:uid="{00000000-0005-0000-0000-0000DC600000}"/>
    <cellStyle name="Percent 8 39 12" xfId="24587" xr:uid="{00000000-0005-0000-0000-0000DD600000}"/>
    <cellStyle name="Percent 8 39 13" xfId="24588" xr:uid="{00000000-0005-0000-0000-0000DE600000}"/>
    <cellStyle name="Percent 8 39 14" xfId="24589" xr:uid="{00000000-0005-0000-0000-0000DF600000}"/>
    <cellStyle name="Percent 8 39 15" xfId="24590" xr:uid="{00000000-0005-0000-0000-0000E0600000}"/>
    <cellStyle name="Percent 8 39 16" xfId="24591" xr:uid="{00000000-0005-0000-0000-0000E1600000}"/>
    <cellStyle name="Percent 8 39 17" xfId="24592" xr:uid="{00000000-0005-0000-0000-0000E2600000}"/>
    <cellStyle name="Percent 8 39 2" xfId="24593" xr:uid="{00000000-0005-0000-0000-0000E3600000}"/>
    <cellStyle name="Percent 8 39 3" xfId="24594" xr:uid="{00000000-0005-0000-0000-0000E4600000}"/>
    <cellStyle name="Percent 8 39 4" xfId="24595" xr:uid="{00000000-0005-0000-0000-0000E5600000}"/>
    <cellStyle name="Percent 8 39 5" xfId="24596" xr:uid="{00000000-0005-0000-0000-0000E6600000}"/>
    <cellStyle name="Percent 8 39 6" xfId="24597" xr:uid="{00000000-0005-0000-0000-0000E7600000}"/>
    <cellStyle name="Percent 8 39 7" xfId="24598" xr:uid="{00000000-0005-0000-0000-0000E8600000}"/>
    <cellStyle name="Percent 8 39 8" xfId="24599" xr:uid="{00000000-0005-0000-0000-0000E9600000}"/>
    <cellStyle name="Percent 8 39 9" xfId="24600" xr:uid="{00000000-0005-0000-0000-0000EA600000}"/>
    <cellStyle name="Percent 8 4" xfId="24601" xr:uid="{00000000-0005-0000-0000-0000EB600000}"/>
    <cellStyle name="Percent 8 4 10" xfId="24602" xr:uid="{00000000-0005-0000-0000-0000EC600000}"/>
    <cellStyle name="Percent 8 4 11" xfId="24603" xr:uid="{00000000-0005-0000-0000-0000ED600000}"/>
    <cellStyle name="Percent 8 4 12" xfId="24604" xr:uid="{00000000-0005-0000-0000-0000EE600000}"/>
    <cellStyle name="Percent 8 4 13" xfId="24605" xr:uid="{00000000-0005-0000-0000-0000EF600000}"/>
    <cellStyle name="Percent 8 4 14" xfId="24606" xr:uid="{00000000-0005-0000-0000-0000F0600000}"/>
    <cellStyle name="Percent 8 4 15" xfId="24607" xr:uid="{00000000-0005-0000-0000-0000F1600000}"/>
    <cellStyle name="Percent 8 4 16" xfId="24608" xr:uid="{00000000-0005-0000-0000-0000F2600000}"/>
    <cellStyle name="Percent 8 4 17" xfId="24609" xr:uid="{00000000-0005-0000-0000-0000F3600000}"/>
    <cellStyle name="Percent 8 4 2" xfId="24610" xr:uid="{00000000-0005-0000-0000-0000F4600000}"/>
    <cellStyle name="Percent 8 4 2 10" xfId="24611" xr:uid="{00000000-0005-0000-0000-0000F5600000}"/>
    <cellStyle name="Percent 8 4 2 11" xfId="24612" xr:uid="{00000000-0005-0000-0000-0000F6600000}"/>
    <cellStyle name="Percent 8 4 2 12" xfId="24613" xr:uid="{00000000-0005-0000-0000-0000F7600000}"/>
    <cellStyle name="Percent 8 4 2 13" xfId="24614" xr:uid="{00000000-0005-0000-0000-0000F8600000}"/>
    <cellStyle name="Percent 8 4 2 2" xfId="24615" xr:uid="{00000000-0005-0000-0000-0000F9600000}"/>
    <cellStyle name="Percent 8 4 2 3" xfId="24616" xr:uid="{00000000-0005-0000-0000-0000FA600000}"/>
    <cellStyle name="Percent 8 4 2 4" xfId="24617" xr:uid="{00000000-0005-0000-0000-0000FB600000}"/>
    <cellStyle name="Percent 8 4 2 5" xfId="24618" xr:uid="{00000000-0005-0000-0000-0000FC600000}"/>
    <cellStyle name="Percent 8 4 2 6" xfId="24619" xr:uid="{00000000-0005-0000-0000-0000FD600000}"/>
    <cellStyle name="Percent 8 4 2 7" xfId="24620" xr:uid="{00000000-0005-0000-0000-0000FE600000}"/>
    <cellStyle name="Percent 8 4 2 8" xfId="24621" xr:uid="{00000000-0005-0000-0000-0000FF600000}"/>
    <cellStyle name="Percent 8 4 2 9" xfId="24622" xr:uid="{00000000-0005-0000-0000-000000610000}"/>
    <cellStyle name="Percent 8 4 3" xfId="24623" xr:uid="{00000000-0005-0000-0000-000001610000}"/>
    <cellStyle name="Percent 8 4 4" xfId="24624" xr:uid="{00000000-0005-0000-0000-000002610000}"/>
    <cellStyle name="Percent 8 4 5" xfId="24625" xr:uid="{00000000-0005-0000-0000-000003610000}"/>
    <cellStyle name="Percent 8 4 6" xfId="24626" xr:uid="{00000000-0005-0000-0000-000004610000}"/>
    <cellStyle name="Percent 8 4 7" xfId="24627" xr:uid="{00000000-0005-0000-0000-000005610000}"/>
    <cellStyle name="Percent 8 4 8" xfId="24628" xr:uid="{00000000-0005-0000-0000-000006610000}"/>
    <cellStyle name="Percent 8 4 9" xfId="24629" xr:uid="{00000000-0005-0000-0000-000007610000}"/>
    <cellStyle name="Percent 8 40" xfId="24630" xr:uid="{00000000-0005-0000-0000-000008610000}"/>
    <cellStyle name="Percent 8 40 10" xfId="24631" xr:uid="{00000000-0005-0000-0000-000009610000}"/>
    <cellStyle name="Percent 8 40 11" xfId="24632" xr:uid="{00000000-0005-0000-0000-00000A610000}"/>
    <cellStyle name="Percent 8 40 12" xfId="24633" xr:uid="{00000000-0005-0000-0000-00000B610000}"/>
    <cellStyle name="Percent 8 40 13" xfId="24634" xr:uid="{00000000-0005-0000-0000-00000C610000}"/>
    <cellStyle name="Percent 8 40 14" xfId="24635" xr:uid="{00000000-0005-0000-0000-00000D610000}"/>
    <cellStyle name="Percent 8 40 15" xfId="24636" xr:uid="{00000000-0005-0000-0000-00000E610000}"/>
    <cellStyle name="Percent 8 40 16" xfId="24637" xr:uid="{00000000-0005-0000-0000-00000F610000}"/>
    <cellStyle name="Percent 8 40 17" xfId="24638" xr:uid="{00000000-0005-0000-0000-000010610000}"/>
    <cellStyle name="Percent 8 40 2" xfId="24639" xr:uid="{00000000-0005-0000-0000-000011610000}"/>
    <cellStyle name="Percent 8 40 3" xfId="24640" xr:uid="{00000000-0005-0000-0000-000012610000}"/>
    <cellStyle name="Percent 8 40 4" xfId="24641" xr:uid="{00000000-0005-0000-0000-000013610000}"/>
    <cellStyle name="Percent 8 40 5" xfId="24642" xr:uid="{00000000-0005-0000-0000-000014610000}"/>
    <cellStyle name="Percent 8 40 6" xfId="24643" xr:uid="{00000000-0005-0000-0000-000015610000}"/>
    <cellStyle name="Percent 8 40 7" xfId="24644" xr:uid="{00000000-0005-0000-0000-000016610000}"/>
    <cellStyle name="Percent 8 40 8" xfId="24645" xr:uid="{00000000-0005-0000-0000-000017610000}"/>
    <cellStyle name="Percent 8 40 9" xfId="24646" xr:uid="{00000000-0005-0000-0000-000018610000}"/>
    <cellStyle name="Percent 8 41" xfId="24647" xr:uid="{00000000-0005-0000-0000-000019610000}"/>
    <cellStyle name="Percent 8 41 10" xfId="24648" xr:uid="{00000000-0005-0000-0000-00001A610000}"/>
    <cellStyle name="Percent 8 41 11" xfId="24649" xr:uid="{00000000-0005-0000-0000-00001B610000}"/>
    <cellStyle name="Percent 8 41 12" xfId="24650" xr:uid="{00000000-0005-0000-0000-00001C610000}"/>
    <cellStyle name="Percent 8 41 13" xfId="24651" xr:uid="{00000000-0005-0000-0000-00001D610000}"/>
    <cellStyle name="Percent 8 41 14" xfId="24652" xr:uid="{00000000-0005-0000-0000-00001E610000}"/>
    <cellStyle name="Percent 8 41 15" xfId="24653" xr:uid="{00000000-0005-0000-0000-00001F610000}"/>
    <cellStyle name="Percent 8 41 16" xfId="24654" xr:uid="{00000000-0005-0000-0000-000020610000}"/>
    <cellStyle name="Percent 8 41 17" xfId="24655" xr:uid="{00000000-0005-0000-0000-000021610000}"/>
    <cellStyle name="Percent 8 41 2" xfId="24656" xr:uid="{00000000-0005-0000-0000-000022610000}"/>
    <cellStyle name="Percent 8 41 3" xfId="24657" xr:uid="{00000000-0005-0000-0000-000023610000}"/>
    <cellStyle name="Percent 8 41 4" xfId="24658" xr:uid="{00000000-0005-0000-0000-000024610000}"/>
    <cellStyle name="Percent 8 41 5" xfId="24659" xr:uid="{00000000-0005-0000-0000-000025610000}"/>
    <cellStyle name="Percent 8 41 6" xfId="24660" xr:uid="{00000000-0005-0000-0000-000026610000}"/>
    <cellStyle name="Percent 8 41 7" xfId="24661" xr:uid="{00000000-0005-0000-0000-000027610000}"/>
    <cellStyle name="Percent 8 41 8" xfId="24662" xr:uid="{00000000-0005-0000-0000-000028610000}"/>
    <cellStyle name="Percent 8 41 9" xfId="24663" xr:uid="{00000000-0005-0000-0000-000029610000}"/>
    <cellStyle name="Percent 8 42" xfId="24664" xr:uid="{00000000-0005-0000-0000-00002A610000}"/>
    <cellStyle name="Percent 8 42 10" xfId="24665" xr:uid="{00000000-0005-0000-0000-00002B610000}"/>
    <cellStyle name="Percent 8 42 11" xfId="24666" xr:uid="{00000000-0005-0000-0000-00002C610000}"/>
    <cellStyle name="Percent 8 42 12" xfId="24667" xr:uid="{00000000-0005-0000-0000-00002D610000}"/>
    <cellStyle name="Percent 8 42 13" xfId="24668" xr:uid="{00000000-0005-0000-0000-00002E610000}"/>
    <cellStyle name="Percent 8 42 14" xfId="24669" xr:uid="{00000000-0005-0000-0000-00002F610000}"/>
    <cellStyle name="Percent 8 42 15" xfId="24670" xr:uid="{00000000-0005-0000-0000-000030610000}"/>
    <cellStyle name="Percent 8 42 16" xfId="24671" xr:uid="{00000000-0005-0000-0000-000031610000}"/>
    <cellStyle name="Percent 8 42 17" xfId="24672" xr:uid="{00000000-0005-0000-0000-000032610000}"/>
    <cellStyle name="Percent 8 42 2" xfId="24673" xr:uid="{00000000-0005-0000-0000-000033610000}"/>
    <cellStyle name="Percent 8 42 3" xfId="24674" xr:uid="{00000000-0005-0000-0000-000034610000}"/>
    <cellStyle name="Percent 8 42 4" xfId="24675" xr:uid="{00000000-0005-0000-0000-000035610000}"/>
    <cellStyle name="Percent 8 42 5" xfId="24676" xr:uid="{00000000-0005-0000-0000-000036610000}"/>
    <cellStyle name="Percent 8 42 6" xfId="24677" xr:uid="{00000000-0005-0000-0000-000037610000}"/>
    <cellStyle name="Percent 8 42 7" xfId="24678" xr:uid="{00000000-0005-0000-0000-000038610000}"/>
    <cellStyle name="Percent 8 42 8" xfId="24679" xr:uid="{00000000-0005-0000-0000-000039610000}"/>
    <cellStyle name="Percent 8 42 9" xfId="24680" xr:uid="{00000000-0005-0000-0000-00003A610000}"/>
    <cellStyle name="Percent 8 43" xfId="24681" xr:uid="{00000000-0005-0000-0000-00003B610000}"/>
    <cellStyle name="Percent 8 43 10" xfId="24682" xr:uid="{00000000-0005-0000-0000-00003C610000}"/>
    <cellStyle name="Percent 8 43 11" xfId="24683" xr:uid="{00000000-0005-0000-0000-00003D610000}"/>
    <cellStyle name="Percent 8 43 12" xfId="24684" xr:uid="{00000000-0005-0000-0000-00003E610000}"/>
    <cellStyle name="Percent 8 43 13" xfId="24685" xr:uid="{00000000-0005-0000-0000-00003F610000}"/>
    <cellStyle name="Percent 8 43 14" xfId="24686" xr:uid="{00000000-0005-0000-0000-000040610000}"/>
    <cellStyle name="Percent 8 43 15" xfId="24687" xr:uid="{00000000-0005-0000-0000-000041610000}"/>
    <cellStyle name="Percent 8 43 16" xfId="24688" xr:uid="{00000000-0005-0000-0000-000042610000}"/>
    <cellStyle name="Percent 8 43 17" xfId="24689" xr:uid="{00000000-0005-0000-0000-000043610000}"/>
    <cellStyle name="Percent 8 43 2" xfId="24690" xr:uid="{00000000-0005-0000-0000-000044610000}"/>
    <cellStyle name="Percent 8 43 3" xfId="24691" xr:uid="{00000000-0005-0000-0000-000045610000}"/>
    <cellStyle name="Percent 8 43 4" xfId="24692" xr:uid="{00000000-0005-0000-0000-000046610000}"/>
    <cellStyle name="Percent 8 43 5" xfId="24693" xr:uid="{00000000-0005-0000-0000-000047610000}"/>
    <cellStyle name="Percent 8 43 6" xfId="24694" xr:uid="{00000000-0005-0000-0000-000048610000}"/>
    <cellStyle name="Percent 8 43 7" xfId="24695" xr:uid="{00000000-0005-0000-0000-000049610000}"/>
    <cellStyle name="Percent 8 43 8" xfId="24696" xr:uid="{00000000-0005-0000-0000-00004A610000}"/>
    <cellStyle name="Percent 8 43 9" xfId="24697" xr:uid="{00000000-0005-0000-0000-00004B610000}"/>
    <cellStyle name="Percent 8 44" xfId="24698" xr:uid="{00000000-0005-0000-0000-00004C610000}"/>
    <cellStyle name="Percent 8 44 10" xfId="24699" xr:uid="{00000000-0005-0000-0000-00004D610000}"/>
    <cellStyle name="Percent 8 44 11" xfId="24700" xr:uid="{00000000-0005-0000-0000-00004E610000}"/>
    <cellStyle name="Percent 8 44 12" xfId="24701" xr:uid="{00000000-0005-0000-0000-00004F610000}"/>
    <cellStyle name="Percent 8 44 13" xfId="24702" xr:uid="{00000000-0005-0000-0000-000050610000}"/>
    <cellStyle name="Percent 8 44 14" xfId="24703" xr:uid="{00000000-0005-0000-0000-000051610000}"/>
    <cellStyle name="Percent 8 44 15" xfId="24704" xr:uid="{00000000-0005-0000-0000-000052610000}"/>
    <cellStyle name="Percent 8 44 16" xfId="24705" xr:uid="{00000000-0005-0000-0000-000053610000}"/>
    <cellStyle name="Percent 8 44 17" xfId="24706" xr:uid="{00000000-0005-0000-0000-000054610000}"/>
    <cellStyle name="Percent 8 44 2" xfId="24707" xr:uid="{00000000-0005-0000-0000-000055610000}"/>
    <cellStyle name="Percent 8 44 3" xfId="24708" xr:uid="{00000000-0005-0000-0000-000056610000}"/>
    <cellStyle name="Percent 8 44 4" xfId="24709" xr:uid="{00000000-0005-0000-0000-000057610000}"/>
    <cellStyle name="Percent 8 44 5" xfId="24710" xr:uid="{00000000-0005-0000-0000-000058610000}"/>
    <cellStyle name="Percent 8 44 6" xfId="24711" xr:uid="{00000000-0005-0000-0000-000059610000}"/>
    <cellStyle name="Percent 8 44 7" xfId="24712" xr:uid="{00000000-0005-0000-0000-00005A610000}"/>
    <cellStyle name="Percent 8 44 8" xfId="24713" xr:uid="{00000000-0005-0000-0000-00005B610000}"/>
    <cellStyle name="Percent 8 44 9" xfId="24714" xr:uid="{00000000-0005-0000-0000-00005C610000}"/>
    <cellStyle name="Percent 8 45" xfId="24715" xr:uid="{00000000-0005-0000-0000-00005D610000}"/>
    <cellStyle name="Percent 8 45 10" xfId="24716" xr:uid="{00000000-0005-0000-0000-00005E610000}"/>
    <cellStyle name="Percent 8 45 11" xfId="24717" xr:uid="{00000000-0005-0000-0000-00005F610000}"/>
    <cellStyle name="Percent 8 45 12" xfId="24718" xr:uid="{00000000-0005-0000-0000-000060610000}"/>
    <cellStyle name="Percent 8 45 13" xfId="24719" xr:uid="{00000000-0005-0000-0000-000061610000}"/>
    <cellStyle name="Percent 8 45 14" xfId="24720" xr:uid="{00000000-0005-0000-0000-000062610000}"/>
    <cellStyle name="Percent 8 45 15" xfId="24721" xr:uid="{00000000-0005-0000-0000-000063610000}"/>
    <cellStyle name="Percent 8 45 16" xfId="24722" xr:uid="{00000000-0005-0000-0000-000064610000}"/>
    <cellStyle name="Percent 8 45 17" xfId="24723" xr:uid="{00000000-0005-0000-0000-000065610000}"/>
    <cellStyle name="Percent 8 45 2" xfId="24724" xr:uid="{00000000-0005-0000-0000-000066610000}"/>
    <cellStyle name="Percent 8 45 3" xfId="24725" xr:uid="{00000000-0005-0000-0000-000067610000}"/>
    <cellStyle name="Percent 8 45 4" xfId="24726" xr:uid="{00000000-0005-0000-0000-000068610000}"/>
    <cellStyle name="Percent 8 45 5" xfId="24727" xr:uid="{00000000-0005-0000-0000-000069610000}"/>
    <cellStyle name="Percent 8 45 6" xfId="24728" xr:uid="{00000000-0005-0000-0000-00006A610000}"/>
    <cellStyle name="Percent 8 45 7" xfId="24729" xr:uid="{00000000-0005-0000-0000-00006B610000}"/>
    <cellStyle name="Percent 8 45 8" xfId="24730" xr:uid="{00000000-0005-0000-0000-00006C610000}"/>
    <cellStyle name="Percent 8 45 9" xfId="24731" xr:uid="{00000000-0005-0000-0000-00006D610000}"/>
    <cellStyle name="Percent 8 46" xfId="24732" xr:uid="{00000000-0005-0000-0000-00006E610000}"/>
    <cellStyle name="Percent 8 46 10" xfId="24733" xr:uid="{00000000-0005-0000-0000-00006F610000}"/>
    <cellStyle name="Percent 8 46 11" xfId="24734" xr:uid="{00000000-0005-0000-0000-000070610000}"/>
    <cellStyle name="Percent 8 46 12" xfId="24735" xr:uid="{00000000-0005-0000-0000-000071610000}"/>
    <cellStyle name="Percent 8 46 13" xfId="24736" xr:uid="{00000000-0005-0000-0000-000072610000}"/>
    <cellStyle name="Percent 8 46 14" xfId="24737" xr:uid="{00000000-0005-0000-0000-000073610000}"/>
    <cellStyle name="Percent 8 46 15" xfId="24738" xr:uid="{00000000-0005-0000-0000-000074610000}"/>
    <cellStyle name="Percent 8 46 16" xfId="24739" xr:uid="{00000000-0005-0000-0000-000075610000}"/>
    <cellStyle name="Percent 8 46 17" xfId="24740" xr:uid="{00000000-0005-0000-0000-000076610000}"/>
    <cellStyle name="Percent 8 46 2" xfId="24741" xr:uid="{00000000-0005-0000-0000-000077610000}"/>
    <cellStyle name="Percent 8 46 3" xfId="24742" xr:uid="{00000000-0005-0000-0000-000078610000}"/>
    <cellStyle name="Percent 8 46 4" xfId="24743" xr:uid="{00000000-0005-0000-0000-000079610000}"/>
    <cellStyle name="Percent 8 46 5" xfId="24744" xr:uid="{00000000-0005-0000-0000-00007A610000}"/>
    <cellStyle name="Percent 8 46 6" xfId="24745" xr:uid="{00000000-0005-0000-0000-00007B610000}"/>
    <cellStyle name="Percent 8 46 7" xfId="24746" xr:uid="{00000000-0005-0000-0000-00007C610000}"/>
    <cellStyle name="Percent 8 46 8" xfId="24747" xr:uid="{00000000-0005-0000-0000-00007D610000}"/>
    <cellStyle name="Percent 8 46 9" xfId="24748" xr:uid="{00000000-0005-0000-0000-00007E610000}"/>
    <cellStyle name="Percent 8 47" xfId="24749" xr:uid="{00000000-0005-0000-0000-00007F610000}"/>
    <cellStyle name="Percent 8 47 10" xfId="24750" xr:uid="{00000000-0005-0000-0000-000080610000}"/>
    <cellStyle name="Percent 8 47 11" xfId="24751" xr:uid="{00000000-0005-0000-0000-000081610000}"/>
    <cellStyle name="Percent 8 47 12" xfId="24752" xr:uid="{00000000-0005-0000-0000-000082610000}"/>
    <cellStyle name="Percent 8 47 13" xfId="24753" xr:uid="{00000000-0005-0000-0000-000083610000}"/>
    <cellStyle name="Percent 8 47 14" xfId="24754" xr:uid="{00000000-0005-0000-0000-000084610000}"/>
    <cellStyle name="Percent 8 47 15" xfId="24755" xr:uid="{00000000-0005-0000-0000-000085610000}"/>
    <cellStyle name="Percent 8 47 16" xfId="24756" xr:uid="{00000000-0005-0000-0000-000086610000}"/>
    <cellStyle name="Percent 8 47 17" xfId="24757" xr:uid="{00000000-0005-0000-0000-000087610000}"/>
    <cellStyle name="Percent 8 47 2" xfId="24758" xr:uid="{00000000-0005-0000-0000-000088610000}"/>
    <cellStyle name="Percent 8 47 3" xfId="24759" xr:uid="{00000000-0005-0000-0000-000089610000}"/>
    <cellStyle name="Percent 8 47 4" xfId="24760" xr:uid="{00000000-0005-0000-0000-00008A610000}"/>
    <cellStyle name="Percent 8 47 5" xfId="24761" xr:uid="{00000000-0005-0000-0000-00008B610000}"/>
    <cellStyle name="Percent 8 47 6" xfId="24762" xr:uid="{00000000-0005-0000-0000-00008C610000}"/>
    <cellStyle name="Percent 8 47 7" xfId="24763" xr:uid="{00000000-0005-0000-0000-00008D610000}"/>
    <cellStyle name="Percent 8 47 8" xfId="24764" xr:uid="{00000000-0005-0000-0000-00008E610000}"/>
    <cellStyle name="Percent 8 47 9" xfId="24765" xr:uid="{00000000-0005-0000-0000-00008F610000}"/>
    <cellStyle name="Percent 8 48" xfId="24766" xr:uid="{00000000-0005-0000-0000-000090610000}"/>
    <cellStyle name="Percent 8 49" xfId="24767" xr:uid="{00000000-0005-0000-0000-000091610000}"/>
    <cellStyle name="Percent 8 5" xfId="24768" xr:uid="{00000000-0005-0000-0000-000092610000}"/>
    <cellStyle name="Percent 8 5 10" xfId="24769" xr:uid="{00000000-0005-0000-0000-000093610000}"/>
    <cellStyle name="Percent 8 5 11" xfId="24770" xr:uid="{00000000-0005-0000-0000-000094610000}"/>
    <cellStyle name="Percent 8 5 12" xfId="24771" xr:uid="{00000000-0005-0000-0000-000095610000}"/>
    <cellStyle name="Percent 8 5 13" xfId="24772" xr:uid="{00000000-0005-0000-0000-000096610000}"/>
    <cellStyle name="Percent 8 5 14" xfId="24773" xr:uid="{00000000-0005-0000-0000-000097610000}"/>
    <cellStyle name="Percent 8 5 15" xfId="24774" xr:uid="{00000000-0005-0000-0000-000098610000}"/>
    <cellStyle name="Percent 8 5 16" xfId="24775" xr:uid="{00000000-0005-0000-0000-000099610000}"/>
    <cellStyle name="Percent 8 5 17" xfId="24776" xr:uid="{00000000-0005-0000-0000-00009A610000}"/>
    <cellStyle name="Percent 8 5 2" xfId="24777" xr:uid="{00000000-0005-0000-0000-00009B610000}"/>
    <cellStyle name="Percent 8 5 3" xfId="24778" xr:uid="{00000000-0005-0000-0000-00009C610000}"/>
    <cellStyle name="Percent 8 5 4" xfId="24779" xr:uid="{00000000-0005-0000-0000-00009D610000}"/>
    <cellStyle name="Percent 8 5 5" xfId="24780" xr:uid="{00000000-0005-0000-0000-00009E610000}"/>
    <cellStyle name="Percent 8 5 6" xfId="24781" xr:uid="{00000000-0005-0000-0000-00009F610000}"/>
    <cellStyle name="Percent 8 5 7" xfId="24782" xr:uid="{00000000-0005-0000-0000-0000A0610000}"/>
    <cellStyle name="Percent 8 5 8" xfId="24783" xr:uid="{00000000-0005-0000-0000-0000A1610000}"/>
    <cellStyle name="Percent 8 5 9" xfId="24784" xr:uid="{00000000-0005-0000-0000-0000A2610000}"/>
    <cellStyle name="Percent 8 50" xfId="24785" xr:uid="{00000000-0005-0000-0000-0000A3610000}"/>
    <cellStyle name="Percent 8 51" xfId="24786" xr:uid="{00000000-0005-0000-0000-0000A4610000}"/>
    <cellStyle name="Percent 8 52" xfId="24787" xr:uid="{00000000-0005-0000-0000-0000A5610000}"/>
    <cellStyle name="Percent 8 53" xfId="24788" xr:uid="{00000000-0005-0000-0000-0000A6610000}"/>
    <cellStyle name="Percent 8 54" xfId="24789" xr:uid="{00000000-0005-0000-0000-0000A7610000}"/>
    <cellStyle name="Percent 8 55" xfId="24790" xr:uid="{00000000-0005-0000-0000-0000A8610000}"/>
    <cellStyle name="Percent 8 56" xfId="24791" xr:uid="{00000000-0005-0000-0000-0000A9610000}"/>
    <cellStyle name="Percent 8 57" xfId="24792" xr:uid="{00000000-0005-0000-0000-0000AA610000}"/>
    <cellStyle name="Percent 8 58" xfId="24793" xr:uid="{00000000-0005-0000-0000-0000AB610000}"/>
    <cellStyle name="Percent 8 59" xfId="24794" xr:uid="{00000000-0005-0000-0000-0000AC610000}"/>
    <cellStyle name="Percent 8 6" xfId="24795" xr:uid="{00000000-0005-0000-0000-0000AD610000}"/>
    <cellStyle name="Percent 8 6 10" xfId="24796" xr:uid="{00000000-0005-0000-0000-0000AE610000}"/>
    <cellStyle name="Percent 8 6 11" xfId="24797" xr:uid="{00000000-0005-0000-0000-0000AF610000}"/>
    <cellStyle name="Percent 8 6 12" xfId="24798" xr:uid="{00000000-0005-0000-0000-0000B0610000}"/>
    <cellStyle name="Percent 8 6 13" xfId="24799" xr:uid="{00000000-0005-0000-0000-0000B1610000}"/>
    <cellStyle name="Percent 8 6 14" xfId="24800" xr:uid="{00000000-0005-0000-0000-0000B2610000}"/>
    <cellStyle name="Percent 8 6 15" xfId="24801" xr:uid="{00000000-0005-0000-0000-0000B3610000}"/>
    <cellStyle name="Percent 8 6 16" xfId="24802" xr:uid="{00000000-0005-0000-0000-0000B4610000}"/>
    <cellStyle name="Percent 8 6 17" xfId="24803" xr:uid="{00000000-0005-0000-0000-0000B5610000}"/>
    <cellStyle name="Percent 8 6 2" xfId="24804" xr:uid="{00000000-0005-0000-0000-0000B6610000}"/>
    <cellStyle name="Percent 8 6 3" xfId="24805" xr:uid="{00000000-0005-0000-0000-0000B7610000}"/>
    <cellStyle name="Percent 8 6 4" xfId="24806" xr:uid="{00000000-0005-0000-0000-0000B8610000}"/>
    <cellStyle name="Percent 8 6 5" xfId="24807" xr:uid="{00000000-0005-0000-0000-0000B9610000}"/>
    <cellStyle name="Percent 8 6 6" xfId="24808" xr:uid="{00000000-0005-0000-0000-0000BA610000}"/>
    <cellStyle name="Percent 8 6 7" xfId="24809" xr:uid="{00000000-0005-0000-0000-0000BB610000}"/>
    <cellStyle name="Percent 8 6 8" xfId="24810" xr:uid="{00000000-0005-0000-0000-0000BC610000}"/>
    <cellStyle name="Percent 8 6 9" xfId="24811" xr:uid="{00000000-0005-0000-0000-0000BD610000}"/>
    <cellStyle name="Percent 8 60" xfId="24812" xr:uid="{00000000-0005-0000-0000-0000BE610000}"/>
    <cellStyle name="Percent 8 61" xfId="48402" xr:uid="{00000000-0005-0000-0000-0000BF610000}"/>
    <cellStyle name="Percent 8 7" xfId="24813" xr:uid="{00000000-0005-0000-0000-0000C0610000}"/>
    <cellStyle name="Percent 8 7 10" xfId="24814" xr:uid="{00000000-0005-0000-0000-0000C1610000}"/>
    <cellStyle name="Percent 8 7 11" xfId="24815" xr:uid="{00000000-0005-0000-0000-0000C2610000}"/>
    <cellStyle name="Percent 8 7 12" xfId="24816" xr:uid="{00000000-0005-0000-0000-0000C3610000}"/>
    <cellStyle name="Percent 8 7 13" xfId="24817" xr:uid="{00000000-0005-0000-0000-0000C4610000}"/>
    <cellStyle name="Percent 8 7 14" xfId="24818" xr:uid="{00000000-0005-0000-0000-0000C5610000}"/>
    <cellStyle name="Percent 8 7 15" xfId="24819" xr:uid="{00000000-0005-0000-0000-0000C6610000}"/>
    <cellStyle name="Percent 8 7 16" xfId="24820" xr:uid="{00000000-0005-0000-0000-0000C7610000}"/>
    <cellStyle name="Percent 8 7 17" xfId="24821" xr:uid="{00000000-0005-0000-0000-0000C8610000}"/>
    <cellStyle name="Percent 8 7 2" xfId="24822" xr:uid="{00000000-0005-0000-0000-0000C9610000}"/>
    <cellStyle name="Percent 8 7 3" xfId="24823" xr:uid="{00000000-0005-0000-0000-0000CA610000}"/>
    <cellStyle name="Percent 8 7 4" xfId="24824" xr:uid="{00000000-0005-0000-0000-0000CB610000}"/>
    <cellStyle name="Percent 8 7 5" xfId="24825" xr:uid="{00000000-0005-0000-0000-0000CC610000}"/>
    <cellStyle name="Percent 8 7 6" xfId="24826" xr:uid="{00000000-0005-0000-0000-0000CD610000}"/>
    <cellStyle name="Percent 8 7 7" xfId="24827" xr:uid="{00000000-0005-0000-0000-0000CE610000}"/>
    <cellStyle name="Percent 8 7 8" xfId="24828" xr:uid="{00000000-0005-0000-0000-0000CF610000}"/>
    <cellStyle name="Percent 8 7 9" xfId="24829" xr:uid="{00000000-0005-0000-0000-0000D0610000}"/>
    <cellStyle name="Percent 8 8" xfId="24830" xr:uid="{00000000-0005-0000-0000-0000D1610000}"/>
    <cellStyle name="Percent 8 8 10" xfId="24831" xr:uid="{00000000-0005-0000-0000-0000D2610000}"/>
    <cellStyle name="Percent 8 8 11" xfId="24832" xr:uid="{00000000-0005-0000-0000-0000D3610000}"/>
    <cellStyle name="Percent 8 8 12" xfId="24833" xr:uid="{00000000-0005-0000-0000-0000D4610000}"/>
    <cellStyle name="Percent 8 8 13" xfId="24834" xr:uid="{00000000-0005-0000-0000-0000D5610000}"/>
    <cellStyle name="Percent 8 8 14" xfId="24835" xr:uid="{00000000-0005-0000-0000-0000D6610000}"/>
    <cellStyle name="Percent 8 8 15" xfId="24836" xr:uid="{00000000-0005-0000-0000-0000D7610000}"/>
    <cellStyle name="Percent 8 8 16" xfId="24837" xr:uid="{00000000-0005-0000-0000-0000D8610000}"/>
    <cellStyle name="Percent 8 8 17" xfId="24838" xr:uid="{00000000-0005-0000-0000-0000D9610000}"/>
    <cellStyle name="Percent 8 8 2" xfId="24839" xr:uid="{00000000-0005-0000-0000-0000DA610000}"/>
    <cellStyle name="Percent 8 8 3" xfId="24840" xr:uid="{00000000-0005-0000-0000-0000DB610000}"/>
    <cellStyle name="Percent 8 8 4" xfId="24841" xr:uid="{00000000-0005-0000-0000-0000DC610000}"/>
    <cellStyle name="Percent 8 8 5" xfId="24842" xr:uid="{00000000-0005-0000-0000-0000DD610000}"/>
    <cellStyle name="Percent 8 8 6" xfId="24843" xr:uid="{00000000-0005-0000-0000-0000DE610000}"/>
    <cellStyle name="Percent 8 8 7" xfId="24844" xr:uid="{00000000-0005-0000-0000-0000DF610000}"/>
    <cellStyle name="Percent 8 8 8" xfId="24845" xr:uid="{00000000-0005-0000-0000-0000E0610000}"/>
    <cellStyle name="Percent 8 8 9" xfId="24846" xr:uid="{00000000-0005-0000-0000-0000E1610000}"/>
    <cellStyle name="Percent 8 9" xfId="24847" xr:uid="{00000000-0005-0000-0000-0000E2610000}"/>
    <cellStyle name="Percent 8 9 10" xfId="24848" xr:uid="{00000000-0005-0000-0000-0000E3610000}"/>
    <cellStyle name="Percent 8 9 11" xfId="24849" xr:uid="{00000000-0005-0000-0000-0000E4610000}"/>
    <cellStyle name="Percent 8 9 12" xfId="24850" xr:uid="{00000000-0005-0000-0000-0000E5610000}"/>
    <cellStyle name="Percent 8 9 13" xfId="24851" xr:uid="{00000000-0005-0000-0000-0000E6610000}"/>
    <cellStyle name="Percent 8 9 14" xfId="24852" xr:uid="{00000000-0005-0000-0000-0000E7610000}"/>
    <cellStyle name="Percent 8 9 15" xfId="24853" xr:uid="{00000000-0005-0000-0000-0000E8610000}"/>
    <cellStyle name="Percent 8 9 16" xfId="24854" xr:uid="{00000000-0005-0000-0000-0000E9610000}"/>
    <cellStyle name="Percent 8 9 17" xfId="24855" xr:uid="{00000000-0005-0000-0000-0000EA610000}"/>
    <cellStyle name="Percent 8 9 2" xfId="24856" xr:uid="{00000000-0005-0000-0000-0000EB610000}"/>
    <cellStyle name="Percent 8 9 3" xfId="24857" xr:uid="{00000000-0005-0000-0000-0000EC610000}"/>
    <cellStyle name="Percent 8 9 4" xfId="24858" xr:uid="{00000000-0005-0000-0000-0000ED610000}"/>
    <cellStyle name="Percent 8 9 5" xfId="24859" xr:uid="{00000000-0005-0000-0000-0000EE610000}"/>
    <cellStyle name="Percent 8 9 6" xfId="24860" xr:uid="{00000000-0005-0000-0000-0000EF610000}"/>
    <cellStyle name="Percent 8 9 7" xfId="24861" xr:uid="{00000000-0005-0000-0000-0000F0610000}"/>
    <cellStyle name="Percent 8 9 8" xfId="24862" xr:uid="{00000000-0005-0000-0000-0000F1610000}"/>
    <cellStyle name="Percent 8 9 9" xfId="24863" xr:uid="{00000000-0005-0000-0000-0000F2610000}"/>
    <cellStyle name="Percent 9" xfId="24864" xr:uid="{00000000-0005-0000-0000-0000F3610000}"/>
    <cellStyle name="Percent 9 10" xfId="24865" xr:uid="{00000000-0005-0000-0000-0000F4610000}"/>
    <cellStyle name="Percent 9 11" xfId="24866" xr:uid="{00000000-0005-0000-0000-0000F5610000}"/>
    <cellStyle name="Percent 9 12" xfId="24867" xr:uid="{00000000-0005-0000-0000-0000F6610000}"/>
    <cellStyle name="Percent 9 13" xfId="24868" xr:uid="{00000000-0005-0000-0000-0000F7610000}"/>
    <cellStyle name="Percent 9 14" xfId="24869" xr:uid="{00000000-0005-0000-0000-0000F8610000}"/>
    <cellStyle name="Percent 9 15" xfId="24870" xr:uid="{00000000-0005-0000-0000-0000F9610000}"/>
    <cellStyle name="Percent 9 16" xfId="24871" xr:uid="{00000000-0005-0000-0000-0000FA610000}"/>
    <cellStyle name="Percent 9 17" xfId="24872" xr:uid="{00000000-0005-0000-0000-0000FB610000}"/>
    <cellStyle name="Percent 9 18" xfId="24873" xr:uid="{00000000-0005-0000-0000-0000FC610000}"/>
    <cellStyle name="Percent 9 19" xfId="24874" xr:uid="{00000000-0005-0000-0000-0000FD610000}"/>
    <cellStyle name="Percent 9 2" xfId="24875" xr:uid="{00000000-0005-0000-0000-0000FE610000}"/>
    <cellStyle name="Percent 9 2 10" xfId="24876" xr:uid="{00000000-0005-0000-0000-0000FF610000}"/>
    <cellStyle name="Percent 9 2 11" xfId="24877" xr:uid="{00000000-0005-0000-0000-000000620000}"/>
    <cellStyle name="Percent 9 2 12" xfId="24878" xr:uid="{00000000-0005-0000-0000-000001620000}"/>
    <cellStyle name="Percent 9 2 13" xfId="24879" xr:uid="{00000000-0005-0000-0000-000002620000}"/>
    <cellStyle name="Percent 9 2 14" xfId="24880" xr:uid="{00000000-0005-0000-0000-000003620000}"/>
    <cellStyle name="Percent 9 2 15" xfId="24881" xr:uid="{00000000-0005-0000-0000-000004620000}"/>
    <cellStyle name="Percent 9 2 2" xfId="24882" xr:uid="{00000000-0005-0000-0000-000005620000}"/>
    <cellStyle name="Percent 9 2 2 10" xfId="24883" xr:uid="{00000000-0005-0000-0000-000006620000}"/>
    <cellStyle name="Percent 9 2 2 11" xfId="24884" xr:uid="{00000000-0005-0000-0000-000007620000}"/>
    <cellStyle name="Percent 9 2 2 12" xfId="24885" xr:uid="{00000000-0005-0000-0000-000008620000}"/>
    <cellStyle name="Percent 9 2 2 13" xfId="24886" xr:uid="{00000000-0005-0000-0000-000009620000}"/>
    <cellStyle name="Percent 9 2 2 14" xfId="24887" xr:uid="{00000000-0005-0000-0000-00000A620000}"/>
    <cellStyle name="Percent 9 2 2 2" xfId="24888" xr:uid="{00000000-0005-0000-0000-00000B620000}"/>
    <cellStyle name="Percent 9 2 2 2 10" xfId="24889" xr:uid="{00000000-0005-0000-0000-00000C620000}"/>
    <cellStyle name="Percent 9 2 2 2 11" xfId="24890" xr:uid="{00000000-0005-0000-0000-00000D620000}"/>
    <cellStyle name="Percent 9 2 2 2 12" xfId="24891" xr:uid="{00000000-0005-0000-0000-00000E620000}"/>
    <cellStyle name="Percent 9 2 2 2 13" xfId="24892" xr:uid="{00000000-0005-0000-0000-00000F620000}"/>
    <cellStyle name="Percent 9 2 2 2 2" xfId="24893" xr:uid="{00000000-0005-0000-0000-000010620000}"/>
    <cellStyle name="Percent 9 2 2 2 3" xfId="24894" xr:uid="{00000000-0005-0000-0000-000011620000}"/>
    <cellStyle name="Percent 9 2 2 2 4" xfId="24895" xr:uid="{00000000-0005-0000-0000-000012620000}"/>
    <cellStyle name="Percent 9 2 2 2 5" xfId="24896" xr:uid="{00000000-0005-0000-0000-000013620000}"/>
    <cellStyle name="Percent 9 2 2 2 6" xfId="24897" xr:uid="{00000000-0005-0000-0000-000014620000}"/>
    <cellStyle name="Percent 9 2 2 2 7" xfId="24898" xr:uid="{00000000-0005-0000-0000-000015620000}"/>
    <cellStyle name="Percent 9 2 2 2 8" xfId="24899" xr:uid="{00000000-0005-0000-0000-000016620000}"/>
    <cellStyle name="Percent 9 2 2 2 9" xfId="24900" xr:uid="{00000000-0005-0000-0000-000017620000}"/>
    <cellStyle name="Percent 9 2 2 3" xfId="24901" xr:uid="{00000000-0005-0000-0000-000018620000}"/>
    <cellStyle name="Percent 9 2 2 4" xfId="24902" xr:uid="{00000000-0005-0000-0000-000019620000}"/>
    <cellStyle name="Percent 9 2 2 5" xfId="24903" xr:uid="{00000000-0005-0000-0000-00001A620000}"/>
    <cellStyle name="Percent 9 2 2 6" xfId="24904" xr:uid="{00000000-0005-0000-0000-00001B620000}"/>
    <cellStyle name="Percent 9 2 2 7" xfId="24905" xr:uid="{00000000-0005-0000-0000-00001C620000}"/>
    <cellStyle name="Percent 9 2 2 8" xfId="24906" xr:uid="{00000000-0005-0000-0000-00001D620000}"/>
    <cellStyle name="Percent 9 2 2 9" xfId="24907" xr:uid="{00000000-0005-0000-0000-00001E620000}"/>
    <cellStyle name="Percent 9 2 3" xfId="24908" xr:uid="{00000000-0005-0000-0000-00001F620000}"/>
    <cellStyle name="Percent 9 2 3 10" xfId="24909" xr:uid="{00000000-0005-0000-0000-000020620000}"/>
    <cellStyle name="Percent 9 2 3 11" xfId="24910" xr:uid="{00000000-0005-0000-0000-000021620000}"/>
    <cellStyle name="Percent 9 2 3 12" xfId="24911" xr:uid="{00000000-0005-0000-0000-000022620000}"/>
    <cellStyle name="Percent 9 2 3 13" xfId="24912" xr:uid="{00000000-0005-0000-0000-000023620000}"/>
    <cellStyle name="Percent 9 2 3 2" xfId="24913" xr:uid="{00000000-0005-0000-0000-000024620000}"/>
    <cellStyle name="Percent 9 2 3 3" xfId="24914" xr:uid="{00000000-0005-0000-0000-000025620000}"/>
    <cellStyle name="Percent 9 2 3 4" xfId="24915" xr:uid="{00000000-0005-0000-0000-000026620000}"/>
    <cellStyle name="Percent 9 2 3 5" xfId="24916" xr:uid="{00000000-0005-0000-0000-000027620000}"/>
    <cellStyle name="Percent 9 2 3 6" xfId="24917" xr:uid="{00000000-0005-0000-0000-000028620000}"/>
    <cellStyle name="Percent 9 2 3 7" xfId="24918" xr:uid="{00000000-0005-0000-0000-000029620000}"/>
    <cellStyle name="Percent 9 2 3 8" xfId="24919" xr:uid="{00000000-0005-0000-0000-00002A620000}"/>
    <cellStyle name="Percent 9 2 3 9" xfId="24920" xr:uid="{00000000-0005-0000-0000-00002B620000}"/>
    <cellStyle name="Percent 9 2 4" xfId="24921" xr:uid="{00000000-0005-0000-0000-00002C620000}"/>
    <cellStyle name="Percent 9 2 5" xfId="24922" xr:uid="{00000000-0005-0000-0000-00002D620000}"/>
    <cellStyle name="Percent 9 2 6" xfId="24923" xr:uid="{00000000-0005-0000-0000-00002E620000}"/>
    <cellStyle name="Percent 9 2 7" xfId="24924" xr:uid="{00000000-0005-0000-0000-00002F620000}"/>
    <cellStyle name="Percent 9 2 8" xfId="24925" xr:uid="{00000000-0005-0000-0000-000030620000}"/>
    <cellStyle name="Percent 9 2 9" xfId="24926" xr:uid="{00000000-0005-0000-0000-000031620000}"/>
    <cellStyle name="Percent 9 20" xfId="24927" xr:uid="{00000000-0005-0000-0000-000032620000}"/>
    <cellStyle name="Percent 9 21" xfId="24928" xr:uid="{00000000-0005-0000-0000-000033620000}"/>
    <cellStyle name="Percent 9 22" xfId="24929" xr:uid="{00000000-0005-0000-0000-000034620000}"/>
    <cellStyle name="Percent 9 23" xfId="24930" xr:uid="{00000000-0005-0000-0000-000035620000}"/>
    <cellStyle name="Percent 9 24" xfId="24931" xr:uid="{00000000-0005-0000-0000-000036620000}"/>
    <cellStyle name="Percent 9 25" xfId="24932" xr:uid="{00000000-0005-0000-0000-000037620000}"/>
    <cellStyle name="Percent 9 26" xfId="24933" xr:uid="{00000000-0005-0000-0000-000038620000}"/>
    <cellStyle name="Percent 9 27" xfId="24934" xr:uid="{00000000-0005-0000-0000-000039620000}"/>
    <cellStyle name="Percent 9 27 2" xfId="24935" xr:uid="{00000000-0005-0000-0000-00003A620000}"/>
    <cellStyle name="Percent 9 27 3" xfId="24936" xr:uid="{00000000-0005-0000-0000-00003B620000}"/>
    <cellStyle name="Percent 9 27 4" xfId="24937" xr:uid="{00000000-0005-0000-0000-00003C620000}"/>
    <cellStyle name="Percent 9 28" xfId="24938" xr:uid="{00000000-0005-0000-0000-00003D620000}"/>
    <cellStyle name="Percent 9 29" xfId="24939" xr:uid="{00000000-0005-0000-0000-00003E620000}"/>
    <cellStyle name="Percent 9 3" xfId="24940" xr:uid="{00000000-0005-0000-0000-00003F620000}"/>
    <cellStyle name="Percent 9 3 10" xfId="24941" xr:uid="{00000000-0005-0000-0000-000040620000}"/>
    <cellStyle name="Percent 9 3 11" xfId="24942" xr:uid="{00000000-0005-0000-0000-000041620000}"/>
    <cellStyle name="Percent 9 3 12" xfId="24943" xr:uid="{00000000-0005-0000-0000-000042620000}"/>
    <cellStyle name="Percent 9 3 13" xfId="24944" xr:uid="{00000000-0005-0000-0000-000043620000}"/>
    <cellStyle name="Percent 9 3 14" xfId="24945" xr:uid="{00000000-0005-0000-0000-000044620000}"/>
    <cellStyle name="Percent 9 3 15" xfId="24946" xr:uid="{00000000-0005-0000-0000-000045620000}"/>
    <cellStyle name="Percent 9 3 16" xfId="24947" xr:uid="{00000000-0005-0000-0000-000046620000}"/>
    <cellStyle name="Percent 9 3 17" xfId="24948" xr:uid="{00000000-0005-0000-0000-000047620000}"/>
    <cellStyle name="Percent 9 3 18" xfId="24949" xr:uid="{00000000-0005-0000-0000-000048620000}"/>
    <cellStyle name="Percent 9 3 19" xfId="24950" xr:uid="{00000000-0005-0000-0000-000049620000}"/>
    <cellStyle name="Percent 9 3 2" xfId="24951" xr:uid="{00000000-0005-0000-0000-00004A620000}"/>
    <cellStyle name="Percent 9 3 2 10" xfId="24952" xr:uid="{00000000-0005-0000-0000-00004B620000}"/>
    <cellStyle name="Percent 9 3 2 11" xfId="24953" xr:uid="{00000000-0005-0000-0000-00004C620000}"/>
    <cellStyle name="Percent 9 3 2 12" xfId="24954" xr:uid="{00000000-0005-0000-0000-00004D620000}"/>
    <cellStyle name="Percent 9 3 2 13" xfId="24955" xr:uid="{00000000-0005-0000-0000-00004E620000}"/>
    <cellStyle name="Percent 9 3 2 2" xfId="24956" xr:uid="{00000000-0005-0000-0000-00004F620000}"/>
    <cellStyle name="Percent 9 3 2 3" xfId="24957" xr:uid="{00000000-0005-0000-0000-000050620000}"/>
    <cellStyle name="Percent 9 3 2 4" xfId="24958" xr:uid="{00000000-0005-0000-0000-000051620000}"/>
    <cellStyle name="Percent 9 3 2 5" xfId="24959" xr:uid="{00000000-0005-0000-0000-000052620000}"/>
    <cellStyle name="Percent 9 3 2 6" xfId="24960" xr:uid="{00000000-0005-0000-0000-000053620000}"/>
    <cellStyle name="Percent 9 3 2 7" xfId="24961" xr:uid="{00000000-0005-0000-0000-000054620000}"/>
    <cellStyle name="Percent 9 3 2 8" xfId="24962" xr:uid="{00000000-0005-0000-0000-000055620000}"/>
    <cellStyle name="Percent 9 3 2 9" xfId="24963" xr:uid="{00000000-0005-0000-0000-000056620000}"/>
    <cellStyle name="Percent 9 3 20" xfId="24964" xr:uid="{00000000-0005-0000-0000-000057620000}"/>
    <cellStyle name="Percent 9 3 21" xfId="24965" xr:uid="{00000000-0005-0000-0000-000058620000}"/>
    <cellStyle name="Percent 9 3 22" xfId="24966" xr:uid="{00000000-0005-0000-0000-000059620000}"/>
    <cellStyle name="Percent 9 3 23" xfId="24967" xr:uid="{00000000-0005-0000-0000-00005A620000}"/>
    <cellStyle name="Percent 9 3 24" xfId="24968" xr:uid="{00000000-0005-0000-0000-00005B620000}"/>
    <cellStyle name="Percent 9 3 25" xfId="24969" xr:uid="{00000000-0005-0000-0000-00005C620000}"/>
    <cellStyle name="Percent 9 3 26" xfId="24970" xr:uid="{00000000-0005-0000-0000-00005D620000}"/>
    <cellStyle name="Percent 9 3 27" xfId="24971" xr:uid="{00000000-0005-0000-0000-00005E620000}"/>
    <cellStyle name="Percent 9 3 28" xfId="24972" xr:uid="{00000000-0005-0000-0000-00005F620000}"/>
    <cellStyle name="Percent 9 3 29" xfId="24973" xr:uid="{00000000-0005-0000-0000-000060620000}"/>
    <cellStyle name="Percent 9 3 3" xfId="24974" xr:uid="{00000000-0005-0000-0000-000061620000}"/>
    <cellStyle name="Percent 9 3 30" xfId="24975" xr:uid="{00000000-0005-0000-0000-000062620000}"/>
    <cellStyle name="Percent 9 3 31" xfId="24976" xr:uid="{00000000-0005-0000-0000-000063620000}"/>
    <cellStyle name="Percent 9 3 32" xfId="24977" xr:uid="{00000000-0005-0000-0000-000064620000}"/>
    <cellStyle name="Percent 9 3 33" xfId="24978" xr:uid="{00000000-0005-0000-0000-000065620000}"/>
    <cellStyle name="Percent 9 3 34" xfId="24979" xr:uid="{00000000-0005-0000-0000-000066620000}"/>
    <cellStyle name="Percent 9 3 35" xfId="24980" xr:uid="{00000000-0005-0000-0000-000067620000}"/>
    <cellStyle name="Percent 9 3 36" xfId="24981" xr:uid="{00000000-0005-0000-0000-000068620000}"/>
    <cellStyle name="Percent 9 3 37" xfId="24982" xr:uid="{00000000-0005-0000-0000-000069620000}"/>
    <cellStyle name="Percent 9 3 38" xfId="24983" xr:uid="{00000000-0005-0000-0000-00006A620000}"/>
    <cellStyle name="Percent 9 3 39" xfId="24984" xr:uid="{00000000-0005-0000-0000-00006B620000}"/>
    <cellStyle name="Percent 9 3 4" xfId="24985" xr:uid="{00000000-0005-0000-0000-00006C620000}"/>
    <cellStyle name="Percent 9 3 40" xfId="24986" xr:uid="{00000000-0005-0000-0000-00006D620000}"/>
    <cellStyle name="Percent 9 3 41" xfId="24987" xr:uid="{00000000-0005-0000-0000-00006E620000}"/>
    <cellStyle name="Percent 9 3 42" xfId="24988" xr:uid="{00000000-0005-0000-0000-00006F620000}"/>
    <cellStyle name="Percent 9 3 43" xfId="24989" xr:uid="{00000000-0005-0000-0000-000070620000}"/>
    <cellStyle name="Percent 9 3 44" xfId="24990" xr:uid="{00000000-0005-0000-0000-000071620000}"/>
    <cellStyle name="Percent 9 3 45" xfId="24991" xr:uid="{00000000-0005-0000-0000-000072620000}"/>
    <cellStyle name="Percent 9 3 46" xfId="24992" xr:uid="{00000000-0005-0000-0000-000073620000}"/>
    <cellStyle name="Percent 9 3 47" xfId="24993" xr:uid="{00000000-0005-0000-0000-000074620000}"/>
    <cellStyle name="Percent 9 3 48" xfId="24994" xr:uid="{00000000-0005-0000-0000-000075620000}"/>
    <cellStyle name="Percent 9 3 49" xfId="24995" xr:uid="{00000000-0005-0000-0000-000076620000}"/>
    <cellStyle name="Percent 9 3 5" xfId="24996" xr:uid="{00000000-0005-0000-0000-000077620000}"/>
    <cellStyle name="Percent 9 3 50" xfId="24997" xr:uid="{00000000-0005-0000-0000-000078620000}"/>
    <cellStyle name="Percent 9 3 51" xfId="24998" xr:uid="{00000000-0005-0000-0000-000079620000}"/>
    <cellStyle name="Percent 9 3 52" xfId="24999" xr:uid="{00000000-0005-0000-0000-00007A620000}"/>
    <cellStyle name="Percent 9 3 53" xfId="25000" xr:uid="{00000000-0005-0000-0000-00007B620000}"/>
    <cellStyle name="Percent 9 3 54" xfId="25001" xr:uid="{00000000-0005-0000-0000-00007C620000}"/>
    <cellStyle name="Percent 9 3 55" xfId="25002" xr:uid="{00000000-0005-0000-0000-00007D620000}"/>
    <cellStyle name="Percent 9 3 56" xfId="25003" xr:uid="{00000000-0005-0000-0000-00007E620000}"/>
    <cellStyle name="Percent 9 3 57" xfId="25004" xr:uid="{00000000-0005-0000-0000-00007F620000}"/>
    <cellStyle name="Percent 9 3 58" xfId="25005" xr:uid="{00000000-0005-0000-0000-000080620000}"/>
    <cellStyle name="Percent 9 3 59" xfId="25006" xr:uid="{00000000-0005-0000-0000-000081620000}"/>
    <cellStyle name="Percent 9 3 6" xfId="25007" xr:uid="{00000000-0005-0000-0000-000082620000}"/>
    <cellStyle name="Percent 9 3 60" xfId="25008" xr:uid="{00000000-0005-0000-0000-000083620000}"/>
    <cellStyle name="Percent 9 3 61" xfId="25009" xr:uid="{00000000-0005-0000-0000-000084620000}"/>
    <cellStyle name="Percent 9 3 62" xfId="25010" xr:uid="{00000000-0005-0000-0000-000085620000}"/>
    <cellStyle name="Percent 9 3 63" xfId="25011" xr:uid="{00000000-0005-0000-0000-000086620000}"/>
    <cellStyle name="Percent 9 3 64" xfId="25012" xr:uid="{00000000-0005-0000-0000-000087620000}"/>
    <cellStyle name="Percent 9 3 65" xfId="25013" xr:uid="{00000000-0005-0000-0000-000088620000}"/>
    <cellStyle name="Percent 9 3 66" xfId="25014" xr:uid="{00000000-0005-0000-0000-000089620000}"/>
    <cellStyle name="Percent 9 3 67" xfId="25015" xr:uid="{00000000-0005-0000-0000-00008A620000}"/>
    <cellStyle name="Percent 9 3 68" xfId="25016" xr:uid="{00000000-0005-0000-0000-00008B620000}"/>
    <cellStyle name="Percent 9 3 69" xfId="25017" xr:uid="{00000000-0005-0000-0000-00008C620000}"/>
    <cellStyle name="Percent 9 3 7" xfId="25018" xr:uid="{00000000-0005-0000-0000-00008D620000}"/>
    <cellStyle name="Percent 9 3 8" xfId="25019" xr:uid="{00000000-0005-0000-0000-00008E620000}"/>
    <cellStyle name="Percent 9 3 9" xfId="25020" xr:uid="{00000000-0005-0000-0000-00008F620000}"/>
    <cellStyle name="Percent 9 30" xfId="25021" xr:uid="{00000000-0005-0000-0000-000090620000}"/>
    <cellStyle name="Percent 9 31" xfId="25022" xr:uid="{00000000-0005-0000-0000-000091620000}"/>
    <cellStyle name="Percent 9 4" xfId="25023" xr:uid="{00000000-0005-0000-0000-000092620000}"/>
    <cellStyle name="Percent 9 4 10" xfId="25024" xr:uid="{00000000-0005-0000-0000-000093620000}"/>
    <cellStyle name="Percent 9 4 11" xfId="25025" xr:uid="{00000000-0005-0000-0000-000094620000}"/>
    <cellStyle name="Percent 9 4 12" xfId="25026" xr:uid="{00000000-0005-0000-0000-000095620000}"/>
    <cellStyle name="Percent 9 4 13" xfId="25027" xr:uid="{00000000-0005-0000-0000-000096620000}"/>
    <cellStyle name="Percent 9 4 14" xfId="25028" xr:uid="{00000000-0005-0000-0000-000097620000}"/>
    <cellStyle name="Percent 9 4 2" xfId="25029" xr:uid="{00000000-0005-0000-0000-000098620000}"/>
    <cellStyle name="Percent 9 4 2 10" xfId="25030" xr:uid="{00000000-0005-0000-0000-000099620000}"/>
    <cellStyle name="Percent 9 4 2 11" xfId="25031" xr:uid="{00000000-0005-0000-0000-00009A620000}"/>
    <cellStyle name="Percent 9 4 2 12" xfId="25032" xr:uid="{00000000-0005-0000-0000-00009B620000}"/>
    <cellStyle name="Percent 9 4 2 13" xfId="25033" xr:uid="{00000000-0005-0000-0000-00009C620000}"/>
    <cellStyle name="Percent 9 4 2 2" xfId="25034" xr:uid="{00000000-0005-0000-0000-00009D620000}"/>
    <cellStyle name="Percent 9 4 2 3" xfId="25035" xr:uid="{00000000-0005-0000-0000-00009E620000}"/>
    <cellStyle name="Percent 9 4 2 4" xfId="25036" xr:uid="{00000000-0005-0000-0000-00009F620000}"/>
    <cellStyle name="Percent 9 4 2 5" xfId="25037" xr:uid="{00000000-0005-0000-0000-0000A0620000}"/>
    <cellStyle name="Percent 9 4 2 6" xfId="25038" xr:uid="{00000000-0005-0000-0000-0000A1620000}"/>
    <cellStyle name="Percent 9 4 2 7" xfId="25039" xr:uid="{00000000-0005-0000-0000-0000A2620000}"/>
    <cellStyle name="Percent 9 4 2 8" xfId="25040" xr:uid="{00000000-0005-0000-0000-0000A3620000}"/>
    <cellStyle name="Percent 9 4 2 9" xfId="25041" xr:uid="{00000000-0005-0000-0000-0000A4620000}"/>
    <cellStyle name="Percent 9 4 3" xfId="25042" xr:uid="{00000000-0005-0000-0000-0000A5620000}"/>
    <cellStyle name="Percent 9 4 4" xfId="25043" xr:uid="{00000000-0005-0000-0000-0000A6620000}"/>
    <cellStyle name="Percent 9 4 5" xfId="25044" xr:uid="{00000000-0005-0000-0000-0000A7620000}"/>
    <cellStyle name="Percent 9 4 6" xfId="25045" xr:uid="{00000000-0005-0000-0000-0000A8620000}"/>
    <cellStyle name="Percent 9 4 7" xfId="25046" xr:uid="{00000000-0005-0000-0000-0000A9620000}"/>
    <cellStyle name="Percent 9 4 8" xfId="25047" xr:uid="{00000000-0005-0000-0000-0000AA620000}"/>
    <cellStyle name="Percent 9 4 9" xfId="25048" xr:uid="{00000000-0005-0000-0000-0000AB620000}"/>
    <cellStyle name="Percent 9 5" xfId="25049" xr:uid="{00000000-0005-0000-0000-0000AC620000}"/>
    <cellStyle name="Percent 9 5 10" xfId="25050" xr:uid="{00000000-0005-0000-0000-0000AD620000}"/>
    <cellStyle name="Percent 9 5 11" xfId="25051" xr:uid="{00000000-0005-0000-0000-0000AE620000}"/>
    <cellStyle name="Percent 9 5 12" xfId="25052" xr:uid="{00000000-0005-0000-0000-0000AF620000}"/>
    <cellStyle name="Percent 9 5 13" xfId="25053" xr:uid="{00000000-0005-0000-0000-0000B0620000}"/>
    <cellStyle name="Percent 9 5 14" xfId="25054" xr:uid="{00000000-0005-0000-0000-0000B1620000}"/>
    <cellStyle name="Percent 9 5 2" xfId="25055" xr:uid="{00000000-0005-0000-0000-0000B2620000}"/>
    <cellStyle name="Percent 9 5 2 10" xfId="25056" xr:uid="{00000000-0005-0000-0000-0000B3620000}"/>
    <cellStyle name="Percent 9 5 2 11" xfId="25057" xr:uid="{00000000-0005-0000-0000-0000B4620000}"/>
    <cellStyle name="Percent 9 5 2 12" xfId="25058" xr:uid="{00000000-0005-0000-0000-0000B5620000}"/>
    <cellStyle name="Percent 9 5 2 13" xfId="25059" xr:uid="{00000000-0005-0000-0000-0000B6620000}"/>
    <cellStyle name="Percent 9 5 2 2" xfId="25060" xr:uid="{00000000-0005-0000-0000-0000B7620000}"/>
    <cellStyle name="Percent 9 5 2 3" xfId="25061" xr:uid="{00000000-0005-0000-0000-0000B8620000}"/>
    <cellStyle name="Percent 9 5 2 4" xfId="25062" xr:uid="{00000000-0005-0000-0000-0000B9620000}"/>
    <cellStyle name="Percent 9 5 2 5" xfId="25063" xr:uid="{00000000-0005-0000-0000-0000BA620000}"/>
    <cellStyle name="Percent 9 5 2 6" xfId="25064" xr:uid="{00000000-0005-0000-0000-0000BB620000}"/>
    <cellStyle name="Percent 9 5 2 7" xfId="25065" xr:uid="{00000000-0005-0000-0000-0000BC620000}"/>
    <cellStyle name="Percent 9 5 2 8" xfId="25066" xr:uid="{00000000-0005-0000-0000-0000BD620000}"/>
    <cellStyle name="Percent 9 5 2 9" xfId="25067" xr:uid="{00000000-0005-0000-0000-0000BE620000}"/>
    <cellStyle name="Percent 9 5 3" xfId="25068" xr:uid="{00000000-0005-0000-0000-0000BF620000}"/>
    <cellStyle name="Percent 9 5 4" xfId="25069" xr:uid="{00000000-0005-0000-0000-0000C0620000}"/>
    <cellStyle name="Percent 9 5 5" xfId="25070" xr:uid="{00000000-0005-0000-0000-0000C1620000}"/>
    <cellStyle name="Percent 9 5 6" xfId="25071" xr:uid="{00000000-0005-0000-0000-0000C2620000}"/>
    <cellStyle name="Percent 9 5 7" xfId="25072" xr:uid="{00000000-0005-0000-0000-0000C3620000}"/>
    <cellStyle name="Percent 9 5 8" xfId="25073" xr:uid="{00000000-0005-0000-0000-0000C4620000}"/>
    <cellStyle name="Percent 9 5 9" xfId="25074" xr:uid="{00000000-0005-0000-0000-0000C5620000}"/>
    <cellStyle name="Percent 9 6" xfId="25075" xr:uid="{00000000-0005-0000-0000-0000C6620000}"/>
    <cellStyle name="Percent 9 6 10" xfId="25076" xr:uid="{00000000-0005-0000-0000-0000C7620000}"/>
    <cellStyle name="Percent 9 6 11" xfId="25077" xr:uid="{00000000-0005-0000-0000-0000C8620000}"/>
    <cellStyle name="Percent 9 6 12" xfId="25078" xr:uid="{00000000-0005-0000-0000-0000C9620000}"/>
    <cellStyle name="Percent 9 6 13" xfId="25079" xr:uid="{00000000-0005-0000-0000-0000CA620000}"/>
    <cellStyle name="Percent 9 6 2" xfId="25080" xr:uid="{00000000-0005-0000-0000-0000CB620000}"/>
    <cellStyle name="Percent 9 6 3" xfId="25081" xr:uid="{00000000-0005-0000-0000-0000CC620000}"/>
    <cellStyle name="Percent 9 6 4" xfId="25082" xr:uid="{00000000-0005-0000-0000-0000CD620000}"/>
    <cellStyle name="Percent 9 6 5" xfId="25083" xr:uid="{00000000-0005-0000-0000-0000CE620000}"/>
    <cellStyle name="Percent 9 6 6" xfId="25084" xr:uid="{00000000-0005-0000-0000-0000CF620000}"/>
    <cellStyle name="Percent 9 6 7" xfId="25085" xr:uid="{00000000-0005-0000-0000-0000D0620000}"/>
    <cellStyle name="Percent 9 6 8" xfId="25086" xr:uid="{00000000-0005-0000-0000-0000D1620000}"/>
    <cellStyle name="Percent 9 6 9" xfId="25087" xr:uid="{00000000-0005-0000-0000-0000D2620000}"/>
    <cellStyle name="Percent 9 7" xfId="25088" xr:uid="{00000000-0005-0000-0000-0000D3620000}"/>
    <cellStyle name="Percent 9 7 2" xfId="25089" xr:uid="{00000000-0005-0000-0000-0000D4620000}"/>
    <cellStyle name="Percent 9 7 2 2" xfId="25090" xr:uid="{00000000-0005-0000-0000-0000D5620000}"/>
    <cellStyle name="Percent 9 7 2 3" xfId="25091" xr:uid="{00000000-0005-0000-0000-0000D6620000}"/>
    <cellStyle name="Percent 9 7 3" xfId="25092" xr:uid="{00000000-0005-0000-0000-0000D7620000}"/>
    <cellStyle name="Percent 9 7 4" xfId="25093" xr:uid="{00000000-0005-0000-0000-0000D8620000}"/>
    <cellStyle name="Percent 9 8" xfId="25094" xr:uid="{00000000-0005-0000-0000-0000D9620000}"/>
    <cellStyle name="Percent 9 9" xfId="25095" xr:uid="{00000000-0005-0000-0000-0000DA620000}"/>
    <cellStyle name="Percent 9 9 2" xfId="25096" xr:uid="{00000000-0005-0000-0000-0000DB620000}"/>
    <cellStyle name="Percent 9 9 3" xfId="25097" xr:uid="{00000000-0005-0000-0000-0000DC620000}"/>
    <cellStyle name="Percent Input" xfId="25098" xr:uid="{00000000-0005-0000-0000-0000DD620000}"/>
    <cellStyle name="Percent(0)" xfId="25099" xr:uid="{00000000-0005-0000-0000-0000DE620000}"/>
    <cellStyle name="Percent(1)" xfId="25100" xr:uid="{00000000-0005-0000-0000-0000DF620000}"/>
    <cellStyle name="Percent(2)" xfId="25101" xr:uid="{00000000-0005-0000-0000-0000E0620000}"/>
    <cellStyle name="Percent*" xfId="25102" xr:uid="{00000000-0005-0000-0000-0000E1620000}"/>
    <cellStyle name="Percent[1]" xfId="25103" xr:uid="{00000000-0005-0000-0000-0000E2620000}"/>
    <cellStyle name="Percent[2]" xfId="25104" xr:uid="{00000000-0005-0000-0000-0000E3620000}"/>
    <cellStyle name="Percent[2D]" xfId="25105" xr:uid="{00000000-0005-0000-0000-0000E4620000}"/>
    <cellStyle name="Percent1" xfId="25106" xr:uid="{00000000-0005-0000-0000-0000E5620000}"/>
    <cellStyle name="Percent2" xfId="25107" xr:uid="{00000000-0005-0000-0000-0000E6620000}"/>
    <cellStyle name="percentage" xfId="25108" xr:uid="{00000000-0005-0000-0000-0000E7620000}"/>
    <cellStyle name="PillarText" xfId="25109" xr:uid="{00000000-0005-0000-0000-0000E8620000}"/>
    <cellStyle name="Pre-inputted cells" xfId="25110" xr:uid="{00000000-0005-0000-0000-0000E9620000}"/>
    <cellStyle name="Pre-inputted cells 10" xfId="25111" xr:uid="{00000000-0005-0000-0000-0000EA620000}"/>
    <cellStyle name="Pre-inputted cells 10 10" xfId="25112" xr:uid="{00000000-0005-0000-0000-0000EB620000}"/>
    <cellStyle name="Pre-inputted cells 10 11" xfId="25113" xr:uid="{00000000-0005-0000-0000-0000EC620000}"/>
    <cellStyle name="Pre-inputted cells 10 12" xfId="25114" xr:uid="{00000000-0005-0000-0000-0000ED620000}"/>
    <cellStyle name="Pre-inputted cells 10 13" xfId="25115" xr:uid="{00000000-0005-0000-0000-0000EE620000}"/>
    <cellStyle name="Pre-inputted cells 10 14" xfId="25116" xr:uid="{00000000-0005-0000-0000-0000EF620000}"/>
    <cellStyle name="Pre-inputted cells 10 15" xfId="25117" xr:uid="{00000000-0005-0000-0000-0000F0620000}"/>
    <cellStyle name="Pre-inputted cells 10 16" xfId="25118" xr:uid="{00000000-0005-0000-0000-0000F1620000}"/>
    <cellStyle name="Pre-inputted cells 10 17" xfId="25119" xr:uid="{00000000-0005-0000-0000-0000F2620000}"/>
    <cellStyle name="Pre-inputted cells 10 18" xfId="25120" xr:uid="{00000000-0005-0000-0000-0000F3620000}"/>
    <cellStyle name="Pre-inputted cells 10 19" xfId="25121" xr:uid="{00000000-0005-0000-0000-0000F4620000}"/>
    <cellStyle name="Pre-inputted cells 10 2" xfId="25122" xr:uid="{00000000-0005-0000-0000-0000F5620000}"/>
    <cellStyle name="Pre-inputted cells 10 2 10" xfId="25123" xr:uid="{00000000-0005-0000-0000-0000F6620000}"/>
    <cellStyle name="Pre-inputted cells 10 2 11" xfId="25124" xr:uid="{00000000-0005-0000-0000-0000F7620000}"/>
    <cellStyle name="Pre-inputted cells 10 2 12" xfId="25125" xr:uid="{00000000-0005-0000-0000-0000F8620000}"/>
    <cellStyle name="Pre-inputted cells 10 2 13" xfId="25126" xr:uid="{00000000-0005-0000-0000-0000F9620000}"/>
    <cellStyle name="Pre-inputted cells 10 2 2" xfId="25127" xr:uid="{00000000-0005-0000-0000-0000FA620000}"/>
    <cellStyle name="Pre-inputted cells 10 2 2 2" xfId="25128" xr:uid="{00000000-0005-0000-0000-0000FB620000}"/>
    <cellStyle name="Pre-inputted cells 10 2 2 3" xfId="25129" xr:uid="{00000000-0005-0000-0000-0000FC620000}"/>
    <cellStyle name="Pre-inputted cells 10 2 3" xfId="25130" xr:uid="{00000000-0005-0000-0000-0000FD620000}"/>
    <cellStyle name="Pre-inputted cells 10 2 3 2" xfId="25131" xr:uid="{00000000-0005-0000-0000-0000FE620000}"/>
    <cellStyle name="Pre-inputted cells 10 2 3 3" xfId="25132" xr:uid="{00000000-0005-0000-0000-0000FF620000}"/>
    <cellStyle name="Pre-inputted cells 10 2 4" xfId="25133" xr:uid="{00000000-0005-0000-0000-000000630000}"/>
    <cellStyle name="Pre-inputted cells 10 2 5" xfId="25134" xr:uid="{00000000-0005-0000-0000-000001630000}"/>
    <cellStyle name="Pre-inputted cells 10 2 6" xfId="25135" xr:uid="{00000000-0005-0000-0000-000002630000}"/>
    <cellStyle name="Pre-inputted cells 10 2 7" xfId="25136" xr:uid="{00000000-0005-0000-0000-000003630000}"/>
    <cellStyle name="Pre-inputted cells 10 2 8" xfId="25137" xr:uid="{00000000-0005-0000-0000-000004630000}"/>
    <cellStyle name="Pre-inputted cells 10 2 9" xfId="25138" xr:uid="{00000000-0005-0000-0000-000005630000}"/>
    <cellStyle name="Pre-inputted cells 10 20" xfId="25139" xr:uid="{00000000-0005-0000-0000-000006630000}"/>
    <cellStyle name="Pre-inputted cells 10 21" xfId="25140" xr:uid="{00000000-0005-0000-0000-000007630000}"/>
    <cellStyle name="Pre-inputted cells 10 22" xfId="25141" xr:uid="{00000000-0005-0000-0000-000008630000}"/>
    <cellStyle name="Pre-inputted cells 10 23" xfId="25142" xr:uid="{00000000-0005-0000-0000-000009630000}"/>
    <cellStyle name="Pre-inputted cells 10 24" xfId="25143" xr:uid="{00000000-0005-0000-0000-00000A630000}"/>
    <cellStyle name="Pre-inputted cells 10 25" xfId="25144" xr:uid="{00000000-0005-0000-0000-00000B630000}"/>
    <cellStyle name="Pre-inputted cells 10 26" xfId="25145" xr:uid="{00000000-0005-0000-0000-00000C630000}"/>
    <cellStyle name="Pre-inputted cells 10 27" xfId="25146" xr:uid="{00000000-0005-0000-0000-00000D630000}"/>
    <cellStyle name="Pre-inputted cells 10 28" xfId="25147" xr:uid="{00000000-0005-0000-0000-00000E630000}"/>
    <cellStyle name="Pre-inputted cells 10 29" xfId="25148" xr:uid="{00000000-0005-0000-0000-00000F630000}"/>
    <cellStyle name="Pre-inputted cells 10 3" xfId="25149" xr:uid="{00000000-0005-0000-0000-000010630000}"/>
    <cellStyle name="Pre-inputted cells 10 3 2" xfId="25150" xr:uid="{00000000-0005-0000-0000-000011630000}"/>
    <cellStyle name="Pre-inputted cells 10 3 3" xfId="25151" xr:uid="{00000000-0005-0000-0000-000012630000}"/>
    <cellStyle name="Pre-inputted cells 10 30" xfId="25152" xr:uid="{00000000-0005-0000-0000-000013630000}"/>
    <cellStyle name="Pre-inputted cells 10 31" xfId="25153" xr:uid="{00000000-0005-0000-0000-000014630000}"/>
    <cellStyle name="Pre-inputted cells 10 32" xfId="25154" xr:uid="{00000000-0005-0000-0000-000015630000}"/>
    <cellStyle name="Pre-inputted cells 10 33" xfId="25155" xr:uid="{00000000-0005-0000-0000-000016630000}"/>
    <cellStyle name="Pre-inputted cells 10 34" xfId="25156" xr:uid="{00000000-0005-0000-0000-000017630000}"/>
    <cellStyle name="Pre-inputted cells 10 4" xfId="25157" xr:uid="{00000000-0005-0000-0000-000018630000}"/>
    <cellStyle name="Pre-inputted cells 10 4 2" xfId="25158" xr:uid="{00000000-0005-0000-0000-000019630000}"/>
    <cellStyle name="Pre-inputted cells 10 4 3" xfId="25159" xr:uid="{00000000-0005-0000-0000-00001A630000}"/>
    <cellStyle name="Pre-inputted cells 10 5" xfId="25160" xr:uid="{00000000-0005-0000-0000-00001B630000}"/>
    <cellStyle name="Pre-inputted cells 10 6" xfId="25161" xr:uid="{00000000-0005-0000-0000-00001C630000}"/>
    <cellStyle name="Pre-inputted cells 10 7" xfId="25162" xr:uid="{00000000-0005-0000-0000-00001D630000}"/>
    <cellStyle name="Pre-inputted cells 10 8" xfId="25163" xr:uid="{00000000-0005-0000-0000-00001E630000}"/>
    <cellStyle name="Pre-inputted cells 10 9" xfId="25164" xr:uid="{00000000-0005-0000-0000-00001F630000}"/>
    <cellStyle name="Pre-inputted cells 11" xfId="25165" xr:uid="{00000000-0005-0000-0000-000020630000}"/>
    <cellStyle name="Pre-inputted cells 11 10" xfId="25166" xr:uid="{00000000-0005-0000-0000-000021630000}"/>
    <cellStyle name="Pre-inputted cells 11 11" xfId="25167" xr:uid="{00000000-0005-0000-0000-000022630000}"/>
    <cellStyle name="Pre-inputted cells 11 12" xfId="25168" xr:uid="{00000000-0005-0000-0000-000023630000}"/>
    <cellStyle name="Pre-inputted cells 11 13" xfId="25169" xr:uid="{00000000-0005-0000-0000-000024630000}"/>
    <cellStyle name="Pre-inputted cells 11 14" xfId="25170" xr:uid="{00000000-0005-0000-0000-000025630000}"/>
    <cellStyle name="Pre-inputted cells 11 15" xfId="25171" xr:uid="{00000000-0005-0000-0000-000026630000}"/>
    <cellStyle name="Pre-inputted cells 11 16" xfId="25172" xr:uid="{00000000-0005-0000-0000-000027630000}"/>
    <cellStyle name="Pre-inputted cells 11 17" xfId="25173" xr:uid="{00000000-0005-0000-0000-000028630000}"/>
    <cellStyle name="Pre-inputted cells 11 18" xfId="25174" xr:uid="{00000000-0005-0000-0000-000029630000}"/>
    <cellStyle name="Pre-inputted cells 11 19" xfId="25175" xr:uid="{00000000-0005-0000-0000-00002A630000}"/>
    <cellStyle name="Pre-inputted cells 11 2" xfId="25176" xr:uid="{00000000-0005-0000-0000-00002B630000}"/>
    <cellStyle name="Pre-inputted cells 11 2 10" xfId="25177" xr:uid="{00000000-0005-0000-0000-00002C630000}"/>
    <cellStyle name="Pre-inputted cells 11 2 11" xfId="25178" xr:uid="{00000000-0005-0000-0000-00002D630000}"/>
    <cellStyle name="Pre-inputted cells 11 2 12" xfId="25179" xr:uid="{00000000-0005-0000-0000-00002E630000}"/>
    <cellStyle name="Pre-inputted cells 11 2 13" xfId="25180" xr:uid="{00000000-0005-0000-0000-00002F630000}"/>
    <cellStyle name="Pre-inputted cells 11 2 2" xfId="25181" xr:uid="{00000000-0005-0000-0000-000030630000}"/>
    <cellStyle name="Pre-inputted cells 11 2 2 2" xfId="25182" xr:uid="{00000000-0005-0000-0000-000031630000}"/>
    <cellStyle name="Pre-inputted cells 11 2 2 3" xfId="25183" xr:uid="{00000000-0005-0000-0000-000032630000}"/>
    <cellStyle name="Pre-inputted cells 11 2 3" xfId="25184" xr:uid="{00000000-0005-0000-0000-000033630000}"/>
    <cellStyle name="Pre-inputted cells 11 2 3 2" xfId="25185" xr:uid="{00000000-0005-0000-0000-000034630000}"/>
    <cellStyle name="Pre-inputted cells 11 2 3 3" xfId="25186" xr:uid="{00000000-0005-0000-0000-000035630000}"/>
    <cellStyle name="Pre-inputted cells 11 2 4" xfId="25187" xr:uid="{00000000-0005-0000-0000-000036630000}"/>
    <cellStyle name="Pre-inputted cells 11 2 5" xfId="25188" xr:uid="{00000000-0005-0000-0000-000037630000}"/>
    <cellStyle name="Pre-inputted cells 11 2 6" xfId="25189" xr:uid="{00000000-0005-0000-0000-000038630000}"/>
    <cellStyle name="Pre-inputted cells 11 2 7" xfId="25190" xr:uid="{00000000-0005-0000-0000-000039630000}"/>
    <cellStyle name="Pre-inputted cells 11 2 8" xfId="25191" xr:uid="{00000000-0005-0000-0000-00003A630000}"/>
    <cellStyle name="Pre-inputted cells 11 2 9" xfId="25192" xr:uid="{00000000-0005-0000-0000-00003B630000}"/>
    <cellStyle name="Pre-inputted cells 11 20" xfId="25193" xr:uid="{00000000-0005-0000-0000-00003C630000}"/>
    <cellStyle name="Pre-inputted cells 11 21" xfId="25194" xr:uid="{00000000-0005-0000-0000-00003D630000}"/>
    <cellStyle name="Pre-inputted cells 11 22" xfId="25195" xr:uid="{00000000-0005-0000-0000-00003E630000}"/>
    <cellStyle name="Pre-inputted cells 11 23" xfId="25196" xr:uid="{00000000-0005-0000-0000-00003F630000}"/>
    <cellStyle name="Pre-inputted cells 11 24" xfId="25197" xr:uid="{00000000-0005-0000-0000-000040630000}"/>
    <cellStyle name="Pre-inputted cells 11 25" xfId="25198" xr:uid="{00000000-0005-0000-0000-000041630000}"/>
    <cellStyle name="Pre-inputted cells 11 26" xfId="25199" xr:uid="{00000000-0005-0000-0000-000042630000}"/>
    <cellStyle name="Pre-inputted cells 11 27" xfId="25200" xr:uid="{00000000-0005-0000-0000-000043630000}"/>
    <cellStyle name="Pre-inputted cells 11 28" xfId="25201" xr:uid="{00000000-0005-0000-0000-000044630000}"/>
    <cellStyle name="Pre-inputted cells 11 29" xfId="25202" xr:uid="{00000000-0005-0000-0000-000045630000}"/>
    <cellStyle name="Pre-inputted cells 11 3" xfId="25203" xr:uid="{00000000-0005-0000-0000-000046630000}"/>
    <cellStyle name="Pre-inputted cells 11 3 2" xfId="25204" xr:uid="{00000000-0005-0000-0000-000047630000}"/>
    <cellStyle name="Pre-inputted cells 11 3 3" xfId="25205" xr:uid="{00000000-0005-0000-0000-000048630000}"/>
    <cellStyle name="Pre-inputted cells 11 30" xfId="25206" xr:uid="{00000000-0005-0000-0000-000049630000}"/>
    <cellStyle name="Pre-inputted cells 11 31" xfId="25207" xr:uid="{00000000-0005-0000-0000-00004A630000}"/>
    <cellStyle name="Pre-inputted cells 11 32" xfId="25208" xr:uid="{00000000-0005-0000-0000-00004B630000}"/>
    <cellStyle name="Pre-inputted cells 11 33" xfId="25209" xr:uid="{00000000-0005-0000-0000-00004C630000}"/>
    <cellStyle name="Pre-inputted cells 11 34" xfId="25210" xr:uid="{00000000-0005-0000-0000-00004D630000}"/>
    <cellStyle name="Pre-inputted cells 11 4" xfId="25211" xr:uid="{00000000-0005-0000-0000-00004E630000}"/>
    <cellStyle name="Pre-inputted cells 11 4 2" xfId="25212" xr:uid="{00000000-0005-0000-0000-00004F630000}"/>
    <cellStyle name="Pre-inputted cells 11 4 3" xfId="25213" xr:uid="{00000000-0005-0000-0000-000050630000}"/>
    <cellStyle name="Pre-inputted cells 11 5" xfId="25214" xr:uid="{00000000-0005-0000-0000-000051630000}"/>
    <cellStyle name="Pre-inputted cells 11 6" xfId="25215" xr:uid="{00000000-0005-0000-0000-000052630000}"/>
    <cellStyle name="Pre-inputted cells 11 7" xfId="25216" xr:uid="{00000000-0005-0000-0000-000053630000}"/>
    <cellStyle name="Pre-inputted cells 11 8" xfId="25217" xr:uid="{00000000-0005-0000-0000-000054630000}"/>
    <cellStyle name="Pre-inputted cells 11 9" xfId="25218" xr:uid="{00000000-0005-0000-0000-000055630000}"/>
    <cellStyle name="Pre-inputted cells 12" xfId="25219" xr:uid="{00000000-0005-0000-0000-000056630000}"/>
    <cellStyle name="Pre-inputted cells 12 10" xfId="25220" xr:uid="{00000000-0005-0000-0000-000057630000}"/>
    <cellStyle name="Pre-inputted cells 12 11" xfId="25221" xr:uid="{00000000-0005-0000-0000-000058630000}"/>
    <cellStyle name="Pre-inputted cells 12 12" xfId="25222" xr:uid="{00000000-0005-0000-0000-000059630000}"/>
    <cellStyle name="Pre-inputted cells 12 13" xfId="25223" xr:uid="{00000000-0005-0000-0000-00005A630000}"/>
    <cellStyle name="Pre-inputted cells 12 14" xfId="25224" xr:uid="{00000000-0005-0000-0000-00005B630000}"/>
    <cellStyle name="Pre-inputted cells 12 15" xfId="25225" xr:uid="{00000000-0005-0000-0000-00005C630000}"/>
    <cellStyle name="Pre-inputted cells 12 16" xfId="25226" xr:uid="{00000000-0005-0000-0000-00005D630000}"/>
    <cellStyle name="Pre-inputted cells 12 17" xfId="25227" xr:uid="{00000000-0005-0000-0000-00005E630000}"/>
    <cellStyle name="Pre-inputted cells 12 18" xfId="25228" xr:uid="{00000000-0005-0000-0000-00005F630000}"/>
    <cellStyle name="Pre-inputted cells 12 19" xfId="25229" xr:uid="{00000000-0005-0000-0000-000060630000}"/>
    <cellStyle name="Pre-inputted cells 12 2" xfId="25230" xr:uid="{00000000-0005-0000-0000-000061630000}"/>
    <cellStyle name="Pre-inputted cells 12 2 10" xfId="25231" xr:uid="{00000000-0005-0000-0000-000062630000}"/>
    <cellStyle name="Pre-inputted cells 12 2 11" xfId="25232" xr:uid="{00000000-0005-0000-0000-000063630000}"/>
    <cellStyle name="Pre-inputted cells 12 2 12" xfId="25233" xr:uid="{00000000-0005-0000-0000-000064630000}"/>
    <cellStyle name="Pre-inputted cells 12 2 13" xfId="25234" xr:uid="{00000000-0005-0000-0000-000065630000}"/>
    <cellStyle name="Pre-inputted cells 12 2 2" xfId="25235" xr:uid="{00000000-0005-0000-0000-000066630000}"/>
    <cellStyle name="Pre-inputted cells 12 2 2 2" xfId="25236" xr:uid="{00000000-0005-0000-0000-000067630000}"/>
    <cellStyle name="Pre-inputted cells 12 2 2 3" xfId="25237" xr:uid="{00000000-0005-0000-0000-000068630000}"/>
    <cellStyle name="Pre-inputted cells 12 2 3" xfId="25238" xr:uid="{00000000-0005-0000-0000-000069630000}"/>
    <cellStyle name="Pre-inputted cells 12 2 3 2" xfId="25239" xr:uid="{00000000-0005-0000-0000-00006A630000}"/>
    <cellStyle name="Pre-inputted cells 12 2 3 3" xfId="25240" xr:uid="{00000000-0005-0000-0000-00006B630000}"/>
    <cellStyle name="Pre-inputted cells 12 2 4" xfId="25241" xr:uid="{00000000-0005-0000-0000-00006C630000}"/>
    <cellStyle name="Pre-inputted cells 12 2 5" xfId="25242" xr:uid="{00000000-0005-0000-0000-00006D630000}"/>
    <cellStyle name="Pre-inputted cells 12 2 6" xfId="25243" xr:uid="{00000000-0005-0000-0000-00006E630000}"/>
    <cellStyle name="Pre-inputted cells 12 2 7" xfId="25244" xr:uid="{00000000-0005-0000-0000-00006F630000}"/>
    <cellStyle name="Pre-inputted cells 12 2 8" xfId="25245" xr:uid="{00000000-0005-0000-0000-000070630000}"/>
    <cellStyle name="Pre-inputted cells 12 2 9" xfId="25246" xr:uid="{00000000-0005-0000-0000-000071630000}"/>
    <cellStyle name="Pre-inputted cells 12 20" xfId="25247" xr:uid="{00000000-0005-0000-0000-000072630000}"/>
    <cellStyle name="Pre-inputted cells 12 21" xfId="25248" xr:uid="{00000000-0005-0000-0000-000073630000}"/>
    <cellStyle name="Pre-inputted cells 12 22" xfId="25249" xr:uid="{00000000-0005-0000-0000-000074630000}"/>
    <cellStyle name="Pre-inputted cells 12 23" xfId="25250" xr:uid="{00000000-0005-0000-0000-000075630000}"/>
    <cellStyle name="Pre-inputted cells 12 24" xfId="25251" xr:uid="{00000000-0005-0000-0000-000076630000}"/>
    <cellStyle name="Pre-inputted cells 12 25" xfId="25252" xr:uid="{00000000-0005-0000-0000-000077630000}"/>
    <cellStyle name="Pre-inputted cells 12 26" xfId="25253" xr:uid="{00000000-0005-0000-0000-000078630000}"/>
    <cellStyle name="Pre-inputted cells 12 27" xfId="25254" xr:uid="{00000000-0005-0000-0000-000079630000}"/>
    <cellStyle name="Pre-inputted cells 12 28" xfId="25255" xr:uid="{00000000-0005-0000-0000-00007A630000}"/>
    <cellStyle name="Pre-inputted cells 12 29" xfId="25256" xr:uid="{00000000-0005-0000-0000-00007B630000}"/>
    <cellStyle name="Pre-inputted cells 12 3" xfId="25257" xr:uid="{00000000-0005-0000-0000-00007C630000}"/>
    <cellStyle name="Pre-inputted cells 12 3 2" xfId="25258" xr:uid="{00000000-0005-0000-0000-00007D630000}"/>
    <cellStyle name="Pre-inputted cells 12 3 3" xfId="25259" xr:uid="{00000000-0005-0000-0000-00007E630000}"/>
    <cellStyle name="Pre-inputted cells 12 30" xfId="25260" xr:uid="{00000000-0005-0000-0000-00007F630000}"/>
    <cellStyle name="Pre-inputted cells 12 31" xfId="25261" xr:uid="{00000000-0005-0000-0000-000080630000}"/>
    <cellStyle name="Pre-inputted cells 12 32" xfId="25262" xr:uid="{00000000-0005-0000-0000-000081630000}"/>
    <cellStyle name="Pre-inputted cells 12 33" xfId="25263" xr:uid="{00000000-0005-0000-0000-000082630000}"/>
    <cellStyle name="Pre-inputted cells 12 34" xfId="25264" xr:uid="{00000000-0005-0000-0000-000083630000}"/>
    <cellStyle name="Pre-inputted cells 12 4" xfId="25265" xr:uid="{00000000-0005-0000-0000-000084630000}"/>
    <cellStyle name="Pre-inputted cells 12 4 2" xfId="25266" xr:uid="{00000000-0005-0000-0000-000085630000}"/>
    <cellStyle name="Pre-inputted cells 12 4 3" xfId="25267" xr:uid="{00000000-0005-0000-0000-000086630000}"/>
    <cellStyle name="Pre-inputted cells 12 5" xfId="25268" xr:uid="{00000000-0005-0000-0000-000087630000}"/>
    <cellStyle name="Pre-inputted cells 12 6" xfId="25269" xr:uid="{00000000-0005-0000-0000-000088630000}"/>
    <cellStyle name="Pre-inputted cells 12 7" xfId="25270" xr:uid="{00000000-0005-0000-0000-000089630000}"/>
    <cellStyle name="Pre-inputted cells 12 8" xfId="25271" xr:uid="{00000000-0005-0000-0000-00008A630000}"/>
    <cellStyle name="Pre-inputted cells 12 9" xfId="25272" xr:uid="{00000000-0005-0000-0000-00008B630000}"/>
    <cellStyle name="Pre-inputted cells 13" xfId="25273" xr:uid="{00000000-0005-0000-0000-00008C630000}"/>
    <cellStyle name="Pre-inputted cells 13 10" xfId="25274" xr:uid="{00000000-0005-0000-0000-00008D630000}"/>
    <cellStyle name="Pre-inputted cells 13 11" xfId="25275" xr:uid="{00000000-0005-0000-0000-00008E630000}"/>
    <cellStyle name="Pre-inputted cells 13 12" xfId="25276" xr:uid="{00000000-0005-0000-0000-00008F630000}"/>
    <cellStyle name="Pre-inputted cells 13 13" xfId="25277" xr:uid="{00000000-0005-0000-0000-000090630000}"/>
    <cellStyle name="Pre-inputted cells 13 2" xfId="25278" xr:uid="{00000000-0005-0000-0000-000091630000}"/>
    <cellStyle name="Pre-inputted cells 13 2 2" xfId="25279" xr:uid="{00000000-0005-0000-0000-000092630000}"/>
    <cellStyle name="Pre-inputted cells 13 2 3" xfId="25280" xr:uid="{00000000-0005-0000-0000-000093630000}"/>
    <cellStyle name="Pre-inputted cells 13 3" xfId="25281" xr:uid="{00000000-0005-0000-0000-000094630000}"/>
    <cellStyle name="Pre-inputted cells 13 3 2" xfId="25282" xr:uid="{00000000-0005-0000-0000-000095630000}"/>
    <cellStyle name="Pre-inputted cells 13 3 3" xfId="25283" xr:uid="{00000000-0005-0000-0000-000096630000}"/>
    <cellStyle name="Pre-inputted cells 13 4" xfId="25284" xr:uid="{00000000-0005-0000-0000-000097630000}"/>
    <cellStyle name="Pre-inputted cells 13 5" xfId="25285" xr:uid="{00000000-0005-0000-0000-000098630000}"/>
    <cellStyle name="Pre-inputted cells 13 6" xfId="25286" xr:uid="{00000000-0005-0000-0000-000099630000}"/>
    <cellStyle name="Pre-inputted cells 13 7" xfId="25287" xr:uid="{00000000-0005-0000-0000-00009A630000}"/>
    <cellStyle name="Pre-inputted cells 13 8" xfId="25288" xr:uid="{00000000-0005-0000-0000-00009B630000}"/>
    <cellStyle name="Pre-inputted cells 13 9" xfId="25289" xr:uid="{00000000-0005-0000-0000-00009C630000}"/>
    <cellStyle name="Pre-inputted cells 14" xfId="25290" xr:uid="{00000000-0005-0000-0000-00009D630000}"/>
    <cellStyle name="Pre-inputted cells 14 2" xfId="25291" xr:uid="{00000000-0005-0000-0000-00009E630000}"/>
    <cellStyle name="Pre-inputted cells 14 2 2" xfId="25292" xr:uid="{00000000-0005-0000-0000-00009F630000}"/>
    <cellStyle name="Pre-inputted cells 14 2 3" xfId="25293" xr:uid="{00000000-0005-0000-0000-0000A0630000}"/>
    <cellStyle name="Pre-inputted cells 14 3" xfId="25294" xr:uid="{00000000-0005-0000-0000-0000A1630000}"/>
    <cellStyle name="Pre-inputted cells 14 3 2" xfId="25295" xr:uid="{00000000-0005-0000-0000-0000A2630000}"/>
    <cellStyle name="Pre-inputted cells 14 4" xfId="25296" xr:uid="{00000000-0005-0000-0000-0000A3630000}"/>
    <cellStyle name="Pre-inputted cells 15" xfId="25297" xr:uid="{00000000-0005-0000-0000-0000A4630000}"/>
    <cellStyle name="Pre-inputted cells 15 2" xfId="25298" xr:uid="{00000000-0005-0000-0000-0000A5630000}"/>
    <cellStyle name="Pre-inputted cells 16" xfId="25299" xr:uid="{00000000-0005-0000-0000-0000A6630000}"/>
    <cellStyle name="Pre-inputted cells 16 2" xfId="25300" xr:uid="{00000000-0005-0000-0000-0000A7630000}"/>
    <cellStyle name="Pre-inputted cells 17" xfId="25301" xr:uid="{00000000-0005-0000-0000-0000A8630000}"/>
    <cellStyle name="Pre-inputted cells 17 2" xfId="25302" xr:uid="{00000000-0005-0000-0000-0000A9630000}"/>
    <cellStyle name="Pre-inputted cells 18" xfId="25303" xr:uid="{00000000-0005-0000-0000-0000AA630000}"/>
    <cellStyle name="Pre-inputted cells 18 2" xfId="25304" xr:uid="{00000000-0005-0000-0000-0000AB630000}"/>
    <cellStyle name="Pre-inputted cells 19" xfId="25305" xr:uid="{00000000-0005-0000-0000-0000AC630000}"/>
    <cellStyle name="Pre-inputted cells 19 2" xfId="25306" xr:uid="{00000000-0005-0000-0000-0000AD630000}"/>
    <cellStyle name="Pre-inputted cells 2" xfId="25307" xr:uid="{00000000-0005-0000-0000-0000AE630000}"/>
    <cellStyle name="Pre-inputted cells 2 10" xfId="25308" xr:uid="{00000000-0005-0000-0000-0000AF630000}"/>
    <cellStyle name="Pre-inputted cells 2 10 2" xfId="25309" xr:uid="{00000000-0005-0000-0000-0000B0630000}"/>
    <cellStyle name="Pre-inputted cells 2 11" xfId="25310" xr:uid="{00000000-0005-0000-0000-0000B1630000}"/>
    <cellStyle name="Pre-inputted cells 2 11 2" xfId="25311" xr:uid="{00000000-0005-0000-0000-0000B2630000}"/>
    <cellStyle name="Pre-inputted cells 2 12" xfId="25312" xr:uid="{00000000-0005-0000-0000-0000B3630000}"/>
    <cellStyle name="Pre-inputted cells 2 12 2" xfId="25313" xr:uid="{00000000-0005-0000-0000-0000B4630000}"/>
    <cellStyle name="Pre-inputted cells 2 13" xfId="25314" xr:uid="{00000000-0005-0000-0000-0000B5630000}"/>
    <cellStyle name="Pre-inputted cells 2 13 2" xfId="25315" xr:uid="{00000000-0005-0000-0000-0000B6630000}"/>
    <cellStyle name="Pre-inputted cells 2 14" xfId="25316" xr:uid="{00000000-0005-0000-0000-0000B7630000}"/>
    <cellStyle name="Pre-inputted cells 2 14 2" xfId="25317" xr:uid="{00000000-0005-0000-0000-0000B8630000}"/>
    <cellStyle name="Pre-inputted cells 2 15" xfId="25318" xr:uid="{00000000-0005-0000-0000-0000B9630000}"/>
    <cellStyle name="Pre-inputted cells 2 15 2" xfId="25319" xr:uid="{00000000-0005-0000-0000-0000BA630000}"/>
    <cellStyle name="Pre-inputted cells 2 16" xfId="25320" xr:uid="{00000000-0005-0000-0000-0000BB630000}"/>
    <cellStyle name="Pre-inputted cells 2 16 2" xfId="25321" xr:uid="{00000000-0005-0000-0000-0000BC630000}"/>
    <cellStyle name="Pre-inputted cells 2 17" xfId="25322" xr:uid="{00000000-0005-0000-0000-0000BD630000}"/>
    <cellStyle name="Pre-inputted cells 2 17 2" xfId="25323" xr:uid="{00000000-0005-0000-0000-0000BE630000}"/>
    <cellStyle name="Pre-inputted cells 2 18" xfId="25324" xr:uid="{00000000-0005-0000-0000-0000BF630000}"/>
    <cellStyle name="Pre-inputted cells 2 18 2" xfId="25325" xr:uid="{00000000-0005-0000-0000-0000C0630000}"/>
    <cellStyle name="Pre-inputted cells 2 19" xfId="25326" xr:uid="{00000000-0005-0000-0000-0000C1630000}"/>
    <cellStyle name="Pre-inputted cells 2 19 2" xfId="25327" xr:uid="{00000000-0005-0000-0000-0000C2630000}"/>
    <cellStyle name="Pre-inputted cells 2 2" xfId="25328" xr:uid="{00000000-0005-0000-0000-0000C3630000}"/>
    <cellStyle name="Pre-inputted cells 2 2 10" xfId="25329" xr:uid="{00000000-0005-0000-0000-0000C4630000}"/>
    <cellStyle name="Pre-inputted cells 2 2 10 2" xfId="25330" xr:uid="{00000000-0005-0000-0000-0000C5630000}"/>
    <cellStyle name="Pre-inputted cells 2 2 11" xfId="25331" xr:uid="{00000000-0005-0000-0000-0000C6630000}"/>
    <cellStyle name="Pre-inputted cells 2 2 11 2" xfId="25332" xr:uid="{00000000-0005-0000-0000-0000C7630000}"/>
    <cellStyle name="Pre-inputted cells 2 2 12" xfId="25333" xr:uid="{00000000-0005-0000-0000-0000C8630000}"/>
    <cellStyle name="Pre-inputted cells 2 2 12 2" xfId="25334" xr:uid="{00000000-0005-0000-0000-0000C9630000}"/>
    <cellStyle name="Pre-inputted cells 2 2 13" xfId="25335" xr:uid="{00000000-0005-0000-0000-0000CA630000}"/>
    <cellStyle name="Pre-inputted cells 2 2 13 2" xfId="25336" xr:uid="{00000000-0005-0000-0000-0000CB630000}"/>
    <cellStyle name="Pre-inputted cells 2 2 14" xfId="25337" xr:uid="{00000000-0005-0000-0000-0000CC630000}"/>
    <cellStyle name="Pre-inputted cells 2 2 14 2" xfId="25338" xr:uid="{00000000-0005-0000-0000-0000CD630000}"/>
    <cellStyle name="Pre-inputted cells 2 2 15" xfId="25339" xr:uid="{00000000-0005-0000-0000-0000CE630000}"/>
    <cellStyle name="Pre-inputted cells 2 2 15 2" xfId="25340" xr:uid="{00000000-0005-0000-0000-0000CF630000}"/>
    <cellStyle name="Pre-inputted cells 2 2 16" xfId="25341" xr:uid="{00000000-0005-0000-0000-0000D0630000}"/>
    <cellStyle name="Pre-inputted cells 2 2 16 2" xfId="25342" xr:uid="{00000000-0005-0000-0000-0000D1630000}"/>
    <cellStyle name="Pre-inputted cells 2 2 17" xfId="25343" xr:uid="{00000000-0005-0000-0000-0000D2630000}"/>
    <cellStyle name="Pre-inputted cells 2 2 17 2" xfId="25344" xr:uid="{00000000-0005-0000-0000-0000D3630000}"/>
    <cellStyle name="Pre-inputted cells 2 2 18" xfId="25345" xr:uid="{00000000-0005-0000-0000-0000D4630000}"/>
    <cellStyle name="Pre-inputted cells 2 2 18 2" xfId="25346" xr:uid="{00000000-0005-0000-0000-0000D5630000}"/>
    <cellStyle name="Pre-inputted cells 2 2 19" xfId="25347" xr:uid="{00000000-0005-0000-0000-0000D6630000}"/>
    <cellStyle name="Pre-inputted cells 2 2 19 2" xfId="25348" xr:uid="{00000000-0005-0000-0000-0000D7630000}"/>
    <cellStyle name="Pre-inputted cells 2 2 2" xfId="25349" xr:uid="{00000000-0005-0000-0000-0000D8630000}"/>
    <cellStyle name="Pre-inputted cells 2 2 2 10" xfId="25350" xr:uid="{00000000-0005-0000-0000-0000D9630000}"/>
    <cellStyle name="Pre-inputted cells 2 2 2 11" xfId="25351" xr:uid="{00000000-0005-0000-0000-0000DA630000}"/>
    <cellStyle name="Pre-inputted cells 2 2 2 12" xfId="25352" xr:uid="{00000000-0005-0000-0000-0000DB630000}"/>
    <cellStyle name="Pre-inputted cells 2 2 2 13" xfId="25353" xr:uid="{00000000-0005-0000-0000-0000DC630000}"/>
    <cellStyle name="Pre-inputted cells 2 2 2 14" xfId="25354" xr:uid="{00000000-0005-0000-0000-0000DD630000}"/>
    <cellStyle name="Pre-inputted cells 2 2 2 15" xfId="25355" xr:uid="{00000000-0005-0000-0000-0000DE630000}"/>
    <cellStyle name="Pre-inputted cells 2 2 2 16" xfId="25356" xr:uid="{00000000-0005-0000-0000-0000DF630000}"/>
    <cellStyle name="Pre-inputted cells 2 2 2 17" xfId="25357" xr:uid="{00000000-0005-0000-0000-0000E0630000}"/>
    <cellStyle name="Pre-inputted cells 2 2 2 18" xfId="25358" xr:uid="{00000000-0005-0000-0000-0000E1630000}"/>
    <cellStyle name="Pre-inputted cells 2 2 2 19" xfId="25359" xr:uid="{00000000-0005-0000-0000-0000E2630000}"/>
    <cellStyle name="Pre-inputted cells 2 2 2 2" xfId="25360" xr:uid="{00000000-0005-0000-0000-0000E3630000}"/>
    <cellStyle name="Pre-inputted cells 2 2 2 2 10" xfId="25361" xr:uid="{00000000-0005-0000-0000-0000E4630000}"/>
    <cellStyle name="Pre-inputted cells 2 2 2 2 11" xfId="25362" xr:uid="{00000000-0005-0000-0000-0000E5630000}"/>
    <cellStyle name="Pre-inputted cells 2 2 2 2 12" xfId="25363" xr:uid="{00000000-0005-0000-0000-0000E6630000}"/>
    <cellStyle name="Pre-inputted cells 2 2 2 2 13" xfId="25364" xr:uid="{00000000-0005-0000-0000-0000E7630000}"/>
    <cellStyle name="Pre-inputted cells 2 2 2 2 14" xfId="25365" xr:uid="{00000000-0005-0000-0000-0000E8630000}"/>
    <cellStyle name="Pre-inputted cells 2 2 2 2 15" xfId="25366" xr:uid="{00000000-0005-0000-0000-0000E9630000}"/>
    <cellStyle name="Pre-inputted cells 2 2 2 2 16" xfId="25367" xr:uid="{00000000-0005-0000-0000-0000EA630000}"/>
    <cellStyle name="Pre-inputted cells 2 2 2 2 17" xfId="25368" xr:uid="{00000000-0005-0000-0000-0000EB630000}"/>
    <cellStyle name="Pre-inputted cells 2 2 2 2 18" xfId="25369" xr:uid="{00000000-0005-0000-0000-0000EC630000}"/>
    <cellStyle name="Pre-inputted cells 2 2 2 2 19" xfId="25370" xr:uid="{00000000-0005-0000-0000-0000ED630000}"/>
    <cellStyle name="Pre-inputted cells 2 2 2 2 2" xfId="25371" xr:uid="{00000000-0005-0000-0000-0000EE630000}"/>
    <cellStyle name="Pre-inputted cells 2 2 2 2 2 10" xfId="25372" xr:uid="{00000000-0005-0000-0000-0000EF630000}"/>
    <cellStyle name="Pre-inputted cells 2 2 2 2 2 11" xfId="25373" xr:uid="{00000000-0005-0000-0000-0000F0630000}"/>
    <cellStyle name="Pre-inputted cells 2 2 2 2 2 12" xfId="25374" xr:uid="{00000000-0005-0000-0000-0000F1630000}"/>
    <cellStyle name="Pre-inputted cells 2 2 2 2 2 13" xfId="25375" xr:uid="{00000000-0005-0000-0000-0000F2630000}"/>
    <cellStyle name="Pre-inputted cells 2 2 2 2 2 2" xfId="25376" xr:uid="{00000000-0005-0000-0000-0000F3630000}"/>
    <cellStyle name="Pre-inputted cells 2 2 2 2 2 2 2" xfId="25377" xr:uid="{00000000-0005-0000-0000-0000F4630000}"/>
    <cellStyle name="Pre-inputted cells 2 2 2 2 2 2 3" xfId="25378" xr:uid="{00000000-0005-0000-0000-0000F5630000}"/>
    <cellStyle name="Pre-inputted cells 2 2 2 2 2 3" xfId="25379" xr:uid="{00000000-0005-0000-0000-0000F6630000}"/>
    <cellStyle name="Pre-inputted cells 2 2 2 2 2 3 2" xfId="25380" xr:uid="{00000000-0005-0000-0000-0000F7630000}"/>
    <cellStyle name="Pre-inputted cells 2 2 2 2 2 3 3" xfId="25381" xr:uid="{00000000-0005-0000-0000-0000F8630000}"/>
    <cellStyle name="Pre-inputted cells 2 2 2 2 2 4" xfId="25382" xr:uid="{00000000-0005-0000-0000-0000F9630000}"/>
    <cellStyle name="Pre-inputted cells 2 2 2 2 2 5" xfId="25383" xr:uid="{00000000-0005-0000-0000-0000FA630000}"/>
    <cellStyle name="Pre-inputted cells 2 2 2 2 2 6" xfId="25384" xr:uid="{00000000-0005-0000-0000-0000FB630000}"/>
    <cellStyle name="Pre-inputted cells 2 2 2 2 2 7" xfId="25385" xr:uid="{00000000-0005-0000-0000-0000FC630000}"/>
    <cellStyle name="Pre-inputted cells 2 2 2 2 2 8" xfId="25386" xr:uid="{00000000-0005-0000-0000-0000FD630000}"/>
    <cellStyle name="Pre-inputted cells 2 2 2 2 2 9" xfId="25387" xr:uid="{00000000-0005-0000-0000-0000FE630000}"/>
    <cellStyle name="Pre-inputted cells 2 2 2 2 20" xfId="25388" xr:uid="{00000000-0005-0000-0000-0000FF630000}"/>
    <cellStyle name="Pre-inputted cells 2 2 2 2 21" xfId="25389" xr:uid="{00000000-0005-0000-0000-000000640000}"/>
    <cellStyle name="Pre-inputted cells 2 2 2 2 22" xfId="25390" xr:uid="{00000000-0005-0000-0000-000001640000}"/>
    <cellStyle name="Pre-inputted cells 2 2 2 2 23" xfId="25391" xr:uid="{00000000-0005-0000-0000-000002640000}"/>
    <cellStyle name="Pre-inputted cells 2 2 2 2 24" xfId="25392" xr:uid="{00000000-0005-0000-0000-000003640000}"/>
    <cellStyle name="Pre-inputted cells 2 2 2 2 25" xfId="25393" xr:uid="{00000000-0005-0000-0000-000004640000}"/>
    <cellStyle name="Pre-inputted cells 2 2 2 2 26" xfId="25394" xr:uid="{00000000-0005-0000-0000-000005640000}"/>
    <cellStyle name="Pre-inputted cells 2 2 2 2 27" xfId="25395" xr:uid="{00000000-0005-0000-0000-000006640000}"/>
    <cellStyle name="Pre-inputted cells 2 2 2 2 28" xfId="25396" xr:uid="{00000000-0005-0000-0000-000007640000}"/>
    <cellStyle name="Pre-inputted cells 2 2 2 2 29" xfId="25397" xr:uid="{00000000-0005-0000-0000-000008640000}"/>
    <cellStyle name="Pre-inputted cells 2 2 2 2 3" xfId="25398" xr:uid="{00000000-0005-0000-0000-000009640000}"/>
    <cellStyle name="Pre-inputted cells 2 2 2 2 3 2" xfId="25399" xr:uid="{00000000-0005-0000-0000-00000A640000}"/>
    <cellStyle name="Pre-inputted cells 2 2 2 2 3 3" xfId="25400" xr:uid="{00000000-0005-0000-0000-00000B640000}"/>
    <cellStyle name="Pre-inputted cells 2 2 2 2 30" xfId="25401" xr:uid="{00000000-0005-0000-0000-00000C640000}"/>
    <cellStyle name="Pre-inputted cells 2 2 2 2 31" xfId="25402" xr:uid="{00000000-0005-0000-0000-00000D640000}"/>
    <cellStyle name="Pre-inputted cells 2 2 2 2 32" xfId="25403" xr:uid="{00000000-0005-0000-0000-00000E640000}"/>
    <cellStyle name="Pre-inputted cells 2 2 2 2 33" xfId="25404" xr:uid="{00000000-0005-0000-0000-00000F640000}"/>
    <cellStyle name="Pre-inputted cells 2 2 2 2 34" xfId="25405" xr:uid="{00000000-0005-0000-0000-000010640000}"/>
    <cellStyle name="Pre-inputted cells 2 2 2 2 4" xfId="25406" xr:uid="{00000000-0005-0000-0000-000011640000}"/>
    <cellStyle name="Pre-inputted cells 2 2 2 2 4 2" xfId="25407" xr:uid="{00000000-0005-0000-0000-000012640000}"/>
    <cellStyle name="Pre-inputted cells 2 2 2 2 4 3" xfId="25408" xr:uid="{00000000-0005-0000-0000-000013640000}"/>
    <cellStyle name="Pre-inputted cells 2 2 2 2 5" xfId="25409" xr:uid="{00000000-0005-0000-0000-000014640000}"/>
    <cellStyle name="Pre-inputted cells 2 2 2 2 6" xfId="25410" xr:uid="{00000000-0005-0000-0000-000015640000}"/>
    <cellStyle name="Pre-inputted cells 2 2 2 2 7" xfId="25411" xr:uid="{00000000-0005-0000-0000-000016640000}"/>
    <cellStyle name="Pre-inputted cells 2 2 2 2 8" xfId="25412" xr:uid="{00000000-0005-0000-0000-000017640000}"/>
    <cellStyle name="Pre-inputted cells 2 2 2 2 9" xfId="25413" xr:uid="{00000000-0005-0000-0000-000018640000}"/>
    <cellStyle name="Pre-inputted cells 2 2 2 20" xfId="25414" xr:uid="{00000000-0005-0000-0000-000019640000}"/>
    <cellStyle name="Pre-inputted cells 2 2 2 21" xfId="25415" xr:uid="{00000000-0005-0000-0000-00001A640000}"/>
    <cellStyle name="Pre-inputted cells 2 2 2 22" xfId="25416" xr:uid="{00000000-0005-0000-0000-00001B640000}"/>
    <cellStyle name="Pre-inputted cells 2 2 2 23" xfId="25417" xr:uid="{00000000-0005-0000-0000-00001C640000}"/>
    <cellStyle name="Pre-inputted cells 2 2 2 24" xfId="25418" xr:uid="{00000000-0005-0000-0000-00001D640000}"/>
    <cellStyle name="Pre-inputted cells 2 2 2 25" xfId="25419" xr:uid="{00000000-0005-0000-0000-00001E640000}"/>
    <cellStyle name="Pre-inputted cells 2 2 2 26" xfId="25420" xr:uid="{00000000-0005-0000-0000-00001F640000}"/>
    <cellStyle name="Pre-inputted cells 2 2 2 27" xfId="25421" xr:uid="{00000000-0005-0000-0000-000020640000}"/>
    <cellStyle name="Pre-inputted cells 2 2 2 28" xfId="25422" xr:uid="{00000000-0005-0000-0000-000021640000}"/>
    <cellStyle name="Pre-inputted cells 2 2 2 29" xfId="25423" xr:uid="{00000000-0005-0000-0000-000022640000}"/>
    <cellStyle name="Pre-inputted cells 2 2 2 3" xfId="25424" xr:uid="{00000000-0005-0000-0000-000023640000}"/>
    <cellStyle name="Pre-inputted cells 2 2 2 3 10" xfId="25425" xr:uid="{00000000-0005-0000-0000-000024640000}"/>
    <cellStyle name="Pre-inputted cells 2 2 2 3 11" xfId="25426" xr:uid="{00000000-0005-0000-0000-000025640000}"/>
    <cellStyle name="Pre-inputted cells 2 2 2 3 12" xfId="25427" xr:uid="{00000000-0005-0000-0000-000026640000}"/>
    <cellStyle name="Pre-inputted cells 2 2 2 3 13" xfId="25428" xr:uid="{00000000-0005-0000-0000-000027640000}"/>
    <cellStyle name="Pre-inputted cells 2 2 2 3 2" xfId="25429" xr:uid="{00000000-0005-0000-0000-000028640000}"/>
    <cellStyle name="Pre-inputted cells 2 2 2 3 2 2" xfId="25430" xr:uid="{00000000-0005-0000-0000-000029640000}"/>
    <cellStyle name="Pre-inputted cells 2 2 2 3 2 3" xfId="25431" xr:uid="{00000000-0005-0000-0000-00002A640000}"/>
    <cellStyle name="Pre-inputted cells 2 2 2 3 3" xfId="25432" xr:uid="{00000000-0005-0000-0000-00002B640000}"/>
    <cellStyle name="Pre-inputted cells 2 2 2 3 3 2" xfId="25433" xr:uid="{00000000-0005-0000-0000-00002C640000}"/>
    <cellStyle name="Pre-inputted cells 2 2 2 3 3 3" xfId="25434" xr:uid="{00000000-0005-0000-0000-00002D640000}"/>
    <cellStyle name="Pre-inputted cells 2 2 2 3 4" xfId="25435" xr:uid="{00000000-0005-0000-0000-00002E640000}"/>
    <cellStyle name="Pre-inputted cells 2 2 2 3 5" xfId="25436" xr:uid="{00000000-0005-0000-0000-00002F640000}"/>
    <cellStyle name="Pre-inputted cells 2 2 2 3 6" xfId="25437" xr:uid="{00000000-0005-0000-0000-000030640000}"/>
    <cellStyle name="Pre-inputted cells 2 2 2 3 7" xfId="25438" xr:uid="{00000000-0005-0000-0000-000031640000}"/>
    <cellStyle name="Pre-inputted cells 2 2 2 3 8" xfId="25439" xr:uid="{00000000-0005-0000-0000-000032640000}"/>
    <cellStyle name="Pre-inputted cells 2 2 2 3 9" xfId="25440" xr:uid="{00000000-0005-0000-0000-000033640000}"/>
    <cellStyle name="Pre-inputted cells 2 2 2 30" xfId="25441" xr:uid="{00000000-0005-0000-0000-000034640000}"/>
    <cellStyle name="Pre-inputted cells 2 2 2 31" xfId="25442" xr:uid="{00000000-0005-0000-0000-000035640000}"/>
    <cellStyle name="Pre-inputted cells 2 2 2 32" xfId="25443" xr:uid="{00000000-0005-0000-0000-000036640000}"/>
    <cellStyle name="Pre-inputted cells 2 2 2 33" xfId="25444" xr:uid="{00000000-0005-0000-0000-000037640000}"/>
    <cellStyle name="Pre-inputted cells 2 2 2 34" xfId="25445" xr:uid="{00000000-0005-0000-0000-000038640000}"/>
    <cellStyle name="Pre-inputted cells 2 2 2 35" xfId="25446" xr:uid="{00000000-0005-0000-0000-000039640000}"/>
    <cellStyle name="Pre-inputted cells 2 2 2 4" xfId="25447" xr:uid="{00000000-0005-0000-0000-00003A640000}"/>
    <cellStyle name="Pre-inputted cells 2 2 2 4 2" xfId="25448" xr:uid="{00000000-0005-0000-0000-00003B640000}"/>
    <cellStyle name="Pre-inputted cells 2 2 2 4 3" xfId="25449" xr:uid="{00000000-0005-0000-0000-00003C640000}"/>
    <cellStyle name="Pre-inputted cells 2 2 2 5" xfId="25450" xr:uid="{00000000-0005-0000-0000-00003D640000}"/>
    <cellStyle name="Pre-inputted cells 2 2 2 5 2" xfId="25451" xr:uid="{00000000-0005-0000-0000-00003E640000}"/>
    <cellStyle name="Pre-inputted cells 2 2 2 5 3" xfId="25452" xr:uid="{00000000-0005-0000-0000-00003F640000}"/>
    <cellStyle name="Pre-inputted cells 2 2 2 6" xfId="25453" xr:uid="{00000000-0005-0000-0000-000040640000}"/>
    <cellStyle name="Pre-inputted cells 2 2 2 7" xfId="25454" xr:uid="{00000000-0005-0000-0000-000041640000}"/>
    <cellStyle name="Pre-inputted cells 2 2 2 8" xfId="25455" xr:uid="{00000000-0005-0000-0000-000042640000}"/>
    <cellStyle name="Pre-inputted cells 2 2 2 9" xfId="25456" xr:uid="{00000000-0005-0000-0000-000043640000}"/>
    <cellStyle name="Pre-inputted cells 2 2 2_4 28 1_Asst_Health_Crit_AllTO_RIIO_20110714pm" xfId="25457" xr:uid="{00000000-0005-0000-0000-000044640000}"/>
    <cellStyle name="Pre-inputted cells 2 2 20" xfId="25458" xr:uid="{00000000-0005-0000-0000-000045640000}"/>
    <cellStyle name="Pre-inputted cells 2 2 20 2" xfId="25459" xr:uid="{00000000-0005-0000-0000-000046640000}"/>
    <cellStyle name="Pre-inputted cells 2 2 21" xfId="25460" xr:uid="{00000000-0005-0000-0000-000047640000}"/>
    <cellStyle name="Pre-inputted cells 2 2 21 2" xfId="25461" xr:uid="{00000000-0005-0000-0000-000048640000}"/>
    <cellStyle name="Pre-inputted cells 2 2 22" xfId="25462" xr:uid="{00000000-0005-0000-0000-000049640000}"/>
    <cellStyle name="Pre-inputted cells 2 2 22 2" xfId="25463" xr:uid="{00000000-0005-0000-0000-00004A640000}"/>
    <cellStyle name="Pre-inputted cells 2 2 23" xfId="25464" xr:uid="{00000000-0005-0000-0000-00004B640000}"/>
    <cellStyle name="Pre-inputted cells 2 2 23 2" xfId="25465" xr:uid="{00000000-0005-0000-0000-00004C640000}"/>
    <cellStyle name="Pre-inputted cells 2 2 24" xfId="25466" xr:uid="{00000000-0005-0000-0000-00004D640000}"/>
    <cellStyle name="Pre-inputted cells 2 2 24 2" xfId="25467" xr:uid="{00000000-0005-0000-0000-00004E640000}"/>
    <cellStyle name="Pre-inputted cells 2 2 25" xfId="25468" xr:uid="{00000000-0005-0000-0000-00004F640000}"/>
    <cellStyle name="Pre-inputted cells 2 2 25 2" xfId="25469" xr:uid="{00000000-0005-0000-0000-000050640000}"/>
    <cellStyle name="Pre-inputted cells 2 2 26" xfId="25470" xr:uid="{00000000-0005-0000-0000-000051640000}"/>
    <cellStyle name="Pre-inputted cells 2 2 27" xfId="25471" xr:uid="{00000000-0005-0000-0000-000052640000}"/>
    <cellStyle name="Pre-inputted cells 2 2 28" xfId="25472" xr:uid="{00000000-0005-0000-0000-000053640000}"/>
    <cellStyle name="Pre-inputted cells 2 2 29" xfId="25473" xr:uid="{00000000-0005-0000-0000-000054640000}"/>
    <cellStyle name="Pre-inputted cells 2 2 3" xfId="25474" xr:uid="{00000000-0005-0000-0000-000055640000}"/>
    <cellStyle name="Pre-inputted cells 2 2 3 10" xfId="25475" xr:uid="{00000000-0005-0000-0000-000056640000}"/>
    <cellStyle name="Pre-inputted cells 2 2 3 11" xfId="25476" xr:uid="{00000000-0005-0000-0000-000057640000}"/>
    <cellStyle name="Pre-inputted cells 2 2 3 12" xfId="25477" xr:uid="{00000000-0005-0000-0000-000058640000}"/>
    <cellStyle name="Pre-inputted cells 2 2 3 13" xfId="25478" xr:uid="{00000000-0005-0000-0000-000059640000}"/>
    <cellStyle name="Pre-inputted cells 2 2 3 14" xfId="25479" xr:uid="{00000000-0005-0000-0000-00005A640000}"/>
    <cellStyle name="Pre-inputted cells 2 2 3 15" xfId="25480" xr:uid="{00000000-0005-0000-0000-00005B640000}"/>
    <cellStyle name="Pre-inputted cells 2 2 3 16" xfId="25481" xr:uid="{00000000-0005-0000-0000-00005C640000}"/>
    <cellStyle name="Pre-inputted cells 2 2 3 17" xfId="25482" xr:uid="{00000000-0005-0000-0000-00005D640000}"/>
    <cellStyle name="Pre-inputted cells 2 2 3 18" xfId="25483" xr:uid="{00000000-0005-0000-0000-00005E640000}"/>
    <cellStyle name="Pre-inputted cells 2 2 3 19" xfId="25484" xr:uid="{00000000-0005-0000-0000-00005F640000}"/>
    <cellStyle name="Pre-inputted cells 2 2 3 2" xfId="25485" xr:uid="{00000000-0005-0000-0000-000060640000}"/>
    <cellStyle name="Pre-inputted cells 2 2 3 2 10" xfId="25486" xr:uid="{00000000-0005-0000-0000-000061640000}"/>
    <cellStyle name="Pre-inputted cells 2 2 3 2 11" xfId="25487" xr:uid="{00000000-0005-0000-0000-000062640000}"/>
    <cellStyle name="Pre-inputted cells 2 2 3 2 12" xfId="25488" xr:uid="{00000000-0005-0000-0000-000063640000}"/>
    <cellStyle name="Pre-inputted cells 2 2 3 2 13" xfId="25489" xr:uid="{00000000-0005-0000-0000-000064640000}"/>
    <cellStyle name="Pre-inputted cells 2 2 3 2 2" xfId="25490" xr:uid="{00000000-0005-0000-0000-000065640000}"/>
    <cellStyle name="Pre-inputted cells 2 2 3 2 2 2" xfId="25491" xr:uid="{00000000-0005-0000-0000-000066640000}"/>
    <cellStyle name="Pre-inputted cells 2 2 3 2 2 3" xfId="25492" xr:uid="{00000000-0005-0000-0000-000067640000}"/>
    <cellStyle name="Pre-inputted cells 2 2 3 2 3" xfId="25493" xr:uid="{00000000-0005-0000-0000-000068640000}"/>
    <cellStyle name="Pre-inputted cells 2 2 3 2 3 2" xfId="25494" xr:uid="{00000000-0005-0000-0000-000069640000}"/>
    <cellStyle name="Pre-inputted cells 2 2 3 2 3 3" xfId="25495" xr:uid="{00000000-0005-0000-0000-00006A640000}"/>
    <cellStyle name="Pre-inputted cells 2 2 3 2 4" xfId="25496" xr:uid="{00000000-0005-0000-0000-00006B640000}"/>
    <cellStyle name="Pre-inputted cells 2 2 3 2 5" xfId="25497" xr:uid="{00000000-0005-0000-0000-00006C640000}"/>
    <cellStyle name="Pre-inputted cells 2 2 3 2 6" xfId="25498" xr:uid="{00000000-0005-0000-0000-00006D640000}"/>
    <cellStyle name="Pre-inputted cells 2 2 3 2 7" xfId="25499" xr:uid="{00000000-0005-0000-0000-00006E640000}"/>
    <cellStyle name="Pre-inputted cells 2 2 3 2 8" xfId="25500" xr:uid="{00000000-0005-0000-0000-00006F640000}"/>
    <cellStyle name="Pre-inputted cells 2 2 3 2 9" xfId="25501" xr:uid="{00000000-0005-0000-0000-000070640000}"/>
    <cellStyle name="Pre-inputted cells 2 2 3 20" xfId="25502" xr:uid="{00000000-0005-0000-0000-000071640000}"/>
    <cellStyle name="Pre-inputted cells 2 2 3 21" xfId="25503" xr:uid="{00000000-0005-0000-0000-000072640000}"/>
    <cellStyle name="Pre-inputted cells 2 2 3 22" xfId="25504" xr:uid="{00000000-0005-0000-0000-000073640000}"/>
    <cellStyle name="Pre-inputted cells 2 2 3 23" xfId="25505" xr:uid="{00000000-0005-0000-0000-000074640000}"/>
    <cellStyle name="Pre-inputted cells 2 2 3 24" xfId="25506" xr:uid="{00000000-0005-0000-0000-000075640000}"/>
    <cellStyle name="Pre-inputted cells 2 2 3 25" xfId="25507" xr:uid="{00000000-0005-0000-0000-000076640000}"/>
    <cellStyle name="Pre-inputted cells 2 2 3 26" xfId="25508" xr:uid="{00000000-0005-0000-0000-000077640000}"/>
    <cellStyle name="Pre-inputted cells 2 2 3 27" xfId="25509" xr:uid="{00000000-0005-0000-0000-000078640000}"/>
    <cellStyle name="Pre-inputted cells 2 2 3 28" xfId="25510" xr:uid="{00000000-0005-0000-0000-000079640000}"/>
    <cellStyle name="Pre-inputted cells 2 2 3 29" xfId="25511" xr:uid="{00000000-0005-0000-0000-00007A640000}"/>
    <cellStyle name="Pre-inputted cells 2 2 3 3" xfId="25512" xr:uid="{00000000-0005-0000-0000-00007B640000}"/>
    <cellStyle name="Pre-inputted cells 2 2 3 3 2" xfId="25513" xr:uid="{00000000-0005-0000-0000-00007C640000}"/>
    <cellStyle name="Pre-inputted cells 2 2 3 3 3" xfId="25514" xr:uid="{00000000-0005-0000-0000-00007D640000}"/>
    <cellStyle name="Pre-inputted cells 2 2 3 30" xfId="25515" xr:uid="{00000000-0005-0000-0000-00007E640000}"/>
    <cellStyle name="Pre-inputted cells 2 2 3 31" xfId="25516" xr:uid="{00000000-0005-0000-0000-00007F640000}"/>
    <cellStyle name="Pre-inputted cells 2 2 3 32" xfId="25517" xr:uid="{00000000-0005-0000-0000-000080640000}"/>
    <cellStyle name="Pre-inputted cells 2 2 3 33" xfId="25518" xr:uid="{00000000-0005-0000-0000-000081640000}"/>
    <cellStyle name="Pre-inputted cells 2 2 3 34" xfId="25519" xr:uid="{00000000-0005-0000-0000-000082640000}"/>
    <cellStyle name="Pre-inputted cells 2 2 3 4" xfId="25520" xr:uid="{00000000-0005-0000-0000-000083640000}"/>
    <cellStyle name="Pre-inputted cells 2 2 3 4 2" xfId="25521" xr:uid="{00000000-0005-0000-0000-000084640000}"/>
    <cellStyle name="Pre-inputted cells 2 2 3 4 3" xfId="25522" xr:uid="{00000000-0005-0000-0000-000085640000}"/>
    <cellStyle name="Pre-inputted cells 2 2 3 5" xfId="25523" xr:uid="{00000000-0005-0000-0000-000086640000}"/>
    <cellStyle name="Pre-inputted cells 2 2 3 6" xfId="25524" xr:uid="{00000000-0005-0000-0000-000087640000}"/>
    <cellStyle name="Pre-inputted cells 2 2 3 7" xfId="25525" xr:uid="{00000000-0005-0000-0000-000088640000}"/>
    <cellStyle name="Pre-inputted cells 2 2 3 8" xfId="25526" xr:uid="{00000000-0005-0000-0000-000089640000}"/>
    <cellStyle name="Pre-inputted cells 2 2 3 9" xfId="25527" xr:uid="{00000000-0005-0000-0000-00008A640000}"/>
    <cellStyle name="Pre-inputted cells 2 2 30" xfId="25528" xr:uid="{00000000-0005-0000-0000-00008B640000}"/>
    <cellStyle name="Pre-inputted cells 2 2 31" xfId="25529" xr:uid="{00000000-0005-0000-0000-00008C640000}"/>
    <cellStyle name="Pre-inputted cells 2 2 32" xfId="25530" xr:uid="{00000000-0005-0000-0000-00008D640000}"/>
    <cellStyle name="Pre-inputted cells 2 2 33" xfId="25531" xr:uid="{00000000-0005-0000-0000-00008E640000}"/>
    <cellStyle name="Pre-inputted cells 2 2 34" xfId="25532" xr:uid="{00000000-0005-0000-0000-00008F640000}"/>
    <cellStyle name="Pre-inputted cells 2 2 35" xfId="25533" xr:uid="{00000000-0005-0000-0000-000090640000}"/>
    <cellStyle name="Pre-inputted cells 2 2 36" xfId="25534" xr:uid="{00000000-0005-0000-0000-000091640000}"/>
    <cellStyle name="Pre-inputted cells 2 2 37" xfId="25535" xr:uid="{00000000-0005-0000-0000-000092640000}"/>
    <cellStyle name="Pre-inputted cells 2 2 38" xfId="25536" xr:uid="{00000000-0005-0000-0000-000093640000}"/>
    <cellStyle name="Pre-inputted cells 2 2 4" xfId="25537" xr:uid="{00000000-0005-0000-0000-000094640000}"/>
    <cellStyle name="Pre-inputted cells 2 2 4 10" xfId="25538" xr:uid="{00000000-0005-0000-0000-000095640000}"/>
    <cellStyle name="Pre-inputted cells 2 2 4 11" xfId="25539" xr:uid="{00000000-0005-0000-0000-000096640000}"/>
    <cellStyle name="Pre-inputted cells 2 2 4 12" xfId="25540" xr:uid="{00000000-0005-0000-0000-000097640000}"/>
    <cellStyle name="Pre-inputted cells 2 2 4 13" xfId="25541" xr:uid="{00000000-0005-0000-0000-000098640000}"/>
    <cellStyle name="Pre-inputted cells 2 2 4 14" xfId="25542" xr:uid="{00000000-0005-0000-0000-000099640000}"/>
    <cellStyle name="Pre-inputted cells 2 2 4 15" xfId="25543" xr:uid="{00000000-0005-0000-0000-00009A640000}"/>
    <cellStyle name="Pre-inputted cells 2 2 4 16" xfId="25544" xr:uid="{00000000-0005-0000-0000-00009B640000}"/>
    <cellStyle name="Pre-inputted cells 2 2 4 17" xfId="25545" xr:uid="{00000000-0005-0000-0000-00009C640000}"/>
    <cellStyle name="Pre-inputted cells 2 2 4 18" xfId="25546" xr:uid="{00000000-0005-0000-0000-00009D640000}"/>
    <cellStyle name="Pre-inputted cells 2 2 4 19" xfId="25547" xr:uid="{00000000-0005-0000-0000-00009E640000}"/>
    <cellStyle name="Pre-inputted cells 2 2 4 2" xfId="25548" xr:uid="{00000000-0005-0000-0000-00009F640000}"/>
    <cellStyle name="Pre-inputted cells 2 2 4 2 10" xfId="25549" xr:uid="{00000000-0005-0000-0000-0000A0640000}"/>
    <cellStyle name="Pre-inputted cells 2 2 4 2 11" xfId="25550" xr:uid="{00000000-0005-0000-0000-0000A1640000}"/>
    <cellStyle name="Pre-inputted cells 2 2 4 2 12" xfId="25551" xr:uid="{00000000-0005-0000-0000-0000A2640000}"/>
    <cellStyle name="Pre-inputted cells 2 2 4 2 13" xfId="25552" xr:uid="{00000000-0005-0000-0000-0000A3640000}"/>
    <cellStyle name="Pre-inputted cells 2 2 4 2 2" xfId="25553" xr:uid="{00000000-0005-0000-0000-0000A4640000}"/>
    <cellStyle name="Pre-inputted cells 2 2 4 2 2 2" xfId="25554" xr:uid="{00000000-0005-0000-0000-0000A5640000}"/>
    <cellStyle name="Pre-inputted cells 2 2 4 2 2 3" xfId="25555" xr:uid="{00000000-0005-0000-0000-0000A6640000}"/>
    <cellStyle name="Pre-inputted cells 2 2 4 2 3" xfId="25556" xr:uid="{00000000-0005-0000-0000-0000A7640000}"/>
    <cellStyle name="Pre-inputted cells 2 2 4 2 3 2" xfId="25557" xr:uid="{00000000-0005-0000-0000-0000A8640000}"/>
    <cellStyle name="Pre-inputted cells 2 2 4 2 3 3" xfId="25558" xr:uid="{00000000-0005-0000-0000-0000A9640000}"/>
    <cellStyle name="Pre-inputted cells 2 2 4 2 4" xfId="25559" xr:uid="{00000000-0005-0000-0000-0000AA640000}"/>
    <cellStyle name="Pre-inputted cells 2 2 4 2 5" xfId="25560" xr:uid="{00000000-0005-0000-0000-0000AB640000}"/>
    <cellStyle name="Pre-inputted cells 2 2 4 2 6" xfId="25561" xr:uid="{00000000-0005-0000-0000-0000AC640000}"/>
    <cellStyle name="Pre-inputted cells 2 2 4 2 7" xfId="25562" xr:uid="{00000000-0005-0000-0000-0000AD640000}"/>
    <cellStyle name="Pre-inputted cells 2 2 4 2 8" xfId="25563" xr:uid="{00000000-0005-0000-0000-0000AE640000}"/>
    <cellStyle name="Pre-inputted cells 2 2 4 2 9" xfId="25564" xr:uid="{00000000-0005-0000-0000-0000AF640000}"/>
    <cellStyle name="Pre-inputted cells 2 2 4 20" xfId="25565" xr:uid="{00000000-0005-0000-0000-0000B0640000}"/>
    <cellStyle name="Pre-inputted cells 2 2 4 21" xfId="25566" xr:uid="{00000000-0005-0000-0000-0000B1640000}"/>
    <cellStyle name="Pre-inputted cells 2 2 4 22" xfId="25567" xr:uid="{00000000-0005-0000-0000-0000B2640000}"/>
    <cellStyle name="Pre-inputted cells 2 2 4 23" xfId="25568" xr:uid="{00000000-0005-0000-0000-0000B3640000}"/>
    <cellStyle name="Pre-inputted cells 2 2 4 24" xfId="25569" xr:uid="{00000000-0005-0000-0000-0000B4640000}"/>
    <cellStyle name="Pre-inputted cells 2 2 4 25" xfId="25570" xr:uid="{00000000-0005-0000-0000-0000B5640000}"/>
    <cellStyle name="Pre-inputted cells 2 2 4 26" xfId="25571" xr:uid="{00000000-0005-0000-0000-0000B6640000}"/>
    <cellStyle name="Pre-inputted cells 2 2 4 27" xfId="25572" xr:uid="{00000000-0005-0000-0000-0000B7640000}"/>
    <cellStyle name="Pre-inputted cells 2 2 4 28" xfId="25573" xr:uid="{00000000-0005-0000-0000-0000B8640000}"/>
    <cellStyle name="Pre-inputted cells 2 2 4 29" xfId="25574" xr:uid="{00000000-0005-0000-0000-0000B9640000}"/>
    <cellStyle name="Pre-inputted cells 2 2 4 3" xfId="25575" xr:uid="{00000000-0005-0000-0000-0000BA640000}"/>
    <cellStyle name="Pre-inputted cells 2 2 4 3 2" xfId="25576" xr:uid="{00000000-0005-0000-0000-0000BB640000}"/>
    <cellStyle name="Pre-inputted cells 2 2 4 3 3" xfId="25577" xr:uid="{00000000-0005-0000-0000-0000BC640000}"/>
    <cellStyle name="Pre-inputted cells 2 2 4 30" xfId="25578" xr:uid="{00000000-0005-0000-0000-0000BD640000}"/>
    <cellStyle name="Pre-inputted cells 2 2 4 31" xfId="25579" xr:uid="{00000000-0005-0000-0000-0000BE640000}"/>
    <cellStyle name="Pre-inputted cells 2 2 4 32" xfId="25580" xr:uid="{00000000-0005-0000-0000-0000BF640000}"/>
    <cellStyle name="Pre-inputted cells 2 2 4 33" xfId="25581" xr:uid="{00000000-0005-0000-0000-0000C0640000}"/>
    <cellStyle name="Pre-inputted cells 2 2 4 34" xfId="25582" xr:uid="{00000000-0005-0000-0000-0000C1640000}"/>
    <cellStyle name="Pre-inputted cells 2 2 4 4" xfId="25583" xr:uid="{00000000-0005-0000-0000-0000C2640000}"/>
    <cellStyle name="Pre-inputted cells 2 2 4 4 2" xfId="25584" xr:uid="{00000000-0005-0000-0000-0000C3640000}"/>
    <cellStyle name="Pre-inputted cells 2 2 4 4 3" xfId="25585" xr:uid="{00000000-0005-0000-0000-0000C4640000}"/>
    <cellStyle name="Pre-inputted cells 2 2 4 5" xfId="25586" xr:uid="{00000000-0005-0000-0000-0000C5640000}"/>
    <cellStyle name="Pre-inputted cells 2 2 4 6" xfId="25587" xr:uid="{00000000-0005-0000-0000-0000C6640000}"/>
    <cellStyle name="Pre-inputted cells 2 2 4 7" xfId="25588" xr:uid="{00000000-0005-0000-0000-0000C7640000}"/>
    <cellStyle name="Pre-inputted cells 2 2 4 8" xfId="25589" xr:uid="{00000000-0005-0000-0000-0000C8640000}"/>
    <cellStyle name="Pre-inputted cells 2 2 4 9" xfId="25590" xr:uid="{00000000-0005-0000-0000-0000C9640000}"/>
    <cellStyle name="Pre-inputted cells 2 2 5" xfId="25591" xr:uid="{00000000-0005-0000-0000-0000CA640000}"/>
    <cellStyle name="Pre-inputted cells 2 2 5 10" xfId="25592" xr:uid="{00000000-0005-0000-0000-0000CB640000}"/>
    <cellStyle name="Pre-inputted cells 2 2 5 11" xfId="25593" xr:uid="{00000000-0005-0000-0000-0000CC640000}"/>
    <cellStyle name="Pre-inputted cells 2 2 5 12" xfId="25594" xr:uid="{00000000-0005-0000-0000-0000CD640000}"/>
    <cellStyle name="Pre-inputted cells 2 2 5 13" xfId="25595" xr:uid="{00000000-0005-0000-0000-0000CE640000}"/>
    <cellStyle name="Pre-inputted cells 2 2 5 2" xfId="25596" xr:uid="{00000000-0005-0000-0000-0000CF640000}"/>
    <cellStyle name="Pre-inputted cells 2 2 5 2 2" xfId="25597" xr:uid="{00000000-0005-0000-0000-0000D0640000}"/>
    <cellStyle name="Pre-inputted cells 2 2 5 2 3" xfId="25598" xr:uid="{00000000-0005-0000-0000-0000D1640000}"/>
    <cellStyle name="Pre-inputted cells 2 2 5 3" xfId="25599" xr:uid="{00000000-0005-0000-0000-0000D2640000}"/>
    <cellStyle name="Pre-inputted cells 2 2 5 3 2" xfId="25600" xr:uid="{00000000-0005-0000-0000-0000D3640000}"/>
    <cellStyle name="Pre-inputted cells 2 2 5 3 3" xfId="25601" xr:uid="{00000000-0005-0000-0000-0000D4640000}"/>
    <cellStyle name="Pre-inputted cells 2 2 5 4" xfId="25602" xr:uid="{00000000-0005-0000-0000-0000D5640000}"/>
    <cellStyle name="Pre-inputted cells 2 2 5 5" xfId="25603" xr:uid="{00000000-0005-0000-0000-0000D6640000}"/>
    <cellStyle name="Pre-inputted cells 2 2 5 6" xfId="25604" xr:uid="{00000000-0005-0000-0000-0000D7640000}"/>
    <cellStyle name="Pre-inputted cells 2 2 5 7" xfId="25605" xr:uid="{00000000-0005-0000-0000-0000D8640000}"/>
    <cellStyle name="Pre-inputted cells 2 2 5 8" xfId="25606" xr:uid="{00000000-0005-0000-0000-0000D9640000}"/>
    <cellStyle name="Pre-inputted cells 2 2 5 9" xfId="25607" xr:uid="{00000000-0005-0000-0000-0000DA640000}"/>
    <cellStyle name="Pre-inputted cells 2 2 6" xfId="25608" xr:uid="{00000000-0005-0000-0000-0000DB640000}"/>
    <cellStyle name="Pre-inputted cells 2 2 6 2" xfId="25609" xr:uid="{00000000-0005-0000-0000-0000DC640000}"/>
    <cellStyle name="Pre-inputted cells 2 2 6 2 2" xfId="25610" xr:uid="{00000000-0005-0000-0000-0000DD640000}"/>
    <cellStyle name="Pre-inputted cells 2 2 6 2 3" xfId="25611" xr:uid="{00000000-0005-0000-0000-0000DE640000}"/>
    <cellStyle name="Pre-inputted cells 2 2 6 3" xfId="25612" xr:uid="{00000000-0005-0000-0000-0000DF640000}"/>
    <cellStyle name="Pre-inputted cells 2 2 6 3 2" xfId="25613" xr:uid="{00000000-0005-0000-0000-0000E0640000}"/>
    <cellStyle name="Pre-inputted cells 2 2 6 4" xfId="25614" xr:uid="{00000000-0005-0000-0000-0000E1640000}"/>
    <cellStyle name="Pre-inputted cells 2 2 7" xfId="25615" xr:uid="{00000000-0005-0000-0000-0000E2640000}"/>
    <cellStyle name="Pre-inputted cells 2 2 7 2" xfId="25616" xr:uid="{00000000-0005-0000-0000-0000E3640000}"/>
    <cellStyle name="Pre-inputted cells 2 2 8" xfId="25617" xr:uid="{00000000-0005-0000-0000-0000E4640000}"/>
    <cellStyle name="Pre-inputted cells 2 2 8 2" xfId="25618" xr:uid="{00000000-0005-0000-0000-0000E5640000}"/>
    <cellStyle name="Pre-inputted cells 2 2 9" xfId="25619" xr:uid="{00000000-0005-0000-0000-0000E6640000}"/>
    <cellStyle name="Pre-inputted cells 2 2 9 2" xfId="25620" xr:uid="{00000000-0005-0000-0000-0000E7640000}"/>
    <cellStyle name="Pre-inputted cells 2 2_4 28 1_Asst_Health_Crit_AllTO_RIIO_20110714pm" xfId="25621" xr:uid="{00000000-0005-0000-0000-0000E8640000}"/>
    <cellStyle name="Pre-inputted cells 2 20" xfId="25622" xr:uid="{00000000-0005-0000-0000-0000E9640000}"/>
    <cellStyle name="Pre-inputted cells 2 20 2" xfId="25623" xr:uid="{00000000-0005-0000-0000-0000EA640000}"/>
    <cellStyle name="Pre-inputted cells 2 21" xfId="25624" xr:uid="{00000000-0005-0000-0000-0000EB640000}"/>
    <cellStyle name="Pre-inputted cells 2 21 2" xfId="25625" xr:uid="{00000000-0005-0000-0000-0000EC640000}"/>
    <cellStyle name="Pre-inputted cells 2 22" xfId="25626" xr:uid="{00000000-0005-0000-0000-0000ED640000}"/>
    <cellStyle name="Pre-inputted cells 2 22 2" xfId="25627" xr:uid="{00000000-0005-0000-0000-0000EE640000}"/>
    <cellStyle name="Pre-inputted cells 2 23" xfId="25628" xr:uid="{00000000-0005-0000-0000-0000EF640000}"/>
    <cellStyle name="Pre-inputted cells 2 23 2" xfId="25629" xr:uid="{00000000-0005-0000-0000-0000F0640000}"/>
    <cellStyle name="Pre-inputted cells 2 24" xfId="25630" xr:uid="{00000000-0005-0000-0000-0000F1640000}"/>
    <cellStyle name="Pre-inputted cells 2 24 2" xfId="25631" xr:uid="{00000000-0005-0000-0000-0000F2640000}"/>
    <cellStyle name="Pre-inputted cells 2 25" xfId="25632" xr:uid="{00000000-0005-0000-0000-0000F3640000}"/>
    <cellStyle name="Pre-inputted cells 2 25 2" xfId="25633" xr:uid="{00000000-0005-0000-0000-0000F4640000}"/>
    <cellStyle name="Pre-inputted cells 2 26" xfId="25634" xr:uid="{00000000-0005-0000-0000-0000F5640000}"/>
    <cellStyle name="Pre-inputted cells 2 26 2" xfId="25635" xr:uid="{00000000-0005-0000-0000-0000F6640000}"/>
    <cellStyle name="Pre-inputted cells 2 27" xfId="25636" xr:uid="{00000000-0005-0000-0000-0000F7640000}"/>
    <cellStyle name="Pre-inputted cells 2 28" xfId="25637" xr:uid="{00000000-0005-0000-0000-0000F8640000}"/>
    <cellStyle name="Pre-inputted cells 2 29" xfId="25638" xr:uid="{00000000-0005-0000-0000-0000F9640000}"/>
    <cellStyle name="Pre-inputted cells 2 3" xfId="25639" xr:uid="{00000000-0005-0000-0000-0000FA640000}"/>
    <cellStyle name="Pre-inputted cells 2 3 10" xfId="25640" xr:uid="{00000000-0005-0000-0000-0000FB640000}"/>
    <cellStyle name="Pre-inputted cells 2 3 11" xfId="25641" xr:uid="{00000000-0005-0000-0000-0000FC640000}"/>
    <cellStyle name="Pre-inputted cells 2 3 12" xfId="25642" xr:uid="{00000000-0005-0000-0000-0000FD640000}"/>
    <cellStyle name="Pre-inputted cells 2 3 13" xfId="25643" xr:uid="{00000000-0005-0000-0000-0000FE640000}"/>
    <cellStyle name="Pre-inputted cells 2 3 14" xfId="25644" xr:uid="{00000000-0005-0000-0000-0000FF640000}"/>
    <cellStyle name="Pre-inputted cells 2 3 15" xfId="25645" xr:uid="{00000000-0005-0000-0000-000000650000}"/>
    <cellStyle name="Pre-inputted cells 2 3 16" xfId="25646" xr:uid="{00000000-0005-0000-0000-000001650000}"/>
    <cellStyle name="Pre-inputted cells 2 3 17" xfId="25647" xr:uid="{00000000-0005-0000-0000-000002650000}"/>
    <cellStyle name="Pre-inputted cells 2 3 18" xfId="25648" xr:uid="{00000000-0005-0000-0000-000003650000}"/>
    <cellStyle name="Pre-inputted cells 2 3 19" xfId="25649" xr:uid="{00000000-0005-0000-0000-000004650000}"/>
    <cellStyle name="Pre-inputted cells 2 3 2" xfId="25650" xr:uid="{00000000-0005-0000-0000-000005650000}"/>
    <cellStyle name="Pre-inputted cells 2 3 2 10" xfId="25651" xr:uid="{00000000-0005-0000-0000-000006650000}"/>
    <cellStyle name="Pre-inputted cells 2 3 2 11" xfId="25652" xr:uid="{00000000-0005-0000-0000-000007650000}"/>
    <cellStyle name="Pre-inputted cells 2 3 2 12" xfId="25653" xr:uid="{00000000-0005-0000-0000-000008650000}"/>
    <cellStyle name="Pre-inputted cells 2 3 2 13" xfId="25654" xr:uid="{00000000-0005-0000-0000-000009650000}"/>
    <cellStyle name="Pre-inputted cells 2 3 2 14" xfId="25655" xr:uid="{00000000-0005-0000-0000-00000A650000}"/>
    <cellStyle name="Pre-inputted cells 2 3 2 15" xfId="25656" xr:uid="{00000000-0005-0000-0000-00000B650000}"/>
    <cellStyle name="Pre-inputted cells 2 3 2 16" xfId="25657" xr:uid="{00000000-0005-0000-0000-00000C650000}"/>
    <cellStyle name="Pre-inputted cells 2 3 2 17" xfId="25658" xr:uid="{00000000-0005-0000-0000-00000D650000}"/>
    <cellStyle name="Pre-inputted cells 2 3 2 18" xfId="25659" xr:uid="{00000000-0005-0000-0000-00000E650000}"/>
    <cellStyle name="Pre-inputted cells 2 3 2 19" xfId="25660" xr:uid="{00000000-0005-0000-0000-00000F650000}"/>
    <cellStyle name="Pre-inputted cells 2 3 2 2" xfId="25661" xr:uid="{00000000-0005-0000-0000-000010650000}"/>
    <cellStyle name="Pre-inputted cells 2 3 2 2 10" xfId="25662" xr:uid="{00000000-0005-0000-0000-000011650000}"/>
    <cellStyle name="Pre-inputted cells 2 3 2 2 11" xfId="25663" xr:uid="{00000000-0005-0000-0000-000012650000}"/>
    <cellStyle name="Pre-inputted cells 2 3 2 2 12" xfId="25664" xr:uid="{00000000-0005-0000-0000-000013650000}"/>
    <cellStyle name="Pre-inputted cells 2 3 2 2 13" xfId="25665" xr:uid="{00000000-0005-0000-0000-000014650000}"/>
    <cellStyle name="Pre-inputted cells 2 3 2 2 2" xfId="25666" xr:uid="{00000000-0005-0000-0000-000015650000}"/>
    <cellStyle name="Pre-inputted cells 2 3 2 2 2 2" xfId="25667" xr:uid="{00000000-0005-0000-0000-000016650000}"/>
    <cellStyle name="Pre-inputted cells 2 3 2 2 2 3" xfId="25668" xr:uid="{00000000-0005-0000-0000-000017650000}"/>
    <cellStyle name="Pre-inputted cells 2 3 2 2 3" xfId="25669" xr:uid="{00000000-0005-0000-0000-000018650000}"/>
    <cellStyle name="Pre-inputted cells 2 3 2 2 3 2" xfId="25670" xr:uid="{00000000-0005-0000-0000-000019650000}"/>
    <cellStyle name="Pre-inputted cells 2 3 2 2 3 3" xfId="25671" xr:uid="{00000000-0005-0000-0000-00001A650000}"/>
    <cellStyle name="Pre-inputted cells 2 3 2 2 4" xfId="25672" xr:uid="{00000000-0005-0000-0000-00001B650000}"/>
    <cellStyle name="Pre-inputted cells 2 3 2 2 5" xfId="25673" xr:uid="{00000000-0005-0000-0000-00001C650000}"/>
    <cellStyle name="Pre-inputted cells 2 3 2 2 6" xfId="25674" xr:uid="{00000000-0005-0000-0000-00001D650000}"/>
    <cellStyle name="Pre-inputted cells 2 3 2 2 7" xfId="25675" xr:uid="{00000000-0005-0000-0000-00001E650000}"/>
    <cellStyle name="Pre-inputted cells 2 3 2 2 8" xfId="25676" xr:uid="{00000000-0005-0000-0000-00001F650000}"/>
    <cellStyle name="Pre-inputted cells 2 3 2 2 9" xfId="25677" xr:uid="{00000000-0005-0000-0000-000020650000}"/>
    <cellStyle name="Pre-inputted cells 2 3 2 20" xfId="25678" xr:uid="{00000000-0005-0000-0000-000021650000}"/>
    <cellStyle name="Pre-inputted cells 2 3 2 21" xfId="25679" xr:uid="{00000000-0005-0000-0000-000022650000}"/>
    <cellStyle name="Pre-inputted cells 2 3 2 22" xfId="25680" xr:uid="{00000000-0005-0000-0000-000023650000}"/>
    <cellStyle name="Pre-inputted cells 2 3 2 23" xfId="25681" xr:uid="{00000000-0005-0000-0000-000024650000}"/>
    <cellStyle name="Pre-inputted cells 2 3 2 24" xfId="25682" xr:uid="{00000000-0005-0000-0000-000025650000}"/>
    <cellStyle name="Pre-inputted cells 2 3 2 25" xfId="25683" xr:uid="{00000000-0005-0000-0000-000026650000}"/>
    <cellStyle name="Pre-inputted cells 2 3 2 26" xfId="25684" xr:uid="{00000000-0005-0000-0000-000027650000}"/>
    <cellStyle name="Pre-inputted cells 2 3 2 27" xfId="25685" xr:uid="{00000000-0005-0000-0000-000028650000}"/>
    <cellStyle name="Pre-inputted cells 2 3 2 28" xfId="25686" xr:uid="{00000000-0005-0000-0000-000029650000}"/>
    <cellStyle name="Pre-inputted cells 2 3 2 29" xfId="25687" xr:uid="{00000000-0005-0000-0000-00002A650000}"/>
    <cellStyle name="Pre-inputted cells 2 3 2 3" xfId="25688" xr:uid="{00000000-0005-0000-0000-00002B650000}"/>
    <cellStyle name="Pre-inputted cells 2 3 2 3 2" xfId="25689" xr:uid="{00000000-0005-0000-0000-00002C650000}"/>
    <cellStyle name="Pre-inputted cells 2 3 2 3 3" xfId="25690" xr:uid="{00000000-0005-0000-0000-00002D650000}"/>
    <cellStyle name="Pre-inputted cells 2 3 2 30" xfId="25691" xr:uid="{00000000-0005-0000-0000-00002E650000}"/>
    <cellStyle name="Pre-inputted cells 2 3 2 31" xfId="25692" xr:uid="{00000000-0005-0000-0000-00002F650000}"/>
    <cellStyle name="Pre-inputted cells 2 3 2 32" xfId="25693" xr:uid="{00000000-0005-0000-0000-000030650000}"/>
    <cellStyle name="Pre-inputted cells 2 3 2 33" xfId="25694" xr:uid="{00000000-0005-0000-0000-000031650000}"/>
    <cellStyle name="Pre-inputted cells 2 3 2 34" xfId="25695" xr:uid="{00000000-0005-0000-0000-000032650000}"/>
    <cellStyle name="Pre-inputted cells 2 3 2 4" xfId="25696" xr:uid="{00000000-0005-0000-0000-000033650000}"/>
    <cellStyle name="Pre-inputted cells 2 3 2 4 2" xfId="25697" xr:uid="{00000000-0005-0000-0000-000034650000}"/>
    <cellStyle name="Pre-inputted cells 2 3 2 4 3" xfId="25698" xr:uid="{00000000-0005-0000-0000-000035650000}"/>
    <cellStyle name="Pre-inputted cells 2 3 2 5" xfId="25699" xr:uid="{00000000-0005-0000-0000-000036650000}"/>
    <cellStyle name="Pre-inputted cells 2 3 2 6" xfId="25700" xr:uid="{00000000-0005-0000-0000-000037650000}"/>
    <cellStyle name="Pre-inputted cells 2 3 2 7" xfId="25701" xr:uid="{00000000-0005-0000-0000-000038650000}"/>
    <cellStyle name="Pre-inputted cells 2 3 2 8" xfId="25702" xr:uid="{00000000-0005-0000-0000-000039650000}"/>
    <cellStyle name="Pre-inputted cells 2 3 2 9" xfId="25703" xr:uid="{00000000-0005-0000-0000-00003A650000}"/>
    <cellStyle name="Pre-inputted cells 2 3 20" xfId="25704" xr:uid="{00000000-0005-0000-0000-00003B650000}"/>
    <cellStyle name="Pre-inputted cells 2 3 21" xfId="25705" xr:uid="{00000000-0005-0000-0000-00003C650000}"/>
    <cellStyle name="Pre-inputted cells 2 3 22" xfId="25706" xr:uid="{00000000-0005-0000-0000-00003D650000}"/>
    <cellStyle name="Pre-inputted cells 2 3 23" xfId="25707" xr:uid="{00000000-0005-0000-0000-00003E650000}"/>
    <cellStyle name="Pre-inputted cells 2 3 24" xfId="25708" xr:uid="{00000000-0005-0000-0000-00003F650000}"/>
    <cellStyle name="Pre-inputted cells 2 3 25" xfId="25709" xr:uid="{00000000-0005-0000-0000-000040650000}"/>
    <cellStyle name="Pre-inputted cells 2 3 26" xfId="25710" xr:uid="{00000000-0005-0000-0000-000041650000}"/>
    <cellStyle name="Pre-inputted cells 2 3 27" xfId="25711" xr:uid="{00000000-0005-0000-0000-000042650000}"/>
    <cellStyle name="Pre-inputted cells 2 3 28" xfId="25712" xr:uid="{00000000-0005-0000-0000-000043650000}"/>
    <cellStyle name="Pre-inputted cells 2 3 29" xfId="25713" xr:uid="{00000000-0005-0000-0000-000044650000}"/>
    <cellStyle name="Pre-inputted cells 2 3 3" xfId="25714" xr:uid="{00000000-0005-0000-0000-000045650000}"/>
    <cellStyle name="Pre-inputted cells 2 3 3 10" xfId="25715" xr:uid="{00000000-0005-0000-0000-000046650000}"/>
    <cellStyle name="Pre-inputted cells 2 3 3 11" xfId="25716" xr:uid="{00000000-0005-0000-0000-000047650000}"/>
    <cellStyle name="Pre-inputted cells 2 3 3 12" xfId="25717" xr:uid="{00000000-0005-0000-0000-000048650000}"/>
    <cellStyle name="Pre-inputted cells 2 3 3 13" xfId="25718" xr:uid="{00000000-0005-0000-0000-000049650000}"/>
    <cellStyle name="Pre-inputted cells 2 3 3 2" xfId="25719" xr:uid="{00000000-0005-0000-0000-00004A650000}"/>
    <cellStyle name="Pre-inputted cells 2 3 3 2 2" xfId="25720" xr:uid="{00000000-0005-0000-0000-00004B650000}"/>
    <cellStyle name="Pre-inputted cells 2 3 3 2 3" xfId="25721" xr:uid="{00000000-0005-0000-0000-00004C650000}"/>
    <cellStyle name="Pre-inputted cells 2 3 3 3" xfId="25722" xr:uid="{00000000-0005-0000-0000-00004D650000}"/>
    <cellStyle name="Pre-inputted cells 2 3 3 3 2" xfId="25723" xr:uid="{00000000-0005-0000-0000-00004E650000}"/>
    <cellStyle name="Pre-inputted cells 2 3 3 3 3" xfId="25724" xr:uid="{00000000-0005-0000-0000-00004F650000}"/>
    <cellStyle name="Pre-inputted cells 2 3 3 4" xfId="25725" xr:uid="{00000000-0005-0000-0000-000050650000}"/>
    <cellStyle name="Pre-inputted cells 2 3 3 5" xfId="25726" xr:uid="{00000000-0005-0000-0000-000051650000}"/>
    <cellStyle name="Pre-inputted cells 2 3 3 6" xfId="25727" xr:uid="{00000000-0005-0000-0000-000052650000}"/>
    <cellStyle name="Pre-inputted cells 2 3 3 7" xfId="25728" xr:uid="{00000000-0005-0000-0000-000053650000}"/>
    <cellStyle name="Pre-inputted cells 2 3 3 8" xfId="25729" xr:uid="{00000000-0005-0000-0000-000054650000}"/>
    <cellStyle name="Pre-inputted cells 2 3 3 9" xfId="25730" xr:uid="{00000000-0005-0000-0000-000055650000}"/>
    <cellStyle name="Pre-inputted cells 2 3 30" xfId="25731" xr:uid="{00000000-0005-0000-0000-000056650000}"/>
    <cellStyle name="Pre-inputted cells 2 3 31" xfId="25732" xr:uid="{00000000-0005-0000-0000-000057650000}"/>
    <cellStyle name="Pre-inputted cells 2 3 32" xfId="25733" xr:uid="{00000000-0005-0000-0000-000058650000}"/>
    <cellStyle name="Pre-inputted cells 2 3 33" xfId="25734" xr:uid="{00000000-0005-0000-0000-000059650000}"/>
    <cellStyle name="Pre-inputted cells 2 3 34" xfId="25735" xr:uid="{00000000-0005-0000-0000-00005A650000}"/>
    <cellStyle name="Pre-inputted cells 2 3 35" xfId="25736" xr:uid="{00000000-0005-0000-0000-00005B650000}"/>
    <cellStyle name="Pre-inputted cells 2 3 4" xfId="25737" xr:uid="{00000000-0005-0000-0000-00005C650000}"/>
    <cellStyle name="Pre-inputted cells 2 3 4 2" xfId="25738" xr:uid="{00000000-0005-0000-0000-00005D650000}"/>
    <cellStyle name="Pre-inputted cells 2 3 4 3" xfId="25739" xr:uid="{00000000-0005-0000-0000-00005E650000}"/>
    <cellStyle name="Pre-inputted cells 2 3 5" xfId="25740" xr:uid="{00000000-0005-0000-0000-00005F650000}"/>
    <cellStyle name="Pre-inputted cells 2 3 5 2" xfId="25741" xr:uid="{00000000-0005-0000-0000-000060650000}"/>
    <cellStyle name="Pre-inputted cells 2 3 5 3" xfId="25742" xr:uid="{00000000-0005-0000-0000-000061650000}"/>
    <cellStyle name="Pre-inputted cells 2 3 6" xfId="25743" xr:uid="{00000000-0005-0000-0000-000062650000}"/>
    <cellStyle name="Pre-inputted cells 2 3 7" xfId="25744" xr:uid="{00000000-0005-0000-0000-000063650000}"/>
    <cellStyle name="Pre-inputted cells 2 3 8" xfId="25745" xr:uid="{00000000-0005-0000-0000-000064650000}"/>
    <cellStyle name="Pre-inputted cells 2 3 9" xfId="25746" xr:uid="{00000000-0005-0000-0000-000065650000}"/>
    <cellStyle name="Pre-inputted cells 2 3_4 28 1_Asst_Health_Crit_AllTO_RIIO_20110714pm" xfId="25747" xr:uid="{00000000-0005-0000-0000-000066650000}"/>
    <cellStyle name="Pre-inputted cells 2 30" xfId="25748" xr:uid="{00000000-0005-0000-0000-000067650000}"/>
    <cellStyle name="Pre-inputted cells 2 31" xfId="25749" xr:uid="{00000000-0005-0000-0000-000068650000}"/>
    <cellStyle name="Pre-inputted cells 2 32" xfId="25750" xr:uid="{00000000-0005-0000-0000-000069650000}"/>
    <cellStyle name="Pre-inputted cells 2 33" xfId="25751" xr:uid="{00000000-0005-0000-0000-00006A650000}"/>
    <cellStyle name="Pre-inputted cells 2 34" xfId="25752" xr:uid="{00000000-0005-0000-0000-00006B650000}"/>
    <cellStyle name="Pre-inputted cells 2 35" xfId="25753" xr:uid="{00000000-0005-0000-0000-00006C650000}"/>
    <cellStyle name="Pre-inputted cells 2 36" xfId="25754" xr:uid="{00000000-0005-0000-0000-00006D650000}"/>
    <cellStyle name="Pre-inputted cells 2 37" xfId="25755" xr:uid="{00000000-0005-0000-0000-00006E650000}"/>
    <cellStyle name="Pre-inputted cells 2 38" xfId="25756" xr:uid="{00000000-0005-0000-0000-00006F650000}"/>
    <cellStyle name="Pre-inputted cells 2 39" xfId="25757" xr:uid="{00000000-0005-0000-0000-000070650000}"/>
    <cellStyle name="Pre-inputted cells 2 4" xfId="25758" xr:uid="{00000000-0005-0000-0000-000071650000}"/>
    <cellStyle name="Pre-inputted cells 2 4 10" xfId="25759" xr:uid="{00000000-0005-0000-0000-000072650000}"/>
    <cellStyle name="Pre-inputted cells 2 4 11" xfId="25760" xr:uid="{00000000-0005-0000-0000-000073650000}"/>
    <cellStyle name="Pre-inputted cells 2 4 12" xfId="25761" xr:uid="{00000000-0005-0000-0000-000074650000}"/>
    <cellStyle name="Pre-inputted cells 2 4 13" xfId="25762" xr:uid="{00000000-0005-0000-0000-000075650000}"/>
    <cellStyle name="Pre-inputted cells 2 4 14" xfId="25763" xr:uid="{00000000-0005-0000-0000-000076650000}"/>
    <cellStyle name="Pre-inputted cells 2 4 15" xfId="25764" xr:uid="{00000000-0005-0000-0000-000077650000}"/>
    <cellStyle name="Pre-inputted cells 2 4 16" xfId="25765" xr:uid="{00000000-0005-0000-0000-000078650000}"/>
    <cellStyle name="Pre-inputted cells 2 4 17" xfId="25766" xr:uid="{00000000-0005-0000-0000-000079650000}"/>
    <cellStyle name="Pre-inputted cells 2 4 18" xfId="25767" xr:uid="{00000000-0005-0000-0000-00007A650000}"/>
    <cellStyle name="Pre-inputted cells 2 4 19" xfId="25768" xr:uid="{00000000-0005-0000-0000-00007B650000}"/>
    <cellStyle name="Pre-inputted cells 2 4 2" xfId="25769" xr:uid="{00000000-0005-0000-0000-00007C650000}"/>
    <cellStyle name="Pre-inputted cells 2 4 2 10" xfId="25770" xr:uid="{00000000-0005-0000-0000-00007D650000}"/>
    <cellStyle name="Pre-inputted cells 2 4 2 11" xfId="25771" xr:uid="{00000000-0005-0000-0000-00007E650000}"/>
    <cellStyle name="Pre-inputted cells 2 4 2 12" xfId="25772" xr:uid="{00000000-0005-0000-0000-00007F650000}"/>
    <cellStyle name="Pre-inputted cells 2 4 2 13" xfId="25773" xr:uid="{00000000-0005-0000-0000-000080650000}"/>
    <cellStyle name="Pre-inputted cells 2 4 2 2" xfId="25774" xr:uid="{00000000-0005-0000-0000-000081650000}"/>
    <cellStyle name="Pre-inputted cells 2 4 2 2 2" xfId="25775" xr:uid="{00000000-0005-0000-0000-000082650000}"/>
    <cellStyle name="Pre-inputted cells 2 4 2 2 3" xfId="25776" xr:uid="{00000000-0005-0000-0000-000083650000}"/>
    <cellStyle name="Pre-inputted cells 2 4 2 3" xfId="25777" xr:uid="{00000000-0005-0000-0000-000084650000}"/>
    <cellStyle name="Pre-inputted cells 2 4 2 3 2" xfId="25778" xr:uid="{00000000-0005-0000-0000-000085650000}"/>
    <cellStyle name="Pre-inputted cells 2 4 2 3 3" xfId="25779" xr:uid="{00000000-0005-0000-0000-000086650000}"/>
    <cellStyle name="Pre-inputted cells 2 4 2 4" xfId="25780" xr:uid="{00000000-0005-0000-0000-000087650000}"/>
    <cellStyle name="Pre-inputted cells 2 4 2 5" xfId="25781" xr:uid="{00000000-0005-0000-0000-000088650000}"/>
    <cellStyle name="Pre-inputted cells 2 4 2 6" xfId="25782" xr:uid="{00000000-0005-0000-0000-000089650000}"/>
    <cellStyle name="Pre-inputted cells 2 4 2 7" xfId="25783" xr:uid="{00000000-0005-0000-0000-00008A650000}"/>
    <cellStyle name="Pre-inputted cells 2 4 2 8" xfId="25784" xr:uid="{00000000-0005-0000-0000-00008B650000}"/>
    <cellStyle name="Pre-inputted cells 2 4 2 9" xfId="25785" xr:uid="{00000000-0005-0000-0000-00008C650000}"/>
    <cellStyle name="Pre-inputted cells 2 4 20" xfId="25786" xr:uid="{00000000-0005-0000-0000-00008D650000}"/>
    <cellStyle name="Pre-inputted cells 2 4 21" xfId="25787" xr:uid="{00000000-0005-0000-0000-00008E650000}"/>
    <cellStyle name="Pre-inputted cells 2 4 22" xfId="25788" xr:uid="{00000000-0005-0000-0000-00008F650000}"/>
    <cellStyle name="Pre-inputted cells 2 4 23" xfId="25789" xr:uid="{00000000-0005-0000-0000-000090650000}"/>
    <cellStyle name="Pre-inputted cells 2 4 24" xfId="25790" xr:uid="{00000000-0005-0000-0000-000091650000}"/>
    <cellStyle name="Pre-inputted cells 2 4 25" xfId="25791" xr:uid="{00000000-0005-0000-0000-000092650000}"/>
    <cellStyle name="Pre-inputted cells 2 4 26" xfId="25792" xr:uid="{00000000-0005-0000-0000-000093650000}"/>
    <cellStyle name="Pre-inputted cells 2 4 27" xfId="25793" xr:uid="{00000000-0005-0000-0000-000094650000}"/>
    <cellStyle name="Pre-inputted cells 2 4 28" xfId="25794" xr:uid="{00000000-0005-0000-0000-000095650000}"/>
    <cellStyle name="Pre-inputted cells 2 4 29" xfId="25795" xr:uid="{00000000-0005-0000-0000-000096650000}"/>
    <cellStyle name="Pre-inputted cells 2 4 3" xfId="25796" xr:uid="{00000000-0005-0000-0000-000097650000}"/>
    <cellStyle name="Pre-inputted cells 2 4 3 2" xfId="25797" xr:uid="{00000000-0005-0000-0000-000098650000}"/>
    <cellStyle name="Pre-inputted cells 2 4 3 3" xfId="25798" xr:uid="{00000000-0005-0000-0000-000099650000}"/>
    <cellStyle name="Pre-inputted cells 2 4 30" xfId="25799" xr:uid="{00000000-0005-0000-0000-00009A650000}"/>
    <cellStyle name="Pre-inputted cells 2 4 31" xfId="25800" xr:uid="{00000000-0005-0000-0000-00009B650000}"/>
    <cellStyle name="Pre-inputted cells 2 4 32" xfId="25801" xr:uid="{00000000-0005-0000-0000-00009C650000}"/>
    <cellStyle name="Pre-inputted cells 2 4 33" xfId="25802" xr:uid="{00000000-0005-0000-0000-00009D650000}"/>
    <cellStyle name="Pre-inputted cells 2 4 34" xfId="25803" xr:uid="{00000000-0005-0000-0000-00009E650000}"/>
    <cellStyle name="Pre-inputted cells 2 4 4" xfId="25804" xr:uid="{00000000-0005-0000-0000-00009F650000}"/>
    <cellStyle name="Pre-inputted cells 2 4 4 2" xfId="25805" xr:uid="{00000000-0005-0000-0000-0000A0650000}"/>
    <cellStyle name="Pre-inputted cells 2 4 4 3" xfId="25806" xr:uid="{00000000-0005-0000-0000-0000A1650000}"/>
    <cellStyle name="Pre-inputted cells 2 4 5" xfId="25807" xr:uid="{00000000-0005-0000-0000-0000A2650000}"/>
    <cellStyle name="Pre-inputted cells 2 4 6" xfId="25808" xr:uid="{00000000-0005-0000-0000-0000A3650000}"/>
    <cellStyle name="Pre-inputted cells 2 4 7" xfId="25809" xr:uid="{00000000-0005-0000-0000-0000A4650000}"/>
    <cellStyle name="Pre-inputted cells 2 4 8" xfId="25810" xr:uid="{00000000-0005-0000-0000-0000A5650000}"/>
    <cellStyle name="Pre-inputted cells 2 4 9" xfId="25811" xr:uid="{00000000-0005-0000-0000-0000A6650000}"/>
    <cellStyle name="Pre-inputted cells 2 5" xfId="25812" xr:uid="{00000000-0005-0000-0000-0000A7650000}"/>
    <cellStyle name="Pre-inputted cells 2 5 10" xfId="25813" xr:uid="{00000000-0005-0000-0000-0000A8650000}"/>
    <cellStyle name="Pre-inputted cells 2 5 11" xfId="25814" xr:uid="{00000000-0005-0000-0000-0000A9650000}"/>
    <cellStyle name="Pre-inputted cells 2 5 12" xfId="25815" xr:uid="{00000000-0005-0000-0000-0000AA650000}"/>
    <cellStyle name="Pre-inputted cells 2 5 13" xfId="25816" xr:uid="{00000000-0005-0000-0000-0000AB650000}"/>
    <cellStyle name="Pre-inputted cells 2 5 14" xfId="25817" xr:uid="{00000000-0005-0000-0000-0000AC650000}"/>
    <cellStyle name="Pre-inputted cells 2 5 15" xfId="25818" xr:uid="{00000000-0005-0000-0000-0000AD650000}"/>
    <cellStyle name="Pre-inputted cells 2 5 16" xfId="25819" xr:uid="{00000000-0005-0000-0000-0000AE650000}"/>
    <cellStyle name="Pre-inputted cells 2 5 17" xfId="25820" xr:uid="{00000000-0005-0000-0000-0000AF650000}"/>
    <cellStyle name="Pre-inputted cells 2 5 18" xfId="25821" xr:uid="{00000000-0005-0000-0000-0000B0650000}"/>
    <cellStyle name="Pre-inputted cells 2 5 19" xfId="25822" xr:uid="{00000000-0005-0000-0000-0000B1650000}"/>
    <cellStyle name="Pre-inputted cells 2 5 2" xfId="25823" xr:uid="{00000000-0005-0000-0000-0000B2650000}"/>
    <cellStyle name="Pre-inputted cells 2 5 2 10" xfId="25824" xr:uid="{00000000-0005-0000-0000-0000B3650000}"/>
    <cellStyle name="Pre-inputted cells 2 5 2 11" xfId="25825" xr:uid="{00000000-0005-0000-0000-0000B4650000}"/>
    <cellStyle name="Pre-inputted cells 2 5 2 12" xfId="25826" xr:uid="{00000000-0005-0000-0000-0000B5650000}"/>
    <cellStyle name="Pre-inputted cells 2 5 2 13" xfId="25827" xr:uid="{00000000-0005-0000-0000-0000B6650000}"/>
    <cellStyle name="Pre-inputted cells 2 5 2 2" xfId="25828" xr:uid="{00000000-0005-0000-0000-0000B7650000}"/>
    <cellStyle name="Pre-inputted cells 2 5 2 2 2" xfId="25829" xr:uid="{00000000-0005-0000-0000-0000B8650000}"/>
    <cellStyle name="Pre-inputted cells 2 5 2 2 3" xfId="25830" xr:uid="{00000000-0005-0000-0000-0000B9650000}"/>
    <cellStyle name="Pre-inputted cells 2 5 2 3" xfId="25831" xr:uid="{00000000-0005-0000-0000-0000BA650000}"/>
    <cellStyle name="Pre-inputted cells 2 5 2 3 2" xfId="25832" xr:uid="{00000000-0005-0000-0000-0000BB650000}"/>
    <cellStyle name="Pre-inputted cells 2 5 2 3 3" xfId="25833" xr:uid="{00000000-0005-0000-0000-0000BC650000}"/>
    <cellStyle name="Pre-inputted cells 2 5 2 4" xfId="25834" xr:uid="{00000000-0005-0000-0000-0000BD650000}"/>
    <cellStyle name="Pre-inputted cells 2 5 2 5" xfId="25835" xr:uid="{00000000-0005-0000-0000-0000BE650000}"/>
    <cellStyle name="Pre-inputted cells 2 5 2 6" xfId="25836" xr:uid="{00000000-0005-0000-0000-0000BF650000}"/>
    <cellStyle name="Pre-inputted cells 2 5 2 7" xfId="25837" xr:uid="{00000000-0005-0000-0000-0000C0650000}"/>
    <cellStyle name="Pre-inputted cells 2 5 2 8" xfId="25838" xr:uid="{00000000-0005-0000-0000-0000C1650000}"/>
    <cellStyle name="Pre-inputted cells 2 5 2 9" xfId="25839" xr:uid="{00000000-0005-0000-0000-0000C2650000}"/>
    <cellStyle name="Pre-inputted cells 2 5 20" xfId="25840" xr:uid="{00000000-0005-0000-0000-0000C3650000}"/>
    <cellStyle name="Pre-inputted cells 2 5 21" xfId="25841" xr:uid="{00000000-0005-0000-0000-0000C4650000}"/>
    <cellStyle name="Pre-inputted cells 2 5 22" xfId="25842" xr:uid="{00000000-0005-0000-0000-0000C5650000}"/>
    <cellStyle name="Pre-inputted cells 2 5 23" xfId="25843" xr:uid="{00000000-0005-0000-0000-0000C6650000}"/>
    <cellStyle name="Pre-inputted cells 2 5 24" xfId="25844" xr:uid="{00000000-0005-0000-0000-0000C7650000}"/>
    <cellStyle name="Pre-inputted cells 2 5 25" xfId="25845" xr:uid="{00000000-0005-0000-0000-0000C8650000}"/>
    <cellStyle name="Pre-inputted cells 2 5 26" xfId="25846" xr:uid="{00000000-0005-0000-0000-0000C9650000}"/>
    <cellStyle name="Pre-inputted cells 2 5 27" xfId="25847" xr:uid="{00000000-0005-0000-0000-0000CA650000}"/>
    <cellStyle name="Pre-inputted cells 2 5 28" xfId="25848" xr:uid="{00000000-0005-0000-0000-0000CB650000}"/>
    <cellStyle name="Pre-inputted cells 2 5 29" xfId="25849" xr:uid="{00000000-0005-0000-0000-0000CC650000}"/>
    <cellStyle name="Pre-inputted cells 2 5 3" xfId="25850" xr:uid="{00000000-0005-0000-0000-0000CD650000}"/>
    <cellStyle name="Pre-inputted cells 2 5 3 2" xfId="25851" xr:uid="{00000000-0005-0000-0000-0000CE650000}"/>
    <cellStyle name="Pre-inputted cells 2 5 3 3" xfId="25852" xr:uid="{00000000-0005-0000-0000-0000CF650000}"/>
    <cellStyle name="Pre-inputted cells 2 5 30" xfId="25853" xr:uid="{00000000-0005-0000-0000-0000D0650000}"/>
    <cellStyle name="Pre-inputted cells 2 5 31" xfId="25854" xr:uid="{00000000-0005-0000-0000-0000D1650000}"/>
    <cellStyle name="Pre-inputted cells 2 5 32" xfId="25855" xr:uid="{00000000-0005-0000-0000-0000D2650000}"/>
    <cellStyle name="Pre-inputted cells 2 5 33" xfId="25856" xr:uid="{00000000-0005-0000-0000-0000D3650000}"/>
    <cellStyle name="Pre-inputted cells 2 5 34" xfId="25857" xr:uid="{00000000-0005-0000-0000-0000D4650000}"/>
    <cellStyle name="Pre-inputted cells 2 5 4" xfId="25858" xr:uid="{00000000-0005-0000-0000-0000D5650000}"/>
    <cellStyle name="Pre-inputted cells 2 5 4 2" xfId="25859" xr:uid="{00000000-0005-0000-0000-0000D6650000}"/>
    <cellStyle name="Pre-inputted cells 2 5 4 3" xfId="25860" xr:uid="{00000000-0005-0000-0000-0000D7650000}"/>
    <cellStyle name="Pre-inputted cells 2 5 5" xfId="25861" xr:uid="{00000000-0005-0000-0000-0000D8650000}"/>
    <cellStyle name="Pre-inputted cells 2 5 6" xfId="25862" xr:uid="{00000000-0005-0000-0000-0000D9650000}"/>
    <cellStyle name="Pre-inputted cells 2 5 7" xfId="25863" xr:uid="{00000000-0005-0000-0000-0000DA650000}"/>
    <cellStyle name="Pre-inputted cells 2 5 8" xfId="25864" xr:uid="{00000000-0005-0000-0000-0000DB650000}"/>
    <cellStyle name="Pre-inputted cells 2 5 9" xfId="25865" xr:uid="{00000000-0005-0000-0000-0000DC650000}"/>
    <cellStyle name="Pre-inputted cells 2 6" xfId="25866" xr:uid="{00000000-0005-0000-0000-0000DD650000}"/>
    <cellStyle name="Pre-inputted cells 2 6 10" xfId="25867" xr:uid="{00000000-0005-0000-0000-0000DE650000}"/>
    <cellStyle name="Pre-inputted cells 2 6 11" xfId="25868" xr:uid="{00000000-0005-0000-0000-0000DF650000}"/>
    <cellStyle name="Pre-inputted cells 2 6 12" xfId="25869" xr:uid="{00000000-0005-0000-0000-0000E0650000}"/>
    <cellStyle name="Pre-inputted cells 2 6 13" xfId="25870" xr:uid="{00000000-0005-0000-0000-0000E1650000}"/>
    <cellStyle name="Pre-inputted cells 2 6 2" xfId="25871" xr:uid="{00000000-0005-0000-0000-0000E2650000}"/>
    <cellStyle name="Pre-inputted cells 2 6 2 2" xfId="25872" xr:uid="{00000000-0005-0000-0000-0000E3650000}"/>
    <cellStyle name="Pre-inputted cells 2 6 2 3" xfId="25873" xr:uid="{00000000-0005-0000-0000-0000E4650000}"/>
    <cellStyle name="Pre-inputted cells 2 6 3" xfId="25874" xr:uid="{00000000-0005-0000-0000-0000E5650000}"/>
    <cellStyle name="Pre-inputted cells 2 6 3 2" xfId="25875" xr:uid="{00000000-0005-0000-0000-0000E6650000}"/>
    <cellStyle name="Pre-inputted cells 2 6 3 3" xfId="25876" xr:uid="{00000000-0005-0000-0000-0000E7650000}"/>
    <cellStyle name="Pre-inputted cells 2 6 4" xfId="25877" xr:uid="{00000000-0005-0000-0000-0000E8650000}"/>
    <cellStyle name="Pre-inputted cells 2 6 5" xfId="25878" xr:uid="{00000000-0005-0000-0000-0000E9650000}"/>
    <cellStyle name="Pre-inputted cells 2 6 6" xfId="25879" xr:uid="{00000000-0005-0000-0000-0000EA650000}"/>
    <cellStyle name="Pre-inputted cells 2 6 7" xfId="25880" xr:uid="{00000000-0005-0000-0000-0000EB650000}"/>
    <cellStyle name="Pre-inputted cells 2 6 8" xfId="25881" xr:uid="{00000000-0005-0000-0000-0000EC650000}"/>
    <cellStyle name="Pre-inputted cells 2 6 9" xfId="25882" xr:uid="{00000000-0005-0000-0000-0000ED650000}"/>
    <cellStyle name="Pre-inputted cells 2 7" xfId="25883" xr:uid="{00000000-0005-0000-0000-0000EE650000}"/>
    <cellStyle name="Pre-inputted cells 2 7 2" xfId="25884" xr:uid="{00000000-0005-0000-0000-0000EF650000}"/>
    <cellStyle name="Pre-inputted cells 2 7 2 2" xfId="25885" xr:uid="{00000000-0005-0000-0000-0000F0650000}"/>
    <cellStyle name="Pre-inputted cells 2 7 2 3" xfId="25886" xr:uid="{00000000-0005-0000-0000-0000F1650000}"/>
    <cellStyle name="Pre-inputted cells 2 7 3" xfId="25887" xr:uid="{00000000-0005-0000-0000-0000F2650000}"/>
    <cellStyle name="Pre-inputted cells 2 7 3 2" xfId="25888" xr:uid="{00000000-0005-0000-0000-0000F3650000}"/>
    <cellStyle name="Pre-inputted cells 2 7 4" xfId="25889" xr:uid="{00000000-0005-0000-0000-0000F4650000}"/>
    <cellStyle name="Pre-inputted cells 2 8" xfId="25890" xr:uid="{00000000-0005-0000-0000-0000F5650000}"/>
    <cellStyle name="Pre-inputted cells 2 8 2" xfId="25891" xr:uid="{00000000-0005-0000-0000-0000F6650000}"/>
    <cellStyle name="Pre-inputted cells 2 9" xfId="25892" xr:uid="{00000000-0005-0000-0000-0000F7650000}"/>
    <cellStyle name="Pre-inputted cells 2 9 2" xfId="25893" xr:uid="{00000000-0005-0000-0000-0000F8650000}"/>
    <cellStyle name="Pre-inputted cells 2_1.3s Accounting C Costs Scots" xfId="25894" xr:uid="{00000000-0005-0000-0000-0000F9650000}"/>
    <cellStyle name="Pre-inputted cells 20" xfId="25895" xr:uid="{00000000-0005-0000-0000-0000FA650000}"/>
    <cellStyle name="Pre-inputted cells 20 2" xfId="25896" xr:uid="{00000000-0005-0000-0000-0000FB650000}"/>
    <cellStyle name="Pre-inputted cells 21" xfId="25897" xr:uid="{00000000-0005-0000-0000-0000FC650000}"/>
    <cellStyle name="Pre-inputted cells 21 2" xfId="25898" xr:uid="{00000000-0005-0000-0000-0000FD650000}"/>
    <cellStyle name="Pre-inputted cells 22" xfId="25899" xr:uid="{00000000-0005-0000-0000-0000FE650000}"/>
    <cellStyle name="Pre-inputted cells 22 2" xfId="25900" xr:uid="{00000000-0005-0000-0000-0000FF650000}"/>
    <cellStyle name="Pre-inputted cells 23" xfId="25901" xr:uid="{00000000-0005-0000-0000-000000660000}"/>
    <cellStyle name="Pre-inputted cells 23 2" xfId="25902" xr:uid="{00000000-0005-0000-0000-000001660000}"/>
    <cellStyle name="Pre-inputted cells 24" xfId="25903" xr:uid="{00000000-0005-0000-0000-000002660000}"/>
    <cellStyle name="Pre-inputted cells 24 2" xfId="25904" xr:uid="{00000000-0005-0000-0000-000003660000}"/>
    <cellStyle name="Pre-inputted cells 25" xfId="25905" xr:uid="{00000000-0005-0000-0000-000004660000}"/>
    <cellStyle name="Pre-inputted cells 25 2" xfId="25906" xr:uid="{00000000-0005-0000-0000-000005660000}"/>
    <cellStyle name="Pre-inputted cells 26" xfId="25907" xr:uid="{00000000-0005-0000-0000-000006660000}"/>
    <cellStyle name="Pre-inputted cells 26 2" xfId="25908" xr:uid="{00000000-0005-0000-0000-000007660000}"/>
    <cellStyle name="Pre-inputted cells 27" xfId="25909" xr:uid="{00000000-0005-0000-0000-000008660000}"/>
    <cellStyle name="Pre-inputted cells 27 2" xfId="25910" xr:uid="{00000000-0005-0000-0000-000009660000}"/>
    <cellStyle name="Pre-inputted cells 28" xfId="25911" xr:uid="{00000000-0005-0000-0000-00000A660000}"/>
    <cellStyle name="Pre-inputted cells 28 2" xfId="25912" xr:uid="{00000000-0005-0000-0000-00000B660000}"/>
    <cellStyle name="Pre-inputted cells 29" xfId="25913" xr:uid="{00000000-0005-0000-0000-00000C660000}"/>
    <cellStyle name="Pre-inputted cells 29 2" xfId="25914" xr:uid="{00000000-0005-0000-0000-00000D660000}"/>
    <cellStyle name="Pre-inputted cells 3" xfId="25915" xr:uid="{00000000-0005-0000-0000-00000E660000}"/>
    <cellStyle name="Pre-inputted cells 3 10" xfId="25916" xr:uid="{00000000-0005-0000-0000-00000F660000}"/>
    <cellStyle name="Pre-inputted cells 3 10 2" xfId="25917" xr:uid="{00000000-0005-0000-0000-000010660000}"/>
    <cellStyle name="Pre-inputted cells 3 11" xfId="25918" xr:uid="{00000000-0005-0000-0000-000011660000}"/>
    <cellStyle name="Pre-inputted cells 3 11 2" xfId="25919" xr:uid="{00000000-0005-0000-0000-000012660000}"/>
    <cellStyle name="Pre-inputted cells 3 12" xfId="25920" xr:uid="{00000000-0005-0000-0000-000013660000}"/>
    <cellStyle name="Pre-inputted cells 3 12 2" xfId="25921" xr:uid="{00000000-0005-0000-0000-000014660000}"/>
    <cellStyle name="Pre-inputted cells 3 13" xfId="25922" xr:uid="{00000000-0005-0000-0000-000015660000}"/>
    <cellStyle name="Pre-inputted cells 3 13 2" xfId="25923" xr:uid="{00000000-0005-0000-0000-000016660000}"/>
    <cellStyle name="Pre-inputted cells 3 14" xfId="25924" xr:uid="{00000000-0005-0000-0000-000017660000}"/>
    <cellStyle name="Pre-inputted cells 3 14 2" xfId="25925" xr:uid="{00000000-0005-0000-0000-000018660000}"/>
    <cellStyle name="Pre-inputted cells 3 15" xfId="25926" xr:uid="{00000000-0005-0000-0000-000019660000}"/>
    <cellStyle name="Pre-inputted cells 3 15 2" xfId="25927" xr:uid="{00000000-0005-0000-0000-00001A660000}"/>
    <cellStyle name="Pre-inputted cells 3 16" xfId="25928" xr:uid="{00000000-0005-0000-0000-00001B660000}"/>
    <cellStyle name="Pre-inputted cells 3 16 2" xfId="25929" xr:uid="{00000000-0005-0000-0000-00001C660000}"/>
    <cellStyle name="Pre-inputted cells 3 17" xfId="25930" xr:uid="{00000000-0005-0000-0000-00001D660000}"/>
    <cellStyle name="Pre-inputted cells 3 17 2" xfId="25931" xr:uid="{00000000-0005-0000-0000-00001E660000}"/>
    <cellStyle name="Pre-inputted cells 3 18" xfId="25932" xr:uid="{00000000-0005-0000-0000-00001F660000}"/>
    <cellStyle name="Pre-inputted cells 3 18 2" xfId="25933" xr:uid="{00000000-0005-0000-0000-000020660000}"/>
    <cellStyle name="Pre-inputted cells 3 19" xfId="25934" xr:uid="{00000000-0005-0000-0000-000021660000}"/>
    <cellStyle name="Pre-inputted cells 3 19 2" xfId="25935" xr:uid="{00000000-0005-0000-0000-000022660000}"/>
    <cellStyle name="Pre-inputted cells 3 2" xfId="25936" xr:uid="{00000000-0005-0000-0000-000023660000}"/>
    <cellStyle name="Pre-inputted cells 3 2 10" xfId="25937" xr:uid="{00000000-0005-0000-0000-000024660000}"/>
    <cellStyle name="Pre-inputted cells 3 2 10 2" xfId="25938" xr:uid="{00000000-0005-0000-0000-000025660000}"/>
    <cellStyle name="Pre-inputted cells 3 2 11" xfId="25939" xr:uid="{00000000-0005-0000-0000-000026660000}"/>
    <cellStyle name="Pre-inputted cells 3 2 11 2" xfId="25940" xr:uid="{00000000-0005-0000-0000-000027660000}"/>
    <cellStyle name="Pre-inputted cells 3 2 12" xfId="25941" xr:uid="{00000000-0005-0000-0000-000028660000}"/>
    <cellStyle name="Pre-inputted cells 3 2 12 2" xfId="25942" xr:uid="{00000000-0005-0000-0000-000029660000}"/>
    <cellStyle name="Pre-inputted cells 3 2 13" xfId="25943" xr:uid="{00000000-0005-0000-0000-00002A660000}"/>
    <cellStyle name="Pre-inputted cells 3 2 13 2" xfId="25944" xr:uid="{00000000-0005-0000-0000-00002B660000}"/>
    <cellStyle name="Pre-inputted cells 3 2 14" xfId="25945" xr:uid="{00000000-0005-0000-0000-00002C660000}"/>
    <cellStyle name="Pre-inputted cells 3 2 14 2" xfId="25946" xr:uid="{00000000-0005-0000-0000-00002D660000}"/>
    <cellStyle name="Pre-inputted cells 3 2 15" xfId="25947" xr:uid="{00000000-0005-0000-0000-00002E660000}"/>
    <cellStyle name="Pre-inputted cells 3 2 15 2" xfId="25948" xr:uid="{00000000-0005-0000-0000-00002F660000}"/>
    <cellStyle name="Pre-inputted cells 3 2 16" xfId="25949" xr:uid="{00000000-0005-0000-0000-000030660000}"/>
    <cellStyle name="Pre-inputted cells 3 2 16 2" xfId="25950" xr:uid="{00000000-0005-0000-0000-000031660000}"/>
    <cellStyle name="Pre-inputted cells 3 2 17" xfId="25951" xr:uid="{00000000-0005-0000-0000-000032660000}"/>
    <cellStyle name="Pre-inputted cells 3 2 17 2" xfId="25952" xr:uid="{00000000-0005-0000-0000-000033660000}"/>
    <cellStyle name="Pre-inputted cells 3 2 18" xfId="25953" xr:uid="{00000000-0005-0000-0000-000034660000}"/>
    <cellStyle name="Pre-inputted cells 3 2 18 2" xfId="25954" xr:uid="{00000000-0005-0000-0000-000035660000}"/>
    <cellStyle name="Pre-inputted cells 3 2 19" xfId="25955" xr:uid="{00000000-0005-0000-0000-000036660000}"/>
    <cellStyle name="Pre-inputted cells 3 2 19 2" xfId="25956" xr:uid="{00000000-0005-0000-0000-000037660000}"/>
    <cellStyle name="Pre-inputted cells 3 2 2" xfId="25957" xr:uid="{00000000-0005-0000-0000-000038660000}"/>
    <cellStyle name="Pre-inputted cells 3 2 2 10" xfId="25958" xr:uid="{00000000-0005-0000-0000-000039660000}"/>
    <cellStyle name="Pre-inputted cells 3 2 2 11" xfId="25959" xr:uid="{00000000-0005-0000-0000-00003A660000}"/>
    <cellStyle name="Pre-inputted cells 3 2 2 12" xfId="25960" xr:uid="{00000000-0005-0000-0000-00003B660000}"/>
    <cellStyle name="Pre-inputted cells 3 2 2 13" xfId="25961" xr:uid="{00000000-0005-0000-0000-00003C660000}"/>
    <cellStyle name="Pre-inputted cells 3 2 2 14" xfId="25962" xr:uid="{00000000-0005-0000-0000-00003D660000}"/>
    <cellStyle name="Pre-inputted cells 3 2 2 15" xfId="25963" xr:uid="{00000000-0005-0000-0000-00003E660000}"/>
    <cellStyle name="Pre-inputted cells 3 2 2 16" xfId="25964" xr:uid="{00000000-0005-0000-0000-00003F660000}"/>
    <cellStyle name="Pre-inputted cells 3 2 2 17" xfId="25965" xr:uid="{00000000-0005-0000-0000-000040660000}"/>
    <cellStyle name="Pre-inputted cells 3 2 2 18" xfId="25966" xr:uid="{00000000-0005-0000-0000-000041660000}"/>
    <cellStyle name="Pre-inputted cells 3 2 2 19" xfId="25967" xr:uid="{00000000-0005-0000-0000-000042660000}"/>
    <cellStyle name="Pre-inputted cells 3 2 2 2" xfId="25968" xr:uid="{00000000-0005-0000-0000-000043660000}"/>
    <cellStyle name="Pre-inputted cells 3 2 2 2 10" xfId="25969" xr:uid="{00000000-0005-0000-0000-000044660000}"/>
    <cellStyle name="Pre-inputted cells 3 2 2 2 11" xfId="25970" xr:uid="{00000000-0005-0000-0000-000045660000}"/>
    <cellStyle name="Pre-inputted cells 3 2 2 2 12" xfId="25971" xr:uid="{00000000-0005-0000-0000-000046660000}"/>
    <cellStyle name="Pre-inputted cells 3 2 2 2 13" xfId="25972" xr:uid="{00000000-0005-0000-0000-000047660000}"/>
    <cellStyle name="Pre-inputted cells 3 2 2 2 14" xfId="25973" xr:uid="{00000000-0005-0000-0000-000048660000}"/>
    <cellStyle name="Pre-inputted cells 3 2 2 2 15" xfId="25974" xr:uid="{00000000-0005-0000-0000-000049660000}"/>
    <cellStyle name="Pre-inputted cells 3 2 2 2 16" xfId="25975" xr:uid="{00000000-0005-0000-0000-00004A660000}"/>
    <cellStyle name="Pre-inputted cells 3 2 2 2 17" xfId="25976" xr:uid="{00000000-0005-0000-0000-00004B660000}"/>
    <cellStyle name="Pre-inputted cells 3 2 2 2 18" xfId="25977" xr:uid="{00000000-0005-0000-0000-00004C660000}"/>
    <cellStyle name="Pre-inputted cells 3 2 2 2 19" xfId="25978" xr:uid="{00000000-0005-0000-0000-00004D660000}"/>
    <cellStyle name="Pre-inputted cells 3 2 2 2 2" xfId="25979" xr:uid="{00000000-0005-0000-0000-00004E660000}"/>
    <cellStyle name="Pre-inputted cells 3 2 2 2 2 10" xfId="25980" xr:uid="{00000000-0005-0000-0000-00004F660000}"/>
    <cellStyle name="Pre-inputted cells 3 2 2 2 2 11" xfId="25981" xr:uid="{00000000-0005-0000-0000-000050660000}"/>
    <cellStyle name="Pre-inputted cells 3 2 2 2 2 12" xfId="25982" xr:uid="{00000000-0005-0000-0000-000051660000}"/>
    <cellStyle name="Pre-inputted cells 3 2 2 2 2 13" xfId="25983" xr:uid="{00000000-0005-0000-0000-000052660000}"/>
    <cellStyle name="Pre-inputted cells 3 2 2 2 2 2" xfId="25984" xr:uid="{00000000-0005-0000-0000-000053660000}"/>
    <cellStyle name="Pre-inputted cells 3 2 2 2 2 2 2" xfId="25985" xr:uid="{00000000-0005-0000-0000-000054660000}"/>
    <cellStyle name="Pre-inputted cells 3 2 2 2 2 2 3" xfId="25986" xr:uid="{00000000-0005-0000-0000-000055660000}"/>
    <cellStyle name="Pre-inputted cells 3 2 2 2 2 3" xfId="25987" xr:uid="{00000000-0005-0000-0000-000056660000}"/>
    <cellStyle name="Pre-inputted cells 3 2 2 2 2 3 2" xfId="25988" xr:uid="{00000000-0005-0000-0000-000057660000}"/>
    <cellStyle name="Pre-inputted cells 3 2 2 2 2 3 3" xfId="25989" xr:uid="{00000000-0005-0000-0000-000058660000}"/>
    <cellStyle name="Pre-inputted cells 3 2 2 2 2 4" xfId="25990" xr:uid="{00000000-0005-0000-0000-000059660000}"/>
    <cellStyle name="Pre-inputted cells 3 2 2 2 2 5" xfId="25991" xr:uid="{00000000-0005-0000-0000-00005A660000}"/>
    <cellStyle name="Pre-inputted cells 3 2 2 2 2 6" xfId="25992" xr:uid="{00000000-0005-0000-0000-00005B660000}"/>
    <cellStyle name="Pre-inputted cells 3 2 2 2 2 7" xfId="25993" xr:uid="{00000000-0005-0000-0000-00005C660000}"/>
    <cellStyle name="Pre-inputted cells 3 2 2 2 2 8" xfId="25994" xr:uid="{00000000-0005-0000-0000-00005D660000}"/>
    <cellStyle name="Pre-inputted cells 3 2 2 2 2 9" xfId="25995" xr:uid="{00000000-0005-0000-0000-00005E660000}"/>
    <cellStyle name="Pre-inputted cells 3 2 2 2 20" xfId="25996" xr:uid="{00000000-0005-0000-0000-00005F660000}"/>
    <cellStyle name="Pre-inputted cells 3 2 2 2 21" xfId="25997" xr:uid="{00000000-0005-0000-0000-000060660000}"/>
    <cellStyle name="Pre-inputted cells 3 2 2 2 22" xfId="25998" xr:uid="{00000000-0005-0000-0000-000061660000}"/>
    <cellStyle name="Pre-inputted cells 3 2 2 2 23" xfId="25999" xr:uid="{00000000-0005-0000-0000-000062660000}"/>
    <cellStyle name="Pre-inputted cells 3 2 2 2 24" xfId="26000" xr:uid="{00000000-0005-0000-0000-000063660000}"/>
    <cellStyle name="Pre-inputted cells 3 2 2 2 25" xfId="26001" xr:uid="{00000000-0005-0000-0000-000064660000}"/>
    <cellStyle name="Pre-inputted cells 3 2 2 2 26" xfId="26002" xr:uid="{00000000-0005-0000-0000-000065660000}"/>
    <cellStyle name="Pre-inputted cells 3 2 2 2 27" xfId="26003" xr:uid="{00000000-0005-0000-0000-000066660000}"/>
    <cellStyle name="Pre-inputted cells 3 2 2 2 28" xfId="26004" xr:uid="{00000000-0005-0000-0000-000067660000}"/>
    <cellStyle name="Pre-inputted cells 3 2 2 2 29" xfId="26005" xr:uid="{00000000-0005-0000-0000-000068660000}"/>
    <cellStyle name="Pre-inputted cells 3 2 2 2 3" xfId="26006" xr:uid="{00000000-0005-0000-0000-000069660000}"/>
    <cellStyle name="Pre-inputted cells 3 2 2 2 3 2" xfId="26007" xr:uid="{00000000-0005-0000-0000-00006A660000}"/>
    <cellStyle name="Pre-inputted cells 3 2 2 2 3 3" xfId="26008" xr:uid="{00000000-0005-0000-0000-00006B660000}"/>
    <cellStyle name="Pre-inputted cells 3 2 2 2 30" xfId="26009" xr:uid="{00000000-0005-0000-0000-00006C660000}"/>
    <cellStyle name="Pre-inputted cells 3 2 2 2 31" xfId="26010" xr:uid="{00000000-0005-0000-0000-00006D660000}"/>
    <cellStyle name="Pre-inputted cells 3 2 2 2 32" xfId="26011" xr:uid="{00000000-0005-0000-0000-00006E660000}"/>
    <cellStyle name="Pre-inputted cells 3 2 2 2 33" xfId="26012" xr:uid="{00000000-0005-0000-0000-00006F660000}"/>
    <cellStyle name="Pre-inputted cells 3 2 2 2 34" xfId="26013" xr:uid="{00000000-0005-0000-0000-000070660000}"/>
    <cellStyle name="Pre-inputted cells 3 2 2 2 4" xfId="26014" xr:uid="{00000000-0005-0000-0000-000071660000}"/>
    <cellStyle name="Pre-inputted cells 3 2 2 2 4 2" xfId="26015" xr:uid="{00000000-0005-0000-0000-000072660000}"/>
    <cellStyle name="Pre-inputted cells 3 2 2 2 4 3" xfId="26016" xr:uid="{00000000-0005-0000-0000-000073660000}"/>
    <cellStyle name="Pre-inputted cells 3 2 2 2 5" xfId="26017" xr:uid="{00000000-0005-0000-0000-000074660000}"/>
    <cellStyle name="Pre-inputted cells 3 2 2 2 6" xfId="26018" xr:uid="{00000000-0005-0000-0000-000075660000}"/>
    <cellStyle name="Pre-inputted cells 3 2 2 2 7" xfId="26019" xr:uid="{00000000-0005-0000-0000-000076660000}"/>
    <cellStyle name="Pre-inputted cells 3 2 2 2 8" xfId="26020" xr:uid="{00000000-0005-0000-0000-000077660000}"/>
    <cellStyle name="Pre-inputted cells 3 2 2 2 9" xfId="26021" xr:uid="{00000000-0005-0000-0000-000078660000}"/>
    <cellStyle name="Pre-inputted cells 3 2 2 20" xfId="26022" xr:uid="{00000000-0005-0000-0000-000079660000}"/>
    <cellStyle name="Pre-inputted cells 3 2 2 21" xfId="26023" xr:uid="{00000000-0005-0000-0000-00007A660000}"/>
    <cellStyle name="Pre-inputted cells 3 2 2 22" xfId="26024" xr:uid="{00000000-0005-0000-0000-00007B660000}"/>
    <cellStyle name="Pre-inputted cells 3 2 2 23" xfId="26025" xr:uid="{00000000-0005-0000-0000-00007C660000}"/>
    <cellStyle name="Pre-inputted cells 3 2 2 24" xfId="26026" xr:uid="{00000000-0005-0000-0000-00007D660000}"/>
    <cellStyle name="Pre-inputted cells 3 2 2 25" xfId="26027" xr:uid="{00000000-0005-0000-0000-00007E660000}"/>
    <cellStyle name="Pre-inputted cells 3 2 2 26" xfId="26028" xr:uid="{00000000-0005-0000-0000-00007F660000}"/>
    <cellStyle name="Pre-inputted cells 3 2 2 27" xfId="26029" xr:uid="{00000000-0005-0000-0000-000080660000}"/>
    <cellStyle name="Pre-inputted cells 3 2 2 28" xfId="26030" xr:uid="{00000000-0005-0000-0000-000081660000}"/>
    <cellStyle name="Pre-inputted cells 3 2 2 29" xfId="26031" xr:uid="{00000000-0005-0000-0000-000082660000}"/>
    <cellStyle name="Pre-inputted cells 3 2 2 3" xfId="26032" xr:uid="{00000000-0005-0000-0000-000083660000}"/>
    <cellStyle name="Pre-inputted cells 3 2 2 3 10" xfId="26033" xr:uid="{00000000-0005-0000-0000-000084660000}"/>
    <cellStyle name="Pre-inputted cells 3 2 2 3 11" xfId="26034" xr:uid="{00000000-0005-0000-0000-000085660000}"/>
    <cellStyle name="Pre-inputted cells 3 2 2 3 12" xfId="26035" xr:uid="{00000000-0005-0000-0000-000086660000}"/>
    <cellStyle name="Pre-inputted cells 3 2 2 3 13" xfId="26036" xr:uid="{00000000-0005-0000-0000-000087660000}"/>
    <cellStyle name="Pre-inputted cells 3 2 2 3 2" xfId="26037" xr:uid="{00000000-0005-0000-0000-000088660000}"/>
    <cellStyle name="Pre-inputted cells 3 2 2 3 2 2" xfId="26038" xr:uid="{00000000-0005-0000-0000-000089660000}"/>
    <cellStyle name="Pre-inputted cells 3 2 2 3 2 3" xfId="26039" xr:uid="{00000000-0005-0000-0000-00008A660000}"/>
    <cellStyle name="Pre-inputted cells 3 2 2 3 3" xfId="26040" xr:uid="{00000000-0005-0000-0000-00008B660000}"/>
    <cellStyle name="Pre-inputted cells 3 2 2 3 3 2" xfId="26041" xr:uid="{00000000-0005-0000-0000-00008C660000}"/>
    <cellStyle name="Pre-inputted cells 3 2 2 3 3 3" xfId="26042" xr:uid="{00000000-0005-0000-0000-00008D660000}"/>
    <cellStyle name="Pre-inputted cells 3 2 2 3 4" xfId="26043" xr:uid="{00000000-0005-0000-0000-00008E660000}"/>
    <cellStyle name="Pre-inputted cells 3 2 2 3 5" xfId="26044" xr:uid="{00000000-0005-0000-0000-00008F660000}"/>
    <cellStyle name="Pre-inputted cells 3 2 2 3 6" xfId="26045" xr:uid="{00000000-0005-0000-0000-000090660000}"/>
    <cellStyle name="Pre-inputted cells 3 2 2 3 7" xfId="26046" xr:uid="{00000000-0005-0000-0000-000091660000}"/>
    <cellStyle name="Pre-inputted cells 3 2 2 3 8" xfId="26047" xr:uid="{00000000-0005-0000-0000-000092660000}"/>
    <cellStyle name="Pre-inputted cells 3 2 2 3 9" xfId="26048" xr:uid="{00000000-0005-0000-0000-000093660000}"/>
    <cellStyle name="Pre-inputted cells 3 2 2 30" xfId="26049" xr:uid="{00000000-0005-0000-0000-000094660000}"/>
    <cellStyle name="Pre-inputted cells 3 2 2 31" xfId="26050" xr:uid="{00000000-0005-0000-0000-000095660000}"/>
    <cellStyle name="Pre-inputted cells 3 2 2 32" xfId="26051" xr:uid="{00000000-0005-0000-0000-000096660000}"/>
    <cellStyle name="Pre-inputted cells 3 2 2 33" xfId="26052" xr:uid="{00000000-0005-0000-0000-000097660000}"/>
    <cellStyle name="Pre-inputted cells 3 2 2 34" xfId="26053" xr:uid="{00000000-0005-0000-0000-000098660000}"/>
    <cellStyle name="Pre-inputted cells 3 2 2 35" xfId="26054" xr:uid="{00000000-0005-0000-0000-000099660000}"/>
    <cellStyle name="Pre-inputted cells 3 2 2 4" xfId="26055" xr:uid="{00000000-0005-0000-0000-00009A660000}"/>
    <cellStyle name="Pre-inputted cells 3 2 2 4 2" xfId="26056" xr:uid="{00000000-0005-0000-0000-00009B660000}"/>
    <cellStyle name="Pre-inputted cells 3 2 2 4 3" xfId="26057" xr:uid="{00000000-0005-0000-0000-00009C660000}"/>
    <cellStyle name="Pre-inputted cells 3 2 2 5" xfId="26058" xr:uid="{00000000-0005-0000-0000-00009D660000}"/>
    <cellStyle name="Pre-inputted cells 3 2 2 5 2" xfId="26059" xr:uid="{00000000-0005-0000-0000-00009E660000}"/>
    <cellStyle name="Pre-inputted cells 3 2 2 5 3" xfId="26060" xr:uid="{00000000-0005-0000-0000-00009F660000}"/>
    <cellStyle name="Pre-inputted cells 3 2 2 6" xfId="26061" xr:uid="{00000000-0005-0000-0000-0000A0660000}"/>
    <cellStyle name="Pre-inputted cells 3 2 2 7" xfId="26062" xr:uid="{00000000-0005-0000-0000-0000A1660000}"/>
    <cellStyle name="Pre-inputted cells 3 2 2 8" xfId="26063" xr:uid="{00000000-0005-0000-0000-0000A2660000}"/>
    <cellStyle name="Pre-inputted cells 3 2 2 9" xfId="26064" xr:uid="{00000000-0005-0000-0000-0000A3660000}"/>
    <cellStyle name="Pre-inputted cells 3 2 2_4 28 1_Asst_Health_Crit_AllTO_RIIO_20110714pm" xfId="26065" xr:uid="{00000000-0005-0000-0000-0000A4660000}"/>
    <cellStyle name="Pre-inputted cells 3 2 20" xfId="26066" xr:uid="{00000000-0005-0000-0000-0000A5660000}"/>
    <cellStyle name="Pre-inputted cells 3 2 20 2" xfId="26067" xr:uid="{00000000-0005-0000-0000-0000A6660000}"/>
    <cellStyle name="Pre-inputted cells 3 2 21" xfId="26068" xr:uid="{00000000-0005-0000-0000-0000A7660000}"/>
    <cellStyle name="Pre-inputted cells 3 2 21 2" xfId="26069" xr:uid="{00000000-0005-0000-0000-0000A8660000}"/>
    <cellStyle name="Pre-inputted cells 3 2 22" xfId="26070" xr:uid="{00000000-0005-0000-0000-0000A9660000}"/>
    <cellStyle name="Pre-inputted cells 3 2 22 2" xfId="26071" xr:uid="{00000000-0005-0000-0000-0000AA660000}"/>
    <cellStyle name="Pre-inputted cells 3 2 23" xfId="26072" xr:uid="{00000000-0005-0000-0000-0000AB660000}"/>
    <cellStyle name="Pre-inputted cells 3 2 23 2" xfId="26073" xr:uid="{00000000-0005-0000-0000-0000AC660000}"/>
    <cellStyle name="Pre-inputted cells 3 2 24" xfId="26074" xr:uid="{00000000-0005-0000-0000-0000AD660000}"/>
    <cellStyle name="Pre-inputted cells 3 2 24 2" xfId="26075" xr:uid="{00000000-0005-0000-0000-0000AE660000}"/>
    <cellStyle name="Pre-inputted cells 3 2 25" xfId="26076" xr:uid="{00000000-0005-0000-0000-0000AF660000}"/>
    <cellStyle name="Pre-inputted cells 3 2 25 2" xfId="26077" xr:uid="{00000000-0005-0000-0000-0000B0660000}"/>
    <cellStyle name="Pre-inputted cells 3 2 26" xfId="26078" xr:uid="{00000000-0005-0000-0000-0000B1660000}"/>
    <cellStyle name="Pre-inputted cells 3 2 27" xfId="26079" xr:uid="{00000000-0005-0000-0000-0000B2660000}"/>
    <cellStyle name="Pre-inputted cells 3 2 28" xfId="26080" xr:uid="{00000000-0005-0000-0000-0000B3660000}"/>
    <cellStyle name="Pre-inputted cells 3 2 29" xfId="26081" xr:uid="{00000000-0005-0000-0000-0000B4660000}"/>
    <cellStyle name="Pre-inputted cells 3 2 3" xfId="26082" xr:uid="{00000000-0005-0000-0000-0000B5660000}"/>
    <cellStyle name="Pre-inputted cells 3 2 3 10" xfId="26083" xr:uid="{00000000-0005-0000-0000-0000B6660000}"/>
    <cellStyle name="Pre-inputted cells 3 2 3 11" xfId="26084" xr:uid="{00000000-0005-0000-0000-0000B7660000}"/>
    <cellStyle name="Pre-inputted cells 3 2 3 12" xfId="26085" xr:uid="{00000000-0005-0000-0000-0000B8660000}"/>
    <cellStyle name="Pre-inputted cells 3 2 3 13" xfId="26086" xr:uid="{00000000-0005-0000-0000-0000B9660000}"/>
    <cellStyle name="Pre-inputted cells 3 2 3 14" xfId="26087" xr:uid="{00000000-0005-0000-0000-0000BA660000}"/>
    <cellStyle name="Pre-inputted cells 3 2 3 15" xfId="26088" xr:uid="{00000000-0005-0000-0000-0000BB660000}"/>
    <cellStyle name="Pre-inputted cells 3 2 3 16" xfId="26089" xr:uid="{00000000-0005-0000-0000-0000BC660000}"/>
    <cellStyle name="Pre-inputted cells 3 2 3 17" xfId="26090" xr:uid="{00000000-0005-0000-0000-0000BD660000}"/>
    <cellStyle name="Pre-inputted cells 3 2 3 18" xfId="26091" xr:uid="{00000000-0005-0000-0000-0000BE660000}"/>
    <cellStyle name="Pre-inputted cells 3 2 3 19" xfId="26092" xr:uid="{00000000-0005-0000-0000-0000BF660000}"/>
    <cellStyle name="Pre-inputted cells 3 2 3 2" xfId="26093" xr:uid="{00000000-0005-0000-0000-0000C0660000}"/>
    <cellStyle name="Pre-inputted cells 3 2 3 2 10" xfId="26094" xr:uid="{00000000-0005-0000-0000-0000C1660000}"/>
    <cellStyle name="Pre-inputted cells 3 2 3 2 11" xfId="26095" xr:uid="{00000000-0005-0000-0000-0000C2660000}"/>
    <cellStyle name="Pre-inputted cells 3 2 3 2 12" xfId="26096" xr:uid="{00000000-0005-0000-0000-0000C3660000}"/>
    <cellStyle name="Pre-inputted cells 3 2 3 2 13" xfId="26097" xr:uid="{00000000-0005-0000-0000-0000C4660000}"/>
    <cellStyle name="Pre-inputted cells 3 2 3 2 2" xfId="26098" xr:uid="{00000000-0005-0000-0000-0000C5660000}"/>
    <cellStyle name="Pre-inputted cells 3 2 3 2 2 2" xfId="26099" xr:uid="{00000000-0005-0000-0000-0000C6660000}"/>
    <cellStyle name="Pre-inputted cells 3 2 3 2 2 3" xfId="26100" xr:uid="{00000000-0005-0000-0000-0000C7660000}"/>
    <cellStyle name="Pre-inputted cells 3 2 3 2 3" xfId="26101" xr:uid="{00000000-0005-0000-0000-0000C8660000}"/>
    <cellStyle name="Pre-inputted cells 3 2 3 2 3 2" xfId="26102" xr:uid="{00000000-0005-0000-0000-0000C9660000}"/>
    <cellStyle name="Pre-inputted cells 3 2 3 2 3 3" xfId="26103" xr:uid="{00000000-0005-0000-0000-0000CA660000}"/>
    <cellStyle name="Pre-inputted cells 3 2 3 2 4" xfId="26104" xr:uid="{00000000-0005-0000-0000-0000CB660000}"/>
    <cellStyle name="Pre-inputted cells 3 2 3 2 5" xfId="26105" xr:uid="{00000000-0005-0000-0000-0000CC660000}"/>
    <cellStyle name="Pre-inputted cells 3 2 3 2 6" xfId="26106" xr:uid="{00000000-0005-0000-0000-0000CD660000}"/>
    <cellStyle name="Pre-inputted cells 3 2 3 2 7" xfId="26107" xr:uid="{00000000-0005-0000-0000-0000CE660000}"/>
    <cellStyle name="Pre-inputted cells 3 2 3 2 8" xfId="26108" xr:uid="{00000000-0005-0000-0000-0000CF660000}"/>
    <cellStyle name="Pre-inputted cells 3 2 3 2 9" xfId="26109" xr:uid="{00000000-0005-0000-0000-0000D0660000}"/>
    <cellStyle name="Pre-inputted cells 3 2 3 20" xfId="26110" xr:uid="{00000000-0005-0000-0000-0000D1660000}"/>
    <cellStyle name="Pre-inputted cells 3 2 3 21" xfId="26111" xr:uid="{00000000-0005-0000-0000-0000D2660000}"/>
    <cellStyle name="Pre-inputted cells 3 2 3 22" xfId="26112" xr:uid="{00000000-0005-0000-0000-0000D3660000}"/>
    <cellStyle name="Pre-inputted cells 3 2 3 23" xfId="26113" xr:uid="{00000000-0005-0000-0000-0000D4660000}"/>
    <cellStyle name="Pre-inputted cells 3 2 3 24" xfId="26114" xr:uid="{00000000-0005-0000-0000-0000D5660000}"/>
    <cellStyle name="Pre-inputted cells 3 2 3 25" xfId="26115" xr:uid="{00000000-0005-0000-0000-0000D6660000}"/>
    <cellStyle name="Pre-inputted cells 3 2 3 26" xfId="26116" xr:uid="{00000000-0005-0000-0000-0000D7660000}"/>
    <cellStyle name="Pre-inputted cells 3 2 3 27" xfId="26117" xr:uid="{00000000-0005-0000-0000-0000D8660000}"/>
    <cellStyle name="Pre-inputted cells 3 2 3 28" xfId="26118" xr:uid="{00000000-0005-0000-0000-0000D9660000}"/>
    <cellStyle name="Pre-inputted cells 3 2 3 29" xfId="26119" xr:uid="{00000000-0005-0000-0000-0000DA660000}"/>
    <cellStyle name="Pre-inputted cells 3 2 3 3" xfId="26120" xr:uid="{00000000-0005-0000-0000-0000DB660000}"/>
    <cellStyle name="Pre-inputted cells 3 2 3 3 2" xfId="26121" xr:uid="{00000000-0005-0000-0000-0000DC660000}"/>
    <cellStyle name="Pre-inputted cells 3 2 3 3 3" xfId="26122" xr:uid="{00000000-0005-0000-0000-0000DD660000}"/>
    <cellStyle name="Pre-inputted cells 3 2 3 30" xfId="26123" xr:uid="{00000000-0005-0000-0000-0000DE660000}"/>
    <cellStyle name="Pre-inputted cells 3 2 3 31" xfId="26124" xr:uid="{00000000-0005-0000-0000-0000DF660000}"/>
    <cellStyle name="Pre-inputted cells 3 2 3 32" xfId="26125" xr:uid="{00000000-0005-0000-0000-0000E0660000}"/>
    <cellStyle name="Pre-inputted cells 3 2 3 33" xfId="26126" xr:uid="{00000000-0005-0000-0000-0000E1660000}"/>
    <cellStyle name="Pre-inputted cells 3 2 3 34" xfId="26127" xr:uid="{00000000-0005-0000-0000-0000E2660000}"/>
    <cellStyle name="Pre-inputted cells 3 2 3 4" xfId="26128" xr:uid="{00000000-0005-0000-0000-0000E3660000}"/>
    <cellStyle name="Pre-inputted cells 3 2 3 4 2" xfId="26129" xr:uid="{00000000-0005-0000-0000-0000E4660000}"/>
    <cellStyle name="Pre-inputted cells 3 2 3 4 3" xfId="26130" xr:uid="{00000000-0005-0000-0000-0000E5660000}"/>
    <cellStyle name="Pre-inputted cells 3 2 3 5" xfId="26131" xr:uid="{00000000-0005-0000-0000-0000E6660000}"/>
    <cellStyle name="Pre-inputted cells 3 2 3 6" xfId="26132" xr:uid="{00000000-0005-0000-0000-0000E7660000}"/>
    <cellStyle name="Pre-inputted cells 3 2 3 7" xfId="26133" xr:uid="{00000000-0005-0000-0000-0000E8660000}"/>
    <cellStyle name="Pre-inputted cells 3 2 3 8" xfId="26134" xr:uid="{00000000-0005-0000-0000-0000E9660000}"/>
    <cellStyle name="Pre-inputted cells 3 2 3 9" xfId="26135" xr:uid="{00000000-0005-0000-0000-0000EA660000}"/>
    <cellStyle name="Pre-inputted cells 3 2 30" xfId="26136" xr:uid="{00000000-0005-0000-0000-0000EB660000}"/>
    <cellStyle name="Pre-inputted cells 3 2 31" xfId="26137" xr:uid="{00000000-0005-0000-0000-0000EC660000}"/>
    <cellStyle name="Pre-inputted cells 3 2 32" xfId="26138" xr:uid="{00000000-0005-0000-0000-0000ED660000}"/>
    <cellStyle name="Pre-inputted cells 3 2 33" xfId="26139" xr:uid="{00000000-0005-0000-0000-0000EE660000}"/>
    <cellStyle name="Pre-inputted cells 3 2 34" xfId="26140" xr:uid="{00000000-0005-0000-0000-0000EF660000}"/>
    <cellStyle name="Pre-inputted cells 3 2 35" xfId="26141" xr:uid="{00000000-0005-0000-0000-0000F0660000}"/>
    <cellStyle name="Pre-inputted cells 3 2 36" xfId="26142" xr:uid="{00000000-0005-0000-0000-0000F1660000}"/>
    <cellStyle name="Pre-inputted cells 3 2 37" xfId="26143" xr:uid="{00000000-0005-0000-0000-0000F2660000}"/>
    <cellStyle name="Pre-inputted cells 3 2 38" xfId="26144" xr:uid="{00000000-0005-0000-0000-0000F3660000}"/>
    <cellStyle name="Pre-inputted cells 3 2 4" xfId="26145" xr:uid="{00000000-0005-0000-0000-0000F4660000}"/>
    <cellStyle name="Pre-inputted cells 3 2 4 10" xfId="26146" xr:uid="{00000000-0005-0000-0000-0000F5660000}"/>
    <cellStyle name="Pre-inputted cells 3 2 4 11" xfId="26147" xr:uid="{00000000-0005-0000-0000-0000F6660000}"/>
    <cellStyle name="Pre-inputted cells 3 2 4 12" xfId="26148" xr:uid="{00000000-0005-0000-0000-0000F7660000}"/>
    <cellStyle name="Pre-inputted cells 3 2 4 13" xfId="26149" xr:uid="{00000000-0005-0000-0000-0000F8660000}"/>
    <cellStyle name="Pre-inputted cells 3 2 4 14" xfId="26150" xr:uid="{00000000-0005-0000-0000-0000F9660000}"/>
    <cellStyle name="Pre-inputted cells 3 2 4 15" xfId="26151" xr:uid="{00000000-0005-0000-0000-0000FA660000}"/>
    <cellStyle name="Pre-inputted cells 3 2 4 16" xfId="26152" xr:uid="{00000000-0005-0000-0000-0000FB660000}"/>
    <cellStyle name="Pre-inputted cells 3 2 4 17" xfId="26153" xr:uid="{00000000-0005-0000-0000-0000FC660000}"/>
    <cellStyle name="Pre-inputted cells 3 2 4 18" xfId="26154" xr:uid="{00000000-0005-0000-0000-0000FD660000}"/>
    <cellStyle name="Pre-inputted cells 3 2 4 19" xfId="26155" xr:uid="{00000000-0005-0000-0000-0000FE660000}"/>
    <cellStyle name="Pre-inputted cells 3 2 4 2" xfId="26156" xr:uid="{00000000-0005-0000-0000-0000FF660000}"/>
    <cellStyle name="Pre-inputted cells 3 2 4 2 10" xfId="26157" xr:uid="{00000000-0005-0000-0000-000000670000}"/>
    <cellStyle name="Pre-inputted cells 3 2 4 2 11" xfId="26158" xr:uid="{00000000-0005-0000-0000-000001670000}"/>
    <cellStyle name="Pre-inputted cells 3 2 4 2 12" xfId="26159" xr:uid="{00000000-0005-0000-0000-000002670000}"/>
    <cellStyle name="Pre-inputted cells 3 2 4 2 13" xfId="26160" xr:uid="{00000000-0005-0000-0000-000003670000}"/>
    <cellStyle name="Pre-inputted cells 3 2 4 2 2" xfId="26161" xr:uid="{00000000-0005-0000-0000-000004670000}"/>
    <cellStyle name="Pre-inputted cells 3 2 4 2 2 2" xfId="26162" xr:uid="{00000000-0005-0000-0000-000005670000}"/>
    <cellStyle name="Pre-inputted cells 3 2 4 2 2 3" xfId="26163" xr:uid="{00000000-0005-0000-0000-000006670000}"/>
    <cellStyle name="Pre-inputted cells 3 2 4 2 3" xfId="26164" xr:uid="{00000000-0005-0000-0000-000007670000}"/>
    <cellStyle name="Pre-inputted cells 3 2 4 2 3 2" xfId="26165" xr:uid="{00000000-0005-0000-0000-000008670000}"/>
    <cellStyle name="Pre-inputted cells 3 2 4 2 3 3" xfId="26166" xr:uid="{00000000-0005-0000-0000-000009670000}"/>
    <cellStyle name="Pre-inputted cells 3 2 4 2 4" xfId="26167" xr:uid="{00000000-0005-0000-0000-00000A670000}"/>
    <cellStyle name="Pre-inputted cells 3 2 4 2 5" xfId="26168" xr:uid="{00000000-0005-0000-0000-00000B670000}"/>
    <cellStyle name="Pre-inputted cells 3 2 4 2 6" xfId="26169" xr:uid="{00000000-0005-0000-0000-00000C670000}"/>
    <cellStyle name="Pre-inputted cells 3 2 4 2 7" xfId="26170" xr:uid="{00000000-0005-0000-0000-00000D670000}"/>
    <cellStyle name="Pre-inputted cells 3 2 4 2 8" xfId="26171" xr:uid="{00000000-0005-0000-0000-00000E670000}"/>
    <cellStyle name="Pre-inputted cells 3 2 4 2 9" xfId="26172" xr:uid="{00000000-0005-0000-0000-00000F670000}"/>
    <cellStyle name="Pre-inputted cells 3 2 4 20" xfId="26173" xr:uid="{00000000-0005-0000-0000-000010670000}"/>
    <cellStyle name="Pre-inputted cells 3 2 4 21" xfId="26174" xr:uid="{00000000-0005-0000-0000-000011670000}"/>
    <cellStyle name="Pre-inputted cells 3 2 4 22" xfId="26175" xr:uid="{00000000-0005-0000-0000-000012670000}"/>
    <cellStyle name="Pre-inputted cells 3 2 4 23" xfId="26176" xr:uid="{00000000-0005-0000-0000-000013670000}"/>
    <cellStyle name="Pre-inputted cells 3 2 4 24" xfId="26177" xr:uid="{00000000-0005-0000-0000-000014670000}"/>
    <cellStyle name="Pre-inputted cells 3 2 4 25" xfId="26178" xr:uid="{00000000-0005-0000-0000-000015670000}"/>
    <cellStyle name="Pre-inputted cells 3 2 4 26" xfId="26179" xr:uid="{00000000-0005-0000-0000-000016670000}"/>
    <cellStyle name="Pre-inputted cells 3 2 4 27" xfId="26180" xr:uid="{00000000-0005-0000-0000-000017670000}"/>
    <cellStyle name="Pre-inputted cells 3 2 4 28" xfId="26181" xr:uid="{00000000-0005-0000-0000-000018670000}"/>
    <cellStyle name="Pre-inputted cells 3 2 4 29" xfId="26182" xr:uid="{00000000-0005-0000-0000-000019670000}"/>
    <cellStyle name="Pre-inputted cells 3 2 4 3" xfId="26183" xr:uid="{00000000-0005-0000-0000-00001A670000}"/>
    <cellStyle name="Pre-inputted cells 3 2 4 3 2" xfId="26184" xr:uid="{00000000-0005-0000-0000-00001B670000}"/>
    <cellStyle name="Pre-inputted cells 3 2 4 3 3" xfId="26185" xr:uid="{00000000-0005-0000-0000-00001C670000}"/>
    <cellStyle name="Pre-inputted cells 3 2 4 30" xfId="26186" xr:uid="{00000000-0005-0000-0000-00001D670000}"/>
    <cellStyle name="Pre-inputted cells 3 2 4 31" xfId="26187" xr:uid="{00000000-0005-0000-0000-00001E670000}"/>
    <cellStyle name="Pre-inputted cells 3 2 4 32" xfId="26188" xr:uid="{00000000-0005-0000-0000-00001F670000}"/>
    <cellStyle name="Pre-inputted cells 3 2 4 33" xfId="26189" xr:uid="{00000000-0005-0000-0000-000020670000}"/>
    <cellStyle name="Pre-inputted cells 3 2 4 34" xfId="26190" xr:uid="{00000000-0005-0000-0000-000021670000}"/>
    <cellStyle name="Pre-inputted cells 3 2 4 4" xfId="26191" xr:uid="{00000000-0005-0000-0000-000022670000}"/>
    <cellStyle name="Pre-inputted cells 3 2 4 4 2" xfId="26192" xr:uid="{00000000-0005-0000-0000-000023670000}"/>
    <cellStyle name="Pre-inputted cells 3 2 4 4 3" xfId="26193" xr:uid="{00000000-0005-0000-0000-000024670000}"/>
    <cellStyle name="Pre-inputted cells 3 2 4 5" xfId="26194" xr:uid="{00000000-0005-0000-0000-000025670000}"/>
    <cellStyle name="Pre-inputted cells 3 2 4 6" xfId="26195" xr:uid="{00000000-0005-0000-0000-000026670000}"/>
    <cellStyle name="Pre-inputted cells 3 2 4 7" xfId="26196" xr:uid="{00000000-0005-0000-0000-000027670000}"/>
    <cellStyle name="Pre-inputted cells 3 2 4 8" xfId="26197" xr:uid="{00000000-0005-0000-0000-000028670000}"/>
    <cellStyle name="Pre-inputted cells 3 2 4 9" xfId="26198" xr:uid="{00000000-0005-0000-0000-000029670000}"/>
    <cellStyle name="Pre-inputted cells 3 2 5" xfId="26199" xr:uid="{00000000-0005-0000-0000-00002A670000}"/>
    <cellStyle name="Pre-inputted cells 3 2 5 10" xfId="26200" xr:uid="{00000000-0005-0000-0000-00002B670000}"/>
    <cellStyle name="Pre-inputted cells 3 2 5 11" xfId="26201" xr:uid="{00000000-0005-0000-0000-00002C670000}"/>
    <cellStyle name="Pre-inputted cells 3 2 5 12" xfId="26202" xr:uid="{00000000-0005-0000-0000-00002D670000}"/>
    <cellStyle name="Pre-inputted cells 3 2 5 13" xfId="26203" xr:uid="{00000000-0005-0000-0000-00002E670000}"/>
    <cellStyle name="Pre-inputted cells 3 2 5 2" xfId="26204" xr:uid="{00000000-0005-0000-0000-00002F670000}"/>
    <cellStyle name="Pre-inputted cells 3 2 5 2 2" xfId="26205" xr:uid="{00000000-0005-0000-0000-000030670000}"/>
    <cellStyle name="Pre-inputted cells 3 2 5 2 3" xfId="26206" xr:uid="{00000000-0005-0000-0000-000031670000}"/>
    <cellStyle name="Pre-inputted cells 3 2 5 3" xfId="26207" xr:uid="{00000000-0005-0000-0000-000032670000}"/>
    <cellStyle name="Pre-inputted cells 3 2 5 3 2" xfId="26208" xr:uid="{00000000-0005-0000-0000-000033670000}"/>
    <cellStyle name="Pre-inputted cells 3 2 5 3 3" xfId="26209" xr:uid="{00000000-0005-0000-0000-000034670000}"/>
    <cellStyle name="Pre-inputted cells 3 2 5 4" xfId="26210" xr:uid="{00000000-0005-0000-0000-000035670000}"/>
    <cellStyle name="Pre-inputted cells 3 2 5 5" xfId="26211" xr:uid="{00000000-0005-0000-0000-000036670000}"/>
    <cellStyle name="Pre-inputted cells 3 2 5 6" xfId="26212" xr:uid="{00000000-0005-0000-0000-000037670000}"/>
    <cellStyle name="Pre-inputted cells 3 2 5 7" xfId="26213" xr:uid="{00000000-0005-0000-0000-000038670000}"/>
    <cellStyle name="Pre-inputted cells 3 2 5 8" xfId="26214" xr:uid="{00000000-0005-0000-0000-000039670000}"/>
    <cellStyle name="Pre-inputted cells 3 2 5 9" xfId="26215" xr:uid="{00000000-0005-0000-0000-00003A670000}"/>
    <cellStyle name="Pre-inputted cells 3 2 6" xfId="26216" xr:uid="{00000000-0005-0000-0000-00003B670000}"/>
    <cellStyle name="Pre-inputted cells 3 2 6 2" xfId="26217" xr:uid="{00000000-0005-0000-0000-00003C670000}"/>
    <cellStyle name="Pre-inputted cells 3 2 6 2 2" xfId="26218" xr:uid="{00000000-0005-0000-0000-00003D670000}"/>
    <cellStyle name="Pre-inputted cells 3 2 6 2 3" xfId="26219" xr:uid="{00000000-0005-0000-0000-00003E670000}"/>
    <cellStyle name="Pre-inputted cells 3 2 6 3" xfId="26220" xr:uid="{00000000-0005-0000-0000-00003F670000}"/>
    <cellStyle name="Pre-inputted cells 3 2 6 3 2" xfId="26221" xr:uid="{00000000-0005-0000-0000-000040670000}"/>
    <cellStyle name="Pre-inputted cells 3 2 6 4" xfId="26222" xr:uid="{00000000-0005-0000-0000-000041670000}"/>
    <cellStyle name="Pre-inputted cells 3 2 7" xfId="26223" xr:uid="{00000000-0005-0000-0000-000042670000}"/>
    <cellStyle name="Pre-inputted cells 3 2 7 2" xfId="26224" xr:uid="{00000000-0005-0000-0000-000043670000}"/>
    <cellStyle name="Pre-inputted cells 3 2 8" xfId="26225" xr:uid="{00000000-0005-0000-0000-000044670000}"/>
    <cellStyle name="Pre-inputted cells 3 2 8 2" xfId="26226" xr:uid="{00000000-0005-0000-0000-000045670000}"/>
    <cellStyle name="Pre-inputted cells 3 2 9" xfId="26227" xr:uid="{00000000-0005-0000-0000-000046670000}"/>
    <cellStyle name="Pre-inputted cells 3 2 9 2" xfId="26228" xr:uid="{00000000-0005-0000-0000-000047670000}"/>
    <cellStyle name="Pre-inputted cells 3 2_4 28 1_Asst_Health_Crit_AllTO_RIIO_20110714pm" xfId="26229" xr:uid="{00000000-0005-0000-0000-000048670000}"/>
    <cellStyle name="Pre-inputted cells 3 20" xfId="26230" xr:uid="{00000000-0005-0000-0000-000049670000}"/>
    <cellStyle name="Pre-inputted cells 3 20 2" xfId="26231" xr:uid="{00000000-0005-0000-0000-00004A670000}"/>
    <cellStyle name="Pre-inputted cells 3 21" xfId="26232" xr:uid="{00000000-0005-0000-0000-00004B670000}"/>
    <cellStyle name="Pre-inputted cells 3 21 2" xfId="26233" xr:uid="{00000000-0005-0000-0000-00004C670000}"/>
    <cellStyle name="Pre-inputted cells 3 22" xfId="26234" xr:uid="{00000000-0005-0000-0000-00004D670000}"/>
    <cellStyle name="Pre-inputted cells 3 22 2" xfId="26235" xr:uid="{00000000-0005-0000-0000-00004E670000}"/>
    <cellStyle name="Pre-inputted cells 3 23" xfId="26236" xr:uid="{00000000-0005-0000-0000-00004F670000}"/>
    <cellStyle name="Pre-inputted cells 3 23 2" xfId="26237" xr:uid="{00000000-0005-0000-0000-000050670000}"/>
    <cellStyle name="Pre-inputted cells 3 24" xfId="26238" xr:uid="{00000000-0005-0000-0000-000051670000}"/>
    <cellStyle name="Pre-inputted cells 3 24 2" xfId="26239" xr:uid="{00000000-0005-0000-0000-000052670000}"/>
    <cellStyle name="Pre-inputted cells 3 25" xfId="26240" xr:uid="{00000000-0005-0000-0000-000053670000}"/>
    <cellStyle name="Pre-inputted cells 3 25 2" xfId="26241" xr:uid="{00000000-0005-0000-0000-000054670000}"/>
    <cellStyle name="Pre-inputted cells 3 26" xfId="26242" xr:uid="{00000000-0005-0000-0000-000055670000}"/>
    <cellStyle name="Pre-inputted cells 3 26 2" xfId="26243" xr:uid="{00000000-0005-0000-0000-000056670000}"/>
    <cellStyle name="Pre-inputted cells 3 27" xfId="26244" xr:uid="{00000000-0005-0000-0000-000057670000}"/>
    <cellStyle name="Pre-inputted cells 3 28" xfId="26245" xr:uid="{00000000-0005-0000-0000-000058670000}"/>
    <cellStyle name="Pre-inputted cells 3 29" xfId="26246" xr:uid="{00000000-0005-0000-0000-000059670000}"/>
    <cellStyle name="Pre-inputted cells 3 3" xfId="26247" xr:uid="{00000000-0005-0000-0000-00005A670000}"/>
    <cellStyle name="Pre-inputted cells 3 3 10" xfId="26248" xr:uid="{00000000-0005-0000-0000-00005B670000}"/>
    <cellStyle name="Pre-inputted cells 3 3 11" xfId="26249" xr:uid="{00000000-0005-0000-0000-00005C670000}"/>
    <cellStyle name="Pre-inputted cells 3 3 12" xfId="26250" xr:uid="{00000000-0005-0000-0000-00005D670000}"/>
    <cellStyle name="Pre-inputted cells 3 3 13" xfId="26251" xr:uid="{00000000-0005-0000-0000-00005E670000}"/>
    <cellStyle name="Pre-inputted cells 3 3 14" xfId="26252" xr:uid="{00000000-0005-0000-0000-00005F670000}"/>
    <cellStyle name="Pre-inputted cells 3 3 15" xfId="26253" xr:uid="{00000000-0005-0000-0000-000060670000}"/>
    <cellStyle name="Pre-inputted cells 3 3 16" xfId="26254" xr:uid="{00000000-0005-0000-0000-000061670000}"/>
    <cellStyle name="Pre-inputted cells 3 3 17" xfId="26255" xr:uid="{00000000-0005-0000-0000-000062670000}"/>
    <cellStyle name="Pre-inputted cells 3 3 18" xfId="26256" xr:uid="{00000000-0005-0000-0000-000063670000}"/>
    <cellStyle name="Pre-inputted cells 3 3 19" xfId="26257" xr:uid="{00000000-0005-0000-0000-000064670000}"/>
    <cellStyle name="Pre-inputted cells 3 3 2" xfId="26258" xr:uid="{00000000-0005-0000-0000-000065670000}"/>
    <cellStyle name="Pre-inputted cells 3 3 2 10" xfId="26259" xr:uid="{00000000-0005-0000-0000-000066670000}"/>
    <cellStyle name="Pre-inputted cells 3 3 2 11" xfId="26260" xr:uid="{00000000-0005-0000-0000-000067670000}"/>
    <cellStyle name="Pre-inputted cells 3 3 2 12" xfId="26261" xr:uid="{00000000-0005-0000-0000-000068670000}"/>
    <cellStyle name="Pre-inputted cells 3 3 2 13" xfId="26262" xr:uid="{00000000-0005-0000-0000-000069670000}"/>
    <cellStyle name="Pre-inputted cells 3 3 2 14" xfId="26263" xr:uid="{00000000-0005-0000-0000-00006A670000}"/>
    <cellStyle name="Pre-inputted cells 3 3 2 15" xfId="26264" xr:uid="{00000000-0005-0000-0000-00006B670000}"/>
    <cellStyle name="Pre-inputted cells 3 3 2 16" xfId="26265" xr:uid="{00000000-0005-0000-0000-00006C670000}"/>
    <cellStyle name="Pre-inputted cells 3 3 2 17" xfId="26266" xr:uid="{00000000-0005-0000-0000-00006D670000}"/>
    <cellStyle name="Pre-inputted cells 3 3 2 18" xfId="26267" xr:uid="{00000000-0005-0000-0000-00006E670000}"/>
    <cellStyle name="Pre-inputted cells 3 3 2 19" xfId="26268" xr:uid="{00000000-0005-0000-0000-00006F670000}"/>
    <cellStyle name="Pre-inputted cells 3 3 2 2" xfId="26269" xr:uid="{00000000-0005-0000-0000-000070670000}"/>
    <cellStyle name="Pre-inputted cells 3 3 2 2 10" xfId="26270" xr:uid="{00000000-0005-0000-0000-000071670000}"/>
    <cellStyle name="Pre-inputted cells 3 3 2 2 11" xfId="26271" xr:uid="{00000000-0005-0000-0000-000072670000}"/>
    <cellStyle name="Pre-inputted cells 3 3 2 2 12" xfId="26272" xr:uid="{00000000-0005-0000-0000-000073670000}"/>
    <cellStyle name="Pre-inputted cells 3 3 2 2 13" xfId="26273" xr:uid="{00000000-0005-0000-0000-000074670000}"/>
    <cellStyle name="Pre-inputted cells 3 3 2 2 2" xfId="26274" xr:uid="{00000000-0005-0000-0000-000075670000}"/>
    <cellStyle name="Pre-inputted cells 3 3 2 2 2 2" xfId="26275" xr:uid="{00000000-0005-0000-0000-000076670000}"/>
    <cellStyle name="Pre-inputted cells 3 3 2 2 2 3" xfId="26276" xr:uid="{00000000-0005-0000-0000-000077670000}"/>
    <cellStyle name="Pre-inputted cells 3 3 2 2 3" xfId="26277" xr:uid="{00000000-0005-0000-0000-000078670000}"/>
    <cellStyle name="Pre-inputted cells 3 3 2 2 3 2" xfId="26278" xr:uid="{00000000-0005-0000-0000-000079670000}"/>
    <cellStyle name="Pre-inputted cells 3 3 2 2 3 3" xfId="26279" xr:uid="{00000000-0005-0000-0000-00007A670000}"/>
    <cellStyle name="Pre-inputted cells 3 3 2 2 4" xfId="26280" xr:uid="{00000000-0005-0000-0000-00007B670000}"/>
    <cellStyle name="Pre-inputted cells 3 3 2 2 5" xfId="26281" xr:uid="{00000000-0005-0000-0000-00007C670000}"/>
    <cellStyle name="Pre-inputted cells 3 3 2 2 6" xfId="26282" xr:uid="{00000000-0005-0000-0000-00007D670000}"/>
    <cellStyle name="Pre-inputted cells 3 3 2 2 7" xfId="26283" xr:uid="{00000000-0005-0000-0000-00007E670000}"/>
    <cellStyle name="Pre-inputted cells 3 3 2 2 8" xfId="26284" xr:uid="{00000000-0005-0000-0000-00007F670000}"/>
    <cellStyle name="Pre-inputted cells 3 3 2 2 9" xfId="26285" xr:uid="{00000000-0005-0000-0000-000080670000}"/>
    <cellStyle name="Pre-inputted cells 3 3 2 20" xfId="26286" xr:uid="{00000000-0005-0000-0000-000081670000}"/>
    <cellStyle name="Pre-inputted cells 3 3 2 21" xfId="26287" xr:uid="{00000000-0005-0000-0000-000082670000}"/>
    <cellStyle name="Pre-inputted cells 3 3 2 22" xfId="26288" xr:uid="{00000000-0005-0000-0000-000083670000}"/>
    <cellStyle name="Pre-inputted cells 3 3 2 23" xfId="26289" xr:uid="{00000000-0005-0000-0000-000084670000}"/>
    <cellStyle name="Pre-inputted cells 3 3 2 24" xfId="26290" xr:uid="{00000000-0005-0000-0000-000085670000}"/>
    <cellStyle name="Pre-inputted cells 3 3 2 25" xfId="26291" xr:uid="{00000000-0005-0000-0000-000086670000}"/>
    <cellStyle name="Pre-inputted cells 3 3 2 26" xfId="26292" xr:uid="{00000000-0005-0000-0000-000087670000}"/>
    <cellStyle name="Pre-inputted cells 3 3 2 27" xfId="26293" xr:uid="{00000000-0005-0000-0000-000088670000}"/>
    <cellStyle name="Pre-inputted cells 3 3 2 28" xfId="26294" xr:uid="{00000000-0005-0000-0000-000089670000}"/>
    <cellStyle name="Pre-inputted cells 3 3 2 29" xfId="26295" xr:uid="{00000000-0005-0000-0000-00008A670000}"/>
    <cellStyle name="Pre-inputted cells 3 3 2 3" xfId="26296" xr:uid="{00000000-0005-0000-0000-00008B670000}"/>
    <cellStyle name="Pre-inputted cells 3 3 2 3 2" xfId="26297" xr:uid="{00000000-0005-0000-0000-00008C670000}"/>
    <cellStyle name="Pre-inputted cells 3 3 2 3 3" xfId="26298" xr:uid="{00000000-0005-0000-0000-00008D670000}"/>
    <cellStyle name="Pre-inputted cells 3 3 2 30" xfId="26299" xr:uid="{00000000-0005-0000-0000-00008E670000}"/>
    <cellStyle name="Pre-inputted cells 3 3 2 31" xfId="26300" xr:uid="{00000000-0005-0000-0000-00008F670000}"/>
    <cellStyle name="Pre-inputted cells 3 3 2 32" xfId="26301" xr:uid="{00000000-0005-0000-0000-000090670000}"/>
    <cellStyle name="Pre-inputted cells 3 3 2 33" xfId="26302" xr:uid="{00000000-0005-0000-0000-000091670000}"/>
    <cellStyle name="Pre-inputted cells 3 3 2 34" xfId="26303" xr:uid="{00000000-0005-0000-0000-000092670000}"/>
    <cellStyle name="Pre-inputted cells 3 3 2 4" xfId="26304" xr:uid="{00000000-0005-0000-0000-000093670000}"/>
    <cellStyle name="Pre-inputted cells 3 3 2 4 2" xfId="26305" xr:uid="{00000000-0005-0000-0000-000094670000}"/>
    <cellStyle name="Pre-inputted cells 3 3 2 4 3" xfId="26306" xr:uid="{00000000-0005-0000-0000-000095670000}"/>
    <cellStyle name="Pre-inputted cells 3 3 2 5" xfId="26307" xr:uid="{00000000-0005-0000-0000-000096670000}"/>
    <cellStyle name="Pre-inputted cells 3 3 2 6" xfId="26308" xr:uid="{00000000-0005-0000-0000-000097670000}"/>
    <cellStyle name="Pre-inputted cells 3 3 2 7" xfId="26309" xr:uid="{00000000-0005-0000-0000-000098670000}"/>
    <cellStyle name="Pre-inputted cells 3 3 2 8" xfId="26310" xr:uid="{00000000-0005-0000-0000-000099670000}"/>
    <cellStyle name="Pre-inputted cells 3 3 2 9" xfId="26311" xr:uid="{00000000-0005-0000-0000-00009A670000}"/>
    <cellStyle name="Pre-inputted cells 3 3 20" xfId="26312" xr:uid="{00000000-0005-0000-0000-00009B670000}"/>
    <cellStyle name="Pre-inputted cells 3 3 21" xfId="26313" xr:uid="{00000000-0005-0000-0000-00009C670000}"/>
    <cellStyle name="Pre-inputted cells 3 3 22" xfId="26314" xr:uid="{00000000-0005-0000-0000-00009D670000}"/>
    <cellStyle name="Pre-inputted cells 3 3 23" xfId="26315" xr:uid="{00000000-0005-0000-0000-00009E670000}"/>
    <cellStyle name="Pre-inputted cells 3 3 24" xfId="26316" xr:uid="{00000000-0005-0000-0000-00009F670000}"/>
    <cellStyle name="Pre-inputted cells 3 3 25" xfId="26317" xr:uid="{00000000-0005-0000-0000-0000A0670000}"/>
    <cellStyle name="Pre-inputted cells 3 3 26" xfId="26318" xr:uid="{00000000-0005-0000-0000-0000A1670000}"/>
    <cellStyle name="Pre-inputted cells 3 3 27" xfId="26319" xr:uid="{00000000-0005-0000-0000-0000A2670000}"/>
    <cellStyle name="Pre-inputted cells 3 3 28" xfId="26320" xr:uid="{00000000-0005-0000-0000-0000A3670000}"/>
    <cellStyle name="Pre-inputted cells 3 3 29" xfId="26321" xr:uid="{00000000-0005-0000-0000-0000A4670000}"/>
    <cellStyle name="Pre-inputted cells 3 3 3" xfId="26322" xr:uid="{00000000-0005-0000-0000-0000A5670000}"/>
    <cellStyle name="Pre-inputted cells 3 3 3 10" xfId="26323" xr:uid="{00000000-0005-0000-0000-0000A6670000}"/>
    <cellStyle name="Pre-inputted cells 3 3 3 11" xfId="26324" xr:uid="{00000000-0005-0000-0000-0000A7670000}"/>
    <cellStyle name="Pre-inputted cells 3 3 3 12" xfId="26325" xr:uid="{00000000-0005-0000-0000-0000A8670000}"/>
    <cellStyle name="Pre-inputted cells 3 3 3 13" xfId="26326" xr:uid="{00000000-0005-0000-0000-0000A9670000}"/>
    <cellStyle name="Pre-inputted cells 3 3 3 2" xfId="26327" xr:uid="{00000000-0005-0000-0000-0000AA670000}"/>
    <cellStyle name="Pre-inputted cells 3 3 3 2 2" xfId="26328" xr:uid="{00000000-0005-0000-0000-0000AB670000}"/>
    <cellStyle name="Pre-inputted cells 3 3 3 2 3" xfId="26329" xr:uid="{00000000-0005-0000-0000-0000AC670000}"/>
    <cellStyle name="Pre-inputted cells 3 3 3 3" xfId="26330" xr:uid="{00000000-0005-0000-0000-0000AD670000}"/>
    <cellStyle name="Pre-inputted cells 3 3 3 3 2" xfId="26331" xr:uid="{00000000-0005-0000-0000-0000AE670000}"/>
    <cellStyle name="Pre-inputted cells 3 3 3 3 3" xfId="26332" xr:uid="{00000000-0005-0000-0000-0000AF670000}"/>
    <cellStyle name="Pre-inputted cells 3 3 3 4" xfId="26333" xr:uid="{00000000-0005-0000-0000-0000B0670000}"/>
    <cellStyle name="Pre-inputted cells 3 3 3 5" xfId="26334" xr:uid="{00000000-0005-0000-0000-0000B1670000}"/>
    <cellStyle name="Pre-inputted cells 3 3 3 6" xfId="26335" xr:uid="{00000000-0005-0000-0000-0000B2670000}"/>
    <cellStyle name="Pre-inputted cells 3 3 3 7" xfId="26336" xr:uid="{00000000-0005-0000-0000-0000B3670000}"/>
    <cellStyle name="Pre-inputted cells 3 3 3 8" xfId="26337" xr:uid="{00000000-0005-0000-0000-0000B4670000}"/>
    <cellStyle name="Pre-inputted cells 3 3 3 9" xfId="26338" xr:uid="{00000000-0005-0000-0000-0000B5670000}"/>
    <cellStyle name="Pre-inputted cells 3 3 30" xfId="26339" xr:uid="{00000000-0005-0000-0000-0000B6670000}"/>
    <cellStyle name="Pre-inputted cells 3 3 31" xfId="26340" xr:uid="{00000000-0005-0000-0000-0000B7670000}"/>
    <cellStyle name="Pre-inputted cells 3 3 32" xfId="26341" xr:uid="{00000000-0005-0000-0000-0000B8670000}"/>
    <cellStyle name="Pre-inputted cells 3 3 33" xfId="26342" xr:uid="{00000000-0005-0000-0000-0000B9670000}"/>
    <cellStyle name="Pre-inputted cells 3 3 34" xfId="26343" xr:uid="{00000000-0005-0000-0000-0000BA670000}"/>
    <cellStyle name="Pre-inputted cells 3 3 35" xfId="26344" xr:uid="{00000000-0005-0000-0000-0000BB670000}"/>
    <cellStyle name="Pre-inputted cells 3 3 4" xfId="26345" xr:uid="{00000000-0005-0000-0000-0000BC670000}"/>
    <cellStyle name="Pre-inputted cells 3 3 4 2" xfId="26346" xr:uid="{00000000-0005-0000-0000-0000BD670000}"/>
    <cellStyle name="Pre-inputted cells 3 3 4 3" xfId="26347" xr:uid="{00000000-0005-0000-0000-0000BE670000}"/>
    <cellStyle name="Pre-inputted cells 3 3 5" xfId="26348" xr:uid="{00000000-0005-0000-0000-0000BF670000}"/>
    <cellStyle name="Pre-inputted cells 3 3 5 2" xfId="26349" xr:uid="{00000000-0005-0000-0000-0000C0670000}"/>
    <cellStyle name="Pre-inputted cells 3 3 5 3" xfId="26350" xr:uid="{00000000-0005-0000-0000-0000C1670000}"/>
    <cellStyle name="Pre-inputted cells 3 3 6" xfId="26351" xr:uid="{00000000-0005-0000-0000-0000C2670000}"/>
    <cellStyle name="Pre-inputted cells 3 3 7" xfId="26352" xr:uid="{00000000-0005-0000-0000-0000C3670000}"/>
    <cellStyle name="Pre-inputted cells 3 3 8" xfId="26353" xr:uid="{00000000-0005-0000-0000-0000C4670000}"/>
    <cellStyle name="Pre-inputted cells 3 3 9" xfId="26354" xr:uid="{00000000-0005-0000-0000-0000C5670000}"/>
    <cellStyle name="Pre-inputted cells 3 3_4 28 1_Asst_Health_Crit_AllTO_RIIO_20110714pm" xfId="26355" xr:uid="{00000000-0005-0000-0000-0000C6670000}"/>
    <cellStyle name="Pre-inputted cells 3 30" xfId="26356" xr:uid="{00000000-0005-0000-0000-0000C7670000}"/>
    <cellStyle name="Pre-inputted cells 3 31" xfId="26357" xr:uid="{00000000-0005-0000-0000-0000C8670000}"/>
    <cellStyle name="Pre-inputted cells 3 32" xfId="26358" xr:uid="{00000000-0005-0000-0000-0000C9670000}"/>
    <cellStyle name="Pre-inputted cells 3 33" xfId="26359" xr:uid="{00000000-0005-0000-0000-0000CA670000}"/>
    <cellStyle name="Pre-inputted cells 3 34" xfId="26360" xr:uid="{00000000-0005-0000-0000-0000CB670000}"/>
    <cellStyle name="Pre-inputted cells 3 35" xfId="26361" xr:uid="{00000000-0005-0000-0000-0000CC670000}"/>
    <cellStyle name="Pre-inputted cells 3 36" xfId="26362" xr:uid="{00000000-0005-0000-0000-0000CD670000}"/>
    <cellStyle name="Pre-inputted cells 3 37" xfId="26363" xr:uid="{00000000-0005-0000-0000-0000CE670000}"/>
    <cellStyle name="Pre-inputted cells 3 38" xfId="26364" xr:uid="{00000000-0005-0000-0000-0000CF670000}"/>
    <cellStyle name="Pre-inputted cells 3 39" xfId="26365" xr:uid="{00000000-0005-0000-0000-0000D0670000}"/>
    <cellStyle name="Pre-inputted cells 3 4" xfId="26366" xr:uid="{00000000-0005-0000-0000-0000D1670000}"/>
    <cellStyle name="Pre-inputted cells 3 4 10" xfId="26367" xr:uid="{00000000-0005-0000-0000-0000D2670000}"/>
    <cellStyle name="Pre-inputted cells 3 4 11" xfId="26368" xr:uid="{00000000-0005-0000-0000-0000D3670000}"/>
    <cellStyle name="Pre-inputted cells 3 4 12" xfId="26369" xr:uid="{00000000-0005-0000-0000-0000D4670000}"/>
    <cellStyle name="Pre-inputted cells 3 4 13" xfId="26370" xr:uid="{00000000-0005-0000-0000-0000D5670000}"/>
    <cellStyle name="Pre-inputted cells 3 4 14" xfId="26371" xr:uid="{00000000-0005-0000-0000-0000D6670000}"/>
    <cellStyle name="Pre-inputted cells 3 4 15" xfId="26372" xr:uid="{00000000-0005-0000-0000-0000D7670000}"/>
    <cellStyle name="Pre-inputted cells 3 4 16" xfId="26373" xr:uid="{00000000-0005-0000-0000-0000D8670000}"/>
    <cellStyle name="Pre-inputted cells 3 4 17" xfId="26374" xr:uid="{00000000-0005-0000-0000-0000D9670000}"/>
    <cellStyle name="Pre-inputted cells 3 4 18" xfId="26375" xr:uid="{00000000-0005-0000-0000-0000DA670000}"/>
    <cellStyle name="Pre-inputted cells 3 4 19" xfId="26376" xr:uid="{00000000-0005-0000-0000-0000DB670000}"/>
    <cellStyle name="Pre-inputted cells 3 4 2" xfId="26377" xr:uid="{00000000-0005-0000-0000-0000DC670000}"/>
    <cellStyle name="Pre-inputted cells 3 4 2 10" xfId="26378" xr:uid="{00000000-0005-0000-0000-0000DD670000}"/>
    <cellStyle name="Pre-inputted cells 3 4 2 11" xfId="26379" xr:uid="{00000000-0005-0000-0000-0000DE670000}"/>
    <cellStyle name="Pre-inputted cells 3 4 2 12" xfId="26380" xr:uid="{00000000-0005-0000-0000-0000DF670000}"/>
    <cellStyle name="Pre-inputted cells 3 4 2 13" xfId="26381" xr:uid="{00000000-0005-0000-0000-0000E0670000}"/>
    <cellStyle name="Pre-inputted cells 3 4 2 2" xfId="26382" xr:uid="{00000000-0005-0000-0000-0000E1670000}"/>
    <cellStyle name="Pre-inputted cells 3 4 2 2 2" xfId="26383" xr:uid="{00000000-0005-0000-0000-0000E2670000}"/>
    <cellStyle name="Pre-inputted cells 3 4 2 2 3" xfId="26384" xr:uid="{00000000-0005-0000-0000-0000E3670000}"/>
    <cellStyle name="Pre-inputted cells 3 4 2 3" xfId="26385" xr:uid="{00000000-0005-0000-0000-0000E4670000}"/>
    <cellStyle name="Pre-inputted cells 3 4 2 3 2" xfId="26386" xr:uid="{00000000-0005-0000-0000-0000E5670000}"/>
    <cellStyle name="Pre-inputted cells 3 4 2 3 3" xfId="26387" xr:uid="{00000000-0005-0000-0000-0000E6670000}"/>
    <cellStyle name="Pre-inputted cells 3 4 2 4" xfId="26388" xr:uid="{00000000-0005-0000-0000-0000E7670000}"/>
    <cellStyle name="Pre-inputted cells 3 4 2 5" xfId="26389" xr:uid="{00000000-0005-0000-0000-0000E8670000}"/>
    <cellStyle name="Pre-inputted cells 3 4 2 6" xfId="26390" xr:uid="{00000000-0005-0000-0000-0000E9670000}"/>
    <cellStyle name="Pre-inputted cells 3 4 2 7" xfId="26391" xr:uid="{00000000-0005-0000-0000-0000EA670000}"/>
    <cellStyle name="Pre-inputted cells 3 4 2 8" xfId="26392" xr:uid="{00000000-0005-0000-0000-0000EB670000}"/>
    <cellStyle name="Pre-inputted cells 3 4 2 9" xfId="26393" xr:uid="{00000000-0005-0000-0000-0000EC670000}"/>
    <cellStyle name="Pre-inputted cells 3 4 20" xfId="26394" xr:uid="{00000000-0005-0000-0000-0000ED670000}"/>
    <cellStyle name="Pre-inputted cells 3 4 21" xfId="26395" xr:uid="{00000000-0005-0000-0000-0000EE670000}"/>
    <cellStyle name="Pre-inputted cells 3 4 22" xfId="26396" xr:uid="{00000000-0005-0000-0000-0000EF670000}"/>
    <cellStyle name="Pre-inputted cells 3 4 23" xfId="26397" xr:uid="{00000000-0005-0000-0000-0000F0670000}"/>
    <cellStyle name="Pre-inputted cells 3 4 24" xfId="26398" xr:uid="{00000000-0005-0000-0000-0000F1670000}"/>
    <cellStyle name="Pre-inputted cells 3 4 25" xfId="26399" xr:uid="{00000000-0005-0000-0000-0000F2670000}"/>
    <cellStyle name="Pre-inputted cells 3 4 26" xfId="26400" xr:uid="{00000000-0005-0000-0000-0000F3670000}"/>
    <cellStyle name="Pre-inputted cells 3 4 27" xfId="26401" xr:uid="{00000000-0005-0000-0000-0000F4670000}"/>
    <cellStyle name="Pre-inputted cells 3 4 28" xfId="26402" xr:uid="{00000000-0005-0000-0000-0000F5670000}"/>
    <cellStyle name="Pre-inputted cells 3 4 29" xfId="26403" xr:uid="{00000000-0005-0000-0000-0000F6670000}"/>
    <cellStyle name="Pre-inputted cells 3 4 3" xfId="26404" xr:uid="{00000000-0005-0000-0000-0000F7670000}"/>
    <cellStyle name="Pre-inputted cells 3 4 3 2" xfId="26405" xr:uid="{00000000-0005-0000-0000-0000F8670000}"/>
    <cellStyle name="Pre-inputted cells 3 4 3 3" xfId="26406" xr:uid="{00000000-0005-0000-0000-0000F9670000}"/>
    <cellStyle name="Pre-inputted cells 3 4 30" xfId="26407" xr:uid="{00000000-0005-0000-0000-0000FA670000}"/>
    <cellStyle name="Pre-inputted cells 3 4 31" xfId="26408" xr:uid="{00000000-0005-0000-0000-0000FB670000}"/>
    <cellStyle name="Pre-inputted cells 3 4 32" xfId="26409" xr:uid="{00000000-0005-0000-0000-0000FC670000}"/>
    <cellStyle name="Pre-inputted cells 3 4 33" xfId="26410" xr:uid="{00000000-0005-0000-0000-0000FD670000}"/>
    <cellStyle name="Pre-inputted cells 3 4 34" xfId="26411" xr:uid="{00000000-0005-0000-0000-0000FE670000}"/>
    <cellStyle name="Pre-inputted cells 3 4 4" xfId="26412" xr:uid="{00000000-0005-0000-0000-0000FF670000}"/>
    <cellStyle name="Pre-inputted cells 3 4 4 2" xfId="26413" xr:uid="{00000000-0005-0000-0000-000000680000}"/>
    <cellStyle name="Pre-inputted cells 3 4 4 3" xfId="26414" xr:uid="{00000000-0005-0000-0000-000001680000}"/>
    <cellStyle name="Pre-inputted cells 3 4 5" xfId="26415" xr:uid="{00000000-0005-0000-0000-000002680000}"/>
    <cellStyle name="Pre-inputted cells 3 4 6" xfId="26416" xr:uid="{00000000-0005-0000-0000-000003680000}"/>
    <cellStyle name="Pre-inputted cells 3 4 7" xfId="26417" xr:uid="{00000000-0005-0000-0000-000004680000}"/>
    <cellStyle name="Pre-inputted cells 3 4 8" xfId="26418" xr:uid="{00000000-0005-0000-0000-000005680000}"/>
    <cellStyle name="Pre-inputted cells 3 4 9" xfId="26419" xr:uid="{00000000-0005-0000-0000-000006680000}"/>
    <cellStyle name="Pre-inputted cells 3 5" xfId="26420" xr:uid="{00000000-0005-0000-0000-000007680000}"/>
    <cellStyle name="Pre-inputted cells 3 5 10" xfId="26421" xr:uid="{00000000-0005-0000-0000-000008680000}"/>
    <cellStyle name="Pre-inputted cells 3 5 11" xfId="26422" xr:uid="{00000000-0005-0000-0000-000009680000}"/>
    <cellStyle name="Pre-inputted cells 3 5 12" xfId="26423" xr:uid="{00000000-0005-0000-0000-00000A680000}"/>
    <cellStyle name="Pre-inputted cells 3 5 13" xfId="26424" xr:uid="{00000000-0005-0000-0000-00000B680000}"/>
    <cellStyle name="Pre-inputted cells 3 5 14" xfId="26425" xr:uid="{00000000-0005-0000-0000-00000C680000}"/>
    <cellStyle name="Pre-inputted cells 3 5 15" xfId="26426" xr:uid="{00000000-0005-0000-0000-00000D680000}"/>
    <cellStyle name="Pre-inputted cells 3 5 16" xfId="26427" xr:uid="{00000000-0005-0000-0000-00000E680000}"/>
    <cellStyle name="Pre-inputted cells 3 5 17" xfId="26428" xr:uid="{00000000-0005-0000-0000-00000F680000}"/>
    <cellStyle name="Pre-inputted cells 3 5 18" xfId="26429" xr:uid="{00000000-0005-0000-0000-000010680000}"/>
    <cellStyle name="Pre-inputted cells 3 5 19" xfId="26430" xr:uid="{00000000-0005-0000-0000-000011680000}"/>
    <cellStyle name="Pre-inputted cells 3 5 2" xfId="26431" xr:uid="{00000000-0005-0000-0000-000012680000}"/>
    <cellStyle name="Pre-inputted cells 3 5 2 10" xfId="26432" xr:uid="{00000000-0005-0000-0000-000013680000}"/>
    <cellStyle name="Pre-inputted cells 3 5 2 11" xfId="26433" xr:uid="{00000000-0005-0000-0000-000014680000}"/>
    <cellStyle name="Pre-inputted cells 3 5 2 12" xfId="26434" xr:uid="{00000000-0005-0000-0000-000015680000}"/>
    <cellStyle name="Pre-inputted cells 3 5 2 13" xfId="26435" xr:uid="{00000000-0005-0000-0000-000016680000}"/>
    <cellStyle name="Pre-inputted cells 3 5 2 2" xfId="26436" xr:uid="{00000000-0005-0000-0000-000017680000}"/>
    <cellStyle name="Pre-inputted cells 3 5 2 2 2" xfId="26437" xr:uid="{00000000-0005-0000-0000-000018680000}"/>
    <cellStyle name="Pre-inputted cells 3 5 2 2 3" xfId="26438" xr:uid="{00000000-0005-0000-0000-000019680000}"/>
    <cellStyle name="Pre-inputted cells 3 5 2 3" xfId="26439" xr:uid="{00000000-0005-0000-0000-00001A680000}"/>
    <cellStyle name="Pre-inputted cells 3 5 2 3 2" xfId="26440" xr:uid="{00000000-0005-0000-0000-00001B680000}"/>
    <cellStyle name="Pre-inputted cells 3 5 2 3 3" xfId="26441" xr:uid="{00000000-0005-0000-0000-00001C680000}"/>
    <cellStyle name="Pre-inputted cells 3 5 2 4" xfId="26442" xr:uid="{00000000-0005-0000-0000-00001D680000}"/>
    <cellStyle name="Pre-inputted cells 3 5 2 5" xfId="26443" xr:uid="{00000000-0005-0000-0000-00001E680000}"/>
    <cellStyle name="Pre-inputted cells 3 5 2 6" xfId="26444" xr:uid="{00000000-0005-0000-0000-00001F680000}"/>
    <cellStyle name="Pre-inputted cells 3 5 2 7" xfId="26445" xr:uid="{00000000-0005-0000-0000-000020680000}"/>
    <cellStyle name="Pre-inputted cells 3 5 2 8" xfId="26446" xr:uid="{00000000-0005-0000-0000-000021680000}"/>
    <cellStyle name="Pre-inputted cells 3 5 2 9" xfId="26447" xr:uid="{00000000-0005-0000-0000-000022680000}"/>
    <cellStyle name="Pre-inputted cells 3 5 20" xfId="26448" xr:uid="{00000000-0005-0000-0000-000023680000}"/>
    <cellStyle name="Pre-inputted cells 3 5 21" xfId="26449" xr:uid="{00000000-0005-0000-0000-000024680000}"/>
    <cellStyle name="Pre-inputted cells 3 5 22" xfId="26450" xr:uid="{00000000-0005-0000-0000-000025680000}"/>
    <cellStyle name="Pre-inputted cells 3 5 23" xfId="26451" xr:uid="{00000000-0005-0000-0000-000026680000}"/>
    <cellStyle name="Pre-inputted cells 3 5 24" xfId="26452" xr:uid="{00000000-0005-0000-0000-000027680000}"/>
    <cellStyle name="Pre-inputted cells 3 5 25" xfId="26453" xr:uid="{00000000-0005-0000-0000-000028680000}"/>
    <cellStyle name="Pre-inputted cells 3 5 26" xfId="26454" xr:uid="{00000000-0005-0000-0000-000029680000}"/>
    <cellStyle name="Pre-inputted cells 3 5 27" xfId="26455" xr:uid="{00000000-0005-0000-0000-00002A680000}"/>
    <cellStyle name="Pre-inputted cells 3 5 28" xfId="26456" xr:uid="{00000000-0005-0000-0000-00002B680000}"/>
    <cellStyle name="Pre-inputted cells 3 5 29" xfId="26457" xr:uid="{00000000-0005-0000-0000-00002C680000}"/>
    <cellStyle name="Pre-inputted cells 3 5 3" xfId="26458" xr:uid="{00000000-0005-0000-0000-00002D680000}"/>
    <cellStyle name="Pre-inputted cells 3 5 3 2" xfId="26459" xr:uid="{00000000-0005-0000-0000-00002E680000}"/>
    <cellStyle name="Pre-inputted cells 3 5 3 3" xfId="26460" xr:uid="{00000000-0005-0000-0000-00002F680000}"/>
    <cellStyle name="Pre-inputted cells 3 5 30" xfId="26461" xr:uid="{00000000-0005-0000-0000-000030680000}"/>
    <cellStyle name="Pre-inputted cells 3 5 31" xfId="26462" xr:uid="{00000000-0005-0000-0000-000031680000}"/>
    <cellStyle name="Pre-inputted cells 3 5 32" xfId="26463" xr:uid="{00000000-0005-0000-0000-000032680000}"/>
    <cellStyle name="Pre-inputted cells 3 5 33" xfId="26464" xr:uid="{00000000-0005-0000-0000-000033680000}"/>
    <cellStyle name="Pre-inputted cells 3 5 34" xfId="26465" xr:uid="{00000000-0005-0000-0000-000034680000}"/>
    <cellStyle name="Pre-inputted cells 3 5 4" xfId="26466" xr:uid="{00000000-0005-0000-0000-000035680000}"/>
    <cellStyle name="Pre-inputted cells 3 5 4 2" xfId="26467" xr:uid="{00000000-0005-0000-0000-000036680000}"/>
    <cellStyle name="Pre-inputted cells 3 5 4 3" xfId="26468" xr:uid="{00000000-0005-0000-0000-000037680000}"/>
    <cellStyle name="Pre-inputted cells 3 5 5" xfId="26469" xr:uid="{00000000-0005-0000-0000-000038680000}"/>
    <cellStyle name="Pre-inputted cells 3 5 6" xfId="26470" xr:uid="{00000000-0005-0000-0000-000039680000}"/>
    <cellStyle name="Pre-inputted cells 3 5 7" xfId="26471" xr:uid="{00000000-0005-0000-0000-00003A680000}"/>
    <cellStyle name="Pre-inputted cells 3 5 8" xfId="26472" xr:uid="{00000000-0005-0000-0000-00003B680000}"/>
    <cellStyle name="Pre-inputted cells 3 5 9" xfId="26473" xr:uid="{00000000-0005-0000-0000-00003C680000}"/>
    <cellStyle name="Pre-inputted cells 3 6" xfId="26474" xr:uid="{00000000-0005-0000-0000-00003D680000}"/>
    <cellStyle name="Pre-inputted cells 3 6 10" xfId="26475" xr:uid="{00000000-0005-0000-0000-00003E680000}"/>
    <cellStyle name="Pre-inputted cells 3 6 11" xfId="26476" xr:uid="{00000000-0005-0000-0000-00003F680000}"/>
    <cellStyle name="Pre-inputted cells 3 6 12" xfId="26477" xr:uid="{00000000-0005-0000-0000-000040680000}"/>
    <cellStyle name="Pre-inputted cells 3 6 13" xfId="26478" xr:uid="{00000000-0005-0000-0000-000041680000}"/>
    <cellStyle name="Pre-inputted cells 3 6 2" xfId="26479" xr:uid="{00000000-0005-0000-0000-000042680000}"/>
    <cellStyle name="Pre-inputted cells 3 6 2 2" xfId="26480" xr:uid="{00000000-0005-0000-0000-000043680000}"/>
    <cellStyle name="Pre-inputted cells 3 6 2 3" xfId="26481" xr:uid="{00000000-0005-0000-0000-000044680000}"/>
    <cellStyle name="Pre-inputted cells 3 6 3" xfId="26482" xr:uid="{00000000-0005-0000-0000-000045680000}"/>
    <cellStyle name="Pre-inputted cells 3 6 3 2" xfId="26483" xr:uid="{00000000-0005-0000-0000-000046680000}"/>
    <cellStyle name="Pre-inputted cells 3 6 3 3" xfId="26484" xr:uid="{00000000-0005-0000-0000-000047680000}"/>
    <cellStyle name="Pre-inputted cells 3 6 4" xfId="26485" xr:uid="{00000000-0005-0000-0000-000048680000}"/>
    <cellStyle name="Pre-inputted cells 3 6 5" xfId="26486" xr:uid="{00000000-0005-0000-0000-000049680000}"/>
    <cellStyle name="Pre-inputted cells 3 6 6" xfId="26487" xr:uid="{00000000-0005-0000-0000-00004A680000}"/>
    <cellStyle name="Pre-inputted cells 3 6 7" xfId="26488" xr:uid="{00000000-0005-0000-0000-00004B680000}"/>
    <cellStyle name="Pre-inputted cells 3 6 8" xfId="26489" xr:uid="{00000000-0005-0000-0000-00004C680000}"/>
    <cellStyle name="Pre-inputted cells 3 6 9" xfId="26490" xr:uid="{00000000-0005-0000-0000-00004D680000}"/>
    <cellStyle name="Pre-inputted cells 3 7" xfId="26491" xr:uid="{00000000-0005-0000-0000-00004E680000}"/>
    <cellStyle name="Pre-inputted cells 3 7 2" xfId="26492" xr:uid="{00000000-0005-0000-0000-00004F680000}"/>
    <cellStyle name="Pre-inputted cells 3 7 2 2" xfId="26493" xr:uid="{00000000-0005-0000-0000-000050680000}"/>
    <cellStyle name="Pre-inputted cells 3 7 2 3" xfId="26494" xr:uid="{00000000-0005-0000-0000-000051680000}"/>
    <cellStyle name="Pre-inputted cells 3 7 3" xfId="26495" xr:uid="{00000000-0005-0000-0000-000052680000}"/>
    <cellStyle name="Pre-inputted cells 3 7 3 2" xfId="26496" xr:uid="{00000000-0005-0000-0000-000053680000}"/>
    <cellStyle name="Pre-inputted cells 3 7 4" xfId="26497" xr:uid="{00000000-0005-0000-0000-000054680000}"/>
    <cellStyle name="Pre-inputted cells 3 8" xfId="26498" xr:uid="{00000000-0005-0000-0000-000055680000}"/>
    <cellStyle name="Pre-inputted cells 3 8 2" xfId="26499" xr:uid="{00000000-0005-0000-0000-000056680000}"/>
    <cellStyle name="Pre-inputted cells 3 9" xfId="26500" xr:uid="{00000000-0005-0000-0000-000057680000}"/>
    <cellStyle name="Pre-inputted cells 3 9 2" xfId="26501" xr:uid="{00000000-0005-0000-0000-000058680000}"/>
    <cellStyle name="Pre-inputted cells 3_1.3s Accounting C Costs Scots" xfId="26502" xr:uid="{00000000-0005-0000-0000-000059680000}"/>
    <cellStyle name="Pre-inputted cells 30" xfId="26503" xr:uid="{00000000-0005-0000-0000-00005A680000}"/>
    <cellStyle name="Pre-inputted cells 30 2" xfId="26504" xr:uid="{00000000-0005-0000-0000-00005B680000}"/>
    <cellStyle name="Pre-inputted cells 31" xfId="26505" xr:uid="{00000000-0005-0000-0000-00005C680000}"/>
    <cellStyle name="Pre-inputted cells 31 2" xfId="26506" xr:uid="{00000000-0005-0000-0000-00005D680000}"/>
    <cellStyle name="Pre-inputted cells 32" xfId="26507" xr:uid="{00000000-0005-0000-0000-00005E680000}"/>
    <cellStyle name="Pre-inputted cells 32 2" xfId="26508" xr:uid="{00000000-0005-0000-0000-00005F680000}"/>
    <cellStyle name="Pre-inputted cells 33" xfId="26509" xr:uid="{00000000-0005-0000-0000-000060680000}"/>
    <cellStyle name="Pre-inputted cells 33 2" xfId="26510" xr:uid="{00000000-0005-0000-0000-000061680000}"/>
    <cellStyle name="Pre-inputted cells 34" xfId="26511" xr:uid="{00000000-0005-0000-0000-000062680000}"/>
    <cellStyle name="Pre-inputted cells 35" xfId="26512" xr:uid="{00000000-0005-0000-0000-000063680000}"/>
    <cellStyle name="Pre-inputted cells 36" xfId="26513" xr:uid="{00000000-0005-0000-0000-000064680000}"/>
    <cellStyle name="Pre-inputted cells 37" xfId="26514" xr:uid="{00000000-0005-0000-0000-000065680000}"/>
    <cellStyle name="Pre-inputted cells 38" xfId="26515" xr:uid="{00000000-0005-0000-0000-000066680000}"/>
    <cellStyle name="Pre-inputted cells 39" xfId="26516" xr:uid="{00000000-0005-0000-0000-000067680000}"/>
    <cellStyle name="Pre-inputted cells 4" xfId="26517" xr:uid="{00000000-0005-0000-0000-000068680000}"/>
    <cellStyle name="Pre-inputted cells 4 10" xfId="26518" xr:uid="{00000000-0005-0000-0000-000069680000}"/>
    <cellStyle name="Pre-inputted cells 4 10 2" xfId="26519" xr:uid="{00000000-0005-0000-0000-00006A680000}"/>
    <cellStyle name="Pre-inputted cells 4 11" xfId="26520" xr:uid="{00000000-0005-0000-0000-00006B680000}"/>
    <cellStyle name="Pre-inputted cells 4 11 2" xfId="26521" xr:uid="{00000000-0005-0000-0000-00006C680000}"/>
    <cellStyle name="Pre-inputted cells 4 12" xfId="26522" xr:uid="{00000000-0005-0000-0000-00006D680000}"/>
    <cellStyle name="Pre-inputted cells 4 12 2" xfId="26523" xr:uid="{00000000-0005-0000-0000-00006E680000}"/>
    <cellStyle name="Pre-inputted cells 4 13" xfId="26524" xr:uid="{00000000-0005-0000-0000-00006F680000}"/>
    <cellStyle name="Pre-inputted cells 4 13 2" xfId="26525" xr:uid="{00000000-0005-0000-0000-000070680000}"/>
    <cellStyle name="Pre-inputted cells 4 14" xfId="26526" xr:uid="{00000000-0005-0000-0000-000071680000}"/>
    <cellStyle name="Pre-inputted cells 4 14 2" xfId="26527" xr:uid="{00000000-0005-0000-0000-000072680000}"/>
    <cellStyle name="Pre-inputted cells 4 15" xfId="26528" xr:uid="{00000000-0005-0000-0000-000073680000}"/>
    <cellStyle name="Pre-inputted cells 4 15 2" xfId="26529" xr:uid="{00000000-0005-0000-0000-000074680000}"/>
    <cellStyle name="Pre-inputted cells 4 16" xfId="26530" xr:uid="{00000000-0005-0000-0000-000075680000}"/>
    <cellStyle name="Pre-inputted cells 4 16 2" xfId="26531" xr:uid="{00000000-0005-0000-0000-000076680000}"/>
    <cellStyle name="Pre-inputted cells 4 17" xfId="26532" xr:uid="{00000000-0005-0000-0000-000077680000}"/>
    <cellStyle name="Pre-inputted cells 4 17 2" xfId="26533" xr:uid="{00000000-0005-0000-0000-000078680000}"/>
    <cellStyle name="Pre-inputted cells 4 18" xfId="26534" xr:uid="{00000000-0005-0000-0000-000079680000}"/>
    <cellStyle name="Pre-inputted cells 4 18 2" xfId="26535" xr:uid="{00000000-0005-0000-0000-00007A680000}"/>
    <cellStyle name="Pre-inputted cells 4 19" xfId="26536" xr:uid="{00000000-0005-0000-0000-00007B680000}"/>
    <cellStyle name="Pre-inputted cells 4 19 2" xfId="26537" xr:uid="{00000000-0005-0000-0000-00007C680000}"/>
    <cellStyle name="Pre-inputted cells 4 2" xfId="26538" xr:uid="{00000000-0005-0000-0000-00007D680000}"/>
    <cellStyle name="Pre-inputted cells 4 2 10" xfId="26539" xr:uid="{00000000-0005-0000-0000-00007E680000}"/>
    <cellStyle name="Pre-inputted cells 4 2 10 2" xfId="26540" xr:uid="{00000000-0005-0000-0000-00007F680000}"/>
    <cellStyle name="Pre-inputted cells 4 2 11" xfId="26541" xr:uid="{00000000-0005-0000-0000-000080680000}"/>
    <cellStyle name="Pre-inputted cells 4 2 11 2" xfId="26542" xr:uid="{00000000-0005-0000-0000-000081680000}"/>
    <cellStyle name="Pre-inputted cells 4 2 12" xfId="26543" xr:uid="{00000000-0005-0000-0000-000082680000}"/>
    <cellStyle name="Pre-inputted cells 4 2 12 2" xfId="26544" xr:uid="{00000000-0005-0000-0000-000083680000}"/>
    <cellStyle name="Pre-inputted cells 4 2 13" xfId="26545" xr:uid="{00000000-0005-0000-0000-000084680000}"/>
    <cellStyle name="Pre-inputted cells 4 2 13 2" xfId="26546" xr:uid="{00000000-0005-0000-0000-000085680000}"/>
    <cellStyle name="Pre-inputted cells 4 2 14" xfId="26547" xr:uid="{00000000-0005-0000-0000-000086680000}"/>
    <cellStyle name="Pre-inputted cells 4 2 14 2" xfId="26548" xr:uid="{00000000-0005-0000-0000-000087680000}"/>
    <cellStyle name="Pre-inputted cells 4 2 15" xfId="26549" xr:uid="{00000000-0005-0000-0000-000088680000}"/>
    <cellStyle name="Pre-inputted cells 4 2 15 2" xfId="26550" xr:uid="{00000000-0005-0000-0000-000089680000}"/>
    <cellStyle name="Pre-inputted cells 4 2 16" xfId="26551" xr:uid="{00000000-0005-0000-0000-00008A680000}"/>
    <cellStyle name="Pre-inputted cells 4 2 16 2" xfId="26552" xr:uid="{00000000-0005-0000-0000-00008B680000}"/>
    <cellStyle name="Pre-inputted cells 4 2 17" xfId="26553" xr:uid="{00000000-0005-0000-0000-00008C680000}"/>
    <cellStyle name="Pre-inputted cells 4 2 17 2" xfId="26554" xr:uid="{00000000-0005-0000-0000-00008D680000}"/>
    <cellStyle name="Pre-inputted cells 4 2 18" xfId="26555" xr:uid="{00000000-0005-0000-0000-00008E680000}"/>
    <cellStyle name="Pre-inputted cells 4 2 18 2" xfId="26556" xr:uid="{00000000-0005-0000-0000-00008F680000}"/>
    <cellStyle name="Pre-inputted cells 4 2 19" xfId="26557" xr:uid="{00000000-0005-0000-0000-000090680000}"/>
    <cellStyle name="Pre-inputted cells 4 2 19 2" xfId="26558" xr:uid="{00000000-0005-0000-0000-000091680000}"/>
    <cellStyle name="Pre-inputted cells 4 2 2" xfId="26559" xr:uid="{00000000-0005-0000-0000-000092680000}"/>
    <cellStyle name="Pre-inputted cells 4 2 2 10" xfId="26560" xr:uid="{00000000-0005-0000-0000-000093680000}"/>
    <cellStyle name="Pre-inputted cells 4 2 2 11" xfId="26561" xr:uid="{00000000-0005-0000-0000-000094680000}"/>
    <cellStyle name="Pre-inputted cells 4 2 2 12" xfId="26562" xr:uid="{00000000-0005-0000-0000-000095680000}"/>
    <cellStyle name="Pre-inputted cells 4 2 2 13" xfId="26563" xr:uid="{00000000-0005-0000-0000-000096680000}"/>
    <cellStyle name="Pre-inputted cells 4 2 2 14" xfId="26564" xr:uid="{00000000-0005-0000-0000-000097680000}"/>
    <cellStyle name="Pre-inputted cells 4 2 2 15" xfId="26565" xr:uid="{00000000-0005-0000-0000-000098680000}"/>
    <cellStyle name="Pre-inputted cells 4 2 2 16" xfId="26566" xr:uid="{00000000-0005-0000-0000-000099680000}"/>
    <cellStyle name="Pre-inputted cells 4 2 2 17" xfId="26567" xr:uid="{00000000-0005-0000-0000-00009A680000}"/>
    <cellStyle name="Pre-inputted cells 4 2 2 18" xfId="26568" xr:uid="{00000000-0005-0000-0000-00009B680000}"/>
    <cellStyle name="Pre-inputted cells 4 2 2 19" xfId="26569" xr:uid="{00000000-0005-0000-0000-00009C680000}"/>
    <cellStyle name="Pre-inputted cells 4 2 2 2" xfId="26570" xr:uid="{00000000-0005-0000-0000-00009D680000}"/>
    <cellStyle name="Pre-inputted cells 4 2 2 2 10" xfId="26571" xr:uid="{00000000-0005-0000-0000-00009E680000}"/>
    <cellStyle name="Pre-inputted cells 4 2 2 2 11" xfId="26572" xr:uid="{00000000-0005-0000-0000-00009F680000}"/>
    <cellStyle name="Pre-inputted cells 4 2 2 2 12" xfId="26573" xr:uid="{00000000-0005-0000-0000-0000A0680000}"/>
    <cellStyle name="Pre-inputted cells 4 2 2 2 13" xfId="26574" xr:uid="{00000000-0005-0000-0000-0000A1680000}"/>
    <cellStyle name="Pre-inputted cells 4 2 2 2 14" xfId="26575" xr:uid="{00000000-0005-0000-0000-0000A2680000}"/>
    <cellStyle name="Pre-inputted cells 4 2 2 2 15" xfId="26576" xr:uid="{00000000-0005-0000-0000-0000A3680000}"/>
    <cellStyle name="Pre-inputted cells 4 2 2 2 16" xfId="26577" xr:uid="{00000000-0005-0000-0000-0000A4680000}"/>
    <cellStyle name="Pre-inputted cells 4 2 2 2 17" xfId="26578" xr:uid="{00000000-0005-0000-0000-0000A5680000}"/>
    <cellStyle name="Pre-inputted cells 4 2 2 2 18" xfId="26579" xr:uid="{00000000-0005-0000-0000-0000A6680000}"/>
    <cellStyle name="Pre-inputted cells 4 2 2 2 19" xfId="26580" xr:uid="{00000000-0005-0000-0000-0000A7680000}"/>
    <cellStyle name="Pre-inputted cells 4 2 2 2 2" xfId="26581" xr:uid="{00000000-0005-0000-0000-0000A8680000}"/>
    <cellStyle name="Pre-inputted cells 4 2 2 2 2 10" xfId="26582" xr:uid="{00000000-0005-0000-0000-0000A9680000}"/>
    <cellStyle name="Pre-inputted cells 4 2 2 2 2 11" xfId="26583" xr:uid="{00000000-0005-0000-0000-0000AA680000}"/>
    <cellStyle name="Pre-inputted cells 4 2 2 2 2 12" xfId="26584" xr:uid="{00000000-0005-0000-0000-0000AB680000}"/>
    <cellStyle name="Pre-inputted cells 4 2 2 2 2 13" xfId="26585" xr:uid="{00000000-0005-0000-0000-0000AC680000}"/>
    <cellStyle name="Pre-inputted cells 4 2 2 2 2 2" xfId="26586" xr:uid="{00000000-0005-0000-0000-0000AD680000}"/>
    <cellStyle name="Pre-inputted cells 4 2 2 2 2 2 2" xfId="26587" xr:uid="{00000000-0005-0000-0000-0000AE680000}"/>
    <cellStyle name="Pre-inputted cells 4 2 2 2 2 2 3" xfId="26588" xr:uid="{00000000-0005-0000-0000-0000AF680000}"/>
    <cellStyle name="Pre-inputted cells 4 2 2 2 2 3" xfId="26589" xr:uid="{00000000-0005-0000-0000-0000B0680000}"/>
    <cellStyle name="Pre-inputted cells 4 2 2 2 2 3 2" xfId="26590" xr:uid="{00000000-0005-0000-0000-0000B1680000}"/>
    <cellStyle name="Pre-inputted cells 4 2 2 2 2 3 3" xfId="26591" xr:uid="{00000000-0005-0000-0000-0000B2680000}"/>
    <cellStyle name="Pre-inputted cells 4 2 2 2 2 4" xfId="26592" xr:uid="{00000000-0005-0000-0000-0000B3680000}"/>
    <cellStyle name="Pre-inputted cells 4 2 2 2 2 5" xfId="26593" xr:uid="{00000000-0005-0000-0000-0000B4680000}"/>
    <cellStyle name="Pre-inputted cells 4 2 2 2 2 6" xfId="26594" xr:uid="{00000000-0005-0000-0000-0000B5680000}"/>
    <cellStyle name="Pre-inputted cells 4 2 2 2 2 7" xfId="26595" xr:uid="{00000000-0005-0000-0000-0000B6680000}"/>
    <cellStyle name="Pre-inputted cells 4 2 2 2 2 8" xfId="26596" xr:uid="{00000000-0005-0000-0000-0000B7680000}"/>
    <cellStyle name="Pre-inputted cells 4 2 2 2 2 9" xfId="26597" xr:uid="{00000000-0005-0000-0000-0000B8680000}"/>
    <cellStyle name="Pre-inputted cells 4 2 2 2 20" xfId="26598" xr:uid="{00000000-0005-0000-0000-0000B9680000}"/>
    <cellStyle name="Pre-inputted cells 4 2 2 2 21" xfId="26599" xr:uid="{00000000-0005-0000-0000-0000BA680000}"/>
    <cellStyle name="Pre-inputted cells 4 2 2 2 22" xfId="26600" xr:uid="{00000000-0005-0000-0000-0000BB680000}"/>
    <cellStyle name="Pre-inputted cells 4 2 2 2 23" xfId="26601" xr:uid="{00000000-0005-0000-0000-0000BC680000}"/>
    <cellStyle name="Pre-inputted cells 4 2 2 2 24" xfId="26602" xr:uid="{00000000-0005-0000-0000-0000BD680000}"/>
    <cellStyle name="Pre-inputted cells 4 2 2 2 25" xfId="26603" xr:uid="{00000000-0005-0000-0000-0000BE680000}"/>
    <cellStyle name="Pre-inputted cells 4 2 2 2 26" xfId="26604" xr:uid="{00000000-0005-0000-0000-0000BF680000}"/>
    <cellStyle name="Pre-inputted cells 4 2 2 2 27" xfId="26605" xr:uid="{00000000-0005-0000-0000-0000C0680000}"/>
    <cellStyle name="Pre-inputted cells 4 2 2 2 28" xfId="26606" xr:uid="{00000000-0005-0000-0000-0000C1680000}"/>
    <cellStyle name="Pre-inputted cells 4 2 2 2 29" xfId="26607" xr:uid="{00000000-0005-0000-0000-0000C2680000}"/>
    <cellStyle name="Pre-inputted cells 4 2 2 2 3" xfId="26608" xr:uid="{00000000-0005-0000-0000-0000C3680000}"/>
    <cellStyle name="Pre-inputted cells 4 2 2 2 3 2" xfId="26609" xr:uid="{00000000-0005-0000-0000-0000C4680000}"/>
    <cellStyle name="Pre-inputted cells 4 2 2 2 3 3" xfId="26610" xr:uid="{00000000-0005-0000-0000-0000C5680000}"/>
    <cellStyle name="Pre-inputted cells 4 2 2 2 30" xfId="26611" xr:uid="{00000000-0005-0000-0000-0000C6680000}"/>
    <cellStyle name="Pre-inputted cells 4 2 2 2 31" xfId="26612" xr:uid="{00000000-0005-0000-0000-0000C7680000}"/>
    <cellStyle name="Pre-inputted cells 4 2 2 2 32" xfId="26613" xr:uid="{00000000-0005-0000-0000-0000C8680000}"/>
    <cellStyle name="Pre-inputted cells 4 2 2 2 33" xfId="26614" xr:uid="{00000000-0005-0000-0000-0000C9680000}"/>
    <cellStyle name="Pre-inputted cells 4 2 2 2 34" xfId="26615" xr:uid="{00000000-0005-0000-0000-0000CA680000}"/>
    <cellStyle name="Pre-inputted cells 4 2 2 2 4" xfId="26616" xr:uid="{00000000-0005-0000-0000-0000CB680000}"/>
    <cellStyle name="Pre-inputted cells 4 2 2 2 4 2" xfId="26617" xr:uid="{00000000-0005-0000-0000-0000CC680000}"/>
    <cellStyle name="Pre-inputted cells 4 2 2 2 4 3" xfId="26618" xr:uid="{00000000-0005-0000-0000-0000CD680000}"/>
    <cellStyle name="Pre-inputted cells 4 2 2 2 5" xfId="26619" xr:uid="{00000000-0005-0000-0000-0000CE680000}"/>
    <cellStyle name="Pre-inputted cells 4 2 2 2 6" xfId="26620" xr:uid="{00000000-0005-0000-0000-0000CF680000}"/>
    <cellStyle name="Pre-inputted cells 4 2 2 2 7" xfId="26621" xr:uid="{00000000-0005-0000-0000-0000D0680000}"/>
    <cellStyle name="Pre-inputted cells 4 2 2 2 8" xfId="26622" xr:uid="{00000000-0005-0000-0000-0000D1680000}"/>
    <cellStyle name="Pre-inputted cells 4 2 2 2 9" xfId="26623" xr:uid="{00000000-0005-0000-0000-0000D2680000}"/>
    <cellStyle name="Pre-inputted cells 4 2 2 20" xfId="26624" xr:uid="{00000000-0005-0000-0000-0000D3680000}"/>
    <cellStyle name="Pre-inputted cells 4 2 2 21" xfId="26625" xr:uid="{00000000-0005-0000-0000-0000D4680000}"/>
    <cellStyle name="Pre-inputted cells 4 2 2 22" xfId="26626" xr:uid="{00000000-0005-0000-0000-0000D5680000}"/>
    <cellStyle name="Pre-inputted cells 4 2 2 23" xfId="26627" xr:uid="{00000000-0005-0000-0000-0000D6680000}"/>
    <cellStyle name="Pre-inputted cells 4 2 2 24" xfId="26628" xr:uid="{00000000-0005-0000-0000-0000D7680000}"/>
    <cellStyle name="Pre-inputted cells 4 2 2 25" xfId="26629" xr:uid="{00000000-0005-0000-0000-0000D8680000}"/>
    <cellStyle name="Pre-inputted cells 4 2 2 26" xfId="26630" xr:uid="{00000000-0005-0000-0000-0000D9680000}"/>
    <cellStyle name="Pre-inputted cells 4 2 2 27" xfId="26631" xr:uid="{00000000-0005-0000-0000-0000DA680000}"/>
    <cellStyle name="Pre-inputted cells 4 2 2 28" xfId="26632" xr:uid="{00000000-0005-0000-0000-0000DB680000}"/>
    <cellStyle name="Pre-inputted cells 4 2 2 29" xfId="26633" xr:uid="{00000000-0005-0000-0000-0000DC680000}"/>
    <cellStyle name="Pre-inputted cells 4 2 2 3" xfId="26634" xr:uid="{00000000-0005-0000-0000-0000DD680000}"/>
    <cellStyle name="Pre-inputted cells 4 2 2 3 10" xfId="26635" xr:uid="{00000000-0005-0000-0000-0000DE680000}"/>
    <cellStyle name="Pre-inputted cells 4 2 2 3 11" xfId="26636" xr:uid="{00000000-0005-0000-0000-0000DF680000}"/>
    <cellStyle name="Pre-inputted cells 4 2 2 3 12" xfId="26637" xr:uid="{00000000-0005-0000-0000-0000E0680000}"/>
    <cellStyle name="Pre-inputted cells 4 2 2 3 13" xfId="26638" xr:uid="{00000000-0005-0000-0000-0000E1680000}"/>
    <cellStyle name="Pre-inputted cells 4 2 2 3 2" xfId="26639" xr:uid="{00000000-0005-0000-0000-0000E2680000}"/>
    <cellStyle name="Pre-inputted cells 4 2 2 3 2 2" xfId="26640" xr:uid="{00000000-0005-0000-0000-0000E3680000}"/>
    <cellStyle name="Pre-inputted cells 4 2 2 3 2 3" xfId="26641" xr:uid="{00000000-0005-0000-0000-0000E4680000}"/>
    <cellStyle name="Pre-inputted cells 4 2 2 3 3" xfId="26642" xr:uid="{00000000-0005-0000-0000-0000E5680000}"/>
    <cellStyle name="Pre-inputted cells 4 2 2 3 3 2" xfId="26643" xr:uid="{00000000-0005-0000-0000-0000E6680000}"/>
    <cellStyle name="Pre-inputted cells 4 2 2 3 3 3" xfId="26644" xr:uid="{00000000-0005-0000-0000-0000E7680000}"/>
    <cellStyle name="Pre-inputted cells 4 2 2 3 4" xfId="26645" xr:uid="{00000000-0005-0000-0000-0000E8680000}"/>
    <cellStyle name="Pre-inputted cells 4 2 2 3 5" xfId="26646" xr:uid="{00000000-0005-0000-0000-0000E9680000}"/>
    <cellStyle name="Pre-inputted cells 4 2 2 3 6" xfId="26647" xr:uid="{00000000-0005-0000-0000-0000EA680000}"/>
    <cellStyle name="Pre-inputted cells 4 2 2 3 7" xfId="26648" xr:uid="{00000000-0005-0000-0000-0000EB680000}"/>
    <cellStyle name="Pre-inputted cells 4 2 2 3 8" xfId="26649" xr:uid="{00000000-0005-0000-0000-0000EC680000}"/>
    <cellStyle name="Pre-inputted cells 4 2 2 3 9" xfId="26650" xr:uid="{00000000-0005-0000-0000-0000ED680000}"/>
    <cellStyle name="Pre-inputted cells 4 2 2 30" xfId="26651" xr:uid="{00000000-0005-0000-0000-0000EE680000}"/>
    <cellStyle name="Pre-inputted cells 4 2 2 31" xfId="26652" xr:uid="{00000000-0005-0000-0000-0000EF680000}"/>
    <cellStyle name="Pre-inputted cells 4 2 2 32" xfId="26653" xr:uid="{00000000-0005-0000-0000-0000F0680000}"/>
    <cellStyle name="Pre-inputted cells 4 2 2 33" xfId="26654" xr:uid="{00000000-0005-0000-0000-0000F1680000}"/>
    <cellStyle name="Pre-inputted cells 4 2 2 34" xfId="26655" xr:uid="{00000000-0005-0000-0000-0000F2680000}"/>
    <cellStyle name="Pre-inputted cells 4 2 2 35" xfId="26656" xr:uid="{00000000-0005-0000-0000-0000F3680000}"/>
    <cellStyle name="Pre-inputted cells 4 2 2 4" xfId="26657" xr:uid="{00000000-0005-0000-0000-0000F4680000}"/>
    <cellStyle name="Pre-inputted cells 4 2 2 4 2" xfId="26658" xr:uid="{00000000-0005-0000-0000-0000F5680000}"/>
    <cellStyle name="Pre-inputted cells 4 2 2 4 3" xfId="26659" xr:uid="{00000000-0005-0000-0000-0000F6680000}"/>
    <cellStyle name="Pre-inputted cells 4 2 2 5" xfId="26660" xr:uid="{00000000-0005-0000-0000-0000F7680000}"/>
    <cellStyle name="Pre-inputted cells 4 2 2 5 2" xfId="26661" xr:uid="{00000000-0005-0000-0000-0000F8680000}"/>
    <cellStyle name="Pre-inputted cells 4 2 2 5 3" xfId="26662" xr:uid="{00000000-0005-0000-0000-0000F9680000}"/>
    <cellStyle name="Pre-inputted cells 4 2 2 6" xfId="26663" xr:uid="{00000000-0005-0000-0000-0000FA680000}"/>
    <cellStyle name="Pre-inputted cells 4 2 2 7" xfId="26664" xr:uid="{00000000-0005-0000-0000-0000FB680000}"/>
    <cellStyle name="Pre-inputted cells 4 2 2 8" xfId="26665" xr:uid="{00000000-0005-0000-0000-0000FC680000}"/>
    <cellStyle name="Pre-inputted cells 4 2 2 9" xfId="26666" xr:uid="{00000000-0005-0000-0000-0000FD680000}"/>
    <cellStyle name="Pre-inputted cells 4 2 2_4 28 1_Asst_Health_Crit_AllTO_RIIO_20110714pm" xfId="26667" xr:uid="{00000000-0005-0000-0000-0000FE680000}"/>
    <cellStyle name="Pre-inputted cells 4 2 20" xfId="26668" xr:uid="{00000000-0005-0000-0000-0000FF680000}"/>
    <cellStyle name="Pre-inputted cells 4 2 20 2" xfId="26669" xr:uid="{00000000-0005-0000-0000-000000690000}"/>
    <cellStyle name="Pre-inputted cells 4 2 21" xfId="26670" xr:uid="{00000000-0005-0000-0000-000001690000}"/>
    <cellStyle name="Pre-inputted cells 4 2 21 2" xfId="26671" xr:uid="{00000000-0005-0000-0000-000002690000}"/>
    <cellStyle name="Pre-inputted cells 4 2 22" xfId="26672" xr:uid="{00000000-0005-0000-0000-000003690000}"/>
    <cellStyle name="Pre-inputted cells 4 2 22 2" xfId="26673" xr:uid="{00000000-0005-0000-0000-000004690000}"/>
    <cellStyle name="Pre-inputted cells 4 2 23" xfId="26674" xr:uid="{00000000-0005-0000-0000-000005690000}"/>
    <cellStyle name="Pre-inputted cells 4 2 23 2" xfId="26675" xr:uid="{00000000-0005-0000-0000-000006690000}"/>
    <cellStyle name="Pre-inputted cells 4 2 24" xfId="26676" xr:uid="{00000000-0005-0000-0000-000007690000}"/>
    <cellStyle name="Pre-inputted cells 4 2 24 2" xfId="26677" xr:uid="{00000000-0005-0000-0000-000008690000}"/>
    <cellStyle name="Pre-inputted cells 4 2 25" xfId="26678" xr:uid="{00000000-0005-0000-0000-000009690000}"/>
    <cellStyle name="Pre-inputted cells 4 2 25 2" xfId="26679" xr:uid="{00000000-0005-0000-0000-00000A690000}"/>
    <cellStyle name="Pre-inputted cells 4 2 26" xfId="26680" xr:uid="{00000000-0005-0000-0000-00000B690000}"/>
    <cellStyle name="Pre-inputted cells 4 2 27" xfId="26681" xr:uid="{00000000-0005-0000-0000-00000C690000}"/>
    <cellStyle name="Pre-inputted cells 4 2 28" xfId="26682" xr:uid="{00000000-0005-0000-0000-00000D690000}"/>
    <cellStyle name="Pre-inputted cells 4 2 29" xfId="26683" xr:uid="{00000000-0005-0000-0000-00000E690000}"/>
    <cellStyle name="Pre-inputted cells 4 2 3" xfId="26684" xr:uid="{00000000-0005-0000-0000-00000F690000}"/>
    <cellStyle name="Pre-inputted cells 4 2 3 10" xfId="26685" xr:uid="{00000000-0005-0000-0000-000010690000}"/>
    <cellStyle name="Pre-inputted cells 4 2 3 11" xfId="26686" xr:uid="{00000000-0005-0000-0000-000011690000}"/>
    <cellStyle name="Pre-inputted cells 4 2 3 12" xfId="26687" xr:uid="{00000000-0005-0000-0000-000012690000}"/>
    <cellStyle name="Pre-inputted cells 4 2 3 13" xfId="26688" xr:uid="{00000000-0005-0000-0000-000013690000}"/>
    <cellStyle name="Pre-inputted cells 4 2 3 14" xfId="26689" xr:uid="{00000000-0005-0000-0000-000014690000}"/>
    <cellStyle name="Pre-inputted cells 4 2 3 15" xfId="26690" xr:uid="{00000000-0005-0000-0000-000015690000}"/>
    <cellStyle name="Pre-inputted cells 4 2 3 16" xfId="26691" xr:uid="{00000000-0005-0000-0000-000016690000}"/>
    <cellStyle name="Pre-inputted cells 4 2 3 17" xfId="26692" xr:uid="{00000000-0005-0000-0000-000017690000}"/>
    <cellStyle name="Pre-inputted cells 4 2 3 18" xfId="26693" xr:uid="{00000000-0005-0000-0000-000018690000}"/>
    <cellStyle name="Pre-inputted cells 4 2 3 19" xfId="26694" xr:uid="{00000000-0005-0000-0000-000019690000}"/>
    <cellStyle name="Pre-inputted cells 4 2 3 2" xfId="26695" xr:uid="{00000000-0005-0000-0000-00001A690000}"/>
    <cellStyle name="Pre-inputted cells 4 2 3 2 10" xfId="26696" xr:uid="{00000000-0005-0000-0000-00001B690000}"/>
    <cellStyle name="Pre-inputted cells 4 2 3 2 11" xfId="26697" xr:uid="{00000000-0005-0000-0000-00001C690000}"/>
    <cellStyle name="Pre-inputted cells 4 2 3 2 12" xfId="26698" xr:uid="{00000000-0005-0000-0000-00001D690000}"/>
    <cellStyle name="Pre-inputted cells 4 2 3 2 13" xfId="26699" xr:uid="{00000000-0005-0000-0000-00001E690000}"/>
    <cellStyle name="Pre-inputted cells 4 2 3 2 2" xfId="26700" xr:uid="{00000000-0005-0000-0000-00001F690000}"/>
    <cellStyle name="Pre-inputted cells 4 2 3 2 2 2" xfId="26701" xr:uid="{00000000-0005-0000-0000-000020690000}"/>
    <cellStyle name="Pre-inputted cells 4 2 3 2 2 3" xfId="26702" xr:uid="{00000000-0005-0000-0000-000021690000}"/>
    <cellStyle name="Pre-inputted cells 4 2 3 2 3" xfId="26703" xr:uid="{00000000-0005-0000-0000-000022690000}"/>
    <cellStyle name="Pre-inputted cells 4 2 3 2 3 2" xfId="26704" xr:uid="{00000000-0005-0000-0000-000023690000}"/>
    <cellStyle name="Pre-inputted cells 4 2 3 2 3 3" xfId="26705" xr:uid="{00000000-0005-0000-0000-000024690000}"/>
    <cellStyle name="Pre-inputted cells 4 2 3 2 4" xfId="26706" xr:uid="{00000000-0005-0000-0000-000025690000}"/>
    <cellStyle name="Pre-inputted cells 4 2 3 2 5" xfId="26707" xr:uid="{00000000-0005-0000-0000-000026690000}"/>
    <cellStyle name="Pre-inputted cells 4 2 3 2 6" xfId="26708" xr:uid="{00000000-0005-0000-0000-000027690000}"/>
    <cellStyle name="Pre-inputted cells 4 2 3 2 7" xfId="26709" xr:uid="{00000000-0005-0000-0000-000028690000}"/>
    <cellStyle name="Pre-inputted cells 4 2 3 2 8" xfId="26710" xr:uid="{00000000-0005-0000-0000-000029690000}"/>
    <cellStyle name="Pre-inputted cells 4 2 3 2 9" xfId="26711" xr:uid="{00000000-0005-0000-0000-00002A690000}"/>
    <cellStyle name="Pre-inputted cells 4 2 3 20" xfId="26712" xr:uid="{00000000-0005-0000-0000-00002B690000}"/>
    <cellStyle name="Pre-inputted cells 4 2 3 21" xfId="26713" xr:uid="{00000000-0005-0000-0000-00002C690000}"/>
    <cellStyle name="Pre-inputted cells 4 2 3 22" xfId="26714" xr:uid="{00000000-0005-0000-0000-00002D690000}"/>
    <cellStyle name="Pre-inputted cells 4 2 3 23" xfId="26715" xr:uid="{00000000-0005-0000-0000-00002E690000}"/>
    <cellStyle name="Pre-inputted cells 4 2 3 24" xfId="26716" xr:uid="{00000000-0005-0000-0000-00002F690000}"/>
    <cellStyle name="Pre-inputted cells 4 2 3 25" xfId="26717" xr:uid="{00000000-0005-0000-0000-000030690000}"/>
    <cellStyle name="Pre-inputted cells 4 2 3 26" xfId="26718" xr:uid="{00000000-0005-0000-0000-000031690000}"/>
    <cellStyle name="Pre-inputted cells 4 2 3 27" xfId="26719" xr:uid="{00000000-0005-0000-0000-000032690000}"/>
    <cellStyle name="Pre-inputted cells 4 2 3 28" xfId="26720" xr:uid="{00000000-0005-0000-0000-000033690000}"/>
    <cellStyle name="Pre-inputted cells 4 2 3 29" xfId="26721" xr:uid="{00000000-0005-0000-0000-000034690000}"/>
    <cellStyle name="Pre-inputted cells 4 2 3 3" xfId="26722" xr:uid="{00000000-0005-0000-0000-000035690000}"/>
    <cellStyle name="Pre-inputted cells 4 2 3 3 2" xfId="26723" xr:uid="{00000000-0005-0000-0000-000036690000}"/>
    <cellStyle name="Pre-inputted cells 4 2 3 3 3" xfId="26724" xr:uid="{00000000-0005-0000-0000-000037690000}"/>
    <cellStyle name="Pre-inputted cells 4 2 3 30" xfId="26725" xr:uid="{00000000-0005-0000-0000-000038690000}"/>
    <cellStyle name="Pre-inputted cells 4 2 3 31" xfId="26726" xr:uid="{00000000-0005-0000-0000-000039690000}"/>
    <cellStyle name="Pre-inputted cells 4 2 3 32" xfId="26727" xr:uid="{00000000-0005-0000-0000-00003A690000}"/>
    <cellStyle name="Pre-inputted cells 4 2 3 33" xfId="26728" xr:uid="{00000000-0005-0000-0000-00003B690000}"/>
    <cellStyle name="Pre-inputted cells 4 2 3 34" xfId="26729" xr:uid="{00000000-0005-0000-0000-00003C690000}"/>
    <cellStyle name="Pre-inputted cells 4 2 3 4" xfId="26730" xr:uid="{00000000-0005-0000-0000-00003D690000}"/>
    <cellStyle name="Pre-inputted cells 4 2 3 4 2" xfId="26731" xr:uid="{00000000-0005-0000-0000-00003E690000}"/>
    <cellStyle name="Pre-inputted cells 4 2 3 4 3" xfId="26732" xr:uid="{00000000-0005-0000-0000-00003F690000}"/>
    <cellStyle name="Pre-inputted cells 4 2 3 5" xfId="26733" xr:uid="{00000000-0005-0000-0000-000040690000}"/>
    <cellStyle name="Pre-inputted cells 4 2 3 6" xfId="26734" xr:uid="{00000000-0005-0000-0000-000041690000}"/>
    <cellStyle name="Pre-inputted cells 4 2 3 7" xfId="26735" xr:uid="{00000000-0005-0000-0000-000042690000}"/>
    <cellStyle name="Pre-inputted cells 4 2 3 8" xfId="26736" xr:uid="{00000000-0005-0000-0000-000043690000}"/>
    <cellStyle name="Pre-inputted cells 4 2 3 9" xfId="26737" xr:uid="{00000000-0005-0000-0000-000044690000}"/>
    <cellStyle name="Pre-inputted cells 4 2 30" xfId="26738" xr:uid="{00000000-0005-0000-0000-000045690000}"/>
    <cellStyle name="Pre-inputted cells 4 2 31" xfId="26739" xr:uid="{00000000-0005-0000-0000-000046690000}"/>
    <cellStyle name="Pre-inputted cells 4 2 32" xfId="26740" xr:uid="{00000000-0005-0000-0000-000047690000}"/>
    <cellStyle name="Pre-inputted cells 4 2 33" xfId="26741" xr:uid="{00000000-0005-0000-0000-000048690000}"/>
    <cellStyle name="Pre-inputted cells 4 2 34" xfId="26742" xr:uid="{00000000-0005-0000-0000-000049690000}"/>
    <cellStyle name="Pre-inputted cells 4 2 35" xfId="26743" xr:uid="{00000000-0005-0000-0000-00004A690000}"/>
    <cellStyle name="Pre-inputted cells 4 2 36" xfId="26744" xr:uid="{00000000-0005-0000-0000-00004B690000}"/>
    <cellStyle name="Pre-inputted cells 4 2 37" xfId="26745" xr:uid="{00000000-0005-0000-0000-00004C690000}"/>
    <cellStyle name="Pre-inputted cells 4 2 38" xfId="26746" xr:uid="{00000000-0005-0000-0000-00004D690000}"/>
    <cellStyle name="Pre-inputted cells 4 2 4" xfId="26747" xr:uid="{00000000-0005-0000-0000-00004E690000}"/>
    <cellStyle name="Pre-inputted cells 4 2 4 10" xfId="26748" xr:uid="{00000000-0005-0000-0000-00004F690000}"/>
    <cellStyle name="Pre-inputted cells 4 2 4 11" xfId="26749" xr:uid="{00000000-0005-0000-0000-000050690000}"/>
    <cellStyle name="Pre-inputted cells 4 2 4 12" xfId="26750" xr:uid="{00000000-0005-0000-0000-000051690000}"/>
    <cellStyle name="Pre-inputted cells 4 2 4 13" xfId="26751" xr:uid="{00000000-0005-0000-0000-000052690000}"/>
    <cellStyle name="Pre-inputted cells 4 2 4 14" xfId="26752" xr:uid="{00000000-0005-0000-0000-000053690000}"/>
    <cellStyle name="Pre-inputted cells 4 2 4 15" xfId="26753" xr:uid="{00000000-0005-0000-0000-000054690000}"/>
    <cellStyle name="Pre-inputted cells 4 2 4 16" xfId="26754" xr:uid="{00000000-0005-0000-0000-000055690000}"/>
    <cellStyle name="Pre-inputted cells 4 2 4 17" xfId="26755" xr:uid="{00000000-0005-0000-0000-000056690000}"/>
    <cellStyle name="Pre-inputted cells 4 2 4 18" xfId="26756" xr:uid="{00000000-0005-0000-0000-000057690000}"/>
    <cellStyle name="Pre-inputted cells 4 2 4 19" xfId="26757" xr:uid="{00000000-0005-0000-0000-000058690000}"/>
    <cellStyle name="Pre-inputted cells 4 2 4 2" xfId="26758" xr:uid="{00000000-0005-0000-0000-000059690000}"/>
    <cellStyle name="Pre-inputted cells 4 2 4 2 10" xfId="26759" xr:uid="{00000000-0005-0000-0000-00005A690000}"/>
    <cellStyle name="Pre-inputted cells 4 2 4 2 11" xfId="26760" xr:uid="{00000000-0005-0000-0000-00005B690000}"/>
    <cellStyle name="Pre-inputted cells 4 2 4 2 12" xfId="26761" xr:uid="{00000000-0005-0000-0000-00005C690000}"/>
    <cellStyle name="Pre-inputted cells 4 2 4 2 13" xfId="26762" xr:uid="{00000000-0005-0000-0000-00005D690000}"/>
    <cellStyle name="Pre-inputted cells 4 2 4 2 2" xfId="26763" xr:uid="{00000000-0005-0000-0000-00005E690000}"/>
    <cellStyle name="Pre-inputted cells 4 2 4 2 2 2" xfId="26764" xr:uid="{00000000-0005-0000-0000-00005F690000}"/>
    <cellStyle name="Pre-inputted cells 4 2 4 2 2 3" xfId="26765" xr:uid="{00000000-0005-0000-0000-000060690000}"/>
    <cellStyle name="Pre-inputted cells 4 2 4 2 3" xfId="26766" xr:uid="{00000000-0005-0000-0000-000061690000}"/>
    <cellStyle name="Pre-inputted cells 4 2 4 2 3 2" xfId="26767" xr:uid="{00000000-0005-0000-0000-000062690000}"/>
    <cellStyle name="Pre-inputted cells 4 2 4 2 3 3" xfId="26768" xr:uid="{00000000-0005-0000-0000-000063690000}"/>
    <cellStyle name="Pre-inputted cells 4 2 4 2 4" xfId="26769" xr:uid="{00000000-0005-0000-0000-000064690000}"/>
    <cellStyle name="Pre-inputted cells 4 2 4 2 5" xfId="26770" xr:uid="{00000000-0005-0000-0000-000065690000}"/>
    <cellStyle name="Pre-inputted cells 4 2 4 2 6" xfId="26771" xr:uid="{00000000-0005-0000-0000-000066690000}"/>
    <cellStyle name="Pre-inputted cells 4 2 4 2 7" xfId="26772" xr:uid="{00000000-0005-0000-0000-000067690000}"/>
    <cellStyle name="Pre-inputted cells 4 2 4 2 8" xfId="26773" xr:uid="{00000000-0005-0000-0000-000068690000}"/>
    <cellStyle name="Pre-inputted cells 4 2 4 2 9" xfId="26774" xr:uid="{00000000-0005-0000-0000-000069690000}"/>
    <cellStyle name="Pre-inputted cells 4 2 4 20" xfId="26775" xr:uid="{00000000-0005-0000-0000-00006A690000}"/>
    <cellStyle name="Pre-inputted cells 4 2 4 21" xfId="26776" xr:uid="{00000000-0005-0000-0000-00006B690000}"/>
    <cellStyle name="Pre-inputted cells 4 2 4 22" xfId="26777" xr:uid="{00000000-0005-0000-0000-00006C690000}"/>
    <cellStyle name="Pre-inputted cells 4 2 4 23" xfId="26778" xr:uid="{00000000-0005-0000-0000-00006D690000}"/>
    <cellStyle name="Pre-inputted cells 4 2 4 24" xfId="26779" xr:uid="{00000000-0005-0000-0000-00006E690000}"/>
    <cellStyle name="Pre-inputted cells 4 2 4 25" xfId="26780" xr:uid="{00000000-0005-0000-0000-00006F690000}"/>
    <cellStyle name="Pre-inputted cells 4 2 4 26" xfId="26781" xr:uid="{00000000-0005-0000-0000-000070690000}"/>
    <cellStyle name="Pre-inputted cells 4 2 4 27" xfId="26782" xr:uid="{00000000-0005-0000-0000-000071690000}"/>
    <cellStyle name="Pre-inputted cells 4 2 4 28" xfId="26783" xr:uid="{00000000-0005-0000-0000-000072690000}"/>
    <cellStyle name="Pre-inputted cells 4 2 4 29" xfId="26784" xr:uid="{00000000-0005-0000-0000-000073690000}"/>
    <cellStyle name="Pre-inputted cells 4 2 4 3" xfId="26785" xr:uid="{00000000-0005-0000-0000-000074690000}"/>
    <cellStyle name="Pre-inputted cells 4 2 4 3 2" xfId="26786" xr:uid="{00000000-0005-0000-0000-000075690000}"/>
    <cellStyle name="Pre-inputted cells 4 2 4 3 3" xfId="26787" xr:uid="{00000000-0005-0000-0000-000076690000}"/>
    <cellStyle name="Pre-inputted cells 4 2 4 30" xfId="26788" xr:uid="{00000000-0005-0000-0000-000077690000}"/>
    <cellStyle name="Pre-inputted cells 4 2 4 31" xfId="26789" xr:uid="{00000000-0005-0000-0000-000078690000}"/>
    <cellStyle name="Pre-inputted cells 4 2 4 32" xfId="26790" xr:uid="{00000000-0005-0000-0000-000079690000}"/>
    <cellStyle name="Pre-inputted cells 4 2 4 33" xfId="26791" xr:uid="{00000000-0005-0000-0000-00007A690000}"/>
    <cellStyle name="Pre-inputted cells 4 2 4 34" xfId="26792" xr:uid="{00000000-0005-0000-0000-00007B690000}"/>
    <cellStyle name="Pre-inputted cells 4 2 4 4" xfId="26793" xr:uid="{00000000-0005-0000-0000-00007C690000}"/>
    <cellStyle name="Pre-inputted cells 4 2 4 4 2" xfId="26794" xr:uid="{00000000-0005-0000-0000-00007D690000}"/>
    <cellStyle name="Pre-inputted cells 4 2 4 4 3" xfId="26795" xr:uid="{00000000-0005-0000-0000-00007E690000}"/>
    <cellStyle name="Pre-inputted cells 4 2 4 5" xfId="26796" xr:uid="{00000000-0005-0000-0000-00007F690000}"/>
    <cellStyle name="Pre-inputted cells 4 2 4 6" xfId="26797" xr:uid="{00000000-0005-0000-0000-000080690000}"/>
    <cellStyle name="Pre-inputted cells 4 2 4 7" xfId="26798" xr:uid="{00000000-0005-0000-0000-000081690000}"/>
    <cellStyle name="Pre-inputted cells 4 2 4 8" xfId="26799" xr:uid="{00000000-0005-0000-0000-000082690000}"/>
    <cellStyle name="Pre-inputted cells 4 2 4 9" xfId="26800" xr:uid="{00000000-0005-0000-0000-000083690000}"/>
    <cellStyle name="Pre-inputted cells 4 2 5" xfId="26801" xr:uid="{00000000-0005-0000-0000-000084690000}"/>
    <cellStyle name="Pre-inputted cells 4 2 5 10" xfId="26802" xr:uid="{00000000-0005-0000-0000-000085690000}"/>
    <cellStyle name="Pre-inputted cells 4 2 5 11" xfId="26803" xr:uid="{00000000-0005-0000-0000-000086690000}"/>
    <cellStyle name="Pre-inputted cells 4 2 5 12" xfId="26804" xr:uid="{00000000-0005-0000-0000-000087690000}"/>
    <cellStyle name="Pre-inputted cells 4 2 5 13" xfId="26805" xr:uid="{00000000-0005-0000-0000-000088690000}"/>
    <cellStyle name="Pre-inputted cells 4 2 5 2" xfId="26806" xr:uid="{00000000-0005-0000-0000-000089690000}"/>
    <cellStyle name="Pre-inputted cells 4 2 5 2 2" xfId="26807" xr:uid="{00000000-0005-0000-0000-00008A690000}"/>
    <cellStyle name="Pre-inputted cells 4 2 5 2 3" xfId="26808" xr:uid="{00000000-0005-0000-0000-00008B690000}"/>
    <cellStyle name="Pre-inputted cells 4 2 5 3" xfId="26809" xr:uid="{00000000-0005-0000-0000-00008C690000}"/>
    <cellStyle name="Pre-inputted cells 4 2 5 3 2" xfId="26810" xr:uid="{00000000-0005-0000-0000-00008D690000}"/>
    <cellStyle name="Pre-inputted cells 4 2 5 3 3" xfId="26811" xr:uid="{00000000-0005-0000-0000-00008E690000}"/>
    <cellStyle name="Pre-inputted cells 4 2 5 4" xfId="26812" xr:uid="{00000000-0005-0000-0000-00008F690000}"/>
    <cellStyle name="Pre-inputted cells 4 2 5 5" xfId="26813" xr:uid="{00000000-0005-0000-0000-000090690000}"/>
    <cellStyle name="Pre-inputted cells 4 2 5 6" xfId="26814" xr:uid="{00000000-0005-0000-0000-000091690000}"/>
    <cellStyle name="Pre-inputted cells 4 2 5 7" xfId="26815" xr:uid="{00000000-0005-0000-0000-000092690000}"/>
    <cellStyle name="Pre-inputted cells 4 2 5 8" xfId="26816" xr:uid="{00000000-0005-0000-0000-000093690000}"/>
    <cellStyle name="Pre-inputted cells 4 2 5 9" xfId="26817" xr:uid="{00000000-0005-0000-0000-000094690000}"/>
    <cellStyle name="Pre-inputted cells 4 2 6" xfId="26818" xr:uid="{00000000-0005-0000-0000-000095690000}"/>
    <cellStyle name="Pre-inputted cells 4 2 6 2" xfId="26819" xr:uid="{00000000-0005-0000-0000-000096690000}"/>
    <cellStyle name="Pre-inputted cells 4 2 6 2 2" xfId="26820" xr:uid="{00000000-0005-0000-0000-000097690000}"/>
    <cellStyle name="Pre-inputted cells 4 2 6 2 3" xfId="26821" xr:uid="{00000000-0005-0000-0000-000098690000}"/>
    <cellStyle name="Pre-inputted cells 4 2 6 3" xfId="26822" xr:uid="{00000000-0005-0000-0000-000099690000}"/>
    <cellStyle name="Pre-inputted cells 4 2 6 3 2" xfId="26823" xr:uid="{00000000-0005-0000-0000-00009A690000}"/>
    <cellStyle name="Pre-inputted cells 4 2 6 4" xfId="26824" xr:uid="{00000000-0005-0000-0000-00009B690000}"/>
    <cellStyle name="Pre-inputted cells 4 2 7" xfId="26825" xr:uid="{00000000-0005-0000-0000-00009C690000}"/>
    <cellStyle name="Pre-inputted cells 4 2 7 2" xfId="26826" xr:uid="{00000000-0005-0000-0000-00009D690000}"/>
    <cellStyle name="Pre-inputted cells 4 2 8" xfId="26827" xr:uid="{00000000-0005-0000-0000-00009E690000}"/>
    <cellStyle name="Pre-inputted cells 4 2 8 2" xfId="26828" xr:uid="{00000000-0005-0000-0000-00009F690000}"/>
    <cellStyle name="Pre-inputted cells 4 2 9" xfId="26829" xr:uid="{00000000-0005-0000-0000-0000A0690000}"/>
    <cellStyle name="Pre-inputted cells 4 2 9 2" xfId="26830" xr:uid="{00000000-0005-0000-0000-0000A1690000}"/>
    <cellStyle name="Pre-inputted cells 4 2_4 28 1_Asst_Health_Crit_AllTO_RIIO_20110714pm" xfId="26831" xr:uid="{00000000-0005-0000-0000-0000A2690000}"/>
    <cellStyle name="Pre-inputted cells 4 20" xfId="26832" xr:uid="{00000000-0005-0000-0000-0000A3690000}"/>
    <cellStyle name="Pre-inputted cells 4 20 2" xfId="26833" xr:uid="{00000000-0005-0000-0000-0000A4690000}"/>
    <cellStyle name="Pre-inputted cells 4 21" xfId="26834" xr:uid="{00000000-0005-0000-0000-0000A5690000}"/>
    <cellStyle name="Pre-inputted cells 4 21 2" xfId="26835" xr:uid="{00000000-0005-0000-0000-0000A6690000}"/>
    <cellStyle name="Pre-inputted cells 4 22" xfId="26836" xr:uid="{00000000-0005-0000-0000-0000A7690000}"/>
    <cellStyle name="Pre-inputted cells 4 22 2" xfId="26837" xr:uid="{00000000-0005-0000-0000-0000A8690000}"/>
    <cellStyle name="Pre-inputted cells 4 23" xfId="26838" xr:uid="{00000000-0005-0000-0000-0000A9690000}"/>
    <cellStyle name="Pre-inputted cells 4 23 2" xfId="26839" xr:uid="{00000000-0005-0000-0000-0000AA690000}"/>
    <cellStyle name="Pre-inputted cells 4 24" xfId="26840" xr:uid="{00000000-0005-0000-0000-0000AB690000}"/>
    <cellStyle name="Pre-inputted cells 4 24 2" xfId="26841" xr:uid="{00000000-0005-0000-0000-0000AC690000}"/>
    <cellStyle name="Pre-inputted cells 4 25" xfId="26842" xr:uid="{00000000-0005-0000-0000-0000AD690000}"/>
    <cellStyle name="Pre-inputted cells 4 25 2" xfId="26843" xr:uid="{00000000-0005-0000-0000-0000AE690000}"/>
    <cellStyle name="Pre-inputted cells 4 26" xfId="26844" xr:uid="{00000000-0005-0000-0000-0000AF690000}"/>
    <cellStyle name="Pre-inputted cells 4 26 2" xfId="26845" xr:uid="{00000000-0005-0000-0000-0000B0690000}"/>
    <cellStyle name="Pre-inputted cells 4 27" xfId="26846" xr:uid="{00000000-0005-0000-0000-0000B1690000}"/>
    <cellStyle name="Pre-inputted cells 4 28" xfId="26847" xr:uid="{00000000-0005-0000-0000-0000B2690000}"/>
    <cellStyle name="Pre-inputted cells 4 29" xfId="26848" xr:uid="{00000000-0005-0000-0000-0000B3690000}"/>
    <cellStyle name="Pre-inputted cells 4 3" xfId="26849" xr:uid="{00000000-0005-0000-0000-0000B4690000}"/>
    <cellStyle name="Pre-inputted cells 4 3 10" xfId="26850" xr:uid="{00000000-0005-0000-0000-0000B5690000}"/>
    <cellStyle name="Pre-inputted cells 4 3 11" xfId="26851" xr:uid="{00000000-0005-0000-0000-0000B6690000}"/>
    <cellStyle name="Pre-inputted cells 4 3 12" xfId="26852" xr:uid="{00000000-0005-0000-0000-0000B7690000}"/>
    <cellStyle name="Pre-inputted cells 4 3 13" xfId="26853" xr:uid="{00000000-0005-0000-0000-0000B8690000}"/>
    <cellStyle name="Pre-inputted cells 4 3 14" xfId="26854" xr:uid="{00000000-0005-0000-0000-0000B9690000}"/>
    <cellStyle name="Pre-inputted cells 4 3 15" xfId="26855" xr:uid="{00000000-0005-0000-0000-0000BA690000}"/>
    <cellStyle name="Pre-inputted cells 4 3 16" xfId="26856" xr:uid="{00000000-0005-0000-0000-0000BB690000}"/>
    <cellStyle name="Pre-inputted cells 4 3 17" xfId="26857" xr:uid="{00000000-0005-0000-0000-0000BC690000}"/>
    <cellStyle name="Pre-inputted cells 4 3 18" xfId="26858" xr:uid="{00000000-0005-0000-0000-0000BD690000}"/>
    <cellStyle name="Pre-inputted cells 4 3 19" xfId="26859" xr:uid="{00000000-0005-0000-0000-0000BE690000}"/>
    <cellStyle name="Pre-inputted cells 4 3 2" xfId="26860" xr:uid="{00000000-0005-0000-0000-0000BF690000}"/>
    <cellStyle name="Pre-inputted cells 4 3 2 10" xfId="26861" xr:uid="{00000000-0005-0000-0000-0000C0690000}"/>
    <cellStyle name="Pre-inputted cells 4 3 2 11" xfId="26862" xr:uid="{00000000-0005-0000-0000-0000C1690000}"/>
    <cellStyle name="Pre-inputted cells 4 3 2 12" xfId="26863" xr:uid="{00000000-0005-0000-0000-0000C2690000}"/>
    <cellStyle name="Pre-inputted cells 4 3 2 13" xfId="26864" xr:uid="{00000000-0005-0000-0000-0000C3690000}"/>
    <cellStyle name="Pre-inputted cells 4 3 2 14" xfId="26865" xr:uid="{00000000-0005-0000-0000-0000C4690000}"/>
    <cellStyle name="Pre-inputted cells 4 3 2 15" xfId="26866" xr:uid="{00000000-0005-0000-0000-0000C5690000}"/>
    <cellStyle name="Pre-inputted cells 4 3 2 16" xfId="26867" xr:uid="{00000000-0005-0000-0000-0000C6690000}"/>
    <cellStyle name="Pre-inputted cells 4 3 2 17" xfId="26868" xr:uid="{00000000-0005-0000-0000-0000C7690000}"/>
    <cellStyle name="Pre-inputted cells 4 3 2 18" xfId="26869" xr:uid="{00000000-0005-0000-0000-0000C8690000}"/>
    <cellStyle name="Pre-inputted cells 4 3 2 19" xfId="26870" xr:uid="{00000000-0005-0000-0000-0000C9690000}"/>
    <cellStyle name="Pre-inputted cells 4 3 2 2" xfId="26871" xr:uid="{00000000-0005-0000-0000-0000CA690000}"/>
    <cellStyle name="Pre-inputted cells 4 3 2 2 10" xfId="26872" xr:uid="{00000000-0005-0000-0000-0000CB690000}"/>
    <cellStyle name="Pre-inputted cells 4 3 2 2 11" xfId="26873" xr:uid="{00000000-0005-0000-0000-0000CC690000}"/>
    <cellStyle name="Pre-inputted cells 4 3 2 2 12" xfId="26874" xr:uid="{00000000-0005-0000-0000-0000CD690000}"/>
    <cellStyle name="Pre-inputted cells 4 3 2 2 13" xfId="26875" xr:uid="{00000000-0005-0000-0000-0000CE690000}"/>
    <cellStyle name="Pre-inputted cells 4 3 2 2 2" xfId="26876" xr:uid="{00000000-0005-0000-0000-0000CF690000}"/>
    <cellStyle name="Pre-inputted cells 4 3 2 2 2 2" xfId="26877" xr:uid="{00000000-0005-0000-0000-0000D0690000}"/>
    <cellStyle name="Pre-inputted cells 4 3 2 2 2 3" xfId="26878" xr:uid="{00000000-0005-0000-0000-0000D1690000}"/>
    <cellStyle name="Pre-inputted cells 4 3 2 2 3" xfId="26879" xr:uid="{00000000-0005-0000-0000-0000D2690000}"/>
    <cellStyle name="Pre-inputted cells 4 3 2 2 3 2" xfId="26880" xr:uid="{00000000-0005-0000-0000-0000D3690000}"/>
    <cellStyle name="Pre-inputted cells 4 3 2 2 3 3" xfId="26881" xr:uid="{00000000-0005-0000-0000-0000D4690000}"/>
    <cellStyle name="Pre-inputted cells 4 3 2 2 4" xfId="26882" xr:uid="{00000000-0005-0000-0000-0000D5690000}"/>
    <cellStyle name="Pre-inputted cells 4 3 2 2 5" xfId="26883" xr:uid="{00000000-0005-0000-0000-0000D6690000}"/>
    <cellStyle name="Pre-inputted cells 4 3 2 2 6" xfId="26884" xr:uid="{00000000-0005-0000-0000-0000D7690000}"/>
    <cellStyle name="Pre-inputted cells 4 3 2 2 7" xfId="26885" xr:uid="{00000000-0005-0000-0000-0000D8690000}"/>
    <cellStyle name="Pre-inputted cells 4 3 2 2 8" xfId="26886" xr:uid="{00000000-0005-0000-0000-0000D9690000}"/>
    <cellStyle name="Pre-inputted cells 4 3 2 2 9" xfId="26887" xr:uid="{00000000-0005-0000-0000-0000DA690000}"/>
    <cellStyle name="Pre-inputted cells 4 3 2 20" xfId="26888" xr:uid="{00000000-0005-0000-0000-0000DB690000}"/>
    <cellStyle name="Pre-inputted cells 4 3 2 21" xfId="26889" xr:uid="{00000000-0005-0000-0000-0000DC690000}"/>
    <cellStyle name="Pre-inputted cells 4 3 2 22" xfId="26890" xr:uid="{00000000-0005-0000-0000-0000DD690000}"/>
    <cellStyle name="Pre-inputted cells 4 3 2 23" xfId="26891" xr:uid="{00000000-0005-0000-0000-0000DE690000}"/>
    <cellStyle name="Pre-inputted cells 4 3 2 24" xfId="26892" xr:uid="{00000000-0005-0000-0000-0000DF690000}"/>
    <cellStyle name="Pre-inputted cells 4 3 2 25" xfId="26893" xr:uid="{00000000-0005-0000-0000-0000E0690000}"/>
    <cellStyle name="Pre-inputted cells 4 3 2 26" xfId="26894" xr:uid="{00000000-0005-0000-0000-0000E1690000}"/>
    <cellStyle name="Pre-inputted cells 4 3 2 27" xfId="26895" xr:uid="{00000000-0005-0000-0000-0000E2690000}"/>
    <cellStyle name="Pre-inputted cells 4 3 2 28" xfId="26896" xr:uid="{00000000-0005-0000-0000-0000E3690000}"/>
    <cellStyle name="Pre-inputted cells 4 3 2 29" xfId="26897" xr:uid="{00000000-0005-0000-0000-0000E4690000}"/>
    <cellStyle name="Pre-inputted cells 4 3 2 3" xfId="26898" xr:uid="{00000000-0005-0000-0000-0000E5690000}"/>
    <cellStyle name="Pre-inputted cells 4 3 2 3 2" xfId="26899" xr:uid="{00000000-0005-0000-0000-0000E6690000}"/>
    <cellStyle name="Pre-inputted cells 4 3 2 3 3" xfId="26900" xr:uid="{00000000-0005-0000-0000-0000E7690000}"/>
    <cellStyle name="Pre-inputted cells 4 3 2 30" xfId="26901" xr:uid="{00000000-0005-0000-0000-0000E8690000}"/>
    <cellStyle name="Pre-inputted cells 4 3 2 31" xfId="26902" xr:uid="{00000000-0005-0000-0000-0000E9690000}"/>
    <cellStyle name="Pre-inputted cells 4 3 2 32" xfId="26903" xr:uid="{00000000-0005-0000-0000-0000EA690000}"/>
    <cellStyle name="Pre-inputted cells 4 3 2 33" xfId="26904" xr:uid="{00000000-0005-0000-0000-0000EB690000}"/>
    <cellStyle name="Pre-inputted cells 4 3 2 34" xfId="26905" xr:uid="{00000000-0005-0000-0000-0000EC690000}"/>
    <cellStyle name="Pre-inputted cells 4 3 2 4" xfId="26906" xr:uid="{00000000-0005-0000-0000-0000ED690000}"/>
    <cellStyle name="Pre-inputted cells 4 3 2 4 2" xfId="26907" xr:uid="{00000000-0005-0000-0000-0000EE690000}"/>
    <cellStyle name="Pre-inputted cells 4 3 2 4 3" xfId="26908" xr:uid="{00000000-0005-0000-0000-0000EF690000}"/>
    <cellStyle name="Pre-inputted cells 4 3 2 5" xfId="26909" xr:uid="{00000000-0005-0000-0000-0000F0690000}"/>
    <cellStyle name="Pre-inputted cells 4 3 2 6" xfId="26910" xr:uid="{00000000-0005-0000-0000-0000F1690000}"/>
    <cellStyle name="Pre-inputted cells 4 3 2 7" xfId="26911" xr:uid="{00000000-0005-0000-0000-0000F2690000}"/>
    <cellStyle name="Pre-inputted cells 4 3 2 8" xfId="26912" xr:uid="{00000000-0005-0000-0000-0000F3690000}"/>
    <cellStyle name="Pre-inputted cells 4 3 2 9" xfId="26913" xr:uid="{00000000-0005-0000-0000-0000F4690000}"/>
    <cellStyle name="Pre-inputted cells 4 3 20" xfId="26914" xr:uid="{00000000-0005-0000-0000-0000F5690000}"/>
    <cellStyle name="Pre-inputted cells 4 3 21" xfId="26915" xr:uid="{00000000-0005-0000-0000-0000F6690000}"/>
    <cellStyle name="Pre-inputted cells 4 3 22" xfId="26916" xr:uid="{00000000-0005-0000-0000-0000F7690000}"/>
    <cellStyle name="Pre-inputted cells 4 3 23" xfId="26917" xr:uid="{00000000-0005-0000-0000-0000F8690000}"/>
    <cellStyle name="Pre-inputted cells 4 3 24" xfId="26918" xr:uid="{00000000-0005-0000-0000-0000F9690000}"/>
    <cellStyle name="Pre-inputted cells 4 3 25" xfId="26919" xr:uid="{00000000-0005-0000-0000-0000FA690000}"/>
    <cellStyle name="Pre-inputted cells 4 3 26" xfId="26920" xr:uid="{00000000-0005-0000-0000-0000FB690000}"/>
    <cellStyle name="Pre-inputted cells 4 3 27" xfId="26921" xr:uid="{00000000-0005-0000-0000-0000FC690000}"/>
    <cellStyle name="Pre-inputted cells 4 3 28" xfId="26922" xr:uid="{00000000-0005-0000-0000-0000FD690000}"/>
    <cellStyle name="Pre-inputted cells 4 3 29" xfId="26923" xr:uid="{00000000-0005-0000-0000-0000FE690000}"/>
    <cellStyle name="Pre-inputted cells 4 3 3" xfId="26924" xr:uid="{00000000-0005-0000-0000-0000FF690000}"/>
    <cellStyle name="Pre-inputted cells 4 3 3 10" xfId="26925" xr:uid="{00000000-0005-0000-0000-0000006A0000}"/>
    <cellStyle name="Pre-inputted cells 4 3 3 11" xfId="26926" xr:uid="{00000000-0005-0000-0000-0000016A0000}"/>
    <cellStyle name="Pre-inputted cells 4 3 3 12" xfId="26927" xr:uid="{00000000-0005-0000-0000-0000026A0000}"/>
    <cellStyle name="Pre-inputted cells 4 3 3 13" xfId="26928" xr:uid="{00000000-0005-0000-0000-0000036A0000}"/>
    <cellStyle name="Pre-inputted cells 4 3 3 2" xfId="26929" xr:uid="{00000000-0005-0000-0000-0000046A0000}"/>
    <cellStyle name="Pre-inputted cells 4 3 3 2 2" xfId="26930" xr:uid="{00000000-0005-0000-0000-0000056A0000}"/>
    <cellStyle name="Pre-inputted cells 4 3 3 2 3" xfId="26931" xr:uid="{00000000-0005-0000-0000-0000066A0000}"/>
    <cellStyle name="Pre-inputted cells 4 3 3 3" xfId="26932" xr:uid="{00000000-0005-0000-0000-0000076A0000}"/>
    <cellStyle name="Pre-inputted cells 4 3 3 3 2" xfId="26933" xr:uid="{00000000-0005-0000-0000-0000086A0000}"/>
    <cellStyle name="Pre-inputted cells 4 3 3 3 3" xfId="26934" xr:uid="{00000000-0005-0000-0000-0000096A0000}"/>
    <cellStyle name="Pre-inputted cells 4 3 3 4" xfId="26935" xr:uid="{00000000-0005-0000-0000-00000A6A0000}"/>
    <cellStyle name="Pre-inputted cells 4 3 3 5" xfId="26936" xr:uid="{00000000-0005-0000-0000-00000B6A0000}"/>
    <cellStyle name="Pre-inputted cells 4 3 3 6" xfId="26937" xr:uid="{00000000-0005-0000-0000-00000C6A0000}"/>
    <cellStyle name="Pre-inputted cells 4 3 3 7" xfId="26938" xr:uid="{00000000-0005-0000-0000-00000D6A0000}"/>
    <cellStyle name="Pre-inputted cells 4 3 3 8" xfId="26939" xr:uid="{00000000-0005-0000-0000-00000E6A0000}"/>
    <cellStyle name="Pre-inputted cells 4 3 3 9" xfId="26940" xr:uid="{00000000-0005-0000-0000-00000F6A0000}"/>
    <cellStyle name="Pre-inputted cells 4 3 30" xfId="26941" xr:uid="{00000000-0005-0000-0000-0000106A0000}"/>
    <cellStyle name="Pre-inputted cells 4 3 31" xfId="26942" xr:uid="{00000000-0005-0000-0000-0000116A0000}"/>
    <cellStyle name="Pre-inputted cells 4 3 32" xfId="26943" xr:uid="{00000000-0005-0000-0000-0000126A0000}"/>
    <cellStyle name="Pre-inputted cells 4 3 33" xfId="26944" xr:uid="{00000000-0005-0000-0000-0000136A0000}"/>
    <cellStyle name="Pre-inputted cells 4 3 34" xfId="26945" xr:uid="{00000000-0005-0000-0000-0000146A0000}"/>
    <cellStyle name="Pre-inputted cells 4 3 35" xfId="26946" xr:uid="{00000000-0005-0000-0000-0000156A0000}"/>
    <cellStyle name="Pre-inputted cells 4 3 4" xfId="26947" xr:uid="{00000000-0005-0000-0000-0000166A0000}"/>
    <cellStyle name="Pre-inputted cells 4 3 4 2" xfId="26948" xr:uid="{00000000-0005-0000-0000-0000176A0000}"/>
    <cellStyle name="Pre-inputted cells 4 3 4 3" xfId="26949" xr:uid="{00000000-0005-0000-0000-0000186A0000}"/>
    <cellStyle name="Pre-inputted cells 4 3 5" xfId="26950" xr:uid="{00000000-0005-0000-0000-0000196A0000}"/>
    <cellStyle name="Pre-inputted cells 4 3 5 2" xfId="26951" xr:uid="{00000000-0005-0000-0000-00001A6A0000}"/>
    <cellStyle name="Pre-inputted cells 4 3 5 3" xfId="26952" xr:uid="{00000000-0005-0000-0000-00001B6A0000}"/>
    <cellStyle name="Pre-inputted cells 4 3 6" xfId="26953" xr:uid="{00000000-0005-0000-0000-00001C6A0000}"/>
    <cellStyle name="Pre-inputted cells 4 3 7" xfId="26954" xr:uid="{00000000-0005-0000-0000-00001D6A0000}"/>
    <cellStyle name="Pre-inputted cells 4 3 8" xfId="26955" xr:uid="{00000000-0005-0000-0000-00001E6A0000}"/>
    <cellStyle name="Pre-inputted cells 4 3 9" xfId="26956" xr:uid="{00000000-0005-0000-0000-00001F6A0000}"/>
    <cellStyle name="Pre-inputted cells 4 3_4 28 1_Asst_Health_Crit_AllTO_RIIO_20110714pm" xfId="26957" xr:uid="{00000000-0005-0000-0000-0000206A0000}"/>
    <cellStyle name="Pre-inputted cells 4 30" xfId="26958" xr:uid="{00000000-0005-0000-0000-0000216A0000}"/>
    <cellStyle name="Pre-inputted cells 4 31" xfId="26959" xr:uid="{00000000-0005-0000-0000-0000226A0000}"/>
    <cellStyle name="Pre-inputted cells 4 32" xfId="26960" xr:uid="{00000000-0005-0000-0000-0000236A0000}"/>
    <cellStyle name="Pre-inputted cells 4 33" xfId="26961" xr:uid="{00000000-0005-0000-0000-0000246A0000}"/>
    <cellStyle name="Pre-inputted cells 4 34" xfId="26962" xr:uid="{00000000-0005-0000-0000-0000256A0000}"/>
    <cellStyle name="Pre-inputted cells 4 35" xfId="26963" xr:uid="{00000000-0005-0000-0000-0000266A0000}"/>
    <cellStyle name="Pre-inputted cells 4 36" xfId="26964" xr:uid="{00000000-0005-0000-0000-0000276A0000}"/>
    <cellStyle name="Pre-inputted cells 4 37" xfId="26965" xr:uid="{00000000-0005-0000-0000-0000286A0000}"/>
    <cellStyle name="Pre-inputted cells 4 38" xfId="26966" xr:uid="{00000000-0005-0000-0000-0000296A0000}"/>
    <cellStyle name="Pre-inputted cells 4 39" xfId="26967" xr:uid="{00000000-0005-0000-0000-00002A6A0000}"/>
    <cellStyle name="Pre-inputted cells 4 4" xfId="26968" xr:uid="{00000000-0005-0000-0000-00002B6A0000}"/>
    <cellStyle name="Pre-inputted cells 4 4 10" xfId="26969" xr:uid="{00000000-0005-0000-0000-00002C6A0000}"/>
    <cellStyle name="Pre-inputted cells 4 4 11" xfId="26970" xr:uid="{00000000-0005-0000-0000-00002D6A0000}"/>
    <cellStyle name="Pre-inputted cells 4 4 12" xfId="26971" xr:uid="{00000000-0005-0000-0000-00002E6A0000}"/>
    <cellStyle name="Pre-inputted cells 4 4 13" xfId="26972" xr:uid="{00000000-0005-0000-0000-00002F6A0000}"/>
    <cellStyle name="Pre-inputted cells 4 4 14" xfId="26973" xr:uid="{00000000-0005-0000-0000-0000306A0000}"/>
    <cellStyle name="Pre-inputted cells 4 4 15" xfId="26974" xr:uid="{00000000-0005-0000-0000-0000316A0000}"/>
    <cellStyle name="Pre-inputted cells 4 4 16" xfId="26975" xr:uid="{00000000-0005-0000-0000-0000326A0000}"/>
    <cellStyle name="Pre-inputted cells 4 4 17" xfId="26976" xr:uid="{00000000-0005-0000-0000-0000336A0000}"/>
    <cellStyle name="Pre-inputted cells 4 4 18" xfId="26977" xr:uid="{00000000-0005-0000-0000-0000346A0000}"/>
    <cellStyle name="Pre-inputted cells 4 4 19" xfId="26978" xr:uid="{00000000-0005-0000-0000-0000356A0000}"/>
    <cellStyle name="Pre-inputted cells 4 4 2" xfId="26979" xr:uid="{00000000-0005-0000-0000-0000366A0000}"/>
    <cellStyle name="Pre-inputted cells 4 4 2 10" xfId="26980" xr:uid="{00000000-0005-0000-0000-0000376A0000}"/>
    <cellStyle name="Pre-inputted cells 4 4 2 11" xfId="26981" xr:uid="{00000000-0005-0000-0000-0000386A0000}"/>
    <cellStyle name="Pre-inputted cells 4 4 2 12" xfId="26982" xr:uid="{00000000-0005-0000-0000-0000396A0000}"/>
    <cellStyle name="Pre-inputted cells 4 4 2 13" xfId="26983" xr:uid="{00000000-0005-0000-0000-00003A6A0000}"/>
    <cellStyle name="Pre-inputted cells 4 4 2 2" xfId="26984" xr:uid="{00000000-0005-0000-0000-00003B6A0000}"/>
    <cellStyle name="Pre-inputted cells 4 4 2 2 2" xfId="26985" xr:uid="{00000000-0005-0000-0000-00003C6A0000}"/>
    <cellStyle name="Pre-inputted cells 4 4 2 2 3" xfId="26986" xr:uid="{00000000-0005-0000-0000-00003D6A0000}"/>
    <cellStyle name="Pre-inputted cells 4 4 2 3" xfId="26987" xr:uid="{00000000-0005-0000-0000-00003E6A0000}"/>
    <cellStyle name="Pre-inputted cells 4 4 2 3 2" xfId="26988" xr:uid="{00000000-0005-0000-0000-00003F6A0000}"/>
    <cellStyle name="Pre-inputted cells 4 4 2 3 3" xfId="26989" xr:uid="{00000000-0005-0000-0000-0000406A0000}"/>
    <cellStyle name="Pre-inputted cells 4 4 2 4" xfId="26990" xr:uid="{00000000-0005-0000-0000-0000416A0000}"/>
    <cellStyle name="Pre-inputted cells 4 4 2 5" xfId="26991" xr:uid="{00000000-0005-0000-0000-0000426A0000}"/>
    <cellStyle name="Pre-inputted cells 4 4 2 6" xfId="26992" xr:uid="{00000000-0005-0000-0000-0000436A0000}"/>
    <cellStyle name="Pre-inputted cells 4 4 2 7" xfId="26993" xr:uid="{00000000-0005-0000-0000-0000446A0000}"/>
    <cellStyle name="Pre-inputted cells 4 4 2 8" xfId="26994" xr:uid="{00000000-0005-0000-0000-0000456A0000}"/>
    <cellStyle name="Pre-inputted cells 4 4 2 9" xfId="26995" xr:uid="{00000000-0005-0000-0000-0000466A0000}"/>
    <cellStyle name="Pre-inputted cells 4 4 20" xfId="26996" xr:uid="{00000000-0005-0000-0000-0000476A0000}"/>
    <cellStyle name="Pre-inputted cells 4 4 21" xfId="26997" xr:uid="{00000000-0005-0000-0000-0000486A0000}"/>
    <cellStyle name="Pre-inputted cells 4 4 22" xfId="26998" xr:uid="{00000000-0005-0000-0000-0000496A0000}"/>
    <cellStyle name="Pre-inputted cells 4 4 23" xfId="26999" xr:uid="{00000000-0005-0000-0000-00004A6A0000}"/>
    <cellStyle name="Pre-inputted cells 4 4 24" xfId="27000" xr:uid="{00000000-0005-0000-0000-00004B6A0000}"/>
    <cellStyle name="Pre-inputted cells 4 4 25" xfId="27001" xr:uid="{00000000-0005-0000-0000-00004C6A0000}"/>
    <cellStyle name="Pre-inputted cells 4 4 26" xfId="27002" xr:uid="{00000000-0005-0000-0000-00004D6A0000}"/>
    <cellStyle name="Pre-inputted cells 4 4 27" xfId="27003" xr:uid="{00000000-0005-0000-0000-00004E6A0000}"/>
    <cellStyle name="Pre-inputted cells 4 4 28" xfId="27004" xr:uid="{00000000-0005-0000-0000-00004F6A0000}"/>
    <cellStyle name="Pre-inputted cells 4 4 29" xfId="27005" xr:uid="{00000000-0005-0000-0000-0000506A0000}"/>
    <cellStyle name="Pre-inputted cells 4 4 3" xfId="27006" xr:uid="{00000000-0005-0000-0000-0000516A0000}"/>
    <cellStyle name="Pre-inputted cells 4 4 3 2" xfId="27007" xr:uid="{00000000-0005-0000-0000-0000526A0000}"/>
    <cellStyle name="Pre-inputted cells 4 4 3 3" xfId="27008" xr:uid="{00000000-0005-0000-0000-0000536A0000}"/>
    <cellStyle name="Pre-inputted cells 4 4 30" xfId="27009" xr:uid="{00000000-0005-0000-0000-0000546A0000}"/>
    <cellStyle name="Pre-inputted cells 4 4 31" xfId="27010" xr:uid="{00000000-0005-0000-0000-0000556A0000}"/>
    <cellStyle name="Pre-inputted cells 4 4 32" xfId="27011" xr:uid="{00000000-0005-0000-0000-0000566A0000}"/>
    <cellStyle name="Pre-inputted cells 4 4 33" xfId="27012" xr:uid="{00000000-0005-0000-0000-0000576A0000}"/>
    <cellStyle name="Pre-inputted cells 4 4 34" xfId="27013" xr:uid="{00000000-0005-0000-0000-0000586A0000}"/>
    <cellStyle name="Pre-inputted cells 4 4 4" xfId="27014" xr:uid="{00000000-0005-0000-0000-0000596A0000}"/>
    <cellStyle name="Pre-inputted cells 4 4 4 2" xfId="27015" xr:uid="{00000000-0005-0000-0000-00005A6A0000}"/>
    <cellStyle name="Pre-inputted cells 4 4 4 3" xfId="27016" xr:uid="{00000000-0005-0000-0000-00005B6A0000}"/>
    <cellStyle name="Pre-inputted cells 4 4 5" xfId="27017" xr:uid="{00000000-0005-0000-0000-00005C6A0000}"/>
    <cellStyle name="Pre-inputted cells 4 4 6" xfId="27018" xr:uid="{00000000-0005-0000-0000-00005D6A0000}"/>
    <cellStyle name="Pre-inputted cells 4 4 7" xfId="27019" xr:uid="{00000000-0005-0000-0000-00005E6A0000}"/>
    <cellStyle name="Pre-inputted cells 4 4 8" xfId="27020" xr:uid="{00000000-0005-0000-0000-00005F6A0000}"/>
    <cellStyle name="Pre-inputted cells 4 4 9" xfId="27021" xr:uid="{00000000-0005-0000-0000-0000606A0000}"/>
    <cellStyle name="Pre-inputted cells 4 5" xfId="27022" xr:uid="{00000000-0005-0000-0000-0000616A0000}"/>
    <cellStyle name="Pre-inputted cells 4 5 10" xfId="27023" xr:uid="{00000000-0005-0000-0000-0000626A0000}"/>
    <cellStyle name="Pre-inputted cells 4 5 11" xfId="27024" xr:uid="{00000000-0005-0000-0000-0000636A0000}"/>
    <cellStyle name="Pre-inputted cells 4 5 12" xfId="27025" xr:uid="{00000000-0005-0000-0000-0000646A0000}"/>
    <cellStyle name="Pre-inputted cells 4 5 13" xfId="27026" xr:uid="{00000000-0005-0000-0000-0000656A0000}"/>
    <cellStyle name="Pre-inputted cells 4 5 14" xfId="27027" xr:uid="{00000000-0005-0000-0000-0000666A0000}"/>
    <cellStyle name="Pre-inputted cells 4 5 15" xfId="27028" xr:uid="{00000000-0005-0000-0000-0000676A0000}"/>
    <cellStyle name="Pre-inputted cells 4 5 16" xfId="27029" xr:uid="{00000000-0005-0000-0000-0000686A0000}"/>
    <cellStyle name="Pre-inputted cells 4 5 17" xfId="27030" xr:uid="{00000000-0005-0000-0000-0000696A0000}"/>
    <cellStyle name="Pre-inputted cells 4 5 18" xfId="27031" xr:uid="{00000000-0005-0000-0000-00006A6A0000}"/>
    <cellStyle name="Pre-inputted cells 4 5 19" xfId="27032" xr:uid="{00000000-0005-0000-0000-00006B6A0000}"/>
    <cellStyle name="Pre-inputted cells 4 5 2" xfId="27033" xr:uid="{00000000-0005-0000-0000-00006C6A0000}"/>
    <cellStyle name="Pre-inputted cells 4 5 2 10" xfId="27034" xr:uid="{00000000-0005-0000-0000-00006D6A0000}"/>
    <cellStyle name="Pre-inputted cells 4 5 2 11" xfId="27035" xr:uid="{00000000-0005-0000-0000-00006E6A0000}"/>
    <cellStyle name="Pre-inputted cells 4 5 2 12" xfId="27036" xr:uid="{00000000-0005-0000-0000-00006F6A0000}"/>
    <cellStyle name="Pre-inputted cells 4 5 2 13" xfId="27037" xr:uid="{00000000-0005-0000-0000-0000706A0000}"/>
    <cellStyle name="Pre-inputted cells 4 5 2 2" xfId="27038" xr:uid="{00000000-0005-0000-0000-0000716A0000}"/>
    <cellStyle name="Pre-inputted cells 4 5 2 2 2" xfId="27039" xr:uid="{00000000-0005-0000-0000-0000726A0000}"/>
    <cellStyle name="Pre-inputted cells 4 5 2 2 3" xfId="27040" xr:uid="{00000000-0005-0000-0000-0000736A0000}"/>
    <cellStyle name="Pre-inputted cells 4 5 2 3" xfId="27041" xr:uid="{00000000-0005-0000-0000-0000746A0000}"/>
    <cellStyle name="Pre-inputted cells 4 5 2 3 2" xfId="27042" xr:uid="{00000000-0005-0000-0000-0000756A0000}"/>
    <cellStyle name="Pre-inputted cells 4 5 2 3 3" xfId="27043" xr:uid="{00000000-0005-0000-0000-0000766A0000}"/>
    <cellStyle name="Pre-inputted cells 4 5 2 4" xfId="27044" xr:uid="{00000000-0005-0000-0000-0000776A0000}"/>
    <cellStyle name="Pre-inputted cells 4 5 2 5" xfId="27045" xr:uid="{00000000-0005-0000-0000-0000786A0000}"/>
    <cellStyle name="Pre-inputted cells 4 5 2 6" xfId="27046" xr:uid="{00000000-0005-0000-0000-0000796A0000}"/>
    <cellStyle name="Pre-inputted cells 4 5 2 7" xfId="27047" xr:uid="{00000000-0005-0000-0000-00007A6A0000}"/>
    <cellStyle name="Pre-inputted cells 4 5 2 8" xfId="27048" xr:uid="{00000000-0005-0000-0000-00007B6A0000}"/>
    <cellStyle name="Pre-inputted cells 4 5 2 9" xfId="27049" xr:uid="{00000000-0005-0000-0000-00007C6A0000}"/>
    <cellStyle name="Pre-inputted cells 4 5 20" xfId="27050" xr:uid="{00000000-0005-0000-0000-00007D6A0000}"/>
    <cellStyle name="Pre-inputted cells 4 5 21" xfId="27051" xr:uid="{00000000-0005-0000-0000-00007E6A0000}"/>
    <cellStyle name="Pre-inputted cells 4 5 22" xfId="27052" xr:uid="{00000000-0005-0000-0000-00007F6A0000}"/>
    <cellStyle name="Pre-inputted cells 4 5 23" xfId="27053" xr:uid="{00000000-0005-0000-0000-0000806A0000}"/>
    <cellStyle name="Pre-inputted cells 4 5 24" xfId="27054" xr:uid="{00000000-0005-0000-0000-0000816A0000}"/>
    <cellStyle name="Pre-inputted cells 4 5 25" xfId="27055" xr:uid="{00000000-0005-0000-0000-0000826A0000}"/>
    <cellStyle name="Pre-inputted cells 4 5 26" xfId="27056" xr:uid="{00000000-0005-0000-0000-0000836A0000}"/>
    <cellStyle name="Pre-inputted cells 4 5 27" xfId="27057" xr:uid="{00000000-0005-0000-0000-0000846A0000}"/>
    <cellStyle name="Pre-inputted cells 4 5 28" xfId="27058" xr:uid="{00000000-0005-0000-0000-0000856A0000}"/>
    <cellStyle name="Pre-inputted cells 4 5 29" xfId="27059" xr:uid="{00000000-0005-0000-0000-0000866A0000}"/>
    <cellStyle name="Pre-inputted cells 4 5 3" xfId="27060" xr:uid="{00000000-0005-0000-0000-0000876A0000}"/>
    <cellStyle name="Pre-inputted cells 4 5 3 2" xfId="27061" xr:uid="{00000000-0005-0000-0000-0000886A0000}"/>
    <cellStyle name="Pre-inputted cells 4 5 3 3" xfId="27062" xr:uid="{00000000-0005-0000-0000-0000896A0000}"/>
    <cellStyle name="Pre-inputted cells 4 5 30" xfId="27063" xr:uid="{00000000-0005-0000-0000-00008A6A0000}"/>
    <cellStyle name="Pre-inputted cells 4 5 31" xfId="27064" xr:uid="{00000000-0005-0000-0000-00008B6A0000}"/>
    <cellStyle name="Pre-inputted cells 4 5 32" xfId="27065" xr:uid="{00000000-0005-0000-0000-00008C6A0000}"/>
    <cellStyle name="Pre-inputted cells 4 5 33" xfId="27066" xr:uid="{00000000-0005-0000-0000-00008D6A0000}"/>
    <cellStyle name="Pre-inputted cells 4 5 34" xfId="27067" xr:uid="{00000000-0005-0000-0000-00008E6A0000}"/>
    <cellStyle name="Pre-inputted cells 4 5 4" xfId="27068" xr:uid="{00000000-0005-0000-0000-00008F6A0000}"/>
    <cellStyle name="Pre-inputted cells 4 5 4 2" xfId="27069" xr:uid="{00000000-0005-0000-0000-0000906A0000}"/>
    <cellStyle name="Pre-inputted cells 4 5 4 3" xfId="27070" xr:uid="{00000000-0005-0000-0000-0000916A0000}"/>
    <cellStyle name="Pre-inputted cells 4 5 5" xfId="27071" xr:uid="{00000000-0005-0000-0000-0000926A0000}"/>
    <cellStyle name="Pre-inputted cells 4 5 6" xfId="27072" xr:uid="{00000000-0005-0000-0000-0000936A0000}"/>
    <cellStyle name="Pre-inputted cells 4 5 7" xfId="27073" xr:uid="{00000000-0005-0000-0000-0000946A0000}"/>
    <cellStyle name="Pre-inputted cells 4 5 8" xfId="27074" xr:uid="{00000000-0005-0000-0000-0000956A0000}"/>
    <cellStyle name="Pre-inputted cells 4 5 9" xfId="27075" xr:uid="{00000000-0005-0000-0000-0000966A0000}"/>
    <cellStyle name="Pre-inputted cells 4 6" xfId="27076" xr:uid="{00000000-0005-0000-0000-0000976A0000}"/>
    <cellStyle name="Pre-inputted cells 4 6 10" xfId="27077" xr:uid="{00000000-0005-0000-0000-0000986A0000}"/>
    <cellStyle name="Pre-inputted cells 4 6 11" xfId="27078" xr:uid="{00000000-0005-0000-0000-0000996A0000}"/>
    <cellStyle name="Pre-inputted cells 4 6 12" xfId="27079" xr:uid="{00000000-0005-0000-0000-00009A6A0000}"/>
    <cellStyle name="Pre-inputted cells 4 6 13" xfId="27080" xr:uid="{00000000-0005-0000-0000-00009B6A0000}"/>
    <cellStyle name="Pre-inputted cells 4 6 2" xfId="27081" xr:uid="{00000000-0005-0000-0000-00009C6A0000}"/>
    <cellStyle name="Pre-inputted cells 4 6 2 2" xfId="27082" xr:uid="{00000000-0005-0000-0000-00009D6A0000}"/>
    <cellStyle name="Pre-inputted cells 4 6 2 3" xfId="27083" xr:uid="{00000000-0005-0000-0000-00009E6A0000}"/>
    <cellStyle name="Pre-inputted cells 4 6 3" xfId="27084" xr:uid="{00000000-0005-0000-0000-00009F6A0000}"/>
    <cellStyle name="Pre-inputted cells 4 6 3 2" xfId="27085" xr:uid="{00000000-0005-0000-0000-0000A06A0000}"/>
    <cellStyle name="Pre-inputted cells 4 6 3 3" xfId="27086" xr:uid="{00000000-0005-0000-0000-0000A16A0000}"/>
    <cellStyle name="Pre-inputted cells 4 6 4" xfId="27087" xr:uid="{00000000-0005-0000-0000-0000A26A0000}"/>
    <cellStyle name="Pre-inputted cells 4 6 5" xfId="27088" xr:uid="{00000000-0005-0000-0000-0000A36A0000}"/>
    <cellStyle name="Pre-inputted cells 4 6 6" xfId="27089" xr:uid="{00000000-0005-0000-0000-0000A46A0000}"/>
    <cellStyle name="Pre-inputted cells 4 6 7" xfId="27090" xr:uid="{00000000-0005-0000-0000-0000A56A0000}"/>
    <cellStyle name="Pre-inputted cells 4 6 8" xfId="27091" xr:uid="{00000000-0005-0000-0000-0000A66A0000}"/>
    <cellStyle name="Pre-inputted cells 4 6 9" xfId="27092" xr:uid="{00000000-0005-0000-0000-0000A76A0000}"/>
    <cellStyle name="Pre-inputted cells 4 7" xfId="27093" xr:uid="{00000000-0005-0000-0000-0000A86A0000}"/>
    <cellStyle name="Pre-inputted cells 4 7 2" xfId="27094" xr:uid="{00000000-0005-0000-0000-0000A96A0000}"/>
    <cellStyle name="Pre-inputted cells 4 7 2 2" xfId="27095" xr:uid="{00000000-0005-0000-0000-0000AA6A0000}"/>
    <cellStyle name="Pre-inputted cells 4 7 2 3" xfId="27096" xr:uid="{00000000-0005-0000-0000-0000AB6A0000}"/>
    <cellStyle name="Pre-inputted cells 4 7 3" xfId="27097" xr:uid="{00000000-0005-0000-0000-0000AC6A0000}"/>
    <cellStyle name="Pre-inputted cells 4 7 3 2" xfId="27098" xr:uid="{00000000-0005-0000-0000-0000AD6A0000}"/>
    <cellStyle name="Pre-inputted cells 4 7 4" xfId="27099" xr:uid="{00000000-0005-0000-0000-0000AE6A0000}"/>
    <cellStyle name="Pre-inputted cells 4 8" xfId="27100" xr:uid="{00000000-0005-0000-0000-0000AF6A0000}"/>
    <cellStyle name="Pre-inputted cells 4 8 2" xfId="27101" xr:uid="{00000000-0005-0000-0000-0000B06A0000}"/>
    <cellStyle name="Pre-inputted cells 4 9" xfId="27102" xr:uid="{00000000-0005-0000-0000-0000B16A0000}"/>
    <cellStyle name="Pre-inputted cells 4 9 2" xfId="27103" xr:uid="{00000000-0005-0000-0000-0000B26A0000}"/>
    <cellStyle name="Pre-inputted cells 4_1.3s Accounting C Costs Scots" xfId="27104" xr:uid="{00000000-0005-0000-0000-0000B36A0000}"/>
    <cellStyle name="Pre-inputted cells 40" xfId="27105" xr:uid="{00000000-0005-0000-0000-0000B46A0000}"/>
    <cellStyle name="Pre-inputted cells 41" xfId="27106" xr:uid="{00000000-0005-0000-0000-0000B56A0000}"/>
    <cellStyle name="Pre-inputted cells 42" xfId="27107" xr:uid="{00000000-0005-0000-0000-0000B66A0000}"/>
    <cellStyle name="Pre-inputted cells 43" xfId="27108" xr:uid="{00000000-0005-0000-0000-0000B76A0000}"/>
    <cellStyle name="Pre-inputted cells 44" xfId="27109" xr:uid="{00000000-0005-0000-0000-0000B86A0000}"/>
    <cellStyle name="Pre-inputted cells 45" xfId="27110" xr:uid="{00000000-0005-0000-0000-0000B96A0000}"/>
    <cellStyle name="Pre-inputted cells 46" xfId="27111" xr:uid="{00000000-0005-0000-0000-0000BA6A0000}"/>
    <cellStyle name="Pre-inputted cells 5" xfId="27112" xr:uid="{00000000-0005-0000-0000-0000BB6A0000}"/>
    <cellStyle name="Pre-inputted cells 5 10" xfId="27113" xr:uid="{00000000-0005-0000-0000-0000BC6A0000}"/>
    <cellStyle name="Pre-inputted cells 5 10 2" xfId="27114" xr:uid="{00000000-0005-0000-0000-0000BD6A0000}"/>
    <cellStyle name="Pre-inputted cells 5 11" xfId="27115" xr:uid="{00000000-0005-0000-0000-0000BE6A0000}"/>
    <cellStyle name="Pre-inputted cells 5 11 2" xfId="27116" xr:uid="{00000000-0005-0000-0000-0000BF6A0000}"/>
    <cellStyle name="Pre-inputted cells 5 12" xfId="27117" xr:uid="{00000000-0005-0000-0000-0000C06A0000}"/>
    <cellStyle name="Pre-inputted cells 5 13" xfId="27118" xr:uid="{00000000-0005-0000-0000-0000C16A0000}"/>
    <cellStyle name="Pre-inputted cells 5 13 2" xfId="27119" xr:uid="{00000000-0005-0000-0000-0000C26A0000}"/>
    <cellStyle name="Pre-inputted cells 5 14" xfId="27120" xr:uid="{00000000-0005-0000-0000-0000C36A0000}"/>
    <cellStyle name="Pre-inputted cells 5 14 2" xfId="27121" xr:uid="{00000000-0005-0000-0000-0000C46A0000}"/>
    <cellStyle name="Pre-inputted cells 5 15" xfId="27122" xr:uid="{00000000-0005-0000-0000-0000C56A0000}"/>
    <cellStyle name="Pre-inputted cells 5 15 2" xfId="27123" xr:uid="{00000000-0005-0000-0000-0000C66A0000}"/>
    <cellStyle name="Pre-inputted cells 5 16" xfId="27124" xr:uid="{00000000-0005-0000-0000-0000C76A0000}"/>
    <cellStyle name="Pre-inputted cells 5 16 2" xfId="27125" xr:uid="{00000000-0005-0000-0000-0000C86A0000}"/>
    <cellStyle name="Pre-inputted cells 5 17" xfId="27126" xr:uid="{00000000-0005-0000-0000-0000C96A0000}"/>
    <cellStyle name="Pre-inputted cells 5 17 2" xfId="27127" xr:uid="{00000000-0005-0000-0000-0000CA6A0000}"/>
    <cellStyle name="Pre-inputted cells 5 18" xfId="27128" xr:uid="{00000000-0005-0000-0000-0000CB6A0000}"/>
    <cellStyle name="Pre-inputted cells 5 18 2" xfId="27129" xr:uid="{00000000-0005-0000-0000-0000CC6A0000}"/>
    <cellStyle name="Pre-inputted cells 5 19" xfId="27130" xr:uid="{00000000-0005-0000-0000-0000CD6A0000}"/>
    <cellStyle name="Pre-inputted cells 5 19 2" xfId="27131" xr:uid="{00000000-0005-0000-0000-0000CE6A0000}"/>
    <cellStyle name="Pre-inputted cells 5 2" xfId="27132" xr:uid="{00000000-0005-0000-0000-0000CF6A0000}"/>
    <cellStyle name="Pre-inputted cells 5 2 10" xfId="27133" xr:uid="{00000000-0005-0000-0000-0000D06A0000}"/>
    <cellStyle name="Pre-inputted cells 5 2 10 2" xfId="27134" xr:uid="{00000000-0005-0000-0000-0000D16A0000}"/>
    <cellStyle name="Pre-inputted cells 5 2 11" xfId="27135" xr:uid="{00000000-0005-0000-0000-0000D26A0000}"/>
    <cellStyle name="Pre-inputted cells 5 2 11 2" xfId="27136" xr:uid="{00000000-0005-0000-0000-0000D36A0000}"/>
    <cellStyle name="Pre-inputted cells 5 2 12" xfId="27137" xr:uid="{00000000-0005-0000-0000-0000D46A0000}"/>
    <cellStyle name="Pre-inputted cells 5 2 12 2" xfId="27138" xr:uid="{00000000-0005-0000-0000-0000D56A0000}"/>
    <cellStyle name="Pre-inputted cells 5 2 13" xfId="27139" xr:uid="{00000000-0005-0000-0000-0000D66A0000}"/>
    <cellStyle name="Pre-inputted cells 5 2 13 2" xfId="27140" xr:uid="{00000000-0005-0000-0000-0000D76A0000}"/>
    <cellStyle name="Pre-inputted cells 5 2 14" xfId="27141" xr:uid="{00000000-0005-0000-0000-0000D86A0000}"/>
    <cellStyle name="Pre-inputted cells 5 2 14 2" xfId="27142" xr:uid="{00000000-0005-0000-0000-0000D96A0000}"/>
    <cellStyle name="Pre-inputted cells 5 2 15" xfId="27143" xr:uid="{00000000-0005-0000-0000-0000DA6A0000}"/>
    <cellStyle name="Pre-inputted cells 5 2 15 2" xfId="27144" xr:uid="{00000000-0005-0000-0000-0000DB6A0000}"/>
    <cellStyle name="Pre-inputted cells 5 2 16" xfId="27145" xr:uid="{00000000-0005-0000-0000-0000DC6A0000}"/>
    <cellStyle name="Pre-inputted cells 5 2 16 2" xfId="27146" xr:uid="{00000000-0005-0000-0000-0000DD6A0000}"/>
    <cellStyle name="Pre-inputted cells 5 2 17" xfId="27147" xr:uid="{00000000-0005-0000-0000-0000DE6A0000}"/>
    <cellStyle name="Pre-inputted cells 5 2 17 2" xfId="27148" xr:uid="{00000000-0005-0000-0000-0000DF6A0000}"/>
    <cellStyle name="Pre-inputted cells 5 2 18" xfId="27149" xr:uid="{00000000-0005-0000-0000-0000E06A0000}"/>
    <cellStyle name="Pre-inputted cells 5 2 18 2" xfId="27150" xr:uid="{00000000-0005-0000-0000-0000E16A0000}"/>
    <cellStyle name="Pre-inputted cells 5 2 19" xfId="27151" xr:uid="{00000000-0005-0000-0000-0000E26A0000}"/>
    <cellStyle name="Pre-inputted cells 5 2 19 2" xfId="27152" xr:uid="{00000000-0005-0000-0000-0000E36A0000}"/>
    <cellStyle name="Pre-inputted cells 5 2 2" xfId="27153" xr:uid="{00000000-0005-0000-0000-0000E46A0000}"/>
    <cellStyle name="Pre-inputted cells 5 2 2 10" xfId="27154" xr:uid="{00000000-0005-0000-0000-0000E56A0000}"/>
    <cellStyle name="Pre-inputted cells 5 2 2 10 2" xfId="27155" xr:uid="{00000000-0005-0000-0000-0000E66A0000}"/>
    <cellStyle name="Pre-inputted cells 5 2 2 11" xfId="27156" xr:uid="{00000000-0005-0000-0000-0000E76A0000}"/>
    <cellStyle name="Pre-inputted cells 5 2 2 11 2" xfId="27157" xr:uid="{00000000-0005-0000-0000-0000E86A0000}"/>
    <cellStyle name="Pre-inputted cells 5 2 2 12" xfId="27158" xr:uid="{00000000-0005-0000-0000-0000E96A0000}"/>
    <cellStyle name="Pre-inputted cells 5 2 2 12 2" xfId="27159" xr:uid="{00000000-0005-0000-0000-0000EA6A0000}"/>
    <cellStyle name="Pre-inputted cells 5 2 2 13" xfId="27160" xr:uid="{00000000-0005-0000-0000-0000EB6A0000}"/>
    <cellStyle name="Pre-inputted cells 5 2 2 13 2" xfId="27161" xr:uid="{00000000-0005-0000-0000-0000EC6A0000}"/>
    <cellStyle name="Pre-inputted cells 5 2 2 14" xfId="27162" xr:uid="{00000000-0005-0000-0000-0000ED6A0000}"/>
    <cellStyle name="Pre-inputted cells 5 2 2 14 2" xfId="27163" xr:uid="{00000000-0005-0000-0000-0000EE6A0000}"/>
    <cellStyle name="Pre-inputted cells 5 2 2 15" xfId="27164" xr:uid="{00000000-0005-0000-0000-0000EF6A0000}"/>
    <cellStyle name="Pre-inputted cells 5 2 2 15 2" xfId="27165" xr:uid="{00000000-0005-0000-0000-0000F06A0000}"/>
    <cellStyle name="Pre-inputted cells 5 2 2 16" xfId="27166" xr:uid="{00000000-0005-0000-0000-0000F16A0000}"/>
    <cellStyle name="Pre-inputted cells 5 2 2 16 2" xfId="27167" xr:uid="{00000000-0005-0000-0000-0000F26A0000}"/>
    <cellStyle name="Pre-inputted cells 5 2 2 17" xfId="27168" xr:uid="{00000000-0005-0000-0000-0000F36A0000}"/>
    <cellStyle name="Pre-inputted cells 5 2 2 17 2" xfId="27169" xr:uid="{00000000-0005-0000-0000-0000F46A0000}"/>
    <cellStyle name="Pre-inputted cells 5 2 2 18" xfId="27170" xr:uid="{00000000-0005-0000-0000-0000F56A0000}"/>
    <cellStyle name="Pre-inputted cells 5 2 2 18 2" xfId="27171" xr:uid="{00000000-0005-0000-0000-0000F66A0000}"/>
    <cellStyle name="Pre-inputted cells 5 2 2 19" xfId="27172" xr:uid="{00000000-0005-0000-0000-0000F76A0000}"/>
    <cellStyle name="Pre-inputted cells 5 2 2 19 2" xfId="27173" xr:uid="{00000000-0005-0000-0000-0000F86A0000}"/>
    <cellStyle name="Pre-inputted cells 5 2 2 2" xfId="27174" xr:uid="{00000000-0005-0000-0000-0000F96A0000}"/>
    <cellStyle name="Pre-inputted cells 5 2 2 2 10" xfId="27175" xr:uid="{00000000-0005-0000-0000-0000FA6A0000}"/>
    <cellStyle name="Pre-inputted cells 5 2 2 2 11" xfId="27176" xr:uid="{00000000-0005-0000-0000-0000FB6A0000}"/>
    <cellStyle name="Pre-inputted cells 5 2 2 2 12" xfId="27177" xr:uid="{00000000-0005-0000-0000-0000FC6A0000}"/>
    <cellStyle name="Pre-inputted cells 5 2 2 2 13" xfId="27178" xr:uid="{00000000-0005-0000-0000-0000FD6A0000}"/>
    <cellStyle name="Pre-inputted cells 5 2 2 2 14" xfId="27179" xr:uid="{00000000-0005-0000-0000-0000FE6A0000}"/>
    <cellStyle name="Pre-inputted cells 5 2 2 2 15" xfId="27180" xr:uid="{00000000-0005-0000-0000-0000FF6A0000}"/>
    <cellStyle name="Pre-inputted cells 5 2 2 2 16" xfId="27181" xr:uid="{00000000-0005-0000-0000-0000006B0000}"/>
    <cellStyle name="Pre-inputted cells 5 2 2 2 17" xfId="27182" xr:uid="{00000000-0005-0000-0000-0000016B0000}"/>
    <cellStyle name="Pre-inputted cells 5 2 2 2 18" xfId="27183" xr:uid="{00000000-0005-0000-0000-0000026B0000}"/>
    <cellStyle name="Pre-inputted cells 5 2 2 2 19" xfId="27184" xr:uid="{00000000-0005-0000-0000-0000036B0000}"/>
    <cellStyle name="Pre-inputted cells 5 2 2 2 2" xfId="27185" xr:uid="{00000000-0005-0000-0000-0000046B0000}"/>
    <cellStyle name="Pre-inputted cells 5 2 2 2 2 10" xfId="27186" xr:uid="{00000000-0005-0000-0000-0000056B0000}"/>
    <cellStyle name="Pre-inputted cells 5 2 2 2 2 11" xfId="27187" xr:uid="{00000000-0005-0000-0000-0000066B0000}"/>
    <cellStyle name="Pre-inputted cells 5 2 2 2 2 12" xfId="27188" xr:uid="{00000000-0005-0000-0000-0000076B0000}"/>
    <cellStyle name="Pre-inputted cells 5 2 2 2 2 13" xfId="27189" xr:uid="{00000000-0005-0000-0000-0000086B0000}"/>
    <cellStyle name="Pre-inputted cells 5 2 2 2 2 14" xfId="27190" xr:uid="{00000000-0005-0000-0000-0000096B0000}"/>
    <cellStyle name="Pre-inputted cells 5 2 2 2 2 15" xfId="27191" xr:uid="{00000000-0005-0000-0000-00000A6B0000}"/>
    <cellStyle name="Pre-inputted cells 5 2 2 2 2 16" xfId="27192" xr:uid="{00000000-0005-0000-0000-00000B6B0000}"/>
    <cellStyle name="Pre-inputted cells 5 2 2 2 2 17" xfId="27193" xr:uid="{00000000-0005-0000-0000-00000C6B0000}"/>
    <cellStyle name="Pre-inputted cells 5 2 2 2 2 18" xfId="27194" xr:uid="{00000000-0005-0000-0000-00000D6B0000}"/>
    <cellStyle name="Pre-inputted cells 5 2 2 2 2 19" xfId="27195" xr:uid="{00000000-0005-0000-0000-00000E6B0000}"/>
    <cellStyle name="Pre-inputted cells 5 2 2 2 2 2" xfId="27196" xr:uid="{00000000-0005-0000-0000-00000F6B0000}"/>
    <cellStyle name="Pre-inputted cells 5 2 2 2 2 2 10" xfId="27197" xr:uid="{00000000-0005-0000-0000-0000106B0000}"/>
    <cellStyle name="Pre-inputted cells 5 2 2 2 2 2 11" xfId="27198" xr:uid="{00000000-0005-0000-0000-0000116B0000}"/>
    <cellStyle name="Pre-inputted cells 5 2 2 2 2 2 12" xfId="27199" xr:uid="{00000000-0005-0000-0000-0000126B0000}"/>
    <cellStyle name="Pre-inputted cells 5 2 2 2 2 2 13" xfId="27200" xr:uid="{00000000-0005-0000-0000-0000136B0000}"/>
    <cellStyle name="Pre-inputted cells 5 2 2 2 2 2 2" xfId="27201" xr:uid="{00000000-0005-0000-0000-0000146B0000}"/>
    <cellStyle name="Pre-inputted cells 5 2 2 2 2 2 2 2" xfId="27202" xr:uid="{00000000-0005-0000-0000-0000156B0000}"/>
    <cellStyle name="Pre-inputted cells 5 2 2 2 2 2 2 3" xfId="27203" xr:uid="{00000000-0005-0000-0000-0000166B0000}"/>
    <cellStyle name="Pre-inputted cells 5 2 2 2 2 2 3" xfId="27204" xr:uid="{00000000-0005-0000-0000-0000176B0000}"/>
    <cellStyle name="Pre-inputted cells 5 2 2 2 2 2 3 2" xfId="27205" xr:uid="{00000000-0005-0000-0000-0000186B0000}"/>
    <cellStyle name="Pre-inputted cells 5 2 2 2 2 2 3 3" xfId="27206" xr:uid="{00000000-0005-0000-0000-0000196B0000}"/>
    <cellStyle name="Pre-inputted cells 5 2 2 2 2 2 4" xfId="27207" xr:uid="{00000000-0005-0000-0000-00001A6B0000}"/>
    <cellStyle name="Pre-inputted cells 5 2 2 2 2 2 5" xfId="27208" xr:uid="{00000000-0005-0000-0000-00001B6B0000}"/>
    <cellStyle name="Pre-inputted cells 5 2 2 2 2 2 6" xfId="27209" xr:uid="{00000000-0005-0000-0000-00001C6B0000}"/>
    <cellStyle name="Pre-inputted cells 5 2 2 2 2 2 7" xfId="27210" xr:uid="{00000000-0005-0000-0000-00001D6B0000}"/>
    <cellStyle name="Pre-inputted cells 5 2 2 2 2 2 8" xfId="27211" xr:uid="{00000000-0005-0000-0000-00001E6B0000}"/>
    <cellStyle name="Pre-inputted cells 5 2 2 2 2 2 9" xfId="27212" xr:uid="{00000000-0005-0000-0000-00001F6B0000}"/>
    <cellStyle name="Pre-inputted cells 5 2 2 2 2 20" xfId="27213" xr:uid="{00000000-0005-0000-0000-0000206B0000}"/>
    <cellStyle name="Pre-inputted cells 5 2 2 2 2 21" xfId="27214" xr:uid="{00000000-0005-0000-0000-0000216B0000}"/>
    <cellStyle name="Pre-inputted cells 5 2 2 2 2 22" xfId="27215" xr:uid="{00000000-0005-0000-0000-0000226B0000}"/>
    <cellStyle name="Pre-inputted cells 5 2 2 2 2 23" xfId="27216" xr:uid="{00000000-0005-0000-0000-0000236B0000}"/>
    <cellStyle name="Pre-inputted cells 5 2 2 2 2 24" xfId="27217" xr:uid="{00000000-0005-0000-0000-0000246B0000}"/>
    <cellStyle name="Pre-inputted cells 5 2 2 2 2 25" xfId="27218" xr:uid="{00000000-0005-0000-0000-0000256B0000}"/>
    <cellStyle name="Pre-inputted cells 5 2 2 2 2 26" xfId="27219" xr:uid="{00000000-0005-0000-0000-0000266B0000}"/>
    <cellStyle name="Pre-inputted cells 5 2 2 2 2 27" xfId="27220" xr:uid="{00000000-0005-0000-0000-0000276B0000}"/>
    <cellStyle name="Pre-inputted cells 5 2 2 2 2 28" xfId="27221" xr:uid="{00000000-0005-0000-0000-0000286B0000}"/>
    <cellStyle name="Pre-inputted cells 5 2 2 2 2 29" xfId="27222" xr:uid="{00000000-0005-0000-0000-0000296B0000}"/>
    <cellStyle name="Pre-inputted cells 5 2 2 2 2 3" xfId="27223" xr:uid="{00000000-0005-0000-0000-00002A6B0000}"/>
    <cellStyle name="Pre-inputted cells 5 2 2 2 2 3 2" xfId="27224" xr:uid="{00000000-0005-0000-0000-00002B6B0000}"/>
    <cellStyle name="Pre-inputted cells 5 2 2 2 2 3 3" xfId="27225" xr:uid="{00000000-0005-0000-0000-00002C6B0000}"/>
    <cellStyle name="Pre-inputted cells 5 2 2 2 2 30" xfId="27226" xr:uid="{00000000-0005-0000-0000-00002D6B0000}"/>
    <cellStyle name="Pre-inputted cells 5 2 2 2 2 31" xfId="27227" xr:uid="{00000000-0005-0000-0000-00002E6B0000}"/>
    <cellStyle name="Pre-inputted cells 5 2 2 2 2 32" xfId="27228" xr:uid="{00000000-0005-0000-0000-00002F6B0000}"/>
    <cellStyle name="Pre-inputted cells 5 2 2 2 2 33" xfId="27229" xr:uid="{00000000-0005-0000-0000-0000306B0000}"/>
    <cellStyle name="Pre-inputted cells 5 2 2 2 2 34" xfId="27230" xr:uid="{00000000-0005-0000-0000-0000316B0000}"/>
    <cellStyle name="Pre-inputted cells 5 2 2 2 2 4" xfId="27231" xr:uid="{00000000-0005-0000-0000-0000326B0000}"/>
    <cellStyle name="Pre-inputted cells 5 2 2 2 2 4 2" xfId="27232" xr:uid="{00000000-0005-0000-0000-0000336B0000}"/>
    <cellStyle name="Pre-inputted cells 5 2 2 2 2 4 3" xfId="27233" xr:uid="{00000000-0005-0000-0000-0000346B0000}"/>
    <cellStyle name="Pre-inputted cells 5 2 2 2 2 5" xfId="27234" xr:uid="{00000000-0005-0000-0000-0000356B0000}"/>
    <cellStyle name="Pre-inputted cells 5 2 2 2 2 6" xfId="27235" xr:uid="{00000000-0005-0000-0000-0000366B0000}"/>
    <cellStyle name="Pre-inputted cells 5 2 2 2 2 7" xfId="27236" xr:uid="{00000000-0005-0000-0000-0000376B0000}"/>
    <cellStyle name="Pre-inputted cells 5 2 2 2 2 8" xfId="27237" xr:uid="{00000000-0005-0000-0000-0000386B0000}"/>
    <cellStyle name="Pre-inputted cells 5 2 2 2 2 9" xfId="27238" xr:uid="{00000000-0005-0000-0000-0000396B0000}"/>
    <cellStyle name="Pre-inputted cells 5 2 2 2 20" xfId="27239" xr:uid="{00000000-0005-0000-0000-00003A6B0000}"/>
    <cellStyle name="Pre-inputted cells 5 2 2 2 21" xfId="27240" xr:uid="{00000000-0005-0000-0000-00003B6B0000}"/>
    <cellStyle name="Pre-inputted cells 5 2 2 2 22" xfId="27241" xr:uid="{00000000-0005-0000-0000-00003C6B0000}"/>
    <cellStyle name="Pre-inputted cells 5 2 2 2 23" xfId="27242" xr:uid="{00000000-0005-0000-0000-00003D6B0000}"/>
    <cellStyle name="Pre-inputted cells 5 2 2 2 24" xfId="27243" xr:uid="{00000000-0005-0000-0000-00003E6B0000}"/>
    <cellStyle name="Pre-inputted cells 5 2 2 2 25" xfId="27244" xr:uid="{00000000-0005-0000-0000-00003F6B0000}"/>
    <cellStyle name="Pre-inputted cells 5 2 2 2 26" xfId="27245" xr:uid="{00000000-0005-0000-0000-0000406B0000}"/>
    <cellStyle name="Pre-inputted cells 5 2 2 2 27" xfId="27246" xr:uid="{00000000-0005-0000-0000-0000416B0000}"/>
    <cellStyle name="Pre-inputted cells 5 2 2 2 28" xfId="27247" xr:uid="{00000000-0005-0000-0000-0000426B0000}"/>
    <cellStyle name="Pre-inputted cells 5 2 2 2 29" xfId="27248" xr:uid="{00000000-0005-0000-0000-0000436B0000}"/>
    <cellStyle name="Pre-inputted cells 5 2 2 2 3" xfId="27249" xr:uid="{00000000-0005-0000-0000-0000446B0000}"/>
    <cellStyle name="Pre-inputted cells 5 2 2 2 3 10" xfId="27250" xr:uid="{00000000-0005-0000-0000-0000456B0000}"/>
    <cellStyle name="Pre-inputted cells 5 2 2 2 3 11" xfId="27251" xr:uid="{00000000-0005-0000-0000-0000466B0000}"/>
    <cellStyle name="Pre-inputted cells 5 2 2 2 3 12" xfId="27252" xr:uid="{00000000-0005-0000-0000-0000476B0000}"/>
    <cellStyle name="Pre-inputted cells 5 2 2 2 3 13" xfId="27253" xr:uid="{00000000-0005-0000-0000-0000486B0000}"/>
    <cellStyle name="Pre-inputted cells 5 2 2 2 3 2" xfId="27254" xr:uid="{00000000-0005-0000-0000-0000496B0000}"/>
    <cellStyle name="Pre-inputted cells 5 2 2 2 3 2 2" xfId="27255" xr:uid="{00000000-0005-0000-0000-00004A6B0000}"/>
    <cellStyle name="Pre-inputted cells 5 2 2 2 3 2 3" xfId="27256" xr:uid="{00000000-0005-0000-0000-00004B6B0000}"/>
    <cellStyle name="Pre-inputted cells 5 2 2 2 3 3" xfId="27257" xr:uid="{00000000-0005-0000-0000-00004C6B0000}"/>
    <cellStyle name="Pre-inputted cells 5 2 2 2 3 3 2" xfId="27258" xr:uid="{00000000-0005-0000-0000-00004D6B0000}"/>
    <cellStyle name="Pre-inputted cells 5 2 2 2 3 3 3" xfId="27259" xr:uid="{00000000-0005-0000-0000-00004E6B0000}"/>
    <cellStyle name="Pre-inputted cells 5 2 2 2 3 4" xfId="27260" xr:uid="{00000000-0005-0000-0000-00004F6B0000}"/>
    <cellStyle name="Pre-inputted cells 5 2 2 2 3 5" xfId="27261" xr:uid="{00000000-0005-0000-0000-0000506B0000}"/>
    <cellStyle name="Pre-inputted cells 5 2 2 2 3 6" xfId="27262" xr:uid="{00000000-0005-0000-0000-0000516B0000}"/>
    <cellStyle name="Pre-inputted cells 5 2 2 2 3 7" xfId="27263" xr:uid="{00000000-0005-0000-0000-0000526B0000}"/>
    <cellStyle name="Pre-inputted cells 5 2 2 2 3 8" xfId="27264" xr:uid="{00000000-0005-0000-0000-0000536B0000}"/>
    <cellStyle name="Pre-inputted cells 5 2 2 2 3 9" xfId="27265" xr:uid="{00000000-0005-0000-0000-0000546B0000}"/>
    <cellStyle name="Pre-inputted cells 5 2 2 2 30" xfId="27266" xr:uid="{00000000-0005-0000-0000-0000556B0000}"/>
    <cellStyle name="Pre-inputted cells 5 2 2 2 31" xfId="27267" xr:uid="{00000000-0005-0000-0000-0000566B0000}"/>
    <cellStyle name="Pre-inputted cells 5 2 2 2 4" xfId="27268" xr:uid="{00000000-0005-0000-0000-0000576B0000}"/>
    <cellStyle name="Pre-inputted cells 5 2 2 2 4 2" xfId="27269" xr:uid="{00000000-0005-0000-0000-0000586B0000}"/>
    <cellStyle name="Pre-inputted cells 5 2 2 2 4 3" xfId="27270" xr:uid="{00000000-0005-0000-0000-0000596B0000}"/>
    <cellStyle name="Pre-inputted cells 5 2 2 2 5" xfId="27271" xr:uid="{00000000-0005-0000-0000-00005A6B0000}"/>
    <cellStyle name="Pre-inputted cells 5 2 2 2 5 2" xfId="27272" xr:uid="{00000000-0005-0000-0000-00005B6B0000}"/>
    <cellStyle name="Pre-inputted cells 5 2 2 2 5 3" xfId="27273" xr:uid="{00000000-0005-0000-0000-00005C6B0000}"/>
    <cellStyle name="Pre-inputted cells 5 2 2 2 6" xfId="27274" xr:uid="{00000000-0005-0000-0000-00005D6B0000}"/>
    <cellStyle name="Pre-inputted cells 5 2 2 2 7" xfId="27275" xr:uid="{00000000-0005-0000-0000-00005E6B0000}"/>
    <cellStyle name="Pre-inputted cells 5 2 2 2 8" xfId="27276" xr:uid="{00000000-0005-0000-0000-00005F6B0000}"/>
    <cellStyle name="Pre-inputted cells 5 2 2 2 9" xfId="27277" xr:uid="{00000000-0005-0000-0000-0000606B0000}"/>
    <cellStyle name="Pre-inputted cells 5 2 2 2_4 28 1_Asst_Health_Crit_AllTO_RIIO_20110714pm" xfId="27278" xr:uid="{00000000-0005-0000-0000-0000616B0000}"/>
    <cellStyle name="Pre-inputted cells 5 2 2 20" xfId="27279" xr:uid="{00000000-0005-0000-0000-0000626B0000}"/>
    <cellStyle name="Pre-inputted cells 5 2 2 20 2" xfId="27280" xr:uid="{00000000-0005-0000-0000-0000636B0000}"/>
    <cellStyle name="Pre-inputted cells 5 2 2 21" xfId="27281" xr:uid="{00000000-0005-0000-0000-0000646B0000}"/>
    <cellStyle name="Pre-inputted cells 5 2 2 21 2" xfId="27282" xr:uid="{00000000-0005-0000-0000-0000656B0000}"/>
    <cellStyle name="Pre-inputted cells 5 2 2 22" xfId="27283" xr:uid="{00000000-0005-0000-0000-0000666B0000}"/>
    <cellStyle name="Pre-inputted cells 5 2 2 22 2" xfId="27284" xr:uid="{00000000-0005-0000-0000-0000676B0000}"/>
    <cellStyle name="Pre-inputted cells 5 2 2 23" xfId="27285" xr:uid="{00000000-0005-0000-0000-0000686B0000}"/>
    <cellStyle name="Pre-inputted cells 5 2 2 23 2" xfId="27286" xr:uid="{00000000-0005-0000-0000-0000696B0000}"/>
    <cellStyle name="Pre-inputted cells 5 2 2 24" xfId="27287" xr:uid="{00000000-0005-0000-0000-00006A6B0000}"/>
    <cellStyle name="Pre-inputted cells 5 2 2 24 2" xfId="27288" xr:uid="{00000000-0005-0000-0000-00006B6B0000}"/>
    <cellStyle name="Pre-inputted cells 5 2 2 25" xfId="27289" xr:uid="{00000000-0005-0000-0000-00006C6B0000}"/>
    <cellStyle name="Pre-inputted cells 5 2 2 25 2" xfId="27290" xr:uid="{00000000-0005-0000-0000-00006D6B0000}"/>
    <cellStyle name="Pre-inputted cells 5 2 2 26" xfId="27291" xr:uid="{00000000-0005-0000-0000-00006E6B0000}"/>
    <cellStyle name="Pre-inputted cells 5 2 2 27" xfId="27292" xr:uid="{00000000-0005-0000-0000-00006F6B0000}"/>
    <cellStyle name="Pre-inputted cells 5 2 2 28" xfId="27293" xr:uid="{00000000-0005-0000-0000-0000706B0000}"/>
    <cellStyle name="Pre-inputted cells 5 2 2 29" xfId="27294" xr:uid="{00000000-0005-0000-0000-0000716B0000}"/>
    <cellStyle name="Pre-inputted cells 5 2 2 3" xfId="27295" xr:uid="{00000000-0005-0000-0000-0000726B0000}"/>
    <cellStyle name="Pre-inputted cells 5 2 2 3 10" xfId="27296" xr:uid="{00000000-0005-0000-0000-0000736B0000}"/>
    <cellStyle name="Pre-inputted cells 5 2 2 3 11" xfId="27297" xr:uid="{00000000-0005-0000-0000-0000746B0000}"/>
    <cellStyle name="Pre-inputted cells 5 2 2 3 12" xfId="27298" xr:uid="{00000000-0005-0000-0000-0000756B0000}"/>
    <cellStyle name="Pre-inputted cells 5 2 2 3 13" xfId="27299" xr:uid="{00000000-0005-0000-0000-0000766B0000}"/>
    <cellStyle name="Pre-inputted cells 5 2 2 3 14" xfId="27300" xr:uid="{00000000-0005-0000-0000-0000776B0000}"/>
    <cellStyle name="Pre-inputted cells 5 2 2 3 15" xfId="27301" xr:uid="{00000000-0005-0000-0000-0000786B0000}"/>
    <cellStyle name="Pre-inputted cells 5 2 2 3 16" xfId="27302" xr:uid="{00000000-0005-0000-0000-0000796B0000}"/>
    <cellStyle name="Pre-inputted cells 5 2 2 3 17" xfId="27303" xr:uid="{00000000-0005-0000-0000-00007A6B0000}"/>
    <cellStyle name="Pre-inputted cells 5 2 2 3 18" xfId="27304" xr:uid="{00000000-0005-0000-0000-00007B6B0000}"/>
    <cellStyle name="Pre-inputted cells 5 2 2 3 19" xfId="27305" xr:uid="{00000000-0005-0000-0000-00007C6B0000}"/>
    <cellStyle name="Pre-inputted cells 5 2 2 3 2" xfId="27306" xr:uid="{00000000-0005-0000-0000-00007D6B0000}"/>
    <cellStyle name="Pre-inputted cells 5 2 2 3 2 10" xfId="27307" xr:uid="{00000000-0005-0000-0000-00007E6B0000}"/>
    <cellStyle name="Pre-inputted cells 5 2 2 3 2 11" xfId="27308" xr:uid="{00000000-0005-0000-0000-00007F6B0000}"/>
    <cellStyle name="Pre-inputted cells 5 2 2 3 2 12" xfId="27309" xr:uid="{00000000-0005-0000-0000-0000806B0000}"/>
    <cellStyle name="Pre-inputted cells 5 2 2 3 2 13" xfId="27310" xr:uid="{00000000-0005-0000-0000-0000816B0000}"/>
    <cellStyle name="Pre-inputted cells 5 2 2 3 2 2" xfId="27311" xr:uid="{00000000-0005-0000-0000-0000826B0000}"/>
    <cellStyle name="Pre-inputted cells 5 2 2 3 2 2 2" xfId="27312" xr:uid="{00000000-0005-0000-0000-0000836B0000}"/>
    <cellStyle name="Pre-inputted cells 5 2 2 3 2 2 3" xfId="27313" xr:uid="{00000000-0005-0000-0000-0000846B0000}"/>
    <cellStyle name="Pre-inputted cells 5 2 2 3 2 3" xfId="27314" xr:uid="{00000000-0005-0000-0000-0000856B0000}"/>
    <cellStyle name="Pre-inputted cells 5 2 2 3 2 3 2" xfId="27315" xr:uid="{00000000-0005-0000-0000-0000866B0000}"/>
    <cellStyle name="Pre-inputted cells 5 2 2 3 2 3 3" xfId="27316" xr:uid="{00000000-0005-0000-0000-0000876B0000}"/>
    <cellStyle name="Pre-inputted cells 5 2 2 3 2 4" xfId="27317" xr:uid="{00000000-0005-0000-0000-0000886B0000}"/>
    <cellStyle name="Pre-inputted cells 5 2 2 3 2 5" xfId="27318" xr:uid="{00000000-0005-0000-0000-0000896B0000}"/>
    <cellStyle name="Pre-inputted cells 5 2 2 3 2 6" xfId="27319" xr:uid="{00000000-0005-0000-0000-00008A6B0000}"/>
    <cellStyle name="Pre-inputted cells 5 2 2 3 2 7" xfId="27320" xr:uid="{00000000-0005-0000-0000-00008B6B0000}"/>
    <cellStyle name="Pre-inputted cells 5 2 2 3 2 8" xfId="27321" xr:uid="{00000000-0005-0000-0000-00008C6B0000}"/>
    <cellStyle name="Pre-inputted cells 5 2 2 3 2 9" xfId="27322" xr:uid="{00000000-0005-0000-0000-00008D6B0000}"/>
    <cellStyle name="Pre-inputted cells 5 2 2 3 20" xfId="27323" xr:uid="{00000000-0005-0000-0000-00008E6B0000}"/>
    <cellStyle name="Pre-inputted cells 5 2 2 3 21" xfId="27324" xr:uid="{00000000-0005-0000-0000-00008F6B0000}"/>
    <cellStyle name="Pre-inputted cells 5 2 2 3 22" xfId="27325" xr:uid="{00000000-0005-0000-0000-0000906B0000}"/>
    <cellStyle name="Pre-inputted cells 5 2 2 3 23" xfId="27326" xr:uid="{00000000-0005-0000-0000-0000916B0000}"/>
    <cellStyle name="Pre-inputted cells 5 2 2 3 24" xfId="27327" xr:uid="{00000000-0005-0000-0000-0000926B0000}"/>
    <cellStyle name="Pre-inputted cells 5 2 2 3 25" xfId="27328" xr:uid="{00000000-0005-0000-0000-0000936B0000}"/>
    <cellStyle name="Pre-inputted cells 5 2 2 3 26" xfId="27329" xr:uid="{00000000-0005-0000-0000-0000946B0000}"/>
    <cellStyle name="Pre-inputted cells 5 2 2 3 27" xfId="27330" xr:uid="{00000000-0005-0000-0000-0000956B0000}"/>
    <cellStyle name="Pre-inputted cells 5 2 2 3 28" xfId="27331" xr:uid="{00000000-0005-0000-0000-0000966B0000}"/>
    <cellStyle name="Pre-inputted cells 5 2 2 3 29" xfId="27332" xr:uid="{00000000-0005-0000-0000-0000976B0000}"/>
    <cellStyle name="Pre-inputted cells 5 2 2 3 3" xfId="27333" xr:uid="{00000000-0005-0000-0000-0000986B0000}"/>
    <cellStyle name="Pre-inputted cells 5 2 2 3 3 2" xfId="27334" xr:uid="{00000000-0005-0000-0000-0000996B0000}"/>
    <cellStyle name="Pre-inputted cells 5 2 2 3 3 3" xfId="27335" xr:uid="{00000000-0005-0000-0000-00009A6B0000}"/>
    <cellStyle name="Pre-inputted cells 5 2 2 3 30" xfId="27336" xr:uid="{00000000-0005-0000-0000-00009B6B0000}"/>
    <cellStyle name="Pre-inputted cells 5 2 2 3 4" xfId="27337" xr:uid="{00000000-0005-0000-0000-00009C6B0000}"/>
    <cellStyle name="Pre-inputted cells 5 2 2 3 4 2" xfId="27338" xr:uid="{00000000-0005-0000-0000-00009D6B0000}"/>
    <cellStyle name="Pre-inputted cells 5 2 2 3 4 3" xfId="27339" xr:uid="{00000000-0005-0000-0000-00009E6B0000}"/>
    <cellStyle name="Pre-inputted cells 5 2 2 3 5" xfId="27340" xr:uid="{00000000-0005-0000-0000-00009F6B0000}"/>
    <cellStyle name="Pre-inputted cells 5 2 2 3 6" xfId="27341" xr:uid="{00000000-0005-0000-0000-0000A06B0000}"/>
    <cellStyle name="Pre-inputted cells 5 2 2 3 7" xfId="27342" xr:uid="{00000000-0005-0000-0000-0000A16B0000}"/>
    <cellStyle name="Pre-inputted cells 5 2 2 3 8" xfId="27343" xr:uid="{00000000-0005-0000-0000-0000A26B0000}"/>
    <cellStyle name="Pre-inputted cells 5 2 2 3 9" xfId="27344" xr:uid="{00000000-0005-0000-0000-0000A36B0000}"/>
    <cellStyle name="Pre-inputted cells 5 2 2 30" xfId="27345" xr:uid="{00000000-0005-0000-0000-0000A46B0000}"/>
    <cellStyle name="Pre-inputted cells 5 2 2 31" xfId="27346" xr:uid="{00000000-0005-0000-0000-0000A56B0000}"/>
    <cellStyle name="Pre-inputted cells 5 2 2 32" xfId="27347" xr:uid="{00000000-0005-0000-0000-0000A66B0000}"/>
    <cellStyle name="Pre-inputted cells 5 2 2 33" xfId="27348" xr:uid="{00000000-0005-0000-0000-0000A76B0000}"/>
    <cellStyle name="Pre-inputted cells 5 2 2 4" xfId="27349" xr:uid="{00000000-0005-0000-0000-0000A86B0000}"/>
    <cellStyle name="Pre-inputted cells 5 2 2 4 10" xfId="27350" xr:uid="{00000000-0005-0000-0000-0000A96B0000}"/>
    <cellStyle name="Pre-inputted cells 5 2 2 4 11" xfId="27351" xr:uid="{00000000-0005-0000-0000-0000AA6B0000}"/>
    <cellStyle name="Pre-inputted cells 5 2 2 4 12" xfId="27352" xr:uid="{00000000-0005-0000-0000-0000AB6B0000}"/>
    <cellStyle name="Pre-inputted cells 5 2 2 4 13" xfId="27353" xr:uid="{00000000-0005-0000-0000-0000AC6B0000}"/>
    <cellStyle name="Pre-inputted cells 5 2 2 4 14" xfId="27354" xr:uid="{00000000-0005-0000-0000-0000AD6B0000}"/>
    <cellStyle name="Pre-inputted cells 5 2 2 4 15" xfId="27355" xr:uid="{00000000-0005-0000-0000-0000AE6B0000}"/>
    <cellStyle name="Pre-inputted cells 5 2 2 4 16" xfId="27356" xr:uid="{00000000-0005-0000-0000-0000AF6B0000}"/>
    <cellStyle name="Pre-inputted cells 5 2 2 4 17" xfId="27357" xr:uid="{00000000-0005-0000-0000-0000B06B0000}"/>
    <cellStyle name="Pre-inputted cells 5 2 2 4 18" xfId="27358" xr:uid="{00000000-0005-0000-0000-0000B16B0000}"/>
    <cellStyle name="Pre-inputted cells 5 2 2 4 19" xfId="27359" xr:uid="{00000000-0005-0000-0000-0000B26B0000}"/>
    <cellStyle name="Pre-inputted cells 5 2 2 4 2" xfId="27360" xr:uid="{00000000-0005-0000-0000-0000B36B0000}"/>
    <cellStyle name="Pre-inputted cells 5 2 2 4 2 10" xfId="27361" xr:uid="{00000000-0005-0000-0000-0000B46B0000}"/>
    <cellStyle name="Pre-inputted cells 5 2 2 4 2 11" xfId="27362" xr:uid="{00000000-0005-0000-0000-0000B56B0000}"/>
    <cellStyle name="Pre-inputted cells 5 2 2 4 2 12" xfId="27363" xr:uid="{00000000-0005-0000-0000-0000B66B0000}"/>
    <cellStyle name="Pre-inputted cells 5 2 2 4 2 13" xfId="27364" xr:uid="{00000000-0005-0000-0000-0000B76B0000}"/>
    <cellStyle name="Pre-inputted cells 5 2 2 4 2 2" xfId="27365" xr:uid="{00000000-0005-0000-0000-0000B86B0000}"/>
    <cellStyle name="Pre-inputted cells 5 2 2 4 2 2 2" xfId="27366" xr:uid="{00000000-0005-0000-0000-0000B96B0000}"/>
    <cellStyle name="Pre-inputted cells 5 2 2 4 2 2 3" xfId="27367" xr:uid="{00000000-0005-0000-0000-0000BA6B0000}"/>
    <cellStyle name="Pre-inputted cells 5 2 2 4 2 3" xfId="27368" xr:uid="{00000000-0005-0000-0000-0000BB6B0000}"/>
    <cellStyle name="Pre-inputted cells 5 2 2 4 2 3 2" xfId="27369" xr:uid="{00000000-0005-0000-0000-0000BC6B0000}"/>
    <cellStyle name="Pre-inputted cells 5 2 2 4 2 3 3" xfId="27370" xr:uid="{00000000-0005-0000-0000-0000BD6B0000}"/>
    <cellStyle name="Pre-inputted cells 5 2 2 4 2 4" xfId="27371" xr:uid="{00000000-0005-0000-0000-0000BE6B0000}"/>
    <cellStyle name="Pre-inputted cells 5 2 2 4 2 5" xfId="27372" xr:uid="{00000000-0005-0000-0000-0000BF6B0000}"/>
    <cellStyle name="Pre-inputted cells 5 2 2 4 2 6" xfId="27373" xr:uid="{00000000-0005-0000-0000-0000C06B0000}"/>
    <cellStyle name="Pre-inputted cells 5 2 2 4 2 7" xfId="27374" xr:uid="{00000000-0005-0000-0000-0000C16B0000}"/>
    <cellStyle name="Pre-inputted cells 5 2 2 4 2 8" xfId="27375" xr:uid="{00000000-0005-0000-0000-0000C26B0000}"/>
    <cellStyle name="Pre-inputted cells 5 2 2 4 2 9" xfId="27376" xr:uid="{00000000-0005-0000-0000-0000C36B0000}"/>
    <cellStyle name="Pre-inputted cells 5 2 2 4 20" xfId="27377" xr:uid="{00000000-0005-0000-0000-0000C46B0000}"/>
    <cellStyle name="Pre-inputted cells 5 2 2 4 21" xfId="27378" xr:uid="{00000000-0005-0000-0000-0000C56B0000}"/>
    <cellStyle name="Pre-inputted cells 5 2 2 4 22" xfId="27379" xr:uid="{00000000-0005-0000-0000-0000C66B0000}"/>
    <cellStyle name="Pre-inputted cells 5 2 2 4 23" xfId="27380" xr:uid="{00000000-0005-0000-0000-0000C76B0000}"/>
    <cellStyle name="Pre-inputted cells 5 2 2 4 24" xfId="27381" xr:uid="{00000000-0005-0000-0000-0000C86B0000}"/>
    <cellStyle name="Pre-inputted cells 5 2 2 4 25" xfId="27382" xr:uid="{00000000-0005-0000-0000-0000C96B0000}"/>
    <cellStyle name="Pre-inputted cells 5 2 2 4 26" xfId="27383" xr:uid="{00000000-0005-0000-0000-0000CA6B0000}"/>
    <cellStyle name="Pre-inputted cells 5 2 2 4 27" xfId="27384" xr:uid="{00000000-0005-0000-0000-0000CB6B0000}"/>
    <cellStyle name="Pre-inputted cells 5 2 2 4 28" xfId="27385" xr:uid="{00000000-0005-0000-0000-0000CC6B0000}"/>
    <cellStyle name="Pre-inputted cells 5 2 2 4 29" xfId="27386" xr:uid="{00000000-0005-0000-0000-0000CD6B0000}"/>
    <cellStyle name="Pre-inputted cells 5 2 2 4 3" xfId="27387" xr:uid="{00000000-0005-0000-0000-0000CE6B0000}"/>
    <cellStyle name="Pre-inputted cells 5 2 2 4 3 2" xfId="27388" xr:uid="{00000000-0005-0000-0000-0000CF6B0000}"/>
    <cellStyle name="Pre-inputted cells 5 2 2 4 3 3" xfId="27389" xr:uid="{00000000-0005-0000-0000-0000D06B0000}"/>
    <cellStyle name="Pre-inputted cells 5 2 2 4 30" xfId="27390" xr:uid="{00000000-0005-0000-0000-0000D16B0000}"/>
    <cellStyle name="Pre-inputted cells 5 2 2 4 4" xfId="27391" xr:uid="{00000000-0005-0000-0000-0000D26B0000}"/>
    <cellStyle name="Pre-inputted cells 5 2 2 4 4 2" xfId="27392" xr:uid="{00000000-0005-0000-0000-0000D36B0000}"/>
    <cellStyle name="Pre-inputted cells 5 2 2 4 4 3" xfId="27393" xr:uid="{00000000-0005-0000-0000-0000D46B0000}"/>
    <cellStyle name="Pre-inputted cells 5 2 2 4 5" xfId="27394" xr:uid="{00000000-0005-0000-0000-0000D56B0000}"/>
    <cellStyle name="Pre-inputted cells 5 2 2 4 6" xfId="27395" xr:uid="{00000000-0005-0000-0000-0000D66B0000}"/>
    <cellStyle name="Pre-inputted cells 5 2 2 4 7" xfId="27396" xr:uid="{00000000-0005-0000-0000-0000D76B0000}"/>
    <cellStyle name="Pre-inputted cells 5 2 2 4 8" xfId="27397" xr:uid="{00000000-0005-0000-0000-0000D86B0000}"/>
    <cellStyle name="Pre-inputted cells 5 2 2 4 9" xfId="27398" xr:uid="{00000000-0005-0000-0000-0000D96B0000}"/>
    <cellStyle name="Pre-inputted cells 5 2 2 5" xfId="27399" xr:uid="{00000000-0005-0000-0000-0000DA6B0000}"/>
    <cellStyle name="Pre-inputted cells 5 2 2 5 10" xfId="27400" xr:uid="{00000000-0005-0000-0000-0000DB6B0000}"/>
    <cellStyle name="Pre-inputted cells 5 2 2 5 11" xfId="27401" xr:uid="{00000000-0005-0000-0000-0000DC6B0000}"/>
    <cellStyle name="Pre-inputted cells 5 2 2 5 12" xfId="27402" xr:uid="{00000000-0005-0000-0000-0000DD6B0000}"/>
    <cellStyle name="Pre-inputted cells 5 2 2 5 13" xfId="27403" xr:uid="{00000000-0005-0000-0000-0000DE6B0000}"/>
    <cellStyle name="Pre-inputted cells 5 2 2 5 2" xfId="27404" xr:uid="{00000000-0005-0000-0000-0000DF6B0000}"/>
    <cellStyle name="Pre-inputted cells 5 2 2 5 2 2" xfId="27405" xr:uid="{00000000-0005-0000-0000-0000E06B0000}"/>
    <cellStyle name="Pre-inputted cells 5 2 2 5 2 3" xfId="27406" xr:uid="{00000000-0005-0000-0000-0000E16B0000}"/>
    <cellStyle name="Pre-inputted cells 5 2 2 5 3" xfId="27407" xr:uid="{00000000-0005-0000-0000-0000E26B0000}"/>
    <cellStyle name="Pre-inputted cells 5 2 2 5 3 2" xfId="27408" xr:uid="{00000000-0005-0000-0000-0000E36B0000}"/>
    <cellStyle name="Pre-inputted cells 5 2 2 5 3 3" xfId="27409" xr:uid="{00000000-0005-0000-0000-0000E46B0000}"/>
    <cellStyle name="Pre-inputted cells 5 2 2 5 4" xfId="27410" xr:uid="{00000000-0005-0000-0000-0000E56B0000}"/>
    <cellStyle name="Pre-inputted cells 5 2 2 5 5" xfId="27411" xr:uid="{00000000-0005-0000-0000-0000E66B0000}"/>
    <cellStyle name="Pre-inputted cells 5 2 2 5 6" xfId="27412" xr:uid="{00000000-0005-0000-0000-0000E76B0000}"/>
    <cellStyle name="Pre-inputted cells 5 2 2 5 7" xfId="27413" xr:uid="{00000000-0005-0000-0000-0000E86B0000}"/>
    <cellStyle name="Pre-inputted cells 5 2 2 5 8" xfId="27414" xr:uid="{00000000-0005-0000-0000-0000E96B0000}"/>
    <cellStyle name="Pre-inputted cells 5 2 2 5 9" xfId="27415" xr:uid="{00000000-0005-0000-0000-0000EA6B0000}"/>
    <cellStyle name="Pre-inputted cells 5 2 2 6" xfId="27416" xr:uid="{00000000-0005-0000-0000-0000EB6B0000}"/>
    <cellStyle name="Pre-inputted cells 5 2 2 6 2" xfId="27417" xr:uid="{00000000-0005-0000-0000-0000EC6B0000}"/>
    <cellStyle name="Pre-inputted cells 5 2 2 6 2 2" xfId="27418" xr:uid="{00000000-0005-0000-0000-0000ED6B0000}"/>
    <cellStyle name="Pre-inputted cells 5 2 2 6 2 3" xfId="27419" xr:uid="{00000000-0005-0000-0000-0000EE6B0000}"/>
    <cellStyle name="Pre-inputted cells 5 2 2 6 3" xfId="27420" xr:uid="{00000000-0005-0000-0000-0000EF6B0000}"/>
    <cellStyle name="Pre-inputted cells 5 2 2 6 3 2" xfId="27421" xr:uid="{00000000-0005-0000-0000-0000F06B0000}"/>
    <cellStyle name="Pre-inputted cells 5 2 2 6 4" xfId="27422" xr:uid="{00000000-0005-0000-0000-0000F16B0000}"/>
    <cellStyle name="Pre-inputted cells 5 2 2 7" xfId="27423" xr:uid="{00000000-0005-0000-0000-0000F26B0000}"/>
    <cellStyle name="Pre-inputted cells 5 2 2 7 2" xfId="27424" xr:uid="{00000000-0005-0000-0000-0000F36B0000}"/>
    <cellStyle name="Pre-inputted cells 5 2 2 8" xfId="27425" xr:uid="{00000000-0005-0000-0000-0000F46B0000}"/>
    <cellStyle name="Pre-inputted cells 5 2 2 8 2" xfId="27426" xr:uid="{00000000-0005-0000-0000-0000F56B0000}"/>
    <cellStyle name="Pre-inputted cells 5 2 2 9" xfId="27427" xr:uid="{00000000-0005-0000-0000-0000F66B0000}"/>
    <cellStyle name="Pre-inputted cells 5 2 2 9 2" xfId="27428" xr:uid="{00000000-0005-0000-0000-0000F76B0000}"/>
    <cellStyle name="Pre-inputted cells 5 2 2_4 28 1_Asst_Health_Crit_AllTO_RIIO_20110714pm" xfId="27429" xr:uid="{00000000-0005-0000-0000-0000F86B0000}"/>
    <cellStyle name="Pre-inputted cells 5 2 20" xfId="27430" xr:uid="{00000000-0005-0000-0000-0000F96B0000}"/>
    <cellStyle name="Pre-inputted cells 5 2 20 2" xfId="27431" xr:uid="{00000000-0005-0000-0000-0000FA6B0000}"/>
    <cellStyle name="Pre-inputted cells 5 2 21" xfId="27432" xr:uid="{00000000-0005-0000-0000-0000FB6B0000}"/>
    <cellStyle name="Pre-inputted cells 5 2 21 2" xfId="27433" xr:uid="{00000000-0005-0000-0000-0000FC6B0000}"/>
    <cellStyle name="Pre-inputted cells 5 2 22" xfId="27434" xr:uid="{00000000-0005-0000-0000-0000FD6B0000}"/>
    <cellStyle name="Pre-inputted cells 5 2 22 2" xfId="27435" xr:uid="{00000000-0005-0000-0000-0000FE6B0000}"/>
    <cellStyle name="Pre-inputted cells 5 2 23" xfId="27436" xr:uid="{00000000-0005-0000-0000-0000FF6B0000}"/>
    <cellStyle name="Pre-inputted cells 5 2 23 2" xfId="27437" xr:uid="{00000000-0005-0000-0000-0000006C0000}"/>
    <cellStyle name="Pre-inputted cells 5 2 24" xfId="27438" xr:uid="{00000000-0005-0000-0000-0000016C0000}"/>
    <cellStyle name="Pre-inputted cells 5 2 24 2" xfId="27439" xr:uid="{00000000-0005-0000-0000-0000026C0000}"/>
    <cellStyle name="Pre-inputted cells 5 2 25" xfId="27440" xr:uid="{00000000-0005-0000-0000-0000036C0000}"/>
    <cellStyle name="Pre-inputted cells 5 2 25 2" xfId="27441" xr:uid="{00000000-0005-0000-0000-0000046C0000}"/>
    <cellStyle name="Pre-inputted cells 5 2 26" xfId="27442" xr:uid="{00000000-0005-0000-0000-0000056C0000}"/>
    <cellStyle name="Pre-inputted cells 5 2 26 2" xfId="27443" xr:uid="{00000000-0005-0000-0000-0000066C0000}"/>
    <cellStyle name="Pre-inputted cells 5 2 27" xfId="27444" xr:uid="{00000000-0005-0000-0000-0000076C0000}"/>
    <cellStyle name="Pre-inputted cells 5 2 28" xfId="27445" xr:uid="{00000000-0005-0000-0000-0000086C0000}"/>
    <cellStyle name="Pre-inputted cells 5 2 29" xfId="27446" xr:uid="{00000000-0005-0000-0000-0000096C0000}"/>
    <cellStyle name="Pre-inputted cells 5 2 3" xfId="27447" xr:uid="{00000000-0005-0000-0000-00000A6C0000}"/>
    <cellStyle name="Pre-inputted cells 5 2 3 10" xfId="27448" xr:uid="{00000000-0005-0000-0000-00000B6C0000}"/>
    <cellStyle name="Pre-inputted cells 5 2 3 11" xfId="27449" xr:uid="{00000000-0005-0000-0000-00000C6C0000}"/>
    <cellStyle name="Pre-inputted cells 5 2 3 12" xfId="27450" xr:uid="{00000000-0005-0000-0000-00000D6C0000}"/>
    <cellStyle name="Pre-inputted cells 5 2 3 13" xfId="27451" xr:uid="{00000000-0005-0000-0000-00000E6C0000}"/>
    <cellStyle name="Pre-inputted cells 5 2 3 14" xfId="27452" xr:uid="{00000000-0005-0000-0000-00000F6C0000}"/>
    <cellStyle name="Pre-inputted cells 5 2 3 15" xfId="27453" xr:uid="{00000000-0005-0000-0000-0000106C0000}"/>
    <cellStyle name="Pre-inputted cells 5 2 3 16" xfId="27454" xr:uid="{00000000-0005-0000-0000-0000116C0000}"/>
    <cellStyle name="Pre-inputted cells 5 2 3 17" xfId="27455" xr:uid="{00000000-0005-0000-0000-0000126C0000}"/>
    <cellStyle name="Pre-inputted cells 5 2 3 18" xfId="27456" xr:uid="{00000000-0005-0000-0000-0000136C0000}"/>
    <cellStyle name="Pre-inputted cells 5 2 3 19" xfId="27457" xr:uid="{00000000-0005-0000-0000-0000146C0000}"/>
    <cellStyle name="Pre-inputted cells 5 2 3 2" xfId="27458" xr:uid="{00000000-0005-0000-0000-0000156C0000}"/>
    <cellStyle name="Pre-inputted cells 5 2 3 2 10" xfId="27459" xr:uid="{00000000-0005-0000-0000-0000166C0000}"/>
    <cellStyle name="Pre-inputted cells 5 2 3 2 11" xfId="27460" xr:uid="{00000000-0005-0000-0000-0000176C0000}"/>
    <cellStyle name="Pre-inputted cells 5 2 3 2 12" xfId="27461" xr:uid="{00000000-0005-0000-0000-0000186C0000}"/>
    <cellStyle name="Pre-inputted cells 5 2 3 2 13" xfId="27462" xr:uid="{00000000-0005-0000-0000-0000196C0000}"/>
    <cellStyle name="Pre-inputted cells 5 2 3 2 14" xfId="27463" xr:uid="{00000000-0005-0000-0000-00001A6C0000}"/>
    <cellStyle name="Pre-inputted cells 5 2 3 2 15" xfId="27464" xr:uid="{00000000-0005-0000-0000-00001B6C0000}"/>
    <cellStyle name="Pre-inputted cells 5 2 3 2 16" xfId="27465" xr:uid="{00000000-0005-0000-0000-00001C6C0000}"/>
    <cellStyle name="Pre-inputted cells 5 2 3 2 17" xfId="27466" xr:uid="{00000000-0005-0000-0000-00001D6C0000}"/>
    <cellStyle name="Pre-inputted cells 5 2 3 2 18" xfId="27467" xr:uid="{00000000-0005-0000-0000-00001E6C0000}"/>
    <cellStyle name="Pre-inputted cells 5 2 3 2 19" xfId="27468" xr:uid="{00000000-0005-0000-0000-00001F6C0000}"/>
    <cellStyle name="Pre-inputted cells 5 2 3 2 2" xfId="27469" xr:uid="{00000000-0005-0000-0000-0000206C0000}"/>
    <cellStyle name="Pre-inputted cells 5 2 3 2 2 10" xfId="27470" xr:uid="{00000000-0005-0000-0000-0000216C0000}"/>
    <cellStyle name="Pre-inputted cells 5 2 3 2 2 11" xfId="27471" xr:uid="{00000000-0005-0000-0000-0000226C0000}"/>
    <cellStyle name="Pre-inputted cells 5 2 3 2 2 12" xfId="27472" xr:uid="{00000000-0005-0000-0000-0000236C0000}"/>
    <cellStyle name="Pre-inputted cells 5 2 3 2 2 13" xfId="27473" xr:uid="{00000000-0005-0000-0000-0000246C0000}"/>
    <cellStyle name="Pre-inputted cells 5 2 3 2 2 2" xfId="27474" xr:uid="{00000000-0005-0000-0000-0000256C0000}"/>
    <cellStyle name="Pre-inputted cells 5 2 3 2 2 2 2" xfId="27475" xr:uid="{00000000-0005-0000-0000-0000266C0000}"/>
    <cellStyle name="Pre-inputted cells 5 2 3 2 2 2 3" xfId="27476" xr:uid="{00000000-0005-0000-0000-0000276C0000}"/>
    <cellStyle name="Pre-inputted cells 5 2 3 2 2 3" xfId="27477" xr:uid="{00000000-0005-0000-0000-0000286C0000}"/>
    <cellStyle name="Pre-inputted cells 5 2 3 2 2 3 2" xfId="27478" xr:uid="{00000000-0005-0000-0000-0000296C0000}"/>
    <cellStyle name="Pre-inputted cells 5 2 3 2 2 3 3" xfId="27479" xr:uid="{00000000-0005-0000-0000-00002A6C0000}"/>
    <cellStyle name="Pre-inputted cells 5 2 3 2 2 4" xfId="27480" xr:uid="{00000000-0005-0000-0000-00002B6C0000}"/>
    <cellStyle name="Pre-inputted cells 5 2 3 2 2 5" xfId="27481" xr:uid="{00000000-0005-0000-0000-00002C6C0000}"/>
    <cellStyle name="Pre-inputted cells 5 2 3 2 2 6" xfId="27482" xr:uid="{00000000-0005-0000-0000-00002D6C0000}"/>
    <cellStyle name="Pre-inputted cells 5 2 3 2 2 7" xfId="27483" xr:uid="{00000000-0005-0000-0000-00002E6C0000}"/>
    <cellStyle name="Pre-inputted cells 5 2 3 2 2 8" xfId="27484" xr:uid="{00000000-0005-0000-0000-00002F6C0000}"/>
    <cellStyle name="Pre-inputted cells 5 2 3 2 2 9" xfId="27485" xr:uid="{00000000-0005-0000-0000-0000306C0000}"/>
    <cellStyle name="Pre-inputted cells 5 2 3 2 20" xfId="27486" xr:uid="{00000000-0005-0000-0000-0000316C0000}"/>
    <cellStyle name="Pre-inputted cells 5 2 3 2 21" xfId="27487" xr:uid="{00000000-0005-0000-0000-0000326C0000}"/>
    <cellStyle name="Pre-inputted cells 5 2 3 2 22" xfId="27488" xr:uid="{00000000-0005-0000-0000-0000336C0000}"/>
    <cellStyle name="Pre-inputted cells 5 2 3 2 23" xfId="27489" xr:uid="{00000000-0005-0000-0000-0000346C0000}"/>
    <cellStyle name="Pre-inputted cells 5 2 3 2 24" xfId="27490" xr:uid="{00000000-0005-0000-0000-0000356C0000}"/>
    <cellStyle name="Pre-inputted cells 5 2 3 2 25" xfId="27491" xr:uid="{00000000-0005-0000-0000-0000366C0000}"/>
    <cellStyle name="Pre-inputted cells 5 2 3 2 26" xfId="27492" xr:uid="{00000000-0005-0000-0000-0000376C0000}"/>
    <cellStyle name="Pre-inputted cells 5 2 3 2 27" xfId="27493" xr:uid="{00000000-0005-0000-0000-0000386C0000}"/>
    <cellStyle name="Pre-inputted cells 5 2 3 2 28" xfId="27494" xr:uid="{00000000-0005-0000-0000-0000396C0000}"/>
    <cellStyle name="Pre-inputted cells 5 2 3 2 29" xfId="27495" xr:uid="{00000000-0005-0000-0000-00003A6C0000}"/>
    <cellStyle name="Pre-inputted cells 5 2 3 2 3" xfId="27496" xr:uid="{00000000-0005-0000-0000-00003B6C0000}"/>
    <cellStyle name="Pre-inputted cells 5 2 3 2 3 2" xfId="27497" xr:uid="{00000000-0005-0000-0000-00003C6C0000}"/>
    <cellStyle name="Pre-inputted cells 5 2 3 2 3 3" xfId="27498" xr:uid="{00000000-0005-0000-0000-00003D6C0000}"/>
    <cellStyle name="Pre-inputted cells 5 2 3 2 30" xfId="27499" xr:uid="{00000000-0005-0000-0000-00003E6C0000}"/>
    <cellStyle name="Pre-inputted cells 5 2 3 2 31" xfId="27500" xr:uid="{00000000-0005-0000-0000-00003F6C0000}"/>
    <cellStyle name="Pre-inputted cells 5 2 3 2 32" xfId="27501" xr:uid="{00000000-0005-0000-0000-0000406C0000}"/>
    <cellStyle name="Pre-inputted cells 5 2 3 2 33" xfId="27502" xr:uid="{00000000-0005-0000-0000-0000416C0000}"/>
    <cellStyle name="Pre-inputted cells 5 2 3 2 34" xfId="27503" xr:uid="{00000000-0005-0000-0000-0000426C0000}"/>
    <cellStyle name="Pre-inputted cells 5 2 3 2 4" xfId="27504" xr:uid="{00000000-0005-0000-0000-0000436C0000}"/>
    <cellStyle name="Pre-inputted cells 5 2 3 2 4 2" xfId="27505" xr:uid="{00000000-0005-0000-0000-0000446C0000}"/>
    <cellStyle name="Pre-inputted cells 5 2 3 2 4 3" xfId="27506" xr:uid="{00000000-0005-0000-0000-0000456C0000}"/>
    <cellStyle name="Pre-inputted cells 5 2 3 2 5" xfId="27507" xr:uid="{00000000-0005-0000-0000-0000466C0000}"/>
    <cellStyle name="Pre-inputted cells 5 2 3 2 6" xfId="27508" xr:uid="{00000000-0005-0000-0000-0000476C0000}"/>
    <cellStyle name="Pre-inputted cells 5 2 3 2 7" xfId="27509" xr:uid="{00000000-0005-0000-0000-0000486C0000}"/>
    <cellStyle name="Pre-inputted cells 5 2 3 2 8" xfId="27510" xr:uid="{00000000-0005-0000-0000-0000496C0000}"/>
    <cellStyle name="Pre-inputted cells 5 2 3 2 9" xfId="27511" xr:uid="{00000000-0005-0000-0000-00004A6C0000}"/>
    <cellStyle name="Pre-inputted cells 5 2 3 20" xfId="27512" xr:uid="{00000000-0005-0000-0000-00004B6C0000}"/>
    <cellStyle name="Pre-inputted cells 5 2 3 21" xfId="27513" xr:uid="{00000000-0005-0000-0000-00004C6C0000}"/>
    <cellStyle name="Pre-inputted cells 5 2 3 22" xfId="27514" xr:uid="{00000000-0005-0000-0000-00004D6C0000}"/>
    <cellStyle name="Pre-inputted cells 5 2 3 23" xfId="27515" xr:uid="{00000000-0005-0000-0000-00004E6C0000}"/>
    <cellStyle name="Pre-inputted cells 5 2 3 24" xfId="27516" xr:uid="{00000000-0005-0000-0000-00004F6C0000}"/>
    <cellStyle name="Pre-inputted cells 5 2 3 25" xfId="27517" xr:uid="{00000000-0005-0000-0000-0000506C0000}"/>
    <cellStyle name="Pre-inputted cells 5 2 3 26" xfId="27518" xr:uid="{00000000-0005-0000-0000-0000516C0000}"/>
    <cellStyle name="Pre-inputted cells 5 2 3 27" xfId="27519" xr:uid="{00000000-0005-0000-0000-0000526C0000}"/>
    <cellStyle name="Pre-inputted cells 5 2 3 28" xfId="27520" xr:uid="{00000000-0005-0000-0000-0000536C0000}"/>
    <cellStyle name="Pre-inputted cells 5 2 3 29" xfId="27521" xr:uid="{00000000-0005-0000-0000-0000546C0000}"/>
    <cellStyle name="Pre-inputted cells 5 2 3 3" xfId="27522" xr:uid="{00000000-0005-0000-0000-0000556C0000}"/>
    <cellStyle name="Pre-inputted cells 5 2 3 3 10" xfId="27523" xr:uid="{00000000-0005-0000-0000-0000566C0000}"/>
    <cellStyle name="Pre-inputted cells 5 2 3 3 11" xfId="27524" xr:uid="{00000000-0005-0000-0000-0000576C0000}"/>
    <cellStyle name="Pre-inputted cells 5 2 3 3 12" xfId="27525" xr:uid="{00000000-0005-0000-0000-0000586C0000}"/>
    <cellStyle name="Pre-inputted cells 5 2 3 3 13" xfId="27526" xr:uid="{00000000-0005-0000-0000-0000596C0000}"/>
    <cellStyle name="Pre-inputted cells 5 2 3 3 2" xfId="27527" xr:uid="{00000000-0005-0000-0000-00005A6C0000}"/>
    <cellStyle name="Pre-inputted cells 5 2 3 3 2 2" xfId="27528" xr:uid="{00000000-0005-0000-0000-00005B6C0000}"/>
    <cellStyle name="Pre-inputted cells 5 2 3 3 2 3" xfId="27529" xr:uid="{00000000-0005-0000-0000-00005C6C0000}"/>
    <cellStyle name="Pre-inputted cells 5 2 3 3 3" xfId="27530" xr:uid="{00000000-0005-0000-0000-00005D6C0000}"/>
    <cellStyle name="Pre-inputted cells 5 2 3 3 3 2" xfId="27531" xr:uid="{00000000-0005-0000-0000-00005E6C0000}"/>
    <cellStyle name="Pre-inputted cells 5 2 3 3 3 3" xfId="27532" xr:uid="{00000000-0005-0000-0000-00005F6C0000}"/>
    <cellStyle name="Pre-inputted cells 5 2 3 3 4" xfId="27533" xr:uid="{00000000-0005-0000-0000-0000606C0000}"/>
    <cellStyle name="Pre-inputted cells 5 2 3 3 5" xfId="27534" xr:uid="{00000000-0005-0000-0000-0000616C0000}"/>
    <cellStyle name="Pre-inputted cells 5 2 3 3 6" xfId="27535" xr:uid="{00000000-0005-0000-0000-0000626C0000}"/>
    <cellStyle name="Pre-inputted cells 5 2 3 3 7" xfId="27536" xr:uid="{00000000-0005-0000-0000-0000636C0000}"/>
    <cellStyle name="Pre-inputted cells 5 2 3 3 8" xfId="27537" xr:uid="{00000000-0005-0000-0000-0000646C0000}"/>
    <cellStyle name="Pre-inputted cells 5 2 3 3 9" xfId="27538" xr:uid="{00000000-0005-0000-0000-0000656C0000}"/>
    <cellStyle name="Pre-inputted cells 5 2 3 30" xfId="27539" xr:uid="{00000000-0005-0000-0000-0000666C0000}"/>
    <cellStyle name="Pre-inputted cells 5 2 3 31" xfId="27540" xr:uid="{00000000-0005-0000-0000-0000676C0000}"/>
    <cellStyle name="Pre-inputted cells 5 2 3 32" xfId="27541" xr:uid="{00000000-0005-0000-0000-0000686C0000}"/>
    <cellStyle name="Pre-inputted cells 5 2 3 33" xfId="27542" xr:uid="{00000000-0005-0000-0000-0000696C0000}"/>
    <cellStyle name="Pre-inputted cells 5 2 3 34" xfId="27543" xr:uid="{00000000-0005-0000-0000-00006A6C0000}"/>
    <cellStyle name="Pre-inputted cells 5 2 3 35" xfId="27544" xr:uid="{00000000-0005-0000-0000-00006B6C0000}"/>
    <cellStyle name="Pre-inputted cells 5 2 3 4" xfId="27545" xr:uid="{00000000-0005-0000-0000-00006C6C0000}"/>
    <cellStyle name="Pre-inputted cells 5 2 3 4 2" xfId="27546" xr:uid="{00000000-0005-0000-0000-00006D6C0000}"/>
    <cellStyle name="Pre-inputted cells 5 2 3 4 3" xfId="27547" xr:uid="{00000000-0005-0000-0000-00006E6C0000}"/>
    <cellStyle name="Pre-inputted cells 5 2 3 5" xfId="27548" xr:uid="{00000000-0005-0000-0000-00006F6C0000}"/>
    <cellStyle name="Pre-inputted cells 5 2 3 5 2" xfId="27549" xr:uid="{00000000-0005-0000-0000-0000706C0000}"/>
    <cellStyle name="Pre-inputted cells 5 2 3 5 3" xfId="27550" xr:uid="{00000000-0005-0000-0000-0000716C0000}"/>
    <cellStyle name="Pre-inputted cells 5 2 3 6" xfId="27551" xr:uid="{00000000-0005-0000-0000-0000726C0000}"/>
    <cellStyle name="Pre-inputted cells 5 2 3 7" xfId="27552" xr:uid="{00000000-0005-0000-0000-0000736C0000}"/>
    <cellStyle name="Pre-inputted cells 5 2 3 8" xfId="27553" xr:uid="{00000000-0005-0000-0000-0000746C0000}"/>
    <cellStyle name="Pre-inputted cells 5 2 3 9" xfId="27554" xr:uid="{00000000-0005-0000-0000-0000756C0000}"/>
    <cellStyle name="Pre-inputted cells 5 2 3_4 28 1_Asst_Health_Crit_AllTO_RIIO_20110714pm" xfId="27555" xr:uid="{00000000-0005-0000-0000-0000766C0000}"/>
    <cellStyle name="Pre-inputted cells 5 2 30" xfId="27556" xr:uid="{00000000-0005-0000-0000-0000776C0000}"/>
    <cellStyle name="Pre-inputted cells 5 2 31" xfId="27557" xr:uid="{00000000-0005-0000-0000-0000786C0000}"/>
    <cellStyle name="Pre-inputted cells 5 2 32" xfId="27558" xr:uid="{00000000-0005-0000-0000-0000796C0000}"/>
    <cellStyle name="Pre-inputted cells 5 2 33" xfId="27559" xr:uid="{00000000-0005-0000-0000-00007A6C0000}"/>
    <cellStyle name="Pre-inputted cells 5 2 34" xfId="27560" xr:uid="{00000000-0005-0000-0000-00007B6C0000}"/>
    <cellStyle name="Pre-inputted cells 5 2 35" xfId="27561" xr:uid="{00000000-0005-0000-0000-00007C6C0000}"/>
    <cellStyle name="Pre-inputted cells 5 2 36" xfId="27562" xr:uid="{00000000-0005-0000-0000-00007D6C0000}"/>
    <cellStyle name="Pre-inputted cells 5 2 37" xfId="27563" xr:uid="{00000000-0005-0000-0000-00007E6C0000}"/>
    <cellStyle name="Pre-inputted cells 5 2 38" xfId="27564" xr:uid="{00000000-0005-0000-0000-00007F6C0000}"/>
    <cellStyle name="Pre-inputted cells 5 2 39" xfId="27565" xr:uid="{00000000-0005-0000-0000-0000806C0000}"/>
    <cellStyle name="Pre-inputted cells 5 2 4" xfId="27566" xr:uid="{00000000-0005-0000-0000-0000816C0000}"/>
    <cellStyle name="Pre-inputted cells 5 2 4 10" xfId="27567" xr:uid="{00000000-0005-0000-0000-0000826C0000}"/>
    <cellStyle name="Pre-inputted cells 5 2 4 11" xfId="27568" xr:uid="{00000000-0005-0000-0000-0000836C0000}"/>
    <cellStyle name="Pre-inputted cells 5 2 4 12" xfId="27569" xr:uid="{00000000-0005-0000-0000-0000846C0000}"/>
    <cellStyle name="Pre-inputted cells 5 2 4 13" xfId="27570" xr:uid="{00000000-0005-0000-0000-0000856C0000}"/>
    <cellStyle name="Pre-inputted cells 5 2 4 14" xfId="27571" xr:uid="{00000000-0005-0000-0000-0000866C0000}"/>
    <cellStyle name="Pre-inputted cells 5 2 4 15" xfId="27572" xr:uid="{00000000-0005-0000-0000-0000876C0000}"/>
    <cellStyle name="Pre-inputted cells 5 2 4 16" xfId="27573" xr:uid="{00000000-0005-0000-0000-0000886C0000}"/>
    <cellStyle name="Pre-inputted cells 5 2 4 17" xfId="27574" xr:uid="{00000000-0005-0000-0000-0000896C0000}"/>
    <cellStyle name="Pre-inputted cells 5 2 4 18" xfId="27575" xr:uid="{00000000-0005-0000-0000-00008A6C0000}"/>
    <cellStyle name="Pre-inputted cells 5 2 4 19" xfId="27576" xr:uid="{00000000-0005-0000-0000-00008B6C0000}"/>
    <cellStyle name="Pre-inputted cells 5 2 4 2" xfId="27577" xr:uid="{00000000-0005-0000-0000-00008C6C0000}"/>
    <cellStyle name="Pre-inputted cells 5 2 4 2 10" xfId="27578" xr:uid="{00000000-0005-0000-0000-00008D6C0000}"/>
    <cellStyle name="Pre-inputted cells 5 2 4 2 11" xfId="27579" xr:uid="{00000000-0005-0000-0000-00008E6C0000}"/>
    <cellStyle name="Pre-inputted cells 5 2 4 2 12" xfId="27580" xr:uid="{00000000-0005-0000-0000-00008F6C0000}"/>
    <cellStyle name="Pre-inputted cells 5 2 4 2 13" xfId="27581" xr:uid="{00000000-0005-0000-0000-0000906C0000}"/>
    <cellStyle name="Pre-inputted cells 5 2 4 2 2" xfId="27582" xr:uid="{00000000-0005-0000-0000-0000916C0000}"/>
    <cellStyle name="Pre-inputted cells 5 2 4 2 2 2" xfId="27583" xr:uid="{00000000-0005-0000-0000-0000926C0000}"/>
    <cellStyle name="Pre-inputted cells 5 2 4 2 2 3" xfId="27584" xr:uid="{00000000-0005-0000-0000-0000936C0000}"/>
    <cellStyle name="Pre-inputted cells 5 2 4 2 3" xfId="27585" xr:uid="{00000000-0005-0000-0000-0000946C0000}"/>
    <cellStyle name="Pre-inputted cells 5 2 4 2 3 2" xfId="27586" xr:uid="{00000000-0005-0000-0000-0000956C0000}"/>
    <cellStyle name="Pre-inputted cells 5 2 4 2 3 3" xfId="27587" xr:uid="{00000000-0005-0000-0000-0000966C0000}"/>
    <cellStyle name="Pre-inputted cells 5 2 4 2 4" xfId="27588" xr:uid="{00000000-0005-0000-0000-0000976C0000}"/>
    <cellStyle name="Pre-inputted cells 5 2 4 2 5" xfId="27589" xr:uid="{00000000-0005-0000-0000-0000986C0000}"/>
    <cellStyle name="Pre-inputted cells 5 2 4 2 6" xfId="27590" xr:uid="{00000000-0005-0000-0000-0000996C0000}"/>
    <cellStyle name="Pre-inputted cells 5 2 4 2 7" xfId="27591" xr:uid="{00000000-0005-0000-0000-00009A6C0000}"/>
    <cellStyle name="Pre-inputted cells 5 2 4 2 8" xfId="27592" xr:uid="{00000000-0005-0000-0000-00009B6C0000}"/>
    <cellStyle name="Pre-inputted cells 5 2 4 2 9" xfId="27593" xr:uid="{00000000-0005-0000-0000-00009C6C0000}"/>
    <cellStyle name="Pre-inputted cells 5 2 4 20" xfId="27594" xr:uid="{00000000-0005-0000-0000-00009D6C0000}"/>
    <cellStyle name="Pre-inputted cells 5 2 4 21" xfId="27595" xr:uid="{00000000-0005-0000-0000-00009E6C0000}"/>
    <cellStyle name="Pre-inputted cells 5 2 4 22" xfId="27596" xr:uid="{00000000-0005-0000-0000-00009F6C0000}"/>
    <cellStyle name="Pre-inputted cells 5 2 4 23" xfId="27597" xr:uid="{00000000-0005-0000-0000-0000A06C0000}"/>
    <cellStyle name="Pre-inputted cells 5 2 4 24" xfId="27598" xr:uid="{00000000-0005-0000-0000-0000A16C0000}"/>
    <cellStyle name="Pre-inputted cells 5 2 4 25" xfId="27599" xr:uid="{00000000-0005-0000-0000-0000A26C0000}"/>
    <cellStyle name="Pre-inputted cells 5 2 4 26" xfId="27600" xr:uid="{00000000-0005-0000-0000-0000A36C0000}"/>
    <cellStyle name="Pre-inputted cells 5 2 4 27" xfId="27601" xr:uid="{00000000-0005-0000-0000-0000A46C0000}"/>
    <cellStyle name="Pre-inputted cells 5 2 4 28" xfId="27602" xr:uid="{00000000-0005-0000-0000-0000A56C0000}"/>
    <cellStyle name="Pre-inputted cells 5 2 4 29" xfId="27603" xr:uid="{00000000-0005-0000-0000-0000A66C0000}"/>
    <cellStyle name="Pre-inputted cells 5 2 4 3" xfId="27604" xr:uid="{00000000-0005-0000-0000-0000A76C0000}"/>
    <cellStyle name="Pre-inputted cells 5 2 4 3 2" xfId="27605" xr:uid="{00000000-0005-0000-0000-0000A86C0000}"/>
    <cellStyle name="Pre-inputted cells 5 2 4 3 3" xfId="27606" xr:uid="{00000000-0005-0000-0000-0000A96C0000}"/>
    <cellStyle name="Pre-inputted cells 5 2 4 30" xfId="27607" xr:uid="{00000000-0005-0000-0000-0000AA6C0000}"/>
    <cellStyle name="Pre-inputted cells 5 2 4 31" xfId="27608" xr:uid="{00000000-0005-0000-0000-0000AB6C0000}"/>
    <cellStyle name="Pre-inputted cells 5 2 4 32" xfId="27609" xr:uid="{00000000-0005-0000-0000-0000AC6C0000}"/>
    <cellStyle name="Pre-inputted cells 5 2 4 33" xfId="27610" xr:uid="{00000000-0005-0000-0000-0000AD6C0000}"/>
    <cellStyle name="Pre-inputted cells 5 2 4 34" xfId="27611" xr:uid="{00000000-0005-0000-0000-0000AE6C0000}"/>
    <cellStyle name="Pre-inputted cells 5 2 4 4" xfId="27612" xr:uid="{00000000-0005-0000-0000-0000AF6C0000}"/>
    <cellStyle name="Pre-inputted cells 5 2 4 4 2" xfId="27613" xr:uid="{00000000-0005-0000-0000-0000B06C0000}"/>
    <cellStyle name="Pre-inputted cells 5 2 4 4 3" xfId="27614" xr:uid="{00000000-0005-0000-0000-0000B16C0000}"/>
    <cellStyle name="Pre-inputted cells 5 2 4 5" xfId="27615" xr:uid="{00000000-0005-0000-0000-0000B26C0000}"/>
    <cellStyle name="Pre-inputted cells 5 2 4 6" xfId="27616" xr:uid="{00000000-0005-0000-0000-0000B36C0000}"/>
    <cellStyle name="Pre-inputted cells 5 2 4 7" xfId="27617" xr:uid="{00000000-0005-0000-0000-0000B46C0000}"/>
    <cellStyle name="Pre-inputted cells 5 2 4 8" xfId="27618" xr:uid="{00000000-0005-0000-0000-0000B56C0000}"/>
    <cellStyle name="Pre-inputted cells 5 2 4 9" xfId="27619" xr:uid="{00000000-0005-0000-0000-0000B66C0000}"/>
    <cellStyle name="Pre-inputted cells 5 2 5" xfId="27620" xr:uid="{00000000-0005-0000-0000-0000B76C0000}"/>
    <cellStyle name="Pre-inputted cells 5 2 5 10" xfId="27621" xr:uid="{00000000-0005-0000-0000-0000B86C0000}"/>
    <cellStyle name="Pre-inputted cells 5 2 5 11" xfId="27622" xr:uid="{00000000-0005-0000-0000-0000B96C0000}"/>
    <cellStyle name="Pre-inputted cells 5 2 5 12" xfId="27623" xr:uid="{00000000-0005-0000-0000-0000BA6C0000}"/>
    <cellStyle name="Pre-inputted cells 5 2 5 13" xfId="27624" xr:uid="{00000000-0005-0000-0000-0000BB6C0000}"/>
    <cellStyle name="Pre-inputted cells 5 2 5 14" xfId="27625" xr:uid="{00000000-0005-0000-0000-0000BC6C0000}"/>
    <cellStyle name="Pre-inputted cells 5 2 5 15" xfId="27626" xr:uid="{00000000-0005-0000-0000-0000BD6C0000}"/>
    <cellStyle name="Pre-inputted cells 5 2 5 16" xfId="27627" xr:uid="{00000000-0005-0000-0000-0000BE6C0000}"/>
    <cellStyle name="Pre-inputted cells 5 2 5 17" xfId="27628" xr:uid="{00000000-0005-0000-0000-0000BF6C0000}"/>
    <cellStyle name="Pre-inputted cells 5 2 5 18" xfId="27629" xr:uid="{00000000-0005-0000-0000-0000C06C0000}"/>
    <cellStyle name="Pre-inputted cells 5 2 5 19" xfId="27630" xr:uid="{00000000-0005-0000-0000-0000C16C0000}"/>
    <cellStyle name="Pre-inputted cells 5 2 5 2" xfId="27631" xr:uid="{00000000-0005-0000-0000-0000C26C0000}"/>
    <cellStyle name="Pre-inputted cells 5 2 5 2 10" xfId="27632" xr:uid="{00000000-0005-0000-0000-0000C36C0000}"/>
    <cellStyle name="Pre-inputted cells 5 2 5 2 11" xfId="27633" xr:uid="{00000000-0005-0000-0000-0000C46C0000}"/>
    <cellStyle name="Pre-inputted cells 5 2 5 2 12" xfId="27634" xr:uid="{00000000-0005-0000-0000-0000C56C0000}"/>
    <cellStyle name="Pre-inputted cells 5 2 5 2 13" xfId="27635" xr:uid="{00000000-0005-0000-0000-0000C66C0000}"/>
    <cellStyle name="Pre-inputted cells 5 2 5 2 2" xfId="27636" xr:uid="{00000000-0005-0000-0000-0000C76C0000}"/>
    <cellStyle name="Pre-inputted cells 5 2 5 2 2 2" xfId="27637" xr:uid="{00000000-0005-0000-0000-0000C86C0000}"/>
    <cellStyle name="Pre-inputted cells 5 2 5 2 2 3" xfId="27638" xr:uid="{00000000-0005-0000-0000-0000C96C0000}"/>
    <cellStyle name="Pre-inputted cells 5 2 5 2 3" xfId="27639" xr:uid="{00000000-0005-0000-0000-0000CA6C0000}"/>
    <cellStyle name="Pre-inputted cells 5 2 5 2 3 2" xfId="27640" xr:uid="{00000000-0005-0000-0000-0000CB6C0000}"/>
    <cellStyle name="Pre-inputted cells 5 2 5 2 3 3" xfId="27641" xr:uid="{00000000-0005-0000-0000-0000CC6C0000}"/>
    <cellStyle name="Pre-inputted cells 5 2 5 2 4" xfId="27642" xr:uid="{00000000-0005-0000-0000-0000CD6C0000}"/>
    <cellStyle name="Pre-inputted cells 5 2 5 2 5" xfId="27643" xr:uid="{00000000-0005-0000-0000-0000CE6C0000}"/>
    <cellStyle name="Pre-inputted cells 5 2 5 2 6" xfId="27644" xr:uid="{00000000-0005-0000-0000-0000CF6C0000}"/>
    <cellStyle name="Pre-inputted cells 5 2 5 2 7" xfId="27645" xr:uid="{00000000-0005-0000-0000-0000D06C0000}"/>
    <cellStyle name="Pre-inputted cells 5 2 5 2 8" xfId="27646" xr:uid="{00000000-0005-0000-0000-0000D16C0000}"/>
    <cellStyle name="Pre-inputted cells 5 2 5 2 9" xfId="27647" xr:uid="{00000000-0005-0000-0000-0000D26C0000}"/>
    <cellStyle name="Pre-inputted cells 5 2 5 20" xfId="27648" xr:uid="{00000000-0005-0000-0000-0000D36C0000}"/>
    <cellStyle name="Pre-inputted cells 5 2 5 21" xfId="27649" xr:uid="{00000000-0005-0000-0000-0000D46C0000}"/>
    <cellStyle name="Pre-inputted cells 5 2 5 22" xfId="27650" xr:uid="{00000000-0005-0000-0000-0000D56C0000}"/>
    <cellStyle name="Pre-inputted cells 5 2 5 23" xfId="27651" xr:uid="{00000000-0005-0000-0000-0000D66C0000}"/>
    <cellStyle name="Pre-inputted cells 5 2 5 24" xfId="27652" xr:uid="{00000000-0005-0000-0000-0000D76C0000}"/>
    <cellStyle name="Pre-inputted cells 5 2 5 25" xfId="27653" xr:uid="{00000000-0005-0000-0000-0000D86C0000}"/>
    <cellStyle name="Pre-inputted cells 5 2 5 26" xfId="27654" xr:uid="{00000000-0005-0000-0000-0000D96C0000}"/>
    <cellStyle name="Pre-inputted cells 5 2 5 27" xfId="27655" xr:uid="{00000000-0005-0000-0000-0000DA6C0000}"/>
    <cellStyle name="Pre-inputted cells 5 2 5 28" xfId="27656" xr:uid="{00000000-0005-0000-0000-0000DB6C0000}"/>
    <cellStyle name="Pre-inputted cells 5 2 5 29" xfId="27657" xr:uid="{00000000-0005-0000-0000-0000DC6C0000}"/>
    <cellStyle name="Pre-inputted cells 5 2 5 3" xfId="27658" xr:uid="{00000000-0005-0000-0000-0000DD6C0000}"/>
    <cellStyle name="Pre-inputted cells 5 2 5 3 2" xfId="27659" xr:uid="{00000000-0005-0000-0000-0000DE6C0000}"/>
    <cellStyle name="Pre-inputted cells 5 2 5 3 3" xfId="27660" xr:uid="{00000000-0005-0000-0000-0000DF6C0000}"/>
    <cellStyle name="Pre-inputted cells 5 2 5 30" xfId="27661" xr:uid="{00000000-0005-0000-0000-0000E06C0000}"/>
    <cellStyle name="Pre-inputted cells 5 2 5 31" xfId="27662" xr:uid="{00000000-0005-0000-0000-0000E16C0000}"/>
    <cellStyle name="Pre-inputted cells 5 2 5 32" xfId="27663" xr:uid="{00000000-0005-0000-0000-0000E26C0000}"/>
    <cellStyle name="Pre-inputted cells 5 2 5 33" xfId="27664" xr:uid="{00000000-0005-0000-0000-0000E36C0000}"/>
    <cellStyle name="Pre-inputted cells 5 2 5 34" xfId="27665" xr:uid="{00000000-0005-0000-0000-0000E46C0000}"/>
    <cellStyle name="Pre-inputted cells 5 2 5 4" xfId="27666" xr:uid="{00000000-0005-0000-0000-0000E56C0000}"/>
    <cellStyle name="Pre-inputted cells 5 2 5 4 2" xfId="27667" xr:uid="{00000000-0005-0000-0000-0000E66C0000}"/>
    <cellStyle name="Pre-inputted cells 5 2 5 4 3" xfId="27668" xr:uid="{00000000-0005-0000-0000-0000E76C0000}"/>
    <cellStyle name="Pre-inputted cells 5 2 5 5" xfId="27669" xr:uid="{00000000-0005-0000-0000-0000E86C0000}"/>
    <cellStyle name="Pre-inputted cells 5 2 5 6" xfId="27670" xr:uid="{00000000-0005-0000-0000-0000E96C0000}"/>
    <cellStyle name="Pre-inputted cells 5 2 5 7" xfId="27671" xr:uid="{00000000-0005-0000-0000-0000EA6C0000}"/>
    <cellStyle name="Pre-inputted cells 5 2 5 8" xfId="27672" xr:uid="{00000000-0005-0000-0000-0000EB6C0000}"/>
    <cellStyle name="Pre-inputted cells 5 2 5 9" xfId="27673" xr:uid="{00000000-0005-0000-0000-0000EC6C0000}"/>
    <cellStyle name="Pre-inputted cells 5 2 6" xfId="27674" xr:uid="{00000000-0005-0000-0000-0000ED6C0000}"/>
    <cellStyle name="Pre-inputted cells 5 2 6 10" xfId="27675" xr:uid="{00000000-0005-0000-0000-0000EE6C0000}"/>
    <cellStyle name="Pre-inputted cells 5 2 6 11" xfId="27676" xr:uid="{00000000-0005-0000-0000-0000EF6C0000}"/>
    <cellStyle name="Pre-inputted cells 5 2 6 12" xfId="27677" xr:uid="{00000000-0005-0000-0000-0000F06C0000}"/>
    <cellStyle name="Pre-inputted cells 5 2 6 13" xfId="27678" xr:uid="{00000000-0005-0000-0000-0000F16C0000}"/>
    <cellStyle name="Pre-inputted cells 5 2 6 2" xfId="27679" xr:uid="{00000000-0005-0000-0000-0000F26C0000}"/>
    <cellStyle name="Pre-inputted cells 5 2 6 2 2" xfId="27680" xr:uid="{00000000-0005-0000-0000-0000F36C0000}"/>
    <cellStyle name="Pre-inputted cells 5 2 6 2 3" xfId="27681" xr:uid="{00000000-0005-0000-0000-0000F46C0000}"/>
    <cellStyle name="Pre-inputted cells 5 2 6 3" xfId="27682" xr:uid="{00000000-0005-0000-0000-0000F56C0000}"/>
    <cellStyle name="Pre-inputted cells 5 2 6 3 2" xfId="27683" xr:uid="{00000000-0005-0000-0000-0000F66C0000}"/>
    <cellStyle name="Pre-inputted cells 5 2 6 3 3" xfId="27684" xr:uid="{00000000-0005-0000-0000-0000F76C0000}"/>
    <cellStyle name="Pre-inputted cells 5 2 6 4" xfId="27685" xr:uid="{00000000-0005-0000-0000-0000F86C0000}"/>
    <cellStyle name="Pre-inputted cells 5 2 6 5" xfId="27686" xr:uid="{00000000-0005-0000-0000-0000F96C0000}"/>
    <cellStyle name="Pre-inputted cells 5 2 6 6" xfId="27687" xr:uid="{00000000-0005-0000-0000-0000FA6C0000}"/>
    <cellStyle name="Pre-inputted cells 5 2 6 7" xfId="27688" xr:uid="{00000000-0005-0000-0000-0000FB6C0000}"/>
    <cellStyle name="Pre-inputted cells 5 2 6 8" xfId="27689" xr:uid="{00000000-0005-0000-0000-0000FC6C0000}"/>
    <cellStyle name="Pre-inputted cells 5 2 6 9" xfId="27690" xr:uid="{00000000-0005-0000-0000-0000FD6C0000}"/>
    <cellStyle name="Pre-inputted cells 5 2 7" xfId="27691" xr:uid="{00000000-0005-0000-0000-0000FE6C0000}"/>
    <cellStyle name="Pre-inputted cells 5 2 7 2" xfId="27692" xr:uid="{00000000-0005-0000-0000-0000FF6C0000}"/>
    <cellStyle name="Pre-inputted cells 5 2 7 2 2" xfId="27693" xr:uid="{00000000-0005-0000-0000-0000006D0000}"/>
    <cellStyle name="Pre-inputted cells 5 2 7 2 3" xfId="27694" xr:uid="{00000000-0005-0000-0000-0000016D0000}"/>
    <cellStyle name="Pre-inputted cells 5 2 7 3" xfId="27695" xr:uid="{00000000-0005-0000-0000-0000026D0000}"/>
    <cellStyle name="Pre-inputted cells 5 2 7 3 2" xfId="27696" xr:uid="{00000000-0005-0000-0000-0000036D0000}"/>
    <cellStyle name="Pre-inputted cells 5 2 7 4" xfId="27697" xr:uid="{00000000-0005-0000-0000-0000046D0000}"/>
    <cellStyle name="Pre-inputted cells 5 2 8" xfId="27698" xr:uid="{00000000-0005-0000-0000-0000056D0000}"/>
    <cellStyle name="Pre-inputted cells 5 2 8 2" xfId="27699" xr:uid="{00000000-0005-0000-0000-0000066D0000}"/>
    <cellStyle name="Pre-inputted cells 5 2 9" xfId="27700" xr:uid="{00000000-0005-0000-0000-0000076D0000}"/>
    <cellStyle name="Pre-inputted cells 5 2 9 2" xfId="27701" xr:uid="{00000000-0005-0000-0000-0000086D0000}"/>
    <cellStyle name="Pre-inputted cells 5 2_4 28 1_Asst_Health_Crit_AllTO_RIIO_20110714pm" xfId="27702" xr:uid="{00000000-0005-0000-0000-0000096D0000}"/>
    <cellStyle name="Pre-inputted cells 5 20" xfId="27703" xr:uid="{00000000-0005-0000-0000-00000A6D0000}"/>
    <cellStyle name="Pre-inputted cells 5 20 2" xfId="27704" xr:uid="{00000000-0005-0000-0000-00000B6D0000}"/>
    <cellStyle name="Pre-inputted cells 5 21" xfId="27705" xr:uid="{00000000-0005-0000-0000-00000C6D0000}"/>
    <cellStyle name="Pre-inputted cells 5 21 2" xfId="27706" xr:uid="{00000000-0005-0000-0000-00000D6D0000}"/>
    <cellStyle name="Pre-inputted cells 5 22" xfId="27707" xr:uid="{00000000-0005-0000-0000-00000E6D0000}"/>
    <cellStyle name="Pre-inputted cells 5 22 2" xfId="27708" xr:uid="{00000000-0005-0000-0000-00000F6D0000}"/>
    <cellStyle name="Pre-inputted cells 5 23" xfId="27709" xr:uid="{00000000-0005-0000-0000-0000106D0000}"/>
    <cellStyle name="Pre-inputted cells 5 23 2" xfId="27710" xr:uid="{00000000-0005-0000-0000-0000116D0000}"/>
    <cellStyle name="Pre-inputted cells 5 24" xfId="27711" xr:uid="{00000000-0005-0000-0000-0000126D0000}"/>
    <cellStyle name="Pre-inputted cells 5 24 2" xfId="27712" xr:uid="{00000000-0005-0000-0000-0000136D0000}"/>
    <cellStyle name="Pre-inputted cells 5 25" xfId="27713" xr:uid="{00000000-0005-0000-0000-0000146D0000}"/>
    <cellStyle name="Pre-inputted cells 5 25 2" xfId="27714" xr:uid="{00000000-0005-0000-0000-0000156D0000}"/>
    <cellStyle name="Pre-inputted cells 5 26" xfId="27715" xr:uid="{00000000-0005-0000-0000-0000166D0000}"/>
    <cellStyle name="Pre-inputted cells 5 26 2" xfId="27716" xr:uid="{00000000-0005-0000-0000-0000176D0000}"/>
    <cellStyle name="Pre-inputted cells 5 27" xfId="27717" xr:uid="{00000000-0005-0000-0000-0000186D0000}"/>
    <cellStyle name="Pre-inputted cells 5 28" xfId="27718" xr:uid="{00000000-0005-0000-0000-0000196D0000}"/>
    <cellStyle name="Pre-inputted cells 5 29" xfId="27719" xr:uid="{00000000-0005-0000-0000-00001A6D0000}"/>
    <cellStyle name="Pre-inputted cells 5 3" xfId="27720" xr:uid="{00000000-0005-0000-0000-00001B6D0000}"/>
    <cellStyle name="Pre-inputted cells 5 3 10" xfId="27721" xr:uid="{00000000-0005-0000-0000-00001C6D0000}"/>
    <cellStyle name="Pre-inputted cells 5 3 11" xfId="27722" xr:uid="{00000000-0005-0000-0000-00001D6D0000}"/>
    <cellStyle name="Pre-inputted cells 5 3 12" xfId="27723" xr:uid="{00000000-0005-0000-0000-00001E6D0000}"/>
    <cellStyle name="Pre-inputted cells 5 3 13" xfId="27724" xr:uid="{00000000-0005-0000-0000-00001F6D0000}"/>
    <cellStyle name="Pre-inputted cells 5 3 14" xfId="27725" xr:uid="{00000000-0005-0000-0000-0000206D0000}"/>
    <cellStyle name="Pre-inputted cells 5 3 15" xfId="27726" xr:uid="{00000000-0005-0000-0000-0000216D0000}"/>
    <cellStyle name="Pre-inputted cells 5 3 16" xfId="27727" xr:uid="{00000000-0005-0000-0000-0000226D0000}"/>
    <cellStyle name="Pre-inputted cells 5 3 17" xfId="27728" xr:uid="{00000000-0005-0000-0000-0000236D0000}"/>
    <cellStyle name="Pre-inputted cells 5 3 18" xfId="27729" xr:uid="{00000000-0005-0000-0000-0000246D0000}"/>
    <cellStyle name="Pre-inputted cells 5 3 19" xfId="27730" xr:uid="{00000000-0005-0000-0000-0000256D0000}"/>
    <cellStyle name="Pre-inputted cells 5 3 2" xfId="27731" xr:uid="{00000000-0005-0000-0000-0000266D0000}"/>
    <cellStyle name="Pre-inputted cells 5 3 2 10" xfId="27732" xr:uid="{00000000-0005-0000-0000-0000276D0000}"/>
    <cellStyle name="Pre-inputted cells 5 3 2 11" xfId="27733" xr:uid="{00000000-0005-0000-0000-0000286D0000}"/>
    <cellStyle name="Pre-inputted cells 5 3 2 12" xfId="27734" xr:uid="{00000000-0005-0000-0000-0000296D0000}"/>
    <cellStyle name="Pre-inputted cells 5 3 2 13" xfId="27735" xr:uid="{00000000-0005-0000-0000-00002A6D0000}"/>
    <cellStyle name="Pre-inputted cells 5 3 2 14" xfId="27736" xr:uid="{00000000-0005-0000-0000-00002B6D0000}"/>
    <cellStyle name="Pre-inputted cells 5 3 2 15" xfId="27737" xr:uid="{00000000-0005-0000-0000-00002C6D0000}"/>
    <cellStyle name="Pre-inputted cells 5 3 2 16" xfId="27738" xr:uid="{00000000-0005-0000-0000-00002D6D0000}"/>
    <cellStyle name="Pre-inputted cells 5 3 2 17" xfId="27739" xr:uid="{00000000-0005-0000-0000-00002E6D0000}"/>
    <cellStyle name="Pre-inputted cells 5 3 2 18" xfId="27740" xr:uid="{00000000-0005-0000-0000-00002F6D0000}"/>
    <cellStyle name="Pre-inputted cells 5 3 2 19" xfId="27741" xr:uid="{00000000-0005-0000-0000-0000306D0000}"/>
    <cellStyle name="Pre-inputted cells 5 3 2 2" xfId="27742" xr:uid="{00000000-0005-0000-0000-0000316D0000}"/>
    <cellStyle name="Pre-inputted cells 5 3 2 2 10" xfId="27743" xr:uid="{00000000-0005-0000-0000-0000326D0000}"/>
    <cellStyle name="Pre-inputted cells 5 3 2 2 11" xfId="27744" xr:uid="{00000000-0005-0000-0000-0000336D0000}"/>
    <cellStyle name="Pre-inputted cells 5 3 2 2 12" xfId="27745" xr:uid="{00000000-0005-0000-0000-0000346D0000}"/>
    <cellStyle name="Pre-inputted cells 5 3 2 2 13" xfId="27746" xr:uid="{00000000-0005-0000-0000-0000356D0000}"/>
    <cellStyle name="Pre-inputted cells 5 3 2 2 2" xfId="27747" xr:uid="{00000000-0005-0000-0000-0000366D0000}"/>
    <cellStyle name="Pre-inputted cells 5 3 2 2 2 2" xfId="27748" xr:uid="{00000000-0005-0000-0000-0000376D0000}"/>
    <cellStyle name="Pre-inputted cells 5 3 2 2 2 3" xfId="27749" xr:uid="{00000000-0005-0000-0000-0000386D0000}"/>
    <cellStyle name="Pre-inputted cells 5 3 2 2 3" xfId="27750" xr:uid="{00000000-0005-0000-0000-0000396D0000}"/>
    <cellStyle name="Pre-inputted cells 5 3 2 2 3 2" xfId="27751" xr:uid="{00000000-0005-0000-0000-00003A6D0000}"/>
    <cellStyle name="Pre-inputted cells 5 3 2 2 3 3" xfId="27752" xr:uid="{00000000-0005-0000-0000-00003B6D0000}"/>
    <cellStyle name="Pre-inputted cells 5 3 2 2 4" xfId="27753" xr:uid="{00000000-0005-0000-0000-00003C6D0000}"/>
    <cellStyle name="Pre-inputted cells 5 3 2 2 5" xfId="27754" xr:uid="{00000000-0005-0000-0000-00003D6D0000}"/>
    <cellStyle name="Pre-inputted cells 5 3 2 2 6" xfId="27755" xr:uid="{00000000-0005-0000-0000-00003E6D0000}"/>
    <cellStyle name="Pre-inputted cells 5 3 2 2 7" xfId="27756" xr:uid="{00000000-0005-0000-0000-00003F6D0000}"/>
    <cellStyle name="Pre-inputted cells 5 3 2 2 8" xfId="27757" xr:uid="{00000000-0005-0000-0000-0000406D0000}"/>
    <cellStyle name="Pre-inputted cells 5 3 2 2 9" xfId="27758" xr:uid="{00000000-0005-0000-0000-0000416D0000}"/>
    <cellStyle name="Pre-inputted cells 5 3 2 20" xfId="27759" xr:uid="{00000000-0005-0000-0000-0000426D0000}"/>
    <cellStyle name="Pre-inputted cells 5 3 2 21" xfId="27760" xr:uid="{00000000-0005-0000-0000-0000436D0000}"/>
    <cellStyle name="Pre-inputted cells 5 3 2 22" xfId="27761" xr:uid="{00000000-0005-0000-0000-0000446D0000}"/>
    <cellStyle name="Pre-inputted cells 5 3 2 23" xfId="27762" xr:uid="{00000000-0005-0000-0000-0000456D0000}"/>
    <cellStyle name="Pre-inputted cells 5 3 2 24" xfId="27763" xr:uid="{00000000-0005-0000-0000-0000466D0000}"/>
    <cellStyle name="Pre-inputted cells 5 3 2 25" xfId="27764" xr:uid="{00000000-0005-0000-0000-0000476D0000}"/>
    <cellStyle name="Pre-inputted cells 5 3 2 26" xfId="27765" xr:uid="{00000000-0005-0000-0000-0000486D0000}"/>
    <cellStyle name="Pre-inputted cells 5 3 2 27" xfId="27766" xr:uid="{00000000-0005-0000-0000-0000496D0000}"/>
    <cellStyle name="Pre-inputted cells 5 3 2 28" xfId="27767" xr:uid="{00000000-0005-0000-0000-00004A6D0000}"/>
    <cellStyle name="Pre-inputted cells 5 3 2 29" xfId="27768" xr:uid="{00000000-0005-0000-0000-00004B6D0000}"/>
    <cellStyle name="Pre-inputted cells 5 3 2 3" xfId="27769" xr:uid="{00000000-0005-0000-0000-00004C6D0000}"/>
    <cellStyle name="Pre-inputted cells 5 3 2 3 2" xfId="27770" xr:uid="{00000000-0005-0000-0000-00004D6D0000}"/>
    <cellStyle name="Pre-inputted cells 5 3 2 3 3" xfId="27771" xr:uid="{00000000-0005-0000-0000-00004E6D0000}"/>
    <cellStyle name="Pre-inputted cells 5 3 2 30" xfId="27772" xr:uid="{00000000-0005-0000-0000-00004F6D0000}"/>
    <cellStyle name="Pre-inputted cells 5 3 2 31" xfId="27773" xr:uid="{00000000-0005-0000-0000-0000506D0000}"/>
    <cellStyle name="Pre-inputted cells 5 3 2 32" xfId="27774" xr:uid="{00000000-0005-0000-0000-0000516D0000}"/>
    <cellStyle name="Pre-inputted cells 5 3 2 33" xfId="27775" xr:uid="{00000000-0005-0000-0000-0000526D0000}"/>
    <cellStyle name="Pre-inputted cells 5 3 2 34" xfId="27776" xr:uid="{00000000-0005-0000-0000-0000536D0000}"/>
    <cellStyle name="Pre-inputted cells 5 3 2 4" xfId="27777" xr:uid="{00000000-0005-0000-0000-0000546D0000}"/>
    <cellStyle name="Pre-inputted cells 5 3 2 4 2" xfId="27778" xr:uid="{00000000-0005-0000-0000-0000556D0000}"/>
    <cellStyle name="Pre-inputted cells 5 3 2 4 3" xfId="27779" xr:uid="{00000000-0005-0000-0000-0000566D0000}"/>
    <cellStyle name="Pre-inputted cells 5 3 2 5" xfId="27780" xr:uid="{00000000-0005-0000-0000-0000576D0000}"/>
    <cellStyle name="Pre-inputted cells 5 3 2 6" xfId="27781" xr:uid="{00000000-0005-0000-0000-0000586D0000}"/>
    <cellStyle name="Pre-inputted cells 5 3 2 7" xfId="27782" xr:uid="{00000000-0005-0000-0000-0000596D0000}"/>
    <cellStyle name="Pre-inputted cells 5 3 2 8" xfId="27783" xr:uid="{00000000-0005-0000-0000-00005A6D0000}"/>
    <cellStyle name="Pre-inputted cells 5 3 2 9" xfId="27784" xr:uid="{00000000-0005-0000-0000-00005B6D0000}"/>
    <cellStyle name="Pre-inputted cells 5 3 20" xfId="27785" xr:uid="{00000000-0005-0000-0000-00005C6D0000}"/>
    <cellStyle name="Pre-inputted cells 5 3 21" xfId="27786" xr:uid="{00000000-0005-0000-0000-00005D6D0000}"/>
    <cellStyle name="Pre-inputted cells 5 3 22" xfId="27787" xr:uid="{00000000-0005-0000-0000-00005E6D0000}"/>
    <cellStyle name="Pre-inputted cells 5 3 23" xfId="27788" xr:uid="{00000000-0005-0000-0000-00005F6D0000}"/>
    <cellStyle name="Pre-inputted cells 5 3 24" xfId="27789" xr:uid="{00000000-0005-0000-0000-0000606D0000}"/>
    <cellStyle name="Pre-inputted cells 5 3 25" xfId="27790" xr:uid="{00000000-0005-0000-0000-0000616D0000}"/>
    <cellStyle name="Pre-inputted cells 5 3 26" xfId="27791" xr:uid="{00000000-0005-0000-0000-0000626D0000}"/>
    <cellStyle name="Pre-inputted cells 5 3 27" xfId="27792" xr:uid="{00000000-0005-0000-0000-0000636D0000}"/>
    <cellStyle name="Pre-inputted cells 5 3 28" xfId="27793" xr:uid="{00000000-0005-0000-0000-0000646D0000}"/>
    <cellStyle name="Pre-inputted cells 5 3 29" xfId="27794" xr:uid="{00000000-0005-0000-0000-0000656D0000}"/>
    <cellStyle name="Pre-inputted cells 5 3 3" xfId="27795" xr:uid="{00000000-0005-0000-0000-0000666D0000}"/>
    <cellStyle name="Pre-inputted cells 5 3 3 10" xfId="27796" xr:uid="{00000000-0005-0000-0000-0000676D0000}"/>
    <cellStyle name="Pre-inputted cells 5 3 3 11" xfId="27797" xr:uid="{00000000-0005-0000-0000-0000686D0000}"/>
    <cellStyle name="Pre-inputted cells 5 3 3 12" xfId="27798" xr:uid="{00000000-0005-0000-0000-0000696D0000}"/>
    <cellStyle name="Pre-inputted cells 5 3 3 13" xfId="27799" xr:uid="{00000000-0005-0000-0000-00006A6D0000}"/>
    <cellStyle name="Pre-inputted cells 5 3 3 2" xfId="27800" xr:uid="{00000000-0005-0000-0000-00006B6D0000}"/>
    <cellStyle name="Pre-inputted cells 5 3 3 2 2" xfId="27801" xr:uid="{00000000-0005-0000-0000-00006C6D0000}"/>
    <cellStyle name="Pre-inputted cells 5 3 3 2 3" xfId="27802" xr:uid="{00000000-0005-0000-0000-00006D6D0000}"/>
    <cellStyle name="Pre-inputted cells 5 3 3 3" xfId="27803" xr:uid="{00000000-0005-0000-0000-00006E6D0000}"/>
    <cellStyle name="Pre-inputted cells 5 3 3 3 2" xfId="27804" xr:uid="{00000000-0005-0000-0000-00006F6D0000}"/>
    <cellStyle name="Pre-inputted cells 5 3 3 3 3" xfId="27805" xr:uid="{00000000-0005-0000-0000-0000706D0000}"/>
    <cellStyle name="Pre-inputted cells 5 3 3 4" xfId="27806" xr:uid="{00000000-0005-0000-0000-0000716D0000}"/>
    <cellStyle name="Pre-inputted cells 5 3 3 5" xfId="27807" xr:uid="{00000000-0005-0000-0000-0000726D0000}"/>
    <cellStyle name="Pre-inputted cells 5 3 3 6" xfId="27808" xr:uid="{00000000-0005-0000-0000-0000736D0000}"/>
    <cellStyle name="Pre-inputted cells 5 3 3 7" xfId="27809" xr:uid="{00000000-0005-0000-0000-0000746D0000}"/>
    <cellStyle name="Pre-inputted cells 5 3 3 8" xfId="27810" xr:uid="{00000000-0005-0000-0000-0000756D0000}"/>
    <cellStyle name="Pre-inputted cells 5 3 3 9" xfId="27811" xr:uid="{00000000-0005-0000-0000-0000766D0000}"/>
    <cellStyle name="Pre-inputted cells 5 3 30" xfId="27812" xr:uid="{00000000-0005-0000-0000-0000776D0000}"/>
    <cellStyle name="Pre-inputted cells 5 3 31" xfId="27813" xr:uid="{00000000-0005-0000-0000-0000786D0000}"/>
    <cellStyle name="Pre-inputted cells 5 3 32" xfId="27814" xr:uid="{00000000-0005-0000-0000-0000796D0000}"/>
    <cellStyle name="Pre-inputted cells 5 3 33" xfId="27815" xr:uid="{00000000-0005-0000-0000-00007A6D0000}"/>
    <cellStyle name="Pre-inputted cells 5 3 34" xfId="27816" xr:uid="{00000000-0005-0000-0000-00007B6D0000}"/>
    <cellStyle name="Pre-inputted cells 5 3 35" xfId="27817" xr:uid="{00000000-0005-0000-0000-00007C6D0000}"/>
    <cellStyle name="Pre-inputted cells 5 3 4" xfId="27818" xr:uid="{00000000-0005-0000-0000-00007D6D0000}"/>
    <cellStyle name="Pre-inputted cells 5 3 4 2" xfId="27819" xr:uid="{00000000-0005-0000-0000-00007E6D0000}"/>
    <cellStyle name="Pre-inputted cells 5 3 4 3" xfId="27820" xr:uid="{00000000-0005-0000-0000-00007F6D0000}"/>
    <cellStyle name="Pre-inputted cells 5 3 5" xfId="27821" xr:uid="{00000000-0005-0000-0000-0000806D0000}"/>
    <cellStyle name="Pre-inputted cells 5 3 5 2" xfId="27822" xr:uid="{00000000-0005-0000-0000-0000816D0000}"/>
    <cellStyle name="Pre-inputted cells 5 3 5 3" xfId="27823" xr:uid="{00000000-0005-0000-0000-0000826D0000}"/>
    <cellStyle name="Pre-inputted cells 5 3 6" xfId="27824" xr:uid="{00000000-0005-0000-0000-0000836D0000}"/>
    <cellStyle name="Pre-inputted cells 5 3 7" xfId="27825" xr:uid="{00000000-0005-0000-0000-0000846D0000}"/>
    <cellStyle name="Pre-inputted cells 5 3 8" xfId="27826" xr:uid="{00000000-0005-0000-0000-0000856D0000}"/>
    <cellStyle name="Pre-inputted cells 5 3 9" xfId="27827" xr:uid="{00000000-0005-0000-0000-0000866D0000}"/>
    <cellStyle name="Pre-inputted cells 5 3_4 28 1_Asst_Health_Crit_AllTO_RIIO_20110714pm" xfId="27828" xr:uid="{00000000-0005-0000-0000-0000876D0000}"/>
    <cellStyle name="Pre-inputted cells 5 30" xfId="27829" xr:uid="{00000000-0005-0000-0000-0000886D0000}"/>
    <cellStyle name="Pre-inputted cells 5 31" xfId="27830" xr:uid="{00000000-0005-0000-0000-0000896D0000}"/>
    <cellStyle name="Pre-inputted cells 5 32" xfId="27831" xr:uid="{00000000-0005-0000-0000-00008A6D0000}"/>
    <cellStyle name="Pre-inputted cells 5 33" xfId="27832" xr:uid="{00000000-0005-0000-0000-00008B6D0000}"/>
    <cellStyle name="Pre-inputted cells 5 34" xfId="27833" xr:uid="{00000000-0005-0000-0000-00008C6D0000}"/>
    <cellStyle name="Pre-inputted cells 5 35" xfId="27834" xr:uid="{00000000-0005-0000-0000-00008D6D0000}"/>
    <cellStyle name="Pre-inputted cells 5 36" xfId="27835" xr:uid="{00000000-0005-0000-0000-00008E6D0000}"/>
    <cellStyle name="Pre-inputted cells 5 37" xfId="27836" xr:uid="{00000000-0005-0000-0000-00008F6D0000}"/>
    <cellStyle name="Pre-inputted cells 5 38" xfId="27837" xr:uid="{00000000-0005-0000-0000-0000906D0000}"/>
    <cellStyle name="Pre-inputted cells 5 39" xfId="27838" xr:uid="{00000000-0005-0000-0000-0000916D0000}"/>
    <cellStyle name="Pre-inputted cells 5 4" xfId="27839" xr:uid="{00000000-0005-0000-0000-0000926D0000}"/>
    <cellStyle name="Pre-inputted cells 5 4 10" xfId="27840" xr:uid="{00000000-0005-0000-0000-0000936D0000}"/>
    <cellStyle name="Pre-inputted cells 5 4 11" xfId="27841" xr:uid="{00000000-0005-0000-0000-0000946D0000}"/>
    <cellStyle name="Pre-inputted cells 5 4 12" xfId="27842" xr:uid="{00000000-0005-0000-0000-0000956D0000}"/>
    <cellStyle name="Pre-inputted cells 5 4 13" xfId="27843" xr:uid="{00000000-0005-0000-0000-0000966D0000}"/>
    <cellStyle name="Pre-inputted cells 5 4 14" xfId="27844" xr:uid="{00000000-0005-0000-0000-0000976D0000}"/>
    <cellStyle name="Pre-inputted cells 5 4 15" xfId="27845" xr:uid="{00000000-0005-0000-0000-0000986D0000}"/>
    <cellStyle name="Pre-inputted cells 5 4 16" xfId="27846" xr:uid="{00000000-0005-0000-0000-0000996D0000}"/>
    <cellStyle name="Pre-inputted cells 5 4 17" xfId="27847" xr:uid="{00000000-0005-0000-0000-00009A6D0000}"/>
    <cellStyle name="Pre-inputted cells 5 4 18" xfId="27848" xr:uid="{00000000-0005-0000-0000-00009B6D0000}"/>
    <cellStyle name="Pre-inputted cells 5 4 19" xfId="27849" xr:uid="{00000000-0005-0000-0000-00009C6D0000}"/>
    <cellStyle name="Pre-inputted cells 5 4 2" xfId="27850" xr:uid="{00000000-0005-0000-0000-00009D6D0000}"/>
    <cellStyle name="Pre-inputted cells 5 4 2 10" xfId="27851" xr:uid="{00000000-0005-0000-0000-00009E6D0000}"/>
    <cellStyle name="Pre-inputted cells 5 4 2 11" xfId="27852" xr:uid="{00000000-0005-0000-0000-00009F6D0000}"/>
    <cellStyle name="Pre-inputted cells 5 4 2 12" xfId="27853" xr:uid="{00000000-0005-0000-0000-0000A06D0000}"/>
    <cellStyle name="Pre-inputted cells 5 4 2 13" xfId="27854" xr:uid="{00000000-0005-0000-0000-0000A16D0000}"/>
    <cellStyle name="Pre-inputted cells 5 4 2 2" xfId="27855" xr:uid="{00000000-0005-0000-0000-0000A26D0000}"/>
    <cellStyle name="Pre-inputted cells 5 4 2 2 2" xfId="27856" xr:uid="{00000000-0005-0000-0000-0000A36D0000}"/>
    <cellStyle name="Pre-inputted cells 5 4 2 2 3" xfId="27857" xr:uid="{00000000-0005-0000-0000-0000A46D0000}"/>
    <cellStyle name="Pre-inputted cells 5 4 2 3" xfId="27858" xr:uid="{00000000-0005-0000-0000-0000A56D0000}"/>
    <cellStyle name="Pre-inputted cells 5 4 2 3 2" xfId="27859" xr:uid="{00000000-0005-0000-0000-0000A66D0000}"/>
    <cellStyle name="Pre-inputted cells 5 4 2 3 3" xfId="27860" xr:uid="{00000000-0005-0000-0000-0000A76D0000}"/>
    <cellStyle name="Pre-inputted cells 5 4 2 4" xfId="27861" xr:uid="{00000000-0005-0000-0000-0000A86D0000}"/>
    <cellStyle name="Pre-inputted cells 5 4 2 5" xfId="27862" xr:uid="{00000000-0005-0000-0000-0000A96D0000}"/>
    <cellStyle name="Pre-inputted cells 5 4 2 6" xfId="27863" xr:uid="{00000000-0005-0000-0000-0000AA6D0000}"/>
    <cellStyle name="Pre-inputted cells 5 4 2 7" xfId="27864" xr:uid="{00000000-0005-0000-0000-0000AB6D0000}"/>
    <cellStyle name="Pre-inputted cells 5 4 2 8" xfId="27865" xr:uid="{00000000-0005-0000-0000-0000AC6D0000}"/>
    <cellStyle name="Pre-inputted cells 5 4 2 9" xfId="27866" xr:uid="{00000000-0005-0000-0000-0000AD6D0000}"/>
    <cellStyle name="Pre-inputted cells 5 4 20" xfId="27867" xr:uid="{00000000-0005-0000-0000-0000AE6D0000}"/>
    <cellStyle name="Pre-inputted cells 5 4 21" xfId="27868" xr:uid="{00000000-0005-0000-0000-0000AF6D0000}"/>
    <cellStyle name="Pre-inputted cells 5 4 22" xfId="27869" xr:uid="{00000000-0005-0000-0000-0000B06D0000}"/>
    <cellStyle name="Pre-inputted cells 5 4 23" xfId="27870" xr:uid="{00000000-0005-0000-0000-0000B16D0000}"/>
    <cellStyle name="Pre-inputted cells 5 4 24" xfId="27871" xr:uid="{00000000-0005-0000-0000-0000B26D0000}"/>
    <cellStyle name="Pre-inputted cells 5 4 25" xfId="27872" xr:uid="{00000000-0005-0000-0000-0000B36D0000}"/>
    <cellStyle name="Pre-inputted cells 5 4 26" xfId="27873" xr:uid="{00000000-0005-0000-0000-0000B46D0000}"/>
    <cellStyle name="Pre-inputted cells 5 4 27" xfId="27874" xr:uid="{00000000-0005-0000-0000-0000B56D0000}"/>
    <cellStyle name="Pre-inputted cells 5 4 28" xfId="27875" xr:uid="{00000000-0005-0000-0000-0000B66D0000}"/>
    <cellStyle name="Pre-inputted cells 5 4 29" xfId="27876" xr:uid="{00000000-0005-0000-0000-0000B76D0000}"/>
    <cellStyle name="Pre-inputted cells 5 4 3" xfId="27877" xr:uid="{00000000-0005-0000-0000-0000B86D0000}"/>
    <cellStyle name="Pre-inputted cells 5 4 3 2" xfId="27878" xr:uid="{00000000-0005-0000-0000-0000B96D0000}"/>
    <cellStyle name="Pre-inputted cells 5 4 3 3" xfId="27879" xr:uid="{00000000-0005-0000-0000-0000BA6D0000}"/>
    <cellStyle name="Pre-inputted cells 5 4 30" xfId="27880" xr:uid="{00000000-0005-0000-0000-0000BB6D0000}"/>
    <cellStyle name="Pre-inputted cells 5 4 31" xfId="27881" xr:uid="{00000000-0005-0000-0000-0000BC6D0000}"/>
    <cellStyle name="Pre-inputted cells 5 4 32" xfId="27882" xr:uid="{00000000-0005-0000-0000-0000BD6D0000}"/>
    <cellStyle name="Pre-inputted cells 5 4 33" xfId="27883" xr:uid="{00000000-0005-0000-0000-0000BE6D0000}"/>
    <cellStyle name="Pre-inputted cells 5 4 34" xfId="27884" xr:uid="{00000000-0005-0000-0000-0000BF6D0000}"/>
    <cellStyle name="Pre-inputted cells 5 4 4" xfId="27885" xr:uid="{00000000-0005-0000-0000-0000C06D0000}"/>
    <cellStyle name="Pre-inputted cells 5 4 4 2" xfId="27886" xr:uid="{00000000-0005-0000-0000-0000C16D0000}"/>
    <cellStyle name="Pre-inputted cells 5 4 4 3" xfId="27887" xr:uid="{00000000-0005-0000-0000-0000C26D0000}"/>
    <cellStyle name="Pre-inputted cells 5 4 5" xfId="27888" xr:uid="{00000000-0005-0000-0000-0000C36D0000}"/>
    <cellStyle name="Pre-inputted cells 5 4 6" xfId="27889" xr:uid="{00000000-0005-0000-0000-0000C46D0000}"/>
    <cellStyle name="Pre-inputted cells 5 4 7" xfId="27890" xr:uid="{00000000-0005-0000-0000-0000C56D0000}"/>
    <cellStyle name="Pre-inputted cells 5 4 8" xfId="27891" xr:uid="{00000000-0005-0000-0000-0000C66D0000}"/>
    <cellStyle name="Pre-inputted cells 5 4 9" xfId="27892" xr:uid="{00000000-0005-0000-0000-0000C76D0000}"/>
    <cellStyle name="Pre-inputted cells 5 5" xfId="27893" xr:uid="{00000000-0005-0000-0000-0000C86D0000}"/>
    <cellStyle name="Pre-inputted cells 5 5 10" xfId="27894" xr:uid="{00000000-0005-0000-0000-0000C96D0000}"/>
    <cellStyle name="Pre-inputted cells 5 5 11" xfId="27895" xr:uid="{00000000-0005-0000-0000-0000CA6D0000}"/>
    <cellStyle name="Pre-inputted cells 5 5 12" xfId="27896" xr:uid="{00000000-0005-0000-0000-0000CB6D0000}"/>
    <cellStyle name="Pre-inputted cells 5 5 13" xfId="27897" xr:uid="{00000000-0005-0000-0000-0000CC6D0000}"/>
    <cellStyle name="Pre-inputted cells 5 5 14" xfId="27898" xr:uid="{00000000-0005-0000-0000-0000CD6D0000}"/>
    <cellStyle name="Pre-inputted cells 5 5 15" xfId="27899" xr:uid="{00000000-0005-0000-0000-0000CE6D0000}"/>
    <cellStyle name="Pre-inputted cells 5 5 16" xfId="27900" xr:uid="{00000000-0005-0000-0000-0000CF6D0000}"/>
    <cellStyle name="Pre-inputted cells 5 5 17" xfId="27901" xr:uid="{00000000-0005-0000-0000-0000D06D0000}"/>
    <cellStyle name="Pre-inputted cells 5 5 18" xfId="27902" xr:uid="{00000000-0005-0000-0000-0000D16D0000}"/>
    <cellStyle name="Pre-inputted cells 5 5 19" xfId="27903" xr:uid="{00000000-0005-0000-0000-0000D26D0000}"/>
    <cellStyle name="Pre-inputted cells 5 5 2" xfId="27904" xr:uid="{00000000-0005-0000-0000-0000D36D0000}"/>
    <cellStyle name="Pre-inputted cells 5 5 2 10" xfId="27905" xr:uid="{00000000-0005-0000-0000-0000D46D0000}"/>
    <cellStyle name="Pre-inputted cells 5 5 2 11" xfId="27906" xr:uid="{00000000-0005-0000-0000-0000D56D0000}"/>
    <cellStyle name="Pre-inputted cells 5 5 2 12" xfId="27907" xr:uid="{00000000-0005-0000-0000-0000D66D0000}"/>
    <cellStyle name="Pre-inputted cells 5 5 2 13" xfId="27908" xr:uid="{00000000-0005-0000-0000-0000D76D0000}"/>
    <cellStyle name="Pre-inputted cells 5 5 2 2" xfId="27909" xr:uid="{00000000-0005-0000-0000-0000D86D0000}"/>
    <cellStyle name="Pre-inputted cells 5 5 2 2 2" xfId="27910" xr:uid="{00000000-0005-0000-0000-0000D96D0000}"/>
    <cellStyle name="Pre-inputted cells 5 5 2 2 3" xfId="27911" xr:uid="{00000000-0005-0000-0000-0000DA6D0000}"/>
    <cellStyle name="Pre-inputted cells 5 5 2 3" xfId="27912" xr:uid="{00000000-0005-0000-0000-0000DB6D0000}"/>
    <cellStyle name="Pre-inputted cells 5 5 2 3 2" xfId="27913" xr:uid="{00000000-0005-0000-0000-0000DC6D0000}"/>
    <cellStyle name="Pre-inputted cells 5 5 2 3 3" xfId="27914" xr:uid="{00000000-0005-0000-0000-0000DD6D0000}"/>
    <cellStyle name="Pre-inputted cells 5 5 2 4" xfId="27915" xr:uid="{00000000-0005-0000-0000-0000DE6D0000}"/>
    <cellStyle name="Pre-inputted cells 5 5 2 5" xfId="27916" xr:uid="{00000000-0005-0000-0000-0000DF6D0000}"/>
    <cellStyle name="Pre-inputted cells 5 5 2 6" xfId="27917" xr:uid="{00000000-0005-0000-0000-0000E06D0000}"/>
    <cellStyle name="Pre-inputted cells 5 5 2 7" xfId="27918" xr:uid="{00000000-0005-0000-0000-0000E16D0000}"/>
    <cellStyle name="Pre-inputted cells 5 5 2 8" xfId="27919" xr:uid="{00000000-0005-0000-0000-0000E26D0000}"/>
    <cellStyle name="Pre-inputted cells 5 5 2 9" xfId="27920" xr:uid="{00000000-0005-0000-0000-0000E36D0000}"/>
    <cellStyle name="Pre-inputted cells 5 5 20" xfId="27921" xr:uid="{00000000-0005-0000-0000-0000E46D0000}"/>
    <cellStyle name="Pre-inputted cells 5 5 21" xfId="27922" xr:uid="{00000000-0005-0000-0000-0000E56D0000}"/>
    <cellStyle name="Pre-inputted cells 5 5 22" xfId="27923" xr:uid="{00000000-0005-0000-0000-0000E66D0000}"/>
    <cellStyle name="Pre-inputted cells 5 5 23" xfId="27924" xr:uid="{00000000-0005-0000-0000-0000E76D0000}"/>
    <cellStyle name="Pre-inputted cells 5 5 24" xfId="27925" xr:uid="{00000000-0005-0000-0000-0000E86D0000}"/>
    <cellStyle name="Pre-inputted cells 5 5 25" xfId="27926" xr:uid="{00000000-0005-0000-0000-0000E96D0000}"/>
    <cellStyle name="Pre-inputted cells 5 5 26" xfId="27927" xr:uid="{00000000-0005-0000-0000-0000EA6D0000}"/>
    <cellStyle name="Pre-inputted cells 5 5 27" xfId="27928" xr:uid="{00000000-0005-0000-0000-0000EB6D0000}"/>
    <cellStyle name="Pre-inputted cells 5 5 28" xfId="27929" xr:uid="{00000000-0005-0000-0000-0000EC6D0000}"/>
    <cellStyle name="Pre-inputted cells 5 5 29" xfId="27930" xr:uid="{00000000-0005-0000-0000-0000ED6D0000}"/>
    <cellStyle name="Pre-inputted cells 5 5 3" xfId="27931" xr:uid="{00000000-0005-0000-0000-0000EE6D0000}"/>
    <cellStyle name="Pre-inputted cells 5 5 3 2" xfId="27932" xr:uid="{00000000-0005-0000-0000-0000EF6D0000}"/>
    <cellStyle name="Pre-inputted cells 5 5 3 3" xfId="27933" xr:uid="{00000000-0005-0000-0000-0000F06D0000}"/>
    <cellStyle name="Pre-inputted cells 5 5 30" xfId="27934" xr:uid="{00000000-0005-0000-0000-0000F16D0000}"/>
    <cellStyle name="Pre-inputted cells 5 5 31" xfId="27935" xr:uid="{00000000-0005-0000-0000-0000F26D0000}"/>
    <cellStyle name="Pre-inputted cells 5 5 32" xfId="27936" xr:uid="{00000000-0005-0000-0000-0000F36D0000}"/>
    <cellStyle name="Pre-inputted cells 5 5 33" xfId="27937" xr:uid="{00000000-0005-0000-0000-0000F46D0000}"/>
    <cellStyle name="Pre-inputted cells 5 5 34" xfId="27938" xr:uid="{00000000-0005-0000-0000-0000F56D0000}"/>
    <cellStyle name="Pre-inputted cells 5 5 4" xfId="27939" xr:uid="{00000000-0005-0000-0000-0000F66D0000}"/>
    <cellStyle name="Pre-inputted cells 5 5 4 2" xfId="27940" xr:uid="{00000000-0005-0000-0000-0000F76D0000}"/>
    <cellStyle name="Pre-inputted cells 5 5 4 3" xfId="27941" xr:uid="{00000000-0005-0000-0000-0000F86D0000}"/>
    <cellStyle name="Pre-inputted cells 5 5 5" xfId="27942" xr:uid="{00000000-0005-0000-0000-0000F96D0000}"/>
    <cellStyle name="Pre-inputted cells 5 5 6" xfId="27943" xr:uid="{00000000-0005-0000-0000-0000FA6D0000}"/>
    <cellStyle name="Pre-inputted cells 5 5 7" xfId="27944" xr:uid="{00000000-0005-0000-0000-0000FB6D0000}"/>
    <cellStyle name="Pre-inputted cells 5 5 8" xfId="27945" xr:uid="{00000000-0005-0000-0000-0000FC6D0000}"/>
    <cellStyle name="Pre-inputted cells 5 5 9" xfId="27946" xr:uid="{00000000-0005-0000-0000-0000FD6D0000}"/>
    <cellStyle name="Pre-inputted cells 5 6" xfId="27947" xr:uid="{00000000-0005-0000-0000-0000FE6D0000}"/>
    <cellStyle name="Pre-inputted cells 5 6 10" xfId="27948" xr:uid="{00000000-0005-0000-0000-0000FF6D0000}"/>
    <cellStyle name="Pre-inputted cells 5 6 11" xfId="27949" xr:uid="{00000000-0005-0000-0000-0000006E0000}"/>
    <cellStyle name="Pre-inputted cells 5 6 12" xfId="27950" xr:uid="{00000000-0005-0000-0000-0000016E0000}"/>
    <cellStyle name="Pre-inputted cells 5 6 13" xfId="27951" xr:uid="{00000000-0005-0000-0000-0000026E0000}"/>
    <cellStyle name="Pre-inputted cells 5 6 2" xfId="27952" xr:uid="{00000000-0005-0000-0000-0000036E0000}"/>
    <cellStyle name="Pre-inputted cells 5 6 2 2" xfId="27953" xr:uid="{00000000-0005-0000-0000-0000046E0000}"/>
    <cellStyle name="Pre-inputted cells 5 6 2 3" xfId="27954" xr:uid="{00000000-0005-0000-0000-0000056E0000}"/>
    <cellStyle name="Pre-inputted cells 5 6 3" xfId="27955" xr:uid="{00000000-0005-0000-0000-0000066E0000}"/>
    <cellStyle name="Pre-inputted cells 5 6 3 2" xfId="27956" xr:uid="{00000000-0005-0000-0000-0000076E0000}"/>
    <cellStyle name="Pre-inputted cells 5 6 3 3" xfId="27957" xr:uid="{00000000-0005-0000-0000-0000086E0000}"/>
    <cellStyle name="Pre-inputted cells 5 6 4" xfId="27958" xr:uid="{00000000-0005-0000-0000-0000096E0000}"/>
    <cellStyle name="Pre-inputted cells 5 6 5" xfId="27959" xr:uid="{00000000-0005-0000-0000-00000A6E0000}"/>
    <cellStyle name="Pre-inputted cells 5 6 6" xfId="27960" xr:uid="{00000000-0005-0000-0000-00000B6E0000}"/>
    <cellStyle name="Pre-inputted cells 5 6 7" xfId="27961" xr:uid="{00000000-0005-0000-0000-00000C6E0000}"/>
    <cellStyle name="Pre-inputted cells 5 6 8" xfId="27962" xr:uid="{00000000-0005-0000-0000-00000D6E0000}"/>
    <cellStyle name="Pre-inputted cells 5 6 9" xfId="27963" xr:uid="{00000000-0005-0000-0000-00000E6E0000}"/>
    <cellStyle name="Pre-inputted cells 5 7" xfId="27964" xr:uid="{00000000-0005-0000-0000-00000F6E0000}"/>
    <cellStyle name="Pre-inputted cells 5 7 2" xfId="27965" xr:uid="{00000000-0005-0000-0000-0000106E0000}"/>
    <cellStyle name="Pre-inputted cells 5 7 2 2" xfId="27966" xr:uid="{00000000-0005-0000-0000-0000116E0000}"/>
    <cellStyle name="Pre-inputted cells 5 7 2 3" xfId="27967" xr:uid="{00000000-0005-0000-0000-0000126E0000}"/>
    <cellStyle name="Pre-inputted cells 5 7 3" xfId="27968" xr:uid="{00000000-0005-0000-0000-0000136E0000}"/>
    <cellStyle name="Pre-inputted cells 5 7 3 2" xfId="27969" xr:uid="{00000000-0005-0000-0000-0000146E0000}"/>
    <cellStyle name="Pre-inputted cells 5 7 4" xfId="27970" xr:uid="{00000000-0005-0000-0000-0000156E0000}"/>
    <cellStyle name="Pre-inputted cells 5 8" xfId="27971" xr:uid="{00000000-0005-0000-0000-0000166E0000}"/>
    <cellStyle name="Pre-inputted cells 5 8 2" xfId="27972" xr:uid="{00000000-0005-0000-0000-0000176E0000}"/>
    <cellStyle name="Pre-inputted cells 5 9" xfId="27973" xr:uid="{00000000-0005-0000-0000-0000186E0000}"/>
    <cellStyle name="Pre-inputted cells 5 9 2" xfId="27974" xr:uid="{00000000-0005-0000-0000-0000196E0000}"/>
    <cellStyle name="Pre-inputted cells 5_1.3s Accounting C Costs Scots" xfId="27975" xr:uid="{00000000-0005-0000-0000-00001A6E0000}"/>
    <cellStyle name="Pre-inputted cells 6" xfId="27976" xr:uid="{00000000-0005-0000-0000-00001B6E0000}"/>
    <cellStyle name="Pre-inputted cells 6 10" xfId="27977" xr:uid="{00000000-0005-0000-0000-00001C6E0000}"/>
    <cellStyle name="Pre-inputted cells 6 10 2" xfId="27978" xr:uid="{00000000-0005-0000-0000-00001D6E0000}"/>
    <cellStyle name="Pre-inputted cells 6 11" xfId="27979" xr:uid="{00000000-0005-0000-0000-00001E6E0000}"/>
    <cellStyle name="Pre-inputted cells 6 11 2" xfId="27980" xr:uid="{00000000-0005-0000-0000-00001F6E0000}"/>
    <cellStyle name="Pre-inputted cells 6 12" xfId="27981" xr:uid="{00000000-0005-0000-0000-0000206E0000}"/>
    <cellStyle name="Pre-inputted cells 6 12 2" xfId="27982" xr:uid="{00000000-0005-0000-0000-0000216E0000}"/>
    <cellStyle name="Pre-inputted cells 6 13" xfId="27983" xr:uid="{00000000-0005-0000-0000-0000226E0000}"/>
    <cellStyle name="Pre-inputted cells 6 13 2" xfId="27984" xr:uid="{00000000-0005-0000-0000-0000236E0000}"/>
    <cellStyle name="Pre-inputted cells 6 14" xfId="27985" xr:uid="{00000000-0005-0000-0000-0000246E0000}"/>
    <cellStyle name="Pre-inputted cells 6 14 2" xfId="27986" xr:uid="{00000000-0005-0000-0000-0000256E0000}"/>
    <cellStyle name="Pre-inputted cells 6 15" xfId="27987" xr:uid="{00000000-0005-0000-0000-0000266E0000}"/>
    <cellStyle name="Pre-inputted cells 6 15 2" xfId="27988" xr:uid="{00000000-0005-0000-0000-0000276E0000}"/>
    <cellStyle name="Pre-inputted cells 6 16" xfId="27989" xr:uid="{00000000-0005-0000-0000-0000286E0000}"/>
    <cellStyle name="Pre-inputted cells 6 16 2" xfId="27990" xr:uid="{00000000-0005-0000-0000-0000296E0000}"/>
    <cellStyle name="Pre-inputted cells 6 17" xfId="27991" xr:uid="{00000000-0005-0000-0000-00002A6E0000}"/>
    <cellStyle name="Pre-inputted cells 6 17 2" xfId="27992" xr:uid="{00000000-0005-0000-0000-00002B6E0000}"/>
    <cellStyle name="Pre-inputted cells 6 18" xfId="27993" xr:uid="{00000000-0005-0000-0000-00002C6E0000}"/>
    <cellStyle name="Pre-inputted cells 6 18 2" xfId="27994" xr:uid="{00000000-0005-0000-0000-00002D6E0000}"/>
    <cellStyle name="Pre-inputted cells 6 19" xfId="27995" xr:uid="{00000000-0005-0000-0000-00002E6E0000}"/>
    <cellStyle name="Pre-inputted cells 6 19 2" xfId="27996" xr:uid="{00000000-0005-0000-0000-00002F6E0000}"/>
    <cellStyle name="Pre-inputted cells 6 2" xfId="27997" xr:uid="{00000000-0005-0000-0000-0000306E0000}"/>
    <cellStyle name="Pre-inputted cells 6 2 10" xfId="27998" xr:uid="{00000000-0005-0000-0000-0000316E0000}"/>
    <cellStyle name="Pre-inputted cells 6 2 10 2" xfId="27999" xr:uid="{00000000-0005-0000-0000-0000326E0000}"/>
    <cellStyle name="Pre-inputted cells 6 2 11" xfId="28000" xr:uid="{00000000-0005-0000-0000-0000336E0000}"/>
    <cellStyle name="Pre-inputted cells 6 2 11 2" xfId="28001" xr:uid="{00000000-0005-0000-0000-0000346E0000}"/>
    <cellStyle name="Pre-inputted cells 6 2 12" xfId="28002" xr:uid="{00000000-0005-0000-0000-0000356E0000}"/>
    <cellStyle name="Pre-inputted cells 6 2 12 2" xfId="28003" xr:uid="{00000000-0005-0000-0000-0000366E0000}"/>
    <cellStyle name="Pre-inputted cells 6 2 13" xfId="28004" xr:uid="{00000000-0005-0000-0000-0000376E0000}"/>
    <cellStyle name="Pre-inputted cells 6 2 13 2" xfId="28005" xr:uid="{00000000-0005-0000-0000-0000386E0000}"/>
    <cellStyle name="Pre-inputted cells 6 2 14" xfId="28006" xr:uid="{00000000-0005-0000-0000-0000396E0000}"/>
    <cellStyle name="Pre-inputted cells 6 2 14 2" xfId="28007" xr:uid="{00000000-0005-0000-0000-00003A6E0000}"/>
    <cellStyle name="Pre-inputted cells 6 2 15" xfId="28008" xr:uid="{00000000-0005-0000-0000-00003B6E0000}"/>
    <cellStyle name="Pre-inputted cells 6 2 15 2" xfId="28009" xr:uid="{00000000-0005-0000-0000-00003C6E0000}"/>
    <cellStyle name="Pre-inputted cells 6 2 16" xfId="28010" xr:uid="{00000000-0005-0000-0000-00003D6E0000}"/>
    <cellStyle name="Pre-inputted cells 6 2 16 2" xfId="28011" xr:uid="{00000000-0005-0000-0000-00003E6E0000}"/>
    <cellStyle name="Pre-inputted cells 6 2 17" xfId="28012" xr:uid="{00000000-0005-0000-0000-00003F6E0000}"/>
    <cellStyle name="Pre-inputted cells 6 2 17 2" xfId="28013" xr:uid="{00000000-0005-0000-0000-0000406E0000}"/>
    <cellStyle name="Pre-inputted cells 6 2 18" xfId="28014" xr:uid="{00000000-0005-0000-0000-0000416E0000}"/>
    <cellStyle name="Pre-inputted cells 6 2 18 2" xfId="28015" xr:uid="{00000000-0005-0000-0000-0000426E0000}"/>
    <cellStyle name="Pre-inputted cells 6 2 19" xfId="28016" xr:uid="{00000000-0005-0000-0000-0000436E0000}"/>
    <cellStyle name="Pre-inputted cells 6 2 19 2" xfId="28017" xr:uid="{00000000-0005-0000-0000-0000446E0000}"/>
    <cellStyle name="Pre-inputted cells 6 2 2" xfId="28018" xr:uid="{00000000-0005-0000-0000-0000456E0000}"/>
    <cellStyle name="Pre-inputted cells 6 2 2 10" xfId="28019" xr:uid="{00000000-0005-0000-0000-0000466E0000}"/>
    <cellStyle name="Pre-inputted cells 6 2 2 11" xfId="28020" xr:uid="{00000000-0005-0000-0000-0000476E0000}"/>
    <cellStyle name="Pre-inputted cells 6 2 2 12" xfId="28021" xr:uid="{00000000-0005-0000-0000-0000486E0000}"/>
    <cellStyle name="Pre-inputted cells 6 2 2 13" xfId="28022" xr:uid="{00000000-0005-0000-0000-0000496E0000}"/>
    <cellStyle name="Pre-inputted cells 6 2 2 14" xfId="28023" xr:uid="{00000000-0005-0000-0000-00004A6E0000}"/>
    <cellStyle name="Pre-inputted cells 6 2 2 15" xfId="28024" xr:uid="{00000000-0005-0000-0000-00004B6E0000}"/>
    <cellStyle name="Pre-inputted cells 6 2 2 16" xfId="28025" xr:uid="{00000000-0005-0000-0000-00004C6E0000}"/>
    <cellStyle name="Pre-inputted cells 6 2 2 17" xfId="28026" xr:uid="{00000000-0005-0000-0000-00004D6E0000}"/>
    <cellStyle name="Pre-inputted cells 6 2 2 18" xfId="28027" xr:uid="{00000000-0005-0000-0000-00004E6E0000}"/>
    <cellStyle name="Pre-inputted cells 6 2 2 19" xfId="28028" xr:uid="{00000000-0005-0000-0000-00004F6E0000}"/>
    <cellStyle name="Pre-inputted cells 6 2 2 2" xfId="28029" xr:uid="{00000000-0005-0000-0000-0000506E0000}"/>
    <cellStyle name="Pre-inputted cells 6 2 2 2 10" xfId="28030" xr:uid="{00000000-0005-0000-0000-0000516E0000}"/>
    <cellStyle name="Pre-inputted cells 6 2 2 2 11" xfId="28031" xr:uid="{00000000-0005-0000-0000-0000526E0000}"/>
    <cellStyle name="Pre-inputted cells 6 2 2 2 12" xfId="28032" xr:uid="{00000000-0005-0000-0000-0000536E0000}"/>
    <cellStyle name="Pre-inputted cells 6 2 2 2 13" xfId="28033" xr:uid="{00000000-0005-0000-0000-0000546E0000}"/>
    <cellStyle name="Pre-inputted cells 6 2 2 2 14" xfId="28034" xr:uid="{00000000-0005-0000-0000-0000556E0000}"/>
    <cellStyle name="Pre-inputted cells 6 2 2 2 15" xfId="28035" xr:uid="{00000000-0005-0000-0000-0000566E0000}"/>
    <cellStyle name="Pre-inputted cells 6 2 2 2 16" xfId="28036" xr:uid="{00000000-0005-0000-0000-0000576E0000}"/>
    <cellStyle name="Pre-inputted cells 6 2 2 2 17" xfId="28037" xr:uid="{00000000-0005-0000-0000-0000586E0000}"/>
    <cellStyle name="Pre-inputted cells 6 2 2 2 18" xfId="28038" xr:uid="{00000000-0005-0000-0000-0000596E0000}"/>
    <cellStyle name="Pre-inputted cells 6 2 2 2 19" xfId="28039" xr:uid="{00000000-0005-0000-0000-00005A6E0000}"/>
    <cellStyle name="Pre-inputted cells 6 2 2 2 2" xfId="28040" xr:uid="{00000000-0005-0000-0000-00005B6E0000}"/>
    <cellStyle name="Pre-inputted cells 6 2 2 2 2 10" xfId="28041" xr:uid="{00000000-0005-0000-0000-00005C6E0000}"/>
    <cellStyle name="Pre-inputted cells 6 2 2 2 2 11" xfId="28042" xr:uid="{00000000-0005-0000-0000-00005D6E0000}"/>
    <cellStyle name="Pre-inputted cells 6 2 2 2 2 12" xfId="28043" xr:uid="{00000000-0005-0000-0000-00005E6E0000}"/>
    <cellStyle name="Pre-inputted cells 6 2 2 2 2 13" xfId="28044" xr:uid="{00000000-0005-0000-0000-00005F6E0000}"/>
    <cellStyle name="Pre-inputted cells 6 2 2 2 2 2" xfId="28045" xr:uid="{00000000-0005-0000-0000-0000606E0000}"/>
    <cellStyle name="Pre-inputted cells 6 2 2 2 2 2 2" xfId="28046" xr:uid="{00000000-0005-0000-0000-0000616E0000}"/>
    <cellStyle name="Pre-inputted cells 6 2 2 2 2 2 3" xfId="28047" xr:uid="{00000000-0005-0000-0000-0000626E0000}"/>
    <cellStyle name="Pre-inputted cells 6 2 2 2 2 3" xfId="28048" xr:uid="{00000000-0005-0000-0000-0000636E0000}"/>
    <cellStyle name="Pre-inputted cells 6 2 2 2 2 3 2" xfId="28049" xr:uid="{00000000-0005-0000-0000-0000646E0000}"/>
    <cellStyle name="Pre-inputted cells 6 2 2 2 2 3 3" xfId="28050" xr:uid="{00000000-0005-0000-0000-0000656E0000}"/>
    <cellStyle name="Pre-inputted cells 6 2 2 2 2 4" xfId="28051" xr:uid="{00000000-0005-0000-0000-0000666E0000}"/>
    <cellStyle name="Pre-inputted cells 6 2 2 2 2 5" xfId="28052" xr:uid="{00000000-0005-0000-0000-0000676E0000}"/>
    <cellStyle name="Pre-inputted cells 6 2 2 2 2 6" xfId="28053" xr:uid="{00000000-0005-0000-0000-0000686E0000}"/>
    <cellStyle name="Pre-inputted cells 6 2 2 2 2 7" xfId="28054" xr:uid="{00000000-0005-0000-0000-0000696E0000}"/>
    <cellStyle name="Pre-inputted cells 6 2 2 2 2 8" xfId="28055" xr:uid="{00000000-0005-0000-0000-00006A6E0000}"/>
    <cellStyle name="Pre-inputted cells 6 2 2 2 2 9" xfId="28056" xr:uid="{00000000-0005-0000-0000-00006B6E0000}"/>
    <cellStyle name="Pre-inputted cells 6 2 2 2 20" xfId="28057" xr:uid="{00000000-0005-0000-0000-00006C6E0000}"/>
    <cellStyle name="Pre-inputted cells 6 2 2 2 21" xfId="28058" xr:uid="{00000000-0005-0000-0000-00006D6E0000}"/>
    <cellStyle name="Pre-inputted cells 6 2 2 2 22" xfId="28059" xr:uid="{00000000-0005-0000-0000-00006E6E0000}"/>
    <cellStyle name="Pre-inputted cells 6 2 2 2 23" xfId="28060" xr:uid="{00000000-0005-0000-0000-00006F6E0000}"/>
    <cellStyle name="Pre-inputted cells 6 2 2 2 24" xfId="28061" xr:uid="{00000000-0005-0000-0000-0000706E0000}"/>
    <cellStyle name="Pre-inputted cells 6 2 2 2 25" xfId="28062" xr:uid="{00000000-0005-0000-0000-0000716E0000}"/>
    <cellStyle name="Pre-inputted cells 6 2 2 2 26" xfId="28063" xr:uid="{00000000-0005-0000-0000-0000726E0000}"/>
    <cellStyle name="Pre-inputted cells 6 2 2 2 27" xfId="28064" xr:uid="{00000000-0005-0000-0000-0000736E0000}"/>
    <cellStyle name="Pre-inputted cells 6 2 2 2 28" xfId="28065" xr:uid="{00000000-0005-0000-0000-0000746E0000}"/>
    <cellStyle name="Pre-inputted cells 6 2 2 2 29" xfId="28066" xr:uid="{00000000-0005-0000-0000-0000756E0000}"/>
    <cellStyle name="Pre-inputted cells 6 2 2 2 3" xfId="28067" xr:uid="{00000000-0005-0000-0000-0000766E0000}"/>
    <cellStyle name="Pre-inputted cells 6 2 2 2 3 2" xfId="28068" xr:uid="{00000000-0005-0000-0000-0000776E0000}"/>
    <cellStyle name="Pre-inputted cells 6 2 2 2 3 3" xfId="28069" xr:uid="{00000000-0005-0000-0000-0000786E0000}"/>
    <cellStyle name="Pre-inputted cells 6 2 2 2 30" xfId="28070" xr:uid="{00000000-0005-0000-0000-0000796E0000}"/>
    <cellStyle name="Pre-inputted cells 6 2 2 2 31" xfId="28071" xr:uid="{00000000-0005-0000-0000-00007A6E0000}"/>
    <cellStyle name="Pre-inputted cells 6 2 2 2 32" xfId="28072" xr:uid="{00000000-0005-0000-0000-00007B6E0000}"/>
    <cellStyle name="Pre-inputted cells 6 2 2 2 33" xfId="28073" xr:uid="{00000000-0005-0000-0000-00007C6E0000}"/>
    <cellStyle name="Pre-inputted cells 6 2 2 2 34" xfId="28074" xr:uid="{00000000-0005-0000-0000-00007D6E0000}"/>
    <cellStyle name="Pre-inputted cells 6 2 2 2 4" xfId="28075" xr:uid="{00000000-0005-0000-0000-00007E6E0000}"/>
    <cellStyle name="Pre-inputted cells 6 2 2 2 4 2" xfId="28076" xr:uid="{00000000-0005-0000-0000-00007F6E0000}"/>
    <cellStyle name="Pre-inputted cells 6 2 2 2 4 3" xfId="28077" xr:uid="{00000000-0005-0000-0000-0000806E0000}"/>
    <cellStyle name="Pre-inputted cells 6 2 2 2 5" xfId="28078" xr:uid="{00000000-0005-0000-0000-0000816E0000}"/>
    <cellStyle name="Pre-inputted cells 6 2 2 2 6" xfId="28079" xr:uid="{00000000-0005-0000-0000-0000826E0000}"/>
    <cellStyle name="Pre-inputted cells 6 2 2 2 7" xfId="28080" xr:uid="{00000000-0005-0000-0000-0000836E0000}"/>
    <cellStyle name="Pre-inputted cells 6 2 2 2 8" xfId="28081" xr:uid="{00000000-0005-0000-0000-0000846E0000}"/>
    <cellStyle name="Pre-inputted cells 6 2 2 2 9" xfId="28082" xr:uid="{00000000-0005-0000-0000-0000856E0000}"/>
    <cellStyle name="Pre-inputted cells 6 2 2 20" xfId="28083" xr:uid="{00000000-0005-0000-0000-0000866E0000}"/>
    <cellStyle name="Pre-inputted cells 6 2 2 21" xfId="28084" xr:uid="{00000000-0005-0000-0000-0000876E0000}"/>
    <cellStyle name="Pre-inputted cells 6 2 2 22" xfId="28085" xr:uid="{00000000-0005-0000-0000-0000886E0000}"/>
    <cellStyle name="Pre-inputted cells 6 2 2 23" xfId="28086" xr:uid="{00000000-0005-0000-0000-0000896E0000}"/>
    <cellStyle name="Pre-inputted cells 6 2 2 24" xfId="28087" xr:uid="{00000000-0005-0000-0000-00008A6E0000}"/>
    <cellStyle name="Pre-inputted cells 6 2 2 25" xfId="28088" xr:uid="{00000000-0005-0000-0000-00008B6E0000}"/>
    <cellStyle name="Pre-inputted cells 6 2 2 26" xfId="28089" xr:uid="{00000000-0005-0000-0000-00008C6E0000}"/>
    <cellStyle name="Pre-inputted cells 6 2 2 27" xfId="28090" xr:uid="{00000000-0005-0000-0000-00008D6E0000}"/>
    <cellStyle name="Pre-inputted cells 6 2 2 28" xfId="28091" xr:uid="{00000000-0005-0000-0000-00008E6E0000}"/>
    <cellStyle name="Pre-inputted cells 6 2 2 29" xfId="28092" xr:uid="{00000000-0005-0000-0000-00008F6E0000}"/>
    <cellStyle name="Pre-inputted cells 6 2 2 3" xfId="28093" xr:uid="{00000000-0005-0000-0000-0000906E0000}"/>
    <cellStyle name="Pre-inputted cells 6 2 2 3 10" xfId="28094" xr:uid="{00000000-0005-0000-0000-0000916E0000}"/>
    <cellStyle name="Pre-inputted cells 6 2 2 3 11" xfId="28095" xr:uid="{00000000-0005-0000-0000-0000926E0000}"/>
    <cellStyle name="Pre-inputted cells 6 2 2 3 12" xfId="28096" xr:uid="{00000000-0005-0000-0000-0000936E0000}"/>
    <cellStyle name="Pre-inputted cells 6 2 2 3 13" xfId="28097" xr:uid="{00000000-0005-0000-0000-0000946E0000}"/>
    <cellStyle name="Pre-inputted cells 6 2 2 3 2" xfId="28098" xr:uid="{00000000-0005-0000-0000-0000956E0000}"/>
    <cellStyle name="Pre-inputted cells 6 2 2 3 2 2" xfId="28099" xr:uid="{00000000-0005-0000-0000-0000966E0000}"/>
    <cellStyle name="Pre-inputted cells 6 2 2 3 2 3" xfId="28100" xr:uid="{00000000-0005-0000-0000-0000976E0000}"/>
    <cellStyle name="Pre-inputted cells 6 2 2 3 3" xfId="28101" xr:uid="{00000000-0005-0000-0000-0000986E0000}"/>
    <cellStyle name="Pre-inputted cells 6 2 2 3 3 2" xfId="28102" xr:uid="{00000000-0005-0000-0000-0000996E0000}"/>
    <cellStyle name="Pre-inputted cells 6 2 2 3 3 3" xfId="28103" xr:uid="{00000000-0005-0000-0000-00009A6E0000}"/>
    <cellStyle name="Pre-inputted cells 6 2 2 3 4" xfId="28104" xr:uid="{00000000-0005-0000-0000-00009B6E0000}"/>
    <cellStyle name="Pre-inputted cells 6 2 2 3 5" xfId="28105" xr:uid="{00000000-0005-0000-0000-00009C6E0000}"/>
    <cellStyle name="Pre-inputted cells 6 2 2 3 6" xfId="28106" xr:uid="{00000000-0005-0000-0000-00009D6E0000}"/>
    <cellStyle name="Pre-inputted cells 6 2 2 3 7" xfId="28107" xr:uid="{00000000-0005-0000-0000-00009E6E0000}"/>
    <cellStyle name="Pre-inputted cells 6 2 2 3 8" xfId="28108" xr:uid="{00000000-0005-0000-0000-00009F6E0000}"/>
    <cellStyle name="Pre-inputted cells 6 2 2 3 9" xfId="28109" xr:uid="{00000000-0005-0000-0000-0000A06E0000}"/>
    <cellStyle name="Pre-inputted cells 6 2 2 30" xfId="28110" xr:uid="{00000000-0005-0000-0000-0000A16E0000}"/>
    <cellStyle name="Pre-inputted cells 6 2 2 31" xfId="28111" xr:uid="{00000000-0005-0000-0000-0000A26E0000}"/>
    <cellStyle name="Pre-inputted cells 6 2 2 4" xfId="28112" xr:uid="{00000000-0005-0000-0000-0000A36E0000}"/>
    <cellStyle name="Pre-inputted cells 6 2 2 4 2" xfId="28113" xr:uid="{00000000-0005-0000-0000-0000A46E0000}"/>
    <cellStyle name="Pre-inputted cells 6 2 2 4 3" xfId="28114" xr:uid="{00000000-0005-0000-0000-0000A56E0000}"/>
    <cellStyle name="Pre-inputted cells 6 2 2 5" xfId="28115" xr:uid="{00000000-0005-0000-0000-0000A66E0000}"/>
    <cellStyle name="Pre-inputted cells 6 2 2 5 2" xfId="28116" xr:uid="{00000000-0005-0000-0000-0000A76E0000}"/>
    <cellStyle name="Pre-inputted cells 6 2 2 5 3" xfId="28117" xr:uid="{00000000-0005-0000-0000-0000A86E0000}"/>
    <cellStyle name="Pre-inputted cells 6 2 2 6" xfId="28118" xr:uid="{00000000-0005-0000-0000-0000A96E0000}"/>
    <cellStyle name="Pre-inputted cells 6 2 2 7" xfId="28119" xr:uid="{00000000-0005-0000-0000-0000AA6E0000}"/>
    <cellStyle name="Pre-inputted cells 6 2 2 8" xfId="28120" xr:uid="{00000000-0005-0000-0000-0000AB6E0000}"/>
    <cellStyle name="Pre-inputted cells 6 2 2 9" xfId="28121" xr:uid="{00000000-0005-0000-0000-0000AC6E0000}"/>
    <cellStyle name="Pre-inputted cells 6 2 2_4 28 1_Asst_Health_Crit_AllTO_RIIO_20110714pm" xfId="28122" xr:uid="{00000000-0005-0000-0000-0000AD6E0000}"/>
    <cellStyle name="Pre-inputted cells 6 2 20" xfId="28123" xr:uid="{00000000-0005-0000-0000-0000AE6E0000}"/>
    <cellStyle name="Pre-inputted cells 6 2 20 2" xfId="28124" xr:uid="{00000000-0005-0000-0000-0000AF6E0000}"/>
    <cellStyle name="Pre-inputted cells 6 2 21" xfId="28125" xr:uid="{00000000-0005-0000-0000-0000B06E0000}"/>
    <cellStyle name="Pre-inputted cells 6 2 21 2" xfId="28126" xr:uid="{00000000-0005-0000-0000-0000B16E0000}"/>
    <cellStyle name="Pre-inputted cells 6 2 22" xfId="28127" xr:uid="{00000000-0005-0000-0000-0000B26E0000}"/>
    <cellStyle name="Pre-inputted cells 6 2 22 2" xfId="28128" xr:uid="{00000000-0005-0000-0000-0000B36E0000}"/>
    <cellStyle name="Pre-inputted cells 6 2 23" xfId="28129" xr:uid="{00000000-0005-0000-0000-0000B46E0000}"/>
    <cellStyle name="Pre-inputted cells 6 2 23 2" xfId="28130" xr:uid="{00000000-0005-0000-0000-0000B56E0000}"/>
    <cellStyle name="Pre-inputted cells 6 2 24" xfId="28131" xr:uid="{00000000-0005-0000-0000-0000B66E0000}"/>
    <cellStyle name="Pre-inputted cells 6 2 24 2" xfId="28132" xr:uid="{00000000-0005-0000-0000-0000B76E0000}"/>
    <cellStyle name="Pre-inputted cells 6 2 25" xfId="28133" xr:uid="{00000000-0005-0000-0000-0000B86E0000}"/>
    <cellStyle name="Pre-inputted cells 6 2 25 2" xfId="28134" xr:uid="{00000000-0005-0000-0000-0000B96E0000}"/>
    <cellStyle name="Pre-inputted cells 6 2 26" xfId="28135" xr:uid="{00000000-0005-0000-0000-0000BA6E0000}"/>
    <cellStyle name="Pre-inputted cells 6 2 27" xfId="28136" xr:uid="{00000000-0005-0000-0000-0000BB6E0000}"/>
    <cellStyle name="Pre-inputted cells 6 2 28" xfId="28137" xr:uid="{00000000-0005-0000-0000-0000BC6E0000}"/>
    <cellStyle name="Pre-inputted cells 6 2 29" xfId="28138" xr:uid="{00000000-0005-0000-0000-0000BD6E0000}"/>
    <cellStyle name="Pre-inputted cells 6 2 3" xfId="28139" xr:uid="{00000000-0005-0000-0000-0000BE6E0000}"/>
    <cellStyle name="Pre-inputted cells 6 2 3 10" xfId="28140" xr:uid="{00000000-0005-0000-0000-0000BF6E0000}"/>
    <cellStyle name="Pre-inputted cells 6 2 3 11" xfId="28141" xr:uid="{00000000-0005-0000-0000-0000C06E0000}"/>
    <cellStyle name="Pre-inputted cells 6 2 3 12" xfId="28142" xr:uid="{00000000-0005-0000-0000-0000C16E0000}"/>
    <cellStyle name="Pre-inputted cells 6 2 3 13" xfId="28143" xr:uid="{00000000-0005-0000-0000-0000C26E0000}"/>
    <cellStyle name="Pre-inputted cells 6 2 3 14" xfId="28144" xr:uid="{00000000-0005-0000-0000-0000C36E0000}"/>
    <cellStyle name="Pre-inputted cells 6 2 3 15" xfId="28145" xr:uid="{00000000-0005-0000-0000-0000C46E0000}"/>
    <cellStyle name="Pre-inputted cells 6 2 3 16" xfId="28146" xr:uid="{00000000-0005-0000-0000-0000C56E0000}"/>
    <cellStyle name="Pre-inputted cells 6 2 3 17" xfId="28147" xr:uid="{00000000-0005-0000-0000-0000C66E0000}"/>
    <cellStyle name="Pre-inputted cells 6 2 3 18" xfId="28148" xr:uid="{00000000-0005-0000-0000-0000C76E0000}"/>
    <cellStyle name="Pre-inputted cells 6 2 3 19" xfId="28149" xr:uid="{00000000-0005-0000-0000-0000C86E0000}"/>
    <cellStyle name="Pre-inputted cells 6 2 3 2" xfId="28150" xr:uid="{00000000-0005-0000-0000-0000C96E0000}"/>
    <cellStyle name="Pre-inputted cells 6 2 3 2 10" xfId="28151" xr:uid="{00000000-0005-0000-0000-0000CA6E0000}"/>
    <cellStyle name="Pre-inputted cells 6 2 3 2 11" xfId="28152" xr:uid="{00000000-0005-0000-0000-0000CB6E0000}"/>
    <cellStyle name="Pre-inputted cells 6 2 3 2 12" xfId="28153" xr:uid="{00000000-0005-0000-0000-0000CC6E0000}"/>
    <cellStyle name="Pre-inputted cells 6 2 3 2 13" xfId="28154" xr:uid="{00000000-0005-0000-0000-0000CD6E0000}"/>
    <cellStyle name="Pre-inputted cells 6 2 3 2 2" xfId="28155" xr:uid="{00000000-0005-0000-0000-0000CE6E0000}"/>
    <cellStyle name="Pre-inputted cells 6 2 3 2 2 2" xfId="28156" xr:uid="{00000000-0005-0000-0000-0000CF6E0000}"/>
    <cellStyle name="Pre-inputted cells 6 2 3 2 2 3" xfId="28157" xr:uid="{00000000-0005-0000-0000-0000D06E0000}"/>
    <cellStyle name="Pre-inputted cells 6 2 3 2 3" xfId="28158" xr:uid="{00000000-0005-0000-0000-0000D16E0000}"/>
    <cellStyle name="Pre-inputted cells 6 2 3 2 3 2" xfId="28159" xr:uid="{00000000-0005-0000-0000-0000D26E0000}"/>
    <cellStyle name="Pre-inputted cells 6 2 3 2 3 3" xfId="28160" xr:uid="{00000000-0005-0000-0000-0000D36E0000}"/>
    <cellStyle name="Pre-inputted cells 6 2 3 2 4" xfId="28161" xr:uid="{00000000-0005-0000-0000-0000D46E0000}"/>
    <cellStyle name="Pre-inputted cells 6 2 3 2 5" xfId="28162" xr:uid="{00000000-0005-0000-0000-0000D56E0000}"/>
    <cellStyle name="Pre-inputted cells 6 2 3 2 6" xfId="28163" xr:uid="{00000000-0005-0000-0000-0000D66E0000}"/>
    <cellStyle name="Pre-inputted cells 6 2 3 2 7" xfId="28164" xr:uid="{00000000-0005-0000-0000-0000D76E0000}"/>
    <cellStyle name="Pre-inputted cells 6 2 3 2 8" xfId="28165" xr:uid="{00000000-0005-0000-0000-0000D86E0000}"/>
    <cellStyle name="Pre-inputted cells 6 2 3 2 9" xfId="28166" xr:uid="{00000000-0005-0000-0000-0000D96E0000}"/>
    <cellStyle name="Pre-inputted cells 6 2 3 20" xfId="28167" xr:uid="{00000000-0005-0000-0000-0000DA6E0000}"/>
    <cellStyle name="Pre-inputted cells 6 2 3 21" xfId="28168" xr:uid="{00000000-0005-0000-0000-0000DB6E0000}"/>
    <cellStyle name="Pre-inputted cells 6 2 3 22" xfId="28169" xr:uid="{00000000-0005-0000-0000-0000DC6E0000}"/>
    <cellStyle name="Pre-inputted cells 6 2 3 23" xfId="28170" xr:uid="{00000000-0005-0000-0000-0000DD6E0000}"/>
    <cellStyle name="Pre-inputted cells 6 2 3 24" xfId="28171" xr:uid="{00000000-0005-0000-0000-0000DE6E0000}"/>
    <cellStyle name="Pre-inputted cells 6 2 3 25" xfId="28172" xr:uid="{00000000-0005-0000-0000-0000DF6E0000}"/>
    <cellStyle name="Pre-inputted cells 6 2 3 26" xfId="28173" xr:uid="{00000000-0005-0000-0000-0000E06E0000}"/>
    <cellStyle name="Pre-inputted cells 6 2 3 27" xfId="28174" xr:uid="{00000000-0005-0000-0000-0000E16E0000}"/>
    <cellStyle name="Pre-inputted cells 6 2 3 28" xfId="28175" xr:uid="{00000000-0005-0000-0000-0000E26E0000}"/>
    <cellStyle name="Pre-inputted cells 6 2 3 29" xfId="28176" xr:uid="{00000000-0005-0000-0000-0000E36E0000}"/>
    <cellStyle name="Pre-inputted cells 6 2 3 3" xfId="28177" xr:uid="{00000000-0005-0000-0000-0000E46E0000}"/>
    <cellStyle name="Pre-inputted cells 6 2 3 3 2" xfId="28178" xr:uid="{00000000-0005-0000-0000-0000E56E0000}"/>
    <cellStyle name="Pre-inputted cells 6 2 3 3 3" xfId="28179" xr:uid="{00000000-0005-0000-0000-0000E66E0000}"/>
    <cellStyle name="Pre-inputted cells 6 2 3 30" xfId="28180" xr:uid="{00000000-0005-0000-0000-0000E76E0000}"/>
    <cellStyle name="Pre-inputted cells 6 2 3 4" xfId="28181" xr:uid="{00000000-0005-0000-0000-0000E86E0000}"/>
    <cellStyle name="Pre-inputted cells 6 2 3 4 2" xfId="28182" xr:uid="{00000000-0005-0000-0000-0000E96E0000}"/>
    <cellStyle name="Pre-inputted cells 6 2 3 4 3" xfId="28183" xr:uid="{00000000-0005-0000-0000-0000EA6E0000}"/>
    <cellStyle name="Pre-inputted cells 6 2 3 5" xfId="28184" xr:uid="{00000000-0005-0000-0000-0000EB6E0000}"/>
    <cellStyle name="Pre-inputted cells 6 2 3 6" xfId="28185" xr:uid="{00000000-0005-0000-0000-0000EC6E0000}"/>
    <cellStyle name="Pre-inputted cells 6 2 3 7" xfId="28186" xr:uid="{00000000-0005-0000-0000-0000ED6E0000}"/>
    <cellStyle name="Pre-inputted cells 6 2 3 8" xfId="28187" xr:uid="{00000000-0005-0000-0000-0000EE6E0000}"/>
    <cellStyle name="Pre-inputted cells 6 2 3 9" xfId="28188" xr:uid="{00000000-0005-0000-0000-0000EF6E0000}"/>
    <cellStyle name="Pre-inputted cells 6 2 30" xfId="28189" xr:uid="{00000000-0005-0000-0000-0000F06E0000}"/>
    <cellStyle name="Pre-inputted cells 6 2 31" xfId="28190" xr:uid="{00000000-0005-0000-0000-0000F16E0000}"/>
    <cellStyle name="Pre-inputted cells 6 2 32" xfId="28191" xr:uid="{00000000-0005-0000-0000-0000F26E0000}"/>
    <cellStyle name="Pre-inputted cells 6 2 33" xfId="28192" xr:uid="{00000000-0005-0000-0000-0000F36E0000}"/>
    <cellStyle name="Pre-inputted cells 6 2 4" xfId="28193" xr:uid="{00000000-0005-0000-0000-0000F46E0000}"/>
    <cellStyle name="Pre-inputted cells 6 2 4 10" xfId="28194" xr:uid="{00000000-0005-0000-0000-0000F56E0000}"/>
    <cellStyle name="Pre-inputted cells 6 2 4 11" xfId="28195" xr:uid="{00000000-0005-0000-0000-0000F66E0000}"/>
    <cellStyle name="Pre-inputted cells 6 2 4 12" xfId="28196" xr:uid="{00000000-0005-0000-0000-0000F76E0000}"/>
    <cellStyle name="Pre-inputted cells 6 2 4 13" xfId="28197" xr:uid="{00000000-0005-0000-0000-0000F86E0000}"/>
    <cellStyle name="Pre-inputted cells 6 2 4 14" xfId="28198" xr:uid="{00000000-0005-0000-0000-0000F96E0000}"/>
    <cellStyle name="Pre-inputted cells 6 2 4 15" xfId="28199" xr:uid="{00000000-0005-0000-0000-0000FA6E0000}"/>
    <cellStyle name="Pre-inputted cells 6 2 4 16" xfId="28200" xr:uid="{00000000-0005-0000-0000-0000FB6E0000}"/>
    <cellStyle name="Pre-inputted cells 6 2 4 17" xfId="28201" xr:uid="{00000000-0005-0000-0000-0000FC6E0000}"/>
    <cellStyle name="Pre-inputted cells 6 2 4 18" xfId="28202" xr:uid="{00000000-0005-0000-0000-0000FD6E0000}"/>
    <cellStyle name="Pre-inputted cells 6 2 4 19" xfId="28203" xr:uid="{00000000-0005-0000-0000-0000FE6E0000}"/>
    <cellStyle name="Pre-inputted cells 6 2 4 2" xfId="28204" xr:uid="{00000000-0005-0000-0000-0000FF6E0000}"/>
    <cellStyle name="Pre-inputted cells 6 2 4 2 10" xfId="28205" xr:uid="{00000000-0005-0000-0000-0000006F0000}"/>
    <cellStyle name="Pre-inputted cells 6 2 4 2 11" xfId="28206" xr:uid="{00000000-0005-0000-0000-0000016F0000}"/>
    <cellStyle name="Pre-inputted cells 6 2 4 2 12" xfId="28207" xr:uid="{00000000-0005-0000-0000-0000026F0000}"/>
    <cellStyle name="Pre-inputted cells 6 2 4 2 13" xfId="28208" xr:uid="{00000000-0005-0000-0000-0000036F0000}"/>
    <cellStyle name="Pre-inputted cells 6 2 4 2 2" xfId="28209" xr:uid="{00000000-0005-0000-0000-0000046F0000}"/>
    <cellStyle name="Pre-inputted cells 6 2 4 2 2 2" xfId="28210" xr:uid="{00000000-0005-0000-0000-0000056F0000}"/>
    <cellStyle name="Pre-inputted cells 6 2 4 2 2 3" xfId="28211" xr:uid="{00000000-0005-0000-0000-0000066F0000}"/>
    <cellStyle name="Pre-inputted cells 6 2 4 2 3" xfId="28212" xr:uid="{00000000-0005-0000-0000-0000076F0000}"/>
    <cellStyle name="Pre-inputted cells 6 2 4 2 3 2" xfId="28213" xr:uid="{00000000-0005-0000-0000-0000086F0000}"/>
    <cellStyle name="Pre-inputted cells 6 2 4 2 3 3" xfId="28214" xr:uid="{00000000-0005-0000-0000-0000096F0000}"/>
    <cellStyle name="Pre-inputted cells 6 2 4 2 4" xfId="28215" xr:uid="{00000000-0005-0000-0000-00000A6F0000}"/>
    <cellStyle name="Pre-inputted cells 6 2 4 2 5" xfId="28216" xr:uid="{00000000-0005-0000-0000-00000B6F0000}"/>
    <cellStyle name="Pre-inputted cells 6 2 4 2 6" xfId="28217" xr:uid="{00000000-0005-0000-0000-00000C6F0000}"/>
    <cellStyle name="Pre-inputted cells 6 2 4 2 7" xfId="28218" xr:uid="{00000000-0005-0000-0000-00000D6F0000}"/>
    <cellStyle name="Pre-inputted cells 6 2 4 2 8" xfId="28219" xr:uid="{00000000-0005-0000-0000-00000E6F0000}"/>
    <cellStyle name="Pre-inputted cells 6 2 4 2 9" xfId="28220" xr:uid="{00000000-0005-0000-0000-00000F6F0000}"/>
    <cellStyle name="Pre-inputted cells 6 2 4 20" xfId="28221" xr:uid="{00000000-0005-0000-0000-0000106F0000}"/>
    <cellStyle name="Pre-inputted cells 6 2 4 21" xfId="28222" xr:uid="{00000000-0005-0000-0000-0000116F0000}"/>
    <cellStyle name="Pre-inputted cells 6 2 4 22" xfId="28223" xr:uid="{00000000-0005-0000-0000-0000126F0000}"/>
    <cellStyle name="Pre-inputted cells 6 2 4 23" xfId="28224" xr:uid="{00000000-0005-0000-0000-0000136F0000}"/>
    <cellStyle name="Pre-inputted cells 6 2 4 24" xfId="28225" xr:uid="{00000000-0005-0000-0000-0000146F0000}"/>
    <cellStyle name="Pre-inputted cells 6 2 4 25" xfId="28226" xr:uid="{00000000-0005-0000-0000-0000156F0000}"/>
    <cellStyle name="Pre-inputted cells 6 2 4 26" xfId="28227" xr:uid="{00000000-0005-0000-0000-0000166F0000}"/>
    <cellStyle name="Pre-inputted cells 6 2 4 27" xfId="28228" xr:uid="{00000000-0005-0000-0000-0000176F0000}"/>
    <cellStyle name="Pre-inputted cells 6 2 4 28" xfId="28229" xr:uid="{00000000-0005-0000-0000-0000186F0000}"/>
    <cellStyle name="Pre-inputted cells 6 2 4 29" xfId="28230" xr:uid="{00000000-0005-0000-0000-0000196F0000}"/>
    <cellStyle name="Pre-inputted cells 6 2 4 3" xfId="28231" xr:uid="{00000000-0005-0000-0000-00001A6F0000}"/>
    <cellStyle name="Pre-inputted cells 6 2 4 3 2" xfId="28232" xr:uid="{00000000-0005-0000-0000-00001B6F0000}"/>
    <cellStyle name="Pre-inputted cells 6 2 4 3 3" xfId="28233" xr:uid="{00000000-0005-0000-0000-00001C6F0000}"/>
    <cellStyle name="Pre-inputted cells 6 2 4 30" xfId="28234" xr:uid="{00000000-0005-0000-0000-00001D6F0000}"/>
    <cellStyle name="Pre-inputted cells 6 2 4 4" xfId="28235" xr:uid="{00000000-0005-0000-0000-00001E6F0000}"/>
    <cellStyle name="Pre-inputted cells 6 2 4 4 2" xfId="28236" xr:uid="{00000000-0005-0000-0000-00001F6F0000}"/>
    <cellStyle name="Pre-inputted cells 6 2 4 4 3" xfId="28237" xr:uid="{00000000-0005-0000-0000-0000206F0000}"/>
    <cellStyle name="Pre-inputted cells 6 2 4 5" xfId="28238" xr:uid="{00000000-0005-0000-0000-0000216F0000}"/>
    <cellStyle name="Pre-inputted cells 6 2 4 6" xfId="28239" xr:uid="{00000000-0005-0000-0000-0000226F0000}"/>
    <cellStyle name="Pre-inputted cells 6 2 4 7" xfId="28240" xr:uid="{00000000-0005-0000-0000-0000236F0000}"/>
    <cellStyle name="Pre-inputted cells 6 2 4 8" xfId="28241" xr:uid="{00000000-0005-0000-0000-0000246F0000}"/>
    <cellStyle name="Pre-inputted cells 6 2 4 9" xfId="28242" xr:uid="{00000000-0005-0000-0000-0000256F0000}"/>
    <cellStyle name="Pre-inputted cells 6 2 5" xfId="28243" xr:uid="{00000000-0005-0000-0000-0000266F0000}"/>
    <cellStyle name="Pre-inputted cells 6 2 5 10" xfId="28244" xr:uid="{00000000-0005-0000-0000-0000276F0000}"/>
    <cellStyle name="Pre-inputted cells 6 2 5 11" xfId="28245" xr:uid="{00000000-0005-0000-0000-0000286F0000}"/>
    <cellStyle name="Pre-inputted cells 6 2 5 12" xfId="28246" xr:uid="{00000000-0005-0000-0000-0000296F0000}"/>
    <cellStyle name="Pre-inputted cells 6 2 5 13" xfId="28247" xr:uid="{00000000-0005-0000-0000-00002A6F0000}"/>
    <cellStyle name="Pre-inputted cells 6 2 5 2" xfId="28248" xr:uid="{00000000-0005-0000-0000-00002B6F0000}"/>
    <cellStyle name="Pre-inputted cells 6 2 5 2 2" xfId="28249" xr:uid="{00000000-0005-0000-0000-00002C6F0000}"/>
    <cellStyle name="Pre-inputted cells 6 2 5 2 3" xfId="28250" xr:uid="{00000000-0005-0000-0000-00002D6F0000}"/>
    <cellStyle name="Pre-inputted cells 6 2 5 3" xfId="28251" xr:uid="{00000000-0005-0000-0000-00002E6F0000}"/>
    <cellStyle name="Pre-inputted cells 6 2 5 3 2" xfId="28252" xr:uid="{00000000-0005-0000-0000-00002F6F0000}"/>
    <cellStyle name="Pre-inputted cells 6 2 5 3 3" xfId="28253" xr:uid="{00000000-0005-0000-0000-0000306F0000}"/>
    <cellStyle name="Pre-inputted cells 6 2 5 4" xfId="28254" xr:uid="{00000000-0005-0000-0000-0000316F0000}"/>
    <cellStyle name="Pre-inputted cells 6 2 5 5" xfId="28255" xr:uid="{00000000-0005-0000-0000-0000326F0000}"/>
    <cellStyle name="Pre-inputted cells 6 2 5 6" xfId="28256" xr:uid="{00000000-0005-0000-0000-0000336F0000}"/>
    <cellStyle name="Pre-inputted cells 6 2 5 7" xfId="28257" xr:uid="{00000000-0005-0000-0000-0000346F0000}"/>
    <cellStyle name="Pre-inputted cells 6 2 5 8" xfId="28258" xr:uid="{00000000-0005-0000-0000-0000356F0000}"/>
    <cellStyle name="Pre-inputted cells 6 2 5 9" xfId="28259" xr:uid="{00000000-0005-0000-0000-0000366F0000}"/>
    <cellStyle name="Pre-inputted cells 6 2 6" xfId="28260" xr:uid="{00000000-0005-0000-0000-0000376F0000}"/>
    <cellStyle name="Pre-inputted cells 6 2 6 2" xfId="28261" xr:uid="{00000000-0005-0000-0000-0000386F0000}"/>
    <cellStyle name="Pre-inputted cells 6 2 6 2 2" xfId="28262" xr:uid="{00000000-0005-0000-0000-0000396F0000}"/>
    <cellStyle name="Pre-inputted cells 6 2 6 2 3" xfId="28263" xr:uid="{00000000-0005-0000-0000-00003A6F0000}"/>
    <cellStyle name="Pre-inputted cells 6 2 6 3" xfId="28264" xr:uid="{00000000-0005-0000-0000-00003B6F0000}"/>
    <cellStyle name="Pre-inputted cells 6 2 6 3 2" xfId="28265" xr:uid="{00000000-0005-0000-0000-00003C6F0000}"/>
    <cellStyle name="Pre-inputted cells 6 2 6 4" xfId="28266" xr:uid="{00000000-0005-0000-0000-00003D6F0000}"/>
    <cellStyle name="Pre-inputted cells 6 2 7" xfId="28267" xr:uid="{00000000-0005-0000-0000-00003E6F0000}"/>
    <cellStyle name="Pre-inputted cells 6 2 7 2" xfId="28268" xr:uid="{00000000-0005-0000-0000-00003F6F0000}"/>
    <cellStyle name="Pre-inputted cells 6 2 8" xfId="28269" xr:uid="{00000000-0005-0000-0000-0000406F0000}"/>
    <cellStyle name="Pre-inputted cells 6 2 8 2" xfId="28270" xr:uid="{00000000-0005-0000-0000-0000416F0000}"/>
    <cellStyle name="Pre-inputted cells 6 2 9" xfId="28271" xr:uid="{00000000-0005-0000-0000-0000426F0000}"/>
    <cellStyle name="Pre-inputted cells 6 2 9 2" xfId="28272" xr:uid="{00000000-0005-0000-0000-0000436F0000}"/>
    <cellStyle name="Pre-inputted cells 6 2_4 28 1_Asst_Health_Crit_AllTO_RIIO_20110714pm" xfId="28273" xr:uid="{00000000-0005-0000-0000-0000446F0000}"/>
    <cellStyle name="Pre-inputted cells 6 20" xfId="28274" xr:uid="{00000000-0005-0000-0000-0000456F0000}"/>
    <cellStyle name="Pre-inputted cells 6 20 2" xfId="28275" xr:uid="{00000000-0005-0000-0000-0000466F0000}"/>
    <cellStyle name="Pre-inputted cells 6 21" xfId="28276" xr:uid="{00000000-0005-0000-0000-0000476F0000}"/>
    <cellStyle name="Pre-inputted cells 6 21 2" xfId="28277" xr:uid="{00000000-0005-0000-0000-0000486F0000}"/>
    <cellStyle name="Pre-inputted cells 6 22" xfId="28278" xr:uid="{00000000-0005-0000-0000-0000496F0000}"/>
    <cellStyle name="Pre-inputted cells 6 22 2" xfId="28279" xr:uid="{00000000-0005-0000-0000-00004A6F0000}"/>
    <cellStyle name="Pre-inputted cells 6 23" xfId="28280" xr:uid="{00000000-0005-0000-0000-00004B6F0000}"/>
    <cellStyle name="Pre-inputted cells 6 23 2" xfId="28281" xr:uid="{00000000-0005-0000-0000-00004C6F0000}"/>
    <cellStyle name="Pre-inputted cells 6 24" xfId="28282" xr:uid="{00000000-0005-0000-0000-00004D6F0000}"/>
    <cellStyle name="Pre-inputted cells 6 24 2" xfId="28283" xr:uid="{00000000-0005-0000-0000-00004E6F0000}"/>
    <cellStyle name="Pre-inputted cells 6 25" xfId="28284" xr:uid="{00000000-0005-0000-0000-00004F6F0000}"/>
    <cellStyle name="Pre-inputted cells 6 25 2" xfId="28285" xr:uid="{00000000-0005-0000-0000-0000506F0000}"/>
    <cellStyle name="Pre-inputted cells 6 26" xfId="28286" xr:uid="{00000000-0005-0000-0000-0000516F0000}"/>
    <cellStyle name="Pre-inputted cells 6 26 2" xfId="28287" xr:uid="{00000000-0005-0000-0000-0000526F0000}"/>
    <cellStyle name="Pre-inputted cells 6 27" xfId="28288" xr:uid="{00000000-0005-0000-0000-0000536F0000}"/>
    <cellStyle name="Pre-inputted cells 6 28" xfId="28289" xr:uid="{00000000-0005-0000-0000-0000546F0000}"/>
    <cellStyle name="Pre-inputted cells 6 29" xfId="28290" xr:uid="{00000000-0005-0000-0000-0000556F0000}"/>
    <cellStyle name="Pre-inputted cells 6 3" xfId="28291" xr:uid="{00000000-0005-0000-0000-0000566F0000}"/>
    <cellStyle name="Pre-inputted cells 6 3 10" xfId="28292" xr:uid="{00000000-0005-0000-0000-0000576F0000}"/>
    <cellStyle name="Pre-inputted cells 6 3 11" xfId="28293" xr:uid="{00000000-0005-0000-0000-0000586F0000}"/>
    <cellStyle name="Pre-inputted cells 6 3 12" xfId="28294" xr:uid="{00000000-0005-0000-0000-0000596F0000}"/>
    <cellStyle name="Pre-inputted cells 6 3 13" xfId="28295" xr:uid="{00000000-0005-0000-0000-00005A6F0000}"/>
    <cellStyle name="Pre-inputted cells 6 3 14" xfId="28296" xr:uid="{00000000-0005-0000-0000-00005B6F0000}"/>
    <cellStyle name="Pre-inputted cells 6 3 15" xfId="28297" xr:uid="{00000000-0005-0000-0000-00005C6F0000}"/>
    <cellStyle name="Pre-inputted cells 6 3 16" xfId="28298" xr:uid="{00000000-0005-0000-0000-00005D6F0000}"/>
    <cellStyle name="Pre-inputted cells 6 3 17" xfId="28299" xr:uid="{00000000-0005-0000-0000-00005E6F0000}"/>
    <cellStyle name="Pre-inputted cells 6 3 18" xfId="28300" xr:uid="{00000000-0005-0000-0000-00005F6F0000}"/>
    <cellStyle name="Pre-inputted cells 6 3 19" xfId="28301" xr:uid="{00000000-0005-0000-0000-0000606F0000}"/>
    <cellStyle name="Pre-inputted cells 6 3 2" xfId="28302" xr:uid="{00000000-0005-0000-0000-0000616F0000}"/>
    <cellStyle name="Pre-inputted cells 6 3 2 10" xfId="28303" xr:uid="{00000000-0005-0000-0000-0000626F0000}"/>
    <cellStyle name="Pre-inputted cells 6 3 2 11" xfId="28304" xr:uid="{00000000-0005-0000-0000-0000636F0000}"/>
    <cellStyle name="Pre-inputted cells 6 3 2 12" xfId="28305" xr:uid="{00000000-0005-0000-0000-0000646F0000}"/>
    <cellStyle name="Pre-inputted cells 6 3 2 13" xfId="28306" xr:uid="{00000000-0005-0000-0000-0000656F0000}"/>
    <cellStyle name="Pre-inputted cells 6 3 2 14" xfId="28307" xr:uid="{00000000-0005-0000-0000-0000666F0000}"/>
    <cellStyle name="Pre-inputted cells 6 3 2 15" xfId="28308" xr:uid="{00000000-0005-0000-0000-0000676F0000}"/>
    <cellStyle name="Pre-inputted cells 6 3 2 16" xfId="28309" xr:uid="{00000000-0005-0000-0000-0000686F0000}"/>
    <cellStyle name="Pre-inputted cells 6 3 2 17" xfId="28310" xr:uid="{00000000-0005-0000-0000-0000696F0000}"/>
    <cellStyle name="Pre-inputted cells 6 3 2 18" xfId="28311" xr:uid="{00000000-0005-0000-0000-00006A6F0000}"/>
    <cellStyle name="Pre-inputted cells 6 3 2 19" xfId="28312" xr:uid="{00000000-0005-0000-0000-00006B6F0000}"/>
    <cellStyle name="Pre-inputted cells 6 3 2 2" xfId="28313" xr:uid="{00000000-0005-0000-0000-00006C6F0000}"/>
    <cellStyle name="Pre-inputted cells 6 3 2 2 10" xfId="28314" xr:uid="{00000000-0005-0000-0000-00006D6F0000}"/>
    <cellStyle name="Pre-inputted cells 6 3 2 2 11" xfId="28315" xr:uid="{00000000-0005-0000-0000-00006E6F0000}"/>
    <cellStyle name="Pre-inputted cells 6 3 2 2 12" xfId="28316" xr:uid="{00000000-0005-0000-0000-00006F6F0000}"/>
    <cellStyle name="Pre-inputted cells 6 3 2 2 13" xfId="28317" xr:uid="{00000000-0005-0000-0000-0000706F0000}"/>
    <cellStyle name="Pre-inputted cells 6 3 2 2 2" xfId="28318" xr:uid="{00000000-0005-0000-0000-0000716F0000}"/>
    <cellStyle name="Pre-inputted cells 6 3 2 2 2 2" xfId="28319" xr:uid="{00000000-0005-0000-0000-0000726F0000}"/>
    <cellStyle name="Pre-inputted cells 6 3 2 2 2 3" xfId="28320" xr:uid="{00000000-0005-0000-0000-0000736F0000}"/>
    <cellStyle name="Pre-inputted cells 6 3 2 2 3" xfId="28321" xr:uid="{00000000-0005-0000-0000-0000746F0000}"/>
    <cellStyle name="Pre-inputted cells 6 3 2 2 3 2" xfId="28322" xr:uid="{00000000-0005-0000-0000-0000756F0000}"/>
    <cellStyle name="Pre-inputted cells 6 3 2 2 3 3" xfId="28323" xr:uid="{00000000-0005-0000-0000-0000766F0000}"/>
    <cellStyle name="Pre-inputted cells 6 3 2 2 4" xfId="28324" xr:uid="{00000000-0005-0000-0000-0000776F0000}"/>
    <cellStyle name="Pre-inputted cells 6 3 2 2 5" xfId="28325" xr:uid="{00000000-0005-0000-0000-0000786F0000}"/>
    <cellStyle name="Pre-inputted cells 6 3 2 2 6" xfId="28326" xr:uid="{00000000-0005-0000-0000-0000796F0000}"/>
    <cellStyle name="Pre-inputted cells 6 3 2 2 7" xfId="28327" xr:uid="{00000000-0005-0000-0000-00007A6F0000}"/>
    <cellStyle name="Pre-inputted cells 6 3 2 2 8" xfId="28328" xr:uid="{00000000-0005-0000-0000-00007B6F0000}"/>
    <cellStyle name="Pre-inputted cells 6 3 2 2 9" xfId="28329" xr:uid="{00000000-0005-0000-0000-00007C6F0000}"/>
    <cellStyle name="Pre-inputted cells 6 3 2 20" xfId="28330" xr:uid="{00000000-0005-0000-0000-00007D6F0000}"/>
    <cellStyle name="Pre-inputted cells 6 3 2 21" xfId="28331" xr:uid="{00000000-0005-0000-0000-00007E6F0000}"/>
    <cellStyle name="Pre-inputted cells 6 3 2 22" xfId="28332" xr:uid="{00000000-0005-0000-0000-00007F6F0000}"/>
    <cellStyle name="Pre-inputted cells 6 3 2 23" xfId="28333" xr:uid="{00000000-0005-0000-0000-0000806F0000}"/>
    <cellStyle name="Pre-inputted cells 6 3 2 24" xfId="28334" xr:uid="{00000000-0005-0000-0000-0000816F0000}"/>
    <cellStyle name="Pre-inputted cells 6 3 2 25" xfId="28335" xr:uid="{00000000-0005-0000-0000-0000826F0000}"/>
    <cellStyle name="Pre-inputted cells 6 3 2 26" xfId="28336" xr:uid="{00000000-0005-0000-0000-0000836F0000}"/>
    <cellStyle name="Pre-inputted cells 6 3 2 27" xfId="28337" xr:uid="{00000000-0005-0000-0000-0000846F0000}"/>
    <cellStyle name="Pre-inputted cells 6 3 2 28" xfId="28338" xr:uid="{00000000-0005-0000-0000-0000856F0000}"/>
    <cellStyle name="Pre-inputted cells 6 3 2 29" xfId="28339" xr:uid="{00000000-0005-0000-0000-0000866F0000}"/>
    <cellStyle name="Pre-inputted cells 6 3 2 3" xfId="28340" xr:uid="{00000000-0005-0000-0000-0000876F0000}"/>
    <cellStyle name="Pre-inputted cells 6 3 2 3 2" xfId="28341" xr:uid="{00000000-0005-0000-0000-0000886F0000}"/>
    <cellStyle name="Pre-inputted cells 6 3 2 3 3" xfId="28342" xr:uid="{00000000-0005-0000-0000-0000896F0000}"/>
    <cellStyle name="Pre-inputted cells 6 3 2 30" xfId="28343" xr:uid="{00000000-0005-0000-0000-00008A6F0000}"/>
    <cellStyle name="Pre-inputted cells 6 3 2 31" xfId="28344" xr:uid="{00000000-0005-0000-0000-00008B6F0000}"/>
    <cellStyle name="Pre-inputted cells 6 3 2 32" xfId="28345" xr:uid="{00000000-0005-0000-0000-00008C6F0000}"/>
    <cellStyle name="Pre-inputted cells 6 3 2 33" xfId="28346" xr:uid="{00000000-0005-0000-0000-00008D6F0000}"/>
    <cellStyle name="Pre-inputted cells 6 3 2 34" xfId="28347" xr:uid="{00000000-0005-0000-0000-00008E6F0000}"/>
    <cellStyle name="Pre-inputted cells 6 3 2 4" xfId="28348" xr:uid="{00000000-0005-0000-0000-00008F6F0000}"/>
    <cellStyle name="Pre-inputted cells 6 3 2 4 2" xfId="28349" xr:uid="{00000000-0005-0000-0000-0000906F0000}"/>
    <cellStyle name="Pre-inputted cells 6 3 2 4 3" xfId="28350" xr:uid="{00000000-0005-0000-0000-0000916F0000}"/>
    <cellStyle name="Pre-inputted cells 6 3 2 5" xfId="28351" xr:uid="{00000000-0005-0000-0000-0000926F0000}"/>
    <cellStyle name="Pre-inputted cells 6 3 2 6" xfId="28352" xr:uid="{00000000-0005-0000-0000-0000936F0000}"/>
    <cellStyle name="Pre-inputted cells 6 3 2 7" xfId="28353" xr:uid="{00000000-0005-0000-0000-0000946F0000}"/>
    <cellStyle name="Pre-inputted cells 6 3 2 8" xfId="28354" xr:uid="{00000000-0005-0000-0000-0000956F0000}"/>
    <cellStyle name="Pre-inputted cells 6 3 2 9" xfId="28355" xr:uid="{00000000-0005-0000-0000-0000966F0000}"/>
    <cellStyle name="Pre-inputted cells 6 3 20" xfId="28356" xr:uid="{00000000-0005-0000-0000-0000976F0000}"/>
    <cellStyle name="Pre-inputted cells 6 3 21" xfId="28357" xr:uid="{00000000-0005-0000-0000-0000986F0000}"/>
    <cellStyle name="Pre-inputted cells 6 3 22" xfId="28358" xr:uid="{00000000-0005-0000-0000-0000996F0000}"/>
    <cellStyle name="Pre-inputted cells 6 3 23" xfId="28359" xr:uid="{00000000-0005-0000-0000-00009A6F0000}"/>
    <cellStyle name="Pre-inputted cells 6 3 24" xfId="28360" xr:uid="{00000000-0005-0000-0000-00009B6F0000}"/>
    <cellStyle name="Pre-inputted cells 6 3 25" xfId="28361" xr:uid="{00000000-0005-0000-0000-00009C6F0000}"/>
    <cellStyle name="Pre-inputted cells 6 3 26" xfId="28362" xr:uid="{00000000-0005-0000-0000-00009D6F0000}"/>
    <cellStyle name="Pre-inputted cells 6 3 27" xfId="28363" xr:uid="{00000000-0005-0000-0000-00009E6F0000}"/>
    <cellStyle name="Pre-inputted cells 6 3 28" xfId="28364" xr:uid="{00000000-0005-0000-0000-00009F6F0000}"/>
    <cellStyle name="Pre-inputted cells 6 3 29" xfId="28365" xr:uid="{00000000-0005-0000-0000-0000A06F0000}"/>
    <cellStyle name="Pre-inputted cells 6 3 3" xfId="28366" xr:uid="{00000000-0005-0000-0000-0000A16F0000}"/>
    <cellStyle name="Pre-inputted cells 6 3 3 10" xfId="28367" xr:uid="{00000000-0005-0000-0000-0000A26F0000}"/>
    <cellStyle name="Pre-inputted cells 6 3 3 11" xfId="28368" xr:uid="{00000000-0005-0000-0000-0000A36F0000}"/>
    <cellStyle name="Pre-inputted cells 6 3 3 12" xfId="28369" xr:uid="{00000000-0005-0000-0000-0000A46F0000}"/>
    <cellStyle name="Pre-inputted cells 6 3 3 13" xfId="28370" xr:uid="{00000000-0005-0000-0000-0000A56F0000}"/>
    <cellStyle name="Pre-inputted cells 6 3 3 2" xfId="28371" xr:uid="{00000000-0005-0000-0000-0000A66F0000}"/>
    <cellStyle name="Pre-inputted cells 6 3 3 2 2" xfId="28372" xr:uid="{00000000-0005-0000-0000-0000A76F0000}"/>
    <cellStyle name="Pre-inputted cells 6 3 3 2 3" xfId="28373" xr:uid="{00000000-0005-0000-0000-0000A86F0000}"/>
    <cellStyle name="Pre-inputted cells 6 3 3 3" xfId="28374" xr:uid="{00000000-0005-0000-0000-0000A96F0000}"/>
    <cellStyle name="Pre-inputted cells 6 3 3 3 2" xfId="28375" xr:uid="{00000000-0005-0000-0000-0000AA6F0000}"/>
    <cellStyle name="Pre-inputted cells 6 3 3 3 3" xfId="28376" xr:uid="{00000000-0005-0000-0000-0000AB6F0000}"/>
    <cellStyle name="Pre-inputted cells 6 3 3 4" xfId="28377" xr:uid="{00000000-0005-0000-0000-0000AC6F0000}"/>
    <cellStyle name="Pre-inputted cells 6 3 3 5" xfId="28378" xr:uid="{00000000-0005-0000-0000-0000AD6F0000}"/>
    <cellStyle name="Pre-inputted cells 6 3 3 6" xfId="28379" xr:uid="{00000000-0005-0000-0000-0000AE6F0000}"/>
    <cellStyle name="Pre-inputted cells 6 3 3 7" xfId="28380" xr:uid="{00000000-0005-0000-0000-0000AF6F0000}"/>
    <cellStyle name="Pre-inputted cells 6 3 3 8" xfId="28381" xr:uid="{00000000-0005-0000-0000-0000B06F0000}"/>
    <cellStyle name="Pre-inputted cells 6 3 3 9" xfId="28382" xr:uid="{00000000-0005-0000-0000-0000B16F0000}"/>
    <cellStyle name="Pre-inputted cells 6 3 30" xfId="28383" xr:uid="{00000000-0005-0000-0000-0000B26F0000}"/>
    <cellStyle name="Pre-inputted cells 6 3 31" xfId="28384" xr:uid="{00000000-0005-0000-0000-0000B36F0000}"/>
    <cellStyle name="Pre-inputted cells 6 3 32" xfId="28385" xr:uid="{00000000-0005-0000-0000-0000B46F0000}"/>
    <cellStyle name="Pre-inputted cells 6 3 33" xfId="28386" xr:uid="{00000000-0005-0000-0000-0000B56F0000}"/>
    <cellStyle name="Pre-inputted cells 6 3 34" xfId="28387" xr:uid="{00000000-0005-0000-0000-0000B66F0000}"/>
    <cellStyle name="Pre-inputted cells 6 3 35" xfId="28388" xr:uid="{00000000-0005-0000-0000-0000B76F0000}"/>
    <cellStyle name="Pre-inputted cells 6 3 4" xfId="28389" xr:uid="{00000000-0005-0000-0000-0000B86F0000}"/>
    <cellStyle name="Pre-inputted cells 6 3 4 2" xfId="28390" xr:uid="{00000000-0005-0000-0000-0000B96F0000}"/>
    <cellStyle name="Pre-inputted cells 6 3 4 3" xfId="28391" xr:uid="{00000000-0005-0000-0000-0000BA6F0000}"/>
    <cellStyle name="Pre-inputted cells 6 3 5" xfId="28392" xr:uid="{00000000-0005-0000-0000-0000BB6F0000}"/>
    <cellStyle name="Pre-inputted cells 6 3 5 2" xfId="28393" xr:uid="{00000000-0005-0000-0000-0000BC6F0000}"/>
    <cellStyle name="Pre-inputted cells 6 3 5 3" xfId="28394" xr:uid="{00000000-0005-0000-0000-0000BD6F0000}"/>
    <cellStyle name="Pre-inputted cells 6 3 6" xfId="28395" xr:uid="{00000000-0005-0000-0000-0000BE6F0000}"/>
    <cellStyle name="Pre-inputted cells 6 3 7" xfId="28396" xr:uid="{00000000-0005-0000-0000-0000BF6F0000}"/>
    <cellStyle name="Pre-inputted cells 6 3 8" xfId="28397" xr:uid="{00000000-0005-0000-0000-0000C06F0000}"/>
    <cellStyle name="Pre-inputted cells 6 3 9" xfId="28398" xr:uid="{00000000-0005-0000-0000-0000C16F0000}"/>
    <cellStyle name="Pre-inputted cells 6 3_4 28 1_Asst_Health_Crit_AllTO_RIIO_20110714pm" xfId="28399" xr:uid="{00000000-0005-0000-0000-0000C26F0000}"/>
    <cellStyle name="Pre-inputted cells 6 30" xfId="28400" xr:uid="{00000000-0005-0000-0000-0000C36F0000}"/>
    <cellStyle name="Pre-inputted cells 6 31" xfId="28401" xr:uid="{00000000-0005-0000-0000-0000C46F0000}"/>
    <cellStyle name="Pre-inputted cells 6 32" xfId="28402" xr:uid="{00000000-0005-0000-0000-0000C56F0000}"/>
    <cellStyle name="Pre-inputted cells 6 33" xfId="28403" xr:uid="{00000000-0005-0000-0000-0000C66F0000}"/>
    <cellStyle name="Pre-inputted cells 6 34" xfId="28404" xr:uid="{00000000-0005-0000-0000-0000C76F0000}"/>
    <cellStyle name="Pre-inputted cells 6 35" xfId="28405" xr:uid="{00000000-0005-0000-0000-0000C86F0000}"/>
    <cellStyle name="Pre-inputted cells 6 36" xfId="28406" xr:uid="{00000000-0005-0000-0000-0000C96F0000}"/>
    <cellStyle name="Pre-inputted cells 6 37" xfId="28407" xr:uid="{00000000-0005-0000-0000-0000CA6F0000}"/>
    <cellStyle name="Pre-inputted cells 6 38" xfId="28408" xr:uid="{00000000-0005-0000-0000-0000CB6F0000}"/>
    <cellStyle name="Pre-inputted cells 6 39" xfId="28409" xr:uid="{00000000-0005-0000-0000-0000CC6F0000}"/>
    <cellStyle name="Pre-inputted cells 6 4" xfId="28410" xr:uid="{00000000-0005-0000-0000-0000CD6F0000}"/>
    <cellStyle name="Pre-inputted cells 6 4 10" xfId="28411" xr:uid="{00000000-0005-0000-0000-0000CE6F0000}"/>
    <cellStyle name="Pre-inputted cells 6 4 11" xfId="28412" xr:uid="{00000000-0005-0000-0000-0000CF6F0000}"/>
    <cellStyle name="Pre-inputted cells 6 4 12" xfId="28413" xr:uid="{00000000-0005-0000-0000-0000D06F0000}"/>
    <cellStyle name="Pre-inputted cells 6 4 13" xfId="28414" xr:uid="{00000000-0005-0000-0000-0000D16F0000}"/>
    <cellStyle name="Pre-inputted cells 6 4 14" xfId="28415" xr:uid="{00000000-0005-0000-0000-0000D26F0000}"/>
    <cellStyle name="Pre-inputted cells 6 4 15" xfId="28416" xr:uid="{00000000-0005-0000-0000-0000D36F0000}"/>
    <cellStyle name="Pre-inputted cells 6 4 16" xfId="28417" xr:uid="{00000000-0005-0000-0000-0000D46F0000}"/>
    <cellStyle name="Pre-inputted cells 6 4 17" xfId="28418" xr:uid="{00000000-0005-0000-0000-0000D56F0000}"/>
    <cellStyle name="Pre-inputted cells 6 4 18" xfId="28419" xr:uid="{00000000-0005-0000-0000-0000D66F0000}"/>
    <cellStyle name="Pre-inputted cells 6 4 19" xfId="28420" xr:uid="{00000000-0005-0000-0000-0000D76F0000}"/>
    <cellStyle name="Pre-inputted cells 6 4 2" xfId="28421" xr:uid="{00000000-0005-0000-0000-0000D86F0000}"/>
    <cellStyle name="Pre-inputted cells 6 4 2 10" xfId="28422" xr:uid="{00000000-0005-0000-0000-0000D96F0000}"/>
    <cellStyle name="Pre-inputted cells 6 4 2 11" xfId="28423" xr:uid="{00000000-0005-0000-0000-0000DA6F0000}"/>
    <cellStyle name="Pre-inputted cells 6 4 2 12" xfId="28424" xr:uid="{00000000-0005-0000-0000-0000DB6F0000}"/>
    <cellStyle name="Pre-inputted cells 6 4 2 13" xfId="28425" xr:uid="{00000000-0005-0000-0000-0000DC6F0000}"/>
    <cellStyle name="Pre-inputted cells 6 4 2 2" xfId="28426" xr:uid="{00000000-0005-0000-0000-0000DD6F0000}"/>
    <cellStyle name="Pre-inputted cells 6 4 2 2 2" xfId="28427" xr:uid="{00000000-0005-0000-0000-0000DE6F0000}"/>
    <cellStyle name="Pre-inputted cells 6 4 2 2 3" xfId="28428" xr:uid="{00000000-0005-0000-0000-0000DF6F0000}"/>
    <cellStyle name="Pre-inputted cells 6 4 2 3" xfId="28429" xr:uid="{00000000-0005-0000-0000-0000E06F0000}"/>
    <cellStyle name="Pre-inputted cells 6 4 2 3 2" xfId="28430" xr:uid="{00000000-0005-0000-0000-0000E16F0000}"/>
    <cellStyle name="Pre-inputted cells 6 4 2 3 3" xfId="28431" xr:uid="{00000000-0005-0000-0000-0000E26F0000}"/>
    <cellStyle name="Pre-inputted cells 6 4 2 4" xfId="28432" xr:uid="{00000000-0005-0000-0000-0000E36F0000}"/>
    <cellStyle name="Pre-inputted cells 6 4 2 5" xfId="28433" xr:uid="{00000000-0005-0000-0000-0000E46F0000}"/>
    <cellStyle name="Pre-inputted cells 6 4 2 6" xfId="28434" xr:uid="{00000000-0005-0000-0000-0000E56F0000}"/>
    <cellStyle name="Pre-inputted cells 6 4 2 7" xfId="28435" xr:uid="{00000000-0005-0000-0000-0000E66F0000}"/>
    <cellStyle name="Pre-inputted cells 6 4 2 8" xfId="28436" xr:uid="{00000000-0005-0000-0000-0000E76F0000}"/>
    <cellStyle name="Pre-inputted cells 6 4 2 9" xfId="28437" xr:uid="{00000000-0005-0000-0000-0000E86F0000}"/>
    <cellStyle name="Pre-inputted cells 6 4 20" xfId="28438" xr:uid="{00000000-0005-0000-0000-0000E96F0000}"/>
    <cellStyle name="Pre-inputted cells 6 4 21" xfId="28439" xr:uid="{00000000-0005-0000-0000-0000EA6F0000}"/>
    <cellStyle name="Pre-inputted cells 6 4 22" xfId="28440" xr:uid="{00000000-0005-0000-0000-0000EB6F0000}"/>
    <cellStyle name="Pre-inputted cells 6 4 23" xfId="28441" xr:uid="{00000000-0005-0000-0000-0000EC6F0000}"/>
    <cellStyle name="Pre-inputted cells 6 4 24" xfId="28442" xr:uid="{00000000-0005-0000-0000-0000ED6F0000}"/>
    <cellStyle name="Pre-inputted cells 6 4 25" xfId="28443" xr:uid="{00000000-0005-0000-0000-0000EE6F0000}"/>
    <cellStyle name="Pre-inputted cells 6 4 26" xfId="28444" xr:uid="{00000000-0005-0000-0000-0000EF6F0000}"/>
    <cellStyle name="Pre-inputted cells 6 4 27" xfId="28445" xr:uid="{00000000-0005-0000-0000-0000F06F0000}"/>
    <cellStyle name="Pre-inputted cells 6 4 28" xfId="28446" xr:uid="{00000000-0005-0000-0000-0000F16F0000}"/>
    <cellStyle name="Pre-inputted cells 6 4 29" xfId="28447" xr:uid="{00000000-0005-0000-0000-0000F26F0000}"/>
    <cellStyle name="Pre-inputted cells 6 4 3" xfId="28448" xr:uid="{00000000-0005-0000-0000-0000F36F0000}"/>
    <cellStyle name="Pre-inputted cells 6 4 3 2" xfId="28449" xr:uid="{00000000-0005-0000-0000-0000F46F0000}"/>
    <cellStyle name="Pre-inputted cells 6 4 3 3" xfId="28450" xr:uid="{00000000-0005-0000-0000-0000F56F0000}"/>
    <cellStyle name="Pre-inputted cells 6 4 30" xfId="28451" xr:uid="{00000000-0005-0000-0000-0000F66F0000}"/>
    <cellStyle name="Pre-inputted cells 6 4 31" xfId="28452" xr:uid="{00000000-0005-0000-0000-0000F76F0000}"/>
    <cellStyle name="Pre-inputted cells 6 4 32" xfId="28453" xr:uid="{00000000-0005-0000-0000-0000F86F0000}"/>
    <cellStyle name="Pre-inputted cells 6 4 33" xfId="28454" xr:uid="{00000000-0005-0000-0000-0000F96F0000}"/>
    <cellStyle name="Pre-inputted cells 6 4 34" xfId="28455" xr:uid="{00000000-0005-0000-0000-0000FA6F0000}"/>
    <cellStyle name="Pre-inputted cells 6 4 4" xfId="28456" xr:uid="{00000000-0005-0000-0000-0000FB6F0000}"/>
    <cellStyle name="Pre-inputted cells 6 4 4 2" xfId="28457" xr:uid="{00000000-0005-0000-0000-0000FC6F0000}"/>
    <cellStyle name="Pre-inputted cells 6 4 4 3" xfId="28458" xr:uid="{00000000-0005-0000-0000-0000FD6F0000}"/>
    <cellStyle name="Pre-inputted cells 6 4 5" xfId="28459" xr:uid="{00000000-0005-0000-0000-0000FE6F0000}"/>
    <cellStyle name="Pre-inputted cells 6 4 6" xfId="28460" xr:uid="{00000000-0005-0000-0000-0000FF6F0000}"/>
    <cellStyle name="Pre-inputted cells 6 4 7" xfId="28461" xr:uid="{00000000-0005-0000-0000-000000700000}"/>
    <cellStyle name="Pre-inputted cells 6 4 8" xfId="28462" xr:uid="{00000000-0005-0000-0000-000001700000}"/>
    <cellStyle name="Pre-inputted cells 6 4 9" xfId="28463" xr:uid="{00000000-0005-0000-0000-000002700000}"/>
    <cellStyle name="Pre-inputted cells 6 5" xfId="28464" xr:uid="{00000000-0005-0000-0000-000003700000}"/>
    <cellStyle name="Pre-inputted cells 6 5 10" xfId="28465" xr:uid="{00000000-0005-0000-0000-000004700000}"/>
    <cellStyle name="Pre-inputted cells 6 5 11" xfId="28466" xr:uid="{00000000-0005-0000-0000-000005700000}"/>
    <cellStyle name="Pre-inputted cells 6 5 12" xfId="28467" xr:uid="{00000000-0005-0000-0000-000006700000}"/>
    <cellStyle name="Pre-inputted cells 6 5 13" xfId="28468" xr:uid="{00000000-0005-0000-0000-000007700000}"/>
    <cellStyle name="Pre-inputted cells 6 5 14" xfId="28469" xr:uid="{00000000-0005-0000-0000-000008700000}"/>
    <cellStyle name="Pre-inputted cells 6 5 15" xfId="28470" xr:uid="{00000000-0005-0000-0000-000009700000}"/>
    <cellStyle name="Pre-inputted cells 6 5 16" xfId="28471" xr:uid="{00000000-0005-0000-0000-00000A700000}"/>
    <cellStyle name="Pre-inputted cells 6 5 17" xfId="28472" xr:uid="{00000000-0005-0000-0000-00000B700000}"/>
    <cellStyle name="Pre-inputted cells 6 5 18" xfId="28473" xr:uid="{00000000-0005-0000-0000-00000C700000}"/>
    <cellStyle name="Pre-inputted cells 6 5 19" xfId="28474" xr:uid="{00000000-0005-0000-0000-00000D700000}"/>
    <cellStyle name="Pre-inputted cells 6 5 2" xfId="28475" xr:uid="{00000000-0005-0000-0000-00000E700000}"/>
    <cellStyle name="Pre-inputted cells 6 5 2 10" xfId="28476" xr:uid="{00000000-0005-0000-0000-00000F700000}"/>
    <cellStyle name="Pre-inputted cells 6 5 2 11" xfId="28477" xr:uid="{00000000-0005-0000-0000-000010700000}"/>
    <cellStyle name="Pre-inputted cells 6 5 2 12" xfId="28478" xr:uid="{00000000-0005-0000-0000-000011700000}"/>
    <cellStyle name="Pre-inputted cells 6 5 2 13" xfId="28479" xr:uid="{00000000-0005-0000-0000-000012700000}"/>
    <cellStyle name="Pre-inputted cells 6 5 2 2" xfId="28480" xr:uid="{00000000-0005-0000-0000-000013700000}"/>
    <cellStyle name="Pre-inputted cells 6 5 2 2 2" xfId="28481" xr:uid="{00000000-0005-0000-0000-000014700000}"/>
    <cellStyle name="Pre-inputted cells 6 5 2 2 3" xfId="28482" xr:uid="{00000000-0005-0000-0000-000015700000}"/>
    <cellStyle name="Pre-inputted cells 6 5 2 3" xfId="28483" xr:uid="{00000000-0005-0000-0000-000016700000}"/>
    <cellStyle name="Pre-inputted cells 6 5 2 3 2" xfId="28484" xr:uid="{00000000-0005-0000-0000-000017700000}"/>
    <cellStyle name="Pre-inputted cells 6 5 2 3 3" xfId="28485" xr:uid="{00000000-0005-0000-0000-000018700000}"/>
    <cellStyle name="Pre-inputted cells 6 5 2 4" xfId="28486" xr:uid="{00000000-0005-0000-0000-000019700000}"/>
    <cellStyle name="Pre-inputted cells 6 5 2 5" xfId="28487" xr:uid="{00000000-0005-0000-0000-00001A700000}"/>
    <cellStyle name="Pre-inputted cells 6 5 2 6" xfId="28488" xr:uid="{00000000-0005-0000-0000-00001B700000}"/>
    <cellStyle name="Pre-inputted cells 6 5 2 7" xfId="28489" xr:uid="{00000000-0005-0000-0000-00001C700000}"/>
    <cellStyle name="Pre-inputted cells 6 5 2 8" xfId="28490" xr:uid="{00000000-0005-0000-0000-00001D700000}"/>
    <cellStyle name="Pre-inputted cells 6 5 2 9" xfId="28491" xr:uid="{00000000-0005-0000-0000-00001E700000}"/>
    <cellStyle name="Pre-inputted cells 6 5 20" xfId="28492" xr:uid="{00000000-0005-0000-0000-00001F700000}"/>
    <cellStyle name="Pre-inputted cells 6 5 21" xfId="28493" xr:uid="{00000000-0005-0000-0000-000020700000}"/>
    <cellStyle name="Pre-inputted cells 6 5 22" xfId="28494" xr:uid="{00000000-0005-0000-0000-000021700000}"/>
    <cellStyle name="Pre-inputted cells 6 5 23" xfId="28495" xr:uid="{00000000-0005-0000-0000-000022700000}"/>
    <cellStyle name="Pre-inputted cells 6 5 24" xfId="28496" xr:uid="{00000000-0005-0000-0000-000023700000}"/>
    <cellStyle name="Pre-inputted cells 6 5 25" xfId="28497" xr:uid="{00000000-0005-0000-0000-000024700000}"/>
    <cellStyle name="Pre-inputted cells 6 5 26" xfId="28498" xr:uid="{00000000-0005-0000-0000-000025700000}"/>
    <cellStyle name="Pre-inputted cells 6 5 27" xfId="28499" xr:uid="{00000000-0005-0000-0000-000026700000}"/>
    <cellStyle name="Pre-inputted cells 6 5 28" xfId="28500" xr:uid="{00000000-0005-0000-0000-000027700000}"/>
    <cellStyle name="Pre-inputted cells 6 5 29" xfId="28501" xr:uid="{00000000-0005-0000-0000-000028700000}"/>
    <cellStyle name="Pre-inputted cells 6 5 3" xfId="28502" xr:uid="{00000000-0005-0000-0000-000029700000}"/>
    <cellStyle name="Pre-inputted cells 6 5 3 2" xfId="28503" xr:uid="{00000000-0005-0000-0000-00002A700000}"/>
    <cellStyle name="Pre-inputted cells 6 5 3 3" xfId="28504" xr:uid="{00000000-0005-0000-0000-00002B700000}"/>
    <cellStyle name="Pre-inputted cells 6 5 30" xfId="28505" xr:uid="{00000000-0005-0000-0000-00002C700000}"/>
    <cellStyle name="Pre-inputted cells 6 5 31" xfId="28506" xr:uid="{00000000-0005-0000-0000-00002D700000}"/>
    <cellStyle name="Pre-inputted cells 6 5 32" xfId="28507" xr:uid="{00000000-0005-0000-0000-00002E700000}"/>
    <cellStyle name="Pre-inputted cells 6 5 33" xfId="28508" xr:uid="{00000000-0005-0000-0000-00002F700000}"/>
    <cellStyle name="Pre-inputted cells 6 5 34" xfId="28509" xr:uid="{00000000-0005-0000-0000-000030700000}"/>
    <cellStyle name="Pre-inputted cells 6 5 4" xfId="28510" xr:uid="{00000000-0005-0000-0000-000031700000}"/>
    <cellStyle name="Pre-inputted cells 6 5 4 2" xfId="28511" xr:uid="{00000000-0005-0000-0000-000032700000}"/>
    <cellStyle name="Pre-inputted cells 6 5 4 3" xfId="28512" xr:uid="{00000000-0005-0000-0000-000033700000}"/>
    <cellStyle name="Pre-inputted cells 6 5 5" xfId="28513" xr:uid="{00000000-0005-0000-0000-000034700000}"/>
    <cellStyle name="Pre-inputted cells 6 5 6" xfId="28514" xr:uid="{00000000-0005-0000-0000-000035700000}"/>
    <cellStyle name="Pre-inputted cells 6 5 7" xfId="28515" xr:uid="{00000000-0005-0000-0000-000036700000}"/>
    <cellStyle name="Pre-inputted cells 6 5 8" xfId="28516" xr:uid="{00000000-0005-0000-0000-000037700000}"/>
    <cellStyle name="Pre-inputted cells 6 5 9" xfId="28517" xr:uid="{00000000-0005-0000-0000-000038700000}"/>
    <cellStyle name="Pre-inputted cells 6 6" xfId="28518" xr:uid="{00000000-0005-0000-0000-000039700000}"/>
    <cellStyle name="Pre-inputted cells 6 6 10" xfId="28519" xr:uid="{00000000-0005-0000-0000-00003A700000}"/>
    <cellStyle name="Pre-inputted cells 6 6 11" xfId="28520" xr:uid="{00000000-0005-0000-0000-00003B700000}"/>
    <cellStyle name="Pre-inputted cells 6 6 12" xfId="28521" xr:uid="{00000000-0005-0000-0000-00003C700000}"/>
    <cellStyle name="Pre-inputted cells 6 6 13" xfId="28522" xr:uid="{00000000-0005-0000-0000-00003D700000}"/>
    <cellStyle name="Pre-inputted cells 6 6 2" xfId="28523" xr:uid="{00000000-0005-0000-0000-00003E700000}"/>
    <cellStyle name="Pre-inputted cells 6 6 2 2" xfId="28524" xr:uid="{00000000-0005-0000-0000-00003F700000}"/>
    <cellStyle name="Pre-inputted cells 6 6 2 3" xfId="28525" xr:uid="{00000000-0005-0000-0000-000040700000}"/>
    <cellStyle name="Pre-inputted cells 6 6 3" xfId="28526" xr:uid="{00000000-0005-0000-0000-000041700000}"/>
    <cellStyle name="Pre-inputted cells 6 6 3 2" xfId="28527" xr:uid="{00000000-0005-0000-0000-000042700000}"/>
    <cellStyle name="Pre-inputted cells 6 6 3 3" xfId="28528" xr:uid="{00000000-0005-0000-0000-000043700000}"/>
    <cellStyle name="Pre-inputted cells 6 6 4" xfId="28529" xr:uid="{00000000-0005-0000-0000-000044700000}"/>
    <cellStyle name="Pre-inputted cells 6 6 5" xfId="28530" xr:uid="{00000000-0005-0000-0000-000045700000}"/>
    <cellStyle name="Pre-inputted cells 6 6 6" xfId="28531" xr:uid="{00000000-0005-0000-0000-000046700000}"/>
    <cellStyle name="Pre-inputted cells 6 6 7" xfId="28532" xr:uid="{00000000-0005-0000-0000-000047700000}"/>
    <cellStyle name="Pre-inputted cells 6 6 8" xfId="28533" xr:uid="{00000000-0005-0000-0000-000048700000}"/>
    <cellStyle name="Pre-inputted cells 6 6 9" xfId="28534" xr:uid="{00000000-0005-0000-0000-000049700000}"/>
    <cellStyle name="Pre-inputted cells 6 7" xfId="28535" xr:uid="{00000000-0005-0000-0000-00004A700000}"/>
    <cellStyle name="Pre-inputted cells 6 7 2" xfId="28536" xr:uid="{00000000-0005-0000-0000-00004B700000}"/>
    <cellStyle name="Pre-inputted cells 6 7 2 2" xfId="28537" xr:uid="{00000000-0005-0000-0000-00004C700000}"/>
    <cellStyle name="Pre-inputted cells 6 7 2 3" xfId="28538" xr:uid="{00000000-0005-0000-0000-00004D700000}"/>
    <cellStyle name="Pre-inputted cells 6 7 3" xfId="28539" xr:uid="{00000000-0005-0000-0000-00004E700000}"/>
    <cellStyle name="Pre-inputted cells 6 7 3 2" xfId="28540" xr:uid="{00000000-0005-0000-0000-00004F700000}"/>
    <cellStyle name="Pre-inputted cells 6 7 4" xfId="28541" xr:uid="{00000000-0005-0000-0000-000050700000}"/>
    <cellStyle name="Pre-inputted cells 6 8" xfId="28542" xr:uid="{00000000-0005-0000-0000-000051700000}"/>
    <cellStyle name="Pre-inputted cells 6 8 2" xfId="28543" xr:uid="{00000000-0005-0000-0000-000052700000}"/>
    <cellStyle name="Pre-inputted cells 6 9" xfId="28544" xr:uid="{00000000-0005-0000-0000-000053700000}"/>
    <cellStyle name="Pre-inputted cells 6 9 2" xfId="28545" xr:uid="{00000000-0005-0000-0000-000054700000}"/>
    <cellStyle name="Pre-inputted cells 6_4 28 1_Asst_Health_Crit_AllTO_RIIO_20110714pm" xfId="28546" xr:uid="{00000000-0005-0000-0000-000055700000}"/>
    <cellStyle name="Pre-inputted cells 7" xfId="28547" xr:uid="{00000000-0005-0000-0000-000056700000}"/>
    <cellStyle name="Pre-inputted cells 7 10" xfId="28548" xr:uid="{00000000-0005-0000-0000-000057700000}"/>
    <cellStyle name="Pre-inputted cells 7 10 2" xfId="28549" xr:uid="{00000000-0005-0000-0000-000058700000}"/>
    <cellStyle name="Pre-inputted cells 7 11" xfId="28550" xr:uid="{00000000-0005-0000-0000-000059700000}"/>
    <cellStyle name="Pre-inputted cells 7 11 2" xfId="28551" xr:uid="{00000000-0005-0000-0000-00005A700000}"/>
    <cellStyle name="Pre-inputted cells 7 12" xfId="28552" xr:uid="{00000000-0005-0000-0000-00005B700000}"/>
    <cellStyle name="Pre-inputted cells 7 12 2" xfId="28553" xr:uid="{00000000-0005-0000-0000-00005C700000}"/>
    <cellStyle name="Pre-inputted cells 7 13" xfId="28554" xr:uid="{00000000-0005-0000-0000-00005D700000}"/>
    <cellStyle name="Pre-inputted cells 7 13 2" xfId="28555" xr:uid="{00000000-0005-0000-0000-00005E700000}"/>
    <cellStyle name="Pre-inputted cells 7 14" xfId="28556" xr:uid="{00000000-0005-0000-0000-00005F700000}"/>
    <cellStyle name="Pre-inputted cells 7 14 2" xfId="28557" xr:uid="{00000000-0005-0000-0000-000060700000}"/>
    <cellStyle name="Pre-inputted cells 7 15" xfId="28558" xr:uid="{00000000-0005-0000-0000-000061700000}"/>
    <cellStyle name="Pre-inputted cells 7 15 2" xfId="28559" xr:uid="{00000000-0005-0000-0000-000062700000}"/>
    <cellStyle name="Pre-inputted cells 7 16" xfId="28560" xr:uid="{00000000-0005-0000-0000-000063700000}"/>
    <cellStyle name="Pre-inputted cells 7 16 2" xfId="28561" xr:uid="{00000000-0005-0000-0000-000064700000}"/>
    <cellStyle name="Pre-inputted cells 7 17" xfId="28562" xr:uid="{00000000-0005-0000-0000-000065700000}"/>
    <cellStyle name="Pre-inputted cells 7 17 2" xfId="28563" xr:uid="{00000000-0005-0000-0000-000066700000}"/>
    <cellStyle name="Pre-inputted cells 7 18" xfId="28564" xr:uid="{00000000-0005-0000-0000-000067700000}"/>
    <cellStyle name="Pre-inputted cells 7 18 2" xfId="28565" xr:uid="{00000000-0005-0000-0000-000068700000}"/>
    <cellStyle name="Pre-inputted cells 7 19" xfId="28566" xr:uid="{00000000-0005-0000-0000-000069700000}"/>
    <cellStyle name="Pre-inputted cells 7 19 2" xfId="28567" xr:uid="{00000000-0005-0000-0000-00006A700000}"/>
    <cellStyle name="Pre-inputted cells 7 2" xfId="28568" xr:uid="{00000000-0005-0000-0000-00006B700000}"/>
    <cellStyle name="Pre-inputted cells 7 2 10" xfId="28569" xr:uid="{00000000-0005-0000-0000-00006C700000}"/>
    <cellStyle name="Pre-inputted cells 7 2 10 2" xfId="28570" xr:uid="{00000000-0005-0000-0000-00006D700000}"/>
    <cellStyle name="Pre-inputted cells 7 2 11" xfId="28571" xr:uid="{00000000-0005-0000-0000-00006E700000}"/>
    <cellStyle name="Pre-inputted cells 7 2 11 2" xfId="28572" xr:uid="{00000000-0005-0000-0000-00006F700000}"/>
    <cellStyle name="Pre-inputted cells 7 2 12" xfId="28573" xr:uid="{00000000-0005-0000-0000-000070700000}"/>
    <cellStyle name="Pre-inputted cells 7 2 12 2" xfId="28574" xr:uid="{00000000-0005-0000-0000-000071700000}"/>
    <cellStyle name="Pre-inputted cells 7 2 13" xfId="28575" xr:uid="{00000000-0005-0000-0000-000072700000}"/>
    <cellStyle name="Pre-inputted cells 7 2 13 2" xfId="28576" xr:uid="{00000000-0005-0000-0000-000073700000}"/>
    <cellStyle name="Pre-inputted cells 7 2 14" xfId="28577" xr:uid="{00000000-0005-0000-0000-000074700000}"/>
    <cellStyle name="Pre-inputted cells 7 2 14 2" xfId="28578" xr:uid="{00000000-0005-0000-0000-000075700000}"/>
    <cellStyle name="Pre-inputted cells 7 2 15" xfId="28579" xr:uid="{00000000-0005-0000-0000-000076700000}"/>
    <cellStyle name="Pre-inputted cells 7 2 15 2" xfId="28580" xr:uid="{00000000-0005-0000-0000-000077700000}"/>
    <cellStyle name="Pre-inputted cells 7 2 16" xfId="28581" xr:uid="{00000000-0005-0000-0000-000078700000}"/>
    <cellStyle name="Pre-inputted cells 7 2 16 2" xfId="28582" xr:uid="{00000000-0005-0000-0000-000079700000}"/>
    <cellStyle name="Pre-inputted cells 7 2 17" xfId="28583" xr:uid="{00000000-0005-0000-0000-00007A700000}"/>
    <cellStyle name="Pre-inputted cells 7 2 17 2" xfId="28584" xr:uid="{00000000-0005-0000-0000-00007B700000}"/>
    <cellStyle name="Pre-inputted cells 7 2 18" xfId="28585" xr:uid="{00000000-0005-0000-0000-00007C700000}"/>
    <cellStyle name="Pre-inputted cells 7 2 18 2" xfId="28586" xr:uid="{00000000-0005-0000-0000-00007D700000}"/>
    <cellStyle name="Pre-inputted cells 7 2 19" xfId="28587" xr:uid="{00000000-0005-0000-0000-00007E700000}"/>
    <cellStyle name="Pre-inputted cells 7 2 19 2" xfId="28588" xr:uid="{00000000-0005-0000-0000-00007F700000}"/>
    <cellStyle name="Pre-inputted cells 7 2 2" xfId="28589" xr:uid="{00000000-0005-0000-0000-000080700000}"/>
    <cellStyle name="Pre-inputted cells 7 2 2 10" xfId="28590" xr:uid="{00000000-0005-0000-0000-000081700000}"/>
    <cellStyle name="Pre-inputted cells 7 2 2 11" xfId="28591" xr:uid="{00000000-0005-0000-0000-000082700000}"/>
    <cellStyle name="Pre-inputted cells 7 2 2 12" xfId="28592" xr:uid="{00000000-0005-0000-0000-000083700000}"/>
    <cellStyle name="Pre-inputted cells 7 2 2 13" xfId="28593" xr:uid="{00000000-0005-0000-0000-000084700000}"/>
    <cellStyle name="Pre-inputted cells 7 2 2 14" xfId="28594" xr:uid="{00000000-0005-0000-0000-000085700000}"/>
    <cellStyle name="Pre-inputted cells 7 2 2 15" xfId="28595" xr:uid="{00000000-0005-0000-0000-000086700000}"/>
    <cellStyle name="Pre-inputted cells 7 2 2 16" xfId="28596" xr:uid="{00000000-0005-0000-0000-000087700000}"/>
    <cellStyle name="Pre-inputted cells 7 2 2 17" xfId="28597" xr:uid="{00000000-0005-0000-0000-000088700000}"/>
    <cellStyle name="Pre-inputted cells 7 2 2 18" xfId="28598" xr:uid="{00000000-0005-0000-0000-000089700000}"/>
    <cellStyle name="Pre-inputted cells 7 2 2 19" xfId="28599" xr:uid="{00000000-0005-0000-0000-00008A700000}"/>
    <cellStyle name="Pre-inputted cells 7 2 2 2" xfId="28600" xr:uid="{00000000-0005-0000-0000-00008B700000}"/>
    <cellStyle name="Pre-inputted cells 7 2 2 2 10" xfId="28601" xr:uid="{00000000-0005-0000-0000-00008C700000}"/>
    <cellStyle name="Pre-inputted cells 7 2 2 2 11" xfId="28602" xr:uid="{00000000-0005-0000-0000-00008D700000}"/>
    <cellStyle name="Pre-inputted cells 7 2 2 2 12" xfId="28603" xr:uid="{00000000-0005-0000-0000-00008E700000}"/>
    <cellStyle name="Pre-inputted cells 7 2 2 2 13" xfId="28604" xr:uid="{00000000-0005-0000-0000-00008F700000}"/>
    <cellStyle name="Pre-inputted cells 7 2 2 2 14" xfId="28605" xr:uid="{00000000-0005-0000-0000-000090700000}"/>
    <cellStyle name="Pre-inputted cells 7 2 2 2 15" xfId="28606" xr:uid="{00000000-0005-0000-0000-000091700000}"/>
    <cellStyle name="Pre-inputted cells 7 2 2 2 16" xfId="28607" xr:uid="{00000000-0005-0000-0000-000092700000}"/>
    <cellStyle name="Pre-inputted cells 7 2 2 2 17" xfId="28608" xr:uid="{00000000-0005-0000-0000-000093700000}"/>
    <cellStyle name="Pre-inputted cells 7 2 2 2 18" xfId="28609" xr:uid="{00000000-0005-0000-0000-000094700000}"/>
    <cellStyle name="Pre-inputted cells 7 2 2 2 19" xfId="28610" xr:uid="{00000000-0005-0000-0000-000095700000}"/>
    <cellStyle name="Pre-inputted cells 7 2 2 2 2" xfId="28611" xr:uid="{00000000-0005-0000-0000-000096700000}"/>
    <cellStyle name="Pre-inputted cells 7 2 2 2 2 10" xfId="28612" xr:uid="{00000000-0005-0000-0000-000097700000}"/>
    <cellStyle name="Pre-inputted cells 7 2 2 2 2 11" xfId="28613" xr:uid="{00000000-0005-0000-0000-000098700000}"/>
    <cellStyle name="Pre-inputted cells 7 2 2 2 2 12" xfId="28614" xr:uid="{00000000-0005-0000-0000-000099700000}"/>
    <cellStyle name="Pre-inputted cells 7 2 2 2 2 13" xfId="28615" xr:uid="{00000000-0005-0000-0000-00009A700000}"/>
    <cellStyle name="Pre-inputted cells 7 2 2 2 2 2" xfId="28616" xr:uid="{00000000-0005-0000-0000-00009B700000}"/>
    <cellStyle name="Pre-inputted cells 7 2 2 2 2 2 2" xfId="28617" xr:uid="{00000000-0005-0000-0000-00009C700000}"/>
    <cellStyle name="Pre-inputted cells 7 2 2 2 2 2 3" xfId="28618" xr:uid="{00000000-0005-0000-0000-00009D700000}"/>
    <cellStyle name="Pre-inputted cells 7 2 2 2 2 3" xfId="28619" xr:uid="{00000000-0005-0000-0000-00009E700000}"/>
    <cellStyle name="Pre-inputted cells 7 2 2 2 2 3 2" xfId="28620" xr:uid="{00000000-0005-0000-0000-00009F700000}"/>
    <cellStyle name="Pre-inputted cells 7 2 2 2 2 3 3" xfId="28621" xr:uid="{00000000-0005-0000-0000-0000A0700000}"/>
    <cellStyle name="Pre-inputted cells 7 2 2 2 2 4" xfId="28622" xr:uid="{00000000-0005-0000-0000-0000A1700000}"/>
    <cellStyle name="Pre-inputted cells 7 2 2 2 2 5" xfId="28623" xr:uid="{00000000-0005-0000-0000-0000A2700000}"/>
    <cellStyle name="Pre-inputted cells 7 2 2 2 2 6" xfId="28624" xr:uid="{00000000-0005-0000-0000-0000A3700000}"/>
    <cellStyle name="Pre-inputted cells 7 2 2 2 2 7" xfId="28625" xr:uid="{00000000-0005-0000-0000-0000A4700000}"/>
    <cellStyle name="Pre-inputted cells 7 2 2 2 2 8" xfId="28626" xr:uid="{00000000-0005-0000-0000-0000A5700000}"/>
    <cellStyle name="Pre-inputted cells 7 2 2 2 2 9" xfId="28627" xr:uid="{00000000-0005-0000-0000-0000A6700000}"/>
    <cellStyle name="Pre-inputted cells 7 2 2 2 20" xfId="28628" xr:uid="{00000000-0005-0000-0000-0000A7700000}"/>
    <cellStyle name="Pre-inputted cells 7 2 2 2 21" xfId="28629" xr:uid="{00000000-0005-0000-0000-0000A8700000}"/>
    <cellStyle name="Pre-inputted cells 7 2 2 2 22" xfId="28630" xr:uid="{00000000-0005-0000-0000-0000A9700000}"/>
    <cellStyle name="Pre-inputted cells 7 2 2 2 23" xfId="28631" xr:uid="{00000000-0005-0000-0000-0000AA700000}"/>
    <cellStyle name="Pre-inputted cells 7 2 2 2 24" xfId="28632" xr:uid="{00000000-0005-0000-0000-0000AB700000}"/>
    <cellStyle name="Pre-inputted cells 7 2 2 2 25" xfId="28633" xr:uid="{00000000-0005-0000-0000-0000AC700000}"/>
    <cellStyle name="Pre-inputted cells 7 2 2 2 26" xfId="28634" xr:uid="{00000000-0005-0000-0000-0000AD700000}"/>
    <cellStyle name="Pre-inputted cells 7 2 2 2 27" xfId="28635" xr:uid="{00000000-0005-0000-0000-0000AE700000}"/>
    <cellStyle name="Pre-inputted cells 7 2 2 2 28" xfId="28636" xr:uid="{00000000-0005-0000-0000-0000AF700000}"/>
    <cellStyle name="Pre-inputted cells 7 2 2 2 29" xfId="28637" xr:uid="{00000000-0005-0000-0000-0000B0700000}"/>
    <cellStyle name="Pre-inputted cells 7 2 2 2 3" xfId="28638" xr:uid="{00000000-0005-0000-0000-0000B1700000}"/>
    <cellStyle name="Pre-inputted cells 7 2 2 2 3 2" xfId="28639" xr:uid="{00000000-0005-0000-0000-0000B2700000}"/>
    <cellStyle name="Pre-inputted cells 7 2 2 2 3 3" xfId="28640" xr:uid="{00000000-0005-0000-0000-0000B3700000}"/>
    <cellStyle name="Pre-inputted cells 7 2 2 2 30" xfId="28641" xr:uid="{00000000-0005-0000-0000-0000B4700000}"/>
    <cellStyle name="Pre-inputted cells 7 2 2 2 31" xfId="28642" xr:uid="{00000000-0005-0000-0000-0000B5700000}"/>
    <cellStyle name="Pre-inputted cells 7 2 2 2 32" xfId="28643" xr:uid="{00000000-0005-0000-0000-0000B6700000}"/>
    <cellStyle name="Pre-inputted cells 7 2 2 2 33" xfId="28644" xr:uid="{00000000-0005-0000-0000-0000B7700000}"/>
    <cellStyle name="Pre-inputted cells 7 2 2 2 34" xfId="28645" xr:uid="{00000000-0005-0000-0000-0000B8700000}"/>
    <cellStyle name="Pre-inputted cells 7 2 2 2 4" xfId="28646" xr:uid="{00000000-0005-0000-0000-0000B9700000}"/>
    <cellStyle name="Pre-inputted cells 7 2 2 2 4 2" xfId="28647" xr:uid="{00000000-0005-0000-0000-0000BA700000}"/>
    <cellStyle name="Pre-inputted cells 7 2 2 2 4 3" xfId="28648" xr:uid="{00000000-0005-0000-0000-0000BB700000}"/>
    <cellStyle name="Pre-inputted cells 7 2 2 2 5" xfId="28649" xr:uid="{00000000-0005-0000-0000-0000BC700000}"/>
    <cellStyle name="Pre-inputted cells 7 2 2 2 6" xfId="28650" xr:uid="{00000000-0005-0000-0000-0000BD700000}"/>
    <cellStyle name="Pre-inputted cells 7 2 2 2 7" xfId="28651" xr:uid="{00000000-0005-0000-0000-0000BE700000}"/>
    <cellStyle name="Pre-inputted cells 7 2 2 2 8" xfId="28652" xr:uid="{00000000-0005-0000-0000-0000BF700000}"/>
    <cellStyle name="Pre-inputted cells 7 2 2 2 9" xfId="28653" xr:uid="{00000000-0005-0000-0000-0000C0700000}"/>
    <cellStyle name="Pre-inputted cells 7 2 2 20" xfId="28654" xr:uid="{00000000-0005-0000-0000-0000C1700000}"/>
    <cellStyle name="Pre-inputted cells 7 2 2 21" xfId="28655" xr:uid="{00000000-0005-0000-0000-0000C2700000}"/>
    <cellStyle name="Pre-inputted cells 7 2 2 22" xfId="28656" xr:uid="{00000000-0005-0000-0000-0000C3700000}"/>
    <cellStyle name="Pre-inputted cells 7 2 2 23" xfId="28657" xr:uid="{00000000-0005-0000-0000-0000C4700000}"/>
    <cellStyle name="Pre-inputted cells 7 2 2 24" xfId="28658" xr:uid="{00000000-0005-0000-0000-0000C5700000}"/>
    <cellStyle name="Pre-inputted cells 7 2 2 25" xfId="28659" xr:uid="{00000000-0005-0000-0000-0000C6700000}"/>
    <cellStyle name="Pre-inputted cells 7 2 2 26" xfId="28660" xr:uid="{00000000-0005-0000-0000-0000C7700000}"/>
    <cellStyle name="Pre-inputted cells 7 2 2 27" xfId="28661" xr:uid="{00000000-0005-0000-0000-0000C8700000}"/>
    <cellStyle name="Pre-inputted cells 7 2 2 28" xfId="28662" xr:uid="{00000000-0005-0000-0000-0000C9700000}"/>
    <cellStyle name="Pre-inputted cells 7 2 2 29" xfId="28663" xr:uid="{00000000-0005-0000-0000-0000CA700000}"/>
    <cellStyle name="Pre-inputted cells 7 2 2 3" xfId="28664" xr:uid="{00000000-0005-0000-0000-0000CB700000}"/>
    <cellStyle name="Pre-inputted cells 7 2 2 3 10" xfId="28665" xr:uid="{00000000-0005-0000-0000-0000CC700000}"/>
    <cellStyle name="Pre-inputted cells 7 2 2 3 11" xfId="28666" xr:uid="{00000000-0005-0000-0000-0000CD700000}"/>
    <cellStyle name="Pre-inputted cells 7 2 2 3 12" xfId="28667" xr:uid="{00000000-0005-0000-0000-0000CE700000}"/>
    <cellStyle name="Pre-inputted cells 7 2 2 3 13" xfId="28668" xr:uid="{00000000-0005-0000-0000-0000CF700000}"/>
    <cellStyle name="Pre-inputted cells 7 2 2 3 2" xfId="28669" xr:uid="{00000000-0005-0000-0000-0000D0700000}"/>
    <cellStyle name="Pre-inputted cells 7 2 2 3 2 2" xfId="28670" xr:uid="{00000000-0005-0000-0000-0000D1700000}"/>
    <cellStyle name="Pre-inputted cells 7 2 2 3 2 3" xfId="28671" xr:uid="{00000000-0005-0000-0000-0000D2700000}"/>
    <cellStyle name="Pre-inputted cells 7 2 2 3 3" xfId="28672" xr:uid="{00000000-0005-0000-0000-0000D3700000}"/>
    <cellStyle name="Pre-inputted cells 7 2 2 3 3 2" xfId="28673" xr:uid="{00000000-0005-0000-0000-0000D4700000}"/>
    <cellStyle name="Pre-inputted cells 7 2 2 3 3 3" xfId="28674" xr:uid="{00000000-0005-0000-0000-0000D5700000}"/>
    <cellStyle name="Pre-inputted cells 7 2 2 3 4" xfId="28675" xr:uid="{00000000-0005-0000-0000-0000D6700000}"/>
    <cellStyle name="Pre-inputted cells 7 2 2 3 5" xfId="28676" xr:uid="{00000000-0005-0000-0000-0000D7700000}"/>
    <cellStyle name="Pre-inputted cells 7 2 2 3 6" xfId="28677" xr:uid="{00000000-0005-0000-0000-0000D8700000}"/>
    <cellStyle name="Pre-inputted cells 7 2 2 3 7" xfId="28678" xr:uid="{00000000-0005-0000-0000-0000D9700000}"/>
    <cellStyle name="Pre-inputted cells 7 2 2 3 8" xfId="28679" xr:uid="{00000000-0005-0000-0000-0000DA700000}"/>
    <cellStyle name="Pre-inputted cells 7 2 2 3 9" xfId="28680" xr:uid="{00000000-0005-0000-0000-0000DB700000}"/>
    <cellStyle name="Pre-inputted cells 7 2 2 30" xfId="28681" xr:uid="{00000000-0005-0000-0000-0000DC700000}"/>
    <cellStyle name="Pre-inputted cells 7 2 2 31" xfId="28682" xr:uid="{00000000-0005-0000-0000-0000DD700000}"/>
    <cellStyle name="Pre-inputted cells 7 2 2 4" xfId="28683" xr:uid="{00000000-0005-0000-0000-0000DE700000}"/>
    <cellStyle name="Pre-inputted cells 7 2 2 4 2" xfId="28684" xr:uid="{00000000-0005-0000-0000-0000DF700000}"/>
    <cellStyle name="Pre-inputted cells 7 2 2 4 3" xfId="28685" xr:uid="{00000000-0005-0000-0000-0000E0700000}"/>
    <cellStyle name="Pre-inputted cells 7 2 2 5" xfId="28686" xr:uid="{00000000-0005-0000-0000-0000E1700000}"/>
    <cellStyle name="Pre-inputted cells 7 2 2 5 2" xfId="28687" xr:uid="{00000000-0005-0000-0000-0000E2700000}"/>
    <cellStyle name="Pre-inputted cells 7 2 2 5 3" xfId="28688" xr:uid="{00000000-0005-0000-0000-0000E3700000}"/>
    <cellStyle name="Pre-inputted cells 7 2 2 6" xfId="28689" xr:uid="{00000000-0005-0000-0000-0000E4700000}"/>
    <cellStyle name="Pre-inputted cells 7 2 2 7" xfId="28690" xr:uid="{00000000-0005-0000-0000-0000E5700000}"/>
    <cellStyle name="Pre-inputted cells 7 2 2 8" xfId="28691" xr:uid="{00000000-0005-0000-0000-0000E6700000}"/>
    <cellStyle name="Pre-inputted cells 7 2 2 9" xfId="28692" xr:uid="{00000000-0005-0000-0000-0000E7700000}"/>
    <cellStyle name="Pre-inputted cells 7 2 2_4 28 1_Asst_Health_Crit_AllTO_RIIO_20110714pm" xfId="28693" xr:uid="{00000000-0005-0000-0000-0000E8700000}"/>
    <cellStyle name="Pre-inputted cells 7 2 20" xfId="28694" xr:uid="{00000000-0005-0000-0000-0000E9700000}"/>
    <cellStyle name="Pre-inputted cells 7 2 20 2" xfId="28695" xr:uid="{00000000-0005-0000-0000-0000EA700000}"/>
    <cellStyle name="Pre-inputted cells 7 2 21" xfId="28696" xr:uid="{00000000-0005-0000-0000-0000EB700000}"/>
    <cellStyle name="Pre-inputted cells 7 2 21 2" xfId="28697" xr:uid="{00000000-0005-0000-0000-0000EC700000}"/>
    <cellStyle name="Pre-inputted cells 7 2 22" xfId="28698" xr:uid="{00000000-0005-0000-0000-0000ED700000}"/>
    <cellStyle name="Pre-inputted cells 7 2 22 2" xfId="28699" xr:uid="{00000000-0005-0000-0000-0000EE700000}"/>
    <cellStyle name="Pre-inputted cells 7 2 23" xfId="28700" xr:uid="{00000000-0005-0000-0000-0000EF700000}"/>
    <cellStyle name="Pre-inputted cells 7 2 23 2" xfId="28701" xr:uid="{00000000-0005-0000-0000-0000F0700000}"/>
    <cellStyle name="Pre-inputted cells 7 2 24" xfId="28702" xr:uid="{00000000-0005-0000-0000-0000F1700000}"/>
    <cellStyle name="Pre-inputted cells 7 2 24 2" xfId="28703" xr:uid="{00000000-0005-0000-0000-0000F2700000}"/>
    <cellStyle name="Pre-inputted cells 7 2 25" xfId="28704" xr:uid="{00000000-0005-0000-0000-0000F3700000}"/>
    <cellStyle name="Pre-inputted cells 7 2 25 2" xfId="28705" xr:uid="{00000000-0005-0000-0000-0000F4700000}"/>
    <cellStyle name="Pre-inputted cells 7 2 26" xfId="28706" xr:uid="{00000000-0005-0000-0000-0000F5700000}"/>
    <cellStyle name="Pre-inputted cells 7 2 27" xfId="28707" xr:uid="{00000000-0005-0000-0000-0000F6700000}"/>
    <cellStyle name="Pre-inputted cells 7 2 28" xfId="28708" xr:uid="{00000000-0005-0000-0000-0000F7700000}"/>
    <cellStyle name="Pre-inputted cells 7 2 29" xfId="28709" xr:uid="{00000000-0005-0000-0000-0000F8700000}"/>
    <cellStyle name="Pre-inputted cells 7 2 3" xfId="28710" xr:uid="{00000000-0005-0000-0000-0000F9700000}"/>
    <cellStyle name="Pre-inputted cells 7 2 3 10" xfId="28711" xr:uid="{00000000-0005-0000-0000-0000FA700000}"/>
    <cellStyle name="Pre-inputted cells 7 2 3 11" xfId="28712" xr:uid="{00000000-0005-0000-0000-0000FB700000}"/>
    <cellStyle name="Pre-inputted cells 7 2 3 12" xfId="28713" xr:uid="{00000000-0005-0000-0000-0000FC700000}"/>
    <cellStyle name="Pre-inputted cells 7 2 3 13" xfId="28714" xr:uid="{00000000-0005-0000-0000-0000FD700000}"/>
    <cellStyle name="Pre-inputted cells 7 2 3 14" xfId="28715" xr:uid="{00000000-0005-0000-0000-0000FE700000}"/>
    <cellStyle name="Pre-inputted cells 7 2 3 15" xfId="28716" xr:uid="{00000000-0005-0000-0000-0000FF700000}"/>
    <cellStyle name="Pre-inputted cells 7 2 3 16" xfId="28717" xr:uid="{00000000-0005-0000-0000-000000710000}"/>
    <cellStyle name="Pre-inputted cells 7 2 3 17" xfId="28718" xr:uid="{00000000-0005-0000-0000-000001710000}"/>
    <cellStyle name="Pre-inputted cells 7 2 3 18" xfId="28719" xr:uid="{00000000-0005-0000-0000-000002710000}"/>
    <cellStyle name="Pre-inputted cells 7 2 3 19" xfId="28720" xr:uid="{00000000-0005-0000-0000-000003710000}"/>
    <cellStyle name="Pre-inputted cells 7 2 3 2" xfId="28721" xr:uid="{00000000-0005-0000-0000-000004710000}"/>
    <cellStyle name="Pre-inputted cells 7 2 3 2 10" xfId="28722" xr:uid="{00000000-0005-0000-0000-000005710000}"/>
    <cellStyle name="Pre-inputted cells 7 2 3 2 11" xfId="28723" xr:uid="{00000000-0005-0000-0000-000006710000}"/>
    <cellStyle name="Pre-inputted cells 7 2 3 2 12" xfId="28724" xr:uid="{00000000-0005-0000-0000-000007710000}"/>
    <cellStyle name="Pre-inputted cells 7 2 3 2 13" xfId="28725" xr:uid="{00000000-0005-0000-0000-000008710000}"/>
    <cellStyle name="Pre-inputted cells 7 2 3 2 2" xfId="28726" xr:uid="{00000000-0005-0000-0000-000009710000}"/>
    <cellStyle name="Pre-inputted cells 7 2 3 2 2 2" xfId="28727" xr:uid="{00000000-0005-0000-0000-00000A710000}"/>
    <cellStyle name="Pre-inputted cells 7 2 3 2 2 3" xfId="28728" xr:uid="{00000000-0005-0000-0000-00000B710000}"/>
    <cellStyle name="Pre-inputted cells 7 2 3 2 3" xfId="28729" xr:uid="{00000000-0005-0000-0000-00000C710000}"/>
    <cellStyle name="Pre-inputted cells 7 2 3 2 3 2" xfId="28730" xr:uid="{00000000-0005-0000-0000-00000D710000}"/>
    <cellStyle name="Pre-inputted cells 7 2 3 2 3 3" xfId="28731" xr:uid="{00000000-0005-0000-0000-00000E710000}"/>
    <cellStyle name="Pre-inputted cells 7 2 3 2 4" xfId="28732" xr:uid="{00000000-0005-0000-0000-00000F710000}"/>
    <cellStyle name="Pre-inputted cells 7 2 3 2 5" xfId="28733" xr:uid="{00000000-0005-0000-0000-000010710000}"/>
    <cellStyle name="Pre-inputted cells 7 2 3 2 6" xfId="28734" xr:uid="{00000000-0005-0000-0000-000011710000}"/>
    <cellStyle name="Pre-inputted cells 7 2 3 2 7" xfId="28735" xr:uid="{00000000-0005-0000-0000-000012710000}"/>
    <cellStyle name="Pre-inputted cells 7 2 3 2 8" xfId="28736" xr:uid="{00000000-0005-0000-0000-000013710000}"/>
    <cellStyle name="Pre-inputted cells 7 2 3 2 9" xfId="28737" xr:uid="{00000000-0005-0000-0000-000014710000}"/>
    <cellStyle name="Pre-inputted cells 7 2 3 20" xfId="28738" xr:uid="{00000000-0005-0000-0000-000015710000}"/>
    <cellStyle name="Pre-inputted cells 7 2 3 21" xfId="28739" xr:uid="{00000000-0005-0000-0000-000016710000}"/>
    <cellStyle name="Pre-inputted cells 7 2 3 22" xfId="28740" xr:uid="{00000000-0005-0000-0000-000017710000}"/>
    <cellStyle name="Pre-inputted cells 7 2 3 23" xfId="28741" xr:uid="{00000000-0005-0000-0000-000018710000}"/>
    <cellStyle name="Pre-inputted cells 7 2 3 24" xfId="28742" xr:uid="{00000000-0005-0000-0000-000019710000}"/>
    <cellStyle name="Pre-inputted cells 7 2 3 25" xfId="28743" xr:uid="{00000000-0005-0000-0000-00001A710000}"/>
    <cellStyle name="Pre-inputted cells 7 2 3 26" xfId="28744" xr:uid="{00000000-0005-0000-0000-00001B710000}"/>
    <cellStyle name="Pre-inputted cells 7 2 3 27" xfId="28745" xr:uid="{00000000-0005-0000-0000-00001C710000}"/>
    <cellStyle name="Pre-inputted cells 7 2 3 28" xfId="28746" xr:uid="{00000000-0005-0000-0000-00001D710000}"/>
    <cellStyle name="Pre-inputted cells 7 2 3 29" xfId="28747" xr:uid="{00000000-0005-0000-0000-00001E710000}"/>
    <cellStyle name="Pre-inputted cells 7 2 3 3" xfId="28748" xr:uid="{00000000-0005-0000-0000-00001F710000}"/>
    <cellStyle name="Pre-inputted cells 7 2 3 3 2" xfId="28749" xr:uid="{00000000-0005-0000-0000-000020710000}"/>
    <cellStyle name="Pre-inputted cells 7 2 3 3 3" xfId="28750" xr:uid="{00000000-0005-0000-0000-000021710000}"/>
    <cellStyle name="Pre-inputted cells 7 2 3 30" xfId="28751" xr:uid="{00000000-0005-0000-0000-000022710000}"/>
    <cellStyle name="Pre-inputted cells 7 2 3 4" xfId="28752" xr:uid="{00000000-0005-0000-0000-000023710000}"/>
    <cellStyle name="Pre-inputted cells 7 2 3 4 2" xfId="28753" xr:uid="{00000000-0005-0000-0000-000024710000}"/>
    <cellStyle name="Pre-inputted cells 7 2 3 4 3" xfId="28754" xr:uid="{00000000-0005-0000-0000-000025710000}"/>
    <cellStyle name="Pre-inputted cells 7 2 3 5" xfId="28755" xr:uid="{00000000-0005-0000-0000-000026710000}"/>
    <cellStyle name="Pre-inputted cells 7 2 3 6" xfId="28756" xr:uid="{00000000-0005-0000-0000-000027710000}"/>
    <cellStyle name="Pre-inputted cells 7 2 3 7" xfId="28757" xr:uid="{00000000-0005-0000-0000-000028710000}"/>
    <cellStyle name="Pre-inputted cells 7 2 3 8" xfId="28758" xr:uid="{00000000-0005-0000-0000-000029710000}"/>
    <cellStyle name="Pre-inputted cells 7 2 3 9" xfId="28759" xr:uid="{00000000-0005-0000-0000-00002A710000}"/>
    <cellStyle name="Pre-inputted cells 7 2 30" xfId="28760" xr:uid="{00000000-0005-0000-0000-00002B710000}"/>
    <cellStyle name="Pre-inputted cells 7 2 31" xfId="28761" xr:uid="{00000000-0005-0000-0000-00002C710000}"/>
    <cellStyle name="Pre-inputted cells 7 2 32" xfId="28762" xr:uid="{00000000-0005-0000-0000-00002D710000}"/>
    <cellStyle name="Pre-inputted cells 7 2 33" xfId="28763" xr:uid="{00000000-0005-0000-0000-00002E710000}"/>
    <cellStyle name="Pre-inputted cells 7 2 4" xfId="28764" xr:uid="{00000000-0005-0000-0000-00002F710000}"/>
    <cellStyle name="Pre-inputted cells 7 2 4 10" xfId="28765" xr:uid="{00000000-0005-0000-0000-000030710000}"/>
    <cellStyle name="Pre-inputted cells 7 2 4 11" xfId="28766" xr:uid="{00000000-0005-0000-0000-000031710000}"/>
    <cellStyle name="Pre-inputted cells 7 2 4 12" xfId="28767" xr:uid="{00000000-0005-0000-0000-000032710000}"/>
    <cellStyle name="Pre-inputted cells 7 2 4 13" xfId="28768" xr:uid="{00000000-0005-0000-0000-000033710000}"/>
    <cellStyle name="Pre-inputted cells 7 2 4 14" xfId="28769" xr:uid="{00000000-0005-0000-0000-000034710000}"/>
    <cellStyle name="Pre-inputted cells 7 2 4 15" xfId="28770" xr:uid="{00000000-0005-0000-0000-000035710000}"/>
    <cellStyle name="Pre-inputted cells 7 2 4 16" xfId="28771" xr:uid="{00000000-0005-0000-0000-000036710000}"/>
    <cellStyle name="Pre-inputted cells 7 2 4 17" xfId="28772" xr:uid="{00000000-0005-0000-0000-000037710000}"/>
    <cellStyle name="Pre-inputted cells 7 2 4 18" xfId="28773" xr:uid="{00000000-0005-0000-0000-000038710000}"/>
    <cellStyle name="Pre-inputted cells 7 2 4 19" xfId="28774" xr:uid="{00000000-0005-0000-0000-000039710000}"/>
    <cellStyle name="Pre-inputted cells 7 2 4 2" xfId="28775" xr:uid="{00000000-0005-0000-0000-00003A710000}"/>
    <cellStyle name="Pre-inputted cells 7 2 4 2 10" xfId="28776" xr:uid="{00000000-0005-0000-0000-00003B710000}"/>
    <cellStyle name="Pre-inputted cells 7 2 4 2 11" xfId="28777" xr:uid="{00000000-0005-0000-0000-00003C710000}"/>
    <cellStyle name="Pre-inputted cells 7 2 4 2 12" xfId="28778" xr:uid="{00000000-0005-0000-0000-00003D710000}"/>
    <cellStyle name="Pre-inputted cells 7 2 4 2 13" xfId="28779" xr:uid="{00000000-0005-0000-0000-00003E710000}"/>
    <cellStyle name="Pre-inputted cells 7 2 4 2 2" xfId="28780" xr:uid="{00000000-0005-0000-0000-00003F710000}"/>
    <cellStyle name="Pre-inputted cells 7 2 4 2 2 2" xfId="28781" xr:uid="{00000000-0005-0000-0000-000040710000}"/>
    <cellStyle name="Pre-inputted cells 7 2 4 2 2 3" xfId="28782" xr:uid="{00000000-0005-0000-0000-000041710000}"/>
    <cellStyle name="Pre-inputted cells 7 2 4 2 3" xfId="28783" xr:uid="{00000000-0005-0000-0000-000042710000}"/>
    <cellStyle name="Pre-inputted cells 7 2 4 2 3 2" xfId="28784" xr:uid="{00000000-0005-0000-0000-000043710000}"/>
    <cellStyle name="Pre-inputted cells 7 2 4 2 3 3" xfId="28785" xr:uid="{00000000-0005-0000-0000-000044710000}"/>
    <cellStyle name="Pre-inputted cells 7 2 4 2 4" xfId="28786" xr:uid="{00000000-0005-0000-0000-000045710000}"/>
    <cellStyle name="Pre-inputted cells 7 2 4 2 5" xfId="28787" xr:uid="{00000000-0005-0000-0000-000046710000}"/>
    <cellStyle name="Pre-inputted cells 7 2 4 2 6" xfId="28788" xr:uid="{00000000-0005-0000-0000-000047710000}"/>
    <cellStyle name="Pre-inputted cells 7 2 4 2 7" xfId="28789" xr:uid="{00000000-0005-0000-0000-000048710000}"/>
    <cellStyle name="Pre-inputted cells 7 2 4 2 8" xfId="28790" xr:uid="{00000000-0005-0000-0000-000049710000}"/>
    <cellStyle name="Pre-inputted cells 7 2 4 2 9" xfId="28791" xr:uid="{00000000-0005-0000-0000-00004A710000}"/>
    <cellStyle name="Pre-inputted cells 7 2 4 20" xfId="28792" xr:uid="{00000000-0005-0000-0000-00004B710000}"/>
    <cellStyle name="Pre-inputted cells 7 2 4 21" xfId="28793" xr:uid="{00000000-0005-0000-0000-00004C710000}"/>
    <cellStyle name="Pre-inputted cells 7 2 4 22" xfId="28794" xr:uid="{00000000-0005-0000-0000-00004D710000}"/>
    <cellStyle name="Pre-inputted cells 7 2 4 23" xfId="28795" xr:uid="{00000000-0005-0000-0000-00004E710000}"/>
    <cellStyle name="Pre-inputted cells 7 2 4 24" xfId="28796" xr:uid="{00000000-0005-0000-0000-00004F710000}"/>
    <cellStyle name="Pre-inputted cells 7 2 4 25" xfId="28797" xr:uid="{00000000-0005-0000-0000-000050710000}"/>
    <cellStyle name="Pre-inputted cells 7 2 4 26" xfId="28798" xr:uid="{00000000-0005-0000-0000-000051710000}"/>
    <cellStyle name="Pre-inputted cells 7 2 4 27" xfId="28799" xr:uid="{00000000-0005-0000-0000-000052710000}"/>
    <cellStyle name="Pre-inputted cells 7 2 4 28" xfId="28800" xr:uid="{00000000-0005-0000-0000-000053710000}"/>
    <cellStyle name="Pre-inputted cells 7 2 4 29" xfId="28801" xr:uid="{00000000-0005-0000-0000-000054710000}"/>
    <cellStyle name="Pre-inputted cells 7 2 4 3" xfId="28802" xr:uid="{00000000-0005-0000-0000-000055710000}"/>
    <cellStyle name="Pre-inputted cells 7 2 4 3 2" xfId="28803" xr:uid="{00000000-0005-0000-0000-000056710000}"/>
    <cellStyle name="Pre-inputted cells 7 2 4 3 3" xfId="28804" xr:uid="{00000000-0005-0000-0000-000057710000}"/>
    <cellStyle name="Pre-inputted cells 7 2 4 30" xfId="28805" xr:uid="{00000000-0005-0000-0000-000058710000}"/>
    <cellStyle name="Pre-inputted cells 7 2 4 4" xfId="28806" xr:uid="{00000000-0005-0000-0000-000059710000}"/>
    <cellStyle name="Pre-inputted cells 7 2 4 4 2" xfId="28807" xr:uid="{00000000-0005-0000-0000-00005A710000}"/>
    <cellStyle name="Pre-inputted cells 7 2 4 4 3" xfId="28808" xr:uid="{00000000-0005-0000-0000-00005B710000}"/>
    <cellStyle name="Pre-inputted cells 7 2 4 5" xfId="28809" xr:uid="{00000000-0005-0000-0000-00005C710000}"/>
    <cellStyle name="Pre-inputted cells 7 2 4 6" xfId="28810" xr:uid="{00000000-0005-0000-0000-00005D710000}"/>
    <cellStyle name="Pre-inputted cells 7 2 4 7" xfId="28811" xr:uid="{00000000-0005-0000-0000-00005E710000}"/>
    <cellStyle name="Pre-inputted cells 7 2 4 8" xfId="28812" xr:uid="{00000000-0005-0000-0000-00005F710000}"/>
    <cellStyle name="Pre-inputted cells 7 2 4 9" xfId="28813" xr:uid="{00000000-0005-0000-0000-000060710000}"/>
    <cellStyle name="Pre-inputted cells 7 2 5" xfId="28814" xr:uid="{00000000-0005-0000-0000-000061710000}"/>
    <cellStyle name="Pre-inputted cells 7 2 5 10" xfId="28815" xr:uid="{00000000-0005-0000-0000-000062710000}"/>
    <cellStyle name="Pre-inputted cells 7 2 5 11" xfId="28816" xr:uid="{00000000-0005-0000-0000-000063710000}"/>
    <cellStyle name="Pre-inputted cells 7 2 5 12" xfId="28817" xr:uid="{00000000-0005-0000-0000-000064710000}"/>
    <cellStyle name="Pre-inputted cells 7 2 5 13" xfId="28818" xr:uid="{00000000-0005-0000-0000-000065710000}"/>
    <cellStyle name="Pre-inputted cells 7 2 5 2" xfId="28819" xr:uid="{00000000-0005-0000-0000-000066710000}"/>
    <cellStyle name="Pre-inputted cells 7 2 5 2 2" xfId="28820" xr:uid="{00000000-0005-0000-0000-000067710000}"/>
    <cellStyle name="Pre-inputted cells 7 2 5 2 3" xfId="28821" xr:uid="{00000000-0005-0000-0000-000068710000}"/>
    <cellStyle name="Pre-inputted cells 7 2 5 3" xfId="28822" xr:uid="{00000000-0005-0000-0000-000069710000}"/>
    <cellStyle name="Pre-inputted cells 7 2 5 3 2" xfId="28823" xr:uid="{00000000-0005-0000-0000-00006A710000}"/>
    <cellStyle name="Pre-inputted cells 7 2 5 3 3" xfId="28824" xr:uid="{00000000-0005-0000-0000-00006B710000}"/>
    <cellStyle name="Pre-inputted cells 7 2 5 4" xfId="28825" xr:uid="{00000000-0005-0000-0000-00006C710000}"/>
    <cellStyle name="Pre-inputted cells 7 2 5 5" xfId="28826" xr:uid="{00000000-0005-0000-0000-00006D710000}"/>
    <cellStyle name="Pre-inputted cells 7 2 5 6" xfId="28827" xr:uid="{00000000-0005-0000-0000-00006E710000}"/>
    <cellStyle name="Pre-inputted cells 7 2 5 7" xfId="28828" xr:uid="{00000000-0005-0000-0000-00006F710000}"/>
    <cellStyle name="Pre-inputted cells 7 2 5 8" xfId="28829" xr:uid="{00000000-0005-0000-0000-000070710000}"/>
    <cellStyle name="Pre-inputted cells 7 2 5 9" xfId="28830" xr:uid="{00000000-0005-0000-0000-000071710000}"/>
    <cellStyle name="Pre-inputted cells 7 2 6" xfId="28831" xr:uid="{00000000-0005-0000-0000-000072710000}"/>
    <cellStyle name="Pre-inputted cells 7 2 6 2" xfId="28832" xr:uid="{00000000-0005-0000-0000-000073710000}"/>
    <cellStyle name="Pre-inputted cells 7 2 6 2 2" xfId="28833" xr:uid="{00000000-0005-0000-0000-000074710000}"/>
    <cellStyle name="Pre-inputted cells 7 2 6 2 3" xfId="28834" xr:uid="{00000000-0005-0000-0000-000075710000}"/>
    <cellStyle name="Pre-inputted cells 7 2 6 3" xfId="28835" xr:uid="{00000000-0005-0000-0000-000076710000}"/>
    <cellStyle name="Pre-inputted cells 7 2 6 3 2" xfId="28836" xr:uid="{00000000-0005-0000-0000-000077710000}"/>
    <cellStyle name="Pre-inputted cells 7 2 6 4" xfId="28837" xr:uid="{00000000-0005-0000-0000-000078710000}"/>
    <cellStyle name="Pre-inputted cells 7 2 7" xfId="28838" xr:uid="{00000000-0005-0000-0000-000079710000}"/>
    <cellStyle name="Pre-inputted cells 7 2 7 2" xfId="28839" xr:uid="{00000000-0005-0000-0000-00007A710000}"/>
    <cellStyle name="Pre-inputted cells 7 2 8" xfId="28840" xr:uid="{00000000-0005-0000-0000-00007B710000}"/>
    <cellStyle name="Pre-inputted cells 7 2 8 2" xfId="28841" xr:uid="{00000000-0005-0000-0000-00007C710000}"/>
    <cellStyle name="Pre-inputted cells 7 2 9" xfId="28842" xr:uid="{00000000-0005-0000-0000-00007D710000}"/>
    <cellStyle name="Pre-inputted cells 7 2 9 2" xfId="28843" xr:uid="{00000000-0005-0000-0000-00007E710000}"/>
    <cellStyle name="Pre-inputted cells 7 2_4 28 1_Asst_Health_Crit_AllTO_RIIO_20110714pm" xfId="28844" xr:uid="{00000000-0005-0000-0000-00007F710000}"/>
    <cellStyle name="Pre-inputted cells 7 20" xfId="28845" xr:uid="{00000000-0005-0000-0000-000080710000}"/>
    <cellStyle name="Pre-inputted cells 7 20 2" xfId="28846" xr:uid="{00000000-0005-0000-0000-000081710000}"/>
    <cellStyle name="Pre-inputted cells 7 21" xfId="28847" xr:uid="{00000000-0005-0000-0000-000082710000}"/>
    <cellStyle name="Pre-inputted cells 7 21 2" xfId="28848" xr:uid="{00000000-0005-0000-0000-000083710000}"/>
    <cellStyle name="Pre-inputted cells 7 22" xfId="28849" xr:uid="{00000000-0005-0000-0000-000084710000}"/>
    <cellStyle name="Pre-inputted cells 7 22 2" xfId="28850" xr:uid="{00000000-0005-0000-0000-000085710000}"/>
    <cellStyle name="Pre-inputted cells 7 23" xfId="28851" xr:uid="{00000000-0005-0000-0000-000086710000}"/>
    <cellStyle name="Pre-inputted cells 7 23 2" xfId="28852" xr:uid="{00000000-0005-0000-0000-000087710000}"/>
    <cellStyle name="Pre-inputted cells 7 24" xfId="28853" xr:uid="{00000000-0005-0000-0000-000088710000}"/>
    <cellStyle name="Pre-inputted cells 7 24 2" xfId="28854" xr:uid="{00000000-0005-0000-0000-000089710000}"/>
    <cellStyle name="Pre-inputted cells 7 25" xfId="28855" xr:uid="{00000000-0005-0000-0000-00008A710000}"/>
    <cellStyle name="Pre-inputted cells 7 25 2" xfId="28856" xr:uid="{00000000-0005-0000-0000-00008B710000}"/>
    <cellStyle name="Pre-inputted cells 7 26" xfId="28857" xr:uid="{00000000-0005-0000-0000-00008C710000}"/>
    <cellStyle name="Pre-inputted cells 7 26 2" xfId="28858" xr:uid="{00000000-0005-0000-0000-00008D710000}"/>
    <cellStyle name="Pre-inputted cells 7 27" xfId="28859" xr:uid="{00000000-0005-0000-0000-00008E710000}"/>
    <cellStyle name="Pre-inputted cells 7 28" xfId="28860" xr:uid="{00000000-0005-0000-0000-00008F710000}"/>
    <cellStyle name="Pre-inputted cells 7 29" xfId="28861" xr:uid="{00000000-0005-0000-0000-000090710000}"/>
    <cellStyle name="Pre-inputted cells 7 3" xfId="28862" xr:uid="{00000000-0005-0000-0000-000091710000}"/>
    <cellStyle name="Pre-inputted cells 7 3 10" xfId="28863" xr:uid="{00000000-0005-0000-0000-000092710000}"/>
    <cellStyle name="Pre-inputted cells 7 3 11" xfId="28864" xr:uid="{00000000-0005-0000-0000-000093710000}"/>
    <cellStyle name="Pre-inputted cells 7 3 12" xfId="28865" xr:uid="{00000000-0005-0000-0000-000094710000}"/>
    <cellStyle name="Pre-inputted cells 7 3 13" xfId="28866" xr:uid="{00000000-0005-0000-0000-000095710000}"/>
    <cellStyle name="Pre-inputted cells 7 3 14" xfId="28867" xr:uid="{00000000-0005-0000-0000-000096710000}"/>
    <cellStyle name="Pre-inputted cells 7 3 15" xfId="28868" xr:uid="{00000000-0005-0000-0000-000097710000}"/>
    <cellStyle name="Pre-inputted cells 7 3 16" xfId="28869" xr:uid="{00000000-0005-0000-0000-000098710000}"/>
    <cellStyle name="Pre-inputted cells 7 3 17" xfId="28870" xr:uid="{00000000-0005-0000-0000-000099710000}"/>
    <cellStyle name="Pre-inputted cells 7 3 18" xfId="28871" xr:uid="{00000000-0005-0000-0000-00009A710000}"/>
    <cellStyle name="Pre-inputted cells 7 3 19" xfId="28872" xr:uid="{00000000-0005-0000-0000-00009B710000}"/>
    <cellStyle name="Pre-inputted cells 7 3 2" xfId="28873" xr:uid="{00000000-0005-0000-0000-00009C710000}"/>
    <cellStyle name="Pre-inputted cells 7 3 2 10" xfId="28874" xr:uid="{00000000-0005-0000-0000-00009D710000}"/>
    <cellStyle name="Pre-inputted cells 7 3 2 11" xfId="28875" xr:uid="{00000000-0005-0000-0000-00009E710000}"/>
    <cellStyle name="Pre-inputted cells 7 3 2 12" xfId="28876" xr:uid="{00000000-0005-0000-0000-00009F710000}"/>
    <cellStyle name="Pre-inputted cells 7 3 2 13" xfId="28877" xr:uid="{00000000-0005-0000-0000-0000A0710000}"/>
    <cellStyle name="Pre-inputted cells 7 3 2 14" xfId="28878" xr:uid="{00000000-0005-0000-0000-0000A1710000}"/>
    <cellStyle name="Pre-inputted cells 7 3 2 15" xfId="28879" xr:uid="{00000000-0005-0000-0000-0000A2710000}"/>
    <cellStyle name="Pre-inputted cells 7 3 2 16" xfId="28880" xr:uid="{00000000-0005-0000-0000-0000A3710000}"/>
    <cellStyle name="Pre-inputted cells 7 3 2 17" xfId="28881" xr:uid="{00000000-0005-0000-0000-0000A4710000}"/>
    <cellStyle name="Pre-inputted cells 7 3 2 18" xfId="28882" xr:uid="{00000000-0005-0000-0000-0000A5710000}"/>
    <cellStyle name="Pre-inputted cells 7 3 2 19" xfId="28883" xr:uid="{00000000-0005-0000-0000-0000A6710000}"/>
    <cellStyle name="Pre-inputted cells 7 3 2 2" xfId="28884" xr:uid="{00000000-0005-0000-0000-0000A7710000}"/>
    <cellStyle name="Pre-inputted cells 7 3 2 2 10" xfId="28885" xr:uid="{00000000-0005-0000-0000-0000A8710000}"/>
    <cellStyle name="Pre-inputted cells 7 3 2 2 11" xfId="28886" xr:uid="{00000000-0005-0000-0000-0000A9710000}"/>
    <cellStyle name="Pre-inputted cells 7 3 2 2 12" xfId="28887" xr:uid="{00000000-0005-0000-0000-0000AA710000}"/>
    <cellStyle name="Pre-inputted cells 7 3 2 2 13" xfId="28888" xr:uid="{00000000-0005-0000-0000-0000AB710000}"/>
    <cellStyle name="Pre-inputted cells 7 3 2 2 2" xfId="28889" xr:uid="{00000000-0005-0000-0000-0000AC710000}"/>
    <cellStyle name="Pre-inputted cells 7 3 2 2 2 2" xfId="28890" xr:uid="{00000000-0005-0000-0000-0000AD710000}"/>
    <cellStyle name="Pre-inputted cells 7 3 2 2 2 3" xfId="28891" xr:uid="{00000000-0005-0000-0000-0000AE710000}"/>
    <cellStyle name="Pre-inputted cells 7 3 2 2 3" xfId="28892" xr:uid="{00000000-0005-0000-0000-0000AF710000}"/>
    <cellStyle name="Pre-inputted cells 7 3 2 2 3 2" xfId="28893" xr:uid="{00000000-0005-0000-0000-0000B0710000}"/>
    <cellStyle name="Pre-inputted cells 7 3 2 2 3 3" xfId="28894" xr:uid="{00000000-0005-0000-0000-0000B1710000}"/>
    <cellStyle name="Pre-inputted cells 7 3 2 2 4" xfId="28895" xr:uid="{00000000-0005-0000-0000-0000B2710000}"/>
    <cellStyle name="Pre-inputted cells 7 3 2 2 5" xfId="28896" xr:uid="{00000000-0005-0000-0000-0000B3710000}"/>
    <cellStyle name="Pre-inputted cells 7 3 2 2 6" xfId="28897" xr:uid="{00000000-0005-0000-0000-0000B4710000}"/>
    <cellStyle name="Pre-inputted cells 7 3 2 2 7" xfId="28898" xr:uid="{00000000-0005-0000-0000-0000B5710000}"/>
    <cellStyle name="Pre-inputted cells 7 3 2 2 8" xfId="28899" xr:uid="{00000000-0005-0000-0000-0000B6710000}"/>
    <cellStyle name="Pre-inputted cells 7 3 2 2 9" xfId="28900" xr:uid="{00000000-0005-0000-0000-0000B7710000}"/>
    <cellStyle name="Pre-inputted cells 7 3 2 20" xfId="28901" xr:uid="{00000000-0005-0000-0000-0000B8710000}"/>
    <cellStyle name="Pre-inputted cells 7 3 2 21" xfId="28902" xr:uid="{00000000-0005-0000-0000-0000B9710000}"/>
    <cellStyle name="Pre-inputted cells 7 3 2 22" xfId="28903" xr:uid="{00000000-0005-0000-0000-0000BA710000}"/>
    <cellStyle name="Pre-inputted cells 7 3 2 23" xfId="28904" xr:uid="{00000000-0005-0000-0000-0000BB710000}"/>
    <cellStyle name="Pre-inputted cells 7 3 2 24" xfId="28905" xr:uid="{00000000-0005-0000-0000-0000BC710000}"/>
    <cellStyle name="Pre-inputted cells 7 3 2 25" xfId="28906" xr:uid="{00000000-0005-0000-0000-0000BD710000}"/>
    <cellStyle name="Pre-inputted cells 7 3 2 26" xfId="28907" xr:uid="{00000000-0005-0000-0000-0000BE710000}"/>
    <cellStyle name="Pre-inputted cells 7 3 2 27" xfId="28908" xr:uid="{00000000-0005-0000-0000-0000BF710000}"/>
    <cellStyle name="Pre-inputted cells 7 3 2 28" xfId="28909" xr:uid="{00000000-0005-0000-0000-0000C0710000}"/>
    <cellStyle name="Pre-inputted cells 7 3 2 29" xfId="28910" xr:uid="{00000000-0005-0000-0000-0000C1710000}"/>
    <cellStyle name="Pre-inputted cells 7 3 2 3" xfId="28911" xr:uid="{00000000-0005-0000-0000-0000C2710000}"/>
    <cellStyle name="Pre-inputted cells 7 3 2 3 2" xfId="28912" xr:uid="{00000000-0005-0000-0000-0000C3710000}"/>
    <cellStyle name="Pre-inputted cells 7 3 2 3 3" xfId="28913" xr:uid="{00000000-0005-0000-0000-0000C4710000}"/>
    <cellStyle name="Pre-inputted cells 7 3 2 30" xfId="28914" xr:uid="{00000000-0005-0000-0000-0000C5710000}"/>
    <cellStyle name="Pre-inputted cells 7 3 2 31" xfId="28915" xr:uid="{00000000-0005-0000-0000-0000C6710000}"/>
    <cellStyle name="Pre-inputted cells 7 3 2 32" xfId="28916" xr:uid="{00000000-0005-0000-0000-0000C7710000}"/>
    <cellStyle name="Pre-inputted cells 7 3 2 33" xfId="28917" xr:uid="{00000000-0005-0000-0000-0000C8710000}"/>
    <cellStyle name="Pre-inputted cells 7 3 2 34" xfId="28918" xr:uid="{00000000-0005-0000-0000-0000C9710000}"/>
    <cellStyle name="Pre-inputted cells 7 3 2 4" xfId="28919" xr:uid="{00000000-0005-0000-0000-0000CA710000}"/>
    <cellStyle name="Pre-inputted cells 7 3 2 4 2" xfId="28920" xr:uid="{00000000-0005-0000-0000-0000CB710000}"/>
    <cellStyle name="Pre-inputted cells 7 3 2 4 3" xfId="28921" xr:uid="{00000000-0005-0000-0000-0000CC710000}"/>
    <cellStyle name="Pre-inputted cells 7 3 2 5" xfId="28922" xr:uid="{00000000-0005-0000-0000-0000CD710000}"/>
    <cellStyle name="Pre-inputted cells 7 3 2 6" xfId="28923" xr:uid="{00000000-0005-0000-0000-0000CE710000}"/>
    <cellStyle name="Pre-inputted cells 7 3 2 7" xfId="28924" xr:uid="{00000000-0005-0000-0000-0000CF710000}"/>
    <cellStyle name="Pre-inputted cells 7 3 2 8" xfId="28925" xr:uid="{00000000-0005-0000-0000-0000D0710000}"/>
    <cellStyle name="Pre-inputted cells 7 3 2 9" xfId="28926" xr:uid="{00000000-0005-0000-0000-0000D1710000}"/>
    <cellStyle name="Pre-inputted cells 7 3 20" xfId="28927" xr:uid="{00000000-0005-0000-0000-0000D2710000}"/>
    <cellStyle name="Pre-inputted cells 7 3 21" xfId="28928" xr:uid="{00000000-0005-0000-0000-0000D3710000}"/>
    <cellStyle name="Pre-inputted cells 7 3 22" xfId="28929" xr:uid="{00000000-0005-0000-0000-0000D4710000}"/>
    <cellStyle name="Pre-inputted cells 7 3 23" xfId="28930" xr:uid="{00000000-0005-0000-0000-0000D5710000}"/>
    <cellStyle name="Pre-inputted cells 7 3 24" xfId="28931" xr:uid="{00000000-0005-0000-0000-0000D6710000}"/>
    <cellStyle name="Pre-inputted cells 7 3 25" xfId="28932" xr:uid="{00000000-0005-0000-0000-0000D7710000}"/>
    <cellStyle name="Pre-inputted cells 7 3 26" xfId="28933" xr:uid="{00000000-0005-0000-0000-0000D8710000}"/>
    <cellStyle name="Pre-inputted cells 7 3 27" xfId="28934" xr:uid="{00000000-0005-0000-0000-0000D9710000}"/>
    <cellStyle name="Pre-inputted cells 7 3 28" xfId="28935" xr:uid="{00000000-0005-0000-0000-0000DA710000}"/>
    <cellStyle name="Pre-inputted cells 7 3 29" xfId="28936" xr:uid="{00000000-0005-0000-0000-0000DB710000}"/>
    <cellStyle name="Pre-inputted cells 7 3 3" xfId="28937" xr:uid="{00000000-0005-0000-0000-0000DC710000}"/>
    <cellStyle name="Pre-inputted cells 7 3 3 10" xfId="28938" xr:uid="{00000000-0005-0000-0000-0000DD710000}"/>
    <cellStyle name="Pre-inputted cells 7 3 3 11" xfId="28939" xr:uid="{00000000-0005-0000-0000-0000DE710000}"/>
    <cellStyle name="Pre-inputted cells 7 3 3 12" xfId="28940" xr:uid="{00000000-0005-0000-0000-0000DF710000}"/>
    <cellStyle name="Pre-inputted cells 7 3 3 13" xfId="28941" xr:uid="{00000000-0005-0000-0000-0000E0710000}"/>
    <cellStyle name="Pre-inputted cells 7 3 3 2" xfId="28942" xr:uid="{00000000-0005-0000-0000-0000E1710000}"/>
    <cellStyle name="Pre-inputted cells 7 3 3 2 2" xfId="28943" xr:uid="{00000000-0005-0000-0000-0000E2710000}"/>
    <cellStyle name="Pre-inputted cells 7 3 3 2 3" xfId="28944" xr:uid="{00000000-0005-0000-0000-0000E3710000}"/>
    <cellStyle name="Pre-inputted cells 7 3 3 3" xfId="28945" xr:uid="{00000000-0005-0000-0000-0000E4710000}"/>
    <cellStyle name="Pre-inputted cells 7 3 3 3 2" xfId="28946" xr:uid="{00000000-0005-0000-0000-0000E5710000}"/>
    <cellStyle name="Pre-inputted cells 7 3 3 3 3" xfId="28947" xr:uid="{00000000-0005-0000-0000-0000E6710000}"/>
    <cellStyle name="Pre-inputted cells 7 3 3 4" xfId="28948" xr:uid="{00000000-0005-0000-0000-0000E7710000}"/>
    <cellStyle name="Pre-inputted cells 7 3 3 5" xfId="28949" xr:uid="{00000000-0005-0000-0000-0000E8710000}"/>
    <cellStyle name="Pre-inputted cells 7 3 3 6" xfId="28950" xr:uid="{00000000-0005-0000-0000-0000E9710000}"/>
    <cellStyle name="Pre-inputted cells 7 3 3 7" xfId="28951" xr:uid="{00000000-0005-0000-0000-0000EA710000}"/>
    <cellStyle name="Pre-inputted cells 7 3 3 8" xfId="28952" xr:uid="{00000000-0005-0000-0000-0000EB710000}"/>
    <cellStyle name="Pre-inputted cells 7 3 3 9" xfId="28953" xr:uid="{00000000-0005-0000-0000-0000EC710000}"/>
    <cellStyle name="Pre-inputted cells 7 3 30" xfId="28954" xr:uid="{00000000-0005-0000-0000-0000ED710000}"/>
    <cellStyle name="Pre-inputted cells 7 3 31" xfId="28955" xr:uid="{00000000-0005-0000-0000-0000EE710000}"/>
    <cellStyle name="Pre-inputted cells 7 3 32" xfId="28956" xr:uid="{00000000-0005-0000-0000-0000EF710000}"/>
    <cellStyle name="Pre-inputted cells 7 3 33" xfId="28957" xr:uid="{00000000-0005-0000-0000-0000F0710000}"/>
    <cellStyle name="Pre-inputted cells 7 3 34" xfId="28958" xr:uid="{00000000-0005-0000-0000-0000F1710000}"/>
    <cellStyle name="Pre-inputted cells 7 3 35" xfId="28959" xr:uid="{00000000-0005-0000-0000-0000F2710000}"/>
    <cellStyle name="Pre-inputted cells 7 3 4" xfId="28960" xr:uid="{00000000-0005-0000-0000-0000F3710000}"/>
    <cellStyle name="Pre-inputted cells 7 3 4 2" xfId="28961" xr:uid="{00000000-0005-0000-0000-0000F4710000}"/>
    <cellStyle name="Pre-inputted cells 7 3 4 3" xfId="28962" xr:uid="{00000000-0005-0000-0000-0000F5710000}"/>
    <cellStyle name="Pre-inputted cells 7 3 5" xfId="28963" xr:uid="{00000000-0005-0000-0000-0000F6710000}"/>
    <cellStyle name="Pre-inputted cells 7 3 5 2" xfId="28964" xr:uid="{00000000-0005-0000-0000-0000F7710000}"/>
    <cellStyle name="Pre-inputted cells 7 3 5 3" xfId="28965" xr:uid="{00000000-0005-0000-0000-0000F8710000}"/>
    <cellStyle name="Pre-inputted cells 7 3 6" xfId="28966" xr:uid="{00000000-0005-0000-0000-0000F9710000}"/>
    <cellStyle name="Pre-inputted cells 7 3 7" xfId="28967" xr:uid="{00000000-0005-0000-0000-0000FA710000}"/>
    <cellStyle name="Pre-inputted cells 7 3 8" xfId="28968" xr:uid="{00000000-0005-0000-0000-0000FB710000}"/>
    <cellStyle name="Pre-inputted cells 7 3 9" xfId="28969" xr:uid="{00000000-0005-0000-0000-0000FC710000}"/>
    <cellStyle name="Pre-inputted cells 7 3_4 28 1_Asst_Health_Crit_AllTO_RIIO_20110714pm" xfId="28970" xr:uid="{00000000-0005-0000-0000-0000FD710000}"/>
    <cellStyle name="Pre-inputted cells 7 30" xfId="28971" xr:uid="{00000000-0005-0000-0000-0000FE710000}"/>
    <cellStyle name="Pre-inputted cells 7 31" xfId="28972" xr:uid="{00000000-0005-0000-0000-0000FF710000}"/>
    <cellStyle name="Pre-inputted cells 7 32" xfId="28973" xr:uid="{00000000-0005-0000-0000-000000720000}"/>
    <cellStyle name="Pre-inputted cells 7 33" xfId="28974" xr:uid="{00000000-0005-0000-0000-000001720000}"/>
    <cellStyle name="Pre-inputted cells 7 34" xfId="28975" xr:uid="{00000000-0005-0000-0000-000002720000}"/>
    <cellStyle name="Pre-inputted cells 7 35" xfId="28976" xr:uid="{00000000-0005-0000-0000-000003720000}"/>
    <cellStyle name="Pre-inputted cells 7 36" xfId="28977" xr:uid="{00000000-0005-0000-0000-000004720000}"/>
    <cellStyle name="Pre-inputted cells 7 37" xfId="28978" xr:uid="{00000000-0005-0000-0000-000005720000}"/>
    <cellStyle name="Pre-inputted cells 7 38" xfId="28979" xr:uid="{00000000-0005-0000-0000-000006720000}"/>
    <cellStyle name="Pre-inputted cells 7 39" xfId="28980" xr:uid="{00000000-0005-0000-0000-000007720000}"/>
    <cellStyle name="Pre-inputted cells 7 4" xfId="28981" xr:uid="{00000000-0005-0000-0000-000008720000}"/>
    <cellStyle name="Pre-inputted cells 7 4 10" xfId="28982" xr:uid="{00000000-0005-0000-0000-000009720000}"/>
    <cellStyle name="Pre-inputted cells 7 4 11" xfId="28983" xr:uid="{00000000-0005-0000-0000-00000A720000}"/>
    <cellStyle name="Pre-inputted cells 7 4 12" xfId="28984" xr:uid="{00000000-0005-0000-0000-00000B720000}"/>
    <cellStyle name="Pre-inputted cells 7 4 13" xfId="28985" xr:uid="{00000000-0005-0000-0000-00000C720000}"/>
    <cellStyle name="Pre-inputted cells 7 4 14" xfId="28986" xr:uid="{00000000-0005-0000-0000-00000D720000}"/>
    <cellStyle name="Pre-inputted cells 7 4 15" xfId="28987" xr:uid="{00000000-0005-0000-0000-00000E720000}"/>
    <cellStyle name="Pre-inputted cells 7 4 16" xfId="28988" xr:uid="{00000000-0005-0000-0000-00000F720000}"/>
    <cellStyle name="Pre-inputted cells 7 4 17" xfId="28989" xr:uid="{00000000-0005-0000-0000-000010720000}"/>
    <cellStyle name="Pre-inputted cells 7 4 18" xfId="28990" xr:uid="{00000000-0005-0000-0000-000011720000}"/>
    <cellStyle name="Pre-inputted cells 7 4 19" xfId="28991" xr:uid="{00000000-0005-0000-0000-000012720000}"/>
    <cellStyle name="Pre-inputted cells 7 4 2" xfId="28992" xr:uid="{00000000-0005-0000-0000-000013720000}"/>
    <cellStyle name="Pre-inputted cells 7 4 2 10" xfId="28993" xr:uid="{00000000-0005-0000-0000-000014720000}"/>
    <cellStyle name="Pre-inputted cells 7 4 2 11" xfId="28994" xr:uid="{00000000-0005-0000-0000-000015720000}"/>
    <cellStyle name="Pre-inputted cells 7 4 2 12" xfId="28995" xr:uid="{00000000-0005-0000-0000-000016720000}"/>
    <cellStyle name="Pre-inputted cells 7 4 2 13" xfId="28996" xr:uid="{00000000-0005-0000-0000-000017720000}"/>
    <cellStyle name="Pre-inputted cells 7 4 2 2" xfId="28997" xr:uid="{00000000-0005-0000-0000-000018720000}"/>
    <cellStyle name="Pre-inputted cells 7 4 2 2 2" xfId="28998" xr:uid="{00000000-0005-0000-0000-000019720000}"/>
    <cellStyle name="Pre-inputted cells 7 4 2 2 3" xfId="28999" xr:uid="{00000000-0005-0000-0000-00001A720000}"/>
    <cellStyle name="Pre-inputted cells 7 4 2 3" xfId="29000" xr:uid="{00000000-0005-0000-0000-00001B720000}"/>
    <cellStyle name="Pre-inputted cells 7 4 2 3 2" xfId="29001" xr:uid="{00000000-0005-0000-0000-00001C720000}"/>
    <cellStyle name="Pre-inputted cells 7 4 2 3 3" xfId="29002" xr:uid="{00000000-0005-0000-0000-00001D720000}"/>
    <cellStyle name="Pre-inputted cells 7 4 2 4" xfId="29003" xr:uid="{00000000-0005-0000-0000-00001E720000}"/>
    <cellStyle name="Pre-inputted cells 7 4 2 5" xfId="29004" xr:uid="{00000000-0005-0000-0000-00001F720000}"/>
    <cellStyle name="Pre-inputted cells 7 4 2 6" xfId="29005" xr:uid="{00000000-0005-0000-0000-000020720000}"/>
    <cellStyle name="Pre-inputted cells 7 4 2 7" xfId="29006" xr:uid="{00000000-0005-0000-0000-000021720000}"/>
    <cellStyle name="Pre-inputted cells 7 4 2 8" xfId="29007" xr:uid="{00000000-0005-0000-0000-000022720000}"/>
    <cellStyle name="Pre-inputted cells 7 4 2 9" xfId="29008" xr:uid="{00000000-0005-0000-0000-000023720000}"/>
    <cellStyle name="Pre-inputted cells 7 4 20" xfId="29009" xr:uid="{00000000-0005-0000-0000-000024720000}"/>
    <cellStyle name="Pre-inputted cells 7 4 21" xfId="29010" xr:uid="{00000000-0005-0000-0000-000025720000}"/>
    <cellStyle name="Pre-inputted cells 7 4 22" xfId="29011" xr:uid="{00000000-0005-0000-0000-000026720000}"/>
    <cellStyle name="Pre-inputted cells 7 4 23" xfId="29012" xr:uid="{00000000-0005-0000-0000-000027720000}"/>
    <cellStyle name="Pre-inputted cells 7 4 24" xfId="29013" xr:uid="{00000000-0005-0000-0000-000028720000}"/>
    <cellStyle name="Pre-inputted cells 7 4 25" xfId="29014" xr:uid="{00000000-0005-0000-0000-000029720000}"/>
    <cellStyle name="Pre-inputted cells 7 4 26" xfId="29015" xr:uid="{00000000-0005-0000-0000-00002A720000}"/>
    <cellStyle name="Pre-inputted cells 7 4 27" xfId="29016" xr:uid="{00000000-0005-0000-0000-00002B720000}"/>
    <cellStyle name="Pre-inputted cells 7 4 28" xfId="29017" xr:uid="{00000000-0005-0000-0000-00002C720000}"/>
    <cellStyle name="Pre-inputted cells 7 4 29" xfId="29018" xr:uid="{00000000-0005-0000-0000-00002D720000}"/>
    <cellStyle name="Pre-inputted cells 7 4 3" xfId="29019" xr:uid="{00000000-0005-0000-0000-00002E720000}"/>
    <cellStyle name="Pre-inputted cells 7 4 3 2" xfId="29020" xr:uid="{00000000-0005-0000-0000-00002F720000}"/>
    <cellStyle name="Pre-inputted cells 7 4 3 3" xfId="29021" xr:uid="{00000000-0005-0000-0000-000030720000}"/>
    <cellStyle name="Pre-inputted cells 7 4 30" xfId="29022" xr:uid="{00000000-0005-0000-0000-000031720000}"/>
    <cellStyle name="Pre-inputted cells 7 4 31" xfId="29023" xr:uid="{00000000-0005-0000-0000-000032720000}"/>
    <cellStyle name="Pre-inputted cells 7 4 32" xfId="29024" xr:uid="{00000000-0005-0000-0000-000033720000}"/>
    <cellStyle name="Pre-inputted cells 7 4 33" xfId="29025" xr:uid="{00000000-0005-0000-0000-000034720000}"/>
    <cellStyle name="Pre-inputted cells 7 4 34" xfId="29026" xr:uid="{00000000-0005-0000-0000-000035720000}"/>
    <cellStyle name="Pre-inputted cells 7 4 4" xfId="29027" xr:uid="{00000000-0005-0000-0000-000036720000}"/>
    <cellStyle name="Pre-inputted cells 7 4 4 2" xfId="29028" xr:uid="{00000000-0005-0000-0000-000037720000}"/>
    <cellStyle name="Pre-inputted cells 7 4 4 3" xfId="29029" xr:uid="{00000000-0005-0000-0000-000038720000}"/>
    <cellStyle name="Pre-inputted cells 7 4 5" xfId="29030" xr:uid="{00000000-0005-0000-0000-000039720000}"/>
    <cellStyle name="Pre-inputted cells 7 4 6" xfId="29031" xr:uid="{00000000-0005-0000-0000-00003A720000}"/>
    <cellStyle name="Pre-inputted cells 7 4 7" xfId="29032" xr:uid="{00000000-0005-0000-0000-00003B720000}"/>
    <cellStyle name="Pre-inputted cells 7 4 8" xfId="29033" xr:uid="{00000000-0005-0000-0000-00003C720000}"/>
    <cellStyle name="Pre-inputted cells 7 4 9" xfId="29034" xr:uid="{00000000-0005-0000-0000-00003D720000}"/>
    <cellStyle name="Pre-inputted cells 7 5" xfId="29035" xr:uid="{00000000-0005-0000-0000-00003E720000}"/>
    <cellStyle name="Pre-inputted cells 7 5 10" xfId="29036" xr:uid="{00000000-0005-0000-0000-00003F720000}"/>
    <cellStyle name="Pre-inputted cells 7 5 11" xfId="29037" xr:uid="{00000000-0005-0000-0000-000040720000}"/>
    <cellStyle name="Pre-inputted cells 7 5 12" xfId="29038" xr:uid="{00000000-0005-0000-0000-000041720000}"/>
    <cellStyle name="Pre-inputted cells 7 5 13" xfId="29039" xr:uid="{00000000-0005-0000-0000-000042720000}"/>
    <cellStyle name="Pre-inputted cells 7 5 14" xfId="29040" xr:uid="{00000000-0005-0000-0000-000043720000}"/>
    <cellStyle name="Pre-inputted cells 7 5 15" xfId="29041" xr:uid="{00000000-0005-0000-0000-000044720000}"/>
    <cellStyle name="Pre-inputted cells 7 5 16" xfId="29042" xr:uid="{00000000-0005-0000-0000-000045720000}"/>
    <cellStyle name="Pre-inputted cells 7 5 17" xfId="29043" xr:uid="{00000000-0005-0000-0000-000046720000}"/>
    <cellStyle name="Pre-inputted cells 7 5 18" xfId="29044" xr:uid="{00000000-0005-0000-0000-000047720000}"/>
    <cellStyle name="Pre-inputted cells 7 5 19" xfId="29045" xr:uid="{00000000-0005-0000-0000-000048720000}"/>
    <cellStyle name="Pre-inputted cells 7 5 2" xfId="29046" xr:uid="{00000000-0005-0000-0000-000049720000}"/>
    <cellStyle name="Pre-inputted cells 7 5 2 10" xfId="29047" xr:uid="{00000000-0005-0000-0000-00004A720000}"/>
    <cellStyle name="Pre-inputted cells 7 5 2 11" xfId="29048" xr:uid="{00000000-0005-0000-0000-00004B720000}"/>
    <cellStyle name="Pre-inputted cells 7 5 2 12" xfId="29049" xr:uid="{00000000-0005-0000-0000-00004C720000}"/>
    <cellStyle name="Pre-inputted cells 7 5 2 13" xfId="29050" xr:uid="{00000000-0005-0000-0000-00004D720000}"/>
    <cellStyle name="Pre-inputted cells 7 5 2 2" xfId="29051" xr:uid="{00000000-0005-0000-0000-00004E720000}"/>
    <cellStyle name="Pre-inputted cells 7 5 2 2 2" xfId="29052" xr:uid="{00000000-0005-0000-0000-00004F720000}"/>
    <cellStyle name="Pre-inputted cells 7 5 2 2 3" xfId="29053" xr:uid="{00000000-0005-0000-0000-000050720000}"/>
    <cellStyle name="Pre-inputted cells 7 5 2 3" xfId="29054" xr:uid="{00000000-0005-0000-0000-000051720000}"/>
    <cellStyle name="Pre-inputted cells 7 5 2 3 2" xfId="29055" xr:uid="{00000000-0005-0000-0000-000052720000}"/>
    <cellStyle name="Pre-inputted cells 7 5 2 3 3" xfId="29056" xr:uid="{00000000-0005-0000-0000-000053720000}"/>
    <cellStyle name="Pre-inputted cells 7 5 2 4" xfId="29057" xr:uid="{00000000-0005-0000-0000-000054720000}"/>
    <cellStyle name="Pre-inputted cells 7 5 2 5" xfId="29058" xr:uid="{00000000-0005-0000-0000-000055720000}"/>
    <cellStyle name="Pre-inputted cells 7 5 2 6" xfId="29059" xr:uid="{00000000-0005-0000-0000-000056720000}"/>
    <cellStyle name="Pre-inputted cells 7 5 2 7" xfId="29060" xr:uid="{00000000-0005-0000-0000-000057720000}"/>
    <cellStyle name="Pre-inputted cells 7 5 2 8" xfId="29061" xr:uid="{00000000-0005-0000-0000-000058720000}"/>
    <cellStyle name="Pre-inputted cells 7 5 2 9" xfId="29062" xr:uid="{00000000-0005-0000-0000-000059720000}"/>
    <cellStyle name="Pre-inputted cells 7 5 20" xfId="29063" xr:uid="{00000000-0005-0000-0000-00005A720000}"/>
    <cellStyle name="Pre-inputted cells 7 5 21" xfId="29064" xr:uid="{00000000-0005-0000-0000-00005B720000}"/>
    <cellStyle name="Pre-inputted cells 7 5 22" xfId="29065" xr:uid="{00000000-0005-0000-0000-00005C720000}"/>
    <cellStyle name="Pre-inputted cells 7 5 23" xfId="29066" xr:uid="{00000000-0005-0000-0000-00005D720000}"/>
    <cellStyle name="Pre-inputted cells 7 5 24" xfId="29067" xr:uid="{00000000-0005-0000-0000-00005E720000}"/>
    <cellStyle name="Pre-inputted cells 7 5 25" xfId="29068" xr:uid="{00000000-0005-0000-0000-00005F720000}"/>
    <cellStyle name="Pre-inputted cells 7 5 26" xfId="29069" xr:uid="{00000000-0005-0000-0000-000060720000}"/>
    <cellStyle name="Pre-inputted cells 7 5 27" xfId="29070" xr:uid="{00000000-0005-0000-0000-000061720000}"/>
    <cellStyle name="Pre-inputted cells 7 5 28" xfId="29071" xr:uid="{00000000-0005-0000-0000-000062720000}"/>
    <cellStyle name="Pre-inputted cells 7 5 29" xfId="29072" xr:uid="{00000000-0005-0000-0000-000063720000}"/>
    <cellStyle name="Pre-inputted cells 7 5 3" xfId="29073" xr:uid="{00000000-0005-0000-0000-000064720000}"/>
    <cellStyle name="Pre-inputted cells 7 5 3 2" xfId="29074" xr:uid="{00000000-0005-0000-0000-000065720000}"/>
    <cellStyle name="Pre-inputted cells 7 5 3 3" xfId="29075" xr:uid="{00000000-0005-0000-0000-000066720000}"/>
    <cellStyle name="Pre-inputted cells 7 5 30" xfId="29076" xr:uid="{00000000-0005-0000-0000-000067720000}"/>
    <cellStyle name="Pre-inputted cells 7 5 31" xfId="29077" xr:uid="{00000000-0005-0000-0000-000068720000}"/>
    <cellStyle name="Pre-inputted cells 7 5 32" xfId="29078" xr:uid="{00000000-0005-0000-0000-000069720000}"/>
    <cellStyle name="Pre-inputted cells 7 5 33" xfId="29079" xr:uid="{00000000-0005-0000-0000-00006A720000}"/>
    <cellStyle name="Pre-inputted cells 7 5 34" xfId="29080" xr:uid="{00000000-0005-0000-0000-00006B720000}"/>
    <cellStyle name="Pre-inputted cells 7 5 4" xfId="29081" xr:uid="{00000000-0005-0000-0000-00006C720000}"/>
    <cellStyle name="Pre-inputted cells 7 5 4 2" xfId="29082" xr:uid="{00000000-0005-0000-0000-00006D720000}"/>
    <cellStyle name="Pre-inputted cells 7 5 4 3" xfId="29083" xr:uid="{00000000-0005-0000-0000-00006E720000}"/>
    <cellStyle name="Pre-inputted cells 7 5 5" xfId="29084" xr:uid="{00000000-0005-0000-0000-00006F720000}"/>
    <cellStyle name="Pre-inputted cells 7 5 6" xfId="29085" xr:uid="{00000000-0005-0000-0000-000070720000}"/>
    <cellStyle name="Pre-inputted cells 7 5 7" xfId="29086" xr:uid="{00000000-0005-0000-0000-000071720000}"/>
    <cellStyle name="Pre-inputted cells 7 5 8" xfId="29087" xr:uid="{00000000-0005-0000-0000-000072720000}"/>
    <cellStyle name="Pre-inputted cells 7 5 9" xfId="29088" xr:uid="{00000000-0005-0000-0000-000073720000}"/>
    <cellStyle name="Pre-inputted cells 7 6" xfId="29089" xr:uid="{00000000-0005-0000-0000-000074720000}"/>
    <cellStyle name="Pre-inputted cells 7 6 10" xfId="29090" xr:uid="{00000000-0005-0000-0000-000075720000}"/>
    <cellStyle name="Pre-inputted cells 7 6 11" xfId="29091" xr:uid="{00000000-0005-0000-0000-000076720000}"/>
    <cellStyle name="Pre-inputted cells 7 6 12" xfId="29092" xr:uid="{00000000-0005-0000-0000-000077720000}"/>
    <cellStyle name="Pre-inputted cells 7 6 13" xfId="29093" xr:uid="{00000000-0005-0000-0000-000078720000}"/>
    <cellStyle name="Pre-inputted cells 7 6 2" xfId="29094" xr:uid="{00000000-0005-0000-0000-000079720000}"/>
    <cellStyle name="Pre-inputted cells 7 6 2 2" xfId="29095" xr:uid="{00000000-0005-0000-0000-00007A720000}"/>
    <cellStyle name="Pre-inputted cells 7 6 2 3" xfId="29096" xr:uid="{00000000-0005-0000-0000-00007B720000}"/>
    <cellStyle name="Pre-inputted cells 7 6 3" xfId="29097" xr:uid="{00000000-0005-0000-0000-00007C720000}"/>
    <cellStyle name="Pre-inputted cells 7 6 3 2" xfId="29098" xr:uid="{00000000-0005-0000-0000-00007D720000}"/>
    <cellStyle name="Pre-inputted cells 7 6 3 3" xfId="29099" xr:uid="{00000000-0005-0000-0000-00007E720000}"/>
    <cellStyle name="Pre-inputted cells 7 6 4" xfId="29100" xr:uid="{00000000-0005-0000-0000-00007F720000}"/>
    <cellStyle name="Pre-inputted cells 7 6 5" xfId="29101" xr:uid="{00000000-0005-0000-0000-000080720000}"/>
    <cellStyle name="Pre-inputted cells 7 6 6" xfId="29102" xr:uid="{00000000-0005-0000-0000-000081720000}"/>
    <cellStyle name="Pre-inputted cells 7 6 7" xfId="29103" xr:uid="{00000000-0005-0000-0000-000082720000}"/>
    <cellStyle name="Pre-inputted cells 7 6 8" xfId="29104" xr:uid="{00000000-0005-0000-0000-000083720000}"/>
    <cellStyle name="Pre-inputted cells 7 6 9" xfId="29105" xr:uid="{00000000-0005-0000-0000-000084720000}"/>
    <cellStyle name="Pre-inputted cells 7 7" xfId="29106" xr:uid="{00000000-0005-0000-0000-000085720000}"/>
    <cellStyle name="Pre-inputted cells 7 7 2" xfId="29107" xr:uid="{00000000-0005-0000-0000-000086720000}"/>
    <cellStyle name="Pre-inputted cells 7 7 2 2" xfId="29108" xr:uid="{00000000-0005-0000-0000-000087720000}"/>
    <cellStyle name="Pre-inputted cells 7 7 2 3" xfId="29109" xr:uid="{00000000-0005-0000-0000-000088720000}"/>
    <cellStyle name="Pre-inputted cells 7 7 3" xfId="29110" xr:uid="{00000000-0005-0000-0000-000089720000}"/>
    <cellStyle name="Pre-inputted cells 7 7 3 2" xfId="29111" xr:uid="{00000000-0005-0000-0000-00008A720000}"/>
    <cellStyle name="Pre-inputted cells 7 7 4" xfId="29112" xr:uid="{00000000-0005-0000-0000-00008B720000}"/>
    <cellStyle name="Pre-inputted cells 7 8" xfId="29113" xr:uid="{00000000-0005-0000-0000-00008C720000}"/>
    <cellStyle name="Pre-inputted cells 7 8 2" xfId="29114" xr:uid="{00000000-0005-0000-0000-00008D720000}"/>
    <cellStyle name="Pre-inputted cells 7 9" xfId="29115" xr:uid="{00000000-0005-0000-0000-00008E720000}"/>
    <cellStyle name="Pre-inputted cells 7 9 2" xfId="29116" xr:uid="{00000000-0005-0000-0000-00008F720000}"/>
    <cellStyle name="Pre-inputted cells 7_4 28 1_Asst_Health_Crit_AllTO_RIIO_20110714pm" xfId="29117" xr:uid="{00000000-0005-0000-0000-000090720000}"/>
    <cellStyle name="Pre-inputted cells 8" xfId="29118" xr:uid="{00000000-0005-0000-0000-000091720000}"/>
    <cellStyle name="Pre-inputted cells 8 10" xfId="29119" xr:uid="{00000000-0005-0000-0000-000092720000}"/>
    <cellStyle name="Pre-inputted cells 8 11" xfId="29120" xr:uid="{00000000-0005-0000-0000-000093720000}"/>
    <cellStyle name="Pre-inputted cells 8 12" xfId="29121" xr:uid="{00000000-0005-0000-0000-000094720000}"/>
    <cellStyle name="Pre-inputted cells 8 13" xfId="29122" xr:uid="{00000000-0005-0000-0000-000095720000}"/>
    <cellStyle name="Pre-inputted cells 8 14" xfId="29123" xr:uid="{00000000-0005-0000-0000-000096720000}"/>
    <cellStyle name="Pre-inputted cells 8 15" xfId="29124" xr:uid="{00000000-0005-0000-0000-000097720000}"/>
    <cellStyle name="Pre-inputted cells 8 16" xfId="29125" xr:uid="{00000000-0005-0000-0000-000098720000}"/>
    <cellStyle name="Pre-inputted cells 8 17" xfId="29126" xr:uid="{00000000-0005-0000-0000-000099720000}"/>
    <cellStyle name="Pre-inputted cells 8 18" xfId="29127" xr:uid="{00000000-0005-0000-0000-00009A720000}"/>
    <cellStyle name="Pre-inputted cells 8 19" xfId="29128" xr:uid="{00000000-0005-0000-0000-00009B720000}"/>
    <cellStyle name="Pre-inputted cells 8 2" xfId="29129" xr:uid="{00000000-0005-0000-0000-00009C720000}"/>
    <cellStyle name="Pre-inputted cells 8 2 10" xfId="29130" xr:uid="{00000000-0005-0000-0000-00009D720000}"/>
    <cellStyle name="Pre-inputted cells 8 2 11" xfId="29131" xr:uid="{00000000-0005-0000-0000-00009E720000}"/>
    <cellStyle name="Pre-inputted cells 8 2 12" xfId="29132" xr:uid="{00000000-0005-0000-0000-00009F720000}"/>
    <cellStyle name="Pre-inputted cells 8 2 13" xfId="29133" xr:uid="{00000000-0005-0000-0000-0000A0720000}"/>
    <cellStyle name="Pre-inputted cells 8 2 14" xfId="29134" xr:uid="{00000000-0005-0000-0000-0000A1720000}"/>
    <cellStyle name="Pre-inputted cells 8 2 15" xfId="29135" xr:uid="{00000000-0005-0000-0000-0000A2720000}"/>
    <cellStyle name="Pre-inputted cells 8 2 16" xfId="29136" xr:uid="{00000000-0005-0000-0000-0000A3720000}"/>
    <cellStyle name="Pre-inputted cells 8 2 17" xfId="29137" xr:uid="{00000000-0005-0000-0000-0000A4720000}"/>
    <cellStyle name="Pre-inputted cells 8 2 18" xfId="29138" xr:uid="{00000000-0005-0000-0000-0000A5720000}"/>
    <cellStyle name="Pre-inputted cells 8 2 19" xfId="29139" xr:uid="{00000000-0005-0000-0000-0000A6720000}"/>
    <cellStyle name="Pre-inputted cells 8 2 2" xfId="29140" xr:uid="{00000000-0005-0000-0000-0000A7720000}"/>
    <cellStyle name="Pre-inputted cells 8 2 2 10" xfId="29141" xr:uid="{00000000-0005-0000-0000-0000A8720000}"/>
    <cellStyle name="Pre-inputted cells 8 2 2 11" xfId="29142" xr:uid="{00000000-0005-0000-0000-0000A9720000}"/>
    <cellStyle name="Pre-inputted cells 8 2 2 12" xfId="29143" xr:uid="{00000000-0005-0000-0000-0000AA720000}"/>
    <cellStyle name="Pre-inputted cells 8 2 2 13" xfId="29144" xr:uid="{00000000-0005-0000-0000-0000AB720000}"/>
    <cellStyle name="Pre-inputted cells 8 2 2 2" xfId="29145" xr:uid="{00000000-0005-0000-0000-0000AC720000}"/>
    <cellStyle name="Pre-inputted cells 8 2 2 2 2" xfId="29146" xr:uid="{00000000-0005-0000-0000-0000AD720000}"/>
    <cellStyle name="Pre-inputted cells 8 2 2 2 3" xfId="29147" xr:uid="{00000000-0005-0000-0000-0000AE720000}"/>
    <cellStyle name="Pre-inputted cells 8 2 2 3" xfId="29148" xr:uid="{00000000-0005-0000-0000-0000AF720000}"/>
    <cellStyle name="Pre-inputted cells 8 2 2 3 2" xfId="29149" xr:uid="{00000000-0005-0000-0000-0000B0720000}"/>
    <cellStyle name="Pre-inputted cells 8 2 2 3 3" xfId="29150" xr:uid="{00000000-0005-0000-0000-0000B1720000}"/>
    <cellStyle name="Pre-inputted cells 8 2 2 4" xfId="29151" xr:uid="{00000000-0005-0000-0000-0000B2720000}"/>
    <cellStyle name="Pre-inputted cells 8 2 2 5" xfId="29152" xr:uid="{00000000-0005-0000-0000-0000B3720000}"/>
    <cellStyle name="Pre-inputted cells 8 2 2 6" xfId="29153" xr:uid="{00000000-0005-0000-0000-0000B4720000}"/>
    <cellStyle name="Pre-inputted cells 8 2 2 7" xfId="29154" xr:uid="{00000000-0005-0000-0000-0000B5720000}"/>
    <cellStyle name="Pre-inputted cells 8 2 2 8" xfId="29155" xr:uid="{00000000-0005-0000-0000-0000B6720000}"/>
    <cellStyle name="Pre-inputted cells 8 2 2 9" xfId="29156" xr:uid="{00000000-0005-0000-0000-0000B7720000}"/>
    <cellStyle name="Pre-inputted cells 8 2 20" xfId="29157" xr:uid="{00000000-0005-0000-0000-0000B8720000}"/>
    <cellStyle name="Pre-inputted cells 8 2 21" xfId="29158" xr:uid="{00000000-0005-0000-0000-0000B9720000}"/>
    <cellStyle name="Pre-inputted cells 8 2 22" xfId="29159" xr:uid="{00000000-0005-0000-0000-0000BA720000}"/>
    <cellStyle name="Pre-inputted cells 8 2 23" xfId="29160" xr:uid="{00000000-0005-0000-0000-0000BB720000}"/>
    <cellStyle name="Pre-inputted cells 8 2 24" xfId="29161" xr:uid="{00000000-0005-0000-0000-0000BC720000}"/>
    <cellStyle name="Pre-inputted cells 8 2 25" xfId="29162" xr:uid="{00000000-0005-0000-0000-0000BD720000}"/>
    <cellStyle name="Pre-inputted cells 8 2 26" xfId="29163" xr:uid="{00000000-0005-0000-0000-0000BE720000}"/>
    <cellStyle name="Pre-inputted cells 8 2 27" xfId="29164" xr:uid="{00000000-0005-0000-0000-0000BF720000}"/>
    <cellStyle name="Pre-inputted cells 8 2 28" xfId="29165" xr:uid="{00000000-0005-0000-0000-0000C0720000}"/>
    <cellStyle name="Pre-inputted cells 8 2 29" xfId="29166" xr:uid="{00000000-0005-0000-0000-0000C1720000}"/>
    <cellStyle name="Pre-inputted cells 8 2 3" xfId="29167" xr:uid="{00000000-0005-0000-0000-0000C2720000}"/>
    <cellStyle name="Pre-inputted cells 8 2 3 2" xfId="29168" xr:uid="{00000000-0005-0000-0000-0000C3720000}"/>
    <cellStyle name="Pre-inputted cells 8 2 3 3" xfId="29169" xr:uid="{00000000-0005-0000-0000-0000C4720000}"/>
    <cellStyle name="Pre-inputted cells 8 2 30" xfId="29170" xr:uid="{00000000-0005-0000-0000-0000C5720000}"/>
    <cellStyle name="Pre-inputted cells 8 2 31" xfId="29171" xr:uid="{00000000-0005-0000-0000-0000C6720000}"/>
    <cellStyle name="Pre-inputted cells 8 2 32" xfId="29172" xr:uid="{00000000-0005-0000-0000-0000C7720000}"/>
    <cellStyle name="Pre-inputted cells 8 2 33" xfId="29173" xr:uid="{00000000-0005-0000-0000-0000C8720000}"/>
    <cellStyle name="Pre-inputted cells 8 2 34" xfId="29174" xr:uid="{00000000-0005-0000-0000-0000C9720000}"/>
    <cellStyle name="Pre-inputted cells 8 2 4" xfId="29175" xr:uid="{00000000-0005-0000-0000-0000CA720000}"/>
    <cellStyle name="Pre-inputted cells 8 2 4 2" xfId="29176" xr:uid="{00000000-0005-0000-0000-0000CB720000}"/>
    <cellStyle name="Pre-inputted cells 8 2 4 3" xfId="29177" xr:uid="{00000000-0005-0000-0000-0000CC720000}"/>
    <cellStyle name="Pre-inputted cells 8 2 5" xfId="29178" xr:uid="{00000000-0005-0000-0000-0000CD720000}"/>
    <cellStyle name="Pre-inputted cells 8 2 6" xfId="29179" xr:uid="{00000000-0005-0000-0000-0000CE720000}"/>
    <cellStyle name="Pre-inputted cells 8 2 7" xfId="29180" xr:uid="{00000000-0005-0000-0000-0000CF720000}"/>
    <cellStyle name="Pre-inputted cells 8 2 8" xfId="29181" xr:uid="{00000000-0005-0000-0000-0000D0720000}"/>
    <cellStyle name="Pre-inputted cells 8 2 9" xfId="29182" xr:uid="{00000000-0005-0000-0000-0000D1720000}"/>
    <cellStyle name="Pre-inputted cells 8 20" xfId="29183" xr:uid="{00000000-0005-0000-0000-0000D2720000}"/>
    <cellStyle name="Pre-inputted cells 8 21" xfId="29184" xr:uid="{00000000-0005-0000-0000-0000D3720000}"/>
    <cellStyle name="Pre-inputted cells 8 22" xfId="29185" xr:uid="{00000000-0005-0000-0000-0000D4720000}"/>
    <cellStyle name="Pre-inputted cells 8 23" xfId="29186" xr:uid="{00000000-0005-0000-0000-0000D5720000}"/>
    <cellStyle name="Pre-inputted cells 8 24" xfId="29187" xr:uid="{00000000-0005-0000-0000-0000D6720000}"/>
    <cellStyle name="Pre-inputted cells 8 25" xfId="29188" xr:uid="{00000000-0005-0000-0000-0000D7720000}"/>
    <cellStyle name="Pre-inputted cells 8 26" xfId="29189" xr:uid="{00000000-0005-0000-0000-0000D8720000}"/>
    <cellStyle name="Pre-inputted cells 8 27" xfId="29190" xr:uid="{00000000-0005-0000-0000-0000D9720000}"/>
    <cellStyle name="Pre-inputted cells 8 28" xfId="29191" xr:uid="{00000000-0005-0000-0000-0000DA720000}"/>
    <cellStyle name="Pre-inputted cells 8 29" xfId="29192" xr:uid="{00000000-0005-0000-0000-0000DB720000}"/>
    <cellStyle name="Pre-inputted cells 8 3" xfId="29193" xr:uid="{00000000-0005-0000-0000-0000DC720000}"/>
    <cellStyle name="Pre-inputted cells 8 3 10" xfId="29194" xr:uid="{00000000-0005-0000-0000-0000DD720000}"/>
    <cellStyle name="Pre-inputted cells 8 3 11" xfId="29195" xr:uid="{00000000-0005-0000-0000-0000DE720000}"/>
    <cellStyle name="Pre-inputted cells 8 3 12" xfId="29196" xr:uid="{00000000-0005-0000-0000-0000DF720000}"/>
    <cellStyle name="Pre-inputted cells 8 3 13" xfId="29197" xr:uid="{00000000-0005-0000-0000-0000E0720000}"/>
    <cellStyle name="Pre-inputted cells 8 3 2" xfId="29198" xr:uid="{00000000-0005-0000-0000-0000E1720000}"/>
    <cellStyle name="Pre-inputted cells 8 3 2 2" xfId="29199" xr:uid="{00000000-0005-0000-0000-0000E2720000}"/>
    <cellStyle name="Pre-inputted cells 8 3 2 3" xfId="29200" xr:uid="{00000000-0005-0000-0000-0000E3720000}"/>
    <cellStyle name="Pre-inputted cells 8 3 3" xfId="29201" xr:uid="{00000000-0005-0000-0000-0000E4720000}"/>
    <cellStyle name="Pre-inputted cells 8 3 3 2" xfId="29202" xr:uid="{00000000-0005-0000-0000-0000E5720000}"/>
    <cellStyle name="Pre-inputted cells 8 3 3 3" xfId="29203" xr:uid="{00000000-0005-0000-0000-0000E6720000}"/>
    <cellStyle name="Pre-inputted cells 8 3 4" xfId="29204" xr:uid="{00000000-0005-0000-0000-0000E7720000}"/>
    <cellStyle name="Pre-inputted cells 8 3 5" xfId="29205" xr:uid="{00000000-0005-0000-0000-0000E8720000}"/>
    <cellStyle name="Pre-inputted cells 8 3 6" xfId="29206" xr:uid="{00000000-0005-0000-0000-0000E9720000}"/>
    <cellStyle name="Pre-inputted cells 8 3 7" xfId="29207" xr:uid="{00000000-0005-0000-0000-0000EA720000}"/>
    <cellStyle name="Pre-inputted cells 8 3 8" xfId="29208" xr:uid="{00000000-0005-0000-0000-0000EB720000}"/>
    <cellStyle name="Pre-inputted cells 8 3 9" xfId="29209" xr:uid="{00000000-0005-0000-0000-0000EC720000}"/>
    <cellStyle name="Pre-inputted cells 8 30" xfId="29210" xr:uid="{00000000-0005-0000-0000-0000ED720000}"/>
    <cellStyle name="Pre-inputted cells 8 31" xfId="29211" xr:uid="{00000000-0005-0000-0000-0000EE720000}"/>
    <cellStyle name="Pre-inputted cells 8 32" xfId="29212" xr:uid="{00000000-0005-0000-0000-0000EF720000}"/>
    <cellStyle name="Pre-inputted cells 8 33" xfId="29213" xr:uid="{00000000-0005-0000-0000-0000F0720000}"/>
    <cellStyle name="Pre-inputted cells 8 34" xfId="29214" xr:uid="{00000000-0005-0000-0000-0000F1720000}"/>
    <cellStyle name="Pre-inputted cells 8 35" xfId="29215" xr:uid="{00000000-0005-0000-0000-0000F2720000}"/>
    <cellStyle name="Pre-inputted cells 8 4" xfId="29216" xr:uid="{00000000-0005-0000-0000-0000F3720000}"/>
    <cellStyle name="Pre-inputted cells 8 4 2" xfId="29217" xr:uid="{00000000-0005-0000-0000-0000F4720000}"/>
    <cellStyle name="Pre-inputted cells 8 4 3" xfId="29218" xr:uid="{00000000-0005-0000-0000-0000F5720000}"/>
    <cellStyle name="Pre-inputted cells 8 5" xfId="29219" xr:uid="{00000000-0005-0000-0000-0000F6720000}"/>
    <cellStyle name="Pre-inputted cells 8 5 2" xfId="29220" xr:uid="{00000000-0005-0000-0000-0000F7720000}"/>
    <cellStyle name="Pre-inputted cells 8 5 3" xfId="29221" xr:uid="{00000000-0005-0000-0000-0000F8720000}"/>
    <cellStyle name="Pre-inputted cells 8 6" xfId="29222" xr:uid="{00000000-0005-0000-0000-0000F9720000}"/>
    <cellStyle name="Pre-inputted cells 8 7" xfId="29223" xr:uid="{00000000-0005-0000-0000-0000FA720000}"/>
    <cellStyle name="Pre-inputted cells 8 8" xfId="29224" xr:uid="{00000000-0005-0000-0000-0000FB720000}"/>
    <cellStyle name="Pre-inputted cells 8 9" xfId="29225" xr:uid="{00000000-0005-0000-0000-0000FC720000}"/>
    <cellStyle name="Pre-inputted cells 8_4 28 1_Asst_Health_Crit_AllTO_RIIO_20110714pm" xfId="29226" xr:uid="{00000000-0005-0000-0000-0000FD720000}"/>
    <cellStyle name="Pre-inputted cells 9" xfId="29227" xr:uid="{00000000-0005-0000-0000-0000FE720000}"/>
    <cellStyle name="Pre-inputted cells 9 10" xfId="29228" xr:uid="{00000000-0005-0000-0000-0000FF720000}"/>
    <cellStyle name="Pre-inputted cells 9 11" xfId="29229" xr:uid="{00000000-0005-0000-0000-000000730000}"/>
    <cellStyle name="Pre-inputted cells 9 12" xfId="29230" xr:uid="{00000000-0005-0000-0000-000001730000}"/>
    <cellStyle name="Pre-inputted cells 9 13" xfId="29231" xr:uid="{00000000-0005-0000-0000-000002730000}"/>
    <cellStyle name="Pre-inputted cells 9 14" xfId="29232" xr:uid="{00000000-0005-0000-0000-000003730000}"/>
    <cellStyle name="Pre-inputted cells 9 15" xfId="29233" xr:uid="{00000000-0005-0000-0000-000004730000}"/>
    <cellStyle name="Pre-inputted cells 9 16" xfId="29234" xr:uid="{00000000-0005-0000-0000-000005730000}"/>
    <cellStyle name="Pre-inputted cells 9 17" xfId="29235" xr:uid="{00000000-0005-0000-0000-000006730000}"/>
    <cellStyle name="Pre-inputted cells 9 18" xfId="29236" xr:uid="{00000000-0005-0000-0000-000007730000}"/>
    <cellStyle name="Pre-inputted cells 9 19" xfId="29237" xr:uid="{00000000-0005-0000-0000-000008730000}"/>
    <cellStyle name="Pre-inputted cells 9 2" xfId="29238" xr:uid="{00000000-0005-0000-0000-000009730000}"/>
    <cellStyle name="Pre-inputted cells 9 2 10" xfId="29239" xr:uid="{00000000-0005-0000-0000-00000A730000}"/>
    <cellStyle name="Pre-inputted cells 9 2 11" xfId="29240" xr:uid="{00000000-0005-0000-0000-00000B730000}"/>
    <cellStyle name="Pre-inputted cells 9 2 12" xfId="29241" xr:uid="{00000000-0005-0000-0000-00000C730000}"/>
    <cellStyle name="Pre-inputted cells 9 2 13" xfId="29242" xr:uid="{00000000-0005-0000-0000-00000D730000}"/>
    <cellStyle name="Pre-inputted cells 9 2 2" xfId="29243" xr:uid="{00000000-0005-0000-0000-00000E730000}"/>
    <cellStyle name="Pre-inputted cells 9 2 2 2" xfId="29244" xr:uid="{00000000-0005-0000-0000-00000F730000}"/>
    <cellStyle name="Pre-inputted cells 9 2 2 3" xfId="29245" xr:uid="{00000000-0005-0000-0000-000010730000}"/>
    <cellStyle name="Pre-inputted cells 9 2 3" xfId="29246" xr:uid="{00000000-0005-0000-0000-000011730000}"/>
    <cellStyle name="Pre-inputted cells 9 2 3 2" xfId="29247" xr:uid="{00000000-0005-0000-0000-000012730000}"/>
    <cellStyle name="Pre-inputted cells 9 2 3 3" xfId="29248" xr:uid="{00000000-0005-0000-0000-000013730000}"/>
    <cellStyle name="Pre-inputted cells 9 2 4" xfId="29249" xr:uid="{00000000-0005-0000-0000-000014730000}"/>
    <cellStyle name="Pre-inputted cells 9 2 5" xfId="29250" xr:uid="{00000000-0005-0000-0000-000015730000}"/>
    <cellStyle name="Pre-inputted cells 9 2 6" xfId="29251" xr:uid="{00000000-0005-0000-0000-000016730000}"/>
    <cellStyle name="Pre-inputted cells 9 2 7" xfId="29252" xr:uid="{00000000-0005-0000-0000-000017730000}"/>
    <cellStyle name="Pre-inputted cells 9 2 8" xfId="29253" xr:uid="{00000000-0005-0000-0000-000018730000}"/>
    <cellStyle name="Pre-inputted cells 9 2 9" xfId="29254" xr:uid="{00000000-0005-0000-0000-000019730000}"/>
    <cellStyle name="Pre-inputted cells 9 20" xfId="29255" xr:uid="{00000000-0005-0000-0000-00001A730000}"/>
    <cellStyle name="Pre-inputted cells 9 21" xfId="29256" xr:uid="{00000000-0005-0000-0000-00001B730000}"/>
    <cellStyle name="Pre-inputted cells 9 22" xfId="29257" xr:uid="{00000000-0005-0000-0000-00001C730000}"/>
    <cellStyle name="Pre-inputted cells 9 23" xfId="29258" xr:uid="{00000000-0005-0000-0000-00001D730000}"/>
    <cellStyle name="Pre-inputted cells 9 24" xfId="29259" xr:uid="{00000000-0005-0000-0000-00001E730000}"/>
    <cellStyle name="Pre-inputted cells 9 25" xfId="29260" xr:uid="{00000000-0005-0000-0000-00001F730000}"/>
    <cellStyle name="Pre-inputted cells 9 26" xfId="29261" xr:uid="{00000000-0005-0000-0000-000020730000}"/>
    <cellStyle name="Pre-inputted cells 9 27" xfId="29262" xr:uid="{00000000-0005-0000-0000-000021730000}"/>
    <cellStyle name="Pre-inputted cells 9 28" xfId="29263" xr:uid="{00000000-0005-0000-0000-000022730000}"/>
    <cellStyle name="Pre-inputted cells 9 29" xfId="29264" xr:uid="{00000000-0005-0000-0000-000023730000}"/>
    <cellStyle name="Pre-inputted cells 9 3" xfId="29265" xr:uid="{00000000-0005-0000-0000-000024730000}"/>
    <cellStyle name="Pre-inputted cells 9 3 2" xfId="29266" xr:uid="{00000000-0005-0000-0000-000025730000}"/>
    <cellStyle name="Pre-inputted cells 9 3 3" xfId="29267" xr:uid="{00000000-0005-0000-0000-000026730000}"/>
    <cellStyle name="Pre-inputted cells 9 30" xfId="29268" xr:uid="{00000000-0005-0000-0000-000027730000}"/>
    <cellStyle name="Pre-inputted cells 9 31" xfId="29269" xr:uid="{00000000-0005-0000-0000-000028730000}"/>
    <cellStyle name="Pre-inputted cells 9 32" xfId="29270" xr:uid="{00000000-0005-0000-0000-000029730000}"/>
    <cellStyle name="Pre-inputted cells 9 33" xfId="29271" xr:uid="{00000000-0005-0000-0000-00002A730000}"/>
    <cellStyle name="Pre-inputted cells 9 34" xfId="29272" xr:uid="{00000000-0005-0000-0000-00002B730000}"/>
    <cellStyle name="Pre-inputted cells 9 4" xfId="29273" xr:uid="{00000000-0005-0000-0000-00002C730000}"/>
    <cellStyle name="Pre-inputted cells 9 4 2" xfId="29274" xr:uid="{00000000-0005-0000-0000-00002D730000}"/>
    <cellStyle name="Pre-inputted cells 9 4 3" xfId="29275" xr:uid="{00000000-0005-0000-0000-00002E730000}"/>
    <cellStyle name="Pre-inputted cells 9 5" xfId="29276" xr:uid="{00000000-0005-0000-0000-00002F730000}"/>
    <cellStyle name="Pre-inputted cells 9 6" xfId="29277" xr:uid="{00000000-0005-0000-0000-000030730000}"/>
    <cellStyle name="Pre-inputted cells 9 7" xfId="29278" xr:uid="{00000000-0005-0000-0000-000031730000}"/>
    <cellStyle name="Pre-inputted cells 9 8" xfId="29279" xr:uid="{00000000-0005-0000-0000-000032730000}"/>
    <cellStyle name="Pre-inputted cells 9 9" xfId="29280" xr:uid="{00000000-0005-0000-0000-000033730000}"/>
    <cellStyle name="Pre-inputted cells_1.3s Accounting C Costs Scots" xfId="29281" xr:uid="{00000000-0005-0000-0000-000034730000}"/>
    <cellStyle name="price" xfId="29282" xr:uid="{00000000-0005-0000-0000-000035730000}"/>
    <cellStyle name="PROTECTED" xfId="29283" xr:uid="{00000000-0005-0000-0000-000036730000}"/>
    <cellStyle name="ProtectedDates" xfId="29284" xr:uid="{00000000-0005-0000-0000-000037730000}"/>
    <cellStyle name="PSChar" xfId="29285" xr:uid="{00000000-0005-0000-0000-000038730000}"/>
    <cellStyle name="PSDate" xfId="29286" xr:uid="{00000000-0005-0000-0000-000039730000}"/>
    <cellStyle name="PSDec" xfId="29287" xr:uid="{00000000-0005-0000-0000-00003A730000}"/>
    <cellStyle name="PSHeading" xfId="29288" xr:uid="{00000000-0005-0000-0000-00003B730000}"/>
    <cellStyle name="PSInt" xfId="29289" xr:uid="{00000000-0005-0000-0000-00003C730000}"/>
    <cellStyle name="PSSpacer" xfId="29290" xr:uid="{00000000-0005-0000-0000-00003D730000}"/>
    <cellStyle name="q" xfId="29291" xr:uid="{00000000-0005-0000-0000-00003E730000}"/>
    <cellStyle name="R00A" xfId="29292" xr:uid="{00000000-0005-0000-0000-00003F730000}"/>
    <cellStyle name="R00B" xfId="29293" xr:uid="{00000000-0005-0000-0000-000040730000}"/>
    <cellStyle name="R00L" xfId="29294" xr:uid="{00000000-0005-0000-0000-000041730000}"/>
    <cellStyle name="R01A" xfId="29295" xr:uid="{00000000-0005-0000-0000-000042730000}"/>
    <cellStyle name="R01B" xfId="29296" xr:uid="{00000000-0005-0000-0000-000043730000}"/>
    <cellStyle name="R01H" xfId="29297" xr:uid="{00000000-0005-0000-0000-000044730000}"/>
    <cellStyle name="R01L" xfId="29298" xr:uid="{00000000-0005-0000-0000-000045730000}"/>
    <cellStyle name="R02A" xfId="29299" xr:uid="{00000000-0005-0000-0000-000046730000}"/>
    <cellStyle name="R02B" xfId="29300" xr:uid="{00000000-0005-0000-0000-000047730000}"/>
    <cellStyle name="R02H" xfId="29301" xr:uid="{00000000-0005-0000-0000-000048730000}"/>
    <cellStyle name="R02L" xfId="29302" xr:uid="{00000000-0005-0000-0000-000049730000}"/>
    <cellStyle name="R03A" xfId="29303" xr:uid="{00000000-0005-0000-0000-00004A730000}"/>
    <cellStyle name="R03B" xfId="29304" xr:uid="{00000000-0005-0000-0000-00004B730000}"/>
    <cellStyle name="R03H" xfId="29305" xr:uid="{00000000-0005-0000-0000-00004C730000}"/>
    <cellStyle name="R03L" xfId="29306" xr:uid="{00000000-0005-0000-0000-00004D730000}"/>
    <cellStyle name="R04A" xfId="29307" xr:uid="{00000000-0005-0000-0000-00004E730000}"/>
    <cellStyle name="R04B" xfId="29308" xr:uid="{00000000-0005-0000-0000-00004F730000}"/>
    <cellStyle name="R04H" xfId="29309" xr:uid="{00000000-0005-0000-0000-000050730000}"/>
    <cellStyle name="R04L" xfId="29310" xr:uid="{00000000-0005-0000-0000-000051730000}"/>
    <cellStyle name="R05A" xfId="29311" xr:uid="{00000000-0005-0000-0000-000052730000}"/>
    <cellStyle name="R05B" xfId="29312" xr:uid="{00000000-0005-0000-0000-000053730000}"/>
    <cellStyle name="R05H" xfId="29313" xr:uid="{00000000-0005-0000-0000-000054730000}"/>
    <cellStyle name="R05L" xfId="29314" xr:uid="{00000000-0005-0000-0000-000055730000}"/>
    <cellStyle name="R06A" xfId="29315" xr:uid="{00000000-0005-0000-0000-000056730000}"/>
    <cellStyle name="R06B" xfId="29316" xr:uid="{00000000-0005-0000-0000-000057730000}"/>
    <cellStyle name="R06H" xfId="29317" xr:uid="{00000000-0005-0000-0000-000058730000}"/>
    <cellStyle name="R06L" xfId="29318" xr:uid="{00000000-0005-0000-0000-000059730000}"/>
    <cellStyle name="R07A" xfId="29319" xr:uid="{00000000-0005-0000-0000-00005A730000}"/>
    <cellStyle name="R07B" xfId="29320" xr:uid="{00000000-0005-0000-0000-00005B730000}"/>
    <cellStyle name="R07L" xfId="29321" xr:uid="{00000000-0005-0000-0000-00005C730000}"/>
    <cellStyle name="range" xfId="29322" xr:uid="{00000000-0005-0000-0000-00005D730000}"/>
    <cellStyle name="RangeName" xfId="29323" xr:uid="{00000000-0005-0000-0000-00005E730000}"/>
    <cellStyle name="ResultData" xfId="48403" xr:uid="{00000000-0005-0000-0000-00005F730000}"/>
    <cellStyle name="ResultData 2" xfId="48404" xr:uid="{00000000-0005-0000-0000-000060730000}"/>
    <cellStyle name="RevList" xfId="29324" xr:uid="{00000000-0005-0000-0000-000061730000}"/>
    <cellStyle name="RIGs" xfId="29325" xr:uid="{00000000-0005-0000-0000-000062730000}"/>
    <cellStyle name="RIGs 10" xfId="29326" xr:uid="{00000000-0005-0000-0000-000063730000}"/>
    <cellStyle name="RIGs 11" xfId="29327" xr:uid="{00000000-0005-0000-0000-000064730000}"/>
    <cellStyle name="RIGs 12" xfId="29328" xr:uid="{00000000-0005-0000-0000-000065730000}"/>
    <cellStyle name="RIGs 13" xfId="29329" xr:uid="{00000000-0005-0000-0000-000066730000}"/>
    <cellStyle name="RIGs 14" xfId="29330" xr:uid="{00000000-0005-0000-0000-000067730000}"/>
    <cellStyle name="RIGs 15" xfId="29331" xr:uid="{00000000-0005-0000-0000-000068730000}"/>
    <cellStyle name="RIGs 16" xfId="29332" xr:uid="{00000000-0005-0000-0000-000069730000}"/>
    <cellStyle name="RIGs 17" xfId="29333" xr:uid="{00000000-0005-0000-0000-00006A730000}"/>
    <cellStyle name="RIGs 18" xfId="29334" xr:uid="{00000000-0005-0000-0000-00006B730000}"/>
    <cellStyle name="RIGs 19" xfId="29335" xr:uid="{00000000-0005-0000-0000-00006C730000}"/>
    <cellStyle name="RIGs 2" xfId="29336" xr:uid="{00000000-0005-0000-0000-00006D730000}"/>
    <cellStyle name="RIGs 2 10" xfId="29337" xr:uid="{00000000-0005-0000-0000-00006E730000}"/>
    <cellStyle name="RIGs 2 11" xfId="29338" xr:uid="{00000000-0005-0000-0000-00006F730000}"/>
    <cellStyle name="RIGs 2 12" xfId="29339" xr:uid="{00000000-0005-0000-0000-000070730000}"/>
    <cellStyle name="RIGs 2 13" xfId="29340" xr:uid="{00000000-0005-0000-0000-000071730000}"/>
    <cellStyle name="RIGs 2 14" xfId="29341" xr:uid="{00000000-0005-0000-0000-000072730000}"/>
    <cellStyle name="RIGs 2 15" xfId="29342" xr:uid="{00000000-0005-0000-0000-000073730000}"/>
    <cellStyle name="RIGs 2 16" xfId="29343" xr:uid="{00000000-0005-0000-0000-000074730000}"/>
    <cellStyle name="RIGs 2 17" xfId="29344" xr:uid="{00000000-0005-0000-0000-000075730000}"/>
    <cellStyle name="RIGs 2 18" xfId="29345" xr:uid="{00000000-0005-0000-0000-000076730000}"/>
    <cellStyle name="RIGs 2 19" xfId="29346" xr:uid="{00000000-0005-0000-0000-000077730000}"/>
    <cellStyle name="RIGs 2 2" xfId="29347" xr:uid="{00000000-0005-0000-0000-000078730000}"/>
    <cellStyle name="RIGs 2 2 10" xfId="29348" xr:uid="{00000000-0005-0000-0000-000079730000}"/>
    <cellStyle name="RIGs 2 2 11" xfId="29349" xr:uid="{00000000-0005-0000-0000-00007A730000}"/>
    <cellStyle name="RIGs 2 2 12" xfId="29350" xr:uid="{00000000-0005-0000-0000-00007B730000}"/>
    <cellStyle name="RIGs 2 2 13" xfId="29351" xr:uid="{00000000-0005-0000-0000-00007C730000}"/>
    <cellStyle name="RIGs 2 2 14" xfId="29352" xr:uid="{00000000-0005-0000-0000-00007D730000}"/>
    <cellStyle name="RIGs 2 2 15" xfId="29353" xr:uid="{00000000-0005-0000-0000-00007E730000}"/>
    <cellStyle name="RIGs 2 2 16" xfId="29354" xr:uid="{00000000-0005-0000-0000-00007F730000}"/>
    <cellStyle name="RIGs 2 2 17" xfId="29355" xr:uid="{00000000-0005-0000-0000-000080730000}"/>
    <cellStyle name="RIGs 2 2 18" xfId="29356" xr:uid="{00000000-0005-0000-0000-000081730000}"/>
    <cellStyle name="RIGs 2 2 19" xfId="29357" xr:uid="{00000000-0005-0000-0000-000082730000}"/>
    <cellStyle name="RIGs 2 2 2" xfId="29358" xr:uid="{00000000-0005-0000-0000-000083730000}"/>
    <cellStyle name="RIGs 2 2 2 10" xfId="29359" xr:uid="{00000000-0005-0000-0000-000084730000}"/>
    <cellStyle name="RIGs 2 2 2 11" xfId="29360" xr:uid="{00000000-0005-0000-0000-000085730000}"/>
    <cellStyle name="RIGs 2 2 2 12" xfId="29361" xr:uid="{00000000-0005-0000-0000-000086730000}"/>
    <cellStyle name="RIGs 2 2 2 13" xfId="29362" xr:uid="{00000000-0005-0000-0000-000087730000}"/>
    <cellStyle name="RIGs 2 2 2 14" xfId="29363" xr:uid="{00000000-0005-0000-0000-000088730000}"/>
    <cellStyle name="RIGs 2 2 2 15" xfId="29364" xr:uid="{00000000-0005-0000-0000-000089730000}"/>
    <cellStyle name="RIGs 2 2 2 16" xfId="29365" xr:uid="{00000000-0005-0000-0000-00008A730000}"/>
    <cellStyle name="RIGs 2 2 2 17" xfId="29366" xr:uid="{00000000-0005-0000-0000-00008B730000}"/>
    <cellStyle name="RIGs 2 2 2 18" xfId="29367" xr:uid="{00000000-0005-0000-0000-00008C730000}"/>
    <cellStyle name="RIGs 2 2 2 19" xfId="29368" xr:uid="{00000000-0005-0000-0000-00008D730000}"/>
    <cellStyle name="RIGs 2 2 2 2" xfId="29369" xr:uid="{00000000-0005-0000-0000-00008E730000}"/>
    <cellStyle name="RIGs 2 2 2 2 10" xfId="29370" xr:uid="{00000000-0005-0000-0000-00008F730000}"/>
    <cellStyle name="RIGs 2 2 2 2 11" xfId="29371" xr:uid="{00000000-0005-0000-0000-000090730000}"/>
    <cellStyle name="RIGs 2 2 2 2 12" xfId="29372" xr:uid="{00000000-0005-0000-0000-000091730000}"/>
    <cellStyle name="RIGs 2 2 2 2 13" xfId="29373" xr:uid="{00000000-0005-0000-0000-000092730000}"/>
    <cellStyle name="RIGs 2 2 2 2 2" xfId="29374" xr:uid="{00000000-0005-0000-0000-000093730000}"/>
    <cellStyle name="RIGs 2 2 2 2 3" xfId="29375" xr:uid="{00000000-0005-0000-0000-000094730000}"/>
    <cellStyle name="RIGs 2 2 2 2 4" xfId="29376" xr:uid="{00000000-0005-0000-0000-000095730000}"/>
    <cellStyle name="RIGs 2 2 2 2 5" xfId="29377" xr:uid="{00000000-0005-0000-0000-000096730000}"/>
    <cellStyle name="RIGs 2 2 2 2 6" xfId="29378" xr:uid="{00000000-0005-0000-0000-000097730000}"/>
    <cellStyle name="RIGs 2 2 2 2 7" xfId="29379" xr:uid="{00000000-0005-0000-0000-000098730000}"/>
    <cellStyle name="RIGs 2 2 2 2 8" xfId="29380" xr:uid="{00000000-0005-0000-0000-000099730000}"/>
    <cellStyle name="RIGs 2 2 2 2 9" xfId="29381" xr:uid="{00000000-0005-0000-0000-00009A730000}"/>
    <cellStyle name="RIGs 2 2 2 20" xfId="29382" xr:uid="{00000000-0005-0000-0000-00009B730000}"/>
    <cellStyle name="RIGs 2 2 2 21" xfId="29383" xr:uid="{00000000-0005-0000-0000-00009C730000}"/>
    <cellStyle name="RIGs 2 2 2 3" xfId="29384" xr:uid="{00000000-0005-0000-0000-00009D730000}"/>
    <cellStyle name="RIGs 2 2 2 4" xfId="29385" xr:uid="{00000000-0005-0000-0000-00009E730000}"/>
    <cellStyle name="RIGs 2 2 2 5" xfId="29386" xr:uid="{00000000-0005-0000-0000-00009F730000}"/>
    <cellStyle name="RIGs 2 2 2 6" xfId="29387" xr:uid="{00000000-0005-0000-0000-0000A0730000}"/>
    <cellStyle name="RIGs 2 2 2 7" xfId="29388" xr:uid="{00000000-0005-0000-0000-0000A1730000}"/>
    <cellStyle name="RIGs 2 2 2 8" xfId="29389" xr:uid="{00000000-0005-0000-0000-0000A2730000}"/>
    <cellStyle name="RIGs 2 2 2 9" xfId="29390" xr:uid="{00000000-0005-0000-0000-0000A3730000}"/>
    <cellStyle name="RIGs 2 2 20" xfId="29391" xr:uid="{00000000-0005-0000-0000-0000A4730000}"/>
    <cellStyle name="RIGs 2 2 21" xfId="29392" xr:uid="{00000000-0005-0000-0000-0000A5730000}"/>
    <cellStyle name="RIGs 2 2 22" xfId="29393" xr:uid="{00000000-0005-0000-0000-0000A6730000}"/>
    <cellStyle name="RIGs 2 2 3" xfId="29394" xr:uid="{00000000-0005-0000-0000-0000A7730000}"/>
    <cellStyle name="RIGs 2 2 3 10" xfId="29395" xr:uid="{00000000-0005-0000-0000-0000A8730000}"/>
    <cellStyle name="RIGs 2 2 3 11" xfId="29396" xr:uid="{00000000-0005-0000-0000-0000A9730000}"/>
    <cellStyle name="RIGs 2 2 3 12" xfId="29397" xr:uid="{00000000-0005-0000-0000-0000AA730000}"/>
    <cellStyle name="RIGs 2 2 3 13" xfId="29398" xr:uid="{00000000-0005-0000-0000-0000AB730000}"/>
    <cellStyle name="RIGs 2 2 3 2" xfId="29399" xr:uid="{00000000-0005-0000-0000-0000AC730000}"/>
    <cellStyle name="RIGs 2 2 3 3" xfId="29400" xr:uid="{00000000-0005-0000-0000-0000AD730000}"/>
    <cellStyle name="RIGs 2 2 3 4" xfId="29401" xr:uid="{00000000-0005-0000-0000-0000AE730000}"/>
    <cellStyle name="RIGs 2 2 3 5" xfId="29402" xr:uid="{00000000-0005-0000-0000-0000AF730000}"/>
    <cellStyle name="RIGs 2 2 3 6" xfId="29403" xr:uid="{00000000-0005-0000-0000-0000B0730000}"/>
    <cellStyle name="RIGs 2 2 3 7" xfId="29404" xr:uid="{00000000-0005-0000-0000-0000B1730000}"/>
    <cellStyle name="RIGs 2 2 3 8" xfId="29405" xr:uid="{00000000-0005-0000-0000-0000B2730000}"/>
    <cellStyle name="RIGs 2 2 3 9" xfId="29406" xr:uid="{00000000-0005-0000-0000-0000B3730000}"/>
    <cellStyle name="RIGs 2 2 4" xfId="29407" xr:uid="{00000000-0005-0000-0000-0000B4730000}"/>
    <cellStyle name="RIGs 2 2 5" xfId="29408" xr:uid="{00000000-0005-0000-0000-0000B5730000}"/>
    <cellStyle name="RIGs 2 2 6" xfId="29409" xr:uid="{00000000-0005-0000-0000-0000B6730000}"/>
    <cellStyle name="RIGs 2 2 7" xfId="29410" xr:uid="{00000000-0005-0000-0000-0000B7730000}"/>
    <cellStyle name="RIGs 2 2 8" xfId="29411" xr:uid="{00000000-0005-0000-0000-0000B8730000}"/>
    <cellStyle name="RIGs 2 2 9" xfId="29412" xr:uid="{00000000-0005-0000-0000-0000B9730000}"/>
    <cellStyle name="RIGs 2 2_4 28 1_Asst_Health_Crit_AllTO_RIIO_20110714pm" xfId="29413" xr:uid="{00000000-0005-0000-0000-0000BA730000}"/>
    <cellStyle name="RIGs 2 20" xfId="29414" xr:uid="{00000000-0005-0000-0000-0000BB730000}"/>
    <cellStyle name="RIGs 2 21" xfId="29415" xr:uid="{00000000-0005-0000-0000-0000BC730000}"/>
    <cellStyle name="RIGs 2 22" xfId="29416" xr:uid="{00000000-0005-0000-0000-0000BD730000}"/>
    <cellStyle name="RIGs 2 23" xfId="29417" xr:uid="{00000000-0005-0000-0000-0000BE730000}"/>
    <cellStyle name="RIGs 2 24" xfId="29418" xr:uid="{00000000-0005-0000-0000-0000BF730000}"/>
    <cellStyle name="RIGs 2 25" xfId="29419" xr:uid="{00000000-0005-0000-0000-0000C0730000}"/>
    <cellStyle name="RIGs 2 3" xfId="29420" xr:uid="{00000000-0005-0000-0000-0000C1730000}"/>
    <cellStyle name="RIGs 2 3 10" xfId="29421" xr:uid="{00000000-0005-0000-0000-0000C2730000}"/>
    <cellStyle name="RIGs 2 3 11" xfId="29422" xr:uid="{00000000-0005-0000-0000-0000C3730000}"/>
    <cellStyle name="RIGs 2 3 12" xfId="29423" xr:uid="{00000000-0005-0000-0000-0000C4730000}"/>
    <cellStyle name="RIGs 2 3 13" xfId="29424" xr:uid="{00000000-0005-0000-0000-0000C5730000}"/>
    <cellStyle name="RIGs 2 3 14" xfId="29425" xr:uid="{00000000-0005-0000-0000-0000C6730000}"/>
    <cellStyle name="RIGs 2 3 15" xfId="29426" xr:uid="{00000000-0005-0000-0000-0000C7730000}"/>
    <cellStyle name="RIGs 2 3 16" xfId="29427" xr:uid="{00000000-0005-0000-0000-0000C8730000}"/>
    <cellStyle name="RIGs 2 3 17" xfId="29428" xr:uid="{00000000-0005-0000-0000-0000C9730000}"/>
    <cellStyle name="RIGs 2 3 18" xfId="29429" xr:uid="{00000000-0005-0000-0000-0000CA730000}"/>
    <cellStyle name="RIGs 2 3 19" xfId="29430" xr:uid="{00000000-0005-0000-0000-0000CB730000}"/>
    <cellStyle name="RIGs 2 3 2" xfId="29431" xr:uid="{00000000-0005-0000-0000-0000CC730000}"/>
    <cellStyle name="RIGs 2 3 2 10" xfId="29432" xr:uid="{00000000-0005-0000-0000-0000CD730000}"/>
    <cellStyle name="RIGs 2 3 2 11" xfId="29433" xr:uid="{00000000-0005-0000-0000-0000CE730000}"/>
    <cellStyle name="RIGs 2 3 2 12" xfId="29434" xr:uid="{00000000-0005-0000-0000-0000CF730000}"/>
    <cellStyle name="RIGs 2 3 2 13" xfId="29435" xr:uid="{00000000-0005-0000-0000-0000D0730000}"/>
    <cellStyle name="RIGs 2 3 2 2" xfId="29436" xr:uid="{00000000-0005-0000-0000-0000D1730000}"/>
    <cellStyle name="RIGs 2 3 2 3" xfId="29437" xr:uid="{00000000-0005-0000-0000-0000D2730000}"/>
    <cellStyle name="RIGs 2 3 2 4" xfId="29438" xr:uid="{00000000-0005-0000-0000-0000D3730000}"/>
    <cellStyle name="RIGs 2 3 2 5" xfId="29439" xr:uid="{00000000-0005-0000-0000-0000D4730000}"/>
    <cellStyle name="RIGs 2 3 2 6" xfId="29440" xr:uid="{00000000-0005-0000-0000-0000D5730000}"/>
    <cellStyle name="RIGs 2 3 2 7" xfId="29441" xr:uid="{00000000-0005-0000-0000-0000D6730000}"/>
    <cellStyle name="RIGs 2 3 2 8" xfId="29442" xr:uid="{00000000-0005-0000-0000-0000D7730000}"/>
    <cellStyle name="RIGs 2 3 2 9" xfId="29443" xr:uid="{00000000-0005-0000-0000-0000D8730000}"/>
    <cellStyle name="RIGs 2 3 20" xfId="29444" xr:uid="{00000000-0005-0000-0000-0000D9730000}"/>
    <cellStyle name="RIGs 2 3 21" xfId="29445" xr:uid="{00000000-0005-0000-0000-0000DA730000}"/>
    <cellStyle name="RIGs 2 3 3" xfId="29446" xr:uid="{00000000-0005-0000-0000-0000DB730000}"/>
    <cellStyle name="RIGs 2 3 4" xfId="29447" xr:uid="{00000000-0005-0000-0000-0000DC730000}"/>
    <cellStyle name="RIGs 2 3 5" xfId="29448" xr:uid="{00000000-0005-0000-0000-0000DD730000}"/>
    <cellStyle name="RIGs 2 3 6" xfId="29449" xr:uid="{00000000-0005-0000-0000-0000DE730000}"/>
    <cellStyle name="RIGs 2 3 7" xfId="29450" xr:uid="{00000000-0005-0000-0000-0000DF730000}"/>
    <cellStyle name="RIGs 2 3 8" xfId="29451" xr:uid="{00000000-0005-0000-0000-0000E0730000}"/>
    <cellStyle name="RIGs 2 3 9" xfId="29452" xr:uid="{00000000-0005-0000-0000-0000E1730000}"/>
    <cellStyle name="RIGs 2 4" xfId="29453" xr:uid="{00000000-0005-0000-0000-0000E2730000}"/>
    <cellStyle name="RIGs 2 4 10" xfId="29454" xr:uid="{00000000-0005-0000-0000-0000E3730000}"/>
    <cellStyle name="RIGs 2 4 11" xfId="29455" xr:uid="{00000000-0005-0000-0000-0000E4730000}"/>
    <cellStyle name="RIGs 2 4 12" xfId="29456" xr:uid="{00000000-0005-0000-0000-0000E5730000}"/>
    <cellStyle name="RIGs 2 4 13" xfId="29457" xr:uid="{00000000-0005-0000-0000-0000E6730000}"/>
    <cellStyle name="RIGs 2 4 2" xfId="29458" xr:uid="{00000000-0005-0000-0000-0000E7730000}"/>
    <cellStyle name="RIGs 2 4 3" xfId="29459" xr:uid="{00000000-0005-0000-0000-0000E8730000}"/>
    <cellStyle name="RIGs 2 4 4" xfId="29460" xr:uid="{00000000-0005-0000-0000-0000E9730000}"/>
    <cellStyle name="RIGs 2 4 5" xfId="29461" xr:uid="{00000000-0005-0000-0000-0000EA730000}"/>
    <cellStyle name="RIGs 2 4 6" xfId="29462" xr:uid="{00000000-0005-0000-0000-0000EB730000}"/>
    <cellStyle name="RIGs 2 4 7" xfId="29463" xr:uid="{00000000-0005-0000-0000-0000EC730000}"/>
    <cellStyle name="RIGs 2 4 8" xfId="29464" xr:uid="{00000000-0005-0000-0000-0000ED730000}"/>
    <cellStyle name="RIGs 2 4 9" xfId="29465" xr:uid="{00000000-0005-0000-0000-0000EE730000}"/>
    <cellStyle name="RIGs 2 5" xfId="29466" xr:uid="{00000000-0005-0000-0000-0000EF730000}"/>
    <cellStyle name="RIGs 2 5 2" xfId="29467" xr:uid="{00000000-0005-0000-0000-0000F0730000}"/>
    <cellStyle name="RIGs 2 5 2 2" xfId="29468" xr:uid="{00000000-0005-0000-0000-0000F1730000}"/>
    <cellStyle name="RIGs 2 5 2 3" xfId="29469" xr:uid="{00000000-0005-0000-0000-0000F2730000}"/>
    <cellStyle name="RIGs 2 5 3" xfId="29470" xr:uid="{00000000-0005-0000-0000-0000F3730000}"/>
    <cellStyle name="RIGs 2 5 4" xfId="29471" xr:uid="{00000000-0005-0000-0000-0000F4730000}"/>
    <cellStyle name="RIGs 2 6" xfId="29472" xr:uid="{00000000-0005-0000-0000-0000F5730000}"/>
    <cellStyle name="RIGs 2 7" xfId="29473" xr:uid="{00000000-0005-0000-0000-0000F6730000}"/>
    <cellStyle name="RIGs 2 8" xfId="29474" xr:uid="{00000000-0005-0000-0000-0000F7730000}"/>
    <cellStyle name="RIGs 2 9" xfId="29475" xr:uid="{00000000-0005-0000-0000-0000F8730000}"/>
    <cellStyle name="RIGs 2_4 28 1_Asst_Health_Crit_AllTO_RIIO_20110714pm" xfId="29476" xr:uid="{00000000-0005-0000-0000-0000F9730000}"/>
    <cellStyle name="RIGs 20" xfId="29477" xr:uid="{00000000-0005-0000-0000-0000FA730000}"/>
    <cellStyle name="RIGs 21" xfId="29478" xr:uid="{00000000-0005-0000-0000-0000FB730000}"/>
    <cellStyle name="RIGs 22" xfId="29479" xr:uid="{00000000-0005-0000-0000-0000FC730000}"/>
    <cellStyle name="RIGs 23" xfId="29480" xr:uid="{00000000-0005-0000-0000-0000FD730000}"/>
    <cellStyle name="RIGs 24" xfId="29481" xr:uid="{00000000-0005-0000-0000-0000FE730000}"/>
    <cellStyle name="RIGs 25" xfId="29482" xr:uid="{00000000-0005-0000-0000-0000FF730000}"/>
    <cellStyle name="RIGs 26" xfId="29483" xr:uid="{00000000-0005-0000-0000-000000740000}"/>
    <cellStyle name="RIGs 3" xfId="29484" xr:uid="{00000000-0005-0000-0000-000001740000}"/>
    <cellStyle name="RIGs 3 10" xfId="29485" xr:uid="{00000000-0005-0000-0000-000002740000}"/>
    <cellStyle name="RIGs 3 11" xfId="29486" xr:uid="{00000000-0005-0000-0000-000003740000}"/>
    <cellStyle name="RIGs 3 12" xfId="29487" xr:uid="{00000000-0005-0000-0000-000004740000}"/>
    <cellStyle name="RIGs 3 13" xfId="29488" xr:uid="{00000000-0005-0000-0000-000005740000}"/>
    <cellStyle name="RIGs 3 14" xfId="29489" xr:uid="{00000000-0005-0000-0000-000006740000}"/>
    <cellStyle name="RIGs 3 15" xfId="29490" xr:uid="{00000000-0005-0000-0000-000007740000}"/>
    <cellStyle name="RIGs 3 16" xfId="29491" xr:uid="{00000000-0005-0000-0000-000008740000}"/>
    <cellStyle name="RIGs 3 17" xfId="29492" xr:uid="{00000000-0005-0000-0000-000009740000}"/>
    <cellStyle name="RIGs 3 18" xfId="29493" xr:uid="{00000000-0005-0000-0000-00000A740000}"/>
    <cellStyle name="RIGs 3 19" xfId="29494" xr:uid="{00000000-0005-0000-0000-00000B740000}"/>
    <cellStyle name="RIGs 3 2" xfId="29495" xr:uid="{00000000-0005-0000-0000-00000C740000}"/>
    <cellStyle name="RIGs 3 2 10" xfId="29496" xr:uid="{00000000-0005-0000-0000-00000D740000}"/>
    <cellStyle name="RIGs 3 2 11" xfId="29497" xr:uid="{00000000-0005-0000-0000-00000E740000}"/>
    <cellStyle name="RIGs 3 2 12" xfId="29498" xr:uid="{00000000-0005-0000-0000-00000F740000}"/>
    <cellStyle name="RIGs 3 2 13" xfId="29499" xr:uid="{00000000-0005-0000-0000-000010740000}"/>
    <cellStyle name="RIGs 3 2 14" xfId="29500" xr:uid="{00000000-0005-0000-0000-000011740000}"/>
    <cellStyle name="RIGs 3 2 15" xfId="29501" xr:uid="{00000000-0005-0000-0000-000012740000}"/>
    <cellStyle name="RIGs 3 2 16" xfId="29502" xr:uid="{00000000-0005-0000-0000-000013740000}"/>
    <cellStyle name="RIGs 3 2 17" xfId="29503" xr:uid="{00000000-0005-0000-0000-000014740000}"/>
    <cellStyle name="RIGs 3 2 18" xfId="29504" xr:uid="{00000000-0005-0000-0000-000015740000}"/>
    <cellStyle name="RIGs 3 2 19" xfId="29505" xr:uid="{00000000-0005-0000-0000-000016740000}"/>
    <cellStyle name="RIGs 3 2 2" xfId="29506" xr:uid="{00000000-0005-0000-0000-000017740000}"/>
    <cellStyle name="RIGs 3 2 2 10" xfId="29507" xr:uid="{00000000-0005-0000-0000-000018740000}"/>
    <cellStyle name="RIGs 3 2 2 11" xfId="29508" xr:uid="{00000000-0005-0000-0000-000019740000}"/>
    <cellStyle name="RIGs 3 2 2 12" xfId="29509" xr:uid="{00000000-0005-0000-0000-00001A740000}"/>
    <cellStyle name="RIGs 3 2 2 13" xfId="29510" xr:uid="{00000000-0005-0000-0000-00001B740000}"/>
    <cellStyle name="RIGs 3 2 2 2" xfId="29511" xr:uid="{00000000-0005-0000-0000-00001C740000}"/>
    <cellStyle name="RIGs 3 2 2 3" xfId="29512" xr:uid="{00000000-0005-0000-0000-00001D740000}"/>
    <cellStyle name="RIGs 3 2 2 4" xfId="29513" xr:uid="{00000000-0005-0000-0000-00001E740000}"/>
    <cellStyle name="RIGs 3 2 2 5" xfId="29514" xr:uid="{00000000-0005-0000-0000-00001F740000}"/>
    <cellStyle name="RIGs 3 2 2 6" xfId="29515" xr:uid="{00000000-0005-0000-0000-000020740000}"/>
    <cellStyle name="RIGs 3 2 2 7" xfId="29516" xr:uid="{00000000-0005-0000-0000-000021740000}"/>
    <cellStyle name="RIGs 3 2 2 8" xfId="29517" xr:uid="{00000000-0005-0000-0000-000022740000}"/>
    <cellStyle name="RIGs 3 2 2 9" xfId="29518" xr:uid="{00000000-0005-0000-0000-000023740000}"/>
    <cellStyle name="RIGs 3 2 20" xfId="29519" xr:uid="{00000000-0005-0000-0000-000024740000}"/>
    <cellStyle name="RIGs 3 2 21" xfId="29520" xr:uid="{00000000-0005-0000-0000-000025740000}"/>
    <cellStyle name="RIGs 3 2 3" xfId="29521" xr:uid="{00000000-0005-0000-0000-000026740000}"/>
    <cellStyle name="RIGs 3 2 4" xfId="29522" xr:uid="{00000000-0005-0000-0000-000027740000}"/>
    <cellStyle name="RIGs 3 2 5" xfId="29523" xr:uid="{00000000-0005-0000-0000-000028740000}"/>
    <cellStyle name="RIGs 3 2 6" xfId="29524" xr:uid="{00000000-0005-0000-0000-000029740000}"/>
    <cellStyle name="RIGs 3 2 7" xfId="29525" xr:uid="{00000000-0005-0000-0000-00002A740000}"/>
    <cellStyle name="RIGs 3 2 8" xfId="29526" xr:uid="{00000000-0005-0000-0000-00002B740000}"/>
    <cellStyle name="RIGs 3 2 9" xfId="29527" xr:uid="{00000000-0005-0000-0000-00002C740000}"/>
    <cellStyle name="RIGs 3 20" xfId="29528" xr:uid="{00000000-0005-0000-0000-00002D740000}"/>
    <cellStyle name="RIGs 3 21" xfId="29529" xr:uid="{00000000-0005-0000-0000-00002E740000}"/>
    <cellStyle name="RIGs 3 22" xfId="29530" xr:uid="{00000000-0005-0000-0000-00002F740000}"/>
    <cellStyle name="RIGs 3 3" xfId="29531" xr:uid="{00000000-0005-0000-0000-000030740000}"/>
    <cellStyle name="RIGs 3 3 10" xfId="29532" xr:uid="{00000000-0005-0000-0000-000031740000}"/>
    <cellStyle name="RIGs 3 3 11" xfId="29533" xr:uid="{00000000-0005-0000-0000-000032740000}"/>
    <cellStyle name="RIGs 3 3 12" xfId="29534" xr:uid="{00000000-0005-0000-0000-000033740000}"/>
    <cellStyle name="RIGs 3 3 13" xfId="29535" xr:uid="{00000000-0005-0000-0000-000034740000}"/>
    <cellStyle name="RIGs 3 3 2" xfId="29536" xr:uid="{00000000-0005-0000-0000-000035740000}"/>
    <cellStyle name="RIGs 3 3 3" xfId="29537" xr:uid="{00000000-0005-0000-0000-000036740000}"/>
    <cellStyle name="RIGs 3 3 4" xfId="29538" xr:uid="{00000000-0005-0000-0000-000037740000}"/>
    <cellStyle name="RIGs 3 3 5" xfId="29539" xr:uid="{00000000-0005-0000-0000-000038740000}"/>
    <cellStyle name="RIGs 3 3 6" xfId="29540" xr:uid="{00000000-0005-0000-0000-000039740000}"/>
    <cellStyle name="RIGs 3 3 7" xfId="29541" xr:uid="{00000000-0005-0000-0000-00003A740000}"/>
    <cellStyle name="RIGs 3 3 8" xfId="29542" xr:uid="{00000000-0005-0000-0000-00003B740000}"/>
    <cellStyle name="RIGs 3 3 9" xfId="29543" xr:uid="{00000000-0005-0000-0000-00003C740000}"/>
    <cellStyle name="RIGs 3 4" xfId="29544" xr:uid="{00000000-0005-0000-0000-00003D740000}"/>
    <cellStyle name="RIGs 3 5" xfId="29545" xr:uid="{00000000-0005-0000-0000-00003E740000}"/>
    <cellStyle name="RIGs 3 6" xfId="29546" xr:uid="{00000000-0005-0000-0000-00003F740000}"/>
    <cellStyle name="RIGs 3 7" xfId="29547" xr:uid="{00000000-0005-0000-0000-000040740000}"/>
    <cellStyle name="RIGs 3 8" xfId="29548" xr:uid="{00000000-0005-0000-0000-000041740000}"/>
    <cellStyle name="RIGs 3 9" xfId="29549" xr:uid="{00000000-0005-0000-0000-000042740000}"/>
    <cellStyle name="RIGs 3_4 28 1_Asst_Health_Crit_AllTO_RIIO_20110714pm" xfId="29550" xr:uid="{00000000-0005-0000-0000-000043740000}"/>
    <cellStyle name="RIGs 4" xfId="29551" xr:uid="{00000000-0005-0000-0000-000044740000}"/>
    <cellStyle name="RIGs 4 10" xfId="29552" xr:uid="{00000000-0005-0000-0000-000045740000}"/>
    <cellStyle name="RIGs 4 11" xfId="29553" xr:uid="{00000000-0005-0000-0000-000046740000}"/>
    <cellStyle name="RIGs 4 12" xfId="29554" xr:uid="{00000000-0005-0000-0000-000047740000}"/>
    <cellStyle name="RIGs 4 13" xfId="29555" xr:uid="{00000000-0005-0000-0000-000048740000}"/>
    <cellStyle name="RIGs 4 14" xfId="29556" xr:uid="{00000000-0005-0000-0000-000049740000}"/>
    <cellStyle name="RIGs 4 15" xfId="29557" xr:uid="{00000000-0005-0000-0000-00004A740000}"/>
    <cellStyle name="RIGs 4 16" xfId="29558" xr:uid="{00000000-0005-0000-0000-00004B740000}"/>
    <cellStyle name="RIGs 4 17" xfId="29559" xr:uid="{00000000-0005-0000-0000-00004C740000}"/>
    <cellStyle name="RIGs 4 18" xfId="29560" xr:uid="{00000000-0005-0000-0000-00004D740000}"/>
    <cellStyle name="RIGs 4 19" xfId="29561" xr:uid="{00000000-0005-0000-0000-00004E740000}"/>
    <cellStyle name="RIGs 4 2" xfId="29562" xr:uid="{00000000-0005-0000-0000-00004F740000}"/>
    <cellStyle name="RIGs 4 2 10" xfId="29563" xr:uid="{00000000-0005-0000-0000-000050740000}"/>
    <cellStyle name="RIGs 4 2 11" xfId="29564" xr:uid="{00000000-0005-0000-0000-000051740000}"/>
    <cellStyle name="RIGs 4 2 12" xfId="29565" xr:uid="{00000000-0005-0000-0000-000052740000}"/>
    <cellStyle name="RIGs 4 2 13" xfId="29566" xr:uid="{00000000-0005-0000-0000-000053740000}"/>
    <cellStyle name="RIGs 4 2 2" xfId="29567" xr:uid="{00000000-0005-0000-0000-000054740000}"/>
    <cellStyle name="RIGs 4 2 3" xfId="29568" xr:uid="{00000000-0005-0000-0000-000055740000}"/>
    <cellStyle name="RIGs 4 2 4" xfId="29569" xr:uid="{00000000-0005-0000-0000-000056740000}"/>
    <cellStyle name="RIGs 4 2 5" xfId="29570" xr:uid="{00000000-0005-0000-0000-000057740000}"/>
    <cellStyle name="RIGs 4 2 6" xfId="29571" xr:uid="{00000000-0005-0000-0000-000058740000}"/>
    <cellStyle name="RIGs 4 2 7" xfId="29572" xr:uid="{00000000-0005-0000-0000-000059740000}"/>
    <cellStyle name="RIGs 4 2 8" xfId="29573" xr:uid="{00000000-0005-0000-0000-00005A740000}"/>
    <cellStyle name="RIGs 4 2 9" xfId="29574" xr:uid="{00000000-0005-0000-0000-00005B740000}"/>
    <cellStyle name="RIGs 4 20" xfId="29575" xr:uid="{00000000-0005-0000-0000-00005C740000}"/>
    <cellStyle name="RIGs 4 21" xfId="29576" xr:uid="{00000000-0005-0000-0000-00005D740000}"/>
    <cellStyle name="RIGs 4 3" xfId="29577" xr:uid="{00000000-0005-0000-0000-00005E740000}"/>
    <cellStyle name="RIGs 4 4" xfId="29578" xr:uid="{00000000-0005-0000-0000-00005F740000}"/>
    <cellStyle name="RIGs 4 5" xfId="29579" xr:uid="{00000000-0005-0000-0000-000060740000}"/>
    <cellStyle name="RIGs 4 6" xfId="29580" xr:uid="{00000000-0005-0000-0000-000061740000}"/>
    <cellStyle name="RIGs 4 7" xfId="29581" xr:uid="{00000000-0005-0000-0000-000062740000}"/>
    <cellStyle name="RIGs 4 8" xfId="29582" xr:uid="{00000000-0005-0000-0000-000063740000}"/>
    <cellStyle name="RIGs 4 9" xfId="29583" xr:uid="{00000000-0005-0000-0000-000064740000}"/>
    <cellStyle name="RIGs 5" xfId="29584" xr:uid="{00000000-0005-0000-0000-000065740000}"/>
    <cellStyle name="RIGs 5 10" xfId="29585" xr:uid="{00000000-0005-0000-0000-000066740000}"/>
    <cellStyle name="RIGs 5 11" xfId="29586" xr:uid="{00000000-0005-0000-0000-000067740000}"/>
    <cellStyle name="RIGs 5 12" xfId="29587" xr:uid="{00000000-0005-0000-0000-000068740000}"/>
    <cellStyle name="RIGs 5 13" xfId="29588" xr:uid="{00000000-0005-0000-0000-000069740000}"/>
    <cellStyle name="RIGs 5 2" xfId="29589" xr:uid="{00000000-0005-0000-0000-00006A740000}"/>
    <cellStyle name="RIGs 5 3" xfId="29590" xr:uid="{00000000-0005-0000-0000-00006B740000}"/>
    <cellStyle name="RIGs 5 4" xfId="29591" xr:uid="{00000000-0005-0000-0000-00006C740000}"/>
    <cellStyle name="RIGs 5 5" xfId="29592" xr:uid="{00000000-0005-0000-0000-00006D740000}"/>
    <cellStyle name="RIGs 5 6" xfId="29593" xr:uid="{00000000-0005-0000-0000-00006E740000}"/>
    <cellStyle name="RIGs 5 7" xfId="29594" xr:uid="{00000000-0005-0000-0000-00006F740000}"/>
    <cellStyle name="RIGs 5 8" xfId="29595" xr:uid="{00000000-0005-0000-0000-000070740000}"/>
    <cellStyle name="RIGs 5 9" xfId="29596" xr:uid="{00000000-0005-0000-0000-000071740000}"/>
    <cellStyle name="RIGs 6" xfId="29597" xr:uid="{00000000-0005-0000-0000-000072740000}"/>
    <cellStyle name="RIGs 6 2" xfId="29598" xr:uid="{00000000-0005-0000-0000-000073740000}"/>
    <cellStyle name="RIGs 6 2 2" xfId="29599" xr:uid="{00000000-0005-0000-0000-000074740000}"/>
    <cellStyle name="RIGs 6 2 3" xfId="29600" xr:uid="{00000000-0005-0000-0000-000075740000}"/>
    <cellStyle name="RIGs 6 3" xfId="29601" xr:uid="{00000000-0005-0000-0000-000076740000}"/>
    <cellStyle name="RIGs 6 4" xfId="29602" xr:uid="{00000000-0005-0000-0000-000077740000}"/>
    <cellStyle name="RIGs 7" xfId="29603" xr:uid="{00000000-0005-0000-0000-000078740000}"/>
    <cellStyle name="RIGs 8" xfId="29604" xr:uid="{00000000-0005-0000-0000-000079740000}"/>
    <cellStyle name="RIGs 9" xfId="29605" xr:uid="{00000000-0005-0000-0000-00007A740000}"/>
    <cellStyle name="RIGs input cells" xfId="29606" xr:uid="{00000000-0005-0000-0000-00007B740000}"/>
    <cellStyle name="RIGs input cells 10" xfId="29607" xr:uid="{00000000-0005-0000-0000-00007C740000}"/>
    <cellStyle name="RIGs input cells 10 10" xfId="29608" xr:uid="{00000000-0005-0000-0000-00007D740000}"/>
    <cellStyle name="RIGs input cells 10 11" xfId="29609" xr:uid="{00000000-0005-0000-0000-00007E740000}"/>
    <cellStyle name="RIGs input cells 10 12" xfId="29610" xr:uid="{00000000-0005-0000-0000-00007F740000}"/>
    <cellStyle name="RIGs input cells 10 13" xfId="29611" xr:uid="{00000000-0005-0000-0000-000080740000}"/>
    <cellStyle name="RIGs input cells 10 14" xfId="29612" xr:uid="{00000000-0005-0000-0000-000081740000}"/>
    <cellStyle name="RIGs input cells 10 15" xfId="29613" xr:uid="{00000000-0005-0000-0000-000082740000}"/>
    <cellStyle name="RIGs input cells 10 16" xfId="29614" xr:uid="{00000000-0005-0000-0000-000083740000}"/>
    <cellStyle name="RIGs input cells 10 17" xfId="29615" xr:uid="{00000000-0005-0000-0000-000084740000}"/>
    <cellStyle name="RIGs input cells 10 18" xfId="29616" xr:uid="{00000000-0005-0000-0000-000085740000}"/>
    <cellStyle name="RIGs input cells 10 19" xfId="29617" xr:uid="{00000000-0005-0000-0000-000086740000}"/>
    <cellStyle name="RIGs input cells 10 2" xfId="29618" xr:uid="{00000000-0005-0000-0000-000087740000}"/>
    <cellStyle name="RIGs input cells 10 2 10" xfId="29619" xr:uid="{00000000-0005-0000-0000-000088740000}"/>
    <cellStyle name="RIGs input cells 10 2 11" xfId="29620" xr:uid="{00000000-0005-0000-0000-000089740000}"/>
    <cellStyle name="RIGs input cells 10 2 12" xfId="29621" xr:uid="{00000000-0005-0000-0000-00008A740000}"/>
    <cellStyle name="RIGs input cells 10 2 13" xfId="29622" xr:uid="{00000000-0005-0000-0000-00008B740000}"/>
    <cellStyle name="RIGs input cells 10 2 2" xfId="29623" xr:uid="{00000000-0005-0000-0000-00008C740000}"/>
    <cellStyle name="RIGs input cells 10 2 2 2" xfId="29624" xr:uid="{00000000-0005-0000-0000-00008D740000}"/>
    <cellStyle name="RIGs input cells 10 2 2 3" xfId="29625" xr:uid="{00000000-0005-0000-0000-00008E740000}"/>
    <cellStyle name="RIGs input cells 10 2 3" xfId="29626" xr:uid="{00000000-0005-0000-0000-00008F740000}"/>
    <cellStyle name="RIGs input cells 10 2 3 2" xfId="29627" xr:uid="{00000000-0005-0000-0000-000090740000}"/>
    <cellStyle name="RIGs input cells 10 2 3 3" xfId="29628" xr:uid="{00000000-0005-0000-0000-000091740000}"/>
    <cellStyle name="RIGs input cells 10 2 4" xfId="29629" xr:uid="{00000000-0005-0000-0000-000092740000}"/>
    <cellStyle name="RIGs input cells 10 2 5" xfId="29630" xr:uid="{00000000-0005-0000-0000-000093740000}"/>
    <cellStyle name="RIGs input cells 10 2 6" xfId="29631" xr:uid="{00000000-0005-0000-0000-000094740000}"/>
    <cellStyle name="RIGs input cells 10 2 7" xfId="29632" xr:uid="{00000000-0005-0000-0000-000095740000}"/>
    <cellStyle name="RIGs input cells 10 2 8" xfId="29633" xr:uid="{00000000-0005-0000-0000-000096740000}"/>
    <cellStyle name="RIGs input cells 10 2 9" xfId="29634" xr:uid="{00000000-0005-0000-0000-000097740000}"/>
    <cellStyle name="RIGs input cells 10 20" xfId="29635" xr:uid="{00000000-0005-0000-0000-000098740000}"/>
    <cellStyle name="RIGs input cells 10 21" xfId="29636" xr:uid="{00000000-0005-0000-0000-000099740000}"/>
    <cellStyle name="RIGs input cells 10 22" xfId="29637" xr:uid="{00000000-0005-0000-0000-00009A740000}"/>
    <cellStyle name="RIGs input cells 10 23" xfId="29638" xr:uid="{00000000-0005-0000-0000-00009B740000}"/>
    <cellStyle name="RIGs input cells 10 24" xfId="29639" xr:uid="{00000000-0005-0000-0000-00009C740000}"/>
    <cellStyle name="RIGs input cells 10 25" xfId="29640" xr:uid="{00000000-0005-0000-0000-00009D740000}"/>
    <cellStyle name="RIGs input cells 10 26" xfId="29641" xr:uid="{00000000-0005-0000-0000-00009E740000}"/>
    <cellStyle name="RIGs input cells 10 27" xfId="29642" xr:uid="{00000000-0005-0000-0000-00009F740000}"/>
    <cellStyle name="RIGs input cells 10 28" xfId="29643" xr:uid="{00000000-0005-0000-0000-0000A0740000}"/>
    <cellStyle name="RIGs input cells 10 29" xfId="29644" xr:uid="{00000000-0005-0000-0000-0000A1740000}"/>
    <cellStyle name="RIGs input cells 10 3" xfId="29645" xr:uid="{00000000-0005-0000-0000-0000A2740000}"/>
    <cellStyle name="RIGs input cells 10 3 2" xfId="29646" xr:uid="{00000000-0005-0000-0000-0000A3740000}"/>
    <cellStyle name="RIGs input cells 10 3 2 2" xfId="48428" xr:uid="{00000000-0005-0000-0000-0000A4740000}"/>
    <cellStyle name="RIGs input cells 10 3 2 2 2" xfId="48429" xr:uid="{00000000-0005-0000-0000-0000A5740000}"/>
    <cellStyle name="RIGs input cells 10 3 3" xfId="29647" xr:uid="{00000000-0005-0000-0000-0000A6740000}"/>
    <cellStyle name="RIGs input cells 10 30" xfId="29648" xr:uid="{00000000-0005-0000-0000-0000A7740000}"/>
    <cellStyle name="RIGs input cells 10 31" xfId="29649" xr:uid="{00000000-0005-0000-0000-0000A8740000}"/>
    <cellStyle name="RIGs input cells 10 32" xfId="29650" xr:uid="{00000000-0005-0000-0000-0000A9740000}"/>
    <cellStyle name="RIGs input cells 10 33" xfId="29651" xr:uid="{00000000-0005-0000-0000-0000AA740000}"/>
    <cellStyle name="RIGs input cells 10 34" xfId="29652" xr:uid="{00000000-0005-0000-0000-0000AB740000}"/>
    <cellStyle name="RIGs input cells 10 4" xfId="29653" xr:uid="{00000000-0005-0000-0000-0000AC740000}"/>
    <cellStyle name="RIGs input cells 10 4 2" xfId="29654" xr:uid="{00000000-0005-0000-0000-0000AD740000}"/>
    <cellStyle name="RIGs input cells 10 4 3" xfId="29655" xr:uid="{00000000-0005-0000-0000-0000AE740000}"/>
    <cellStyle name="RIGs input cells 10 5" xfId="29656" xr:uid="{00000000-0005-0000-0000-0000AF740000}"/>
    <cellStyle name="RIGs input cells 10 6" xfId="29657" xr:uid="{00000000-0005-0000-0000-0000B0740000}"/>
    <cellStyle name="RIGs input cells 10 7" xfId="29658" xr:uid="{00000000-0005-0000-0000-0000B1740000}"/>
    <cellStyle name="RIGs input cells 10 8" xfId="29659" xr:uid="{00000000-0005-0000-0000-0000B2740000}"/>
    <cellStyle name="RIGs input cells 10 9" xfId="29660" xr:uid="{00000000-0005-0000-0000-0000B3740000}"/>
    <cellStyle name="RIGs input cells 11" xfId="29661" xr:uid="{00000000-0005-0000-0000-0000B4740000}"/>
    <cellStyle name="RIGs input cells 11 10" xfId="29662" xr:uid="{00000000-0005-0000-0000-0000B5740000}"/>
    <cellStyle name="RIGs input cells 11 11" xfId="29663" xr:uid="{00000000-0005-0000-0000-0000B6740000}"/>
    <cellStyle name="RIGs input cells 11 12" xfId="29664" xr:uid="{00000000-0005-0000-0000-0000B7740000}"/>
    <cellStyle name="RIGs input cells 11 13" xfId="29665" xr:uid="{00000000-0005-0000-0000-0000B8740000}"/>
    <cellStyle name="RIGs input cells 11 14" xfId="29666" xr:uid="{00000000-0005-0000-0000-0000B9740000}"/>
    <cellStyle name="RIGs input cells 11 15" xfId="29667" xr:uid="{00000000-0005-0000-0000-0000BA740000}"/>
    <cellStyle name="RIGs input cells 11 16" xfId="29668" xr:uid="{00000000-0005-0000-0000-0000BB740000}"/>
    <cellStyle name="RIGs input cells 11 17" xfId="29669" xr:uid="{00000000-0005-0000-0000-0000BC740000}"/>
    <cellStyle name="RIGs input cells 11 18" xfId="29670" xr:uid="{00000000-0005-0000-0000-0000BD740000}"/>
    <cellStyle name="RIGs input cells 11 19" xfId="29671" xr:uid="{00000000-0005-0000-0000-0000BE740000}"/>
    <cellStyle name="RIGs input cells 11 2" xfId="29672" xr:uid="{00000000-0005-0000-0000-0000BF740000}"/>
    <cellStyle name="RIGs input cells 11 2 10" xfId="29673" xr:uid="{00000000-0005-0000-0000-0000C0740000}"/>
    <cellStyle name="RIGs input cells 11 2 11" xfId="29674" xr:uid="{00000000-0005-0000-0000-0000C1740000}"/>
    <cellStyle name="RIGs input cells 11 2 12" xfId="29675" xr:uid="{00000000-0005-0000-0000-0000C2740000}"/>
    <cellStyle name="RIGs input cells 11 2 13" xfId="29676" xr:uid="{00000000-0005-0000-0000-0000C3740000}"/>
    <cellStyle name="RIGs input cells 11 2 2" xfId="29677" xr:uid="{00000000-0005-0000-0000-0000C4740000}"/>
    <cellStyle name="RIGs input cells 11 2 2 2" xfId="29678" xr:uid="{00000000-0005-0000-0000-0000C5740000}"/>
    <cellStyle name="RIGs input cells 11 2 2 3" xfId="29679" xr:uid="{00000000-0005-0000-0000-0000C6740000}"/>
    <cellStyle name="RIGs input cells 11 2 3" xfId="29680" xr:uid="{00000000-0005-0000-0000-0000C7740000}"/>
    <cellStyle name="RIGs input cells 11 2 3 2" xfId="29681" xr:uid="{00000000-0005-0000-0000-0000C8740000}"/>
    <cellStyle name="RIGs input cells 11 2 3 3" xfId="29682" xr:uid="{00000000-0005-0000-0000-0000C9740000}"/>
    <cellStyle name="RIGs input cells 11 2 4" xfId="29683" xr:uid="{00000000-0005-0000-0000-0000CA740000}"/>
    <cellStyle name="RIGs input cells 11 2 5" xfId="29684" xr:uid="{00000000-0005-0000-0000-0000CB740000}"/>
    <cellStyle name="RIGs input cells 11 2 6" xfId="29685" xr:uid="{00000000-0005-0000-0000-0000CC740000}"/>
    <cellStyle name="RIGs input cells 11 2 7" xfId="29686" xr:uid="{00000000-0005-0000-0000-0000CD740000}"/>
    <cellStyle name="RIGs input cells 11 2 8" xfId="29687" xr:uid="{00000000-0005-0000-0000-0000CE740000}"/>
    <cellStyle name="RIGs input cells 11 2 9" xfId="29688" xr:uid="{00000000-0005-0000-0000-0000CF740000}"/>
    <cellStyle name="RIGs input cells 11 20" xfId="29689" xr:uid="{00000000-0005-0000-0000-0000D0740000}"/>
    <cellStyle name="RIGs input cells 11 21" xfId="29690" xr:uid="{00000000-0005-0000-0000-0000D1740000}"/>
    <cellStyle name="RIGs input cells 11 22" xfId="29691" xr:uid="{00000000-0005-0000-0000-0000D2740000}"/>
    <cellStyle name="RIGs input cells 11 23" xfId="29692" xr:uid="{00000000-0005-0000-0000-0000D3740000}"/>
    <cellStyle name="RIGs input cells 11 24" xfId="29693" xr:uid="{00000000-0005-0000-0000-0000D4740000}"/>
    <cellStyle name="RIGs input cells 11 25" xfId="29694" xr:uid="{00000000-0005-0000-0000-0000D5740000}"/>
    <cellStyle name="RIGs input cells 11 26" xfId="29695" xr:uid="{00000000-0005-0000-0000-0000D6740000}"/>
    <cellStyle name="RIGs input cells 11 27" xfId="29696" xr:uid="{00000000-0005-0000-0000-0000D7740000}"/>
    <cellStyle name="RIGs input cells 11 28" xfId="29697" xr:uid="{00000000-0005-0000-0000-0000D8740000}"/>
    <cellStyle name="RIGs input cells 11 29" xfId="29698" xr:uid="{00000000-0005-0000-0000-0000D9740000}"/>
    <cellStyle name="RIGs input cells 11 3" xfId="29699" xr:uid="{00000000-0005-0000-0000-0000DA740000}"/>
    <cellStyle name="RIGs input cells 11 3 2" xfId="29700" xr:uid="{00000000-0005-0000-0000-0000DB740000}"/>
    <cellStyle name="RIGs input cells 11 3 3" xfId="29701" xr:uid="{00000000-0005-0000-0000-0000DC740000}"/>
    <cellStyle name="RIGs input cells 11 30" xfId="29702" xr:uid="{00000000-0005-0000-0000-0000DD740000}"/>
    <cellStyle name="RIGs input cells 11 31" xfId="29703" xr:uid="{00000000-0005-0000-0000-0000DE740000}"/>
    <cellStyle name="RIGs input cells 11 32" xfId="29704" xr:uid="{00000000-0005-0000-0000-0000DF740000}"/>
    <cellStyle name="RIGs input cells 11 33" xfId="29705" xr:uid="{00000000-0005-0000-0000-0000E0740000}"/>
    <cellStyle name="RIGs input cells 11 34" xfId="29706" xr:uid="{00000000-0005-0000-0000-0000E1740000}"/>
    <cellStyle name="RIGs input cells 11 4" xfId="29707" xr:uid="{00000000-0005-0000-0000-0000E2740000}"/>
    <cellStyle name="RIGs input cells 11 4 2" xfId="29708" xr:uid="{00000000-0005-0000-0000-0000E3740000}"/>
    <cellStyle name="RIGs input cells 11 4 3" xfId="29709" xr:uid="{00000000-0005-0000-0000-0000E4740000}"/>
    <cellStyle name="RIGs input cells 11 5" xfId="29710" xr:uid="{00000000-0005-0000-0000-0000E5740000}"/>
    <cellStyle name="RIGs input cells 11 6" xfId="29711" xr:uid="{00000000-0005-0000-0000-0000E6740000}"/>
    <cellStyle name="RIGs input cells 11 7" xfId="29712" xr:uid="{00000000-0005-0000-0000-0000E7740000}"/>
    <cellStyle name="RIGs input cells 11 8" xfId="29713" xr:uid="{00000000-0005-0000-0000-0000E8740000}"/>
    <cellStyle name="RIGs input cells 11 9" xfId="29714" xr:uid="{00000000-0005-0000-0000-0000E9740000}"/>
    <cellStyle name="RIGs input cells 12" xfId="29715" xr:uid="{00000000-0005-0000-0000-0000EA740000}"/>
    <cellStyle name="RIGs input cells 12 10" xfId="29716" xr:uid="{00000000-0005-0000-0000-0000EB740000}"/>
    <cellStyle name="RIGs input cells 12 11" xfId="29717" xr:uid="{00000000-0005-0000-0000-0000EC740000}"/>
    <cellStyle name="RIGs input cells 12 12" xfId="29718" xr:uid="{00000000-0005-0000-0000-0000ED740000}"/>
    <cellStyle name="RIGs input cells 12 13" xfId="29719" xr:uid="{00000000-0005-0000-0000-0000EE740000}"/>
    <cellStyle name="RIGs input cells 12 14" xfId="29720" xr:uid="{00000000-0005-0000-0000-0000EF740000}"/>
    <cellStyle name="RIGs input cells 12 15" xfId="29721" xr:uid="{00000000-0005-0000-0000-0000F0740000}"/>
    <cellStyle name="RIGs input cells 12 16" xfId="29722" xr:uid="{00000000-0005-0000-0000-0000F1740000}"/>
    <cellStyle name="RIGs input cells 12 17" xfId="29723" xr:uid="{00000000-0005-0000-0000-0000F2740000}"/>
    <cellStyle name="RIGs input cells 12 18" xfId="29724" xr:uid="{00000000-0005-0000-0000-0000F3740000}"/>
    <cellStyle name="RIGs input cells 12 19" xfId="29725" xr:uid="{00000000-0005-0000-0000-0000F4740000}"/>
    <cellStyle name="RIGs input cells 12 2" xfId="29726" xr:uid="{00000000-0005-0000-0000-0000F5740000}"/>
    <cellStyle name="RIGs input cells 12 2 10" xfId="29727" xr:uid="{00000000-0005-0000-0000-0000F6740000}"/>
    <cellStyle name="RIGs input cells 12 2 11" xfId="29728" xr:uid="{00000000-0005-0000-0000-0000F7740000}"/>
    <cellStyle name="RIGs input cells 12 2 12" xfId="29729" xr:uid="{00000000-0005-0000-0000-0000F8740000}"/>
    <cellStyle name="RIGs input cells 12 2 13" xfId="29730" xr:uid="{00000000-0005-0000-0000-0000F9740000}"/>
    <cellStyle name="RIGs input cells 12 2 2" xfId="29731" xr:uid="{00000000-0005-0000-0000-0000FA740000}"/>
    <cellStyle name="RIGs input cells 12 2 2 2" xfId="29732" xr:uid="{00000000-0005-0000-0000-0000FB740000}"/>
    <cellStyle name="RIGs input cells 12 2 2 3" xfId="29733" xr:uid="{00000000-0005-0000-0000-0000FC740000}"/>
    <cellStyle name="RIGs input cells 12 2 3" xfId="29734" xr:uid="{00000000-0005-0000-0000-0000FD740000}"/>
    <cellStyle name="RIGs input cells 12 2 3 2" xfId="29735" xr:uid="{00000000-0005-0000-0000-0000FE740000}"/>
    <cellStyle name="RIGs input cells 12 2 3 3" xfId="29736" xr:uid="{00000000-0005-0000-0000-0000FF740000}"/>
    <cellStyle name="RIGs input cells 12 2 4" xfId="29737" xr:uid="{00000000-0005-0000-0000-000000750000}"/>
    <cellStyle name="RIGs input cells 12 2 5" xfId="29738" xr:uid="{00000000-0005-0000-0000-000001750000}"/>
    <cellStyle name="RIGs input cells 12 2 6" xfId="29739" xr:uid="{00000000-0005-0000-0000-000002750000}"/>
    <cellStyle name="RIGs input cells 12 2 7" xfId="29740" xr:uid="{00000000-0005-0000-0000-000003750000}"/>
    <cellStyle name="RIGs input cells 12 2 8" xfId="29741" xr:uid="{00000000-0005-0000-0000-000004750000}"/>
    <cellStyle name="RIGs input cells 12 2 9" xfId="29742" xr:uid="{00000000-0005-0000-0000-000005750000}"/>
    <cellStyle name="RIGs input cells 12 20" xfId="29743" xr:uid="{00000000-0005-0000-0000-000006750000}"/>
    <cellStyle name="RIGs input cells 12 21" xfId="29744" xr:uid="{00000000-0005-0000-0000-000007750000}"/>
    <cellStyle name="RIGs input cells 12 22" xfId="29745" xr:uid="{00000000-0005-0000-0000-000008750000}"/>
    <cellStyle name="RIGs input cells 12 23" xfId="29746" xr:uid="{00000000-0005-0000-0000-000009750000}"/>
    <cellStyle name="RIGs input cells 12 24" xfId="29747" xr:uid="{00000000-0005-0000-0000-00000A750000}"/>
    <cellStyle name="RIGs input cells 12 25" xfId="29748" xr:uid="{00000000-0005-0000-0000-00000B750000}"/>
    <cellStyle name="RIGs input cells 12 26" xfId="29749" xr:uid="{00000000-0005-0000-0000-00000C750000}"/>
    <cellStyle name="RIGs input cells 12 27" xfId="29750" xr:uid="{00000000-0005-0000-0000-00000D750000}"/>
    <cellStyle name="RIGs input cells 12 28" xfId="29751" xr:uid="{00000000-0005-0000-0000-00000E750000}"/>
    <cellStyle name="RIGs input cells 12 29" xfId="29752" xr:uid="{00000000-0005-0000-0000-00000F750000}"/>
    <cellStyle name="RIGs input cells 12 3" xfId="29753" xr:uid="{00000000-0005-0000-0000-000010750000}"/>
    <cellStyle name="RIGs input cells 12 3 2" xfId="29754" xr:uid="{00000000-0005-0000-0000-000011750000}"/>
    <cellStyle name="RIGs input cells 12 3 3" xfId="29755" xr:uid="{00000000-0005-0000-0000-000012750000}"/>
    <cellStyle name="RIGs input cells 12 30" xfId="29756" xr:uid="{00000000-0005-0000-0000-000013750000}"/>
    <cellStyle name="RIGs input cells 12 31" xfId="29757" xr:uid="{00000000-0005-0000-0000-000014750000}"/>
    <cellStyle name="RIGs input cells 12 32" xfId="29758" xr:uid="{00000000-0005-0000-0000-000015750000}"/>
    <cellStyle name="RIGs input cells 12 33" xfId="29759" xr:uid="{00000000-0005-0000-0000-000016750000}"/>
    <cellStyle name="RIGs input cells 12 34" xfId="29760" xr:uid="{00000000-0005-0000-0000-000017750000}"/>
    <cellStyle name="RIGs input cells 12 4" xfId="29761" xr:uid="{00000000-0005-0000-0000-000018750000}"/>
    <cellStyle name="RIGs input cells 12 4 2" xfId="29762" xr:uid="{00000000-0005-0000-0000-000019750000}"/>
    <cellStyle name="RIGs input cells 12 4 3" xfId="29763" xr:uid="{00000000-0005-0000-0000-00001A750000}"/>
    <cellStyle name="RIGs input cells 12 5" xfId="29764" xr:uid="{00000000-0005-0000-0000-00001B750000}"/>
    <cellStyle name="RIGs input cells 12 6" xfId="29765" xr:uid="{00000000-0005-0000-0000-00001C750000}"/>
    <cellStyle name="RIGs input cells 12 7" xfId="29766" xr:uid="{00000000-0005-0000-0000-00001D750000}"/>
    <cellStyle name="RIGs input cells 12 8" xfId="29767" xr:uid="{00000000-0005-0000-0000-00001E750000}"/>
    <cellStyle name="RIGs input cells 12 9" xfId="29768" xr:uid="{00000000-0005-0000-0000-00001F750000}"/>
    <cellStyle name="RIGs input cells 13" xfId="29769" xr:uid="{00000000-0005-0000-0000-000020750000}"/>
    <cellStyle name="RIGs input cells 13 10" xfId="29770" xr:uid="{00000000-0005-0000-0000-000021750000}"/>
    <cellStyle name="RIGs input cells 13 11" xfId="29771" xr:uid="{00000000-0005-0000-0000-000022750000}"/>
    <cellStyle name="RIGs input cells 13 12" xfId="29772" xr:uid="{00000000-0005-0000-0000-000023750000}"/>
    <cellStyle name="RIGs input cells 13 13" xfId="29773" xr:uid="{00000000-0005-0000-0000-000024750000}"/>
    <cellStyle name="RIGs input cells 13 2" xfId="29774" xr:uid="{00000000-0005-0000-0000-000025750000}"/>
    <cellStyle name="RIGs input cells 13 2 2" xfId="29775" xr:uid="{00000000-0005-0000-0000-000026750000}"/>
    <cellStyle name="RIGs input cells 13 2 3" xfId="29776" xr:uid="{00000000-0005-0000-0000-000027750000}"/>
    <cellStyle name="RIGs input cells 13 3" xfId="29777" xr:uid="{00000000-0005-0000-0000-000028750000}"/>
    <cellStyle name="RIGs input cells 13 3 2" xfId="29778" xr:uid="{00000000-0005-0000-0000-000029750000}"/>
    <cellStyle name="RIGs input cells 13 3 3" xfId="29779" xr:uid="{00000000-0005-0000-0000-00002A750000}"/>
    <cellStyle name="RIGs input cells 13 4" xfId="29780" xr:uid="{00000000-0005-0000-0000-00002B750000}"/>
    <cellStyle name="RIGs input cells 13 5" xfId="29781" xr:uid="{00000000-0005-0000-0000-00002C750000}"/>
    <cellStyle name="RIGs input cells 13 6" xfId="29782" xr:uid="{00000000-0005-0000-0000-00002D750000}"/>
    <cellStyle name="RIGs input cells 13 7" xfId="29783" xr:uid="{00000000-0005-0000-0000-00002E750000}"/>
    <cellStyle name="RIGs input cells 13 8" xfId="29784" xr:uid="{00000000-0005-0000-0000-00002F750000}"/>
    <cellStyle name="RIGs input cells 13 9" xfId="29785" xr:uid="{00000000-0005-0000-0000-000030750000}"/>
    <cellStyle name="RIGs input cells 14" xfId="29786" xr:uid="{00000000-0005-0000-0000-000031750000}"/>
    <cellStyle name="RIGs input cells 14 2" xfId="29787" xr:uid="{00000000-0005-0000-0000-000032750000}"/>
    <cellStyle name="RIGs input cells 14 2 2" xfId="29788" xr:uid="{00000000-0005-0000-0000-000033750000}"/>
    <cellStyle name="RIGs input cells 14 2 3" xfId="29789" xr:uid="{00000000-0005-0000-0000-000034750000}"/>
    <cellStyle name="RIGs input cells 14 3" xfId="29790" xr:uid="{00000000-0005-0000-0000-000035750000}"/>
    <cellStyle name="RIGs input cells 14 3 2" xfId="29791" xr:uid="{00000000-0005-0000-0000-000036750000}"/>
    <cellStyle name="RIGs input cells 14 4" xfId="29792" xr:uid="{00000000-0005-0000-0000-000037750000}"/>
    <cellStyle name="RIGs input cells 15" xfId="29793" xr:uid="{00000000-0005-0000-0000-000038750000}"/>
    <cellStyle name="RIGs input cells 15 2" xfId="29794" xr:uid="{00000000-0005-0000-0000-000039750000}"/>
    <cellStyle name="RIGs input cells 16" xfId="29795" xr:uid="{00000000-0005-0000-0000-00003A750000}"/>
    <cellStyle name="RIGs input cells 16 2" xfId="29796" xr:uid="{00000000-0005-0000-0000-00003B750000}"/>
    <cellStyle name="RIGs input cells 17" xfId="29797" xr:uid="{00000000-0005-0000-0000-00003C750000}"/>
    <cellStyle name="RIGs input cells 17 2" xfId="29798" xr:uid="{00000000-0005-0000-0000-00003D750000}"/>
    <cellStyle name="RIGs input cells 18" xfId="29799" xr:uid="{00000000-0005-0000-0000-00003E750000}"/>
    <cellStyle name="RIGs input cells 18 2" xfId="29800" xr:uid="{00000000-0005-0000-0000-00003F750000}"/>
    <cellStyle name="RIGs input cells 19" xfId="29801" xr:uid="{00000000-0005-0000-0000-000040750000}"/>
    <cellStyle name="RIGs input cells 19 2" xfId="29802" xr:uid="{00000000-0005-0000-0000-000041750000}"/>
    <cellStyle name="RIGs input cells 2" xfId="29803" xr:uid="{00000000-0005-0000-0000-000042750000}"/>
    <cellStyle name="RIGs input cells 2 10" xfId="29804" xr:uid="{00000000-0005-0000-0000-000043750000}"/>
    <cellStyle name="RIGs input cells 2 10 10" xfId="29805" xr:uid="{00000000-0005-0000-0000-000044750000}"/>
    <cellStyle name="RIGs input cells 2 10 11" xfId="29806" xr:uid="{00000000-0005-0000-0000-000045750000}"/>
    <cellStyle name="RIGs input cells 2 10 12" xfId="29807" xr:uid="{00000000-0005-0000-0000-000046750000}"/>
    <cellStyle name="RIGs input cells 2 10 13" xfId="29808" xr:uid="{00000000-0005-0000-0000-000047750000}"/>
    <cellStyle name="RIGs input cells 2 10 14" xfId="29809" xr:uid="{00000000-0005-0000-0000-000048750000}"/>
    <cellStyle name="RIGs input cells 2 10 15" xfId="29810" xr:uid="{00000000-0005-0000-0000-000049750000}"/>
    <cellStyle name="RIGs input cells 2 10 16" xfId="29811" xr:uid="{00000000-0005-0000-0000-00004A750000}"/>
    <cellStyle name="RIGs input cells 2 10 17" xfId="29812" xr:uid="{00000000-0005-0000-0000-00004B750000}"/>
    <cellStyle name="RIGs input cells 2 10 18" xfId="29813" xr:uid="{00000000-0005-0000-0000-00004C750000}"/>
    <cellStyle name="RIGs input cells 2 10 19" xfId="29814" xr:uid="{00000000-0005-0000-0000-00004D750000}"/>
    <cellStyle name="RIGs input cells 2 10 2" xfId="29815" xr:uid="{00000000-0005-0000-0000-00004E750000}"/>
    <cellStyle name="RIGs input cells 2 10 2 10" xfId="29816" xr:uid="{00000000-0005-0000-0000-00004F750000}"/>
    <cellStyle name="RIGs input cells 2 10 2 11" xfId="29817" xr:uid="{00000000-0005-0000-0000-000050750000}"/>
    <cellStyle name="RIGs input cells 2 10 2 12" xfId="29818" xr:uid="{00000000-0005-0000-0000-000051750000}"/>
    <cellStyle name="RIGs input cells 2 10 2 13" xfId="29819" xr:uid="{00000000-0005-0000-0000-000052750000}"/>
    <cellStyle name="RIGs input cells 2 10 2 2" xfId="29820" xr:uid="{00000000-0005-0000-0000-000053750000}"/>
    <cellStyle name="RIGs input cells 2 10 2 2 2" xfId="29821" xr:uid="{00000000-0005-0000-0000-000054750000}"/>
    <cellStyle name="RIGs input cells 2 10 2 2 3" xfId="29822" xr:uid="{00000000-0005-0000-0000-000055750000}"/>
    <cellStyle name="RIGs input cells 2 10 2 3" xfId="29823" xr:uid="{00000000-0005-0000-0000-000056750000}"/>
    <cellStyle name="RIGs input cells 2 10 2 3 2" xfId="29824" xr:uid="{00000000-0005-0000-0000-000057750000}"/>
    <cellStyle name="RIGs input cells 2 10 2 3 3" xfId="29825" xr:uid="{00000000-0005-0000-0000-000058750000}"/>
    <cellStyle name="RIGs input cells 2 10 2 4" xfId="29826" xr:uid="{00000000-0005-0000-0000-000059750000}"/>
    <cellStyle name="RIGs input cells 2 10 2 5" xfId="29827" xr:uid="{00000000-0005-0000-0000-00005A750000}"/>
    <cellStyle name="RIGs input cells 2 10 2 6" xfId="29828" xr:uid="{00000000-0005-0000-0000-00005B750000}"/>
    <cellStyle name="RIGs input cells 2 10 2 7" xfId="29829" xr:uid="{00000000-0005-0000-0000-00005C750000}"/>
    <cellStyle name="RIGs input cells 2 10 2 8" xfId="29830" xr:uid="{00000000-0005-0000-0000-00005D750000}"/>
    <cellStyle name="RIGs input cells 2 10 2 9" xfId="29831" xr:uid="{00000000-0005-0000-0000-00005E750000}"/>
    <cellStyle name="RIGs input cells 2 10 20" xfId="29832" xr:uid="{00000000-0005-0000-0000-00005F750000}"/>
    <cellStyle name="RIGs input cells 2 10 21" xfId="29833" xr:uid="{00000000-0005-0000-0000-000060750000}"/>
    <cellStyle name="RIGs input cells 2 10 22" xfId="29834" xr:uid="{00000000-0005-0000-0000-000061750000}"/>
    <cellStyle name="RIGs input cells 2 10 23" xfId="29835" xr:uid="{00000000-0005-0000-0000-000062750000}"/>
    <cellStyle name="RIGs input cells 2 10 24" xfId="29836" xr:uid="{00000000-0005-0000-0000-000063750000}"/>
    <cellStyle name="RIGs input cells 2 10 25" xfId="29837" xr:uid="{00000000-0005-0000-0000-000064750000}"/>
    <cellStyle name="RIGs input cells 2 10 26" xfId="29838" xr:uid="{00000000-0005-0000-0000-000065750000}"/>
    <cellStyle name="RIGs input cells 2 10 27" xfId="29839" xr:uid="{00000000-0005-0000-0000-000066750000}"/>
    <cellStyle name="RIGs input cells 2 10 28" xfId="29840" xr:uid="{00000000-0005-0000-0000-000067750000}"/>
    <cellStyle name="RIGs input cells 2 10 29" xfId="29841" xr:uid="{00000000-0005-0000-0000-000068750000}"/>
    <cellStyle name="RIGs input cells 2 10 3" xfId="29842" xr:uid="{00000000-0005-0000-0000-000069750000}"/>
    <cellStyle name="RIGs input cells 2 10 3 2" xfId="29843" xr:uid="{00000000-0005-0000-0000-00006A750000}"/>
    <cellStyle name="RIGs input cells 2 10 3 3" xfId="29844" xr:uid="{00000000-0005-0000-0000-00006B750000}"/>
    <cellStyle name="RIGs input cells 2 10 30" xfId="29845" xr:uid="{00000000-0005-0000-0000-00006C750000}"/>
    <cellStyle name="RIGs input cells 2 10 31" xfId="29846" xr:uid="{00000000-0005-0000-0000-00006D750000}"/>
    <cellStyle name="RIGs input cells 2 10 32" xfId="29847" xr:uid="{00000000-0005-0000-0000-00006E750000}"/>
    <cellStyle name="RIGs input cells 2 10 33" xfId="29848" xr:uid="{00000000-0005-0000-0000-00006F750000}"/>
    <cellStyle name="RIGs input cells 2 10 34" xfId="29849" xr:uid="{00000000-0005-0000-0000-000070750000}"/>
    <cellStyle name="RIGs input cells 2 10 4" xfId="29850" xr:uid="{00000000-0005-0000-0000-000071750000}"/>
    <cellStyle name="RIGs input cells 2 10 4 2" xfId="29851" xr:uid="{00000000-0005-0000-0000-000072750000}"/>
    <cellStyle name="RIGs input cells 2 10 4 3" xfId="29852" xr:uid="{00000000-0005-0000-0000-000073750000}"/>
    <cellStyle name="RIGs input cells 2 10 5" xfId="29853" xr:uid="{00000000-0005-0000-0000-000074750000}"/>
    <cellStyle name="RIGs input cells 2 10 6" xfId="29854" xr:uid="{00000000-0005-0000-0000-000075750000}"/>
    <cellStyle name="RIGs input cells 2 10 7" xfId="29855" xr:uid="{00000000-0005-0000-0000-000076750000}"/>
    <cellStyle name="RIGs input cells 2 10 8" xfId="29856" xr:uid="{00000000-0005-0000-0000-000077750000}"/>
    <cellStyle name="RIGs input cells 2 10 9" xfId="29857" xr:uid="{00000000-0005-0000-0000-000078750000}"/>
    <cellStyle name="RIGs input cells 2 11" xfId="29858" xr:uid="{00000000-0005-0000-0000-000079750000}"/>
    <cellStyle name="RIGs input cells 2 11 10" xfId="29859" xr:uid="{00000000-0005-0000-0000-00007A750000}"/>
    <cellStyle name="RIGs input cells 2 11 11" xfId="29860" xr:uid="{00000000-0005-0000-0000-00007B750000}"/>
    <cellStyle name="RIGs input cells 2 11 12" xfId="29861" xr:uid="{00000000-0005-0000-0000-00007C750000}"/>
    <cellStyle name="RIGs input cells 2 11 13" xfId="29862" xr:uid="{00000000-0005-0000-0000-00007D750000}"/>
    <cellStyle name="RIGs input cells 2 11 14" xfId="29863" xr:uid="{00000000-0005-0000-0000-00007E750000}"/>
    <cellStyle name="RIGs input cells 2 11 15" xfId="29864" xr:uid="{00000000-0005-0000-0000-00007F750000}"/>
    <cellStyle name="RIGs input cells 2 11 16" xfId="29865" xr:uid="{00000000-0005-0000-0000-000080750000}"/>
    <cellStyle name="RIGs input cells 2 11 17" xfId="29866" xr:uid="{00000000-0005-0000-0000-000081750000}"/>
    <cellStyle name="RIGs input cells 2 11 18" xfId="29867" xr:uid="{00000000-0005-0000-0000-000082750000}"/>
    <cellStyle name="RIGs input cells 2 11 19" xfId="29868" xr:uid="{00000000-0005-0000-0000-000083750000}"/>
    <cellStyle name="RIGs input cells 2 11 2" xfId="29869" xr:uid="{00000000-0005-0000-0000-000084750000}"/>
    <cellStyle name="RIGs input cells 2 11 2 10" xfId="29870" xr:uid="{00000000-0005-0000-0000-000085750000}"/>
    <cellStyle name="RIGs input cells 2 11 2 11" xfId="29871" xr:uid="{00000000-0005-0000-0000-000086750000}"/>
    <cellStyle name="RIGs input cells 2 11 2 12" xfId="29872" xr:uid="{00000000-0005-0000-0000-000087750000}"/>
    <cellStyle name="RIGs input cells 2 11 2 13" xfId="29873" xr:uid="{00000000-0005-0000-0000-000088750000}"/>
    <cellStyle name="RIGs input cells 2 11 2 2" xfId="29874" xr:uid="{00000000-0005-0000-0000-000089750000}"/>
    <cellStyle name="RIGs input cells 2 11 2 2 2" xfId="29875" xr:uid="{00000000-0005-0000-0000-00008A750000}"/>
    <cellStyle name="RIGs input cells 2 11 2 2 3" xfId="29876" xr:uid="{00000000-0005-0000-0000-00008B750000}"/>
    <cellStyle name="RIGs input cells 2 11 2 3" xfId="29877" xr:uid="{00000000-0005-0000-0000-00008C750000}"/>
    <cellStyle name="RIGs input cells 2 11 2 3 2" xfId="29878" xr:uid="{00000000-0005-0000-0000-00008D750000}"/>
    <cellStyle name="RIGs input cells 2 11 2 3 3" xfId="29879" xr:uid="{00000000-0005-0000-0000-00008E750000}"/>
    <cellStyle name="RIGs input cells 2 11 2 4" xfId="29880" xr:uid="{00000000-0005-0000-0000-00008F750000}"/>
    <cellStyle name="RIGs input cells 2 11 2 5" xfId="29881" xr:uid="{00000000-0005-0000-0000-000090750000}"/>
    <cellStyle name="RIGs input cells 2 11 2 6" xfId="29882" xr:uid="{00000000-0005-0000-0000-000091750000}"/>
    <cellStyle name="RIGs input cells 2 11 2 7" xfId="29883" xr:uid="{00000000-0005-0000-0000-000092750000}"/>
    <cellStyle name="RIGs input cells 2 11 2 8" xfId="29884" xr:uid="{00000000-0005-0000-0000-000093750000}"/>
    <cellStyle name="RIGs input cells 2 11 2 9" xfId="29885" xr:uid="{00000000-0005-0000-0000-000094750000}"/>
    <cellStyle name="RIGs input cells 2 11 20" xfId="29886" xr:uid="{00000000-0005-0000-0000-000095750000}"/>
    <cellStyle name="RIGs input cells 2 11 21" xfId="29887" xr:uid="{00000000-0005-0000-0000-000096750000}"/>
    <cellStyle name="RIGs input cells 2 11 22" xfId="29888" xr:uid="{00000000-0005-0000-0000-000097750000}"/>
    <cellStyle name="RIGs input cells 2 11 23" xfId="29889" xr:uid="{00000000-0005-0000-0000-000098750000}"/>
    <cellStyle name="RIGs input cells 2 11 24" xfId="29890" xr:uid="{00000000-0005-0000-0000-000099750000}"/>
    <cellStyle name="RIGs input cells 2 11 25" xfId="29891" xr:uid="{00000000-0005-0000-0000-00009A750000}"/>
    <cellStyle name="RIGs input cells 2 11 26" xfId="29892" xr:uid="{00000000-0005-0000-0000-00009B750000}"/>
    <cellStyle name="RIGs input cells 2 11 27" xfId="29893" xr:uid="{00000000-0005-0000-0000-00009C750000}"/>
    <cellStyle name="RIGs input cells 2 11 28" xfId="29894" xr:uid="{00000000-0005-0000-0000-00009D750000}"/>
    <cellStyle name="RIGs input cells 2 11 29" xfId="29895" xr:uid="{00000000-0005-0000-0000-00009E750000}"/>
    <cellStyle name="RIGs input cells 2 11 3" xfId="29896" xr:uid="{00000000-0005-0000-0000-00009F750000}"/>
    <cellStyle name="RIGs input cells 2 11 3 2" xfId="29897" xr:uid="{00000000-0005-0000-0000-0000A0750000}"/>
    <cellStyle name="RIGs input cells 2 11 3 3" xfId="29898" xr:uid="{00000000-0005-0000-0000-0000A1750000}"/>
    <cellStyle name="RIGs input cells 2 11 30" xfId="29899" xr:uid="{00000000-0005-0000-0000-0000A2750000}"/>
    <cellStyle name="RIGs input cells 2 11 31" xfId="29900" xr:uid="{00000000-0005-0000-0000-0000A3750000}"/>
    <cellStyle name="RIGs input cells 2 11 32" xfId="29901" xr:uid="{00000000-0005-0000-0000-0000A4750000}"/>
    <cellStyle name="RIGs input cells 2 11 33" xfId="29902" xr:uid="{00000000-0005-0000-0000-0000A5750000}"/>
    <cellStyle name="RIGs input cells 2 11 34" xfId="29903" xr:uid="{00000000-0005-0000-0000-0000A6750000}"/>
    <cellStyle name="RIGs input cells 2 11 4" xfId="29904" xr:uid="{00000000-0005-0000-0000-0000A7750000}"/>
    <cellStyle name="RIGs input cells 2 11 4 2" xfId="29905" xr:uid="{00000000-0005-0000-0000-0000A8750000}"/>
    <cellStyle name="RIGs input cells 2 11 4 3" xfId="29906" xr:uid="{00000000-0005-0000-0000-0000A9750000}"/>
    <cellStyle name="RIGs input cells 2 11 5" xfId="29907" xr:uid="{00000000-0005-0000-0000-0000AA750000}"/>
    <cellStyle name="RIGs input cells 2 11 6" xfId="29908" xr:uid="{00000000-0005-0000-0000-0000AB750000}"/>
    <cellStyle name="RIGs input cells 2 11 7" xfId="29909" xr:uid="{00000000-0005-0000-0000-0000AC750000}"/>
    <cellStyle name="RIGs input cells 2 11 8" xfId="29910" xr:uid="{00000000-0005-0000-0000-0000AD750000}"/>
    <cellStyle name="RIGs input cells 2 11 9" xfId="29911" xr:uid="{00000000-0005-0000-0000-0000AE750000}"/>
    <cellStyle name="RIGs input cells 2 12" xfId="29912" xr:uid="{00000000-0005-0000-0000-0000AF750000}"/>
    <cellStyle name="RIGs input cells 2 12 10" xfId="29913" xr:uid="{00000000-0005-0000-0000-0000B0750000}"/>
    <cellStyle name="RIGs input cells 2 12 11" xfId="29914" xr:uid="{00000000-0005-0000-0000-0000B1750000}"/>
    <cellStyle name="RIGs input cells 2 12 12" xfId="29915" xr:uid="{00000000-0005-0000-0000-0000B2750000}"/>
    <cellStyle name="RIGs input cells 2 12 13" xfId="29916" xr:uid="{00000000-0005-0000-0000-0000B3750000}"/>
    <cellStyle name="RIGs input cells 2 12 2" xfId="29917" xr:uid="{00000000-0005-0000-0000-0000B4750000}"/>
    <cellStyle name="RIGs input cells 2 12 2 2" xfId="29918" xr:uid="{00000000-0005-0000-0000-0000B5750000}"/>
    <cellStyle name="RIGs input cells 2 12 2 3" xfId="29919" xr:uid="{00000000-0005-0000-0000-0000B6750000}"/>
    <cellStyle name="RIGs input cells 2 12 3" xfId="29920" xr:uid="{00000000-0005-0000-0000-0000B7750000}"/>
    <cellStyle name="RIGs input cells 2 12 3 2" xfId="29921" xr:uid="{00000000-0005-0000-0000-0000B8750000}"/>
    <cellStyle name="RIGs input cells 2 12 3 3" xfId="29922" xr:uid="{00000000-0005-0000-0000-0000B9750000}"/>
    <cellStyle name="RIGs input cells 2 12 4" xfId="29923" xr:uid="{00000000-0005-0000-0000-0000BA750000}"/>
    <cellStyle name="RIGs input cells 2 12 5" xfId="29924" xr:uid="{00000000-0005-0000-0000-0000BB750000}"/>
    <cellStyle name="RIGs input cells 2 12 6" xfId="29925" xr:uid="{00000000-0005-0000-0000-0000BC750000}"/>
    <cellStyle name="RIGs input cells 2 12 7" xfId="29926" xr:uid="{00000000-0005-0000-0000-0000BD750000}"/>
    <cellStyle name="RIGs input cells 2 12 8" xfId="29927" xr:uid="{00000000-0005-0000-0000-0000BE750000}"/>
    <cellStyle name="RIGs input cells 2 12 9" xfId="29928" xr:uid="{00000000-0005-0000-0000-0000BF750000}"/>
    <cellStyle name="RIGs input cells 2 13" xfId="29929" xr:uid="{00000000-0005-0000-0000-0000C0750000}"/>
    <cellStyle name="RIGs input cells 2 13 2" xfId="29930" xr:uid="{00000000-0005-0000-0000-0000C1750000}"/>
    <cellStyle name="RIGs input cells 2 13 2 2" xfId="29931" xr:uid="{00000000-0005-0000-0000-0000C2750000}"/>
    <cellStyle name="RIGs input cells 2 13 2 3" xfId="29932" xr:uid="{00000000-0005-0000-0000-0000C3750000}"/>
    <cellStyle name="RIGs input cells 2 13 3" xfId="29933" xr:uid="{00000000-0005-0000-0000-0000C4750000}"/>
    <cellStyle name="RIGs input cells 2 13 3 2" xfId="29934" xr:uid="{00000000-0005-0000-0000-0000C5750000}"/>
    <cellStyle name="RIGs input cells 2 13 4" xfId="29935" xr:uid="{00000000-0005-0000-0000-0000C6750000}"/>
    <cellStyle name="RIGs input cells 2 14" xfId="29936" xr:uid="{00000000-0005-0000-0000-0000C7750000}"/>
    <cellStyle name="RIGs input cells 2 14 2" xfId="29937" xr:uid="{00000000-0005-0000-0000-0000C8750000}"/>
    <cellStyle name="RIGs input cells 2 15" xfId="29938" xr:uid="{00000000-0005-0000-0000-0000C9750000}"/>
    <cellStyle name="RIGs input cells 2 15 2" xfId="29939" xr:uid="{00000000-0005-0000-0000-0000CA750000}"/>
    <cellStyle name="RIGs input cells 2 16" xfId="29940" xr:uid="{00000000-0005-0000-0000-0000CB750000}"/>
    <cellStyle name="RIGs input cells 2 16 2" xfId="29941" xr:uid="{00000000-0005-0000-0000-0000CC750000}"/>
    <cellStyle name="RIGs input cells 2 17" xfId="29942" xr:uid="{00000000-0005-0000-0000-0000CD750000}"/>
    <cellStyle name="RIGs input cells 2 17 2" xfId="29943" xr:uid="{00000000-0005-0000-0000-0000CE750000}"/>
    <cellStyle name="RIGs input cells 2 18" xfId="29944" xr:uid="{00000000-0005-0000-0000-0000CF750000}"/>
    <cellStyle name="RIGs input cells 2 18 2" xfId="29945" xr:uid="{00000000-0005-0000-0000-0000D0750000}"/>
    <cellStyle name="RIGs input cells 2 19" xfId="29946" xr:uid="{00000000-0005-0000-0000-0000D1750000}"/>
    <cellStyle name="RIGs input cells 2 19 2" xfId="29947" xr:uid="{00000000-0005-0000-0000-0000D2750000}"/>
    <cellStyle name="RIGs input cells 2 2" xfId="29948" xr:uid="{00000000-0005-0000-0000-0000D3750000}"/>
    <cellStyle name="RIGs input cells 2 2 10" xfId="29949" xr:uid="{00000000-0005-0000-0000-0000D4750000}"/>
    <cellStyle name="RIGs input cells 2 2 10 2" xfId="29950" xr:uid="{00000000-0005-0000-0000-0000D5750000}"/>
    <cellStyle name="RIGs input cells 2 2 11" xfId="29951" xr:uid="{00000000-0005-0000-0000-0000D6750000}"/>
    <cellStyle name="RIGs input cells 2 2 11 2" xfId="29952" xr:uid="{00000000-0005-0000-0000-0000D7750000}"/>
    <cellStyle name="RIGs input cells 2 2 12" xfId="29953" xr:uid="{00000000-0005-0000-0000-0000D8750000}"/>
    <cellStyle name="RIGs input cells 2 2 12 2" xfId="29954" xr:uid="{00000000-0005-0000-0000-0000D9750000}"/>
    <cellStyle name="RIGs input cells 2 2 13" xfId="29955" xr:uid="{00000000-0005-0000-0000-0000DA750000}"/>
    <cellStyle name="RIGs input cells 2 2 13 2" xfId="29956" xr:uid="{00000000-0005-0000-0000-0000DB750000}"/>
    <cellStyle name="RIGs input cells 2 2 14" xfId="29957" xr:uid="{00000000-0005-0000-0000-0000DC750000}"/>
    <cellStyle name="RIGs input cells 2 2 14 2" xfId="29958" xr:uid="{00000000-0005-0000-0000-0000DD750000}"/>
    <cellStyle name="RIGs input cells 2 2 15" xfId="29959" xr:uid="{00000000-0005-0000-0000-0000DE750000}"/>
    <cellStyle name="RIGs input cells 2 2 15 2" xfId="29960" xr:uid="{00000000-0005-0000-0000-0000DF750000}"/>
    <cellStyle name="RIGs input cells 2 2 16" xfId="29961" xr:uid="{00000000-0005-0000-0000-0000E0750000}"/>
    <cellStyle name="RIGs input cells 2 2 16 2" xfId="29962" xr:uid="{00000000-0005-0000-0000-0000E1750000}"/>
    <cellStyle name="RIGs input cells 2 2 17" xfId="29963" xr:uid="{00000000-0005-0000-0000-0000E2750000}"/>
    <cellStyle name="RIGs input cells 2 2 17 2" xfId="29964" xr:uid="{00000000-0005-0000-0000-0000E3750000}"/>
    <cellStyle name="RIGs input cells 2 2 18" xfId="29965" xr:uid="{00000000-0005-0000-0000-0000E4750000}"/>
    <cellStyle name="RIGs input cells 2 2 18 2" xfId="29966" xr:uid="{00000000-0005-0000-0000-0000E5750000}"/>
    <cellStyle name="RIGs input cells 2 2 19" xfId="29967" xr:uid="{00000000-0005-0000-0000-0000E6750000}"/>
    <cellStyle name="RIGs input cells 2 2 19 2" xfId="29968" xr:uid="{00000000-0005-0000-0000-0000E7750000}"/>
    <cellStyle name="RIGs input cells 2 2 2" xfId="29969" xr:uid="{00000000-0005-0000-0000-0000E8750000}"/>
    <cellStyle name="RIGs input cells 2 2 2 10" xfId="29970" xr:uid="{00000000-0005-0000-0000-0000E9750000}"/>
    <cellStyle name="RIGs input cells 2 2 2 10 2" xfId="29971" xr:uid="{00000000-0005-0000-0000-0000EA750000}"/>
    <cellStyle name="RIGs input cells 2 2 2 11" xfId="29972" xr:uid="{00000000-0005-0000-0000-0000EB750000}"/>
    <cellStyle name="RIGs input cells 2 2 2 11 2" xfId="29973" xr:uid="{00000000-0005-0000-0000-0000EC750000}"/>
    <cellStyle name="RIGs input cells 2 2 2 12" xfId="29974" xr:uid="{00000000-0005-0000-0000-0000ED750000}"/>
    <cellStyle name="RIGs input cells 2 2 2 12 2" xfId="29975" xr:uid="{00000000-0005-0000-0000-0000EE750000}"/>
    <cellStyle name="RIGs input cells 2 2 2 13" xfId="29976" xr:uid="{00000000-0005-0000-0000-0000EF750000}"/>
    <cellStyle name="RIGs input cells 2 2 2 13 2" xfId="29977" xr:uid="{00000000-0005-0000-0000-0000F0750000}"/>
    <cellStyle name="RIGs input cells 2 2 2 14" xfId="29978" xr:uid="{00000000-0005-0000-0000-0000F1750000}"/>
    <cellStyle name="RIGs input cells 2 2 2 14 2" xfId="29979" xr:uid="{00000000-0005-0000-0000-0000F2750000}"/>
    <cellStyle name="RIGs input cells 2 2 2 15" xfId="29980" xr:uid="{00000000-0005-0000-0000-0000F3750000}"/>
    <cellStyle name="RIGs input cells 2 2 2 15 2" xfId="29981" xr:uid="{00000000-0005-0000-0000-0000F4750000}"/>
    <cellStyle name="RIGs input cells 2 2 2 16" xfId="29982" xr:uid="{00000000-0005-0000-0000-0000F5750000}"/>
    <cellStyle name="RIGs input cells 2 2 2 16 2" xfId="29983" xr:uid="{00000000-0005-0000-0000-0000F6750000}"/>
    <cellStyle name="RIGs input cells 2 2 2 17" xfId="29984" xr:uid="{00000000-0005-0000-0000-0000F7750000}"/>
    <cellStyle name="RIGs input cells 2 2 2 17 2" xfId="29985" xr:uid="{00000000-0005-0000-0000-0000F8750000}"/>
    <cellStyle name="RIGs input cells 2 2 2 18" xfId="29986" xr:uid="{00000000-0005-0000-0000-0000F9750000}"/>
    <cellStyle name="RIGs input cells 2 2 2 18 2" xfId="29987" xr:uid="{00000000-0005-0000-0000-0000FA750000}"/>
    <cellStyle name="RIGs input cells 2 2 2 19" xfId="29988" xr:uid="{00000000-0005-0000-0000-0000FB750000}"/>
    <cellStyle name="RIGs input cells 2 2 2 19 2" xfId="29989" xr:uid="{00000000-0005-0000-0000-0000FC750000}"/>
    <cellStyle name="RIGs input cells 2 2 2 2" xfId="29990" xr:uid="{00000000-0005-0000-0000-0000FD750000}"/>
    <cellStyle name="RIGs input cells 2 2 2 2 10" xfId="29991" xr:uid="{00000000-0005-0000-0000-0000FE750000}"/>
    <cellStyle name="RIGs input cells 2 2 2 2 11" xfId="29992" xr:uid="{00000000-0005-0000-0000-0000FF750000}"/>
    <cellStyle name="RIGs input cells 2 2 2 2 12" xfId="29993" xr:uid="{00000000-0005-0000-0000-000000760000}"/>
    <cellStyle name="RIGs input cells 2 2 2 2 13" xfId="29994" xr:uid="{00000000-0005-0000-0000-000001760000}"/>
    <cellStyle name="RIGs input cells 2 2 2 2 14" xfId="29995" xr:uid="{00000000-0005-0000-0000-000002760000}"/>
    <cellStyle name="RIGs input cells 2 2 2 2 15" xfId="29996" xr:uid="{00000000-0005-0000-0000-000003760000}"/>
    <cellStyle name="RIGs input cells 2 2 2 2 16" xfId="29997" xr:uid="{00000000-0005-0000-0000-000004760000}"/>
    <cellStyle name="RIGs input cells 2 2 2 2 17" xfId="29998" xr:uid="{00000000-0005-0000-0000-000005760000}"/>
    <cellStyle name="RIGs input cells 2 2 2 2 18" xfId="29999" xr:uid="{00000000-0005-0000-0000-000006760000}"/>
    <cellStyle name="RIGs input cells 2 2 2 2 19" xfId="30000" xr:uid="{00000000-0005-0000-0000-000007760000}"/>
    <cellStyle name="RIGs input cells 2 2 2 2 2" xfId="30001" xr:uid="{00000000-0005-0000-0000-000008760000}"/>
    <cellStyle name="RIGs input cells 2 2 2 2 2 10" xfId="30002" xr:uid="{00000000-0005-0000-0000-000009760000}"/>
    <cellStyle name="RIGs input cells 2 2 2 2 2 11" xfId="30003" xr:uid="{00000000-0005-0000-0000-00000A760000}"/>
    <cellStyle name="RIGs input cells 2 2 2 2 2 12" xfId="30004" xr:uid="{00000000-0005-0000-0000-00000B760000}"/>
    <cellStyle name="RIGs input cells 2 2 2 2 2 13" xfId="30005" xr:uid="{00000000-0005-0000-0000-00000C760000}"/>
    <cellStyle name="RIGs input cells 2 2 2 2 2 14" xfId="30006" xr:uid="{00000000-0005-0000-0000-00000D760000}"/>
    <cellStyle name="RIGs input cells 2 2 2 2 2 15" xfId="30007" xr:uid="{00000000-0005-0000-0000-00000E760000}"/>
    <cellStyle name="RIGs input cells 2 2 2 2 2 16" xfId="30008" xr:uid="{00000000-0005-0000-0000-00000F760000}"/>
    <cellStyle name="RIGs input cells 2 2 2 2 2 17" xfId="30009" xr:uid="{00000000-0005-0000-0000-000010760000}"/>
    <cellStyle name="RIGs input cells 2 2 2 2 2 18" xfId="30010" xr:uid="{00000000-0005-0000-0000-000011760000}"/>
    <cellStyle name="RIGs input cells 2 2 2 2 2 19" xfId="30011" xr:uid="{00000000-0005-0000-0000-000012760000}"/>
    <cellStyle name="RIGs input cells 2 2 2 2 2 2" xfId="30012" xr:uid="{00000000-0005-0000-0000-000013760000}"/>
    <cellStyle name="RIGs input cells 2 2 2 2 2 2 10" xfId="30013" xr:uid="{00000000-0005-0000-0000-000014760000}"/>
    <cellStyle name="RIGs input cells 2 2 2 2 2 2 11" xfId="30014" xr:uid="{00000000-0005-0000-0000-000015760000}"/>
    <cellStyle name="RIGs input cells 2 2 2 2 2 2 12" xfId="30015" xr:uid="{00000000-0005-0000-0000-000016760000}"/>
    <cellStyle name="RIGs input cells 2 2 2 2 2 2 13" xfId="30016" xr:uid="{00000000-0005-0000-0000-000017760000}"/>
    <cellStyle name="RIGs input cells 2 2 2 2 2 2 2" xfId="30017" xr:uid="{00000000-0005-0000-0000-000018760000}"/>
    <cellStyle name="RIGs input cells 2 2 2 2 2 2 2 2" xfId="30018" xr:uid="{00000000-0005-0000-0000-000019760000}"/>
    <cellStyle name="RIGs input cells 2 2 2 2 2 2 2 3" xfId="30019" xr:uid="{00000000-0005-0000-0000-00001A760000}"/>
    <cellStyle name="RIGs input cells 2 2 2 2 2 2 3" xfId="30020" xr:uid="{00000000-0005-0000-0000-00001B760000}"/>
    <cellStyle name="RIGs input cells 2 2 2 2 2 2 3 2" xfId="30021" xr:uid="{00000000-0005-0000-0000-00001C760000}"/>
    <cellStyle name="RIGs input cells 2 2 2 2 2 2 3 3" xfId="30022" xr:uid="{00000000-0005-0000-0000-00001D760000}"/>
    <cellStyle name="RIGs input cells 2 2 2 2 2 2 4" xfId="30023" xr:uid="{00000000-0005-0000-0000-00001E760000}"/>
    <cellStyle name="RIGs input cells 2 2 2 2 2 2 5" xfId="30024" xr:uid="{00000000-0005-0000-0000-00001F760000}"/>
    <cellStyle name="RIGs input cells 2 2 2 2 2 2 6" xfId="30025" xr:uid="{00000000-0005-0000-0000-000020760000}"/>
    <cellStyle name="RIGs input cells 2 2 2 2 2 2 7" xfId="30026" xr:uid="{00000000-0005-0000-0000-000021760000}"/>
    <cellStyle name="RIGs input cells 2 2 2 2 2 2 8" xfId="30027" xr:uid="{00000000-0005-0000-0000-000022760000}"/>
    <cellStyle name="RIGs input cells 2 2 2 2 2 2 9" xfId="30028" xr:uid="{00000000-0005-0000-0000-000023760000}"/>
    <cellStyle name="RIGs input cells 2 2 2 2 2 20" xfId="30029" xr:uid="{00000000-0005-0000-0000-000024760000}"/>
    <cellStyle name="RIGs input cells 2 2 2 2 2 21" xfId="30030" xr:uid="{00000000-0005-0000-0000-000025760000}"/>
    <cellStyle name="RIGs input cells 2 2 2 2 2 22" xfId="30031" xr:uid="{00000000-0005-0000-0000-000026760000}"/>
    <cellStyle name="RIGs input cells 2 2 2 2 2 23" xfId="30032" xr:uid="{00000000-0005-0000-0000-000027760000}"/>
    <cellStyle name="RIGs input cells 2 2 2 2 2 24" xfId="30033" xr:uid="{00000000-0005-0000-0000-000028760000}"/>
    <cellStyle name="RIGs input cells 2 2 2 2 2 25" xfId="30034" xr:uid="{00000000-0005-0000-0000-000029760000}"/>
    <cellStyle name="RIGs input cells 2 2 2 2 2 26" xfId="30035" xr:uid="{00000000-0005-0000-0000-00002A760000}"/>
    <cellStyle name="RIGs input cells 2 2 2 2 2 27" xfId="30036" xr:uid="{00000000-0005-0000-0000-00002B760000}"/>
    <cellStyle name="RIGs input cells 2 2 2 2 2 28" xfId="30037" xr:uid="{00000000-0005-0000-0000-00002C760000}"/>
    <cellStyle name="RIGs input cells 2 2 2 2 2 29" xfId="30038" xr:uid="{00000000-0005-0000-0000-00002D760000}"/>
    <cellStyle name="RIGs input cells 2 2 2 2 2 3" xfId="30039" xr:uid="{00000000-0005-0000-0000-00002E760000}"/>
    <cellStyle name="RIGs input cells 2 2 2 2 2 3 2" xfId="30040" xr:uid="{00000000-0005-0000-0000-00002F760000}"/>
    <cellStyle name="RIGs input cells 2 2 2 2 2 3 3" xfId="30041" xr:uid="{00000000-0005-0000-0000-000030760000}"/>
    <cellStyle name="RIGs input cells 2 2 2 2 2 30" xfId="30042" xr:uid="{00000000-0005-0000-0000-000031760000}"/>
    <cellStyle name="RIGs input cells 2 2 2 2 2 31" xfId="30043" xr:uid="{00000000-0005-0000-0000-000032760000}"/>
    <cellStyle name="RIGs input cells 2 2 2 2 2 32" xfId="30044" xr:uid="{00000000-0005-0000-0000-000033760000}"/>
    <cellStyle name="RIGs input cells 2 2 2 2 2 33" xfId="30045" xr:uid="{00000000-0005-0000-0000-000034760000}"/>
    <cellStyle name="RIGs input cells 2 2 2 2 2 34" xfId="30046" xr:uid="{00000000-0005-0000-0000-000035760000}"/>
    <cellStyle name="RIGs input cells 2 2 2 2 2 4" xfId="30047" xr:uid="{00000000-0005-0000-0000-000036760000}"/>
    <cellStyle name="RIGs input cells 2 2 2 2 2 4 2" xfId="30048" xr:uid="{00000000-0005-0000-0000-000037760000}"/>
    <cellStyle name="RIGs input cells 2 2 2 2 2 4 3" xfId="30049" xr:uid="{00000000-0005-0000-0000-000038760000}"/>
    <cellStyle name="RIGs input cells 2 2 2 2 2 5" xfId="30050" xr:uid="{00000000-0005-0000-0000-000039760000}"/>
    <cellStyle name="RIGs input cells 2 2 2 2 2 6" xfId="30051" xr:uid="{00000000-0005-0000-0000-00003A760000}"/>
    <cellStyle name="RIGs input cells 2 2 2 2 2 7" xfId="30052" xr:uid="{00000000-0005-0000-0000-00003B760000}"/>
    <cellStyle name="RIGs input cells 2 2 2 2 2 8" xfId="30053" xr:uid="{00000000-0005-0000-0000-00003C760000}"/>
    <cellStyle name="RIGs input cells 2 2 2 2 2 9" xfId="30054" xr:uid="{00000000-0005-0000-0000-00003D760000}"/>
    <cellStyle name="RIGs input cells 2 2 2 2 20" xfId="30055" xr:uid="{00000000-0005-0000-0000-00003E760000}"/>
    <cellStyle name="RIGs input cells 2 2 2 2 21" xfId="30056" xr:uid="{00000000-0005-0000-0000-00003F760000}"/>
    <cellStyle name="RIGs input cells 2 2 2 2 22" xfId="30057" xr:uid="{00000000-0005-0000-0000-000040760000}"/>
    <cellStyle name="RIGs input cells 2 2 2 2 23" xfId="30058" xr:uid="{00000000-0005-0000-0000-000041760000}"/>
    <cellStyle name="RIGs input cells 2 2 2 2 24" xfId="30059" xr:uid="{00000000-0005-0000-0000-000042760000}"/>
    <cellStyle name="RIGs input cells 2 2 2 2 25" xfId="30060" xr:uid="{00000000-0005-0000-0000-000043760000}"/>
    <cellStyle name="RIGs input cells 2 2 2 2 26" xfId="30061" xr:uid="{00000000-0005-0000-0000-000044760000}"/>
    <cellStyle name="RIGs input cells 2 2 2 2 27" xfId="30062" xr:uid="{00000000-0005-0000-0000-000045760000}"/>
    <cellStyle name="RIGs input cells 2 2 2 2 28" xfId="30063" xr:uid="{00000000-0005-0000-0000-000046760000}"/>
    <cellStyle name="RIGs input cells 2 2 2 2 29" xfId="30064" xr:uid="{00000000-0005-0000-0000-000047760000}"/>
    <cellStyle name="RIGs input cells 2 2 2 2 3" xfId="30065" xr:uid="{00000000-0005-0000-0000-000048760000}"/>
    <cellStyle name="RIGs input cells 2 2 2 2 3 10" xfId="30066" xr:uid="{00000000-0005-0000-0000-000049760000}"/>
    <cellStyle name="RIGs input cells 2 2 2 2 3 11" xfId="30067" xr:uid="{00000000-0005-0000-0000-00004A760000}"/>
    <cellStyle name="RIGs input cells 2 2 2 2 3 12" xfId="30068" xr:uid="{00000000-0005-0000-0000-00004B760000}"/>
    <cellStyle name="RIGs input cells 2 2 2 2 3 13" xfId="30069" xr:uid="{00000000-0005-0000-0000-00004C760000}"/>
    <cellStyle name="RIGs input cells 2 2 2 2 3 2" xfId="30070" xr:uid="{00000000-0005-0000-0000-00004D760000}"/>
    <cellStyle name="RIGs input cells 2 2 2 2 3 2 2" xfId="30071" xr:uid="{00000000-0005-0000-0000-00004E760000}"/>
    <cellStyle name="RIGs input cells 2 2 2 2 3 2 3" xfId="30072" xr:uid="{00000000-0005-0000-0000-00004F760000}"/>
    <cellStyle name="RIGs input cells 2 2 2 2 3 3" xfId="30073" xr:uid="{00000000-0005-0000-0000-000050760000}"/>
    <cellStyle name="RIGs input cells 2 2 2 2 3 3 2" xfId="30074" xr:uid="{00000000-0005-0000-0000-000051760000}"/>
    <cellStyle name="RIGs input cells 2 2 2 2 3 3 3" xfId="30075" xr:uid="{00000000-0005-0000-0000-000052760000}"/>
    <cellStyle name="RIGs input cells 2 2 2 2 3 4" xfId="30076" xr:uid="{00000000-0005-0000-0000-000053760000}"/>
    <cellStyle name="RIGs input cells 2 2 2 2 3 5" xfId="30077" xr:uid="{00000000-0005-0000-0000-000054760000}"/>
    <cellStyle name="RIGs input cells 2 2 2 2 3 6" xfId="30078" xr:uid="{00000000-0005-0000-0000-000055760000}"/>
    <cellStyle name="RIGs input cells 2 2 2 2 3 7" xfId="30079" xr:uid="{00000000-0005-0000-0000-000056760000}"/>
    <cellStyle name="RIGs input cells 2 2 2 2 3 8" xfId="30080" xr:uid="{00000000-0005-0000-0000-000057760000}"/>
    <cellStyle name="RIGs input cells 2 2 2 2 3 9" xfId="30081" xr:uid="{00000000-0005-0000-0000-000058760000}"/>
    <cellStyle name="RIGs input cells 2 2 2 2 30" xfId="30082" xr:uid="{00000000-0005-0000-0000-000059760000}"/>
    <cellStyle name="RIGs input cells 2 2 2 2 31" xfId="30083" xr:uid="{00000000-0005-0000-0000-00005A760000}"/>
    <cellStyle name="RIGs input cells 2 2 2 2 32" xfId="30084" xr:uid="{00000000-0005-0000-0000-00005B760000}"/>
    <cellStyle name="RIGs input cells 2 2 2 2 33" xfId="30085" xr:uid="{00000000-0005-0000-0000-00005C760000}"/>
    <cellStyle name="RIGs input cells 2 2 2 2 34" xfId="30086" xr:uid="{00000000-0005-0000-0000-00005D760000}"/>
    <cellStyle name="RIGs input cells 2 2 2 2 35" xfId="30087" xr:uid="{00000000-0005-0000-0000-00005E760000}"/>
    <cellStyle name="RIGs input cells 2 2 2 2 4" xfId="30088" xr:uid="{00000000-0005-0000-0000-00005F760000}"/>
    <cellStyle name="RIGs input cells 2 2 2 2 4 2" xfId="30089" xr:uid="{00000000-0005-0000-0000-000060760000}"/>
    <cellStyle name="RIGs input cells 2 2 2 2 4 3" xfId="30090" xr:uid="{00000000-0005-0000-0000-000061760000}"/>
    <cellStyle name="RIGs input cells 2 2 2 2 5" xfId="30091" xr:uid="{00000000-0005-0000-0000-000062760000}"/>
    <cellStyle name="RIGs input cells 2 2 2 2 5 2" xfId="30092" xr:uid="{00000000-0005-0000-0000-000063760000}"/>
    <cellStyle name="RIGs input cells 2 2 2 2 5 3" xfId="30093" xr:uid="{00000000-0005-0000-0000-000064760000}"/>
    <cellStyle name="RIGs input cells 2 2 2 2 6" xfId="30094" xr:uid="{00000000-0005-0000-0000-000065760000}"/>
    <cellStyle name="RIGs input cells 2 2 2 2 7" xfId="30095" xr:uid="{00000000-0005-0000-0000-000066760000}"/>
    <cellStyle name="RIGs input cells 2 2 2 2 8" xfId="30096" xr:uid="{00000000-0005-0000-0000-000067760000}"/>
    <cellStyle name="RIGs input cells 2 2 2 2 9" xfId="30097" xr:uid="{00000000-0005-0000-0000-000068760000}"/>
    <cellStyle name="RIGs input cells 2 2 2 2_4 28 1_Asst_Health_Crit_AllTO_RIIO_20110714pm" xfId="30098" xr:uid="{00000000-0005-0000-0000-000069760000}"/>
    <cellStyle name="RIGs input cells 2 2 2 20" xfId="30099" xr:uid="{00000000-0005-0000-0000-00006A760000}"/>
    <cellStyle name="RIGs input cells 2 2 2 20 2" xfId="30100" xr:uid="{00000000-0005-0000-0000-00006B760000}"/>
    <cellStyle name="RIGs input cells 2 2 2 21" xfId="30101" xr:uid="{00000000-0005-0000-0000-00006C760000}"/>
    <cellStyle name="RIGs input cells 2 2 2 21 2" xfId="30102" xr:uid="{00000000-0005-0000-0000-00006D760000}"/>
    <cellStyle name="RIGs input cells 2 2 2 22" xfId="30103" xr:uid="{00000000-0005-0000-0000-00006E760000}"/>
    <cellStyle name="RIGs input cells 2 2 2 22 2" xfId="30104" xr:uid="{00000000-0005-0000-0000-00006F760000}"/>
    <cellStyle name="RIGs input cells 2 2 2 23" xfId="30105" xr:uid="{00000000-0005-0000-0000-000070760000}"/>
    <cellStyle name="RIGs input cells 2 2 2 23 2" xfId="30106" xr:uid="{00000000-0005-0000-0000-000071760000}"/>
    <cellStyle name="RIGs input cells 2 2 2 24" xfId="30107" xr:uid="{00000000-0005-0000-0000-000072760000}"/>
    <cellStyle name="RIGs input cells 2 2 2 24 2" xfId="30108" xr:uid="{00000000-0005-0000-0000-000073760000}"/>
    <cellStyle name="RIGs input cells 2 2 2 25" xfId="30109" xr:uid="{00000000-0005-0000-0000-000074760000}"/>
    <cellStyle name="RIGs input cells 2 2 2 25 2" xfId="30110" xr:uid="{00000000-0005-0000-0000-000075760000}"/>
    <cellStyle name="RIGs input cells 2 2 2 26" xfId="30111" xr:uid="{00000000-0005-0000-0000-000076760000}"/>
    <cellStyle name="RIGs input cells 2 2 2 27" xfId="30112" xr:uid="{00000000-0005-0000-0000-000077760000}"/>
    <cellStyle name="RIGs input cells 2 2 2 28" xfId="30113" xr:uid="{00000000-0005-0000-0000-000078760000}"/>
    <cellStyle name="RIGs input cells 2 2 2 29" xfId="30114" xr:uid="{00000000-0005-0000-0000-000079760000}"/>
    <cellStyle name="RIGs input cells 2 2 2 3" xfId="30115" xr:uid="{00000000-0005-0000-0000-00007A760000}"/>
    <cellStyle name="RIGs input cells 2 2 2 3 10" xfId="30116" xr:uid="{00000000-0005-0000-0000-00007B760000}"/>
    <cellStyle name="RIGs input cells 2 2 2 3 11" xfId="30117" xr:uid="{00000000-0005-0000-0000-00007C760000}"/>
    <cellStyle name="RIGs input cells 2 2 2 3 12" xfId="30118" xr:uid="{00000000-0005-0000-0000-00007D760000}"/>
    <cellStyle name="RIGs input cells 2 2 2 3 13" xfId="30119" xr:uid="{00000000-0005-0000-0000-00007E760000}"/>
    <cellStyle name="RIGs input cells 2 2 2 3 14" xfId="30120" xr:uid="{00000000-0005-0000-0000-00007F760000}"/>
    <cellStyle name="RIGs input cells 2 2 2 3 15" xfId="30121" xr:uid="{00000000-0005-0000-0000-000080760000}"/>
    <cellStyle name="RIGs input cells 2 2 2 3 16" xfId="30122" xr:uid="{00000000-0005-0000-0000-000081760000}"/>
    <cellStyle name="RIGs input cells 2 2 2 3 17" xfId="30123" xr:uid="{00000000-0005-0000-0000-000082760000}"/>
    <cellStyle name="RIGs input cells 2 2 2 3 18" xfId="30124" xr:uid="{00000000-0005-0000-0000-000083760000}"/>
    <cellStyle name="RIGs input cells 2 2 2 3 19" xfId="30125" xr:uid="{00000000-0005-0000-0000-000084760000}"/>
    <cellStyle name="RIGs input cells 2 2 2 3 2" xfId="30126" xr:uid="{00000000-0005-0000-0000-000085760000}"/>
    <cellStyle name="RIGs input cells 2 2 2 3 2 10" xfId="30127" xr:uid="{00000000-0005-0000-0000-000086760000}"/>
    <cellStyle name="RIGs input cells 2 2 2 3 2 11" xfId="30128" xr:uid="{00000000-0005-0000-0000-000087760000}"/>
    <cellStyle name="RIGs input cells 2 2 2 3 2 12" xfId="30129" xr:uid="{00000000-0005-0000-0000-000088760000}"/>
    <cellStyle name="RIGs input cells 2 2 2 3 2 13" xfId="30130" xr:uid="{00000000-0005-0000-0000-000089760000}"/>
    <cellStyle name="RIGs input cells 2 2 2 3 2 2" xfId="30131" xr:uid="{00000000-0005-0000-0000-00008A760000}"/>
    <cellStyle name="RIGs input cells 2 2 2 3 2 2 2" xfId="30132" xr:uid="{00000000-0005-0000-0000-00008B760000}"/>
    <cellStyle name="RIGs input cells 2 2 2 3 2 2 3" xfId="30133" xr:uid="{00000000-0005-0000-0000-00008C760000}"/>
    <cellStyle name="RIGs input cells 2 2 2 3 2 3" xfId="30134" xr:uid="{00000000-0005-0000-0000-00008D760000}"/>
    <cellStyle name="RIGs input cells 2 2 2 3 2 3 2" xfId="30135" xr:uid="{00000000-0005-0000-0000-00008E760000}"/>
    <cellStyle name="RIGs input cells 2 2 2 3 2 3 3" xfId="30136" xr:uid="{00000000-0005-0000-0000-00008F760000}"/>
    <cellStyle name="RIGs input cells 2 2 2 3 2 4" xfId="30137" xr:uid="{00000000-0005-0000-0000-000090760000}"/>
    <cellStyle name="RIGs input cells 2 2 2 3 2 5" xfId="30138" xr:uid="{00000000-0005-0000-0000-000091760000}"/>
    <cellStyle name="RIGs input cells 2 2 2 3 2 6" xfId="30139" xr:uid="{00000000-0005-0000-0000-000092760000}"/>
    <cellStyle name="RIGs input cells 2 2 2 3 2 7" xfId="30140" xr:uid="{00000000-0005-0000-0000-000093760000}"/>
    <cellStyle name="RIGs input cells 2 2 2 3 2 8" xfId="30141" xr:uid="{00000000-0005-0000-0000-000094760000}"/>
    <cellStyle name="RIGs input cells 2 2 2 3 2 9" xfId="30142" xr:uid="{00000000-0005-0000-0000-000095760000}"/>
    <cellStyle name="RIGs input cells 2 2 2 3 20" xfId="30143" xr:uid="{00000000-0005-0000-0000-000096760000}"/>
    <cellStyle name="RIGs input cells 2 2 2 3 21" xfId="30144" xr:uid="{00000000-0005-0000-0000-000097760000}"/>
    <cellStyle name="RIGs input cells 2 2 2 3 22" xfId="30145" xr:uid="{00000000-0005-0000-0000-000098760000}"/>
    <cellStyle name="RIGs input cells 2 2 2 3 23" xfId="30146" xr:uid="{00000000-0005-0000-0000-000099760000}"/>
    <cellStyle name="RIGs input cells 2 2 2 3 24" xfId="30147" xr:uid="{00000000-0005-0000-0000-00009A760000}"/>
    <cellStyle name="RIGs input cells 2 2 2 3 25" xfId="30148" xr:uid="{00000000-0005-0000-0000-00009B760000}"/>
    <cellStyle name="RIGs input cells 2 2 2 3 26" xfId="30149" xr:uid="{00000000-0005-0000-0000-00009C760000}"/>
    <cellStyle name="RIGs input cells 2 2 2 3 27" xfId="30150" xr:uid="{00000000-0005-0000-0000-00009D760000}"/>
    <cellStyle name="RIGs input cells 2 2 2 3 28" xfId="30151" xr:uid="{00000000-0005-0000-0000-00009E760000}"/>
    <cellStyle name="RIGs input cells 2 2 2 3 29" xfId="30152" xr:uid="{00000000-0005-0000-0000-00009F760000}"/>
    <cellStyle name="RIGs input cells 2 2 2 3 3" xfId="30153" xr:uid="{00000000-0005-0000-0000-0000A0760000}"/>
    <cellStyle name="RIGs input cells 2 2 2 3 3 2" xfId="30154" xr:uid="{00000000-0005-0000-0000-0000A1760000}"/>
    <cellStyle name="RIGs input cells 2 2 2 3 3 3" xfId="30155" xr:uid="{00000000-0005-0000-0000-0000A2760000}"/>
    <cellStyle name="RIGs input cells 2 2 2 3 30" xfId="30156" xr:uid="{00000000-0005-0000-0000-0000A3760000}"/>
    <cellStyle name="RIGs input cells 2 2 2 3 31" xfId="30157" xr:uid="{00000000-0005-0000-0000-0000A4760000}"/>
    <cellStyle name="RIGs input cells 2 2 2 3 32" xfId="30158" xr:uid="{00000000-0005-0000-0000-0000A5760000}"/>
    <cellStyle name="RIGs input cells 2 2 2 3 33" xfId="30159" xr:uid="{00000000-0005-0000-0000-0000A6760000}"/>
    <cellStyle name="RIGs input cells 2 2 2 3 34" xfId="30160" xr:uid="{00000000-0005-0000-0000-0000A7760000}"/>
    <cellStyle name="RIGs input cells 2 2 2 3 4" xfId="30161" xr:uid="{00000000-0005-0000-0000-0000A8760000}"/>
    <cellStyle name="RIGs input cells 2 2 2 3 4 2" xfId="30162" xr:uid="{00000000-0005-0000-0000-0000A9760000}"/>
    <cellStyle name="RIGs input cells 2 2 2 3 4 3" xfId="30163" xr:uid="{00000000-0005-0000-0000-0000AA760000}"/>
    <cellStyle name="RIGs input cells 2 2 2 3 5" xfId="30164" xr:uid="{00000000-0005-0000-0000-0000AB760000}"/>
    <cellStyle name="RIGs input cells 2 2 2 3 6" xfId="30165" xr:uid="{00000000-0005-0000-0000-0000AC760000}"/>
    <cellStyle name="RIGs input cells 2 2 2 3 7" xfId="30166" xr:uid="{00000000-0005-0000-0000-0000AD760000}"/>
    <cellStyle name="RIGs input cells 2 2 2 3 8" xfId="30167" xr:uid="{00000000-0005-0000-0000-0000AE760000}"/>
    <cellStyle name="RIGs input cells 2 2 2 3 9" xfId="30168" xr:uid="{00000000-0005-0000-0000-0000AF760000}"/>
    <cellStyle name="RIGs input cells 2 2 2 30" xfId="30169" xr:uid="{00000000-0005-0000-0000-0000B0760000}"/>
    <cellStyle name="RIGs input cells 2 2 2 31" xfId="30170" xr:uid="{00000000-0005-0000-0000-0000B1760000}"/>
    <cellStyle name="RIGs input cells 2 2 2 32" xfId="30171" xr:uid="{00000000-0005-0000-0000-0000B2760000}"/>
    <cellStyle name="RIGs input cells 2 2 2 33" xfId="30172" xr:uid="{00000000-0005-0000-0000-0000B3760000}"/>
    <cellStyle name="RIGs input cells 2 2 2 34" xfId="30173" xr:uid="{00000000-0005-0000-0000-0000B4760000}"/>
    <cellStyle name="RIGs input cells 2 2 2 35" xfId="30174" xr:uid="{00000000-0005-0000-0000-0000B5760000}"/>
    <cellStyle name="RIGs input cells 2 2 2 36" xfId="30175" xr:uid="{00000000-0005-0000-0000-0000B6760000}"/>
    <cellStyle name="RIGs input cells 2 2 2 37" xfId="30176" xr:uid="{00000000-0005-0000-0000-0000B7760000}"/>
    <cellStyle name="RIGs input cells 2 2 2 38" xfId="30177" xr:uid="{00000000-0005-0000-0000-0000B8760000}"/>
    <cellStyle name="RIGs input cells 2 2 2 4" xfId="30178" xr:uid="{00000000-0005-0000-0000-0000B9760000}"/>
    <cellStyle name="RIGs input cells 2 2 2 4 10" xfId="30179" xr:uid="{00000000-0005-0000-0000-0000BA760000}"/>
    <cellStyle name="RIGs input cells 2 2 2 4 11" xfId="30180" xr:uid="{00000000-0005-0000-0000-0000BB760000}"/>
    <cellStyle name="RIGs input cells 2 2 2 4 12" xfId="30181" xr:uid="{00000000-0005-0000-0000-0000BC760000}"/>
    <cellStyle name="RIGs input cells 2 2 2 4 13" xfId="30182" xr:uid="{00000000-0005-0000-0000-0000BD760000}"/>
    <cellStyle name="RIGs input cells 2 2 2 4 14" xfId="30183" xr:uid="{00000000-0005-0000-0000-0000BE760000}"/>
    <cellStyle name="RIGs input cells 2 2 2 4 15" xfId="30184" xr:uid="{00000000-0005-0000-0000-0000BF760000}"/>
    <cellStyle name="RIGs input cells 2 2 2 4 16" xfId="30185" xr:uid="{00000000-0005-0000-0000-0000C0760000}"/>
    <cellStyle name="RIGs input cells 2 2 2 4 17" xfId="30186" xr:uid="{00000000-0005-0000-0000-0000C1760000}"/>
    <cellStyle name="RIGs input cells 2 2 2 4 18" xfId="30187" xr:uid="{00000000-0005-0000-0000-0000C2760000}"/>
    <cellStyle name="RIGs input cells 2 2 2 4 19" xfId="30188" xr:uid="{00000000-0005-0000-0000-0000C3760000}"/>
    <cellStyle name="RIGs input cells 2 2 2 4 2" xfId="30189" xr:uid="{00000000-0005-0000-0000-0000C4760000}"/>
    <cellStyle name="RIGs input cells 2 2 2 4 2 10" xfId="30190" xr:uid="{00000000-0005-0000-0000-0000C5760000}"/>
    <cellStyle name="RIGs input cells 2 2 2 4 2 11" xfId="30191" xr:uid="{00000000-0005-0000-0000-0000C6760000}"/>
    <cellStyle name="RIGs input cells 2 2 2 4 2 12" xfId="30192" xr:uid="{00000000-0005-0000-0000-0000C7760000}"/>
    <cellStyle name="RIGs input cells 2 2 2 4 2 13" xfId="30193" xr:uid="{00000000-0005-0000-0000-0000C8760000}"/>
    <cellStyle name="RIGs input cells 2 2 2 4 2 2" xfId="30194" xr:uid="{00000000-0005-0000-0000-0000C9760000}"/>
    <cellStyle name="RIGs input cells 2 2 2 4 2 2 2" xfId="30195" xr:uid="{00000000-0005-0000-0000-0000CA760000}"/>
    <cellStyle name="RIGs input cells 2 2 2 4 2 2 3" xfId="30196" xr:uid="{00000000-0005-0000-0000-0000CB760000}"/>
    <cellStyle name="RIGs input cells 2 2 2 4 2 3" xfId="30197" xr:uid="{00000000-0005-0000-0000-0000CC760000}"/>
    <cellStyle name="RIGs input cells 2 2 2 4 2 3 2" xfId="30198" xr:uid="{00000000-0005-0000-0000-0000CD760000}"/>
    <cellStyle name="RIGs input cells 2 2 2 4 2 3 3" xfId="30199" xr:uid="{00000000-0005-0000-0000-0000CE760000}"/>
    <cellStyle name="RIGs input cells 2 2 2 4 2 4" xfId="30200" xr:uid="{00000000-0005-0000-0000-0000CF760000}"/>
    <cellStyle name="RIGs input cells 2 2 2 4 2 5" xfId="30201" xr:uid="{00000000-0005-0000-0000-0000D0760000}"/>
    <cellStyle name="RIGs input cells 2 2 2 4 2 6" xfId="30202" xr:uid="{00000000-0005-0000-0000-0000D1760000}"/>
    <cellStyle name="RIGs input cells 2 2 2 4 2 7" xfId="30203" xr:uid="{00000000-0005-0000-0000-0000D2760000}"/>
    <cellStyle name="RIGs input cells 2 2 2 4 2 8" xfId="30204" xr:uid="{00000000-0005-0000-0000-0000D3760000}"/>
    <cellStyle name="RIGs input cells 2 2 2 4 2 9" xfId="30205" xr:uid="{00000000-0005-0000-0000-0000D4760000}"/>
    <cellStyle name="RIGs input cells 2 2 2 4 20" xfId="30206" xr:uid="{00000000-0005-0000-0000-0000D5760000}"/>
    <cellStyle name="RIGs input cells 2 2 2 4 21" xfId="30207" xr:uid="{00000000-0005-0000-0000-0000D6760000}"/>
    <cellStyle name="RIGs input cells 2 2 2 4 22" xfId="30208" xr:uid="{00000000-0005-0000-0000-0000D7760000}"/>
    <cellStyle name="RIGs input cells 2 2 2 4 23" xfId="30209" xr:uid="{00000000-0005-0000-0000-0000D8760000}"/>
    <cellStyle name="RIGs input cells 2 2 2 4 24" xfId="30210" xr:uid="{00000000-0005-0000-0000-0000D9760000}"/>
    <cellStyle name="RIGs input cells 2 2 2 4 25" xfId="30211" xr:uid="{00000000-0005-0000-0000-0000DA760000}"/>
    <cellStyle name="RIGs input cells 2 2 2 4 26" xfId="30212" xr:uid="{00000000-0005-0000-0000-0000DB760000}"/>
    <cellStyle name="RIGs input cells 2 2 2 4 27" xfId="30213" xr:uid="{00000000-0005-0000-0000-0000DC760000}"/>
    <cellStyle name="RIGs input cells 2 2 2 4 28" xfId="30214" xr:uid="{00000000-0005-0000-0000-0000DD760000}"/>
    <cellStyle name="RIGs input cells 2 2 2 4 29" xfId="30215" xr:uid="{00000000-0005-0000-0000-0000DE760000}"/>
    <cellStyle name="RIGs input cells 2 2 2 4 3" xfId="30216" xr:uid="{00000000-0005-0000-0000-0000DF760000}"/>
    <cellStyle name="RIGs input cells 2 2 2 4 3 2" xfId="30217" xr:uid="{00000000-0005-0000-0000-0000E0760000}"/>
    <cellStyle name="RIGs input cells 2 2 2 4 3 3" xfId="30218" xr:uid="{00000000-0005-0000-0000-0000E1760000}"/>
    <cellStyle name="RIGs input cells 2 2 2 4 30" xfId="30219" xr:uid="{00000000-0005-0000-0000-0000E2760000}"/>
    <cellStyle name="RIGs input cells 2 2 2 4 31" xfId="30220" xr:uid="{00000000-0005-0000-0000-0000E3760000}"/>
    <cellStyle name="RIGs input cells 2 2 2 4 32" xfId="30221" xr:uid="{00000000-0005-0000-0000-0000E4760000}"/>
    <cellStyle name="RIGs input cells 2 2 2 4 33" xfId="30222" xr:uid="{00000000-0005-0000-0000-0000E5760000}"/>
    <cellStyle name="RIGs input cells 2 2 2 4 34" xfId="30223" xr:uid="{00000000-0005-0000-0000-0000E6760000}"/>
    <cellStyle name="RIGs input cells 2 2 2 4 4" xfId="30224" xr:uid="{00000000-0005-0000-0000-0000E7760000}"/>
    <cellStyle name="RIGs input cells 2 2 2 4 4 2" xfId="30225" xr:uid="{00000000-0005-0000-0000-0000E8760000}"/>
    <cellStyle name="RIGs input cells 2 2 2 4 4 3" xfId="30226" xr:uid="{00000000-0005-0000-0000-0000E9760000}"/>
    <cellStyle name="RIGs input cells 2 2 2 4 5" xfId="30227" xr:uid="{00000000-0005-0000-0000-0000EA760000}"/>
    <cellStyle name="RIGs input cells 2 2 2 4 6" xfId="30228" xr:uid="{00000000-0005-0000-0000-0000EB760000}"/>
    <cellStyle name="RIGs input cells 2 2 2 4 7" xfId="30229" xr:uid="{00000000-0005-0000-0000-0000EC760000}"/>
    <cellStyle name="RIGs input cells 2 2 2 4 8" xfId="30230" xr:uid="{00000000-0005-0000-0000-0000ED760000}"/>
    <cellStyle name="RIGs input cells 2 2 2 4 9" xfId="30231" xr:uid="{00000000-0005-0000-0000-0000EE760000}"/>
    <cellStyle name="RIGs input cells 2 2 2 5" xfId="30232" xr:uid="{00000000-0005-0000-0000-0000EF760000}"/>
    <cellStyle name="RIGs input cells 2 2 2 5 10" xfId="30233" xr:uid="{00000000-0005-0000-0000-0000F0760000}"/>
    <cellStyle name="RIGs input cells 2 2 2 5 11" xfId="30234" xr:uid="{00000000-0005-0000-0000-0000F1760000}"/>
    <cellStyle name="RIGs input cells 2 2 2 5 12" xfId="30235" xr:uid="{00000000-0005-0000-0000-0000F2760000}"/>
    <cellStyle name="RIGs input cells 2 2 2 5 13" xfId="30236" xr:uid="{00000000-0005-0000-0000-0000F3760000}"/>
    <cellStyle name="RIGs input cells 2 2 2 5 2" xfId="30237" xr:uid="{00000000-0005-0000-0000-0000F4760000}"/>
    <cellStyle name="RIGs input cells 2 2 2 5 2 2" xfId="30238" xr:uid="{00000000-0005-0000-0000-0000F5760000}"/>
    <cellStyle name="RIGs input cells 2 2 2 5 2 3" xfId="30239" xr:uid="{00000000-0005-0000-0000-0000F6760000}"/>
    <cellStyle name="RIGs input cells 2 2 2 5 3" xfId="30240" xr:uid="{00000000-0005-0000-0000-0000F7760000}"/>
    <cellStyle name="RIGs input cells 2 2 2 5 3 2" xfId="30241" xr:uid="{00000000-0005-0000-0000-0000F8760000}"/>
    <cellStyle name="RIGs input cells 2 2 2 5 3 3" xfId="30242" xr:uid="{00000000-0005-0000-0000-0000F9760000}"/>
    <cellStyle name="RIGs input cells 2 2 2 5 4" xfId="30243" xr:uid="{00000000-0005-0000-0000-0000FA760000}"/>
    <cellStyle name="RIGs input cells 2 2 2 5 5" xfId="30244" xr:uid="{00000000-0005-0000-0000-0000FB760000}"/>
    <cellStyle name="RIGs input cells 2 2 2 5 6" xfId="30245" xr:uid="{00000000-0005-0000-0000-0000FC760000}"/>
    <cellStyle name="RIGs input cells 2 2 2 5 7" xfId="30246" xr:uid="{00000000-0005-0000-0000-0000FD760000}"/>
    <cellStyle name="RIGs input cells 2 2 2 5 8" xfId="30247" xr:uid="{00000000-0005-0000-0000-0000FE760000}"/>
    <cellStyle name="RIGs input cells 2 2 2 5 9" xfId="30248" xr:uid="{00000000-0005-0000-0000-0000FF760000}"/>
    <cellStyle name="RIGs input cells 2 2 2 6" xfId="30249" xr:uid="{00000000-0005-0000-0000-000000770000}"/>
    <cellStyle name="RIGs input cells 2 2 2 6 2" xfId="30250" xr:uid="{00000000-0005-0000-0000-000001770000}"/>
    <cellStyle name="RIGs input cells 2 2 2 6 2 2" xfId="30251" xr:uid="{00000000-0005-0000-0000-000002770000}"/>
    <cellStyle name="RIGs input cells 2 2 2 6 2 3" xfId="30252" xr:uid="{00000000-0005-0000-0000-000003770000}"/>
    <cellStyle name="RIGs input cells 2 2 2 6 3" xfId="30253" xr:uid="{00000000-0005-0000-0000-000004770000}"/>
    <cellStyle name="RIGs input cells 2 2 2 6 3 2" xfId="30254" xr:uid="{00000000-0005-0000-0000-000005770000}"/>
    <cellStyle name="RIGs input cells 2 2 2 6 4" xfId="30255" xr:uid="{00000000-0005-0000-0000-000006770000}"/>
    <cellStyle name="RIGs input cells 2 2 2 7" xfId="30256" xr:uid="{00000000-0005-0000-0000-000007770000}"/>
    <cellStyle name="RIGs input cells 2 2 2 7 2" xfId="30257" xr:uid="{00000000-0005-0000-0000-000008770000}"/>
    <cellStyle name="RIGs input cells 2 2 2 8" xfId="30258" xr:uid="{00000000-0005-0000-0000-000009770000}"/>
    <cellStyle name="RIGs input cells 2 2 2 8 2" xfId="30259" xr:uid="{00000000-0005-0000-0000-00000A770000}"/>
    <cellStyle name="RIGs input cells 2 2 2 9" xfId="30260" xr:uid="{00000000-0005-0000-0000-00000B770000}"/>
    <cellStyle name="RIGs input cells 2 2 2 9 2" xfId="30261" xr:uid="{00000000-0005-0000-0000-00000C770000}"/>
    <cellStyle name="RIGs input cells 2 2 2_4 28 1_Asst_Health_Crit_AllTO_RIIO_20110714pm" xfId="30262" xr:uid="{00000000-0005-0000-0000-00000D770000}"/>
    <cellStyle name="RIGs input cells 2 2 20" xfId="30263" xr:uid="{00000000-0005-0000-0000-00000E770000}"/>
    <cellStyle name="RIGs input cells 2 2 20 2" xfId="30264" xr:uid="{00000000-0005-0000-0000-00000F770000}"/>
    <cellStyle name="RIGs input cells 2 2 21" xfId="30265" xr:uid="{00000000-0005-0000-0000-000010770000}"/>
    <cellStyle name="RIGs input cells 2 2 21 2" xfId="30266" xr:uid="{00000000-0005-0000-0000-000011770000}"/>
    <cellStyle name="RIGs input cells 2 2 22" xfId="30267" xr:uid="{00000000-0005-0000-0000-000012770000}"/>
    <cellStyle name="RIGs input cells 2 2 22 2" xfId="30268" xr:uid="{00000000-0005-0000-0000-000013770000}"/>
    <cellStyle name="RIGs input cells 2 2 23" xfId="30269" xr:uid="{00000000-0005-0000-0000-000014770000}"/>
    <cellStyle name="RIGs input cells 2 2 23 2" xfId="30270" xr:uid="{00000000-0005-0000-0000-000015770000}"/>
    <cellStyle name="RIGs input cells 2 2 24" xfId="30271" xr:uid="{00000000-0005-0000-0000-000016770000}"/>
    <cellStyle name="RIGs input cells 2 2 24 2" xfId="30272" xr:uid="{00000000-0005-0000-0000-000017770000}"/>
    <cellStyle name="RIGs input cells 2 2 25" xfId="30273" xr:uid="{00000000-0005-0000-0000-000018770000}"/>
    <cellStyle name="RIGs input cells 2 2 25 2" xfId="30274" xr:uid="{00000000-0005-0000-0000-000019770000}"/>
    <cellStyle name="RIGs input cells 2 2 26" xfId="30275" xr:uid="{00000000-0005-0000-0000-00001A770000}"/>
    <cellStyle name="RIGs input cells 2 2 26 2" xfId="30276" xr:uid="{00000000-0005-0000-0000-00001B770000}"/>
    <cellStyle name="RIGs input cells 2 2 27" xfId="30277" xr:uid="{00000000-0005-0000-0000-00001C770000}"/>
    <cellStyle name="RIGs input cells 2 2 28" xfId="30278" xr:uid="{00000000-0005-0000-0000-00001D770000}"/>
    <cellStyle name="RIGs input cells 2 2 29" xfId="30279" xr:uid="{00000000-0005-0000-0000-00001E770000}"/>
    <cellStyle name="RIGs input cells 2 2 3" xfId="30280" xr:uid="{00000000-0005-0000-0000-00001F770000}"/>
    <cellStyle name="RIGs input cells 2 2 3 10" xfId="30281" xr:uid="{00000000-0005-0000-0000-000020770000}"/>
    <cellStyle name="RIGs input cells 2 2 3 11" xfId="30282" xr:uid="{00000000-0005-0000-0000-000021770000}"/>
    <cellStyle name="RIGs input cells 2 2 3 12" xfId="30283" xr:uid="{00000000-0005-0000-0000-000022770000}"/>
    <cellStyle name="RIGs input cells 2 2 3 13" xfId="30284" xr:uid="{00000000-0005-0000-0000-000023770000}"/>
    <cellStyle name="RIGs input cells 2 2 3 14" xfId="30285" xr:uid="{00000000-0005-0000-0000-000024770000}"/>
    <cellStyle name="RIGs input cells 2 2 3 15" xfId="30286" xr:uid="{00000000-0005-0000-0000-000025770000}"/>
    <cellStyle name="RIGs input cells 2 2 3 16" xfId="30287" xr:uid="{00000000-0005-0000-0000-000026770000}"/>
    <cellStyle name="RIGs input cells 2 2 3 17" xfId="30288" xr:uid="{00000000-0005-0000-0000-000027770000}"/>
    <cellStyle name="RIGs input cells 2 2 3 18" xfId="30289" xr:uid="{00000000-0005-0000-0000-000028770000}"/>
    <cellStyle name="RIGs input cells 2 2 3 19" xfId="30290" xr:uid="{00000000-0005-0000-0000-000029770000}"/>
    <cellStyle name="RIGs input cells 2 2 3 2" xfId="30291" xr:uid="{00000000-0005-0000-0000-00002A770000}"/>
    <cellStyle name="RIGs input cells 2 2 3 2 10" xfId="30292" xr:uid="{00000000-0005-0000-0000-00002B770000}"/>
    <cellStyle name="RIGs input cells 2 2 3 2 11" xfId="30293" xr:uid="{00000000-0005-0000-0000-00002C770000}"/>
    <cellStyle name="RIGs input cells 2 2 3 2 12" xfId="30294" xr:uid="{00000000-0005-0000-0000-00002D770000}"/>
    <cellStyle name="RIGs input cells 2 2 3 2 13" xfId="30295" xr:uid="{00000000-0005-0000-0000-00002E770000}"/>
    <cellStyle name="RIGs input cells 2 2 3 2 14" xfId="30296" xr:uid="{00000000-0005-0000-0000-00002F770000}"/>
    <cellStyle name="RIGs input cells 2 2 3 2 15" xfId="30297" xr:uid="{00000000-0005-0000-0000-000030770000}"/>
    <cellStyle name="RIGs input cells 2 2 3 2 16" xfId="30298" xr:uid="{00000000-0005-0000-0000-000031770000}"/>
    <cellStyle name="RIGs input cells 2 2 3 2 17" xfId="30299" xr:uid="{00000000-0005-0000-0000-000032770000}"/>
    <cellStyle name="RIGs input cells 2 2 3 2 18" xfId="30300" xr:uid="{00000000-0005-0000-0000-000033770000}"/>
    <cellStyle name="RIGs input cells 2 2 3 2 19" xfId="30301" xr:uid="{00000000-0005-0000-0000-000034770000}"/>
    <cellStyle name="RIGs input cells 2 2 3 2 2" xfId="30302" xr:uid="{00000000-0005-0000-0000-000035770000}"/>
    <cellStyle name="RIGs input cells 2 2 3 2 2 10" xfId="30303" xr:uid="{00000000-0005-0000-0000-000036770000}"/>
    <cellStyle name="RIGs input cells 2 2 3 2 2 11" xfId="30304" xr:uid="{00000000-0005-0000-0000-000037770000}"/>
    <cellStyle name="RIGs input cells 2 2 3 2 2 12" xfId="30305" xr:uid="{00000000-0005-0000-0000-000038770000}"/>
    <cellStyle name="RIGs input cells 2 2 3 2 2 13" xfId="30306" xr:uid="{00000000-0005-0000-0000-000039770000}"/>
    <cellStyle name="RIGs input cells 2 2 3 2 2 2" xfId="30307" xr:uid="{00000000-0005-0000-0000-00003A770000}"/>
    <cellStyle name="RIGs input cells 2 2 3 2 2 2 2" xfId="30308" xr:uid="{00000000-0005-0000-0000-00003B770000}"/>
    <cellStyle name="RIGs input cells 2 2 3 2 2 2 3" xfId="30309" xr:uid="{00000000-0005-0000-0000-00003C770000}"/>
    <cellStyle name="RIGs input cells 2 2 3 2 2 3" xfId="30310" xr:uid="{00000000-0005-0000-0000-00003D770000}"/>
    <cellStyle name="RIGs input cells 2 2 3 2 2 3 2" xfId="30311" xr:uid="{00000000-0005-0000-0000-00003E770000}"/>
    <cellStyle name="RIGs input cells 2 2 3 2 2 3 3" xfId="30312" xr:uid="{00000000-0005-0000-0000-00003F770000}"/>
    <cellStyle name="RIGs input cells 2 2 3 2 2 4" xfId="30313" xr:uid="{00000000-0005-0000-0000-000040770000}"/>
    <cellStyle name="RIGs input cells 2 2 3 2 2 5" xfId="30314" xr:uid="{00000000-0005-0000-0000-000041770000}"/>
    <cellStyle name="RIGs input cells 2 2 3 2 2 6" xfId="30315" xr:uid="{00000000-0005-0000-0000-000042770000}"/>
    <cellStyle name="RIGs input cells 2 2 3 2 2 7" xfId="30316" xr:uid="{00000000-0005-0000-0000-000043770000}"/>
    <cellStyle name="RIGs input cells 2 2 3 2 2 8" xfId="30317" xr:uid="{00000000-0005-0000-0000-000044770000}"/>
    <cellStyle name="RIGs input cells 2 2 3 2 2 9" xfId="30318" xr:uid="{00000000-0005-0000-0000-000045770000}"/>
    <cellStyle name="RIGs input cells 2 2 3 2 20" xfId="30319" xr:uid="{00000000-0005-0000-0000-000046770000}"/>
    <cellStyle name="RIGs input cells 2 2 3 2 21" xfId="30320" xr:uid="{00000000-0005-0000-0000-000047770000}"/>
    <cellStyle name="RIGs input cells 2 2 3 2 22" xfId="30321" xr:uid="{00000000-0005-0000-0000-000048770000}"/>
    <cellStyle name="RIGs input cells 2 2 3 2 23" xfId="30322" xr:uid="{00000000-0005-0000-0000-000049770000}"/>
    <cellStyle name="RIGs input cells 2 2 3 2 24" xfId="30323" xr:uid="{00000000-0005-0000-0000-00004A770000}"/>
    <cellStyle name="RIGs input cells 2 2 3 2 25" xfId="30324" xr:uid="{00000000-0005-0000-0000-00004B770000}"/>
    <cellStyle name="RIGs input cells 2 2 3 2 26" xfId="30325" xr:uid="{00000000-0005-0000-0000-00004C770000}"/>
    <cellStyle name="RIGs input cells 2 2 3 2 27" xfId="30326" xr:uid="{00000000-0005-0000-0000-00004D770000}"/>
    <cellStyle name="RIGs input cells 2 2 3 2 28" xfId="30327" xr:uid="{00000000-0005-0000-0000-00004E770000}"/>
    <cellStyle name="RIGs input cells 2 2 3 2 29" xfId="30328" xr:uid="{00000000-0005-0000-0000-00004F770000}"/>
    <cellStyle name="RIGs input cells 2 2 3 2 3" xfId="30329" xr:uid="{00000000-0005-0000-0000-000050770000}"/>
    <cellStyle name="RIGs input cells 2 2 3 2 3 2" xfId="30330" xr:uid="{00000000-0005-0000-0000-000051770000}"/>
    <cellStyle name="RIGs input cells 2 2 3 2 3 3" xfId="30331" xr:uid="{00000000-0005-0000-0000-000052770000}"/>
    <cellStyle name="RIGs input cells 2 2 3 2 30" xfId="30332" xr:uid="{00000000-0005-0000-0000-000053770000}"/>
    <cellStyle name="RIGs input cells 2 2 3 2 31" xfId="30333" xr:uid="{00000000-0005-0000-0000-000054770000}"/>
    <cellStyle name="RIGs input cells 2 2 3 2 32" xfId="30334" xr:uid="{00000000-0005-0000-0000-000055770000}"/>
    <cellStyle name="RIGs input cells 2 2 3 2 33" xfId="30335" xr:uid="{00000000-0005-0000-0000-000056770000}"/>
    <cellStyle name="RIGs input cells 2 2 3 2 34" xfId="30336" xr:uid="{00000000-0005-0000-0000-000057770000}"/>
    <cellStyle name="RIGs input cells 2 2 3 2 4" xfId="30337" xr:uid="{00000000-0005-0000-0000-000058770000}"/>
    <cellStyle name="RIGs input cells 2 2 3 2 4 2" xfId="30338" xr:uid="{00000000-0005-0000-0000-000059770000}"/>
    <cellStyle name="RIGs input cells 2 2 3 2 4 3" xfId="30339" xr:uid="{00000000-0005-0000-0000-00005A770000}"/>
    <cellStyle name="RIGs input cells 2 2 3 2 5" xfId="30340" xr:uid="{00000000-0005-0000-0000-00005B770000}"/>
    <cellStyle name="RIGs input cells 2 2 3 2 6" xfId="30341" xr:uid="{00000000-0005-0000-0000-00005C770000}"/>
    <cellStyle name="RIGs input cells 2 2 3 2 7" xfId="30342" xr:uid="{00000000-0005-0000-0000-00005D770000}"/>
    <cellStyle name="RIGs input cells 2 2 3 2 8" xfId="30343" xr:uid="{00000000-0005-0000-0000-00005E770000}"/>
    <cellStyle name="RIGs input cells 2 2 3 2 9" xfId="30344" xr:uid="{00000000-0005-0000-0000-00005F770000}"/>
    <cellStyle name="RIGs input cells 2 2 3 20" xfId="30345" xr:uid="{00000000-0005-0000-0000-000060770000}"/>
    <cellStyle name="RIGs input cells 2 2 3 21" xfId="30346" xr:uid="{00000000-0005-0000-0000-000061770000}"/>
    <cellStyle name="RIGs input cells 2 2 3 22" xfId="30347" xr:uid="{00000000-0005-0000-0000-000062770000}"/>
    <cellStyle name="RIGs input cells 2 2 3 23" xfId="30348" xr:uid="{00000000-0005-0000-0000-000063770000}"/>
    <cellStyle name="RIGs input cells 2 2 3 24" xfId="30349" xr:uid="{00000000-0005-0000-0000-000064770000}"/>
    <cellStyle name="RIGs input cells 2 2 3 25" xfId="30350" xr:uid="{00000000-0005-0000-0000-000065770000}"/>
    <cellStyle name="RIGs input cells 2 2 3 26" xfId="30351" xr:uid="{00000000-0005-0000-0000-000066770000}"/>
    <cellStyle name="RIGs input cells 2 2 3 27" xfId="30352" xr:uid="{00000000-0005-0000-0000-000067770000}"/>
    <cellStyle name="RIGs input cells 2 2 3 28" xfId="30353" xr:uid="{00000000-0005-0000-0000-000068770000}"/>
    <cellStyle name="RIGs input cells 2 2 3 29" xfId="30354" xr:uid="{00000000-0005-0000-0000-000069770000}"/>
    <cellStyle name="RIGs input cells 2 2 3 3" xfId="30355" xr:uid="{00000000-0005-0000-0000-00006A770000}"/>
    <cellStyle name="RIGs input cells 2 2 3 3 10" xfId="30356" xr:uid="{00000000-0005-0000-0000-00006B770000}"/>
    <cellStyle name="RIGs input cells 2 2 3 3 11" xfId="30357" xr:uid="{00000000-0005-0000-0000-00006C770000}"/>
    <cellStyle name="RIGs input cells 2 2 3 3 12" xfId="30358" xr:uid="{00000000-0005-0000-0000-00006D770000}"/>
    <cellStyle name="RIGs input cells 2 2 3 3 13" xfId="30359" xr:uid="{00000000-0005-0000-0000-00006E770000}"/>
    <cellStyle name="RIGs input cells 2 2 3 3 2" xfId="30360" xr:uid="{00000000-0005-0000-0000-00006F770000}"/>
    <cellStyle name="RIGs input cells 2 2 3 3 2 2" xfId="30361" xr:uid="{00000000-0005-0000-0000-000070770000}"/>
    <cellStyle name="RIGs input cells 2 2 3 3 2 3" xfId="30362" xr:uid="{00000000-0005-0000-0000-000071770000}"/>
    <cellStyle name="RIGs input cells 2 2 3 3 3" xfId="30363" xr:uid="{00000000-0005-0000-0000-000072770000}"/>
    <cellStyle name="RIGs input cells 2 2 3 3 3 2" xfId="30364" xr:uid="{00000000-0005-0000-0000-000073770000}"/>
    <cellStyle name="RIGs input cells 2 2 3 3 3 3" xfId="30365" xr:uid="{00000000-0005-0000-0000-000074770000}"/>
    <cellStyle name="RIGs input cells 2 2 3 3 4" xfId="30366" xr:uid="{00000000-0005-0000-0000-000075770000}"/>
    <cellStyle name="RIGs input cells 2 2 3 3 5" xfId="30367" xr:uid="{00000000-0005-0000-0000-000076770000}"/>
    <cellStyle name="RIGs input cells 2 2 3 3 6" xfId="30368" xr:uid="{00000000-0005-0000-0000-000077770000}"/>
    <cellStyle name="RIGs input cells 2 2 3 3 7" xfId="30369" xr:uid="{00000000-0005-0000-0000-000078770000}"/>
    <cellStyle name="RIGs input cells 2 2 3 3 8" xfId="30370" xr:uid="{00000000-0005-0000-0000-000079770000}"/>
    <cellStyle name="RIGs input cells 2 2 3 3 9" xfId="30371" xr:uid="{00000000-0005-0000-0000-00007A770000}"/>
    <cellStyle name="RIGs input cells 2 2 3 30" xfId="30372" xr:uid="{00000000-0005-0000-0000-00007B770000}"/>
    <cellStyle name="RIGs input cells 2 2 3 31" xfId="30373" xr:uid="{00000000-0005-0000-0000-00007C770000}"/>
    <cellStyle name="RIGs input cells 2 2 3 32" xfId="30374" xr:uid="{00000000-0005-0000-0000-00007D770000}"/>
    <cellStyle name="RIGs input cells 2 2 3 33" xfId="30375" xr:uid="{00000000-0005-0000-0000-00007E770000}"/>
    <cellStyle name="RIGs input cells 2 2 3 34" xfId="30376" xr:uid="{00000000-0005-0000-0000-00007F770000}"/>
    <cellStyle name="RIGs input cells 2 2 3 35" xfId="30377" xr:uid="{00000000-0005-0000-0000-000080770000}"/>
    <cellStyle name="RIGs input cells 2 2 3 4" xfId="30378" xr:uid="{00000000-0005-0000-0000-000081770000}"/>
    <cellStyle name="RIGs input cells 2 2 3 4 2" xfId="30379" xr:uid="{00000000-0005-0000-0000-000082770000}"/>
    <cellStyle name="RIGs input cells 2 2 3 4 3" xfId="30380" xr:uid="{00000000-0005-0000-0000-000083770000}"/>
    <cellStyle name="RIGs input cells 2 2 3 5" xfId="30381" xr:uid="{00000000-0005-0000-0000-000084770000}"/>
    <cellStyle name="RIGs input cells 2 2 3 5 2" xfId="30382" xr:uid="{00000000-0005-0000-0000-000085770000}"/>
    <cellStyle name="RIGs input cells 2 2 3 5 3" xfId="30383" xr:uid="{00000000-0005-0000-0000-000086770000}"/>
    <cellStyle name="RIGs input cells 2 2 3 6" xfId="30384" xr:uid="{00000000-0005-0000-0000-000087770000}"/>
    <cellStyle name="RIGs input cells 2 2 3 7" xfId="30385" xr:uid="{00000000-0005-0000-0000-000088770000}"/>
    <cellStyle name="RIGs input cells 2 2 3 8" xfId="30386" xr:uid="{00000000-0005-0000-0000-000089770000}"/>
    <cellStyle name="RIGs input cells 2 2 3 9" xfId="30387" xr:uid="{00000000-0005-0000-0000-00008A770000}"/>
    <cellStyle name="RIGs input cells 2 2 3_4 28 1_Asst_Health_Crit_AllTO_RIIO_20110714pm" xfId="30388" xr:uid="{00000000-0005-0000-0000-00008B770000}"/>
    <cellStyle name="RIGs input cells 2 2 30" xfId="30389" xr:uid="{00000000-0005-0000-0000-00008C770000}"/>
    <cellStyle name="RIGs input cells 2 2 31" xfId="30390" xr:uid="{00000000-0005-0000-0000-00008D770000}"/>
    <cellStyle name="RIGs input cells 2 2 32" xfId="30391" xr:uid="{00000000-0005-0000-0000-00008E770000}"/>
    <cellStyle name="RIGs input cells 2 2 33" xfId="30392" xr:uid="{00000000-0005-0000-0000-00008F770000}"/>
    <cellStyle name="RIGs input cells 2 2 34" xfId="30393" xr:uid="{00000000-0005-0000-0000-000090770000}"/>
    <cellStyle name="RIGs input cells 2 2 35" xfId="30394" xr:uid="{00000000-0005-0000-0000-000091770000}"/>
    <cellStyle name="RIGs input cells 2 2 36" xfId="30395" xr:uid="{00000000-0005-0000-0000-000092770000}"/>
    <cellStyle name="RIGs input cells 2 2 37" xfId="30396" xr:uid="{00000000-0005-0000-0000-000093770000}"/>
    <cellStyle name="RIGs input cells 2 2 38" xfId="30397" xr:uid="{00000000-0005-0000-0000-000094770000}"/>
    <cellStyle name="RIGs input cells 2 2 39" xfId="30398" xr:uid="{00000000-0005-0000-0000-000095770000}"/>
    <cellStyle name="RIGs input cells 2 2 4" xfId="30399" xr:uid="{00000000-0005-0000-0000-000096770000}"/>
    <cellStyle name="RIGs input cells 2 2 4 10" xfId="30400" xr:uid="{00000000-0005-0000-0000-000097770000}"/>
    <cellStyle name="RIGs input cells 2 2 4 11" xfId="30401" xr:uid="{00000000-0005-0000-0000-000098770000}"/>
    <cellStyle name="RIGs input cells 2 2 4 12" xfId="30402" xr:uid="{00000000-0005-0000-0000-000099770000}"/>
    <cellStyle name="RIGs input cells 2 2 4 13" xfId="30403" xr:uid="{00000000-0005-0000-0000-00009A770000}"/>
    <cellStyle name="RIGs input cells 2 2 4 14" xfId="30404" xr:uid="{00000000-0005-0000-0000-00009B770000}"/>
    <cellStyle name="RIGs input cells 2 2 4 15" xfId="30405" xr:uid="{00000000-0005-0000-0000-00009C770000}"/>
    <cellStyle name="RIGs input cells 2 2 4 16" xfId="30406" xr:uid="{00000000-0005-0000-0000-00009D770000}"/>
    <cellStyle name="RIGs input cells 2 2 4 17" xfId="30407" xr:uid="{00000000-0005-0000-0000-00009E770000}"/>
    <cellStyle name="RIGs input cells 2 2 4 18" xfId="30408" xr:uid="{00000000-0005-0000-0000-00009F770000}"/>
    <cellStyle name="RIGs input cells 2 2 4 19" xfId="30409" xr:uid="{00000000-0005-0000-0000-0000A0770000}"/>
    <cellStyle name="RIGs input cells 2 2 4 2" xfId="30410" xr:uid="{00000000-0005-0000-0000-0000A1770000}"/>
    <cellStyle name="RIGs input cells 2 2 4 2 10" xfId="30411" xr:uid="{00000000-0005-0000-0000-0000A2770000}"/>
    <cellStyle name="RIGs input cells 2 2 4 2 11" xfId="30412" xr:uid="{00000000-0005-0000-0000-0000A3770000}"/>
    <cellStyle name="RIGs input cells 2 2 4 2 12" xfId="30413" xr:uid="{00000000-0005-0000-0000-0000A4770000}"/>
    <cellStyle name="RIGs input cells 2 2 4 2 13" xfId="30414" xr:uid="{00000000-0005-0000-0000-0000A5770000}"/>
    <cellStyle name="RIGs input cells 2 2 4 2 2" xfId="30415" xr:uid="{00000000-0005-0000-0000-0000A6770000}"/>
    <cellStyle name="RIGs input cells 2 2 4 2 2 2" xfId="30416" xr:uid="{00000000-0005-0000-0000-0000A7770000}"/>
    <cellStyle name="RIGs input cells 2 2 4 2 2 3" xfId="30417" xr:uid="{00000000-0005-0000-0000-0000A8770000}"/>
    <cellStyle name="RIGs input cells 2 2 4 2 3" xfId="30418" xr:uid="{00000000-0005-0000-0000-0000A9770000}"/>
    <cellStyle name="RIGs input cells 2 2 4 2 3 2" xfId="30419" xr:uid="{00000000-0005-0000-0000-0000AA770000}"/>
    <cellStyle name="RIGs input cells 2 2 4 2 3 3" xfId="30420" xr:uid="{00000000-0005-0000-0000-0000AB770000}"/>
    <cellStyle name="RIGs input cells 2 2 4 2 4" xfId="30421" xr:uid="{00000000-0005-0000-0000-0000AC770000}"/>
    <cellStyle name="RIGs input cells 2 2 4 2 5" xfId="30422" xr:uid="{00000000-0005-0000-0000-0000AD770000}"/>
    <cellStyle name="RIGs input cells 2 2 4 2 6" xfId="30423" xr:uid="{00000000-0005-0000-0000-0000AE770000}"/>
    <cellStyle name="RIGs input cells 2 2 4 2 7" xfId="30424" xr:uid="{00000000-0005-0000-0000-0000AF770000}"/>
    <cellStyle name="RIGs input cells 2 2 4 2 8" xfId="30425" xr:uid="{00000000-0005-0000-0000-0000B0770000}"/>
    <cellStyle name="RIGs input cells 2 2 4 2 9" xfId="30426" xr:uid="{00000000-0005-0000-0000-0000B1770000}"/>
    <cellStyle name="RIGs input cells 2 2 4 20" xfId="30427" xr:uid="{00000000-0005-0000-0000-0000B2770000}"/>
    <cellStyle name="RIGs input cells 2 2 4 21" xfId="30428" xr:uid="{00000000-0005-0000-0000-0000B3770000}"/>
    <cellStyle name="RIGs input cells 2 2 4 22" xfId="30429" xr:uid="{00000000-0005-0000-0000-0000B4770000}"/>
    <cellStyle name="RIGs input cells 2 2 4 23" xfId="30430" xr:uid="{00000000-0005-0000-0000-0000B5770000}"/>
    <cellStyle name="RIGs input cells 2 2 4 24" xfId="30431" xr:uid="{00000000-0005-0000-0000-0000B6770000}"/>
    <cellStyle name="RIGs input cells 2 2 4 25" xfId="30432" xr:uid="{00000000-0005-0000-0000-0000B7770000}"/>
    <cellStyle name="RIGs input cells 2 2 4 26" xfId="30433" xr:uid="{00000000-0005-0000-0000-0000B8770000}"/>
    <cellStyle name="RIGs input cells 2 2 4 27" xfId="30434" xr:uid="{00000000-0005-0000-0000-0000B9770000}"/>
    <cellStyle name="RIGs input cells 2 2 4 28" xfId="30435" xr:uid="{00000000-0005-0000-0000-0000BA770000}"/>
    <cellStyle name="RIGs input cells 2 2 4 29" xfId="30436" xr:uid="{00000000-0005-0000-0000-0000BB770000}"/>
    <cellStyle name="RIGs input cells 2 2 4 3" xfId="30437" xr:uid="{00000000-0005-0000-0000-0000BC770000}"/>
    <cellStyle name="RIGs input cells 2 2 4 3 2" xfId="30438" xr:uid="{00000000-0005-0000-0000-0000BD770000}"/>
    <cellStyle name="RIGs input cells 2 2 4 3 3" xfId="30439" xr:uid="{00000000-0005-0000-0000-0000BE770000}"/>
    <cellStyle name="RIGs input cells 2 2 4 30" xfId="30440" xr:uid="{00000000-0005-0000-0000-0000BF770000}"/>
    <cellStyle name="RIGs input cells 2 2 4 31" xfId="30441" xr:uid="{00000000-0005-0000-0000-0000C0770000}"/>
    <cellStyle name="RIGs input cells 2 2 4 32" xfId="30442" xr:uid="{00000000-0005-0000-0000-0000C1770000}"/>
    <cellStyle name="RIGs input cells 2 2 4 33" xfId="30443" xr:uid="{00000000-0005-0000-0000-0000C2770000}"/>
    <cellStyle name="RIGs input cells 2 2 4 34" xfId="30444" xr:uid="{00000000-0005-0000-0000-0000C3770000}"/>
    <cellStyle name="RIGs input cells 2 2 4 4" xfId="30445" xr:uid="{00000000-0005-0000-0000-0000C4770000}"/>
    <cellStyle name="RIGs input cells 2 2 4 4 2" xfId="30446" xr:uid="{00000000-0005-0000-0000-0000C5770000}"/>
    <cellStyle name="RIGs input cells 2 2 4 4 3" xfId="30447" xr:uid="{00000000-0005-0000-0000-0000C6770000}"/>
    <cellStyle name="RIGs input cells 2 2 4 5" xfId="30448" xr:uid="{00000000-0005-0000-0000-0000C7770000}"/>
    <cellStyle name="RIGs input cells 2 2 4 6" xfId="30449" xr:uid="{00000000-0005-0000-0000-0000C8770000}"/>
    <cellStyle name="RIGs input cells 2 2 4 7" xfId="30450" xr:uid="{00000000-0005-0000-0000-0000C9770000}"/>
    <cellStyle name="RIGs input cells 2 2 4 8" xfId="30451" xr:uid="{00000000-0005-0000-0000-0000CA770000}"/>
    <cellStyle name="RIGs input cells 2 2 4 9" xfId="30452" xr:uid="{00000000-0005-0000-0000-0000CB770000}"/>
    <cellStyle name="RIGs input cells 2 2 5" xfId="30453" xr:uid="{00000000-0005-0000-0000-0000CC770000}"/>
    <cellStyle name="RIGs input cells 2 2 5 10" xfId="30454" xr:uid="{00000000-0005-0000-0000-0000CD770000}"/>
    <cellStyle name="RIGs input cells 2 2 5 11" xfId="30455" xr:uid="{00000000-0005-0000-0000-0000CE770000}"/>
    <cellStyle name="RIGs input cells 2 2 5 12" xfId="30456" xr:uid="{00000000-0005-0000-0000-0000CF770000}"/>
    <cellStyle name="RIGs input cells 2 2 5 13" xfId="30457" xr:uid="{00000000-0005-0000-0000-0000D0770000}"/>
    <cellStyle name="RIGs input cells 2 2 5 14" xfId="30458" xr:uid="{00000000-0005-0000-0000-0000D1770000}"/>
    <cellStyle name="RIGs input cells 2 2 5 15" xfId="30459" xr:uid="{00000000-0005-0000-0000-0000D2770000}"/>
    <cellStyle name="RIGs input cells 2 2 5 16" xfId="30460" xr:uid="{00000000-0005-0000-0000-0000D3770000}"/>
    <cellStyle name="RIGs input cells 2 2 5 17" xfId="30461" xr:uid="{00000000-0005-0000-0000-0000D4770000}"/>
    <cellStyle name="RIGs input cells 2 2 5 18" xfId="30462" xr:uid="{00000000-0005-0000-0000-0000D5770000}"/>
    <cellStyle name="RIGs input cells 2 2 5 19" xfId="30463" xr:uid="{00000000-0005-0000-0000-0000D6770000}"/>
    <cellStyle name="RIGs input cells 2 2 5 2" xfId="30464" xr:uid="{00000000-0005-0000-0000-0000D7770000}"/>
    <cellStyle name="RIGs input cells 2 2 5 2 10" xfId="30465" xr:uid="{00000000-0005-0000-0000-0000D8770000}"/>
    <cellStyle name="RIGs input cells 2 2 5 2 11" xfId="30466" xr:uid="{00000000-0005-0000-0000-0000D9770000}"/>
    <cellStyle name="RIGs input cells 2 2 5 2 12" xfId="30467" xr:uid="{00000000-0005-0000-0000-0000DA770000}"/>
    <cellStyle name="RIGs input cells 2 2 5 2 13" xfId="30468" xr:uid="{00000000-0005-0000-0000-0000DB770000}"/>
    <cellStyle name="RIGs input cells 2 2 5 2 2" xfId="30469" xr:uid="{00000000-0005-0000-0000-0000DC770000}"/>
    <cellStyle name="RIGs input cells 2 2 5 2 2 2" xfId="30470" xr:uid="{00000000-0005-0000-0000-0000DD770000}"/>
    <cellStyle name="RIGs input cells 2 2 5 2 2 3" xfId="30471" xr:uid="{00000000-0005-0000-0000-0000DE770000}"/>
    <cellStyle name="RIGs input cells 2 2 5 2 3" xfId="30472" xr:uid="{00000000-0005-0000-0000-0000DF770000}"/>
    <cellStyle name="RIGs input cells 2 2 5 2 3 2" xfId="30473" xr:uid="{00000000-0005-0000-0000-0000E0770000}"/>
    <cellStyle name="RIGs input cells 2 2 5 2 3 3" xfId="30474" xr:uid="{00000000-0005-0000-0000-0000E1770000}"/>
    <cellStyle name="RIGs input cells 2 2 5 2 4" xfId="30475" xr:uid="{00000000-0005-0000-0000-0000E2770000}"/>
    <cellStyle name="RIGs input cells 2 2 5 2 5" xfId="30476" xr:uid="{00000000-0005-0000-0000-0000E3770000}"/>
    <cellStyle name="RIGs input cells 2 2 5 2 6" xfId="30477" xr:uid="{00000000-0005-0000-0000-0000E4770000}"/>
    <cellStyle name="RIGs input cells 2 2 5 2 7" xfId="30478" xr:uid="{00000000-0005-0000-0000-0000E5770000}"/>
    <cellStyle name="RIGs input cells 2 2 5 2 8" xfId="30479" xr:uid="{00000000-0005-0000-0000-0000E6770000}"/>
    <cellStyle name="RIGs input cells 2 2 5 2 9" xfId="30480" xr:uid="{00000000-0005-0000-0000-0000E7770000}"/>
    <cellStyle name="RIGs input cells 2 2 5 20" xfId="30481" xr:uid="{00000000-0005-0000-0000-0000E8770000}"/>
    <cellStyle name="RIGs input cells 2 2 5 21" xfId="30482" xr:uid="{00000000-0005-0000-0000-0000E9770000}"/>
    <cellStyle name="RIGs input cells 2 2 5 22" xfId="30483" xr:uid="{00000000-0005-0000-0000-0000EA770000}"/>
    <cellStyle name="RIGs input cells 2 2 5 23" xfId="30484" xr:uid="{00000000-0005-0000-0000-0000EB770000}"/>
    <cellStyle name="RIGs input cells 2 2 5 24" xfId="30485" xr:uid="{00000000-0005-0000-0000-0000EC770000}"/>
    <cellStyle name="RIGs input cells 2 2 5 25" xfId="30486" xr:uid="{00000000-0005-0000-0000-0000ED770000}"/>
    <cellStyle name="RIGs input cells 2 2 5 26" xfId="30487" xr:uid="{00000000-0005-0000-0000-0000EE770000}"/>
    <cellStyle name="RIGs input cells 2 2 5 27" xfId="30488" xr:uid="{00000000-0005-0000-0000-0000EF770000}"/>
    <cellStyle name="RIGs input cells 2 2 5 28" xfId="30489" xr:uid="{00000000-0005-0000-0000-0000F0770000}"/>
    <cellStyle name="RIGs input cells 2 2 5 29" xfId="30490" xr:uid="{00000000-0005-0000-0000-0000F1770000}"/>
    <cellStyle name="RIGs input cells 2 2 5 3" xfId="30491" xr:uid="{00000000-0005-0000-0000-0000F2770000}"/>
    <cellStyle name="RIGs input cells 2 2 5 3 2" xfId="30492" xr:uid="{00000000-0005-0000-0000-0000F3770000}"/>
    <cellStyle name="RIGs input cells 2 2 5 3 3" xfId="30493" xr:uid="{00000000-0005-0000-0000-0000F4770000}"/>
    <cellStyle name="RIGs input cells 2 2 5 30" xfId="30494" xr:uid="{00000000-0005-0000-0000-0000F5770000}"/>
    <cellStyle name="RIGs input cells 2 2 5 31" xfId="30495" xr:uid="{00000000-0005-0000-0000-0000F6770000}"/>
    <cellStyle name="RIGs input cells 2 2 5 32" xfId="30496" xr:uid="{00000000-0005-0000-0000-0000F7770000}"/>
    <cellStyle name="RIGs input cells 2 2 5 33" xfId="30497" xr:uid="{00000000-0005-0000-0000-0000F8770000}"/>
    <cellStyle name="RIGs input cells 2 2 5 34" xfId="30498" xr:uid="{00000000-0005-0000-0000-0000F9770000}"/>
    <cellStyle name="RIGs input cells 2 2 5 4" xfId="30499" xr:uid="{00000000-0005-0000-0000-0000FA770000}"/>
    <cellStyle name="RIGs input cells 2 2 5 4 2" xfId="30500" xr:uid="{00000000-0005-0000-0000-0000FB770000}"/>
    <cellStyle name="RIGs input cells 2 2 5 4 3" xfId="30501" xr:uid="{00000000-0005-0000-0000-0000FC770000}"/>
    <cellStyle name="RIGs input cells 2 2 5 5" xfId="30502" xr:uid="{00000000-0005-0000-0000-0000FD770000}"/>
    <cellStyle name="RIGs input cells 2 2 5 6" xfId="30503" xr:uid="{00000000-0005-0000-0000-0000FE770000}"/>
    <cellStyle name="RIGs input cells 2 2 5 7" xfId="30504" xr:uid="{00000000-0005-0000-0000-0000FF770000}"/>
    <cellStyle name="RIGs input cells 2 2 5 8" xfId="30505" xr:uid="{00000000-0005-0000-0000-000000780000}"/>
    <cellStyle name="RIGs input cells 2 2 5 9" xfId="30506" xr:uid="{00000000-0005-0000-0000-000001780000}"/>
    <cellStyle name="RIGs input cells 2 2 6" xfId="30507" xr:uid="{00000000-0005-0000-0000-000002780000}"/>
    <cellStyle name="RIGs input cells 2 2 6 10" xfId="30508" xr:uid="{00000000-0005-0000-0000-000003780000}"/>
    <cellStyle name="RIGs input cells 2 2 6 11" xfId="30509" xr:uid="{00000000-0005-0000-0000-000004780000}"/>
    <cellStyle name="RIGs input cells 2 2 6 12" xfId="30510" xr:uid="{00000000-0005-0000-0000-000005780000}"/>
    <cellStyle name="RIGs input cells 2 2 6 13" xfId="30511" xr:uid="{00000000-0005-0000-0000-000006780000}"/>
    <cellStyle name="RIGs input cells 2 2 6 2" xfId="30512" xr:uid="{00000000-0005-0000-0000-000007780000}"/>
    <cellStyle name="RIGs input cells 2 2 6 2 2" xfId="30513" xr:uid="{00000000-0005-0000-0000-000008780000}"/>
    <cellStyle name="RIGs input cells 2 2 6 2 3" xfId="30514" xr:uid="{00000000-0005-0000-0000-000009780000}"/>
    <cellStyle name="RIGs input cells 2 2 6 3" xfId="30515" xr:uid="{00000000-0005-0000-0000-00000A780000}"/>
    <cellStyle name="RIGs input cells 2 2 6 3 2" xfId="30516" xr:uid="{00000000-0005-0000-0000-00000B780000}"/>
    <cellStyle name="RIGs input cells 2 2 6 3 3" xfId="30517" xr:uid="{00000000-0005-0000-0000-00000C780000}"/>
    <cellStyle name="RIGs input cells 2 2 6 4" xfId="30518" xr:uid="{00000000-0005-0000-0000-00000D780000}"/>
    <cellStyle name="RIGs input cells 2 2 6 5" xfId="30519" xr:uid="{00000000-0005-0000-0000-00000E780000}"/>
    <cellStyle name="RIGs input cells 2 2 6 6" xfId="30520" xr:uid="{00000000-0005-0000-0000-00000F780000}"/>
    <cellStyle name="RIGs input cells 2 2 6 7" xfId="30521" xr:uid="{00000000-0005-0000-0000-000010780000}"/>
    <cellStyle name="RIGs input cells 2 2 6 8" xfId="30522" xr:uid="{00000000-0005-0000-0000-000011780000}"/>
    <cellStyle name="RIGs input cells 2 2 6 9" xfId="30523" xr:uid="{00000000-0005-0000-0000-000012780000}"/>
    <cellStyle name="RIGs input cells 2 2 7" xfId="30524" xr:uid="{00000000-0005-0000-0000-000013780000}"/>
    <cellStyle name="RIGs input cells 2 2 7 2" xfId="30525" xr:uid="{00000000-0005-0000-0000-000014780000}"/>
    <cellStyle name="RIGs input cells 2 2 7 2 2" xfId="30526" xr:uid="{00000000-0005-0000-0000-000015780000}"/>
    <cellStyle name="RIGs input cells 2 2 7 2 3" xfId="30527" xr:uid="{00000000-0005-0000-0000-000016780000}"/>
    <cellStyle name="RIGs input cells 2 2 7 3" xfId="30528" xr:uid="{00000000-0005-0000-0000-000017780000}"/>
    <cellStyle name="RIGs input cells 2 2 7 3 2" xfId="30529" xr:uid="{00000000-0005-0000-0000-000018780000}"/>
    <cellStyle name="RIGs input cells 2 2 7 4" xfId="30530" xr:uid="{00000000-0005-0000-0000-000019780000}"/>
    <cellStyle name="RIGs input cells 2 2 8" xfId="30531" xr:uid="{00000000-0005-0000-0000-00001A780000}"/>
    <cellStyle name="RIGs input cells 2 2 8 2" xfId="30532" xr:uid="{00000000-0005-0000-0000-00001B780000}"/>
    <cellStyle name="RIGs input cells 2 2 9" xfId="30533" xr:uid="{00000000-0005-0000-0000-00001C780000}"/>
    <cellStyle name="RIGs input cells 2 2 9 2" xfId="30534" xr:uid="{00000000-0005-0000-0000-00001D780000}"/>
    <cellStyle name="RIGs input cells 2 2_1.3s Accounting C Costs Scots" xfId="30535" xr:uid="{00000000-0005-0000-0000-00001E780000}"/>
    <cellStyle name="RIGs input cells 2 20" xfId="30536" xr:uid="{00000000-0005-0000-0000-00001F780000}"/>
    <cellStyle name="RIGs input cells 2 20 2" xfId="30537" xr:uid="{00000000-0005-0000-0000-000020780000}"/>
    <cellStyle name="RIGs input cells 2 21" xfId="30538" xr:uid="{00000000-0005-0000-0000-000021780000}"/>
    <cellStyle name="RIGs input cells 2 21 2" xfId="30539" xr:uid="{00000000-0005-0000-0000-000022780000}"/>
    <cellStyle name="RIGs input cells 2 22" xfId="30540" xr:uid="{00000000-0005-0000-0000-000023780000}"/>
    <cellStyle name="RIGs input cells 2 22 2" xfId="30541" xr:uid="{00000000-0005-0000-0000-000024780000}"/>
    <cellStyle name="RIGs input cells 2 23" xfId="30542" xr:uid="{00000000-0005-0000-0000-000025780000}"/>
    <cellStyle name="RIGs input cells 2 23 2" xfId="30543" xr:uid="{00000000-0005-0000-0000-000026780000}"/>
    <cellStyle name="RIGs input cells 2 24" xfId="30544" xr:uid="{00000000-0005-0000-0000-000027780000}"/>
    <cellStyle name="RIGs input cells 2 24 2" xfId="30545" xr:uid="{00000000-0005-0000-0000-000028780000}"/>
    <cellStyle name="RIGs input cells 2 25" xfId="30546" xr:uid="{00000000-0005-0000-0000-000029780000}"/>
    <cellStyle name="RIGs input cells 2 25 2" xfId="30547" xr:uid="{00000000-0005-0000-0000-00002A780000}"/>
    <cellStyle name="RIGs input cells 2 26" xfId="30548" xr:uid="{00000000-0005-0000-0000-00002B780000}"/>
    <cellStyle name="RIGs input cells 2 26 2" xfId="30549" xr:uid="{00000000-0005-0000-0000-00002C780000}"/>
    <cellStyle name="RIGs input cells 2 27" xfId="30550" xr:uid="{00000000-0005-0000-0000-00002D780000}"/>
    <cellStyle name="RIGs input cells 2 27 2" xfId="30551" xr:uid="{00000000-0005-0000-0000-00002E780000}"/>
    <cellStyle name="RIGs input cells 2 28" xfId="30552" xr:uid="{00000000-0005-0000-0000-00002F780000}"/>
    <cellStyle name="RIGs input cells 2 28 2" xfId="30553" xr:uid="{00000000-0005-0000-0000-000030780000}"/>
    <cellStyle name="RIGs input cells 2 29" xfId="30554" xr:uid="{00000000-0005-0000-0000-000031780000}"/>
    <cellStyle name="RIGs input cells 2 29 2" xfId="30555" xr:uid="{00000000-0005-0000-0000-000032780000}"/>
    <cellStyle name="RIGs input cells 2 3" xfId="30556" xr:uid="{00000000-0005-0000-0000-000033780000}"/>
    <cellStyle name="RIGs input cells 2 3 10" xfId="30557" xr:uid="{00000000-0005-0000-0000-000034780000}"/>
    <cellStyle name="RIGs input cells 2 3 10 2" xfId="30558" xr:uid="{00000000-0005-0000-0000-000035780000}"/>
    <cellStyle name="RIGs input cells 2 3 11" xfId="30559" xr:uid="{00000000-0005-0000-0000-000036780000}"/>
    <cellStyle name="RIGs input cells 2 3 11 2" xfId="30560" xr:uid="{00000000-0005-0000-0000-000037780000}"/>
    <cellStyle name="RIGs input cells 2 3 12" xfId="30561" xr:uid="{00000000-0005-0000-0000-000038780000}"/>
    <cellStyle name="RIGs input cells 2 3 12 2" xfId="30562" xr:uid="{00000000-0005-0000-0000-000039780000}"/>
    <cellStyle name="RIGs input cells 2 3 13" xfId="30563" xr:uid="{00000000-0005-0000-0000-00003A780000}"/>
    <cellStyle name="RIGs input cells 2 3 13 2" xfId="30564" xr:uid="{00000000-0005-0000-0000-00003B780000}"/>
    <cellStyle name="RIGs input cells 2 3 14" xfId="30565" xr:uid="{00000000-0005-0000-0000-00003C780000}"/>
    <cellStyle name="RIGs input cells 2 3 14 2" xfId="30566" xr:uid="{00000000-0005-0000-0000-00003D780000}"/>
    <cellStyle name="RIGs input cells 2 3 15" xfId="30567" xr:uid="{00000000-0005-0000-0000-00003E780000}"/>
    <cellStyle name="RIGs input cells 2 3 15 2" xfId="30568" xr:uid="{00000000-0005-0000-0000-00003F780000}"/>
    <cellStyle name="RIGs input cells 2 3 16" xfId="30569" xr:uid="{00000000-0005-0000-0000-000040780000}"/>
    <cellStyle name="RIGs input cells 2 3 16 2" xfId="30570" xr:uid="{00000000-0005-0000-0000-000041780000}"/>
    <cellStyle name="RIGs input cells 2 3 17" xfId="30571" xr:uid="{00000000-0005-0000-0000-000042780000}"/>
    <cellStyle name="RIGs input cells 2 3 17 2" xfId="30572" xr:uid="{00000000-0005-0000-0000-000043780000}"/>
    <cellStyle name="RIGs input cells 2 3 18" xfId="30573" xr:uid="{00000000-0005-0000-0000-000044780000}"/>
    <cellStyle name="RIGs input cells 2 3 18 2" xfId="30574" xr:uid="{00000000-0005-0000-0000-000045780000}"/>
    <cellStyle name="RIGs input cells 2 3 19" xfId="30575" xr:uid="{00000000-0005-0000-0000-000046780000}"/>
    <cellStyle name="RIGs input cells 2 3 19 2" xfId="30576" xr:uid="{00000000-0005-0000-0000-000047780000}"/>
    <cellStyle name="RIGs input cells 2 3 2" xfId="30577" xr:uid="{00000000-0005-0000-0000-000048780000}"/>
    <cellStyle name="RIGs input cells 2 3 2 10" xfId="30578" xr:uid="{00000000-0005-0000-0000-000049780000}"/>
    <cellStyle name="RIGs input cells 2 3 2 11" xfId="30579" xr:uid="{00000000-0005-0000-0000-00004A780000}"/>
    <cellStyle name="RIGs input cells 2 3 2 12" xfId="30580" xr:uid="{00000000-0005-0000-0000-00004B780000}"/>
    <cellStyle name="RIGs input cells 2 3 2 13" xfId="30581" xr:uid="{00000000-0005-0000-0000-00004C780000}"/>
    <cellStyle name="RIGs input cells 2 3 2 14" xfId="30582" xr:uid="{00000000-0005-0000-0000-00004D780000}"/>
    <cellStyle name="RIGs input cells 2 3 2 15" xfId="30583" xr:uid="{00000000-0005-0000-0000-00004E780000}"/>
    <cellStyle name="RIGs input cells 2 3 2 16" xfId="30584" xr:uid="{00000000-0005-0000-0000-00004F780000}"/>
    <cellStyle name="RIGs input cells 2 3 2 17" xfId="30585" xr:uid="{00000000-0005-0000-0000-000050780000}"/>
    <cellStyle name="RIGs input cells 2 3 2 18" xfId="30586" xr:uid="{00000000-0005-0000-0000-000051780000}"/>
    <cellStyle name="RIGs input cells 2 3 2 19" xfId="30587" xr:uid="{00000000-0005-0000-0000-000052780000}"/>
    <cellStyle name="RIGs input cells 2 3 2 2" xfId="30588" xr:uid="{00000000-0005-0000-0000-000053780000}"/>
    <cellStyle name="RIGs input cells 2 3 2 2 10" xfId="30589" xr:uid="{00000000-0005-0000-0000-000054780000}"/>
    <cellStyle name="RIGs input cells 2 3 2 2 11" xfId="30590" xr:uid="{00000000-0005-0000-0000-000055780000}"/>
    <cellStyle name="RIGs input cells 2 3 2 2 12" xfId="30591" xr:uid="{00000000-0005-0000-0000-000056780000}"/>
    <cellStyle name="RIGs input cells 2 3 2 2 13" xfId="30592" xr:uid="{00000000-0005-0000-0000-000057780000}"/>
    <cellStyle name="RIGs input cells 2 3 2 2 14" xfId="30593" xr:uid="{00000000-0005-0000-0000-000058780000}"/>
    <cellStyle name="RIGs input cells 2 3 2 2 15" xfId="30594" xr:uid="{00000000-0005-0000-0000-000059780000}"/>
    <cellStyle name="RIGs input cells 2 3 2 2 16" xfId="30595" xr:uid="{00000000-0005-0000-0000-00005A780000}"/>
    <cellStyle name="RIGs input cells 2 3 2 2 17" xfId="30596" xr:uid="{00000000-0005-0000-0000-00005B780000}"/>
    <cellStyle name="RIGs input cells 2 3 2 2 18" xfId="30597" xr:uid="{00000000-0005-0000-0000-00005C780000}"/>
    <cellStyle name="RIGs input cells 2 3 2 2 19" xfId="30598" xr:uid="{00000000-0005-0000-0000-00005D780000}"/>
    <cellStyle name="RIGs input cells 2 3 2 2 2" xfId="30599" xr:uid="{00000000-0005-0000-0000-00005E780000}"/>
    <cellStyle name="RIGs input cells 2 3 2 2 2 10" xfId="30600" xr:uid="{00000000-0005-0000-0000-00005F780000}"/>
    <cellStyle name="RIGs input cells 2 3 2 2 2 11" xfId="30601" xr:uid="{00000000-0005-0000-0000-000060780000}"/>
    <cellStyle name="RIGs input cells 2 3 2 2 2 12" xfId="30602" xr:uid="{00000000-0005-0000-0000-000061780000}"/>
    <cellStyle name="RIGs input cells 2 3 2 2 2 13" xfId="30603" xr:uid="{00000000-0005-0000-0000-000062780000}"/>
    <cellStyle name="RIGs input cells 2 3 2 2 2 2" xfId="30604" xr:uid="{00000000-0005-0000-0000-000063780000}"/>
    <cellStyle name="RIGs input cells 2 3 2 2 2 2 2" xfId="30605" xr:uid="{00000000-0005-0000-0000-000064780000}"/>
    <cellStyle name="RIGs input cells 2 3 2 2 2 2 3" xfId="30606" xr:uid="{00000000-0005-0000-0000-000065780000}"/>
    <cellStyle name="RIGs input cells 2 3 2 2 2 3" xfId="30607" xr:uid="{00000000-0005-0000-0000-000066780000}"/>
    <cellStyle name="RIGs input cells 2 3 2 2 2 3 2" xfId="30608" xr:uid="{00000000-0005-0000-0000-000067780000}"/>
    <cellStyle name="RIGs input cells 2 3 2 2 2 3 3" xfId="30609" xr:uid="{00000000-0005-0000-0000-000068780000}"/>
    <cellStyle name="RIGs input cells 2 3 2 2 2 4" xfId="30610" xr:uid="{00000000-0005-0000-0000-000069780000}"/>
    <cellStyle name="RIGs input cells 2 3 2 2 2 5" xfId="30611" xr:uid="{00000000-0005-0000-0000-00006A780000}"/>
    <cellStyle name="RIGs input cells 2 3 2 2 2 6" xfId="30612" xr:uid="{00000000-0005-0000-0000-00006B780000}"/>
    <cellStyle name="RIGs input cells 2 3 2 2 2 7" xfId="30613" xr:uid="{00000000-0005-0000-0000-00006C780000}"/>
    <cellStyle name="RIGs input cells 2 3 2 2 2 8" xfId="30614" xr:uid="{00000000-0005-0000-0000-00006D780000}"/>
    <cellStyle name="RIGs input cells 2 3 2 2 2 9" xfId="30615" xr:uid="{00000000-0005-0000-0000-00006E780000}"/>
    <cellStyle name="RIGs input cells 2 3 2 2 20" xfId="30616" xr:uid="{00000000-0005-0000-0000-00006F780000}"/>
    <cellStyle name="RIGs input cells 2 3 2 2 21" xfId="30617" xr:uid="{00000000-0005-0000-0000-000070780000}"/>
    <cellStyle name="RIGs input cells 2 3 2 2 22" xfId="30618" xr:uid="{00000000-0005-0000-0000-000071780000}"/>
    <cellStyle name="RIGs input cells 2 3 2 2 23" xfId="30619" xr:uid="{00000000-0005-0000-0000-000072780000}"/>
    <cellStyle name="RIGs input cells 2 3 2 2 24" xfId="30620" xr:uid="{00000000-0005-0000-0000-000073780000}"/>
    <cellStyle name="RIGs input cells 2 3 2 2 25" xfId="30621" xr:uid="{00000000-0005-0000-0000-000074780000}"/>
    <cellStyle name="RIGs input cells 2 3 2 2 26" xfId="30622" xr:uid="{00000000-0005-0000-0000-000075780000}"/>
    <cellStyle name="RIGs input cells 2 3 2 2 27" xfId="30623" xr:uid="{00000000-0005-0000-0000-000076780000}"/>
    <cellStyle name="RIGs input cells 2 3 2 2 28" xfId="30624" xr:uid="{00000000-0005-0000-0000-000077780000}"/>
    <cellStyle name="RIGs input cells 2 3 2 2 29" xfId="30625" xr:uid="{00000000-0005-0000-0000-000078780000}"/>
    <cellStyle name="RIGs input cells 2 3 2 2 3" xfId="30626" xr:uid="{00000000-0005-0000-0000-000079780000}"/>
    <cellStyle name="RIGs input cells 2 3 2 2 3 2" xfId="30627" xr:uid="{00000000-0005-0000-0000-00007A780000}"/>
    <cellStyle name="RIGs input cells 2 3 2 2 3 3" xfId="30628" xr:uid="{00000000-0005-0000-0000-00007B780000}"/>
    <cellStyle name="RIGs input cells 2 3 2 2 30" xfId="30629" xr:uid="{00000000-0005-0000-0000-00007C780000}"/>
    <cellStyle name="RIGs input cells 2 3 2 2 31" xfId="30630" xr:uid="{00000000-0005-0000-0000-00007D780000}"/>
    <cellStyle name="RIGs input cells 2 3 2 2 32" xfId="30631" xr:uid="{00000000-0005-0000-0000-00007E780000}"/>
    <cellStyle name="RIGs input cells 2 3 2 2 33" xfId="30632" xr:uid="{00000000-0005-0000-0000-00007F780000}"/>
    <cellStyle name="RIGs input cells 2 3 2 2 34" xfId="30633" xr:uid="{00000000-0005-0000-0000-000080780000}"/>
    <cellStyle name="RIGs input cells 2 3 2 2 4" xfId="30634" xr:uid="{00000000-0005-0000-0000-000081780000}"/>
    <cellStyle name="RIGs input cells 2 3 2 2 4 2" xfId="30635" xr:uid="{00000000-0005-0000-0000-000082780000}"/>
    <cellStyle name="RIGs input cells 2 3 2 2 4 3" xfId="30636" xr:uid="{00000000-0005-0000-0000-000083780000}"/>
    <cellStyle name="RIGs input cells 2 3 2 2 5" xfId="30637" xr:uid="{00000000-0005-0000-0000-000084780000}"/>
    <cellStyle name="RIGs input cells 2 3 2 2 6" xfId="30638" xr:uid="{00000000-0005-0000-0000-000085780000}"/>
    <cellStyle name="RIGs input cells 2 3 2 2 7" xfId="30639" xr:uid="{00000000-0005-0000-0000-000086780000}"/>
    <cellStyle name="RIGs input cells 2 3 2 2 8" xfId="30640" xr:uid="{00000000-0005-0000-0000-000087780000}"/>
    <cellStyle name="RIGs input cells 2 3 2 2 9" xfId="30641" xr:uid="{00000000-0005-0000-0000-000088780000}"/>
    <cellStyle name="RIGs input cells 2 3 2 20" xfId="30642" xr:uid="{00000000-0005-0000-0000-000089780000}"/>
    <cellStyle name="RIGs input cells 2 3 2 21" xfId="30643" xr:uid="{00000000-0005-0000-0000-00008A780000}"/>
    <cellStyle name="RIGs input cells 2 3 2 22" xfId="30644" xr:uid="{00000000-0005-0000-0000-00008B780000}"/>
    <cellStyle name="RIGs input cells 2 3 2 23" xfId="30645" xr:uid="{00000000-0005-0000-0000-00008C780000}"/>
    <cellStyle name="RIGs input cells 2 3 2 24" xfId="30646" xr:uid="{00000000-0005-0000-0000-00008D780000}"/>
    <cellStyle name="RIGs input cells 2 3 2 25" xfId="30647" xr:uid="{00000000-0005-0000-0000-00008E780000}"/>
    <cellStyle name="RIGs input cells 2 3 2 26" xfId="30648" xr:uid="{00000000-0005-0000-0000-00008F780000}"/>
    <cellStyle name="RIGs input cells 2 3 2 27" xfId="30649" xr:uid="{00000000-0005-0000-0000-000090780000}"/>
    <cellStyle name="RIGs input cells 2 3 2 28" xfId="30650" xr:uid="{00000000-0005-0000-0000-000091780000}"/>
    <cellStyle name="RIGs input cells 2 3 2 29" xfId="30651" xr:uid="{00000000-0005-0000-0000-000092780000}"/>
    <cellStyle name="RIGs input cells 2 3 2 3" xfId="30652" xr:uid="{00000000-0005-0000-0000-000093780000}"/>
    <cellStyle name="RIGs input cells 2 3 2 3 10" xfId="30653" xr:uid="{00000000-0005-0000-0000-000094780000}"/>
    <cellStyle name="RIGs input cells 2 3 2 3 11" xfId="30654" xr:uid="{00000000-0005-0000-0000-000095780000}"/>
    <cellStyle name="RIGs input cells 2 3 2 3 12" xfId="30655" xr:uid="{00000000-0005-0000-0000-000096780000}"/>
    <cellStyle name="RIGs input cells 2 3 2 3 13" xfId="30656" xr:uid="{00000000-0005-0000-0000-000097780000}"/>
    <cellStyle name="RIGs input cells 2 3 2 3 2" xfId="30657" xr:uid="{00000000-0005-0000-0000-000098780000}"/>
    <cellStyle name="RIGs input cells 2 3 2 3 2 2" xfId="30658" xr:uid="{00000000-0005-0000-0000-000099780000}"/>
    <cellStyle name="RIGs input cells 2 3 2 3 2 3" xfId="30659" xr:uid="{00000000-0005-0000-0000-00009A780000}"/>
    <cellStyle name="RIGs input cells 2 3 2 3 3" xfId="30660" xr:uid="{00000000-0005-0000-0000-00009B780000}"/>
    <cellStyle name="RIGs input cells 2 3 2 3 3 2" xfId="30661" xr:uid="{00000000-0005-0000-0000-00009C780000}"/>
    <cellStyle name="RIGs input cells 2 3 2 3 3 3" xfId="30662" xr:uid="{00000000-0005-0000-0000-00009D780000}"/>
    <cellStyle name="RIGs input cells 2 3 2 3 4" xfId="30663" xr:uid="{00000000-0005-0000-0000-00009E780000}"/>
    <cellStyle name="RIGs input cells 2 3 2 3 5" xfId="30664" xr:uid="{00000000-0005-0000-0000-00009F780000}"/>
    <cellStyle name="RIGs input cells 2 3 2 3 6" xfId="30665" xr:uid="{00000000-0005-0000-0000-0000A0780000}"/>
    <cellStyle name="RIGs input cells 2 3 2 3 7" xfId="30666" xr:uid="{00000000-0005-0000-0000-0000A1780000}"/>
    <cellStyle name="RIGs input cells 2 3 2 3 8" xfId="30667" xr:uid="{00000000-0005-0000-0000-0000A2780000}"/>
    <cellStyle name="RIGs input cells 2 3 2 3 9" xfId="30668" xr:uid="{00000000-0005-0000-0000-0000A3780000}"/>
    <cellStyle name="RIGs input cells 2 3 2 30" xfId="30669" xr:uid="{00000000-0005-0000-0000-0000A4780000}"/>
    <cellStyle name="RIGs input cells 2 3 2 31" xfId="30670" xr:uid="{00000000-0005-0000-0000-0000A5780000}"/>
    <cellStyle name="RIGs input cells 2 3 2 32" xfId="30671" xr:uid="{00000000-0005-0000-0000-0000A6780000}"/>
    <cellStyle name="RIGs input cells 2 3 2 33" xfId="30672" xr:uid="{00000000-0005-0000-0000-0000A7780000}"/>
    <cellStyle name="RIGs input cells 2 3 2 34" xfId="30673" xr:uid="{00000000-0005-0000-0000-0000A8780000}"/>
    <cellStyle name="RIGs input cells 2 3 2 35" xfId="30674" xr:uid="{00000000-0005-0000-0000-0000A9780000}"/>
    <cellStyle name="RIGs input cells 2 3 2 4" xfId="30675" xr:uid="{00000000-0005-0000-0000-0000AA780000}"/>
    <cellStyle name="RIGs input cells 2 3 2 4 2" xfId="30676" xr:uid="{00000000-0005-0000-0000-0000AB780000}"/>
    <cellStyle name="RIGs input cells 2 3 2 4 3" xfId="30677" xr:uid="{00000000-0005-0000-0000-0000AC780000}"/>
    <cellStyle name="RIGs input cells 2 3 2 5" xfId="30678" xr:uid="{00000000-0005-0000-0000-0000AD780000}"/>
    <cellStyle name="RIGs input cells 2 3 2 5 2" xfId="30679" xr:uid="{00000000-0005-0000-0000-0000AE780000}"/>
    <cellStyle name="RIGs input cells 2 3 2 5 3" xfId="30680" xr:uid="{00000000-0005-0000-0000-0000AF780000}"/>
    <cellStyle name="RIGs input cells 2 3 2 6" xfId="30681" xr:uid="{00000000-0005-0000-0000-0000B0780000}"/>
    <cellStyle name="RIGs input cells 2 3 2 7" xfId="30682" xr:uid="{00000000-0005-0000-0000-0000B1780000}"/>
    <cellStyle name="RIGs input cells 2 3 2 8" xfId="30683" xr:uid="{00000000-0005-0000-0000-0000B2780000}"/>
    <cellStyle name="RIGs input cells 2 3 2 9" xfId="30684" xr:uid="{00000000-0005-0000-0000-0000B3780000}"/>
    <cellStyle name="RIGs input cells 2 3 2_4 28 1_Asst_Health_Crit_AllTO_RIIO_20110714pm" xfId="30685" xr:uid="{00000000-0005-0000-0000-0000B4780000}"/>
    <cellStyle name="RIGs input cells 2 3 20" xfId="30686" xr:uid="{00000000-0005-0000-0000-0000B5780000}"/>
    <cellStyle name="RIGs input cells 2 3 20 2" xfId="30687" xr:uid="{00000000-0005-0000-0000-0000B6780000}"/>
    <cellStyle name="RIGs input cells 2 3 21" xfId="30688" xr:uid="{00000000-0005-0000-0000-0000B7780000}"/>
    <cellStyle name="RIGs input cells 2 3 21 2" xfId="30689" xr:uid="{00000000-0005-0000-0000-0000B8780000}"/>
    <cellStyle name="RIGs input cells 2 3 22" xfId="30690" xr:uid="{00000000-0005-0000-0000-0000B9780000}"/>
    <cellStyle name="RIGs input cells 2 3 22 2" xfId="30691" xr:uid="{00000000-0005-0000-0000-0000BA780000}"/>
    <cellStyle name="RIGs input cells 2 3 23" xfId="30692" xr:uid="{00000000-0005-0000-0000-0000BB780000}"/>
    <cellStyle name="RIGs input cells 2 3 23 2" xfId="30693" xr:uid="{00000000-0005-0000-0000-0000BC780000}"/>
    <cellStyle name="RIGs input cells 2 3 24" xfId="30694" xr:uid="{00000000-0005-0000-0000-0000BD780000}"/>
    <cellStyle name="RIGs input cells 2 3 24 2" xfId="30695" xr:uid="{00000000-0005-0000-0000-0000BE780000}"/>
    <cellStyle name="RIGs input cells 2 3 25" xfId="30696" xr:uid="{00000000-0005-0000-0000-0000BF780000}"/>
    <cellStyle name="RIGs input cells 2 3 25 2" xfId="30697" xr:uid="{00000000-0005-0000-0000-0000C0780000}"/>
    <cellStyle name="RIGs input cells 2 3 26" xfId="30698" xr:uid="{00000000-0005-0000-0000-0000C1780000}"/>
    <cellStyle name="RIGs input cells 2 3 27" xfId="30699" xr:uid="{00000000-0005-0000-0000-0000C2780000}"/>
    <cellStyle name="RIGs input cells 2 3 28" xfId="30700" xr:uid="{00000000-0005-0000-0000-0000C3780000}"/>
    <cellStyle name="RIGs input cells 2 3 29" xfId="30701" xr:uid="{00000000-0005-0000-0000-0000C4780000}"/>
    <cellStyle name="RIGs input cells 2 3 3" xfId="30702" xr:uid="{00000000-0005-0000-0000-0000C5780000}"/>
    <cellStyle name="RIGs input cells 2 3 3 10" xfId="30703" xr:uid="{00000000-0005-0000-0000-0000C6780000}"/>
    <cellStyle name="RIGs input cells 2 3 3 11" xfId="30704" xr:uid="{00000000-0005-0000-0000-0000C7780000}"/>
    <cellStyle name="RIGs input cells 2 3 3 12" xfId="30705" xr:uid="{00000000-0005-0000-0000-0000C8780000}"/>
    <cellStyle name="RIGs input cells 2 3 3 13" xfId="30706" xr:uid="{00000000-0005-0000-0000-0000C9780000}"/>
    <cellStyle name="RIGs input cells 2 3 3 14" xfId="30707" xr:uid="{00000000-0005-0000-0000-0000CA780000}"/>
    <cellStyle name="RIGs input cells 2 3 3 15" xfId="30708" xr:uid="{00000000-0005-0000-0000-0000CB780000}"/>
    <cellStyle name="RIGs input cells 2 3 3 16" xfId="30709" xr:uid="{00000000-0005-0000-0000-0000CC780000}"/>
    <cellStyle name="RIGs input cells 2 3 3 17" xfId="30710" xr:uid="{00000000-0005-0000-0000-0000CD780000}"/>
    <cellStyle name="RIGs input cells 2 3 3 18" xfId="30711" xr:uid="{00000000-0005-0000-0000-0000CE780000}"/>
    <cellStyle name="RIGs input cells 2 3 3 19" xfId="30712" xr:uid="{00000000-0005-0000-0000-0000CF780000}"/>
    <cellStyle name="RIGs input cells 2 3 3 2" xfId="30713" xr:uid="{00000000-0005-0000-0000-0000D0780000}"/>
    <cellStyle name="RIGs input cells 2 3 3 2 10" xfId="30714" xr:uid="{00000000-0005-0000-0000-0000D1780000}"/>
    <cellStyle name="RIGs input cells 2 3 3 2 11" xfId="30715" xr:uid="{00000000-0005-0000-0000-0000D2780000}"/>
    <cellStyle name="RIGs input cells 2 3 3 2 12" xfId="30716" xr:uid="{00000000-0005-0000-0000-0000D3780000}"/>
    <cellStyle name="RIGs input cells 2 3 3 2 13" xfId="30717" xr:uid="{00000000-0005-0000-0000-0000D4780000}"/>
    <cellStyle name="RIGs input cells 2 3 3 2 2" xfId="30718" xr:uid="{00000000-0005-0000-0000-0000D5780000}"/>
    <cellStyle name="RIGs input cells 2 3 3 2 2 2" xfId="30719" xr:uid="{00000000-0005-0000-0000-0000D6780000}"/>
    <cellStyle name="RIGs input cells 2 3 3 2 2 3" xfId="30720" xr:uid="{00000000-0005-0000-0000-0000D7780000}"/>
    <cellStyle name="RIGs input cells 2 3 3 2 3" xfId="30721" xr:uid="{00000000-0005-0000-0000-0000D8780000}"/>
    <cellStyle name="RIGs input cells 2 3 3 2 3 2" xfId="30722" xr:uid="{00000000-0005-0000-0000-0000D9780000}"/>
    <cellStyle name="RIGs input cells 2 3 3 2 3 3" xfId="30723" xr:uid="{00000000-0005-0000-0000-0000DA780000}"/>
    <cellStyle name="RIGs input cells 2 3 3 2 4" xfId="30724" xr:uid="{00000000-0005-0000-0000-0000DB780000}"/>
    <cellStyle name="RIGs input cells 2 3 3 2 5" xfId="30725" xr:uid="{00000000-0005-0000-0000-0000DC780000}"/>
    <cellStyle name="RIGs input cells 2 3 3 2 6" xfId="30726" xr:uid="{00000000-0005-0000-0000-0000DD780000}"/>
    <cellStyle name="RIGs input cells 2 3 3 2 7" xfId="30727" xr:uid="{00000000-0005-0000-0000-0000DE780000}"/>
    <cellStyle name="RIGs input cells 2 3 3 2 8" xfId="30728" xr:uid="{00000000-0005-0000-0000-0000DF780000}"/>
    <cellStyle name="RIGs input cells 2 3 3 2 9" xfId="30729" xr:uid="{00000000-0005-0000-0000-0000E0780000}"/>
    <cellStyle name="RIGs input cells 2 3 3 20" xfId="30730" xr:uid="{00000000-0005-0000-0000-0000E1780000}"/>
    <cellStyle name="RIGs input cells 2 3 3 21" xfId="30731" xr:uid="{00000000-0005-0000-0000-0000E2780000}"/>
    <cellStyle name="RIGs input cells 2 3 3 22" xfId="30732" xr:uid="{00000000-0005-0000-0000-0000E3780000}"/>
    <cellStyle name="RIGs input cells 2 3 3 23" xfId="30733" xr:uid="{00000000-0005-0000-0000-0000E4780000}"/>
    <cellStyle name="RIGs input cells 2 3 3 24" xfId="30734" xr:uid="{00000000-0005-0000-0000-0000E5780000}"/>
    <cellStyle name="RIGs input cells 2 3 3 25" xfId="30735" xr:uid="{00000000-0005-0000-0000-0000E6780000}"/>
    <cellStyle name="RIGs input cells 2 3 3 26" xfId="30736" xr:uid="{00000000-0005-0000-0000-0000E7780000}"/>
    <cellStyle name="RIGs input cells 2 3 3 27" xfId="30737" xr:uid="{00000000-0005-0000-0000-0000E8780000}"/>
    <cellStyle name="RIGs input cells 2 3 3 28" xfId="30738" xr:uid="{00000000-0005-0000-0000-0000E9780000}"/>
    <cellStyle name="RIGs input cells 2 3 3 29" xfId="30739" xr:uid="{00000000-0005-0000-0000-0000EA780000}"/>
    <cellStyle name="RIGs input cells 2 3 3 3" xfId="30740" xr:uid="{00000000-0005-0000-0000-0000EB780000}"/>
    <cellStyle name="RIGs input cells 2 3 3 3 2" xfId="30741" xr:uid="{00000000-0005-0000-0000-0000EC780000}"/>
    <cellStyle name="RIGs input cells 2 3 3 3 3" xfId="30742" xr:uid="{00000000-0005-0000-0000-0000ED780000}"/>
    <cellStyle name="RIGs input cells 2 3 3 30" xfId="30743" xr:uid="{00000000-0005-0000-0000-0000EE780000}"/>
    <cellStyle name="RIGs input cells 2 3 3 31" xfId="30744" xr:uid="{00000000-0005-0000-0000-0000EF780000}"/>
    <cellStyle name="RIGs input cells 2 3 3 32" xfId="30745" xr:uid="{00000000-0005-0000-0000-0000F0780000}"/>
    <cellStyle name="RIGs input cells 2 3 3 33" xfId="30746" xr:uid="{00000000-0005-0000-0000-0000F1780000}"/>
    <cellStyle name="RIGs input cells 2 3 3 34" xfId="30747" xr:uid="{00000000-0005-0000-0000-0000F2780000}"/>
    <cellStyle name="RIGs input cells 2 3 3 4" xfId="30748" xr:uid="{00000000-0005-0000-0000-0000F3780000}"/>
    <cellStyle name="RIGs input cells 2 3 3 4 2" xfId="30749" xr:uid="{00000000-0005-0000-0000-0000F4780000}"/>
    <cellStyle name="RIGs input cells 2 3 3 4 3" xfId="30750" xr:uid="{00000000-0005-0000-0000-0000F5780000}"/>
    <cellStyle name="RIGs input cells 2 3 3 5" xfId="30751" xr:uid="{00000000-0005-0000-0000-0000F6780000}"/>
    <cellStyle name="RIGs input cells 2 3 3 6" xfId="30752" xr:uid="{00000000-0005-0000-0000-0000F7780000}"/>
    <cellStyle name="RIGs input cells 2 3 3 7" xfId="30753" xr:uid="{00000000-0005-0000-0000-0000F8780000}"/>
    <cellStyle name="RIGs input cells 2 3 3 8" xfId="30754" xr:uid="{00000000-0005-0000-0000-0000F9780000}"/>
    <cellStyle name="RIGs input cells 2 3 3 9" xfId="30755" xr:uid="{00000000-0005-0000-0000-0000FA780000}"/>
    <cellStyle name="RIGs input cells 2 3 30" xfId="30756" xr:uid="{00000000-0005-0000-0000-0000FB780000}"/>
    <cellStyle name="RIGs input cells 2 3 31" xfId="30757" xr:uid="{00000000-0005-0000-0000-0000FC780000}"/>
    <cellStyle name="RIGs input cells 2 3 32" xfId="30758" xr:uid="{00000000-0005-0000-0000-0000FD780000}"/>
    <cellStyle name="RIGs input cells 2 3 33" xfId="30759" xr:uid="{00000000-0005-0000-0000-0000FE780000}"/>
    <cellStyle name="RIGs input cells 2 3 34" xfId="30760" xr:uid="{00000000-0005-0000-0000-0000FF780000}"/>
    <cellStyle name="RIGs input cells 2 3 35" xfId="30761" xr:uid="{00000000-0005-0000-0000-000000790000}"/>
    <cellStyle name="RIGs input cells 2 3 36" xfId="30762" xr:uid="{00000000-0005-0000-0000-000001790000}"/>
    <cellStyle name="RIGs input cells 2 3 37" xfId="30763" xr:uid="{00000000-0005-0000-0000-000002790000}"/>
    <cellStyle name="RIGs input cells 2 3 38" xfId="30764" xr:uid="{00000000-0005-0000-0000-000003790000}"/>
    <cellStyle name="RIGs input cells 2 3 4" xfId="30765" xr:uid="{00000000-0005-0000-0000-000004790000}"/>
    <cellStyle name="RIGs input cells 2 3 4 10" xfId="30766" xr:uid="{00000000-0005-0000-0000-000005790000}"/>
    <cellStyle name="RIGs input cells 2 3 4 11" xfId="30767" xr:uid="{00000000-0005-0000-0000-000006790000}"/>
    <cellStyle name="RIGs input cells 2 3 4 12" xfId="30768" xr:uid="{00000000-0005-0000-0000-000007790000}"/>
    <cellStyle name="RIGs input cells 2 3 4 13" xfId="30769" xr:uid="{00000000-0005-0000-0000-000008790000}"/>
    <cellStyle name="RIGs input cells 2 3 4 14" xfId="30770" xr:uid="{00000000-0005-0000-0000-000009790000}"/>
    <cellStyle name="RIGs input cells 2 3 4 15" xfId="30771" xr:uid="{00000000-0005-0000-0000-00000A790000}"/>
    <cellStyle name="RIGs input cells 2 3 4 16" xfId="30772" xr:uid="{00000000-0005-0000-0000-00000B790000}"/>
    <cellStyle name="RIGs input cells 2 3 4 17" xfId="30773" xr:uid="{00000000-0005-0000-0000-00000C790000}"/>
    <cellStyle name="RIGs input cells 2 3 4 18" xfId="30774" xr:uid="{00000000-0005-0000-0000-00000D790000}"/>
    <cellStyle name="RIGs input cells 2 3 4 19" xfId="30775" xr:uid="{00000000-0005-0000-0000-00000E790000}"/>
    <cellStyle name="RIGs input cells 2 3 4 2" xfId="30776" xr:uid="{00000000-0005-0000-0000-00000F790000}"/>
    <cellStyle name="RIGs input cells 2 3 4 2 10" xfId="30777" xr:uid="{00000000-0005-0000-0000-000010790000}"/>
    <cellStyle name="RIGs input cells 2 3 4 2 11" xfId="30778" xr:uid="{00000000-0005-0000-0000-000011790000}"/>
    <cellStyle name="RIGs input cells 2 3 4 2 12" xfId="30779" xr:uid="{00000000-0005-0000-0000-000012790000}"/>
    <cellStyle name="RIGs input cells 2 3 4 2 13" xfId="30780" xr:uid="{00000000-0005-0000-0000-000013790000}"/>
    <cellStyle name="RIGs input cells 2 3 4 2 2" xfId="30781" xr:uid="{00000000-0005-0000-0000-000014790000}"/>
    <cellStyle name="RIGs input cells 2 3 4 2 2 2" xfId="30782" xr:uid="{00000000-0005-0000-0000-000015790000}"/>
    <cellStyle name="RIGs input cells 2 3 4 2 2 3" xfId="30783" xr:uid="{00000000-0005-0000-0000-000016790000}"/>
    <cellStyle name="RIGs input cells 2 3 4 2 3" xfId="30784" xr:uid="{00000000-0005-0000-0000-000017790000}"/>
    <cellStyle name="RIGs input cells 2 3 4 2 3 2" xfId="30785" xr:uid="{00000000-0005-0000-0000-000018790000}"/>
    <cellStyle name="RIGs input cells 2 3 4 2 3 3" xfId="30786" xr:uid="{00000000-0005-0000-0000-000019790000}"/>
    <cellStyle name="RIGs input cells 2 3 4 2 4" xfId="30787" xr:uid="{00000000-0005-0000-0000-00001A790000}"/>
    <cellStyle name="RIGs input cells 2 3 4 2 5" xfId="30788" xr:uid="{00000000-0005-0000-0000-00001B790000}"/>
    <cellStyle name="RIGs input cells 2 3 4 2 6" xfId="30789" xr:uid="{00000000-0005-0000-0000-00001C790000}"/>
    <cellStyle name="RIGs input cells 2 3 4 2 7" xfId="30790" xr:uid="{00000000-0005-0000-0000-00001D790000}"/>
    <cellStyle name="RIGs input cells 2 3 4 2 8" xfId="30791" xr:uid="{00000000-0005-0000-0000-00001E790000}"/>
    <cellStyle name="RIGs input cells 2 3 4 2 9" xfId="30792" xr:uid="{00000000-0005-0000-0000-00001F790000}"/>
    <cellStyle name="RIGs input cells 2 3 4 20" xfId="30793" xr:uid="{00000000-0005-0000-0000-000020790000}"/>
    <cellStyle name="RIGs input cells 2 3 4 21" xfId="30794" xr:uid="{00000000-0005-0000-0000-000021790000}"/>
    <cellStyle name="RIGs input cells 2 3 4 22" xfId="30795" xr:uid="{00000000-0005-0000-0000-000022790000}"/>
    <cellStyle name="RIGs input cells 2 3 4 23" xfId="30796" xr:uid="{00000000-0005-0000-0000-000023790000}"/>
    <cellStyle name="RIGs input cells 2 3 4 24" xfId="30797" xr:uid="{00000000-0005-0000-0000-000024790000}"/>
    <cellStyle name="RIGs input cells 2 3 4 25" xfId="30798" xr:uid="{00000000-0005-0000-0000-000025790000}"/>
    <cellStyle name="RIGs input cells 2 3 4 26" xfId="30799" xr:uid="{00000000-0005-0000-0000-000026790000}"/>
    <cellStyle name="RIGs input cells 2 3 4 27" xfId="30800" xr:uid="{00000000-0005-0000-0000-000027790000}"/>
    <cellStyle name="RIGs input cells 2 3 4 28" xfId="30801" xr:uid="{00000000-0005-0000-0000-000028790000}"/>
    <cellStyle name="RIGs input cells 2 3 4 29" xfId="30802" xr:uid="{00000000-0005-0000-0000-000029790000}"/>
    <cellStyle name="RIGs input cells 2 3 4 3" xfId="30803" xr:uid="{00000000-0005-0000-0000-00002A790000}"/>
    <cellStyle name="RIGs input cells 2 3 4 3 2" xfId="30804" xr:uid="{00000000-0005-0000-0000-00002B790000}"/>
    <cellStyle name="RIGs input cells 2 3 4 3 3" xfId="30805" xr:uid="{00000000-0005-0000-0000-00002C790000}"/>
    <cellStyle name="RIGs input cells 2 3 4 30" xfId="30806" xr:uid="{00000000-0005-0000-0000-00002D790000}"/>
    <cellStyle name="RIGs input cells 2 3 4 31" xfId="30807" xr:uid="{00000000-0005-0000-0000-00002E790000}"/>
    <cellStyle name="RIGs input cells 2 3 4 32" xfId="30808" xr:uid="{00000000-0005-0000-0000-00002F790000}"/>
    <cellStyle name="RIGs input cells 2 3 4 33" xfId="30809" xr:uid="{00000000-0005-0000-0000-000030790000}"/>
    <cellStyle name="RIGs input cells 2 3 4 34" xfId="30810" xr:uid="{00000000-0005-0000-0000-000031790000}"/>
    <cellStyle name="RIGs input cells 2 3 4 4" xfId="30811" xr:uid="{00000000-0005-0000-0000-000032790000}"/>
    <cellStyle name="RIGs input cells 2 3 4 4 2" xfId="30812" xr:uid="{00000000-0005-0000-0000-000033790000}"/>
    <cellStyle name="RIGs input cells 2 3 4 4 3" xfId="30813" xr:uid="{00000000-0005-0000-0000-000034790000}"/>
    <cellStyle name="RIGs input cells 2 3 4 5" xfId="30814" xr:uid="{00000000-0005-0000-0000-000035790000}"/>
    <cellStyle name="RIGs input cells 2 3 4 6" xfId="30815" xr:uid="{00000000-0005-0000-0000-000036790000}"/>
    <cellStyle name="RIGs input cells 2 3 4 7" xfId="30816" xr:uid="{00000000-0005-0000-0000-000037790000}"/>
    <cellStyle name="RIGs input cells 2 3 4 8" xfId="30817" xr:uid="{00000000-0005-0000-0000-000038790000}"/>
    <cellStyle name="RIGs input cells 2 3 4 9" xfId="30818" xr:uid="{00000000-0005-0000-0000-000039790000}"/>
    <cellStyle name="RIGs input cells 2 3 5" xfId="30819" xr:uid="{00000000-0005-0000-0000-00003A790000}"/>
    <cellStyle name="RIGs input cells 2 3 5 10" xfId="30820" xr:uid="{00000000-0005-0000-0000-00003B790000}"/>
    <cellStyle name="RIGs input cells 2 3 5 11" xfId="30821" xr:uid="{00000000-0005-0000-0000-00003C790000}"/>
    <cellStyle name="RIGs input cells 2 3 5 12" xfId="30822" xr:uid="{00000000-0005-0000-0000-00003D790000}"/>
    <cellStyle name="RIGs input cells 2 3 5 13" xfId="30823" xr:uid="{00000000-0005-0000-0000-00003E790000}"/>
    <cellStyle name="RIGs input cells 2 3 5 2" xfId="30824" xr:uid="{00000000-0005-0000-0000-00003F790000}"/>
    <cellStyle name="RIGs input cells 2 3 5 2 2" xfId="30825" xr:uid="{00000000-0005-0000-0000-000040790000}"/>
    <cellStyle name="RIGs input cells 2 3 5 2 3" xfId="30826" xr:uid="{00000000-0005-0000-0000-000041790000}"/>
    <cellStyle name="RIGs input cells 2 3 5 3" xfId="30827" xr:uid="{00000000-0005-0000-0000-000042790000}"/>
    <cellStyle name="RIGs input cells 2 3 5 3 2" xfId="30828" xr:uid="{00000000-0005-0000-0000-000043790000}"/>
    <cellStyle name="RIGs input cells 2 3 5 3 3" xfId="30829" xr:uid="{00000000-0005-0000-0000-000044790000}"/>
    <cellStyle name="RIGs input cells 2 3 5 4" xfId="30830" xr:uid="{00000000-0005-0000-0000-000045790000}"/>
    <cellStyle name="RIGs input cells 2 3 5 5" xfId="30831" xr:uid="{00000000-0005-0000-0000-000046790000}"/>
    <cellStyle name="RIGs input cells 2 3 5 6" xfId="30832" xr:uid="{00000000-0005-0000-0000-000047790000}"/>
    <cellStyle name="RIGs input cells 2 3 5 7" xfId="30833" xr:uid="{00000000-0005-0000-0000-000048790000}"/>
    <cellStyle name="RIGs input cells 2 3 5 8" xfId="30834" xr:uid="{00000000-0005-0000-0000-000049790000}"/>
    <cellStyle name="RIGs input cells 2 3 5 9" xfId="30835" xr:uid="{00000000-0005-0000-0000-00004A790000}"/>
    <cellStyle name="RIGs input cells 2 3 6" xfId="30836" xr:uid="{00000000-0005-0000-0000-00004B790000}"/>
    <cellStyle name="RIGs input cells 2 3 6 2" xfId="30837" xr:uid="{00000000-0005-0000-0000-00004C790000}"/>
    <cellStyle name="RIGs input cells 2 3 6 2 2" xfId="30838" xr:uid="{00000000-0005-0000-0000-00004D790000}"/>
    <cellStyle name="RIGs input cells 2 3 6 2 3" xfId="30839" xr:uid="{00000000-0005-0000-0000-00004E790000}"/>
    <cellStyle name="RIGs input cells 2 3 6 3" xfId="30840" xr:uid="{00000000-0005-0000-0000-00004F790000}"/>
    <cellStyle name="RIGs input cells 2 3 6 3 2" xfId="30841" xr:uid="{00000000-0005-0000-0000-000050790000}"/>
    <cellStyle name="RIGs input cells 2 3 6 4" xfId="30842" xr:uid="{00000000-0005-0000-0000-000051790000}"/>
    <cellStyle name="RIGs input cells 2 3 7" xfId="30843" xr:uid="{00000000-0005-0000-0000-000052790000}"/>
    <cellStyle name="RIGs input cells 2 3 7 2" xfId="30844" xr:uid="{00000000-0005-0000-0000-000053790000}"/>
    <cellStyle name="RIGs input cells 2 3 8" xfId="30845" xr:uid="{00000000-0005-0000-0000-000054790000}"/>
    <cellStyle name="RIGs input cells 2 3 8 2" xfId="30846" xr:uid="{00000000-0005-0000-0000-000055790000}"/>
    <cellStyle name="RIGs input cells 2 3 9" xfId="30847" xr:uid="{00000000-0005-0000-0000-000056790000}"/>
    <cellStyle name="RIGs input cells 2 3 9 2" xfId="30848" xr:uid="{00000000-0005-0000-0000-000057790000}"/>
    <cellStyle name="RIGs input cells 2 3_4 28 1_Asst_Health_Crit_AllTO_RIIO_20110714pm" xfId="30849" xr:uid="{00000000-0005-0000-0000-000058790000}"/>
    <cellStyle name="RIGs input cells 2 30" xfId="30850" xr:uid="{00000000-0005-0000-0000-000059790000}"/>
    <cellStyle name="RIGs input cells 2 30 2" xfId="30851" xr:uid="{00000000-0005-0000-0000-00005A790000}"/>
    <cellStyle name="RIGs input cells 2 31" xfId="30852" xr:uid="{00000000-0005-0000-0000-00005B790000}"/>
    <cellStyle name="RIGs input cells 2 31 2" xfId="30853" xr:uid="{00000000-0005-0000-0000-00005C790000}"/>
    <cellStyle name="RIGs input cells 2 32" xfId="30854" xr:uid="{00000000-0005-0000-0000-00005D790000}"/>
    <cellStyle name="RIGs input cells 2 32 2" xfId="30855" xr:uid="{00000000-0005-0000-0000-00005E790000}"/>
    <cellStyle name="RIGs input cells 2 33" xfId="30856" xr:uid="{00000000-0005-0000-0000-00005F790000}"/>
    <cellStyle name="RIGs input cells 2 34" xfId="30857" xr:uid="{00000000-0005-0000-0000-000060790000}"/>
    <cellStyle name="RIGs input cells 2 35" xfId="30858" xr:uid="{00000000-0005-0000-0000-000061790000}"/>
    <cellStyle name="RIGs input cells 2 36" xfId="30859" xr:uid="{00000000-0005-0000-0000-000062790000}"/>
    <cellStyle name="RIGs input cells 2 37" xfId="30860" xr:uid="{00000000-0005-0000-0000-000063790000}"/>
    <cellStyle name="RIGs input cells 2 38" xfId="30861" xr:uid="{00000000-0005-0000-0000-000064790000}"/>
    <cellStyle name="RIGs input cells 2 39" xfId="30862" xr:uid="{00000000-0005-0000-0000-000065790000}"/>
    <cellStyle name="RIGs input cells 2 4" xfId="30863" xr:uid="{00000000-0005-0000-0000-000066790000}"/>
    <cellStyle name="RIGs input cells 2 4 10" xfId="30864" xr:uid="{00000000-0005-0000-0000-000067790000}"/>
    <cellStyle name="RIGs input cells 2 4 11" xfId="30865" xr:uid="{00000000-0005-0000-0000-000068790000}"/>
    <cellStyle name="RIGs input cells 2 4 12" xfId="30866" xr:uid="{00000000-0005-0000-0000-000069790000}"/>
    <cellStyle name="RIGs input cells 2 4 13" xfId="30867" xr:uid="{00000000-0005-0000-0000-00006A790000}"/>
    <cellStyle name="RIGs input cells 2 4 14" xfId="30868" xr:uid="{00000000-0005-0000-0000-00006B790000}"/>
    <cellStyle name="RIGs input cells 2 4 15" xfId="30869" xr:uid="{00000000-0005-0000-0000-00006C790000}"/>
    <cellStyle name="RIGs input cells 2 4 16" xfId="30870" xr:uid="{00000000-0005-0000-0000-00006D790000}"/>
    <cellStyle name="RIGs input cells 2 4 17" xfId="30871" xr:uid="{00000000-0005-0000-0000-00006E790000}"/>
    <cellStyle name="RIGs input cells 2 4 18" xfId="30872" xr:uid="{00000000-0005-0000-0000-00006F790000}"/>
    <cellStyle name="RIGs input cells 2 4 19" xfId="30873" xr:uid="{00000000-0005-0000-0000-000070790000}"/>
    <cellStyle name="RIGs input cells 2 4 2" xfId="30874" xr:uid="{00000000-0005-0000-0000-000071790000}"/>
    <cellStyle name="RIGs input cells 2 4 2 10" xfId="30875" xr:uid="{00000000-0005-0000-0000-000072790000}"/>
    <cellStyle name="RIGs input cells 2 4 2 11" xfId="30876" xr:uid="{00000000-0005-0000-0000-000073790000}"/>
    <cellStyle name="RIGs input cells 2 4 2 12" xfId="30877" xr:uid="{00000000-0005-0000-0000-000074790000}"/>
    <cellStyle name="RIGs input cells 2 4 2 13" xfId="30878" xr:uid="{00000000-0005-0000-0000-000075790000}"/>
    <cellStyle name="RIGs input cells 2 4 2 14" xfId="30879" xr:uid="{00000000-0005-0000-0000-000076790000}"/>
    <cellStyle name="RIGs input cells 2 4 2 15" xfId="30880" xr:uid="{00000000-0005-0000-0000-000077790000}"/>
    <cellStyle name="RIGs input cells 2 4 2 16" xfId="30881" xr:uid="{00000000-0005-0000-0000-000078790000}"/>
    <cellStyle name="RIGs input cells 2 4 2 17" xfId="30882" xr:uid="{00000000-0005-0000-0000-000079790000}"/>
    <cellStyle name="RIGs input cells 2 4 2 18" xfId="30883" xr:uid="{00000000-0005-0000-0000-00007A790000}"/>
    <cellStyle name="RIGs input cells 2 4 2 19" xfId="30884" xr:uid="{00000000-0005-0000-0000-00007B790000}"/>
    <cellStyle name="RIGs input cells 2 4 2 2" xfId="30885" xr:uid="{00000000-0005-0000-0000-00007C790000}"/>
    <cellStyle name="RIGs input cells 2 4 2 2 10" xfId="30886" xr:uid="{00000000-0005-0000-0000-00007D790000}"/>
    <cellStyle name="RIGs input cells 2 4 2 2 11" xfId="30887" xr:uid="{00000000-0005-0000-0000-00007E790000}"/>
    <cellStyle name="RIGs input cells 2 4 2 2 12" xfId="30888" xr:uid="{00000000-0005-0000-0000-00007F790000}"/>
    <cellStyle name="RIGs input cells 2 4 2 2 13" xfId="30889" xr:uid="{00000000-0005-0000-0000-000080790000}"/>
    <cellStyle name="RIGs input cells 2 4 2 2 2" xfId="30890" xr:uid="{00000000-0005-0000-0000-000081790000}"/>
    <cellStyle name="RIGs input cells 2 4 2 2 2 2" xfId="30891" xr:uid="{00000000-0005-0000-0000-000082790000}"/>
    <cellStyle name="RIGs input cells 2 4 2 2 2 3" xfId="30892" xr:uid="{00000000-0005-0000-0000-000083790000}"/>
    <cellStyle name="RIGs input cells 2 4 2 2 3" xfId="30893" xr:uid="{00000000-0005-0000-0000-000084790000}"/>
    <cellStyle name="RIGs input cells 2 4 2 2 3 2" xfId="30894" xr:uid="{00000000-0005-0000-0000-000085790000}"/>
    <cellStyle name="RIGs input cells 2 4 2 2 3 3" xfId="30895" xr:uid="{00000000-0005-0000-0000-000086790000}"/>
    <cellStyle name="RIGs input cells 2 4 2 2 4" xfId="30896" xr:uid="{00000000-0005-0000-0000-000087790000}"/>
    <cellStyle name="RIGs input cells 2 4 2 2 5" xfId="30897" xr:uid="{00000000-0005-0000-0000-000088790000}"/>
    <cellStyle name="RIGs input cells 2 4 2 2 6" xfId="30898" xr:uid="{00000000-0005-0000-0000-000089790000}"/>
    <cellStyle name="RIGs input cells 2 4 2 2 7" xfId="30899" xr:uid="{00000000-0005-0000-0000-00008A790000}"/>
    <cellStyle name="RIGs input cells 2 4 2 2 8" xfId="30900" xr:uid="{00000000-0005-0000-0000-00008B790000}"/>
    <cellStyle name="RIGs input cells 2 4 2 2 9" xfId="30901" xr:uid="{00000000-0005-0000-0000-00008C790000}"/>
    <cellStyle name="RIGs input cells 2 4 2 20" xfId="30902" xr:uid="{00000000-0005-0000-0000-00008D790000}"/>
    <cellStyle name="RIGs input cells 2 4 2 21" xfId="30903" xr:uid="{00000000-0005-0000-0000-00008E790000}"/>
    <cellStyle name="RIGs input cells 2 4 2 22" xfId="30904" xr:uid="{00000000-0005-0000-0000-00008F790000}"/>
    <cellStyle name="RIGs input cells 2 4 2 23" xfId="30905" xr:uid="{00000000-0005-0000-0000-000090790000}"/>
    <cellStyle name="RIGs input cells 2 4 2 24" xfId="30906" xr:uid="{00000000-0005-0000-0000-000091790000}"/>
    <cellStyle name="RIGs input cells 2 4 2 25" xfId="30907" xr:uid="{00000000-0005-0000-0000-000092790000}"/>
    <cellStyle name="RIGs input cells 2 4 2 26" xfId="30908" xr:uid="{00000000-0005-0000-0000-000093790000}"/>
    <cellStyle name="RIGs input cells 2 4 2 27" xfId="30909" xr:uid="{00000000-0005-0000-0000-000094790000}"/>
    <cellStyle name="RIGs input cells 2 4 2 28" xfId="30910" xr:uid="{00000000-0005-0000-0000-000095790000}"/>
    <cellStyle name="RIGs input cells 2 4 2 29" xfId="30911" xr:uid="{00000000-0005-0000-0000-000096790000}"/>
    <cellStyle name="RIGs input cells 2 4 2 3" xfId="30912" xr:uid="{00000000-0005-0000-0000-000097790000}"/>
    <cellStyle name="RIGs input cells 2 4 2 3 2" xfId="30913" xr:uid="{00000000-0005-0000-0000-000098790000}"/>
    <cellStyle name="RIGs input cells 2 4 2 3 3" xfId="30914" xr:uid="{00000000-0005-0000-0000-000099790000}"/>
    <cellStyle name="RIGs input cells 2 4 2 30" xfId="30915" xr:uid="{00000000-0005-0000-0000-00009A790000}"/>
    <cellStyle name="RIGs input cells 2 4 2 31" xfId="30916" xr:uid="{00000000-0005-0000-0000-00009B790000}"/>
    <cellStyle name="RIGs input cells 2 4 2 32" xfId="30917" xr:uid="{00000000-0005-0000-0000-00009C790000}"/>
    <cellStyle name="RIGs input cells 2 4 2 33" xfId="30918" xr:uid="{00000000-0005-0000-0000-00009D790000}"/>
    <cellStyle name="RIGs input cells 2 4 2 34" xfId="30919" xr:uid="{00000000-0005-0000-0000-00009E790000}"/>
    <cellStyle name="RIGs input cells 2 4 2 4" xfId="30920" xr:uid="{00000000-0005-0000-0000-00009F790000}"/>
    <cellStyle name="RIGs input cells 2 4 2 4 2" xfId="30921" xr:uid="{00000000-0005-0000-0000-0000A0790000}"/>
    <cellStyle name="RIGs input cells 2 4 2 4 3" xfId="30922" xr:uid="{00000000-0005-0000-0000-0000A1790000}"/>
    <cellStyle name="RIGs input cells 2 4 2 5" xfId="30923" xr:uid="{00000000-0005-0000-0000-0000A2790000}"/>
    <cellStyle name="RIGs input cells 2 4 2 6" xfId="30924" xr:uid="{00000000-0005-0000-0000-0000A3790000}"/>
    <cellStyle name="RIGs input cells 2 4 2 7" xfId="30925" xr:uid="{00000000-0005-0000-0000-0000A4790000}"/>
    <cellStyle name="RIGs input cells 2 4 2 8" xfId="30926" xr:uid="{00000000-0005-0000-0000-0000A5790000}"/>
    <cellStyle name="RIGs input cells 2 4 2 9" xfId="30927" xr:uid="{00000000-0005-0000-0000-0000A6790000}"/>
    <cellStyle name="RIGs input cells 2 4 20" xfId="30928" xr:uid="{00000000-0005-0000-0000-0000A7790000}"/>
    <cellStyle name="RIGs input cells 2 4 21" xfId="30929" xr:uid="{00000000-0005-0000-0000-0000A8790000}"/>
    <cellStyle name="RIGs input cells 2 4 22" xfId="30930" xr:uid="{00000000-0005-0000-0000-0000A9790000}"/>
    <cellStyle name="RIGs input cells 2 4 23" xfId="30931" xr:uid="{00000000-0005-0000-0000-0000AA790000}"/>
    <cellStyle name="RIGs input cells 2 4 24" xfId="30932" xr:uid="{00000000-0005-0000-0000-0000AB790000}"/>
    <cellStyle name="RIGs input cells 2 4 25" xfId="30933" xr:uid="{00000000-0005-0000-0000-0000AC790000}"/>
    <cellStyle name="RIGs input cells 2 4 26" xfId="30934" xr:uid="{00000000-0005-0000-0000-0000AD790000}"/>
    <cellStyle name="RIGs input cells 2 4 27" xfId="30935" xr:uid="{00000000-0005-0000-0000-0000AE790000}"/>
    <cellStyle name="RIGs input cells 2 4 28" xfId="30936" xr:uid="{00000000-0005-0000-0000-0000AF790000}"/>
    <cellStyle name="RIGs input cells 2 4 29" xfId="30937" xr:uid="{00000000-0005-0000-0000-0000B0790000}"/>
    <cellStyle name="RIGs input cells 2 4 3" xfId="30938" xr:uid="{00000000-0005-0000-0000-0000B1790000}"/>
    <cellStyle name="RIGs input cells 2 4 3 10" xfId="30939" xr:uid="{00000000-0005-0000-0000-0000B2790000}"/>
    <cellStyle name="RIGs input cells 2 4 3 11" xfId="30940" xr:uid="{00000000-0005-0000-0000-0000B3790000}"/>
    <cellStyle name="RIGs input cells 2 4 3 12" xfId="30941" xr:uid="{00000000-0005-0000-0000-0000B4790000}"/>
    <cellStyle name="RIGs input cells 2 4 3 13" xfId="30942" xr:uid="{00000000-0005-0000-0000-0000B5790000}"/>
    <cellStyle name="RIGs input cells 2 4 3 2" xfId="30943" xr:uid="{00000000-0005-0000-0000-0000B6790000}"/>
    <cellStyle name="RIGs input cells 2 4 3 2 2" xfId="30944" xr:uid="{00000000-0005-0000-0000-0000B7790000}"/>
    <cellStyle name="RIGs input cells 2 4 3 2 3" xfId="30945" xr:uid="{00000000-0005-0000-0000-0000B8790000}"/>
    <cellStyle name="RIGs input cells 2 4 3 3" xfId="30946" xr:uid="{00000000-0005-0000-0000-0000B9790000}"/>
    <cellStyle name="RIGs input cells 2 4 3 3 2" xfId="30947" xr:uid="{00000000-0005-0000-0000-0000BA790000}"/>
    <cellStyle name="RIGs input cells 2 4 3 3 3" xfId="30948" xr:uid="{00000000-0005-0000-0000-0000BB790000}"/>
    <cellStyle name="RIGs input cells 2 4 3 4" xfId="30949" xr:uid="{00000000-0005-0000-0000-0000BC790000}"/>
    <cellStyle name="RIGs input cells 2 4 3 5" xfId="30950" xr:uid="{00000000-0005-0000-0000-0000BD790000}"/>
    <cellStyle name="RIGs input cells 2 4 3 6" xfId="30951" xr:uid="{00000000-0005-0000-0000-0000BE790000}"/>
    <cellStyle name="RIGs input cells 2 4 3 7" xfId="30952" xr:uid="{00000000-0005-0000-0000-0000BF790000}"/>
    <cellStyle name="RIGs input cells 2 4 3 8" xfId="30953" xr:uid="{00000000-0005-0000-0000-0000C0790000}"/>
    <cellStyle name="RIGs input cells 2 4 3 9" xfId="30954" xr:uid="{00000000-0005-0000-0000-0000C1790000}"/>
    <cellStyle name="RIGs input cells 2 4 30" xfId="30955" xr:uid="{00000000-0005-0000-0000-0000C2790000}"/>
    <cellStyle name="RIGs input cells 2 4 31" xfId="30956" xr:uid="{00000000-0005-0000-0000-0000C3790000}"/>
    <cellStyle name="RIGs input cells 2 4 32" xfId="30957" xr:uid="{00000000-0005-0000-0000-0000C4790000}"/>
    <cellStyle name="RIGs input cells 2 4 33" xfId="30958" xr:uid="{00000000-0005-0000-0000-0000C5790000}"/>
    <cellStyle name="RIGs input cells 2 4 34" xfId="30959" xr:uid="{00000000-0005-0000-0000-0000C6790000}"/>
    <cellStyle name="RIGs input cells 2 4 35" xfId="30960" xr:uid="{00000000-0005-0000-0000-0000C7790000}"/>
    <cellStyle name="RIGs input cells 2 4 4" xfId="30961" xr:uid="{00000000-0005-0000-0000-0000C8790000}"/>
    <cellStyle name="RIGs input cells 2 4 4 2" xfId="30962" xr:uid="{00000000-0005-0000-0000-0000C9790000}"/>
    <cellStyle name="RIGs input cells 2 4 4 3" xfId="30963" xr:uid="{00000000-0005-0000-0000-0000CA790000}"/>
    <cellStyle name="RIGs input cells 2 4 5" xfId="30964" xr:uid="{00000000-0005-0000-0000-0000CB790000}"/>
    <cellStyle name="RIGs input cells 2 4 5 2" xfId="30965" xr:uid="{00000000-0005-0000-0000-0000CC790000}"/>
    <cellStyle name="RIGs input cells 2 4 5 3" xfId="30966" xr:uid="{00000000-0005-0000-0000-0000CD790000}"/>
    <cellStyle name="RIGs input cells 2 4 6" xfId="30967" xr:uid="{00000000-0005-0000-0000-0000CE790000}"/>
    <cellStyle name="RIGs input cells 2 4 7" xfId="30968" xr:uid="{00000000-0005-0000-0000-0000CF790000}"/>
    <cellStyle name="RIGs input cells 2 4 8" xfId="30969" xr:uid="{00000000-0005-0000-0000-0000D0790000}"/>
    <cellStyle name="RIGs input cells 2 4 9" xfId="30970" xr:uid="{00000000-0005-0000-0000-0000D1790000}"/>
    <cellStyle name="RIGs input cells 2 4_4 28 1_Asst_Health_Crit_AllTO_RIIO_20110714pm" xfId="30971" xr:uid="{00000000-0005-0000-0000-0000D2790000}"/>
    <cellStyle name="RIGs input cells 2 40" xfId="30972" xr:uid="{00000000-0005-0000-0000-0000D3790000}"/>
    <cellStyle name="RIGs input cells 2 41" xfId="30973" xr:uid="{00000000-0005-0000-0000-0000D4790000}"/>
    <cellStyle name="RIGs input cells 2 42" xfId="30974" xr:uid="{00000000-0005-0000-0000-0000D5790000}"/>
    <cellStyle name="RIGs input cells 2 43" xfId="30975" xr:uid="{00000000-0005-0000-0000-0000D6790000}"/>
    <cellStyle name="RIGs input cells 2 44" xfId="30976" xr:uid="{00000000-0005-0000-0000-0000D7790000}"/>
    <cellStyle name="RIGs input cells 2 45" xfId="30977" xr:uid="{00000000-0005-0000-0000-0000D8790000}"/>
    <cellStyle name="RIGs input cells 2 5" xfId="30978" xr:uid="{00000000-0005-0000-0000-0000D9790000}"/>
    <cellStyle name="RIGs input cells 2 5 10" xfId="30979" xr:uid="{00000000-0005-0000-0000-0000DA790000}"/>
    <cellStyle name="RIGs input cells 2 5 11" xfId="30980" xr:uid="{00000000-0005-0000-0000-0000DB790000}"/>
    <cellStyle name="RIGs input cells 2 5 12" xfId="30981" xr:uid="{00000000-0005-0000-0000-0000DC790000}"/>
    <cellStyle name="RIGs input cells 2 5 13" xfId="30982" xr:uid="{00000000-0005-0000-0000-0000DD790000}"/>
    <cellStyle name="RIGs input cells 2 5 14" xfId="30983" xr:uid="{00000000-0005-0000-0000-0000DE790000}"/>
    <cellStyle name="RIGs input cells 2 5 15" xfId="30984" xr:uid="{00000000-0005-0000-0000-0000DF790000}"/>
    <cellStyle name="RIGs input cells 2 5 16" xfId="30985" xr:uid="{00000000-0005-0000-0000-0000E0790000}"/>
    <cellStyle name="RIGs input cells 2 5 17" xfId="30986" xr:uid="{00000000-0005-0000-0000-0000E1790000}"/>
    <cellStyle name="RIGs input cells 2 5 18" xfId="30987" xr:uid="{00000000-0005-0000-0000-0000E2790000}"/>
    <cellStyle name="RIGs input cells 2 5 19" xfId="30988" xr:uid="{00000000-0005-0000-0000-0000E3790000}"/>
    <cellStyle name="RIGs input cells 2 5 2" xfId="30989" xr:uid="{00000000-0005-0000-0000-0000E4790000}"/>
    <cellStyle name="RIGs input cells 2 5 2 10" xfId="30990" xr:uid="{00000000-0005-0000-0000-0000E5790000}"/>
    <cellStyle name="RIGs input cells 2 5 2 11" xfId="30991" xr:uid="{00000000-0005-0000-0000-0000E6790000}"/>
    <cellStyle name="RIGs input cells 2 5 2 12" xfId="30992" xr:uid="{00000000-0005-0000-0000-0000E7790000}"/>
    <cellStyle name="RIGs input cells 2 5 2 13" xfId="30993" xr:uid="{00000000-0005-0000-0000-0000E8790000}"/>
    <cellStyle name="RIGs input cells 2 5 2 2" xfId="30994" xr:uid="{00000000-0005-0000-0000-0000E9790000}"/>
    <cellStyle name="RIGs input cells 2 5 2 2 2" xfId="30995" xr:uid="{00000000-0005-0000-0000-0000EA790000}"/>
    <cellStyle name="RIGs input cells 2 5 2 2 3" xfId="30996" xr:uid="{00000000-0005-0000-0000-0000EB790000}"/>
    <cellStyle name="RIGs input cells 2 5 2 3" xfId="30997" xr:uid="{00000000-0005-0000-0000-0000EC790000}"/>
    <cellStyle name="RIGs input cells 2 5 2 3 2" xfId="30998" xr:uid="{00000000-0005-0000-0000-0000ED790000}"/>
    <cellStyle name="RIGs input cells 2 5 2 3 3" xfId="30999" xr:uid="{00000000-0005-0000-0000-0000EE790000}"/>
    <cellStyle name="RIGs input cells 2 5 2 4" xfId="31000" xr:uid="{00000000-0005-0000-0000-0000EF790000}"/>
    <cellStyle name="RIGs input cells 2 5 2 5" xfId="31001" xr:uid="{00000000-0005-0000-0000-0000F0790000}"/>
    <cellStyle name="RIGs input cells 2 5 2 6" xfId="31002" xr:uid="{00000000-0005-0000-0000-0000F1790000}"/>
    <cellStyle name="RIGs input cells 2 5 2 7" xfId="31003" xr:uid="{00000000-0005-0000-0000-0000F2790000}"/>
    <cellStyle name="RIGs input cells 2 5 2 8" xfId="31004" xr:uid="{00000000-0005-0000-0000-0000F3790000}"/>
    <cellStyle name="RIGs input cells 2 5 2 9" xfId="31005" xr:uid="{00000000-0005-0000-0000-0000F4790000}"/>
    <cellStyle name="RIGs input cells 2 5 20" xfId="31006" xr:uid="{00000000-0005-0000-0000-0000F5790000}"/>
    <cellStyle name="RIGs input cells 2 5 21" xfId="31007" xr:uid="{00000000-0005-0000-0000-0000F6790000}"/>
    <cellStyle name="RIGs input cells 2 5 22" xfId="31008" xr:uid="{00000000-0005-0000-0000-0000F7790000}"/>
    <cellStyle name="RIGs input cells 2 5 23" xfId="31009" xr:uid="{00000000-0005-0000-0000-0000F8790000}"/>
    <cellStyle name="RIGs input cells 2 5 24" xfId="31010" xr:uid="{00000000-0005-0000-0000-0000F9790000}"/>
    <cellStyle name="RIGs input cells 2 5 25" xfId="31011" xr:uid="{00000000-0005-0000-0000-0000FA790000}"/>
    <cellStyle name="RIGs input cells 2 5 26" xfId="31012" xr:uid="{00000000-0005-0000-0000-0000FB790000}"/>
    <cellStyle name="RIGs input cells 2 5 27" xfId="31013" xr:uid="{00000000-0005-0000-0000-0000FC790000}"/>
    <cellStyle name="RIGs input cells 2 5 28" xfId="31014" xr:uid="{00000000-0005-0000-0000-0000FD790000}"/>
    <cellStyle name="RIGs input cells 2 5 29" xfId="31015" xr:uid="{00000000-0005-0000-0000-0000FE790000}"/>
    <cellStyle name="RIGs input cells 2 5 3" xfId="31016" xr:uid="{00000000-0005-0000-0000-0000FF790000}"/>
    <cellStyle name="RIGs input cells 2 5 3 2" xfId="31017" xr:uid="{00000000-0005-0000-0000-0000007A0000}"/>
    <cellStyle name="RIGs input cells 2 5 3 3" xfId="31018" xr:uid="{00000000-0005-0000-0000-0000017A0000}"/>
    <cellStyle name="RIGs input cells 2 5 30" xfId="31019" xr:uid="{00000000-0005-0000-0000-0000027A0000}"/>
    <cellStyle name="RIGs input cells 2 5 31" xfId="31020" xr:uid="{00000000-0005-0000-0000-0000037A0000}"/>
    <cellStyle name="RIGs input cells 2 5 32" xfId="31021" xr:uid="{00000000-0005-0000-0000-0000047A0000}"/>
    <cellStyle name="RIGs input cells 2 5 33" xfId="31022" xr:uid="{00000000-0005-0000-0000-0000057A0000}"/>
    <cellStyle name="RIGs input cells 2 5 34" xfId="31023" xr:uid="{00000000-0005-0000-0000-0000067A0000}"/>
    <cellStyle name="RIGs input cells 2 5 4" xfId="31024" xr:uid="{00000000-0005-0000-0000-0000077A0000}"/>
    <cellStyle name="RIGs input cells 2 5 4 2" xfId="31025" xr:uid="{00000000-0005-0000-0000-0000087A0000}"/>
    <cellStyle name="RIGs input cells 2 5 4 3" xfId="31026" xr:uid="{00000000-0005-0000-0000-0000097A0000}"/>
    <cellStyle name="RIGs input cells 2 5 5" xfId="31027" xr:uid="{00000000-0005-0000-0000-00000A7A0000}"/>
    <cellStyle name="RIGs input cells 2 5 6" xfId="31028" xr:uid="{00000000-0005-0000-0000-00000B7A0000}"/>
    <cellStyle name="RIGs input cells 2 5 7" xfId="31029" xr:uid="{00000000-0005-0000-0000-00000C7A0000}"/>
    <cellStyle name="RIGs input cells 2 5 8" xfId="31030" xr:uid="{00000000-0005-0000-0000-00000D7A0000}"/>
    <cellStyle name="RIGs input cells 2 5 9" xfId="31031" xr:uid="{00000000-0005-0000-0000-00000E7A0000}"/>
    <cellStyle name="RIGs input cells 2 6" xfId="31032" xr:uid="{00000000-0005-0000-0000-00000F7A0000}"/>
    <cellStyle name="RIGs input cells 2 6 10" xfId="31033" xr:uid="{00000000-0005-0000-0000-0000107A0000}"/>
    <cellStyle name="RIGs input cells 2 6 11" xfId="31034" xr:uid="{00000000-0005-0000-0000-0000117A0000}"/>
    <cellStyle name="RIGs input cells 2 6 12" xfId="31035" xr:uid="{00000000-0005-0000-0000-0000127A0000}"/>
    <cellStyle name="RIGs input cells 2 6 13" xfId="31036" xr:uid="{00000000-0005-0000-0000-0000137A0000}"/>
    <cellStyle name="RIGs input cells 2 6 14" xfId="31037" xr:uid="{00000000-0005-0000-0000-0000147A0000}"/>
    <cellStyle name="RIGs input cells 2 6 15" xfId="31038" xr:uid="{00000000-0005-0000-0000-0000157A0000}"/>
    <cellStyle name="RIGs input cells 2 6 16" xfId="31039" xr:uid="{00000000-0005-0000-0000-0000167A0000}"/>
    <cellStyle name="RIGs input cells 2 6 17" xfId="31040" xr:uid="{00000000-0005-0000-0000-0000177A0000}"/>
    <cellStyle name="RIGs input cells 2 6 18" xfId="31041" xr:uid="{00000000-0005-0000-0000-0000187A0000}"/>
    <cellStyle name="RIGs input cells 2 6 19" xfId="31042" xr:uid="{00000000-0005-0000-0000-0000197A0000}"/>
    <cellStyle name="RIGs input cells 2 6 2" xfId="31043" xr:uid="{00000000-0005-0000-0000-00001A7A0000}"/>
    <cellStyle name="RIGs input cells 2 6 2 10" xfId="31044" xr:uid="{00000000-0005-0000-0000-00001B7A0000}"/>
    <cellStyle name="RIGs input cells 2 6 2 11" xfId="31045" xr:uid="{00000000-0005-0000-0000-00001C7A0000}"/>
    <cellStyle name="RIGs input cells 2 6 2 12" xfId="31046" xr:uid="{00000000-0005-0000-0000-00001D7A0000}"/>
    <cellStyle name="RIGs input cells 2 6 2 13" xfId="31047" xr:uid="{00000000-0005-0000-0000-00001E7A0000}"/>
    <cellStyle name="RIGs input cells 2 6 2 2" xfId="31048" xr:uid="{00000000-0005-0000-0000-00001F7A0000}"/>
    <cellStyle name="RIGs input cells 2 6 2 2 2" xfId="31049" xr:uid="{00000000-0005-0000-0000-0000207A0000}"/>
    <cellStyle name="RIGs input cells 2 6 2 2 3" xfId="31050" xr:uid="{00000000-0005-0000-0000-0000217A0000}"/>
    <cellStyle name="RIGs input cells 2 6 2 3" xfId="31051" xr:uid="{00000000-0005-0000-0000-0000227A0000}"/>
    <cellStyle name="RIGs input cells 2 6 2 3 2" xfId="31052" xr:uid="{00000000-0005-0000-0000-0000237A0000}"/>
    <cellStyle name="RIGs input cells 2 6 2 3 3" xfId="31053" xr:uid="{00000000-0005-0000-0000-0000247A0000}"/>
    <cellStyle name="RIGs input cells 2 6 2 4" xfId="31054" xr:uid="{00000000-0005-0000-0000-0000257A0000}"/>
    <cellStyle name="RIGs input cells 2 6 2 5" xfId="31055" xr:uid="{00000000-0005-0000-0000-0000267A0000}"/>
    <cellStyle name="RIGs input cells 2 6 2 6" xfId="31056" xr:uid="{00000000-0005-0000-0000-0000277A0000}"/>
    <cellStyle name="RIGs input cells 2 6 2 7" xfId="31057" xr:uid="{00000000-0005-0000-0000-0000287A0000}"/>
    <cellStyle name="RIGs input cells 2 6 2 8" xfId="31058" xr:uid="{00000000-0005-0000-0000-0000297A0000}"/>
    <cellStyle name="RIGs input cells 2 6 2 9" xfId="31059" xr:uid="{00000000-0005-0000-0000-00002A7A0000}"/>
    <cellStyle name="RIGs input cells 2 6 20" xfId="31060" xr:uid="{00000000-0005-0000-0000-00002B7A0000}"/>
    <cellStyle name="RIGs input cells 2 6 21" xfId="31061" xr:uid="{00000000-0005-0000-0000-00002C7A0000}"/>
    <cellStyle name="RIGs input cells 2 6 22" xfId="31062" xr:uid="{00000000-0005-0000-0000-00002D7A0000}"/>
    <cellStyle name="RIGs input cells 2 6 23" xfId="31063" xr:uid="{00000000-0005-0000-0000-00002E7A0000}"/>
    <cellStyle name="RIGs input cells 2 6 24" xfId="31064" xr:uid="{00000000-0005-0000-0000-00002F7A0000}"/>
    <cellStyle name="RIGs input cells 2 6 25" xfId="31065" xr:uid="{00000000-0005-0000-0000-0000307A0000}"/>
    <cellStyle name="RIGs input cells 2 6 26" xfId="31066" xr:uid="{00000000-0005-0000-0000-0000317A0000}"/>
    <cellStyle name="RIGs input cells 2 6 27" xfId="31067" xr:uid="{00000000-0005-0000-0000-0000327A0000}"/>
    <cellStyle name="RIGs input cells 2 6 28" xfId="31068" xr:uid="{00000000-0005-0000-0000-0000337A0000}"/>
    <cellStyle name="RIGs input cells 2 6 29" xfId="31069" xr:uid="{00000000-0005-0000-0000-0000347A0000}"/>
    <cellStyle name="RIGs input cells 2 6 3" xfId="31070" xr:uid="{00000000-0005-0000-0000-0000357A0000}"/>
    <cellStyle name="RIGs input cells 2 6 3 2" xfId="31071" xr:uid="{00000000-0005-0000-0000-0000367A0000}"/>
    <cellStyle name="RIGs input cells 2 6 3 3" xfId="31072" xr:uid="{00000000-0005-0000-0000-0000377A0000}"/>
    <cellStyle name="RIGs input cells 2 6 30" xfId="31073" xr:uid="{00000000-0005-0000-0000-0000387A0000}"/>
    <cellStyle name="RIGs input cells 2 6 31" xfId="31074" xr:uid="{00000000-0005-0000-0000-0000397A0000}"/>
    <cellStyle name="RIGs input cells 2 6 32" xfId="31075" xr:uid="{00000000-0005-0000-0000-00003A7A0000}"/>
    <cellStyle name="RIGs input cells 2 6 33" xfId="31076" xr:uid="{00000000-0005-0000-0000-00003B7A0000}"/>
    <cellStyle name="RIGs input cells 2 6 34" xfId="31077" xr:uid="{00000000-0005-0000-0000-00003C7A0000}"/>
    <cellStyle name="RIGs input cells 2 6 4" xfId="31078" xr:uid="{00000000-0005-0000-0000-00003D7A0000}"/>
    <cellStyle name="RIGs input cells 2 6 4 2" xfId="31079" xr:uid="{00000000-0005-0000-0000-00003E7A0000}"/>
    <cellStyle name="RIGs input cells 2 6 4 3" xfId="31080" xr:uid="{00000000-0005-0000-0000-00003F7A0000}"/>
    <cellStyle name="RIGs input cells 2 6 5" xfId="31081" xr:uid="{00000000-0005-0000-0000-0000407A0000}"/>
    <cellStyle name="RIGs input cells 2 6 6" xfId="31082" xr:uid="{00000000-0005-0000-0000-0000417A0000}"/>
    <cellStyle name="RIGs input cells 2 6 7" xfId="31083" xr:uid="{00000000-0005-0000-0000-0000427A0000}"/>
    <cellStyle name="RIGs input cells 2 6 8" xfId="31084" xr:uid="{00000000-0005-0000-0000-0000437A0000}"/>
    <cellStyle name="RIGs input cells 2 6 9" xfId="31085" xr:uid="{00000000-0005-0000-0000-0000447A0000}"/>
    <cellStyle name="RIGs input cells 2 7" xfId="31086" xr:uid="{00000000-0005-0000-0000-0000457A0000}"/>
    <cellStyle name="RIGs input cells 2 7 10" xfId="31087" xr:uid="{00000000-0005-0000-0000-0000467A0000}"/>
    <cellStyle name="RIGs input cells 2 7 11" xfId="31088" xr:uid="{00000000-0005-0000-0000-0000477A0000}"/>
    <cellStyle name="RIGs input cells 2 7 12" xfId="31089" xr:uid="{00000000-0005-0000-0000-0000487A0000}"/>
    <cellStyle name="RIGs input cells 2 7 13" xfId="31090" xr:uid="{00000000-0005-0000-0000-0000497A0000}"/>
    <cellStyle name="RIGs input cells 2 7 14" xfId="31091" xr:uid="{00000000-0005-0000-0000-00004A7A0000}"/>
    <cellStyle name="RIGs input cells 2 7 15" xfId="31092" xr:uid="{00000000-0005-0000-0000-00004B7A0000}"/>
    <cellStyle name="RIGs input cells 2 7 16" xfId="31093" xr:uid="{00000000-0005-0000-0000-00004C7A0000}"/>
    <cellStyle name="RIGs input cells 2 7 17" xfId="31094" xr:uid="{00000000-0005-0000-0000-00004D7A0000}"/>
    <cellStyle name="RIGs input cells 2 7 18" xfId="31095" xr:uid="{00000000-0005-0000-0000-00004E7A0000}"/>
    <cellStyle name="RIGs input cells 2 7 19" xfId="31096" xr:uid="{00000000-0005-0000-0000-00004F7A0000}"/>
    <cellStyle name="RIGs input cells 2 7 2" xfId="31097" xr:uid="{00000000-0005-0000-0000-0000507A0000}"/>
    <cellStyle name="RIGs input cells 2 7 2 10" xfId="31098" xr:uid="{00000000-0005-0000-0000-0000517A0000}"/>
    <cellStyle name="RIGs input cells 2 7 2 11" xfId="31099" xr:uid="{00000000-0005-0000-0000-0000527A0000}"/>
    <cellStyle name="RIGs input cells 2 7 2 12" xfId="31100" xr:uid="{00000000-0005-0000-0000-0000537A0000}"/>
    <cellStyle name="RIGs input cells 2 7 2 13" xfId="31101" xr:uid="{00000000-0005-0000-0000-0000547A0000}"/>
    <cellStyle name="RIGs input cells 2 7 2 2" xfId="31102" xr:uid="{00000000-0005-0000-0000-0000557A0000}"/>
    <cellStyle name="RIGs input cells 2 7 2 2 2" xfId="31103" xr:uid="{00000000-0005-0000-0000-0000567A0000}"/>
    <cellStyle name="RIGs input cells 2 7 2 2 3" xfId="31104" xr:uid="{00000000-0005-0000-0000-0000577A0000}"/>
    <cellStyle name="RIGs input cells 2 7 2 3" xfId="31105" xr:uid="{00000000-0005-0000-0000-0000587A0000}"/>
    <cellStyle name="RIGs input cells 2 7 2 3 2" xfId="31106" xr:uid="{00000000-0005-0000-0000-0000597A0000}"/>
    <cellStyle name="RIGs input cells 2 7 2 3 3" xfId="31107" xr:uid="{00000000-0005-0000-0000-00005A7A0000}"/>
    <cellStyle name="RIGs input cells 2 7 2 4" xfId="31108" xr:uid="{00000000-0005-0000-0000-00005B7A0000}"/>
    <cellStyle name="RIGs input cells 2 7 2 5" xfId="31109" xr:uid="{00000000-0005-0000-0000-00005C7A0000}"/>
    <cellStyle name="RIGs input cells 2 7 2 6" xfId="31110" xr:uid="{00000000-0005-0000-0000-00005D7A0000}"/>
    <cellStyle name="RIGs input cells 2 7 2 7" xfId="31111" xr:uid="{00000000-0005-0000-0000-00005E7A0000}"/>
    <cellStyle name="RIGs input cells 2 7 2 8" xfId="31112" xr:uid="{00000000-0005-0000-0000-00005F7A0000}"/>
    <cellStyle name="RIGs input cells 2 7 2 9" xfId="31113" xr:uid="{00000000-0005-0000-0000-0000607A0000}"/>
    <cellStyle name="RIGs input cells 2 7 20" xfId="31114" xr:uid="{00000000-0005-0000-0000-0000617A0000}"/>
    <cellStyle name="RIGs input cells 2 7 21" xfId="31115" xr:uid="{00000000-0005-0000-0000-0000627A0000}"/>
    <cellStyle name="RIGs input cells 2 7 22" xfId="31116" xr:uid="{00000000-0005-0000-0000-0000637A0000}"/>
    <cellStyle name="RIGs input cells 2 7 23" xfId="31117" xr:uid="{00000000-0005-0000-0000-0000647A0000}"/>
    <cellStyle name="RIGs input cells 2 7 24" xfId="31118" xr:uid="{00000000-0005-0000-0000-0000657A0000}"/>
    <cellStyle name="RIGs input cells 2 7 25" xfId="31119" xr:uid="{00000000-0005-0000-0000-0000667A0000}"/>
    <cellStyle name="RIGs input cells 2 7 26" xfId="31120" xr:uid="{00000000-0005-0000-0000-0000677A0000}"/>
    <cellStyle name="RIGs input cells 2 7 27" xfId="31121" xr:uid="{00000000-0005-0000-0000-0000687A0000}"/>
    <cellStyle name="RIGs input cells 2 7 28" xfId="31122" xr:uid="{00000000-0005-0000-0000-0000697A0000}"/>
    <cellStyle name="RIGs input cells 2 7 29" xfId="31123" xr:uid="{00000000-0005-0000-0000-00006A7A0000}"/>
    <cellStyle name="RIGs input cells 2 7 3" xfId="31124" xr:uid="{00000000-0005-0000-0000-00006B7A0000}"/>
    <cellStyle name="RIGs input cells 2 7 3 2" xfId="31125" xr:uid="{00000000-0005-0000-0000-00006C7A0000}"/>
    <cellStyle name="RIGs input cells 2 7 3 3" xfId="31126" xr:uid="{00000000-0005-0000-0000-00006D7A0000}"/>
    <cellStyle name="RIGs input cells 2 7 30" xfId="31127" xr:uid="{00000000-0005-0000-0000-00006E7A0000}"/>
    <cellStyle name="RIGs input cells 2 7 31" xfId="31128" xr:uid="{00000000-0005-0000-0000-00006F7A0000}"/>
    <cellStyle name="RIGs input cells 2 7 32" xfId="31129" xr:uid="{00000000-0005-0000-0000-0000707A0000}"/>
    <cellStyle name="RIGs input cells 2 7 33" xfId="31130" xr:uid="{00000000-0005-0000-0000-0000717A0000}"/>
    <cellStyle name="RIGs input cells 2 7 34" xfId="31131" xr:uid="{00000000-0005-0000-0000-0000727A0000}"/>
    <cellStyle name="RIGs input cells 2 7 4" xfId="31132" xr:uid="{00000000-0005-0000-0000-0000737A0000}"/>
    <cellStyle name="RIGs input cells 2 7 4 2" xfId="31133" xr:uid="{00000000-0005-0000-0000-0000747A0000}"/>
    <cellStyle name="RIGs input cells 2 7 4 3" xfId="31134" xr:uid="{00000000-0005-0000-0000-0000757A0000}"/>
    <cellStyle name="RIGs input cells 2 7 5" xfId="31135" xr:uid="{00000000-0005-0000-0000-0000767A0000}"/>
    <cellStyle name="RIGs input cells 2 7 6" xfId="31136" xr:uid="{00000000-0005-0000-0000-0000777A0000}"/>
    <cellStyle name="RIGs input cells 2 7 7" xfId="31137" xr:uid="{00000000-0005-0000-0000-0000787A0000}"/>
    <cellStyle name="RIGs input cells 2 7 8" xfId="31138" xr:uid="{00000000-0005-0000-0000-0000797A0000}"/>
    <cellStyle name="RIGs input cells 2 7 9" xfId="31139" xr:uid="{00000000-0005-0000-0000-00007A7A0000}"/>
    <cellStyle name="RIGs input cells 2 8" xfId="31140" xr:uid="{00000000-0005-0000-0000-00007B7A0000}"/>
    <cellStyle name="RIGs input cells 2 8 10" xfId="31141" xr:uid="{00000000-0005-0000-0000-00007C7A0000}"/>
    <cellStyle name="RIGs input cells 2 8 11" xfId="31142" xr:uid="{00000000-0005-0000-0000-00007D7A0000}"/>
    <cellStyle name="RIGs input cells 2 8 12" xfId="31143" xr:uid="{00000000-0005-0000-0000-00007E7A0000}"/>
    <cellStyle name="RIGs input cells 2 8 13" xfId="31144" xr:uid="{00000000-0005-0000-0000-00007F7A0000}"/>
    <cellStyle name="RIGs input cells 2 8 14" xfId="31145" xr:uid="{00000000-0005-0000-0000-0000807A0000}"/>
    <cellStyle name="RIGs input cells 2 8 15" xfId="31146" xr:uid="{00000000-0005-0000-0000-0000817A0000}"/>
    <cellStyle name="RIGs input cells 2 8 16" xfId="31147" xr:uid="{00000000-0005-0000-0000-0000827A0000}"/>
    <cellStyle name="RIGs input cells 2 8 17" xfId="31148" xr:uid="{00000000-0005-0000-0000-0000837A0000}"/>
    <cellStyle name="RIGs input cells 2 8 18" xfId="31149" xr:uid="{00000000-0005-0000-0000-0000847A0000}"/>
    <cellStyle name="RIGs input cells 2 8 19" xfId="31150" xr:uid="{00000000-0005-0000-0000-0000857A0000}"/>
    <cellStyle name="RIGs input cells 2 8 2" xfId="31151" xr:uid="{00000000-0005-0000-0000-0000867A0000}"/>
    <cellStyle name="RIGs input cells 2 8 2 10" xfId="31152" xr:uid="{00000000-0005-0000-0000-0000877A0000}"/>
    <cellStyle name="RIGs input cells 2 8 2 11" xfId="31153" xr:uid="{00000000-0005-0000-0000-0000887A0000}"/>
    <cellStyle name="RIGs input cells 2 8 2 12" xfId="31154" xr:uid="{00000000-0005-0000-0000-0000897A0000}"/>
    <cellStyle name="RIGs input cells 2 8 2 13" xfId="31155" xr:uid="{00000000-0005-0000-0000-00008A7A0000}"/>
    <cellStyle name="RIGs input cells 2 8 2 2" xfId="31156" xr:uid="{00000000-0005-0000-0000-00008B7A0000}"/>
    <cellStyle name="RIGs input cells 2 8 2 2 2" xfId="31157" xr:uid="{00000000-0005-0000-0000-00008C7A0000}"/>
    <cellStyle name="RIGs input cells 2 8 2 2 3" xfId="31158" xr:uid="{00000000-0005-0000-0000-00008D7A0000}"/>
    <cellStyle name="RIGs input cells 2 8 2 3" xfId="31159" xr:uid="{00000000-0005-0000-0000-00008E7A0000}"/>
    <cellStyle name="RIGs input cells 2 8 2 3 2" xfId="31160" xr:uid="{00000000-0005-0000-0000-00008F7A0000}"/>
    <cellStyle name="RIGs input cells 2 8 2 3 3" xfId="31161" xr:uid="{00000000-0005-0000-0000-0000907A0000}"/>
    <cellStyle name="RIGs input cells 2 8 2 4" xfId="31162" xr:uid="{00000000-0005-0000-0000-0000917A0000}"/>
    <cellStyle name="RIGs input cells 2 8 2 5" xfId="31163" xr:uid="{00000000-0005-0000-0000-0000927A0000}"/>
    <cellStyle name="RIGs input cells 2 8 2 6" xfId="31164" xr:uid="{00000000-0005-0000-0000-0000937A0000}"/>
    <cellStyle name="RIGs input cells 2 8 2 7" xfId="31165" xr:uid="{00000000-0005-0000-0000-0000947A0000}"/>
    <cellStyle name="RIGs input cells 2 8 2 8" xfId="31166" xr:uid="{00000000-0005-0000-0000-0000957A0000}"/>
    <cellStyle name="RIGs input cells 2 8 2 9" xfId="31167" xr:uid="{00000000-0005-0000-0000-0000967A0000}"/>
    <cellStyle name="RIGs input cells 2 8 20" xfId="31168" xr:uid="{00000000-0005-0000-0000-0000977A0000}"/>
    <cellStyle name="RIGs input cells 2 8 21" xfId="31169" xr:uid="{00000000-0005-0000-0000-0000987A0000}"/>
    <cellStyle name="RIGs input cells 2 8 22" xfId="31170" xr:uid="{00000000-0005-0000-0000-0000997A0000}"/>
    <cellStyle name="RIGs input cells 2 8 23" xfId="31171" xr:uid="{00000000-0005-0000-0000-00009A7A0000}"/>
    <cellStyle name="RIGs input cells 2 8 24" xfId="31172" xr:uid="{00000000-0005-0000-0000-00009B7A0000}"/>
    <cellStyle name="RIGs input cells 2 8 25" xfId="31173" xr:uid="{00000000-0005-0000-0000-00009C7A0000}"/>
    <cellStyle name="RIGs input cells 2 8 26" xfId="31174" xr:uid="{00000000-0005-0000-0000-00009D7A0000}"/>
    <cellStyle name="RIGs input cells 2 8 27" xfId="31175" xr:uid="{00000000-0005-0000-0000-00009E7A0000}"/>
    <cellStyle name="RIGs input cells 2 8 28" xfId="31176" xr:uid="{00000000-0005-0000-0000-00009F7A0000}"/>
    <cellStyle name="RIGs input cells 2 8 29" xfId="31177" xr:uid="{00000000-0005-0000-0000-0000A07A0000}"/>
    <cellStyle name="RIGs input cells 2 8 3" xfId="31178" xr:uid="{00000000-0005-0000-0000-0000A17A0000}"/>
    <cellStyle name="RIGs input cells 2 8 3 2" xfId="31179" xr:uid="{00000000-0005-0000-0000-0000A27A0000}"/>
    <cellStyle name="RIGs input cells 2 8 3 3" xfId="31180" xr:uid="{00000000-0005-0000-0000-0000A37A0000}"/>
    <cellStyle name="RIGs input cells 2 8 30" xfId="31181" xr:uid="{00000000-0005-0000-0000-0000A47A0000}"/>
    <cellStyle name="RIGs input cells 2 8 31" xfId="31182" xr:uid="{00000000-0005-0000-0000-0000A57A0000}"/>
    <cellStyle name="RIGs input cells 2 8 32" xfId="31183" xr:uid="{00000000-0005-0000-0000-0000A67A0000}"/>
    <cellStyle name="RIGs input cells 2 8 33" xfId="31184" xr:uid="{00000000-0005-0000-0000-0000A77A0000}"/>
    <cellStyle name="RIGs input cells 2 8 34" xfId="31185" xr:uid="{00000000-0005-0000-0000-0000A87A0000}"/>
    <cellStyle name="RIGs input cells 2 8 4" xfId="31186" xr:uid="{00000000-0005-0000-0000-0000A97A0000}"/>
    <cellStyle name="RIGs input cells 2 8 4 2" xfId="31187" xr:uid="{00000000-0005-0000-0000-0000AA7A0000}"/>
    <cellStyle name="RIGs input cells 2 8 4 3" xfId="31188" xr:uid="{00000000-0005-0000-0000-0000AB7A0000}"/>
    <cellStyle name="RIGs input cells 2 8 5" xfId="31189" xr:uid="{00000000-0005-0000-0000-0000AC7A0000}"/>
    <cellStyle name="RIGs input cells 2 8 6" xfId="31190" xr:uid="{00000000-0005-0000-0000-0000AD7A0000}"/>
    <cellStyle name="RIGs input cells 2 8 7" xfId="31191" xr:uid="{00000000-0005-0000-0000-0000AE7A0000}"/>
    <cellStyle name="RIGs input cells 2 8 8" xfId="31192" xr:uid="{00000000-0005-0000-0000-0000AF7A0000}"/>
    <cellStyle name="RIGs input cells 2 8 9" xfId="31193" xr:uid="{00000000-0005-0000-0000-0000B07A0000}"/>
    <cellStyle name="RIGs input cells 2 9" xfId="31194" xr:uid="{00000000-0005-0000-0000-0000B17A0000}"/>
    <cellStyle name="RIGs input cells 2 9 10" xfId="31195" xr:uid="{00000000-0005-0000-0000-0000B27A0000}"/>
    <cellStyle name="RIGs input cells 2 9 11" xfId="31196" xr:uid="{00000000-0005-0000-0000-0000B37A0000}"/>
    <cellStyle name="RIGs input cells 2 9 12" xfId="31197" xr:uid="{00000000-0005-0000-0000-0000B47A0000}"/>
    <cellStyle name="RIGs input cells 2 9 13" xfId="31198" xr:uid="{00000000-0005-0000-0000-0000B57A0000}"/>
    <cellStyle name="RIGs input cells 2 9 14" xfId="31199" xr:uid="{00000000-0005-0000-0000-0000B67A0000}"/>
    <cellStyle name="RIGs input cells 2 9 15" xfId="31200" xr:uid="{00000000-0005-0000-0000-0000B77A0000}"/>
    <cellStyle name="RIGs input cells 2 9 16" xfId="31201" xr:uid="{00000000-0005-0000-0000-0000B87A0000}"/>
    <cellStyle name="RIGs input cells 2 9 17" xfId="31202" xr:uid="{00000000-0005-0000-0000-0000B97A0000}"/>
    <cellStyle name="RIGs input cells 2 9 18" xfId="31203" xr:uid="{00000000-0005-0000-0000-0000BA7A0000}"/>
    <cellStyle name="RIGs input cells 2 9 19" xfId="31204" xr:uid="{00000000-0005-0000-0000-0000BB7A0000}"/>
    <cellStyle name="RIGs input cells 2 9 2" xfId="31205" xr:uid="{00000000-0005-0000-0000-0000BC7A0000}"/>
    <cellStyle name="RIGs input cells 2 9 2 10" xfId="31206" xr:uid="{00000000-0005-0000-0000-0000BD7A0000}"/>
    <cellStyle name="RIGs input cells 2 9 2 11" xfId="31207" xr:uid="{00000000-0005-0000-0000-0000BE7A0000}"/>
    <cellStyle name="RIGs input cells 2 9 2 12" xfId="31208" xr:uid="{00000000-0005-0000-0000-0000BF7A0000}"/>
    <cellStyle name="RIGs input cells 2 9 2 13" xfId="31209" xr:uid="{00000000-0005-0000-0000-0000C07A0000}"/>
    <cellStyle name="RIGs input cells 2 9 2 2" xfId="31210" xr:uid="{00000000-0005-0000-0000-0000C17A0000}"/>
    <cellStyle name="RIGs input cells 2 9 2 2 2" xfId="31211" xr:uid="{00000000-0005-0000-0000-0000C27A0000}"/>
    <cellStyle name="RIGs input cells 2 9 2 2 3" xfId="31212" xr:uid="{00000000-0005-0000-0000-0000C37A0000}"/>
    <cellStyle name="RIGs input cells 2 9 2 3" xfId="31213" xr:uid="{00000000-0005-0000-0000-0000C47A0000}"/>
    <cellStyle name="RIGs input cells 2 9 2 3 2" xfId="31214" xr:uid="{00000000-0005-0000-0000-0000C57A0000}"/>
    <cellStyle name="RIGs input cells 2 9 2 3 3" xfId="31215" xr:uid="{00000000-0005-0000-0000-0000C67A0000}"/>
    <cellStyle name="RIGs input cells 2 9 2 4" xfId="31216" xr:uid="{00000000-0005-0000-0000-0000C77A0000}"/>
    <cellStyle name="RIGs input cells 2 9 2 5" xfId="31217" xr:uid="{00000000-0005-0000-0000-0000C87A0000}"/>
    <cellStyle name="RIGs input cells 2 9 2 6" xfId="31218" xr:uid="{00000000-0005-0000-0000-0000C97A0000}"/>
    <cellStyle name="RIGs input cells 2 9 2 7" xfId="31219" xr:uid="{00000000-0005-0000-0000-0000CA7A0000}"/>
    <cellStyle name="RIGs input cells 2 9 2 8" xfId="31220" xr:uid="{00000000-0005-0000-0000-0000CB7A0000}"/>
    <cellStyle name="RIGs input cells 2 9 2 9" xfId="31221" xr:uid="{00000000-0005-0000-0000-0000CC7A0000}"/>
    <cellStyle name="RIGs input cells 2 9 20" xfId="31222" xr:uid="{00000000-0005-0000-0000-0000CD7A0000}"/>
    <cellStyle name="RIGs input cells 2 9 21" xfId="31223" xr:uid="{00000000-0005-0000-0000-0000CE7A0000}"/>
    <cellStyle name="RIGs input cells 2 9 22" xfId="31224" xr:uid="{00000000-0005-0000-0000-0000CF7A0000}"/>
    <cellStyle name="RIGs input cells 2 9 23" xfId="31225" xr:uid="{00000000-0005-0000-0000-0000D07A0000}"/>
    <cellStyle name="RIGs input cells 2 9 24" xfId="31226" xr:uid="{00000000-0005-0000-0000-0000D17A0000}"/>
    <cellStyle name="RIGs input cells 2 9 25" xfId="31227" xr:uid="{00000000-0005-0000-0000-0000D27A0000}"/>
    <cellStyle name="RIGs input cells 2 9 26" xfId="31228" xr:uid="{00000000-0005-0000-0000-0000D37A0000}"/>
    <cellStyle name="RIGs input cells 2 9 27" xfId="31229" xr:uid="{00000000-0005-0000-0000-0000D47A0000}"/>
    <cellStyle name="RIGs input cells 2 9 28" xfId="31230" xr:uid="{00000000-0005-0000-0000-0000D57A0000}"/>
    <cellStyle name="RIGs input cells 2 9 29" xfId="31231" xr:uid="{00000000-0005-0000-0000-0000D67A0000}"/>
    <cellStyle name="RIGs input cells 2 9 3" xfId="31232" xr:uid="{00000000-0005-0000-0000-0000D77A0000}"/>
    <cellStyle name="RIGs input cells 2 9 3 2" xfId="31233" xr:uid="{00000000-0005-0000-0000-0000D87A0000}"/>
    <cellStyle name="RIGs input cells 2 9 3 3" xfId="31234" xr:uid="{00000000-0005-0000-0000-0000D97A0000}"/>
    <cellStyle name="RIGs input cells 2 9 30" xfId="31235" xr:uid="{00000000-0005-0000-0000-0000DA7A0000}"/>
    <cellStyle name="RIGs input cells 2 9 31" xfId="31236" xr:uid="{00000000-0005-0000-0000-0000DB7A0000}"/>
    <cellStyle name="RIGs input cells 2 9 32" xfId="31237" xr:uid="{00000000-0005-0000-0000-0000DC7A0000}"/>
    <cellStyle name="RIGs input cells 2 9 33" xfId="31238" xr:uid="{00000000-0005-0000-0000-0000DD7A0000}"/>
    <cellStyle name="RIGs input cells 2 9 34" xfId="31239" xr:uid="{00000000-0005-0000-0000-0000DE7A0000}"/>
    <cellStyle name="RIGs input cells 2 9 4" xfId="31240" xr:uid="{00000000-0005-0000-0000-0000DF7A0000}"/>
    <cellStyle name="RIGs input cells 2 9 4 2" xfId="31241" xr:uid="{00000000-0005-0000-0000-0000E07A0000}"/>
    <cellStyle name="RIGs input cells 2 9 4 3" xfId="31242" xr:uid="{00000000-0005-0000-0000-0000E17A0000}"/>
    <cellStyle name="RIGs input cells 2 9 5" xfId="31243" xr:uid="{00000000-0005-0000-0000-0000E27A0000}"/>
    <cellStyle name="RIGs input cells 2 9 6" xfId="31244" xr:uid="{00000000-0005-0000-0000-0000E37A0000}"/>
    <cellStyle name="RIGs input cells 2 9 7" xfId="31245" xr:uid="{00000000-0005-0000-0000-0000E47A0000}"/>
    <cellStyle name="RIGs input cells 2 9 8" xfId="31246" xr:uid="{00000000-0005-0000-0000-0000E57A0000}"/>
    <cellStyle name="RIGs input cells 2 9 9" xfId="31247" xr:uid="{00000000-0005-0000-0000-0000E67A0000}"/>
    <cellStyle name="RIGs input cells 2_1.3s Accounting C Costs Scots" xfId="31248" xr:uid="{00000000-0005-0000-0000-0000E77A0000}"/>
    <cellStyle name="RIGs input cells 20" xfId="31249" xr:uid="{00000000-0005-0000-0000-0000E87A0000}"/>
    <cellStyle name="RIGs input cells 20 2" xfId="31250" xr:uid="{00000000-0005-0000-0000-0000E97A0000}"/>
    <cellStyle name="RIGs input cells 21" xfId="31251" xr:uid="{00000000-0005-0000-0000-0000EA7A0000}"/>
    <cellStyle name="RIGs input cells 21 2" xfId="31252" xr:uid="{00000000-0005-0000-0000-0000EB7A0000}"/>
    <cellStyle name="RIGs input cells 22" xfId="31253" xr:uid="{00000000-0005-0000-0000-0000EC7A0000}"/>
    <cellStyle name="RIGs input cells 22 2" xfId="31254" xr:uid="{00000000-0005-0000-0000-0000ED7A0000}"/>
    <cellStyle name="RIGs input cells 23" xfId="31255" xr:uid="{00000000-0005-0000-0000-0000EE7A0000}"/>
    <cellStyle name="RIGs input cells 23 2" xfId="31256" xr:uid="{00000000-0005-0000-0000-0000EF7A0000}"/>
    <cellStyle name="RIGs input cells 24" xfId="31257" xr:uid="{00000000-0005-0000-0000-0000F07A0000}"/>
    <cellStyle name="RIGs input cells 24 2" xfId="31258" xr:uid="{00000000-0005-0000-0000-0000F17A0000}"/>
    <cellStyle name="RIGs input cells 25" xfId="31259" xr:uid="{00000000-0005-0000-0000-0000F27A0000}"/>
    <cellStyle name="RIGs input cells 25 2" xfId="31260" xr:uid="{00000000-0005-0000-0000-0000F37A0000}"/>
    <cellStyle name="RIGs input cells 26" xfId="31261" xr:uid="{00000000-0005-0000-0000-0000F47A0000}"/>
    <cellStyle name="RIGs input cells 26 2" xfId="31262" xr:uid="{00000000-0005-0000-0000-0000F57A0000}"/>
    <cellStyle name="RIGs input cells 27" xfId="31263" xr:uid="{00000000-0005-0000-0000-0000F67A0000}"/>
    <cellStyle name="RIGs input cells 27 2" xfId="31264" xr:uid="{00000000-0005-0000-0000-0000F77A0000}"/>
    <cellStyle name="RIGs input cells 28" xfId="31265" xr:uid="{00000000-0005-0000-0000-0000F87A0000}"/>
    <cellStyle name="RIGs input cells 28 2" xfId="31266" xr:uid="{00000000-0005-0000-0000-0000F97A0000}"/>
    <cellStyle name="RIGs input cells 29" xfId="31267" xr:uid="{00000000-0005-0000-0000-0000FA7A0000}"/>
    <cellStyle name="RIGs input cells 29 2" xfId="31268" xr:uid="{00000000-0005-0000-0000-0000FB7A0000}"/>
    <cellStyle name="RIGs input cells 3" xfId="31269" xr:uid="{00000000-0005-0000-0000-0000FC7A0000}"/>
    <cellStyle name="RIGs input cells 3 10" xfId="31270" xr:uid="{00000000-0005-0000-0000-0000FD7A0000}"/>
    <cellStyle name="RIGs input cells 3 10 10" xfId="31271" xr:uid="{00000000-0005-0000-0000-0000FE7A0000}"/>
    <cellStyle name="RIGs input cells 3 10 11" xfId="31272" xr:uid="{00000000-0005-0000-0000-0000FF7A0000}"/>
    <cellStyle name="RIGs input cells 3 10 12" xfId="31273" xr:uid="{00000000-0005-0000-0000-0000007B0000}"/>
    <cellStyle name="RIGs input cells 3 10 13" xfId="31274" xr:uid="{00000000-0005-0000-0000-0000017B0000}"/>
    <cellStyle name="RIGs input cells 3 10 14" xfId="31275" xr:uid="{00000000-0005-0000-0000-0000027B0000}"/>
    <cellStyle name="RIGs input cells 3 10 15" xfId="31276" xr:uid="{00000000-0005-0000-0000-0000037B0000}"/>
    <cellStyle name="RIGs input cells 3 10 16" xfId="31277" xr:uid="{00000000-0005-0000-0000-0000047B0000}"/>
    <cellStyle name="RIGs input cells 3 10 17" xfId="31278" xr:uid="{00000000-0005-0000-0000-0000057B0000}"/>
    <cellStyle name="RIGs input cells 3 10 18" xfId="31279" xr:uid="{00000000-0005-0000-0000-0000067B0000}"/>
    <cellStyle name="RIGs input cells 3 10 19" xfId="31280" xr:uid="{00000000-0005-0000-0000-0000077B0000}"/>
    <cellStyle name="RIGs input cells 3 10 2" xfId="31281" xr:uid="{00000000-0005-0000-0000-0000087B0000}"/>
    <cellStyle name="RIGs input cells 3 10 2 10" xfId="31282" xr:uid="{00000000-0005-0000-0000-0000097B0000}"/>
    <cellStyle name="RIGs input cells 3 10 2 11" xfId="31283" xr:uid="{00000000-0005-0000-0000-00000A7B0000}"/>
    <cellStyle name="RIGs input cells 3 10 2 12" xfId="31284" xr:uid="{00000000-0005-0000-0000-00000B7B0000}"/>
    <cellStyle name="RIGs input cells 3 10 2 13" xfId="31285" xr:uid="{00000000-0005-0000-0000-00000C7B0000}"/>
    <cellStyle name="RIGs input cells 3 10 2 2" xfId="31286" xr:uid="{00000000-0005-0000-0000-00000D7B0000}"/>
    <cellStyle name="RIGs input cells 3 10 2 2 2" xfId="31287" xr:uid="{00000000-0005-0000-0000-00000E7B0000}"/>
    <cellStyle name="RIGs input cells 3 10 2 2 3" xfId="31288" xr:uid="{00000000-0005-0000-0000-00000F7B0000}"/>
    <cellStyle name="RIGs input cells 3 10 2 3" xfId="31289" xr:uid="{00000000-0005-0000-0000-0000107B0000}"/>
    <cellStyle name="RIGs input cells 3 10 2 3 2" xfId="31290" xr:uid="{00000000-0005-0000-0000-0000117B0000}"/>
    <cellStyle name="RIGs input cells 3 10 2 3 3" xfId="31291" xr:uid="{00000000-0005-0000-0000-0000127B0000}"/>
    <cellStyle name="RIGs input cells 3 10 2 4" xfId="31292" xr:uid="{00000000-0005-0000-0000-0000137B0000}"/>
    <cellStyle name="RIGs input cells 3 10 2 5" xfId="31293" xr:uid="{00000000-0005-0000-0000-0000147B0000}"/>
    <cellStyle name="RIGs input cells 3 10 2 6" xfId="31294" xr:uid="{00000000-0005-0000-0000-0000157B0000}"/>
    <cellStyle name="RIGs input cells 3 10 2 7" xfId="31295" xr:uid="{00000000-0005-0000-0000-0000167B0000}"/>
    <cellStyle name="RIGs input cells 3 10 2 8" xfId="31296" xr:uid="{00000000-0005-0000-0000-0000177B0000}"/>
    <cellStyle name="RIGs input cells 3 10 2 9" xfId="31297" xr:uid="{00000000-0005-0000-0000-0000187B0000}"/>
    <cellStyle name="RIGs input cells 3 10 20" xfId="31298" xr:uid="{00000000-0005-0000-0000-0000197B0000}"/>
    <cellStyle name="RIGs input cells 3 10 21" xfId="31299" xr:uid="{00000000-0005-0000-0000-00001A7B0000}"/>
    <cellStyle name="RIGs input cells 3 10 22" xfId="31300" xr:uid="{00000000-0005-0000-0000-00001B7B0000}"/>
    <cellStyle name="RIGs input cells 3 10 23" xfId="31301" xr:uid="{00000000-0005-0000-0000-00001C7B0000}"/>
    <cellStyle name="RIGs input cells 3 10 24" xfId="31302" xr:uid="{00000000-0005-0000-0000-00001D7B0000}"/>
    <cellStyle name="RIGs input cells 3 10 25" xfId="31303" xr:uid="{00000000-0005-0000-0000-00001E7B0000}"/>
    <cellStyle name="RIGs input cells 3 10 26" xfId="31304" xr:uid="{00000000-0005-0000-0000-00001F7B0000}"/>
    <cellStyle name="RIGs input cells 3 10 27" xfId="31305" xr:uid="{00000000-0005-0000-0000-0000207B0000}"/>
    <cellStyle name="RIGs input cells 3 10 28" xfId="31306" xr:uid="{00000000-0005-0000-0000-0000217B0000}"/>
    <cellStyle name="RIGs input cells 3 10 29" xfId="31307" xr:uid="{00000000-0005-0000-0000-0000227B0000}"/>
    <cellStyle name="RIGs input cells 3 10 3" xfId="31308" xr:uid="{00000000-0005-0000-0000-0000237B0000}"/>
    <cellStyle name="RIGs input cells 3 10 3 2" xfId="31309" xr:uid="{00000000-0005-0000-0000-0000247B0000}"/>
    <cellStyle name="RIGs input cells 3 10 3 3" xfId="31310" xr:uid="{00000000-0005-0000-0000-0000257B0000}"/>
    <cellStyle name="RIGs input cells 3 10 30" xfId="31311" xr:uid="{00000000-0005-0000-0000-0000267B0000}"/>
    <cellStyle name="RIGs input cells 3 10 31" xfId="31312" xr:uid="{00000000-0005-0000-0000-0000277B0000}"/>
    <cellStyle name="RIGs input cells 3 10 32" xfId="31313" xr:uid="{00000000-0005-0000-0000-0000287B0000}"/>
    <cellStyle name="RIGs input cells 3 10 33" xfId="31314" xr:uid="{00000000-0005-0000-0000-0000297B0000}"/>
    <cellStyle name="RIGs input cells 3 10 34" xfId="31315" xr:uid="{00000000-0005-0000-0000-00002A7B0000}"/>
    <cellStyle name="RIGs input cells 3 10 4" xfId="31316" xr:uid="{00000000-0005-0000-0000-00002B7B0000}"/>
    <cellStyle name="RIGs input cells 3 10 4 2" xfId="31317" xr:uid="{00000000-0005-0000-0000-00002C7B0000}"/>
    <cellStyle name="RIGs input cells 3 10 4 3" xfId="31318" xr:uid="{00000000-0005-0000-0000-00002D7B0000}"/>
    <cellStyle name="RIGs input cells 3 10 5" xfId="31319" xr:uid="{00000000-0005-0000-0000-00002E7B0000}"/>
    <cellStyle name="RIGs input cells 3 10 6" xfId="31320" xr:uid="{00000000-0005-0000-0000-00002F7B0000}"/>
    <cellStyle name="RIGs input cells 3 10 7" xfId="31321" xr:uid="{00000000-0005-0000-0000-0000307B0000}"/>
    <cellStyle name="RIGs input cells 3 10 8" xfId="31322" xr:uid="{00000000-0005-0000-0000-0000317B0000}"/>
    <cellStyle name="RIGs input cells 3 10 9" xfId="31323" xr:uid="{00000000-0005-0000-0000-0000327B0000}"/>
    <cellStyle name="RIGs input cells 3 11" xfId="31324" xr:uid="{00000000-0005-0000-0000-0000337B0000}"/>
    <cellStyle name="RIGs input cells 3 11 10" xfId="31325" xr:uid="{00000000-0005-0000-0000-0000347B0000}"/>
    <cellStyle name="RIGs input cells 3 11 11" xfId="31326" xr:uid="{00000000-0005-0000-0000-0000357B0000}"/>
    <cellStyle name="RIGs input cells 3 11 12" xfId="31327" xr:uid="{00000000-0005-0000-0000-0000367B0000}"/>
    <cellStyle name="RIGs input cells 3 11 13" xfId="31328" xr:uid="{00000000-0005-0000-0000-0000377B0000}"/>
    <cellStyle name="RIGs input cells 3 11 14" xfId="31329" xr:uid="{00000000-0005-0000-0000-0000387B0000}"/>
    <cellStyle name="RIGs input cells 3 11 15" xfId="31330" xr:uid="{00000000-0005-0000-0000-0000397B0000}"/>
    <cellStyle name="RIGs input cells 3 11 16" xfId="31331" xr:uid="{00000000-0005-0000-0000-00003A7B0000}"/>
    <cellStyle name="RIGs input cells 3 11 17" xfId="31332" xr:uid="{00000000-0005-0000-0000-00003B7B0000}"/>
    <cellStyle name="RIGs input cells 3 11 18" xfId="31333" xr:uid="{00000000-0005-0000-0000-00003C7B0000}"/>
    <cellStyle name="RIGs input cells 3 11 19" xfId="31334" xr:uid="{00000000-0005-0000-0000-00003D7B0000}"/>
    <cellStyle name="RIGs input cells 3 11 2" xfId="31335" xr:uid="{00000000-0005-0000-0000-00003E7B0000}"/>
    <cellStyle name="RIGs input cells 3 11 2 10" xfId="31336" xr:uid="{00000000-0005-0000-0000-00003F7B0000}"/>
    <cellStyle name="RIGs input cells 3 11 2 11" xfId="31337" xr:uid="{00000000-0005-0000-0000-0000407B0000}"/>
    <cellStyle name="RIGs input cells 3 11 2 12" xfId="31338" xr:uid="{00000000-0005-0000-0000-0000417B0000}"/>
    <cellStyle name="RIGs input cells 3 11 2 13" xfId="31339" xr:uid="{00000000-0005-0000-0000-0000427B0000}"/>
    <cellStyle name="RIGs input cells 3 11 2 2" xfId="31340" xr:uid="{00000000-0005-0000-0000-0000437B0000}"/>
    <cellStyle name="RIGs input cells 3 11 2 2 2" xfId="31341" xr:uid="{00000000-0005-0000-0000-0000447B0000}"/>
    <cellStyle name="RIGs input cells 3 11 2 2 3" xfId="31342" xr:uid="{00000000-0005-0000-0000-0000457B0000}"/>
    <cellStyle name="RIGs input cells 3 11 2 3" xfId="31343" xr:uid="{00000000-0005-0000-0000-0000467B0000}"/>
    <cellStyle name="RIGs input cells 3 11 2 3 2" xfId="31344" xr:uid="{00000000-0005-0000-0000-0000477B0000}"/>
    <cellStyle name="RIGs input cells 3 11 2 3 3" xfId="31345" xr:uid="{00000000-0005-0000-0000-0000487B0000}"/>
    <cellStyle name="RIGs input cells 3 11 2 4" xfId="31346" xr:uid="{00000000-0005-0000-0000-0000497B0000}"/>
    <cellStyle name="RIGs input cells 3 11 2 5" xfId="31347" xr:uid="{00000000-0005-0000-0000-00004A7B0000}"/>
    <cellStyle name="RIGs input cells 3 11 2 6" xfId="31348" xr:uid="{00000000-0005-0000-0000-00004B7B0000}"/>
    <cellStyle name="RIGs input cells 3 11 2 7" xfId="31349" xr:uid="{00000000-0005-0000-0000-00004C7B0000}"/>
    <cellStyle name="RIGs input cells 3 11 2 8" xfId="31350" xr:uid="{00000000-0005-0000-0000-00004D7B0000}"/>
    <cellStyle name="RIGs input cells 3 11 2 9" xfId="31351" xr:uid="{00000000-0005-0000-0000-00004E7B0000}"/>
    <cellStyle name="RIGs input cells 3 11 20" xfId="31352" xr:uid="{00000000-0005-0000-0000-00004F7B0000}"/>
    <cellStyle name="RIGs input cells 3 11 21" xfId="31353" xr:uid="{00000000-0005-0000-0000-0000507B0000}"/>
    <cellStyle name="RIGs input cells 3 11 22" xfId="31354" xr:uid="{00000000-0005-0000-0000-0000517B0000}"/>
    <cellStyle name="RIGs input cells 3 11 23" xfId="31355" xr:uid="{00000000-0005-0000-0000-0000527B0000}"/>
    <cellStyle name="RIGs input cells 3 11 24" xfId="31356" xr:uid="{00000000-0005-0000-0000-0000537B0000}"/>
    <cellStyle name="RIGs input cells 3 11 25" xfId="31357" xr:uid="{00000000-0005-0000-0000-0000547B0000}"/>
    <cellStyle name="RIGs input cells 3 11 26" xfId="31358" xr:uid="{00000000-0005-0000-0000-0000557B0000}"/>
    <cellStyle name="RIGs input cells 3 11 27" xfId="31359" xr:uid="{00000000-0005-0000-0000-0000567B0000}"/>
    <cellStyle name="RIGs input cells 3 11 28" xfId="31360" xr:uid="{00000000-0005-0000-0000-0000577B0000}"/>
    <cellStyle name="RIGs input cells 3 11 29" xfId="31361" xr:uid="{00000000-0005-0000-0000-0000587B0000}"/>
    <cellStyle name="RIGs input cells 3 11 3" xfId="31362" xr:uid="{00000000-0005-0000-0000-0000597B0000}"/>
    <cellStyle name="RIGs input cells 3 11 3 2" xfId="31363" xr:uid="{00000000-0005-0000-0000-00005A7B0000}"/>
    <cellStyle name="RIGs input cells 3 11 3 3" xfId="31364" xr:uid="{00000000-0005-0000-0000-00005B7B0000}"/>
    <cellStyle name="RIGs input cells 3 11 30" xfId="31365" xr:uid="{00000000-0005-0000-0000-00005C7B0000}"/>
    <cellStyle name="RIGs input cells 3 11 31" xfId="31366" xr:uid="{00000000-0005-0000-0000-00005D7B0000}"/>
    <cellStyle name="RIGs input cells 3 11 32" xfId="31367" xr:uid="{00000000-0005-0000-0000-00005E7B0000}"/>
    <cellStyle name="RIGs input cells 3 11 33" xfId="31368" xr:uid="{00000000-0005-0000-0000-00005F7B0000}"/>
    <cellStyle name="RIGs input cells 3 11 34" xfId="31369" xr:uid="{00000000-0005-0000-0000-0000607B0000}"/>
    <cellStyle name="RIGs input cells 3 11 4" xfId="31370" xr:uid="{00000000-0005-0000-0000-0000617B0000}"/>
    <cellStyle name="RIGs input cells 3 11 4 2" xfId="31371" xr:uid="{00000000-0005-0000-0000-0000627B0000}"/>
    <cellStyle name="RIGs input cells 3 11 4 3" xfId="31372" xr:uid="{00000000-0005-0000-0000-0000637B0000}"/>
    <cellStyle name="RIGs input cells 3 11 5" xfId="31373" xr:uid="{00000000-0005-0000-0000-0000647B0000}"/>
    <cellStyle name="RIGs input cells 3 11 6" xfId="31374" xr:uid="{00000000-0005-0000-0000-0000657B0000}"/>
    <cellStyle name="RIGs input cells 3 11 7" xfId="31375" xr:uid="{00000000-0005-0000-0000-0000667B0000}"/>
    <cellStyle name="RIGs input cells 3 11 8" xfId="31376" xr:uid="{00000000-0005-0000-0000-0000677B0000}"/>
    <cellStyle name="RIGs input cells 3 11 9" xfId="31377" xr:uid="{00000000-0005-0000-0000-0000687B0000}"/>
    <cellStyle name="RIGs input cells 3 12" xfId="31378" xr:uid="{00000000-0005-0000-0000-0000697B0000}"/>
    <cellStyle name="RIGs input cells 3 12 10" xfId="31379" xr:uid="{00000000-0005-0000-0000-00006A7B0000}"/>
    <cellStyle name="RIGs input cells 3 12 11" xfId="31380" xr:uid="{00000000-0005-0000-0000-00006B7B0000}"/>
    <cellStyle name="RIGs input cells 3 12 12" xfId="31381" xr:uid="{00000000-0005-0000-0000-00006C7B0000}"/>
    <cellStyle name="RIGs input cells 3 12 13" xfId="31382" xr:uid="{00000000-0005-0000-0000-00006D7B0000}"/>
    <cellStyle name="RIGs input cells 3 12 2" xfId="31383" xr:uid="{00000000-0005-0000-0000-00006E7B0000}"/>
    <cellStyle name="RIGs input cells 3 12 2 2" xfId="31384" xr:uid="{00000000-0005-0000-0000-00006F7B0000}"/>
    <cellStyle name="RIGs input cells 3 12 2 3" xfId="31385" xr:uid="{00000000-0005-0000-0000-0000707B0000}"/>
    <cellStyle name="RIGs input cells 3 12 3" xfId="31386" xr:uid="{00000000-0005-0000-0000-0000717B0000}"/>
    <cellStyle name="RIGs input cells 3 12 3 2" xfId="31387" xr:uid="{00000000-0005-0000-0000-0000727B0000}"/>
    <cellStyle name="RIGs input cells 3 12 3 3" xfId="31388" xr:uid="{00000000-0005-0000-0000-0000737B0000}"/>
    <cellStyle name="RIGs input cells 3 12 4" xfId="31389" xr:uid="{00000000-0005-0000-0000-0000747B0000}"/>
    <cellStyle name="RIGs input cells 3 12 5" xfId="31390" xr:uid="{00000000-0005-0000-0000-0000757B0000}"/>
    <cellStyle name="RIGs input cells 3 12 6" xfId="31391" xr:uid="{00000000-0005-0000-0000-0000767B0000}"/>
    <cellStyle name="RIGs input cells 3 12 7" xfId="31392" xr:uid="{00000000-0005-0000-0000-0000777B0000}"/>
    <cellStyle name="RIGs input cells 3 12 8" xfId="31393" xr:uid="{00000000-0005-0000-0000-0000787B0000}"/>
    <cellStyle name="RIGs input cells 3 12 9" xfId="31394" xr:uid="{00000000-0005-0000-0000-0000797B0000}"/>
    <cellStyle name="RIGs input cells 3 13" xfId="31395" xr:uid="{00000000-0005-0000-0000-00007A7B0000}"/>
    <cellStyle name="RIGs input cells 3 13 2" xfId="31396" xr:uid="{00000000-0005-0000-0000-00007B7B0000}"/>
    <cellStyle name="RIGs input cells 3 13 2 2" xfId="31397" xr:uid="{00000000-0005-0000-0000-00007C7B0000}"/>
    <cellStyle name="RIGs input cells 3 13 2 3" xfId="31398" xr:uid="{00000000-0005-0000-0000-00007D7B0000}"/>
    <cellStyle name="RIGs input cells 3 13 3" xfId="31399" xr:uid="{00000000-0005-0000-0000-00007E7B0000}"/>
    <cellStyle name="RIGs input cells 3 13 3 2" xfId="31400" xr:uid="{00000000-0005-0000-0000-00007F7B0000}"/>
    <cellStyle name="RIGs input cells 3 13 4" xfId="31401" xr:uid="{00000000-0005-0000-0000-0000807B0000}"/>
    <cellStyle name="RIGs input cells 3 14" xfId="31402" xr:uid="{00000000-0005-0000-0000-0000817B0000}"/>
    <cellStyle name="RIGs input cells 3 14 2" xfId="31403" xr:uid="{00000000-0005-0000-0000-0000827B0000}"/>
    <cellStyle name="RIGs input cells 3 15" xfId="31404" xr:uid="{00000000-0005-0000-0000-0000837B0000}"/>
    <cellStyle name="RIGs input cells 3 15 2" xfId="31405" xr:uid="{00000000-0005-0000-0000-0000847B0000}"/>
    <cellStyle name="RIGs input cells 3 16" xfId="31406" xr:uid="{00000000-0005-0000-0000-0000857B0000}"/>
    <cellStyle name="RIGs input cells 3 16 2" xfId="31407" xr:uid="{00000000-0005-0000-0000-0000867B0000}"/>
    <cellStyle name="RIGs input cells 3 17" xfId="31408" xr:uid="{00000000-0005-0000-0000-0000877B0000}"/>
    <cellStyle name="RIGs input cells 3 17 2" xfId="31409" xr:uid="{00000000-0005-0000-0000-0000887B0000}"/>
    <cellStyle name="RIGs input cells 3 18" xfId="31410" xr:uid="{00000000-0005-0000-0000-0000897B0000}"/>
    <cellStyle name="RIGs input cells 3 18 2" xfId="31411" xr:uid="{00000000-0005-0000-0000-00008A7B0000}"/>
    <cellStyle name="RIGs input cells 3 19" xfId="31412" xr:uid="{00000000-0005-0000-0000-00008B7B0000}"/>
    <cellStyle name="RIGs input cells 3 19 2" xfId="31413" xr:uid="{00000000-0005-0000-0000-00008C7B0000}"/>
    <cellStyle name="RIGs input cells 3 2" xfId="31414" xr:uid="{00000000-0005-0000-0000-00008D7B0000}"/>
    <cellStyle name="RIGs input cells 3 2 10" xfId="31415" xr:uid="{00000000-0005-0000-0000-00008E7B0000}"/>
    <cellStyle name="RIGs input cells 3 2 10 2" xfId="31416" xr:uid="{00000000-0005-0000-0000-00008F7B0000}"/>
    <cellStyle name="RIGs input cells 3 2 11" xfId="31417" xr:uid="{00000000-0005-0000-0000-0000907B0000}"/>
    <cellStyle name="RIGs input cells 3 2 11 2" xfId="31418" xr:uid="{00000000-0005-0000-0000-0000917B0000}"/>
    <cellStyle name="RIGs input cells 3 2 12" xfId="31419" xr:uid="{00000000-0005-0000-0000-0000927B0000}"/>
    <cellStyle name="RIGs input cells 3 2 12 2" xfId="31420" xr:uid="{00000000-0005-0000-0000-0000937B0000}"/>
    <cellStyle name="RIGs input cells 3 2 13" xfId="31421" xr:uid="{00000000-0005-0000-0000-0000947B0000}"/>
    <cellStyle name="RIGs input cells 3 2 13 2" xfId="31422" xr:uid="{00000000-0005-0000-0000-0000957B0000}"/>
    <cellStyle name="RIGs input cells 3 2 14" xfId="31423" xr:uid="{00000000-0005-0000-0000-0000967B0000}"/>
    <cellStyle name="RIGs input cells 3 2 14 2" xfId="31424" xr:uid="{00000000-0005-0000-0000-0000977B0000}"/>
    <cellStyle name="RIGs input cells 3 2 15" xfId="31425" xr:uid="{00000000-0005-0000-0000-0000987B0000}"/>
    <cellStyle name="RIGs input cells 3 2 15 2" xfId="31426" xr:uid="{00000000-0005-0000-0000-0000997B0000}"/>
    <cellStyle name="RIGs input cells 3 2 16" xfId="31427" xr:uid="{00000000-0005-0000-0000-00009A7B0000}"/>
    <cellStyle name="RIGs input cells 3 2 16 2" xfId="31428" xr:uid="{00000000-0005-0000-0000-00009B7B0000}"/>
    <cellStyle name="RIGs input cells 3 2 17" xfId="31429" xr:uid="{00000000-0005-0000-0000-00009C7B0000}"/>
    <cellStyle name="RIGs input cells 3 2 17 2" xfId="31430" xr:uid="{00000000-0005-0000-0000-00009D7B0000}"/>
    <cellStyle name="RIGs input cells 3 2 18" xfId="31431" xr:uid="{00000000-0005-0000-0000-00009E7B0000}"/>
    <cellStyle name="RIGs input cells 3 2 18 2" xfId="31432" xr:uid="{00000000-0005-0000-0000-00009F7B0000}"/>
    <cellStyle name="RIGs input cells 3 2 19" xfId="31433" xr:uid="{00000000-0005-0000-0000-0000A07B0000}"/>
    <cellStyle name="RIGs input cells 3 2 19 2" xfId="31434" xr:uid="{00000000-0005-0000-0000-0000A17B0000}"/>
    <cellStyle name="RIGs input cells 3 2 2" xfId="31435" xr:uid="{00000000-0005-0000-0000-0000A27B0000}"/>
    <cellStyle name="RIGs input cells 3 2 2 10" xfId="31436" xr:uid="{00000000-0005-0000-0000-0000A37B0000}"/>
    <cellStyle name="RIGs input cells 3 2 2 10 2" xfId="31437" xr:uid="{00000000-0005-0000-0000-0000A47B0000}"/>
    <cellStyle name="RIGs input cells 3 2 2 11" xfId="31438" xr:uid="{00000000-0005-0000-0000-0000A57B0000}"/>
    <cellStyle name="RIGs input cells 3 2 2 11 2" xfId="31439" xr:uid="{00000000-0005-0000-0000-0000A67B0000}"/>
    <cellStyle name="RIGs input cells 3 2 2 12" xfId="31440" xr:uid="{00000000-0005-0000-0000-0000A77B0000}"/>
    <cellStyle name="RIGs input cells 3 2 2 12 2" xfId="31441" xr:uid="{00000000-0005-0000-0000-0000A87B0000}"/>
    <cellStyle name="RIGs input cells 3 2 2 13" xfId="31442" xr:uid="{00000000-0005-0000-0000-0000A97B0000}"/>
    <cellStyle name="RIGs input cells 3 2 2 13 2" xfId="31443" xr:uid="{00000000-0005-0000-0000-0000AA7B0000}"/>
    <cellStyle name="RIGs input cells 3 2 2 14" xfId="31444" xr:uid="{00000000-0005-0000-0000-0000AB7B0000}"/>
    <cellStyle name="RIGs input cells 3 2 2 14 2" xfId="31445" xr:uid="{00000000-0005-0000-0000-0000AC7B0000}"/>
    <cellStyle name="RIGs input cells 3 2 2 15" xfId="31446" xr:uid="{00000000-0005-0000-0000-0000AD7B0000}"/>
    <cellStyle name="RIGs input cells 3 2 2 15 2" xfId="31447" xr:uid="{00000000-0005-0000-0000-0000AE7B0000}"/>
    <cellStyle name="RIGs input cells 3 2 2 16" xfId="31448" xr:uid="{00000000-0005-0000-0000-0000AF7B0000}"/>
    <cellStyle name="RIGs input cells 3 2 2 16 2" xfId="31449" xr:uid="{00000000-0005-0000-0000-0000B07B0000}"/>
    <cellStyle name="RIGs input cells 3 2 2 17" xfId="31450" xr:uid="{00000000-0005-0000-0000-0000B17B0000}"/>
    <cellStyle name="RIGs input cells 3 2 2 17 2" xfId="31451" xr:uid="{00000000-0005-0000-0000-0000B27B0000}"/>
    <cellStyle name="RIGs input cells 3 2 2 18" xfId="31452" xr:uid="{00000000-0005-0000-0000-0000B37B0000}"/>
    <cellStyle name="RIGs input cells 3 2 2 18 2" xfId="31453" xr:uid="{00000000-0005-0000-0000-0000B47B0000}"/>
    <cellStyle name="RIGs input cells 3 2 2 19" xfId="31454" xr:uid="{00000000-0005-0000-0000-0000B57B0000}"/>
    <cellStyle name="RIGs input cells 3 2 2 19 2" xfId="31455" xr:uid="{00000000-0005-0000-0000-0000B67B0000}"/>
    <cellStyle name="RIGs input cells 3 2 2 2" xfId="31456" xr:uid="{00000000-0005-0000-0000-0000B77B0000}"/>
    <cellStyle name="RIGs input cells 3 2 2 2 10" xfId="31457" xr:uid="{00000000-0005-0000-0000-0000B87B0000}"/>
    <cellStyle name="RIGs input cells 3 2 2 2 11" xfId="31458" xr:uid="{00000000-0005-0000-0000-0000B97B0000}"/>
    <cellStyle name="RIGs input cells 3 2 2 2 12" xfId="31459" xr:uid="{00000000-0005-0000-0000-0000BA7B0000}"/>
    <cellStyle name="RIGs input cells 3 2 2 2 13" xfId="31460" xr:uid="{00000000-0005-0000-0000-0000BB7B0000}"/>
    <cellStyle name="RIGs input cells 3 2 2 2 14" xfId="31461" xr:uid="{00000000-0005-0000-0000-0000BC7B0000}"/>
    <cellStyle name="RIGs input cells 3 2 2 2 15" xfId="31462" xr:uid="{00000000-0005-0000-0000-0000BD7B0000}"/>
    <cellStyle name="RIGs input cells 3 2 2 2 16" xfId="31463" xr:uid="{00000000-0005-0000-0000-0000BE7B0000}"/>
    <cellStyle name="RIGs input cells 3 2 2 2 17" xfId="31464" xr:uid="{00000000-0005-0000-0000-0000BF7B0000}"/>
    <cellStyle name="RIGs input cells 3 2 2 2 18" xfId="31465" xr:uid="{00000000-0005-0000-0000-0000C07B0000}"/>
    <cellStyle name="RIGs input cells 3 2 2 2 19" xfId="31466" xr:uid="{00000000-0005-0000-0000-0000C17B0000}"/>
    <cellStyle name="RIGs input cells 3 2 2 2 2" xfId="31467" xr:uid="{00000000-0005-0000-0000-0000C27B0000}"/>
    <cellStyle name="RIGs input cells 3 2 2 2 2 10" xfId="31468" xr:uid="{00000000-0005-0000-0000-0000C37B0000}"/>
    <cellStyle name="RIGs input cells 3 2 2 2 2 11" xfId="31469" xr:uid="{00000000-0005-0000-0000-0000C47B0000}"/>
    <cellStyle name="RIGs input cells 3 2 2 2 2 12" xfId="31470" xr:uid="{00000000-0005-0000-0000-0000C57B0000}"/>
    <cellStyle name="RIGs input cells 3 2 2 2 2 13" xfId="31471" xr:uid="{00000000-0005-0000-0000-0000C67B0000}"/>
    <cellStyle name="RIGs input cells 3 2 2 2 2 14" xfId="31472" xr:uid="{00000000-0005-0000-0000-0000C77B0000}"/>
    <cellStyle name="RIGs input cells 3 2 2 2 2 15" xfId="31473" xr:uid="{00000000-0005-0000-0000-0000C87B0000}"/>
    <cellStyle name="RIGs input cells 3 2 2 2 2 16" xfId="31474" xr:uid="{00000000-0005-0000-0000-0000C97B0000}"/>
    <cellStyle name="RIGs input cells 3 2 2 2 2 17" xfId="31475" xr:uid="{00000000-0005-0000-0000-0000CA7B0000}"/>
    <cellStyle name="RIGs input cells 3 2 2 2 2 18" xfId="31476" xr:uid="{00000000-0005-0000-0000-0000CB7B0000}"/>
    <cellStyle name="RIGs input cells 3 2 2 2 2 19" xfId="31477" xr:uid="{00000000-0005-0000-0000-0000CC7B0000}"/>
    <cellStyle name="RIGs input cells 3 2 2 2 2 2" xfId="31478" xr:uid="{00000000-0005-0000-0000-0000CD7B0000}"/>
    <cellStyle name="RIGs input cells 3 2 2 2 2 2 10" xfId="31479" xr:uid="{00000000-0005-0000-0000-0000CE7B0000}"/>
    <cellStyle name="RIGs input cells 3 2 2 2 2 2 11" xfId="31480" xr:uid="{00000000-0005-0000-0000-0000CF7B0000}"/>
    <cellStyle name="RIGs input cells 3 2 2 2 2 2 12" xfId="31481" xr:uid="{00000000-0005-0000-0000-0000D07B0000}"/>
    <cellStyle name="RIGs input cells 3 2 2 2 2 2 13" xfId="31482" xr:uid="{00000000-0005-0000-0000-0000D17B0000}"/>
    <cellStyle name="RIGs input cells 3 2 2 2 2 2 2" xfId="31483" xr:uid="{00000000-0005-0000-0000-0000D27B0000}"/>
    <cellStyle name="RIGs input cells 3 2 2 2 2 2 2 2" xfId="31484" xr:uid="{00000000-0005-0000-0000-0000D37B0000}"/>
    <cellStyle name="RIGs input cells 3 2 2 2 2 2 2 3" xfId="31485" xr:uid="{00000000-0005-0000-0000-0000D47B0000}"/>
    <cellStyle name="RIGs input cells 3 2 2 2 2 2 3" xfId="31486" xr:uid="{00000000-0005-0000-0000-0000D57B0000}"/>
    <cellStyle name="RIGs input cells 3 2 2 2 2 2 3 2" xfId="31487" xr:uid="{00000000-0005-0000-0000-0000D67B0000}"/>
    <cellStyle name="RIGs input cells 3 2 2 2 2 2 3 3" xfId="31488" xr:uid="{00000000-0005-0000-0000-0000D77B0000}"/>
    <cellStyle name="RIGs input cells 3 2 2 2 2 2 4" xfId="31489" xr:uid="{00000000-0005-0000-0000-0000D87B0000}"/>
    <cellStyle name="RIGs input cells 3 2 2 2 2 2 5" xfId="31490" xr:uid="{00000000-0005-0000-0000-0000D97B0000}"/>
    <cellStyle name="RIGs input cells 3 2 2 2 2 2 6" xfId="31491" xr:uid="{00000000-0005-0000-0000-0000DA7B0000}"/>
    <cellStyle name="RIGs input cells 3 2 2 2 2 2 7" xfId="31492" xr:uid="{00000000-0005-0000-0000-0000DB7B0000}"/>
    <cellStyle name="RIGs input cells 3 2 2 2 2 2 8" xfId="31493" xr:uid="{00000000-0005-0000-0000-0000DC7B0000}"/>
    <cellStyle name="RIGs input cells 3 2 2 2 2 2 9" xfId="31494" xr:uid="{00000000-0005-0000-0000-0000DD7B0000}"/>
    <cellStyle name="RIGs input cells 3 2 2 2 2 20" xfId="31495" xr:uid="{00000000-0005-0000-0000-0000DE7B0000}"/>
    <cellStyle name="RIGs input cells 3 2 2 2 2 21" xfId="31496" xr:uid="{00000000-0005-0000-0000-0000DF7B0000}"/>
    <cellStyle name="RIGs input cells 3 2 2 2 2 22" xfId="31497" xr:uid="{00000000-0005-0000-0000-0000E07B0000}"/>
    <cellStyle name="RIGs input cells 3 2 2 2 2 23" xfId="31498" xr:uid="{00000000-0005-0000-0000-0000E17B0000}"/>
    <cellStyle name="RIGs input cells 3 2 2 2 2 24" xfId="31499" xr:uid="{00000000-0005-0000-0000-0000E27B0000}"/>
    <cellStyle name="RIGs input cells 3 2 2 2 2 25" xfId="31500" xr:uid="{00000000-0005-0000-0000-0000E37B0000}"/>
    <cellStyle name="RIGs input cells 3 2 2 2 2 26" xfId="31501" xr:uid="{00000000-0005-0000-0000-0000E47B0000}"/>
    <cellStyle name="RIGs input cells 3 2 2 2 2 27" xfId="31502" xr:uid="{00000000-0005-0000-0000-0000E57B0000}"/>
    <cellStyle name="RIGs input cells 3 2 2 2 2 28" xfId="31503" xr:uid="{00000000-0005-0000-0000-0000E67B0000}"/>
    <cellStyle name="RIGs input cells 3 2 2 2 2 29" xfId="31504" xr:uid="{00000000-0005-0000-0000-0000E77B0000}"/>
    <cellStyle name="RIGs input cells 3 2 2 2 2 3" xfId="31505" xr:uid="{00000000-0005-0000-0000-0000E87B0000}"/>
    <cellStyle name="RIGs input cells 3 2 2 2 2 3 2" xfId="31506" xr:uid="{00000000-0005-0000-0000-0000E97B0000}"/>
    <cellStyle name="RIGs input cells 3 2 2 2 2 3 3" xfId="31507" xr:uid="{00000000-0005-0000-0000-0000EA7B0000}"/>
    <cellStyle name="RIGs input cells 3 2 2 2 2 30" xfId="31508" xr:uid="{00000000-0005-0000-0000-0000EB7B0000}"/>
    <cellStyle name="RIGs input cells 3 2 2 2 2 31" xfId="31509" xr:uid="{00000000-0005-0000-0000-0000EC7B0000}"/>
    <cellStyle name="RIGs input cells 3 2 2 2 2 32" xfId="31510" xr:uid="{00000000-0005-0000-0000-0000ED7B0000}"/>
    <cellStyle name="RIGs input cells 3 2 2 2 2 33" xfId="31511" xr:uid="{00000000-0005-0000-0000-0000EE7B0000}"/>
    <cellStyle name="RIGs input cells 3 2 2 2 2 34" xfId="31512" xr:uid="{00000000-0005-0000-0000-0000EF7B0000}"/>
    <cellStyle name="RIGs input cells 3 2 2 2 2 4" xfId="31513" xr:uid="{00000000-0005-0000-0000-0000F07B0000}"/>
    <cellStyle name="RIGs input cells 3 2 2 2 2 4 2" xfId="31514" xr:uid="{00000000-0005-0000-0000-0000F17B0000}"/>
    <cellStyle name="RIGs input cells 3 2 2 2 2 4 3" xfId="31515" xr:uid="{00000000-0005-0000-0000-0000F27B0000}"/>
    <cellStyle name="RIGs input cells 3 2 2 2 2 5" xfId="31516" xr:uid="{00000000-0005-0000-0000-0000F37B0000}"/>
    <cellStyle name="RIGs input cells 3 2 2 2 2 6" xfId="31517" xr:uid="{00000000-0005-0000-0000-0000F47B0000}"/>
    <cellStyle name="RIGs input cells 3 2 2 2 2 7" xfId="31518" xr:uid="{00000000-0005-0000-0000-0000F57B0000}"/>
    <cellStyle name="RIGs input cells 3 2 2 2 2 8" xfId="31519" xr:uid="{00000000-0005-0000-0000-0000F67B0000}"/>
    <cellStyle name="RIGs input cells 3 2 2 2 2 9" xfId="31520" xr:uid="{00000000-0005-0000-0000-0000F77B0000}"/>
    <cellStyle name="RIGs input cells 3 2 2 2 20" xfId="31521" xr:uid="{00000000-0005-0000-0000-0000F87B0000}"/>
    <cellStyle name="RIGs input cells 3 2 2 2 21" xfId="31522" xr:uid="{00000000-0005-0000-0000-0000F97B0000}"/>
    <cellStyle name="RIGs input cells 3 2 2 2 22" xfId="31523" xr:uid="{00000000-0005-0000-0000-0000FA7B0000}"/>
    <cellStyle name="RIGs input cells 3 2 2 2 23" xfId="31524" xr:uid="{00000000-0005-0000-0000-0000FB7B0000}"/>
    <cellStyle name="RIGs input cells 3 2 2 2 24" xfId="31525" xr:uid="{00000000-0005-0000-0000-0000FC7B0000}"/>
    <cellStyle name="RIGs input cells 3 2 2 2 25" xfId="31526" xr:uid="{00000000-0005-0000-0000-0000FD7B0000}"/>
    <cellStyle name="RIGs input cells 3 2 2 2 26" xfId="31527" xr:uid="{00000000-0005-0000-0000-0000FE7B0000}"/>
    <cellStyle name="RIGs input cells 3 2 2 2 27" xfId="31528" xr:uid="{00000000-0005-0000-0000-0000FF7B0000}"/>
    <cellStyle name="RIGs input cells 3 2 2 2 28" xfId="31529" xr:uid="{00000000-0005-0000-0000-0000007C0000}"/>
    <cellStyle name="RIGs input cells 3 2 2 2 29" xfId="31530" xr:uid="{00000000-0005-0000-0000-0000017C0000}"/>
    <cellStyle name="RIGs input cells 3 2 2 2 3" xfId="31531" xr:uid="{00000000-0005-0000-0000-0000027C0000}"/>
    <cellStyle name="RIGs input cells 3 2 2 2 3 10" xfId="31532" xr:uid="{00000000-0005-0000-0000-0000037C0000}"/>
    <cellStyle name="RIGs input cells 3 2 2 2 3 11" xfId="31533" xr:uid="{00000000-0005-0000-0000-0000047C0000}"/>
    <cellStyle name="RIGs input cells 3 2 2 2 3 12" xfId="31534" xr:uid="{00000000-0005-0000-0000-0000057C0000}"/>
    <cellStyle name="RIGs input cells 3 2 2 2 3 13" xfId="31535" xr:uid="{00000000-0005-0000-0000-0000067C0000}"/>
    <cellStyle name="RIGs input cells 3 2 2 2 3 2" xfId="31536" xr:uid="{00000000-0005-0000-0000-0000077C0000}"/>
    <cellStyle name="RIGs input cells 3 2 2 2 3 2 2" xfId="31537" xr:uid="{00000000-0005-0000-0000-0000087C0000}"/>
    <cellStyle name="RIGs input cells 3 2 2 2 3 2 3" xfId="31538" xr:uid="{00000000-0005-0000-0000-0000097C0000}"/>
    <cellStyle name="RIGs input cells 3 2 2 2 3 3" xfId="31539" xr:uid="{00000000-0005-0000-0000-00000A7C0000}"/>
    <cellStyle name="RIGs input cells 3 2 2 2 3 3 2" xfId="31540" xr:uid="{00000000-0005-0000-0000-00000B7C0000}"/>
    <cellStyle name="RIGs input cells 3 2 2 2 3 3 3" xfId="31541" xr:uid="{00000000-0005-0000-0000-00000C7C0000}"/>
    <cellStyle name="RIGs input cells 3 2 2 2 3 4" xfId="31542" xr:uid="{00000000-0005-0000-0000-00000D7C0000}"/>
    <cellStyle name="RIGs input cells 3 2 2 2 3 5" xfId="31543" xr:uid="{00000000-0005-0000-0000-00000E7C0000}"/>
    <cellStyle name="RIGs input cells 3 2 2 2 3 6" xfId="31544" xr:uid="{00000000-0005-0000-0000-00000F7C0000}"/>
    <cellStyle name="RIGs input cells 3 2 2 2 3 7" xfId="31545" xr:uid="{00000000-0005-0000-0000-0000107C0000}"/>
    <cellStyle name="RIGs input cells 3 2 2 2 3 8" xfId="31546" xr:uid="{00000000-0005-0000-0000-0000117C0000}"/>
    <cellStyle name="RIGs input cells 3 2 2 2 3 9" xfId="31547" xr:uid="{00000000-0005-0000-0000-0000127C0000}"/>
    <cellStyle name="RIGs input cells 3 2 2 2 30" xfId="31548" xr:uid="{00000000-0005-0000-0000-0000137C0000}"/>
    <cellStyle name="RIGs input cells 3 2 2 2 31" xfId="31549" xr:uid="{00000000-0005-0000-0000-0000147C0000}"/>
    <cellStyle name="RIGs input cells 3 2 2 2 32" xfId="31550" xr:uid="{00000000-0005-0000-0000-0000157C0000}"/>
    <cellStyle name="RIGs input cells 3 2 2 2 33" xfId="31551" xr:uid="{00000000-0005-0000-0000-0000167C0000}"/>
    <cellStyle name="RIGs input cells 3 2 2 2 34" xfId="31552" xr:uid="{00000000-0005-0000-0000-0000177C0000}"/>
    <cellStyle name="RIGs input cells 3 2 2 2 35" xfId="31553" xr:uid="{00000000-0005-0000-0000-0000187C0000}"/>
    <cellStyle name="RIGs input cells 3 2 2 2 4" xfId="31554" xr:uid="{00000000-0005-0000-0000-0000197C0000}"/>
    <cellStyle name="RIGs input cells 3 2 2 2 4 2" xfId="31555" xr:uid="{00000000-0005-0000-0000-00001A7C0000}"/>
    <cellStyle name="RIGs input cells 3 2 2 2 4 3" xfId="31556" xr:uid="{00000000-0005-0000-0000-00001B7C0000}"/>
    <cellStyle name="RIGs input cells 3 2 2 2 5" xfId="31557" xr:uid="{00000000-0005-0000-0000-00001C7C0000}"/>
    <cellStyle name="RIGs input cells 3 2 2 2 5 2" xfId="31558" xr:uid="{00000000-0005-0000-0000-00001D7C0000}"/>
    <cellStyle name="RIGs input cells 3 2 2 2 5 3" xfId="31559" xr:uid="{00000000-0005-0000-0000-00001E7C0000}"/>
    <cellStyle name="RIGs input cells 3 2 2 2 6" xfId="31560" xr:uid="{00000000-0005-0000-0000-00001F7C0000}"/>
    <cellStyle name="RIGs input cells 3 2 2 2 7" xfId="31561" xr:uid="{00000000-0005-0000-0000-0000207C0000}"/>
    <cellStyle name="RIGs input cells 3 2 2 2 8" xfId="31562" xr:uid="{00000000-0005-0000-0000-0000217C0000}"/>
    <cellStyle name="RIGs input cells 3 2 2 2 9" xfId="31563" xr:uid="{00000000-0005-0000-0000-0000227C0000}"/>
    <cellStyle name="RIGs input cells 3 2 2 2_4 28 1_Asst_Health_Crit_AllTO_RIIO_20110714pm" xfId="31564" xr:uid="{00000000-0005-0000-0000-0000237C0000}"/>
    <cellStyle name="RIGs input cells 3 2 2 20" xfId="31565" xr:uid="{00000000-0005-0000-0000-0000247C0000}"/>
    <cellStyle name="RIGs input cells 3 2 2 20 2" xfId="31566" xr:uid="{00000000-0005-0000-0000-0000257C0000}"/>
    <cellStyle name="RIGs input cells 3 2 2 21" xfId="31567" xr:uid="{00000000-0005-0000-0000-0000267C0000}"/>
    <cellStyle name="RIGs input cells 3 2 2 21 2" xfId="31568" xr:uid="{00000000-0005-0000-0000-0000277C0000}"/>
    <cellStyle name="RIGs input cells 3 2 2 22" xfId="31569" xr:uid="{00000000-0005-0000-0000-0000287C0000}"/>
    <cellStyle name="RIGs input cells 3 2 2 22 2" xfId="31570" xr:uid="{00000000-0005-0000-0000-0000297C0000}"/>
    <cellStyle name="RIGs input cells 3 2 2 23" xfId="31571" xr:uid="{00000000-0005-0000-0000-00002A7C0000}"/>
    <cellStyle name="RIGs input cells 3 2 2 23 2" xfId="31572" xr:uid="{00000000-0005-0000-0000-00002B7C0000}"/>
    <cellStyle name="RIGs input cells 3 2 2 24" xfId="31573" xr:uid="{00000000-0005-0000-0000-00002C7C0000}"/>
    <cellStyle name="RIGs input cells 3 2 2 24 2" xfId="31574" xr:uid="{00000000-0005-0000-0000-00002D7C0000}"/>
    <cellStyle name="RIGs input cells 3 2 2 25" xfId="31575" xr:uid="{00000000-0005-0000-0000-00002E7C0000}"/>
    <cellStyle name="RIGs input cells 3 2 2 25 2" xfId="31576" xr:uid="{00000000-0005-0000-0000-00002F7C0000}"/>
    <cellStyle name="RIGs input cells 3 2 2 26" xfId="31577" xr:uid="{00000000-0005-0000-0000-0000307C0000}"/>
    <cellStyle name="RIGs input cells 3 2 2 27" xfId="31578" xr:uid="{00000000-0005-0000-0000-0000317C0000}"/>
    <cellStyle name="RIGs input cells 3 2 2 28" xfId="31579" xr:uid="{00000000-0005-0000-0000-0000327C0000}"/>
    <cellStyle name="RIGs input cells 3 2 2 29" xfId="31580" xr:uid="{00000000-0005-0000-0000-0000337C0000}"/>
    <cellStyle name="RIGs input cells 3 2 2 3" xfId="31581" xr:uid="{00000000-0005-0000-0000-0000347C0000}"/>
    <cellStyle name="RIGs input cells 3 2 2 3 10" xfId="31582" xr:uid="{00000000-0005-0000-0000-0000357C0000}"/>
    <cellStyle name="RIGs input cells 3 2 2 3 11" xfId="31583" xr:uid="{00000000-0005-0000-0000-0000367C0000}"/>
    <cellStyle name="RIGs input cells 3 2 2 3 12" xfId="31584" xr:uid="{00000000-0005-0000-0000-0000377C0000}"/>
    <cellStyle name="RIGs input cells 3 2 2 3 13" xfId="31585" xr:uid="{00000000-0005-0000-0000-0000387C0000}"/>
    <cellStyle name="RIGs input cells 3 2 2 3 14" xfId="31586" xr:uid="{00000000-0005-0000-0000-0000397C0000}"/>
    <cellStyle name="RIGs input cells 3 2 2 3 15" xfId="31587" xr:uid="{00000000-0005-0000-0000-00003A7C0000}"/>
    <cellStyle name="RIGs input cells 3 2 2 3 16" xfId="31588" xr:uid="{00000000-0005-0000-0000-00003B7C0000}"/>
    <cellStyle name="RIGs input cells 3 2 2 3 17" xfId="31589" xr:uid="{00000000-0005-0000-0000-00003C7C0000}"/>
    <cellStyle name="RIGs input cells 3 2 2 3 18" xfId="31590" xr:uid="{00000000-0005-0000-0000-00003D7C0000}"/>
    <cellStyle name="RIGs input cells 3 2 2 3 19" xfId="31591" xr:uid="{00000000-0005-0000-0000-00003E7C0000}"/>
    <cellStyle name="RIGs input cells 3 2 2 3 2" xfId="31592" xr:uid="{00000000-0005-0000-0000-00003F7C0000}"/>
    <cellStyle name="RIGs input cells 3 2 2 3 2 10" xfId="31593" xr:uid="{00000000-0005-0000-0000-0000407C0000}"/>
    <cellStyle name="RIGs input cells 3 2 2 3 2 11" xfId="31594" xr:uid="{00000000-0005-0000-0000-0000417C0000}"/>
    <cellStyle name="RIGs input cells 3 2 2 3 2 12" xfId="31595" xr:uid="{00000000-0005-0000-0000-0000427C0000}"/>
    <cellStyle name="RIGs input cells 3 2 2 3 2 13" xfId="31596" xr:uid="{00000000-0005-0000-0000-0000437C0000}"/>
    <cellStyle name="RIGs input cells 3 2 2 3 2 2" xfId="31597" xr:uid="{00000000-0005-0000-0000-0000447C0000}"/>
    <cellStyle name="RIGs input cells 3 2 2 3 2 2 2" xfId="31598" xr:uid="{00000000-0005-0000-0000-0000457C0000}"/>
    <cellStyle name="RIGs input cells 3 2 2 3 2 2 3" xfId="31599" xr:uid="{00000000-0005-0000-0000-0000467C0000}"/>
    <cellStyle name="RIGs input cells 3 2 2 3 2 3" xfId="31600" xr:uid="{00000000-0005-0000-0000-0000477C0000}"/>
    <cellStyle name="RIGs input cells 3 2 2 3 2 3 2" xfId="31601" xr:uid="{00000000-0005-0000-0000-0000487C0000}"/>
    <cellStyle name="RIGs input cells 3 2 2 3 2 3 3" xfId="31602" xr:uid="{00000000-0005-0000-0000-0000497C0000}"/>
    <cellStyle name="RIGs input cells 3 2 2 3 2 4" xfId="31603" xr:uid="{00000000-0005-0000-0000-00004A7C0000}"/>
    <cellStyle name="RIGs input cells 3 2 2 3 2 5" xfId="31604" xr:uid="{00000000-0005-0000-0000-00004B7C0000}"/>
    <cellStyle name="RIGs input cells 3 2 2 3 2 6" xfId="31605" xr:uid="{00000000-0005-0000-0000-00004C7C0000}"/>
    <cellStyle name="RIGs input cells 3 2 2 3 2 7" xfId="31606" xr:uid="{00000000-0005-0000-0000-00004D7C0000}"/>
    <cellStyle name="RIGs input cells 3 2 2 3 2 8" xfId="31607" xr:uid="{00000000-0005-0000-0000-00004E7C0000}"/>
    <cellStyle name="RIGs input cells 3 2 2 3 2 9" xfId="31608" xr:uid="{00000000-0005-0000-0000-00004F7C0000}"/>
    <cellStyle name="RIGs input cells 3 2 2 3 20" xfId="31609" xr:uid="{00000000-0005-0000-0000-0000507C0000}"/>
    <cellStyle name="RIGs input cells 3 2 2 3 21" xfId="31610" xr:uid="{00000000-0005-0000-0000-0000517C0000}"/>
    <cellStyle name="RIGs input cells 3 2 2 3 22" xfId="31611" xr:uid="{00000000-0005-0000-0000-0000527C0000}"/>
    <cellStyle name="RIGs input cells 3 2 2 3 23" xfId="31612" xr:uid="{00000000-0005-0000-0000-0000537C0000}"/>
    <cellStyle name="RIGs input cells 3 2 2 3 24" xfId="31613" xr:uid="{00000000-0005-0000-0000-0000547C0000}"/>
    <cellStyle name="RIGs input cells 3 2 2 3 25" xfId="31614" xr:uid="{00000000-0005-0000-0000-0000557C0000}"/>
    <cellStyle name="RIGs input cells 3 2 2 3 26" xfId="31615" xr:uid="{00000000-0005-0000-0000-0000567C0000}"/>
    <cellStyle name="RIGs input cells 3 2 2 3 27" xfId="31616" xr:uid="{00000000-0005-0000-0000-0000577C0000}"/>
    <cellStyle name="RIGs input cells 3 2 2 3 28" xfId="31617" xr:uid="{00000000-0005-0000-0000-0000587C0000}"/>
    <cellStyle name="RIGs input cells 3 2 2 3 29" xfId="31618" xr:uid="{00000000-0005-0000-0000-0000597C0000}"/>
    <cellStyle name="RIGs input cells 3 2 2 3 3" xfId="31619" xr:uid="{00000000-0005-0000-0000-00005A7C0000}"/>
    <cellStyle name="RIGs input cells 3 2 2 3 3 2" xfId="31620" xr:uid="{00000000-0005-0000-0000-00005B7C0000}"/>
    <cellStyle name="RIGs input cells 3 2 2 3 3 3" xfId="31621" xr:uid="{00000000-0005-0000-0000-00005C7C0000}"/>
    <cellStyle name="RIGs input cells 3 2 2 3 30" xfId="31622" xr:uid="{00000000-0005-0000-0000-00005D7C0000}"/>
    <cellStyle name="RIGs input cells 3 2 2 3 31" xfId="31623" xr:uid="{00000000-0005-0000-0000-00005E7C0000}"/>
    <cellStyle name="RIGs input cells 3 2 2 3 32" xfId="31624" xr:uid="{00000000-0005-0000-0000-00005F7C0000}"/>
    <cellStyle name="RIGs input cells 3 2 2 3 33" xfId="31625" xr:uid="{00000000-0005-0000-0000-0000607C0000}"/>
    <cellStyle name="RIGs input cells 3 2 2 3 34" xfId="31626" xr:uid="{00000000-0005-0000-0000-0000617C0000}"/>
    <cellStyle name="RIGs input cells 3 2 2 3 4" xfId="31627" xr:uid="{00000000-0005-0000-0000-0000627C0000}"/>
    <cellStyle name="RIGs input cells 3 2 2 3 4 2" xfId="31628" xr:uid="{00000000-0005-0000-0000-0000637C0000}"/>
    <cellStyle name="RIGs input cells 3 2 2 3 4 3" xfId="31629" xr:uid="{00000000-0005-0000-0000-0000647C0000}"/>
    <cellStyle name="RIGs input cells 3 2 2 3 5" xfId="31630" xr:uid="{00000000-0005-0000-0000-0000657C0000}"/>
    <cellStyle name="RIGs input cells 3 2 2 3 6" xfId="31631" xr:uid="{00000000-0005-0000-0000-0000667C0000}"/>
    <cellStyle name="RIGs input cells 3 2 2 3 7" xfId="31632" xr:uid="{00000000-0005-0000-0000-0000677C0000}"/>
    <cellStyle name="RIGs input cells 3 2 2 3 8" xfId="31633" xr:uid="{00000000-0005-0000-0000-0000687C0000}"/>
    <cellStyle name="RIGs input cells 3 2 2 3 9" xfId="31634" xr:uid="{00000000-0005-0000-0000-0000697C0000}"/>
    <cellStyle name="RIGs input cells 3 2 2 30" xfId="31635" xr:uid="{00000000-0005-0000-0000-00006A7C0000}"/>
    <cellStyle name="RIGs input cells 3 2 2 31" xfId="31636" xr:uid="{00000000-0005-0000-0000-00006B7C0000}"/>
    <cellStyle name="RIGs input cells 3 2 2 32" xfId="31637" xr:uid="{00000000-0005-0000-0000-00006C7C0000}"/>
    <cellStyle name="RIGs input cells 3 2 2 33" xfId="31638" xr:uid="{00000000-0005-0000-0000-00006D7C0000}"/>
    <cellStyle name="RIGs input cells 3 2 2 34" xfId="31639" xr:uid="{00000000-0005-0000-0000-00006E7C0000}"/>
    <cellStyle name="RIGs input cells 3 2 2 35" xfId="31640" xr:uid="{00000000-0005-0000-0000-00006F7C0000}"/>
    <cellStyle name="RIGs input cells 3 2 2 36" xfId="31641" xr:uid="{00000000-0005-0000-0000-0000707C0000}"/>
    <cellStyle name="RIGs input cells 3 2 2 37" xfId="31642" xr:uid="{00000000-0005-0000-0000-0000717C0000}"/>
    <cellStyle name="RIGs input cells 3 2 2 38" xfId="31643" xr:uid="{00000000-0005-0000-0000-0000727C0000}"/>
    <cellStyle name="RIGs input cells 3 2 2 4" xfId="31644" xr:uid="{00000000-0005-0000-0000-0000737C0000}"/>
    <cellStyle name="RIGs input cells 3 2 2 4 10" xfId="31645" xr:uid="{00000000-0005-0000-0000-0000747C0000}"/>
    <cellStyle name="RIGs input cells 3 2 2 4 11" xfId="31646" xr:uid="{00000000-0005-0000-0000-0000757C0000}"/>
    <cellStyle name="RIGs input cells 3 2 2 4 12" xfId="31647" xr:uid="{00000000-0005-0000-0000-0000767C0000}"/>
    <cellStyle name="RIGs input cells 3 2 2 4 13" xfId="31648" xr:uid="{00000000-0005-0000-0000-0000777C0000}"/>
    <cellStyle name="RIGs input cells 3 2 2 4 14" xfId="31649" xr:uid="{00000000-0005-0000-0000-0000787C0000}"/>
    <cellStyle name="RIGs input cells 3 2 2 4 15" xfId="31650" xr:uid="{00000000-0005-0000-0000-0000797C0000}"/>
    <cellStyle name="RIGs input cells 3 2 2 4 16" xfId="31651" xr:uid="{00000000-0005-0000-0000-00007A7C0000}"/>
    <cellStyle name="RIGs input cells 3 2 2 4 17" xfId="31652" xr:uid="{00000000-0005-0000-0000-00007B7C0000}"/>
    <cellStyle name="RIGs input cells 3 2 2 4 18" xfId="31653" xr:uid="{00000000-0005-0000-0000-00007C7C0000}"/>
    <cellStyle name="RIGs input cells 3 2 2 4 19" xfId="31654" xr:uid="{00000000-0005-0000-0000-00007D7C0000}"/>
    <cellStyle name="RIGs input cells 3 2 2 4 2" xfId="31655" xr:uid="{00000000-0005-0000-0000-00007E7C0000}"/>
    <cellStyle name="RIGs input cells 3 2 2 4 2 10" xfId="31656" xr:uid="{00000000-0005-0000-0000-00007F7C0000}"/>
    <cellStyle name="RIGs input cells 3 2 2 4 2 11" xfId="31657" xr:uid="{00000000-0005-0000-0000-0000807C0000}"/>
    <cellStyle name="RIGs input cells 3 2 2 4 2 12" xfId="31658" xr:uid="{00000000-0005-0000-0000-0000817C0000}"/>
    <cellStyle name="RIGs input cells 3 2 2 4 2 13" xfId="31659" xr:uid="{00000000-0005-0000-0000-0000827C0000}"/>
    <cellStyle name="RIGs input cells 3 2 2 4 2 2" xfId="31660" xr:uid="{00000000-0005-0000-0000-0000837C0000}"/>
    <cellStyle name="RIGs input cells 3 2 2 4 2 2 2" xfId="31661" xr:uid="{00000000-0005-0000-0000-0000847C0000}"/>
    <cellStyle name="RIGs input cells 3 2 2 4 2 2 3" xfId="31662" xr:uid="{00000000-0005-0000-0000-0000857C0000}"/>
    <cellStyle name="RIGs input cells 3 2 2 4 2 3" xfId="31663" xr:uid="{00000000-0005-0000-0000-0000867C0000}"/>
    <cellStyle name="RIGs input cells 3 2 2 4 2 3 2" xfId="31664" xr:uid="{00000000-0005-0000-0000-0000877C0000}"/>
    <cellStyle name="RIGs input cells 3 2 2 4 2 3 3" xfId="31665" xr:uid="{00000000-0005-0000-0000-0000887C0000}"/>
    <cellStyle name="RIGs input cells 3 2 2 4 2 4" xfId="31666" xr:uid="{00000000-0005-0000-0000-0000897C0000}"/>
    <cellStyle name="RIGs input cells 3 2 2 4 2 5" xfId="31667" xr:uid="{00000000-0005-0000-0000-00008A7C0000}"/>
    <cellStyle name="RIGs input cells 3 2 2 4 2 6" xfId="31668" xr:uid="{00000000-0005-0000-0000-00008B7C0000}"/>
    <cellStyle name="RIGs input cells 3 2 2 4 2 7" xfId="31669" xr:uid="{00000000-0005-0000-0000-00008C7C0000}"/>
    <cellStyle name="RIGs input cells 3 2 2 4 2 8" xfId="31670" xr:uid="{00000000-0005-0000-0000-00008D7C0000}"/>
    <cellStyle name="RIGs input cells 3 2 2 4 2 9" xfId="31671" xr:uid="{00000000-0005-0000-0000-00008E7C0000}"/>
    <cellStyle name="RIGs input cells 3 2 2 4 20" xfId="31672" xr:uid="{00000000-0005-0000-0000-00008F7C0000}"/>
    <cellStyle name="RIGs input cells 3 2 2 4 21" xfId="31673" xr:uid="{00000000-0005-0000-0000-0000907C0000}"/>
    <cellStyle name="RIGs input cells 3 2 2 4 22" xfId="31674" xr:uid="{00000000-0005-0000-0000-0000917C0000}"/>
    <cellStyle name="RIGs input cells 3 2 2 4 23" xfId="31675" xr:uid="{00000000-0005-0000-0000-0000927C0000}"/>
    <cellStyle name="RIGs input cells 3 2 2 4 24" xfId="31676" xr:uid="{00000000-0005-0000-0000-0000937C0000}"/>
    <cellStyle name="RIGs input cells 3 2 2 4 25" xfId="31677" xr:uid="{00000000-0005-0000-0000-0000947C0000}"/>
    <cellStyle name="RIGs input cells 3 2 2 4 26" xfId="31678" xr:uid="{00000000-0005-0000-0000-0000957C0000}"/>
    <cellStyle name="RIGs input cells 3 2 2 4 27" xfId="31679" xr:uid="{00000000-0005-0000-0000-0000967C0000}"/>
    <cellStyle name="RIGs input cells 3 2 2 4 28" xfId="31680" xr:uid="{00000000-0005-0000-0000-0000977C0000}"/>
    <cellStyle name="RIGs input cells 3 2 2 4 29" xfId="31681" xr:uid="{00000000-0005-0000-0000-0000987C0000}"/>
    <cellStyle name="RIGs input cells 3 2 2 4 3" xfId="31682" xr:uid="{00000000-0005-0000-0000-0000997C0000}"/>
    <cellStyle name="RIGs input cells 3 2 2 4 3 2" xfId="31683" xr:uid="{00000000-0005-0000-0000-00009A7C0000}"/>
    <cellStyle name="RIGs input cells 3 2 2 4 3 3" xfId="31684" xr:uid="{00000000-0005-0000-0000-00009B7C0000}"/>
    <cellStyle name="RIGs input cells 3 2 2 4 30" xfId="31685" xr:uid="{00000000-0005-0000-0000-00009C7C0000}"/>
    <cellStyle name="RIGs input cells 3 2 2 4 31" xfId="31686" xr:uid="{00000000-0005-0000-0000-00009D7C0000}"/>
    <cellStyle name="RIGs input cells 3 2 2 4 32" xfId="31687" xr:uid="{00000000-0005-0000-0000-00009E7C0000}"/>
    <cellStyle name="RIGs input cells 3 2 2 4 33" xfId="31688" xr:uid="{00000000-0005-0000-0000-00009F7C0000}"/>
    <cellStyle name="RIGs input cells 3 2 2 4 34" xfId="31689" xr:uid="{00000000-0005-0000-0000-0000A07C0000}"/>
    <cellStyle name="RIGs input cells 3 2 2 4 4" xfId="31690" xr:uid="{00000000-0005-0000-0000-0000A17C0000}"/>
    <cellStyle name="RIGs input cells 3 2 2 4 4 2" xfId="31691" xr:uid="{00000000-0005-0000-0000-0000A27C0000}"/>
    <cellStyle name="RIGs input cells 3 2 2 4 4 3" xfId="31692" xr:uid="{00000000-0005-0000-0000-0000A37C0000}"/>
    <cellStyle name="RIGs input cells 3 2 2 4 5" xfId="31693" xr:uid="{00000000-0005-0000-0000-0000A47C0000}"/>
    <cellStyle name="RIGs input cells 3 2 2 4 6" xfId="31694" xr:uid="{00000000-0005-0000-0000-0000A57C0000}"/>
    <cellStyle name="RIGs input cells 3 2 2 4 7" xfId="31695" xr:uid="{00000000-0005-0000-0000-0000A67C0000}"/>
    <cellStyle name="RIGs input cells 3 2 2 4 8" xfId="31696" xr:uid="{00000000-0005-0000-0000-0000A77C0000}"/>
    <cellStyle name="RIGs input cells 3 2 2 4 9" xfId="31697" xr:uid="{00000000-0005-0000-0000-0000A87C0000}"/>
    <cellStyle name="RIGs input cells 3 2 2 5" xfId="31698" xr:uid="{00000000-0005-0000-0000-0000A97C0000}"/>
    <cellStyle name="RIGs input cells 3 2 2 5 10" xfId="31699" xr:uid="{00000000-0005-0000-0000-0000AA7C0000}"/>
    <cellStyle name="RIGs input cells 3 2 2 5 11" xfId="31700" xr:uid="{00000000-0005-0000-0000-0000AB7C0000}"/>
    <cellStyle name="RIGs input cells 3 2 2 5 12" xfId="31701" xr:uid="{00000000-0005-0000-0000-0000AC7C0000}"/>
    <cellStyle name="RIGs input cells 3 2 2 5 13" xfId="31702" xr:uid="{00000000-0005-0000-0000-0000AD7C0000}"/>
    <cellStyle name="RIGs input cells 3 2 2 5 2" xfId="31703" xr:uid="{00000000-0005-0000-0000-0000AE7C0000}"/>
    <cellStyle name="RIGs input cells 3 2 2 5 2 2" xfId="31704" xr:uid="{00000000-0005-0000-0000-0000AF7C0000}"/>
    <cellStyle name="RIGs input cells 3 2 2 5 2 3" xfId="31705" xr:uid="{00000000-0005-0000-0000-0000B07C0000}"/>
    <cellStyle name="RIGs input cells 3 2 2 5 3" xfId="31706" xr:uid="{00000000-0005-0000-0000-0000B17C0000}"/>
    <cellStyle name="RIGs input cells 3 2 2 5 3 2" xfId="31707" xr:uid="{00000000-0005-0000-0000-0000B27C0000}"/>
    <cellStyle name="RIGs input cells 3 2 2 5 3 3" xfId="31708" xr:uid="{00000000-0005-0000-0000-0000B37C0000}"/>
    <cellStyle name="RIGs input cells 3 2 2 5 4" xfId="31709" xr:uid="{00000000-0005-0000-0000-0000B47C0000}"/>
    <cellStyle name="RIGs input cells 3 2 2 5 5" xfId="31710" xr:uid="{00000000-0005-0000-0000-0000B57C0000}"/>
    <cellStyle name="RIGs input cells 3 2 2 5 6" xfId="31711" xr:uid="{00000000-0005-0000-0000-0000B67C0000}"/>
    <cellStyle name="RIGs input cells 3 2 2 5 7" xfId="31712" xr:uid="{00000000-0005-0000-0000-0000B77C0000}"/>
    <cellStyle name="RIGs input cells 3 2 2 5 8" xfId="31713" xr:uid="{00000000-0005-0000-0000-0000B87C0000}"/>
    <cellStyle name="RIGs input cells 3 2 2 5 9" xfId="31714" xr:uid="{00000000-0005-0000-0000-0000B97C0000}"/>
    <cellStyle name="RIGs input cells 3 2 2 6" xfId="31715" xr:uid="{00000000-0005-0000-0000-0000BA7C0000}"/>
    <cellStyle name="RIGs input cells 3 2 2 6 2" xfId="31716" xr:uid="{00000000-0005-0000-0000-0000BB7C0000}"/>
    <cellStyle name="RIGs input cells 3 2 2 6 2 2" xfId="31717" xr:uid="{00000000-0005-0000-0000-0000BC7C0000}"/>
    <cellStyle name="RIGs input cells 3 2 2 6 2 3" xfId="31718" xr:uid="{00000000-0005-0000-0000-0000BD7C0000}"/>
    <cellStyle name="RIGs input cells 3 2 2 6 3" xfId="31719" xr:uid="{00000000-0005-0000-0000-0000BE7C0000}"/>
    <cellStyle name="RIGs input cells 3 2 2 6 3 2" xfId="31720" xr:uid="{00000000-0005-0000-0000-0000BF7C0000}"/>
    <cellStyle name="RIGs input cells 3 2 2 6 4" xfId="31721" xr:uid="{00000000-0005-0000-0000-0000C07C0000}"/>
    <cellStyle name="RIGs input cells 3 2 2 7" xfId="31722" xr:uid="{00000000-0005-0000-0000-0000C17C0000}"/>
    <cellStyle name="RIGs input cells 3 2 2 7 2" xfId="31723" xr:uid="{00000000-0005-0000-0000-0000C27C0000}"/>
    <cellStyle name="RIGs input cells 3 2 2 8" xfId="31724" xr:uid="{00000000-0005-0000-0000-0000C37C0000}"/>
    <cellStyle name="RIGs input cells 3 2 2 8 2" xfId="31725" xr:uid="{00000000-0005-0000-0000-0000C47C0000}"/>
    <cellStyle name="RIGs input cells 3 2 2 9" xfId="31726" xr:uid="{00000000-0005-0000-0000-0000C57C0000}"/>
    <cellStyle name="RIGs input cells 3 2 2 9 2" xfId="31727" xr:uid="{00000000-0005-0000-0000-0000C67C0000}"/>
    <cellStyle name="RIGs input cells 3 2 2_4 28 1_Asst_Health_Crit_AllTO_RIIO_20110714pm" xfId="31728" xr:uid="{00000000-0005-0000-0000-0000C77C0000}"/>
    <cellStyle name="RIGs input cells 3 2 20" xfId="31729" xr:uid="{00000000-0005-0000-0000-0000C87C0000}"/>
    <cellStyle name="RIGs input cells 3 2 20 2" xfId="31730" xr:uid="{00000000-0005-0000-0000-0000C97C0000}"/>
    <cellStyle name="RIGs input cells 3 2 21" xfId="31731" xr:uid="{00000000-0005-0000-0000-0000CA7C0000}"/>
    <cellStyle name="RIGs input cells 3 2 21 2" xfId="31732" xr:uid="{00000000-0005-0000-0000-0000CB7C0000}"/>
    <cellStyle name="RIGs input cells 3 2 22" xfId="31733" xr:uid="{00000000-0005-0000-0000-0000CC7C0000}"/>
    <cellStyle name="RIGs input cells 3 2 22 2" xfId="31734" xr:uid="{00000000-0005-0000-0000-0000CD7C0000}"/>
    <cellStyle name="RIGs input cells 3 2 23" xfId="31735" xr:uid="{00000000-0005-0000-0000-0000CE7C0000}"/>
    <cellStyle name="RIGs input cells 3 2 23 2" xfId="31736" xr:uid="{00000000-0005-0000-0000-0000CF7C0000}"/>
    <cellStyle name="RIGs input cells 3 2 24" xfId="31737" xr:uid="{00000000-0005-0000-0000-0000D07C0000}"/>
    <cellStyle name="RIGs input cells 3 2 24 2" xfId="31738" xr:uid="{00000000-0005-0000-0000-0000D17C0000}"/>
    <cellStyle name="RIGs input cells 3 2 25" xfId="31739" xr:uid="{00000000-0005-0000-0000-0000D27C0000}"/>
    <cellStyle name="RIGs input cells 3 2 25 2" xfId="31740" xr:uid="{00000000-0005-0000-0000-0000D37C0000}"/>
    <cellStyle name="RIGs input cells 3 2 26" xfId="31741" xr:uid="{00000000-0005-0000-0000-0000D47C0000}"/>
    <cellStyle name="RIGs input cells 3 2 26 2" xfId="31742" xr:uid="{00000000-0005-0000-0000-0000D57C0000}"/>
    <cellStyle name="RIGs input cells 3 2 27" xfId="31743" xr:uid="{00000000-0005-0000-0000-0000D67C0000}"/>
    <cellStyle name="RIGs input cells 3 2 28" xfId="31744" xr:uid="{00000000-0005-0000-0000-0000D77C0000}"/>
    <cellStyle name="RIGs input cells 3 2 29" xfId="31745" xr:uid="{00000000-0005-0000-0000-0000D87C0000}"/>
    <cellStyle name="RIGs input cells 3 2 3" xfId="31746" xr:uid="{00000000-0005-0000-0000-0000D97C0000}"/>
    <cellStyle name="RIGs input cells 3 2 3 10" xfId="31747" xr:uid="{00000000-0005-0000-0000-0000DA7C0000}"/>
    <cellStyle name="RIGs input cells 3 2 3 11" xfId="31748" xr:uid="{00000000-0005-0000-0000-0000DB7C0000}"/>
    <cellStyle name="RIGs input cells 3 2 3 12" xfId="31749" xr:uid="{00000000-0005-0000-0000-0000DC7C0000}"/>
    <cellStyle name="RIGs input cells 3 2 3 13" xfId="31750" xr:uid="{00000000-0005-0000-0000-0000DD7C0000}"/>
    <cellStyle name="RIGs input cells 3 2 3 14" xfId="31751" xr:uid="{00000000-0005-0000-0000-0000DE7C0000}"/>
    <cellStyle name="RIGs input cells 3 2 3 15" xfId="31752" xr:uid="{00000000-0005-0000-0000-0000DF7C0000}"/>
    <cellStyle name="RIGs input cells 3 2 3 16" xfId="31753" xr:uid="{00000000-0005-0000-0000-0000E07C0000}"/>
    <cellStyle name="RIGs input cells 3 2 3 17" xfId="31754" xr:uid="{00000000-0005-0000-0000-0000E17C0000}"/>
    <cellStyle name="RIGs input cells 3 2 3 18" xfId="31755" xr:uid="{00000000-0005-0000-0000-0000E27C0000}"/>
    <cellStyle name="RIGs input cells 3 2 3 19" xfId="31756" xr:uid="{00000000-0005-0000-0000-0000E37C0000}"/>
    <cellStyle name="RIGs input cells 3 2 3 2" xfId="31757" xr:uid="{00000000-0005-0000-0000-0000E47C0000}"/>
    <cellStyle name="RIGs input cells 3 2 3 2 10" xfId="31758" xr:uid="{00000000-0005-0000-0000-0000E57C0000}"/>
    <cellStyle name="RIGs input cells 3 2 3 2 11" xfId="31759" xr:uid="{00000000-0005-0000-0000-0000E67C0000}"/>
    <cellStyle name="RIGs input cells 3 2 3 2 12" xfId="31760" xr:uid="{00000000-0005-0000-0000-0000E77C0000}"/>
    <cellStyle name="RIGs input cells 3 2 3 2 13" xfId="31761" xr:uid="{00000000-0005-0000-0000-0000E87C0000}"/>
    <cellStyle name="RIGs input cells 3 2 3 2 14" xfId="31762" xr:uid="{00000000-0005-0000-0000-0000E97C0000}"/>
    <cellStyle name="RIGs input cells 3 2 3 2 15" xfId="31763" xr:uid="{00000000-0005-0000-0000-0000EA7C0000}"/>
    <cellStyle name="RIGs input cells 3 2 3 2 16" xfId="31764" xr:uid="{00000000-0005-0000-0000-0000EB7C0000}"/>
    <cellStyle name="RIGs input cells 3 2 3 2 17" xfId="31765" xr:uid="{00000000-0005-0000-0000-0000EC7C0000}"/>
    <cellStyle name="RIGs input cells 3 2 3 2 18" xfId="31766" xr:uid="{00000000-0005-0000-0000-0000ED7C0000}"/>
    <cellStyle name="RIGs input cells 3 2 3 2 19" xfId="31767" xr:uid="{00000000-0005-0000-0000-0000EE7C0000}"/>
    <cellStyle name="RIGs input cells 3 2 3 2 2" xfId="31768" xr:uid="{00000000-0005-0000-0000-0000EF7C0000}"/>
    <cellStyle name="RIGs input cells 3 2 3 2 2 10" xfId="31769" xr:uid="{00000000-0005-0000-0000-0000F07C0000}"/>
    <cellStyle name="RIGs input cells 3 2 3 2 2 11" xfId="31770" xr:uid="{00000000-0005-0000-0000-0000F17C0000}"/>
    <cellStyle name="RIGs input cells 3 2 3 2 2 12" xfId="31771" xr:uid="{00000000-0005-0000-0000-0000F27C0000}"/>
    <cellStyle name="RIGs input cells 3 2 3 2 2 13" xfId="31772" xr:uid="{00000000-0005-0000-0000-0000F37C0000}"/>
    <cellStyle name="RIGs input cells 3 2 3 2 2 2" xfId="31773" xr:uid="{00000000-0005-0000-0000-0000F47C0000}"/>
    <cellStyle name="RIGs input cells 3 2 3 2 2 2 2" xfId="31774" xr:uid="{00000000-0005-0000-0000-0000F57C0000}"/>
    <cellStyle name="RIGs input cells 3 2 3 2 2 2 3" xfId="31775" xr:uid="{00000000-0005-0000-0000-0000F67C0000}"/>
    <cellStyle name="RIGs input cells 3 2 3 2 2 3" xfId="31776" xr:uid="{00000000-0005-0000-0000-0000F77C0000}"/>
    <cellStyle name="RIGs input cells 3 2 3 2 2 3 2" xfId="31777" xr:uid="{00000000-0005-0000-0000-0000F87C0000}"/>
    <cellStyle name="RIGs input cells 3 2 3 2 2 3 3" xfId="31778" xr:uid="{00000000-0005-0000-0000-0000F97C0000}"/>
    <cellStyle name="RIGs input cells 3 2 3 2 2 4" xfId="31779" xr:uid="{00000000-0005-0000-0000-0000FA7C0000}"/>
    <cellStyle name="RIGs input cells 3 2 3 2 2 5" xfId="31780" xr:uid="{00000000-0005-0000-0000-0000FB7C0000}"/>
    <cellStyle name="RIGs input cells 3 2 3 2 2 6" xfId="31781" xr:uid="{00000000-0005-0000-0000-0000FC7C0000}"/>
    <cellStyle name="RIGs input cells 3 2 3 2 2 7" xfId="31782" xr:uid="{00000000-0005-0000-0000-0000FD7C0000}"/>
    <cellStyle name="RIGs input cells 3 2 3 2 2 8" xfId="31783" xr:uid="{00000000-0005-0000-0000-0000FE7C0000}"/>
    <cellStyle name="RIGs input cells 3 2 3 2 2 9" xfId="31784" xr:uid="{00000000-0005-0000-0000-0000FF7C0000}"/>
    <cellStyle name="RIGs input cells 3 2 3 2 20" xfId="31785" xr:uid="{00000000-0005-0000-0000-0000007D0000}"/>
    <cellStyle name="RIGs input cells 3 2 3 2 21" xfId="31786" xr:uid="{00000000-0005-0000-0000-0000017D0000}"/>
    <cellStyle name="RIGs input cells 3 2 3 2 22" xfId="31787" xr:uid="{00000000-0005-0000-0000-0000027D0000}"/>
    <cellStyle name="RIGs input cells 3 2 3 2 23" xfId="31788" xr:uid="{00000000-0005-0000-0000-0000037D0000}"/>
    <cellStyle name="RIGs input cells 3 2 3 2 24" xfId="31789" xr:uid="{00000000-0005-0000-0000-0000047D0000}"/>
    <cellStyle name="RIGs input cells 3 2 3 2 25" xfId="31790" xr:uid="{00000000-0005-0000-0000-0000057D0000}"/>
    <cellStyle name="RIGs input cells 3 2 3 2 26" xfId="31791" xr:uid="{00000000-0005-0000-0000-0000067D0000}"/>
    <cellStyle name="RIGs input cells 3 2 3 2 27" xfId="31792" xr:uid="{00000000-0005-0000-0000-0000077D0000}"/>
    <cellStyle name="RIGs input cells 3 2 3 2 28" xfId="31793" xr:uid="{00000000-0005-0000-0000-0000087D0000}"/>
    <cellStyle name="RIGs input cells 3 2 3 2 29" xfId="31794" xr:uid="{00000000-0005-0000-0000-0000097D0000}"/>
    <cellStyle name="RIGs input cells 3 2 3 2 3" xfId="31795" xr:uid="{00000000-0005-0000-0000-00000A7D0000}"/>
    <cellStyle name="RIGs input cells 3 2 3 2 3 2" xfId="31796" xr:uid="{00000000-0005-0000-0000-00000B7D0000}"/>
    <cellStyle name="RIGs input cells 3 2 3 2 3 3" xfId="31797" xr:uid="{00000000-0005-0000-0000-00000C7D0000}"/>
    <cellStyle name="RIGs input cells 3 2 3 2 30" xfId="31798" xr:uid="{00000000-0005-0000-0000-00000D7D0000}"/>
    <cellStyle name="RIGs input cells 3 2 3 2 31" xfId="31799" xr:uid="{00000000-0005-0000-0000-00000E7D0000}"/>
    <cellStyle name="RIGs input cells 3 2 3 2 32" xfId="31800" xr:uid="{00000000-0005-0000-0000-00000F7D0000}"/>
    <cellStyle name="RIGs input cells 3 2 3 2 33" xfId="31801" xr:uid="{00000000-0005-0000-0000-0000107D0000}"/>
    <cellStyle name="RIGs input cells 3 2 3 2 34" xfId="31802" xr:uid="{00000000-0005-0000-0000-0000117D0000}"/>
    <cellStyle name="RIGs input cells 3 2 3 2 4" xfId="31803" xr:uid="{00000000-0005-0000-0000-0000127D0000}"/>
    <cellStyle name="RIGs input cells 3 2 3 2 4 2" xfId="31804" xr:uid="{00000000-0005-0000-0000-0000137D0000}"/>
    <cellStyle name="RIGs input cells 3 2 3 2 4 3" xfId="31805" xr:uid="{00000000-0005-0000-0000-0000147D0000}"/>
    <cellStyle name="RIGs input cells 3 2 3 2 5" xfId="31806" xr:uid="{00000000-0005-0000-0000-0000157D0000}"/>
    <cellStyle name="RIGs input cells 3 2 3 2 6" xfId="31807" xr:uid="{00000000-0005-0000-0000-0000167D0000}"/>
    <cellStyle name="RIGs input cells 3 2 3 2 7" xfId="31808" xr:uid="{00000000-0005-0000-0000-0000177D0000}"/>
    <cellStyle name="RIGs input cells 3 2 3 2 8" xfId="31809" xr:uid="{00000000-0005-0000-0000-0000187D0000}"/>
    <cellStyle name="RIGs input cells 3 2 3 2 9" xfId="31810" xr:uid="{00000000-0005-0000-0000-0000197D0000}"/>
    <cellStyle name="RIGs input cells 3 2 3 20" xfId="31811" xr:uid="{00000000-0005-0000-0000-00001A7D0000}"/>
    <cellStyle name="RIGs input cells 3 2 3 21" xfId="31812" xr:uid="{00000000-0005-0000-0000-00001B7D0000}"/>
    <cellStyle name="RIGs input cells 3 2 3 22" xfId="31813" xr:uid="{00000000-0005-0000-0000-00001C7D0000}"/>
    <cellStyle name="RIGs input cells 3 2 3 23" xfId="31814" xr:uid="{00000000-0005-0000-0000-00001D7D0000}"/>
    <cellStyle name="RIGs input cells 3 2 3 24" xfId="31815" xr:uid="{00000000-0005-0000-0000-00001E7D0000}"/>
    <cellStyle name="RIGs input cells 3 2 3 25" xfId="31816" xr:uid="{00000000-0005-0000-0000-00001F7D0000}"/>
    <cellStyle name="RIGs input cells 3 2 3 26" xfId="31817" xr:uid="{00000000-0005-0000-0000-0000207D0000}"/>
    <cellStyle name="RIGs input cells 3 2 3 27" xfId="31818" xr:uid="{00000000-0005-0000-0000-0000217D0000}"/>
    <cellStyle name="RIGs input cells 3 2 3 28" xfId="31819" xr:uid="{00000000-0005-0000-0000-0000227D0000}"/>
    <cellStyle name="RIGs input cells 3 2 3 29" xfId="31820" xr:uid="{00000000-0005-0000-0000-0000237D0000}"/>
    <cellStyle name="RIGs input cells 3 2 3 3" xfId="31821" xr:uid="{00000000-0005-0000-0000-0000247D0000}"/>
    <cellStyle name="RIGs input cells 3 2 3 3 10" xfId="31822" xr:uid="{00000000-0005-0000-0000-0000257D0000}"/>
    <cellStyle name="RIGs input cells 3 2 3 3 11" xfId="31823" xr:uid="{00000000-0005-0000-0000-0000267D0000}"/>
    <cellStyle name="RIGs input cells 3 2 3 3 12" xfId="31824" xr:uid="{00000000-0005-0000-0000-0000277D0000}"/>
    <cellStyle name="RIGs input cells 3 2 3 3 13" xfId="31825" xr:uid="{00000000-0005-0000-0000-0000287D0000}"/>
    <cellStyle name="RIGs input cells 3 2 3 3 2" xfId="31826" xr:uid="{00000000-0005-0000-0000-0000297D0000}"/>
    <cellStyle name="RIGs input cells 3 2 3 3 2 2" xfId="31827" xr:uid="{00000000-0005-0000-0000-00002A7D0000}"/>
    <cellStyle name="RIGs input cells 3 2 3 3 2 3" xfId="31828" xr:uid="{00000000-0005-0000-0000-00002B7D0000}"/>
    <cellStyle name="RIGs input cells 3 2 3 3 3" xfId="31829" xr:uid="{00000000-0005-0000-0000-00002C7D0000}"/>
    <cellStyle name="RIGs input cells 3 2 3 3 3 2" xfId="31830" xr:uid="{00000000-0005-0000-0000-00002D7D0000}"/>
    <cellStyle name="RIGs input cells 3 2 3 3 3 3" xfId="31831" xr:uid="{00000000-0005-0000-0000-00002E7D0000}"/>
    <cellStyle name="RIGs input cells 3 2 3 3 4" xfId="31832" xr:uid="{00000000-0005-0000-0000-00002F7D0000}"/>
    <cellStyle name="RIGs input cells 3 2 3 3 5" xfId="31833" xr:uid="{00000000-0005-0000-0000-0000307D0000}"/>
    <cellStyle name="RIGs input cells 3 2 3 3 6" xfId="31834" xr:uid="{00000000-0005-0000-0000-0000317D0000}"/>
    <cellStyle name="RIGs input cells 3 2 3 3 7" xfId="31835" xr:uid="{00000000-0005-0000-0000-0000327D0000}"/>
    <cellStyle name="RIGs input cells 3 2 3 3 8" xfId="31836" xr:uid="{00000000-0005-0000-0000-0000337D0000}"/>
    <cellStyle name="RIGs input cells 3 2 3 3 9" xfId="31837" xr:uid="{00000000-0005-0000-0000-0000347D0000}"/>
    <cellStyle name="RIGs input cells 3 2 3 30" xfId="31838" xr:uid="{00000000-0005-0000-0000-0000357D0000}"/>
    <cellStyle name="RIGs input cells 3 2 3 31" xfId="31839" xr:uid="{00000000-0005-0000-0000-0000367D0000}"/>
    <cellStyle name="RIGs input cells 3 2 3 32" xfId="31840" xr:uid="{00000000-0005-0000-0000-0000377D0000}"/>
    <cellStyle name="RIGs input cells 3 2 3 33" xfId="31841" xr:uid="{00000000-0005-0000-0000-0000387D0000}"/>
    <cellStyle name="RIGs input cells 3 2 3 34" xfId="31842" xr:uid="{00000000-0005-0000-0000-0000397D0000}"/>
    <cellStyle name="RIGs input cells 3 2 3 35" xfId="31843" xr:uid="{00000000-0005-0000-0000-00003A7D0000}"/>
    <cellStyle name="RIGs input cells 3 2 3 4" xfId="31844" xr:uid="{00000000-0005-0000-0000-00003B7D0000}"/>
    <cellStyle name="RIGs input cells 3 2 3 4 2" xfId="31845" xr:uid="{00000000-0005-0000-0000-00003C7D0000}"/>
    <cellStyle name="RIGs input cells 3 2 3 4 3" xfId="31846" xr:uid="{00000000-0005-0000-0000-00003D7D0000}"/>
    <cellStyle name="RIGs input cells 3 2 3 5" xfId="31847" xr:uid="{00000000-0005-0000-0000-00003E7D0000}"/>
    <cellStyle name="RIGs input cells 3 2 3 5 2" xfId="31848" xr:uid="{00000000-0005-0000-0000-00003F7D0000}"/>
    <cellStyle name="RIGs input cells 3 2 3 5 3" xfId="31849" xr:uid="{00000000-0005-0000-0000-0000407D0000}"/>
    <cellStyle name="RIGs input cells 3 2 3 6" xfId="31850" xr:uid="{00000000-0005-0000-0000-0000417D0000}"/>
    <cellStyle name="RIGs input cells 3 2 3 7" xfId="31851" xr:uid="{00000000-0005-0000-0000-0000427D0000}"/>
    <cellStyle name="RIGs input cells 3 2 3 8" xfId="31852" xr:uid="{00000000-0005-0000-0000-0000437D0000}"/>
    <cellStyle name="RIGs input cells 3 2 3 9" xfId="31853" xr:uid="{00000000-0005-0000-0000-0000447D0000}"/>
    <cellStyle name="RIGs input cells 3 2 3_4 28 1_Asst_Health_Crit_AllTO_RIIO_20110714pm" xfId="31854" xr:uid="{00000000-0005-0000-0000-0000457D0000}"/>
    <cellStyle name="RIGs input cells 3 2 30" xfId="31855" xr:uid="{00000000-0005-0000-0000-0000467D0000}"/>
    <cellStyle name="RIGs input cells 3 2 31" xfId="31856" xr:uid="{00000000-0005-0000-0000-0000477D0000}"/>
    <cellStyle name="RIGs input cells 3 2 32" xfId="31857" xr:uid="{00000000-0005-0000-0000-0000487D0000}"/>
    <cellStyle name="RIGs input cells 3 2 33" xfId="31858" xr:uid="{00000000-0005-0000-0000-0000497D0000}"/>
    <cellStyle name="RIGs input cells 3 2 34" xfId="31859" xr:uid="{00000000-0005-0000-0000-00004A7D0000}"/>
    <cellStyle name="RIGs input cells 3 2 35" xfId="31860" xr:uid="{00000000-0005-0000-0000-00004B7D0000}"/>
    <cellStyle name="RIGs input cells 3 2 36" xfId="31861" xr:uid="{00000000-0005-0000-0000-00004C7D0000}"/>
    <cellStyle name="RIGs input cells 3 2 37" xfId="31862" xr:uid="{00000000-0005-0000-0000-00004D7D0000}"/>
    <cellStyle name="RIGs input cells 3 2 38" xfId="31863" xr:uid="{00000000-0005-0000-0000-00004E7D0000}"/>
    <cellStyle name="RIGs input cells 3 2 39" xfId="31864" xr:uid="{00000000-0005-0000-0000-00004F7D0000}"/>
    <cellStyle name="RIGs input cells 3 2 4" xfId="31865" xr:uid="{00000000-0005-0000-0000-0000507D0000}"/>
    <cellStyle name="RIGs input cells 3 2 4 10" xfId="31866" xr:uid="{00000000-0005-0000-0000-0000517D0000}"/>
    <cellStyle name="RIGs input cells 3 2 4 11" xfId="31867" xr:uid="{00000000-0005-0000-0000-0000527D0000}"/>
    <cellStyle name="RIGs input cells 3 2 4 12" xfId="31868" xr:uid="{00000000-0005-0000-0000-0000537D0000}"/>
    <cellStyle name="RIGs input cells 3 2 4 13" xfId="31869" xr:uid="{00000000-0005-0000-0000-0000547D0000}"/>
    <cellStyle name="RIGs input cells 3 2 4 14" xfId="31870" xr:uid="{00000000-0005-0000-0000-0000557D0000}"/>
    <cellStyle name="RIGs input cells 3 2 4 15" xfId="31871" xr:uid="{00000000-0005-0000-0000-0000567D0000}"/>
    <cellStyle name="RIGs input cells 3 2 4 16" xfId="31872" xr:uid="{00000000-0005-0000-0000-0000577D0000}"/>
    <cellStyle name="RIGs input cells 3 2 4 17" xfId="31873" xr:uid="{00000000-0005-0000-0000-0000587D0000}"/>
    <cellStyle name="RIGs input cells 3 2 4 18" xfId="31874" xr:uid="{00000000-0005-0000-0000-0000597D0000}"/>
    <cellStyle name="RIGs input cells 3 2 4 19" xfId="31875" xr:uid="{00000000-0005-0000-0000-00005A7D0000}"/>
    <cellStyle name="RIGs input cells 3 2 4 2" xfId="31876" xr:uid="{00000000-0005-0000-0000-00005B7D0000}"/>
    <cellStyle name="RIGs input cells 3 2 4 2 10" xfId="31877" xr:uid="{00000000-0005-0000-0000-00005C7D0000}"/>
    <cellStyle name="RIGs input cells 3 2 4 2 11" xfId="31878" xr:uid="{00000000-0005-0000-0000-00005D7D0000}"/>
    <cellStyle name="RIGs input cells 3 2 4 2 12" xfId="31879" xr:uid="{00000000-0005-0000-0000-00005E7D0000}"/>
    <cellStyle name="RIGs input cells 3 2 4 2 13" xfId="31880" xr:uid="{00000000-0005-0000-0000-00005F7D0000}"/>
    <cellStyle name="RIGs input cells 3 2 4 2 2" xfId="31881" xr:uid="{00000000-0005-0000-0000-0000607D0000}"/>
    <cellStyle name="RIGs input cells 3 2 4 2 2 2" xfId="31882" xr:uid="{00000000-0005-0000-0000-0000617D0000}"/>
    <cellStyle name="RIGs input cells 3 2 4 2 2 3" xfId="31883" xr:uid="{00000000-0005-0000-0000-0000627D0000}"/>
    <cellStyle name="RIGs input cells 3 2 4 2 3" xfId="31884" xr:uid="{00000000-0005-0000-0000-0000637D0000}"/>
    <cellStyle name="RIGs input cells 3 2 4 2 3 2" xfId="31885" xr:uid="{00000000-0005-0000-0000-0000647D0000}"/>
    <cellStyle name="RIGs input cells 3 2 4 2 3 3" xfId="31886" xr:uid="{00000000-0005-0000-0000-0000657D0000}"/>
    <cellStyle name="RIGs input cells 3 2 4 2 4" xfId="31887" xr:uid="{00000000-0005-0000-0000-0000667D0000}"/>
    <cellStyle name="RIGs input cells 3 2 4 2 5" xfId="31888" xr:uid="{00000000-0005-0000-0000-0000677D0000}"/>
    <cellStyle name="RIGs input cells 3 2 4 2 6" xfId="31889" xr:uid="{00000000-0005-0000-0000-0000687D0000}"/>
    <cellStyle name="RIGs input cells 3 2 4 2 7" xfId="31890" xr:uid="{00000000-0005-0000-0000-0000697D0000}"/>
    <cellStyle name="RIGs input cells 3 2 4 2 8" xfId="31891" xr:uid="{00000000-0005-0000-0000-00006A7D0000}"/>
    <cellStyle name="RIGs input cells 3 2 4 2 9" xfId="31892" xr:uid="{00000000-0005-0000-0000-00006B7D0000}"/>
    <cellStyle name="RIGs input cells 3 2 4 20" xfId="31893" xr:uid="{00000000-0005-0000-0000-00006C7D0000}"/>
    <cellStyle name="RIGs input cells 3 2 4 21" xfId="31894" xr:uid="{00000000-0005-0000-0000-00006D7D0000}"/>
    <cellStyle name="RIGs input cells 3 2 4 22" xfId="31895" xr:uid="{00000000-0005-0000-0000-00006E7D0000}"/>
    <cellStyle name="RIGs input cells 3 2 4 23" xfId="31896" xr:uid="{00000000-0005-0000-0000-00006F7D0000}"/>
    <cellStyle name="RIGs input cells 3 2 4 24" xfId="31897" xr:uid="{00000000-0005-0000-0000-0000707D0000}"/>
    <cellStyle name="RIGs input cells 3 2 4 25" xfId="31898" xr:uid="{00000000-0005-0000-0000-0000717D0000}"/>
    <cellStyle name="RIGs input cells 3 2 4 26" xfId="31899" xr:uid="{00000000-0005-0000-0000-0000727D0000}"/>
    <cellStyle name="RIGs input cells 3 2 4 27" xfId="31900" xr:uid="{00000000-0005-0000-0000-0000737D0000}"/>
    <cellStyle name="RIGs input cells 3 2 4 28" xfId="31901" xr:uid="{00000000-0005-0000-0000-0000747D0000}"/>
    <cellStyle name="RIGs input cells 3 2 4 29" xfId="31902" xr:uid="{00000000-0005-0000-0000-0000757D0000}"/>
    <cellStyle name="RIGs input cells 3 2 4 3" xfId="31903" xr:uid="{00000000-0005-0000-0000-0000767D0000}"/>
    <cellStyle name="RIGs input cells 3 2 4 3 2" xfId="31904" xr:uid="{00000000-0005-0000-0000-0000777D0000}"/>
    <cellStyle name="RIGs input cells 3 2 4 3 3" xfId="31905" xr:uid="{00000000-0005-0000-0000-0000787D0000}"/>
    <cellStyle name="RIGs input cells 3 2 4 30" xfId="31906" xr:uid="{00000000-0005-0000-0000-0000797D0000}"/>
    <cellStyle name="RIGs input cells 3 2 4 31" xfId="31907" xr:uid="{00000000-0005-0000-0000-00007A7D0000}"/>
    <cellStyle name="RIGs input cells 3 2 4 32" xfId="31908" xr:uid="{00000000-0005-0000-0000-00007B7D0000}"/>
    <cellStyle name="RIGs input cells 3 2 4 33" xfId="31909" xr:uid="{00000000-0005-0000-0000-00007C7D0000}"/>
    <cellStyle name="RIGs input cells 3 2 4 34" xfId="31910" xr:uid="{00000000-0005-0000-0000-00007D7D0000}"/>
    <cellStyle name="RIGs input cells 3 2 4 4" xfId="31911" xr:uid="{00000000-0005-0000-0000-00007E7D0000}"/>
    <cellStyle name="RIGs input cells 3 2 4 4 2" xfId="31912" xr:uid="{00000000-0005-0000-0000-00007F7D0000}"/>
    <cellStyle name="RIGs input cells 3 2 4 4 3" xfId="31913" xr:uid="{00000000-0005-0000-0000-0000807D0000}"/>
    <cellStyle name="RIGs input cells 3 2 4 5" xfId="31914" xr:uid="{00000000-0005-0000-0000-0000817D0000}"/>
    <cellStyle name="RIGs input cells 3 2 4 6" xfId="31915" xr:uid="{00000000-0005-0000-0000-0000827D0000}"/>
    <cellStyle name="RIGs input cells 3 2 4 7" xfId="31916" xr:uid="{00000000-0005-0000-0000-0000837D0000}"/>
    <cellStyle name="RIGs input cells 3 2 4 8" xfId="31917" xr:uid="{00000000-0005-0000-0000-0000847D0000}"/>
    <cellStyle name="RIGs input cells 3 2 4 9" xfId="31918" xr:uid="{00000000-0005-0000-0000-0000857D0000}"/>
    <cellStyle name="RIGs input cells 3 2 5" xfId="31919" xr:uid="{00000000-0005-0000-0000-0000867D0000}"/>
    <cellStyle name="RIGs input cells 3 2 5 10" xfId="31920" xr:uid="{00000000-0005-0000-0000-0000877D0000}"/>
    <cellStyle name="RIGs input cells 3 2 5 11" xfId="31921" xr:uid="{00000000-0005-0000-0000-0000887D0000}"/>
    <cellStyle name="RIGs input cells 3 2 5 12" xfId="31922" xr:uid="{00000000-0005-0000-0000-0000897D0000}"/>
    <cellStyle name="RIGs input cells 3 2 5 13" xfId="31923" xr:uid="{00000000-0005-0000-0000-00008A7D0000}"/>
    <cellStyle name="RIGs input cells 3 2 5 14" xfId="31924" xr:uid="{00000000-0005-0000-0000-00008B7D0000}"/>
    <cellStyle name="RIGs input cells 3 2 5 15" xfId="31925" xr:uid="{00000000-0005-0000-0000-00008C7D0000}"/>
    <cellStyle name="RIGs input cells 3 2 5 16" xfId="31926" xr:uid="{00000000-0005-0000-0000-00008D7D0000}"/>
    <cellStyle name="RIGs input cells 3 2 5 17" xfId="31927" xr:uid="{00000000-0005-0000-0000-00008E7D0000}"/>
    <cellStyle name="RIGs input cells 3 2 5 18" xfId="31928" xr:uid="{00000000-0005-0000-0000-00008F7D0000}"/>
    <cellStyle name="RIGs input cells 3 2 5 19" xfId="31929" xr:uid="{00000000-0005-0000-0000-0000907D0000}"/>
    <cellStyle name="RIGs input cells 3 2 5 2" xfId="31930" xr:uid="{00000000-0005-0000-0000-0000917D0000}"/>
    <cellStyle name="RIGs input cells 3 2 5 2 10" xfId="31931" xr:uid="{00000000-0005-0000-0000-0000927D0000}"/>
    <cellStyle name="RIGs input cells 3 2 5 2 11" xfId="31932" xr:uid="{00000000-0005-0000-0000-0000937D0000}"/>
    <cellStyle name="RIGs input cells 3 2 5 2 12" xfId="31933" xr:uid="{00000000-0005-0000-0000-0000947D0000}"/>
    <cellStyle name="RIGs input cells 3 2 5 2 13" xfId="31934" xr:uid="{00000000-0005-0000-0000-0000957D0000}"/>
    <cellStyle name="RIGs input cells 3 2 5 2 2" xfId="31935" xr:uid="{00000000-0005-0000-0000-0000967D0000}"/>
    <cellStyle name="RIGs input cells 3 2 5 2 2 2" xfId="31936" xr:uid="{00000000-0005-0000-0000-0000977D0000}"/>
    <cellStyle name="RIGs input cells 3 2 5 2 2 3" xfId="31937" xr:uid="{00000000-0005-0000-0000-0000987D0000}"/>
    <cellStyle name="RIGs input cells 3 2 5 2 3" xfId="31938" xr:uid="{00000000-0005-0000-0000-0000997D0000}"/>
    <cellStyle name="RIGs input cells 3 2 5 2 3 2" xfId="31939" xr:uid="{00000000-0005-0000-0000-00009A7D0000}"/>
    <cellStyle name="RIGs input cells 3 2 5 2 3 3" xfId="31940" xr:uid="{00000000-0005-0000-0000-00009B7D0000}"/>
    <cellStyle name="RIGs input cells 3 2 5 2 4" xfId="31941" xr:uid="{00000000-0005-0000-0000-00009C7D0000}"/>
    <cellStyle name="RIGs input cells 3 2 5 2 5" xfId="31942" xr:uid="{00000000-0005-0000-0000-00009D7D0000}"/>
    <cellStyle name="RIGs input cells 3 2 5 2 6" xfId="31943" xr:uid="{00000000-0005-0000-0000-00009E7D0000}"/>
    <cellStyle name="RIGs input cells 3 2 5 2 7" xfId="31944" xr:uid="{00000000-0005-0000-0000-00009F7D0000}"/>
    <cellStyle name="RIGs input cells 3 2 5 2 8" xfId="31945" xr:uid="{00000000-0005-0000-0000-0000A07D0000}"/>
    <cellStyle name="RIGs input cells 3 2 5 2 9" xfId="31946" xr:uid="{00000000-0005-0000-0000-0000A17D0000}"/>
    <cellStyle name="RIGs input cells 3 2 5 20" xfId="31947" xr:uid="{00000000-0005-0000-0000-0000A27D0000}"/>
    <cellStyle name="RIGs input cells 3 2 5 21" xfId="31948" xr:uid="{00000000-0005-0000-0000-0000A37D0000}"/>
    <cellStyle name="RIGs input cells 3 2 5 22" xfId="31949" xr:uid="{00000000-0005-0000-0000-0000A47D0000}"/>
    <cellStyle name="RIGs input cells 3 2 5 23" xfId="31950" xr:uid="{00000000-0005-0000-0000-0000A57D0000}"/>
    <cellStyle name="RIGs input cells 3 2 5 24" xfId="31951" xr:uid="{00000000-0005-0000-0000-0000A67D0000}"/>
    <cellStyle name="RIGs input cells 3 2 5 25" xfId="31952" xr:uid="{00000000-0005-0000-0000-0000A77D0000}"/>
    <cellStyle name="RIGs input cells 3 2 5 26" xfId="31953" xr:uid="{00000000-0005-0000-0000-0000A87D0000}"/>
    <cellStyle name="RIGs input cells 3 2 5 27" xfId="31954" xr:uid="{00000000-0005-0000-0000-0000A97D0000}"/>
    <cellStyle name="RIGs input cells 3 2 5 28" xfId="31955" xr:uid="{00000000-0005-0000-0000-0000AA7D0000}"/>
    <cellStyle name="RIGs input cells 3 2 5 29" xfId="31956" xr:uid="{00000000-0005-0000-0000-0000AB7D0000}"/>
    <cellStyle name="RIGs input cells 3 2 5 3" xfId="31957" xr:uid="{00000000-0005-0000-0000-0000AC7D0000}"/>
    <cellStyle name="RIGs input cells 3 2 5 3 2" xfId="31958" xr:uid="{00000000-0005-0000-0000-0000AD7D0000}"/>
    <cellStyle name="RIGs input cells 3 2 5 3 3" xfId="31959" xr:uid="{00000000-0005-0000-0000-0000AE7D0000}"/>
    <cellStyle name="RIGs input cells 3 2 5 30" xfId="31960" xr:uid="{00000000-0005-0000-0000-0000AF7D0000}"/>
    <cellStyle name="RIGs input cells 3 2 5 31" xfId="31961" xr:uid="{00000000-0005-0000-0000-0000B07D0000}"/>
    <cellStyle name="RIGs input cells 3 2 5 32" xfId="31962" xr:uid="{00000000-0005-0000-0000-0000B17D0000}"/>
    <cellStyle name="RIGs input cells 3 2 5 33" xfId="31963" xr:uid="{00000000-0005-0000-0000-0000B27D0000}"/>
    <cellStyle name="RIGs input cells 3 2 5 34" xfId="31964" xr:uid="{00000000-0005-0000-0000-0000B37D0000}"/>
    <cellStyle name="RIGs input cells 3 2 5 4" xfId="31965" xr:uid="{00000000-0005-0000-0000-0000B47D0000}"/>
    <cellStyle name="RIGs input cells 3 2 5 4 2" xfId="31966" xr:uid="{00000000-0005-0000-0000-0000B57D0000}"/>
    <cellStyle name="RIGs input cells 3 2 5 4 3" xfId="31967" xr:uid="{00000000-0005-0000-0000-0000B67D0000}"/>
    <cellStyle name="RIGs input cells 3 2 5 5" xfId="31968" xr:uid="{00000000-0005-0000-0000-0000B77D0000}"/>
    <cellStyle name="RIGs input cells 3 2 5 6" xfId="31969" xr:uid="{00000000-0005-0000-0000-0000B87D0000}"/>
    <cellStyle name="RIGs input cells 3 2 5 7" xfId="31970" xr:uid="{00000000-0005-0000-0000-0000B97D0000}"/>
    <cellStyle name="RIGs input cells 3 2 5 8" xfId="31971" xr:uid="{00000000-0005-0000-0000-0000BA7D0000}"/>
    <cellStyle name="RIGs input cells 3 2 5 9" xfId="31972" xr:uid="{00000000-0005-0000-0000-0000BB7D0000}"/>
    <cellStyle name="RIGs input cells 3 2 6" xfId="31973" xr:uid="{00000000-0005-0000-0000-0000BC7D0000}"/>
    <cellStyle name="RIGs input cells 3 2 6 10" xfId="31974" xr:uid="{00000000-0005-0000-0000-0000BD7D0000}"/>
    <cellStyle name="RIGs input cells 3 2 6 11" xfId="31975" xr:uid="{00000000-0005-0000-0000-0000BE7D0000}"/>
    <cellStyle name="RIGs input cells 3 2 6 12" xfId="31976" xr:uid="{00000000-0005-0000-0000-0000BF7D0000}"/>
    <cellStyle name="RIGs input cells 3 2 6 13" xfId="31977" xr:uid="{00000000-0005-0000-0000-0000C07D0000}"/>
    <cellStyle name="RIGs input cells 3 2 6 2" xfId="31978" xr:uid="{00000000-0005-0000-0000-0000C17D0000}"/>
    <cellStyle name="RIGs input cells 3 2 6 2 2" xfId="31979" xr:uid="{00000000-0005-0000-0000-0000C27D0000}"/>
    <cellStyle name="RIGs input cells 3 2 6 2 3" xfId="31980" xr:uid="{00000000-0005-0000-0000-0000C37D0000}"/>
    <cellStyle name="RIGs input cells 3 2 6 3" xfId="31981" xr:uid="{00000000-0005-0000-0000-0000C47D0000}"/>
    <cellStyle name="RIGs input cells 3 2 6 3 2" xfId="31982" xr:uid="{00000000-0005-0000-0000-0000C57D0000}"/>
    <cellStyle name="RIGs input cells 3 2 6 3 3" xfId="31983" xr:uid="{00000000-0005-0000-0000-0000C67D0000}"/>
    <cellStyle name="RIGs input cells 3 2 6 4" xfId="31984" xr:uid="{00000000-0005-0000-0000-0000C77D0000}"/>
    <cellStyle name="RIGs input cells 3 2 6 5" xfId="31985" xr:uid="{00000000-0005-0000-0000-0000C87D0000}"/>
    <cellStyle name="RIGs input cells 3 2 6 6" xfId="31986" xr:uid="{00000000-0005-0000-0000-0000C97D0000}"/>
    <cellStyle name="RIGs input cells 3 2 6 7" xfId="31987" xr:uid="{00000000-0005-0000-0000-0000CA7D0000}"/>
    <cellStyle name="RIGs input cells 3 2 6 8" xfId="31988" xr:uid="{00000000-0005-0000-0000-0000CB7D0000}"/>
    <cellStyle name="RIGs input cells 3 2 6 9" xfId="31989" xr:uid="{00000000-0005-0000-0000-0000CC7D0000}"/>
    <cellStyle name="RIGs input cells 3 2 7" xfId="31990" xr:uid="{00000000-0005-0000-0000-0000CD7D0000}"/>
    <cellStyle name="RIGs input cells 3 2 7 2" xfId="31991" xr:uid="{00000000-0005-0000-0000-0000CE7D0000}"/>
    <cellStyle name="RIGs input cells 3 2 7 2 2" xfId="31992" xr:uid="{00000000-0005-0000-0000-0000CF7D0000}"/>
    <cellStyle name="RIGs input cells 3 2 7 2 3" xfId="31993" xr:uid="{00000000-0005-0000-0000-0000D07D0000}"/>
    <cellStyle name="RIGs input cells 3 2 7 3" xfId="31994" xr:uid="{00000000-0005-0000-0000-0000D17D0000}"/>
    <cellStyle name="RIGs input cells 3 2 7 3 2" xfId="31995" xr:uid="{00000000-0005-0000-0000-0000D27D0000}"/>
    <cellStyle name="RIGs input cells 3 2 7 4" xfId="31996" xr:uid="{00000000-0005-0000-0000-0000D37D0000}"/>
    <cellStyle name="RIGs input cells 3 2 8" xfId="31997" xr:uid="{00000000-0005-0000-0000-0000D47D0000}"/>
    <cellStyle name="RIGs input cells 3 2 8 2" xfId="31998" xr:uid="{00000000-0005-0000-0000-0000D57D0000}"/>
    <cellStyle name="RIGs input cells 3 2 9" xfId="31999" xr:uid="{00000000-0005-0000-0000-0000D67D0000}"/>
    <cellStyle name="RIGs input cells 3 2 9 2" xfId="32000" xr:uid="{00000000-0005-0000-0000-0000D77D0000}"/>
    <cellStyle name="RIGs input cells 3 2_1.3s Accounting C Costs Scots" xfId="32001" xr:uid="{00000000-0005-0000-0000-0000D87D0000}"/>
    <cellStyle name="RIGs input cells 3 20" xfId="32002" xr:uid="{00000000-0005-0000-0000-0000D97D0000}"/>
    <cellStyle name="RIGs input cells 3 20 2" xfId="32003" xr:uid="{00000000-0005-0000-0000-0000DA7D0000}"/>
    <cellStyle name="RIGs input cells 3 21" xfId="32004" xr:uid="{00000000-0005-0000-0000-0000DB7D0000}"/>
    <cellStyle name="RIGs input cells 3 21 2" xfId="32005" xr:uid="{00000000-0005-0000-0000-0000DC7D0000}"/>
    <cellStyle name="RIGs input cells 3 22" xfId="32006" xr:uid="{00000000-0005-0000-0000-0000DD7D0000}"/>
    <cellStyle name="RIGs input cells 3 22 2" xfId="32007" xr:uid="{00000000-0005-0000-0000-0000DE7D0000}"/>
    <cellStyle name="RIGs input cells 3 23" xfId="32008" xr:uid="{00000000-0005-0000-0000-0000DF7D0000}"/>
    <cellStyle name="RIGs input cells 3 23 2" xfId="32009" xr:uid="{00000000-0005-0000-0000-0000E07D0000}"/>
    <cellStyle name="RIGs input cells 3 24" xfId="32010" xr:uid="{00000000-0005-0000-0000-0000E17D0000}"/>
    <cellStyle name="RIGs input cells 3 24 2" xfId="32011" xr:uid="{00000000-0005-0000-0000-0000E27D0000}"/>
    <cellStyle name="RIGs input cells 3 25" xfId="32012" xr:uid="{00000000-0005-0000-0000-0000E37D0000}"/>
    <cellStyle name="RIGs input cells 3 25 2" xfId="32013" xr:uid="{00000000-0005-0000-0000-0000E47D0000}"/>
    <cellStyle name="RIGs input cells 3 26" xfId="32014" xr:uid="{00000000-0005-0000-0000-0000E57D0000}"/>
    <cellStyle name="RIGs input cells 3 26 2" xfId="32015" xr:uid="{00000000-0005-0000-0000-0000E67D0000}"/>
    <cellStyle name="RIGs input cells 3 27" xfId="32016" xr:uid="{00000000-0005-0000-0000-0000E77D0000}"/>
    <cellStyle name="RIGs input cells 3 27 2" xfId="32017" xr:uid="{00000000-0005-0000-0000-0000E87D0000}"/>
    <cellStyle name="RIGs input cells 3 28" xfId="32018" xr:uid="{00000000-0005-0000-0000-0000E97D0000}"/>
    <cellStyle name="RIGs input cells 3 28 2" xfId="32019" xr:uid="{00000000-0005-0000-0000-0000EA7D0000}"/>
    <cellStyle name="RIGs input cells 3 29" xfId="32020" xr:uid="{00000000-0005-0000-0000-0000EB7D0000}"/>
    <cellStyle name="RIGs input cells 3 29 2" xfId="32021" xr:uid="{00000000-0005-0000-0000-0000EC7D0000}"/>
    <cellStyle name="RIGs input cells 3 3" xfId="32022" xr:uid="{00000000-0005-0000-0000-0000ED7D0000}"/>
    <cellStyle name="RIGs input cells 3 3 10" xfId="32023" xr:uid="{00000000-0005-0000-0000-0000EE7D0000}"/>
    <cellStyle name="RIGs input cells 3 3 10 2" xfId="32024" xr:uid="{00000000-0005-0000-0000-0000EF7D0000}"/>
    <cellStyle name="RIGs input cells 3 3 11" xfId="32025" xr:uid="{00000000-0005-0000-0000-0000F07D0000}"/>
    <cellStyle name="RIGs input cells 3 3 11 2" xfId="32026" xr:uid="{00000000-0005-0000-0000-0000F17D0000}"/>
    <cellStyle name="RIGs input cells 3 3 12" xfId="32027" xr:uid="{00000000-0005-0000-0000-0000F27D0000}"/>
    <cellStyle name="RIGs input cells 3 3 12 2" xfId="32028" xr:uid="{00000000-0005-0000-0000-0000F37D0000}"/>
    <cellStyle name="RIGs input cells 3 3 13" xfId="32029" xr:uid="{00000000-0005-0000-0000-0000F47D0000}"/>
    <cellStyle name="RIGs input cells 3 3 13 2" xfId="32030" xr:uid="{00000000-0005-0000-0000-0000F57D0000}"/>
    <cellStyle name="RIGs input cells 3 3 14" xfId="32031" xr:uid="{00000000-0005-0000-0000-0000F67D0000}"/>
    <cellStyle name="RIGs input cells 3 3 14 2" xfId="32032" xr:uid="{00000000-0005-0000-0000-0000F77D0000}"/>
    <cellStyle name="RIGs input cells 3 3 15" xfId="32033" xr:uid="{00000000-0005-0000-0000-0000F87D0000}"/>
    <cellStyle name="RIGs input cells 3 3 15 2" xfId="32034" xr:uid="{00000000-0005-0000-0000-0000F97D0000}"/>
    <cellStyle name="RIGs input cells 3 3 16" xfId="32035" xr:uid="{00000000-0005-0000-0000-0000FA7D0000}"/>
    <cellStyle name="RIGs input cells 3 3 16 2" xfId="32036" xr:uid="{00000000-0005-0000-0000-0000FB7D0000}"/>
    <cellStyle name="RIGs input cells 3 3 17" xfId="32037" xr:uid="{00000000-0005-0000-0000-0000FC7D0000}"/>
    <cellStyle name="RIGs input cells 3 3 17 2" xfId="32038" xr:uid="{00000000-0005-0000-0000-0000FD7D0000}"/>
    <cellStyle name="RIGs input cells 3 3 18" xfId="32039" xr:uid="{00000000-0005-0000-0000-0000FE7D0000}"/>
    <cellStyle name="RIGs input cells 3 3 18 2" xfId="32040" xr:uid="{00000000-0005-0000-0000-0000FF7D0000}"/>
    <cellStyle name="RIGs input cells 3 3 19" xfId="32041" xr:uid="{00000000-0005-0000-0000-0000007E0000}"/>
    <cellStyle name="RIGs input cells 3 3 19 2" xfId="32042" xr:uid="{00000000-0005-0000-0000-0000017E0000}"/>
    <cellStyle name="RIGs input cells 3 3 2" xfId="32043" xr:uid="{00000000-0005-0000-0000-0000027E0000}"/>
    <cellStyle name="RIGs input cells 3 3 2 10" xfId="32044" xr:uid="{00000000-0005-0000-0000-0000037E0000}"/>
    <cellStyle name="RIGs input cells 3 3 2 11" xfId="32045" xr:uid="{00000000-0005-0000-0000-0000047E0000}"/>
    <cellStyle name="RIGs input cells 3 3 2 12" xfId="32046" xr:uid="{00000000-0005-0000-0000-0000057E0000}"/>
    <cellStyle name="RIGs input cells 3 3 2 13" xfId="32047" xr:uid="{00000000-0005-0000-0000-0000067E0000}"/>
    <cellStyle name="RIGs input cells 3 3 2 14" xfId="32048" xr:uid="{00000000-0005-0000-0000-0000077E0000}"/>
    <cellStyle name="RIGs input cells 3 3 2 15" xfId="32049" xr:uid="{00000000-0005-0000-0000-0000087E0000}"/>
    <cellStyle name="RIGs input cells 3 3 2 16" xfId="32050" xr:uid="{00000000-0005-0000-0000-0000097E0000}"/>
    <cellStyle name="RIGs input cells 3 3 2 17" xfId="32051" xr:uid="{00000000-0005-0000-0000-00000A7E0000}"/>
    <cellStyle name="RIGs input cells 3 3 2 18" xfId="32052" xr:uid="{00000000-0005-0000-0000-00000B7E0000}"/>
    <cellStyle name="RIGs input cells 3 3 2 19" xfId="32053" xr:uid="{00000000-0005-0000-0000-00000C7E0000}"/>
    <cellStyle name="RIGs input cells 3 3 2 2" xfId="32054" xr:uid="{00000000-0005-0000-0000-00000D7E0000}"/>
    <cellStyle name="RIGs input cells 3 3 2 2 10" xfId="32055" xr:uid="{00000000-0005-0000-0000-00000E7E0000}"/>
    <cellStyle name="RIGs input cells 3 3 2 2 11" xfId="32056" xr:uid="{00000000-0005-0000-0000-00000F7E0000}"/>
    <cellStyle name="RIGs input cells 3 3 2 2 12" xfId="32057" xr:uid="{00000000-0005-0000-0000-0000107E0000}"/>
    <cellStyle name="RIGs input cells 3 3 2 2 13" xfId="32058" xr:uid="{00000000-0005-0000-0000-0000117E0000}"/>
    <cellStyle name="RIGs input cells 3 3 2 2 14" xfId="32059" xr:uid="{00000000-0005-0000-0000-0000127E0000}"/>
    <cellStyle name="RIGs input cells 3 3 2 2 15" xfId="32060" xr:uid="{00000000-0005-0000-0000-0000137E0000}"/>
    <cellStyle name="RIGs input cells 3 3 2 2 16" xfId="32061" xr:uid="{00000000-0005-0000-0000-0000147E0000}"/>
    <cellStyle name="RIGs input cells 3 3 2 2 17" xfId="32062" xr:uid="{00000000-0005-0000-0000-0000157E0000}"/>
    <cellStyle name="RIGs input cells 3 3 2 2 18" xfId="32063" xr:uid="{00000000-0005-0000-0000-0000167E0000}"/>
    <cellStyle name="RIGs input cells 3 3 2 2 19" xfId="32064" xr:uid="{00000000-0005-0000-0000-0000177E0000}"/>
    <cellStyle name="RIGs input cells 3 3 2 2 2" xfId="32065" xr:uid="{00000000-0005-0000-0000-0000187E0000}"/>
    <cellStyle name="RIGs input cells 3 3 2 2 2 10" xfId="32066" xr:uid="{00000000-0005-0000-0000-0000197E0000}"/>
    <cellStyle name="RIGs input cells 3 3 2 2 2 11" xfId="32067" xr:uid="{00000000-0005-0000-0000-00001A7E0000}"/>
    <cellStyle name="RIGs input cells 3 3 2 2 2 12" xfId="32068" xr:uid="{00000000-0005-0000-0000-00001B7E0000}"/>
    <cellStyle name="RIGs input cells 3 3 2 2 2 13" xfId="32069" xr:uid="{00000000-0005-0000-0000-00001C7E0000}"/>
    <cellStyle name="RIGs input cells 3 3 2 2 2 2" xfId="32070" xr:uid="{00000000-0005-0000-0000-00001D7E0000}"/>
    <cellStyle name="RIGs input cells 3 3 2 2 2 2 2" xfId="32071" xr:uid="{00000000-0005-0000-0000-00001E7E0000}"/>
    <cellStyle name="RIGs input cells 3 3 2 2 2 2 3" xfId="32072" xr:uid="{00000000-0005-0000-0000-00001F7E0000}"/>
    <cellStyle name="RIGs input cells 3 3 2 2 2 3" xfId="32073" xr:uid="{00000000-0005-0000-0000-0000207E0000}"/>
    <cellStyle name="RIGs input cells 3 3 2 2 2 3 2" xfId="32074" xr:uid="{00000000-0005-0000-0000-0000217E0000}"/>
    <cellStyle name="RIGs input cells 3 3 2 2 2 3 3" xfId="32075" xr:uid="{00000000-0005-0000-0000-0000227E0000}"/>
    <cellStyle name="RIGs input cells 3 3 2 2 2 4" xfId="32076" xr:uid="{00000000-0005-0000-0000-0000237E0000}"/>
    <cellStyle name="RIGs input cells 3 3 2 2 2 5" xfId="32077" xr:uid="{00000000-0005-0000-0000-0000247E0000}"/>
    <cellStyle name="RIGs input cells 3 3 2 2 2 6" xfId="32078" xr:uid="{00000000-0005-0000-0000-0000257E0000}"/>
    <cellStyle name="RIGs input cells 3 3 2 2 2 7" xfId="32079" xr:uid="{00000000-0005-0000-0000-0000267E0000}"/>
    <cellStyle name="RIGs input cells 3 3 2 2 2 8" xfId="32080" xr:uid="{00000000-0005-0000-0000-0000277E0000}"/>
    <cellStyle name="RIGs input cells 3 3 2 2 2 9" xfId="32081" xr:uid="{00000000-0005-0000-0000-0000287E0000}"/>
    <cellStyle name="RIGs input cells 3 3 2 2 20" xfId="32082" xr:uid="{00000000-0005-0000-0000-0000297E0000}"/>
    <cellStyle name="RIGs input cells 3 3 2 2 21" xfId="32083" xr:uid="{00000000-0005-0000-0000-00002A7E0000}"/>
    <cellStyle name="RIGs input cells 3 3 2 2 22" xfId="32084" xr:uid="{00000000-0005-0000-0000-00002B7E0000}"/>
    <cellStyle name="RIGs input cells 3 3 2 2 23" xfId="32085" xr:uid="{00000000-0005-0000-0000-00002C7E0000}"/>
    <cellStyle name="RIGs input cells 3 3 2 2 24" xfId="32086" xr:uid="{00000000-0005-0000-0000-00002D7E0000}"/>
    <cellStyle name="RIGs input cells 3 3 2 2 25" xfId="32087" xr:uid="{00000000-0005-0000-0000-00002E7E0000}"/>
    <cellStyle name="RIGs input cells 3 3 2 2 26" xfId="32088" xr:uid="{00000000-0005-0000-0000-00002F7E0000}"/>
    <cellStyle name="RIGs input cells 3 3 2 2 27" xfId="32089" xr:uid="{00000000-0005-0000-0000-0000307E0000}"/>
    <cellStyle name="RIGs input cells 3 3 2 2 28" xfId="32090" xr:uid="{00000000-0005-0000-0000-0000317E0000}"/>
    <cellStyle name="RIGs input cells 3 3 2 2 29" xfId="32091" xr:uid="{00000000-0005-0000-0000-0000327E0000}"/>
    <cellStyle name="RIGs input cells 3 3 2 2 3" xfId="32092" xr:uid="{00000000-0005-0000-0000-0000337E0000}"/>
    <cellStyle name="RIGs input cells 3 3 2 2 3 2" xfId="32093" xr:uid="{00000000-0005-0000-0000-0000347E0000}"/>
    <cellStyle name="RIGs input cells 3 3 2 2 3 3" xfId="32094" xr:uid="{00000000-0005-0000-0000-0000357E0000}"/>
    <cellStyle name="RIGs input cells 3 3 2 2 30" xfId="32095" xr:uid="{00000000-0005-0000-0000-0000367E0000}"/>
    <cellStyle name="RIGs input cells 3 3 2 2 31" xfId="32096" xr:uid="{00000000-0005-0000-0000-0000377E0000}"/>
    <cellStyle name="RIGs input cells 3 3 2 2 32" xfId="32097" xr:uid="{00000000-0005-0000-0000-0000387E0000}"/>
    <cellStyle name="RIGs input cells 3 3 2 2 33" xfId="32098" xr:uid="{00000000-0005-0000-0000-0000397E0000}"/>
    <cellStyle name="RIGs input cells 3 3 2 2 34" xfId="32099" xr:uid="{00000000-0005-0000-0000-00003A7E0000}"/>
    <cellStyle name="RIGs input cells 3 3 2 2 4" xfId="32100" xr:uid="{00000000-0005-0000-0000-00003B7E0000}"/>
    <cellStyle name="RIGs input cells 3 3 2 2 4 2" xfId="32101" xr:uid="{00000000-0005-0000-0000-00003C7E0000}"/>
    <cellStyle name="RIGs input cells 3 3 2 2 4 3" xfId="32102" xr:uid="{00000000-0005-0000-0000-00003D7E0000}"/>
    <cellStyle name="RIGs input cells 3 3 2 2 5" xfId="32103" xr:uid="{00000000-0005-0000-0000-00003E7E0000}"/>
    <cellStyle name="RIGs input cells 3 3 2 2 6" xfId="32104" xr:uid="{00000000-0005-0000-0000-00003F7E0000}"/>
    <cellStyle name="RIGs input cells 3 3 2 2 7" xfId="32105" xr:uid="{00000000-0005-0000-0000-0000407E0000}"/>
    <cellStyle name="RIGs input cells 3 3 2 2 8" xfId="32106" xr:uid="{00000000-0005-0000-0000-0000417E0000}"/>
    <cellStyle name="RIGs input cells 3 3 2 2 9" xfId="32107" xr:uid="{00000000-0005-0000-0000-0000427E0000}"/>
    <cellStyle name="RIGs input cells 3 3 2 20" xfId="32108" xr:uid="{00000000-0005-0000-0000-0000437E0000}"/>
    <cellStyle name="RIGs input cells 3 3 2 21" xfId="32109" xr:uid="{00000000-0005-0000-0000-0000447E0000}"/>
    <cellStyle name="RIGs input cells 3 3 2 22" xfId="32110" xr:uid="{00000000-0005-0000-0000-0000457E0000}"/>
    <cellStyle name="RIGs input cells 3 3 2 23" xfId="32111" xr:uid="{00000000-0005-0000-0000-0000467E0000}"/>
    <cellStyle name="RIGs input cells 3 3 2 24" xfId="32112" xr:uid="{00000000-0005-0000-0000-0000477E0000}"/>
    <cellStyle name="RIGs input cells 3 3 2 25" xfId="32113" xr:uid="{00000000-0005-0000-0000-0000487E0000}"/>
    <cellStyle name="RIGs input cells 3 3 2 26" xfId="32114" xr:uid="{00000000-0005-0000-0000-0000497E0000}"/>
    <cellStyle name="RIGs input cells 3 3 2 27" xfId="32115" xr:uid="{00000000-0005-0000-0000-00004A7E0000}"/>
    <cellStyle name="RIGs input cells 3 3 2 28" xfId="32116" xr:uid="{00000000-0005-0000-0000-00004B7E0000}"/>
    <cellStyle name="RIGs input cells 3 3 2 29" xfId="32117" xr:uid="{00000000-0005-0000-0000-00004C7E0000}"/>
    <cellStyle name="RIGs input cells 3 3 2 3" xfId="32118" xr:uid="{00000000-0005-0000-0000-00004D7E0000}"/>
    <cellStyle name="RIGs input cells 3 3 2 3 10" xfId="32119" xr:uid="{00000000-0005-0000-0000-00004E7E0000}"/>
    <cellStyle name="RIGs input cells 3 3 2 3 11" xfId="32120" xr:uid="{00000000-0005-0000-0000-00004F7E0000}"/>
    <cellStyle name="RIGs input cells 3 3 2 3 12" xfId="32121" xr:uid="{00000000-0005-0000-0000-0000507E0000}"/>
    <cellStyle name="RIGs input cells 3 3 2 3 13" xfId="32122" xr:uid="{00000000-0005-0000-0000-0000517E0000}"/>
    <cellStyle name="RIGs input cells 3 3 2 3 2" xfId="32123" xr:uid="{00000000-0005-0000-0000-0000527E0000}"/>
    <cellStyle name="RIGs input cells 3 3 2 3 2 2" xfId="32124" xr:uid="{00000000-0005-0000-0000-0000537E0000}"/>
    <cellStyle name="RIGs input cells 3 3 2 3 2 3" xfId="32125" xr:uid="{00000000-0005-0000-0000-0000547E0000}"/>
    <cellStyle name="RIGs input cells 3 3 2 3 3" xfId="32126" xr:uid="{00000000-0005-0000-0000-0000557E0000}"/>
    <cellStyle name="RIGs input cells 3 3 2 3 3 2" xfId="32127" xr:uid="{00000000-0005-0000-0000-0000567E0000}"/>
    <cellStyle name="RIGs input cells 3 3 2 3 3 3" xfId="32128" xr:uid="{00000000-0005-0000-0000-0000577E0000}"/>
    <cellStyle name="RIGs input cells 3 3 2 3 4" xfId="32129" xr:uid="{00000000-0005-0000-0000-0000587E0000}"/>
    <cellStyle name="RIGs input cells 3 3 2 3 5" xfId="32130" xr:uid="{00000000-0005-0000-0000-0000597E0000}"/>
    <cellStyle name="RIGs input cells 3 3 2 3 6" xfId="32131" xr:uid="{00000000-0005-0000-0000-00005A7E0000}"/>
    <cellStyle name="RIGs input cells 3 3 2 3 7" xfId="32132" xr:uid="{00000000-0005-0000-0000-00005B7E0000}"/>
    <cellStyle name="RIGs input cells 3 3 2 3 8" xfId="32133" xr:uid="{00000000-0005-0000-0000-00005C7E0000}"/>
    <cellStyle name="RIGs input cells 3 3 2 3 9" xfId="32134" xr:uid="{00000000-0005-0000-0000-00005D7E0000}"/>
    <cellStyle name="RIGs input cells 3 3 2 30" xfId="32135" xr:uid="{00000000-0005-0000-0000-00005E7E0000}"/>
    <cellStyle name="RIGs input cells 3 3 2 31" xfId="32136" xr:uid="{00000000-0005-0000-0000-00005F7E0000}"/>
    <cellStyle name="RIGs input cells 3 3 2 32" xfId="32137" xr:uid="{00000000-0005-0000-0000-0000607E0000}"/>
    <cellStyle name="RIGs input cells 3 3 2 33" xfId="32138" xr:uid="{00000000-0005-0000-0000-0000617E0000}"/>
    <cellStyle name="RIGs input cells 3 3 2 34" xfId="32139" xr:uid="{00000000-0005-0000-0000-0000627E0000}"/>
    <cellStyle name="RIGs input cells 3 3 2 35" xfId="32140" xr:uid="{00000000-0005-0000-0000-0000637E0000}"/>
    <cellStyle name="RIGs input cells 3 3 2 4" xfId="32141" xr:uid="{00000000-0005-0000-0000-0000647E0000}"/>
    <cellStyle name="RIGs input cells 3 3 2 4 2" xfId="32142" xr:uid="{00000000-0005-0000-0000-0000657E0000}"/>
    <cellStyle name="RIGs input cells 3 3 2 4 3" xfId="32143" xr:uid="{00000000-0005-0000-0000-0000667E0000}"/>
    <cellStyle name="RIGs input cells 3 3 2 5" xfId="32144" xr:uid="{00000000-0005-0000-0000-0000677E0000}"/>
    <cellStyle name="RIGs input cells 3 3 2 5 2" xfId="32145" xr:uid="{00000000-0005-0000-0000-0000687E0000}"/>
    <cellStyle name="RIGs input cells 3 3 2 5 3" xfId="32146" xr:uid="{00000000-0005-0000-0000-0000697E0000}"/>
    <cellStyle name="RIGs input cells 3 3 2 6" xfId="32147" xr:uid="{00000000-0005-0000-0000-00006A7E0000}"/>
    <cellStyle name="RIGs input cells 3 3 2 7" xfId="32148" xr:uid="{00000000-0005-0000-0000-00006B7E0000}"/>
    <cellStyle name="RIGs input cells 3 3 2 8" xfId="32149" xr:uid="{00000000-0005-0000-0000-00006C7E0000}"/>
    <cellStyle name="RIGs input cells 3 3 2 9" xfId="32150" xr:uid="{00000000-0005-0000-0000-00006D7E0000}"/>
    <cellStyle name="RIGs input cells 3 3 2_4 28 1_Asst_Health_Crit_AllTO_RIIO_20110714pm" xfId="32151" xr:uid="{00000000-0005-0000-0000-00006E7E0000}"/>
    <cellStyle name="RIGs input cells 3 3 20" xfId="32152" xr:uid="{00000000-0005-0000-0000-00006F7E0000}"/>
    <cellStyle name="RIGs input cells 3 3 20 2" xfId="32153" xr:uid="{00000000-0005-0000-0000-0000707E0000}"/>
    <cellStyle name="RIGs input cells 3 3 21" xfId="32154" xr:uid="{00000000-0005-0000-0000-0000717E0000}"/>
    <cellStyle name="RIGs input cells 3 3 21 2" xfId="32155" xr:uid="{00000000-0005-0000-0000-0000727E0000}"/>
    <cellStyle name="RIGs input cells 3 3 22" xfId="32156" xr:uid="{00000000-0005-0000-0000-0000737E0000}"/>
    <cellStyle name="RIGs input cells 3 3 22 2" xfId="32157" xr:uid="{00000000-0005-0000-0000-0000747E0000}"/>
    <cellStyle name="RIGs input cells 3 3 23" xfId="32158" xr:uid="{00000000-0005-0000-0000-0000757E0000}"/>
    <cellStyle name="RIGs input cells 3 3 23 2" xfId="32159" xr:uid="{00000000-0005-0000-0000-0000767E0000}"/>
    <cellStyle name="RIGs input cells 3 3 24" xfId="32160" xr:uid="{00000000-0005-0000-0000-0000777E0000}"/>
    <cellStyle name="RIGs input cells 3 3 24 2" xfId="32161" xr:uid="{00000000-0005-0000-0000-0000787E0000}"/>
    <cellStyle name="RIGs input cells 3 3 25" xfId="32162" xr:uid="{00000000-0005-0000-0000-0000797E0000}"/>
    <cellStyle name="RIGs input cells 3 3 25 2" xfId="32163" xr:uid="{00000000-0005-0000-0000-00007A7E0000}"/>
    <cellStyle name="RIGs input cells 3 3 26" xfId="32164" xr:uid="{00000000-0005-0000-0000-00007B7E0000}"/>
    <cellStyle name="RIGs input cells 3 3 27" xfId="32165" xr:uid="{00000000-0005-0000-0000-00007C7E0000}"/>
    <cellStyle name="RIGs input cells 3 3 28" xfId="32166" xr:uid="{00000000-0005-0000-0000-00007D7E0000}"/>
    <cellStyle name="RIGs input cells 3 3 29" xfId="32167" xr:uid="{00000000-0005-0000-0000-00007E7E0000}"/>
    <cellStyle name="RIGs input cells 3 3 3" xfId="32168" xr:uid="{00000000-0005-0000-0000-00007F7E0000}"/>
    <cellStyle name="RIGs input cells 3 3 3 10" xfId="32169" xr:uid="{00000000-0005-0000-0000-0000807E0000}"/>
    <cellStyle name="RIGs input cells 3 3 3 11" xfId="32170" xr:uid="{00000000-0005-0000-0000-0000817E0000}"/>
    <cellStyle name="RIGs input cells 3 3 3 12" xfId="32171" xr:uid="{00000000-0005-0000-0000-0000827E0000}"/>
    <cellStyle name="RIGs input cells 3 3 3 13" xfId="32172" xr:uid="{00000000-0005-0000-0000-0000837E0000}"/>
    <cellStyle name="RIGs input cells 3 3 3 14" xfId="32173" xr:uid="{00000000-0005-0000-0000-0000847E0000}"/>
    <cellStyle name="RIGs input cells 3 3 3 15" xfId="32174" xr:uid="{00000000-0005-0000-0000-0000857E0000}"/>
    <cellStyle name="RIGs input cells 3 3 3 16" xfId="32175" xr:uid="{00000000-0005-0000-0000-0000867E0000}"/>
    <cellStyle name="RIGs input cells 3 3 3 17" xfId="32176" xr:uid="{00000000-0005-0000-0000-0000877E0000}"/>
    <cellStyle name="RIGs input cells 3 3 3 18" xfId="32177" xr:uid="{00000000-0005-0000-0000-0000887E0000}"/>
    <cellStyle name="RIGs input cells 3 3 3 19" xfId="32178" xr:uid="{00000000-0005-0000-0000-0000897E0000}"/>
    <cellStyle name="RIGs input cells 3 3 3 2" xfId="32179" xr:uid="{00000000-0005-0000-0000-00008A7E0000}"/>
    <cellStyle name="RIGs input cells 3 3 3 2 10" xfId="32180" xr:uid="{00000000-0005-0000-0000-00008B7E0000}"/>
    <cellStyle name="RIGs input cells 3 3 3 2 11" xfId="32181" xr:uid="{00000000-0005-0000-0000-00008C7E0000}"/>
    <cellStyle name="RIGs input cells 3 3 3 2 12" xfId="32182" xr:uid="{00000000-0005-0000-0000-00008D7E0000}"/>
    <cellStyle name="RIGs input cells 3 3 3 2 13" xfId="32183" xr:uid="{00000000-0005-0000-0000-00008E7E0000}"/>
    <cellStyle name="RIGs input cells 3 3 3 2 2" xfId="32184" xr:uid="{00000000-0005-0000-0000-00008F7E0000}"/>
    <cellStyle name="RIGs input cells 3 3 3 2 2 2" xfId="32185" xr:uid="{00000000-0005-0000-0000-0000907E0000}"/>
    <cellStyle name="RIGs input cells 3 3 3 2 2 3" xfId="32186" xr:uid="{00000000-0005-0000-0000-0000917E0000}"/>
    <cellStyle name="RIGs input cells 3 3 3 2 3" xfId="32187" xr:uid="{00000000-0005-0000-0000-0000927E0000}"/>
    <cellStyle name="RIGs input cells 3 3 3 2 3 2" xfId="32188" xr:uid="{00000000-0005-0000-0000-0000937E0000}"/>
    <cellStyle name="RIGs input cells 3 3 3 2 3 3" xfId="32189" xr:uid="{00000000-0005-0000-0000-0000947E0000}"/>
    <cellStyle name="RIGs input cells 3 3 3 2 4" xfId="32190" xr:uid="{00000000-0005-0000-0000-0000957E0000}"/>
    <cellStyle name="RIGs input cells 3 3 3 2 5" xfId="32191" xr:uid="{00000000-0005-0000-0000-0000967E0000}"/>
    <cellStyle name="RIGs input cells 3 3 3 2 6" xfId="32192" xr:uid="{00000000-0005-0000-0000-0000977E0000}"/>
    <cellStyle name="RIGs input cells 3 3 3 2 7" xfId="32193" xr:uid="{00000000-0005-0000-0000-0000987E0000}"/>
    <cellStyle name="RIGs input cells 3 3 3 2 8" xfId="32194" xr:uid="{00000000-0005-0000-0000-0000997E0000}"/>
    <cellStyle name="RIGs input cells 3 3 3 2 9" xfId="32195" xr:uid="{00000000-0005-0000-0000-00009A7E0000}"/>
    <cellStyle name="RIGs input cells 3 3 3 20" xfId="32196" xr:uid="{00000000-0005-0000-0000-00009B7E0000}"/>
    <cellStyle name="RIGs input cells 3 3 3 21" xfId="32197" xr:uid="{00000000-0005-0000-0000-00009C7E0000}"/>
    <cellStyle name="RIGs input cells 3 3 3 22" xfId="32198" xr:uid="{00000000-0005-0000-0000-00009D7E0000}"/>
    <cellStyle name="RIGs input cells 3 3 3 23" xfId="32199" xr:uid="{00000000-0005-0000-0000-00009E7E0000}"/>
    <cellStyle name="RIGs input cells 3 3 3 24" xfId="32200" xr:uid="{00000000-0005-0000-0000-00009F7E0000}"/>
    <cellStyle name="RIGs input cells 3 3 3 25" xfId="32201" xr:uid="{00000000-0005-0000-0000-0000A07E0000}"/>
    <cellStyle name="RIGs input cells 3 3 3 26" xfId="32202" xr:uid="{00000000-0005-0000-0000-0000A17E0000}"/>
    <cellStyle name="RIGs input cells 3 3 3 27" xfId="32203" xr:uid="{00000000-0005-0000-0000-0000A27E0000}"/>
    <cellStyle name="RIGs input cells 3 3 3 28" xfId="32204" xr:uid="{00000000-0005-0000-0000-0000A37E0000}"/>
    <cellStyle name="RIGs input cells 3 3 3 29" xfId="32205" xr:uid="{00000000-0005-0000-0000-0000A47E0000}"/>
    <cellStyle name="RIGs input cells 3 3 3 3" xfId="32206" xr:uid="{00000000-0005-0000-0000-0000A57E0000}"/>
    <cellStyle name="RIGs input cells 3 3 3 3 2" xfId="32207" xr:uid="{00000000-0005-0000-0000-0000A67E0000}"/>
    <cellStyle name="RIGs input cells 3 3 3 3 3" xfId="32208" xr:uid="{00000000-0005-0000-0000-0000A77E0000}"/>
    <cellStyle name="RIGs input cells 3 3 3 30" xfId="32209" xr:uid="{00000000-0005-0000-0000-0000A87E0000}"/>
    <cellStyle name="RIGs input cells 3 3 3 31" xfId="32210" xr:uid="{00000000-0005-0000-0000-0000A97E0000}"/>
    <cellStyle name="RIGs input cells 3 3 3 32" xfId="32211" xr:uid="{00000000-0005-0000-0000-0000AA7E0000}"/>
    <cellStyle name="RIGs input cells 3 3 3 33" xfId="32212" xr:uid="{00000000-0005-0000-0000-0000AB7E0000}"/>
    <cellStyle name="RIGs input cells 3 3 3 34" xfId="32213" xr:uid="{00000000-0005-0000-0000-0000AC7E0000}"/>
    <cellStyle name="RIGs input cells 3 3 3 4" xfId="32214" xr:uid="{00000000-0005-0000-0000-0000AD7E0000}"/>
    <cellStyle name="RIGs input cells 3 3 3 4 2" xfId="32215" xr:uid="{00000000-0005-0000-0000-0000AE7E0000}"/>
    <cellStyle name="RIGs input cells 3 3 3 4 3" xfId="32216" xr:uid="{00000000-0005-0000-0000-0000AF7E0000}"/>
    <cellStyle name="RIGs input cells 3 3 3 5" xfId="32217" xr:uid="{00000000-0005-0000-0000-0000B07E0000}"/>
    <cellStyle name="RIGs input cells 3 3 3 6" xfId="32218" xr:uid="{00000000-0005-0000-0000-0000B17E0000}"/>
    <cellStyle name="RIGs input cells 3 3 3 7" xfId="32219" xr:uid="{00000000-0005-0000-0000-0000B27E0000}"/>
    <cellStyle name="RIGs input cells 3 3 3 8" xfId="32220" xr:uid="{00000000-0005-0000-0000-0000B37E0000}"/>
    <cellStyle name="RIGs input cells 3 3 3 9" xfId="32221" xr:uid="{00000000-0005-0000-0000-0000B47E0000}"/>
    <cellStyle name="RIGs input cells 3 3 30" xfId="32222" xr:uid="{00000000-0005-0000-0000-0000B57E0000}"/>
    <cellStyle name="RIGs input cells 3 3 31" xfId="32223" xr:uid="{00000000-0005-0000-0000-0000B67E0000}"/>
    <cellStyle name="RIGs input cells 3 3 32" xfId="32224" xr:uid="{00000000-0005-0000-0000-0000B77E0000}"/>
    <cellStyle name="RIGs input cells 3 3 33" xfId="32225" xr:uid="{00000000-0005-0000-0000-0000B87E0000}"/>
    <cellStyle name="RIGs input cells 3 3 34" xfId="32226" xr:uid="{00000000-0005-0000-0000-0000B97E0000}"/>
    <cellStyle name="RIGs input cells 3 3 35" xfId="32227" xr:uid="{00000000-0005-0000-0000-0000BA7E0000}"/>
    <cellStyle name="RIGs input cells 3 3 36" xfId="32228" xr:uid="{00000000-0005-0000-0000-0000BB7E0000}"/>
    <cellStyle name="RIGs input cells 3 3 37" xfId="32229" xr:uid="{00000000-0005-0000-0000-0000BC7E0000}"/>
    <cellStyle name="RIGs input cells 3 3 38" xfId="32230" xr:uid="{00000000-0005-0000-0000-0000BD7E0000}"/>
    <cellStyle name="RIGs input cells 3 3 4" xfId="32231" xr:uid="{00000000-0005-0000-0000-0000BE7E0000}"/>
    <cellStyle name="RIGs input cells 3 3 4 10" xfId="32232" xr:uid="{00000000-0005-0000-0000-0000BF7E0000}"/>
    <cellStyle name="RIGs input cells 3 3 4 11" xfId="32233" xr:uid="{00000000-0005-0000-0000-0000C07E0000}"/>
    <cellStyle name="RIGs input cells 3 3 4 12" xfId="32234" xr:uid="{00000000-0005-0000-0000-0000C17E0000}"/>
    <cellStyle name="RIGs input cells 3 3 4 13" xfId="32235" xr:uid="{00000000-0005-0000-0000-0000C27E0000}"/>
    <cellStyle name="RIGs input cells 3 3 4 14" xfId="32236" xr:uid="{00000000-0005-0000-0000-0000C37E0000}"/>
    <cellStyle name="RIGs input cells 3 3 4 15" xfId="32237" xr:uid="{00000000-0005-0000-0000-0000C47E0000}"/>
    <cellStyle name="RIGs input cells 3 3 4 16" xfId="32238" xr:uid="{00000000-0005-0000-0000-0000C57E0000}"/>
    <cellStyle name="RIGs input cells 3 3 4 17" xfId="32239" xr:uid="{00000000-0005-0000-0000-0000C67E0000}"/>
    <cellStyle name="RIGs input cells 3 3 4 18" xfId="32240" xr:uid="{00000000-0005-0000-0000-0000C77E0000}"/>
    <cellStyle name="RIGs input cells 3 3 4 19" xfId="32241" xr:uid="{00000000-0005-0000-0000-0000C87E0000}"/>
    <cellStyle name="RIGs input cells 3 3 4 2" xfId="32242" xr:uid="{00000000-0005-0000-0000-0000C97E0000}"/>
    <cellStyle name="RIGs input cells 3 3 4 2 10" xfId="32243" xr:uid="{00000000-0005-0000-0000-0000CA7E0000}"/>
    <cellStyle name="RIGs input cells 3 3 4 2 11" xfId="32244" xr:uid="{00000000-0005-0000-0000-0000CB7E0000}"/>
    <cellStyle name="RIGs input cells 3 3 4 2 12" xfId="32245" xr:uid="{00000000-0005-0000-0000-0000CC7E0000}"/>
    <cellStyle name="RIGs input cells 3 3 4 2 13" xfId="32246" xr:uid="{00000000-0005-0000-0000-0000CD7E0000}"/>
    <cellStyle name="RIGs input cells 3 3 4 2 2" xfId="32247" xr:uid="{00000000-0005-0000-0000-0000CE7E0000}"/>
    <cellStyle name="RIGs input cells 3 3 4 2 2 2" xfId="32248" xr:uid="{00000000-0005-0000-0000-0000CF7E0000}"/>
    <cellStyle name="RIGs input cells 3 3 4 2 2 3" xfId="32249" xr:uid="{00000000-0005-0000-0000-0000D07E0000}"/>
    <cellStyle name="RIGs input cells 3 3 4 2 3" xfId="32250" xr:uid="{00000000-0005-0000-0000-0000D17E0000}"/>
    <cellStyle name="RIGs input cells 3 3 4 2 3 2" xfId="32251" xr:uid="{00000000-0005-0000-0000-0000D27E0000}"/>
    <cellStyle name="RIGs input cells 3 3 4 2 3 3" xfId="32252" xr:uid="{00000000-0005-0000-0000-0000D37E0000}"/>
    <cellStyle name="RIGs input cells 3 3 4 2 4" xfId="32253" xr:uid="{00000000-0005-0000-0000-0000D47E0000}"/>
    <cellStyle name="RIGs input cells 3 3 4 2 5" xfId="32254" xr:uid="{00000000-0005-0000-0000-0000D57E0000}"/>
    <cellStyle name="RIGs input cells 3 3 4 2 6" xfId="32255" xr:uid="{00000000-0005-0000-0000-0000D67E0000}"/>
    <cellStyle name="RIGs input cells 3 3 4 2 7" xfId="32256" xr:uid="{00000000-0005-0000-0000-0000D77E0000}"/>
    <cellStyle name="RIGs input cells 3 3 4 2 8" xfId="32257" xr:uid="{00000000-0005-0000-0000-0000D87E0000}"/>
    <cellStyle name="RIGs input cells 3 3 4 2 9" xfId="32258" xr:uid="{00000000-0005-0000-0000-0000D97E0000}"/>
    <cellStyle name="RIGs input cells 3 3 4 20" xfId="32259" xr:uid="{00000000-0005-0000-0000-0000DA7E0000}"/>
    <cellStyle name="RIGs input cells 3 3 4 21" xfId="32260" xr:uid="{00000000-0005-0000-0000-0000DB7E0000}"/>
    <cellStyle name="RIGs input cells 3 3 4 22" xfId="32261" xr:uid="{00000000-0005-0000-0000-0000DC7E0000}"/>
    <cellStyle name="RIGs input cells 3 3 4 23" xfId="32262" xr:uid="{00000000-0005-0000-0000-0000DD7E0000}"/>
    <cellStyle name="RIGs input cells 3 3 4 24" xfId="32263" xr:uid="{00000000-0005-0000-0000-0000DE7E0000}"/>
    <cellStyle name="RIGs input cells 3 3 4 25" xfId="32264" xr:uid="{00000000-0005-0000-0000-0000DF7E0000}"/>
    <cellStyle name="RIGs input cells 3 3 4 26" xfId="32265" xr:uid="{00000000-0005-0000-0000-0000E07E0000}"/>
    <cellStyle name="RIGs input cells 3 3 4 27" xfId="32266" xr:uid="{00000000-0005-0000-0000-0000E17E0000}"/>
    <cellStyle name="RIGs input cells 3 3 4 28" xfId="32267" xr:uid="{00000000-0005-0000-0000-0000E27E0000}"/>
    <cellStyle name="RIGs input cells 3 3 4 29" xfId="32268" xr:uid="{00000000-0005-0000-0000-0000E37E0000}"/>
    <cellStyle name="RIGs input cells 3 3 4 3" xfId="32269" xr:uid="{00000000-0005-0000-0000-0000E47E0000}"/>
    <cellStyle name="RIGs input cells 3 3 4 3 2" xfId="32270" xr:uid="{00000000-0005-0000-0000-0000E57E0000}"/>
    <cellStyle name="RIGs input cells 3 3 4 3 3" xfId="32271" xr:uid="{00000000-0005-0000-0000-0000E67E0000}"/>
    <cellStyle name="RIGs input cells 3 3 4 30" xfId="32272" xr:uid="{00000000-0005-0000-0000-0000E77E0000}"/>
    <cellStyle name="RIGs input cells 3 3 4 31" xfId="32273" xr:uid="{00000000-0005-0000-0000-0000E87E0000}"/>
    <cellStyle name="RIGs input cells 3 3 4 32" xfId="32274" xr:uid="{00000000-0005-0000-0000-0000E97E0000}"/>
    <cellStyle name="RIGs input cells 3 3 4 33" xfId="32275" xr:uid="{00000000-0005-0000-0000-0000EA7E0000}"/>
    <cellStyle name="RIGs input cells 3 3 4 34" xfId="32276" xr:uid="{00000000-0005-0000-0000-0000EB7E0000}"/>
    <cellStyle name="RIGs input cells 3 3 4 4" xfId="32277" xr:uid="{00000000-0005-0000-0000-0000EC7E0000}"/>
    <cellStyle name="RIGs input cells 3 3 4 4 2" xfId="32278" xr:uid="{00000000-0005-0000-0000-0000ED7E0000}"/>
    <cellStyle name="RIGs input cells 3 3 4 4 3" xfId="32279" xr:uid="{00000000-0005-0000-0000-0000EE7E0000}"/>
    <cellStyle name="RIGs input cells 3 3 4 5" xfId="32280" xr:uid="{00000000-0005-0000-0000-0000EF7E0000}"/>
    <cellStyle name="RIGs input cells 3 3 4 6" xfId="32281" xr:uid="{00000000-0005-0000-0000-0000F07E0000}"/>
    <cellStyle name="RIGs input cells 3 3 4 7" xfId="32282" xr:uid="{00000000-0005-0000-0000-0000F17E0000}"/>
    <cellStyle name="RIGs input cells 3 3 4 8" xfId="32283" xr:uid="{00000000-0005-0000-0000-0000F27E0000}"/>
    <cellStyle name="RIGs input cells 3 3 4 9" xfId="32284" xr:uid="{00000000-0005-0000-0000-0000F37E0000}"/>
    <cellStyle name="RIGs input cells 3 3 5" xfId="32285" xr:uid="{00000000-0005-0000-0000-0000F47E0000}"/>
    <cellStyle name="RIGs input cells 3 3 5 10" xfId="32286" xr:uid="{00000000-0005-0000-0000-0000F57E0000}"/>
    <cellStyle name="RIGs input cells 3 3 5 11" xfId="32287" xr:uid="{00000000-0005-0000-0000-0000F67E0000}"/>
    <cellStyle name="RIGs input cells 3 3 5 12" xfId="32288" xr:uid="{00000000-0005-0000-0000-0000F77E0000}"/>
    <cellStyle name="RIGs input cells 3 3 5 13" xfId="32289" xr:uid="{00000000-0005-0000-0000-0000F87E0000}"/>
    <cellStyle name="RIGs input cells 3 3 5 2" xfId="32290" xr:uid="{00000000-0005-0000-0000-0000F97E0000}"/>
    <cellStyle name="RIGs input cells 3 3 5 2 2" xfId="32291" xr:uid="{00000000-0005-0000-0000-0000FA7E0000}"/>
    <cellStyle name="RIGs input cells 3 3 5 2 3" xfId="32292" xr:uid="{00000000-0005-0000-0000-0000FB7E0000}"/>
    <cellStyle name="RIGs input cells 3 3 5 3" xfId="32293" xr:uid="{00000000-0005-0000-0000-0000FC7E0000}"/>
    <cellStyle name="RIGs input cells 3 3 5 3 2" xfId="32294" xr:uid="{00000000-0005-0000-0000-0000FD7E0000}"/>
    <cellStyle name="RIGs input cells 3 3 5 3 3" xfId="32295" xr:uid="{00000000-0005-0000-0000-0000FE7E0000}"/>
    <cellStyle name="RIGs input cells 3 3 5 4" xfId="32296" xr:uid="{00000000-0005-0000-0000-0000FF7E0000}"/>
    <cellStyle name="RIGs input cells 3 3 5 5" xfId="32297" xr:uid="{00000000-0005-0000-0000-0000007F0000}"/>
    <cellStyle name="RIGs input cells 3 3 5 6" xfId="32298" xr:uid="{00000000-0005-0000-0000-0000017F0000}"/>
    <cellStyle name="RIGs input cells 3 3 5 7" xfId="32299" xr:uid="{00000000-0005-0000-0000-0000027F0000}"/>
    <cellStyle name="RIGs input cells 3 3 5 8" xfId="32300" xr:uid="{00000000-0005-0000-0000-0000037F0000}"/>
    <cellStyle name="RIGs input cells 3 3 5 9" xfId="32301" xr:uid="{00000000-0005-0000-0000-0000047F0000}"/>
    <cellStyle name="RIGs input cells 3 3 6" xfId="32302" xr:uid="{00000000-0005-0000-0000-0000057F0000}"/>
    <cellStyle name="RIGs input cells 3 3 6 2" xfId="32303" xr:uid="{00000000-0005-0000-0000-0000067F0000}"/>
    <cellStyle name="RIGs input cells 3 3 6 2 2" xfId="32304" xr:uid="{00000000-0005-0000-0000-0000077F0000}"/>
    <cellStyle name="RIGs input cells 3 3 6 2 3" xfId="32305" xr:uid="{00000000-0005-0000-0000-0000087F0000}"/>
    <cellStyle name="RIGs input cells 3 3 6 3" xfId="32306" xr:uid="{00000000-0005-0000-0000-0000097F0000}"/>
    <cellStyle name="RIGs input cells 3 3 6 3 2" xfId="32307" xr:uid="{00000000-0005-0000-0000-00000A7F0000}"/>
    <cellStyle name="RIGs input cells 3 3 6 4" xfId="32308" xr:uid="{00000000-0005-0000-0000-00000B7F0000}"/>
    <cellStyle name="RIGs input cells 3 3 7" xfId="32309" xr:uid="{00000000-0005-0000-0000-00000C7F0000}"/>
    <cellStyle name="RIGs input cells 3 3 7 2" xfId="32310" xr:uid="{00000000-0005-0000-0000-00000D7F0000}"/>
    <cellStyle name="RIGs input cells 3 3 8" xfId="32311" xr:uid="{00000000-0005-0000-0000-00000E7F0000}"/>
    <cellStyle name="RIGs input cells 3 3 8 2" xfId="32312" xr:uid="{00000000-0005-0000-0000-00000F7F0000}"/>
    <cellStyle name="RIGs input cells 3 3 9" xfId="32313" xr:uid="{00000000-0005-0000-0000-0000107F0000}"/>
    <cellStyle name="RIGs input cells 3 3 9 2" xfId="32314" xr:uid="{00000000-0005-0000-0000-0000117F0000}"/>
    <cellStyle name="RIGs input cells 3 3_4 28 1_Asst_Health_Crit_AllTO_RIIO_20110714pm" xfId="32315" xr:uid="{00000000-0005-0000-0000-0000127F0000}"/>
    <cellStyle name="RIGs input cells 3 30" xfId="32316" xr:uid="{00000000-0005-0000-0000-0000137F0000}"/>
    <cellStyle name="RIGs input cells 3 30 2" xfId="32317" xr:uid="{00000000-0005-0000-0000-0000147F0000}"/>
    <cellStyle name="RIGs input cells 3 31" xfId="32318" xr:uid="{00000000-0005-0000-0000-0000157F0000}"/>
    <cellStyle name="RIGs input cells 3 31 2" xfId="32319" xr:uid="{00000000-0005-0000-0000-0000167F0000}"/>
    <cellStyle name="RIGs input cells 3 32" xfId="32320" xr:uid="{00000000-0005-0000-0000-0000177F0000}"/>
    <cellStyle name="RIGs input cells 3 32 2" xfId="32321" xr:uid="{00000000-0005-0000-0000-0000187F0000}"/>
    <cellStyle name="RIGs input cells 3 33" xfId="32322" xr:uid="{00000000-0005-0000-0000-0000197F0000}"/>
    <cellStyle name="RIGs input cells 3 34" xfId="32323" xr:uid="{00000000-0005-0000-0000-00001A7F0000}"/>
    <cellStyle name="RIGs input cells 3 35" xfId="32324" xr:uid="{00000000-0005-0000-0000-00001B7F0000}"/>
    <cellStyle name="RIGs input cells 3 36" xfId="32325" xr:uid="{00000000-0005-0000-0000-00001C7F0000}"/>
    <cellStyle name="RIGs input cells 3 37" xfId="32326" xr:uid="{00000000-0005-0000-0000-00001D7F0000}"/>
    <cellStyle name="RIGs input cells 3 38" xfId="32327" xr:uid="{00000000-0005-0000-0000-00001E7F0000}"/>
    <cellStyle name="RIGs input cells 3 39" xfId="32328" xr:uid="{00000000-0005-0000-0000-00001F7F0000}"/>
    <cellStyle name="RIGs input cells 3 4" xfId="32329" xr:uid="{00000000-0005-0000-0000-0000207F0000}"/>
    <cellStyle name="RIGs input cells 3 4 10" xfId="32330" xr:uid="{00000000-0005-0000-0000-0000217F0000}"/>
    <cellStyle name="RIGs input cells 3 4 11" xfId="32331" xr:uid="{00000000-0005-0000-0000-0000227F0000}"/>
    <cellStyle name="RIGs input cells 3 4 12" xfId="32332" xr:uid="{00000000-0005-0000-0000-0000237F0000}"/>
    <cellStyle name="RIGs input cells 3 4 13" xfId="32333" xr:uid="{00000000-0005-0000-0000-0000247F0000}"/>
    <cellStyle name="RIGs input cells 3 4 14" xfId="32334" xr:uid="{00000000-0005-0000-0000-0000257F0000}"/>
    <cellStyle name="RIGs input cells 3 4 15" xfId="32335" xr:uid="{00000000-0005-0000-0000-0000267F0000}"/>
    <cellStyle name="RIGs input cells 3 4 16" xfId="32336" xr:uid="{00000000-0005-0000-0000-0000277F0000}"/>
    <cellStyle name="RIGs input cells 3 4 17" xfId="32337" xr:uid="{00000000-0005-0000-0000-0000287F0000}"/>
    <cellStyle name="RIGs input cells 3 4 18" xfId="32338" xr:uid="{00000000-0005-0000-0000-0000297F0000}"/>
    <cellStyle name="RIGs input cells 3 4 19" xfId="32339" xr:uid="{00000000-0005-0000-0000-00002A7F0000}"/>
    <cellStyle name="RIGs input cells 3 4 2" xfId="32340" xr:uid="{00000000-0005-0000-0000-00002B7F0000}"/>
    <cellStyle name="RIGs input cells 3 4 2 10" xfId="32341" xr:uid="{00000000-0005-0000-0000-00002C7F0000}"/>
    <cellStyle name="RIGs input cells 3 4 2 11" xfId="32342" xr:uid="{00000000-0005-0000-0000-00002D7F0000}"/>
    <cellStyle name="RIGs input cells 3 4 2 12" xfId="32343" xr:uid="{00000000-0005-0000-0000-00002E7F0000}"/>
    <cellStyle name="RIGs input cells 3 4 2 13" xfId="32344" xr:uid="{00000000-0005-0000-0000-00002F7F0000}"/>
    <cellStyle name="RIGs input cells 3 4 2 14" xfId="32345" xr:uid="{00000000-0005-0000-0000-0000307F0000}"/>
    <cellStyle name="RIGs input cells 3 4 2 15" xfId="32346" xr:uid="{00000000-0005-0000-0000-0000317F0000}"/>
    <cellStyle name="RIGs input cells 3 4 2 16" xfId="32347" xr:uid="{00000000-0005-0000-0000-0000327F0000}"/>
    <cellStyle name="RIGs input cells 3 4 2 17" xfId="32348" xr:uid="{00000000-0005-0000-0000-0000337F0000}"/>
    <cellStyle name="RIGs input cells 3 4 2 18" xfId="32349" xr:uid="{00000000-0005-0000-0000-0000347F0000}"/>
    <cellStyle name="RIGs input cells 3 4 2 19" xfId="32350" xr:uid="{00000000-0005-0000-0000-0000357F0000}"/>
    <cellStyle name="RIGs input cells 3 4 2 2" xfId="32351" xr:uid="{00000000-0005-0000-0000-0000367F0000}"/>
    <cellStyle name="RIGs input cells 3 4 2 2 10" xfId="32352" xr:uid="{00000000-0005-0000-0000-0000377F0000}"/>
    <cellStyle name="RIGs input cells 3 4 2 2 11" xfId="32353" xr:uid="{00000000-0005-0000-0000-0000387F0000}"/>
    <cellStyle name="RIGs input cells 3 4 2 2 12" xfId="32354" xr:uid="{00000000-0005-0000-0000-0000397F0000}"/>
    <cellStyle name="RIGs input cells 3 4 2 2 13" xfId="32355" xr:uid="{00000000-0005-0000-0000-00003A7F0000}"/>
    <cellStyle name="RIGs input cells 3 4 2 2 2" xfId="32356" xr:uid="{00000000-0005-0000-0000-00003B7F0000}"/>
    <cellStyle name="RIGs input cells 3 4 2 2 2 2" xfId="32357" xr:uid="{00000000-0005-0000-0000-00003C7F0000}"/>
    <cellStyle name="RIGs input cells 3 4 2 2 2 3" xfId="32358" xr:uid="{00000000-0005-0000-0000-00003D7F0000}"/>
    <cellStyle name="RIGs input cells 3 4 2 2 3" xfId="32359" xr:uid="{00000000-0005-0000-0000-00003E7F0000}"/>
    <cellStyle name="RIGs input cells 3 4 2 2 3 2" xfId="32360" xr:uid="{00000000-0005-0000-0000-00003F7F0000}"/>
    <cellStyle name="RIGs input cells 3 4 2 2 3 3" xfId="32361" xr:uid="{00000000-0005-0000-0000-0000407F0000}"/>
    <cellStyle name="RIGs input cells 3 4 2 2 4" xfId="32362" xr:uid="{00000000-0005-0000-0000-0000417F0000}"/>
    <cellStyle name="RIGs input cells 3 4 2 2 5" xfId="32363" xr:uid="{00000000-0005-0000-0000-0000427F0000}"/>
    <cellStyle name="RIGs input cells 3 4 2 2 6" xfId="32364" xr:uid="{00000000-0005-0000-0000-0000437F0000}"/>
    <cellStyle name="RIGs input cells 3 4 2 2 7" xfId="32365" xr:uid="{00000000-0005-0000-0000-0000447F0000}"/>
    <cellStyle name="RIGs input cells 3 4 2 2 8" xfId="32366" xr:uid="{00000000-0005-0000-0000-0000457F0000}"/>
    <cellStyle name="RIGs input cells 3 4 2 2 9" xfId="32367" xr:uid="{00000000-0005-0000-0000-0000467F0000}"/>
    <cellStyle name="RIGs input cells 3 4 2 20" xfId="32368" xr:uid="{00000000-0005-0000-0000-0000477F0000}"/>
    <cellStyle name="RIGs input cells 3 4 2 21" xfId="32369" xr:uid="{00000000-0005-0000-0000-0000487F0000}"/>
    <cellStyle name="RIGs input cells 3 4 2 22" xfId="32370" xr:uid="{00000000-0005-0000-0000-0000497F0000}"/>
    <cellStyle name="RIGs input cells 3 4 2 23" xfId="32371" xr:uid="{00000000-0005-0000-0000-00004A7F0000}"/>
    <cellStyle name="RIGs input cells 3 4 2 24" xfId="32372" xr:uid="{00000000-0005-0000-0000-00004B7F0000}"/>
    <cellStyle name="RIGs input cells 3 4 2 25" xfId="32373" xr:uid="{00000000-0005-0000-0000-00004C7F0000}"/>
    <cellStyle name="RIGs input cells 3 4 2 26" xfId="32374" xr:uid="{00000000-0005-0000-0000-00004D7F0000}"/>
    <cellStyle name="RIGs input cells 3 4 2 27" xfId="32375" xr:uid="{00000000-0005-0000-0000-00004E7F0000}"/>
    <cellStyle name="RIGs input cells 3 4 2 28" xfId="32376" xr:uid="{00000000-0005-0000-0000-00004F7F0000}"/>
    <cellStyle name="RIGs input cells 3 4 2 29" xfId="32377" xr:uid="{00000000-0005-0000-0000-0000507F0000}"/>
    <cellStyle name="RIGs input cells 3 4 2 3" xfId="32378" xr:uid="{00000000-0005-0000-0000-0000517F0000}"/>
    <cellStyle name="RIGs input cells 3 4 2 3 2" xfId="32379" xr:uid="{00000000-0005-0000-0000-0000527F0000}"/>
    <cellStyle name="RIGs input cells 3 4 2 3 3" xfId="32380" xr:uid="{00000000-0005-0000-0000-0000537F0000}"/>
    <cellStyle name="RIGs input cells 3 4 2 30" xfId="32381" xr:uid="{00000000-0005-0000-0000-0000547F0000}"/>
    <cellStyle name="RIGs input cells 3 4 2 31" xfId="32382" xr:uid="{00000000-0005-0000-0000-0000557F0000}"/>
    <cellStyle name="RIGs input cells 3 4 2 32" xfId="32383" xr:uid="{00000000-0005-0000-0000-0000567F0000}"/>
    <cellStyle name="RIGs input cells 3 4 2 33" xfId="32384" xr:uid="{00000000-0005-0000-0000-0000577F0000}"/>
    <cellStyle name="RIGs input cells 3 4 2 34" xfId="32385" xr:uid="{00000000-0005-0000-0000-0000587F0000}"/>
    <cellStyle name="RIGs input cells 3 4 2 4" xfId="32386" xr:uid="{00000000-0005-0000-0000-0000597F0000}"/>
    <cellStyle name="RIGs input cells 3 4 2 4 2" xfId="32387" xr:uid="{00000000-0005-0000-0000-00005A7F0000}"/>
    <cellStyle name="RIGs input cells 3 4 2 4 3" xfId="32388" xr:uid="{00000000-0005-0000-0000-00005B7F0000}"/>
    <cellStyle name="RIGs input cells 3 4 2 5" xfId="32389" xr:uid="{00000000-0005-0000-0000-00005C7F0000}"/>
    <cellStyle name="RIGs input cells 3 4 2 6" xfId="32390" xr:uid="{00000000-0005-0000-0000-00005D7F0000}"/>
    <cellStyle name="RIGs input cells 3 4 2 7" xfId="32391" xr:uid="{00000000-0005-0000-0000-00005E7F0000}"/>
    <cellStyle name="RIGs input cells 3 4 2 8" xfId="32392" xr:uid="{00000000-0005-0000-0000-00005F7F0000}"/>
    <cellStyle name="RIGs input cells 3 4 2 9" xfId="32393" xr:uid="{00000000-0005-0000-0000-0000607F0000}"/>
    <cellStyle name="RIGs input cells 3 4 20" xfId="32394" xr:uid="{00000000-0005-0000-0000-0000617F0000}"/>
    <cellStyle name="RIGs input cells 3 4 21" xfId="32395" xr:uid="{00000000-0005-0000-0000-0000627F0000}"/>
    <cellStyle name="RIGs input cells 3 4 22" xfId="32396" xr:uid="{00000000-0005-0000-0000-0000637F0000}"/>
    <cellStyle name="RIGs input cells 3 4 23" xfId="32397" xr:uid="{00000000-0005-0000-0000-0000647F0000}"/>
    <cellStyle name="RIGs input cells 3 4 24" xfId="32398" xr:uid="{00000000-0005-0000-0000-0000657F0000}"/>
    <cellStyle name="RIGs input cells 3 4 25" xfId="32399" xr:uid="{00000000-0005-0000-0000-0000667F0000}"/>
    <cellStyle name="RIGs input cells 3 4 26" xfId="32400" xr:uid="{00000000-0005-0000-0000-0000677F0000}"/>
    <cellStyle name="RIGs input cells 3 4 27" xfId="32401" xr:uid="{00000000-0005-0000-0000-0000687F0000}"/>
    <cellStyle name="RIGs input cells 3 4 28" xfId="32402" xr:uid="{00000000-0005-0000-0000-0000697F0000}"/>
    <cellStyle name="RIGs input cells 3 4 29" xfId="32403" xr:uid="{00000000-0005-0000-0000-00006A7F0000}"/>
    <cellStyle name="RIGs input cells 3 4 3" xfId="32404" xr:uid="{00000000-0005-0000-0000-00006B7F0000}"/>
    <cellStyle name="RIGs input cells 3 4 3 10" xfId="32405" xr:uid="{00000000-0005-0000-0000-00006C7F0000}"/>
    <cellStyle name="RIGs input cells 3 4 3 11" xfId="32406" xr:uid="{00000000-0005-0000-0000-00006D7F0000}"/>
    <cellStyle name="RIGs input cells 3 4 3 12" xfId="32407" xr:uid="{00000000-0005-0000-0000-00006E7F0000}"/>
    <cellStyle name="RIGs input cells 3 4 3 13" xfId="32408" xr:uid="{00000000-0005-0000-0000-00006F7F0000}"/>
    <cellStyle name="RIGs input cells 3 4 3 2" xfId="32409" xr:uid="{00000000-0005-0000-0000-0000707F0000}"/>
    <cellStyle name="RIGs input cells 3 4 3 2 2" xfId="32410" xr:uid="{00000000-0005-0000-0000-0000717F0000}"/>
    <cellStyle name="RIGs input cells 3 4 3 2 3" xfId="32411" xr:uid="{00000000-0005-0000-0000-0000727F0000}"/>
    <cellStyle name="RIGs input cells 3 4 3 3" xfId="32412" xr:uid="{00000000-0005-0000-0000-0000737F0000}"/>
    <cellStyle name="RIGs input cells 3 4 3 3 2" xfId="32413" xr:uid="{00000000-0005-0000-0000-0000747F0000}"/>
    <cellStyle name="RIGs input cells 3 4 3 3 3" xfId="32414" xr:uid="{00000000-0005-0000-0000-0000757F0000}"/>
    <cellStyle name="RIGs input cells 3 4 3 4" xfId="32415" xr:uid="{00000000-0005-0000-0000-0000767F0000}"/>
    <cellStyle name="RIGs input cells 3 4 3 5" xfId="32416" xr:uid="{00000000-0005-0000-0000-0000777F0000}"/>
    <cellStyle name="RIGs input cells 3 4 3 6" xfId="32417" xr:uid="{00000000-0005-0000-0000-0000787F0000}"/>
    <cellStyle name="RIGs input cells 3 4 3 7" xfId="32418" xr:uid="{00000000-0005-0000-0000-0000797F0000}"/>
    <cellStyle name="RIGs input cells 3 4 3 8" xfId="32419" xr:uid="{00000000-0005-0000-0000-00007A7F0000}"/>
    <cellStyle name="RIGs input cells 3 4 3 9" xfId="32420" xr:uid="{00000000-0005-0000-0000-00007B7F0000}"/>
    <cellStyle name="RIGs input cells 3 4 30" xfId="32421" xr:uid="{00000000-0005-0000-0000-00007C7F0000}"/>
    <cellStyle name="RIGs input cells 3 4 31" xfId="32422" xr:uid="{00000000-0005-0000-0000-00007D7F0000}"/>
    <cellStyle name="RIGs input cells 3 4 32" xfId="32423" xr:uid="{00000000-0005-0000-0000-00007E7F0000}"/>
    <cellStyle name="RIGs input cells 3 4 33" xfId="32424" xr:uid="{00000000-0005-0000-0000-00007F7F0000}"/>
    <cellStyle name="RIGs input cells 3 4 34" xfId="32425" xr:uid="{00000000-0005-0000-0000-0000807F0000}"/>
    <cellStyle name="RIGs input cells 3 4 35" xfId="32426" xr:uid="{00000000-0005-0000-0000-0000817F0000}"/>
    <cellStyle name="RIGs input cells 3 4 4" xfId="32427" xr:uid="{00000000-0005-0000-0000-0000827F0000}"/>
    <cellStyle name="RIGs input cells 3 4 4 2" xfId="32428" xr:uid="{00000000-0005-0000-0000-0000837F0000}"/>
    <cellStyle name="RIGs input cells 3 4 4 3" xfId="32429" xr:uid="{00000000-0005-0000-0000-0000847F0000}"/>
    <cellStyle name="RIGs input cells 3 4 5" xfId="32430" xr:uid="{00000000-0005-0000-0000-0000857F0000}"/>
    <cellStyle name="RIGs input cells 3 4 5 2" xfId="32431" xr:uid="{00000000-0005-0000-0000-0000867F0000}"/>
    <cellStyle name="RIGs input cells 3 4 5 3" xfId="32432" xr:uid="{00000000-0005-0000-0000-0000877F0000}"/>
    <cellStyle name="RIGs input cells 3 4 6" xfId="32433" xr:uid="{00000000-0005-0000-0000-0000887F0000}"/>
    <cellStyle name="RIGs input cells 3 4 7" xfId="32434" xr:uid="{00000000-0005-0000-0000-0000897F0000}"/>
    <cellStyle name="RIGs input cells 3 4 8" xfId="32435" xr:uid="{00000000-0005-0000-0000-00008A7F0000}"/>
    <cellStyle name="RIGs input cells 3 4 9" xfId="32436" xr:uid="{00000000-0005-0000-0000-00008B7F0000}"/>
    <cellStyle name="RIGs input cells 3 4_4 28 1_Asst_Health_Crit_AllTO_RIIO_20110714pm" xfId="32437" xr:uid="{00000000-0005-0000-0000-00008C7F0000}"/>
    <cellStyle name="RIGs input cells 3 40" xfId="32438" xr:uid="{00000000-0005-0000-0000-00008D7F0000}"/>
    <cellStyle name="RIGs input cells 3 41" xfId="32439" xr:uid="{00000000-0005-0000-0000-00008E7F0000}"/>
    <cellStyle name="RIGs input cells 3 42" xfId="32440" xr:uid="{00000000-0005-0000-0000-00008F7F0000}"/>
    <cellStyle name="RIGs input cells 3 43" xfId="32441" xr:uid="{00000000-0005-0000-0000-0000907F0000}"/>
    <cellStyle name="RIGs input cells 3 44" xfId="32442" xr:uid="{00000000-0005-0000-0000-0000917F0000}"/>
    <cellStyle name="RIGs input cells 3 45" xfId="32443" xr:uid="{00000000-0005-0000-0000-0000927F0000}"/>
    <cellStyle name="RIGs input cells 3 5" xfId="32444" xr:uid="{00000000-0005-0000-0000-0000937F0000}"/>
    <cellStyle name="RIGs input cells 3 5 10" xfId="32445" xr:uid="{00000000-0005-0000-0000-0000947F0000}"/>
    <cellStyle name="RIGs input cells 3 5 11" xfId="32446" xr:uid="{00000000-0005-0000-0000-0000957F0000}"/>
    <cellStyle name="RIGs input cells 3 5 12" xfId="32447" xr:uid="{00000000-0005-0000-0000-0000967F0000}"/>
    <cellStyle name="RIGs input cells 3 5 13" xfId="32448" xr:uid="{00000000-0005-0000-0000-0000977F0000}"/>
    <cellStyle name="RIGs input cells 3 5 14" xfId="32449" xr:uid="{00000000-0005-0000-0000-0000987F0000}"/>
    <cellStyle name="RIGs input cells 3 5 15" xfId="32450" xr:uid="{00000000-0005-0000-0000-0000997F0000}"/>
    <cellStyle name="RIGs input cells 3 5 16" xfId="32451" xr:uid="{00000000-0005-0000-0000-00009A7F0000}"/>
    <cellStyle name="RIGs input cells 3 5 17" xfId="32452" xr:uid="{00000000-0005-0000-0000-00009B7F0000}"/>
    <cellStyle name="RIGs input cells 3 5 18" xfId="32453" xr:uid="{00000000-0005-0000-0000-00009C7F0000}"/>
    <cellStyle name="RIGs input cells 3 5 19" xfId="32454" xr:uid="{00000000-0005-0000-0000-00009D7F0000}"/>
    <cellStyle name="RIGs input cells 3 5 2" xfId="32455" xr:uid="{00000000-0005-0000-0000-00009E7F0000}"/>
    <cellStyle name="RIGs input cells 3 5 2 10" xfId="32456" xr:uid="{00000000-0005-0000-0000-00009F7F0000}"/>
    <cellStyle name="RIGs input cells 3 5 2 11" xfId="32457" xr:uid="{00000000-0005-0000-0000-0000A07F0000}"/>
    <cellStyle name="RIGs input cells 3 5 2 12" xfId="32458" xr:uid="{00000000-0005-0000-0000-0000A17F0000}"/>
    <cellStyle name="RIGs input cells 3 5 2 13" xfId="32459" xr:uid="{00000000-0005-0000-0000-0000A27F0000}"/>
    <cellStyle name="RIGs input cells 3 5 2 2" xfId="32460" xr:uid="{00000000-0005-0000-0000-0000A37F0000}"/>
    <cellStyle name="RIGs input cells 3 5 2 2 2" xfId="32461" xr:uid="{00000000-0005-0000-0000-0000A47F0000}"/>
    <cellStyle name="RIGs input cells 3 5 2 2 3" xfId="32462" xr:uid="{00000000-0005-0000-0000-0000A57F0000}"/>
    <cellStyle name="RIGs input cells 3 5 2 3" xfId="32463" xr:uid="{00000000-0005-0000-0000-0000A67F0000}"/>
    <cellStyle name="RIGs input cells 3 5 2 3 2" xfId="32464" xr:uid="{00000000-0005-0000-0000-0000A77F0000}"/>
    <cellStyle name="RIGs input cells 3 5 2 3 3" xfId="32465" xr:uid="{00000000-0005-0000-0000-0000A87F0000}"/>
    <cellStyle name="RIGs input cells 3 5 2 4" xfId="32466" xr:uid="{00000000-0005-0000-0000-0000A97F0000}"/>
    <cellStyle name="RIGs input cells 3 5 2 5" xfId="32467" xr:uid="{00000000-0005-0000-0000-0000AA7F0000}"/>
    <cellStyle name="RIGs input cells 3 5 2 6" xfId="32468" xr:uid="{00000000-0005-0000-0000-0000AB7F0000}"/>
    <cellStyle name="RIGs input cells 3 5 2 7" xfId="32469" xr:uid="{00000000-0005-0000-0000-0000AC7F0000}"/>
    <cellStyle name="RIGs input cells 3 5 2 8" xfId="32470" xr:uid="{00000000-0005-0000-0000-0000AD7F0000}"/>
    <cellStyle name="RIGs input cells 3 5 2 9" xfId="32471" xr:uid="{00000000-0005-0000-0000-0000AE7F0000}"/>
    <cellStyle name="RIGs input cells 3 5 20" xfId="32472" xr:uid="{00000000-0005-0000-0000-0000AF7F0000}"/>
    <cellStyle name="RIGs input cells 3 5 21" xfId="32473" xr:uid="{00000000-0005-0000-0000-0000B07F0000}"/>
    <cellStyle name="RIGs input cells 3 5 22" xfId="32474" xr:uid="{00000000-0005-0000-0000-0000B17F0000}"/>
    <cellStyle name="RIGs input cells 3 5 23" xfId="32475" xr:uid="{00000000-0005-0000-0000-0000B27F0000}"/>
    <cellStyle name="RIGs input cells 3 5 24" xfId="32476" xr:uid="{00000000-0005-0000-0000-0000B37F0000}"/>
    <cellStyle name="RIGs input cells 3 5 25" xfId="32477" xr:uid="{00000000-0005-0000-0000-0000B47F0000}"/>
    <cellStyle name="RIGs input cells 3 5 26" xfId="32478" xr:uid="{00000000-0005-0000-0000-0000B57F0000}"/>
    <cellStyle name="RIGs input cells 3 5 27" xfId="32479" xr:uid="{00000000-0005-0000-0000-0000B67F0000}"/>
    <cellStyle name="RIGs input cells 3 5 28" xfId="32480" xr:uid="{00000000-0005-0000-0000-0000B77F0000}"/>
    <cellStyle name="RIGs input cells 3 5 29" xfId="32481" xr:uid="{00000000-0005-0000-0000-0000B87F0000}"/>
    <cellStyle name="RIGs input cells 3 5 3" xfId="32482" xr:uid="{00000000-0005-0000-0000-0000B97F0000}"/>
    <cellStyle name="RIGs input cells 3 5 3 2" xfId="32483" xr:uid="{00000000-0005-0000-0000-0000BA7F0000}"/>
    <cellStyle name="RIGs input cells 3 5 3 3" xfId="32484" xr:uid="{00000000-0005-0000-0000-0000BB7F0000}"/>
    <cellStyle name="RIGs input cells 3 5 30" xfId="32485" xr:uid="{00000000-0005-0000-0000-0000BC7F0000}"/>
    <cellStyle name="RIGs input cells 3 5 31" xfId="32486" xr:uid="{00000000-0005-0000-0000-0000BD7F0000}"/>
    <cellStyle name="RIGs input cells 3 5 32" xfId="32487" xr:uid="{00000000-0005-0000-0000-0000BE7F0000}"/>
    <cellStyle name="RIGs input cells 3 5 33" xfId="32488" xr:uid="{00000000-0005-0000-0000-0000BF7F0000}"/>
    <cellStyle name="RIGs input cells 3 5 34" xfId="32489" xr:uid="{00000000-0005-0000-0000-0000C07F0000}"/>
    <cellStyle name="RIGs input cells 3 5 4" xfId="32490" xr:uid="{00000000-0005-0000-0000-0000C17F0000}"/>
    <cellStyle name="RIGs input cells 3 5 4 2" xfId="32491" xr:uid="{00000000-0005-0000-0000-0000C27F0000}"/>
    <cellStyle name="RIGs input cells 3 5 4 3" xfId="32492" xr:uid="{00000000-0005-0000-0000-0000C37F0000}"/>
    <cellStyle name="RIGs input cells 3 5 5" xfId="32493" xr:uid="{00000000-0005-0000-0000-0000C47F0000}"/>
    <cellStyle name="RIGs input cells 3 5 6" xfId="32494" xr:uid="{00000000-0005-0000-0000-0000C57F0000}"/>
    <cellStyle name="RIGs input cells 3 5 7" xfId="32495" xr:uid="{00000000-0005-0000-0000-0000C67F0000}"/>
    <cellStyle name="RIGs input cells 3 5 8" xfId="32496" xr:uid="{00000000-0005-0000-0000-0000C77F0000}"/>
    <cellStyle name="RIGs input cells 3 5 9" xfId="32497" xr:uid="{00000000-0005-0000-0000-0000C87F0000}"/>
    <cellStyle name="RIGs input cells 3 6" xfId="32498" xr:uid="{00000000-0005-0000-0000-0000C97F0000}"/>
    <cellStyle name="RIGs input cells 3 6 10" xfId="32499" xr:uid="{00000000-0005-0000-0000-0000CA7F0000}"/>
    <cellStyle name="RIGs input cells 3 6 11" xfId="32500" xr:uid="{00000000-0005-0000-0000-0000CB7F0000}"/>
    <cellStyle name="RIGs input cells 3 6 12" xfId="32501" xr:uid="{00000000-0005-0000-0000-0000CC7F0000}"/>
    <cellStyle name="RIGs input cells 3 6 13" xfId="32502" xr:uid="{00000000-0005-0000-0000-0000CD7F0000}"/>
    <cellStyle name="RIGs input cells 3 6 14" xfId="32503" xr:uid="{00000000-0005-0000-0000-0000CE7F0000}"/>
    <cellStyle name="RIGs input cells 3 6 15" xfId="32504" xr:uid="{00000000-0005-0000-0000-0000CF7F0000}"/>
    <cellStyle name="RIGs input cells 3 6 16" xfId="32505" xr:uid="{00000000-0005-0000-0000-0000D07F0000}"/>
    <cellStyle name="RIGs input cells 3 6 17" xfId="32506" xr:uid="{00000000-0005-0000-0000-0000D17F0000}"/>
    <cellStyle name="RIGs input cells 3 6 18" xfId="32507" xr:uid="{00000000-0005-0000-0000-0000D27F0000}"/>
    <cellStyle name="RIGs input cells 3 6 19" xfId="32508" xr:uid="{00000000-0005-0000-0000-0000D37F0000}"/>
    <cellStyle name="RIGs input cells 3 6 2" xfId="32509" xr:uid="{00000000-0005-0000-0000-0000D47F0000}"/>
    <cellStyle name="RIGs input cells 3 6 2 10" xfId="32510" xr:uid="{00000000-0005-0000-0000-0000D57F0000}"/>
    <cellStyle name="RIGs input cells 3 6 2 11" xfId="32511" xr:uid="{00000000-0005-0000-0000-0000D67F0000}"/>
    <cellStyle name="RIGs input cells 3 6 2 12" xfId="32512" xr:uid="{00000000-0005-0000-0000-0000D77F0000}"/>
    <cellStyle name="RIGs input cells 3 6 2 13" xfId="32513" xr:uid="{00000000-0005-0000-0000-0000D87F0000}"/>
    <cellStyle name="RIGs input cells 3 6 2 2" xfId="32514" xr:uid="{00000000-0005-0000-0000-0000D97F0000}"/>
    <cellStyle name="RIGs input cells 3 6 2 2 2" xfId="32515" xr:uid="{00000000-0005-0000-0000-0000DA7F0000}"/>
    <cellStyle name="RIGs input cells 3 6 2 2 3" xfId="32516" xr:uid="{00000000-0005-0000-0000-0000DB7F0000}"/>
    <cellStyle name="RIGs input cells 3 6 2 3" xfId="32517" xr:uid="{00000000-0005-0000-0000-0000DC7F0000}"/>
    <cellStyle name="RIGs input cells 3 6 2 3 2" xfId="32518" xr:uid="{00000000-0005-0000-0000-0000DD7F0000}"/>
    <cellStyle name="RIGs input cells 3 6 2 3 3" xfId="32519" xr:uid="{00000000-0005-0000-0000-0000DE7F0000}"/>
    <cellStyle name="RIGs input cells 3 6 2 4" xfId="32520" xr:uid="{00000000-0005-0000-0000-0000DF7F0000}"/>
    <cellStyle name="RIGs input cells 3 6 2 5" xfId="32521" xr:uid="{00000000-0005-0000-0000-0000E07F0000}"/>
    <cellStyle name="RIGs input cells 3 6 2 6" xfId="32522" xr:uid="{00000000-0005-0000-0000-0000E17F0000}"/>
    <cellStyle name="RIGs input cells 3 6 2 7" xfId="32523" xr:uid="{00000000-0005-0000-0000-0000E27F0000}"/>
    <cellStyle name="RIGs input cells 3 6 2 8" xfId="32524" xr:uid="{00000000-0005-0000-0000-0000E37F0000}"/>
    <cellStyle name="RIGs input cells 3 6 2 9" xfId="32525" xr:uid="{00000000-0005-0000-0000-0000E47F0000}"/>
    <cellStyle name="RIGs input cells 3 6 20" xfId="32526" xr:uid="{00000000-0005-0000-0000-0000E57F0000}"/>
    <cellStyle name="RIGs input cells 3 6 21" xfId="32527" xr:uid="{00000000-0005-0000-0000-0000E67F0000}"/>
    <cellStyle name="RIGs input cells 3 6 22" xfId="32528" xr:uid="{00000000-0005-0000-0000-0000E77F0000}"/>
    <cellStyle name="RIGs input cells 3 6 23" xfId="32529" xr:uid="{00000000-0005-0000-0000-0000E87F0000}"/>
    <cellStyle name="RIGs input cells 3 6 24" xfId="32530" xr:uid="{00000000-0005-0000-0000-0000E97F0000}"/>
    <cellStyle name="RIGs input cells 3 6 25" xfId="32531" xr:uid="{00000000-0005-0000-0000-0000EA7F0000}"/>
    <cellStyle name="RIGs input cells 3 6 26" xfId="32532" xr:uid="{00000000-0005-0000-0000-0000EB7F0000}"/>
    <cellStyle name="RIGs input cells 3 6 27" xfId="32533" xr:uid="{00000000-0005-0000-0000-0000EC7F0000}"/>
    <cellStyle name="RIGs input cells 3 6 28" xfId="32534" xr:uid="{00000000-0005-0000-0000-0000ED7F0000}"/>
    <cellStyle name="RIGs input cells 3 6 29" xfId="32535" xr:uid="{00000000-0005-0000-0000-0000EE7F0000}"/>
    <cellStyle name="RIGs input cells 3 6 3" xfId="32536" xr:uid="{00000000-0005-0000-0000-0000EF7F0000}"/>
    <cellStyle name="RIGs input cells 3 6 3 2" xfId="32537" xr:uid="{00000000-0005-0000-0000-0000F07F0000}"/>
    <cellStyle name="RIGs input cells 3 6 3 3" xfId="32538" xr:uid="{00000000-0005-0000-0000-0000F17F0000}"/>
    <cellStyle name="RIGs input cells 3 6 30" xfId="32539" xr:uid="{00000000-0005-0000-0000-0000F27F0000}"/>
    <cellStyle name="RIGs input cells 3 6 31" xfId="32540" xr:uid="{00000000-0005-0000-0000-0000F37F0000}"/>
    <cellStyle name="RIGs input cells 3 6 32" xfId="32541" xr:uid="{00000000-0005-0000-0000-0000F47F0000}"/>
    <cellStyle name="RIGs input cells 3 6 33" xfId="32542" xr:uid="{00000000-0005-0000-0000-0000F57F0000}"/>
    <cellStyle name="RIGs input cells 3 6 34" xfId="32543" xr:uid="{00000000-0005-0000-0000-0000F67F0000}"/>
    <cellStyle name="RIGs input cells 3 6 4" xfId="32544" xr:uid="{00000000-0005-0000-0000-0000F77F0000}"/>
    <cellStyle name="RIGs input cells 3 6 4 2" xfId="32545" xr:uid="{00000000-0005-0000-0000-0000F87F0000}"/>
    <cellStyle name="RIGs input cells 3 6 4 3" xfId="32546" xr:uid="{00000000-0005-0000-0000-0000F97F0000}"/>
    <cellStyle name="RIGs input cells 3 6 5" xfId="32547" xr:uid="{00000000-0005-0000-0000-0000FA7F0000}"/>
    <cellStyle name="RIGs input cells 3 6 6" xfId="32548" xr:uid="{00000000-0005-0000-0000-0000FB7F0000}"/>
    <cellStyle name="RIGs input cells 3 6 7" xfId="32549" xr:uid="{00000000-0005-0000-0000-0000FC7F0000}"/>
    <cellStyle name="RIGs input cells 3 6 8" xfId="32550" xr:uid="{00000000-0005-0000-0000-0000FD7F0000}"/>
    <cellStyle name="RIGs input cells 3 6 9" xfId="32551" xr:uid="{00000000-0005-0000-0000-0000FE7F0000}"/>
    <cellStyle name="RIGs input cells 3 7" xfId="32552" xr:uid="{00000000-0005-0000-0000-0000FF7F0000}"/>
    <cellStyle name="RIGs input cells 3 7 10" xfId="32553" xr:uid="{00000000-0005-0000-0000-000000800000}"/>
    <cellStyle name="RIGs input cells 3 7 11" xfId="32554" xr:uid="{00000000-0005-0000-0000-000001800000}"/>
    <cellStyle name="RIGs input cells 3 7 12" xfId="32555" xr:uid="{00000000-0005-0000-0000-000002800000}"/>
    <cellStyle name="RIGs input cells 3 7 13" xfId="32556" xr:uid="{00000000-0005-0000-0000-000003800000}"/>
    <cellStyle name="RIGs input cells 3 7 14" xfId="32557" xr:uid="{00000000-0005-0000-0000-000004800000}"/>
    <cellStyle name="RIGs input cells 3 7 15" xfId="32558" xr:uid="{00000000-0005-0000-0000-000005800000}"/>
    <cellStyle name="RIGs input cells 3 7 16" xfId="32559" xr:uid="{00000000-0005-0000-0000-000006800000}"/>
    <cellStyle name="RIGs input cells 3 7 17" xfId="32560" xr:uid="{00000000-0005-0000-0000-000007800000}"/>
    <cellStyle name="RIGs input cells 3 7 18" xfId="32561" xr:uid="{00000000-0005-0000-0000-000008800000}"/>
    <cellStyle name="RIGs input cells 3 7 19" xfId="32562" xr:uid="{00000000-0005-0000-0000-000009800000}"/>
    <cellStyle name="RIGs input cells 3 7 2" xfId="32563" xr:uid="{00000000-0005-0000-0000-00000A800000}"/>
    <cellStyle name="RIGs input cells 3 7 2 10" xfId="32564" xr:uid="{00000000-0005-0000-0000-00000B800000}"/>
    <cellStyle name="RIGs input cells 3 7 2 11" xfId="32565" xr:uid="{00000000-0005-0000-0000-00000C800000}"/>
    <cellStyle name="RIGs input cells 3 7 2 12" xfId="32566" xr:uid="{00000000-0005-0000-0000-00000D800000}"/>
    <cellStyle name="RIGs input cells 3 7 2 13" xfId="32567" xr:uid="{00000000-0005-0000-0000-00000E800000}"/>
    <cellStyle name="RIGs input cells 3 7 2 2" xfId="32568" xr:uid="{00000000-0005-0000-0000-00000F800000}"/>
    <cellStyle name="RIGs input cells 3 7 2 2 2" xfId="32569" xr:uid="{00000000-0005-0000-0000-000010800000}"/>
    <cellStyle name="RIGs input cells 3 7 2 2 3" xfId="32570" xr:uid="{00000000-0005-0000-0000-000011800000}"/>
    <cellStyle name="RIGs input cells 3 7 2 3" xfId="32571" xr:uid="{00000000-0005-0000-0000-000012800000}"/>
    <cellStyle name="RIGs input cells 3 7 2 3 2" xfId="32572" xr:uid="{00000000-0005-0000-0000-000013800000}"/>
    <cellStyle name="RIGs input cells 3 7 2 3 3" xfId="32573" xr:uid="{00000000-0005-0000-0000-000014800000}"/>
    <cellStyle name="RIGs input cells 3 7 2 4" xfId="32574" xr:uid="{00000000-0005-0000-0000-000015800000}"/>
    <cellStyle name="RIGs input cells 3 7 2 5" xfId="32575" xr:uid="{00000000-0005-0000-0000-000016800000}"/>
    <cellStyle name="RIGs input cells 3 7 2 6" xfId="32576" xr:uid="{00000000-0005-0000-0000-000017800000}"/>
    <cellStyle name="RIGs input cells 3 7 2 7" xfId="32577" xr:uid="{00000000-0005-0000-0000-000018800000}"/>
    <cellStyle name="RIGs input cells 3 7 2 8" xfId="32578" xr:uid="{00000000-0005-0000-0000-000019800000}"/>
    <cellStyle name="RIGs input cells 3 7 2 9" xfId="32579" xr:uid="{00000000-0005-0000-0000-00001A800000}"/>
    <cellStyle name="RIGs input cells 3 7 20" xfId="32580" xr:uid="{00000000-0005-0000-0000-00001B800000}"/>
    <cellStyle name="RIGs input cells 3 7 21" xfId="32581" xr:uid="{00000000-0005-0000-0000-00001C800000}"/>
    <cellStyle name="RIGs input cells 3 7 22" xfId="32582" xr:uid="{00000000-0005-0000-0000-00001D800000}"/>
    <cellStyle name="RIGs input cells 3 7 23" xfId="32583" xr:uid="{00000000-0005-0000-0000-00001E800000}"/>
    <cellStyle name="RIGs input cells 3 7 24" xfId="32584" xr:uid="{00000000-0005-0000-0000-00001F800000}"/>
    <cellStyle name="RIGs input cells 3 7 25" xfId="32585" xr:uid="{00000000-0005-0000-0000-000020800000}"/>
    <cellStyle name="RIGs input cells 3 7 26" xfId="32586" xr:uid="{00000000-0005-0000-0000-000021800000}"/>
    <cellStyle name="RIGs input cells 3 7 27" xfId="32587" xr:uid="{00000000-0005-0000-0000-000022800000}"/>
    <cellStyle name="RIGs input cells 3 7 28" xfId="32588" xr:uid="{00000000-0005-0000-0000-000023800000}"/>
    <cellStyle name="RIGs input cells 3 7 29" xfId="32589" xr:uid="{00000000-0005-0000-0000-000024800000}"/>
    <cellStyle name="RIGs input cells 3 7 3" xfId="32590" xr:uid="{00000000-0005-0000-0000-000025800000}"/>
    <cellStyle name="RIGs input cells 3 7 3 2" xfId="32591" xr:uid="{00000000-0005-0000-0000-000026800000}"/>
    <cellStyle name="RIGs input cells 3 7 3 3" xfId="32592" xr:uid="{00000000-0005-0000-0000-000027800000}"/>
    <cellStyle name="RIGs input cells 3 7 30" xfId="32593" xr:uid="{00000000-0005-0000-0000-000028800000}"/>
    <cellStyle name="RIGs input cells 3 7 31" xfId="32594" xr:uid="{00000000-0005-0000-0000-000029800000}"/>
    <cellStyle name="RIGs input cells 3 7 32" xfId="32595" xr:uid="{00000000-0005-0000-0000-00002A800000}"/>
    <cellStyle name="RIGs input cells 3 7 33" xfId="32596" xr:uid="{00000000-0005-0000-0000-00002B800000}"/>
    <cellStyle name="RIGs input cells 3 7 34" xfId="32597" xr:uid="{00000000-0005-0000-0000-00002C800000}"/>
    <cellStyle name="RIGs input cells 3 7 4" xfId="32598" xr:uid="{00000000-0005-0000-0000-00002D800000}"/>
    <cellStyle name="RIGs input cells 3 7 4 2" xfId="32599" xr:uid="{00000000-0005-0000-0000-00002E800000}"/>
    <cellStyle name="RIGs input cells 3 7 4 3" xfId="32600" xr:uid="{00000000-0005-0000-0000-00002F800000}"/>
    <cellStyle name="RIGs input cells 3 7 5" xfId="32601" xr:uid="{00000000-0005-0000-0000-000030800000}"/>
    <cellStyle name="RIGs input cells 3 7 6" xfId="32602" xr:uid="{00000000-0005-0000-0000-000031800000}"/>
    <cellStyle name="RIGs input cells 3 7 7" xfId="32603" xr:uid="{00000000-0005-0000-0000-000032800000}"/>
    <cellStyle name="RIGs input cells 3 7 8" xfId="32604" xr:uid="{00000000-0005-0000-0000-000033800000}"/>
    <cellStyle name="RIGs input cells 3 7 9" xfId="32605" xr:uid="{00000000-0005-0000-0000-000034800000}"/>
    <cellStyle name="RIGs input cells 3 8" xfId="32606" xr:uid="{00000000-0005-0000-0000-000035800000}"/>
    <cellStyle name="RIGs input cells 3 8 10" xfId="32607" xr:uid="{00000000-0005-0000-0000-000036800000}"/>
    <cellStyle name="RIGs input cells 3 8 11" xfId="32608" xr:uid="{00000000-0005-0000-0000-000037800000}"/>
    <cellStyle name="RIGs input cells 3 8 12" xfId="32609" xr:uid="{00000000-0005-0000-0000-000038800000}"/>
    <cellStyle name="RIGs input cells 3 8 13" xfId="32610" xr:uid="{00000000-0005-0000-0000-000039800000}"/>
    <cellStyle name="RIGs input cells 3 8 14" xfId="32611" xr:uid="{00000000-0005-0000-0000-00003A800000}"/>
    <cellStyle name="RIGs input cells 3 8 15" xfId="32612" xr:uid="{00000000-0005-0000-0000-00003B800000}"/>
    <cellStyle name="RIGs input cells 3 8 16" xfId="32613" xr:uid="{00000000-0005-0000-0000-00003C800000}"/>
    <cellStyle name="RIGs input cells 3 8 17" xfId="32614" xr:uid="{00000000-0005-0000-0000-00003D800000}"/>
    <cellStyle name="RIGs input cells 3 8 18" xfId="32615" xr:uid="{00000000-0005-0000-0000-00003E800000}"/>
    <cellStyle name="RIGs input cells 3 8 19" xfId="32616" xr:uid="{00000000-0005-0000-0000-00003F800000}"/>
    <cellStyle name="RIGs input cells 3 8 2" xfId="32617" xr:uid="{00000000-0005-0000-0000-000040800000}"/>
    <cellStyle name="RIGs input cells 3 8 2 10" xfId="32618" xr:uid="{00000000-0005-0000-0000-000041800000}"/>
    <cellStyle name="RIGs input cells 3 8 2 11" xfId="32619" xr:uid="{00000000-0005-0000-0000-000042800000}"/>
    <cellStyle name="RIGs input cells 3 8 2 12" xfId="32620" xr:uid="{00000000-0005-0000-0000-000043800000}"/>
    <cellStyle name="RIGs input cells 3 8 2 13" xfId="32621" xr:uid="{00000000-0005-0000-0000-000044800000}"/>
    <cellStyle name="RIGs input cells 3 8 2 2" xfId="32622" xr:uid="{00000000-0005-0000-0000-000045800000}"/>
    <cellStyle name="RIGs input cells 3 8 2 2 2" xfId="32623" xr:uid="{00000000-0005-0000-0000-000046800000}"/>
    <cellStyle name="RIGs input cells 3 8 2 2 3" xfId="32624" xr:uid="{00000000-0005-0000-0000-000047800000}"/>
    <cellStyle name="RIGs input cells 3 8 2 3" xfId="32625" xr:uid="{00000000-0005-0000-0000-000048800000}"/>
    <cellStyle name="RIGs input cells 3 8 2 3 2" xfId="32626" xr:uid="{00000000-0005-0000-0000-000049800000}"/>
    <cellStyle name="RIGs input cells 3 8 2 3 3" xfId="32627" xr:uid="{00000000-0005-0000-0000-00004A800000}"/>
    <cellStyle name="RIGs input cells 3 8 2 4" xfId="32628" xr:uid="{00000000-0005-0000-0000-00004B800000}"/>
    <cellStyle name="RIGs input cells 3 8 2 5" xfId="32629" xr:uid="{00000000-0005-0000-0000-00004C800000}"/>
    <cellStyle name="RIGs input cells 3 8 2 6" xfId="32630" xr:uid="{00000000-0005-0000-0000-00004D800000}"/>
    <cellStyle name="RIGs input cells 3 8 2 7" xfId="32631" xr:uid="{00000000-0005-0000-0000-00004E800000}"/>
    <cellStyle name="RIGs input cells 3 8 2 8" xfId="32632" xr:uid="{00000000-0005-0000-0000-00004F800000}"/>
    <cellStyle name="RIGs input cells 3 8 2 9" xfId="32633" xr:uid="{00000000-0005-0000-0000-000050800000}"/>
    <cellStyle name="RIGs input cells 3 8 20" xfId="32634" xr:uid="{00000000-0005-0000-0000-000051800000}"/>
    <cellStyle name="RIGs input cells 3 8 21" xfId="32635" xr:uid="{00000000-0005-0000-0000-000052800000}"/>
    <cellStyle name="RIGs input cells 3 8 22" xfId="32636" xr:uid="{00000000-0005-0000-0000-000053800000}"/>
    <cellStyle name="RIGs input cells 3 8 23" xfId="32637" xr:uid="{00000000-0005-0000-0000-000054800000}"/>
    <cellStyle name="RIGs input cells 3 8 24" xfId="32638" xr:uid="{00000000-0005-0000-0000-000055800000}"/>
    <cellStyle name="RIGs input cells 3 8 25" xfId="32639" xr:uid="{00000000-0005-0000-0000-000056800000}"/>
    <cellStyle name="RIGs input cells 3 8 26" xfId="32640" xr:uid="{00000000-0005-0000-0000-000057800000}"/>
    <cellStyle name="RIGs input cells 3 8 27" xfId="32641" xr:uid="{00000000-0005-0000-0000-000058800000}"/>
    <cellStyle name="RIGs input cells 3 8 28" xfId="32642" xr:uid="{00000000-0005-0000-0000-000059800000}"/>
    <cellStyle name="RIGs input cells 3 8 29" xfId="32643" xr:uid="{00000000-0005-0000-0000-00005A800000}"/>
    <cellStyle name="RIGs input cells 3 8 3" xfId="32644" xr:uid="{00000000-0005-0000-0000-00005B800000}"/>
    <cellStyle name="RIGs input cells 3 8 3 2" xfId="32645" xr:uid="{00000000-0005-0000-0000-00005C800000}"/>
    <cellStyle name="RIGs input cells 3 8 3 3" xfId="32646" xr:uid="{00000000-0005-0000-0000-00005D800000}"/>
    <cellStyle name="RIGs input cells 3 8 30" xfId="32647" xr:uid="{00000000-0005-0000-0000-00005E800000}"/>
    <cellStyle name="RIGs input cells 3 8 31" xfId="32648" xr:uid="{00000000-0005-0000-0000-00005F800000}"/>
    <cellStyle name="RIGs input cells 3 8 32" xfId="32649" xr:uid="{00000000-0005-0000-0000-000060800000}"/>
    <cellStyle name="RIGs input cells 3 8 33" xfId="32650" xr:uid="{00000000-0005-0000-0000-000061800000}"/>
    <cellStyle name="RIGs input cells 3 8 34" xfId="32651" xr:uid="{00000000-0005-0000-0000-000062800000}"/>
    <cellStyle name="RIGs input cells 3 8 4" xfId="32652" xr:uid="{00000000-0005-0000-0000-000063800000}"/>
    <cellStyle name="RIGs input cells 3 8 4 2" xfId="32653" xr:uid="{00000000-0005-0000-0000-000064800000}"/>
    <cellStyle name="RIGs input cells 3 8 4 3" xfId="32654" xr:uid="{00000000-0005-0000-0000-000065800000}"/>
    <cellStyle name="RIGs input cells 3 8 5" xfId="32655" xr:uid="{00000000-0005-0000-0000-000066800000}"/>
    <cellStyle name="RIGs input cells 3 8 6" xfId="32656" xr:uid="{00000000-0005-0000-0000-000067800000}"/>
    <cellStyle name="RIGs input cells 3 8 7" xfId="32657" xr:uid="{00000000-0005-0000-0000-000068800000}"/>
    <cellStyle name="RIGs input cells 3 8 8" xfId="32658" xr:uid="{00000000-0005-0000-0000-000069800000}"/>
    <cellStyle name="RIGs input cells 3 8 9" xfId="32659" xr:uid="{00000000-0005-0000-0000-00006A800000}"/>
    <cellStyle name="RIGs input cells 3 9" xfId="32660" xr:uid="{00000000-0005-0000-0000-00006B800000}"/>
    <cellStyle name="RIGs input cells 3 9 10" xfId="32661" xr:uid="{00000000-0005-0000-0000-00006C800000}"/>
    <cellStyle name="RIGs input cells 3 9 11" xfId="32662" xr:uid="{00000000-0005-0000-0000-00006D800000}"/>
    <cellStyle name="RIGs input cells 3 9 12" xfId="32663" xr:uid="{00000000-0005-0000-0000-00006E800000}"/>
    <cellStyle name="RIGs input cells 3 9 13" xfId="32664" xr:uid="{00000000-0005-0000-0000-00006F800000}"/>
    <cellStyle name="RIGs input cells 3 9 14" xfId="32665" xr:uid="{00000000-0005-0000-0000-000070800000}"/>
    <cellStyle name="RIGs input cells 3 9 15" xfId="32666" xr:uid="{00000000-0005-0000-0000-000071800000}"/>
    <cellStyle name="RIGs input cells 3 9 16" xfId="32667" xr:uid="{00000000-0005-0000-0000-000072800000}"/>
    <cellStyle name="RIGs input cells 3 9 17" xfId="32668" xr:uid="{00000000-0005-0000-0000-000073800000}"/>
    <cellStyle name="RIGs input cells 3 9 18" xfId="32669" xr:uid="{00000000-0005-0000-0000-000074800000}"/>
    <cellStyle name="RIGs input cells 3 9 19" xfId="32670" xr:uid="{00000000-0005-0000-0000-000075800000}"/>
    <cellStyle name="RIGs input cells 3 9 2" xfId="32671" xr:uid="{00000000-0005-0000-0000-000076800000}"/>
    <cellStyle name="RIGs input cells 3 9 2 10" xfId="32672" xr:uid="{00000000-0005-0000-0000-000077800000}"/>
    <cellStyle name="RIGs input cells 3 9 2 11" xfId="32673" xr:uid="{00000000-0005-0000-0000-000078800000}"/>
    <cellStyle name="RIGs input cells 3 9 2 12" xfId="32674" xr:uid="{00000000-0005-0000-0000-000079800000}"/>
    <cellStyle name="RIGs input cells 3 9 2 13" xfId="32675" xr:uid="{00000000-0005-0000-0000-00007A800000}"/>
    <cellStyle name="RIGs input cells 3 9 2 2" xfId="32676" xr:uid="{00000000-0005-0000-0000-00007B800000}"/>
    <cellStyle name="RIGs input cells 3 9 2 2 2" xfId="32677" xr:uid="{00000000-0005-0000-0000-00007C800000}"/>
    <cellStyle name="RIGs input cells 3 9 2 2 3" xfId="32678" xr:uid="{00000000-0005-0000-0000-00007D800000}"/>
    <cellStyle name="RIGs input cells 3 9 2 3" xfId="32679" xr:uid="{00000000-0005-0000-0000-00007E800000}"/>
    <cellStyle name="RIGs input cells 3 9 2 3 2" xfId="32680" xr:uid="{00000000-0005-0000-0000-00007F800000}"/>
    <cellStyle name="RIGs input cells 3 9 2 3 3" xfId="32681" xr:uid="{00000000-0005-0000-0000-000080800000}"/>
    <cellStyle name="RIGs input cells 3 9 2 4" xfId="32682" xr:uid="{00000000-0005-0000-0000-000081800000}"/>
    <cellStyle name="RIGs input cells 3 9 2 5" xfId="32683" xr:uid="{00000000-0005-0000-0000-000082800000}"/>
    <cellStyle name="RIGs input cells 3 9 2 6" xfId="32684" xr:uid="{00000000-0005-0000-0000-000083800000}"/>
    <cellStyle name="RIGs input cells 3 9 2 7" xfId="32685" xr:uid="{00000000-0005-0000-0000-000084800000}"/>
    <cellStyle name="RIGs input cells 3 9 2 8" xfId="32686" xr:uid="{00000000-0005-0000-0000-000085800000}"/>
    <cellStyle name="RIGs input cells 3 9 2 9" xfId="32687" xr:uid="{00000000-0005-0000-0000-000086800000}"/>
    <cellStyle name="RIGs input cells 3 9 20" xfId="32688" xr:uid="{00000000-0005-0000-0000-000087800000}"/>
    <cellStyle name="RIGs input cells 3 9 21" xfId="32689" xr:uid="{00000000-0005-0000-0000-000088800000}"/>
    <cellStyle name="RIGs input cells 3 9 22" xfId="32690" xr:uid="{00000000-0005-0000-0000-000089800000}"/>
    <cellStyle name="RIGs input cells 3 9 23" xfId="32691" xr:uid="{00000000-0005-0000-0000-00008A800000}"/>
    <cellStyle name="RIGs input cells 3 9 24" xfId="32692" xr:uid="{00000000-0005-0000-0000-00008B800000}"/>
    <cellStyle name="RIGs input cells 3 9 25" xfId="32693" xr:uid="{00000000-0005-0000-0000-00008C800000}"/>
    <cellStyle name="RIGs input cells 3 9 26" xfId="32694" xr:uid="{00000000-0005-0000-0000-00008D800000}"/>
    <cellStyle name="RIGs input cells 3 9 27" xfId="32695" xr:uid="{00000000-0005-0000-0000-00008E800000}"/>
    <cellStyle name="RIGs input cells 3 9 28" xfId="32696" xr:uid="{00000000-0005-0000-0000-00008F800000}"/>
    <cellStyle name="RIGs input cells 3 9 29" xfId="32697" xr:uid="{00000000-0005-0000-0000-000090800000}"/>
    <cellStyle name="RIGs input cells 3 9 3" xfId="32698" xr:uid="{00000000-0005-0000-0000-000091800000}"/>
    <cellStyle name="RIGs input cells 3 9 3 2" xfId="32699" xr:uid="{00000000-0005-0000-0000-000092800000}"/>
    <cellStyle name="RIGs input cells 3 9 3 3" xfId="32700" xr:uid="{00000000-0005-0000-0000-000093800000}"/>
    <cellStyle name="RIGs input cells 3 9 30" xfId="32701" xr:uid="{00000000-0005-0000-0000-000094800000}"/>
    <cellStyle name="RIGs input cells 3 9 31" xfId="32702" xr:uid="{00000000-0005-0000-0000-000095800000}"/>
    <cellStyle name="RIGs input cells 3 9 32" xfId="32703" xr:uid="{00000000-0005-0000-0000-000096800000}"/>
    <cellStyle name="RIGs input cells 3 9 33" xfId="32704" xr:uid="{00000000-0005-0000-0000-000097800000}"/>
    <cellStyle name="RIGs input cells 3 9 34" xfId="32705" xr:uid="{00000000-0005-0000-0000-000098800000}"/>
    <cellStyle name="RIGs input cells 3 9 4" xfId="32706" xr:uid="{00000000-0005-0000-0000-000099800000}"/>
    <cellStyle name="RIGs input cells 3 9 4 2" xfId="32707" xr:uid="{00000000-0005-0000-0000-00009A800000}"/>
    <cellStyle name="RIGs input cells 3 9 4 3" xfId="32708" xr:uid="{00000000-0005-0000-0000-00009B800000}"/>
    <cellStyle name="RIGs input cells 3 9 5" xfId="32709" xr:uid="{00000000-0005-0000-0000-00009C800000}"/>
    <cellStyle name="RIGs input cells 3 9 6" xfId="32710" xr:uid="{00000000-0005-0000-0000-00009D800000}"/>
    <cellStyle name="RIGs input cells 3 9 7" xfId="32711" xr:uid="{00000000-0005-0000-0000-00009E800000}"/>
    <cellStyle name="RIGs input cells 3 9 8" xfId="32712" xr:uid="{00000000-0005-0000-0000-00009F800000}"/>
    <cellStyle name="RIGs input cells 3 9 9" xfId="32713" xr:uid="{00000000-0005-0000-0000-0000A0800000}"/>
    <cellStyle name="RIGs input cells 3_1.3s Accounting C Costs Scots" xfId="32714" xr:uid="{00000000-0005-0000-0000-0000A1800000}"/>
    <cellStyle name="RIGs input cells 30" xfId="32715" xr:uid="{00000000-0005-0000-0000-0000A2800000}"/>
    <cellStyle name="RIGs input cells 30 2" xfId="32716" xr:uid="{00000000-0005-0000-0000-0000A3800000}"/>
    <cellStyle name="RIGs input cells 31" xfId="32717" xr:uid="{00000000-0005-0000-0000-0000A4800000}"/>
    <cellStyle name="RIGs input cells 31 2" xfId="32718" xr:uid="{00000000-0005-0000-0000-0000A5800000}"/>
    <cellStyle name="RIGs input cells 32" xfId="32719" xr:uid="{00000000-0005-0000-0000-0000A6800000}"/>
    <cellStyle name="RIGs input cells 32 2" xfId="32720" xr:uid="{00000000-0005-0000-0000-0000A7800000}"/>
    <cellStyle name="RIGs input cells 33" xfId="32721" xr:uid="{00000000-0005-0000-0000-0000A8800000}"/>
    <cellStyle name="RIGs input cells 33 2" xfId="32722" xr:uid="{00000000-0005-0000-0000-0000A9800000}"/>
    <cellStyle name="RIGs input cells 34" xfId="32723" xr:uid="{00000000-0005-0000-0000-0000AA800000}"/>
    <cellStyle name="RIGs input cells 35" xfId="32724" xr:uid="{00000000-0005-0000-0000-0000AB800000}"/>
    <cellStyle name="RIGs input cells 36" xfId="32725" xr:uid="{00000000-0005-0000-0000-0000AC800000}"/>
    <cellStyle name="RIGs input cells 37" xfId="32726" xr:uid="{00000000-0005-0000-0000-0000AD800000}"/>
    <cellStyle name="RIGs input cells 38" xfId="32727" xr:uid="{00000000-0005-0000-0000-0000AE800000}"/>
    <cellStyle name="RIGs input cells 39" xfId="32728" xr:uid="{00000000-0005-0000-0000-0000AF800000}"/>
    <cellStyle name="RIGs input cells 4" xfId="32729" xr:uid="{00000000-0005-0000-0000-0000B0800000}"/>
    <cellStyle name="RIGs input cells 4 10" xfId="32730" xr:uid="{00000000-0005-0000-0000-0000B1800000}"/>
    <cellStyle name="RIGs input cells 4 10 2" xfId="32731" xr:uid="{00000000-0005-0000-0000-0000B2800000}"/>
    <cellStyle name="RIGs input cells 4 11" xfId="32732" xr:uid="{00000000-0005-0000-0000-0000B3800000}"/>
    <cellStyle name="RIGs input cells 4 11 2" xfId="32733" xr:uid="{00000000-0005-0000-0000-0000B4800000}"/>
    <cellStyle name="RIGs input cells 4 12" xfId="32734" xr:uid="{00000000-0005-0000-0000-0000B5800000}"/>
    <cellStyle name="RIGs input cells 4 12 2" xfId="32735" xr:uid="{00000000-0005-0000-0000-0000B6800000}"/>
    <cellStyle name="RIGs input cells 4 13" xfId="32736" xr:uid="{00000000-0005-0000-0000-0000B7800000}"/>
    <cellStyle name="RIGs input cells 4 13 2" xfId="32737" xr:uid="{00000000-0005-0000-0000-0000B8800000}"/>
    <cellStyle name="RIGs input cells 4 14" xfId="32738" xr:uid="{00000000-0005-0000-0000-0000B9800000}"/>
    <cellStyle name="RIGs input cells 4 14 2" xfId="32739" xr:uid="{00000000-0005-0000-0000-0000BA800000}"/>
    <cellStyle name="RIGs input cells 4 15" xfId="32740" xr:uid="{00000000-0005-0000-0000-0000BB800000}"/>
    <cellStyle name="RIGs input cells 4 15 2" xfId="32741" xr:uid="{00000000-0005-0000-0000-0000BC800000}"/>
    <cellStyle name="RIGs input cells 4 16" xfId="32742" xr:uid="{00000000-0005-0000-0000-0000BD800000}"/>
    <cellStyle name="RIGs input cells 4 16 2" xfId="32743" xr:uid="{00000000-0005-0000-0000-0000BE800000}"/>
    <cellStyle name="RIGs input cells 4 17" xfId="32744" xr:uid="{00000000-0005-0000-0000-0000BF800000}"/>
    <cellStyle name="RIGs input cells 4 17 2" xfId="32745" xr:uid="{00000000-0005-0000-0000-0000C0800000}"/>
    <cellStyle name="RIGs input cells 4 18" xfId="32746" xr:uid="{00000000-0005-0000-0000-0000C1800000}"/>
    <cellStyle name="RIGs input cells 4 18 2" xfId="32747" xr:uid="{00000000-0005-0000-0000-0000C2800000}"/>
    <cellStyle name="RIGs input cells 4 19" xfId="32748" xr:uid="{00000000-0005-0000-0000-0000C3800000}"/>
    <cellStyle name="RIGs input cells 4 19 2" xfId="32749" xr:uid="{00000000-0005-0000-0000-0000C4800000}"/>
    <cellStyle name="RIGs input cells 4 2" xfId="32750" xr:uid="{00000000-0005-0000-0000-0000C5800000}"/>
    <cellStyle name="RIGs input cells 4 2 10" xfId="32751" xr:uid="{00000000-0005-0000-0000-0000C6800000}"/>
    <cellStyle name="RIGs input cells 4 2 10 2" xfId="32752" xr:uid="{00000000-0005-0000-0000-0000C7800000}"/>
    <cellStyle name="RIGs input cells 4 2 11" xfId="32753" xr:uid="{00000000-0005-0000-0000-0000C8800000}"/>
    <cellStyle name="RIGs input cells 4 2 11 2" xfId="32754" xr:uid="{00000000-0005-0000-0000-0000C9800000}"/>
    <cellStyle name="RIGs input cells 4 2 12" xfId="32755" xr:uid="{00000000-0005-0000-0000-0000CA800000}"/>
    <cellStyle name="RIGs input cells 4 2 12 2" xfId="32756" xr:uid="{00000000-0005-0000-0000-0000CB800000}"/>
    <cellStyle name="RIGs input cells 4 2 13" xfId="32757" xr:uid="{00000000-0005-0000-0000-0000CC800000}"/>
    <cellStyle name="RIGs input cells 4 2 13 2" xfId="32758" xr:uid="{00000000-0005-0000-0000-0000CD800000}"/>
    <cellStyle name="RIGs input cells 4 2 14" xfId="32759" xr:uid="{00000000-0005-0000-0000-0000CE800000}"/>
    <cellStyle name="RIGs input cells 4 2 14 2" xfId="32760" xr:uid="{00000000-0005-0000-0000-0000CF800000}"/>
    <cellStyle name="RIGs input cells 4 2 15" xfId="32761" xr:uid="{00000000-0005-0000-0000-0000D0800000}"/>
    <cellStyle name="RIGs input cells 4 2 15 2" xfId="32762" xr:uid="{00000000-0005-0000-0000-0000D1800000}"/>
    <cellStyle name="RIGs input cells 4 2 16" xfId="32763" xr:uid="{00000000-0005-0000-0000-0000D2800000}"/>
    <cellStyle name="RIGs input cells 4 2 16 2" xfId="32764" xr:uid="{00000000-0005-0000-0000-0000D3800000}"/>
    <cellStyle name="RIGs input cells 4 2 17" xfId="32765" xr:uid="{00000000-0005-0000-0000-0000D4800000}"/>
    <cellStyle name="RIGs input cells 4 2 17 2" xfId="32766" xr:uid="{00000000-0005-0000-0000-0000D5800000}"/>
    <cellStyle name="RIGs input cells 4 2 18" xfId="32767" xr:uid="{00000000-0005-0000-0000-0000D6800000}"/>
    <cellStyle name="RIGs input cells 4 2 18 2" xfId="32768" xr:uid="{00000000-0005-0000-0000-0000D7800000}"/>
    <cellStyle name="RIGs input cells 4 2 19" xfId="32769" xr:uid="{00000000-0005-0000-0000-0000D8800000}"/>
    <cellStyle name="RIGs input cells 4 2 19 2" xfId="32770" xr:uid="{00000000-0005-0000-0000-0000D9800000}"/>
    <cellStyle name="RIGs input cells 4 2 2" xfId="32771" xr:uid="{00000000-0005-0000-0000-0000DA800000}"/>
    <cellStyle name="RIGs input cells 4 2 2 10" xfId="32772" xr:uid="{00000000-0005-0000-0000-0000DB800000}"/>
    <cellStyle name="RIGs input cells 4 2 2 10 2" xfId="32773" xr:uid="{00000000-0005-0000-0000-0000DC800000}"/>
    <cellStyle name="RIGs input cells 4 2 2 11" xfId="32774" xr:uid="{00000000-0005-0000-0000-0000DD800000}"/>
    <cellStyle name="RIGs input cells 4 2 2 11 2" xfId="32775" xr:uid="{00000000-0005-0000-0000-0000DE800000}"/>
    <cellStyle name="RIGs input cells 4 2 2 12" xfId="32776" xr:uid="{00000000-0005-0000-0000-0000DF800000}"/>
    <cellStyle name="RIGs input cells 4 2 2 12 2" xfId="32777" xr:uid="{00000000-0005-0000-0000-0000E0800000}"/>
    <cellStyle name="RIGs input cells 4 2 2 13" xfId="32778" xr:uid="{00000000-0005-0000-0000-0000E1800000}"/>
    <cellStyle name="RIGs input cells 4 2 2 13 2" xfId="32779" xr:uid="{00000000-0005-0000-0000-0000E2800000}"/>
    <cellStyle name="RIGs input cells 4 2 2 14" xfId="32780" xr:uid="{00000000-0005-0000-0000-0000E3800000}"/>
    <cellStyle name="RIGs input cells 4 2 2 14 2" xfId="32781" xr:uid="{00000000-0005-0000-0000-0000E4800000}"/>
    <cellStyle name="RIGs input cells 4 2 2 15" xfId="32782" xr:uid="{00000000-0005-0000-0000-0000E5800000}"/>
    <cellStyle name="RIGs input cells 4 2 2 15 2" xfId="32783" xr:uid="{00000000-0005-0000-0000-0000E6800000}"/>
    <cellStyle name="RIGs input cells 4 2 2 16" xfId="32784" xr:uid="{00000000-0005-0000-0000-0000E7800000}"/>
    <cellStyle name="RIGs input cells 4 2 2 16 2" xfId="32785" xr:uid="{00000000-0005-0000-0000-0000E8800000}"/>
    <cellStyle name="RIGs input cells 4 2 2 17" xfId="32786" xr:uid="{00000000-0005-0000-0000-0000E9800000}"/>
    <cellStyle name="RIGs input cells 4 2 2 17 2" xfId="32787" xr:uid="{00000000-0005-0000-0000-0000EA800000}"/>
    <cellStyle name="RIGs input cells 4 2 2 18" xfId="32788" xr:uid="{00000000-0005-0000-0000-0000EB800000}"/>
    <cellStyle name="RIGs input cells 4 2 2 18 2" xfId="32789" xr:uid="{00000000-0005-0000-0000-0000EC800000}"/>
    <cellStyle name="RIGs input cells 4 2 2 19" xfId="32790" xr:uid="{00000000-0005-0000-0000-0000ED800000}"/>
    <cellStyle name="RIGs input cells 4 2 2 19 2" xfId="32791" xr:uid="{00000000-0005-0000-0000-0000EE800000}"/>
    <cellStyle name="RIGs input cells 4 2 2 2" xfId="32792" xr:uid="{00000000-0005-0000-0000-0000EF800000}"/>
    <cellStyle name="RIGs input cells 4 2 2 2 10" xfId="32793" xr:uid="{00000000-0005-0000-0000-0000F0800000}"/>
    <cellStyle name="RIGs input cells 4 2 2 2 11" xfId="32794" xr:uid="{00000000-0005-0000-0000-0000F1800000}"/>
    <cellStyle name="RIGs input cells 4 2 2 2 12" xfId="32795" xr:uid="{00000000-0005-0000-0000-0000F2800000}"/>
    <cellStyle name="RIGs input cells 4 2 2 2 13" xfId="32796" xr:uid="{00000000-0005-0000-0000-0000F3800000}"/>
    <cellStyle name="RIGs input cells 4 2 2 2 14" xfId="32797" xr:uid="{00000000-0005-0000-0000-0000F4800000}"/>
    <cellStyle name="RIGs input cells 4 2 2 2 15" xfId="32798" xr:uid="{00000000-0005-0000-0000-0000F5800000}"/>
    <cellStyle name="RIGs input cells 4 2 2 2 16" xfId="32799" xr:uid="{00000000-0005-0000-0000-0000F6800000}"/>
    <cellStyle name="RIGs input cells 4 2 2 2 17" xfId="32800" xr:uid="{00000000-0005-0000-0000-0000F7800000}"/>
    <cellStyle name="RIGs input cells 4 2 2 2 18" xfId="32801" xr:uid="{00000000-0005-0000-0000-0000F8800000}"/>
    <cellStyle name="RIGs input cells 4 2 2 2 19" xfId="32802" xr:uid="{00000000-0005-0000-0000-0000F9800000}"/>
    <cellStyle name="RIGs input cells 4 2 2 2 2" xfId="32803" xr:uid="{00000000-0005-0000-0000-0000FA800000}"/>
    <cellStyle name="RIGs input cells 4 2 2 2 2 10" xfId="32804" xr:uid="{00000000-0005-0000-0000-0000FB800000}"/>
    <cellStyle name="RIGs input cells 4 2 2 2 2 11" xfId="32805" xr:uid="{00000000-0005-0000-0000-0000FC800000}"/>
    <cellStyle name="RIGs input cells 4 2 2 2 2 12" xfId="32806" xr:uid="{00000000-0005-0000-0000-0000FD800000}"/>
    <cellStyle name="RIGs input cells 4 2 2 2 2 13" xfId="32807" xr:uid="{00000000-0005-0000-0000-0000FE800000}"/>
    <cellStyle name="RIGs input cells 4 2 2 2 2 14" xfId="32808" xr:uid="{00000000-0005-0000-0000-0000FF800000}"/>
    <cellStyle name="RIGs input cells 4 2 2 2 2 15" xfId="32809" xr:uid="{00000000-0005-0000-0000-000000810000}"/>
    <cellStyle name="RIGs input cells 4 2 2 2 2 16" xfId="32810" xr:uid="{00000000-0005-0000-0000-000001810000}"/>
    <cellStyle name="RIGs input cells 4 2 2 2 2 17" xfId="32811" xr:uid="{00000000-0005-0000-0000-000002810000}"/>
    <cellStyle name="RIGs input cells 4 2 2 2 2 18" xfId="32812" xr:uid="{00000000-0005-0000-0000-000003810000}"/>
    <cellStyle name="RIGs input cells 4 2 2 2 2 19" xfId="32813" xr:uid="{00000000-0005-0000-0000-000004810000}"/>
    <cellStyle name="RIGs input cells 4 2 2 2 2 2" xfId="32814" xr:uid="{00000000-0005-0000-0000-000005810000}"/>
    <cellStyle name="RIGs input cells 4 2 2 2 2 2 10" xfId="32815" xr:uid="{00000000-0005-0000-0000-000006810000}"/>
    <cellStyle name="RIGs input cells 4 2 2 2 2 2 11" xfId="32816" xr:uid="{00000000-0005-0000-0000-000007810000}"/>
    <cellStyle name="RIGs input cells 4 2 2 2 2 2 12" xfId="32817" xr:uid="{00000000-0005-0000-0000-000008810000}"/>
    <cellStyle name="RIGs input cells 4 2 2 2 2 2 13" xfId="32818" xr:uid="{00000000-0005-0000-0000-000009810000}"/>
    <cellStyle name="RIGs input cells 4 2 2 2 2 2 2" xfId="32819" xr:uid="{00000000-0005-0000-0000-00000A810000}"/>
    <cellStyle name="RIGs input cells 4 2 2 2 2 2 2 2" xfId="32820" xr:uid="{00000000-0005-0000-0000-00000B810000}"/>
    <cellStyle name="RIGs input cells 4 2 2 2 2 2 2 3" xfId="32821" xr:uid="{00000000-0005-0000-0000-00000C810000}"/>
    <cellStyle name="RIGs input cells 4 2 2 2 2 2 3" xfId="32822" xr:uid="{00000000-0005-0000-0000-00000D810000}"/>
    <cellStyle name="RIGs input cells 4 2 2 2 2 2 3 2" xfId="32823" xr:uid="{00000000-0005-0000-0000-00000E810000}"/>
    <cellStyle name="RIGs input cells 4 2 2 2 2 2 3 3" xfId="32824" xr:uid="{00000000-0005-0000-0000-00000F810000}"/>
    <cellStyle name="RIGs input cells 4 2 2 2 2 2 4" xfId="32825" xr:uid="{00000000-0005-0000-0000-000010810000}"/>
    <cellStyle name="RIGs input cells 4 2 2 2 2 2 5" xfId="32826" xr:uid="{00000000-0005-0000-0000-000011810000}"/>
    <cellStyle name="RIGs input cells 4 2 2 2 2 2 6" xfId="32827" xr:uid="{00000000-0005-0000-0000-000012810000}"/>
    <cellStyle name="RIGs input cells 4 2 2 2 2 2 7" xfId="32828" xr:uid="{00000000-0005-0000-0000-000013810000}"/>
    <cellStyle name="RIGs input cells 4 2 2 2 2 2 8" xfId="32829" xr:uid="{00000000-0005-0000-0000-000014810000}"/>
    <cellStyle name="RIGs input cells 4 2 2 2 2 2 9" xfId="32830" xr:uid="{00000000-0005-0000-0000-000015810000}"/>
    <cellStyle name="RIGs input cells 4 2 2 2 2 20" xfId="32831" xr:uid="{00000000-0005-0000-0000-000016810000}"/>
    <cellStyle name="RIGs input cells 4 2 2 2 2 21" xfId="32832" xr:uid="{00000000-0005-0000-0000-000017810000}"/>
    <cellStyle name="RIGs input cells 4 2 2 2 2 22" xfId="32833" xr:uid="{00000000-0005-0000-0000-000018810000}"/>
    <cellStyle name="RIGs input cells 4 2 2 2 2 23" xfId="32834" xr:uid="{00000000-0005-0000-0000-000019810000}"/>
    <cellStyle name="RIGs input cells 4 2 2 2 2 24" xfId="32835" xr:uid="{00000000-0005-0000-0000-00001A810000}"/>
    <cellStyle name="RIGs input cells 4 2 2 2 2 25" xfId="32836" xr:uid="{00000000-0005-0000-0000-00001B810000}"/>
    <cellStyle name="RIGs input cells 4 2 2 2 2 26" xfId="32837" xr:uid="{00000000-0005-0000-0000-00001C810000}"/>
    <cellStyle name="RIGs input cells 4 2 2 2 2 27" xfId="32838" xr:uid="{00000000-0005-0000-0000-00001D810000}"/>
    <cellStyle name="RIGs input cells 4 2 2 2 2 28" xfId="32839" xr:uid="{00000000-0005-0000-0000-00001E810000}"/>
    <cellStyle name="RIGs input cells 4 2 2 2 2 29" xfId="32840" xr:uid="{00000000-0005-0000-0000-00001F810000}"/>
    <cellStyle name="RIGs input cells 4 2 2 2 2 3" xfId="32841" xr:uid="{00000000-0005-0000-0000-000020810000}"/>
    <cellStyle name="RIGs input cells 4 2 2 2 2 3 2" xfId="32842" xr:uid="{00000000-0005-0000-0000-000021810000}"/>
    <cellStyle name="RIGs input cells 4 2 2 2 2 3 3" xfId="32843" xr:uid="{00000000-0005-0000-0000-000022810000}"/>
    <cellStyle name="RIGs input cells 4 2 2 2 2 30" xfId="32844" xr:uid="{00000000-0005-0000-0000-000023810000}"/>
    <cellStyle name="RIGs input cells 4 2 2 2 2 31" xfId="32845" xr:uid="{00000000-0005-0000-0000-000024810000}"/>
    <cellStyle name="RIGs input cells 4 2 2 2 2 32" xfId="32846" xr:uid="{00000000-0005-0000-0000-000025810000}"/>
    <cellStyle name="RIGs input cells 4 2 2 2 2 33" xfId="32847" xr:uid="{00000000-0005-0000-0000-000026810000}"/>
    <cellStyle name="RIGs input cells 4 2 2 2 2 34" xfId="32848" xr:uid="{00000000-0005-0000-0000-000027810000}"/>
    <cellStyle name="RIGs input cells 4 2 2 2 2 4" xfId="32849" xr:uid="{00000000-0005-0000-0000-000028810000}"/>
    <cellStyle name="RIGs input cells 4 2 2 2 2 4 2" xfId="32850" xr:uid="{00000000-0005-0000-0000-000029810000}"/>
    <cellStyle name="RIGs input cells 4 2 2 2 2 4 3" xfId="32851" xr:uid="{00000000-0005-0000-0000-00002A810000}"/>
    <cellStyle name="RIGs input cells 4 2 2 2 2 5" xfId="32852" xr:uid="{00000000-0005-0000-0000-00002B810000}"/>
    <cellStyle name="RIGs input cells 4 2 2 2 2 6" xfId="32853" xr:uid="{00000000-0005-0000-0000-00002C810000}"/>
    <cellStyle name="RIGs input cells 4 2 2 2 2 7" xfId="32854" xr:uid="{00000000-0005-0000-0000-00002D810000}"/>
    <cellStyle name="RIGs input cells 4 2 2 2 2 8" xfId="32855" xr:uid="{00000000-0005-0000-0000-00002E810000}"/>
    <cellStyle name="RIGs input cells 4 2 2 2 2 9" xfId="32856" xr:uid="{00000000-0005-0000-0000-00002F810000}"/>
    <cellStyle name="RIGs input cells 4 2 2 2 20" xfId="32857" xr:uid="{00000000-0005-0000-0000-000030810000}"/>
    <cellStyle name="RIGs input cells 4 2 2 2 21" xfId="32858" xr:uid="{00000000-0005-0000-0000-000031810000}"/>
    <cellStyle name="RIGs input cells 4 2 2 2 22" xfId="32859" xr:uid="{00000000-0005-0000-0000-000032810000}"/>
    <cellStyle name="RIGs input cells 4 2 2 2 23" xfId="32860" xr:uid="{00000000-0005-0000-0000-000033810000}"/>
    <cellStyle name="RIGs input cells 4 2 2 2 24" xfId="32861" xr:uid="{00000000-0005-0000-0000-000034810000}"/>
    <cellStyle name="RIGs input cells 4 2 2 2 25" xfId="32862" xr:uid="{00000000-0005-0000-0000-000035810000}"/>
    <cellStyle name="RIGs input cells 4 2 2 2 26" xfId="32863" xr:uid="{00000000-0005-0000-0000-000036810000}"/>
    <cellStyle name="RIGs input cells 4 2 2 2 27" xfId="32864" xr:uid="{00000000-0005-0000-0000-000037810000}"/>
    <cellStyle name="RIGs input cells 4 2 2 2 28" xfId="32865" xr:uid="{00000000-0005-0000-0000-000038810000}"/>
    <cellStyle name="RIGs input cells 4 2 2 2 29" xfId="32866" xr:uid="{00000000-0005-0000-0000-000039810000}"/>
    <cellStyle name="RIGs input cells 4 2 2 2 3" xfId="32867" xr:uid="{00000000-0005-0000-0000-00003A810000}"/>
    <cellStyle name="RIGs input cells 4 2 2 2 3 10" xfId="32868" xr:uid="{00000000-0005-0000-0000-00003B810000}"/>
    <cellStyle name="RIGs input cells 4 2 2 2 3 11" xfId="32869" xr:uid="{00000000-0005-0000-0000-00003C810000}"/>
    <cellStyle name="RIGs input cells 4 2 2 2 3 12" xfId="32870" xr:uid="{00000000-0005-0000-0000-00003D810000}"/>
    <cellStyle name="RIGs input cells 4 2 2 2 3 13" xfId="32871" xr:uid="{00000000-0005-0000-0000-00003E810000}"/>
    <cellStyle name="RIGs input cells 4 2 2 2 3 2" xfId="32872" xr:uid="{00000000-0005-0000-0000-00003F810000}"/>
    <cellStyle name="RIGs input cells 4 2 2 2 3 2 2" xfId="32873" xr:uid="{00000000-0005-0000-0000-000040810000}"/>
    <cellStyle name="RIGs input cells 4 2 2 2 3 2 3" xfId="32874" xr:uid="{00000000-0005-0000-0000-000041810000}"/>
    <cellStyle name="RIGs input cells 4 2 2 2 3 3" xfId="32875" xr:uid="{00000000-0005-0000-0000-000042810000}"/>
    <cellStyle name="RIGs input cells 4 2 2 2 3 3 2" xfId="32876" xr:uid="{00000000-0005-0000-0000-000043810000}"/>
    <cellStyle name="RIGs input cells 4 2 2 2 3 3 3" xfId="32877" xr:uid="{00000000-0005-0000-0000-000044810000}"/>
    <cellStyle name="RIGs input cells 4 2 2 2 3 4" xfId="32878" xr:uid="{00000000-0005-0000-0000-000045810000}"/>
    <cellStyle name="RIGs input cells 4 2 2 2 3 5" xfId="32879" xr:uid="{00000000-0005-0000-0000-000046810000}"/>
    <cellStyle name="RIGs input cells 4 2 2 2 3 6" xfId="32880" xr:uid="{00000000-0005-0000-0000-000047810000}"/>
    <cellStyle name="RIGs input cells 4 2 2 2 3 7" xfId="32881" xr:uid="{00000000-0005-0000-0000-000048810000}"/>
    <cellStyle name="RIGs input cells 4 2 2 2 3 8" xfId="32882" xr:uid="{00000000-0005-0000-0000-000049810000}"/>
    <cellStyle name="RIGs input cells 4 2 2 2 3 9" xfId="32883" xr:uid="{00000000-0005-0000-0000-00004A810000}"/>
    <cellStyle name="RIGs input cells 4 2 2 2 30" xfId="32884" xr:uid="{00000000-0005-0000-0000-00004B810000}"/>
    <cellStyle name="RIGs input cells 4 2 2 2 31" xfId="32885" xr:uid="{00000000-0005-0000-0000-00004C810000}"/>
    <cellStyle name="RIGs input cells 4 2 2 2 4" xfId="32886" xr:uid="{00000000-0005-0000-0000-00004D810000}"/>
    <cellStyle name="RIGs input cells 4 2 2 2 4 2" xfId="32887" xr:uid="{00000000-0005-0000-0000-00004E810000}"/>
    <cellStyle name="RIGs input cells 4 2 2 2 4 3" xfId="32888" xr:uid="{00000000-0005-0000-0000-00004F810000}"/>
    <cellStyle name="RIGs input cells 4 2 2 2 5" xfId="32889" xr:uid="{00000000-0005-0000-0000-000050810000}"/>
    <cellStyle name="RIGs input cells 4 2 2 2 5 2" xfId="32890" xr:uid="{00000000-0005-0000-0000-000051810000}"/>
    <cellStyle name="RIGs input cells 4 2 2 2 5 3" xfId="32891" xr:uid="{00000000-0005-0000-0000-000052810000}"/>
    <cellStyle name="RIGs input cells 4 2 2 2 6" xfId="32892" xr:uid="{00000000-0005-0000-0000-000053810000}"/>
    <cellStyle name="RIGs input cells 4 2 2 2 7" xfId="32893" xr:uid="{00000000-0005-0000-0000-000054810000}"/>
    <cellStyle name="RIGs input cells 4 2 2 2 8" xfId="32894" xr:uid="{00000000-0005-0000-0000-000055810000}"/>
    <cellStyle name="RIGs input cells 4 2 2 2 9" xfId="32895" xr:uid="{00000000-0005-0000-0000-000056810000}"/>
    <cellStyle name="RIGs input cells 4 2 2 2_4 28 1_Asst_Health_Crit_AllTO_RIIO_20110714pm" xfId="32896" xr:uid="{00000000-0005-0000-0000-000057810000}"/>
    <cellStyle name="RIGs input cells 4 2 2 20" xfId="32897" xr:uid="{00000000-0005-0000-0000-000058810000}"/>
    <cellStyle name="RIGs input cells 4 2 2 20 2" xfId="32898" xr:uid="{00000000-0005-0000-0000-000059810000}"/>
    <cellStyle name="RIGs input cells 4 2 2 21" xfId="32899" xr:uid="{00000000-0005-0000-0000-00005A810000}"/>
    <cellStyle name="RIGs input cells 4 2 2 21 2" xfId="32900" xr:uid="{00000000-0005-0000-0000-00005B810000}"/>
    <cellStyle name="RIGs input cells 4 2 2 22" xfId="32901" xr:uid="{00000000-0005-0000-0000-00005C810000}"/>
    <cellStyle name="RIGs input cells 4 2 2 22 2" xfId="32902" xr:uid="{00000000-0005-0000-0000-00005D810000}"/>
    <cellStyle name="RIGs input cells 4 2 2 23" xfId="32903" xr:uid="{00000000-0005-0000-0000-00005E810000}"/>
    <cellStyle name="RIGs input cells 4 2 2 23 2" xfId="32904" xr:uid="{00000000-0005-0000-0000-00005F810000}"/>
    <cellStyle name="RIGs input cells 4 2 2 24" xfId="32905" xr:uid="{00000000-0005-0000-0000-000060810000}"/>
    <cellStyle name="RIGs input cells 4 2 2 24 2" xfId="32906" xr:uid="{00000000-0005-0000-0000-000061810000}"/>
    <cellStyle name="RIGs input cells 4 2 2 25" xfId="32907" xr:uid="{00000000-0005-0000-0000-000062810000}"/>
    <cellStyle name="RIGs input cells 4 2 2 25 2" xfId="32908" xr:uid="{00000000-0005-0000-0000-000063810000}"/>
    <cellStyle name="RIGs input cells 4 2 2 26" xfId="32909" xr:uid="{00000000-0005-0000-0000-000064810000}"/>
    <cellStyle name="RIGs input cells 4 2 2 27" xfId="32910" xr:uid="{00000000-0005-0000-0000-000065810000}"/>
    <cellStyle name="RIGs input cells 4 2 2 28" xfId="32911" xr:uid="{00000000-0005-0000-0000-000066810000}"/>
    <cellStyle name="RIGs input cells 4 2 2 29" xfId="32912" xr:uid="{00000000-0005-0000-0000-000067810000}"/>
    <cellStyle name="RIGs input cells 4 2 2 3" xfId="32913" xr:uid="{00000000-0005-0000-0000-000068810000}"/>
    <cellStyle name="RIGs input cells 4 2 2 3 10" xfId="32914" xr:uid="{00000000-0005-0000-0000-000069810000}"/>
    <cellStyle name="RIGs input cells 4 2 2 3 11" xfId="32915" xr:uid="{00000000-0005-0000-0000-00006A810000}"/>
    <cellStyle name="RIGs input cells 4 2 2 3 12" xfId="32916" xr:uid="{00000000-0005-0000-0000-00006B810000}"/>
    <cellStyle name="RIGs input cells 4 2 2 3 13" xfId="32917" xr:uid="{00000000-0005-0000-0000-00006C810000}"/>
    <cellStyle name="RIGs input cells 4 2 2 3 14" xfId="32918" xr:uid="{00000000-0005-0000-0000-00006D810000}"/>
    <cellStyle name="RIGs input cells 4 2 2 3 15" xfId="32919" xr:uid="{00000000-0005-0000-0000-00006E810000}"/>
    <cellStyle name="RIGs input cells 4 2 2 3 16" xfId="32920" xr:uid="{00000000-0005-0000-0000-00006F810000}"/>
    <cellStyle name="RIGs input cells 4 2 2 3 17" xfId="32921" xr:uid="{00000000-0005-0000-0000-000070810000}"/>
    <cellStyle name="RIGs input cells 4 2 2 3 18" xfId="32922" xr:uid="{00000000-0005-0000-0000-000071810000}"/>
    <cellStyle name="RIGs input cells 4 2 2 3 19" xfId="32923" xr:uid="{00000000-0005-0000-0000-000072810000}"/>
    <cellStyle name="RIGs input cells 4 2 2 3 2" xfId="32924" xr:uid="{00000000-0005-0000-0000-000073810000}"/>
    <cellStyle name="RIGs input cells 4 2 2 3 2 10" xfId="32925" xr:uid="{00000000-0005-0000-0000-000074810000}"/>
    <cellStyle name="RIGs input cells 4 2 2 3 2 11" xfId="32926" xr:uid="{00000000-0005-0000-0000-000075810000}"/>
    <cellStyle name="RIGs input cells 4 2 2 3 2 12" xfId="32927" xr:uid="{00000000-0005-0000-0000-000076810000}"/>
    <cellStyle name="RIGs input cells 4 2 2 3 2 13" xfId="32928" xr:uid="{00000000-0005-0000-0000-000077810000}"/>
    <cellStyle name="RIGs input cells 4 2 2 3 2 2" xfId="32929" xr:uid="{00000000-0005-0000-0000-000078810000}"/>
    <cellStyle name="RIGs input cells 4 2 2 3 2 2 2" xfId="32930" xr:uid="{00000000-0005-0000-0000-000079810000}"/>
    <cellStyle name="RIGs input cells 4 2 2 3 2 2 3" xfId="32931" xr:uid="{00000000-0005-0000-0000-00007A810000}"/>
    <cellStyle name="RIGs input cells 4 2 2 3 2 3" xfId="32932" xr:uid="{00000000-0005-0000-0000-00007B810000}"/>
    <cellStyle name="RIGs input cells 4 2 2 3 2 3 2" xfId="32933" xr:uid="{00000000-0005-0000-0000-00007C810000}"/>
    <cellStyle name="RIGs input cells 4 2 2 3 2 3 3" xfId="32934" xr:uid="{00000000-0005-0000-0000-00007D810000}"/>
    <cellStyle name="RIGs input cells 4 2 2 3 2 4" xfId="32935" xr:uid="{00000000-0005-0000-0000-00007E810000}"/>
    <cellStyle name="RIGs input cells 4 2 2 3 2 5" xfId="32936" xr:uid="{00000000-0005-0000-0000-00007F810000}"/>
    <cellStyle name="RIGs input cells 4 2 2 3 2 6" xfId="32937" xr:uid="{00000000-0005-0000-0000-000080810000}"/>
    <cellStyle name="RIGs input cells 4 2 2 3 2 7" xfId="32938" xr:uid="{00000000-0005-0000-0000-000081810000}"/>
    <cellStyle name="RIGs input cells 4 2 2 3 2 8" xfId="32939" xr:uid="{00000000-0005-0000-0000-000082810000}"/>
    <cellStyle name="RIGs input cells 4 2 2 3 2 9" xfId="32940" xr:uid="{00000000-0005-0000-0000-000083810000}"/>
    <cellStyle name="RIGs input cells 4 2 2 3 20" xfId="32941" xr:uid="{00000000-0005-0000-0000-000084810000}"/>
    <cellStyle name="RIGs input cells 4 2 2 3 21" xfId="32942" xr:uid="{00000000-0005-0000-0000-000085810000}"/>
    <cellStyle name="RIGs input cells 4 2 2 3 22" xfId="32943" xr:uid="{00000000-0005-0000-0000-000086810000}"/>
    <cellStyle name="RIGs input cells 4 2 2 3 23" xfId="32944" xr:uid="{00000000-0005-0000-0000-000087810000}"/>
    <cellStyle name="RIGs input cells 4 2 2 3 24" xfId="32945" xr:uid="{00000000-0005-0000-0000-000088810000}"/>
    <cellStyle name="RIGs input cells 4 2 2 3 25" xfId="32946" xr:uid="{00000000-0005-0000-0000-000089810000}"/>
    <cellStyle name="RIGs input cells 4 2 2 3 26" xfId="32947" xr:uid="{00000000-0005-0000-0000-00008A810000}"/>
    <cellStyle name="RIGs input cells 4 2 2 3 27" xfId="32948" xr:uid="{00000000-0005-0000-0000-00008B810000}"/>
    <cellStyle name="RIGs input cells 4 2 2 3 28" xfId="32949" xr:uid="{00000000-0005-0000-0000-00008C810000}"/>
    <cellStyle name="RIGs input cells 4 2 2 3 29" xfId="32950" xr:uid="{00000000-0005-0000-0000-00008D810000}"/>
    <cellStyle name="RIGs input cells 4 2 2 3 3" xfId="32951" xr:uid="{00000000-0005-0000-0000-00008E810000}"/>
    <cellStyle name="RIGs input cells 4 2 2 3 3 2" xfId="32952" xr:uid="{00000000-0005-0000-0000-00008F810000}"/>
    <cellStyle name="RIGs input cells 4 2 2 3 3 3" xfId="32953" xr:uid="{00000000-0005-0000-0000-000090810000}"/>
    <cellStyle name="RIGs input cells 4 2 2 3 30" xfId="32954" xr:uid="{00000000-0005-0000-0000-000091810000}"/>
    <cellStyle name="RIGs input cells 4 2 2 3 4" xfId="32955" xr:uid="{00000000-0005-0000-0000-000092810000}"/>
    <cellStyle name="RIGs input cells 4 2 2 3 4 2" xfId="32956" xr:uid="{00000000-0005-0000-0000-000093810000}"/>
    <cellStyle name="RIGs input cells 4 2 2 3 4 3" xfId="32957" xr:uid="{00000000-0005-0000-0000-000094810000}"/>
    <cellStyle name="RIGs input cells 4 2 2 3 5" xfId="32958" xr:uid="{00000000-0005-0000-0000-000095810000}"/>
    <cellStyle name="RIGs input cells 4 2 2 3 6" xfId="32959" xr:uid="{00000000-0005-0000-0000-000096810000}"/>
    <cellStyle name="RIGs input cells 4 2 2 3 7" xfId="32960" xr:uid="{00000000-0005-0000-0000-000097810000}"/>
    <cellStyle name="RIGs input cells 4 2 2 3 8" xfId="32961" xr:uid="{00000000-0005-0000-0000-000098810000}"/>
    <cellStyle name="RIGs input cells 4 2 2 3 9" xfId="32962" xr:uid="{00000000-0005-0000-0000-000099810000}"/>
    <cellStyle name="RIGs input cells 4 2 2 30" xfId="32963" xr:uid="{00000000-0005-0000-0000-00009A810000}"/>
    <cellStyle name="RIGs input cells 4 2 2 31" xfId="32964" xr:uid="{00000000-0005-0000-0000-00009B810000}"/>
    <cellStyle name="RIGs input cells 4 2 2 32" xfId="32965" xr:uid="{00000000-0005-0000-0000-00009C810000}"/>
    <cellStyle name="RIGs input cells 4 2 2 33" xfId="32966" xr:uid="{00000000-0005-0000-0000-00009D810000}"/>
    <cellStyle name="RIGs input cells 4 2 2 4" xfId="32967" xr:uid="{00000000-0005-0000-0000-00009E810000}"/>
    <cellStyle name="RIGs input cells 4 2 2 4 10" xfId="32968" xr:uid="{00000000-0005-0000-0000-00009F810000}"/>
    <cellStyle name="RIGs input cells 4 2 2 4 11" xfId="32969" xr:uid="{00000000-0005-0000-0000-0000A0810000}"/>
    <cellStyle name="RIGs input cells 4 2 2 4 12" xfId="32970" xr:uid="{00000000-0005-0000-0000-0000A1810000}"/>
    <cellStyle name="RIGs input cells 4 2 2 4 13" xfId="32971" xr:uid="{00000000-0005-0000-0000-0000A2810000}"/>
    <cellStyle name="RIGs input cells 4 2 2 4 14" xfId="32972" xr:uid="{00000000-0005-0000-0000-0000A3810000}"/>
    <cellStyle name="RIGs input cells 4 2 2 4 15" xfId="32973" xr:uid="{00000000-0005-0000-0000-0000A4810000}"/>
    <cellStyle name="RIGs input cells 4 2 2 4 16" xfId="32974" xr:uid="{00000000-0005-0000-0000-0000A5810000}"/>
    <cellStyle name="RIGs input cells 4 2 2 4 17" xfId="32975" xr:uid="{00000000-0005-0000-0000-0000A6810000}"/>
    <cellStyle name="RIGs input cells 4 2 2 4 18" xfId="32976" xr:uid="{00000000-0005-0000-0000-0000A7810000}"/>
    <cellStyle name="RIGs input cells 4 2 2 4 19" xfId="32977" xr:uid="{00000000-0005-0000-0000-0000A8810000}"/>
    <cellStyle name="RIGs input cells 4 2 2 4 2" xfId="32978" xr:uid="{00000000-0005-0000-0000-0000A9810000}"/>
    <cellStyle name="RIGs input cells 4 2 2 4 2 10" xfId="32979" xr:uid="{00000000-0005-0000-0000-0000AA810000}"/>
    <cellStyle name="RIGs input cells 4 2 2 4 2 11" xfId="32980" xr:uid="{00000000-0005-0000-0000-0000AB810000}"/>
    <cellStyle name="RIGs input cells 4 2 2 4 2 12" xfId="32981" xr:uid="{00000000-0005-0000-0000-0000AC810000}"/>
    <cellStyle name="RIGs input cells 4 2 2 4 2 13" xfId="32982" xr:uid="{00000000-0005-0000-0000-0000AD810000}"/>
    <cellStyle name="RIGs input cells 4 2 2 4 2 2" xfId="32983" xr:uid="{00000000-0005-0000-0000-0000AE810000}"/>
    <cellStyle name="RIGs input cells 4 2 2 4 2 2 2" xfId="32984" xr:uid="{00000000-0005-0000-0000-0000AF810000}"/>
    <cellStyle name="RIGs input cells 4 2 2 4 2 2 3" xfId="32985" xr:uid="{00000000-0005-0000-0000-0000B0810000}"/>
    <cellStyle name="RIGs input cells 4 2 2 4 2 3" xfId="32986" xr:uid="{00000000-0005-0000-0000-0000B1810000}"/>
    <cellStyle name="RIGs input cells 4 2 2 4 2 3 2" xfId="32987" xr:uid="{00000000-0005-0000-0000-0000B2810000}"/>
    <cellStyle name="RIGs input cells 4 2 2 4 2 3 3" xfId="32988" xr:uid="{00000000-0005-0000-0000-0000B3810000}"/>
    <cellStyle name="RIGs input cells 4 2 2 4 2 4" xfId="32989" xr:uid="{00000000-0005-0000-0000-0000B4810000}"/>
    <cellStyle name="RIGs input cells 4 2 2 4 2 5" xfId="32990" xr:uid="{00000000-0005-0000-0000-0000B5810000}"/>
    <cellStyle name="RIGs input cells 4 2 2 4 2 6" xfId="32991" xr:uid="{00000000-0005-0000-0000-0000B6810000}"/>
    <cellStyle name="RIGs input cells 4 2 2 4 2 7" xfId="32992" xr:uid="{00000000-0005-0000-0000-0000B7810000}"/>
    <cellStyle name="RIGs input cells 4 2 2 4 2 8" xfId="32993" xr:uid="{00000000-0005-0000-0000-0000B8810000}"/>
    <cellStyle name="RIGs input cells 4 2 2 4 2 9" xfId="32994" xr:uid="{00000000-0005-0000-0000-0000B9810000}"/>
    <cellStyle name="RIGs input cells 4 2 2 4 20" xfId="32995" xr:uid="{00000000-0005-0000-0000-0000BA810000}"/>
    <cellStyle name="RIGs input cells 4 2 2 4 21" xfId="32996" xr:uid="{00000000-0005-0000-0000-0000BB810000}"/>
    <cellStyle name="RIGs input cells 4 2 2 4 22" xfId="32997" xr:uid="{00000000-0005-0000-0000-0000BC810000}"/>
    <cellStyle name="RIGs input cells 4 2 2 4 23" xfId="32998" xr:uid="{00000000-0005-0000-0000-0000BD810000}"/>
    <cellStyle name="RIGs input cells 4 2 2 4 24" xfId="32999" xr:uid="{00000000-0005-0000-0000-0000BE810000}"/>
    <cellStyle name="RIGs input cells 4 2 2 4 25" xfId="33000" xr:uid="{00000000-0005-0000-0000-0000BF810000}"/>
    <cellStyle name="RIGs input cells 4 2 2 4 26" xfId="33001" xr:uid="{00000000-0005-0000-0000-0000C0810000}"/>
    <cellStyle name="RIGs input cells 4 2 2 4 27" xfId="33002" xr:uid="{00000000-0005-0000-0000-0000C1810000}"/>
    <cellStyle name="RIGs input cells 4 2 2 4 28" xfId="33003" xr:uid="{00000000-0005-0000-0000-0000C2810000}"/>
    <cellStyle name="RIGs input cells 4 2 2 4 29" xfId="33004" xr:uid="{00000000-0005-0000-0000-0000C3810000}"/>
    <cellStyle name="RIGs input cells 4 2 2 4 3" xfId="33005" xr:uid="{00000000-0005-0000-0000-0000C4810000}"/>
    <cellStyle name="RIGs input cells 4 2 2 4 3 2" xfId="33006" xr:uid="{00000000-0005-0000-0000-0000C5810000}"/>
    <cellStyle name="RIGs input cells 4 2 2 4 3 3" xfId="33007" xr:uid="{00000000-0005-0000-0000-0000C6810000}"/>
    <cellStyle name="RIGs input cells 4 2 2 4 30" xfId="33008" xr:uid="{00000000-0005-0000-0000-0000C7810000}"/>
    <cellStyle name="RIGs input cells 4 2 2 4 4" xfId="33009" xr:uid="{00000000-0005-0000-0000-0000C8810000}"/>
    <cellStyle name="RIGs input cells 4 2 2 4 4 2" xfId="33010" xr:uid="{00000000-0005-0000-0000-0000C9810000}"/>
    <cellStyle name="RIGs input cells 4 2 2 4 4 3" xfId="33011" xr:uid="{00000000-0005-0000-0000-0000CA810000}"/>
    <cellStyle name="RIGs input cells 4 2 2 4 5" xfId="33012" xr:uid="{00000000-0005-0000-0000-0000CB810000}"/>
    <cellStyle name="RIGs input cells 4 2 2 4 6" xfId="33013" xr:uid="{00000000-0005-0000-0000-0000CC810000}"/>
    <cellStyle name="RIGs input cells 4 2 2 4 7" xfId="33014" xr:uid="{00000000-0005-0000-0000-0000CD810000}"/>
    <cellStyle name="RIGs input cells 4 2 2 4 8" xfId="33015" xr:uid="{00000000-0005-0000-0000-0000CE810000}"/>
    <cellStyle name="RIGs input cells 4 2 2 4 9" xfId="33016" xr:uid="{00000000-0005-0000-0000-0000CF810000}"/>
    <cellStyle name="RIGs input cells 4 2 2 5" xfId="33017" xr:uid="{00000000-0005-0000-0000-0000D0810000}"/>
    <cellStyle name="RIGs input cells 4 2 2 5 10" xfId="33018" xr:uid="{00000000-0005-0000-0000-0000D1810000}"/>
    <cellStyle name="RIGs input cells 4 2 2 5 11" xfId="33019" xr:uid="{00000000-0005-0000-0000-0000D2810000}"/>
    <cellStyle name="RIGs input cells 4 2 2 5 12" xfId="33020" xr:uid="{00000000-0005-0000-0000-0000D3810000}"/>
    <cellStyle name="RIGs input cells 4 2 2 5 13" xfId="33021" xr:uid="{00000000-0005-0000-0000-0000D4810000}"/>
    <cellStyle name="RIGs input cells 4 2 2 5 2" xfId="33022" xr:uid="{00000000-0005-0000-0000-0000D5810000}"/>
    <cellStyle name="RIGs input cells 4 2 2 5 2 2" xfId="33023" xr:uid="{00000000-0005-0000-0000-0000D6810000}"/>
    <cellStyle name="RIGs input cells 4 2 2 5 2 3" xfId="33024" xr:uid="{00000000-0005-0000-0000-0000D7810000}"/>
    <cellStyle name="RIGs input cells 4 2 2 5 3" xfId="33025" xr:uid="{00000000-0005-0000-0000-0000D8810000}"/>
    <cellStyle name="RIGs input cells 4 2 2 5 3 2" xfId="33026" xr:uid="{00000000-0005-0000-0000-0000D9810000}"/>
    <cellStyle name="RIGs input cells 4 2 2 5 3 3" xfId="33027" xr:uid="{00000000-0005-0000-0000-0000DA810000}"/>
    <cellStyle name="RIGs input cells 4 2 2 5 4" xfId="33028" xr:uid="{00000000-0005-0000-0000-0000DB810000}"/>
    <cellStyle name="RIGs input cells 4 2 2 5 5" xfId="33029" xr:uid="{00000000-0005-0000-0000-0000DC810000}"/>
    <cellStyle name="RIGs input cells 4 2 2 5 6" xfId="33030" xr:uid="{00000000-0005-0000-0000-0000DD810000}"/>
    <cellStyle name="RIGs input cells 4 2 2 5 7" xfId="33031" xr:uid="{00000000-0005-0000-0000-0000DE810000}"/>
    <cellStyle name="RIGs input cells 4 2 2 5 8" xfId="33032" xr:uid="{00000000-0005-0000-0000-0000DF810000}"/>
    <cellStyle name="RIGs input cells 4 2 2 5 9" xfId="33033" xr:uid="{00000000-0005-0000-0000-0000E0810000}"/>
    <cellStyle name="RIGs input cells 4 2 2 6" xfId="33034" xr:uid="{00000000-0005-0000-0000-0000E1810000}"/>
    <cellStyle name="RIGs input cells 4 2 2 6 2" xfId="33035" xr:uid="{00000000-0005-0000-0000-0000E2810000}"/>
    <cellStyle name="RIGs input cells 4 2 2 6 2 2" xfId="33036" xr:uid="{00000000-0005-0000-0000-0000E3810000}"/>
    <cellStyle name="RIGs input cells 4 2 2 6 2 3" xfId="33037" xr:uid="{00000000-0005-0000-0000-0000E4810000}"/>
    <cellStyle name="RIGs input cells 4 2 2 6 3" xfId="33038" xr:uid="{00000000-0005-0000-0000-0000E5810000}"/>
    <cellStyle name="RIGs input cells 4 2 2 6 3 2" xfId="33039" xr:uid="{00000000-0005-0000-0000-0000E6810000}"/>
    <cellStyle name="RIGs input cells 4 2 2 6 4" xfId="33040" xr:uid="{00000000-0005-0000-0000-0000E7810000}"/>
    <cellStyle name="RIGs input cells 4 2 2 7" xfId="33041" xr:uid="{00000000-0005-0000-0000-0000E8810000}"/>
    <cellStyle name="RIGs input cells 4 2 2 7 2" xfId="33042" xr:uid="{00000000-0005-0000-0000-0000E9810000}"/>
    <cellStyle name="RIGs input cells 4 2 2 8" xfId="33043" xr:uid="{00000000-0005-0000-0000-0000EA810000}"/>
    <cellStyle name="RIGs input cells 4 2 2 8 2" xfId="33044" xr:uid="{00000000-0005-0000-0000-0000EB810000}"/>
    <cellStyle name="RIGs input cells 4 2 2 9" xfId="33045" xr:uid="{00000000-0005-0000-0000-0000EC810000}"/>
    <cellStyle name="RIGs input cells 4 2 2 9 2" xfId="33046" xr:uid="{00000000-0005-0000-0000-0000ED810000}"/>
    <cellStyle name="RIGs input cells 4 2 2_4 28 1_Asst_Health_Crit_AllTO_RIIO_20110714pm" xfId="33047" xr:uid="{00000000-0005-0000-0000-0000EE810000}"/>
    <cellStyle name="RIGs input cells 4 2 20" xfId="33048" xr:uid="{00000000-0005-0000-0000-0000EF810000}"/>
    <cellStyle name="RIGs input cells 4 2 20 2" xfId="33049" xr:uid="{00000000-0005-0000-0000-0000F0810000}"/>
    <cellStyle name="RIGs input cells 4 2 21" xfId="33050" xr:uid="{00000000-0005-0000-0000-0000F1810000}"/>
    <cellStyle name="RIGs input cells 4 2 21 2" xfId="33051" xr:uid="{00000000-0005-0000-0000-0000F2810000}"/>
    <cellStyle name="RIGs input cells 4 2 22" xfId="33052" xr:uid="{00000000-0005-0000-0000-0000F3810000}"/>
    <cellStyle name="RIGs input cells 4 2 22 2" xfId="33053" xr:uid="{00000000-0005-0000-0000-0000F4810000}"/>
    <cellStyle name="RIGs input cells 4 2 23" xfId="33054" xr:uid="{00000000-0005-0000-0000-0000F5810000}"/>
    <cellStyle name="RIGs input cells 4 2 23 2" xfId="33055" xr:uid="{00000000-0005-0000-0000-0000F6810000}"/>
    <cellStyle name="RIGs input cells 4 2 24" xfId="33056" xr:uid="{00000000-0005-0000-0000-0000F7810000}"/>
    <cellStyle name="RIGs input cells 4 2 24 2" xfId="33057" xr:uid="{00000000-0005-0000-0000-0000F8810000}"/>
    <cellStyle name="RIGs input cells 4 2 25" xfId="33058" xr:uid="{00000000-0005-0000-0000-0000F9810000}"/>
    <cellStyle name="RIGs input cells 4 2 25 2" xfId="33059" xr:uid="{00000000-0005-0000-0000-0000FA810000}"/>
    <cellStyle name="RIGs input cells 4 2 26" xfId="33060" xr:uid="{00000000-0005-0000-0000-0000FB810000}"/>
    <cellStyle name="RIGs input cells 4 2 26 2" xfId="33061" xr:uid="{00000000-0005-0000-0000-0000FC810000}"/>
    <cellStyle name="RIGs input cells 4 2 27" xfId="33062" xr:uid="{00000000-0005-0000-0000-0000FD810000}"/>
    <cellStyle name="RIGs input cells 4 2 28" xfId="33063" xr:uid="{00000000-0005-0000-0000-0000FE810000}"/>
    <cellStyle name="RIGs input cells 4 2 29" xfId="33064" xr:uid="{00000000-0005-0000-0000-0000FF810000}"/>
    <cellStyle name="RIGs input cells 4 2 3" xfId="33065" xr:uid="{00000000-0005-0000-0000-000000820000}"/>
    <cellStyle name="RIGs input cells 4 2 3 10" xfId="33066" xr:uid="{00000000-0005-0000-0000-000001820000}"/>
    <cellStyle name="RIGs input cells 4 2 3 11" xfId="33067" xr:uid="{00000000-0005-0000-0000-000002820000}"/>
    <cellStyle name="RIGs input cells 4 2 3 12" xfId="33068" xr:uid="{00000000-0005-0000-0000-000003820000}"/>
    <cellStyle name="RIGs input cells 4 2 3 13" xfId="33069" xr:uid="{00000000-0005-0000-0000-000004820000}"/>
    <cellStyle name="RIGs input cells 4 2 3 14" xfId="33070" xr:uid="{00000000-0005-0000-0000-000005820000}"/>
    <cellStyle name="RIGs input cells 4 2 3 15" xfId="33071" xr:uid="{00000000-0005-0000-0000-000006820000}"/>
    <cellStyle name="RIGs input cells 4 2 3 16" xfId="33072" xr:uid="{00000000-0005-0000-0000-000007820000}"/>
    <cellStyle name="RIGs input cells 4 2 3 17" xfId="33073" xr:uid="{00000000-0005-0000-0000-000008820000}"/>
    <cellStyle name="RIGs input cells 4 2 3 18" xfId="33074" xr:uid="{00000000-0005-0000-0000-000009820000}"/>
    <cellStyle name="RIGs input cells 4 2 3 19" xfId="33075" xr:uid="{00000000-0005-0000-0000-00000A820000}"/>
    <cellStyle name="RIGs input cells 4 2 3 2" xfId="33076" xr:uid="{00000000-0005-0000-0000-00000B820000}"/>
    <cellStyle name="RIGs input cells 4 2 3 2 10" xfId="33077" xr:uid="{00000000-0005-0000-0000-00000C820000}"/>
    <cellStyle name="RIGs input cells 4 2 3 2 11" xfId="33078" xr:uid="{00000000-0005-0000-0000-00000D820000}"/>
    <cellStyle name="RIGs input cells 4 2 3 2 12" xfId="33079" xr:uid="{00000000-0005-0000-0000-00000E820000}"/>
    <cellStyle name="RIGs input cells 4 2 3 2 13" xfId="33080" xr:uid="{00000000-0005-0000-0000-00000F820000}"/>
    <cellStyle name="RIGs input cells 4 2 3 2 14" xfId="33081" xr:uid="{00000000-0005-0000-0000-000010820000}"/>
    <cellStyle name="RIGs input cells 4 2 3 2 15" xfId="33082" xr:uid="{00000000-0005-0000-0000-000011820000}"/>
    <cellStyle name="RIGs input cells 4 2 3 2 16" xfId="33083" xr:uid="{00000000-0005-0000-0000-000012820000}"/>
    <cellStyle name="RIGs input cells 4 2 3 2 17" xfId="33084" xr:uid="{00000000-0005-0000-0000-000013820000}"/>
    <cellStyle name="RIGs input cells 4 2 3 2 18" xfId="33085" xr:uid="{00000000-0005-0000-0000-000014820000}"/>
    <cellStyle name="RIGs input cells 4 2 3 2 19" xfId="33086" xr:uid="{00000000-0005-0000-0000-000015820000}"/>
    <cellStyle name="RIGs input cells 4 2 3 2 2" xfId="33087" xr:uid="{00000000-0005-0000-0000-000016820000}"/>
    <cellStyle name="RIGs input cells 4 2 3 2 2 10" xfId="33088" xr:uid="{00000000-0005-0000-0000-000017820000}"/>
    <cellStyle name="RIGs input cells 4 2 3 2 2 11" xfId="33089" xr:uid="{00000000-0005-0000-0000-000018820000}"/>
    <cellStyle name="RIGs input cells 4 2 3 2 2 12" xfId="33090" xr:uid="{00000000-0005-0000-0000-000019820000}"/>
    <cellStyle name="RIGs input cells 4 2 3 2 2 13" xfId="33091" xr:uid="{00000000-0005-0000-0000-00001A820000}"/>
    <cellStyle name="RIGs input cells 4 2 3 2 2 2" xfId="33092" xr:uid="{00000000-0005-0000-0000-00001B820000}"/>
    <cellStyle name="RIGs input cells 4 2 3 2 2 2 2" xfId="33093" xr:uid="{00000000-0005-0000-0000-00001C820000}"/>
    <cellStyle name="RIGs input cells 4 2 3 2 2 2 3" xfId="33094" xr:uid="{00000000-0005-0000-0000-00001D820000}"/>
    <cellStyle name="RIGs input cells 4 2 3 2 2 3" xfId="33095" xr:uid="{00000000-0005-0000-0000-00001E820000}"/>
    <cellStyle name="RIGs input cells 4 2 3 2 2 3 2" xfId="33096" xr:uid="{00000000-0005-0000-0000-00001F820000}"/>
    <cellStyle name="RIGs input cells 4 2 3 2 2 3 3" xfId="33097" xr:uid="{00000000-0005-0000-0000-000020820000}"/>
    <cellStyle name="RIGs input cells 4 2 3 2 2 4" xfId="33098" xr:uid="{00000000-0005-0000-0000-000021820000}"/>
    <cellStyle name="RIGs input cells 4 2 3 2 2 5" xfId="33099" xr:uid="{00000000-0005-0000-0000-000022820000}"/>
    <cellStyle name="RIGs input cells 4 2 3 2 2 6" xfId="33100" xr:uid="{00000000-0005-0000-0000-000023820000}"/>
    <cellStyle name="RIGs input cells 4 2 3 2 2 7" xfId="33101" xr:uid="{00000000-0005-0000-0000-000024820000}"/>
    <cellStyle name="RIGs input cells 4 2 3 2 2 8" xfId="33102" xr:uid="{00000000-0005-0000-0000-000025820000}"/>
    <cellStyle name="RIGs input cells 4 2 3 2 2 9" xfId="33103" xr:uid="{00000000-0005-0000-0000-000026820000}"/>
    <cellStyle name="RIGs input cells 4 2 3 2 20" xfId="33104" xr:uid="{00000000-0005-0000-0000-000027820000}"/>
    <cellStyle name="RIGs input cells 4 2 3 2 21" xfId="33105" xr:uid="{00000000-0005-0000-0000-000028820000}"/>
    <cellStyle name="RIGs input cells 4 2 3 2 22" xfId="33106" xr:uid="{00000000-0005-0000-0000-000029820000}"/>
    <cellStyle name="RIGs input cells 4 2 3 2 23" xfId="33107" xr:uid="{00000000-0005-0000-0000-00002A820000}"/>
    <cellStyle name="RIGs input cells 4 2 3 2 24" xfId="33108" xr:uid="{00000000-0005-0000-0000-00002B820000}"/>
    <cellStyle name="RIGs input cells 4 2 3 2 25" xfId="33109" xr:uid="{00000000-0005-0000-0000-00002C820000}"/>
    <cellStyle name="RIGs input cells 4 2 3 2 26" xfId="33110" xr:uid="{00000000-0005-0000-0000-00002D820000}"/>
    <cellStyle name="RIGs input cells 4 2 3 2 27" xfId="33111" xr:uid="{00000000-0005-0000-0000-00002E820000}"/>
    <cellStyle name="RIGs input cells 4 2 3 2 28" xfId="33112" xr:uid="{00000000-0005-0000-0000-00002F820000}"/>
    <cellStyle name="RIGs input cells 4 2 3 2 29" xfId="33113" xr:uid="{00000000-0005-0000-0000-000030820000}"/>
    <cellStyle name="RIGs input cells 4 2 3 2 3" xfId="33114" xr:uid="{00000000-0005-0000-0000-000031820000}"/>
    <cellStyle name="RIGs input cells 4 2 3 2 3 2" xfId="33115" xr:uid="{00000000-0005-0000-0000-000032820000}"/>
    <cellStyle name="RIGs input cells 4 2 3 2 3 3" xfId="33116" xr:uid="{00000000-0005-0000-0000-000033820000}"/>
    <cellStyle name="RIGs input cells 4 2 3 2 30" xfId="33117" xr:uid="{00000000-0005-0000-0000-000034820000}"/>
    <cellStyle name="RIGs input cells 4 2 3 2 31" xfId="33118" xr:uid="{00000000-0005-0000-0000-000035820000}"/>
    <cellStyle name="RIGs input cells 4 2 3 2 32" xfId="33119" xr:uid="{00000000-0005-0000-0000-000036820000}"/>
    <cellStyle name="RIGs input cells 4 2 3 2 33" xfId="33120" xr:uid="{00000000-0005-0000-0000-000037820000}"/>
    <cellStyle name="RIGs input cells 4 2 3 2 34" xfId="33121" xr:uid="{00000000-0005-0000-0000-000038820000}"/>
    <cellStyle name="RIGs input cells 4 2 3 2 4" xfId="33122" xr:uid="{00000000-0005-0000-0000-000039820000}"/>
    <cellStyle name="RIGs input cells 4 2 3 2 4 2" xfId="33123" xr:uid="{00000000-0005-0000-0000-00003A820000}"/>
    <cellStyle name="RIGs input cells 4 2 3 2 4 3" xfId="33124" xr:uid="{00000000-0005-0000-0000-00003B820000}"/>
    <cellStyle name="RIGs input cells 4 2 3 2 5" xfId="33125" xr:uid="{00000000-0005-0000-0000-00003C820000}"/>
    <cellStyle name="RIGs input cells 4 2 3 2 6" xfId="33126" xr:uid="{00000000-0005-0000-0000-00003D820000}"/>
    <cellStyle name="RIGs input cells 4 2 3 2 7" xfId="33127" xr:uid="{00000000-0005-0000-0000-00003E820000}"/>
    <cellStyle name="RIGs input cells 4 2 3 2 8" xfId="33128" xr:uid="{00000000-0005-0000-0000-00003F820000}"/>
    <cellStyle name="RIGs input cells 4 2 3 2 9" xfId="33129" xr:uid="{00000000-0005-0000-0000-000040820000}"/>
    <cellStyle name="RIGs input cells 4 2 3 20" xfId="33130" xr:uid="{00000000-0005-0000-0000-000041820000}"/>
    <cellStyle name="RIGs input cells 4 2 3 21" xfId="33131" xr:uid="{00000000-0005-0000-0000-000042820000}"/>
    <cellStyle name="RIGs input cells 4 2 3 22" xfId="33132" xr:uid="{00000000-0005-0000-0000-000043820000}"/>
    <cellStyle name="RIGs input cells 4 2 3 23" xfId="33133" xr:uid="{00000000-0005-0000-0000-000044820000}"/>
    <cellStyle name="RIGs input cells 4 2 3 24" xfId="33134" xr:uid="{00000000-0005-0000-0000-000045820000}"/>
    <cellStyle name="RIGs input cells 4 2 3 25" xfId="33135" xr:uid="{00000000-0005-0000-0000-000046820000}"/>
    <cellStyle name="RIGs input cells 4 2 3 26" xfId="33136" xr:uid="{00000000-0005-0000-0000-000047820000}"/>
    <cellStyle name="RIGs input cells 4 2 3 27" xfId="33137" xr:uid="{00000000-0005-0000-0000-000048820000}"/>
    <cellStyle name="RIGs input cells 4 2 3 28" xfId="33138" xr:uid="{00000000-0005-0000-0000-000049820000}"/>
    <cellStyle name="RIGs input cells 4 2 3 29" xfId="33139" xr:uid="{00000000-0005-0000-0000-00004A820000}"/>
    <cellStyle name="RIGs input cells 4 2 3 3" xfId="33140" xr:uid="{00000000-0005-0000-0000-00004B820000}"/>
    <cellStyle name="RIGs input cells 4 2 3 3 10" xfId="33141" xr:uid="{00000000-0005-0000-0000-00004C820000}"/>
    <cellStyle name="RIGs input cells 4 2 3 3 11" xfId="33142" xr:uid="{00000000-0005-0000-0000-00004D820000}"/>
    <cellStyle name="RIGs input cells 4 2 3 3 12" xfId="33143" xr:uid="{00000000-0005-0000-0000-00004E820000}"/>
    <cellStyle name="RIGs input cells 4 2 3 3 13" xfId="33144" xr:uid="{00000000-0005-0000-0000-00004F820000}"/>
    <cellStyle name="RIGs input cells 4 2 3 3 2" xfId="33145" xr:uid="{00000000-0005-0000-0000-000050820000}"/>
    <cellStyle name="RIGs input cells 4 2 3 3 2 2" xfId="33146" xr:uid="{00000000-0005-0000-0000-000051820000}"/>
    <cellStyle name="RIGs input cells 4 2 3 3 2 3" xfId="33147" xr:uid="{00000000-0005-0000-0000-000052820000}"/>
    <cellStyle name="RIGs input cells 4 2 3 3 3" xfId="33148" xr:uid="{00000000-0005-0000-0000-000053820000}"/>
    <cellStyle name="RIGs input cells 4 2 3 3 3 2" xfId="33149" xr:uid="{00000000-0005-0000-0000-000054820000}"/>
    <cellStyle name="RIGs input cells 4 2 3 3 3 3" xfId="33150" xr:uid="{00000000-0005-0000-0000-000055820000}"/>
    <cellStyle name="RIGs input cells 4 2 3 3 4" xfId="33151" xr:uid="{00000000-0005-0000-0000-000056820000}"/>
    <cellStyle name="RIGs input cells 4 2 3 3 5" xfId="33152" xr:uid="{00000000-0005-0000-0000-000057820000}"/>
    <cellStyle name="RIGs input cells 4 2 3 3 6" xfId="33153" xr:uid="{00000000-0005-0000-0000-000058820000}"/>
    <cellStyle name="RIGs input cells 4 2 3 3 7" xfId="33154" xr:uid="{00000000-0005-0000-0000-000059820000}"/>
    <cellStyle name="RIGs input cells 4 2 3 3 8" xfId="33155" xr:uid="{00000000-0005-0000-0000-00005A820000}"/>
    <cellStyle name="RIGs input cells 4 2 3 3 9" xfId="33156" xr:uid="{00000000-0005-0000-0000-00005B820000}"/>
    <cellStyle name="RIGs input cells 4 2 3 30" xfId="33157" xr:uid="{00000000-0005-0000-0000-00005C820000}"/>
    <cellStyle name="RIGs input cells 4 2 3 31" xfId="33158" xr:uid="{00000000-0005-0000-0000-00005D820000}"/>
    <cellStyle name="RIGs input cells 4 2 3 32" xfId="33159" xr:uid="{00000000-0005-0000-0000-00005E820000}"/>
    <cellStyle name="RIGs input cells 4 2 3 33" xfId="33160" xr:uid="{00000000-0005-0000-0000-00005F820000}"/>
    <cellStyle name="RIGs input cells 4 2 3 34" xfId="33161" xr:uid="{00000000-0005-0000-0000-000060820000}"/>
    <cellStyle name="RIGs input cells 4 2 3 35" xfId="33162" xr:uid="{00000000-0005-0000-0000-000061820000}"/>
    <cellStyle name="RIGs input cells 4 2 3 4" xfId="33163" xr:uid="{00000000-0005-0000-0000-000062820000}"/>
    <cellStyle name="RIGs input cells 4 2 3 4 2" xfId="33164" xr:uid="{00000000-0005-0000-0000-000063820000}"/>
    <cellStyle name="RIGs input cells 4 2 3 4 3" xfId="33165" xr:uid="{00000000-0005-0000-0000-000064820000}"/>
    <cellStyle name="RIGs input cells 4 2 3 5" xfId="33166" xr:uid="{00000000-0005-0000-0000-000065820000}"/>
    <cellStyle name="RIGs input cells 4 2 3 5 2" xfId="33167" xr:uid="{00000000-0005-0000-0000-000066820000}"/>
    <cellStyle name="RIGs input cells 4 2 3 5 3" xfId="33168" xr:uid="{00000000-0005-0000-0000-000067820000}"/>
    <cellStyle name="RIGs input cells 4 2 3 6" xfId="33169" xr:uid="{00000000-0005-0000-0000-000068820000}"/>
    <cellStyle name="RIGs input cells 4 2 3 7" xfId="33170" xr:uid="{00000000-0005-0000-0000-000069820000}"/>
    <cellStyle name="RIGs input cells 4 2 3 8" xfId="33171" xr:uid="{00000000-0005-0000-0000-00006A820000}"/>
    <cellStyle name="RIGs input cells 4 2 3 9" xfId="33172" xr:uid="{00000000-0005-0000-0000-00006B820000}"/>
    <cellStyle name="RIGs input cells 4 2 3_4 28 1_Asst_Health_Crit_AllTO_RIIO_20110714pm" xfId="33173" xr:uid="{00000000-0005-0000-0000-00006C820000}"/>
    <cellStyle name="RIGs input cells 4 2 30" xfId="33174" xr:uid="{00000000-0005-0000-0000-00006D820000}"/>
    <cellStyle name="RIGs input cells 4 2 31" xfId="33175" xr:uid="{00000000-0005-0000-0000-00006E820000}"/>
    <cellStyle name="RIGs input cells 4 2 32" xfId="33176" xr:uid="{00000000-0005-0000-0000-00006F820000}"/>
    <cellStyle name="RIGs input cells 4 2 33" xfId="33177" xr:uid="{00000000-0005-0000-0000-000070820000}"/>
    <cellStyle name="RIGs input cells 4 2 34" xfId="33178" xr:uid="{00000000-0005-0000-0000-000071820000}"/>
    <cellStyle name="RIGs input cells 4 2 35" xfId="33179" xr:uid="{00000000-0005-0000-0000-000072820000}"/>
    <cellStyle name="RIGs input cells 4 2 36" xfId="33180" xr:uid="{00000000-0005-0000-0000-000073820000}"/>
    <cellStyle name="RIGs input cells 4 2 37" xfId="33181" xr:uid="{00000000-0005-0000-0000-000074820000}"/>
    <cellStyle name="RIGs input cells 4 2 38" xfId="33182" xr:uid="{00000000-0005-0000-0000-000075820000}"/>
    <cellStyle name="RIGs input cells 4 2 39" xfId="33183" xr:uid="{00000000-0005-0000-0000-000076820000}"/>
    <cellStyle name="RIGs input cells 4 2 4" xfId="33184" xr:uid="{00000000-0005-0000-0000-000077820000}"/>
    <cellStyle name="RIGs input cells 4 2 4 10" xfId="33185" xr:uid="{00000000-0005-0000-0000-000078820000}"/>
    <cellStyle name="RIGs input cells 4 2 4 11" xfId="33186" xr:uid="{00000000-0005-0000-0000-000079820000}"/>
    <cellStyle name="RIGs input cells 4 2 4 12" xfId="33187" xr:uid="{00000000-0005-0000-0000-00007A820000}"/>
    <cellStyle name="RIGs input cells 4 2 4 13" xfId="33188" xr:uid="{00000000-0005-0000-0000-00007B820000}"/>
    <cellStyle name="RIGs input cells 4 2 4 14" xfId="33189" xr:uid="{00000000-0005-0000-0000-00007C820000}"/>
    <cellStyle name="RIGs input cells 4 2 4 15" xfId="33190" xr:uid="{00000000-0005-0000-0000-00007D820000}"/>
    <cellStyle name="RIGs input cells 4 2 4 16" xfId="33191" xr:uid="{00000000-0005-0000-0000-00007E820000}"/>
    <cellStyle name="RIGs input cells 4 2 4 17" xfId="33192" xr:uid="{00000000-0005-0000-0000-00007F820000}"/>
    <cellStyle name="RIGs input cells 4 2 4 18" xfId="33193" xr:uid="{00000000-0005-0000-0000-000080820000}"/>
    <cellStyle name="RIGs input cells 4 2 4 19" xfId="33194" xr:uid="{00000000-0005-0000-0000-000081820000}"/>
    <cellStyle name="RIGs input cells 4 2 4 2" xfId="33195" xr:uid="{00000000-0005-0000-0000-000082820000}"/>
    <cellStyle name="RIGs input cells 4 2 4 2 10" xfId="33196" xr:uid="{00000000-0005-0000-0000-000083820000}"/>
    <cellStyle name="RIGs input cells 4 2 4 2 11" xfId="33197" xr:uid="{00000000-0005-0000-0000-000084820000}"/>
    <cellStyle name="RIGs input cells 4 2 4 2 12" xfId="33198" xr:uid="{00000000-0005-0000-0000-000085820000}"/>
    <cellStyle name="RIGs input cells 4 2 4 2 13" xfId="33199" xr:uid="{00000000-0005-0000-0000-000086820000}"/>
    <cellStyle name="RIGs input cells 4 2 4 2 2" xfId="33200" xr:uid="{00000000-0005-0000-0000-000087820000}"/>
    <cellStyle name="RIGs input cells 4 2 4 2 2 2" xfId="33201" xr:uid="{00000000-0005-0000-0000-000088820000}"/>
    <cellStyle name="RIGs input cells 4 2 4 2 2 3" xfId="33202" xr:uid="{00000000-0005-0000-0000-000089820000}"/>
    <cellStyle name="RIGs input cells 4 2 4 2 3" xfId="33203" xr:uid="{00000000-0005-0000-0000-00008A820000}"/>
    <cellStyle name="RIGs input cells 4 2 4 2 3 2" xfId="33204" xr:uid="{00000000-0005-0000-0000-00008B820000}"/>
    <cellStyle name="RIGs input cells 4 2 4 2 3 3" xfId="33205" xr:uid="{00000000-0005-0000-0000-00008C820000}"/>
    <cellStyle name="RIGs input cells 4 2 4 2 4" xfId="33206" xr:uid="{00000000-0005-0000-0000-00008D820000}"/>
    <cellStyle name="RIGs input cells 4 2 4 2 5" xfId="33207" xr:uid="{00000000-0005-0000-0000-00008E820000}"/>
    <cellStyle name="RIGs input cells 4 2 4 2 6" xfId="33208" xr:uid="{00000000-0005-0000-0000-00008F820000}"/>
    <cellStyle name="RIGs input cells 4 2 4 2 7" xfId="33209" xr:uid="{00000000-0005-0000-0000-000090820000}"/>
    <cellStyle name="RIGs input cells 4 2 4 2 8" xfId="33210" xr:uid="{00000000-0005-0000-0000-000091820000}"/>
    <cellStyle name="RIGs input cells 4 2 4 2 9" xfId="33211" xr:uid="{00000000-0005-0000-0000-000092820000}"/>
    <cellStyle name="RIGs input cells 4 2 4 20" xfId="33212" xr:uid="{00000000-0005-0000-0000-000093820000}"/>
    <cellStyle name="RIGs input cells 4 2 4 21" xfId="33213" xr:uid="{00000000-0005-0000-0000-000094820000}"/>
    <cellStyle name="RIGs input cells 4 2 4 22" xfId="33214" xr:uid="{00000000-0005-0000-0000-000095820000}"/>
    <cellStyle name="RIGs input cells 4 2 4 23" xfId="33215" xr:uid="{00000000-0005-0000-0000-000096820000}"/>
    <cellStyle name="RIGs input cells 4 2 4 24" xfId="33216" xr:uid="{00000000-0005-0000-0000-000097820000}"/>
    <cellStyle name="RIGs input cells 4 2 4 25" xfId="33217" xr:uid="{00000000-0005-0000-0000-000098820000}"/>
    <cellStyle name="RIGs input cells 4 2 4 26" xfId="33218" xr:uid="{00000000-0005-0000-0000-000099820000}"/>
    <cellStyle name="RIGs input cells 4 2 4 27" xfId="33219" xr:uid="{00000000-0005-0000-0000-00009A820000}"/>
    <cellStyle name="RIGs input cells 4 2 4 28" xfId="33220" xr:uid="{00000000-0005-0000-0000-00009B820000}"/>
    <cellStyle name="RIGs input cells 4 2 4 29" xfId="33221" xr:uid="{00000000-0005-0000-0000-00009C820000}"/>
    <cellStyle name="RIGs input cells 4 2 4 3" xfId="33222" xr:uid="{00000000-0005-0000-0000-00009D820000}"/>
    <cellStyle name="RIGs input cells 4 2 4 3 2" xfId="33223" xr:uid="{00000000-0005-0000-0000-00009E820000}"/>
    <cellStyle name="RIGs input cells 4 2 4 3 3" xfId="33224" xr:uid="{00000000-0005-0000-0000-00009F820000}"/>
    <cellStyle name="RIGs input cells 4 2 4 30" xfId="33225" xr:uid="{00000000-0005-0000-0000-0000A0820000}"/>
    <cellStyle name="RIGs input cells 4 2 4 31" xfId="33226" xr:uid="{00000000-0005-0000-0000-0000A1820000}"/>
    <cellStyle name="RIGs input cells 4 2 4 32" xfId="33227" xr:uid="{00000000-0005-0000-0000-0000A2820000}"/>
    <cellStyle name="RIGs input cells 4 2 4 33" xfId="33228" xr:uid="{00000000-0005-0000-0000-0000A3820000}"/>
    <cellStyle name="RIGs input cells 4 2 4 34" xfId="33229" xr:uid="{00000000-0005-0000-0000-0000A4820000}"/>
    <cellStyle name="RIGs input cells 4 2 4 4" xfId="33230" xr:uid="{00000000-0005-0000-0000-0000A5820000}"/>
    <cellStyle name="RIGs input cells 4 2 4 4 2" xfId="33231" xr:uid="{00000000-0005-0000-0000-0000A6820000}"/>
    <cellStyle name="RIGs input cells 4 2 4 4 3" xfId="33232" xr:uid="{00000000-0005-0000-0000-0000A7820000}"/>
    <cellStyle name="RIGs input cells 4 2 4 5" xfId="33233" xr:uid="{00000000-0005-0000-0000-0000A8820000}"/>
    <cellStyle name="RIGs input cells 4 2 4 6" xfId="33234" xr:uid="{00000000-0005-0000-0000-0000A9820000}"/>
    <cellStyle name="RIGs input cells 4 2 4 7" xfId="33235" xr:uid="{00000000-0005-0000-0000-0000AA820000}"/>
    <cellStyle name="RIGs input cells 4 2 4 8" xfId="33236" xr:uid="{00000000-0005-0000-0000-0000AB820000}"/>
    <cellStyle name="RIGs input cells 4 2 4 9" xfId="33237" xr:uid="{00000000-0005-0000-0000-0000AC820000}"/>
    <cellStyle name="RIGs input cells 4 2 5" xfId="33238" xr:uid="{00000000-0005-0000-0000-0000AD820000}"/>
    <cellStyle name="RIGs input cells 4 2 5 10" xfId="33239" xr:uid="{00000000-0005-0000-0000-0000AE820000}"/>
    <cellStyle name="RIGs input cells 4 2 5 11" xfId="33240" xr:uid="{00000000-0005-0000-0000-0000AF820000}"/>
    <cellStyle name="RIGs input cells 4 2 5 12" xfId="33241" xr:uid="{00000000-0005-0000-0000-0000B0820000}"/>
    <cellStyle name="RIGs input cells 4 2 5 13" xfId="33242" xr:uid="{00000000-0005-0000-0000-0000B1820000}"/>
    <cellStyle name="RIGs input cells 4 2 5 14" xfId="33243" xr:uid="{00000000-0005-0000-0000-0000B2820000}"/>
    <cellStyle name="RIGs input cells 4 2 5 15" xfId="33244" xr:uid="{00000000-0005-0000-0000-0000B3820000}"/>
    <cellStyle name="RIGs input cells 4 2 5 16" xfId="33245" xr:uid="{00000000-0005-0000-0000-0000B4820000}"/>
    <cellStyle name="RIGs input cells 4 2 5 17" xfId="33246" xr:uid="{00000000-0005-0000-0000-0000B5820000}"/>
    <cellStyle name="RIGs input cells 4 2 5 18" xfId="33247" xr:uid="{00000000-0005-0000-0000-0000B6820000}"/>
    <cellStyle name="RIGs input cells 4 2 5 19" xfId="33248" xr:uid="{00000000-0005-0000-0000-0000B7820000}"/>
    <cellStyle name="RIGs input cells 4 2 5 2" xfId="33249" xr:uid="{00000000-0005-0000-0000-0000B8820000}"/>
    <cellStyle name="RIGs input cells 4 2 5 2 10" xfId="33250" xr:uid="{00000000-0005-0000-0000-0000B9820000}"/>
    <cellStyle name="RIGs input cells 4 2 5 2 11" xfId="33251" xr:uid="{00000000-0005-0000-0000-0000BA820000}"/>
    <cellStyle name="RIGs input cells 4 2 5 2 12" xfId="33252" xr:uid="{00000000-0005-0000-0000-0000BB820000}"/>
    <cellStyle name="RIGs input cells 4 2 5 2 13" xfId="33253" xr:uid="{00000000-0005-0000-0000-0000BC820000}"/>
    <cellStyle name="RIGs input cells 4 2 5 2 2" xfId="33254" xr:uid="{00000000-0005-0000-0000-0000BD820000}"/>
    <cellStyle name="RIGs input cells 4 2 5 2 2 2" xfId="33255" xr:uid="{00000000-0005-0000-0000-0000BE820000}"/>
    <cellStyle name="RIGs input cells 4 2 5 2 2 3" xfId="33256" xr:uid="{00000000-0005-0000-0000-0000BF820000}"/>
    <cellStyle name="RIGs input cells 4 2 5 2 3" xfId="33257" xr:uid="{00000000-0005-0000-0000-0000C0820000}"/>
    <cellStyle name="RIGs input cells 4 2 5 2 3 2" xfId="33258" xr:uid="{00000000-0005-0000-0000-0000C1820000}"/>
    <cellStyle name="RIGs input cells 4 2 5 2 3 3" xfId="33259" xr:uid="{00000000-0005-0000-0000-0000C2820000}"/>
    <cellStyle name="RIGs input cells 4 2 5 2 4" xfId="33260" xr:uid="{00000000-0005-0000-0000-0000C3820000}"/>
    <cellStyle name="RIGs input cells 4 2 5 2 5" xfId="33261" xr:uid="{00000000-0005-0000-0000-0000C4820000}"/>
    <cellStyle name="RIGs input cells 4 2 5 2 6" xfId="33262" xr:uid="{00000000-0005-0000-0000-0000C5820000}"/>
    <cellStyle name="RIGs input cells 4 2 5 2 7" xfId="33263" xr:uid="{00000000-0005-0000-0000-0000C6820000}"/>
    <cellStyle name="RIGs input cells 4 2 5 2 8" xfId="33264" xr:uid="{00000000-0005-0000-0000-0000C7820000}"/>
    <cellStyle name="RIGs input cells 4 2 5 2 9" xfId="33265" xr:uid="{00000000-0005-0000-0000-0000C8820000}"/>
    <cellStyle name="RIGs input cells 4 2 5 20" xfId="33266" xr:uid="{00000000-0005-0000-0000-0000C9820000}"/>
    <cellStyle name="RIGs input cells 4 2 5 21" xfId="33267" xr:uid="{00000000-0005-0000-0000-0000CA820000}"/>
    <cellStyle name="RIGs input cells 4 2 5 22" xfId="33268" xr:uid="{00000000-0005-0000-0000-0000CB820000}"/>
    <cellStyle name="RIGs input cells 4 2 5 23" xfId="33269" xr:uid="{00000000-0005-0000-0000-0000CC820000}"/>
    <cellStyle name="RIGs input cells 4 2 5 24" xfId="33270" xr:uid="{00000000-0005-0000-0000-0000CD820000}"/>
    <cellStyle name="RIGs input cells 4 2 5 25" xfId="33271" xr:uid="{00000000-0005-0000-0000-0000CE820000}"/>
    <cellStyle name="RIGs input cells 4 2 5 26" xfId="33272" xr:uid="{00000000-0005-0000-0000-0000CF820000}"/>
    <cellStyle name="RIGs input cells 4 2 5 27" xfId="33273" xr:uid="{00000000-0005-0000-0000-0000D0820000}"/>
    <cellStyle name="RIGs input cells 4 2 5 28" xfId="33274" xr:uid="{00000000-0005-0000-0000-0000D1820000}"/>
    <cellStyle name="RIGs input cells 4 2 5 29" xfId="33275" xr:uid="{00000000-0005-0000-0000-0000D2820000}"/>
    <cellStyle name="RIGs input cells 4 2 5 3" xfId="33276" xr:uid="{00000000-0005-0000-0000-0000D3820000}"/>
    <cellStyle name="RIGs input cells 4 2 5 3 2" xfId="33277" xr:uid="{00000000-0005-0000-0000-0000D4820000}"/>
    <cellStyle name="RIGs input cells 4 2 5 3 3" xfId="33278" xr:uid="{00000000-0005-0000-0000-0000D5820000}"/>
    <cellStyle name="RIGs input cells 4 2 5 30" xfId="33279" xr:uid="{00000000-0005-0000-0000-0000D6820000}"/>
    <cellStyle name="RIGs input cells 4 2 5 31" xfId="33280" xr:uid="{00000000-0005-0000-0000-0000D7820000}"/>
    <cellStyle name="RIGs input cells 4 2 5 32" xfId="33281" xr:uid="{00000000-0005-0000-0000-0000D8820000}"/>
    <cellStyle name="RIGs input cells 4 2 5 33" xfId="33282" xr:uid="{00000000-0005-0000-0000-0000D9820000}"/>
    <cellStyle name="RIGs input cells 4 2 5 34" xfId="33283" xr:uid="{00000000-0005-0000-0000-0000DA820000}"/>
    <cellStyle name="RIGs input cells 4 2 5 4" xfId="33284" xr:uid="{00000000-0005-0000-0000-0000DB820000}"/>
    <cellStyle name="RIGs input cells 4 2 5 4 2" xfId="33285" xr:uid="{00000000-0005-0000-0000-0000DC820000}"/>
    <cellStyle name="RIGs input cells 4 2 5 4 3" xfId="33286" xr:uid="{00000000-0005-0000-0000-0000DD820000}"/>
    <cellStyle name="RIGs input cells 4 2 5 5" xfId="33287" xr:uid="{00000000-0005-0000-0000-0000DE820000}"/>
    <cellStyle name="RIGs input cells 4 2 5 6" xfId="33288" xr:uid="{00000000-0005-0000-0000-0000DF820000}"/>
    <cellStyle name="RIGs input cells 4 2 5 7" xfId="33289" xr:uid="{00000000-0005-0000-0000-0000E0820000}"/>
    <cellStyle name="RIGs input cells 4 2 5 8" xfId="33290" xr:uid="{00000000-0005-0000-0000-0000E1820000}"/>
    <cellStyle name="RIGs input cells 4 2 5 9" xfId="33291" xr:uid="{00000000-0005-0000-0000-0000E2820000}"/>
    <cellStyle name="RIGs input cells 4 2 6" xfId="33292" xr:uid="{00000000-0005-0000-0000-0000E3820000}"/>
    <cellStyle name="RIGs input cells 4 2 6 10" xfId="33293" xr:uid="{00000000-0005-0000-0000-0000E4820000}"/>
    <cellStyle name="RIGs input cells 4 2 6 11" xfId="33294" xr:uid="{00000000-0005-0000-0000-0000E5820000}"/>
    <cellStyle name="RIGs input cells 4 2 6 12" xfId="33295" xr:uid="{00000000-0005-0000-0000-0000E6820000}"/>
    <cellStyle name="RIGs input cells 4 2 6 13" xfId="33296" xr:uid="{00000000-0005-0000-0000-0000E7820000}"/>
    <cellStyle name="RIGs input cells 4 2 6 2" xfId="33297" xr:uid="{00000000-0005-0000-0000-0000E8820000}"/>
    <cellStyle name="RIGs input cells 4 2 6 2 2" xfId="33298" xr:uid="{00000000-0005-0000-0000-0000E9820000}"/>
    <cellStyle name="RIGs input cells 4 2 6 2 3" xfId="33299" xr:uid="{00000000-0005-0000-0000-0000EA820000}"/>
    <cellStyle name="RIGs input cells 4 2 6 3" xfId="33300" xr:uid="{00000000-0005-0000-0000-0000EB820000}"/>
    <cellStyle name="RIGs input cells 4 2 6 3 2" xfId="33301" xr:uid="{00000000-0005-0000-0000-0000EC820000}"/>
    <cellStyle name="RIGs input cells 4 2 6 3 3" xfId="33302" xr:uid="{00000000-0005-0000-0000-0000ED820000}"/>
    <cellStyle name="RIGs input cells 4 2 6 4" xfId="33303" xr:uid="{00000000-0005-0000-0000-0000EE820000}"/>
    <cellStyle name="RIGs input cells 4 2 6 5" xfId="33304" xr:uid="{00000000-0005-0000-0000-0000EF820000}"/>
    <cellStyle name="RIGs input cells 4 2 6 6" xfId="33305" xr:uid="{00000000-0005-0000-0000-0000F0820000}"/>
    <cellStyle name="RIGs input cells 4 2 6 7" xfId="33306" xr:uid="{00000000-0005-0000-0000-0000F1820000}"/>
    <cellStyle name="RIGs input cells 4 2 6 8" xfId="33307" xr:uid="{00000000-0005-0000-0000-0000F2820000}"/>
    <cellStyle name="RIGs input cells 4 2 6 9" xfId="33308" xr:uid="{00000000-0005-0000-0000-0000F3820000}"/>
    <cellStyle name="RIGs input cells 4 2 7" xfId="33309" xr:uid="{00000000-0005-0000-0000-0000F4820000}"/>
    <cellStyle name="RIGs input cells 4 2 7 2" xfId="33310" xr:uid="{00000000-0005-0000-0000-0000F5820000}"/>
    <cellStyle name="RIGs input cells 4 2 7 2 2" xfId="33311" xr:uid="{00000000-0005-0000-0000-0000F6820000}"/>
    <cellStyle name="RIGs input cells 4 2 7 2 3" xfId="33312" xr:uid="{00000000-0005-0000-0000-0000F7820000}"/>
    <cellStyle name="RIGs input cells 4 2 7 3" xfId="33313" xr:uid="{00000000-0005-0000-0000-0000F8820000}"/>
    <cellStyle name="RIGs input cells 4 2 7 3 2" xfId="33314" xr:uid="{00000000-0005-0000-0000-0000F9820000}"/>
    <cellStyle name="RIGs input cells 4 2 7 4" xfId="33315" xr:uid="{00000000-0005-0000-0000-0000FA820000}"/>
    <cellStyle name="RIGs input cells 4 2 8" xfId="33316" xr:uid="{00000000-0005-0000-0000-0000FB820000}"/>
    <cellStyle name="RIGs input cells 4 2 8 2" xfId="33317" xr:uid="{00000000-0005-0000-0000-0000FC820000}"/>
    <cellStyle name="RIGs input cells 4 2 9" xfId="33318" xr:uid="{00000000-0005-0000-0000-0000FD820000}"/>
    <cellStyle name="RIGs input cells 4 2 9 2" xfId="33319" xr:uid="{00000000-0005-0000-0000-0000FE820000}"/>
    <cellStyle name="RIGs input cells 4 2_4 28 1_Asst_Health_Crit_AllTO_RIIO_20110714pm" xfId="33320" xr:uid="{00000000-0005-0000-0000-0000FF820000}"/>
    <cellStyle name="RIGs input cells 4 20" xfId="33321" xr:uid="{00000000-0005-0000-0000-000000830000}"/>
    <cellStyle name="RIGs input cells 4 20 2" xfId="33322" xr:uid="{00000000-0005-0000-0000-000001830000}"/>
    <cellStyle name="RIGs input cells 4 21" xfId="33323" xr:uid="{00000000-0005-0000-0000-000002830000}"/>
    <cellStyle name="RIGs input cells 4 21 2" xfId="33324" xr:uid="{00000000-0005-0000-0000-000003830000}"/>
    <cellStyle name="RIGs input cells 4 22" xfId="33325" xr:uid="{00000000-0005-0000-0000-000004830000}"/>
    <cellStyle name="RIGs input cells 4 22 2" xfId="33326" xr:uid="{00000000-0005-0000-0000-000005830000}"/>
    <cellStyle name="RIGs input cells 4 23" xfId="33327" xr:uid="{00000000-0005-0000-0000-000006830000}"/>
    <cellStyle name="RIGs input cells 4 23 2" xfId="33328" xr:uid="{00000000-0005-0000-0000-000007830000}"/>
    <cellStyle name="RIGs input cells 4 24" xfId="33329" xr:uid="{00000000-0005-0000-0000-000008830000}"/>
    <cellStyle name="RIGs input cells 4 24 2" xfId="33330" xr:uid="{00000000-0005-0000-0000-000009830000}"/>
    <cellStyle name="RIGs input cells 4 25" xfId="33331" xr:uid="{00000000-0005-0000-0000-00000A830000}"/>
    <cellStyle name="RIGs input cells 4 25 2" xfId="33332" xr:uid="{00000000-0005-0000-0000-00000B830000}"/>
    <cellStyle name="RIGs input cells 4 26" xfId="33333" xr:uid="{00000000-0005-0000-0000-00000C830000}"/>
    <cellStyle name="RIGs input cells 4 26 2" xfId="33334" xr:uid="{00000000-0005-0000-0000-00000D830000}"/>
    <cellStyle name="RIGs input cells 4 27" xfId="33335" xr:uid="{00000000-0005-0000-0000-00000E830000}"/>
    <cellStyle name="RIGs input cells 4 28" xfId="33336" xr:uid="{00000000-0005-0000-0000-00000F830000}"/>
    <cellStyle name="RIGs input cells 4 29" xfId="33337" xr:uid="{00000000-0005-0000-0000-000010830000}"/>
    <cellStyle name="RIGs input cells 4 3" xfId="33338" xr:uid="{00000000-0005-0000-0000-000011830000}"/>
    <cellStyle name="RIGs input cells 4 3 10" xfId="33339" xr:uid="{00000000-0005-0000-0000-000012830000}"/>
    <cellStyle name="RIGs input cells 4 3 11" xfId="33340" xr:uid="{00000000-0005-0000-0000-000013830000}"/>
    <cellStyle name="RIGs input cells 4 3 12" xfId="33341" xr:uid="{00000000-0005-0000-0000-000014830000}"/>
    <cellStyle name="RIGs input cells 4 3 13" xfId="33342" xr:uid="{00000000-0005-0000-0000-000015830000}"/>
    <cellStyle name="RIGs input cells 4 3 14" xfId="33343" xr:uid="{00000000-0005-0000-0000-000016830000}"/>
    <cellStyle name="RIGs input cells 4 3 15" xfId="33344" xr:uid="{00000000-0005-0000-0000-000017830000}"/>
    <cellStyle name="RIGs input cells 4 3 16" xfId="33345" xr:uid="{00000000-0005-0000-0000-000018830000}"/>
    <cellStyle name="RIGs input cells 4 3 17" xfId="33346" xr:uid="{00000000-0005-0000-0000-000019830000}"/>
    <cellStyle name="RIGs input cells 4 3 18" xfId="33347" xr:uid="{00000000-0005-0000-0000-00001A830000}"/>
    <cellStyle name="RIGs input cells 4 3 19" xfId="33348" xr:uid="{00000000-0005-0000-0000-00001B830000}"/>
    <cellStyle name="RIGs input cells 4 3 2" xfId="33349" xr:uid="{00000000-0005-0000-0000-00001C830000}"/>
    <cellStyle name="RIGs input cells 4 3 2 10" xfId="33350" xr:uid="{00000000-0005-0000-0000-00001D830000}"/>
    <cellStyle name="RIGs input cells 4 3 2 11" xfId="33351" xr:uid="{00000000-0005-0000-0000-00001E830000}"/>
    <cellStyle name="RIGs input cells 4 3 2 12" xfId="33352" xr:uid="{00000000-0005-0000-0000-00001F830000}"/>
    <cellStyle name="RIGs input cells 4 3 2 13" xfId="33353" xr:uid="{00000000-0005-0000-0000-000020830000}"/>
    <cellStyle name="RIGs input cells 4 3 2 14" xfId="33354" xr:uid="{00000000-0005-0000-0000-000021830000}"/>
    <cellStyle name="RIGs input cells 4 3 2 15" xfId="33355" xr:uid="{00000000-0005-0000-0000-000022830000}"/>
    <cellStyle name="RIGs input cells 4 3 2 16" xfId="33356" xr:uid="{00000000-0005-0000-0000-000023830000}"/>
    <cellStyle name="RIGs input cells 4 3 2 17" xfId="33357" xr:uid="{00000000-0005-0000-0000-000024830000}"/>
    <cellStyle name="RIGs input cells 4 3 2 18" xfId="33358" xr:uid="{00000000-0005-0000-0000-000025830000}"/>
    <cellStyle name="RIGs input cells 4 3 2 19" xfId="33359" xr:uid="{00000000-0005-0000-0000-000026830000}"/>
    <cellStyle name="RIGs input cells 4 3 2 2" xfId="33360" xr:uid="{00000000-0005-0000-0000-000027830000}"/>
    <cellStyle name="RIGs input cells 4 3 2 2 10" xfId="33361" xr:uid="{00000000-0005-0000-0000-000028830000}"/>
    <cellStyle name="RIGs input cells 4 3 2 2 11" xfId="33362" xr:uid="{00000000-0005-0000-0000-000029830000}"/>
    <cellStyle name="RIGs input cells 4 3 2 2 12" xfId="33363" xr:uid="{00000000-0005-0000-0000-00002A830000}"/>
    <cellStyle name="RIGs input cells 4 3 2 2 13" xfId="33364" xr:uid="{00000000-0005-0000-0000-00002B830000}"/>
    <cellStyle name="RIGs input cells 4 3 2 2 2" xfId="33365" xr:uid="{00000000-0005-0000-0000-00002C830000}"/>
    <cellStyle name="RIGs input cells 4 3 2 2 2 2" xfId="33366" xr:uid="{00000000-0005-0000-0000-00002D830000}"/>
    <cellStyle name="RIGs input cells 4 3 2 2 2 3" xfId="33367" xr:uid="{00000000-0005-0000-0000-00002E830000}"/>
    <cellStyle name="RIGs input cells 4 3 2 2 3" xfId="33368" xr:uid="{00000000-0005-0000-0000-00002F830000}"/>
    <cellStyle name="RIGs input cells 4 3 2 2 3 2" xfId="33369" xr:uid="{00000000-0005-0000-0000-000030830000}"/>
    <cellStyle name="RIGs input cells 4 3 2 2 3 3" xfId="33370" xr:uid="{00000000-0005-0000-0000-000031830000}"/>
    <cellStyle name="RIGs input cells 4 3 2 2 4" xfId="33371" xr:uid="{00000000-0005-0000-0000-000032830000}"/>
    <cellStyle name="RIGs input cells 4 3 2 2 5" xfId="33372" xr:uid="{00000000-0005-0000-0000-000033830000}"/>
    <cellStyle name="RIGs input cells 4 3 2 2 6" xfId="33373" xr:uid="{00000000-0005-0000-0000-000034830000}"/>
    <cellStyle name="RIGs input cells 4 3 2 2 7" xfId="33374" xr:uid="{00000000-0005-0000-0000-000035830000}"/>
    <cellStyle name="RIGs input cells 4 3 2 2 8" xfId="33375" xr:uid="{00000000-0005-0000-0000-000036830000}"/>
    <cellStyle name="RIGs input cells 4 3 2 2 9" xfId="33376" xr:uid="{00000000-0005-0000-0000-000037830000}"/>
    <cellStyle name="RIGs input cells 4 3 2 20" xfId="33377" xr:uid="{00000000-0005-0000-0000-000038830000}"/>
    <cellStyle name="RIGs input cells 4 3 2 21" xfId="33378" xr:uid="{00000000-0005-0000-0000-000039830000}"/>
    <cellStyle name="RIGs input cells 4 3 2 22" xfId="33379" xr:uid="{00000000-0005-0000-0000-00003A830000}"/>
    <cellStyle name="RIGs input cells 4 3 2 23" xfId="33380" xr:uid="{00000000-0005-0000-0000-00003B830000}"/>
    <cellStyle name="RIGs input cells 4 3 2 24" xfId="33381" xr:uid="{00000000-0005-0000-0000-00003C830000}"/>
    <cellStyle name="RIGs input cells 4 3 2 25" xfId="33382" xr:uid="{00000000-0005-0000-0000-00003D830000}"/>
    <cellStyle name="RIGs input cells 4 3 2 26" xfId="33383" xr:uid="{00000000-0005-0000-0000-00003E830000}"/>
    <cellStyle name="RIGs input cells 4 3 2 27" xfId="33384" xr:uid="{00000000-0005-0000-0000-00003F830000}"/>
    <cellStyle name="RIGs input cells 4 3 2 28" xfId="33385" xr:uid="{00000000-0005-0000-0000-000040830000}"/>
    <cellStyle name="RIGs input cells 4 3 2 29" xfId="33386" xr:uid="{00000000-0005-0000-0000-000041830000}"/>
    <cellStyle name="RIGs input cells 4 3 2 3" xfId="33387" xr:uid="{00000000-0005-0000-0000-000042830000}"/>
    <cellStyle name="RIGs input cells 4 3 2 3 2" xfId="33388" xr:uid="{00000000-0005-0000-0000-000043830000}"/>
    <cellStyle name="RIGs input cells 4 3 2 3 3" xfId="33389" xr:uid="{00000000-0005-0000-0000-000044830000}"/>
    <cellStyle name="RIGs input cells 4 3 2 30" xfId="33390" xr:uid="{00000000-0005-0000-0000-000045830000}"/>
    <cellStyle name="RIGs input cells 4 3 2 31" xfId="33391" xr:uid="{00000000-0005-0000-0000-000046830000}"/>
    <cellStyle name="RIGs input cells 4 3 2 32" xfId="33392" xr:uid="{00000000-0005-0000-0000-000047830000}"/>
    <cellStyle name="RIGs input cells 4 3 2 33" xfId="33393" xr:uid="{00000000-0005-0000-0000-000048830000}"/>
    <cellStyle name="RIGs input cells 4 3 2 34" xfId="33394" xr:uid="{00000000-0005-0000-0000-000049830000}"/>
    <cellStyle name="RIGs input cells 4 3 2 4" xfId="33395" xr:uid="{00000000-0005-0000-0000-00004A830000}"/>
    <cellStyle name="RIGs input cells 4 3 2 4 2" xfId="33396" xr:uid="{00000000-0005-0000-0000-00004B830000}"/>
    <cellStyle name="RIGs input cells 4 3 2 4 3" xfId="33397" xr:uid="{00000000-0005-0000-0000-00004C830000}"/>
    <cellStyle name="RIGs input cells 4 3 2 5" xfId="33398" xr:uid="{00000000-0005-0000-0000-00004D830000}"/>
    <cellStyle name="RIGs input cells 4 3 2 6" xfId="33399" xr:uid="{00000000-0005-0000-0000-00004E830000}"/>
    <cellStyle name="RIGs input cells 4 3 2 7" xfId="33400" xr:uid="{00000000-0005-0000-0000-00004F830000}"/>
    <cellStyle name="RIGs input cells 4 3 2 8" xfId="33401" xr:uid="{00000000-0005-0000-0000-000050830000}"/>
    <cellStyle name="RIGs input cells 4 3 2 9" xfId="33402" xr:uid="{00000000-0005-0000-0000-000051830000}"/>
    <cellStyle name="RIGs input cells 4 3 20" xfId="33403" xr:uid="{00000000-0005-0000-0000-000052830000}"/>
    <cellStyle name="RIGs input cells 4 3 21" xfId="33404" xr:uid="{00000000-0005-0000-0000-000053830000}"/>
    <cellStyle name="RIGs input cells 4 3 22" xfId="33405" xr:uid="{00000000-0005-0000-0000-000054830000}"/>
    <cellStyle name="RIGs input cells 4 3 23" xfId="33406" xr:uid="{00000000-0005-0000-0000-000055830000}"/>
    <cellStyle name="RIGs input cells 4 3 24" xfId="33407" xr:uid="{00000000-0005-0000-0000-000056830000}"/>
    <cellStyle name="RIGs input cells 4 3 25" xfId="33408" xr:uid="{00000000-0005-0000-0000-000057830000}"/>
    <cellStyle name="RIGs input cells 4 3 26" xfId="33409" xr:uid="{00000000-0005-0000-0000-000058830000}"/>
    <cellStyle name="RIGs input cells 4 3 27" xfId="33410" xr:uid="{00000000-0005-0000-0000-000059830000}"/>
    <cellStyle name="RIGs input cells 4 3 28" xfId="33411" xr:uid="{00000000-0005-0000-0000-00005A830000}"/>
    <cellStyle name="RIGs input cells 4 3 29" xfId="33412" xr:uid="{00000000-0005-0000-0000-00005B830000}"/>
    <cellStyle name="RIGs input cells 4 3 3" xfId="33413" xr:uid="{00000000-0005-0000-0000-00005C830000}"/>
    <cellStyle name="RIGs input cells 4 3 3 10" xfId="33414" xr:uid="{00000000-0005-0000-0000-00005D830000}"/>
    <cellStyle name="RIGs input cells 4 3 3 11" xfId="33415" xr:uid="{00000000-0005-0000-0000-00005E830000}"/>
    <cellStyle name="RIGs input cells 4 3 3 12" xfId="33416" xr:uid="{00000000-0005-0000-0000-00005F830000}"/>
    <cellStyle name="RIGs input cells 4 3 3 13" xfId="33417" xr:uid="{00000000-0005-0000-0000-000060830000}"/>
    <cellStyle name="RIGs input cells 4 3 3 2" xfId="33418" xr:uid="{00000000-0005-0000-0000-000061830000}"/>
    <cellStyle name="RIGs input cells 4 3 3 2 2" xfId="33419" xr:uid="{00000000-0005-0000-0000-000062830000}"/>
    <cellStyle name="RIGs input cells 4 3 3 2 3" xfId="33420" xr:uid="{00000000-0005-0000-0000-000063830000}"/>
    <cellStyle name="RIGs input cells 4 3 3 3" xfId="33421" xr:uid="{00000000-0005-0000-0000-000064830000}"/>
    <cellStyle name="RIGs input cells 4 3 3 3 2" xfId="33422" xr:uid="{00000000-0005-0000-0000-000065830000}"/>
    <cellStyle name="RIGs input cells 4 3 3 3 3" xfId="33423" xr:uid="{00000000-0005-0000-0000-000066830000}"/>
    <cellStyle name="RIGs input cells 4 3 3 4" xfId="33424" xr:uid="{00000000-0005-0000-0000-000067830000}"/>
    <cellStyle name="RIGs input cells 4 3 3 5" xfId="33425" xr:uid="{00000000-0005-0000-0000-000068830000}"/>
    <cellStyle name="RIGs input cells 4 3 3 6" xfId="33426" xr:uid="{00000000-0005-0000-0000-000069830000}"/>
    <cellStyle name="RIGs input cells 4 3 3 7" xfId="33427" xr:uid="{00000000-0005-0000-0000-00006A830000}"/>
    <cellStyle name="RIGs input cells 4 3 3 8" xfId="33428" xr:uid="{00000000-0005-0000-0000-00006B830000}"/>
    <cellStyle name="RIGs input cells 4 3 3 9" xfId="33429" xr:uid="{00000000-0005-0000-0000-00006C830000}"/>
    <cellStyle name="RIGs input cells 4 3 30" xfId="33430" xr:uid="{00000000-0005-0000-0000-00006D830000}"/>
    <cellStyle name="RIGs input cells 4 3 31" xfId="33431" xr:uid="{00000000-0005-0000-0000-00006E830000}"/>
    <cellStyle name="RIGs input cells 4 3 32" xfId="33432" xr:uid="{00000000-0005-0000-0000-00006F830000}"/>
    <cellStyle name="RIGs input cells 4 3 33" xfId="33433" xr:uid="{00000000-0005-0000-0000-000070830000}"/>
    <cellStyle name="RIGs input cells 4 3 34" xfId="33434" xr:uid="{00000000-0005-0000-0000-000071830000}"/>
    <cellStyle name="RIGs input cells 4 3 35" xfId="33435" xr:uid="{00000000-0005-0000-0000-000072830000}"/>
    <cellStyle name="RIGs input cells 4 3 4" xfId="33436" xr:uid="{00000000-0005-0000-0000-000073830000}"/>
    <cellStyle name="RIGs input cells 4 3 4 2" xfId="33437" xr:uid="{00000000-0005-0000-0000-000074830000}"/>
    <cellStyle name="RIGs input cells 4 3 4 3" xfId="33438" xr:uid="{00000000-0005-0000-0000-000075830000}"/>
    <cellStyle name="RIGs input cells 4 3 5" xfId="33439" xr:uid="{00000000-0005-0000-0000-000076830000}"/>
    <cellStyle name="RIGs input cells 4 3 5 2" xfId="33440" xr:uid="{00000000-0005-0000-0000-000077830000}"/>
    <cellStyle name="RIGs input cells 4 3 5 3" xfId="33441" xr:uid="{00000000-0005-0000-0000-000078830000}"/>
    <cellStyle name="RIGs input cells 4 3 6" xfId="33442" xr:uid="{00000000-0005-0000-0000-000079830000}"/>
    <cellStyle name="RIGs input cells 4 3 7" xfId="33443" xr:uid="{00000000-0005-0000-0000-00007A830000}"/>
    <cellStyle name="RIGs input cells 4 3 8" xfId="33444" xr:uid="{00000000-0005-0000-0000-00007B830000}"/>
    <cellStyle name="RIGs input cells 4 3 9" xfId="33445" xr:uid="{00000000-0005-0000-0000-00007C830000}"/>
    <cellStyle name="RIGs input cells 4 3_4 28 1_Asst_Health_Crit_AllTO_RIIO_20110714pm" xfId="33446" xr:uid="{00000000-0005-0000-0000-00007D830000}"/>
    <cellStyle name="RIGs input cells 4 30" xfId="33447" xr:uid="{00000000-0005-0000-0000-00007E830000}"/>
    <cellStyle name="RIGs input cells 4 31" xfId="33448" xr:uid="{00000000-0005-0000-0000-00007F830000}"/>
    <cellStyle name="RIGs input cells 4 32" xfId="33449" xr:uid="{00000000-0005-0000-0000-000080830000}"/>
    <cellStyle name="RIGs input cells 4 33" xfId="33450" xr:uid="{00000000-0005-0000-0000-000081830000}"/>
    <cellStyle name="RIGs input cells 4 34" xfId="33451" xr:uid="{00000000-0005-0000-0000-000082830000}"/>
    <cellStyle name="RIGs input cells 4 35" xfId="33452" xr:uid="{00000000-0005-0000-0000-000083830000}"/>
    <cellStyle name="RIGs input cells 4 36" xfId="33453" xr:uid="{00000000-0005-0000-0000-000084830000}"/>
    <cellStyle name="RIGs input cells 4 37" xfId="33454" xr:uid="{00000000-0005-0000-0000-000085830000}"/>
    <cellStyle name="RIGs input cells 4 38" xfId="33455" xr:uid="{00000000-0005-0000-0000-000086830000}"/>
    <cellStyle name="RIGs input cells 4 39" xfId="33456" xr:uid="{00000000-0005-0000-0000-000087830000}"/>
    <cellStyle name="RIGs input cells 4 4" xfId="33457" xr:uid="{00000000-0005-0000-0000-000088830000}"/>
    <cellStyle name="RIGs input cells 4 4 10" xfId="33458" xr:uid="{00000000-0005-0000-0000-000089830000}"/>
    <cellStyle name="RIGs input cells 4 4 11" xfId="33459" xr:uid="{00000000-0005-0000-0000-00008A830000}"/>
    <cellStyle name="RIGs input cells 4 4 12" xfId="33460" xr:uid="{00000000-0005-0000-0000-00008B830000}"/>
    <cellStyle name="RIGs input cells 4 4 13" xfId="33461" xr:uid="{00000000-0005-0000-0000-00008C830000}"/>
    <cellStyle name="RIGs input cells 4 4 14" xfId="33462" xr:uid="{00000000-0005-0000-0000-00008D830000}"/>
    <cellStyle name="RIGs input cells 4 4 15" xfId="33463" xr:uid="{00000000-0005-0000-0000-00008E830000}"/>
    <cellStyle name="RIGs input cells 4 4 16" xfId="33464" xr:uid="{00000000-0005-0000-0000-00008F830000}"/>
    <cellStyle name="RIGs input cells 4 4 17" xfId="33465" xr:uid="{00000000-0005-0000-0000-000090830000}"/>
    <cellStyle name="RIGs input cells 4 4 18" xfId="33466" xr:uid="{00000000-0005-0000-0000-000091830000}"/>
    <cellStyle name="RIGs input cells 4 4 19" xfId="33467" xr:uid="{00000000-0005-0000-0000-000092830000}"/>
    <cellStyle name="RIGs input cells 4 4 2" xfId="33468" xr:uid="{00000000-0005-0000-0000-000093830000}"/>
    <cellStyle name="RIGs input cells 4 4 2 10" xfId="33469" xr:uid="{00000000-0005-0000-0000-000094830000}"/>
    <cellStyle name="RIGs input cells 4 4 2 11" xfId="33470" xr:uid="{00000000-0005-0000-0000-000095830000}"/>
    <cellStyle name="RIGs input cells 4 4 2 12" xfId="33471" xr:uid="{00000000-0005-0000-0000-000096830000}"/>
    <cellStyle name="RIGs input cells 4 4 2 13" xfId="33472" xr:uid="{00000000-0005-0000-0000-000097830000}"/>
    <cellStyle name="RIGs input cells 4 4 2 2" xfId="33473" xr:uid="{00000000-0005-0000-0000-000098830000}"/>
    <cellStyle name="RIGs input cells 4 4 2 2 2" xfId="33474" xr:uid="{00000000-0005-0000-0000-000099830000}"/>
    <cellStyle name="RIGs input cells 4 4 2 2 3" xfId="33475" xr:uid="{00000000-0005-0000-0000-00009A830000}"/>
    <cellStyle name="RIGs input cells 4 4 2 3" xfId="33476" xr:uid="{00000000-0005-0000-0000-00009B830000}"/>
    <cellStyle name="RIGs input cells 4 4 2 3 2" xfId="33477" xr:uid="{00000000-0005-0000-0000-00009C830000}"/>
    <cellStyle name="RIGs input cells 4 4 2 3 3" xfId="33478" xr:uid="{00000000-0005-0000-0000-00009D830000}"/>
    <cellStyle name="RIGs input cells 4 4 2 4" xfId="33479" xr:uid="{00000000-0005-0000-0000-00009E830000}"/>
    <cellStyle name="RIGs input cells 4 4 2 5" xfId="33480" xr:uid="{00000000-0005-0000-0000-00009F830000}"/>
    <cellStyle name="RIGs input cells 4 4 2 6" xfId="33481" xr:uid="{00000000-0005-0000-0000-0000A0830000}"/>
    <cellStyle name="RIGs input cells 4 4 2 7" xfId="33482" xr:uid="{00000000-0005-0000-0000-0000A1830000}"/>
    <cellStyle name="RIGs input cells 4 4 2 8" xfId="33483" xr:uid="{00000000-0005-0000-0000-0000A2830000}"/>
    <cellStyle name="RIGs input cells 4 4 2 9" xfId="33484" xr:uid="{00000000-0005-0000-0000-0000A3830000}"/>
    <cellStyle name="RIGs input cells 4 4 20" xfId="33485" xr:uid="{00000000-0005-0000-0000-0000A4830000}"/>
    <cellStyle name="RIGs input cells 4 4 21" xfId="33486" xr:uid="{00000000-0005-0000-0000-0000A5830000}"/>
    <cellStyle name="RIGs input cells 4 4 22" xfId="33487" xr:uid="{00000000-0005-0000-0000-0000A6830000}"/>
    <cellStyle name="RIGs input cells 4 4 23" xfId="33488" xr:uid="{00000000-0005-0000-0000-0000A7830000}"/>
    <cellStyle name="RIGs input cells 4 4 24" xfId="33489" xr:uid="{00000000-0005-0000-0000-0000A8830000}"/>
    <cellStyle name="RIGs input cells 4 4 25" xfId="33490" xr:uid="{00000000-0005-0000-0000-0000A9830000}"/>
    <cellStyle name="RIGs input cells 4 4 26" xfId="33491" xr:uid="{00000000-0005-0000-0000-0000AA830000}"/>
    <cellStyle name="RIGs input cells 4 4 27" xfId="33492" xr:uid="{00000000-0005-0000-0000-0000AB830000}"/>
    <cellStyle name="RIGs input cells 4 4 28" xfId="33493" xr:uid="{00000000-0005-0000-0000-0000AC830000}"/>
    <cellStyle name="RIGs input cells 4 4 29" xfId="33494" xr:uid="{00000000-0005-0000-0000-0000AD830000}"/>
    <cellStyle name="RIGs input cells 4 4 3" xfId="33495" xr:uid="{00000000-0005-0000-0000-0000AE830000}"/>
    <cellStyle name="RIGs input cells 4 4 3 2" xfId="33496" xr:uid="{00000000-0005-0000-0000-0000AF830000}"/>
    <cellStyle name="RIGs input cells 4 4 3 3" xfId="33497" xr:uid="{00000000-0005-0000-0000-0000B0830000}"/>
    <cellStyle name="RIGs input cells 4 4 30" xfId="33498" xr:uid="{00000000-0005-0000-0000-0000B1830000}"/>
    <cellStyle name="RIGs input cells 4 4 31" xfId="33499" xr:uid="{00000000-0005-0000-0000-0000B2830000}"/>
    <cellStyle name="RIGs input cells 4 4 32" xfId="33500" xr:uid="{00000000-0005-0000-0000-0000B3830000}"/>
    <cellStyle name="RIGs input cells 4 4 33" xfId="33501" xr:uid="{00000000-0005-0000-0000-0000B4830000}"/>
    <cellStyle name="RIGs input cells 4 4 34" xfId="33502" xr:uid="{00000000-0005-0000-0000-0000B5830000}"/>
    <cellStyle name="RIGs input cells 4 4 4" xfId="33503" xr:uid="{00000000-0005-0000-0000-0000B6830000}"/>
    <cellStyle name="RIGs input cells 4 4 4 2" xfId="33504" xr:uid="{00000000-0005-0000-0000-0000B7830000}"/>
    <cellStyle name="RIGs input cells 4 4 4 3" xfId="33505" xr:uid="{00000000-0005-0000-0000-0000B8830000}"/>
    <cellStyle name="RIGs input cells 4 4 5" xfId="33506" xr:uid="{00000000-0005-0000-0000-0000B9830000}"/>
    <cellStyle name="RIGs input cells 4 4 6" xfId="33507" xr:uid="{00000000-0005-0000-0000-0000BA830000}"/>
    <cellStyle name="RIGs input cells 4 4 7" xfId="33508" xr:uid="{00000000-0005-0000-0000-0000BB830000}"/>
    <cellStyle name="RIGs input cells 4 4 8" xfId="33509" xr:uid="{00000000-0005-0000-0000-0000BC830000}"/>
    <cellStyle name="RIGs input cells 4 4 9" xfId="33510" xr:uid="{00000000-0005-0000-0000-0000BD830000}"/>
    <cellStyle name="RIGs input cells 4 5" xfId="33511" xr:uid="{00000000-0005-0000-0000-0000BE830000}"/>
    <cellStyle name="RIGs input cells 4 5 10" xfId="33512" xr:uid="{00000000-0005-0000-0000-0000BF830000}"/>
    <cellStyle name="RIGs input cells 4 5 11" xfId="33513" xr:uid="{00000000-0005-0000-0000-0000C0830000}"/>
    <cellStyle name="RIGs input cells 4 5 12" xfId="33514" xr:uid="{00000000-0005-0000-0000-0000C1830000}"/>
    <cellStyle name="RIGs input cells 4 5 13" xfId="33515" xr:uid="{00000000-0005-0000-0000-0000C2830000}"/>
    <cellStyle name="RIGs input cells 4 5 14" xfId="33516" xr:uid="{00000000-0005-0000-0000-0000C3830000}"/>
    <cellStyle name="RIGs input cells 4 5 15" xfId="33517" xr:uid="{00000000-0005-0000-0000-0000C4830000}"/>
    <cellStyle name="RIGs input cells 4 5 16" xfId="33518" xr:uid="{00000000-0005-0000-0000-0000C5830000}"/>
    <cellStyle name="RIGs input cells 4 5 17" xfId="33519" xr:uid="{00000000-0005-0000-0000-0000C6830000}"/>
    <cellStyle name="RIGs input cells 4 5 18" xfId="33520" xr:uid="{00000000-0005-0000-0000-0000C7830000}"/>
    <cellStyle name="RIGs input cells 4 5 19" xfId="33521" xr:uid="{00000000-0005-0000-0000-0000C8830000}"/>
    <cellStyle name="RIGs input cells 4 5 2" xfId="33522" xr:uid="{00000000-0005-0000-0000-0000C9830000}"/>
    <cellStyle name="RIGs input cells 4 5 2 10" xfId="33523" xr:uid="{00000000-0005-0000-0000-0000CA830000}"/>
    <cellStyle name="RIGs input cells 4 5 2 11" xfId="33524" xr:uid="{00000000-0005-0000-0000-0000CB830000}"/>
    <cellStyle name="RIGs input cells 4 5 2 12" xfId="33525" xr:uid="{00000000-0005-0000-0000-0000CC830000}"/>
    <cellStyle name="RIGs input cells 4 5 2 13" xfId="33526" xr:uid="{00000000-0005-0000-0000-0000CD830000}"/>
    <cellStyle name="RIGs input cells 4 5 2 2" xfId="33527" xr:uid="{00000000-0005-0000-0000-0000CE830000}"/>
    <cellStyle name="RIGs input cells 4 5 2 2 2" xfId="33528" xr:uid="{00000000-0005-0000-0000-0000CF830000}"/>
    <cellStyle name="RIGs input cells 4 5 2 2 3" xfId="33529" xr:uid="{00000000-0005-0000-0000-0000D0830000}"/>
    <cellStyle name="RIGs input cells 4 5 2 3" xfId="33530" xr:uid="{00000000-0005-0000-0000-0000D1830000}"/>
    <cellStyle name="RIGs input cells 4 5 2 3 2" xfId="33531" xr:uid="{00000000-0005-0000-0000-0000D2830000}"/>
    <cellStyle name="RIGs input cells 4 5 2 3 3" xfId="33532" xr:uid="{00000000-0005-0000-0000-0000D3830000}"/>
    <cellStyle name="RIGs input cells 4 5 2 4" xfId="33533" xr:uid="{00000000-0005-0000-0000-0000D4830000}"/>
    <cellStyle name="RIGs input cells 4 5 2 5" xfId="33534" xr:uid="{00000000-0005-0000-0000-0000D5830000}"/>
    <cellStyle name="RIGs input cells 4 5 2 6" xfId="33535" xr:uid="{00000000-0005-0000-0000-0000D6830000}"/>
    <cellStyle name="RIGs input cells 4 5 2 7" xfId="33536" xr:uid="{00000000-0005-0000-0000-0000D7830000}"/>
    <cellStyle name="RIGs input cells 4 5 2 8" xfId="33537" xr:uid="{00000000-0005-0000-0000-0000D8830000}"/>
    <cellStyle name="RIGs input cells 4 5 2 9" xfId="33538" xr:uid="{00000000-0005-0000-0000-0000D9830000}"/>
    <cellStyle name="RIGs input cells 4 5 20" xfId="33539" xr:uid="{00000000-0005-0000-0000-0000DA830000}"/>
    <cellStyle name="RIGs input cells 4 5 21" xfId="33540" xr:uid="{00000000-0005-0000-0000-0000DB830000}"/>
    <cellStyle name="RIGs input cells 4 5 22" xfId="33541" xr:uid="{00000000-0005-0000-0000-0000DC830000}"/>
    <cellStyle name="RIGs input cells 4 5 23" xfId="33542" xr:uid="{00000000-0005-0000-0000-0000DD830000}"/>
    <cellStyle name="RIGs input cells 4 5 24" xfId="33543" xr:uid="{00000000-0005-0000-0000-0000DE830000}"/>
    <cellStyle name="RIGs input cells 4 5 25" xfId="33544" xr:uid="{00000000-0005-0000-0000-0000DF830000}"/>
    <cellStyle name="RIGs input cells 4 5 26" xfId="33545" xr:uid="{00000000-0005-0000-0000-0000E0830000}"/>
    <cellStyle name="RIGs input cells 4 5 27" xfId="33546" xr:uid="{00000000-0005-0000-0000-0000E1830000}"/>
    <cellStyle name="RIGs input cells 4 5 28" xfId="33547" xr:uid="{00000000-0005-0000-0000-0000E2830000}"/>
    <cellStyle name="RIGs input cells 4 5 29" xfId="33548" xr:uid="{00000000-0005-0000-0000-0000E3830000}"/>
    <cellStyle name="RIGs input cells 4 5 3" xfId="33549" xr:uid="{00000000-0005-0000-0000-0000E4830000}"/>
    <cellStyle name="RIGs input cells 4 5 3 2" xfId="33550" xr:uid="{00000000-0005-0000-0000-0000E5830000}"/>
    <cellStyle name="RIGs input cells 4 5 3 3" xfId="33551" xr:uid="{00000000-0005-0000-0000-0000E6830000}"/>
    <cellStyle name="RIGs input cells 4 5 30" xfId="33552" xr:uid="{00000000-0005-0000-0000-0000E7830000}"/>
    <cellStyle name="RIGs input cells 4 5 31" xfId="33553" xr:uid="{00000000-0005-0000-0000-0000E8830000}"/>
    <cellStyle name="RIGs input cells 4 5 32" xfId="33554" xr:uid="{00000000-0005-0000-0000-0000E9830000}"/>
    <cellStyle name="RIGs input cells 4 5 33" xfId="33555" xr:uid="{00000000-0005-0000-0000-0000EA830000}"/>
    <cellStyle name="RIGs input cells 4 5 34" xfId="33556" xr:uid="{00000000-0005-0000-0000-0000EB830000}"/>
    <cellStyle name="RIGs input cells 4 5 4" xfId="33557" xr:uid="{00000000-0005-0000-0000-0000EC830000}"/>
    <cellStyle name="RIGs input cells 4 5 4 2" xfId="33558" xr:uid="{00000000-0005-0000-0000-0000ED830000}"/>
    <cellStyle name="RIGs input cells 4 5 4 3" xfId="33559" xr:uid="{00000000-0005-0000-0000-0000EE830000}"/>
    <cellStyle name="RIGs input cells 4 5 5" xfId="33560" xr:uid="{00000000-0005-0000-0000-0000EF830000}"/>
    <cellStyle name="RIGs input cells 4 5 6" xfId="33561" xr:uid="{00000000-0005-0000-0000-0000F0830000}"/>
    <cellStyle name="RIGs input cells 4 5 7" xfId="33562" xr:uid="{00000000-0005-0000-0000-0000F1830000}"/>
    <cellStyle name="RIGs input cells 4 5 8" xfId="33563" xr:uid="{00000000-0005-0000-0000-0000F2830000}"/>
    <cellStyle name="RIGs input cells 4 5 9" xfId="33564" xr:uid="{00000000-0005-0000-0000-0000F3830000}"/>
    <cellStyle name="RIGs input cells 4 6" xfId="33565" xr:uid="{00000000-0005-0000-0000-0000F4830000}"/>
    <cellStyle name="RIGs input cells 4 6 10" xfId="33566" xr:uid="{00000000-0005-0000-0000-0000F5830000}"/>
    <cellStyle name="RIGs input cells 4 6 11" xfId="33567" xr:uid="{00000000-0005-0000-0000-0000F6830000}"/>
    <cellStyle name="RIGs input cells 4 6 12" xfId="33568" xr:uid="{00000000-0005-0000-0000-0000F7830000}"/>
    <cellStyle name="RIGs input cells 4 6 13" xfId="33569" xr:uid="{00000000-0005-0000-0000-0000F8830000}"/>
    <cellStyle name="RIGs input cells 4 6 2" xfId="33570" xr:uid="{00000000-0005-0000-0000-0000F9830000}"/>
    <cellStyle name="RIGs input cells 4 6 2 2" xfId="33571" xr:uid="{00000000-0005-0000-0000-0000FA830000}"/>
    <cellStyle name="RIGs input cells 4 6 2 3" xfId="33572" xr:uid="{00000000-0005-0000-0000-0000FB830000}"/>
    <cellStyle name="RIGs input cells 4 6 3" xfId="33573" xr:uid="{00000000-0005-0000-0000-0000FC830000}"/>
    <cellStyle name="RIGs input cells 4 6 3 2" xfId="33574" xr:uid="{00000000-0005-0000-0000-0000FD830000}"/>
    <cellStyle name="RIGs input cells 4 6 3 3" xfId="33575" xr:uid="{00000000-0005-0000-0000-0000FE830000}"/>
    <cellStyle name="RIGs input cells 4 6 4" xfId="33576" xr:uid="{00000000-0005-0000-0000-0000FF830000}"/>
    <cellStyle name="RIGs input cells 4 6 5" xfId="33577" xr:uid="{00000000-0005-0000-0000-000000840000}"/>
    <cellStyle name="RIGs input cells 4 6 6" xfId="33578" xr:uid="{00000000-0005-0000-0000-000001840000}"/>
    <cellStyle name="RIGs input cells 4 6 7" xfId="33579" xr:uid="{00000000-0005-0000-0000-000002840000}"/>
    <cellStyle name="RIGs input cells 4 6 8" xfId="33580" xr:uid="{00000000-0005-0000-0000-000003840000}"/>
    <cellStyle name="RIGs input cells 4 6 9" xfId="33581" xr:uid="{00000000-0005-0000-0000-000004840000}"/>
    <cellStyle name="RIGs input cells 4 7" xfId="33582" xr:uid="{00000000-0005-0000-0000-000005840000}"/>
    <cellStyle name="RIGs input cells 4 7 2" xfId="33583" xr:uid="{00000000-0005-0000-0000-000006840000}"/>
    <cellStyle name="RIGs input cells 4 7 2 2" xfId="33584" xr:uid="{00000000-0005-0000-0000-000007840000}"/>
    <cellStyle name="RIGs input cells 4 7 2 3" xfId="33585" xr:uid="{00000000-0005-0000-0000-000008840000}"/>
    <cellStyle name="RIGs input cells 4 7 3" xfId="33586" xr:uid="{00000000-0005-0000-0000-000009840000}"/>
    <cellStyle name="RIGs input cells 4 7 3 2" xfId="33587" xr:uid="{00000000-0005-0000-0000-00000A840000}"/>
    <cellStyle name="RIGs input cells 4 7 4" xfId="33588" xr:uid="{00000000-0005-0000-0000-00000B840000}"/>
    <cellStyle name="RIGs input cells 4 8" xfId="33589" xr:uid="{00000000-0005-0000-0000-00000C840000}"/>
    <cellStyle name="RIGs input cells 4 8 2" xfId="33590" xr:uid="{00000000-0005-0000-0000-00000D840000}"/>
    <cellStyle name="RIGs input cells 4 9" xfId="33591" xr:uid="{00000000-0005-0000-0000-00000E840000}"/>
    <cellStyle name="RIGs input cells 4 9 2" xfId="33592" xr:uid="{00000000-0005-0000-0000-00000F840000}"/>
    <cellStyle name="RIGs input cells 4_1.3s Accounting C Costs Scots" xfId="33593" xr:uid="{00000000-0005-0000-0000-000010840000}"/>
    <cellStyle name="RIGs input cells 40" xfId="33594" xr:uid="{00000000-0005-0000-0000-000011840000}"/>
    <cellStyle name="RIGs input cells 41" xfId="33595" xr:uid="{00000000-0005-0000-0000-000012840000}"/>
    <cellStyle name="RIGs input cells 42" xfId="33596" xr:uid="{00000000-0005-0000-0000-000013840000}"/>
    <cellStyle name="RIGs input cells 43" xfId="33597" xr:uid="{00000000-0005-0000-0000-000014840000}"/>
    <cellStyle name="RIGs input cells 44" xfId="33598" xr:uid="{00000000-0005-0000-0000-000015840000}"/>
    <cellStyle name="RIGs input cells 45" xfId="33599" xr:uid="{00000000-0005-0000-0000-000016840000}"/>
    <cellStyle name="RIGs input cells 46" xfId="33600" xr:uid="{00000000-0005-0000-0000-000017840000}"/>
    <cellStyle name="RIGs input cells 47" xfId="48430" xr:uid="{00000000-0005-0000-0000-000018840000}"/>
    <cellStyle name="RIGs input cells 5" xfId="33601" xr:uid="{00000000-0005-0000-0000-000019840000}"/>
    <cellStyle name="RIGs input cells 5 10" xfId="33602" xr:uid="{00000000-0005-0000-0000-00001A840000}"/>
    <cellStyle name="RIGs input cells 5 10 2" xfId="33603" xr:uid="{00000000-0005-0000-0000-00001B840000}"/>
    <cellStyle name="RIGs input cells 5 11" xfId="33604" xr:uid="{00000000-0005-0000-0000-00001C840000}"/>
    <cellStyle name="RIGs input cells 5 11 2" xfId="33605" xr:uid="{00000000-0005-0000-0000-00001D840000}"/>
    <cellStyle name="RIGs input cells 5 12" xfId="33606" xr:uid="{00000000-0005-0000-0000-00001E840000}"/>
    <cellStyle name="RIGs input cells 5 12 2" xfId="33607" xr:uid="{00000000-0005-0000-0000-00001F840000}"/>
    <cellStyle name="RIGs input cells 5 13" xfId="33608" xr:uid="{00000000-0005-0000-0000-000020840000}"/>
    <cellStyle name="RIGs input cells 5 13 2" xfId="33609" xr:uid="{00000000-0005-0000-0000-000021840000}"/>
    <cellStyle name="RIGs input cells 5 14" xfId="33610" xr:uid="{00000000-0005-0000-0000-000022840000}"/>
    <cellStyle name="RIGs input cells 5 14 2" xfId="33611" xr:uid="{00000000-0005-0000-0000-000023840000}"/>
    <cellStyle name="RIGs input cells 5 15" xfId="33612" xr:uid="{00000000-0005-0000-0000-000024840000}"/>
    <cellStyle name="RIGs input cells 5 15 2" xfId="33613" xr:uid="{00000000-0005-0000-0000-000025840000}"/>
    <cellStyle name="RIGs input cells 5 16" xfId="33614" xr:uid="{00000000-0005-0000-0000-000026840000}"/>
    <cellStyle name="RIGs input cells 5 16 2" xfId="33615" xr:uid="{00000000-0005-0000-0000-000027840000}"/>
    <cellStyle name="RIGs input cells 5 17" xfId="33616" xr:uid="{00000000-0005-0000-0000-000028840000}"/>
    <cellStyle name="RIGs input cells 5 17 2" xfId="33617" xr:uid="{00000000-0005-0000-0000-000029840000}"/>
    <cellStyle name="RIGs input cells 5 18" xfId="33618" xr:uid="{00000000-0005-0000-0000-00002A840000}"/>
    <cellStyle name="RIGs input cells 5 18 2" xfId="33619" xr:uid="{00000000-0005-0000-0000-00002B840000}"/>
    <cellStyle name="RIGs input cells 5 19" xfId="33620" xr:uid="{00000000-0005-0000-0000-00002C840000}"/>
    <cellStyle name="RIGs input cells 5 19 2" xfId="33621" xr:uid="{00000000-0005-0000-0000-00002D840000}"/>
    <cellStyle name="RIGs input cells 5 2" xfId="33622" xr:uid="{00000000-0005-0000-0000-00002E840000}"/>
    <cellStyle name="RIGs input cells 5 2 10" xfId="33623" xr:uid="{00000000-0005-0000-0000-00002F840000}"/>
    <cellStyle name="RIGs input cells 5 2 10 2" xfId="33624" xr:uid="{00000000-0005-0000-0000-000030840000}"/>
    <cellStyle name="RIGs input cells 5 2 11" xfId="33625" xr:uid="{00000000-0005-0000-0000-000031840000}"/>
    <cellStyle name="RIGs input cells 5 2 11 2" xfId="33626" xr:uid="{00000000-0005-0000-0000-000032840000}"/>
    <cellStyle name="RIGs input cells 5 2 12" xfId="33627" xr:uid="{00000000-0005-0000-0000-000033840000}"/>
    <cellStyle name="RIGs input cells 5 2 12 2" xfId="33628" xr:uid="{00000000-0005-0000-0000-000034840000}"/>
    <cellStyle name="RIGs input cells 5 2 13" xfId="33629" xr:uid="{00000000-0005-0000-0000-000035840000}"/>
    <cellStyle name="RIGs input cells 5 2 13 2" xfId="33630" xr:uid="{00000000-0005-0000-0000-000036840000}"/>
    <cellStyle name="RIGs input cells 5 2 14" xfId="33631" xr:uid="{00000000-0005-0000-0000-000037840000}"/>
    <cellStyle name="RIGs input cells 5 2 14 2" xfId="33632" xr:uid="{00000000-0005-0000-0000-000038840000}"/>
    <cellStyle name="RIGs input cells 5 2 15" xfId="33633" xr:uid="{00000000-0005-0000-0000-000039840000}"/>
    <cellStyle name="RIGs input cells 5 2 15 2" xfId="33634" xr:uid="{00000000-0005-0000-0000-00003A840000}"/>
    <cellStyle name="RIGs input cells 5 2 16" xfId="33635" xr:uid="{00000000-0005-0000-0000-00003B840000}"/>
    <cellStyle name="RIGs input cells 5 2 16 2" xfId="33636" xr:uid="{00000000-0005-0000-0000-00003C840000}"/>
    <cellStyle name="RIGs input cells 5 2 17" xfId="33637" xr:uid="{00000000-0005-0000-0000-00003D840000}"/>
    <cellStyle name="RIGs input cells 5 2 17 2" xfId="33638" xr:uid="{00000000-0005-0000-0000-00003E840000}"/>
    <cellStyle name="RIGs input cells 5 2 18" xfId="33639" xr:uid="{00000000-0005-0000-0000-00003F840000}"/>
    <cellStyle name="RIGs input cells 5 2 18 2" xfId="33640" xr:uid="{00000000-0005-0000-0000-000040840000}"/>
    <cellStyle name="RIGs input cells 5 2 19" xfId="33641" xr:uid="{00000000-0005-0000-0000-000041840000}"/>
    <cellStyle name="RIGs input cells 5 2 19 2" xfId="33642" xr:uid="{00000000-0005-0000-0000-000042840000}"/>
    <cellStyle name="RIGs input cells 5 2 2" xfId="33643" xr:uid="{00000000-0005-0000-0000-000043840000}"/>
    <cellStyle name="RIGs input cells 5 2 2 10" xfId="33644" xr:uid="{00000000-0005-0000-0000-000044840000}"/>
    <cellStyle name="RIGs input cells 5 2 2 11" xfId="33645" xr:uid="{00000000-0005-0000-0000-000045840000}"/>
    <cellStyle name="RIGs input cells 5 2 2 12" xfId="33646" xr:uid="{00000000-0005-0000-0000-000046840000}"/>
    <cellStyle name="RIGs input cells 5 2 2 13" xfId="33647" xr:uid="{00000000-0005-0000-0000-000047840000}"/>
    <cellStyle name="RIGs input cells 5 2 2 14" xfId="33648" xr:uid="{00000000-0005-0000-0000-000048840000}"/>
    <cellStyle name="RIGs input cells 5 2 2 15" xfId="33649" xr:uid="{00000000-0005-0000-0000-000049840000}"/>
    <cellStyle name="RIGs input cells 5 2 2 16" xfId="33650" xr:uid="{00000000-0005-0000-0000-00004A840000}"/>
    <cellStyle name="RIGs input cells 5 2 2 17" xfId="33651" xr:uid="{00000000-0005-0000-0000-00004B840000}"/>
    <cellStyle name="RIGs input cells 5 2 2 18" xfId="33652" xr:uid="{00000000-0005-0000-0000-00004C840000}"/>
    <cellStyle name="RIGs input cells 5 2 2 19" xfId="33653" xr:uid="{00000000-0005-0000-0000-00004D840000}"/>
    <cellStyle name="RIGs input cells 5 2 2 2" xfId="33654" xr:uid="{00000000-0005-0000-0000-00004E840000}"/>
    <cellStyle name="RIGs input cells 5 2 2 2 10" xfId="33655" xr:uid="{00000000-0005-0000-0000-00004F840000}"/>
    <cellStyle name="RIGs input cells 5 2 2 2 11" xfId="33656" xr:uid="{00000000-0005-0000-0000-000050840000}"/>
    <cellStyle name="RIGs input cells 5 2 2 2 12" xfId="33657" xr:uid="{00000000-0005-0000-0000-000051840000}"/>
    <cellStyle name="RIGs input cells 5 2 2 2 13" xfId="33658" xr:uid="{00000000-0005-0000-0000-000052840000}"/>
    <cellStyle name="RIGs input cells 5 2 2 2 14" xfId="33659" xr:uid="{00000000-0005-0000-0000-000053840000}"/>
    <cellStyle name="RIGs input cells 5 2 2 2 15" xfId="33660" xr:uid="{00000000-0005-0000-0000-000054840000}"/>
    <cellStyle name="RIGs input cells 5 2 2 2 16" xfId="33661" xr:uid="{00000000-0005-0000-0000-000055840000}"/>
    <cellStyle name="RIGs input cells 5 2 2 2 17" xfId="33662" xr:uid="{00000000-0005-0000-0000-000056840000}"/>
    <cellStyle name="RIGs input cells 5 2 2 2 18" xfId="33663" xr:uid="{00000000-0005-0000-0000-000057840000}"/>
    <cellStyle name="RIGs input cells 5 2 2 2 19" xfId="33664" xr:uid="{00000000-0005-0000-0000-000058840000}"/>
    <cellStyle name="RIGs input cells 5 2 2 2 2" xfId="33665" xr:uid="{00000000-0005-0000-0000-000059840000}"/>
    <cellStyle name="RIGs input cells 5 2 2 2 2 10" xfId="33666" xr:uid="{00000000-0005-0000-0000-00005A840000}"/>
    <cellStyle name="RIGs input cells 5 2 2 2 2 11" xfId="33667" xr:uid="{00000000-0005-0000-0000-00005B840000}"/>
    <cellStyle name="RIGs input cells 5 2 2 2 2 12" xfId="33668" xr:uid="{00000000-0005-0000-0000-00005C840000}"/>
    <cellStyle name="RIGs input cells 5 2 2 2 2 13" xfId="33669" xr:uid="{00000000-0005-0000-0000-00005D840000}"/>
    <cellStyle name="RIGs input cells 5 2 2 2 2 2" xfId="33670" xr:uid="{00000000-0005-0000-0000-00005E840000}"/>
    <cellStyle name="RIGs input cells 5 2 2 2 2 2 2" xfId="33671" xr:uid="{00000000-0005-0000-0000-00005F840000}"/>
    <cellStyle name="RIGs input cells 5 2 2 2 2 2 3" xfId="33672" xr:uid="{00000000-0005-0000-0000-000060840000}"/>
    <cellStyle name="RIGs input cells 5 2 2 2 2 3" xfId="33673" xr:uid="{00000000-0005-0000-0000-000061840000}"/>
    <cellStyle name="RIGs input cells 5 2 2 2 2 3 2" xfId="33674" xr:uid="{00000000-0005-0000-0000-000062840000}"/>
    <cellStyle name="RIGs input cells 5 2 2 2 2 3 3" xfId="33675" xr:uid="{00000000-0005-0000-0000-000063840000}"/>
    <cellStyle name="RIGs input cells 5 2 2 2 2 4" xfId="33676" xr:uid="{00000000-0005-0000-0000-000064840000}"/>
    <cellStyle name="RIGs input cells 5 2 2 2 2 5" xfId="33677" xr:uid="{00000000-0005-0000-0000-000065840000}"/>
    <cellStyle name="RIGs input cells 5 2 2 2 2 6" xfId="33678" xr:uid="{00000000-0005-0000-0000-000066840000}"/>
    <cellStyle name="RIGs input cells 5 2 2 2 2 7" xfId="33679" xr:uid="{00000000-0005-0000-0000-000067840000}"/>
    <cellStyle name="RIGs input cells 5 2 2 2 2 8" xfId="33680" xr:uid="{00000000-0005-0000-0000-000068840000}"/>
    <cellStyle name="RIGs input cells 5 2 2 2 2 9" xfId="33681" xr:uid="{00000000-0005-0000-0000-000069840000}"/>
    <cellStyle name="RIGs input cells 5 2 2 2 20" xfId="33682" xr:uid="{00000000-0005-0000-0000-00006A840000}"/>
    <cellStyle name="RIGs input cells 5 2 2 2 21" xfId="33683" xr:uid="{00000000-0005-0000-0000-00006B840000}"/>
    <cellStyle name="RIGs input cells 5 2 2 2 22" xfId="33684" xr:uid="{00000000-0005-0000-0000-00006C840000}"/>
    <cellStyle name="RIGs input cells 5 2 2 2 23" xfId="33685" xr:uid="{00000000-0005-0000-0000-00006D840000}"/>
    <cellStyle name="RIGs input cells 5 2 2 2 24" xfId="33686" xr:uid="{00000000-0005-0000-0000-00006E840000}"/>
    <cellStyle name="RIGs input cells 5 2 2 2 25" xfId="33687" xr:uid="{00000000-0005-0000-0000-00006F840000}"/>
    <cellStyle name="RIGs input cells 5 2 2 2 26" xfId="33688" xr:uid="{00000000-0005-0000-0000-000070840000}"/>
    <cellStyle name="RIGs input cells 5 2 2 2 27" xfId="33689" xr:uid="{00000000-0005-0000-0000-000071840000}"/>
    <cellStyle name="RIGs input cells 5 2 2 2 28" xfId="33690" xr:uid="{00000000-0005-0000-0000-000072840000}"/>
    <cellStyle name="RIGs input cells 5 2 2 2 29" xfId="33691" xr:uid="{00000000-0005-0000-0000-000073840000}"/>
    <cellStyle name="RIGs input cells 5 2 2 2 3" xfId="33692" xr:uid="{00000000-0005-0000-0000-000074840000}"/>
    <cellStyle name="RIGs input cells 5 2 2 2 3 2" xfId="33693" xr:uid="{00000000-0005-0000-0000-000075840000}"/>
    <cellStyle name="RIGs input cells 5 2 2 2 3 3" xfId="33694" xr:uid="{00000000-0005-0000-0000-000076840000}"/>
    <cellStyle name="RIGs input cells 5 2 2 2 30" xfId="33695" xr:uid="{00000000-0005-0000-0000-000077840000}"/>
    <cellStyle name="RIGs input cells 5 2 2 2 31" xfId="33696" xr:uid="{00000000-0005-0000-0000-000078840000}"/>
    <cellStyle name="RIGs input cells 5 2 2 2 32" xfId="33697" xr:uid="{00000000-0005-0000-0000-000079840000}"/>
    <cellStyle name="RIGs input cells 5 2 2 2 33" xfId="33698" xr:uid="{00000000-0005-0000-0000-00007A840000}"/>
    <cellStyle name="RIGs input cells 5 2 2 2 34" xfId="33699" xr:uid="{00000000-0005-0000-0000-00007B840000}"/>
    <cellStyle name="RIGs input cells 5 2 2 2 4" xfId="33700" xr:uid="{00000000-0005-0000-0000-00007C840000}"/>
    <cellStyle name="RIGs input cells 5 2 2 2 4 2" xfId="33701" xr:uid="{00000000-0005-0000-0000-00007D840000}"/>
    <cellStyle name="RIGs input cells 5 2 2 2 4 3" xfId="33702" xr:uid="{00000000-0005-0000-0000-00007E840000}"/>
    <cellStyle name="RIGs input cells 5 2 2 2 5" xfId="33703" xr:uid="{00000000-0005-0000-0000-00007F840000}"/>
    <cellStyle name="RIGs input cells 5 2 2 2 6" xfId="33704" xr:uid="{00000000-0005-0000-0000-000080840000}"/>
    <cellStyle name="RIGs input cells 5 2 2 2 7" xfId="33705" xr:uid="{00000000-0005-0000-0000-000081840000}"/>
    <cellStyle name="RIGs input cells 5 2 2 2 8" xfId="33706" xr:uid="{00000000-0005-0000-0000-000082840000}"/>
    <cellStyle name="RIGs input cells 5 2 2 2 9" xfId="33707" xr:uid="{00000000-0005-0000-0000-000083840000}"/>
    <cellStyle name="RIGs input cells 5 2 2 20" xfId="33708" xr:uid="{00000000-0005-0000-0000-000084840000}"/>
    <cellStyle name="RIGs input cells 5 2 2 21" xfId="33709" xr:uid="{00000000-0005-0000-0000-000085840000}"/>
    <cellStyle name="RIGs input cells 5 2 2 22" xfId="33710" xr:uid="{00000000-0005-0000-0000-000086840000}"/>
    <cellStyle name="RIGs input cells 5 2 2 23" xfId="33711" xr:uid="{00000000-0005-0000-0000-000087840000}"/>
    <cellStyle name="RIGs input cells 5 2 2 24" xfId="33712" xr:uid="{00000000-0005-0000-0000-000088840000}"/>
    <cellStyle name="RIGs input cells 5 2 2 25" xfId="33713" xr:uid="{00000000-0005-0000-0000-000089840000}"/>
    <cellStyle name="RIGs input cells 5 2 2 26" xfId="33714" xr:uid="{00000000-0005-0000-0000-00008A840000}"/>
    <cellStyle name="RIGs input cells 5 2 2 27" xfId="33715" xr:uid="{00000000-0005-0000-0000-00008B840000}"/>
    <cellStyle name="RIGs input cells 5 2 2 28" xfId="33716" xr:uid="{00000000-0005-0000-0000-00008C840000}"/>
    <cellStyle name="RIGs input cells 5 2 2 29" xfId="33717" xr:uid="{00000000-0005-0000-0000-00008D840000}"/>
    <cellStyle name="RIGs input cells 5 2 2 3" xfId="33718" xr:uid="{00000000-0005-0000-0000-00008E840000}"/>
    <cellStyle name="RIGs input cells 5 2 2 3 10" xfId="33719" xr:uid="{00000000-0005-0000-0000-00008F840000}"/>
    <cellStyle name="RIGs input cells 5 2 2 3 11" xfId="33720" xr:uid="{00000000-0005-0000-0000-000090840000}"/>
    <cellStyle name="RIGs input cells 5 2 2 3 12" xfId="33721" xr:uid="{00000000-0005-0000-0000-000091840000}"/>
    <cellStyle name="RIGs input cells 5 2 2 3 13" xfId="33722" xr:uid="{00000000-0005-0000-0000-000092840000}"/>
    <cellStyle name="RIGs input cells 5 2 2 3 2" xfId="33723" xr:uid="{00000000-0005-0000-0000-000093840000}"/>
    <cellStyle name="RIGs input cells 5 2 2 3 2 2" xfId="33724" xr:uid="{00000000-0005-0000-0000-000094840000}"/>
    <cellStyle name="RIGs input cells 5 2 2 3 2 3" xfId="33725" xr:uid="{00000000-0005-0000-0000-000095840000}"/>
    <cellStyle name="RIGs input cells 5 2 2 3 3" xfId="33726" xr:uid="{00000000-0005-0000-0000-000096840000}"/>
    <cellStyle name="RIGs input cells 5 2 2 3 3 2" xfId="33727" xr:uid="{00000000-0005-0000-0000-000097840000}"/>
    <cellStyle name="RIGs input cells 5 2 2 3 3 3" xfId="33728" xr:uid="{00000000-0005-0000-0000-000098840000}"/>
    <cellStyle name="RIGs input cells 5 2 2 3 4" xfId="33729" xr:uid="{00000000-0005-0000-0000-000099840000}"/>
    <cellStyle name="RIGs input cells 5 2 2 3 5" xfId="33730" xr:uid="{00000000-0005-0000-0000-00009A840000}"/>
    <cellStyle name="RIGs input cells 5 2 2 3 6" xfId="33731" xr:uid="{00000000-0005-0000-0000-00009B840000}"/>
    <cellStyle name="RIGs input cells 5 2 2 3 7" xfId="33732" xr:uid="{00000000-0005-0000-0000-00009C840000}"/>
    <cellStyle name="RIGs input cells 5 2 2 3 8" xfId="33733" xr:uid="{00000000-0005-0000-0000-00009D840000}"/>
    <cellStyle name="RIGs input cells 5 2 2 3 9" xfId="33734" xr:uid="{00000000-0005-0000-0000-00009E840000}"/>
    <cellStyle name="RIGs input cells 5 2 2 30" xfId="33735" xr:uid="{00000000-0005-0000-0000-00009F840000}"/>
    <cellStyle name="RIGs input cells 5 2 2 31" xfId="33736" xr:uid="{00000000-0005-0000-0000-0000A0840000}"/>
    <cellStyle name="RIGs input cells 5 2 2 32" xfId="33737" xr:uid="{00000000-0005-0000-0000-0000A1840000}"/>
    <cellStyle name="RIGs input cells 5 2 2 33" xfId="33738" xr:uid="{00000000-0005-0000-0000-0000A2840000}"/>
    <cellStyle name="RIGs input cells 5 2 2 34" xfId="33739" xr:uid="{00000000-0005-0000-0000-0000A3840000}"/>
    <cellStyle name="RIGs input cells 5 2 2 35" xfId="33740" xr:uid="{00000000-0005-0000-0000-0000A4840000}"/>
    <cellStyle name="RIGs input cells 5 2 2 4" xfId="33741" xr:uid="{00000000-0005-0000-0000-0000A5840000}"/>
    <cellStyle name="RIGs input cells 5 2 2 4 2" xfId="33742" xr:uid="{00000000-0005-0000-0000-0000A6840000}"/>
    <cellStyle name="RIGs input cells 5 2 2 4 3" xfId="33743" xr:uid="{00000000-0005-0000-0000-0000A7840000}"/>
    <cellStyle name="RIGs input cells 5 2 2 5" xfId="33744" xr:uid="{00000000-0005-0000-0000-0000A8840000}"/>
    <cellStyle name="RIGs input cells 5 2 2 5 2" xfId="33745" xr:uid="{00000000-0005-0000-0000-0000A9840000}"/>
    <cellStyle name="RIGs input cells 5 2 2 5 3" xfId="33746" xr:uid="{00000000-0005-0000-0000-0000AA840000}"/>
    <cellStyle name="RIGs input cells 5 2 2 6" xfId="33747" xr:uid="{00000000-0005-0000-0000-0000AB840000}"/>
    <cellStyle name="RIGs input cells 5 2 2 7" xfId="33748" xr:uid="{00000000-0005-0000-0000-0000AC840000}"/>
    <cellStyle name="RIGs input cells 5 2 2 8" xfId="33749" xr:uid="{00000000-0005-0000-0000-0000AD840000}"/>
    <cellStyle name="RIGs input cells 5 2 2 9" xfId="33750" xr:uid="{00000000-0005-0000-0000-0000AE840000}"/>
    <cellStyle name="RIGs input cells 5 2 2_4 28 1_Asst_Health_Crit_AllTO_RIIO_20110714pm" xfId="33751" xr:uid="{00000000-0005-0000-0000-0000AF840000}"/>
    <cellStyle name="RIGs input cells 5 2 20" xfId="33752" xr:uid="{00000000-0005-0000-0000-0000B0840000}"/>
    <cellStyle name="RIGs input cells 5 2 20 2" xfId="33753" xr:uid="{00000000-0005-0000-0000-0000B1840000}"/>
    <cellStyle name="RIGs input cells 5 2 21" xfId="33754" xr:uid="{00000000-0005-0000-0000-0000B2840000}"/>
    <cellStyle name="RIGs input cells 5 2 21 2" xfId="33755" xr:uid="{00000000-0005-0000-0000-0000B3840000}"/>
    <cellStyle name="RIGs input cells 5 2 22" xfId="33756" xr:uid="{00000000-0005-0000-0000-0000B4840000}"/>
    <cellStyle name="RIGs input cells 5 2 22 2" xfId="33757" xr:uid="{00000000-0005-0000-0000-0000B5840000}"/>
    <cellStyle name="RIGs input cells 5 2 23" xfId="33758" xr:uid="{00000000-0005-0000-0000-0000B6840000}"/>
    <cellStyle name="RIGs input cells 5 2 23 2" xfId="33759" xr:uid="{00000000-0005-0000-0000-0000B7840000}"/>
    <cellStyle name="RIGs input cells 5 2 24" xfId="33760" xr:uid="{00000000-0005-0000-0000-0000B8840000}"/>
    <cellStyle name="RIGs input cells 5 2 24 2" xfId="33761" xr:uid="{00000000-0005-0000-0000-0000B9840000}"/>
    <cellStyle name="RIGs input cells 5 2 25" xfId="33762" xr:uid="{00000000-0005-0000-0000-0000BA840000}"/>
    <cellStyle name="RIGs input cells 5 2 25 2" xfId="33763" xr:uid="{00000000-0005-0000-0000-0000BB840000}"/>
    <cellStyle name="RIGs input cells 5 2 26" xfId="33764" xr:uid="{00000000-0005-0000-0000-0000BC840000}"/>
    <cellStyle name="RIGs input cells 5 2 27" xfId="33765" xr:uid="{00000000-0005-0000-0000-0000BD840000}"/>
    <cellStyle name="RIGs input cells 5 2 28" xfId="33766" xr:uid="{00000000-0005-0000-0000-0000BE840000}"/>
    <cellStyle name="RIGs input cells 5 2 29" xfId="33767" xr:uid="{00000000-0005-0000-0000-0000BF840000}"/>
    <cellStyle name="RIGs input cells 5 2 3" xfId="33768" xr:uid="{00000000-0005-0000-0000-0000C0840000}"/>
    <cellStyle name="RIGs input cells 5 2 3 10" xfId="33769" xr:uid="{00000000-0005-0000-0000-0000C1840000}"/>
    <cellStyle name="RIGs input cells 5 2 3 11" xfId="33770" xr:uid="{00000000-0005-0000-0000-0000C2840000}"/>
    <cellStyle name="RIGs input cells 5 2 3 12" xfId="33771" xr:uid="{00000000-0005-0000-0000-0000C3840000}"/>
    <cellStyle name="RIGs input cells 5 2 3 13" xfId="33772" xr:uid="{00000000-0005-0000-0000-0000C4840000}"/>
    <cellStyle name="RIGs input cells 5 2 3 14" xfId="33773" xr:uid="{00000000-0005-0000-0000-0000C5840000}"/>
    <cellStyle name="RIGs input cells 5 2 3 15" xfId="33774" xr:uid="{00000000-0005-0000-0000-0000C6840000}"/>
    <cellStyle name="RIGs input cells 5 2 3 16" xfId="33775" xr:uid="{00000000-0005-0000-0000-0000C7840000}"/>
    <cellStyle name="RIGs input cells 5 2 3 17" xfId="33776" xr:uid="{00000000-0005-0000-0000-0000C8840000}"/>
    <cellStyle name="RIGs input cells 5 2 3 18" xfId="33777" xr:uid="{00000000-0005-0000-0000-0000C9840000}"/>
    <cellStyle name="RIGs input cells 5 2 3 19" xfId="33778" xr:uid="{00000000-0005-0000-0000-0000CA840000}"/>
    <cellStyle name="RIGs input cells 5 2 3 2" xfId="33779" xr:uid="{00000000-0005-0000-0000-0000CB840000}"/>
    <cellStyle name="RIGs input cells 5 2 3 2 10" xfId="33780" xr:uid="{00000000-0005-0000-0000-0000CC840000}"/>
    <cellStyle name="RIGs input cells 5 2 3 2 11" xfId="33781" xr:uid="{00000000-0005-0000-0000-0000CD840000}"/>
    <cellStyle name="RIGs input cells 5 2 3 2 12" xfId="33782" xr:uid="{00000000-0005-0000-0000-0000CE840000}"/>
    <cellStyle name="RIGs input cells 5 2 3 2 13" xfId="33783" xr:uid="{00000000-0005-0000-0000-0000CF840000}"/>
    <cellStyle name="RIGs input cells 5 2 3 2 2" xfId="33784" xr:uid="{00000000-0005-0000-0000-0000D0840000}"/>
    <cellStyle name="RIGs input cells 5 2 3 2 2 2" xfId="33785" xr:uid="{00000000-0005-0000-0000-0000D1840000}"/>
    <cellStyle name="RIGs input cells 5 2 3 2 2 3" xfId="33786" xr:uid="{00000000-0005-0000-0000-0000D2840000}"/>
    <cellStyle name="RIGs input cells 5 2 3 2 3" xfId="33787" xr:uid="{00000000-0005-0000-0000-0000D3840000}"/>
    <cellStyle name="RIGs input cells 5 2 3 2 3 2" xfId="33788" xr:uid="{00000000-0005-0000-0000-0000D4840000}"/>
    <cellStyle name="RIGs input cells 5 2 3 2 3 3" xfId="33789" xr:uid="{00000000-0005-0000-0000-0000D5840000}"/>
    <cellStyle name="RIGs input cells 5 2 3 2 4" xfId="33790" xr:uid="{00000000-0005-0000-0000-0000D6840000}"/>
    <cellStyle name="RIGs input cells 5 2 3 2 5" xfId="33791" xr:uid="{00000000-0005-0000-0000-0000D7840000}"/>
    <cellStyle name="RIGs input cells 5 2 3 2 6" xfId="33792" xr:uid="{00000000-0005-0000-0000-0000D8840000}"/>
    <cellStyle name="RIGs input cells 5 2 3 2 7" xfId="33793" xr:uid="{00000000-0005-0000-0000-0000D9840000}"/>
    <cellStyle name="RIGs input cells 5 2 3 2 8" xfId="33794" xr:uid="{00000000-0005-0000-0000-0000DA840000}"/>
    <cellStyle name="RIGs input cells 5 2 3 2 9" xfId="33795" xr:uid="{00000000-0005-0000-0000-0000DB840000}"/>
    <cellStyle name="RIGs input cells 5 2 3 20" xfId="33796" xr:uid="{00000000-0005-0000-0000-0000DC840000}"/>
    <cellStyle name="RIGs input cells 5 2 3 21" xfId="33797" xr:uid="{00000000-0005-0000-0000-0000DD840000}"/>
    <cellStyle name="RIGs input cells 5 2 3 22" xfId="33798" xr:uid="{00000000-0005-0000-0000-0000DE840000}"/>
    <cellStyle name="RIGs input cells 5 2 3 23" xfId="33799" xr:uid="{00000000-0005-0000-0000-0000DF840000}"/>
    <cellStyle name="RIGs input cells 5 2 3 24" xfId="33800" xr:uid="{00000000-0005-0000-0000-0000E0840000}"/>
    <cellStyle name="RIGs input cells 5 2 3 25" xfId="33801" xr:uid="{00000000-0005-0000-0000-0000E1840000}"/>
    <cellStyle name="RIGs input cells 5 2 3 26" xfId="33802" xr:uid="{00000000-0005-0000-0000-0000E2840000}"/>
    <cellStyle name="RIGs input cells 5 2 3 27" xfId="33803" xr:uid="{00000000-0005-0000-0000-0000E3840000}"/>
    <cellStyle name="RIGs input cells 5 2 3 28" xfId="33804" xr:uid="{00000000-0005-0000-0000-0000E4840000}"/>
    <cellStyle name="RIGs input cells 5 2 3 29" xfId="33805" xr:uid="{00000000-0005-0000-0000-0000E5840000}"/>
    <cellStyle name="RIGs input cells 5 2 3 3" xfId="33806" xr:uid="{00000000-0005-0000-0000-0000E6840000}"/>
    <cellStyle name="RIGs input cells 5 2 3 3 2" xfId="33807" xr:uid="{00000000-0005-0000-0000-0000E7840000}"/>
    <cellStyle name="RIGs input cells 5 2 3 3 3" xfId="33808" xr:uid="{00000000-0005-0000-0000-0000E8840000}"/>
    <cellStyle name="RIGs input cells 5 2 3 30" xfId="33809" xr:uid="{00000000-0005-0000-0000-0000E9840000}"/>
    <cellStyle name="RIGs input cells 5 2 3 31" xfId="33810" xr:uid="{00000000-0005-0000-0000-0000EA840000}"/>
    <cellStyle name="RIGs input cells 5 2 3 32" xfId="33811" xr:uid="{00000000-0005-0000-0000-0000EB840000}"/>
    <cellStyle name="RIGs input cells 5 2 3 33" xfId="33812" xr:uid="{00000000-0005-0000-0000-0000EC840000}"/>
    <cellStyle name="RIGs input cells 5 2 3 34" xfId="33813" xr:uid="{00000000-0005-0000-0000-0000ED840000}"/>
    <cellStyle name="RIGs input cells 5 2 3 4" xfId="33814" xr:uid="{00000000-0005-0000-0000-0000EE840000}"/>
    <cellStyle name="RIGs input cells 5 2 3 4 2" xfId="33815" xr:uid="{00000000-0005-0000-0000-0000EF840000}"/>
    <cellStyle name="RIGs input cells 5 2 3 4 3" xfId="33816" xr:uid="{00000000-0005-0000-0000-0000F0840000}"/>
    <cellStyle name="RIGs input cells 5 2 3 5" xfId="33817" xr:uid="{00000000-0005-0000-0000-0000F1840000}"/>
    <cellStyle name="RIGs input cells 5 2 3 6" xfId="33818" xr:uid="{00000000-0005-0000-0000-0000F2840000}"/>
    <cellStyle name="RIGs input cells 5 2 3 7" xfId="33819" xr:uid="{00000000-0005-0000-0000-0000F3840000}"/>
    <cellStyle name="RIGs input cells 5 2 3 8" xfId="33820" xr:uid="{00000000-0005-0000-0000-0000F4840000}"/>
    <cellStyle name="RIGs input cells 5 2 3 9" xfId="33821" xr:uid="{00000000-0005-0000-0000-0000F5840000}"/>
    <cellStyle name="RIGs input cells 5 2 30" xfId="33822" xr:uid="{00000000-0005-0000-0000-0000F6840000}"/>
    <cellStyle name="RIGs input cells 5 2 31" xfId="33823" xr:uid="{00000000-0005-0000-0000-0000F7840000}"/>
    <cellStyle name="RIGs input cells 5 2 32" xfId="33824" xr:uid="{00000000-0005-0000-0000-0000F8840000}"/>
    <cellStyle name="RIGs input cells 5 2 33" xfId="33825" xr:uid="{00000000-0005-0000-0000-0000F9840000}"/>
    <cellStyle name="RIGs input cells 5 2 34" xfId="33826" xr:uid="{00000000-0005-0000-0000-0000FA840000}"/>
    <cellStyle name="RIGs input cells 5 2 35" xfId="33827" xr:uid="{00000000-0005-0000-0000-0000FB840000}"/>
    <cellStyle name="RIGs input cells 5 2 36" xfId="33828" xr:uid="{00000000-0005-0000-0000-0000FC840000}"/>
    <cellStyle name="RIGs input cells 5 2 37" xfId="33829" xr:uid="{00000000-0005-0000-0000-0000FD840000}"/>
    <cellStyle name="RIGs input cells 5 2 38" xfId="33830" xr:uid="{00000000-0005-0000-0000-0000FE840000}"/>
    <cellStyle name="RIGs input cells 5 2 4" xfId="33831" xr:uid="{00000000-0005-0000-0000-0000FF840000}"/>
    <cellStyle name="RIGs input cells 5 2 4 10" xfId="33832" xr:uid="{00000000-0005-0000-0000-000000850000}"/>
    <cellStyle name="RIGs input cells 5 2 4 11" xfId="33833" xr:uid="{00000000-0005-0000-0000-000001850000}"/>
    <cellStyle name="RIGs input cells 5 2 4 12" xfId="33834" xr:uid="{00000000-0005-0000-0000-000002850000}"/>
    <cellStyle name="RIGs input cells 5 2 4 13" xfId="33835" xr:uid="{00000000-0005-0000-0000-000003850000}"/>
    <cellStyle name="RIGs input cells 5 2 4 14" xfId="33836" xr:uid="{00000000-0005-0000-0000-000004850000}"/>
    <cellStyle name="RIGs input cells 5 2 4 15" xfId="33837" xr:uid="{00000000-0005-0000-0000-000005850000}"/>
    <cellStyle name="RIGs input cells 5 2 4 16" xfId="33838" xr:uid="{00000000-0005-0000-0000-000006850000}"/>
    <cellStyle name="RIGs input cells 5 2 4 17" xfId="33839" xr:uid="{00000000-0005-0000-0000-000007850000}"/>
    <cellStyle name="RIGs input cells 5 2 4 18" xfId="33840" xr:uid="{00000000-0005-0000-0000-000008850000}"/>
    <cellStyle name="RIGs input cells 5 2 4 19" xfId="33841" xr:uid="{00000000-0005-0000-0000-000009850000}"/>
    <cellStyle name="RIGs input cells 5 2 4 2" xfId="33842" xr:uid="{00000000-0005-0000-0000-00000A850000}"/>
    <cellStyle name="RIGs input cells 5 2 4 2 10" xfId="33843" xr:uid="{00000000-0005-0000-0000-00000B850000}"/>
    <cellStyle name="RIGs input cells 5 2 4 2 11" xfId="33844" xr:uid="{00000000-0005-0000-0000-00000C850000}"/>
    <cellStyle name="RIGs input cells 5 2 4 2 12" xfId="33845" xr:uid="{00000000-0005-0000-0000-00000D850000}"/>
    <cellStyle name="RIGs input cells 5 2 4 2 13" xfId="33846" xr:uid="{00000000-0005-0000-0000-00000E850000}"/>
    <cellStyle name="RIGs input cells 5 2 4 2 2" xfId="33847" xr:uid="{00000000-0005-0000-0000-00000F850000}"/>
    <cellStyle name="RIGs input cells 5 2 4 2 2 2" xfId="33848" xr:uid="{00000000-0005-0000-0000-000010850000}"/>
    <cellStyle name="RIGs input cells 5 2 4 2 2 3" xfId="33849" xr:uid="{00000000-0005-0000-0000-000011850000}"/>
    <cellStyle name="RIGs input cells 5 2 4 2 3" xfId="33850" xr:uid="{00000000-0005-0000-0000-000012850000}"/>
    <cellStyle name="RIGs input cells 5 2 4 2 3 2" xfId="33851" xr:uid="{00000000-0005-0000-0000-000013850000}"/>
    <cellStyle name="RIGs input cells 5 2 4 2 3 3" xfId="33852" xr:uid="{00000000-0005-0000-0000-000014850000}"/>
    <cellStyle name="RIGs input cells 5 2 4 2 4" xfId="33853" xr:uid="{00000000-0005-0000-0000-000015850000}"/>
    <cellStyle name="RIGs input cells 5 2 4 2 5" xfId="33854" xr:uid="{00000000-0005-0000-0000-000016850000}"/>
    <cellStyle name="RIGs input cells 5 2 4 2 6" xfId="33855" xr:uid="{00000000-0005-0000-0000-000017850000}"/>
    <cellStyle name="RIGs input cells 5 2 4 2 7" xfId="33856" xr:uid="{00000000-0005-0000-0000-000018850000}"/>
    <cellStyle name="RIGs input cells 5 2 4 2 8" xfId="33857" xr:uid="{00000000-0005-0000-0000-000019850000}"/>
    <cellStyle name="RIGs input cells 5 2 4 2 9" xfId="33858" xr:uid="{00000000-0005-0000-0000-00001A850000}"/>
    <cellStyle name="RIGs input cells 5 2 4 20" xfId="33859" xr:uid="{00000000-0005-0000-0000-00001B850000}"/>
    <cellStyle name="RIGs input cells 5 2 4 21" xfId="33860" xr:uid="{00000000-0005-0000-0000-00001C850000}"/>
    <cellStyle name="RIGs input cells 5 2 4 22" xfId="33861" xr:uid="{00000000-0005-0000-0000-00001D850000}"/>
    <cellStyle name="RIGs input cells 5 2 4 23" xfId="33862" xr:uid="{00000000-0005-0000-0000-00001E850000}"/>
    <cellStyle name="RIGs input cells 5 2 4 24" xfId="33863" xr:uid="{00000000-0005-0000-0000-00001F850000}"/>
    <cellStyle name="RIGs input cells 5 2 4 25" xfId="33864" xr:uid="{00000000-0005-0000-0000-000020850000}"/>
    <cellStyle name="RIGs input cells 5 2 4 26" xfId="33865" xr:uid="{00000000-0005-0000-0000-000021850000}"/>
    <cellStyle name="RIGs input cells 5 2 4 27" xfId="33866" xr:uid="{00000000-0005-0000-0000-000022850000}"/>
    <cellStyle name="RIGs input cells 5 2 4 28" xfId="33867" xr:uid="{00000000-0005-0000-0000-000023850000}"/>
    <cellStyle name="RIGs input cells 5 2 4 29" xfId="33868" xr:uid="{00000000-0005-0000-0000-000024850000}"/>
    <cellStyle name="RIGs input cells 5 2 4 3" xfId="33869" xr:uid="{00000000-0005-0000-0000-000025850000}"/>
    <cellStyle name="RIGs input cells 5 2 4 3 2" xfId="33870" xr:uid="{00000000-0005-0000-0000-000026850000}"/>
    <cellStyle name="RIGs input cells 5 2 4 3 3" xfId="33871" xr:uid="{00000000-0005-0000-0000-000027850000}"/>
    <cellStyle name="RIGs input cells 5 2 4 30" xfId="33872" xr:uid="{00000000-0005-0000-0000-000028850000}"/>
    <cellStyle name="RIGs input cells 5 2 4 31" xfId="33873" xr:uid="{00000000-0005-0000-0000-000029850000}"/>
    <cellStyle name="RIGs input cells 5 2 4 32" xfId="33874" xr:uid="{00000000-0005-0000-0000-00002A850000}"/>
    <cellStyle name="RIGs input cells 5 2 4 33" xfId="33875" xr:uid="{00000000-0005-0000-0000-00002B850000}"/>
    <cellStyle name="RIGs input cells 5 2 4 34" xfId="33876" xr:uid="{00000000-0005-0000-0000-00002C850000}"/>
    <cellStyle name="RIGs input cells 5 2 4 4" xfId="33877" xr:uid="{00000000-0005-0000-0000-00002D850000}"/>
    <cellStyle name="RIGs input cells 5 2 4 4 2" xfId="33878" xr:uid="{00000000-0005-0000-0000-00002E850000}"/>
    <cellStyle name="RIGs input cells 5 2 4 4 3" xfId="33879" xr:uid="{00000000-0005-0000-0000-00002F850000}"/>
    <cellStyle name="RIGs input cells 5 2 4 5" xfId="33880" xr:uid="{00000000-0005-0000-0000-000030850000}"/>
    <cellStyle name="RIGs input cells 5 2 4 6" xfId="33881" xr:uid="{00000000-0005-0000-0000-000031850000}"/>
    <cellStyle name="RIGs input cells 5 2 4 7" xfId="33882" xr:uid="{00000000-0005-0000-0000-000032850000}"/>
    <cellStyle name="RIGs input cells 5 2 4 8" xfId="33883" xr:uid="{00000000-0005-0000-0000-000033850000}"/>
    <cellStyle name="RIGs input cells 5 2 4 9" xfId="33884" xr:uid="{00000000-0005-0000-0000-000034850000}"/>
    <cellStyle name="RIGs input cells 5 2 5" xfId="33885" xr:uid="{00000000-0005-0000-0000-000035850000}"/>
    <cellStyle name="RIGs input cells 5 2 5 10" xfId="33886" xr:uid="{00000000-0005-0000-0000-000036850000}"/>
    <cellStyle name="RIGs input cells 5 2 5 11" xfId="33887" xr:uid="{00000000-0005-0000-0000-000037850000}"/>
    <cellStyle name="RIGs input cells 5 2 5 12" xfId="33888" xr:uid="{00000000-0005-0000-0000-000038850000}"/>
    <cellStyle name="RIGs input cells 5 2 5 13" xfId="33889" xr:uid="{00000000-0005-0000-0000-000039850000}"/>
    <cellStyle name="RIGs input cells 5 2 5 2" xfId="33890" xr:uid="{00000000-0005-0000-0000-00003A850000}"/>
    <cellStyle name="RIGs input cells 5 2 5 2 2" xfId="33891" xr:uid="{00000000-0005-0000-0000-00003B850000}"/>
    <cellStyle name="RIGs input cells 5 2 5 2 3" xfId="33892" xr:uid="{00000000-0005-0000-0000-00003C850000}"/>
    <cellStyle name="RIGs input cells 5 2 5 3" xfId="33893" xr:uid="{00000000-0005-0000-0000-00003D850000}"/>
    <cellStyle name="RIGs input cells 5 2 5 3 2" xfId="33894" xr:uid="{00000000-0005-0000-0000-00003E850000}"/>
    <cellStyle name="RIGs input cells 5 2 5 3 3" xfId="33895" xr:uid="{00000000-0005-0000-0000-00003F850000}"/>
    <cellStyle name="RIGs input cells 5 2 5 4" xfId="33896" xr:uid="{00000000-0005-0000-0000-000040850000}"/>
    <cellStyle name="RIGs input cells 5 2 5 5" xfId="33897" xr:uid="{00000000-0005-0000-0000-000041850000}"/>
    <cellStyle name="RIGs input cells 5 2 5 6" xfId="33898" xr:uid="{00000000-0005-0000-0000-000042850000}"/>
    <cellStyle name="RIGs input cells 5 2 5 7" xfId="33899" xr:uid="{00000000-0005-0000-0000-000043850000}"/>
    <cellStyle name="RIGs input cells 5 2 5 8" xfId="33900" xr:uid="{00000000-0005-0000-0000-000044850000}"/>
    <cellStyle name="RIGs input cells 5 2 5 9" xfId="33901" xr:uid="{00000000-0005-0000-0000-000045850000}"/>
    <cellStyle name="RIGs input cells 5 2 6" xfId="33902" xr:uid="{00000000-0005-0000-0000-000046850000}"/>
    <cellStyle name="RIGs input cells 5 2 6 2" xfId="33903" xr:uid="{00000000-0005-0000-0000-000047850000}"/>
    <cellStyle name="RIGs input cells 5 2 6 2 2" xfId="33904" xr:uid="{00000000-0005-0000-0000-000048850000}"/>
    <cellStyle name="RIGs input cells 5 2 6 2 3" xfId="33905" xr:uid="{00000000-0005-0000-0000-000049850000}"/>
    <cellStyle name="RIGs input cells 5 2 6 3" xfId="33906" xr:uid="{00000000-0005-0000-0000-00004A850000}"/>
    <cellStyle name="RIGs input cells 5 2 6 3 2" xfId="33907" xr:uid="{00000000-0005-0000-0000-00004B850000}"/>
    <cellStyle name="RIGs input cells 5 2 6 4" xfId="33908" xr:uid="{00000000-0005-0000-0000-00004C850000}"/>
    <cellStyle name="RIGs input cells 5 2 7" xfId="33909" xr:uid="{00000000-0005-0000-0000-00004D850000}"/>
    <cellStyle name="RIGs input cells 5 2 7 2" xfId="33910" xr:uid="{00000000-0005-0000-0000-00004E850000}"/>
    <cellStyle name="RIGs input cells 5 2 8" xfId="33911" xr:uid="{00000000-0005-0000-0000-00004F850000}"/>
    <cellStyle name="RIGs input cells 5 2 8 2" xfId="33912" xr:uid="{00000000-0005-0000-0000-000050850000}"/>
    <cellStyle name="RIGs input cells 5 2 9" xfId="33913" xr:uid="{00000000-0005-0000-0000-000051850000}"/>
    <cellStyle name="RIGs input cells 5 2 9 2" xfId="33914" xr:uid="{00000000-0005-0000-0000-000052850000}"/>
    <cellStyle name="RIGs input cells 5 2_4 28 1_Asst_Health_Crit_AllTO_RIIO_20110714pm" xfId="33915" xr:uid="{00000000-0005-0000-0000-000053850000}"/>
    <cellStyle name="RIGs input cells 5 20" xfId="33916" xr:uid="{00000000-0005-0000-0000-000054850000}"/>
    <cellStyle name="RIGs input cells 5 20 2" xfId="33917" xr:uid="{00000000-0005-0000-0000-000055850000}"/>
    <cellStyle name="RIGs input cells 5 21" xfId="33918" xr:uid="{00000000-0005-0000-0000-000056850000}"/>
    <cellStyle name="RIGs input cells 5 21 2" xfId="33919" xr:uid="{00000000-0005-0000-0000-000057850000}"/>
    <cellStyle name="RIGs input cells 5 22" xfId="33920" xr:uid="{00000000-0005-0000-0000-000058850000}"/>
    <cellStyle name="RIGs input cells 5 22 2" xfId="33921" xr:uid="{00000000-0005-0000-0000-000059850000}"/>
    <cellStyle name="RIGs input cells 5 23" xfId="33922" xr:uid="{00000000-0005-0000-0000-00005A850000}"/>
    <cellStyle name="RIGs input cells 5 23 2" xfId="33923" xr:uid="{00000000-0005-0000-0000-00005B850000}"/>
    <cellStyle name="RIGs input cells 5 24" xfId="33924" xr:uid="{00000000-0005-0000-0000-00005C850000}"/>
    <cellStyle name="RIGs input cells 5 24 2" xfId="33925" xr:uid="{00000000-0005-0000-0000-00005D850000}"/>
    <cellStyle name="RIGs input cells 5 25" xfId="33926" xr:uid="{00000000-0005-0000-0000-00005E850000}"/>
    <cellStyle name="RIGs input cells 5 25 2" xfId="33927" xr:uid="{00000000-0005-0000-0000-00005F850000}"/>
    <cellStyle name="RIGs input cells 5 26" xfId="33928" xr:uid="{00000000-0005-0000-0000-000060850000}"/>
    <cellStyle name="RIGs input cells 5 26 2" xfId="33929" xr:uid="{00000000-0005-0000-0000-000061850000}"/>
    <cellStyle name="RIGs input cells 5 27" xfId="33930" xr:uid="{00000000-0005-0000-0000-000062850000}"/>
    <cellStyle name="RIGs input cells 5 28" xfId="33931" xr:uid="{00000000-0005-0000-0000-000063850000}"/>
    <cellStyle name="RIGs input cells 5 29" xfId="33932" xr:uid="{00000000-0005-0000-0000-000064850000}"/>
    <cellStyle name="RIGs input cells 5 3" xfId="33933" xr:uid="{00000000-0005-0000-0000-000065850000}"/>
    <cellStyle name="RIGs input cells 5 3 10" xfId="33934" xr:uid="{00000000-0005-0000-0000-000066850000}"/>
    <cellStyle name="RIGs input cells 5 3 11" xfId="33935" xr:uid="{00000000-0005-0000-0000-000067850000}"/>
    <cellStyle name="RIGs input cells 5 3 12" xfId="33936" xr:uid="{00000000-0005-0000-0000-000068850000}"/>
    <cellStyle name="RIGs input cells 5 3 13" xfId="33937" xr:uid="{00000000-0005-0000-0000-000069850000}"/>
    <cellStyle name="RIGs input cells 5 3 14" xfId="33938" xr:uid="{00000000-0005-0000-0000-00006A850000}"/>
    <cellStyle name="RIGs input cells 5 3 15" xfId="33939" xr:uid="{00000000-0005-0000-0000-00006B850000}"/>
    <cellStyle name="RIGs input cells 5 3 16" xfId="33940" xr:uid="{00000000-0005-0000-0000-00006C850000}"/>
    <cellStyle name="RIGs input cells 5 3 17" xfId="33941" xr:uid="{00000000-0005-0000-0000-00006D850000}"/>
    <cellStyle name="RIGs input cells 5 3 18" xfId="33942" xr:uid="{00000000-0005-0000-0000-00006E850000}"/>
    <cellStyle name="RIGs input cells 5 3 19" xfId="33943" xr:uid="{00000000-0005-0000-0000-00006F850000}"/>
    <cellStyle name="RIGs input cells 5 3 2" xfId="33944" xr:uid="{00000000-0005-0000-0000-000070850000}"/>
    <cellStyle name="RIGs input cells 5 3 2 10" xfId="33945" xr:uid="{00000000-0005-0000-0000-000071850000}"/>
    <cellStyle name="RIGs input cells 5 3 2 11" xfId="33946" xr:uid="{00000000-0005-0000-0000-000072850000}"/>
    <cellStyle name="RIGs input cells 5 3 2 12" xfId="33947" xr:uid="{00000000-0005-0000-0000-000073850000}"/>
    <cellStyle name="RIGs input cells 5 3 2 13" xfId="33948" xr:uid="{00000000-0005-0000-0000-000074850000}"/>
    <cellStyle name="RIGs input cells 5 3 2 14" xfId="33949" xr:uid="{00000000-0005-0000-0000-000075850000}"/>
    <cellStyle name="RIGs input cells 5 3 2 15" xfId="33950" xr:uid="{00000000-0005-0000-0000-000076850000}"/>
    <cellStyle name="RIGs input cells 5 3 2 16" xfId="33951" xr:uid="{00000000-0005-0000-0000-000077850000}"/>
    <cellStyle name="RIGs input cells 5 3 2 17" xfId="33952" xr:uid="{00000000-0005-0000-0000-000078850000}"/>
    <cellStyle name="RIGs input cells 5 3 2 18" xfId="33953" xr:uid="{00000000-0005-0000-0000-000079850000}"/>
    <cellStyle name="RIGs input cells 5 3 2 19" xfId="33954" xr:uid="{00000000-0005-0000-0000-00007A850000}"/>
    <cellStyle name="RIGs input cells 5 3 2 2" xfId="33955" xr:uid="{00000000-0005-0000-0000-00007B850000}"/>
    <cellStyle name="RIGs input cells 5 3 2 2 10" xfId="33956" xr:uid="{00000000-0005-0000-0000-00007C850000}"/>
    <cellStyle name="RIGs input cells 5 3 2 2 11" xfId="33957" xr:uid="{00000000-0005-0000-0000-00007D850000}"/>
    <cellStyle name="RIGs input cells 5 3 2 2 12" xfId="33958" xr:uid="{00000000-0005-0000-0000-00007E850000}"/>
    <cellStyle name="RIGs input cells 5 3 2 2 13" xfId="33959" xr:uid="{00000000-0005-0000-0000-00007F850000}"/>
    <cellStyle name="RIGs input cells 5 3 2 2 2" xfId="33960" xr:uid="{00000000-0005-0000-0000-000080850000}"/>
    <cellStyle name="RIGs input cells 5 3 2 2 2 2" xfId="33961" xr:uid="{00000000-0005-0000-0000-000081850000}"/>
    <cellStyle name="RIGs input cells 5 3 2 2 2 3" xfId="33962" xr:uid="{00000000-0005-0000-0000-000082850000}"/>
    <cellStyle name="RIGs input cells 5 3 2 2 3" xfId="33963" xr:uid="{00000000-0005-0000-0000-000083850000}"/>
    <cellStyle name="RIGs input cells 5 3 2 2 3 2" xfId="33964" xr:uid="{00000000-0005-0000-0000-000084850000}"/>
    <cellStyle name="RIGs input cells 5 3 2 2 3 3" xfId="33965" xr:uid="{00000000-0005-0000-0000-000085850000}"/>
    <cellStyle name="RIGs input cells 5 3 2 2 4" xfId="33966" xr:uid="{00000000-0005-0000-0000-000086850000}"/>
    <cellStyle name="RIGs input cells 5 3 2 2 5" xfId="33967" xr:uid="{00000000-0005-0000-0000-000087850000}"/>
    <cellStyle name="RIGs input cells 5 3 2 2 6" xfId="33968" xr:uid="{00000000-0005-0000-0000-000088850000}"/>
    <cellStyle name="RIGs input cells 5 3 2 2 7" xfId="33969" xr:uid="{00000000-0005-0000-0000-000089850000}"/>
    <cellStyle name="RIGs input cells 5 3 2 2 8" xfId="33970" xr:uid="{00000000-0005-0000-0000-00008A850000}"/>
    <cellStyle name="RIGs input cells 5 3 2 2 9" xfId="33971" xr:uid="{00000000-0005-0000-0000-00008B850000}"/>
    <cellStyle name="RIGs input cells 5 3 2 20" xfId="33972" xr:uid="{00000000-0005-0000-0000-00008C850000}"/>
    <cellStyle name="RIGs input cells 5 3 2 21" xfId="33973" xr:uid="{00000000-0005-0000-0000-00008D850000}"/>
    <cellStyle name="RIGs input cells 5 3 2 22" xfId="33974" xr:uid="{00000000-0005-0000-0000-00008E850000}"/>
    <cellStyle name="RIGs input cells 5 3 2 23" xfId="33975" xr:uid="{00000000-0005-0000-0000-00008F850000}"/>
    <cellStyle name="RIGs input cells 5 3 2 24" xfId="33976" xr:uid="{00000000-0005-0000-0000-000090850000}"/>
    <cellStyle name="RIGs input cells 5 3 2 25" xfId="33977" xr:uid="{00000000-0005-0000-0000-000091850000}"/>
    <cellStyle name="RIGs input cells 5 3 2 26" xfId="33978" xr:uid="{00000000-0005-0000-0000-000092850000}"/>
    <cellStyle name="RIGs input cells 5 3 2 27" xfId="33979" xr:uid="{00000000-0005-0000-0000-000093850000}"/>
    <cellStyle name="RIGs input cells 5 3 2 28" xfId="33980" xr:uid="{00000000-0005-0000-0000-000094850000}"/>
    <cellStyle name="RIGs input cells 5 3 2 29" xfId="33981" xr:uid="{00000000-0005-0000-0000-000095850000}"/>
    <cellStyle name="RIGs input cells 5 3 2 3" xfId="33982" xr:uid="{00000000-0005-0000-0000-000096850000}"/>
    <cellStyle name="RIGs input cells 5 3 2 3 2" xfId="33983" xr:uid="{00000000-0005-0000-0000-000097850000}"/>
    <cellStyle name="RIGs input cells 5 3 2 3 3" xfId="33984" xr:uid="{00000000-0005-0000-0000-000098850000}"/>
    <cellStyle name="RIGs input cells 5 3 2 30" xfId="33985" xr:uid="{00000000-0005-0000-0000-000099850000}"/>
    <cellStyle name="RIGs input cells 5 3 2 31" xfId="33986" xr:uid="{00000000-0005-0000-0000-00009A850000}"/>
    <cellStyle name="RIGs input cells 5 3 2 32" xfId="33987" xr:uid="{00000000-0005-0000-0000-00009B850000}"/>
    <cellStyle name="RIGs input cells 5 3 2 33" xfId="33988" xr:uid="{00000000-0005-0000-0000-00009C850000}"/>
    <cellStyle name="RIGs input cells 5 3 2 34" xfId="33989" xr:uid="{00000000-0005-0000-0000-00009D850000}"/>
    <cellStyle name="RIGs input cells 5 3 2 4" xfId="33990" xr:uid="{00000000-0005-0000-0000-00009E850000}"/>
    <cellStyle name="RIGs input cells 5 3 2 4 2" xfId="33991" xr:uid="{00000000-0005-0000-0000-00009F850000}"/>
    <cellStyle name="RIGs input cells 5 3 2 4 3" xfId="33992" xr:uid="{00000000-0005-0000-0000-0000A0850000}"/>
    <cellStyle name="RIGs input cells 5 3 2 5" xfId="33993" xr:uid="{00000000-0005-0000-0000-0000A1850000}"/>
    <cellStyle name="RIGs input cells 5 3 2 6" xfId="33994" xr:uid="{00000000-0005-0000-0000-0000A2850000}"/>
    <cellStyle name="RIGs input cells 5 3 2 7" xfId="33995" xr:uid="{00000000-0005-0000-0000-0000A3850000}"/>
    <cellStyle name="RIGs input cells 5 3 2 8" xfId="33996" xr:uid="{00000000-0005-0000-0000-0000A4850000}"/>
    <cellStyle name="RIGs input cells 5 3 2 9" xfId="33997" xr:uid="{00000000-0005-0000-0000-0000A5850000}"/>
    <cellStyle name="RIGs input cells 5 3 20" xfId="33998" xr:uid="{00000000-0005-0000-0000-0000A6850000}"/>
    <cellStyle name="RIGs input cells 5 3 21" xfId="33999" xr:uid="{00000000-0005-0000-0000-0000A7850000}"/>
    <cellStyle name="RIGs input cells 5 3 22" xfId="34000" xr:uid="{00000000-0005-0000-0000-0000A8850000}"/>
    <cellStyle name="RIGs input cells 5 3 23" xfId="34001" xr:uid="{00000000-0005-0000-0000-0000A9850000}"/>
    <cellStyle name="RIGs input cells 5 3 24" xfId="34002" xr:uid="{00000000-0005-0000-0000-0000AA850000}"/>
    <cellStyle name="RIGs input cells 5 3 25" xfId="34003" xr:uid="{00000000-0005-0000-0000-0000AB850000}"/>
    <cellStyle name="RIGs input cells 5 3 26" xfId="34004" xr:uid="{00000000-0005-0000-0000-0000AC850000}"/>
    <cellStyle name="RIGs input cells 5 3 27" xfId="34005" xr:uid="{00000000-0005-0000-0000-0000AD850000}"/>
    <cellStyle name="RIGs input cells 5 3 28" xfId="34006" xr:uid="{00000000-0005-0000-0000-0000AE850000}"/>
    <cellStyle name="RIGs input cells 5 3 29" xfId="34007" xr:uid="{00000000-0005-0000-0000-0000AF850000}"/>
    <cellStyle name="RIGs input cells 5 3 3" xfId="34008" xr:uid="{00000000-0005-0000-0000-0000B0850000}"/>
    <cellStyle name="RIGs input cells 5 3 3 10" xfId="34009" xr:uid="{00000000-0005-0000-0000-0000B1850000}"/>
    <cellStyle name="RIGs input cells 5 3 3 11" xfId="34010" xr:uid="{00000000-0005-0000-0000-0000B2850000}"/>
    <cellStyle name="RIGs input cells 5 3 3 12" xfId="34011" xr:uid="{00000000-0005-0000-0000-0000B3850000}"/>
    <cellStyle name="RIGs input cells 5 3 3 13" xfId="34012" xr:uid="{00000000-0005-0000-0000-0000B4850000}"/>
    <cellStyle name="RIGs input cells 5 3 3 2" xfId="34013" xr:uid="{00000000-0005-0000-0000-0000B5850000}"/>
    <cellStyle name="RIGs input cells 5 3 3 2 2" xfId="34014" xr:uid="{00000000-0005-0000-0000-0000B6850000}"/>
    <cellStyle name="RIGs input cells 5 3 3 2 3" xfId="34015" xr:uid="{00000000-0005-0000-0000-0000B7850000}"/>
    <cellStyle name="RIGs input cells 5 3 3 3" xfId="34016" xr:uid="{00000000-0005-0000-0000-0000B8850000}"/>
    <cellStyle name="RIGs input cells 5 3 3 3 2" xfId="34017" xr:uid="{00000000-0005-0000-0000-0000B9850000}"/>
    <cellStyle name="RIGs input cells 5 3 3 3 3" xfId="34018" xr:uid="{00000000-0005-0000-0000-0000BA850000}"/>
    <cellStyle name="RIGs input cells 5 3 3 4" xfId="34019" xr:uid="{00000000-0005-0000-0000-0000BB850000}"/>
    <cellStyle name="RIGs input cells 5 3 3 5" xfId="34020" xr:uid="{00000000-0005-0000-0000-0000BC850000}"/>
    <cellStyle name="RIGs input cells 5 3 3 6" xfId="34021" xr:uid="{00000000-0005-0000-0000-0000BD850000}"/>
    <cellStyle name="RIGs input cells 5 3 3 7" xfId="34022" xr:uid="{00000000-0005-0000-0000-0000BE850000}"/>
    <cellStyle name="RIGs input cells 5 3 3 8" xfId="34023" xr:uid="{00000000-0005-0000-0000-0000BF850000}"/>
    <cellStyle name="RIGs input cells 5 3 3 9" xfId="34024" xr:uid="{00000000-0005-0000-0000-0000C0850000}"/>
    <cellStyle name="RIGs input cells 5 3 30" xfId="34025" xr:uid="{00000000-0005-0000-0000-0000C1850000}"/>
    <cellStyle name="RIGs input cells 5 3 31" xfId="34026" xr:uid="{00000000-0005-0000-0000-0000C2850000}"/>
    <cellStyle name="RIGs input cells 5 3 32" xfId="34027" xr:uid="{00000000-0005-0000-0000-0000C3850000}"/>
    <cellStyle name="RIGs input cells 5 3 33" xfId="34028" xr:uid="{00000000-0005-0000-0000-0000C4850000}"/>
    <cellStyle name="RIGs input cells 5 3 34" xfId="34029" xr:uid="{00000000-0005-0000-0000-0000C5850000}"/>
    <cellStyle name="RIGs input cells 5 3 35" xfId="34030" xr:uid="{00000000-0005-0000-0000-0000C6850000}"/>
    <cellStyle name="RIGs input cells 5 3 4" xfId="34031" xr:uid="{00000000-0005-0000-0000-0000C7850000}"/>
    <cellStyle name="RIGs input cells 5 3 4 2" xfId="34032" xr:uid="{00000000-0005-0000-0000-0000C8850000}"/>
    <cellStyle name="RIGs input cells 5 3 4 3" xfId="34033" xr:uid="{00000000-0005-0000-0000-0000C9850000}"/>
    <cellStyle name="RIGs input cells 5 3 5" xfId="34034" xr:uid="{00000000-0005-0000-0000-0000CA850000}"/>
    <cellStyle name="RIGs input cells 5 3 5 2" xfId="34035" xr:uid="{00000000-0005-0000-0000-0000CB850000}"/>
    <cellStyle name="RIGs input cells 5 3 5 3" xfId="34036" xr:uid="{00000000-0005-0000-0000-0000CC850000}"/>
    <cellStyle name="RIGs input cells 5 3 6" xfId="34037" xr:uid="{00000000-0005-0000-0000-0000CD850000}"/>
    <cellStyle name="RIGs input cells 5 3 7" xfId="34038" xr:uid="{00000000-0005-0000-0000-0000CE850000}"/>
    <cellStyle name="RIGs input cells 5 3 8" xfId="34039" xr:uid="{00000000-0005-0000-0000-0000CF850000}"/>
    <cellStyle name="RIGs input cells 5 3 9" xfId="34040" xr:uid="{00000000-0005-0000-0000-0000D0850000}"/>
    <cellStyle name="RIGs input cells 5 3_4 28 1_Asst_Health_Crit_AllTO_RIIO_20110714pm" xfId="34041" xr:uid="{00000000-0005-0000-0000-0000D1850000}"/>
    <cellStyle name="RIGs input cells 5 30" xfId="34042" xr:uid="{00000000-0005-0000-0000-0000D2850000}"/>
    <cellStyle name="RIGs input cells 5 31" xfId="34043" xr:uid="{00000000-0005-0000-0000-0000D3850000}"/>
    <cellStyle name="RIGs input cells 5 32" xfId="34044" xr:uid="{00000000-0005-0000-0000-0000D4850000}"/>
    <cellStyle name="RIGs input cells 5 33" xfId="34045" xr:uid="{00000000-0005-0000-0000-0000D5850000}"/>
    <cellStyle name="RIGs input cells 5 34" xfId="34046" xr:uid="{00000000-0005-0000-0000-0000D6850000}"/>
    <cellStyle name="RIGs input cells 5 35" xfId="34047" xr:uid="{00000000-0005-0000-0000-0000D7850000}"/>
    <cellStyle name="RIGs input cells 5 36" xfId="34048" xr:uid="{00000000-0005-0000-0000-0000D8850000}"/>
    <cellStyle name="RIGs input cells 5 37" xfId="34049" xr:uid="{00000000-0005-0000-0000-0000D9850000}"/>
    <cellStyle name="RIGs input cells 5 38" xfId="34050" xr:uid="{00000000-0005-0000-0000-0000DA850000}"/>
    <cellStyle name="RIGs input cells 5 39" xfId="34051" xr:uid="{00000000-0005-0000-0000-0000DB850000}"/>
    <cellStyle name="RIGs input cells 5 4" xfId="34052" xr:uid="{00000000-0005-0000-0000-0000DC850000}"/>
    <cellStyle name="RIGs input cells 5 4 10" xfId="34053" xr:uid="{00000000-0005-0000-0000-0000DD850000}"/>
    <cellStyle name="RIGs input cells 5 4 11" xfId="34054" xr:uid="{00000000-0005-0000-0000-0000DE850000}"/>
    <cellStyle name="RIGs input cells 5 4 12" xfId="34055" xr:uid="{00000000-0005-0000-0000-0000DF850000}"/>
    <cellStyle name="RIGs input cells 5 4 13" xfId="34056" xr:uid="{00000000-0005-0000-0000-0000E0850000}"/>
    <cellStyle name="RIGs input cells 5 4 14" xfId="34057" xr:uid="{00000000-0005-0000-0000-0000E1850000}"/>
    <cellStyle name="RIGs input cells 5 4 15" xfId="34058" xr:uid="{00000000-0005-0000-0000-0000E2850000}"/>
    <cellStyle name="RIGs input cells 5 4 16" xfId="34059" xr:uid="{00000000-0005-0000-0000-0000E3850000}"/>
    <cellStyle name="RIGs input cells 5 4 17" xfId="34060" xr:uid="{00000000-0005-0000-0000-0000E4850000}"/>
    <cellStyle name="RIGs input cells 5 4 18" xfId="34061" xr:uid="{00000000-0005-0000-0000-0000E5850000}"/>
    <cellStyle name="RIGs input cells 5 4 19" xfId="34062" xr:uid="{00000000-0005-0000-0000-0000E6850000}"/>
    <cellStyle name="RIGs input cells 5 4 2" xfId="34063" xr:uid="{00000000-0005-0000-0000-0000E7850000}"/>
    <cellStyle name="RIGs input cells 5 4 2 10" xfId="34064" xr:uid="{00000000-0005-0000-0000-0000E8850000}"/>
    <cellStyle name="RIGs input cells 5 4 2 11" xfId="34065" xr:uid="{00000000-0005-0000-0000-0000E9850000}"/>
    <cellStyle name="RIGs input cells 5 4 2 12" xfId="34066" xr:uid="{00000000-0005-0000-0000-0000EA850000}"/>
    <cellStyle name="RIGs input cells 5 4 2 13" xfId="34067" xr:uid="{00000000-0005-0000-0000-0000EB850000}"/>
    <cellStyle name="RIGs input cells 5 4 2 2" xfId="34068" xr:uid="{00000000-0005-0000-0000-0000EC850000}"/>
    <cellStyle name="RIGs input cells 5 4 2 2 2" xfId="34069" xr:uid="{00000000-0005-0000-0000-0000ED850000}"/>
    <cellStyle name="RIGs input cells 5 4 2 2 3" xfId="34070" xr:uid="{00000000-0005-0000-0000-0000EE850000}"/>
    <cellStyle name="RIGs input cells 5 4 2 3" xfId="34071" xr:uid="{00000000-0005-0000-0000-0000EF850000}"/>
    <cellStyle name="RIGs input cells 5 4 2 3 2" xfId="34072" xr:uid="{00000000-0005-0000-0000-0000F0850000}"/>
    <cellStyle name="RIGs input cells 5 4 2 3 3" xfId="34073" xr:uid="{00000000-0005-0000-0000-0000F1850000}"/>
    <cellStyle name="RIGs input cells 5 4 2 4" xfId="34074" xr:uid="{00000000-0005-0000-0000-0000F2850000}"/>
    <cellStyle name="RIGs input cells 5 4 2 5" xfId="34075" xr:uid="{00000000-0005-0000-0000-0000F3850000}"/>
    <cellStyle name="RIGs input cells 5 4 2 6" xfId="34076" xr:uid="{00000000-0005-0000-0000-0000F4850000}"/>
    <cellStyle name="RIGs input cells 5 4 2 7" xfId="34077" xr:uid="{00000000-0005-0000-0000-0000F5850000}"/>
    <cellStyle name="RIGs input cells 5 4 2 8" xfId="34078" xr:uid="{00000000-0005-0000-0000-0000F6850000}"/>
    <cellStyle name="RIGs input cells 5 4 2 9" xfId="34079" xr:uid="{00000000-0005-0000-0000-0000F7850000}"/>
    <cellStyle name="RIGs input cells 5 4 20" xfId="34080" xr:uid="{00000000-0005-0000-0000-0000F8850000}"/>
    <cellStyle name="RIGs input cells 5 4 21" xfId="34081" xr:uid="{00000000-0005-0000-0000-0000F9850000}"/>
    <cellStyle name="RIGs input cells 5 4 22" xfId="34082" xr:uid="{00000000-0005-0000-0000-0000FA850000}"/>
    <cellStyle name="RIGs input cells 5 4 23" xfId="34083" xr:uid="{00000000-0005-0000-0000-0000FB850000}"/>
    <cellStyle name="RIGs input cells 5 4 24" xfId="34084" xr:uid="{00000000-0005-0000-0000-0000FC850000}"/>
    <cellStyle name="RIGs input cells 5 4 25" xfId="34085" xr:uid="{00000000-0005-0000-0000-0000FD850000}"/>
    <cellStyle name="RIGs input cells 5 4 26" xfId="34086" xr:uid="{00000000-0005-0000-0000-0000FE850000}"/>
    <cellStyle name="RIGs input cells 5 4 27" xfId="34087" xr:uid="{00000000-0005-0000-0000-0000FF850000}"/>
    <cellStyle name="RIGs input cells 5 4 28" xfId="34088" xr:uid="{00000000-0005-0000-0000-000000860000}"/>
    <cellStyle name="RIGs input cells 5 4 29" xfId="34089" xr:uid="{00000000-0005-0000-0000-000001860000}"/>
    <cellStyle name="RIGs input cells 5 4 3" xfId="34090" xr:uid="{00000000-0005-0000-0000-000002860000}"/>
    <cellStyle name="RIGs input cells 5 4 3 2" xfId="34091" xr:uid="{00000000-0005-0000-0000-000003860000}"/>
    <cellStyle name="RIGs input cells 5 4 3 3" xfId="34092" xr:uid="{00000000-0005-0000-0000-000004860000}"/>
    <cellStyle name="RIGs input cells 5 4 30" xfId="34093" xr:uid="{00000000-0005-0000-0000-000005860000}"/>
    <cellStyle name="RIGs input cells 5 4 31" xfId="34094" xr:uid="{00000000-0005-0000-0000-000006860000}"/>
    <cellStyle name="RIGs input cells 5 4 32" xfId="34095" xr:uid="{00000000-0005-0000-0000-000007860000}"/>
    <cellStyle name="RIGs input cells 5 4 33" xfId="34096" xr:uid="{00000000-0005-0000-0000-000008860000}"/>
    <cellStyle name="RIGs input cells 5 4 34" xfId="34097" xr:uid="{00000000-0005-0000-0000-000009860000}"/>
    <cellStyle name="RIGs input cells 5 4 4" xfId="34098" xr:uid="{00000000-0005-0000-0000-00000A860000}"/>
    <cellStyle name="RIGs input cells 5 4 4 2" xfId="34099" xr:uid="{00000000-0005-0000-0000-00000B860000}"/>
    <cellStyle name="RIGs input cells 5 4 4 3" xfId="34100" xr:uid="{00000000-0005-0000-0000-00000C860000}"/>
    <cellStyle name="RIGs input cells 5 4 5" xfId="34101" xr:uid="{00000000-0005-0000-0000-00000D860000}"/>
    <cellStyle name="RIGs input cells 5 4 6" xfId="34102" xr:uid="{00000000-0005-0000-0000-00000E860000}"/>
    <cellStyle name="RIGs input cells 5 4 7" xfId="34103" xr:uid="{00000000-0005-0000-0000-00000F860000}"/>
    <cellStyle name="RIGs input cells 5 4 8" xfId="34104" xr:uid="{00000000-0005-0000-0000-000010860000}"/>
    <cellStyle name="RIGs input cells 5 4 9" xfId="34105" xr:uid="{00000000-0005-0000-0000-000011860000}"/>
    <cellStyle name="RIGs input cells 5 5" xfId="34106" xr:uid="{00000000-0005-0000-0000-000012860000}"/>
    <cellStyle name="RIGs input cells 5 5 10" xfId="34107" xr:uid="{00000000-0005-0000-0000-000013860000}"/>
    <cellStyle name="RIGs input cells 5 5 11" xfId="34108" xr:uid="{00000000-0005-0000-0000-000014860000}"/>
    <cellStyle name="RIGs input cells 5 5 12" xfId="34109" xr:uid="{00000000-0005-0000-0000-000015860000}"/>
    <cellStyle name="RIGs input cells 5 5 13" xfId="34110" xr:uid="{00000000-0005-0000-0000-000016860000}"/>
    <cellStyle name="RIGs input cells 5 5 14" xfId="34111" xr:uid="{00000000-0005-0000-0000-000017860000}"/>
    <cellStyle name="RIGs input cells 5 5 15" xfId="34112" xr:uid="{00000000-0005-0000-0000-000018860000}"/>
    <cellStyle name="RIGs input cells 5 5 16" xfId="34113" xr:uid="{00000000-0005-0000-0000-000019860000}"/>
    <cellStyle name="RIGs input cells 5 5 17" xfId="34114" xr:uid="{00000000-0005-0000-0000-00001A860000}"/>
    <cellStyle name="RIGs input cells 5 5 18" xfId="34115" xr:uid="{00000000-0005-0000-0000-00001B860000}"/>
    <cellStyle name="RIGs input cells 5 5 19" xfId="34116" xr:uid="{00000000-0005-0000-0000-00001C860000}"/>
    <cellStyle name="RIGs input cells 5 5 2" xfId="34117" xr:uid="{00000000-0005-0000-0000-00001D860000}"/>
    <cellStyle name="RIGs input cells 5 5 2 10" xfId="34118" xr:uid="{00000000-0005-0000-0000-00001E860000}"/>
    <cellStyle name="RIGs input cells 5 5 2 11" xfId="34119" xr:uid="{00000000-0005-0000-0000-00001F860000}"/>
    <cellStyle name="RIGs input cells 5 5 2 12" xfId="34120" xr:uid="{00000000-0005-0000-0000-000020860000}"/>
    <cellStyle name="RIGs input cells 5 5 2 13" xfId="34121" xr:uid="{00000000-0005-0000-0000-000021860000}"/>
    <cellStyle name="RIGs input cells 5 5 2 2" xfId="34122" xr:uid="{00000000-0005-0000-0000-000022860000}"/>
    <cellStyle name="RIGs input cells 5 5 2 2 2" xfId="34123" xr:uid="{00000000-0005-0000-0000-000023860000}"/>
    <cellStyle name="RIGs input cells 5 5 2 2 3" xfId="34124" xr:uid="{00000000-0005-0000-0000-000024860000}"/>
    <cellStyle name="RIGs input cells 5 5 2 3" xfId="34125" xr:uid="{00000000-0005-0000-0000-000025860000}"/>
    <cellStyle name="RIGs input cells 5 5 2 3 2" xfId="34126" xr:uid="{00000000-0005-0000-0000-000026860000}"/>
    <cellStyle name="RIGs input cells 5 5 2 3 3" xfId="34127" xr:uid="{00000000-0005-0000-0000-000027860000}"/>
    <cellStyle name="RIGs input cells 5 5 2 4" xfId="34128" xr:uid="{00000000-0005-0000-0000-000028860000}"/>
    <cellStyle name="RIGs input cells 5 5 2 5" xfId="34129" xr:uid="{00000000-0005-0000-0000-000029860000}"/>
    <cellStyle name="RIGs input cells 5 5 2 6" xfId="34130" xr:uid="{00000000-0005-0000-0000-00002A860000}"/>
    <cellStyle name="RIGs input cells 5 5 2 7" xfId="34131" xr:uid="{00000000-0005-0000-0000-00002B860000}"/>
    <cellStyle name="RIGs input cells 5 5 2 8" xfId="34132" xr:uid="{00000000-0005-0000-0000-00002C860000}"/>
    <cellStyle name="RIGs input cells 5 5 2 9" xfId="34133" xr:uid="{00000000-0005-0000-0000-00002D860000}"/>
    <cellStyle name="RIGs input cells 5 5 20" xfId="34134" xr:uid="{00000000-0005-0000-0000-00002E860000}"/>
    <cellStyle name="RIGs input cells 5 5 21" xfId="34135" xr:uid="{00000000-0005-0000-0000-00002F860000}"/>
    <cellStyle name="RIGs input cells 5 5 22" xfId="34136" xr:uid="{00000000-0005-0000-0000-000030860000}"/>
    <cellStyle name="RIGs input cells 5 5 23" xfId="34137" xr:uid="{00000000-0005-0000-0000-000031860000}"/>
    <cellStyle name="RIGs input cells 5 5 24" xfId="34138" xr:uid="{00000000-0005-0000-0000-000032860000}"/>
    <cellStyle name="RIGs input cells 5 5 25" xfId="34139" xr:uid="{00000000-0005-0000-0000-000033860000}"/>
    <cellStyle name="RIGs input cells 5 5 26" xfId="34140" xr:uid="{00000000-0005-0000-0000-000034860000}"/>
    <cellStyle name="RIGs input cells 5 5 27" xfId="34141" xr:uid="{00000000-0005-0000-0000-000035860000}"/>
    <cellStyle name="RIGs input cells 5 5 28" xfId="34142" xr:uid="{00000000-0005-0000-0000-000036860000}"/>
    <cellStyle name="RIGs input cells 5 5 29" xfId="34143" xr:uid="{00000000-0005-0000-0000-000037860000}"/>
    <cellStyle name="RIGs input cells 5 5 3" xfId="34144" xr:uid="{00000000-0005-0000-0000-000038860000}"/>
    <cellStyle name="RIGs input cells 5 5 3 2" xfId="34145" xr:uid="{00000000-0005-0000-0000-000039860000}"/>
    <cellStyle name="RIGs input cells 5 5 3 3" xfId="34146" xr:uid="{00000000-0005-0000-0000-00003A860000}"/>
    <cellStyle name="RIGs input cells 5 5 30" xfId="34147" xr:uid="{00000000-0005-0000-0000-00003B860000}"/>
    <cellStyle name="RIGs input cells 5 5 31" xfId="34148" xr:uid="{00000000-0005-0000-0000-00003C860000}"/>
    <cellStyle name="RIGs input cells 5 5 32" xfId="34149" xr:uid="{00000000-0005-0000-0000-00003D860000}"/>
    <cellStyle name="RIGs input cells 5 5 33" xfId="34150" xr:uid="{00000000-0005-0000-0000-00003E860000}"/>
    <cellStyle name="RIGs input cells 5 5 34" xfId="34151" xr:uid="{00000000-0005-0000-0000-00003F860000}"/>
    <cellStyle name="RIGs input cells 5 5 4" xfId="34152" xr:uid="{00000000-0005-0000-0000-000040860000}"/>
    <cellStyle name="RIGs input cells 5 5 4 2" xfId="34153" xr:uid="{00000000-0005-0000-0000-000041860000}"/>
    <cellStyle name="RIGs input cells 5 5 4 3" xfId="34154" xr:uid="{00000000-0005-0000-0000-000042860000}"/>
    <cellStyle name="RIGs input cells 5 5 5" xfId="34155" xr:uid="{00000000-0005-0000-0000-000043860000}"/>
    <cellStyle name="RIGs input cells 5 5 6" xfId="34156" xr:uid="{00000000-0005-0000-0000-000044860000}"/>
    <cellStyle name="RIGs input cells 5 5 7" xfId="34157" xr:uid="{00000000-0005-0000-0000-000045860000}"/>
    <cellStyle name="RIGs input cells 5 5 8" xfId="34158" xr:uid="{00000000-0005-0000-0000-000046860000}"/>
    <cellStyle name="RIGs input cells 5 5 9" xfId="34159" xr:uid="{00000000-0005-0000-0000-000047860000}"/>
    <cellStyle name="RIGs input cells 5 6" xfId="34160" xr:uid="{00000000-0005-0000-0000-000048860000}"/>
    <cellStyle name="RIGs input cells 5 6 10" xfId="34161" xr:uid="{00000000-0005-0000-0000-000049860000}"/>
    <cellStyle name="RIGs input cells 5 6 11" xfId="34162" xr:uid="{00000000-0005-0000-0000-00004A860000}"/>
    <cellStyle name="RIGs input cells 5 6 12" xfId="34163" xr:uid="{00000000-0005-0000-0000-00004B860000}"/>
    <cellStyle name="RIGs input cells 5 6 13" xfId="34164" xr:uid="{00000000-0005-0000-0000-00004C860000}"/>
    <cellStyle name="RIGs input cells 5 6 2" xfId="34165" xr:uid="{00000000-0005-0000-0000-00004D860000}"/>
    <cellStyle name="RIGs input cells 5 6 2 2" xfId="34166" xr:uid="{00000000-0005-0000-0000-00004E860000}"/>
    <cellStyle name="RIGs input cells 5 6 2 3" xfId="34167" xr:uid="{00000000-0005-0000-0000-00004F860000}"/>
    <cellStyle name="RIGs input cells 5 6 3" xfId="34168" xr:uid="{00000000-0005-0000-0000-000050860000}"/>
    <cellStyle name="RIGs input cells 5 6 3 2" xfId="34169" xr:uid="{00000000-0005-0000-0000-000051860000}"/>
    <cellStyle name="RIGs input cells 5 6 3 3" xfId="34170" xr:uid="{00000000-0005-0000-0000-000052860000}"/>
    <cellStyle name="RIGs input cells 5 6 4" xfId="34171" xr:uid="{00000000-0005-0000-0000-000053860000}"/>
    <cellStyle name="RIGs input cells 5 6 5" xfId="34172" xr:uid="{00000000-0005-0000-0000-000054860000}"/>
    <cellStyle name="RIGs input cells 5 6 6" xfId="34173" xr:uid="{00000000-0005-0000-0000-000055860000}"/>
    <cellStyle name="RIGs input cells 5 6 7" xfId="34174" xr:uid="{00000000-0005-0000-0000-000056860000}"/>
    <cellStyle name="RIGs input cells 5 6 8" xfId="34175" xr:uid="{00000000-0005-0000-0000-000057860000}"/>
    <cellStyle name="RIGs input cells 5 6 9" xfId="34176" xr:uid="{00000000-0005-0000-0000-000058860000}"/>
    <cellStyle name="RIGs input cells 5 7" xfId="34177" xr:uid="{00000000-0005-0000-0000-000059860000}"/>
    <cellStyle name="RIGs input cells 5 7 2" xfId="34178" xr:uid="{00000000-0005-0000-0000-00005A860000}"/>
    <cellStyle name="RIGs input cells 5 7 2 2" xfId="34179" xr:uid="{00000000-0005-0000-0000-00005B860000}"/>
    <cellStyle name="RIGs input cells 5 7 2 3" xfId="34180" xr:uid="{00000000-0005-0000-0000-00005C860000}"/>
    <cellStyle name="RIGs input cells 5 7 3" xfId="34181" xr:uid="{00000000-0005-0000-0000-00005D860000}"/>
    <cellStyle name="RIGs input cells 5 7 3 2" xfId="34182" xr:uid="{00000000-0005-0000-0000-00005E860000}"/>
    <cellStyle name="RIGs input cells 5 7 4" xfId="34183" xr:uid="{00000000-0005-0000-0000-00005F860000}"/>
    <cellStyle name="RIGs input cells 5 8" xfId="34184" xr:uid="{00000000-0005-0000-0000-000060860000}"/>
    <cellStyle name="RIGs input cells 5 8 2" xfId="34185" xr:uid="{00000000-0005-0000-0000-000061860000}"/>
    <cellStyle name="RIGs input cells 5 9" xfId="34186" xr:uid="{00000000-0005-0000-0000-000062860000}"/>
    <cellStyle name="RIGs input cells 5 9 2" xfId="34187" xr:uid="{00000000-0005-0000-0000-000063860000}"/>
    <cellStyle name="RIGs input cells 5_1.3s Accounting C Costs Scots" xfId="34188" xr:uid="{00000000-0005-0000-0000-000064860000}"/>
    <cellStyle name="RIGs input cells 6" xfId="34189" xr:uid="{00000000-0005-0000-0000-000065860000}"/>
    <cellStyle name="RIGs input cells 6 10" xfId="34190" xr:uid="{00000000-0005-0000-0000-000066860000}"/>
    <cellStyle name="RIGs input cells 6 10 2" xfId="34191" xr:uid="{00000000-0005-0000-0000-000067860000}"/>
    <cellStyle name="RIGs input cells 6 11" xfId="34192" xr:uid="{00000000-0005-0000-0000-000068860000}"/>
    <cellStyle name="RIGs input cells 6 11 2" xfId="34193" xr:uid="{00000000-0005-0000-0000-000069860000}"/>
    <cellStyle name="RIGs input cells 6 12" xfId="34194" xr:uid="{00000000-0005-0000-0000-00006A860000}"/>
    <cellStyle name="RIGs input cells 6 12 2" xfId="34195" xr:uid="{00000000-0005-0000-0000-00006B860000}"/>
    <cellStyle name="RIGs input cells 6 13" xfId="34196" xr:uid="{00000000-0005-0000-0000-00006C860000}"/>
    <cellStyle name="RIGs input cells 6 13 2" xfId="34197" xr:uid="{00000000-0005-0000-0000-00006D860000}"/>
    <cellStyle name="RIGs input cells 6 14" xfId="34198" xr:uid="{00000000-0005-0000-0000-00006E860000}"/>
    <cellStyle name="RIGs input cells 6 14 2" xfId="34199" xr:uid="{00000000-0005-0000-0000-00006F860000}"/>
    <cellStyle name="RIGs input cells 6 15" xfId="34200" xr:uid="{00000000-0005-0000-0000-000070860000}"/>
    <cellStyle name="RIGs input cells 6 15 2" xfId="34201" xr:uid="{00000000-0005-0000-0000-000071860000}"/>
    <cellStyle name="RIGs input cells 6 16" xfId="34202" xr:uid="{00000000-0005-0000-0000-000072860000}"/>
    <cellStyle name="RIGs input cells 6 16 2" xfId="34203" xr:uid="{00000000-0005-0000-0000-000073860000}"/>
    <cellStyle name="RIGs input cells 6 17" xfId="34204" xr:uid="{00000000-0005-0000-0000-000074860000}"/>
    <cellStyle name="RIGs input cells 6 17 2" xfId="34205" xr:uid="{00000000-0005-0000-0000-000075860000}"/>
    <cellStyle name="RIGs input cells 6 18" xfId="34206" xr:uid="{00000000-0005-0000-0000-000076860000}"/>
    <cellStyle name="RIGs input cells 6 18 2" xfId="34207" xr:uid="{00000000-0005-0000-0000-000077860000}"/>
    <cellStyle name="RIGs input cells 6 19" xfId="34208" xr:uid="{00000000-0005-0000-0000-000078860000}"/>
    <cellStyle name="RIGs input cells 6 19 2" xfId="34209" xr:uid="{00000000-0005-0000-0000-000079860000}"/>
    <cellStyle name="RIGs input cells 6 2" xfId="34210" xr:uid="{00000000-0005-0000-0000-00007A860000}"/>
    <cellStyle name="RIGs input cells 6 2 10" xfId="34211" xr:uid="{00000000-0005-0000-0000-00007B860000}"/>
    <cellStyle name="RIGs input cells 6 2 10 2" xfId="34212" xr:uid="{00000000-0005-0000-0000-00007C860000}"/>
    <cellStyle name="RIGs input cells 6 2 11" xfId="34213" xr:uid="{00000000-0005-0000-0000-00007D860000}"/>
    <cellStyle name="RIGs input cells 6 2 11 2" xfId="34214" xr:uid="{00000000-0005-0000-0000-00007E860000}"/>
    <cellStyle name="RIGs input cells 6 2 12" xfId="34215" xr:uid="{00000000-0005-0000-0000-00007F860000}"/>
    <cellStyle name="RIGs input cells 6 2 12 2" xfId="34216" xr:uid="{00000000-0005-0000-0000-000080860000}"/>
    <cellStyle name="RIGs input cells 6 2 13" xfId="34217" xr:uid="{00000000-0005-0000-0000-000081860000}"/>
    <cellStyle name="RIGs input cells 6 2 13 2" xfId="34218" xr:uid="{00000000-0005-0000-0000-000082860000}"/>
    <cellStyle name="RIGs input cells 6 2 14" xfId="34219" xr:uid="{00000000-0005-0000-0000-000083860000}"/>
    <cellStyle name="RIGs input cells 6 2 14 2" xfId="34220" xr:uid="{00000000-0005-0000-0000-000084860000}"/>
    <cellStyle name="RIGs input cells 6 2 15" xfId="34221" xr:uid="{00000000-0005-0000-0000-000085860000}"/>
    <cellStyle name="RIGs input cells 6 2 15 2" xfId="34222" xr:uid="{00000000-0005-0000-0000-000086860000}"/>
    <cellStyle name="RIGs input cells 6 2 16" xfId="34223" xr:uid="{00000000-0005-0000-0000-000087860000}"/>
    <cellStyle name="RIGs input cells 6 2 16 2" xfId="34224" xr:uid="{00000000-0005-0000-0000-000088860000}"/>
    <cellStyle name="RIGs input cells 6 2 17" xfId="34225" xr:uid="{00000000-0005-0000-0000-000089860000}"/>
    <cellStyle name="RIGs input cells 6 2 17 2" xfId="34226" xr:uid="{00000000-0005-0000-0000-00008A860000}"/>
    <cellStyle name="RIGs input cells 6 2 18" xfId="34227" xr:uid="{00000000-0005-0000-0000-00008B860000}"/>
    <cellStyle name="RIGs input cells 6 2 18 2" xfId="34228" xr:uid="{00000000-0005-0000-0000-00008C860000}"/>
    <cellStyle name="RIGs input cells 6 2 19" xfId="34229" xr:uid="{00000000-0005-0000-0000-00008D860000}"/>
    <cellStyle name="RIGs input cells 6 2 19 2" xfId="34230" xr:uid="{00000000-0005-0000-0000-00008E860000}"/>
    <cellStyle name="RIGs input cells 6 2 2" xfId="34231" xr:uid="{00000000-0005-0000-0000-00008F860000}"/>
    <cellStyle name="RIGs input cells 6 2 2 10" xfId="34232" xr:uid="{00000000-0005-0000-0000-000090860000}"/>
    <cellStyle name="RIGs input cells 6 2 2 11" xfId="34233" xr:uid="{00000000-0005-0000-0000-000091860000}"/>
    <cellStyle name="RIGs input cells 6 2 2 12" xfId="34234" xr:uid="{00000000-0005-0000-0000-000092860000}"/>
    <cellStyle name="RIGs input cells 6 2 2 13" xfId="34235" xr:uid="{00000000-0005-0000-0000-000093860000}"/>
    <cellStyle name="RIGs input cells 6 2 2 14" xfId="34236" xr:uid="{00000000-0005-0000-0000-000094860000}"/>
    <cellStyle name="RIGs input cells 6 2 2 15" xfId="34237" xr:uid="{00000000-0005-0000-0000-000095860000}"/>
    <cellStyle name="RIGs input cells 6 2 2 16" xfId="34238" xr:uid="{00000000-0005-0000-0000-000096860000}"/>
    <cellStyle name="RIGs input cells 6 2 2 17" xfId="34239" xr:uid="{00000000-0005-0000-0000-000097860000}"/>
    <cellStyle name="RIGs input cells 6 2 2 18" xfId="34240" xr:uid="{00000000-0005-0000-0000-000098860000}"/>
    <cellStyle name="RIGs input cells 6 2 2 19" xfId="34241" xr:uid="{00000000-0005-0000-0000-000099860000}"/>
    <cellStyle name="RIGs input cells 6 2 2 2" xfId="34242" xr:uid="{00000000-0005-0000-0000-00009A860000}"/>
    <cellStyle name="RIGs input cells 6 2 2 2 10" xfId="34243" xr:uid="{00000000-0005-0000-0000-00009B860000}"/>
    <cellStyle name="RIGs input cells 6 2 2 2 11" xfId="34244" xr:uid="{00000000-0005-0000-0000-00009C860000}"/>
    <cellStyle name="RIGs input cells 6 2 2 2 12" xfId="34245" xr:uid="{00000000-0005-0000-0000-00009D860000}"/>
    <cellStyle name="RIGs input cells 6 2 2 2 13" xfId="34246" xr:uid="{00000000-0005-0000-0000-00009E860000}"/>
    <cellStyle name="RIGs input cells 6 2 2 2 14" xfId="34247" xr:uid="{00000000-0005-0000-0000-00009F860000}"/>
    <cellStyle name="RIGs input cells 6 2 2 2 15" xfId="34248" xr:uid="{00000000-0005-0000-0000-0000A0860000}"/>
    <cellStyle name="RIGs input cells 6 2 2 2 16" xfId="34249" xr:uid="{00000000-0005-0000-0000-0000A1860000}"/>
    <cellStyle name="RIGs input cells 6 2 2 2 17" xfId="34250" xr:uid="{00000000-0005-0000-0000-0000A2860000}"/>
    <cellStyle name="RIGs input cells 6 2 2 2 18" xfId="34251" xr:uid="{00000000-0005-0000-0000-0000A3860000}"/>
    <cellStyle name="RIGs input cells 6 2 2 2 19" xfId="34252" xr:uid="{00000000-0005-0000-0000-0000A4860000}"/>
    <cellStyle name="RIGs input cells 6 2 2 2 2" xfId="34253" xr:uid="{00000000-0005-0000-0000-0000A5860000}"/>
    <cellStyle name="RIGs input cells 6 2 2 2 2 10" xfId="34254" xr:uid="{00000000-0005-0000-0000-0000A6860000}"/>
    <cellStyle name="RIGs input cells 6 2 2 2 2 11" xfId="34255" xr:uid="{00000000-0005-0000-0000-0000A7860000}"/>
    <cellStyle name="RIGs input cells 6 2 2 2 2 12" xfId="34256" xr:uid="{00000000-0005-0000-0000-0000A8860000}"/>
    <cellStyle name="RIGs input cells 6 2 2 2 2 13" xfId="34257" xr:uid="{00000000-0005-0000-0000-0000A9860000}"/>
    <cellStyle name="RIGs input cells 6 2 2 2 2 2" xfId="34258" xr:uid="{00000000-0005-0000-0000-0000AA860000}"/>
    <cellStyle name="RIGs input cells 6 2 2 2 2 2 2" xfId="34259" xr:uid="{00000000-0005-0000-0000-0000AB860000}"/>
    <cellStyle name="RIGs input cells 6 2 2 2 2 2 3" xfId="34260" xr:uid="{00000000-0005-0000-0000-0000AC860000}"/>
    <cellStyle name="RIGs input cells 6 2 2 2 2 3" xfId="34261" xr:uid="{00000000-0005-0000-0000-0000AD860000}"/>
    <cellStyle name="RIGs input cells 6 2 2 2 2 3 2" xfId="34262" xr:uid="{00000000-0005-0000-0000-0000AE860000}"/>
    <cellStyle name="RIGs input cells 6 2 2 2 2 3 3" xfId="34263" xr:uid="{00000000-0005-0000-0000-0000AF860000}"/>
    <cellStyle name="RIGs input cells 6 2 2 2 2 4" xfId="34264" xr:uid="{00000000-0005-0000-0000-0000B0860000}"/>
    <cellStyle name="RIGs input cells 6 2 2 2 2 5" xfId="34265" xr:uid="{00000000-0005-0000-0000-0000B1860000}"/>
    <cellStyle name="RIGs input cells 6 2 2 2 2 6" xfId="34266" xr:uid="{00000000-0005-0000-0000-0000B2860000}"/>
    <cellStyle name="RIGs input cells 6 2 2 2 2 7" xfId="34267" xr:uid="{00000000-0005-0000-0000-0000B3860000}"/>
    <cellStyle name="RIGs input cells 6 2 2 2 2 8" xfId="34268" xr:uid="{00000000-0005-0000-0000-0000B4860000}"/>
    <cellStyle name="RIGs input cells 6 2 2 2 2 9" xfId="34269" xr:uid="{00000000-0005-0000-0000-0000B5860000}"/>
    <cellStyle name="RIGs input cells 6 2 2 2 20" xfId="34270" xr:uid="{00000000-0005-0000-0000-0000B6860000}"/>
    <cellStyle name="RIGs input cells 6 2 2 2 21" xfId="34271" xr:uid="{00000000-0005-0000-0000-0000B7860000}"/>
    <cellStyle name="RIGs input cells 6 2 2 2 22" xfId="34272" xr:uid="{00000000-0005-0000-0000-0000B8860000}"/>
    <cellStyle name="RIGs input cells 6 2 2 2 23" xfId="34273" xr:uid="{00000000-0005-0000-0000-0000B9860000}"/>
    <cellStyle name="RIGs input cells 6 2 2 2 24" xfId="34274" xr:uid="{00000000-0005-0000-0000-0000BA860000}"/>
    <cellStyle name="RIGs input cells 6 2 2 2 25" xfId="34275" xr:uid="{00000000-0005-0000-0000-0000BB860000}"/>
    <cellStyle name="RIGs input cells 6 2 2 2 26" xfId="34276" xr:uid="{00000000-0005-0000-0000-0000BC860000}"/>
    <cellStyle name="RIGs input cells 6 2 2 2 27" xfId="34277" xr:uid="{00000000-0005-0000-0000-0000BD860000}"/>
    <cellStyle name="RIGs input cells 6 2 2 2 28" xfId="34278" xr:uid="{00000000-0005-0000-0000-0000BE860000}"/>
    <cellStyle name="RIGs input cells 6 2 2 2 29" xfId="34279" xr:uid="{00000000-0005-0000-0000-0000BF860000}"/>
    <cellStyle name="RIGs input cells 6 2 2 2 3" xfId="34280" xr:uid="{00000000-0005-0000-0000-0000C0860000}"/>
    <cellStyle name="RIGs input cells 6 2 2 2 3 2" xfId="34281" xr:uid="{00000000-0005-0000-0000-0000C1860000}"/>
    <cellStyle name="RIGs input cells 6 2 2 2 3 3" xfId="34282" xr:uid="{00000000-0005-0000-0000-0000C2860000}"/>
    <cellStyle name="RIGs input cells 6 2 2 2 30" xfId="34283" xr:uid="{00000000-0005-0000-0000-0000C3860000}"/>
    <cellStyle name="RIGs input cells 6 2 2 2 31" xfId="34284" xr:uid="{00000000-0005-0000-0000-0000C4860000}"/>
    <cellStyle name="RIGs input cells 6 2 2 2 32" xfId="34285" xr:uid="{00000000-0005-0000-0000-0000C5860000}"/>
    <cellStyle name="RIGs input cells 6 2 2 2 33" xfId="34286" xr:uid="{00000000-0005-0000-0000-0000C6860000}"/>
    <cellStyle name="RIGs input cells 6 2 2 2 34" xfId="34287" xr:uid="{00000000-0005-0000-0000-0000C7860000}"/>
    <cellStyle name="RIGs input cells 6 2 2 2 4" xfId="34288" xr:uid="{00000000-0005-0000-0000-0000C8860000}"/>
    <cellStyle name="RIGs input cells 6 2 2 2 4 2" xfId="34289" xr:uid="{00000000-0005-0000-0000-0000C9860000}"/>
    <cellStyle name="RIGs input cells 6 2 2 2 4 3" xfId="34290" xr:uid="{00000000-0005-0000-0000-0000CA860000}"/>
    <cellStyle name="RIGs input cells 6 2 2 2 5" xfId="34291" xr:uid="{00000000-0005-0000-0000-0000CB860000}"/>
    <cellStyle name="RIGs input cells 6 2 2 2 6" xfId="34292" xr:uid="{00000000-0005-0000-0000-0000CC860000}"/>
    <cellStyle name="RIGs input cells 6 2 2 2 7" xfId="34293" xr:uid="{00000000-0005-0000-0000-0000CD860000}"/>
    <cellStyle name="RIGs input cells 6 2 2 2 8" xfId="34294" xr:uid="{00000000-0005-0000-0000-0000CE860000}"/>
    <cellStyle name="RIGs input cells 6 2 2 2 9" xfId="34295" xr:uid="{00000000-0005-0000-0000-0000CF860000}"/>
    <cellStyle name="RIGs input cells 6 2 2 20" xfId="34296" xr:uid="{00000000-0005-0000-0000-0000D0860000}"/>
    <cellStyle name="RIGs input cells 6 2 2 21" xfId="34297" xr:uid="{00000000-0005-0000-0000-0000D1860000}"/>
    <cellStyle name="RIGs input cells 6 2 2 22" xfId="34298" xr:uid="{00000000-0005-0000-0000-0000D2860000}"/>
    <cellStyle name="RIGs input cells 6 2 2 23" xfId="34299" xr:uid="{00000000-0005-0000-0000-0000D3860000}"/>
    <cellStyle name="RIGs input cells 6 2 2 24" xfId="34300" xr:uid="{00000000-0005-0000-0000-0000D4860000}"/>
    <cellStyle name="RIGs input cells 6 2 2 25" xfId="34301" xr:uid="{00000000-0005-0000-0000-0000D5860000}"/>
    <cellStyle name="RIGs input cells 6 2 2 26" xfId="34302" xr:uid="{00000000-0005-0000-0000-0000D6860000}"/>
    <cellStyle name="RIGs input cells 6 2 2 27" xfId="34303" xr:uid="{00000000-0005-0000-0000-0000D7860000}"/>
    <cellStyle name="RIGs input cells 6 2 2 28" xfId="34304" xr:uid="{00000000-0005-0000-0000-0000D8860000}"/>
    <cellStyle name="RIGs input cells 6 2 2 29" xfId="34305" xr:uid="{00000000-0005-0000-0000-0000D9860000}"/>
    <cellStyle name="RIGs input cells 6 2 2 3" xfId="34306" xr:uid="{00000000-0005-0000-0000-0000DA860000}"/>
    <cellStyle name="RIGs input cells 6 2 2 3 10" xfId="34307" xr:uid="{00000000-0005-0000-0000-0000DB860000}"/>
    <cellStyle name="RIGs input cells 6 2 2 3 11" xfId="34308" xr:uid="{00000000-0005-0000-0000-0000DC860000}"/>
    <cellStyle name="RIGs input cells 6 2 2 3 12" xfId="34309" xr:uid="{00000000-0005-0000-0000-0000DD860000}"/>
    <cellStyle name="RIGs input cells 6 2 2 3 13" xfId="34310" xr:uid="{00000000-0005-0000-0000-0000DE860000}"/>
    <cellStyle name="RIGs input cells 6 2 2 3 2" xfId="34311" xr:uid="{00000000-0005-0000-0000-0000DF860000}"/>
    <cellStyle name="RIGs input cells 6 2 2 3 2 2" xfId="34312" xr:uid="{00000000-0005-0000-0000-0000E0860000}"/>
    <cellStyle name="RIGs input cells 6 2 2 3 2 3" xfId="34313" xr:uid="{00000000-0005-0000-0000-0000E1860000}"/>
    <cellStyle name="RIGs input cells 6 2 2 3 3" xfId="34314" xr:uid="{00000000-0005-0000-0000-0000E2860000}"/>
    <cellStyle name="RIGs input cells 6 2 2 3 3 2" xfId="34315" xr:uid="{00000000-0005-0000-0000-0000E3860000}"/>
    <cellStyle name="RIGs input cells 6 2 2 3 3 3" xfId="34316" xr:uid="{00000000-0005-0000-0000-0000E4860000}"/>
    <cellStyle name="RIGs input cells 6 2 2 3 4" xfId="34317" xr:uid="{00000000-0005-0000-0000-0000E5860000}"/>
    <cellStyle name="RIGs input cells 6 2 2 3 5" xfId="34318" xr:uid="{00000000-0005-0000-0000-0000E6860000}"/>
    <cellStyle name="RIGs input cells 6 2 2 3 6" xfId="34319" xr:uid="{00000000-0005-0000-0000-0000E7860000}"/>
    <cellStyle name="RIGs input cells 6 2 2 3 7" xfId="34320" xr:uid="{00000000-0005-0000-0000-0000E8860000}"/>
    <cellStyle name="RIGs input cells 6 2 2 3 8" xfId="34321" xr:uid="{00000000-0005-0000-0000-0000E9860000}"/>
    <cellStyle name="RIGs input cells 6 2 2 3 9" xfId="34322" xr:uid="{00000000-0005-0000-0000-0000EA860000}"/>
    <cellStyle name="RIGs input cells 6 2 2 30" xfId="34323" xr:uid="{00000000-0005-0000-0000-0000EB860000}"/>
    <cellStyle name="RIGs input cells 6 2 2 31" xfId="34324" xr:uid="{00000000-0005-0000-0000-0000EC860000}"/>
    <cellStyle name="RIGs input cells 6 2 2 32" xfId="34325" xr:uid="{00000000-0005-0000-0000-0000ED860000}"/>
    <cellStyle name="RIGs input cells 6 2 2 33" xfId="34326" xr:uid="{00000000-0005-0000-0000-0000EE860000}"/>
    <cellStyle name="RIGs input cells 6 2 2 34" xfId="34327" xr:uid="{00000000-0005-0000-0000-0000EF860000}"/>
    <cellStyle name="RIGs input cells 6 2 2 35" xfId="34328" xr:uid="{00000000-0005-0000-0000-0000F0860000}"/>
    <cellStyle name="RIGs input cells 6 2 2 4" xfId="34329" xr:uid="{00000000-0005-0000-0000-0000F1860000}"/>
    <cellStyle name="RIGs input cells 6 2 2 4 2" xfId="34330" xr:uid="{00000000-0005-0000-0000-0000F2860000}"/>
    <cellStyle name="RIGs input cells 6 2 2 4 3" xfId="34331" xr:uid="{00000000-0005-0000-0000-0000F3860000}"/>
    <cellStyle name="RIGs input cells 6 2 2 5" xfId="34332" xr:uid="{00000000-0005-0000-0000-0000F4860000}"/>
    <cellStyle name="RIGs input cells 6 2 2 5 2" xfId="34333" xr:uid="{00000000-0005-0000-0000-0000F5860000}"/>
    <cellStyle name="RIGs input cells 6 2 2 5 3" xfId="34334" xr:uid="{00000000-0005-0000-0000-0000F6860000}"/>
    <cellStyle name="RIGs input cells 6 2 2 6" xfId="34335" xr:uid="{00000000-0005-0000-0000-0000F7860000}"/>
    <cellStyle name="RIGs input cells 6 2 2 7" xfId="34336" xr:uid="{00000000-0005-0000-0000-0000F8860000}"/>
    <cellStyle name="RIGs input cells 6 2 2 8" xfId="34337" xr:uid="{00000000-0005-0000-0000-0000F9860000}"/>
    <cellStyle name="RIGs input cells 6 2 2 9" xfId="34338" xr:uid="{00000000-0005-0000-0000-0000FA860000}"/>
    <cellStyle name="RIGs input cells 6 2 2_4 28 1_Asst_Health_Crit_AllTO_RIIO_20110714pm" xfId="34339" xr:uid="{00000000-0005-0000-0000-0000FB860000}"/>
    <cellStyle name="RIGs input cells 6 2 20" xfId="34340" xr:uid="{00000000-0005-0000-0000-0000FC860000}"/>
    <cellStyle name="RIGs input cells 6 2 20 2" xfId="34341" xr:uid="{00000000-0005-0000-0000-0000FD860000}"/>
    <cellStyle name="RIGs input cells 6 2 21" xfId="34342" xr:uid="{00000000-0005-0000-0000-0000FE860000}"/>
    <cellStyle name="RIGs input cells 6 2 21 2" xfId="34343" xr:uid="{00000000-0005-0000-0000-0000FF860000}"/>
    <cellStyle name="RIGs input cells 6 2 22" xfId="34344" xr:uid="{00000000-0005-0000-0000-000000870000}"/>
    <cellStyle name="RIGs input cells 6 2 22 2" xfId="34345" xr:uid="{00000000-0005-0000-0000-000001870000}"/>
    <cellStyle name="RIGs input cells 6 2 23" xfId="34346" xr:uid="{00000000-0005-0000-0000-000002870000}"/>
    <cellStyle name="RIGs input cells 6 2 23 2" xfId="34347" xr:uid="{00000000-0005-0000-0000-000003870000}"/>
    <cellStyle name="RIGs input cells 6 2 24" xfId="34348" xr:uid="{00000000-0005-0000-0000-000004870000}"/>
    <cellStyle name="RIGs input cells 6 2 24 2" xfId="34349" xr:uid="{00000000-0005-0000-0000-000005870000}"/>
    <cellStyle name="RIGs input cells 6 2 25" xfId="34350" xr:uid="{00000000-0005-0000-0000-000006870000}"/>
    <cellStyle name="RIGs input cells 6 2 25 2" xfId="34351" xr:uid="{00000000-0005-0000-0000-000007870000}"/>
    <cellStyle name="RIGs input cells 6 2 26" xfId="34352" xr:uid="{00000000-0005-0000-0000-000008870000}"/>
    <cellStyle name="RIGs input cells 6 2 27" xfId="34353" xr:uid="{00000000-0005-0000-0000-000009870000}"/>
    <cellStyle name="RIGs input cells 6 2 28" xfId="34354" xr:uid="{00000000-0005-0000-0000-00000A870000}"/>
    <cellStyle name="RIGs input cells 6 2 29" xfId="34355" xr:uid="{00000000-0005-0000-0000-00000B870000}"/>
    <cellStyle name="RIGs input cells 6 2 3" xfId="34356" xr:uid="{00000000-0005-0000-0000-00000C870000}"/>
    <cellStyle name="RIGs input cells 6 2 3 10" xfId="34357" xr:uid="{00000000-0005-0000-0000-00000D870000}"/>
    <cellStyle name="RIGs input cells 6 2 3 11" xfId="34358" xr:uid="{00000000-0005-0000-0000-00000E870000}"/>
    <cellStyle name="RIGs input cells 6 2 3 12" xfId="34359" xr:uid="{00000000-0005-0000-0000-00000F870000}"/>
    <cellStyle name="RIGs input cells 6 2 3 13" xfId="34360" xr:uid="{00000000-0005-0000-0000-000010870000}"/>
    <cellStyle name="RIGs input cells 6 2 3 14" xfId="34361" xr:uid="{00000000-0005-0000-0000-000011870000}"/>
    <cellStyle name="RIGs input cells 6 2 3 15" xfId="34362" xr:uid="{00000000-0005-0000-0000-000012870000}"/>
    <cellStyle name="RIGs input cells 6 2 3 16" xfId="34363" xr:uid="{00000000-0005-0000-0000-000013870000}"/>
    <cellStyle name="RIGs input cells 6 2 3 17" xfId="34364" xr:uid="{00000000-0005-0000-0000-000014870000}"/>
    <cellStyle name="RIGs input cells 6 2 3 18" xfId="34365" xr:uid="{00000000-0005-0000-0000-000015870000}"/>
    <cellStyle name="RIGs input cells 6 2 3 19" xfId="34366" xr:uid="{00000000-0005-0000-0000-000016870000}"/>
    <cellStyle name="RIGs input cells 6 2 3 2" xfId="34367" xr:uid="{00000000-0005-0000-0000-000017870000}"/>
    <cellStyle name="RIGs input cells 6 2 3 2 10" xfId="34368" xr:uid="{00000000-0005-0000-0000-000018870000}"/>
    <cellStyle name="RIGs input cells 6 2 3 2 11" xfId="34369" xr:uid="{00000000-0005-0000-0000-000019870000}"/>
    <cellStyle name="RIGs input cells 6 2 3 2 12" xfId="34370" xr:uid="{00000000-0005-0000-0000-00001A870000}"/>
    <cellStyle name="RIGs input cells 6 2 3 2 13" xfId="34371" xr:uid="{00000000-0005-0000-0000-00001B870000}"/>
    <cellStyle name="RIGs input cells 6 2 3 2 2" xfId="34372" xr:uid="{00000000-0005-0000-0000-00001C870000}"/>
    <cellStyle name="RIGs input cells 6 2 3 2 2 2" xfId="34373" xr:uid="{00000000-0005-0000-0000-00001D870000}"/>
    <cellStyle name="RIGs input cells 6 2 3 2 2 3" xfId="34374" xr:uid="{00000000-0005-0000-0000-00001E870000}"/>
    <cellStyle name="RIGs input cells 6 2 3 2 3" xfId="34375" xr:uid="{00000000-0005-0000-0000-00001F870000}"/>
    <cellStyle name="RIGs input cells 6 2 3 2 3 2" xfId="34376" xr:uid="{00000000-0005-0000-0000-000020870000}"/>
    <cellStyle name="RIGs input cells 6 2 3 2 3 3" xfId="34377" xr:uid="{00000000-0005-0000-0000-000021870000}"/>
    <cellStyle name="RIGs input cells 6 2 3 2 4" xfId="34378" xr:uid="{00000000-0005-0000-0000-000022870000}"/>
    <cellStyle name="RIGs input cells 6 2 3 2 5" xfId="34379" xr:uid="{00000000-0005-0000-0000-000023870000}"/>
    <cellStyle name="RIGs input cells 6 2 3 2 6" xfId="34380" xr:uid="{00000000-0005-0000-0000-000024870000}"/>
    <cellStyle name="RIGs input cells 6 2 3 2 7" xfId="34381" xr:uid="{00000000-0005-0000-0000-000025870000}"/>
    <cellStyle name="RIGs input cells 6 2 3 2 8" xfId="34382" xr:uid="{00000000-0005-0000-0000-000026870000}"/>
    <cellStyle name="RIGs input cells 6 2 3 2 9" xfId="34383" xr:uid="{00000000-0005-0000-0000-000027870000}"/>
    <cellStyle name="RIGs input cells 6 2 3 20" xfId="34384" xr:uid="{00000000-0005-0000-0000-000028870000}"/>
    <cellStyle name="RIGs input cells 6 2 3 21" xfId="34385" xr:uid="{00000000-0005-0000-0000-000029870000}"/>
    <cellStyle name="RIGs input cells 6 2 3 22" xfId="34386" xr:uid="{00000000-0005-0000-0000-00002A870000}"/>
    <cellStyle name="RIGs input cells 6 2 3 23" xfId="34387" xr:uid="{00000000-0005-0000-0000-00002B870000}"/>
    <cellStyle name="RIGs input cells 6 2 3 24" xfId="34388" xr:uid="{00000000-0005-0000-0000-00002C870000}"/>
    <cellStyle name="RIGs input cells 6 2 3 25" xfId="34389" xr:uid="{00000000-0005-0000-0000-00002D870000}"/>
    <cellStyle name="RIGs input cells 6 2 3 26" xfId="34390" xr:uid="{00000000-0005-0000-0000-00002E870000}"/>
    <cellStyle name="RIGs input cells 6 2 3 27" xfId="34391" xr:uid="{00000000-0005-0000-0000-00002F870000}"/>
    <cellStyle name="RIGs input cells 6 2 3 28" xfId="34392" xr:uid="{00000000-0005-0000-0000-000030870000}"/>
    <cellStyle name="RIGs input cells 6 2 3 29" xfId="34393" xr:uid="{00000000-0005-0000-0000-000031870000}"/>
    <cellStyle name="RIGs input cells 6 2 3 3" xfId="34394" xr:uid="{00000000-0005-0000-0000-000032870000}"/>
    <cellStyle name="RIGs input cells 6 2 3 3 2" xfId="34395" xr:uid="{00000000-0005-0000-0000-000033870000}"/>
    <cellStyle name="RIGs input cells 6 2 3 3 3" xfId="34396" xr:uid="{00000000-0005-0000-0000-000034870000}"/>
    <cellStyle name="RIGs input cells 6 2 3 30" xfId="34397" xr:uid="{00000000-0005-0000-0000-000035870000}"/>
    <cellStyle name="RIGs input cells 6 2 3 31" xfId="34398" xr:uid="{00000000-0005-0000-0000-000036870000}"/>
    <cellStyle name="RIGs input cells 6 2 3 32" xfId="34399" xr:uid="{00000000-0005-0000-0000-000037870000}"/>
    <cellStyle name="RIGs input cells 6 2 3 33" xfId="34400" xr:uid="{00000000-0005-0000-0000-000038870000}"/>
    <cellStyle name="RIGs input cells 6 2 3 34" xfId="34401" xr:uid="{00000000-0005-0000-0000-000039870000}"/>
    <cellStyle name="RIGs input cells 6 2 3 4" xfId="34402" xr:uid="{00000000-0005-0000-0000-00003A870000}"/>
    <cellStyle name="RIGs input cells 6 2 3 4 2" xfId="34403" xr:uid="{00000000-0005-0000-0000-00003B870000}"/>
    <cellStyle name="RIGs input cells 6 2 3 4 3" xfId="34404" xr:uid="{00000000-0005-0000-0000-00003C870000}"/>
    <cellStyle name="RIGs input cells 6 2 3 5" xfId="34405" xr:uid="{00000000-0005-0000-0000-00003D870000}"/>
    <cellStyle name="RIGs input cells 6 2 3 6" xfId="34406" xr:uid="{00000000-0005-0000-0000-00003E870000}"/>
    <cellStyle name="RIGs input cells 6 2 3 7" xfId="34407" xr:uid="{00000000-0005-0000-0000-00003F870000}"/>
    <cellStyle name="RIGs input cells 6 2 3 8" xfId="34408" xr:uid="{00000000-0005-0000-0000-000040870000}"/>
    <cellStyle name="RIGs input cells 6 2 3 9" xfId="34409" xr:uid="{00000000-0005-0000-0000-000041870000}"/>
    <cellStyle name="RIGs input cells 6 2 30" xfId="34410" xr:uid="{00000000-0005-0000-0000-000042870000}"/>
    <cellStyle name="RIGs input cells 6 2 31" xfId="34411" xr:uid="{00000000-0005-0000-0000-000043870000}"/>
    <cellStyle name="RIGs input cells 6 2 32" xfId="34412" xr:uid="{00000000-0005-0000-0000-000044870000}"/>
    <cellStyle name="RIGs input cells 6 2 33" xfId="34413" xr:uid="{00000000-0005-0000-0000-000045870000}"/>
    <cellStyle name="RIGs input cells 6 2 34" xfId="34414" xr:uid="{00000000-0005-0000-0000-000046870000}"/>
    <cellStyle name="RIGs input cells 6 2 35" xfId="34415" xr:uid="{00000000-0005-0000-0000-000047870000}"/>
    <cellStyle name="RIGs input cells 6 2 36" xfId="34416" xr:uid="{00000000-0005-0000-0000-000048870000}"/>
    <cellStyle name="RIGs input cells 6 2 37" xfId="34417" xr:uid="{00000000-0005-0000-0000-000049870000}"/>
    <cellStyle name="RIGs input cells 6 2 38" xfId="34418" xr:uid="{00000000-0005-0000-0000-00004A870000}"/>
    <cellStyle name="RIGs input cells 6 2 4" xfId="34419" xr:uid="{00000000-0005-0000-0000-00004B870000}"/>
    <cellStyle name="RIGs input cells 6 2 4 10" xfId="34420" xr:uid="{00000000-0005-0000-0000-00004C870000}"/>
    <cellStyle name="RIGs input cells 6 2 4 11" xfId="34421" xr:uid="{00000000-0005-0000-0000-00004D870000}"/>
    <cellStyle name="RIGs input cells 6 2 4 12" xfId="34422" xr:uid="{00000000-0005-0000-0000-00004E870000}"/>
    <cellStyle name="RIGs input cells 6 2 4 13" xfId="34423" xr:uid="{00000000-0005-0000-0000-00004F870000}"/>
    <cellStyle name="RIGs input cells 6 2 4 14" xfId="34424" xr:uid="{00000000-0005-0000-0000-000050870000}"/>
    <cellStyle name="RIGs input cells 6 2 4 15" xfId="34425" xr:uid="{00000000-0005-0000-0000-000051870000}"/>
    <cellStyle name="RIGs input cells 6 2 4 16" xfId="34426" xr:uid="{00000000-0005-0000-0000-000052870000}"/>
    <cellStyle name="RIGs input cells 6 2 4 17" xfId="34427" xr:uid="{00000000-0005-0000-0000-000053870000}"/>
    <cellStyle name="RIGs input cells 6 2 4 18" xfId="34428" xr:uid="{00000000-0005-0000-0000-000054870000}"/>
    <cellStyle name="RIGs input cells 6 2 4 19" xfId="34429" xr:uid="{00000000-0005-0000-0000-000055870000}"/>
    <cellStyle name="RIGs input cells 6 2 4 2" xfId="34430" xr:uid="{00000000-0005-0000-0000-000056870000}"/>
    <cellStyle name="RIGs input cells 6 2 4 2 10" xfId="34431" xr:uid="{00000000-0005-0000-0000-000057870000}"/>
    <cellStyle name="RIGs input cells 6 2 4 2 11" xfId="34432" xr:uid="{00000000-0005-0000-0000-000058870000}"/>
    <cellStyle name="RIGs input cells 6 2 4 2 12" xfId="34433" xr:uid="{00000000-0005-0000-0000-000059870000}"/>
    <cellStyle name="RIGs input cells 6 2 4 2 13" xfId="34434" xr:uid="{00000000-0005-0000-0000-00005A870000}"/>
    <cellStyle name="RIGs input cells 6 2 4 2 2" xfId="34435" xr:uid="{00000000-0005-0000-0000-00005B870000}"/>
    <cellStyle name="RIGs input cells 6 2 4 2 2 2" xfId="34436" xr:uid="{00000000-0005-0000-0000-00005C870000}"/>
    <cellStyle name="RIGs input cells 6 2 4 2 2 3" xfId="34437" xr:uid="{00000000-0005-0000-0000-00005D870000}"/>
    <cellStyle name="RIGs input cells 6 2 4 2 3" xfId="34438" xr:uid="{00000000-0005-0000-0000-00005E870000}"/>
    <cellStyle name="RIGs input cells 6 2 4 2 3 2" xfId="34439" xr:uid="{00000000-0005-0000-0000-00005F870000}"/>
    <cellStyle name="RIGs input cells 6 2 4 2 3 3" xfId="34440" xr:uid="{00000000-0005-0000-0000-000060870000}"/>
    <cellStyle name="RIGs input cells 6 2 4 2 4" xfId="34441" xr:uid="{00000000-0005-0000-0000-000061870000}"/>
    <cellStyle name="RIGs input cells 6 2 4 2 5" xfId="34442" xr:uid="{00000000-0005-0000-0000-000062870000}"/>
    <cellStyle name="RIGs input cells 6 2 4 2 6" xfId="34443" xr:uid="{00000000-0005-0000-0000-000063870000}"/>
    <cellStyle name="RIGs input cells 6 2 4 2 7" xfId="34444" xr:uid="{00000000-0005-0000-0000-000064870000}"/>
    <cellStyle name="RIGs input cells 6 2 4 2 8" xfId="34445" xr:uid="{00000000-0005-0000-0000-000065870000}"/>
    <cellStyle name="RIGs input cells 6 2 4 2 9" xfId="34446" xr:uid="{00000000-0005-0000-0000-000066870000}"/>
    <cellStyle name="RIGs input cells 6 2 4 20" xfId="34447" xr:uid="{00000000-0005-0000-0000-000067870000}"/>
    <cellStyle name="RIGs input cells 6 2 4 21" xfId="34448" xr:uid="{00000000-0005-0000-0000-000068870000}"/>
    <cellStyle name="RIGs input cells 6 2 4 22" xfId="34449" xr:uid="{00000000-0005-0000-0000-000069870000}"/>
    <cellStyle name="RIGs input cells 6 2 4 23" xfId="34450" xr:uid="{00000000-0005-0000-0000-00006A870000}"/>
    <cellStyle name="RIGs input cells 6 2 4 24" xfId="34451" xr:uid="{00000000-0005-0000-0000-00006B870000}"/>
    <cellStyle name="RIGs input cells 6 2 4 25" xfId="34452" xr:uid="{00000000-0005-0000-0000-00006C870000}"/>
    <cellStyle name="RIGs input cells 6 2 4 26" xfId="34453" xr:uid="{00000000-0005-0000-0000-00006D870000}"/>
    <cellStyle name="RIGs input cells 6 2 4 27" xfId="34454" xr:uid="{00000000-0005-0000-0000-00006E870000}"/>
    <cellStyle name="RIGs input cells 6 2 4 28" xfId="34455" xr:uid="{00000000-0005-0000-0000-00006F870000}"/>
    <cellStyle name="RIGs input cells 6 2 4 29" xfId="34456" xr:uid="{00000000-0005-0000-0000-000070870000}"/>
    <cellStyle name="RIGs input cells 6 2 4 3" xfId="34457" xr:uid="{00000000-0005-0000-0000-000071870000}"/>
    <cellStyle name="RIGs input cells 6 2 4 3 2" xfId="34458" xr:uid="{00000000-0005-0000-0000-000072870000}"/>
    <cellStyle name="RIGs input cells 6 2 4 3 3" xfId="34459" xr:uid="{00000000-0005-0000-0000-000073870000}"/>
    <cellStyle name="RIGs input cells 6 2 4 30" xfId="34460" xr:uid="{00000000-0005-0000-0000-000074870000}"/>
    <cellStyle name="RIGs input cells 6 2 4 31" xfId="34461" xr:uid="{00000000-0005-0000-0000-000075870000}"/>
    <cellStyle name="RIGs input cells 6 2 4 32" xfId="34462" xr:uid="{00000000-0005-0000-0000-000076870000}"/>
    <cellStyle name="RIGs input cells 6 2 4 33" xfId="34463" xr:uid="{00000000-0005-0000-0000-000077870000}"/>
    <cellStyle name="RIGs input cells 6 2 4 34" xfId="34464" xr:uid="{00000000-0005-0000-0000-000078870000}"/>
    <cellStyle name="RIGs input cells 6 2 4 4" xfId="34465" xr:uid="{00000000-0005-0000-0000-000079870000}"/>
    <cellStyle name="RIGs input cells 6 2 4 4 2" xfId="34466" xr:uid="{00000000-0005-0000-0000-00007A870000}"/>
    <cellStyle name="RIGs input cells 6 2 4 4 3" xfId="34467" xr:uid="{00000000-0005-0000-0000-00007B870000}"/>
    <cellStyle name="RIGs input cells 6 2 4 5" xfId="34468" xr:uid="{00000000-0005-0000-0000-00007C870000}"/>
    <cellStyle name="RIGs input cells 6 2 4 6" xfId="34469" xr:uid="{00000000-0005-0000-0000-00007D870000}"/>
    <cellStyle name="RIGs input cells 6 2 4 7" xfId="34470" xr:uid="{00000000-0005-0000-0000-00007E870000}"/>
    <cellStyle name="RIGs input cells 6 2 4 8" xfId="34471" xr:uid="{00000000-0005-0000-0000-00007F870000}"/>
    <cellStyle name="RIGs input cells 6 2 4 9" xfId="34472" xr:uid="{00000000-0005-0000-0000-000080870000}"/>
    <cellStyle name="RIGs input cells 6 2 5" xfId="34473" xr:uid="{00000000-0005-0000-0000-000081870000}"/>
    <cellStyle name="RIGs input cells 6 2 5 10" xfId="34474" xr:uid="{00000000-0005-0000-0000-000082870000}"/>
    <cellStyle name="RIGs input cells 6 2 5 11" xfId="34475" xr:uid="{00000000-0005-0000-0000-000083870000}"/>
    <cellStyle name="RIGs input cells 6 2 5 12" xfId="34476" xr:uid="{00000000-0005-0000-0000-000084870000}"/>
    <cellStyle name="RIGs input cells 6 2 5 13" xfId="34477" xr:uid="{00000000-0005-0000-0000-000085870000}"/>
    <cellStyle name="RIGs input cells 6 2 5 2" xfId="34478" xr:uid="{00000000-0005-0000-0000-000086870000}"/>
    <cellStyle name="RIGs input cells 6 2 5 2 2" xfId="34479" xr:uid="{00000000-0005-0000-0000-000087870000}"/>
    <cellStyle name="RIGs input cells 6 2 5 2 3" xfId="34480" xr:uid="{00000000-0005-0000-0000-000088870000}"/>
    <cellStyle name="RIGs input cells 6 2 5 3" xfId="34481" xr:uid="{00000000-0005-0000-0000-000089870000}"/>
    <cellStyle name="RIGs input cells 6 2 5 3 2" xfId="34482" xr:uid="{00000000-0005-0000-0000-00008A870000}"/>
    <cellStyle name="RIGs input cells 6 2 5 3 3" xfId="34483" xr:uid="{00000000-0005-0000-0000-00008B870000}"/>
    <cellStyle name="RIGs input cells 6 2 5 4" xfId="34484" xr:uid="{00000000-0005-0000-0000-00008C870000}"/>
    <cellStyle name="RIGs input cells 6 2 5 5" xfId="34485" xr:uid="{00000000-0005-0000-0000-00008D870000}"/>
    <cellStyle name="RIGs input cells 6 2 5 6" xfId="34486" xr:uid="{00000000-0005-0000-0000-00008E870000}"/>
    <cellStyle name="RIGs input cells 6 2 5 7" xfId="34487" xr:uid="{00000000-0005-0000-0000-00008F870000}"/>
    <cellStyle name="RIGs input cells 6 2 5 8" xfId="34488" xr:uid="{00000000-0005-0000-0000-000090870000}"/>
    <cellStyle name="RIGs input cells 6 2 5 9" xfId="34489" xr:uid="{00000000-0005-0000-0000-000091870000}"/>
    <cellStyle name="RIGs input cells 6 2 6" xfId="34490" xr:uid="{00000000-0005-0000-0000-000092870000}"/>
    <cellStyle name="RIGs input cells 6 2 6 2" xfId="34491" xr:uid="{00000000-0005-0000-0000-000093870000}"/>
    <cellStyle name="RIGs input cells 6 2 6 2 2" xfId="34492" xr:uid="{00000000-0005-0000-0000-000094870000}"/>
    <cellStyle name="RIGs input cells 6 2 6 2 3" xfId="34493" xr:uid="{00000000-0005-0000-0000-000095870000}"/>
    <cellStyle name="RIGs input cells 6 2 6 3" xfId="34494" xr:uid="{00000000-0005-0000-0000-000096870000}"/>
    <cellStyle name="RIGs input cells 6 2 6 3 2" xfId="34495" xr:uid="{00000000-0005-0000-0000-000097870000}"/>
    <cellStyle name="RIGs input cells 6 2 6 4" xfId="34496" xr:uid="{00000000-0005-0000-0000-000098870000}"/>
    <cellStyle name="RIGs input cells 6 2 7" xfId="34497" xr:uid="{00000000-0005-0000-0000-000099870000}"/>
    <cellStyle name="RIGs input cells 6 2 7 2" xfId="34498" xr:uid="{00000000-0005-0000-0000-00009A870000}"/>
    <cellStyle name="RIGs input cells 6 2 8" xfId="34499" xr:uid="{00000000-0005-0000-0000-00009B870000}"/>
    <cellStyle name="RIGs input cells 6 2 8 2" xfId="34500" xr:uid="{00000000-0005-0000-0000-00009C870000}"/>
    <cellStyle name="RIGs input cells 6 2 9" xfId="34501" xr:uid="{00000000-0005-0000-0000-00009D870000}"/>
    <cellStyle name="RIGs input cells 6 2 9 2" xfId="34502" xr:uid="{00000000-0005-0000-0000-00009E870000}"/>
    <cellStyle name="RIGs input cells 6 2_4 28 1_Asst_Health_Crit_AllTO_RIIO_20110714pm" xfId="34503" xr:uid="{00000000-0005-0000-0000-00009F870000}"/>
    <cellStyle name="RIGs input cells 6 20" xfId="34504" xr:uid="{00000000-0005-0000-0000-0000A0870000}"/>
    <cellStyle name="RIGs input cells 6 20 2" xfId="34505" xr:uid="{00000000-0005-0000-0000-0000A1870000}"/>
    <cellStyle name="RIGs input cells 6 21" xfId="34506" xr:uid="{00000000-0005-0000-0000-0000A2870000}"/>
    <cellStyle name="RIGs input cells 6 21 2" xfId="34507" xr:uid="{00000000-0005-0000-0000-0000A3870000}"/>
    <cellStyle name="RIGs input cells 6 22" xfId="34508" xr:uid="{00000000-0005-0000-0000-0000A4870000}"/>
    <cellStyle name="RIGs input cells 6 22 2" xfId="34509" xr:uid="{00000000-0005-0000-0000-0000A5870000}"/>
    <cellStyle name="RIGs input cells 6 23" xfId="34510" xr:uid="{00000000-0005-0000-0000-0000A6870000}"/>
    <cellStyle name="RIGs input cells 6 23 2" xfId="34511" xr:uid="{00000000-0005-0000-0000-0000A7870000}"/>
    <cellStyle name="RIGs input cells 6 24" xfId="34512" xr:uid="{00000000-0005-0000-0000-0000A8870000}"/>
    <cellStyle name="RIGs input cells 6 24 2" xfId="34513" xr:uid="{00000000-0005-0000-0000-0000A9870000}"/>
    <cellStyle name="RIGs input cells 6 25" xfId="34514" xr:uid="{00000000-0005-0000-0000-0000AA870000}"/>
    <cellStyle name="RIGs input cells 6 25 2" xfId="34515" xr:uid="{00000000-0005-0000-0000-0000AB870000}"/>
    <cellStyle name="RIGs input cells 6 26" xfId="34516" xr:uid="{00000000-0005-0000-0000-0000AC870000}"/>
    <cellStyle name="RIGs input cells 6 26 2" xfId="34517" xr:uid="{00000000-0005-0000-0000-0000AD870000}"/>
    <cellStyle name="RIGs input cells 6 27" xfId="34518" xr:uid="{00000000-0005-0000-0000-0000AE870000}"/>
    <cellStyle name="RIGs input cells 6 28" xfId="34519" xr:uid="{00000000-0005-0000-0000-0000AF870000}"/>
    <cellStyle name="RIGs input cells 6 29" xfId="34520" xr:uid="{00000000-0005-0000-0000-0000B0870000}"/>
    <cellStyle name="RIGs input cells 6 3" xfId="34521" xr:uid="{00000000-0005-0000-0000-0000B1870000}"/>
    <cellStyle name="RIGs input cells 6 3 10" xfId="34522" xr:uid="{00000000-0005-0000-0000-0000B2870000}"/>
    <cellStyle name="RIGs input cells 6 3 11" xfId="34523" xr:uid="{00000000-0005-0000-0000-0000B3870000}"/>
    <cellStyle name="RIGs input cells 6 3 12" xfId="34524" xr:uid="{00000000-0005-0000-0000-0000B4870000}"/>
    <cellStyle name="RIGs input cells 6 3 13" xfId="34525" xr:uid="{00000000-0005-0000-0000-0000B5870000}"/>
    <cellStyle name="RIGs input cells 6 3 14" xfId="34526" xr:uid="{00000000-0005-0000-0000-0000B6870000}"/>
    <cellStyle name="RIGs input cells 6 3 15" xfId="34527" xr:uid="{00000000-0005-0000-0000-0000B7870000}"/>
    <cellStyle name="RIGs input cells 6 3 16" xfId="34528" xr:uid="{00000000-0005-0000-0000-0000B8870000}"/>
    <cellStyle name="RIGs input cells 6 3 17" xfId="34529" xr:uid="{00000000-0005-0000-0000-0000B9870000}"/>
    <cellStyle name="RIGs input cells 6 3 18" xfId="34530" xr:uid="{00000000-0005-0000-0000-0000BA870000}"/>
    <cellStyle name="RIGs input cells 6 3 19" xfId="34531" xr:uid="{00000000-0005-0000-0000-0000BB870000}"/>
    <cellStyle name="RIGs input cells 6 3 2" xfId="34532" xr:uid="{00000000-0005-0000-0000-0000BC870000}"/>
    <cellStyle name="RIGs input cells 6 3 2 10" xfId="34533" xr:uid="{00000000-0005-0000-0000-0000BD870000}"/>
    <cellStyle name="RIGs input cells 6 3 2 11" xfId="34534" xr:uid="{00000000-0005-0000-0000-0000BE870000}"/>
    <cellStyle name="RIGs input cells 6 3 2 12" xfId="34535" xr:uid="{00000000-0005-0000-0000-0000BF870000}"/>
    <cellStyle name="RIGs input cells 6 3 2 13" xfId="34536" xr:uid="{00000000-0005-0000-0000-0000C0870000}"/>
    <cellStyle name="RIGs input cells 6 3 2 14" xfId="34537" xr:uid="{00000000-0005-0000-0000-0000C1870000}"/>
    <cellStyle name="RIGs input cells 6 3 2 15" xfId="34538" xr:uid="{00000000-0005-0000-0000-0000C2870000}"/>
    <cellStyle name="RIGs input cells 6 3 2 16" xfId="34539" xr:uid="{00000000-0005-0000-0000-0000C3870000}"/>
    <cellStyle name="RIGs input cells 6 3 2 17" xfId="34540" xr:uid="{00000000-0005-0000-0000-0000C4870000}"/>
    <cellStyle name="RIGs input cells 6 3 2 18" xfId="34541" xr:uid="{00000000-0005-0000-0000-0000C5870000}"/>
    <cellStyle name="RIGs input cells 6 3 2 19" xfId="34542" xr:uid="{00000000-0005-0000-0000-0000C6870000}"/>
    <cellStyle name="RIGs input cells 6 3 2 2" xfId="34543" xr:uid="{00000000-0005-0000-0000-0000C7870000}"/>
    <cellStyle name="RIGs input cells 6 3 2 2 10" xfId="34544" xr:uid="{00000000-0005-0000-0000-0000C8870000}"/>
    <cellStyle name="RIGs input cells 6 3 2 2 11" xfId="34545" xr:uid="{00000000-0005-0000-0000-0000C9870000}"/>
    <cellStyle name="RIGs input cells 6 3 2 2 12" xfId="34546" xr:uid="{00000000-0005-0000-0000-0000CA870000}"/>
    <cellStyle name="RIGs input cells 6 3 2 2 13" xfId="34547" xr:uid="{00000000-0005-0000-0000-0000CB870000}"/>
    <cellStyle name="RIGs input cells 6 3 2 2 2" xfId="34548" xr:uid="{00000000-0005-0000-0000-0000CC870000}"/>
    <cellStyle name="RIGs input cells 6 3 2 2 2 2" xfId="34549" xr:uid="{00000000-0005-0000-0000-0000CD870000}"/>
    <cellStyle name="RIGs input cells 6 3 2 2 2 3" xfId="34550" xr:uid="{00000000-0005-0000-0000-0000CE870000}"/>
    <cellStyle name="RIGs input cells 6 3 2 2 3" xfId="34551" xr:uid="{00000000-0005-0000-0000-0000CF870000}"/>
    <cellStyle name="RIGs input cells 6 3 2 2 3 2" xfId="34552" xr:uid="{00000000-0005-0000-0000-0000D0870000}"/>
    <cellStyle name="RIGs input cells 6 3 2 2 3 3" xfId="34553" xr:uid="{00000000-0005-0000-0000-0000D1870000}"/>
    <cellStyle name="RIGs input cells 6 3 2 2 4" xfId="34554" xr:uid="{00000000-0005-0000-0000-0000D2870000}"/>
    <cellStyle name="RIGs input cells 6 3 2 2 5" xfId="34555" xr:uid="{00000000-0005-0000-0000-0000D3870000}"/>
    <cellStyle name="RIGs input cells 6 3 2 2 6" xfId="34556" xr:uid="{00000000-0005-0000-0000-0000D4870000}"/>
    <cellStyle name="RIGs input cells 6 3 2 2 7" xfId="34557" xr:uid="{00000000-0005-0000-0000-0000D5870000}"/>
    <cellStyle name="RIGs input cells 6 3 2 2 8" xfId="34558" xr:uid="{00000000-0005-0000-0000-0000D6870000}"/>
    <cellStyle name="RIGs input cells 6 3 2 2 9" xfId="34559" xr:uid="{00000000-0005-0000-0000-0000D7870000}"/>
    <cellStyle name="RIGs input cells 6 3 2 20" xfId="34560" xr:uid="{00000000-0005-0000-0000-0000D8870000}"/>
    <cellStyle name="RIGs input cells 6 3 2 21" xfId="34561" xr:uid="{00000000-0005-0000-0000-0000D9870000}"/>
    <cellStyle name="RIGs input cells 6 3 2 22" xfId="34562" xr:uid="{00000000-0005-0000-0000-0000DA870000}"/>
    <cellStyle name="RIGs input cells 6 3 2 23" xfId="34563" xr:uid="{00000000-0005-0000-0000-0000DB870000}"/>
    <cellStyle name="RIGs input cells 6 3 2 24" xfId="34564" xr:uid="{00000000-0005-0000-0000-0000DC870000}"/>
    <cellStyle name="RIGs input cells 6 3 2 25" xfId="34565" xr:uid="{00000000-0005-0000-0000-0000DD870000}"/>
    <cellStyle name="RIGs input cells 6 3 2 26" xfId="34566" xr:uid="{00000000-0005-0000-0000-0000DE870000}"/>
    <cellStyle name="RIGs input cells 6 3 2 27" xfId="34567" xr:uid="{00000000-0005-0000-0000-0000DF870000}"/>
    <cellStyle name="RIGs input cells 6 3 2 28" xfId="34568" xr:uid="{00000000-0005-0000-0000-0000E0870000}"/>
    <cellStyle name="RIGs input cells 6 3 2 29" xfId="34569" xr:uid="{00000000-0005-0000-0000-0000E1870000}"/>
    <cellStyle name="RIGs input cells 6 3 2 3" xfId="34570" xr:uid="{00000000-0005-0000-0000-0000E2870000}"/>
    <cellStyle name="RIGs input cells 6 3 2 3 2" xfId="34571" xr:uid="{00000000-0005-0000-0000-0000E3870000}"/>
    <cellStyle name="RIGs input cells 6 3 2 3 3" xfId="34572" xr:uid="{00000000-0005-0000-0000-0000E4870000}"/>
    <cellStyle name="RIGs input cells 6 3 2 30" xfId="34573" xr:uid="{00000000-0005-0000-0000-0000E5870000}"/>
    <cellStyle name="RIGs input cells 6 3 2 31" xfId="34574" xr:uid="{00000000-0005-0000-0000-0000E6870000}"/>
    <cellStyle name="RIGs input cells 6 3 2 32" xfId="34575" xr:uid="{00000000-0005-0000-0000-0000E7870000}"/>
    <cellStyle name="RIGs input cells 6 3 2 33" xfId="34576" xr:uid="{00000000-0005-0000-0000-0000E8870000}"/>
    <cellStyle name="RIGs input cells 6 3 2 34" xfId="34577" xr:uid="{00000000-0005-0000-0000-0000E9870000}"/>
    <cellStyle name="RIGs input cells 6 3 2 4" xfId="34578" xr:uid="{00000000-0005-0000-0000-0000EA870000}"/>
    <cellStyle name="RIGs input cells 6 3 2 4 2" xfId="34579" xr:uid="{00000000-0005-0000-0000-0000EB870000}"/>
    <cellStyle name="RIGs input cells 6 3 2 4 3" xfId="34580" xr:uid="{00000000-0005-0000-0000-0000EC870000}"/>
    <cellStyle name="RIGs input cells 6 3 2 5" xfId="34581" xr:uid="{00000000-0005-0000-0000-0000ED870000}"/>
    <cellStyle name="RIGs input cells 6 3 2 6" xfId="34582" xr:uid="{00000000-0005-0000-0000-0000EE870000}"/>
    <cellStyle name="RIGs input cells 6 3 2 7" xfId="34583" xr:uid="{00000000-0005-0000-0000-0000EF870000}"/>
    <cellStyle name="RIGs input cells 6 3 2 8" xfId="34584" xr:uid="{00000000-0005-0000-0000-0000F0870000}"/>
    <cellStyle name="RIGs input cells 6 3 2 9" xfId="34585" xr:uid="{00000000-0005-0000-0000-0000F1870000}"/>
    <cellStyle name="RIGs input cells 6 3 20" xfId="34586" xr:uid="{00000000-0005-0000-0000-0000F2870000}"/>
    <cellStyle name="RIGs input cells 6 3 21" xfId="34587" xr:uid="{00000000-0005-0000-0000-0000F3870000}"/>
    <cellStyle name="RIGs input cells 6 3 22" xfId="34588" xr:uid="{00000000-0005-0000-0000-0000F4870000}"/>
    <cellStyle name="RIGs input cells 6 3 23" xfId="34589" xr:uid="{00000000-0005-0000-0000-0000F5870000}"/>
    <cellStyle name="RIGs input cells 6 3 24" xfId="34590" xr:uid="{00000000-0005-0000-0000-0000F6870000}"/>
    <cellStyle name="RIGs input cells 6 3 25" xfId="34591" xr:uid="{00000000-0005-0000-0000-0000F7870000}"/>
    <cellStyle name="RIGs input cells 6 3 26" xfId="34592" xr:uid="{00000000-0005-0000-0000-0000F8870000}"/>
    <cellStyle name="RIGs input cells 6 3 27" xfId="34593" xr:uid="{00000000-0005-0000-0000-0000F9870000}"/>
    <cellStyle name="RIGs input cells 6 3 28" xfId="34594" xr:uid="{00000000-0005-0000-0000-0000FA870000}"/>
    <cellStyle name="RIGs input cells 6 3 29" xfId="34595" xr:uid="{00000000-0005-0000-0000-0000FB870000}"/>
    <cellStyle name="RIGs input cells 6 3 3" xfId="34596" xr:uid="{00000000-0005-0000-0000-0000FC870000}"/>
    <cellStyle name="RIGs input cells 6 3 3 10" xfId="34597" xr:uid="{00000000-0005-0000-0000-0000FD870000}"/>
    <cellStyle name="RIGs input cells 6 3 3 11" xfId="34598" xr:uid="{00000000-0005-0000-0000-0000FE870000}"/>
    <cellStyle name="RIGs input cells 6 3 3 12" xfId="34599" xr:uid="{00000000-0005-0000-0000-0000FF870000}"/>
    <cellStyle name="RIGs input cells 6 3 3 13" xfId="34600" xr:uid="{00000000-0005-0000-0000-000000880000}"/>
    <cellStyle name="RIGs input cells 6 3 3 2" xfId="34601" xr:uid="{00000000-0005-0000-0000-000001880000}"/>
    <cellStyle name="RIGs input cells 6 3 3 2 2" xfId="34602" xr:uid="{00000000-0005-0000-0000-000002880000}"/>
    <cellStyle name="RIGs input cells 6 3 3 2 3" xfId="34603" xr:uid="{00000000-0005-0000-0000-000003880000}"/>
    <cellStyle name="RIGs input cells 6 3 3 3" xfId="34604" xr:uid="{00000000-0005-0000-0000-000004880000}"/>
    <cellStyle name="RIGs input cells 6 3 3 3 2" xfId="34605" xr:uid="{00000000-0005-0000-0000-000005880000}"/>
    <cellStyle name="RIGs input cells 6 3 3 3 3" xfId="34606" xr:uid="{00000000-0005-0000-0000-000006880000}"/>
    <cellStyle name="RIGs input cells 6 3 3 4" xfId="34607" xr:uid="{00000000-0005-0000-0000-000007880000}"/>
    <cellStyle name="RIGs input cells 6 3 3 5" xfId="34608" xr:uid="{00000000-0005-0000-0000-000008880000}"/>
    <cellStyle name="RIGs input cells 6 3 3 6" xfId="34609" xr:uid="{00000000-0005-0000-0000-000009880000}"/>
    <cellStyle name="RIGs input cells 6 3 3 7" xfId="34610" xr:uid="{00000000-0005-0000-0000-00000A880000}"/>
    <cellStyle name="RIGs input cells 6 3 3 8" xfId="34611" xr:uid="{00000000-0005-0000-0000-00000B880000}"/>
    <cellStyle name="RIGs input cells 6 3 3 9" xfId="34612" xr:uid="{00000000-0005-0000-0000-00000C880000}"/>
    <cellStyle name="RIGs input cells 6 3 30" xfId="34613" xr:uid="{00000000-0005-0000-0000-00000D880000}"/>
    <cellStyle name="RIGs input cells 6 3 31" xfId="34614" xr:uid="{00000000-0005-0000-0000-00000E880000}"/>
    <cellStyle name="RIGs input cells 6 3 32" xfId="34615" xr:uid="{00000000-0005-0000-0000-00000F880000}"/>
    <cellStyle name="RIGs input cells 6 3 33" xfId="34616" xr:uid="{00000000-0005-0000-0000-000010880000}"/>
    <cellStyle name="RIGs input cells 6 3 34" xfId="34617" xr:uid="{00000000-0005-0000-0000-000011880000}"/>
    <cellStyle name="RIGs input cells 6 3 35" xfId="34618" xr:uid="{00000000-0005-0000-0000-000012880000}"/>
    <cellStyle name="RIGs input cells 6 3 4" xfId="34619" xr:uid="{00000000-0005-0000-0000-000013880000}"/>
    <cellStyle name="RIGs input cells 6 3 4 2" xfId="34620" xr:uid="{00000000-0005-0000-0000-000014880000}"/>
    <cellStyle name="RIGs input cells 6 3 4 3" xfId="34621" xr:uid="{00000000-0005-0000-0000-000015880000}"/>
    <cellStyle name="RIGs input cells 6 3 5" xfId="34622" xr:uid="{00000000-0005-0000-0000-000016880000}"/>
    <cellStyle name="RIGs input cells 6 3 5 2" xfId="34623" xr:uid="{00000000-0005-0000-0000-000017880000}"/>
    <cellStyle name="RIGs input cells 6 3 5 3" xfId="34624" xr:uid="{00000000-0005-0000-0000-000018880000}"/>
    <cellStyle name="RIGs input cells 6 3 6" xfId="34625" xr:uid="{00000000-0005-0000-0000-000019880000}"/>
    <cellStyle name="RIGs input cells 6 3 7" xfId="34626" xr:uid="{00000000-0005-0000-0000-00001A880000}"/>
    <cellStyle name="RIGs input cells 6 3 8" xfId="34627" xr:uid="{00000000-0005-0000-0000-00001B880000}"/>
    <cellStyle name="RIGs input cells 6 3 9" xfId="34628" xr:uid="{00000000-0005-0000-0000-00001C880000}"/>
    <cellStyle name="RIGs input cells 6 3_4 28 1_Asst_Health_Crit_AllTO_RIIO_20110714pm" xfId="34629" xr:uid="{00000000-0005-0000-0000-00001D880000}"/>
    <cellStyle name="RIGs input cells 6 30" xfId="34630" xr:uid="{00000000-0005-0000-0000-00001E880000}"/>
    <cellStyle name="RIGs input cells 6 31" xfId="34631" xr:uid="{00000000-0005-0000-0000-00001F880000}"/>
    <cellStyle name="RIGs input cells 6 32" xfId="34632" xr:uid="{00000000-0005-0000-0000-000020880000}"/>
    <cellStyle name="RIGs input cells 6 33" xfId="34633" xr:uid="{00000000-0005-0000-0000-000021880000}"/>
    <cellStyle name="RIGs input cells 6 34" xfId="34634" xr:uid="{00000000-0005-0000-0000-000022880000}"/>
    <cellStyle name="RIGs input cells 6 35" xfId="34635" xr:uid="{00000000-0005-0000-0000-000023880000}"/>
    <cellStyle name="RIGs input cells 6 36" xfId="34636" xr:uid="{00000000-0005-0000-0000-000024880000}"/>
    <cellStyle name="RIGs input cells 6 37" xfId="34637" xr:uid="{00000000-0005-0000-0000-000025880000}"/>
    <cellStyle name="RIGs input cells 6 38" xfId="34638" xr:uid="{00000000-0005-0000-0000-000026880000}"/>
    <cellStyle name="RIGs input cells 6 39" xfId="34639" xr:uid="{00000000-0005-0000-0000-000027880000}"/>
    <cellStyle name="RIGs input cells 6 4" xfId="34640" xr:uid="{00000000-0005-0000-0000-000028880000}"/>
    <cellStyle name="RIGs input cells 6 4 10" xfId="34641" xr:uid="{00000000-0005-0000-0000-000029880000}"/>
    <cellStyle name="RIGs input cells 6 4 11" xfId="34642" xr:uid="{00000000-0005-0000-0000-00002A880000}"/>
    <cellStyle name="RIGs input cells 6 4 12" xfId="34643" xr:uid="{00000000-0005-0000-0000-00002B880000}"/>
    <cellStyle name="RIGs input cells 6 4 13" xfId="34644" xr:uid="{00000000-0005-0000-0000-00002C880000}"/>
    <cellStyle name="RIGs input cells 6 4 14" xfId="34645" xr:uid="{00000000-0005-0000-0000-00002D880000}"/>
    <cellStyle name="RIGs input cells 6 4 15" xfId="34646" xr:uid="{00000000-0005-0000-0000-00002E880000}"/>
    <cellStyle name="RIGs input cells 6 4 16" xfId="34647" xr:uid="{00000000-0005-0000-0000-00002F880000}"/>
    <cellStyle name="RIGs input cells 6 4 17" xfId="34648" xr:uid="{00000000-0005-0000-0000-000030880000}"/>
    <cellStyle name="RIGs input cells 6 4 18" xfId="34649" xr:uid="{00000000-0005-0000-0000-000031880000}"/>
    <cellStyle name="RIGs input cells 6 4 19" xfId="34650" xr:uid="{00000000-0005-0000-0000-000032880000}"/>
    <cellStyle name="RIGs input cells 6 4 2" xfId="34651" xr:uid="{00000000-0005-0000-0000-000033880000}"/>
    <cellStyle name="RIGs input cells 6 4 2 10" xfId="34652" xr:uid="{00000000-0005-0000-0000-000034880000}"/>
    <cellStyle name="RIGs input cells 6 4 2 11" xfId="34653" xr:uid="{00000000-0005-0000-0000-000035880000}"/>
    <cellStyle name="RIGs input cells 6 4 2 12" xfId="34654" xr:uid="{00000000-0005-0000-0000-000036880000}"/>
    <cellStyle name="RIGs input cells 6 4 2 13" xfId="34655" xr:uid="{00000000-0005-0000-0000-000037880000}"/>
    <cellStyle name="RIGs input cells 6 4 2 2" xfId="34656" xr:uid="{00000000-0005-0000-0000-000038880000}"/>
    <cellStyle name="RIGs input cells 6 4 2 2 2" xfId="34657" xr:uid="{00000000-0005-0000-0000-000039880000}"/>
    <cellStyle name="RIGs input cells 6 4 2 2 3" xfId="34658" xr:uid="{00000000-0005-0000-0000-00003A880000}"/>
    <cellStyle name="RIGs input cells 6 4 2 3" xfId="34659" xr:uid="{00000000-0005-0000-0000-00003B880000}"/>
    <cellStyle name="RIGs input cells 6 4 2 3 2" xfId="34660" xr:uid="{00000000-0005-0000-0000-00003C880000}"/>
    <cellStyle name="RIGs input cells 6 4 2 3 3" xfId="34661" xr:uid="{00000000-0005-0000-0000-00003D880000}"/>
    <cellStyle name="RIGs input cells 6 4 2 4" xfId="34662" xr:uid="{00000000-0005-0000-0000-00003E880000}"/>
    <cellStyle name="RIGs input cells 6 4 2 5" xfId="34663" xr:uid="{00000000-0005-0000-0000-00003F880000}"/>
    <cellStyle name="RIGs input cells 6 4 2 6" xfId="34664" xr:uid="{00000000-0005-0000-0000-000040880000}"/>
    <cellStyle name="RIGs input cells 6 4 2 7" xfId="34665" xr:uid="{00000000-0005-0000-0000-000041880000}"/>
    <cellStyle name="RIGs input cells 6 4 2 8" xfId="34666" xr:uid="{00000000-0005-0000-0000-000042880000}"/>
    <cellStyle name="RIGs input cells 6 4 2 9" xfId="34667" xr:uid="{00000000-0005-0000-0000-000043880000}"/>
    <cellStyle name="RIGs input cells 6 4 20" xfId="34668" xr:uid="{00000000-0005-0000-0000-000044880000}"/>
    <cellStyle name="RIGs input cells 6 4 21" xfId="34669" xr:uid="{00000000-0005-0000-0000-000045880000}"/>
    <cellStyle name="RIGs input cells 6 4 22" xfId="34670" xr:uid="{00000000-0005-0000-0000-000046880000}"/>
    <cellStyle name="RIGs input cells 6 4 23" xfId="34671" xr:uid="{00000000-0005-0000-0000-000047880000}"/>
    <cellStyle name="RIGs input cells 6 4 24" xfId="34672" xr:uid="{00000000-0005-0000-0000-000048880000}"/>
    <cellStyle name="RIGs input cells 6 4 25" xfId="34673" xr:uid="{00000000-0005-0000-0000-000049880000}"/>
    <cellStyle name="RIGs input cells 6 4 26" xfId="34674" xr:uid="{00000000-0005-0000-0000-00004A880000}"/>
    <cellStyle name="RIGs input cells 6 4 27" xfId="34675" xr:uid="{00000000-0005-0000-0000-00004B880000}"/>
    <cellStyle name="RIGs input cells 6 4 28" xfId="34676" xr:uid="{00000000-0005-0000-0000-00004C880000}"/>
    <cellStyle name="RIGs input cells 6 4 29" xfId="34677" xr:uid="{00000000-0005-0000-0000-00004D880000}"/>
    <cellStyle name="RIGs input cells 6 4 3" xfId="34678" xr:uid="{00000000-0005-0000-0000-00004E880000}"/>
    <cellStyle name="RIGs input cells 6 4 3 2" xfId="34679" xr:uid="{00000000-0005-0000-0000-00004F880000}"/>
    <cellStyle name="RIGs input cells 6 4 3 3" xfId="34680" xr:uid="{00000000-0005-0000-0000-000050880000}"/>
    <cellStyle name="RIGs input cells 6 4 30" xfId="34681" xr:uid="{00000000-0005-0000-0000-000051880000}"/>
    <cellStyle name="RIGs input cells 6 4 31" xfId="34682" xr:uid="{00000000-0005-0000-0000-000052880000}"/>
    <cellStyle name="RIGs input cells 6 4 32" xfId="34683" xr:uid="{00000000-0005-0000-0000-000053880000}"/>
    <cellStyle name="RIGs input cells 6 4 33" xfId="34684" xr:uid="{00000000-0005-0000-0000-000054880000}"/>
    <cellStyle name="RIGs input cells 6 4 34" xfId="34685" xr:uid="{00000000-0005-0000-0000-000055880000}"/>
    <cellStyle name="RIGs input cells 6 4 4" xfId="34686" xr:uid="{00000000-0005-0000-0000-000056880000}"/>
    <cellStyle name="RIGs input cells 6 4 4 2" xfId="34687" xr:uid="{00000000-0005-0000-0000-000057880000}"/>
    <cellStyle name="RIGs input cells 6 4 4 3" xfId="34688" xr:uid="{00000000-0005-0000-0000-000058880000}"/>
    <cellStyle name="RIGs input cells 6 4 5" xfId="34689" xr:uid="{00000000-0005-0000-0000-000059880000}"/>
    <cellStyle name="RIGs input cells 6 4 6" xfId="34690" xr:uid="{00000000-0005-0000-0000-00005A880000}"/>
    <cellStyle name="RIGs input cells 6 4 7" xfId="34691" xr:uid="{00000000-0005-0000-0000-00005B880000}"/>
    <cellStyle name="RIGs input cells 6 4 8" xfId="34692" xr:uid="{00000000-0005-0000-0000-00005C880000}"/>
    <cellStyle name="RIGs input cells 6 4 9" xfId="34693" xr:uid="{00000000-0005-0000-0000-00005D880000}"/>
    <cellStyle name="RIGs input cells 6 5" xfId="34694" xr:uid="{00000000-0005-0000-0000-00005E880000}"/>
    <cellStyle name="RIGs input cells 6 5 10" xfId="34695" xr:uid="{00000000-0005-0000-0000-00005F880000}"/>
    <cellStyle name="RIGs input cells 6 5 11" xfId="34696" xr:uid="{00000000-0005-0000-0000-000060880000}"/>
    <cellStyle name="RIGs input cells 6 5 12" xfId="34697" xr:uid="{00000000-0005-0000-0000-000061880000}"/>
    <cellStyle name="RIGs input cells 6 5 13" xfId="34698" xr:uid="{00000000-0005-0000-0000-000062880000}"/>
    <cellStyle name="RIGs input cells 6 5 14" xfId="34699" xr:uid="{00000000-0005-0000-0000-000063880000}"/>
    <cellStyle name="RIGs input cells 6 5 15" xfId="34700" xr:uid="{00000000-0005-0000-0000-000064880000}"/>
    <cellStyle name="RIGs input cells 6 5 16" xfId="34701" xr:uid="{00000000-0005-0000-0000-000065880000}"/>
    <cellStyle name="RIGs input cells 6 5 17" xfId="34702" xr:uid="{00000000-0005-0000-0000-000066880000}"/>
    <cellStyle name="RIGs input cells 6 5 18" xfId="34703" xr:uid="{00000000-0005-0000-0000-000067880000}"/>
    <cellStyle name="RIGs input cells 6 5 19" xfId="34704" xr:uid="{00000000-0005-0000-0000-000068880000}"/>
    <cellStyle name="RIGs input cells 6 5 2" xfId="34705" xr:uid="{00000000-0005-0000-0000-000069880000}"/>
    <cellStyle name="RIGs input cells 6 5 2 10" xfId="34706" xr:uid="{00000000-0005-0000-0000-00006A880000}"/>
    <cellStyle name="RIGs input cells 6 5 2 11" xfId="34707" xr:uid="{00000000-0005-0000-0000-00006B880000}"/>
    <cellStyle name="RIGs input cells 6 5 2 12" xfId="34708" xr:uid="{00000000-0005-0000-0000-00006C880000}"/>
    <cellStyle name="RIGs input cells 6 5 2 13" xfId="34709" xr:uid="{00000000-0005-0000-0000-00006D880000}"/>
    <cellStyle name="RIGs input cells 6 5 2 2" xfId="34710" xr:uid="{00000000-0005-0000-0000-00006E880000}"/>
    <cellStyle name="RIGs input cells 6 5 2 2 2" xfId="34711" xr:uid="{00000000-0005-0000-0000-00006F880000}"/>
    <cellStyle name="RIGs input cells 6 5 2 2 3" xfId="34712" xr:uid="{00000000-0005-0000-0000-000070880000}"/>
    <cellStyle name="RIGs input cells 6 5 2 3" xfId="34713" xr:uid="{00000000-0005-0000-0000-000071880000}"/>
    <cellStyle name="RIGs input cells 6 5 2 3 2" xfId="34714" xr:uid="{00000000-0005-0000-0000-000072880000}"/>
    <cellStyle name="RIGs input cells 6 5 2 3 3" xfId="34715" xr:uid="{00000000-0005-0000-0000-000073880000}"/>
    <cellStyle name="RIGs input cells 6 5 2 4" xfId="34716" xr:uid="{00000000-0005-0000-0000-000074880000}"/>
    <cellStyle name="RIGs input cells 6 5 2 5" xfId="34717" xr:uid="{00000000-0005-0000-0000-000075880000}"/>
    <cellStyle name="RIGs input cells 6 5 2 6" xfId="34718" xr:uid="{00000000-0005-0000-0000-000076880000}"/>
    <cellStyle name="RIGs input cells 6 5 2 7" xfId="34719" xr:uid="{00000000-0005-0000-0000-000077880000}"/>
    <cellStyle name="RIGs input cells 6 5 2 8" xfId="34720" xr:uid="{00000000-0005-0000-0000-000078880000}"/>
    <cellStyle name="RIGs input cells 6 5 2 9" xfId="34721" xr:uid="{00000000-0005-0000-0000-000079880000}"/>
    <cellStyle name="RIGs input cells 6 5 20" xfId="34722" xr:uid="{00000000-0005-0000-0000-00007A880000}"/>
    <cellStyle name="RIGs input cells 6 5 21" xfId="34723" xr:uid="{00000000-0005-0000-0000-00007B880000}"/>
    <cellStyle name="RIGs input cells 6 5 22" xfId="34724" xr:uid="{00000000-0005-0000-0000-00007C880000}"/>
    <cellStyle name="RIGs input cells 6 5 23" xfId="34725" xr:uid="{00000000-0005-0000-0000-00007D880000}"/>
    <cellStyle name="RIGs input cells 6 5 24" xfId="34726" xr:uid="{00000000-0005-0000-0000-00007E880000}"/>
    <cellStyle name="RIGs input cells 6 5 25" xfId="34727" xr:uid="{00000000-0005-0000-0000-00007F880000}"/>
    <cellStyle name="RIGs input cells 6 5 26" xfId="34728" xr:uid="{00000000-0005-0000-0000-000080880000}"/>
    <cellStyle name="RIGs input cells 6 5 27" xfId="34729" xr:uid="{00000000-0005-0000-0000-000081880000}"/>
    <cellStyle name="RIGs input cells 6 5 28" xfId="34730" xr:uid="{00000000-0005-0000-0000-000082880000}"/>
    <cellStyle name="RIGs input cells 6 5 29" xfId="34731" xr:uid="{00000000-0005-0000-0000-000083880000}"/>
    <cellStyle name="RIGs input cells 6 5 3" xfId="34732" xr:uid="{00000000-0005-0000-0000-000084880000}"/>
    <cellStyle name="RIGs input cells 6 5 3 2" xfId="34733" xr:uid="{00000000-0005-0000-0000-000085880000}"/>
    <cellStyle name="RIGs input cells 6 5 3 3" xfId="34734" xr:uid="{00000000-0005-0000-0000-000086880000}"/>
    <cellStyle name="RIGs input cells 6 5 30" xfId="34735" xr:uid="{00000000-0005-0000-0000-000087880000}"/>
    <cellStyle name="RIGs input cells 6 5 31" xfId="34736" xr:uid="{00000000-0005-0000-0000-000088880000}"/>
    <cellStyle name="RIGs input cells 6 5 32" xfId="34737" xr:uid="{00000000-0005-0000-0000-000089880000}"/>
    <cellStyle name="RIGs input cells 6 5 33" xfId="34738" xr:uid="{00000000-0005-0000-0000-00008A880000}"/>
    <cellStyle name="RIGs input cells 6 5 34" xfId="34739" xr:uid="{00000000-0005-0000-0000-00008B880000}"/>
    <cellStyle name="RIGs input cells 6 5 4" xfId="34740" xr:uid="{00000000-0005-0000-0000-00008C880000}"/>
    <cellStyle name="RIGs input cells 6 5 4 2" xfId="34741" xr:uid="{00000000-0005-0000-0000-00008D880000}"/>
    <cellStyle name="RIGs input cells 6 5 4 3" xfId="34742" xr:uid="{00000000-0005-0000-0000-00008E880000}"/>
    <cellStyle name="RIGs input cells 6 5 5" xfId="34743" xr:uid="{00000000-0005-0000-0000-00008F880000}"/>
    <cellStyle name="RIGs input cells 6 5 6" xfId="34744" xr:uid="{00000000-0005-0000-0000-000090880000}"/>
    <cellStyle name="RIGs input cells 6 5 7" xfId="34745" xr:uid="{00000000-0005-0000-0000-000091880000}"/>
    <cellStyle name="RIGs input cells 6 5 8" xfId="34746" xr:uid="{00000000-0005-0000-0000-000092880000}"/>
    <cellStyle name="RIGs input cells 6 5 9" xfId="34747" xr:uid="{00000000-0005-0000-0000-000093880000}"/>
    <cellStyle name="RIGs input cells 6 6" xfId="34748" xr:uid="{00000000-0005-0000-0000-000094880000}"/>
    <cellStyle name="RIGs input cells 6 6 10" xfId="34749" xr:uid="{00000000-0005-0000-0000-000095880000}"/>
    <cellStyle name="RIGs input cells 6 6 11" xfId="34750" xr:uid="{00000000-0005-0000-0000-000096880000}"/>
    <cellStyle name="RIGs input cells 6 6 12" xfId="34751" xr:uid="{00000000-0005-0000-0000-000097880000}"/>
    <cellStyle name="RIGs input cells 6 6 13" xfId="34752" xr:uid="{00000000-0005-0000-0000-000098880000}"/>
    <cellStyle name="RIGs input cells 6 6 2" xfId="34753" xr:uid="{00000000-0005-0000-0000-000099880000}"/>
    <cellStyle name="RIGs input cells 6 6 2 2" xfId="34754" xr:uid="{00000000-0005-0000-0000-00009A880000}"/>
    <cellStyle name="RIGs input cells 6 6 2 3" xfId="34755" xr:uid="{00000000-0005-0000-0000-00009B880000}"/>
    <cellStyle name="RIGs input cells 6 6 3" xfId="34756" xr:uid="{00000000-0005-0000-0000-00009C880000}"/>
    <cellStyle name="RIGs input cells 6 6 3 2" xfId="34757" xr:uid="{00000000-0005-0000-0000-00009D880000}"/>
    <cellStyle name="RIGs input cells 6 6 3 3" xfId="34758" xr:uid="{00000000-0005-0000-0000-00009E880000}"/>
    <cellStyle name="RIGs input cells 6 6 4" xfId="34759" xr:uid="{00000000-0005-0000-0000-00009F880000}"/>
    <cellStyle name="RIGs input cells 6 6 5" xfId="34760" xr:uid="{00000000-0005-0000-0000-0000A0880000}"/>
    <cellStyle name="RIGs input cells 6 6 6" xfId="34761" xr:uid="{00000000-0005-0000-0000-0000A1880000}"/>
    <cellStyle name="RIGs input cells 6 6 7" xfId="34762" xr:uid="{00000000-0005-0000-0000-0000A2880000}"/>
    <cellStyle name="RIGs input cells 6 6 8" xfId="34763" xr:uid="{00000000-0005-0000-0000-0000A3880000}"/>
    <cellStyle name="RIGs input cells 6 6 9" xfId="34764" xr:uid="{00000000-0005-0000-0000-0000A4880000}"/>
    <cellStyle name="RIGs input cells 6 7" xfId="34765" xr:uid="{00000000-0005-0000-0000-0000A5880000}"/>
    <cellStyle name="RIGs input cells 6 7 2" xfId="34766" xr:uid="{00000000-0005-0000-0000-0000A6880000}"/>
    <cellStyle name="RIGs input cells 6 7 2 2" xfId="34767" xr:uid="{00000000-0005-0000-0000-0000A7880000}"/>
    <cellStyle name="RIGs input cells 6 7 2 3" xfId="34768" xr:uid="{00000000-0005-0000-0000-0000A8880000}"/>
    <cellStyle name="RIGs input cells 6 7 3" xfId="34769" xr:uid="{00000000-0005-0000-0000-0000A9880000}"/>
    <cellStyle name="RIGs input cells 6 7 3 2" xfId="34770" xr:uid="{00000000-0005-0000-0000-0000AA880000}"/>
    <cellStyle name="RIGs input cells 6 7 4" xfId="34771" xr:uid="{00000000-0005-0000-0000-0000AB880000}"/>
    <cellStyle name="RIGs input cells 6 8" xfId="34772" xr:uid="{00000000-0005-0000-0000-0000AC880000}"/>
    <cellStyle name="RIGs input cells 6 8 2" xfId="34773" xr:uid="{00000000-0005-0000-0000-0000AD880000}"/>
    <cellStyle name="RIGs input cells 6 9" xfId="34774" xr:uid="{00000000-0005-0000-0000-0000AE880000}"/>
    <cellStyle name="RIGs input cells 6 9 2" xfId="34775" xr:uid="{00000000-0005-0000-0000-0000AF880000}"/>
    <cellStyle name="RIGs input cells 6_1.3s Accounting C Costs Scots" xfId="34776" xr:uid="{00000000-0005-0000-0000-0000B0880000}"/>
    <cellStyle name="RIGs input cells 7" xfId="34777" xr:uid="{00000000-0005-0000-0000-0000B1880000}"/>
    <cellStyle name="RIGs input cells 7 10" xfId="34778" xr:uid="{00000000-0005-0000-0000-0000B2880000}"/>
    <cellStyle name="RIGs input cells 7 10 2" xfId="34779" xr:uid="{00000000-0005-0000-0000-0000B3880000}"/>
    <cellStyle name="RIGs input cells 7 11" xfId="34780" xr:uid="{00000000-0005-0000-0000-0000B4880000}"/>
    <cellStyle name="RIGs input cells 7 11 2" xfId="34781" xr:uid="{00000000-0005-0000-0000-0000B5880000}"/>
    <cellStyle name="RIGs input cells 7 12" xfId="34782" xr:uid="{00000000-0005-0000-0000-0000B6880000}"/>
    <cellStyle name="RIGs input cells 7 12 2" xfId="34783" xr:uid="{00000000-0005-0000-0000-0000B7880000}"/>
    <cellStyle name="RIGs input cells 7 13" xfId="34784" xr:uid="{00000000-0005-0000-0000-0000B8880000}"/>
    <cellStyle name="RIGs input cells 7 13 2" xfId="34785" xr:uid="{00000000-0005-0000-0000-0000B9880000}"/>
    <cellStyle name="RIGs input cells 7 14" xfId="34786" xr:uid="{00000000-0005-0000-0000-0000BA880000}"/>
    <cellStyle name="RIGs input cells 7 14 2" xfId="34787" xr:uid="{00000000-0005-0000-0000-0000BB880000}"/>
    <cellStyle name="RIGs input cells 7 15" xfId="34788" xr:uid="{00000000-0005-0000-0000-0000BC880000}"/>
    <cellStyle name="RIGs input cells 7 15 2" xfId="34789" xr:uid="{00000000-0005-0000-0000-0000BD880000}"/>
    <cellStyle name="RIGs input cells 7 16" xfId="34790" xr:uid="{00000000-0005-0000-0000-0000BE880000}"/>
    <cellStyle name="RIGs input cells 7 16 2" xfId="34791" xr:uid="{00000000-0005-0000-0000-0000BF880000}"/>
    <cellStyle name="RIGs input cells 7 17" xfId="34792" xr:uid="{00000000-0005-0000-0000-0000C0880000}"/>
    <cellStyle name="RIGs input cells 7 17 2" xfId="34793" xr:uid="{00000000-0005-0000-0000-0000C1880000}"/>
    <cellStyle name="RIGs input cells 7 18" xfId="34794" xr:uid="{00000000-0005-0000-0000-0000C2880000}"/>
    <cellStyle name="RIGs input cells 7 18 2" xfId="34795" xr:uid="{00000000-0005-0000-0000-0000C3880000}"/>
    <cellStyle name="RIGs input cells 7 19" xfId="34796" xr:uid="{00000000-0005-0000-0000-0000C4880000}"/>
    <cellStyle name="RIGs input cells 7 19 2" xfId="34797" xr:uid="{00000000-0005-0000-0000-0000C5880000}"/>
    <cellStyle name="RIGs input cells 7 2" xfId="34798" xr:uid="{00000000-0005-0000-0000-0000C6880000}"/>
    <cellStyle name="RIGs input cells 7 2 10" xfId="34799" xr:uid="{00000000-0005-0000-0000-0000C7880000}"/>
    <cellStyle name="RIGs input cells 7 2 10 2" xfId="34800" xr:uid="{00000000-0005-0000-0000-0000C8880000}"/>
    <cellStyle name="RIGs input cells 7 2 11" xfId="34801" xr:uid="{00000000-0005-0000-0000-0000C9880000}"/>
    <cellStyle name="RIGs input cells 7 2 11 2" xfId="34802" xr:uid="{00000000-0005-0000-0000-0000CA880000}"/>
    <cellStyle name="RIGs input cells 7 2 12" xfId="34803" xr:uid="{00000000-0005-0000-0000-0000CB880000}"/>
    <cellStyle name="RIGs input cells 7 2 12 2" xfId="34804" xr:uid="{00000000-0005-0000-0000-0000CC880000}"/>
    <cellStyle name="RIGs input cells 7 2 13" xfId="34805" xr:uid="{00000000-0005-0000-0000-0000CD880000}"/>
    <cellStyle name="RIGs input cells 7 2 13 2" xfId="34806" xr:uid="{00000000-0005-0000-0000-0000CE880000}"/>
    <cellStyle name="RIGs input cells 7 2 14" xfId="34807" xr:uid="{00000000-0005-0000-0000-0000CF880000}"/>
    <cellStyle name="RIGs input cells 7 2 14 2" xfId="34808" xr:uid="{00000000-0005-0000-0000-0000D0880000}"/>
    <cellStyle name="RIGs input cells 7 2 15" xfId="34809" xr:uid="{00000000-0005-0000-0000-0000D1880000}"/>
    <cellStyle name="RIGs input cells 7 2 15 2" xfId="34810" xr:uid="{00000000-0005-0000-0000-0000D2880000}"/>
    <cellStyle name="RIGs input cells 7 2 16" xfId="34811" xr:uid="{00000000-0005-0000-0000-0000D3880000}"/>
    <cellStyle name="RIGs input cells 7 2 16 2" xfId="34812" xr:uid="{00000000-0005-0000-0000-0000D4880000}"/>
    <cellStyle name="RIGs input cells 7 2 17" xfId="34813" xr:uid="{00000000-0005-0000-0000-0000D5880000}"/>
    <cellStyle name="RIGs input cells 7 2 17 2" xfId="34814" xr:uid="{00000000-0005-0000-0000-0000D6880000}"/>
    <cellStyle name="RIGs input cells 7 2 18" xfId="34815" xr:uid="{00000000-0005-0000-0000-0000D7880000}"/>
    <cellStyle name="RIGs input cells 7 2 18 2" xfId="34816" xr:uid="{00000000-0005-0000-0000-0000D8880000}"/>
    <cellStyle name="RIGs input cells 7 2 19" xfId="34817" xr:uid="{00000000-0005-0000-0000-0000D9880000}"/>
    <cellStyle name="RIGs input cells 7 2 19 2" xfId="34818" xr:uid="{00000000-0005-0000-0000-0000DA880000}"/>
    <cellStyle name="RIGs input cells 7 2 2" xfId="34819" xr:uid="{00000000-0005-0000-0000-0000DB880000}"/>
    <cellStyle name="RIGs input cells 7 2 2 10" xfId="34820" xr:uid="{00000000-0005-0000-0000-0000DC880000}"/>
    <cellStyle name="RIGs input cells 7 2 2 11" xfId="34821" xr:uid="{00000000-0005-0000-0000-0000DD880000}"/>
    <cellStyle name="RIGs input cells 7 2 2 12" xfId="34822" xr:uid="{00000000-0005-0000-0000-0000DE880000}"/>
    <cellStyle name="RIGs input cells 7 2 2 13" xfId="34823" xr:uid="{00000000-0005-0000-0000-0000DF880000}"/>
    <cellStyle name="RIGs input cells 7 2 2 14" xfId="34824" xr:uid="{00000000-0005-0000-0000-0000E0880000}"/>
    <cellStyle name="RIGs input cells 7 2 2 15" xfId="34825" xr:uid="{00000000-0005-0000-0000-0000E1880000}"/>
    <cellStyle name="RIGs input cells 7 2 2 16" xfId="34826" xr:uid="{00000000-0005-0000-0000-0000E2880000}"/>
    <cellStyle name="RIGs input cells 7 2 2 17" xfId="34827" xr:uid="{00000000-0005-0000-0000-0000E3880000}"/>
    <cellStyle name="RIGs input cells 7 2 2 18" xfId="34828" xr:uid="{00000000-0005-0000-0000-0000E4880000}"/>
    <cellStyle name="RIGs input cells 7 2 2 19" xfId="34829" xr:uid="{00000000-0005-0000-0000-0000E5880000}"/>
    <cellStyle name="RIGs input cells 7 2 2 2" xfId="34830" xr:uid="{00000000-0005-0000-0000-0000E6880000}"/>
    <cellStyle name="RIGs input cells 7 2 2 2 10" xfId="34831" xr:uid="{00000000-0005-0000-0000-0000E7880000}"/>
    <cellStyle name="RIGs input cells 7 2 2 2 11" xfId="34832" xr:uid="{00000000-0005-0000-0000-0000E8880000}"/>
    <cellStyle name="RIGs input cells 7 2 2 2 12" xfId="34833" xr:uid="{00000000-0005-0000-0000-0000E9880000}"/>
    <cellStyle name="RIGs input cells 7 2 2 2 13" xfId="34834" xr:uid="{00000000-0005-0000-0000-0000EA880000}"/>
    <cellStyle name="RIGs input cells 7 2 2 2 14" xfId="34835" xr:uid="{00000000-0005-0000-0000-0000EB880000}"/>
    <cellStyle name="RIGs input cells 7 2 2 2 15" xfId="34836" xr:uid="{00000000-0005-0000-0000-0000EC880000}"/>
    <cellStyle name="RIGs input cells 7 2 2 2 16" xfId="34837" xr:uid="{00000000-0005-0000-0000-0000ED880000}"/>
    <cellStyle name="RIGs input cells 7 2 2 2 17" xfId="34838" xr:uid="{00000000-0005-0000-0000-0000EE880000}"/>
    <cellStyle name="RIGs input cells 7 2 2 2 18" xfId="34839" xr:uid="{00000000-0005-0000-0000-0000EF880000}"/>
    <cellStyle name="RIGs input cells 7 2 2 2 19" xfId="34840" xr:uid="{00000000-0005-0000-0000-0000F0880000}"/>
    <cellStyle name="RIGs input cells 7 2 2 2 2" xfId="34841" xr:uid="{00000000-0005-0000-0000-0000F1880000}"/>
    <cellStyle name="RIGs input cells 7 2 2 2 2 10" xfId="34842" xr:uid="{00000000-0005-0000-0000-0000F2880000}"/>
    <cellStyle name="RIGs input cells 7 2 2 2 2 11" xfId="34843" xr:uid="{00000000-0005-0000-0000-0000F3880000}"/>
    <cellStyle name="RIGs input cells 7 2 2 2 2 12" xfId="34844" xr:uid="{00000000-0005-0000-0000-0000F4880000}"/>
    <cellStyle name="RIGs input cells 7 2 2 2 2 13" xfId="34845" xr:uid="{00000000-0005-0000-0000-0000F5880000}"/>
    <cellStyle name="RIGs input cells 7 2 2 2 2 2" xfId="34846" xr:uid="{00000000-0005-0000-0000-0000F6880000}"/>
    <cellStyle name="RIGs input cells 7 2 2 2 2 2 2" xfId="34847" xr:uid="{00000000-0005-0000-0000-0000F7880000}"/>
    <cellStyle name="RIGs input cells 7 2 2 2 2 2 3" xfId="34848" xr:uid="{00000000-0005-0000-0000-0000F8880000}"/>
    <cellStyle name="RIGs input cells 7 2 2 2 2 3" xfId="34849" xr:uid="{00000000-0005-0000-0000-0000F9880000}"/>
    <cellStyle name="RIGs input cells 7 2 2 2 2 3 2" xfId="34850" xr:uid="{00000000-0005-0000-0000-0000FA880000}"/>
    <cellStyle name="RIGs input cells 7 2 2 2 2 3 3" xfId="34851" xr:uid="{00000000-0005-0000-0000-0000FB880000}"/>
    <cellStyle name="RIGs input cells 7 2 2 2 2 4" xfId="34852" xr:uid="{00000000-0005-0000-0000-0000FC880000}"/>
    <cellStyle name="RIGs input cells 7 2 2 2 2 5" xfId="34853" xr:uid="{00000000-0005-0000-0000-0000FD880000}"/>
    <cellStyle name="RIGs input cells 7 2 2 2 2 6" xfId="34854" xr:uid="{00000000-0005-0000-0000-0000FE880000}"/>
    <cellStyle name="RIGs input cells 7 2 2 2 2 7" xfId="34855" xr:uid="{00000000-0005-0000-0000-0000FF880000}"/>
    <cellStyle name="RIGs input cells 7 2 2 2 2 8" xfId="34856" xr:uid="{00000000-0005-0000-0000-000000890000}"/>
    <cellStyle name="RIGs input cells 7 2 2 2 2 9" xfId="34857" xr:uid="{00000000-0005-0000-0000-000001890000}"/>
    <cellStyle name="RIGs input cells 7 2 2 2 20" xfId="34858" xr:uid="{00000000-0005-0000-0000-000002890000}"/>
    <cellStyle name="RIGs input cells 7 2 2 2 21" xfId="34859" xr:uid="{00000000-0005-0000-0000-000003890000}"/>
    <cellStyle name="RIGs input cells 7 2 2 2 22" xfId="34860" xr:uid="{00000000-0005-0000-0000-000004890000}"/>
    <cellStyle name="RIGs input cells 7 2 2 2 23" xfId="34861" xr:uid="{00000000-0005-0000-0000-000005890000}"/>
    <cellStyle name="RIGs input cells 7 2 2 2 24" xfId="34862" xr:uid="{00000000-0005-0000-0000-000006890000}"/>
    <cellStyle name="RIGs input cells 7 2 2 2 25" xfId="34863" xr:uid="{00000000-0005-0000-0000-000007890000}"/>
    <cellStyle name="RIGs input cells 7 2 2 2 26" xfId="34864" xr:uid="{00000000-0005-0000-0000-000008890000}"/>
    <cellStyle name="RIGs input cells 7 2 2 2 27" xfId="34865" xr:uid="{00000000-0005-0000-0000-000009890000}"/>
    <cellStyle name="RIGs input cells 7 2 2 2 28" xfId="34866" xr:uid="{00000000-0005-0000-0000-00000A890000}"/>
    <cellStyle name="RIGs input cells 7 2 2 2 29" xfId="34867" xr:uid="{00000000-0005-0000-0000-00000B890000}"/>
    <cellStyle name="RIGs input cells 7 2 2 2 3" xfId="34868" xr:uid="{00000000-0005-0000-0000-00000C890000}"/>
    <cellStyle name="RIGs input cells 7 2 2 2 3 2" xfId="34869" xr:uid="{00000000-0005-0000-0000-00000D890000}"/>
    <cellStyle name="RIGs input cells 7 2 2 2 3 3" xfId="34870" xr:uid="{00000000-0005-0000-0000-00000E890000}"/>
    <cellStyle name="RIGs input cells 7 2 2 2 30" xfId="34871" xr:uid="{00000000-0005-0000-0000-00000F890000}"/>
    <cellStyle name="RIGs input cells 7 2 2 2 31" xfId="34872" xr:uid="{00000000-0005-0000-0000-000010890000}"/>
    <cellStyle name="RIGs input cells 7 2 2 2 32" xfId="34873" xr:uid="{00000000-0005-0000-0000-000011890000}"/>
    <cellStyle name="RIGs input cells 7 2 2 2 33" xfId="34874" xr:uid="{00000000-0005-0000-0000-000012890000}"/>
    <cellStyle name="RIGs input cells 7 2 2 2 34" xfId="34875" xr:uid="{00000000-0005-0000-0000-000013890000}"/>
    <cellStyle name="RIGs input cells 7 2 2 2 4" xfId="34876" xr:uid="{00000000-0005-0000-0000-000014890000}"/>
    <cellStyle name="RIGs input cells 7 2 2 2 4 2" xfId="34877" xr:uid="{00000000-0005-0000-0000-000015890000}"/>
    <cellStyle name="RIGs input cells 7 2 2 2 4 3" xfId="34878" xr:uid="{00000000-0005-0000-0000-000016890000}"/>
    <cellStyle name="RIGs input cells 7 2 2 2 5" xfId="34879" xr:uid="{00000000-0005-0000-0000-000017890000}"/>
    <cellStyle name="RIGs input cells 7 2 2 2 6" xfId="34880" xr:uid="{00000000-0005-0000-0000-000018890000}"/>
    <cellStyle name="RIGs input cells 7 2 2 2 7" xfId="34881" xr:uid="{00000000-0005-0000-0000-000019890000}"/>
    <cellStyle name="RIGs input cells 7 2 2 2 8" xfId="34882" xr:uid="{00000000-0005-0000-0000-00001A890000}"/>
    <cellStyle name="RIGs input cells 7 2 2 2 9" xfId="34883" xr:uid="{00000000-0005-0000-0000-00001B890000}"/>
    <cellStyle name="RIGs input cells 7 2 2 20" xfId="34884" xr:uid="{00000000-0005-0000-0000-00001C890000}"/>
    <cellStyle name="RIGs input cells 7 2 2 21" xfId="34885" xr:uid="{00000000-0005-0000-0000-00001D890000}"/>
    <cellStyle name="RIGs input cells 7 2 2 22" xfId="34886" xr:uid="{00000000-0005-0000-0000-00001E890000}"/>
    <cellStyle name="RIGs input cells 7 2 2 23" xfId="34887" xr:uid="{00000000-0005-0000-0000-00001F890000}"/>
    <cellStyle name="RIGs input cells 7 2 2 24" xfId="34888" xr:uid="{00000000-0005-0000-0000-000020890000}"/>
    <cellStyle name="RIGs input cells 7 2 2 25" xfId="34889" xr:uid="{00000000-0005-0000-0000-000021890000}"/>
    <cellStyle name="RIGs input cells 7 2 2 26" xfId="34890" xr:uid="{00000000-0005-0000-0000-000022890000}"/>
    <cellStyle name="RIGs input cells 7 2 2 27" xfId="34891" xr:uid="{00000000-0005-0000-0000-000023890000}"/>
    <cellStyle name="RIGs input cells 7 2 2 28" xfId="34892" xr:uid="{00000000-0005-0000-0000-000024890000}"/>
    <cellStyle name="RIGs input cells 7 2 2 29" xfId="34893" xr:uid="{00000000-0005-0000-0000-000025890000}"/>
    <cellStyle name="RIGs input cells 7 2 2 3" xfId="34894" xr:uid="{00000000-0005-0000-0000-000026890000}"/>
    <cellStyle name="RIGs input cells 7 2 2 3 10" xfId="34895" xr:uid="{00000000-0005-0000-0000-000027890000}"/>
    <cellStyle name="RIGs input cells 7 2 2 3 11" xfId="34896" xr:uid="{00000000-0005-0000-0000-000028890000}"/>
    <cellStyle name="RIGs input cells 7 2 2 3 12" xfId="34897" xr:uid="{00000000-0005-0000-0000-000029890000}"/>
    <cellStyle name="RIGs input cells 7 2 2 3 13" xfId="34898" xr:uid="{00000000-0005-0000-0000-00002A890000}"/>
    <cellStyle name="RIGs input cells 7 2 2 3 2" xfId="34899" xr:uid="{00000000-0005-0000-0000-00002B890000}"/>
    <cellStyle name="RIGs input cells 7 2 2 3 2 2" xfId="34900" xr:uid="{00000000-0005-0000-0000-00002C890000}"/>
    <cellStyle name="RIGs input cells 7 2 2 3 2 3" xfId="34901" xr:uid="{00000000-0005-0000-0000-00002D890000}"/>
    <cellStyle name="RIGs input cells 7 2 2 3 3" xfId="34902" xr:uid="{00000000-0005-0000-0000-00002E890000}"/>
    <cellStyle name="RIGs input cells 7 2 2 3 3 2" xfId="34903" xr:uid="{00000000-0005-0000-0000-00002F890000}"/>
    <cellStyle name="RIGs input cells 7 2 2 3 3 3" xfId="34904" xr:uid="{00000000-0005-0000-0000-000030890000}"/>
    <cellStyle name="RIGs input cells 7 2 2 3 4" xfId="34905" xr:uid="{00000000-0005-0000-0000-000031890000}"/>
    <cellStyle name="RIGs input cells 7 2 2 3 5" xfId="34906" xr:uid="{00000000-0005-0000-0000-000032890000}"/>
    <cellStyle name="RIGs input cells 7 2 2 3 6" xfId="34907" xr:uid="{00000000-0005-0000-0000-000033890000}"/>
    <cellStyle name="RIGs input cells 7 2 2 3 7" xfId="34908" xr:uid="{00000000-0005-0000-0000-000034890000}"/>
    <cellStyle name="RIGs input cells 7 2 2 3 8" xfId="34909" xr:uid="{00000000-0005-0000-0000-000035890000}"/>
    <cellStyle name="RIGs input cells 7 2 2 3 9" xfId="34910" xr:uid="{00000000-0005-0000-0000-000036890000}"/>
    <cellStyle name="RIGs input cells 7 2 2 30" xfId="34911" xr:uid="{00000000-0005-0000-0000-000037890000}"/>
    <cellStyle name="RIGs input cells 7 2 2 31" xfId="34912" xr:uid="{00000000-0005-0000-0000-000038890000}"/>
    <cellStyle name="RIGs input cells 7 2 2 4" xfId="34913" xr:uid="{00000000-0005-0000-0000-000039890000}"/>
    <cellStyle name="RIGs input cells 7 2 2 4 2" xfId="34914" xr:uid="{00000000-0005-0000-0000-00003A890000}"/>
    <cellStyle name="RIGs input cells 7 2 2 4 3" xfId="34915" xr:uid="{00000000-0005-0000-0000-00003B890000}"/>
    <cellStyle name="RIGs input cells 7 2 2 5" xfId="34916" xr:uid="{00000000-0005-0000-0000-00003C890000}"/>
    <cellStyle name="RIGs input cells 7 2 2 5 2" xfId="34917" xr:uid="{00000000-0005-0000-0000-00003D890000}"/>
    <cellStyle name="RIGs input cells 7 2 2 5 3" xfId="34918" xr:uid="{00000000-0005-0000-0000-00003E890000}"/>
    <cellStyle name="RIGs input cells 7 2 2 6" xfId="34919" xr:uid="{00000000-0005-0000-0000-00003F890000}"/>
    <cellStyle name="RIGs input cells 7 2 2 7" xfId="34920" xr:uid="{00000000-0005-0000-0000-000040890000}"/>
    <cellStyle name="RIGs input cells 7 2 2 8" xfId="34921" xr:uid="{00000000-0005-0000-0000-000041890000}"/>
    <cellStyle name="RIGs input cells 7 2 2 9" xfId="34922" xr:uid="{00000000-0005-0000-0000-000042890000}"/>
    <cellStyle name="RIGs input cells 7 2 2_4 28 1_Asst_Health_Crit_AllTO_RIIO_20110714pm" xfId="34923" xr:uid="{00000000-0005-0000-0000-000043890000}"/>
    <cellStyle name="RIGs input cells 7 2 20" xfId="34924" xr:uid="{00000000-0005-0000-0000-000044890000}"/>
    <cellStyle name="RIGs input cells 7 2 20 2" xfId="34925" xr:uid="{00000000-0005-0000-0000-000045890000}"/>
    <cellStyle name="RIGs input cells 7 2 21" xfId="34926" xr:uid="{00000000-0005-0000-0000-000046890000}"/>
    <cellStyle name="RIGs input cells 7 2 21 2" xfId="34927" xr:uid="{00000000-0005-0000-0000-000047890000}"/>
    <cellStyle name="RIGs input cells 7 2 22" xfId="34928" xr:uid="{00000000-0005-0000-0000-000048890000}"/>
    <cellStyle name="RIGs input cells 7 2 22 2" xfId="34929" xr:uid="{00000000-0005-0000-0000-000049890000}"/>
    <cellStyle name="RIGs input cells 7 2 23" xfId="34930" xr:uid="{00000000-0005-0000-0000-00004A890000}"/>
    <cellStyle name="RIGs input cells 7 2 23 2" xfId="34931" xr:uid="{00000000-0005-0000-0000-00004B890000}"/>
    <cellStyle name="RIGs input cells 7 2 24" xfId="34932" xr:uid="{00000000-0005-0000-0000-00004C890000}"/>
    <cellStyle name="RIGs input cells 7 2 24 2" xfId="34933" xr:uid="{00000000-0005-0000-0000-00004D890000}"/>
    <cellStyle name="RIGs input cells 7 2 25" xfId="34934" xr:uid="{00000000-0005-0000-0000-00004E890000}"/>
    <cellStyle name="RIGs input cells 7 2 25 2" xfId="34935" xr:uid="{00000000-0005-0000-0000-00004F890000}"/>
    <cellStyle name="RIGs input cells 7 2 26" xfId="34936" xr:uid="{00000000-0005-0000-0000-000050890000}"/>
    <cellStyle name="RIGs input cells 7 2 27" xfId="34937" xr:uid="{00000000-0005-0000-0000-000051890000}"/>
    <cellStyle name="RIGs input cells 7 2 28" xfId="34938" xr:uid="{00000000-0005-0000-0000-000052890000}"/>
    <cellStyle name="RIGs input cells 7 2 29" xfId="34939" xr:uid="{00000000-0005-0000-0000-000053890000}"/>
    <cellStyle name="RIGs input cells 7 2 3" xfId="34940" xr:uid="{00000000-0005-0000-0000-000054890000}"/>
    <cellStyle name="RIGs input cells 7 2 3 10" xfId="34941" xr:uid="{00000000-0005-0000-0000-000055890000}"/>
    <cellStyle name="RIGs input cells 7 2 3 11" xfId="34942" xr:uid="{00000000-0005-0000-0000-000056890000}"/>
    <cellStyle name="RIGs input cells 7 2 3 12" xfId="34943" xr:uid="{00000000-0005-0000-0000-000057890000}"/>
    <cellStyle name="RIGs input cells 7 2 3 13" xfId="34944" xr:uid="{00000000-0005-0000-0000-000058890000}"/>
    <cellStyle name="RIGs input cells 7 2 3 14" xfId="34945" xr:uid="{00000000-0005-0000-0000-000059890000}"/>
    <cellStyle name="RIGs input cells 7 2 3 15" xfId="34946" xr:uid="{00000000-0005-0000-0000-00005A890000}"/>
    <cellStyle name="RIGs input cells 7 2 3 16" xfId="34947" xr:uid="{00000000-0005-0000-0000-00005B890000}"/>
    <cellStyle name="RIGs input cells 7 2 3 17" xfId="34948" xr:uid="{00000000-0005-0000-0000-00005C890000}"/>
    <cellStyle name="RIGs input cells 7 2 3 18" xfId="34949" xr:uid="{00000000-0005-0000-0000-00005D890000}"/>
    <cellStyle name="RIGs input cells 7 2 3 19" xfId="34950" xr:uid="{00000000-0005-0000-0000-00005E890000}"/>
    <cellStyle name="RIGs input cells 7 2 3 2" xfId="34951" xr:uid="{00000000-0005-0000-0000-00005F890000}"/>
    <cellStyle name="RIGs input cells 7 2 3 2 10" xfId="34952" xr:uid="{00000000-0005-0000-0000-000060890000}"/>
    <cellStyle name="RIGs input cells 7 2 3 2 11" xfId="34953" xr:uid="{00000000-0005-0000-0000-000061890000}"/>
    <cellStyle name="RIGs input cells 7 2 3 2 12" xfId="34954" xr:uid="{00000000-0005-0000-0000-000062890000}"/>
    <cellStyle name="RIGs input cells 7 2 3 2 13" xfId="34955" xr:uid="{00000000-0005-0000-0000-000063890000}"/>
    <cellStyle name="RIGs input cells 7 2 3 2 2" xfId="34956" xr:uid="{00000000-0005-0000-0000-000064890000}"/>
    <cellStyle name="RIGs input cells 7 2 3 2 2 2" xfId="34957" xr:uid="{00000000-0005-0000-0000-000065890000}"/>
    <cellStyle name="RIGs input cells 7 2 3 2 2 3" xfId="34958" xr:uid="{00000000-0005-0000-0000-000066890000}"/>
    <cellStyle name="RIGs input cells 7 2 3 2 3" xfId="34959" xr:uid="{00000000-0005-0000-0000-000067890000}"/>
    <cellStyle name="RIGs input cells 7 2 3 2 3 2" xfId="34960" xr:uid="{00000000-0005-0000-0000-000068890000}"/>
    <cellStyle name="RIGs input cells 7 2 3 2 3 3" xfId="34961" xr:uid="{00000000-0005-0000-0000-000069890000}"/>
    <cellStyle name="RIGs input cells 7 2 3 2 4" xfId="34962" xr:uid="{00000000-0005-0000-0000-00006A890000}"/>
    <cellStyle name="RIGs input cells 7 2 3 2 5" xfId="34963" xr:uid="{00000000-0005-0000-0000-00006B890000}"/>
    <cellStyle name="RIGs input cells 7 2 3 2 6" xfId="34964" xr:uid="{00000000-0005-0000-0000-00006C890000}"/>
    <cellStyle name="RIGs input cells 7 2 3 2 7" xfId="34965" xr:uid="{00000000-0005-0000-0000-00006D890000}"/>
    <cellStyle name="RIGs input cells 7 2 3 2 8" xfId="34966" xr:uid="{00000000-0005-0000-0000-00006E890000}"/>
    <cellStyle name="RIGs input cells 7 2 3 2 9" xfId="34967" xr:uid="{00000000-0005-0000-0000-00006F890000}"/>
    <cellStyle name="RIGs input cells 7 2 3 20" xfId="34968" xr:uid="{00000000-0005-0000-0000-000070890000}"/>
    <cellStyle name="RIGs input cells 7 2 3 21" xfId="34969" xr:uid="{00000000-0005-0000-0000-000071890000}"/>
    <cellStyle name="RIGs input cells 7 2 3 22" xfId="34970" xr:uid="{00000000-0005-0000-0000-000072890000}"/>
    <cellStyle name="RIGs input cells 7 2 3 23" xfId="34971" xr:uid="{00000000-0005-0000-0000-000073890000}"/>
    <cellStyle name="RIGs input cells 7 2 3 24" xfId="34972" xr:uid="{00000000-0005-0000-0000-000074890000}"/>
    <cellStyle name="RIGs input cells 7 2 3 25" xfId="34973" xr:uid="{00000000-0005-0000-0000-000075890000}"/>
    <cellStyle name="RIGs input cells 7 2 3 26" xfId="34974" xr:uid="{00000000-0005-0000-0000-000076890000}"/>
    <cellStyle name="RIGs input cells 7 2 3 27" xfId="34975" xr:uid="{00000000-0005-0000-0000-000077890000}"/>
    <cellStyle name="RIGs input cells 7 2 3 28" xfId="34976" xr:uid="{00000000-0005-0000-0000-000078890000}"/>
    <cellStyle name="RIGs input cells 7 2 3 29" xfId="34977" xr:uid="{00000000-0005-0000-0000-000079890000}"/>
    <cellStyle name="RIGs input cells 7 2 3 3" xfId="34978" xr:uid="{00000000-0005-0000-0000-00007A890000}"/>
    <cellStyle name="RIGs input cells 7 2 3 3 2" xfId="34979" xr:uid="{00000000-0005-0000-0000-00007B890000}"/>
    <cellStyle name="RIGs input cells 7 2 3 3 3" xfId="34980" xr:uid="{00000000-0005-0000-0000-00007C890000}"/>
    <cellStyle name="RIGs input cells 7 2 3 30" xfId="34981" xr:uid="{00000000-0005-0000-0000-00007D890000}"/>
    <cellStyle name="RIGs input cells 7 2 3 4" xfId="34982" xr:uid="{00000000-0005-0000-0000-00007E890000}"/>
    <cellStyle name="RIGs input cells 7 2 3 4 2" xfId="34983" xr:uid="{00000000-0005-0000-0000-00007F890000}"/>
    <cellStyle name="RIGs input cells 7 2 3 4 3" xfId="34984" xr:uid="{00000000-0005-0000-0000-000080890000}"/>
    <cellStyle name="RIGs input cells 7 2 3 5" xfId="34985" xr:uid="{00000000-0005-0000-0000-000081890000}"/>
    <cellStyle name="RIGs input cells 7 2 3 6" xfId="34986" xr:uid="{00000000-0005-0000-0000-000082890000}"/>
    <cellStyle name="RIGs input cells 7 2 3 7" xfId="34987" xr:uid="{00000000-0005-0000-0000-000083890000}"/>
    <cellStyle name="RIGs input cells 7 2 3 8" xfId="34988" xr:uid="{00000000-0005-0000-0000-000084890000}"/>
    <cellStyle name="RIGs input cells 7 2 3 9" xfId="34989" xr:uid="{00000000-0005-0000-0000-000085890000}"/>
    <cellStyle name="RIGs input cells 7 2 30" xfId="34990" xr:uid="{00000000-0005-0000-0000-000086890000}"/>
    <cellStyle name="RIGs input cells 7 2 31" xfId="34991" xr:uid="{00000000-0005-0000-0000-000087890000}"/>
    <cellStyle name="RIGs input cells 7 2 32" xfId="34992" xr:uid="{00000000-0005-0000-0000-000088890000}"/>
    <cellStyle name="RIGs input cells 7 2 33" xfId="34993" xr:uid="{00000000-0005-0000-0000-000089890000}"/>
    <cellStyle name="RIGs input cells 7 2 4" xfId="34994" xr:uid="{00000000-0005-0000-0000-00008A890000}"/>
    <cellStyle name="RIGs input cells 7 2 4 10" xfId="34995" xr:uid="{00000000-0005-0000-0000-00008B890000}"/>
    <cellStyle name="RIGs input cells 7 2 4 11" xfId="34996" xr:uid="{00000000-0005-0000-0000-00008C890000}"/>
    <cellStyle name="RIGs input cells 7 2 4 12" xfId="34997" xr:uid="{00000000-0005-0000-0000-00008D890000}"/>
    <cellStyle name="RIGs input cells 7 2 4 13" xfId="34998" xr:uid="{00000000-0005-0000-0000-00008E890000}"/>
    <cellStyle name="RIGs input cells 7 2 4 14" xfId="34999" xr:uid="{00000000-0005-0000-0000-00008F890000}"/>
    <cellStyle name="RIGs input cells 7 2 4 15" xfId="35000" xr:uid="{00000000-0005-0000-0000-000090890000}"/>
    <cellStyle name="RIGs input cells 7 2 4 16" xfId="35001" xr:uid="{00000000-0005-0000-0000-000091890000}"/>
    <cellStyle name="RIGs input cells 7 2 4 17" xfId="35002" xr:uid="{00000000-0005-0000-0000-000092890000}"/>
    <cellStyle name="RIGs input cells 7 2 4 18" xfId="35003" xr:uid="{00000000-0005-0000-0000-000093890000}"/>
    <cellStyle name="RIGs input cells 7 2 4 19" xfId="35004" xr:uid="{00000000-0005-0000-0000-000094890000}"/>
    <cellStyle name="RIGs input cells 7 2 4 2" xfId="35005" xr:uid="{00000000-0005-0000-0000-000095890000}"/>
    <cellStyle name="RIGs input cells 7 2 4 2 10" xfId="35006" xr:uid="{00000000-0005-0000-0000-000096890000}"/>
    <cellStyle name="RIGs input cells 7 2 4 2 11" xfId="35007" xr:uid="{00000000-0005-0000-0000-000097890000}"/>
    <cellStyle name="RIGs input cells 7 2 4 2 12" xfId="35008" xr:uid="{00000000-0005-0000-0000-000098890000}"/>
    <cellStyle name="RIGs input cells 7 2 4 2 13" xfId="35009" xr:uid="{00000000-0005-0000-0000-000099890000}"/>
    <cellStyle name="RIGs input cells 7 2 4 2 2" xfId="35010" xr:uid="{00000000-0005-0000-0000-00009A890000}"/>
    <cellStyle name="RIGs input cells 7 2 4 2 2 2" xfId="35011" xr:uid="{00000000-0005-0000-0000-00009B890000}"/>
    <cellStyle name="RIGs input cells 7 2 4 2 2 3" xfId="35012" xr:uid="{00000000-0005-0000-0000-00009C890000}"/>
    <cellStyle name="RIGs input cells 7 2 4 2 3" xfId="35013" xr:uid="{00000000-0005-0000-0000-00009D890000}"/>
    <cellStyle name="RIGs input cells 7 2 4 2 3 2" xfId="35014" xr:uid="{00000000-0005-0000-0000-00009E890000}"/>
    <cellStyle name="RIGs input cells 7 2 4 2 3 3" xfId="35015" xr:uid="{00000000-0005-0000-0000-00009F890000}"/>
    <cellStyle name="RIGs input cells 7 2 4 2 4" xfId="35016" xr:uid="{00000000-0005-0000-0000-0000A0890000}"/>
    <cellStyle name="RIGs input cells 7 2 4 2 5" xfId="35017" xr:uid="{00000000-0005-0000-0000-0000A1890000}"/>
    <cellStyle name="RIGs input cells 7 2 4 2 6" xfId="35018" xr:uid="{00000000-0005-0000-0000-0000A2890000}"/>
    <cellStyle name="RIGs input cells 7 2 4 2 7" xfId="35019" xr:uid="{00000000-0005-0000-0000-0000A3890000}"/>
    <cellStyle name="RIGs input cells 7 2 4 2 8" xfId="35020" xr:uid="{00000000-0005-0000-0000-0000A4890000}"/>
    <cellStyle name="RIGs input cells 7 2 4 2 9" xfId="35021" xr:uid="{00000000-0005-0000-0000-0000A5890000}"/>
    <cellStyle name="RIGs input cells 7 2 4 20" xfId="35022" xr:uid="{00000000-0005-0000-0000-0000A6890000}"/>
    <cellStyle name="RIGs input cells 7 2 4 21" xfId="35023" xr:uid="{00000000-0005-0000-0000-0000A7890000}"/>
    <cellStyle name="RIGs input cells 7 2 4 22" xfId="35024" xr:uid="{00000000-0005-0000-0000-0000A8890000}"/>
    <cellStyle name="RIGs input cells 7 2 4 23" xfId="35025" xr:uid="{00000000-0005-0000-0000-0000A9890000}"/>
    <cellStyle name="RIGs input cells 7 2 4 24" xfId="35026" xr:uid="{00000000-0005-0000-0000-0000AA890000}"/>
    <cellStyle name="RIGs input cells 7 2 4 25" xfId="35027" xr:uid="{00000000-0005-0000-0000-0000AB890000}"/>
    <cellStyle name="RIGs input cells 7 2 4 26" xfId="35028" xr:uid="{00000000-0005-0000-0000-0000AC890000}"/>
    <cellStyle name="RIGs input cells 7 2 4 27" xfId="35029" xr:uid="{00000000-0005-0000-0000-0000AD890000}"/>
    <cellStyle name="RIGs input cells 7 2 4 28" xfId="35030" xr:uid="{00000000-0005-0000-0000-0000AE890000}"/>
    <cellStyle name="RIGs input cells 7 2 4 29" xfId="35031" xr:uid="{00000000-0005-0000-0000-0000AF890000}"/>
    <cellStyle name="RIGs input cells 7 2 4 3" xfId="35032" xr:uid="{00000000-0005-0000-0000-0000B0890000}"/>
    <cellStyle name="RIGs input cells 7 2 4 3 2" xfId="35033" xr:uid="{00000000-0005-0000-0000-0000B1890000}"/>
    <cellStyle name="RIGs input cells 7 2 4 3 3" xfId="35034" xr:uid="{00000000-0005-0000-0000-0000B2890000}"/>
    <cellStyle name="RIGs input cells 7 2 4 30" xfId="35035" xr:uid="{00000000-0005-0000-0000-0000B3890000}"/>
    <cellStyle name="RIGs input cells 7 2 4 4" xfId="35036" xr:uid="{00000000-0005-0000-0000-0000B4890000}"/>
    <cellStyle name="RIGs input cells 7 2 4 4 2" xfId="35037" xr:uid="{00000000-0005-0000-0000-0000B5890000}"/>
    <cellStyle name="RIGs input cells 7 2 4 4 3" xfId="35038" xr:uid="{00000000-0005-0000-0000-0000B6890000}"/>
    <cellStyle name="RIGs input cells 7 2 4 5" xfId="35039" xr:uid="{00000000-0005-0000-0000-0000B7890000}"/>
    <cellStyle name="RIGs input cells 7 2 4 6" xfId="35040" xr:uid="{00000000-0005-0000-0000-0000B8890000}"/>
    <cellStyle name="RIGs input cells 7 2 4 7" xfId="35041" xr:uid="{00000000-0005-0000-0000-0000B9890000}"/>
    <cellStyle name="RIGs input cells 7 2 4 8" xfId="35042" xr:uid="{00000000-0005-0000-0000-0000BA890000}"/>
    <cellStyle name="RIGs input cells 7 2 4 9" xfId="35043" xr:uid="{00000000-0005-0000-0000-0000BB890000}"/>
    <cellStyle name="RIGs input cells 7 2 5" xfId="35044" xr:uid="{00000000-0005-0000-0000-0000BC890000}"/>
    <cellStyle name="RIGs input cells 7 2 5 10" xfId="35045" xr:uid="{00000000-0005-0000-0000-0000BD890000}"/>
    <cellStyle name="RIGs input cells 7 2 5 11" xfId="35046" xr:uid="{00000000-0005-0000-0000-0000BE890000}"/>
    <cellStyle name="RIGs input cells 7 2 5 12" xfId="35047" xr:uid="{00000000-0005-0000-0000-0000BF890000}"/>
    <cellStyle name="RIGs input cells 7 2 5 13" xfId="35048" xr:uid="{00000000-0005-0000-0000-0000C0890000}"/>
    <cellStyle name="RIGs input cells 7 2 5 2" xfId="35049" xr:uid="{00000000-0005-0000-0000-0000C1890000}"/>
    <cellStyle name="RIGs input cells 7 2 5 2 2" xfId="35050" xr:uid="{00000000-0005-0000-0000-0000C2890000}"/>
    <cellStyle name="RIGs input cells 7 2 5 2 3" xfId="35051" xr:uid="{00000000-0005-0000-0000-0000C3890000}"/>
    <cellStyle name="RIGs input cells 7 2 5 3" xfId="35052" xr:uid="{00000000-0005-0000-0000-0000C4890000}"/>
    <cellStyle name="RIGs input cells 7 2 5 3 2" xfId="35053" xr:uid="{00000000-0005-0000-0000-0000C5890000}"/>
    <cellStyle name="RIGs input cells 7 2 5 3 3" xfId="35054" xr:uid="{00000000-0005-0000-0000-0000C6890000}"/>
    <cellStyle name="RIGs input cells 7 2 5 4" xfId="35055" xr:uid="{00000000-0005-0000-0000-0000C7890000}"/>
    <cellStyle name="RIGs input cells 7 2 5 5" xfId="35056" xr:uid="{00000000-0005-0000-0000-0000C8890000}"/>
    <cellStyle name="RIGs input cells 7 2 5 6" xfId="35057" xr:uid="{00000000-0005-0000-0000-0000C9890000}"/>
    <cellStyle name="RIGs input cells 7 2 5 7" xfId="35058" xr:uid="{00000000-0005-0000-0000-0000CA890000}"/>
    <cellStyle name="RIGs input cells 7 2 5 8" xfId="35059" xr:uid="{00000000-0005-0000-0000-0000CB890000}"/>
    <cellStyle name="RIGs input cells 7 2 5 9" xfId="35060" xr:uid="{00000000-0005-0000-0000-0000CC890000}"/>
    <cellStyle name="RIGs input cells 7 2 6" xfId="35061" xr:uid="{00000000-0005-0000-0000-0000CD890000}"/>
    <cellStyle name="RIGs input cells 7 2 6 2" xfId="35062" xr:uid="{00000000-0005-0000-0000-0000CE890000}"/>
    <cellStyle name="RIGs input cells 7 2 6 2 2" xfId="35063" xr:uid="{00000000-0005-0000-0000-0000CF890000}"/>
    <cellStyle name="RIGs input cells 7 2 6 2 3" xfId="35064" xr:uid="{00000000-0005-0000-0000-0000D0890000}"/>
    <cellStyle name="RIGs input cells 7 2 6 3" xfId="35065" xr:uid="{00000000-0005-0000-0000-0000D1890000}"/>
    <cellStyle name="RIGs input cells 7 2 6 3 2" xfId="35066" xr:uid="{00000000-0005-0000-0000-0000D2890000}"/>
    <cellStyle name="RIGs input cells 7 2 6 4" xfId="35067" xr:uid="{00000000-0005-0000-0000-0000D3890000}"/>
    <cellStyle name="RIGs input cells 7 2 7" xfId="35068" xr:uid="{00000000-0005-0000-0000-0000D4890000}"/>
    <cellStyle name="RIGs input cells 7 2 7 2" xfId="35069" xr:uid="{00000000-0005-0000-0000-0000D5890000}"/>
    <cellStyle name="RIGs input cells 7 2 8" xfId="35070" xr:uid="{00000000-0005-0000-0000-0000D6890000}"/>
    <cellStyle name="RIGs input cells 7 2 8 2" xfId="35071" xr:uid="{00000000-0005-0000-0000-0000D7890000}"/>
    <cellStyle name="RIGs input cells 7 2 9" xfId="35072" xr:uid="{00000000-0005-0000-0000-0000D8890000}"/>
    <cellStyle name="RIGs input cells 7 2 9 2" xfId="35073" xr:uid="{00000000-0005-0000-0000-0000D9890000}"/>
    <cellStyle name="RIGs input cells 7 2_4 28 1_Asst_Health_Crit_AllTO_RIIO_20110714pm" xfId="35074" xr:uid="{00000000-0005-0000-0000-0000DA890000}"/>
    <cellStyle name="RIGs input cells 7 20" xfId="35075" xr:uid="{00000000-0005-0000-0000-0000DB890000}"/>
    <cellStyle name="RIGs input cells 7 20 2" xfId="35076" xr:uid="{00000000-0005-0000-0000-0000DC890000}"/>
    <cellStyle name="RIGs input cells 7 21" xfId="35077" xr:uid="{00000000-0005-0000-0000-0000DD890000}"/>
    <cellStyle name="RIGs input cells 7 21 2" xfId="35078" xr:uid="{00000000-0005-0000-0000-0000DE890000}"/>
    <cellStyle name="RIGs input cells 7 22" xfId="35079" xr:uid="{00000000-0005-0000-0000-0000DF890000}"/>
    <cellStyle name="RIGs input cells 7 22 2" xfId="35080" xr:uid="{00000000-0005-0000-0000-0000E0890000}"/>
    <cellStyle name="RIGs input cells 7 23" xfId="35081" xr:uid="{00000000-0005-0000-0000-0000E1890000}"/>
    <cellStyle name="RIGs input cells 7 23 2" xfId="35082" xr:uid="{00000000-0005-0000-0000-0000E2890000}"/>
    <cellStyle name="RIGs input cells 7 24" xfId="35083" xr:uid="{00000000-0005-0000-0000-0000E3890000}"/>
    <cellStyle name="RIGs input cells 7 24 2" xfId="35084" xr:uid="{00000000-0005-0000-0000-0000E4890000}"/>
    <cellStyle name="RIGs input cells 7 25" xfId="35085" xr:uid="{00000000-0005-0000-0000-0000E5890000}"/>
    <cellStyle name="RIGs input cells 7 25 2" xfId="35086" xr:uid="{00000000-0005-0000-0000-0000E6890000}"/>
    <cellStyle name="RIGs input cells 7 26" xfId="35087" xr:uid="{00000000-0005-0000-0000-0000E7890000}"/>
    <cellStyle name="RIGs input cells 7 26 2" xfId="35088" xr:uid="{00000000-0005-0000-0000-0000E8890000}"/>
    <cellStyle name="RIGs input cells 7 27" xfId="35089" xr:uid="{00000000-0005-0000-0000-0000E9890000}"/>
    <cellStyle name="RIGs input cells 7 28" xfId="35090" xr:uid="{00000000-0005-0000-0000-0000EA890000}"/>
    <cellStyle name="RIGs input cells 7 29" xfId="35091" xr:uid="{00000000-0005-0000-0000-0000EB890000}"/>
    <cellStyle name="RIGs input cells 7 3" xfId="35092" xr:uid="{00000000-0005-0000-0000-0000EC890000}"/>
    <cellStyle name="RIGs input cells 7 3 10" xfId="35093" xr:uid="{00000000-0005-0000-0000-0000ED890000}"/>
    <cellStyle name="RIGs input cells 7 3 11" xfId="35094" xr:uid="{00000000-0005-0000-0000-0000EE890000}"/>
    <cellStyle name="RIGs input cells 7 3 12" xfId="35095" xr:uid="{00000000-0005-0000-0000-0000EF890000}"/>
    <cellStyle name="RIGs input cells 7 3 13" xfId="35096" xr:uid="{00000000-0005-0000-0000-0000F0890000}"/>
    <cellStyle name="RIGs input cells 7 3 14" xfId="35097" xr:uid="{00000000-0005-0000-0000-0000F1890000}"/>
    <cellStyle name="RIGs input cells 7 3 15" xfId="35098" xr:uid="{00000000-0005-0000-0000-0000F2890000}"/>
    <cellStyle name="RIGs input cells 7 3 16" xfId="35099" xr:uid="{00000000-0005-0000-0000-0000F3890000}"/>
    <cellStyle name="RIGs input cells 7 3 17" xfId="35100" xr:uid="{00000000-0005-0000-0000-0000F4890000}"/>
    <cellStyle name="RIGs input cells 7 3 18" xfId="35101" xr:uid="{00000000-0005-0000-0000-0000F5890000}"/>
    <cellStyle name="RIGs input cells 7 3 19" xfId="35102" xr:uid="{00000000-0005-0000-0000-0000F6890000}"/>
    <cellStyle name="RIGs input cells 7 3 2" xfId="35103" xr:uid="{00000000-0005-0000-0000-0000F7890000}"/>
    <cellStyle name="RIGs input cells 7 3 2 10" xfId="35104" xr:uid="{00000000-0005-0000-0000-0000F8890000}"/>
    <cellStyle name="RIGs input cells 7 3 2 11" xfId="35105" xr:uid="{00000000-0005-0000-0000-0000F9890000}"/>
    <cellStyle name="RIGs input cells 7 3 2 12" xfId="35106" xr:uid="{00000000-0005-0000-0000-0000FA890000}"/>
    <cellStyle name="RIGs input cells 7 3 2 13" xfId="35107" xr:uid="{00000000-0005-0000-0000-0000FB890000}"/>
    <cellStyle name="RIGs input cells 7 3 2 14" xfId="35108" xr:uid="{00000000-0005-0000-0000-0000FC890000}"/>
    <cellStyle name="RIGs input cells 7 3 2 15" xfId="35109" xr:uid="{00000000-0005-0000-0000-0000FD890000}"/>
    <cellStyle name="RIGs input cells 7 3 2 16" xfId="35110" xr:uid="{00000000-0005-0000-0000-0000FE890000}"/>
    <cellStyle name="RIGs input cells 7 3 2 17" xfId="35111" xr:uid="{00000000-0005-0000-0000-0000FF890000}"/>
    <cellStyle name="RIGs input cells 7 3 2 18" xfId="35112" xr:uid="{00000000-0005-0000-0000-0000008A0000}"/>
    <cellStyle name="RIGs input cells 7 3 2 19" xfId="35113" xr:uid="{00000000-0005-0000-0000-0000018A0000}"/>
    <cellStyle name="RIGs input cells 7 3 2 2" xfId="35114" xr:uid="{00000000-0005-0000-0000-0000028A0000}"/>
    <cellStyle name="RIGs input cells 7 3 2 2 10" xfId="35115" xr:uid="{00000000-0005-0000-0000-0000038A0000}"/>
    <cellStyle name="RIGs input cells 7 3 2 2 11" xfId="35116" xr:uid="{00000000-0005-0000-0000-0000048A0000}"/>
    <cellStyle name="RIGs input cells 7 3 2 2 12" xfId="35117" xr:uid="{00000000-0005-0000-0000-0000058A0000}"/>
    <cellStyle name="RIGs input cells 7 3 2 2 13" xfId="35118" xr:uid="{00000000-0005-0000-0000-0000068A0000}"/>
    <cellStyle name="RIGs input cells 7 3 2 2 2" xfId="35119" xr:uid="{00000000-0005-0000-0000-0000078A0000}"/>
    <cellStyle name="RIGs input cells 7 3 2 2 2 2" xfId="35120" xr:uid="{00000000-0005-0000-0000-0000088A0000}"/>
    <cellStyle name="RIGs input cells 7 3 2 2 2 3" xfId="35121" xr:uid="{00000000-0005-0000-0000-0000098A0000}"/>
    <cellStyle name="RIGs input cells 7 3 2 2 3" xfId="35122" xr:uid="{00000000-0005-0000-0000-00000A8A0000}"/>
    <cellStyle name="RIGs input cells 7 3 2 2 3 2" xfId="35123" xr:uid="{00000000-0005-0000-0000-00000B8A0000}"/>
    <cellStyle name="RIGs input cells 7 3 2 2 3 3" xfId="35124" xr:uid="{00000000-0005-0000-0000-00000C8A0000}"/>
    <cellStyle name="RIGs input cells 7 3 2 2 4" xfId="35125" xr:uid="{00000000-0005-0000-0000-00000D8A0000}"/>
    <cellStyle name="RIGs input cells 7 3 2 2 5" xfId="35126" xr:uid="{00000000-0005-0000-0000-00000E8A0000}"/>
    <cellStyle name="RIGs input cells 7 3 2 2 6" xfId="35127" xr:uid="{00000000-0005-0000-0000-00000F8A0000}"/>
    <cellStyle name="RIGs input cells 7 3 2 2 7" xfId="35128" xr:uid="{00000000-0005-0000-0000-0000108A0000}"/>
    <cellStyle name="RIGs input cells 7 3 2 2 8" xfId="35129" xr:uid="{00000000-0005-0000-0000-0000118A0000}"/>
    <cellStyle name="RIGs input cells 7 3 2 2 9" xfId="35130" xr:uid="{00000000-0005-0000-0000-0000128A0000}"/>
    <cellStyle name="RIGs input cells 7 3 2 20" xfId="35131" xr:uid="{00000000-0005-0000-0000-0000138A0000}"/>
    <cellStyle name="RIGs input cells 7 3 2 21" xfId="35132" xr:uid="{00000000-0005-0000-0000-0000148A0000}"/>
    <cellStyle name="RIGs input cells 7 3 2 22" xfId="35133" xr:uid="{00000000-0005-0000-0000-0000158A0000}"/>
    <cellStyle name="RIGs input cells 7 3 2 23" xfId="35134" xr:uid="{00000000-0005-0000-0000-0000168A0000}"/>
    <cellStyle name="RIGs input cells 7 3 2 24" xfId="35135" xr:uid="{00000000-0005-0000-0000-0000178A0000}"/>
    <cellStyle name="RIGs input cells 7 3 2 25" xfId="35136" xr:uid="{00000000-0005-0000-0000-0000188A0000}"/>
    <cellStyle name="RIGs input cells 7 3 2 26" xfId="35137" xr:uid="{00000000-0005-0000-0000-0000198A0000}"/>
    <cellStyle name="RIGs input cells 7 3 2 27" xfId="35138" xr:uid="{00000000-0005-0000-0000-00001A8A0000}"/>
    <cellStyle name="RIGs input cells 7 3 2 28" xfId="35139" xr:uid="{00000000-0005-0000-0000-00001B8A0000}"/>
    <cellStyle name="RIGs input cells 7 3 2 29" xfId="35140" xr:uid="{00000000-0005-0000-0000-00001C8A0000}"/>
    <cellStyle name="RIGs input cells 7 3 2 3" xfId="35141" xr:uid="{00000000-0005-0000-0000-00001D8A0000}"/>
    <cellStyle name="RIGs input cells 7 3 2 3 2" xfId="35142" xr:uid="{00000000-0005-0000-0000-00001E8A0000}"/>
    <cellStyle name="RIGs input cells 7 3 2 3 3" xfId="35143" xr:uid="{00000000-0005-0000-0000-00001F8A0000}"/>
    <cellStyle name="RIGs input cells 7 3 2 30" xfId="35144" xr:uid="{00000000-0005-0000-0000-0000208A0000}"/>
    <cellStyle name="RIGs input cells 7 3 2 31" xfId="35145" xr:uid="{00000000-0005-0000-0000-0000218A0000}"/>
    <cellStyle name="RIGs input cells 7 3 2 32" xfId="35146" xr:uid="{00000000-0005-0000-0000-0000228A0000}"/>
    <cellStyle name="RIGs input cells 7 3 2 33" xfId="35147" xr:uid="{00000000-0005-0000-0000-0000238A0000}"/>
    <cellStyle name="RIGs input cells 7 3 2 34" xfId="35148" xr:uid="{00000000-0005-0000-0000-0000248A0000}"/>
    <cellStyle name="RIGs input cells 7 3 2 4" xfId="35149" xr:uid="{00000000-0005-0000-0000-0000258A0000}"/>
    <cellStyle name="RIGs input cells 7 3 2 4 2" xfId="35150" xr:uid="{00000000-0005-0000-0000-0000268A0000}"/>
    <cellStyle name="RIGs input cells 7 3 2 4 3" xfId="35151" xr:uid="{00000000-0005-0000-0000-0000278A0000}"/>
    <cellStyle name="RIGs input cells 7 3 2 5" xfId="35152" xr:uid="{00000000-0005-0000-0000-0000288A0000}"/>
    <cellStyle name="RIGs input cells 7 3 2 6" xfId="35153" xr:uid="{00000000-0005-0000-0000-0000298A0000}"/>
    <cellStyle name="RIGs input cells 7 3 2 7" xfId="35154" xr:uid="{00000000-0005-0000-0000-00002A8A0000}"/>
    <cellStyle name="RIGs input cells 7 3 2 8" xfId="35155" xr:uid="{00000000-0005-0000-0000-00002B8A0000}"/>
    <cellStyle name="RIGs input cells 7 3 2 9" xfId="35156" xr:uid="{00000000-0005-0000-0000-00002C8A0000}"/>
    <cellStyle name="RIGs input cells 7 3 20" xfId="35157" xr:uid="{00000000-0005-0000-0000-00002D8A0000}"/>
    <cellStyle name="RIGs input cells 7 3 21" xfId="35158" xr:uid="{00000000-0005-0000-0000-00002E8A0000}"/>
    <cellStyle name="RIGs input cells 7 3 22" xfId="35159" xr:uid="{00000000-0005-0000-0000-00002F8A0000}"/>
    <cellStyle name="RIGs input cells 7 3 23" xfId="35160" xr:uid="{00000000-0005-0000-0000-0000308A0000}"/>
    <cellStyle name="RIGs input cells 7 3 24" xfId="35161" xr:uid="{00000000-0005-0000-0000-0000318A0000}"/>
    <cellStyle name="RIGs input cells 7 3 25" xfId="35162" xr:uid="{00000000-0005-0000-0000-0000328A0000}"/>
    <cellStyle name="RIGs input cells 7 3 26" xfId="35163" xr:uid="{00000000-0005-0000-0000-0000338A0000}"/>
    <cellStyle name="RIGs input cells 7 3 27" xfId="35164" xr:uid="{00000000-0005-0000-0000-0000348A0000}"/>
    <cellStyle name="RIGs input cells 7 3 28" xfId="35165" xr:uid="{00000000-0005-0000-0000-0000358A0000}"/>
    <cellStyle name="RIGs input cells 7 3 29" xfId="35166" xr:uid="{00000000-0005-0000-0000-0000368A0000}"/>
    <cellStyle name="RIGs input cells 7 3 3" xfId="35167" xr:uid="{00000000-0005-0000-0000-0000378A0000}"/>
    <cellStyle name="RIGs input cells 7 3 3 10" xfId="35168" xr:uid="{00000000-0005-0000-0000-0000388A0000}"/>
    <cellStyle name="RIGs input cells 7 3 3 11" xfId="35169" xr:uid="{00000000-0005-0000-0000-0000398A0000}"/>
    <cellStyle name="RIGs input cells 7 3 3 12" xfId="35170" xr:uid="{00000000-0005-0000-0000-00003A8A0000}"/>
    <cellStyle name="RIGs input cells 7 3 3 13" xfId="35171" xr:uid="{00000000-0005-0000-0000-00003B8A0000}"/>
    <cellStyle name="RIGs input cells 7 3 3 2" xfId="35172" xr:uid="{00000000-0005-0000-0000-00003C8A0000}"/>
    <cellStyle name="RIGs input cells 7 3 3 2 2" xfId="35173" xr:uid="{00000000-0005-0000-0000-00003D8A0000}"/>
    <cellStyle name="RIGs input cells 7 3 3 2 3" xfId="35174" xr:uid="{00000000-0005-0000-0000-00003E8A0000}"/>
    <cellStyle name="RIGs input cells 7 3 3 3" xfId="35175" xr:uid="{00000000-0005-0000-0000-00003F8A0000}"/>
    <cellStyle name="RIGs input cells 7 3 3 3 2" xfId="35176" xr:uid="{00000000-0005-0000-0000-0000408A0000}"/>
    <cellStyle name="RIGs input cells 7 3 3 3 3" xfId="35177" xr:uid="{00000000-0005-0000-0000-0000418A0000}"/>
    <cellStyle name="RIGs input cells 7 3 3 4" xfId="35178" xr:uid="{00000000-0005-0000-0000-0000428A0000}"/>
    <cellStyle name="RIGs input cells 7 3 3 5" xfId="35179" xr:uid="{00000000-0005-0000-0000-0000438A0000}"/>
    <cellStyle name="RIGs input cells 7 3 3 6" xfId="35180" xr:uid="{00000000-0005-0000-0000-0000448A0000}"/>
    <cellStyle name="RIGs input cells 7 3 3 7" xfId="35181" xr:uid="{00000000-0005-0000-0000-0000458A0000}"/>
    <cellStyle name="RIGs input cells 7 3 3 8" xfId="35182" xr:uid="{00000000-0005-0000-0000-0000468A0000}"/>
    <cellStyle name="RIGs input cells 7 3 3 9" xfId="35183" xr:uid="{00000000-0005-0000-0000-0000478A0000}"/>
    <cellStyle name="RIGs input cells 7 3 30" xfId="35184" xr:uid="{00000000-0005-0000-0000-0000488A0000}"/>
    <cellStyle name="RIGs input cells 7 3 31" xfId="35185" xr:uid="{00000000-0005-0000-0000-0000498A0000}"/>
    <cellStyle name="RIGs input cells 7 3 32" xfId="35186" xr:uid="{00000000-0005-0000-0000-00004A8A0000}"/>
    <cellStyle name="RIGs input cells 7 3 33" xfId="35187" xr:uid="{00000000-0005-0000-0000-00004B8A0000}"/>
    <cellStyle name="RIGs input cells 7 3 34" xfId="35188" xr:uid="{00000000-0005-0000-0000-00004C8A0000}"/>
    <cellStyle name="RIGs input cells 7 3 35" xfId="35189" xr:uid="{00000000-0005-0000-0000-00004D8A0000}"/>
    <cellStyle name="RIGs input cells 7 3 4" xfId="35190" xr:uid="{00000000-0005-0000-0000-00004E8A0000}"/>
    <cellStyle name="RIGs input cells 7 3 4 2" xfId="35191" xr:uid="{00000000-0005-0000-0000-00004F8A0000}"/>
    <cellStyle name="RIGs input cells 7 3 4 3" xfId="35192" xr:uid="{00000000-0005-0000-0000-0000508A0000}"/>
    <cellStyle name="RIGs input cells 7 3 5" xfId="35193" xr:uid="{00000000-0005-0000-0000-0000518A0000}"/>
    <cellStyle name="RIGs input cells 7 3 5 2" xfId="35194" xr:uid="{00000000-0005-0000-0000-0000528A0000}"/>
    <cellStyle name="RIGs input cells 7 3 5 3" xfId="35195" xr:uid="{00000000-0005-0000-0000-0000538A0000}"/>
    <cellStyle name="RIGs input cells 7 3 6" xfId="35196" xr:uid="{00000000-0005-0000-0000-0000548A0000}"/>
    <cellStyle name="RIGs input cells 7 3 7" xfId="35197" xr:uid="{00000000-0005-0000-0000-0000558A0000}"/>
    <cellStyle name="RIGs input cells 7 3 8" xfId="35198" xr:uid="{00000000-0005-0000-0000-0000568A0000}"/>
    <cellStyle name="RIGs input cells 7 3 9" xfId="35199" xr:uid="{00000000-0005-0000-0000-0000578A0000}"/>
    <cellStyle name="RIGs input cells 7 3_4 28 1_Asst_Health_Crit_AllTO_RIIO_20110714pm" xfId="35200" xr:uid="{00000000-0005-0000-0000-0000588A0000}"/>
    <cellStyle name="RIGs input cells 7 30" xfId="35201" xr:uid="{00000000-0005-0000-0000-0000598A0000}"/>
    <cellStyle name="RIGs input cells 7 31" xfId="35202" xr:uid="{00000000-0005-0000-0000-00005A8A0000}"/>
    <cellStyle name="RIGs input cells 7 32" xfId="35203" xr:uid="{00000000-0005-0000-0000-00005B8A0000}"/>
    <cellStyle name="RIGs input cells 7 33" xfId="35204" xr:uid="{00000000-0005-0000-0000-00005C8A0000}"/>
    <cellStyle name="RIGs input cells 7 34" xfId="35205" xr:uid="{00000000-0005-0000-0000-00005D8A0000}"/>
    <cellStyle name="RIGs input cells 7 35" xfId="35206" xr:uid="{00000000-0005-0000-0000-00005E8A0000}"/>
    <cellStyle name="RIGs input cells 7 36" xfId="35207" xr:uid="{00000000-0005-0000-0000-00005F8A0000}"/>
    <cellStyle name="RIGs input cells 7 37" xfId="35208" xr:uid="{00000000-0005-0000-0000-0000608A0000}"/>
    <cellStyle name="RIGs input cells 7 38" xfId="35209" xr:uid="{00000000-0005-0000-0000-0000618A0000}"/>
    <cellStyle name="RIGs input cells 7 39" xfId="35210" xr:uid="{00000000-0005-0000-0000-0000628A0000}"/>
    <cellStyle name="RIGs input cells 7 4" xfId="35211" xr:uid="{00000000-0005-0000-0000-0000638A0000}"/>
    <cellStyle name="RIGs input cells 7 4 10" xfId="35212" xr:uid="{00000000-0005-0000-0000-0000648A0000}"/>
    <cellStyle name="RIGs input cells 7 4 11" xfId="35213" xr:uid="{00000000-0005-0000-0000-0000658A0000}"/>
    <cellStyle name="RIGs input cells 7 4 12" xfId="35214" xr:uid="{00000000-0005-0000-0000-0000668A0000}"/>
    <cellStyle name="RIGs input cells 7 4 13" xfId="35215" xr:uid="{00000000-0005-0000-0000-0000678A0000}"/>
    <cellStyle name="RIGs input cells 7 4 14" xfId="35216" xr:uid="{00000000-0005-0000-0000-0000688A0000}"/>
    <cellStyle name="RIGs input cells 7 4 15" xfId="35217" xr:uid="{00000000-0005-0000-0000-0000698A0000}"/>
    <cellStyle name="RIGs input cells 7 4 16" xfId="35218" xr:uid="{00000000-0005-0000-0000-00006A8A0000}"/>
    <cellStyle name="RIGs input cells 7 4 17" xfId="35219" xr:uid="{00000000-0005-0000-0000-00006B8A0000}"/>
    <cellStyle name="RIGs input cells 7 4 18" xfId="35220" xr:uid="{00000000-0005-0000-0000-00006C8A0000}"/>
    <cellStyle name="RIGs input cells 7 4 19" xfId="35221" xr:uid="{00000000-0005-0000-0000-00006D8A0000}"/>
    <cellStyle name="RIGs input cells 7 4 2" xfId="35222" xr:uid="{00000000-0005-0000-0000-00006E8A0000}"/>
    <cellStyle name="RIGs input cells 7 4 2 10" xfId="35223" xr:uid="{00000000-0005-0000-0000-00006F8A0000}"/>
    <cellStyle name="RIGs input cells 7 4 2 11" xfId="35224" xr:uid="{00000000-0005-0000-0000-0000708A0000}"/>
    <cellStyle name="RIGs input cells 7 4 2 12" xfId="35225" xr:uid="{00000000-0005-0000-0000-0000718A0000}"/>
    <cellStyle name="RIGs input cells 7 4 2 13" xfId="35226" xr:uid="{00000000-0005-0000-0000-0000728A0000}"/>
    <cellStyle name="RIGs input cells 7 4 2 2" xfId="35227" xr:uid="{00000000-0005-0000-0000-0000738A0000}"/>
    <cellStyle name="RIGs input cells 7 4 2 2 2" xfId="35228" xr:uid="{00000000-0005-0000-0000-0000748A0000}"/>
    <cellStyle name="RIGs input cells 7 4 2 2 3" xfId="35229" xr:uid="{00000000-0005-0000-0000-0000758A0000}"/>
    <cellStyle name="RIGs input cells 7 4 2 3" xfId="35230" xr:uid="{00000000-0005-0000-0000-0000768A0000}"/>
    <cellStyle name="RIGs input cells 7 4 2 3 2" xfId="35231" xr:uid="{00000000-0005-0000-0000-0000778A0000}"/>
    <cellStyle name="RIGs input cells 7 4 2 3 3" xfId="35232" xr:uid="{00000000-0005-0000-0000-0000788A0000}"/>
    <cellStyle name="RIGs input cells 7 4 2 4" xfId="35233" xr:uid="{00000000-0005-0000-0000-0000798A0000}"/>
    <cellStyle name="RIGs input cells 7 4 2 5" xfId="35234" xr:uid="{00000000-0005-0000-0000-00007A8A0000}"/>
    <cellStyle name="RIGs input cells 7 4 2 6" xfId="35235" xr:uid="{00000000-0005-0000-0000-00007B8A0000}"/>
    <cellStyle name="RIGs input cells 7 4 2 7" xfId="35236" xr:uid="{00000000-0005-0000-0000-00007C8A0000}"/>
    <cellStyle name="RIGs input cells 7 4 2 8" xfId="35237" xr:uid="{00000000-0005-0000-0000-00007D8A0000}"/>
    <cellStyle name="RIGs input cells 7 4 2 9" xfId="35238" xr:uid="{00000000-0005-0000-0000-00007E8A0000}"/>
    <cellStyle name="RIGs input cells 7 4 20" xfId="35239" xr:uid="{00000000-0005-0000-0000-00007F8A0000}"/>
    <cellStyle name="RIGs input cells 7 4 21" xfId="35240" xr:uid="{00000000-0005-0000-0000-0000808A0000}"/>
    <cellStyle name="RIGs input cells 7 4 22" xfId="35241" xr:uid="{00000000-0005-0000-0000-0000818A0000}"/>
    <cellStyle name="RIGs input cells 7 4 23" xfId="35242" xr:uid="{00000000-0005-0000-0000-0000828A0000}"/>
    <cellStyle name="RIGs input cells 7 4 24" xfId="35243" xr:uid="{00000000-0005-0000-0000-0000838A0000}"/>
    <cellStyle name="RIGs input cells 7 4 25" xfId="35244" xr:uid="{00000000-0005-0000-0000-0000848A0000}"/>
    <cellStyle name="RIGs input cells 7 4 26" xfId="35245" xr:uid="{00000000-0005-0000-0000-0000858A0000}"/>
    <cellStyle name="RIGs input cells 7 4 27" xfId="35246" xr:uid="{00000000-0005-0000-0000-0000868A0000}"/>
    <cellStyle name="RIGs input cells 7 4 28" xfId="35247" xr:uid="{00000000-0005-0000-0000-0000878A0000}"/>
    <cellStyle name="RIGs input cells 7 4 29" xfId="35248" xr:uid="{00000000-0005-0000-0000-0000888A0000}"/>
    <cellStyle name="RIGs input cells 7 4 3" xfId="35249" xr:uid="{00000000-0005-0000-0000-0000898A0000}"/>
    <cellStyle name="RIGs input cells 7 4 3 2" xfId="35250" xr:uid="{00000000-0005-0000-0000-00008A8A0000}"/>
    <cellStyle name="RIGs input cells 7 4 3 3" xfId="35251" xr:uid="{00000000-0005-0000-0000-00008B8A0000}"/>
    <cellStyle name="RIGs input cells 7 4 30" xfId="35252" xr:uid="{00000000-0005-0000-0000-00008C8A0000}"/>
    <cellStyle name="RIGs input cells 7 4 31" xfId="35253" xr:uid="{00000000-0005-0000-0000-00008D8A0000}"/>
    <cellStyle name="RIGs input cells 7 4 32" xfId="35254" xr:uid="{00000000-0005-0000-0000-00008E8A0000}"/>
    <cellStyle name="RIGs input cells 7 4 33" xfId="35255" xr:uid="{00000000-0005-0000-0000-00008F8A0000}"/>
    <cellStyle name="RIGs input cells 7 4 34" xfId="35256" xr:uid="{00000000-0005-0000-0000-0000908A0000}"/>
    <cellStyle name="RIGs input cells 7 4 4" xfId="35257" xr:uid="{00000000-0005-0000-0000-0000918A0000}"/>
    <cellStyle name="RIGs input cells 7 4 4 2" xfId="35258" xr:uid="{00000000-0005-0000-0000-0000928A0000}"/>
    <cellStyle name="RIGs input cells 7 4 4 3" xfId="35259" xr:uid="{00000000-0005-0000-0000-0000938A0000}"/>
    <cellStyle name="RIGs input cells 7 4 5" xfId="35260" xr:uid="{00000000-0005-0000-0000-0000948A0000}"/>
    <cellStyle name="RIGs input cells 7 4 6" xfId="35261" xr:uid="{00000000-0005-0000-0000-0000958A0000}"/>
    <cellStyle name="RIGs input cells 7 4 7" xfId="35262" xr:uid="{00000000-0005-0000-0000-0000968A0000}"/>
    <cellStyle name="RIGs input cells 7 4 8" xfId="35263" xr:uid="{00000000-0005-0000-0000-0000978A0000}"/>
    <cellStyle name="RIGs input cells 7 4 9" xfId="35264" xr:uid="{00000000-0005-0000-0000-0000988A0000}"/>
    <cellStyle name="RIGs input cells 7 5" xfId="35265" xr:uid="{00000000-0005-0000-0000-0000998A0000}"/>
    <cellStyle name="RIGs input cells 7 5 10" xfId="35266" xr:uid="{00000000-0005-0000-0000-00009A8A0000}"/>
    <cellStyle name="RIGs input cells 7 5 11" xfId="35267" xr:uid="{00000000-0005-0000-0000-00009B8A0000}"/>
    <cellStyle name="RIGs input cells 7 5 12" xfId="35268" xr:uid="{00000000-0005-0000-0000-00009C8A0000}"/>
    <cellStyle name="RIGs input cells 7 5 13" xfId="35269" xr:uid="{00000000-0005-0000-0000-00009D8A0000}"/>
    <cellStyle name="RIGs input cells 7 5 14" xfId="35270" xr:uid="{00000000-0005-0000-0000-00009E8A0000}"/>
    <cellStyle name="RIGs input cells 7 5 15" xfId="35271" xr:uid="{00000000-0005-0000-0000-00009F8A0000}"/>
    <cellStyle name="RIGs input cells 7 5 16" xfId="35272" xr:uid="{00000000-0005-0000-0000-0000A08A0000}"/>
    <cellStyle name="RIGs input cells 7 5 17" xfId="35273" xr:uid="{00000000-0005-0000-0000-0000A18A0000}"/>
    <cellStyle name="RIGs input cells 7 5 18" xfId="35274" xr:uid="{00000000-0005-0000-0000-0000A28A0000}"/>
    <cellStyle name="RIGs input cells 7 5 19" xfId="35275" xr:uid="{00000000-0005-0000-0000-0000A38A0000}"/>
    <cellStyle name="RIGs input cells 7 5 2" xfId="35276" xr:uid="{00000000-0005-0000-0000-0000A48A0000}"/>
    <cellStyle name="RIGs input cells 7 5 2 10" xfId="35277" xr:uid="{00000000-0005-0000-0000-0000A58A0000}"/>
    <cellStyle name="RIGs input cells 7 5 2 11" xfId="35278" xr:uid="{00000000-0005-0000-0000-0000A68A0000}"/>
    <cellStyle name="RIGs input cells 7 5 2 12" xfId="35279" xr:uid="{00000000-0005-0000-0000-0000A78A0000}"/>
    <cellStyle name="RIGs input cells 7 5 2 13" xfId="35280" xr:uid="{00000000-0005-0000-0000-0000A88A0000}"/>
    <cellStyle name="RIGs input cells 7 5 2 2" xfId="35281" xr:uid="{00000000-0005-0000-0000-0000A98A0000}"/>
    <cellStyle name="RIGs input cells 7 5 2 2 2" xfId="35282" xr:uid="{00000000-0005-0000-0000-0000AA8A0000}"/>
    <cellStyle name="RIGs input cells 7 5 2 2 3" xfId="35283" xr:uid="{00000000-0005-0000-0000-0000AB8A0000}"/>
    <cellStyle name="RIGs input cells 7 5 2 3" xfId="35284" xr:uid="{00000000-0005-0000-0000-0000AC8A0000}"/>
    <cellStyle name="RIGs input cells 7 5 2 3 2" xfId="35285" xr:uid="{00000000-0005-0000-0000-0000AD8A0000}"/>
    <cellStyle name="RIGs input cells 7 5 2 3 3" xfId="35286" xr:uid="{00000000-0005-0000-0000-0000AE8A0000}"/>
    <cellStyle name="RIGs input cells 7 5 2 4" xfId="35287" xr:uid="{00000000-0005-0000-0000-0000AF8A0000}"/>
    <cellStyle name="RIGs input cells 7 5 2 5" xfId="35288" xr:uid="{00000000-0005-0000-0000-0000B08A0000}"/>
    <cellStyle name="RIGs input cells 7 5 2 6" xfId="35289" xr:uid="{00000000-0005-0000-0000-0000B18A0000}"/>
    <cellStyle name="RIGs input cells 7 5 2 7" xfId="35290" xr:uid="{00000000-0005-0000-0000-0000B28A0000}"/>
    <cellStyle name="RIGs input cells 7 5 2 8" xfId="35291" xr:uid="{00000000-0005-0000-0000-0000B38A0000}"/>
    <cellStyle name="RIGs input cells 7 5 2 9" xfId="35292" xr:uid="{00000000-0005-0000-0000-0000B48A0000}"/>
    <cellStyle name="RIGs input cells 7 5 20" xfId="35293" xr:uid="{00000000-0005-0000-0000-0000B58A0000}"/>
    <cellStyle name="RIGs input cells 7 5 21" xfId="35294" xr:uid="{00000000-0005-0000-0000-0000B68A0000}"/>
    <cellStyle name="RIGs input cells 7 5 22" xfId="35295" xr:uid="{00000000-0005-0000-0000-0000B78A0000}"/>
    <cellStyle name="RIGs input cells 7 5 23" xfId="35296" xr:uid="{00000000-0005-0000-0000-0000B88A0000}"/>
    <cellStyle name="RIGs input cells 7 5 24" xfId="35297" xr:uid="{00000000-0005-0000-0000-0000B98A0000}"/>
    <cellStyle name="RIGs input cells 7 5 25" xfId="35298" xr:uid="{00000000-0005-0000-0000-0000BA8A0000}"/>
    <cellStyle name="RIGs input cells 7 5 26" xfId="35299" xr:uid="{00000000-0005-0000-0000-0000BB8A0000}"/>
    <cellStyle name="RIGs input cells 7 5 27" xfId="35300" xr:uid="{00000000-0005-0000-0000-0000BC8A0000}"/>
    <cellStyle name="RIGs input cells 7 5 28" xfId="35301" xr:uid="{00000000-0005-0000-0000-0000BD8A0000}"/>
    <cellStyle name="RIGs input cells 7 5 29" xfId="35302" xr:uid="{00000000-0005-0000-0000-0000BE8A0000}"/>
    <cellStyle name="RIGs input cells 7 5 3" xfId="35303" xr:uid="{00000000-0005-0000-0000-0000BF8A0000}"/>
    <cellStyle name="RIGs input cells 7 5 3 2" xfId="35304" xr:uid="{00000000-0005-0000-0000-0000C08A0000}"/>
    <cellStyle name="RIGs input cells 7 5 3 3" xfId="35305" xr:uid="{00000000-0005-0000-0000-0000C18A0000}"/>
    <cellStyle name="RIGs input cells 7 5 30" xfId="35306" xr:uid="{00000000-0005-0000-0000-0000C28A0000}"/>
    <cellStyle name="RIGs input cells 7 5 31" xfId="35307" xr:uid="{00000000-0005-0000-0000-0000C38A0000}"/>
    <cellStyle name="RIGs input cells 7 5 32" xfId="35308" xr:uid="{00000000-0005-0000-0000-0000C48A0000}"/>
    <cellStyle name="RIGs input cells 7 5 33" xfId="35309" xr:uid="{00000000-0005-0000-0000-0000C58A0000}"/>
    <cellStyle name="RIGs input cells 7 5 34" xfId="35310" xr:uid="{00000000-0005-0000-0000-0000C68A0000}"/>
    <cellStyle name="RIGs input cells 7 5 4" xfId="35311" xr:uid="{00000000-0005-0000-0000-0000C78A0000}"/>
    <cellStyle name="RIGs input cells 7 5 4 2" xfId="35312" xr:uid="{00000000-0005-0000-0000-0000C88A0000}"/>
    <cellStyle name="RIGs input cells 7 5 4 3" xfId="35313" xr:uid="{00000000-0005-0000-0000-0000C98A0000}"/>
    <cellStyle name="RIGs input cells 7 5 5" xfId="35314" xr:uid="{00000000-0005-0000-0000-0000CA8A0000}"/>
    <cellStyle name="RIGs input cells 7 5 6" xfId="35315" xr:uid="{00000000-0005-0000-0000-0000CB8A0000}"/>
    <cellStyle name="RIGs input cells 7 5 7" xfId="35316" xr:uid="{00000000-0005-0000-0000-0000CC8A0000}"/>
    <cellStyle name="RIGs input cells 7 5 8" xfId="35317" xr:uid="{00000000-0005-0000-0000-0000CD8A0000}"/>
    <cellStyle name="RIGs input cells 7 5 9" xfId="35318" xr:uid="{00000000-0005-0000-0000-0000CE8A0000}"/>
    <cellStyle name="RIGs input cells 7 6" xfId="35319" xr:uid="{00000000-0005-0000-0000-0000CF8A0000}"/>
    <cellStyle name="RIGs input cells 7 6 10" xfId="35320" xr:uid="{00000000-0005-0000-0000-0000D08A0000}"/>
    <cellStyle name="RIGs input cells 7 6 11" xfId="35321" xr:uid="{00000000-0005-0000-0000-0000D18A0000}"/>
    <cellStyle name="RIGs input cells 7 6 12" xfId="35322" xr:uid="{00000000-0005-0000-0000-0000D28A0000}"/>
    <cellStyle name="RIGs input cells 7 6 13" xfId="35323" xr:uid="{00000000-0005-0000-0000-0000D38A0000}"/>
    <cellStyle name="RIGs input cells 7 6 2" xfId="35324" xr:uid="{00000000-0005-0000-0000-0000D48A0000}"/>
    <cellStyle name="RIGs input cells 7 6 2 2" xfId="35325" xr:uid="{00000000-0005-0000-0000-0000D58A0000}"/>
    <cellStyle name="RIGs input cells 7 6 2 3" xfId="35326" xr:uid="{00000000-0005-0000-0000-0000D68A0000}"/>
    <cellStyle name="RIGs input cells 7 6 3" xfId="35327" xr:uid="{00000000-0005-0000-0000-0000D78A0000}"/>
    <cellStyle name="RIGs input cells 7 6 3 2" xfId="35328" xr:uid="{00000000-0005-0000-0000-0000D88A0000}"/>
    <cellStyle name="RIGs input cells 7 6 3 3" xfId="35329" xr:uid="{00000000-0005-0000-0000-0000D98A0000}"/>
    <cellStyle name="RIGs input cells 7 6 4" xfId="35330" xr:uid="{00000000-0005-0000-0000-0000DA8A0000}"/>
    <cellStyle name="RIGs input cells 7 6 5" xfId="35331" xr:uid="{00000000-0005-0000-0000-0000DB8A0000}"/>
    <cellStyle name="RIGs input cells 7 6 6" xfId="35332" xr:uid="{00000000-0005-0000-0000-0000DC8A0000}"/>
    <cellStyle name="RIGs input cells 7 6 7" xfId="35333" xr:uid="{00000000-0005-0000-0000-0000DD8A0000}"/>
    <cellStyle name="RIGs input cells 7 6 8" xfId="35334" xr:uid="{00000000-0005-0000-0000-0000DE8A0000}"/>
    <cellStyle name="RIGs input cells 7 6 9" xfId="35335" xr:uid="{00000000-0005-0000-0000-0000DF8A0000}"/>
    <cellStyle name="RIGs input cells 7 7" xfId="35336" xr:uid="{00000000-0005-0000-0000-0000E08A0000}"/>
    <cellStyle name="RIGs input cells 7 7 2" xfId="35337" xr:uid="{00000000-0005-0000-0000-0000E18A0000}"/>
    <cellStyle name="RIGs input cells 7 7 2 2" xfId="35338" xr:uid="{00000000-0005-0000-0000-0000E28A0000}"/>
    <cellStyle name="RIGs input cells 7 7 2 3" xfId="35339" xr:uid="{00000000-0005-0000-0000-0000E38A0000}"/>
    <cellStyle name="RIGs input cells 7 7 3" xfId="35340" xr:uid="{00000000-0005-0000-0000-0000E48A0000}"/>
    <cellStyle name="RIGs input cells 7 7 3 2" xfId="35341" xr:uid="{00000000-0005-0000-0000-0000E58A0000}"/>
    <cellStyle name="RIGs input cells 7 7 4" xfId="35342" xr:uid="{00000000-0005-0000-0000-0000E68A0000}"/>
    <cellStyle name="RIGs input cells 7 8" xfId="35343" xr:uid="{00000000-0005-0000-0000-0000E78A0000}"/>
    <cellStyle name="RIGs input cells 7 8 2" xfId="35344" xr:uid="{00000000-0005-0000-0000-0000E88A0000}"/>
    <cellStyle name="RIGs input cells 7 9" xfId="35345" xr:uid="{00000000-0005-0000-0000-0000E98A0000}"/>
    <cellStyle name="RIGs input cells 7 9 2" xfId="35346" xr:uid="{00000000-0005-0000-0000-0000EA8A0000}"/>
    <cellStyle name="RIGs input cells 7_4 28 1_Asst_Health_Crit_AllTO_RIIO_20110714pm" xfId="35347" xr:uid="{00000000-0005-0000-0000-0000EB8A0000}"/>
    <cellStyle name="RIGs input cells 8" xfId="35348" xr:uid="{00000000-0005-0000-0000-0000EC8A0000}"/>
    <cellStyle name="RIGs input cells 8 10" xfId="35349" xr:uid="{00000000-0005-0000-0000-0000ED8A0000}"/>
    <cellStyle name="RIGs input cells 8 10 2" xfId="35350" xr:uid="{00000000-0005-0000-0000-0000EE8A0000}"/>
    <cellStyle name="RIGs input cells 8 11" xfId="35351" xr:uid="{00000000-0005-0000-0000-0000EF8A0000}"/>
    <cellStyle name="RIGs input cells 8 11 2" xfId="35352" xr:uid="{00000000-0005-0000-0000-0000F08A0000}"/>
    <cellStyle name="RIGs input cells 8 12" xfId="35353" xr:uid="{00000000-0005-0000-0000-0000F18A0000}"/>
    <cellStyle name="RIGs input cells 8 12 2" xfId="35354" xr:uid="{00000000-0005-0000-0000-0000F28A0000}"/>
    <cellStyle name="RIGs input cells 8 13" xfId="35355" xr:uid="{00000000-0005-0000-0000-0000F38A0000}"/>
    <cellStyle name="RIGs input cells 8 13 2" xfId="35356" xr:uid="{00000000-0005-0000-0000-0000F48A0000}"/>
    <cellStyle name="RIGs input cells 8 14" xfId="35357" xr:uid="{00000000-0005-0000-0000-0000F58A0000}"/>
    <cellStyle name="RIGs input cells 8 14 2" xfId="35358" xr:uid="{00000000-0005-0000-0000-0000F68A0000}"/>
    <cellStyle name="RIGs input cells 8 15" xfId="35359" xr:uid="{00000000-0005-0000-0000-0000F78A0000}"/>
    <cellStyle name="RIGs input cells 8 15 2" xfId="35360" xr:uid="{00000000-0005-0000-0000-0000F88A0000}"/>
    <cellStyle name="RIGs input cells 8 16" xfId="35361" xr:uid="{00000000-0005-0000-0000-0000F98A0000}"/>
    <cellStyle name="RIGs input cells 8 16 2" xfId="35362" xr:uid="{00000000-0005-0000-0000-0000FA8A0000}"/>
    <cellStyle name="RIGs input cells 8 17" xfId="35363" xr:uid="{00000000-0005-0000-0000-0000FB8A0000}"/>
    <cellStyle name="RIGs input cells 8 17 2" xfId="35364" xr:uid="{00000000-0005-0000-0000-0000FC8A0000}"/>
    <cellStyle name="RIGs input cells 8 18" xfId="35365" xr:uid="{00000000-0005-0000-0000-0000FD8A0000}"/>
    <cellStyle name="RIGs input cells 8 18 2" xfId="35366" xr:uid="{00000000-0005-0000-0000-0000FE8A0000}"/>
    <cellStyle name="RIGs input cells 8 19" xfId="35367" xr:uid="{00000000-0005-0000-0000-0000FF8A0000}"/>
    <cellStyle name="RIGs input cells 8 19 2" xfId="35368" xr:uid="{00000000-0005-0000-0000-0000008B0000}"/>
    <cellStyle name="RIGs input cells 8 2" xfId="35369" xr:uid="{00000000-0005-0000-0000-0000018B0000}"/>
    <cellStyle name="RIGs input cells 8 2 10" xfId="35370" xr:uid="{00000000-0005-0000-0000-0000028B0000}"/>
    <cellStyle name="RIGs input cells 8 2 11" xfId="35371" xr:uid="{00000000-0005-0000-0000-0000038B0000}"/>
    <cellStyle name="RIGs input cells 8 2 12" xfId="35372" xr:uid="{00000000-0005-0000-0000-0000048B0000}"/>
    <cellStyle name="RIGs input cells 8 2 13" xfId="35373" xr:uid="{00000000-0005-0000-0000-0000058B0000}"/>
    <cellStyle name="RIGs input cells 8 2 14" xfId="35374" xr:uid="{00000000-0005-0000-0000-0000068B0000}"/>
    <cellStyle name="RIGs input cells 8 2 15" xfId="35375" xr:uid="{00000000-0005-0000-0000-0000078B0000}"/>
    <cellStyle name="RIGs input cells 8 2 16" xfId="35376" xr:uid="{00000000-0005-0000-0000-0000088B0000}"/>
    <cellStyle name="RIGs input cells 8 2 17" xfId="35377" xr:uid="{00000000-0005-0000-0000-0000098B0000}"/>
    <cellStyle name="RIGs input cells 8 2 18" xfId="35378" xr:uid="{00000000-0005-0000-0000-00000A8B0000}"/>
    <cellStyle name="RIGs input cells 8 2 19" xfId="35379" xr:uid="{00000000-0005-0000-0000-00000B8B0000}"/>
    <cellStyle name="RIGs input cells 8 2 2" xfId="35380" xr:uid="{00000000-0005-0000-0000-00000C8B0000}"/>
    <cellStyle name="RIGs input cells 8 2 2 10" xfId="35381" xr:uid="{00000000-0005-0000-0000-00000D8B0000}"/>
    <cellStyle name="RIGs input cells 8 2 2 11" xfId="35382" xr:uid="{00000000-0005-0000-0000-00000E8B0000}"/>
    <cellStyle name="RIGs input cells 8 2 2 12" xfId="35383" xr:uid="{00000000-0005-0000-0000-00000F8B0000}"/>
    <cellStyle name="RIGs input cells 8 2 2 13" xfId="35384" xr:uid="{00000000-0005-0000-0000-0000108B0000}"/>
    <cellStyle name="RIGs input cells 8 2 2 14" xfId="35385" xr:uid="{00000000-0005-0000-0000-0000118B0000}"/>
    <cellStyle name="RIGs input cells 8 2 2 15" xfId="35386" xr:uid="{00000000-0005-0000-0000-0000128B0000}"/>
    <cellStyle name="RIGs input cells 8 2 2 16" xfId="35387" xr:uid="{00000000-0005-0000-0000-0000138B0000}"/>
    <cellStyle name="RIGs input cells 8 2 2 17" xfId="35388" xr:uid="{00000000-0005-0000-0000-0000148B0000}"/>
    <cellStyle name="RIGs input cells 8 2 2 18" xfId="35389" xr:uid="{00000000-0005-0000-0000-0000158B0000}"/>
    <cellStyle name="RIGs input cells 8 2 2 19" xfId="35390" xr:uid="{00000000-0005-0000-0000-0000168B0000}"/>
    <cellStyle name="RIGs input cells 8 2 2 2" xfId="35391" xr:uid="{00000000-0005-0000-0000-0000178B0000}"/>
    <cellStyle name="RIGs input cells 8 2 2 2 10" xfId="35392" xr:uid="{00000000-0005-0000-0000-0000188B0000}"/>
    <cellStyle name="RIGs input cells 8 2 2 2 11" xfId="35393" xr:uid="{00000000-0005-0000-0000-0000198B0000}"/>
    <cellStyle name="RIGs input cells 8 2 2 2 12" xfId="35394" xr:uid="{00000000-0005-0000-0000-00001A8B0000}"/>
    <cellStyle name="RIGs input cells 8 2 2 2 13" xfId="35395" xr:uid="{00000000-0005-0000-0000-00001B8B0000}"/>
    <cellStyle name="RIGs input cells 8 2 2 2 2" xfId="35396" xr:uid="{00000000-0005-0000-0000-00001C8B0000}"/>
    <cellStyle name="RIGs input cells 8 2 2 2 2 2" xfId="35397" xr:uid="{00000000-0005-0000-0000-00001D8B0000}"/>
    <cellStyle name="RIGs input cells 8 2 2 2 2 3" xfId="35398" xr:uid="{00000000-0005-0000-0000-00001E8B0000}"/>
    <cellStyle name="RIGs input cells 8 2 2 2 3" xfId="35399" xr:uid="{00000000-0005-0000-0000-00001F8B0000}"/>
    <cellStyle name="RIGs input cells 8 2 2 2 3 2" xfId="35400" xr:uid="{00000000-0005-0000-0000-0000208B0000}"/>
    <cellStyle name="RIGs input cells 8 2 2 2 3 3" xfId="35401" xr:uid="{00000000-0005-0000-0000-0000218B0000}"/>
    <cellStyle name="RIGs input cells 8 2 2 2 4" xfId="35402" xr:uid="{00000000-0005-0000-0000-0000228B0000}"/>
    <cellStyle name="RIGs input cells 8 2 2 2 5" xfId="35403" xr:uid="{00000000-0005-0000-0000-0000238B0000}"/>
    <cellStyle name="RIGs input cells 8 2 2 2 6" xfId="35404" xr:uid="{00000000-0005-0000-0000-0000248B0000}"/>
    <cellStyle name="RIGs input cells 8 2 2 2 7" xfId="35405" xr:uid="{00000000-0005-0000-0000-0000258B0000}"/>
    <cellStyle name="RIGs input cells 8 2 2 2 8" xfId="35406" xr:uid="{00000000-0005-0000-0000-0000268B0000}"/>
    <cellStyle name="RIGs input cells 8 2 2 2 9" xfId="35407" xr:uid="{00000000-0005-0000-0000-0000278B0000}"/>
    <cellStyle name="RIGs input cells 8 2 2 20" xfId="35408" xr:uid="{00000000-0005-0000-0000-0000288B0000}"/>
    <cellStyle name="RIGs input cells 8 2 2 21" xfId="35409" xr:uid="{00000000-0005-0000-0000-0000298B0000}"/>
    <cellStyle name="RIGs input cells 8 2 2 22" xfId="35410" xr:uid="{00000000-0005-0000-0000-00002A8B0000}"/>
    <cellStyle name="RIGs input cells 8 2 2 23" xfId="35411" xr:uid="{00000000-0005-0000-0000-00002B8B0000}"/>
    <cellStyle name="RIGs input cells 8 2 2 24" xfId="35412" xr:uid="{00000000-0005-0000-0000-00002C8B0000}"/>
    <cellStyle name="RIGs input cells 8 2 2 25" xfId="35413" xr:uid="{00000000-0005-0000-0000-00002D8B0000}"/>
    <cellStyle name="RIGs input cells 8 2 2 26" xfId="35414" xr:uid="{00000000-0005-0000-0000-00002E8B0000}"/>
    <cellStyle name="RIGs input cells 8 2 2 27" xfId="35415" xr:uid="{00000000-0005-0000-0000-00002F8B0000}"/>
    <cellStyle name="RIGs input cells 8 2 2 28" xfId="35416" xr:uid="{00000000-0005-0000-0000-0000308B0000}"/>
    <cellStyle name="RIGs input cells 8 2 2 29" xfId="35417" xr:uid="{00000000-0005-0000-0000-0000318B0000}"/>
    <cellStyle name="RIGs input cells 8 2 2 3" xfId="35418" xr:uid="{00000000-0005-0000-0000-0000328B0000}"/>
    <cellStyle name="RIGs input cells 8 2 2 3 2" xfId="35419" xr:uid="{00000000-0005-0000-0000-0000338B0000}"/>
    <cellStyle name="RIGs input cells 8 2 2 3 3" xfId="35420" xr:uid="{00000000-0005-0000-0000-0000348B0000}"/>
    <cellStyle name="RIGs input cells 8 2 2 30" xfId="35421" xr:uid="{00000000-0005-0000-0000-0000358B0000}"/>
    <cellStyle name="RIGs input cells 8 2 2 31" xfId="35422" xr:uid="{00000000-0005-0000-0000-0000368B0000}"/>
    <cellStyle name="RIGs input cells 8 2 2 32" xfId="35423" xr:uid="{00000000-0005-0000-0000-0000378B0000}"/>
    <cellStyle name="RIGs input cells 8 2 2 33" xfId="35424" xr:uid="{00000000-0005-0000-0000-0000388B0000}"/>
    <cellStyle name="RIGs input cells 8 2 2 34" xfId="35425" xr:uid="{00000000-0005-0000-0000-0000398B0000}"/>
    <cellStyle name="RIGs input cells 8 2 2 4" xfId="35426" xr:uid="{00000000-0005-0000-0000-00003A8B0000}"/>
    <cellStyle name="RIGs input cells 8 2 2 4 2" xfId="35427" xr:uid="{00000000-0005-0000-0000-00003B8B0000}"/>
    <cellStyle name="RIGs input cells 8 2 2 4 3" xfId="35428" xr:uid="{00000000-0005-0000-0000-00003C8B0000}"/>
    <cellStyle name="RIGs input cells 8 2 2 5" xfId="35429" xr:uid="{00000000-0005-0000-0000-00003D8B0000}"/>
    <cellStyle name="RIGs input cells 8 2 2 6" xfId="35430" xr:uid="{00000000-0005-0000-0000-00003E8B0000}"/>
    <cellStyle name="RIGs input cells 8 2 2 7" xfId="35431" xr:uid="{00000000-0005-0000-0000-00003F8B0000}"/>
    <cellStyle name="RIGs input cells 8 2 2 8" xfId="35432" xr:uid="{00000000-0005-0000-0000-0000408B0000}"/>
    <cellStyle name="RIGs input cells 8 2 2 9" xfId="35433" xr:uid="{00000000-0005-0000-0000-0000418B0000}"/>
    <cellStyle name="RIGs input cells 8 2 20" xfId="35434" xr:uid="{00000000-0005-0000-0000-0000428B0000}"/>
    <cellStyle name="RIGs input cells 8 2 21" xfId="35435" xr:uid="{00000000-0005-0000-0000-0000438B0000}"/>
    <cellStyle name="RIGs input cells 8 2 22" xfId="35436" xr:uid="{00000000-0005-0000-0000-0000448B0000}"/>
    <cellStyle name="RIGs input cells 8 2 23" xfId="35437" xr:uid="{00000000-0005-0000-0000-0000458B0000}"/>
    <cellStyle name="RIGs input cells 8 2 24" xfId="35438" xr:uid="{00000000-0005-0000-0000-0000468B0000}"/>
    <cellStyle name="RIGs input cells 8 2 25" xfId="35439" xr:uid="{00000000-0005-0000-0000-0000478B0000}"/>
    <cellStyle name="RIGs input cells 8 2 26" xfId="35440" xr:uid="{00000000-0005-0000-0000-0000488B0000}"/>
    <cellStyle name="RIGs input cells 8 2 27" xfId="35441" xr:uid="{00000000-0005-0000-0000-0000498B0000}"/>
    <cellStyle name="RIGs input cells 8 2 28" xfId="35442" xr:uid="{00000000-0005-0000-0000-00004A8B0000}"/>
    <cellStyle name="RIGs input cells 8 2 29" xfId="35443" xr:uid="{00000000-0005-0000-0000-00004B8B0000}"/>
    <cellStyle name="RIGs input cells 8 2 3" xfId="35444" xr:uid="{00000000-0005-0000-0000-00004C8B0000}"/>
    <cellStyle name="RIGs input cells 8 2 3 10" xfId="35445" xr:uid="{00000000-0005-0000-0000-00004D8B0000}"/>
    <cellStyle name="RIGs input cells 8 2 3 11" xfId="35446" xr:uid="{00000000-0005-0000-0000-00004E8B0000}"/>
    <cellStyle name="RIGs input cells 8 2 3 12" xfId="35447" xr:uid="{00000000-0005-0000-0000-00004F8B0000}"/>
    <cellStyle name="RIGs input cells 8 2 3 13" xfId="35448" xr:uid="{00000000-0005-0000-0000-0000508B0000}"/>
    <cellStyle name="RIGs input cells 8 2 3 2" xfId="35449" xr:uid="{00000000-0005-0000-0000-0000518B0000}"/>
    <cellStyle name="RIGs input cells 8 2 3 2 2" xfId="35450" xr:uid="{00000000-0005-0000-0000-0000528B0000}"/>
    <cellStyle name="RIGs input cells 8 2 3 2 3" xfId="35451" xr:uid="{00000000-0005-0000-0000-0000538B0000}"/>
    <cellStyle name="RIGs input cells 8 2 3 3" xfId="35452" xr:uid="{00000000-0005-0000-0000-0000548B0000}"/>
    <cellStyle name="RIGs input cells 8 2 3 3 2" xfId="35453" xr:uid="{00000000-0005-0000-0000-0000558B0000}"/>
    <cellStyle name="RIGs input cells 8 2 3 3 3" xfId="35454" xr:uid="{00000000-0005-0000-0000-0000568B0000}"/>
    <cellStyle name="RIGs input cells 8 2 3 4" xfId="35455" xr:uid="{00000000-0005-0000-0000-0000578B0000}"/>
    <cellStyle name="RIGs input cells 8 2 3 5" xfId="35456" xr:uid="{00000000-0005-0000-0000-0000588B0000}"/>
    <cellStyle name="RIGs input cells 8 2 3 6" xfId="35457" xr:uid="{00000000-0005-0000-0000-0000598B0000}"/>
    <cellStyle name="RIGs input cells 8 2 3 7" xfId="35458" xr:uid="{00000000-0005-0000-0000-00005A8B0000}"/>
    <cellStyle name="RIGs input cells 8 2 3 8" xfId="35459" xr:uid="{00000000-0005-0000-0000-00005B8B0000}"/>
    <cellStyle name="RIGs input cells 8 2 3 9" xfId="35460" xr:uid="{00000000-0005-0000-0000-00005C8B0000}"/>
    <cellStyle name="RIGs input cells 8 2 30" xfId="35461" xr:uid="{00000000-0005-0000-0000-00005D8B0000}"/>
    <cellStyle name="RIGs input cells 8 2 31" xfId="35462" xr:uid="{00000000-0005-0000-0000-00005E8B0000}"/>
    <cellStyle name="RIGs input cells 8 2 4" xfId="35463" xr:uid="{00000000-0005-0000-0000-00005F8B0000}"/>
    <cellStyle name="RIGs input cells 8 2 4 2" xfId="35464" xr:uid="{00000000-0005-0000-0000-0000608B0000}"/>
    <cellStyle name="RIGs input cells 8 2 4 3" xfId="35465" xr:uid="{00000000-0005-0000-0000-0000618B0000}"/>
    <cellStyle name="RIGs input cells 8 2 5" xfId="35466" xr:uid="{00000000-0005-0000-0000-0000628B0000}"/>
    <cellStyle name="RIGs input cells 8 2 5 2" xfId="35467" xr:uid="{00000000-0005-0000-0000-0000638B0000}"/>
    <cellStyle name="RIGs input cells 8 2 5 3" xfId="35468" xr:uid="{00000000-0005-0000-0000-0000648B0000}"/>
    <cellStyle name="RIGs input cells 8 2 6" xfId="35469" xr:uid="{00000000-0005-0000-0000-0000658B0000}"/>
    <cellStyle name="RIGs input cells 8 2 7" xfId="35470" xr:uid="{00000000-0005-0000-0000-0000668B0000}"/>
    <cellStyle name="RIGs input cells 8 2 8" xfId="35471" xr:uid="{00000000-0005-0000-0000-0000678B0000}"/>
    <cellStyle name="RIGs input cells 8 2 9" xfId="35472" xr:uid="{00000000-0005-0000-0000-0000688B0000}"/>
    <cellStyle name="RIGs input cells 8 2_4 28 1_Asst_Health_Crit_AllTO_RIIO_20110714pm" xfId="35473" xr:uid="{00000000-0005-0000-0000-0000698B0000}"/>
    <cellStyle name="RIGs input cells 8 20" xfId="35474" xr:uid="{00000000-0005-0000-0000-00006A8B0000}"/>
    <cellStyle name="RIGs input cells 8 20 2" xfId="35475" xr:uid="{00000000-0005-0000-0000-00006B8B0000}"/>
    <cellStyle name="RIGs input cells 8 21" xfId="35476" xr:uid="{00000000-0005-0000-0000-00006C8B0000}"/>
    <cellStyle name="RIGs input cells 8 21 2" xfId="35477" xr:uid="{00000000-0005-0000-0000-00006D8B0000}"/>
    <cellStyle name="RIGs input cells 8 22" xfId="35478" xr:uid="{00000000-0005-0000-0000-00006E8B0000}"/>
    <cellStyle name="RIGs input cells 8 22 2" xfId="35479" xr:uid="{00000000-0005-0000-0000-00006F8B0000}"/>
    <cellStyle name="RIGs input cells 8 23" xfId="35480" xr:uid="{00000000-0005-0000-0000-0000708B0000}"/>
    <cellStyle name="RIGs input cells 8 23 2" xfId="35481" xr:uid="{00000000-0005-0000-0000-0000718B0000}"/>
    <cellStyle name="RIGs input cells 8 24" xfId="35482" xr:uid="{00000000-0005-0000-0000-0000728B0000}"/>
    <cellStyle name="RIGs input cells 8 24 2" xfId="35483" xr:uid="{00000000-0005-0000-0000-0000738B0000}"/>
    <cellStyle name="RIGs input cells 8 25" xfId="35484" xr:uid="{00000000-0005-0000-0000-0000748B0000}"/>
    <cellStyle name="RIGs input cells 8 25 2" xfId="35485" xr:uid="{00000000-0005-0000-0000-0000758B0000}"/>
    <cellStyle name="RIGs input cells 8 26" xfId="35486" xr:uid="{00000000-0005-0000-0000-0000768B0000}"/>
    <cellStyle name="RIGs input cells 8 27" xfId="35487" xr:uid="{00000000-0005-0000-0000-0000778B0000}"/>
    <cellStyle name="RIGs input cells 8 28" xfId="35488" xr:uid="{00000000-0005-0000-0000-0000788B0000}"/>
    <cellStyle name="RIGs input cells 8 29" xfId="35489" xr:uid="{00000000-0005-0000-0000-0000798B0000}"/>
    <cellStyle name="RIGs input cells 8 3" xfId="35490" xr:uid="{00000000-0005-0000-0000-00007A8B0000}"/>
    <cellStyle name="RIGs input cells 8 3 10" xfId="35491" xr:uid="{00000000-0005-0000-0000-00007B8B0000}"/>
    <cellStyle name="RIGs input cells 8 3 11" xfId="35492" xr:uid="{00000000-0005-0000-0000-00007C8B0000}"/>
    <cellStyle name="RIGs input cells 8 3 12" xfId="35493" xr:uid="{00000000-0005-0000-0000-00007D8B0000}"/>
    <cellStyle name="RIGs input cells 8 3 13" xfId="35494" xr:uid="{00000000-0005-0000-0000-00007E8B0000}"/>
    <cellStyle name="RIGs input cells 8 3 14" xfId="35495" xr:uid="{00000000-0005-0000-0000-00007F8B0000}"/>
    <cellStyle name="RIGs input cells 8 3 15" xfId="35496" xr:uid="{00000000-0005-0000-0000-0000808B0000}"/>
    <cellStyle name="RIGs input cells 8 3 16" xfId="35497" xr:uid="{00000000-0005-0000-0000-0000818B0000}"/>
    <cellStyle name="RIGs input cells 8 3 17" xfId="35498" xr:uid="{00000000-0005-0000-0000-0000828B0000}"/>
    <cellStyle name="RIGs input cells 8 3 18" xfId="35499" xr:uid="{00000000-0005-0000-0000-0000838B0000}"/>
    <cellStyle name="RIGs input cells 8 3 19" xfId="35500" xr:uid="{00000000-0005-0000-0000-0000848B0000}"/>
    <cellStyle name="RIGs input cells 8 3 2" xfId="35501" xr:uid="{00000000-0005-0000-0000-0000858B0000}"/>
    <cellStyle name="RIGs input cells 8 3 2 10" xfId="35502" xr:uid="{00000000-0005-0000-0000-0000868B0000}"/>
    <cellStyle name="RIGs input cells 8 3 2 11" xfId="35503" xr:uid="{00000000-0005-0000-0000-0000878B0000}"/>
    <cellStyle name="RIGs input cells 8 3 2 12" xfId="35504" xr:uid="{00000000-0005-0000-0000-0000888B0000}"/>
    <cellStyle name="RIGs input cells 8 3 2 13" xfId="35505" xr:uid="{00000000-0005-0000-0000-0000898B0000}"/>
    <cellStyle name="RIGs input cells 8 3 2 2" xfId="35506" xr:uid="{00000000-0005-0000-0000-00008A8B0000}"/>
    <cellStyle name="RIGs input cells 8 3 2 2 2" xfId="35507" xr:uid="{00000000-0005-0000-0000-00008B8B0000}"/>
    <cellStyle name="RIGs input cells 8 3 2 2 3" xfId="35508" xr:uid="{00000000-0005-0000-0000-00008C8B0000}"/>
    <cellStyle name="RIGs input cells 8 3 2 3" xfId="35509" xr:uid="{00000000-0005-0000-0000-00008D8B0000}"/>
    <cellStyle name="RIGs input cells 8 3 2 3 2" xfId="35510" xr:uid="{00000000-0005-0000-0000-00008E8B0000}"/>
    <cellStyle name="RIGs input cells 8 3 2 3 3" xfId="35511" xr:uid="{00000000-0005-0000-0000-00008F8B0000}"/>
    <cellStyle name="RIGs input cells 8 3 2 4" xfId="35512" xr:uid="{00000000-0005-0000-0000-0000908B0000}"/>
    <cellStyle name="RIGs input cells 8 3 2 5" xfId="35513" xr:uid="{00000000-0005-0000-0000-0000918B0000}"/>
    <cellStyle name="RIGs input cells 8 3 2 6" xfId="35514" xr:uid="{00000000-0005-0000-0000-0000928B0000}"/>
    <cellStyle name="RIGs input cells 8 3 2 7" xfId="35515" xr:uid="{00000000-0005-0000-0000-0000938B0000}"/>
    <cellStyle name="RIGs input cells 8 3 2 8" xfId="35516" xr:uid="{00000000-0005-0000-0000-0000948B0000}"/>
    <cellStyle name="RIGs input cells 8 3 2 9" xfId="35517" xr:uid="{00000000-0005-0000-0000-0000958B0000}"/>
    <cellStyle name="RIGs input cells 8 3 20" xfId="35518" xr:uid="{00000000-0005-0000-0000-0000968B0000}"/>
    <cellStyle name="RIGs input cells 8 3 21" xfId="35519" xr:uid="{00000000-0005-0000-0000-0000978B0000}"/>
    <cellStyle name="RIGs input cells 8 3 22" xfId="35520" xr:uid="{00000000-0005-0000-0000-0000988B0000}"/>
    <cellStyle name="RIGs input cells 8 3 23" xfId="35521" xr:uid="{00000000-0005-0000-0000-0000998B0000}"/>
    <cellStyle name="RIGs input cells 8 3 24" xfId="35522" xr:uid="{00000000-0005-0000-0000-00009A8B0000}"/>
    <cellStyle name="RIGs input cells 8 3 25" xfId="35523" xr:uid="{00000000-0005-0000-0000-00009B8B0000}"/>
    <cellStyle name="RIGs input cells 8 3 26" xfId="35524" xr:uid="{00000000-0005-0000-0000-00009C8B0000}"/>
    <cellStyle name="RIGs input cells 8 3 27" xfId="35525" xr:uid="{00000000-0005-0000-0000-00009D8B0000}"/>
    <cellStyle name="RIGs input cells 8 3 28" xfId="35526" xr:uid="{00000000-0005-0000-0000-00009E8B0000}"/>
    <cellStyle name="RIGs input cells 8 3 29" xfId="35527" xr:uid="{00000000-0005-0000-0000-00009F8B0000}"/>
    <cellStyle name="RIGs input cells 8 3 3" xfId="35528" xr:uid="{00000000-0005-0000-0000-0000A08B0000}"/>
    <cellStyle name="RIGs input cells 8 3 3 2" xfId="35529" xr:uid="{00000000-0005-0000-0000-0000A18B0000}"/>
    <cellStyle name="RIGs input cells 8 3 3 3" xfId="35530" xr:uid="{00000000-0005-0000-0000-0000A28B0000}"/>
    <cellStyle name="RIGs input cells 8 3 30" xfId="35531" xr:uid="{00000000-0005-0000-0000-0000A38B0000}"/>
    <cellStyle name="RIGs input cells 8 3 4" xfId="35532" xr:uid="{00000000-0005-0000-0000-0000A48B0000}"/>
    <cellStyle name="RIGs input cells 8 3 4 2" xfId="35533" xr:uid="{00000000-0005-0000-0000-0000A58B0000}"/>
    <cellStyle name="RIGs input cells 8 3 4 3" xfId="35534" xr:uid="{00000000-0005-0000-0000-0000A68B0000}"/>
    <cellStyle name="RIGs input cells 8 3 5" xfId="35535" xr:uid="{00000000-0005-0000-0000-0000A78B0000}"/>
    <cellStyle name="RIGs input cells 8 3 6" xfId="35536" xr:uid="{00000000-0005-0000-0000-0000A88B0000}"/>
    <cellStyle name="RIGs input cells 8 3 7" xfId="35537" xr:uid="{00000000-0005-0000-0000-0000A98B0000}"/>
    <cellStyle name="RIGs input cells 8 3 8" xfId="35538" xr:uid="{00000000-0005-0000-0000-0000AA8B0000}"/>
    <cellStyle name="RIGs input cells 8 3 9" xfId="35539" xr:uid="{00000000-0005-0000-0000-0000AB8B0000}"/>
    <cellStyle name="RIGs input cells 8 30" xfId="35540" xr:uid="{00000000-0005-0000-0000-0000AC8B0000}"/>
    <cellStyle name="RIGs input cells 8 31" xfId="35541" xr:uid="{00000000-0005-0000-0000-0000AD8B0000}"/>
    <cellStyle name="RIGs input cells 8 32" xfId="35542" xr:uid="{00000000-0005-0000-0000-0000AE8B0000}"/>
    <cellStyle name="RIGs input cells 8 33" xfId="35543" xr:uid="{00000000-0005-0000-0000-0000AF8B0000}"/>
    <cellStyle name="RIGs input cells 8 4" xfId="35544" xr:uid="{00000000-0005-0000-0000-0000B08B0000}"/>
    <cellStyle name="RIGs input cells 8 4 10" xfId="35545" xr:uid="{00000000-0005-0000-0000-0000B18B0000}"/>
    <cellStyle name="RIGs input cells 8 4 11" xfId="35546" xr:uid="{00000000-0005-0000-0000-0000B28B0000}"/>
    <cellStyle name="RIGs input cells 8 4 12" xfId="35547" xr:uid="{00000000-0005-0000-0000-0000B38B0000}"/>
    <cellStyle name="RIGs input cells 8 4 13" xfId="35548" xr:uid="{00000000-0005-0000-0000-0000B48B0000}"/>
    <cellStyle name="RIGs input cells 8 4 14" xfId="35549" xr:uid="{00000000-0005-0000-0000-0000B58B0000}"/>
    <cellStyle name="RIGs input cells 8 4 15" xfId="35550" xr:uid="{00000000-0005-0000-0000-0000B68B0000}"/>
    <cellStyle name="RIGs input cells 8 4 16" xfId="35551" xr:uid="{00000000-0005-0000-0000-0000B78B0000}"/>
    <cellStyle name="RIGs input cells 8 4 17" xfId="35552" xr:uid="{00000000-0005-0000-0000-0000B88B0000}"/>
    <cellStyle name="RIGs input cells 8 4 18" xfId="35553" xr:uid="{00000000-0005-0000-0000-0000B98B0000}"/>
    <cellStyle name="RIGs input cells 8 4 19" xfId="35554" xr:uid="{00000000-0005-0000-0000-0000BA8B0000}"/>
    <cellStyle name="RIGs input cells 8 4 2" xfId="35555" xr:uid="{00000000-0005-0000-0000-0000BB8B0000}"/>
    <cellStyle name="RIGs input cells 8 4 2 10" xfId="35556" xr:uid="{00000000-0005-0000-0000-0000BC8B0000}"/>
    <cellStyle name="RIGs input cells 8 4 2 11" xfId="35557" xr:uid="{00000000-0005-0000-0000-0000BD8B0000}"/>
    <cellStyle name="RIGs input cells 8 4 2 12" xfId="35558" xr:uid="{00000000-0005-0000-0000-0000BE8B0000}"/>
    <cellStyle name="RIGs input cells 8 4 2 13" xfId="35559" xr:uid="{00000000-0005-0000-0000-0000BF8B0000}"/>
    <cellStyle name="RIGs input cells 8 4 2 2" xfId="35560" xr:uid="{00000000-0005-0000-0000-0000C08B0000}"/>
    <cellStyle name="RIGs input cells 8 4 2 2 2" xfId="35561" xr:uid="{00000000-0005-0000-0000-0000C18B0000}"/>
    <cellStyle name="RIGs input cells 8 4 2 2 3" xfId="35562" xr:uid="{00000000-0005-0000-0000-0000C28B0000}"/>
    <cellStyle name="RIGs input cells 8 4 2 3" xfId="35563" xr:uid="{00000000-0005-0000-0000-0000C38B0000}"/>
    <cellStyle name="RIGs input cells 8 4 2 3 2" xfId="35564" xr:uid="{00000000-0005-0000-0000-0000C48B0000}"/>
    <cellStyle name="RIGs input cells 8 4 2 3 3" xfId="35565" xr:uid="{00000000-0005-0000-0000-0000C58B0000}"/>
    <cellStyle name="RIGs input cells 8 4 2 4" xfId="35566" xr:uid="{00000000-0005-0000-0000-0000C68B0000}"/>
    <cellStyle name="RIGs input cells 8 4 2 5" xfId="35567" xr:uid="{00000000-0005-0000-0000-0000C78B0000}"/>
    <cellStyle name="RIGs input cells 8 4 2 6" xfId="35568" xr:uid="{00000000-0005-0000-0000-0000C88B0000}"/>
    <cellStyle name="RIGs input cells 8 4 2 7" xfId="35569" xr:uid="{00000000-0005-0000-0000-0000C98B0000}"/>
    <cellStyle name="RIGs input cells 8 4 2 8" xfId="35570" xr:uid="{00000000-0005-0000-0000-0000CA8B0000}"/>
    <cellStyle name="RIGs input cells 8 4 2 9" xfId="35571" xr:uid="{00000000-0005-0000-0000-0000CB8B0000}"/>
    <cellStyle name="RIGs input cells 8 4 20" xfId="35572" xr:uid="{00000000-0005-0000-0000-0000CC8B0000}"/>
    <cellStyle name="RIGs input cells 8 4 21" xfId="35573" xr:uid="{00000000-0005-0000-0000-0000CD8B0000}"/>
    <cellStyle name="RIGs input cells 8 4 22" xfId="35574" xr:uid="{00000000-0005-0000-0000-0000CE8B0000}"/>
    <cellStyle name="RIGs input cells 8 4 23" xfId="35575" xr:uid="{00000000-0005-0000-0000-0000CF8B0000}"/>
    <cellStyle name="RIGs input cells 8 4 24" xfId="35576" xr:uid="{00000000-0005-0000-0000-0000D08B0000}"/>
    <cellStyle name="RIGs input cells 8 4 25" xfId="35577" xr:uid="{00000000-0005-0000-0000-0000D18B0000}"/>
    <cellStyle name="RIGs input cells 8 4 26" xfId="35578" xr:uid="{00000000-0005-0000-0000-0000D28B0000}"/>
    <cellStyle name="RIGs input cells 8 4 27" xfId="35579" xr:uid="{00000000-0005-0000-0000-0000D38B0000}"/>
    <cellStyle name="RIGs input cells 8 4 28" xfId="35580" xr:uid="{00000000-0005-0000-0000-0000D48B0000}"/>
    <cellStyle name="RIGs input cells 8 4 29" xfId="35581" xr:uid="{00000000-0005-0000-0000-0000D58B0000}"/>
    <cellStyle name="RIGs input cells 8 4 3" xfId="35582" xr:uid="{00000000-0005-0000-0000-0000D68B0000}"/>
    <cellStyle name="RIGs input cells 8 4 3 2" xfId="35583" xr:uid="{00000000-0005-0000-0000-0000D78B0000}"/>
    <cellStyle name="RIGs input cells 8 4 3 3" xfId="35584" xr:uid="{00000000-0005-0000-0000-0000D88B0000}"/>
    <cellStyle name="RIGs input cells 8 4 30" xfId="35585" xr:uid="{00000000-0005-0000-0000-0000D98B0000}"/>
    <cellStyle name="RIGs input cells 8 4 4" xfId="35586" xr:uid="{00000000-0005-0000-0000-0000DA8B0000}"/>
    <cellStyle name="RIGs input cells 8 4 4 2" xfId="35587" xr:uid="{00000000-0005-0000-0000-0000DB8B0000}"/>
    <cellStyle name="RIGs input cells 8 4 4 3" xfId="35588" xr:uid="{00000000-0005-0000-0000-0000DC8B0000}"/>
    <cellStyle name="RIGs input cells 8 4 5" xfId="35589" xr:uid="{00000000-0005-0000-0000-0000DD8B0000}"/>
    <cellStyle name="RIGs input cells 8 4 6" xfId="35590" xr:uid="{00000000-0005-0000-0000-0000DE8B0000}"/>
    <cellStyle name="RIGs input cells 8 4 7" xfId="35591" xr:uid="{00000000-0005-0000-0000-0000DF8B0000}"/>
    <cellStyle name="RIGs input cells 8 4 8" xfId="35592" xr:uid="{00000000-0005-0000-0000-0000E08B0000}"/>
    <cellStyle name="RIGs input cells 8 4 9" xfId="35593" xr:uid="{00000000-0005-0000-0000-0000E18B0000}"/>
    <cellStyle name="RIGs input cells 8 5" xfId="35594" xr:uid="{00000000-0005-0000-0000-0000E28B0000}"/>
    <cellStyle name="RIGs input cells 8 5 10" xfId="35595" xr:uid="{00000000-0005-0000-0000-0000E38B0000}"/>
    <cellStyle name="RIGs input cells 8 5 11" xfId="35596" xr:uid="{00000000-0005-0000-0000-0000E48B0000}"/>
    <cellStyle name="RIGs input cells 8 5 12" xfId="35597" xr:uid="{00000000-0005-0000-0000-0000E58B0000}"/>
    <cellStyle name="RIGs input cells 8 5 13" xfId="35598" xr:uid="{00000000-0005-0000-0000-0000E68B0000}"/>
    <cellStyle name="RIGs input cells 8 5 2" xfId="35599" xr:uid="{00000000-0005-0000-0000-0000E78B0000}"/>
    <cellStyle name="RIGs input cells 8 5 2 2" xfId="35600" xr:uid="{00000000-0005-0000-0000-0000E88B0000}"/>
    <cellStyle name="RIGs input cells 8 5 2 3" xfId="35601" xr:uid="{00000000-0005-0000-0000-0000E98B0000}"/>
    <cellStyle name="RIGs input cells 8 5 3" xfId="35602" xr:uid="{00000000-0005-0000-0000-0000EA8B0000}"/>
    <cellStyle name="RIGs input cells 8 5 3 2" xfId="35603" xr:uid="{00000000-0005-0000-0000-0000EB8B0000}"/>
    <cellStyle name="RIGs input cells 8 5 3 3" xfId="35604" xr:uid="{00000000-0005-0000-0000-0000EC8B0000}"/>
    <cellStyle name="RIGs input cells 8 5 4" xfId="35605" xr:uid="{00000000-0005-0000-0000-0000ED8B0000}"/>
    <cellStyle name="RIGs input cells 8 5 5" xfId="35606" xr:uid="{00000000-0005-0000-0000-0000EE8B0000}"/>
    <cellStyle name="RIGs input cells 8 5 6" xfId="35607" xr:uid="{00000000-0005-0000-0000-0000EF8B0000}"/>
    <cellStyle name="RIGs input cells 8 5 7" xfId="35608" xr:uid="{00000000-0005-0000-0000-0000F08B0000}"/>
    <cellStyle name="RIGs input cells 8 5 8" xfId="35609" xr:uid="{00000000-0005-0000-0000-0000F18B0000}"/>
    <cellStyle name="RIGs input cells 8 5 9" xfId="35610" xr:uid="{00000000-0005-0000-0000-0000F28B0000}"/>
    <cellStyle name="RIGs input cells 8 6" xfId="35611" xr:uid="{00000000-0005-0000-0000-0000F38B0000}"/>
    <cellStyle name="RIGs input cells 8 6 2" xfId="35612" xr:uid="{00000000-0005-0000-0000-0000F48B0000}"/>
    <cellStyle name="RIGs input cells 8 6 2 2" xfId="35613" xr:uid="{00000000-0005-0000-0000-0000F58B0000}"/>
    <cellStyle name="RIGs input cells 8 6 2 3" xfId="35614" xr:uid="{00000000-0005-0000-0000-0000F68B0000}"/>
    <cellStyle name="RIGs input cells 8 6 3" xfId="35615" xr:uid="{00000000-0005-0000-0000-0000F78B0000}"/>
    <cellStyle name="RIGs input cells 8 6 3 2" xfId="35616" xr:uid="{00000000-0005-0000-0000-0000F88B0000}"/>
    <cellStyle name="RIGs input cells 8 6 4" xfId="35617" xr:uid="{00000000-0005-0000-0000-0000F98B0000}"/>
    <cellStyle name="RIGs input cells 8 7" xfId="35618" xr:uid="{00000000-0005-0000-0000-0000FA8B0000}"/>
    <cellStyle name="RIGs input cells 8 7 2" xfId="35619" xr:uid="{00000000-0005-0000-0000-0000FB8B0000}"/>
    <cellStyle name="RIGs input cells 8 8" xfId="35620" xr:uid="{00000000-0005-0000-0000-0000FC8B0000}"/>
    <cellStyle name="RIGs input cells 8 8 2" xfId="35621" xr:uid="{00000000-0005-0000-0000-0000FD8B0000}"/>
    <cellStyle name="RIGs input cells 8 9" xfId="35622" xr:uid="{00000000-0005-0000-0000-0000FE8B0000}"/>
    <cellStyle name="RIGs input cells 8 9 2" xfId="35623" xr:uid="{00000000-0005-0000-0000-0000FF8B0000}"/>
    <cellStyle name="RIGs input cells 8_4 28 1_Asst_Health_Crit_AllTO_RIIO_20110714pm" xfId="35624" xr:uid="{00000000-0005-0000-0000-0000008C0000}"/>
    <cellStyle name="RIGs input cells 9" xfId="35625" xr:uid="{00000000-0005-0000-0000-0000018C0000}"/>
    <cellStyle name="RIGs input cells 9 10" xfId="35626" xr:uid="{00000000-0005-0000-0000-0000028C0000}"/>
    <cellStyle name="RIGs input cells 9 11" xfId="35627" xr:uid="{00000000-0005-0000-0000-0000038C0000}"/>
    <cellStyle name="RIGs input cells 9 12" xfId="35628" xr:uid="{00000000-0005-0000-0000-0000048C0000}"/>
    <cellStyle name="RIGs input cells 9 13" xfId="35629" xr:uid="{00000000-0005-0000-0000-0000058C0000}"/>
    <cellStyle name="RIGs input cells 9 14" xfId="35630" xr:uid="{00000000-0005-0000-0000-0000068C0000}"/>
    <cellStyle name="RIGs input cells 9 15" xfId="35631" xr:uid="{00000000-0005-0000-0000-0000078C0000}"/>
    <cellStyle name="RIGs input cells 9 16" xfId="35632" xr:uid="{00000000-0005-0000-0000-0000088C0000}"/>
    <cellStyle name="RIGs input cells 9 17" xfId="35633" xr:uid="{00000000-0005-0000-0000-0000098C0000}"/>
    <cellStyle name="RIGs input cells 9 18" xfId="35634" xr:uid="{00000000-0005-0000-0000-00000A8C0000}"/>
    <cellStyle name="RIGs input cells 9 19" xfId="35635" xr:uid="{00000000-0005-0000-0000-00000B8C0000}"/>
    <cellStyle name="RIGs input cells 9 2" xfId="35636" xr:uid="{00000000-0005-0000-0000-00000C8C0000}"/>
    <cellStyle name="RIGs input cells 9 2 10" xfId="35637" xr:uid="{00000000-0005-0000-0000-00000D8C0000}"/>
    <cellStyle name="RIGs input cells 9 2 11" xfId="35638" xr:uid="{00000000-0005-0000-0000-00000E8C0000}"/>
    <cellStyle name="RIGs input cells 9 2 12" xfId="35639" xr:uid="{00000000-0005-0000-0000-00000F8C0000}"/>
    <cellStyle name="RIGs input cells 9 2 13" xfId="35640" xr:uid="{00000000-0005-0000-0000-0000108C0000}"/>
    <cellStyle name="RIGs input cells 9 2 14" xfId="35641" xr:uid="{00000000-0005-0000-0000-0000118C0000}"/>
    <cellStyle name="RIGs input cells 9 2 15" xfId="35642" xr:uid="{00000000-0005-0000-0000-0000128C0000}"/>
    <cellStyle name="RIGs input cells 9 2 16" xfId="35643" xr:uid="{00000000-0005-0000-0000-0000138C0000}"/>
    <cellStyle name="RIGs input cells 9 2 17" xfId="35644" xr:uid="{00000000-0005-0000-0000-0000148C0000}"/>
    <cellStyle name="RIGs input cells 9 2 18" xfId="35645" xr:uid="{00000000-0005-0000-0000-0000158C0000}"/>
    <cellStyle name="RIGs input cells 9 2 19" xfId="35646" xr:uid="{00000000-0005-0000-0000-0000168C0000}"/>
    <cellStyle name="RIGs input cells 9 2 2" xfId="35647" xr:uid="{00000000-0005-0000-0000-0000178C0000}"/>
    <cellStyle name="RIGs input cells 9 2 2 10" xfId="35648" xr:uid="{00000000-0005-0000-0000-0000188C0000}"/>
    <cellStyle name="RIGs input cells 9 2 2 11" xfId="35649" xr:uid="{00000000-0005-0000-0000-0000198C0000}"/>
    <cellStyle name="RIGs input cells 9 2 2 12" xfId="35650" xr:uid="{00000000-0005-0000-0000-00001A8C0000}"/>
    <cellStyle name="RIGs input cells 9 2 2 13" xfId="35651" xr:uid="{00000000-0005-0000-0000-00001B8C0000}"/>
    <cellStyle name="RIGs input cells 9 2 2 2" xfId="35652" xr:uid="{00000000-0005-0000-0000-00001C8C0000}"/>
    <cellStyle name="RIGs input cells 9 2 2 2 2" xfId="35653" xr:uid="{00000000-0005-0000-0000-00001D8C0000}"/>
    <cellStyle name="RIGs input cells 9 2 2 2 3" xfId="35654" xr:uid="{00000000-0005-0000-0000-00001E8C0000}"/>
    <cellStyle name="RIGs input cells 9 2 2 3" xfId="35655" xr:uid="{00000000-0005-0000-0000-00001F8C0000}"/>
    <cellStyle name="RIGs input cells 9 2 2 3 2" xfId="35656" xr:uid="{00000000-0005-0000-0000-0000208C0000}"/>
    <cellStyle name="RIGs input cells 9 2 2 3 3" xfId="35657" xr:uid="{00000000-0005-0000-0000-0000218C0000}"/>
    <cellStyle name="RIGs input cells 9 2 2 4" xfId="35658" xr:uid="{00000000-0005-0000-0000-0000228C0000}"/>
    <cellStyle name="RIGs input cells 9 2 2 5" xfId="35659" xr:uid="{00000000-0005-0000-0000-0000238C0000}"/>
    <cellStyle name="RIGs input cells 9 2 2 6" xfId="35660" xr:uid="{00000000-0005-0000-0000-0000248C0000}"/>
    <cellStyle name="RIGs input cells 9 2 2 7" xfId="35661" xr:uid="{00000000-0005-0000-0000-0000258C0000}"/>
    <cellStyle name="RIGs input cells 9 2 2 8" xfId="35662" xr:uid="{00000000-0005-0000-0000-0000268C0000}"/>
    <cellStyle name="RIGs input cells 9 2 2 9" xfId="35663" xr:uid="{00000000-0005-0000-0000-0000278C0000}"/>
    <cellStyle name="RIGs input cells 9 2 20" xfId="35664" xr:uid="{00000000-0005-0000-0000-0000288C0000}"/>
    <cellStyle name="RIGs input cells 9 2 21" xfId="35665" xr:uid="{00000000-0005-0000-0000-0000298C0000}"/>
    <cellStyle name="RIGs input cells 9 2 22" xfId="35666" xr:uid="{00000000-0005-0000-0000-00002A8C0000}"/>
    <cellStyle name="RIGs input cells 9 2 23" xfId="35667" xr:uid="{00000000-0005-0000-0000-00002B8C0000}"/>
    <cellStyle name="RIGs input cells 9 2 24" xfId="35668" xr:uid="{00000000-0005-0000-0000-00002C8C0000}"/>
    <cellStyle name="RIGs input cells 9 2 25" xfId="35669" xr:uid="{00000000-0005-0000-0000-00002D8C0000}"/>
    <cellStyle name="RIGs input cells 9 2 26" xfId="35670" xr:uid="{00000000-0005-0000-0000-00002E8C0000}"/>
    <cellStyle name="RIGs input cells 9 2 27" xfId="35671" xr:uid="{00000000-0005-0000-0000-00002F8C0000}"/>
    <cellStyle name="RIGs input cells 9 2 28" xfId="35672" xr:uid="{00000000-0005-0000-0000-0000308C0000}"/>
    <cellStyle name="RIGs input cells 9 2 29" xfId="35673" xr:uid="{00000000-0005-0000-0000-0000318C0000}"/>
    <cellStyle name="RIGs input cells 9 2 3" xfId="35674" xr:uid="{00000000-0005-0000-0000-0000328C0000}"/>
    <cellStyle name="RIGs input cells 9 2 3 2" xfId="35675" xr:uid="{00000000-0005-0000-0000-0000338C0000}"/>
    <cellStyle name="RIGs input cells 9 2 3 3" xfId="35676" xr:uid="{00000000-0005-0000-0000-0000348C0000}"/>
    <cellStyle name="RIGs input cells 9 2 30" xfId="35677" xr:uid="{00000000-0005-0000-0000-0000358C0000}"/>
    <cellStyle name="RIGs input cells 9 2 31" xfId="35678" xr:uid="{00000000-0005-0000-0000-0000368C0000}"/>
    <cellStyle name="RIGs input cells 9 2 32" xfId="35679" xr:uid="{00000000-0005-0000-0000-0000378C0000}"/>
    <cellStyle name="RIGs input cells 9 2 33" xfId="35680" xr:uid="{00000000-0005-0000-0000-0000388C0000}"/>
    <cellStyle name="RIGs input cells 9 2 34" xfId="35681" xr:uid="{00000000-0005-0000-0000-0000398C0000}"/>
    <cellStyle name="RIGs input cells 9 2 4" xfId="35682" xr:uid="{00000000-0005-0000-0000-00003A8C0000}"/>
    <cellStyle name="RIGs input cells 9 2 4 2" xfId="35683" xr:uid="{00000000-0005-0000-0000-00003B8C0000}"/>
    <cellStyle name="RIGs input cells 9 2 4 3" xfId="35684" xr:uid="{00000000-0005-0000-0000-00003C8C0000}"/>
    <cellStyle name="RIGs input cells 9 2 5" xfId="35685" xr:uid="{00000000-0005-0000-0000-00003D8C0000}"/>
    <cellStyle name="RIGs input cells 9 2 6" xfId="35686" xr:uid="{00000000-0005-0000-0000-00003E8C0000}"/>
    <cellStyle name="RIGs input cells 9 2 7" xfId="35687" xr:uid="{00000000-0005-0000-0000-00003F8C0000}"/>
    <cellStyle name="RIGs input cells 9 2 8" xfId="35688" xr:uid="{00000000-0005-0000-0000-0000408C0000}"/>
    <cellStyle name="RIGs input cells 9 2 9" xfId="35689" xr:uid="{00000000-0005-0000-0000-0000418C0000}"/>
    <cellStyle name="RIGs input cells 9 20" xfId="35690" xr:uid="{00000000-0005-0000-0000-0000428C0000}"/>
    <cellStyle name="RIGs input cells 9 21" xfId="35691" xr:uid="{00000000-0005-0000-0000-0000438C0000}"/>
    <cellStyle name="RIGs input cells 9 22" xfId="35692" xr:uid="{00000000-0005-0000-0000-0000448C0000}"/>
    <cellStyle name="RIGs input cells 9 23" xfId="35693" xr:uid="{00000000-0005-0000-0000-0000458C0000}"/>
    <cellStyle name="RIGs input cells 9 24" xfId="35694" xr:uid="{00000000-0005-0000-0000-0000468C0000}"/>
    <cellStyle name="RIGs input cells 9 25" xfId="35695" xr:uid="{00000000-0005-0000-0000-0000478C0000}"/>
    <cellStyle name="RIGs input cells 9 26" xfId="35696" xr:uid="{00000000-0005-0000-0000-0000488C0000}"/>
    <cellStyle name="RIGs input cells 9 27" xfId="35697" xr:uid="{00000000-0005-0000-0000-0000498C0000}"/>
    <cellStyle name="RIGs input cells 9 28" xfId="35698" xr:uid="{00000000-0005-0000-0000-00004A8C0000}"/>
    <cellStyle name="RIGs input cells 9 29" xfId="35699" xr:uid="{00000000-0005-0000-0000-00004B8C0000}"/>
    <cellStyle name="RIGs input cells 9 3" xfId="35700" xr:uid="{00000000-0005-0000-0000-00004C8C0000}"/>
    <cellStyle name="RIGs input cells 9 3 10" xfId="35701" xr:uid="{00000000-0005-0000-0000-00004D8C0000}"/>
    <cellStyle name="RIGs input cells 9 3 11" xfId="35702" xr:uid="{00000000-0005-0000-0000-00004E8C0000}"/>
    <cellStyle name="RIGs input cells 9 3 12" xfId="35703" xr:uid="{00000000-0005-0000-0000-00004F8C0000}"/>
    <cellStyle name="RIGs input cells 9 3 13" xfId="35704" xr:uid="{00000000-0005-0000-0000-0000508C0000}"/>
    <cellStyle name="RIGs input cells 9 3 2" xfId="35705" xr:uid="{00000000-0005-0000-0000-0000518C0000}"/>
    <cellStyle name="RIGs input cells 9 3 2 2" xfId="35706" xr:uid="{00000000-0005-0000-0000-0000528C0000}"/>
    <cellStyle name="RIGs input cells 9 3 2 3" xfId="35707" xr:uid="{00000000-0005-0000-0000-0000538C0000}"/>
    <cellStyle name="RIGs input cells 9 3 3" xfId="35708" xr:uid="{00000000-0005-0000-0000-0000548C0000}"/>
    <cellStyle name="RIGs input cells 9 3 3 2" xfId="35709" xr:uid="{00000000-0005-0000-0000-0000558C0000}"/>
    <cellStyle name="RIGs input cells 9 3 3 3" xfId="35710" xr:uid="{00000000-0005-0000-0000-0000568C0000}"/>
    <cellStyle name="RIGs input cells 9 3 4" xfId="35711" xr:uid="{00000000-0005-0000-0000-0000578C0000}"/>
    <cellStyle name="RIGs input cells 9 3 5" xfId="35712" xr:uid="{00000000-0005-0000-0000-0000588C0000}"/>
    <cellStyle name="RIGs input cells 9 3 6" xfId="35713" xr:uid="{00000000-0005-0000-0000-0000598C0000}"/>
    <cellStyle name="RIGs input cells 9 3 7" xfId="35714" xr:uid="{00000000-0005-0000-0000-00005A8C0000}"/>
    <cellStyle name="RIGs input cells 9 3 8" xfId="35715" xr:uid="{00000000-0005-0000-0000-00005B8C0000}"/>
    <cellStyle name="RIGs input cells 9 3 9" xfId="35716" xr:uid="{00000000-0005-0000-0000-00005C8C0000}"/>
    <cellStyle name="RIGs input cells 9 30" xfId="35717" xr:uid="{00000000-0005-0000-0000-00005D8C0000}"/>
    <cellStyle name="RIGs input cells 9 31" xfId="35718" xr:uid="{00000000-0005-0000-0000-00005E8C0000}"/>
    <cellStyle name="RIGs input cells 9 32" xfId="35719" xr:uid="{00000000-0005-0000-0000-00005F8C0000}"/>
    <cellStyle name="RIGs input cells 9 33" xfId="35720" xr:uid="{00000000-0005-0000-0000-0000608C0000}"/>
    <cellStyle name="RIGs input cells 9 34" xfId="35721" xr:uid="{00000000-0005-0000-0000-0000618C0000}"/>
    <cellStyle name="RIGs input cells 9 35" xfId="35722" xr:uid="{00000000-0005-0000-0000-0000628C0000}"/>
    <cellStyle name="RIGs input cells 9 4" xfId="35723" xr:uid="{00000000-0005-0000-0000-0000638C0000}"/>
    <cellStyle name="RIGs input cells 9 4 2" xfId="35724" xr:uid="{00000000-0005-0000-0000-0000648C0000}"/>
    <cellStyle name="RIGs input cells 9 4 3" xfId="35725" xr:uid="{00000000-0005-0000-0000-0000658C0000}"/>
    <cellStyle name="RIGs input cells 9 5" xfId="35726" xr:uid="{00000000-0005-0000-0000-0000668C0000}"/>
    <cellStyle name="RIGs input cells 9 5 2" xfId="35727" xr:uid="{00000000-0005-0000-0000-0000678C0000}"/>
    <cellStyle name="RIGs input cells 9 5 3" xfId="35728" xr:uid="{00000000-0005-0000-0000-0000688C0000}"/>
    <cellStyle name="RIGs input cells 9 6" xfId="35729" xr:uid="{00000000-0005-0000-0000-0000698C0000}"/>
    <cellStyle name="RIGs input cells 9 7" xfId="35730" xr:uid="{00000000-0005-0000-0000-00006A8C0000}"/>
    <cellStyle name="RIGs input cells 9 8" xfId="35731" xr:uid="{00000000-0005-0000-0000-00006B8C0000}"/>
    <cellStyle name="RIGs input cells 9 9" xfId="35732" xr:uid="{00000000-0005-0000-0000-00006C8C0000}"/>
    <cellStyle name="RIGs input cells 9_4 28 1_Asst_Health_Crit_AllTO_RIIO_20110714pm" xfId="35733" xr:uid="{00000000-0005-0000-0000-00006D8C0000}"/>
    <cellStyle name="RIGs input cells_1.3s Accounting C Costs Scots" xfId="35734" xr:uid="{00000000-0005-0000-0000-00006E8C0000}"/>
    <cellStyle name="RIGs input totals" xfId="35735" xr:uid="{00000000-0005-0000-0000-00006F8C0000}"/>
    <cellStyle name="RIGs input totals 10" xfId="35736" xr:uid="{00000000-0005-0000-0000-0000708C0000}"/>
    <cellStyle name="RIGs input totals 10 10" xfId="35737" xr:uid="{00000000-0005-0000-0000-0000718C0000}"/>
    <cellStyle name="RIGs input totals 10 11" xfId="35738" xr:uid="{00000000-0005-0000-0000-0000728C0000}"/>
    <cellStyle name="RIGs input totals 10 12" xfId="35739" xr:uid="{00000000-0005-0000-0000-0000738C0000}"/>
    <cellStyle name="RIGs input totals 10 13" xfId="35740" xr:uid="{00000000-0005-0000-0000-0000748C0000}"/>
    <cellStyle name="RIGs input totals 10 14" xfId="35741" xr:uid="{00000000-0005-0000-0000-0000758C0000}"/>
    <cellStyle name="RIGs input totals 10 15" xfId="35742" xr:uid="{00000000-0005-0000-0000-0000768C0000}"/>
    <cellStyle name="RIGs input totals 10 16" xfId="35743" xr:uid="{00000000-0005-0000-0000-0000778C0000}"/>
    <cellStyle name="RIGs input totals 10 17" xfId="35744" xr:uid="{00000000-0005-0000-0000-0000788C0000}"/>
    <cellStyle name="RIGs input totals 10 18" xfId="35745" xr:uid="{00000000-0005-0000-0000-0000798C0000}"/>
    <cellStyle name="RIGs input totals 10 19" xfId="35746" xr:uid="{00000000-0005-0000-0000-00007A8C0000}"/>
    <cellStyle name="RIGs input totals 10 2" xfId="35747" xr:uid="{00000000-0005-0000-0000-00007B8C0000}"/>
    <cellStyle name="RIGs input totals 10 2 10" xfId="35748" xr:uid="{00000000-0005-0000-0000-00007C8C0000}"/>
    <cellStyle name="RIGs input totals 10 2 11" xfId="35749" xr:uid="{00000000-0005-0000-0000-00007D8C0000}"/>
    <cellStyle name="RIGs input totals 10 2 12" xfId="35750" xr:uid="{00000000-0005-0000-0000-00007E8C0000}"/>
    <cellStyle name="RIGs input totals 10 2 13" xfId="35751" xr:uid="{00000000-0005-0000-0000-00007F8C0000}"/>
    <cellStyle name="RIGs input totals 10 2 2" xfId="35752" xr:uid="{00000000-0005-0000-0000-0000808C0000}"/>
    <cellStyle name="RIGs input totals 10 2 2 2" xfId="35753" xr:uid="{00000000-0005-0000-0000-0000818C0000}"/>
    <cellStyle name="RIGs input totals 10 2 2 3" xfId="35754" xr:uid="{00000000-0005-0000-0000-0000828C0000}"/>
    <cellStyle name="RIGs input totals 10 2 3" xfId="35755" xr:uid="{00000000-0005-0000-0000-0000838C0000}"/>
    <cellStyle name="RIGs input totals 10 2 3 2" xfId="35756" xr:uid="{00000000-0005-0000-0000-0000848C0000}"/>
    <cellStyle name="RIGs input totals 10 2 3 3" xfId="35757" xr:uid="{00000000-0005-0000-0000-0000858C0000}"/>
    <cellStyle name="RIGs input totals 10 2 4" xfId="35758" xr:uid="{00000000-0005-0000-0000-0000868C0000}"/>
    <cellStyle name="RIGs input totals 10 2 5" xfId="35759" xr:uid="{00000000-0005-0000-0000-0000878C0000}"/>
    <cellStyle name="RIGs input totals 10 2 6" xfId="35760" xr:uid="{00000000-0005-0000-0000-0000888C0000}"/>
    <cellStyle name="RIGs input totals 10 2 7" xfId="35761" xr:uid="{00000000-0005-0000-0000-0000898C0000}"/>
    <cellStyle name="RIGs input totals 10 2 8" xfId="35762" xr:uid="{00000000-0005-0000-0000-00008A8C0000}"/>
    <cellStyle name="RIGs input totals 10 2 9" xfId="35763" xr:uid="{00000000-0005-0000-0000-00008B8C0000}"/>
    <cellStyle name="RIGs input totals 10 20" xfId="35764" xr:uid="{00000000-0005-0000-0000-00008C8C0000}"/>
    <cellStyle name="RIGs input totals 10 21" xfId="35765" xr:uid="{00000000-0005-0000-0000-00008D8C0000}"/>
    <cellStyle name="RIGs input totals 10 22" xfId="35766" xr:uid="{00000000-0005-0000-0000-00008E8C0000}"/>
    <cellStyle name="RIGs input totals 10 23" xfId="35767" xr:uid="{00000000-0005-0000-0000-00008F8C0000}"/>
    <cellStyle name="RIGs input totals 10 24" xfId="35768" xr:uid="{00000000-0005-0000-0000-0000908C0000}"/>
    <cellStyle name="RIGs input totals 10 25" xfId="35769" xr:uid="{00000000-0005-0000-0000-0000918C0000}"/>
    <cellStyle name="RIGs input totals 10 26" xfId="35770" xr:uid="{00000000-0005-0000-0000-0000928C0000}"/>
    <cellStyle name="RIGs input totals 10 27" xfId="35771" xr:uid="{00000000-0005-0000-0000-0000938C0000}"/>
    <cellStyle name="RIGs input totals 10 28" xfId="35772" xr:uid="{00000000-0005-0000-0000-0000948C0000}"/>
    <cellStyle name="RIGs input totals 10 29" xfId="35773" xr:uid="{00000000-0005-0000-0000-0000958C0000}"/>
    <cellStyle name="RIGs input totals 10 3" xfId="35774" xr:uid="{00000000-0005-0000-0000-0000968C0000}"/>
    <cellStyle name="RIGs input totals 10 3 2" xfId="35775" xr:uid="{00000000-0005-0000-0000-0000978C0000}"/>
    <cellStyle name="RIGs input totals 10 3 3" xfId="35776" xr:uid="{00000000-0005-0000-0000-0000988C0000}"/>
    <cellStyle name="RIGs input totals 10 30" xfId="35777" xr:uid="{00000000-0005-0000-0000-0000998C0000}"/>
    <cellStyle name="RIGs input totals 10 31" xfId="35778" xr:uid="{00000000-0005-0000-0000-00009A8C0000}"/>
    <cellStyle name="RIGs input totals 10 32" xfId="35779" xr:uid="{00000000-0005-0000-0000-00009B8C0000}"/>
    <cellStyle name="RIGs input totals 10 33" xfId="35780" xr:uid="{00000000-0005-0000-0000-00009C8C0000}"/>
    <cellStyle name="RIGs input totals 10 34" xfId="35781" xr:uid="{00000000-0005-0000-0000-00009D8C0000}"/>
    <cellStyle name="RIGs input totals 10 4" xfId="35782" xr:uid="{00000000-0005-0000-0000-00009E8C0000}"/>
    <cellStyle name="RIGs input totals 10 4 2" xfId="35783" xr:uid="{00000000-0005-0000-0000-00009F8C0000}"/>
    <cellStyle name="RIGs input totals 10 4 3" xfId="35784" xr:uid="{00000000-0005-0000-0000-0000A08C0000}"/>
    <cellStyle name="RIGs input totals 10 5" xfId="35785" xr:uid="{00000000-0005-0000-0000-0000A18C0000}"/>
    <cellStyle name="RIGs input totals 10 6" xfId="35786" xr:uid="{00000000-0005-0000-0000-0000A28C0000}"/>
    <cellStyle name="RIGs input totals 10 7" xfId="35787" xr:uid="{00000000-0005-0000-0000-0000A38C0000}"/>
    <cellStyle name="RIGs input totals 10 8" xfId="35788" xr:uid="{00000000-0005-0000-0000-0000A48C0000}"/>
    <cellStyle name="RIGs input totals 10 9" xfId="35789" xr:uid="{00000000-0005-0000-0000-0000A58C0000}"/>
    <cellStyle name="RIGs input totals 11" xfId="35790" xr:uid="{00000000-0005-0000-0000-0000A68C0000}"/>
    <cellStyle name="RIGs input totals 11 10" xfId="35791" xr:uid="{00000000-0005-0000-0000-0000A78C0000}"/>
    <cellStyle name="RIGs input totals 11 11" xfId="35792" xr:uid="{00000000-0005-0000-0000-0000A88C0000}"/>
    <cellStyle name="RIGs input totals 11 12" xfId="35793" xr:uid="{00000000-0005-0000-0000-0000A98C0000}"/>
    <cellStyle name="RIGs input totals 11 13" xfId="35794" xr:uid="{00000000-0005-0000-0000-0000AA8C0000}"/>
    <cellStyle name="RIGs input totals 11 14" xfId="35795" xr:uid="{00000000-0005-0000-0000-0000AB8C0000}"/>
    <cellStyle name="RIGs input totals 11 15" xfId="35796" xr:uid="{00000000-0005-0000-0000-0000AC8C0000}"/>
    <cellStyle name="RIGs input totals 11 16" xfId="35797" xr:uid="{00000000-0005-0000-0000-0000AD8C0000}"/>
    <cellStyle name="RIGs input totals 11 17" xfId="35798" xr:uid="{00000000-0005-0000-0000-0000AE8C0000}"/>
    <cellStyle name="RIGs input totals 11 18" xfId="35799" xr:uid="{00000000-0005-0000-0000-0000AF8C0000}"/>
    <cellStyle name="RIGs input totals 11 19" xfId="35800" xr:uid="{00000000-0005-0000-0000-0000B08C0000}"/>
    <cellStyle name="RIGs input totals 11 2" xfId="35801" xr:uid="{00000000-0005-0000-0000-0000B18C0000}"/>
    <cellStyle name="RIGs input totals 11 2 10" xfId="35802" xr:uid="{00000000-0005-0000-0000-0000B28C0000}"/>
    <cellStyle name="RIGs input totals 11 2 11" xfId="35803" xr:uid="{00000000-0005-0000-0000-0000B38C0000}"/>
    <cellStyle name="RIGs input totals 11 2 12" xfId="35804" xr:uid="{00000000-0005-0000-0000-0000B48C0000}"/>
    <cellStyle name="RIGs input totals 11 2 13" xfId="35805" xr:uid="{00000000-0005-0000-0000-0000B58C0000}"/>
    <cellStyle name="RIGs input totals 11 2 2" xfId="35806" xr:uid="{00000000-0005-0000-0000-0000B68C0000}"/>
    <cellStyle name="RIGs input totals 11 2 2 2" xfId="35807" xr:uid="{00000000-0005-0000-0000-0000B78C0000}"/>
    <cellStyle name="RIGs input totals 11 2 2 3" xfId="35808" xr:uid="{00000000-0005-0000-0000-0000B88C0000}"/>
    <cellStyle name="RIGs input totals 11 2 3" xfId="35809" xr:uid="{00000000-0005-0000-0000-0000B98C0000}"/>
    <cellStyle name="RIGs input totals 11 2 3 2" xfId="35810" xr:uid="{00000000-0005-0000-0000-0000BA8C0000}"/>
    <cellStyle name="RIGs input totals 11 2 3 3" xfId="35811" xr:uid="{00000000-0005-0000-0000-0000BB8C0000}"/>
    <cellStyle name="RIGs input totals 11 2 4" xfId="35812" xr:uid="{00000000-0005-0000-0000-0000BC8C0000}"/>
    <cellStyle name="RIGs input totals 11 2 5" xfId="35813" xr:uid="{00000000-0005-0000-0000-0000BD8C0000}"/>
    <cellStyle name="RIGs input totals 11 2 6" xfId="35814" xr:uid="{00000000-0005-0000-0000-0000BE8C0000}"/>
    <cellStyle name="RIGs input totals 11 2 7" xfId="35815" xr:uid="{00000000-0005-0000-0000-0000BF8C0000}"/>
    <cellStyle name="RIGs input totals 11 2 8" xfId="35816" xr:uid="{00000000-0005-0000-0000-0000C08C0000}"/>
    <cellStyle name="RIGs input totals 11 2 9" xfId="35817" xr:uid="{00000000-0005-0000-0000-0000C18C0000}"/>
    <cellStyle name="RIGs input totals 11 20" xfId="35818" xr:uid="{00000000-0005-0000-0000-0000C28C0000}"/>
    <cellStyle name="RIGs input totals 11 21" xfId="35819" xr:uid="{00000000-0005-0000-0000-0000C38C0000}"/>
    <cellStyle name="RIGs input totals 11 22" xfId="35820" xr:uid="{00000000-0005-0000-0000-0000C48C0000}"/>
    <cellStyle name="RIGs input totals 11 23" xfId="35821" xr:uid="{00000000-0005-0000-0000-0000C58C0000}"/>
    <cellStyle name="RIGs input totals 11 24" xfId="35822" xr:uid="{00000000-0005-0000-0000-0000C68C0000}"/>
    <cellStyle name="RIGs input totals 11 25" xfId="35823" xr:uid="{00000000-0005-0000-0000-0000C78C0000}"/>
    <cellStyle name="RIGs input totals 11 26" xfId="35824" xr:uid="{00000000-0005-0000-0000-0000C88C0000}"/>
    <cellStyle name="RIGs input totals 11 27" xfId="35825" xr:uid="{00000000-0005-0000-0000-0000C98C0000}"/>
    <cellStyle name="RIGs input totals 11 28" xfId="35826" xr:uid="{00000000-0005-0000-0000-0000CA8C0000}"/>
    <cellStyle name="RIGs input totals 11 29" xfId="35827" xr:uid="{00000000-0005-0000-0000-0000CB8C0000}"/>
    <cellStyle name="RIGs input totals 11 3" xfId="35828" xr:uid="{00000000-0005-0000-0000-0000CC8C0000}"/>
    <cellStyle name="RIGs input totals 11 3 2" xfId="35829" xr:uid="{00000000-0005-0000-0000-0000CD8C0000}"/>
    <cellStyle name="RIGs input totals 11 3 3" xfId="35830" xr:uid="{00000000-0005-0000-0000-0000CE8C0000}"/>
    <cellStyle name="RIGs input totals 11 30" xfId="35831" xr:uid="{00000000-0005-0000-0000-0000CF8C0000}"/>
    <cellStyle name="RIGs input totals 11 31" xfId="35832" xr:uid="{00000000-0005-0000-0000-0000D08C0000}"/>
    <cellStyle name="RIGs input totals 11 32" xfId="35833" xr:uid="{00000000-0005-0000-0000-0000D18C0000}"/>
    <cellStyle name="RIGs input totals 11 33" xfId="35834" xr:uid="{00000000-0005-0000-0000-0000D28C0000}"/>
    <cellStyle name="RIGs input totals 11 34" xfId="35835" xr:uid="{00000000-0005-0000-0000-0000D38C0000}"/>
    <cellStyle name="RIGs input totals 11 4" xfId="35836" xr:uid="{00000000-0005-0000-0000-0000D48C0000}"/>
    <cellStyle name="RIGs input totals 11 4 2" xfId="35837" xr:uid="{00000000-0005-0000-0000-0000D58C0000}"/>
    <cellStyle name="RIGs input totals 11 4 3" xfId="35838" xr:uid="{00000000-0005-0000-0000-0000D68C0000}"/>
    <cellStyle name="RIGs input totals 11 5" xfId="35839" xr:uid="{00000000-0005-0000-0000-0000D78C0000}"/>
    <cellStyle name="RIGs input totals 11 6" xfId="35840" xr:uid="{00000000-0005-0000-0000-0000D88C0000}"/>
    <cellStyle name="RIGs input totals 11 7" xfId="35841" xr:uid="{00000000-0005-0000-0000-0000D98C0000}"/>
    <cellStyle name="RIGs input totals 11 8" xfId="35842" xr:uid="{00000000-0005-0000-0000-0000DA8C0000}"/>
    <cellStyle name="RIGs input totals 11 9" xfId="35843" xr:uid="{00000000-0005-0000-0000-0000DB8C0000}"/>
    <cellStyle name="RIGs input totals 12" xfId="35844" xr:uid="{00000000-0005-0000-0000-0000DC8C0000}"/>
    <cellStyle name="RIGs input totals 12 10" xfId="35845" xr:uid="{00000000-0005-0000-0000-0000DD8C0000}"/>
    <cellStyle name="RIGs input totals 12 11" xfId="35846" xr:uid="{00000000-0005-0000-0000-0000DE8C0000}"/>
    <cellStyle name="RIGs input totals 12 12" xfId="35847" xr:uid="{00000000-0005-0000-0000-0000DF8C0000}"/>
    <cellStyle name="RIGs input totals 12 13" xfId="35848" xr:uid="{00000000-0005-0000-0000-0000E08C0000}"/>
    <cellStyle name="RIGs input totals 12 14" xfId="35849" xr:uid="{00000000-0005-0000-0000-0000E18C0000}"/>
    <cellStyle name="RIGs input totals 12 15" xfId="35850" xr:uid="{00000000-0005-0000-0000-0000E28C0000}"/>
    <cellStyle name="RIGs input totals 12 16" xfId="35851" xr:uid="{00000000-0005-0000-0000-0000E38C0000}"/>
    <cellStyle name="RIGs input totals 12 17" xfId="35852" xr:uid="{00000000-0005-0000-0000-0000E48C0000}"/>
    <cellStyle name="RIGs input totals 12 18" xfId="35853" xr:uid="{00000000-0005-0000-0000-0000E58C0000}"/>
    <cellStyle name="RIGs input totals 12 19" xfId="35854" xr:uid="{00000000-0005-0000-0000-0000E68C0000}"/>
    <cellStyle name="RIGs input totals 12 2" xfId="35855" xr:uid="{00000000-0005-0000-0000-0000E78C0000}"/>
    <cellStyle name="RIGs input totals 12 2 10" xfId="35856" xr:uid="{00000000-0005-0000-0000-0000E88C0000}"/>
    <cellStyle name="RIGs input totals 12 2 11" xfId="35857" xr:uid="{00000000-0005-0000-0000-0000E98C0000}"/>
    <cellStyle name="RIGs input totals 12 2 12" xfId="35858" xr:uid="{00000000-0005-0000-0000-0000EA8C0000}"/>
    <cellStyle name="RIGs input totals 12 2 13" xfId="35859" xr:uid="{00000000-0005-0000-0000-0000EB8C0000}"/>
    <cellStyle name="RIGs input totals 12 2 2" xfId="35860" xr:uid="{00000000-0005-0000-0000-0000EC8C0000}"/>
    <cellStyle name="RIGs input totals 12 2 2 2" xfId="35861" xr:uid="{00000000-0005-0000-0000-0000ED8C0000}"/>
    <cellStyle name="RIGs input totals 12 2 2 3" xfId="35862" xr:uid="{00000000-0005-0000-0000-0000EE8C0000}"/>
    <cellStyle name="RIGs input totals 12 2 3" xfId="35863" xr:uid="{00000000-0005-0000-0000-0000EF8C0000}"/>
    <cellStyle name="RIGs input totals 12 2 3 2" xfId="35864" xr:uid="{00000000-0005-0000-0000-0000F08C0000}"/>
    <cellStyle name="RIGs input totals 12 2 3 3" xfId="35865" xr:uid="{00000000-0005-0000-0000-0000F18C0000}"/>
    <cellStyle name="RIGs input totals 12 2 4" xfId="35866" xr:uid="{00000000-0005-0000-0000-0000F28C0000}"/>
    <cellStyle name="RIGs input totals 12 2 5" xfId="35867" xr:uid="{00000000-0005-0000-0000-0000F38C0000}"/>
    <cellStyle name="RIGs input totals 12 2 6" xfId="35868" xr:uid="{00000000-0005-0000-0000-0000F48C0000}"/>
    <cellStyle name="RIGs input totals 12 2 7" xfId="35869" xr:uid="{00000000-0005-0000-0000-0000F58C0000}"/>
    <cellStyle name="RIGs input totals 12 2 8" xfId="35870" xr:uid="{00000000-0005-0000-0000-0000F68C0000}"/>
    <cellStyle name="RIGs input totals 12 2 9" xfId="35871" xr:uid="{00000000-0005-0000-0000-0000F78C0000}"/>
    <cellStyle name="RIGs input totals 12 20" xfId="35872" xr:uid="{00000000-0005-0000-0000-0000F88C0000}"/>
    <cellStyle name="RIGs input totals 12 21" xfId="35873" xr:uid="{00000000-0005-0000-0000-0000F98C0000}"/>
    <cellStyle name="RIGs input totals 12 22" xfId="35874" xr:uid="{00000000-0005-0000-0000-0000FA8C0000}"/>
    <cellStyle name="RIGs input totals 12 23" xfId="35875" xr:uid="{00000000-0005-0000-0000-0000FB8C0000}"/>
    <cellStyle name="RIGs input totals 12 24" xfId="35876" xr:uid="{00000000-0005-0000-0000-0000FC8C0000}"/>
    <cellStyle name="RIGs input totals 12 25" xfId="35877" xr:uid="{00000000-0005-0000-0000-0000FD8C0000}"/>
    <cellStyle name="RIGs input totals 12 26" xfId="35878" xr:uid="{00000000-0005-0000-0000-0000FE8C0000}"/>
    <cellStyle name="RIGs input totals 12 27" xfId="35879" xr:uid="{00000000-0005-0000-0000-0000FF8C0000}"/>
    <cellStyle name="RIGs input totals 12 28" xfId="35880" xr:uid="{00000000-0005-0000-0000-0000008D0000}"/>
    <cellStyle name="RIGs input totals 12 29" xfId="35881" xr:uid="{00000000-0005-0000-0000-0000018D0000}"/>
    <cellStyle name="RIGs input totals 12 3" xfId="35882" xr:uid="{00000000-0005-0000-0000-0000028D0000}"/>
    <cellStyle name="RIGs input totals 12 3 2" xfId="35883" xr:uid="{00000000-0005-0000-0000-0000038D0000}"/>
    <cellStyle name="RIGs input totals 12 3 3" xfId="35884" xr:uid="{00000000-0005-0000-0000-0000048D0000}"/>
    <cellStyle name="RIGs input totals 12 30" xfId="35885" xr:uid="{00000000-0005-0000-0000-0000058D0000}"/>
    <cellStyle name="RIGs input totals 12 31" xfId="35886" xr:uid="{00000000-0005-0000-0000-0000068D0000}"/>
    <cellStyle name="RIGs input totals 12 32" xfId="35887" xr:uid="{00000000-0005-0000-0000-0000078D0000}"/>
    <cellStyle name="RIGs input totals 12 33" xfId="35888" xr:uid="{00000000-0005-0000-0000-0000088D0000}"/>
    <cellStyle name="RIGs input totals 12 34" xfId="35889" xr:uid="{00000000-0005-0000-0000-0000098D0000}"/>
    <cellStyle name="RIGs input totals 12 4" xfId="35890" xr:uid="{00000000-0005-0000-0000-00000A8D0000}"/>
    <cellStyle name="RIGs input totals 12 4 2" xfId="35891" xr:uid="{00000000-0005-0000-0000-00000B8D0000}"/>
    <cellStyle name="RIGs input totals 12 4 3" xfId="35892" xr:uid="{00000000-0005-0000-0000-00000C8D0000}"/>
    <cellStyle name="RIGs input totals 12 5" xfId="35893" xr:uid="{00000000-0005-0000-0000-00000D8D0000}"/>
    <cellStyle name="RIGs input totals 12 6" xfId="35894" xr:uid="{00000000-0005-0000-0000-00000E8D0000}"/>
    <cellStyle name="RIGs input totals 12 7" xfId="35895" xr:uid="{00000000-0005-0000-0000-00000F8D0000}"/>
    <cellStyle name="RIGs input totals 12 8" xfId="35896" xr:uid="{00000000-0005-0000-0000-0000108D0000}"/>
    <cellStyle name="RIGs input totals 12 9" xfId="35897" xr:uid="{00000000-0005-0000-0000-0000118D0000}"/>
    <cellStyle name="RIGs input totals 13" xfId="35898" xr:uid="{00000000-0005-0000-0000-0000128D0000}"/>
    <cellStyle name="RIGs input totals 13 10" xfId="35899" xr:uid="{00000000-0005-0000-0000-0000138D0000}"/>
    <cellStyle name="RIGs input totals 13 11" xfId="35900" xr:uid="{00000000-0005-0000-0000-0000148D0000}"/>
    <cellStyle name="RIGs input totals 13 12" xfId="35901" xr:uid="{00000000-0005-0000-0000-0000158D0000}"/>
    <cellStyle name="RIGs input totals 13 13" xfId="35902" xr:uid="{00000000-0005-0000-0000-0000168D0000}"/>
    <cellStyle name="RIGs input totals 13 2" xfId="35903" xr:uid="{00000000-0005-0000-0000-0000178D0000}"/>
    <cellStyle name="RIGs input totals 13 2 2" xfId="35904" xr:uid="{00000000-0005-0000-0000-0000188D0000}"/>
    <cellStyle name="RIGs input totals 13 2 3" xfId="35905" xr:uid="{00000000-0005-0000-0000-0000198D0000}"/>
    <cellStyle name="RIGs input totals 13 3" xfId="35906" xr:uid="{00000000-0005-0000-0000-00001A8D0000}"/>
    <cellStyle name="RIGs input totals 13 3 2" xfId="35907" xr:uid="{00000000-0005-0000-0000-00001B8D0000}"/>
    <cellStyle name="RIGs input totals 13 3 3" xfId="35908" xr:uid="{00000000-0005-0000-0000-00001C8D0000}"/>
    <cellStyle name="RIGs input totals 13 4" xfId="35909" xr:uid="{00000000-0005-0000-0000-00001D8D0000}"/>
    <cellStyle name="RIGs input totals 13 5" xfId="35910" xr:uid="{00000000-0005-0000-0000-00001E8D0000}"/>
    <cellStyle name="RIGs input totals 13 6" xfId="35911" xr:uid="{00000000-0005-0000-0000-00001F8D0000}"/>
    <cellStyle name="RIGs input totals 13 7" xfId="35912" xr:uid="{00000000-0005-0000-0000-0000208D0000}"/>
    <cellStyle name="RIGs input totals 13 8" xfId="35913" xr:uid="{00000000-0005-0000-0000-0000218D0000}"/>
    <cellStyle name="RIGs input totals 13 9" xfId="35914" xr:uid="{00000000-0005-0000-0000-0000228D0000}"/>
    <cellStyle name="RIGs input totals 14" xfId="35915" xr:uid="{00000000-0005-0000-0000-0000238D0000}"/>
    <cellStyle name="RIGs input totals 14 2" xfId="35916" xr:uid="{00000000-0005-0000-0000-0000248D0000}"/>
    <cellStyle name="RIGs input totals 14 2 2" xfId="35917" xr:uid="{00000000-0005-0000-0000-0000258D0000}"/>
    <cellStyle name="RIGs input totals 14 2 3" xfId="35918" xr:uid="{00000000-0005-0000-0000-0000268D0000}"/>
    <cellStyle name="RIGs input totals 14 3" xfId="35919" xr:uid="{00000000-0005-0000-0000-0000278D0000}"/>
    <cellStyle name="RIGs input totals 14 3 2" xfId="35920" xr:uid="{00000000-0005-0000-0000-0000288D0000}"/>
    <cellStyle name="RIGs input totals 14 4" xfId="35921" xr:uid="{00000000-0005-0000-0000-0000298D0000}"/>
    <cellStyle name="RIGs input totals 15" xfId="35922" xr:uid="{00000000-0005-0000-0000-00002A8D0000}"/>
    <cellStyle name="RIGs input totals 15 2" xfId="35923" xr:uid="{00000000-0005-0000-0000-00002B8D0000}"/>
    <cellStyle name="RIGs input totals 16" xfId="35924" xr:uid="{00000000-0005-0000-0000-00002C8D0000}"/>
    <cellStyle name="RIGs input totals 16 2" xfId="35925" xr:uid="{00000000-0005-0000-0000-00002D8D0000}"/>
    <cellStyle name="RIGs input totals 17" xfId="35926" xr:uid="{00000000-0005-0000-0000-00002E8D0000}"/>
    <cellStyle name="RIGs input totals 17 2" xfId="35927" xr:uid="{00000000-0005-0000-0000-00002F8D0000}"/>
    <cellStyle name="RIGs input totals 18" xfId="35928" xr:uid="{00000000-0005-0000-0000-0000308D0000}"/>
    <cellStyle name="RIGs input totals 18 2" xfId="35929" xr:uid="{00000000-0005-0000-0000-0000318D0000}"/>
    <cellStyle name="RIGs input totals 19" xfId="35930" xr:uid="{00000000-0005-0000-0000-0000328D0000}"/>
    <cellStyle name="RIGs input totals 19 2" xfId="35931" xr:uid="{00000000-0005-0000-0000-0000338D0000}"/>
    <cellStyle name="RIGs input totals 2" xfId="35932" xr:uid="{00000000-0005-0000-0000-0000348D0000}"/>
    <cellStyle name="RIGs input totals 2 10" xfId="35933" xr:uid="{00000000-0005-0000-0000-0000358D0000}"/>
    <cellStyle name="RIGs input totals 2 10 10" xfId="35934" xr:uid="{00000000-0005-0000-0000-0000368D0000}"/>
    <cellStyle name="RIGs input totals 2 10 11" xfId="35935" xr:uid="{00000000-0005-0000-0000-0000378D0000}"/>
    <cellStyle name="RIGs input totals 2 10 12" xfId="35936" xr:uid="{00000000-0005-0000-0000-0000388D0000}"/>
    <cellStyle name="RIGs input totals 2 10 13" xfId="35937" xr:uid="{00000000-0005-0000-0000-0000398D0000}"/>
    <cellStyle name="RIGs input totals 2 10 14" xfId="35938" xr:uid="{00000000-0005-0000-0000-00003A8D0000}"/>
    <cellStyle name="RIGs input totals 2 10 15" xfId="35939" xr:uid="{00000000-0005-0000-0000-00003B8D0000}"/>
    <cellStyle name="RIGs input totals 2 10 16" xfId="35940" xr:uid="{00000000-0005-0000-0000-00003C8D0000}"/>
    <cellStyle name="RIGs input totals 2 10 17" xfId="35941" xr:uid="{00000000-0005-0000-0000-00003D8D0000}"/>
    <cellStyle name="RIGs input totals 2 10 18" xfId="35942" xr:uid="{00000000-0005-0000-0000-00003E8D0000}"/>
    <cellStyle name="RIGs input totals 2 10 19" xfId="35943" xr:uid="{00000000-0005-0000-0000-00003F8D0000}"/>
    <cellStyle name="RIGs input totals 2 10 2" xfId="35944" xr:uid="{00000000-0005-0000-0000-0000408D0000}"/>
    <cellStyle name="RIGs input totals 2 10 2 10" xfId="35945" xr:uid="{00000000-0005-0000-0000-0000418D0000}"/>
    <cellStyle name="RIGs input totals 2 10 2 11" xfId="35946" xr:uid="{00000000-0005-0000-0000-0000428D0000}"/>
    <cellStyle name="RIGs input totals 2 10 2 12" xfId="35947" xr:uid="{00000000-0005-0000-0000-0000438D0000}"/>
    <cellStyle name="RIGs input totals 2 10 2 13" xfId="35948" xr:uid="{00000000-0005-0000-0000-0000448D0000}"/>
    <cellStyle name="RIGs input totals 2 10 2 2" xfId="35949" xr:uid="{00000000-0005-0000-0000-0000458D0000}"/>
    <cellStyle name="RIGs input totals 2 10 2 2 2" xfId="35950" xr:uid="{00000000-0005-0000-0000-0000468D0000}"/>
    <cellStyle name="RIGs input totals 2 10 2 2 3" xfId="35951" xr:uid="{00000000-0005-0000-0000-0000478D0000}"/>
    <cellStyle name="RIGs input totals 2 10 2 3" xfId="35952" xr:uid="{00000000-0005-0000-0000-0000488D0000}"/>
    <cellStyle name="RIGs input totals 2 10 2 3 2" xfId="35953" xr:uid="{00000000-0005-0000-0000-0000498D0000}"/>
    <cellStyle name="RIGs input totals 2 10 2 3 3" xfId="35954" xr:uid="{00000000-0005-0000-0000-00004A8D0000}"/>
    <cellStyle name="RIGs input totals 2 10 2 4" xfId="35955" xr:uid="{00000000-0005-0000-0000-00004B8D0000}"/>
    <cellStyle name="RIGs input totals 2 10 2 5" xfId="35956" xr:uid="{00000000-0005-0000-0000-00004C8D0000}"/>
    <cellStyle name="RIGs input totals 2 10 2 6" xfId="35957" xr:uid="{00000000-0005-0000-0000-00004D8D0000}"/>
    <cellStyle name="RIGs input totals 2 10 2 7" xfId="35958" xr:uid="{00000000-0005-0000-0000-00004E8D0000}"/>
    <cellStyle name="RIGs input totals 2 10 2 8" xfId="35959" xr:uid="{00000000-0005-0000-0000-00004F8D0000}"/>
    <cellStyle name="RIGs input totals 2 10 2 9" xfId="35960" xr:uid="{00000000-0005-0000-0000-0000508D0000}"/>
    <cellStyle name="RIGs input totals 2 10 20" xfId="35961" xr:uid="{00000000-0005-0000-0000-0000518D0000}"/>
    <cellStyle name="RIGs input totals 2 10 21" xfId="35962" xr:uid="{00000000-0005-0000-0000-0000528D0000}"/>
    <cellStyle name="RIGs input totals 2 10 22" xfId="35963" xr:uid="{00000000-0005-0000-0000-0000538D0000}"/>
    <cellStyle name="RIGs input totals 2 10 23" xfId="35964" xr:uid="{00000000-0005-0000-0000-0000548D0000}"/>
    <cellStyle name="RIGs input totals 2 10 24" xfId="35965" xr:uid="{00000000-0005-0000-0000-0000558D0000}"/>
    <cellStyle name="RIGs input totals 2 10 25" xfId="35966" xr:uid="{00000000-0005-0000-0000-0000568D0000}"/>
    <cellStyle name="RIGs input totals 2 10 26" xfId="35967" xr:uid="{00000000-0005-0000-0000-0000578D0000}"/>
    <cellStyle name="RIGs input totals 2 10 27" xfId="35968" xr:uid="{00000000-0005-0000-0000-0000588D0000}"/>
    <cellStyle name="RIGs input totals 2 10 28" xfId="35969" xr:uid="{00000000-0005-0000-0000-0000598D0000}"/>
    <cellStyle name="RIGs input totals 2 10 29" xfId="35970" xr:uid="{00000000-0005-0000-0000-00005A8D0000}"/>
    <cellStyle name="RIGs input totals 2 10 3" xfId="35971" xr:uid="{00000000-0005-0000-0000-00005B8D0000}"/>
    <cellStyle name="RIGs input totals 2 10 3 2" xfId="35972" xr:uid="{00000000-0005-0000-0000-00005C8D0000}"/>
    <cellStyle name="RIGs input totals 2 10 3 3" xfId="35973" xr:uid="{00000000-0005-0000-0000-00005D8D0000}"/>
    <cellStyle name="RIGs input totals 2 10 30" xfId="35974" xr:uid="{00000000-0005-0000-0000-00005E8D0000}"/>
    <cellStyle name="RIGs input totals 2 10 31" xfId="35975" xr:uid="{00000000-0005-0000-0000-00005F8D0000}"/>
    <cellStyle name="RIGs input totals 2 10 32" xfId="35976" xr:uid="{00000000-0005-0000-0000-0000608D0000}"/>
    <cellStyle name="RIGs input totals 2 10 33" xfId="35977" xr:uid="{00000000-0005-0000-0000-0000618D0000}"/>
    <cellStyle name="RIGs input totals 2 10 34" xfId="35978" xr:uid="{00000000-0005-0000-0000-0000628D0000}"/>
    <cellStyle name="RIGs input totals 2 10 4" xfId="35979" xr:uid="{00000000-0005-0000-0000-0000638D0000}"/>
    <cellStyle name="RIGs input totals 2 10 4 2" xfId="35980" xr:uid="{00000000-0005-0000-0000-0000648D0000}"/>
    <cellStyle name="RIGs input totals 2 10 4 3" xfId="35981" xr:uid="{00000000-0005-0000-0000-0000658D0000}"/>
    <cellStyle name="RIGs input totals 2 10 5" xfId="35982" xr:uid="{00000000-0005-0000-0000-0000668D0000}"/>
    <cellStyle name="RIGs input totals 2 10 6" xfId="35983" xr:uid="{00000000-0005-0000-0000-0000678D0000}"/>
    <cellStyle name="RIGs input totals 2 10 7" xfId="35984" xr:uid="{00000000-0005-0000-0000-0000688D0000}"/>
    <cellStyle name="RIGs input totals 2 10 8" xfId="35985" xr:uid="{00000000-0005-0000-0000-0000698D0000}"/>
    <cellStyle name="RIGs input totals 2 10 9" xfId="35986" xr:uid="{00000000-0005-0000-0000-00006A8D0000}"/>
    <cellStyle name="RIGs input totals 2 11" xfId="35987" xr:uid="{00000000-0005-0000-0000-00006B8D0000}"/>
    <cellStyle name="RIGs input totals 2 11 10" xfId="35988" xr:uid="{00000000-0005-0000-0000-00006C8D0000}"/>
    <cellStyle name="RIGs input totals 2 11 11" xfId="35989" xr:uid="{00000000-0005-0000-0000-00006D8D0000}"/>
    <cellStyle name="RIGs input totals 2 11 12" xfId="35990" xr:uid="{00000000-0005-0000-0000-00006E8D0000}"/>
    <cellStyle name="RIGs input totals 2 11 13" xfId="35991" xr:uid="{00000000-0005-0000-0000-00006F8D0000}"/>
    <cellStyle name="RIGs input totals 2 11 14" xfId="35992" xr:uid="{00000000-0005-0000-0000-0000708D0000}"/>
    <cellStyle name="RIGs input totals 2 11 15" xfId="35993" xr:uid="{00000000-0005-0000-0000-0000718D0000}"/>
    <cellStyle name="RIGs input totals 2 11 16" xfId="35994" xr:uid="{00000000-0005-0000-0000-0000728D0000}"/>
    <cellStyle name="RIGs input totals 2 11 17" xfId="35995" xr:uid="{00000000-0005-0000-0000-0000738D0000}"/>
    <cellStyle name="RIGs input totals 2 11 18" xfId="35996" xr:uid="{00000000-0005-0000-0000-0000748D0000}"/>
    <cellStyle name="RIGs input totals 2 11 19" xfId="35997" xr:uid="{00000000-0005-0000-0000-0000758D0000}"/>
    <cellStyle name="RIGs input totals 2 11 2" xfId="35998" xr:uid="{00000000-0005-0000-0000-0000768D0000}"/>
    <cellStyle name="RIGs input totals 2 11 2 10" xfId="35999" xr:uid="{00000000-0005-0000-0000-0000778D0000}"/>
    <cellStyle name="RIGs input totals 2 11 2 11" xfId="36000" xr:uid="{00000000-0005-0000-0000-0000788D0000}"/>
    <cellStyle name="RIGs input totals 2 11 2 12" xfId="36001" xr:uid="{00000000-0005-0000-0000-0000798D0000}"/>
    <cellStyle name="RIGs input totals 2 11 2 13" xfId="36002" xr:uid="{00000000-0005-0000-0000-00007A8D0000}"/>
    <cellStyle name="RIGs input totals 2 11 2 2" xfId="36003" xr:uid="{00000000-0005-0000-0000-00007B8D0000}"/>
    <cellStyle name="RIGs input totals 2 11 2 2 2" xfId="36004" xr:uid="{00000000-0005-0000-0000-00007C8D0000}"/>
    <cellStyle name="RIGs input totals 2 11 2 2 3" xfId="36005" xr:uid="{00000000-0005-0000-0000-00007D8D0000}"/>
    <cellStyle name="RIGs input totals 2 11 2 3" xfId="36006" xr:uid="{00000000-0005-0000-0000-00007E8D0000}"/>
    <cellStyle name="RIGs input totals 2 11 2 3 2" xfId="36007" xr:uid="{00000000-0005-0000-0000-00007F8D0000}"/>
    <cellStyle name="RIGs input totals 2 11 2 3 3" xfId="36008" xr:uid="{00000000-0005-0000-0000-0000808D0000}"/>
    <cellStyle name="RIGs input totals 2 11 2 4" xfId="36009" xr:uid="{00000000-0005-0000-0000-0000818D0000}"/>
    <cellStyle name="RIGs input totals 2 11 2 5" xfId="36010" xr:uid="{00000000-0005-0000-0000-0000828D0000}"/>
    <cellStyle name="RIGs input totals 2 11 2 6" xfId="36011" xr:uid="{00000000-0005-0000-0000-0000838D0000}"/>
    <cellStyle name="RIGs input totals 2 11 2 7" xfId="36012" xr:uid="{00000000-0005-0000-0000-0000848D0000}"/>
    <cellStyle name="RIGs input totals 2 11 2 8" xfId="36013" xr:uid="{00000000-0005-0000-0000-0000858D0000}"/>
    <cellStyle name="RIGs input totals 2 11 2 9" xfId="36014" xr:uid="{00000000-0005-0000-0000-0000868D0000}"/>
    <cellStyle name="RIGs input totals 2 11 20" xfId="36015" xr:uid="{00000000-0005-0000-0000-0000878D0000}"/>
    <cellStyle name="RIGs input totals 2 11 21" xfId="36016" xr:uid="{00000000-0005-0000-0000-0000888D0000}"/>
    <cellStyle name="RIGs input totals 2 11 22" xfId="36017" xr:uid="{00000000-0005-0000-0000-0000898D0000}"/>
    <cellStyle name="RIGs input totals 2 11 23" xfId="36018" xr:uid="{00000000-0005-0000-0000-00008A8D0000}"/>
    <cellStyle name="RIGs input totals 2 11 24" xfId="36019" xr:uid="{00000000-0005-0000-0000-00008B8D0000}"/>
    <cellStyle name="RIGs input totals 2 11 25" xfId="36020" xr:uid="{00000000-0005-0000-0000-00008C8D0000}"/>
    <cellStyle name="RIGs input totals 2 11 26" xfId="36021" xr:uid="{00000000-0005-0000-0000-00008D8D0000}"/>
    <cellStyle name="RIGs input totals 2 11 27" xfId="36022" xr:uid="{00000000-0005-0000-0000-00008E8D0000}"/>
    <cellStyle name="RIGs input totals 2 11 28" xfId="36023" xr:uid="{00000000-0005-0000-0000-00008F8D0000}"/>
    <cellStyle name="RIGs input totals 2 11 29" xfId="36024" xr:uid="{00000000-0005-0000-0000-0000908D0000}"/>
    <cellStyle name="RIGs input totals 2 11 3" xfId="36025" xr:uid="{00000000-0005-0000-0000-0000918D0000}"/>
    <cellStyle name="RIGs input totals 2 11 3 2" xfId="36026" xr:uid="{00000000-0005-0000-0000-0000928D0000}"/>
    <cellStyle name="RIGs input totals 2 11 3 3" xfId="36027" xr:uid="{00000000-0005-0000-0000-0000938D0000}"/>
    <cellStyle name="RIGs input totals 2 11 30" xfId="36028" xr:uid="{00000000-0005-0000-0000-0000948D0000}"/>
    <cellStyle name="RIGs input totals 2 11 31" xfId="36029" xr:uid="{00000000-0005-0000-0000-0000958D0000}"/>
    <cellStyle name="RIGs input totals 2 11 32" xfId="36030" xr:uid="{00000000-0005-0000-0000-0000968D0000}"/>
    <cellStyle name="RIGs input totals 2 11 33" xfId="36031" xr:uid="{00000000-0005-0000-0000-0000978D0000}"/>
    <cellStyle name="RIGs input totals 2 11 34" xfId="36032" xr:uid="{00000000-0005-0000-0000-0000988D0000}"/>
    <cellStyle name="RIGs input totals 2 11 4" xfId="36033" xr:uid="{00000000-0005-0000-0000-0000998D0000}"/>
    <cellStyle name="RIGs input totals 2 11 4 2" xfId="36034" xr:uid="{00000000-0005-0000-0000-00009A8D0000}"/>
    <cellStyle name="RIGs input totals 2 11 4 3" xfId="36035" xr:uid="{00000000-0005-0000-0000-00009B8D0000}"/>
    <cellStyle name="RIGs input totals 2 11 5" xfId="36036" xr:uid="{00000000-0005-0000-0000-00009C8D0000}"/>
    <cellStyle name="RIGs input totals 2 11 6" xfId="36037" xr:uid="{00000000-0005-0000-0000-00009D8D0000}"/>
    <cellStyle name="RIGs input totals 2 11 7" xfId="36038" xr:uid="{00000000-0005-0000-0000-00009E8D0000}"/>
    <cellStyle name="RIGs input totals 2 11 8" xfId="36039" xr:uid="{00000000-0005-0000-0000-00009F8D0000}"/>
    <cellStyle name="RIGs input totals 2 11 9" xfId="36040" xr:uid="{00000000-0005-0000-0000-0000A08D0000}"/>
    <cellStyle name="RIGs input totals 2 12" xfId="36041" xr:uid="{00000000-0005-0000-0000-0000A18D0000}"/>
    <cellStyle name="RIGs input totals 2 12 10" xfId="36042" xr:uid="{00000000-0005-0000-0000-0000A28D0000}"/>
    <cellStyle name="RIGs input totals 2 12 11" xfId="36043" xr:uid="{00000000-0005-0000-0000-0000A38D0000}"/>
    <cellStyle name="RIGs input totals 2 12 12" xfId="36044" xr:uid="{00000000-0005-0000-0000-0000A48D0000}"/>
    <cellStyle name="RIGs input totals 2 12 13" xfId="36045" xr:uid="{00000000-0005-0000-0000-0000A58D0000}"/>
    <cellStyle name="RIGs input totals 2 12 2" xfId="36046" xr:uid="{00000000-0005-0000-0000-0000A68D0000}"/>
    <cellStyle name="RIGs input totals 2 12 2 2" xfId="36047" xr:uid="{00000000-0005-0000-0000-0000A78D0000}"/>
    <cellStyle name="RIGs input totals 2 12 2 3" xfId="36048" xr:uid="{00000000-0005-0000-0000-0000A88D0000}"/>
    <cellStyle name="RIGs input totals 2 12 3" xfId="36049" xr:uid="{00000000-0005-0000-0000-0000A98D0000}"/>
    <cellStyle name="RIGs input totals 2 12 3 2" xfId="36050" xr:uid="{00000000-0005-0000-0000-0000AA8D0000}"/>
    <cellStyle name="RIGs input totals 2 12 3 3" xfId="36051" xr:uid="{00000000-0005-0000-0000-0000AB8D0000}"/>
    <cellStyle name="RIGs input totals 2 12 4" xfId="36052" xr:uid="{00000000-0005-0000-0000-0000AC8D0000}"/>
    <cellStyle name="RIGs input totals 2 12 5" xfId="36053" xr:uid="{00000000-0005-0000-0000-0000AD8D0000}"/>
    <cellStyle name="RIGs input totals 2 12 6" xfId="36054" xr:uid="{00000000-0005-0000-0000-0000AE8D0000}"/>
    <cellStyle name="RIGs input totals 2 12 7" xfId="36055" xr:uid="{00000000-0005-0000-0000-0000AF8D0000}"/>
    <cellStyle name="RIGs input totals 2 12 8" xfId="36056" xr:uid="{00000000-0005-0000-0000-0000B08D0000}"/>
    <cellStyle name="RIGs input totals 2 12 9" xfId="36057" xr:uid="{00000000-0005-0000-0000-0000B18D0000}"/>
    <cellStyle name="RIGs input totals 2 13" xfId="36058" xr:uid="{00000000-0005-0000-0000-0000B28D0000}"/>
    <cellStyle name="RIGs input totals 2 13 2" xfId="36059" xr:uid="{00000000-0005-0000-0000-0000B38D0000}"/>
    <cellStyle name="RIGs input totals 2 13 2 2" xfId="36060" xr:uid="{00000000-0005-0000-0000-0000B48D0000}"/>
    <cellStyle name="RIGs input totals 2 13 2 3" xfId="36061" xr:uid="{00000000-0005-0000-0000-0000B58D0000}"/>
    <cellStyle name="RIGs input totals 2 13 3" xfId="36062" xr:uid="{00000000-0005-0000-0000-0000B68D0000}"/>
    <cellStyle name="RIGs input totals 2 13 3 2" xfId="36063" xr:uid="{00000000-0005-0000-0000-0000B78D0000}"/>
    <cellStyle name="RIGs input totals 2 13 4" xfId="36064" xr:uid="{00000000-0005-0000-0000-0000B88D0000}"/>
    <cellStyle name="RIGs input totals 2 14" xfId="36065" xr:uid="{00000000-0005-0000-0000-0000B98D0000}"/>
    <cellStyle name="RIGs input totals 2 14 2" xfId="36066" xr:uid="{00000000-0005-0000-0000-0000BA8D0000}"/>
    <cellStyle name="RIGs input totals 2 15" xfId="36067" xr:uid="{00000000-0005-0000-0000-0000BB8D0000}"/>
    <cellStyle name="RIGs input totals 2 15 2" xfId="36068" xr:uid="{00000000-0005-0000-0000-0000BC8D0000}"/>
    <cellStyle name="RIGs input totals 2 16" xfId="36069" xr:uid="{00000000-0005-0000-0000-0000BD8D0000}"/>
    <cellStyle name="RIGs input totals 2 16 2" xfId="36070" xr:uid="{00000000-0005-0000-0000-0000BE8D0000}"/>
    <cellStyle name="RIGs input totals 2 17" xfId="36071" xr:uid="{00000000-0005-0000-0000-0000BF8D0000}"/>
    <cellStyle name="RIGs input totals 2 17 2" xfId="36072" xr:uid="{00000000-0005-0000-0000-0000C08D0000}"/>
    <cellStyle name="RIGs input totals 2 18" xfId="36073" xr:uid="{00000000-0005-0000-0000-0000C18D0000}"/>
    <cellStyle name="RIGs input totals 2 18 2" xfId="36074" xr:uid="{00000000-0005-0000-0000-0000C28D0000}"/>
    <cellStyle name="RIGs input totals 2 19" xfId="36075" xr:uid="{00000000-0005-0000-0000-0000C38D0000}"/>
    <cellStyle name="RIGs input totals 2 19 2" xfId="36076" xr:uid="{00000000-0005-0000-0000-0000C48D0000}"/>
    <cellStyle name="RIGs input totals 2 2" xfId="36077" xr:uid="{00000000-0005-0000-0000-0000C58D0000}"/>
    <cellStyle name="RIGs input totals 2 2 10" xfId="36078" xr:uid="{00000000-0005-0000-0000-0000C68D0000}"/>
    <cellStyle name="RIGs input totals 2 2 10 2" xfId="36079" xr:uid="{00000000-0005-0000-0000-0000C78D0000}"/>
    <cellStyle name="RIGs input totals 2 2 11" xfId="36080" xr:uid="{00000000-0005-0000-0000-0000C88D0000}"/>
    <cellStyle name="RIGs input totals 2 2 11 2" xfId="36081" xr:uid="{00000000-0005-0000-0000-0000C98D0000}"/>
    <cellStyle name="RIGs input totals 2 2 12" xfId="36082" xr:uid="{00000000-0005-0000-0000-0000CA8D0000}"/>
    <cellStyle name="RIGs input totals 2 2 12 2" xfId="36083" xr:uid="{00000000-0005-0000-0000-0000CB8D0000}"/>
    <cellStyle name="RIGs input totals 2 2 13" xfId="36084" xr:uid="{00000000-0005-0000-0000-0000CC8D0000}"/>
    <cellStyle name="RIGs input totals 2 2 13 2" xfId="36085" xr:uid="{00000000-0005-0000-0000-0000CD8D0000}"/>
    <cellStyle name="RIGs input totals 2 2 14" xfId="36086" xr:uid="{00000000-0005-0000-0000-0000CE8D0000}"/>
    <cellStyle name="RIGs input totals 2 2 14 2" xfId="36087" xr:uid="{00000000-0005-0000-0000-0000CF8D0000}"/>
    <cellStyle name="RIGs input totals 2 2 15" xfId="36088" xr:uid="{00000000-0005-0000-0000-0000D08D0000}"/>
    <cellStyle name="RIGs input totals 2 2 15 2" xfId="36089" xr:uid="{00000000-0005-0000-0000-0000D18D0000}"/>
    <cellStyle name="RIGs input totals 2 2 16" xfId="36090" xr:uid="{00000000-0005-0000-0000-0000D28D0000}"/>
    <cellStyle name="RIGs input totals 2 2 16 2" xfId="36091" xr:uid="{00000000-0005-0000-0000-0000D38D0000}"/>
    <cellStyle name="RIGs input totals 2 2 17" xfId="36092" xr:uid="{00000000-0005-0000-0000-0000D48D0000}"/>
    <cellStyle name="RIGs input totals 2 2 17 2" xfId="36093" xr:uid="{00000000-0005-0000-0000-0000D58D0000}"/>
    <cellStyle name="RIGs input totals 2 2 18" xfId="36094" xr:uid="{00000000-0005-0000-0000-0000D68D0000}"/>
    <cellStyle name="RIGs input totals 2 2 18 2" xfId="36095" xr:uid="{00000000-0005-0000-0000-0000D78D0000}"/>
    <cellStyle name="RIGs input totals 2 2 19" xfId="36096" xr:uid="{00000000-0005-0000-0000-0000D88D0000}"/>
    <cellStyle name="RIGs input totals 2 2 19 2" xfId="36097" xr:uid="{00000000-0005-0000-0000-0000D98D0000}"/>
    <cellStyle name="RIGs input totals 2 2 2" xfId="36098" xr:uid="{00000000-0005-0000-0000-0000DA8D0000}"/>
    <cellStyle name="RIGs input totals 2 2 2 10" xfId="36099" xr:uid="{00000000-0005-0000-0000-0000DB8D0000}"/>
    <cellStyle name="RIGs input totals 2 2 2 10 2" xfId="36100" xr:uid="{00000000-0005-0000-0000-0000DC8D0000}"/>
    <cellStyle name="RIGs input totals 2 2 2 11" xfId="36101" xr:uid="{00000000-0005-0000-0000-0000DD8D0000}"/>
    <cellStyle name="RIGs input totals 2 2 2 11 2" xfId="36102" xr:uid="{00000000-0005-0000-0000-0000DE8D0000}"/>
    <cellStyle name="RIGs input totals 2 2 2 12" xfId="36103" xr:uid="{00000000-0005-0000-0000-0000DF8D0000}"/>
    <cellStyle name="RIGs input totals 2 2 2 12 2" xfId="36104" xr:uid="{00000000-0005-0000-0000-0000E08D0000}"/>
    <cellStyle name="RIGs input totals 2 2 2 13" xfId="36105" xr:uid="{00000000-0005-0000-0000-0000E18D0000}"/>
    <cellStyle name="RIGs input totals 2 2 2 13 2" xfId="36106" xr:uid="{00000000-0005-0000-0000-0000E28D0000}"/>
    <cellStyle name="RIGs input totals 2 2 2 14" xfId="36107" xr:uid="{00000000-0005-0000-0000-0000E38D0000}"/>
    <cellStyle name="RIGs input totals 2 2 2 14 2" xfId="36108" xr:uid="{00000000-0005-0000-0000-0000E48D0000}"/>
    <cellStyle name="RIGs input totals 2 2 2 15" xfId="36109" xr:uid="{00000000-0005-0000-0000-0000E58D0000}"/>
    <cellStyle name="RIGs input totals 2 2 2 15 2" xfId="36110" xr:uid="{00000000-0005-0000-0000-0000E68D0000}"/>
    <cellStyle name="RIGs input totals 2 2 2 16" xfId="36111" xr:uid="{00000000-0005-0000-0000-0000E78D0000}"/>
    <cellStyle name="RIGs input totals 2 2 2 16 2" xfId="36112" xr:uid="{00000000-0005-0000-0000-0000E88D0000}"/>
    <cellStyle name="RIGs input totals 2 2 2 17" xfId="36113" xr:uid="{00000000-0005-0000-0000-0000E98D0000}"/>
    <cellStyle name="RIGs input totals 2 2 2 17 2" xfId="36114" xr:uid="{00000000-0005-0000-0000-0000EA8D0000}"/>
    <cellStyle name="RIGs input totals 2 2 2 18" xfId="36115" xr:uid="{00000000-0005-0000-0000-0000EB8D0000}"/>
    <cellStyle name="RIGs input totals 2 2 2 18 2" xfId="36116" xr:uid="{00000000-0005-0000-0000-0000EC8D0000}"/>
    <cellStyle name="RIGs input totals 2 2 2 19" xfId="36117" xr:uid="{00000000-0005-0000-0000-0000ED8D0000}"/>
    <cellStyle name="RIGs input totals 2 2 2 19 2" xfId="36118" xr:uid="{00000000-0005-0000-0000-0000EE8D0000}"/>
    <cellStyle name="RIGs input totals 2 2 2 2" xfId="36119" xr:uid="{00000000-0005-0000-0000-0000EF8D0000}"/>
    <cellStyle name="RIGs input totals 2 2 2 2 10" xfId="36120" xr:uid="{00000000-0005-0000-0000-0000F08D0000}"/>
    <cellStyle name="RIGs input totals 2 2 2 2 11" xfId="36121" xr:uid="{00000000-0005-0000-0000-0000F18D0000}"/>
    <cellStyle name="RIGs input totals 2 2 2 2 12" xfId="36122" xr:uid="{00000000-0005-0000-0000-0000F28D0000}"/>
    <cellStyle name="RIGs input totals 2 2 2 2 13" xfId="36123" xr:uid="{00000000-0005-0000-0000-0000F38D0000}"/>
    <cellStyle name="RIGs input totals 2 2 2 2 14" xfId="36124" xr:uid="{00000000-0005-0000-0000-0000F48D0000}"/>
    <cellStyle name="RIGs input totals 2 2 2 2 15" xfId="36125" xr:uid="{00000000-0005-0000-0000-0000F58D0000}"/>
    <cellStyle name="RIGs input totals 2 2 2 2 16" xfId="36126" xr:uid="{00000000-0005-0000-0000-0000F68D0000}"/>
    <cellStyle name="RIGs input totals 2 2 2 2 17" xfId="36127" xr:uid="{00000000-0005-0000-0000-0000F78D0000}"/>
    <cellStyle name="RIGs input totals 2 2 2 2 18" xfId="36128" xr:uid="{00000000-0005-0000-0000-0000F88D0000}"/>
    <cellStyle name="RIGs input totals 2 2 2 2 19" xfId="36129" xr:uid="{00000000-0005-0000-0000-0000F98D0000}"/>
    <cellStyle name="RIGs input totals 2 2 2 2 2" xfId="36130" xr:uid="{00000000-0005-0000-0000-0000FA8D0000}"/>
    <cellStyle name="RIGs input totals 2 2 2 2 2 10" xfId="36131" xr:uid="{00000000-0005-0000-0000-0000FB8D0000}"/>
    <cellStyle name="RIGs input totals 2 2 2 2 2 11" xfId="36132" xr:uid="{00000000-0005-0000-0000-0000FC8D0000}"/>
    <cellStyle name="RIGs input totals 2 2 2 2 2 12" xfId="36133" xr:uid="{00000000-0005-0000-0000-0000FD8D0000}"/>
    <cellStyle name="RIGs input totals 2 2 2 2 2 13" xfId="36134" xr:uid="{00000000-0005-0000-0000-0000FE8D0000}"/>
    <cellStyle name="RIGs input totals 2 2 2 2 2 14" xfId="36135" xr:uid="{00000000-0005-0000-0000-0000FF8D0000}"/>
    <cellStyle name="RIGs input totals 2 2 2 2 2 15" xfId="36136" xr:uid="{00000000-0005-0000-0000-0000008E0000}"/>
    <cellStyle name="RIGs input totals 2 2 2 2 2 16" xfId="36137" xr:uid="{00000000-0005-0000-0000-0000018E0000}"/>
    <cellStyle name="RIGs input totals 2 2 2 2 2 17" xfId="36138" xr:uid="{00000000-0005-0000-0000-0000028E0000}"/>
    <cellStyle name="RIGs input totals 2 2 2 2 2 18" xfId="36139" xr:uid="{00000000-0005-0000-0000-0000038E0000}"/>
    <cellStyle name="RIGs input totals 2 2 2 2 2 19" xfId="36140" xr:uid="{00000000-0005-0000-0000-0000048E0000}"/>
    <cellStyle name="RIGs input totals 2 2 2 2 2 2" xfId="36141" xr:uid="{00000000-0005-0000-0000-0000058E0000}"/>
    <cellStyle name="RIGs input totals 2 2 2 2 2 2 10" xfId="36142" xr:uid="{00000000-0005-0000-0000-0000068E0000}"/>
    <cellStyle name="RIGs input totals 2 2 2 2 2 2 11" xfId="36143" xr:uid="{00000000-0005-0000-0000-0000078E0000}"/>
    <cellStyle name="RIGs input totals 2 2 2 2 2 2 12" xfId="36144" xr:uid="{00000000-0005-0000-0000-0000088E0000}"/>
    <cellStyle name="RIGs input totals 2 2 2 2 2 2 13" xfId="36145" xr:uid="{00000000-0005-0000-0000-0000098E0000}"/>
    <cellStyle name="RIGs input totals 2 2 2 2 2 2 2" xfId="36146" xr:uid="{00000000-0005-0000-0000-00000A8E0000}"/>
    <cellStyle name="RIGs input totals 2 2 2 2 2 2 2 2" xfId="36147" xr:uid="{00000000-0005-0000-0000-00000B8E0000}"/>
    <cellStyle name="RIGs input totals 2 2 2 2 2 2 2 3" xfId="36148" xr:uid="{00000000-0005-0000-0000-00000C8E0000}"/>
    <cellStyle name="RIGs input totals 2 2 2 2 2 2 3" xfId="36149" xr:uid="{00000000-0005-0000-0000-00000D8E0000}"/>
    <cellStyle name="RIGs input totals 2 2 2 2 2 2 3 2" xfId="36150" xr:uid="{00000000-0005-0000-0000-00000E8E0000}"/>
    <cellStyle name="RIGs input totals 2 2 2 2 2 2 3 3" xfId="36151" xr:uid="{00000000-0005-0000-0000-00000F8E0000}"/>
    <cellStyle name="RIGs input totals 2 2 2 2 2 2 4" xfId="36152" xr:uid="{00000000-0005-0000-0000-0000108E0000}"/>
    <cellStyle name="RIGs input totals 2 2 2 2 2 2 5" xfId="36153" xr:uid="{00000000-0005-0000-0000-0000118E0000}"/>
    <cellStyle name="RIGs input totals 2 2 2 2 2 2 6" xfId="36154" xr:uid="{00000000-0005-0000-0000-0000128E0000}"/>
    <cellStyle name="RIGs input totals 2 2 2 2 2 2 7" xfId="36155" xr:uid="{00000000-0005-0000-0000-0000138E0000}"/>
    <cellStyle name="RIGs input totals 2 2 2 2 2 2 8" xfId="36156" xr:uid="{00000000-0005-0000-0000-0000148E0000}"/>
    <cellStyle name="RIGs input totals 2 2 2 2 2 2 9" xfId="36157" xr:uid="{00000000-0005-0000-0000-0000158E0000}"/>
    <cellStyle name="RIGs input totals 2 2 2 2 2 20" xfId="36158" xr:uid="{00000000-0005-0000-0000-0000168E0000}"/>
    <cellStyle name="RIGs input totals 2 2 2 2 2 21" xfId="36159" xr:uid="{00000000-0005-0000-0000-0000178E0000}"/>
    <cellStyle name="RIGs input totals 2 2 2 2 2 22" xfId="36160" xr:uid="{00000000-0005-0000-0000-0000188E0000}"/>
    <cellStyle name="RIGs input totals 2 2 2 2 2 23" xfId="36161" xr:uid="{00000000-0005-0000-0000-0000198E0000}"/>
    <cellStyle name="RIGs input totals 2 2 2 2 2 24" xfId="36162" xr:uid="{00000000-0005-0000-0000-00001A8E0000}"/>
    <cellStyle name="RIGs input totals 2 2 2 2 2 25" xfId="36163" xr:uid="{00000000-0005-0000-0000-00001B8E0000}"/>
    <cellStyle name="RIGs input totals 2 2 2 2 2 26" xfId="36164" xr:uid="{00000000-0005-0000-0000-00001C8E0000}"/>
    <cellStyle name="RIGs input totals 2 2 2 2 2 27" xfId="36165" xr:uid="{00000000-0005-0000-0000-00001D8E0000}"/>
    <cellStyle name="RIGs input totals 2 2 2 2 2 28" xfId="36166" xr:uid="{00000000-0005-0000-0000-00001E8E0000}"/>
    <cellStyle name="RIGs input totals 2 2 2 2 2 29" xfId="36167" xr:uid="{00000000-0005-0000-0000-00001F8E0000}"/>
    <cellStyle name="RIGs input totals 2 2 2 2 2 3" xfId="36168" xr:uid="{00000000-0005-0000-0000-0000208E0000}"/>
    <cellStyle name="RIGs input totals 2 2 2 2 2 3 2" xfId="36169" xr:uid="{00000000-0005-0000-0000-0000218E0000}"/>
    <cellStyle name="RIGs input totals 2 2 2 2 2 3 3" xfId="36170" xr:uid="{00000000-0005-0000-0000-0000228E0000}"/>
    <cellStyle name="RIGs input totals 2 2 2 2 2 30" xfId="36171" xr:uid="{00000000-0005-0000-0000-0000238E0000}"/>
    <cellStyle name="RIGs input totals 2 2 2 2 2 31" xfId="36172" xr:uid="{00000000-0005-0000-0000-0000248E0000}"/>
    <cellStyle name="RIGs input totals 2 2 2 2 2 32" xfId="36173" xr:uid="{00000000-0005-0000-0000-0000258E0000}"/>
    <cellStyle name="RIGs input totals 2 2 2 2 2 33" xfId="36174" xr:uid="{00000000-0005-0000-0000-0000268E0000}"/>
    <cellStyle name="RIGs input totals 2 2 2 2 2 34" xfId="36175" xr:uid="{00000000-0005-0000-0000-0000278E0000}"/>
    <cellStyle name="RIGs input totals 2 2 2 2 2 4" xfId="36176" xr:uid="{00000000-0005-0000-0000-0000288E0000}"/>
    <cellStyle name="RIGs input totals 2 2 2 2 2 4 2" xfId="36177" xr:uid="{00000000-0005-0000-0000-0000298E0000}"/>
    <cellStyle name="RIGs input totals 2 2 2 2 2 4 3" xfId="36178" xr:uid="{00000000-0005-0000-0000-00002A8E0000}"/>
    <cellStyle name="RIGs input totals 2 2 2 2 2 5" xfId="36179" xr:uid="{00000000-0005-0000-0000-00002B8E0000}"/>
    <cellStyle name="RIGs input totals 2 2 2 2 2 6" xfId="36180" xr:uid="{00000000-0005-0000-0000-00002C8E0000}"/>
    <cellStyle name="RIGs input totals 2 2 2 2 2 7" xfId="36181" xr:uid="{00000000-0005-0000-0000-00002D8E0000}"/>
    <cellStyle name="RIGs input totals 2 2 2 2 2 8" xfId="36182" xr:uid="{00000000-0005-0000-0000-00002E8E0000}"/>
    <cellStyle name="RIGs input totals 2 2 2 2 2 9" xfId="36183" xr:uid="{00000000-0005-0000-0000-00002F8E0000}"/>
    <cellStyle name="RIGs input totals 2 2 2 2 20" xfId="36184" xr:uid="{00000000-0005-0000-0000-0000308E0000}"/>
    <cellStyle name="RIGs input totals 2 2 2 2 21" xfId="36185" xr:uid="{00000000-0005-0000-0000-0000318E0000}"/>
    <cellStyle name="RIGs input totals 2 2 2 2 22" xfId="36186" xr:uid="{00000000-0005-0000-0000-0000328E0000}"/>
    <cellStyle name="RIGs input totals 2 2 2 2 23" xfId="36187" xr:uid="{00000000-0005-0000-0000-0000338E0000}"/>
    <cellStyle name="RIGs input totals 2 2 2 2 24" xfId="36188" xr:uid="{00000000-0005-0000-0000-0000348E0000}"/>
    <cellStyle name="RIGs input totals 2 2 2 2 25" xfId="36189" xr:uid="{00000000-0005-0000-0000-0000358E0000}"/>
    <cellStyle name="RIGs input totals 2 2 2 2 26" xfId="36190" xr:uid="{00000000-0005-0000-0000-0000368E0000}"/>
    <cellStyle name="RIGs input totals 2 2 2 2 27" xfId="36191" xr:uid="{00000000-0005-0000-0000-0000378E0000}"/>
    <cellStyle name="RIGs input totals 2 2 2 2 28" xfId="36192" xr:uid="{00000000-0005-0000-0000-0000388E0000}"/>
    <cellStyle name="RIGs input totals 2 2 2 2 29" xfId="36193" xr:uid="{00000000-0005-0000-0000-0000398E0000}"/>
    <cellStyle name="RIGs input totals 2 2 2 2 3" xfId="36194" xr:uid="{00000000-0005-0000-0000-00003A8E0000}"/>
    <cellStyle name="RIGs input totals 2 2 2 2 3 10" xfId="36195" xr:uid="{00000000-0005-0000-0000-00003B8E0000}"/>
    <cellStyle name="RIGs input totals 2 2 2 2 3 11" xfId="36196" xr:uid="{00000000-0005-0000-0000-00003C8E0000}"/>
    <cellStyle name="RIGs input totals 2 2 2 2 3 12" xfId="36197" xr:uid="{00000000-0005-0000-0000-00003D8E0000}"/>
    <cellStyle name="RIGs input totals 2 2 2 2 3 13" xfId="36198" xr:uid="{00000000-0005-0000-0000-00003E8E0000}"/>
    <cellStyle name="RIGs input totals 2 2 2 2 3 2" xfId="36199" xr:uid="{00000000-0005-0000-0000-00003F8E0000}"/>
    <cellStyle name="RIGs input totals 2 2 2 2 3 2 2" xfId="36200" xr:uid="{00000000-0005-0000-0000-0000408E0000}"/>
    <cellStyle name="RIGs input totals 2 2 2 2 3 2 3" xfId="36201" xr:uid="{00000000-0005-0000-0000-0000418E0000}"/>
    <cellStyle name="RIGs input totals 2 2 2 2 3 3" xfId="36202" xr:uid="{00000000-0005-0000-0000-0000428E0000}"/>
    <cellStyle name="RIGs input totals 2 2 2 2 3 3 2" xfId="36203" xr:uid="{00000000-0005-0000-0000-0000438E0000}"/>
    <cellStyle name="RIGs input totals 2 2 2 2 3 3 3" xfId="36204" xr:uid="{00000000-0005-0000-0000-0000448E0000}"/>
    <cellStyle name="RIGs input totals 2 2 2 2 3 4" xfId="36205" xr:uid="{00000000-0005-0000-0000-0000458E0000}"/>
    <cellStyle name="RIGs input totals 2 2 2 2 3 5" xfId="36206" xr:uid="{00000000-0005-0000-0000-0000468E0000}"/>
    <cellStyle name="RIGs input totals 2 2 2 2 3 6" xfId="36207" xr:uid="{00000000-0005-0000-0000-0000478E0000}"/>
    <cellStyle name="RIGs input totals 2 2 2 2 3 7" xfId="36208" xr:uid="{00000000-0005-0000-0000-0000488E0000}"/>
    <cellStyle name="RIGs input totals 2 2 2 2 3 8" xfId="36209" xr:uid="{00000000-0005-0000-0000-0000498E0000}"/>
    <cellStyle name="RIGs input totals 2 2 2 2 3 9" xfId="36210" xr:uid="{00000000-0005-0000-0000-00004A8E0000}"/>
    <cellStyle name="RIGs input totals 2 2 2 2 30" xfId="36211" xr:uid="{00000000-0005-0000-0000-00004B8E0000}"/>
    <cellStyle name="RIGs input totals 2 2 2 2 31" xfId="36212" xr:uid="{00000000-0005-0000-0000-00004C8E0000}"/>
    <cellStyle name="RIGs input totals 2 2 2 2 32" xfId="36213" xr:uid="{00000000-0005-0000-0000-00004D8E0000}"/>
    <cellStyle name="RIGs input totals 2 2 2 2 33" xfId="36214" xr:uid="{00000000-0005-0000-0000-00004E8E0000}"/>
    <cellStyle name="RIGs input totals 2 2 2 2 34" xfId="36215" xr:uid="{00000000-0005-0000-0000-00004F8E0000}"/>
    <cellStyle name="RIGs input totals 2 2 2 2 35" xfId="36216" xr:uid="{00000000-0005-0000-0000-0000508E0000}"/>
    <cellStyle name="RIGs input totals 2 2 2 2 4" xfId="36217" xr:uid="{00000000-0005-0000-0000-0000518E0000}"/>
    <cellStyle name="RIGs input totals 2 2 2 2 4 2" xfId="36218" xr:uid="{00000000-0005-0000-0000-0000528E0000}"/>
    <cellStyle name="RIGs input totals 2 2 2 2 4 3" xfId="36219" xr:uid="{00000000-0005-0000-0000-0000538E0000}"/>
    <cellStyle name="RIGs input totals 2 2 2 2 5" xfId="36220" xr:uid="{00000000-0005-0000-0000-0000548E0000}"/>
    <cellStyle name="RIGs input totals 2 2 2 2 5 2" xfId="36221" xr:uid="{00000000-0005-0000-0000-0000558E0000}"/>
    <cellStyle name="RIGs input totals 2 2 2 2 5 3" xfId="36222" xr:uid="{00000000-0005-0000-0000-0000568E0000}"/>
    <cellStyle name="RIGs input totals 2 2 2 2 6" xfId="36223" xr:uid="{00000000-0005-0000-0000-0000578E0000}"/>
    <cellStyle name="RIGs input totals 2 2 2 2 7" xfId="36224" xr:uid="{00000000-0005-0000-0000-0000588E0000}"/>
    <cellStyle name="RIGs input totals 2 2 2 2 8" xfId="36225" xr:uid="{00000000-0005-0000-0000-0000598E0000}"/>
    <cellStyle name="RIGs input totals 2 2 2 2 9" xfId="36226" xr:uid="{00000000-0005-0000-0000-00005A8E0000}"/>
    <cellStyle name="RIGs input totals 2 2 2 2_4 28 1_Asst_Health_Crit_AllTO_RIIO_20110714pm" xfId="36227" xr:uid="{00000000-0005-0000-0000-00005B8E0000}"/>
    <cellStyle name="RIGs input totals 2 2 2 20" xfId="36228" xr:uid="{00000000-0005-0000-0000-00005C8E0000}"/>
    <cellStyle name="RIGs input totals 2 2 2 20 2" xfId="36229" xr:uid="{00000000-0005-0000-0000-00005D8E0000}"/>
    <cellStyle name="RIGs input totals 2 2 2 21" xfId="36230" xr:uid="{00000000-0005-0000-0000-00005E8E0000}"/>
    <cellStyle name="RIGs input totals 2 2 2 21 2" xfId="36231" xr:uid="{00000000-0005-0000-0000-00005F8E0000}"/>
    <cellStyle name="RIGs input totals 2 2 2 22" xfId="36232" xr:uid="{00000000-0005-0000-0000-0000608E0000}"/>
    <cellStyle name="RIGs input totals 2 2 2 22 2" xfId="36233" xr:uid="{00000000-0005-0000-0000-0000618E0000}"/>
    <cellStyle name="RIGs input totals 2 2 2 23" xfId="36234" xr:uid="{00000000-0005-0000-0000-0000628E0000}"/>
    <cellStyle name="RIGs input totals 2 2 2 23 2" xfId="36235" xr:uid="{00000000-0005-0000-0000-0000638E0000}"/>
    <cellStyle name="RIGs input totals 2 2 2 24" xfId="36236" xr:uid="{00000000-0005-0000-0000-0000648E0000}"/>
    <cellStyle name="RIGs input totals 2 2 2 24 2" xfId="36237" xr:uid="{00000000-0005-0000-0000-0000658E0000}"/>
    <cellStyle name="RIGs input totals 2 2 2 25" xfId="36238" xr:uid="{00000000-0005-0000-0000-0000668E0000}"/>
    <cellStyle name="RIGs input totals 2 2 2 25 2" xfId="36239" xr:uid="{00000000-0005-0000-0000-0000678E0000}"/>
    <cellStyle name="RIGs input totals 2 2 2 26" xfId="36240" xr:uid="{00000000-0005-0000-0000-0000688E0000}"/>
    <cellStyle name="RIGs input totals 2 2 2 27" xfId="36241" xr:uid="{00000000-0005-0000-0000-0000698E0000}"/>
    <cellStyle name="RIGs input totals 2 2 2 28" xfId="36242" xr:uid="{00000000-0005-0000-0000-00006A8E0000}"/>
    <cellStyle name="RIGs input totals 2 2 2 29" xfId="36243" xr:uid="{00000000-0005-0000-0000-00006B8E0000}"/>
    <cellStyle name="RIGs input totals 2 2 2 3" xfId="36244" xr:uid="{00000000-0005-0000-0000-00006C8E0000}"/>
    <cellStyle name="RIGs input totals 2 2 2 3 10" xfId="36245" xr:uid="{00000000-0005-0000-0000-00006D8E0000}"/>
    <cellStyle name="RIGs input totals 2 2 2 3 11" xfId="36246" xr:uid="{00000000-0005-0000-0000-00006E8E0000}"/>
    <cellStyle name="RIGs input totals 2 2 2 3 12" xfId="36247" xr:uid="{00000000-0005-0000-0000-00006F8E0000}"/>
    <cellStyle name="RIGs input totals 2 2 2 3 13" xfId="36248" xr:uid="{00000000-0005-0000-0000-0000708E0000}"/>
    <cellStyle name="RIGs input totals 2 2 2 3 14" xfId="36249" xr:uid="{00000000-0005-0000-0000-0000718E0000}"/>
    <cellStyle name="RIGs input totals 2 2 2 3 15" xfId="36250" xr:uid="{00000000-0005-0000-0000-0000728E0000}"/>
    <cellStyle name="RIGs input totals 2 2 2 3 16" xfId="36251" xr:uid="{00000000-0005-0000-0000-0000738E0000}"/>
    <cellStyle name="RIGs input totals 2 2 2 3 17" xfId="36252" xr:uid="{00000000-0005-0000-0000-0000748E0000}"/>
    <cellStyle name="RIGs input totals 2 2 2 3 18" xfId="36253" xr:uid="{00000000-0005-0000-0000-0000758E0000}"/>
    <cellStyle name="RIGs input totals 2 2 2 3 19" xfId="36254" xr:uid="{00000000-0005-0000-0000-0000768E0000}"/>
    <cellStyle name="RIGs input totals 2 2 2 3 2" xfId="36255" xr:uid="{00000000-0005-0000-0000-0000778E0000}"/>
    <cellStyle name="RIGs input totals 2 2 2 3 2 10" xfId="36256" xr:uid="{00000000-0005-0000-0000-0000788E0000}"/>
    <cellStyle name="RIGs input totals 2 2 2 3 2 11" xfId="36257" xr:uid="{00000000-0005-0000-0000-0000798E0000}"/>
    <cellStyle name="RIGs input totals 2 2 2 3 2 12" xfId="36258" xr:uid="{00000000-0005-0000-0000-00007A8E0000}"/>
    <cellStyle name="RIGs input totals 2 2 2 3 2 13" xfId="36259" xr:uid="{00000000-0005-0000-0000-00007B8E0000}"/>
    <cellStyle name="RIGs input totals 2 2 2 3 2 2" xfId="36260" xr:uid="{00000000-0005-0000-0000-00007C8E0000}"/>
    <cellStyle name="RIGs input totals 2 2 2 3 2 2 2" xfId="36261" xr:uid="{00000000-0005-0000-0000-00007D8E0000}"/>
    <cellStyle name="RIGs input totals 2 2 2 3 2 2 3" xfId="36262" xr:uid="{00000000-0005-0000-0000-00007E8E0000}"/>
    <cellStyle name="RIGs input totals 2 2 2 3 2 3" xfId="36263" xr:uid="{00000000-0005-0000-0000-00007F8E0000}"/>
    <cellStyle name="RIGs input totals 2 2 2 3 2 3 2" xfId="36264" xr:uid="{00000000-0005-0000-0000-0000808E0000}"/>
    <cellStyle name="RIGs input totals 2 2 2 3 2 3 3" xfId="36265" xr:uid="{00000000-0005-0000-0000-0000818E0000}"/>
    <cellStyle name="RIGs input totals 2 2 2 3 2 4" xfId="36266" xr:uid="{00000000-0005-0000-0000-0000828E0000}"/>
    <cellStyle name="RIGs input totals 2 2 2 3 2 5" xfId="36267" xr:uid="{00000000-0005-0000-0000-0000838E0000}"/>
    <cellStyle name="RIGs input totals 2 2 2 3 2 6" xfId="36268" xr:uid="{00000000-0005-0000-0000-0000848E0000}"/>
    <cellStyle name="RIGs input totals 2 2 2 3 2 7" xfId="36269" xr:uid="{00000000-0005-0000-0000-0000858E0000}"/>
    <cellStyle name="RIGs input totals 2 2 2 3 2 8" xfId="36270" xr:uid="{00000000-0005-0000-0000-0000868E0000}"/>
    <cellStyle name="RIGs input totals 2 2 2 3 2 9" xfId="36271" xr:uid="{00000000-0005-0000-0000-0000878E0000}"/>
    <cellStyle name="RIGs input totals 2 2 2 3 20" xfId="36272" xr:uid="{00000000-0005-0000-0000-0000888E0000}"/>
    <cellStyle name="RIGs input totals 2 2 2 3 21" xfId="36273" xr:uid="{00000000-0005-0000-0000-0000898E0000}"/>
    <cellStyle name="RIGs input totals 2 2 2 3 22" xfId="36274" xr:uid="{00000000-0005-0000-0000-00008A8E0000}"/>
    <cellStyle name="RIGs input totals 2 2 2 3 23" xfId="36275" xr:uid="{00000000-0005-0000-0000-00008B8E0000}"/>
    <cellStyle name="RIGs input totals 2 2 2 3 24" xfId="36276" xr:uid="{00000000-0005-0000-0000-00008C8E0000}"/>
    <cellStyle name="RIGs input totals 2 2 2 3 25" xfId="36277" xr:uid="{00000000-0005-0000-0000-00008D8E0000}"/>
    <cellStyle name="RIGs input totals 2 2 2 3 26" xfId="36278" xr:uid="{00000000-0005-0000-0000-00008E8E0000}"/>
    <cellStyle name="RIGs input totals 2 2 2 3 27" xfId="36279" xr:uid="{00000000-0005-0000-0000-00008F8E0000}"/>
    <cellStyle name="RIGs input totals 2 2 2 3 28" xfId="36280" xr:uid="{00000000-0005-0000-0000-0000908E0000}"/>
    <cellStyle name="RIGs input totals 2 2 2 3 29" xfId="36281" xr:uid="{00000000-0005-0000-0000-0000918E0000}"/>
    <cellStyle name="RIGs input totals 2 2 2 3 3" xfId="36282" xr:uid="{00000000-0005-0000-0000-0000928E0000}"/>
    <cellStyle name="RIGs input totals 2 2 2 3 3 2" xfId="36283" xr:uid="{00000000-0005-0000-0000-0000938E0000}"/>
    <cellStyle name="RIGs input totals 2 2 2 3 3 3" xfId="36284" xr:uid="{00000000-0005-0000-0000-0000948E0000}"/>
    <cellStyle name="RIGs input totals 2 2 2 3 30" xfId="36285" xr:uid="{00000000-0005-0000-0000-0000958E0000}"/>
    <cellStyle name="RIGs input totals 2 2 2 3 31" xfId="36286" xr:uid="{00000000-0005-0000-0000-0000968E0000}"/>
    <cellStyle name="RIGs input totals 2 2 2 3 32" xfId="36287" xr:uid="{00000000-0005-0000-0000-0000978E0000}"/>
    <cellStyle name="RIGs input totals 2 2 2 3 33" xfId="36288" xr:uid="{00000000-0005-0000-0000-0000988E0000}"/>
    <cellStyle name="RIGs input totals 2 2 2 3 34" xfId="36289" xr:uid="{00000000-0005-0000-0000-0000998E0000}"/>
    <cellStyle name="RIGs input totals 2 2 2 3 4" xfId="36290" xr:uid="{00000000-0005-0000-0000-00009A8E0000}"/>
    <cellStyle name="RIGs input totals 2 2 2 3 4 2" xfId="36291" xr:uid="{00000000-0005-0000-0000-00009B8E0000}"/>
    <cellStyle name="RIGs input totals 2 2 2 3 4 3" xfId="36292" xr:uid="{00000000-0005-0000-0000-00009C8E0000}"/>
    <cellStyle name="RIGs input totals 2 2 2 3 5" xfId="36293" xr:uid="{00000000-0005-0000-0000-00009D8E0000}"/>
    <cellStyle name="RIGs input totals 2 2 2 3 6" xfId="36294" xr:uid="{00000000-0005-0000-0000-00009E8E0000}"/>
    <cellStyle name="RIGs input totals 2 2 2 3 7" xfId="36295" xr:uid="{00000000-0005-0000-0000-00009F8E0000}"/>
    <cellStyle name="RIGs input totals 2 2 2 3 8" xfId="36296" xr:uid="{00000000-0005-0000-0000-0000A08E0000}"/>
    <cellStyle name="RIGs input totals 2 2 2 3 9" xfId="36297" xr:uid="{00000000-0005-0000-0000-0000A18E0000}"/>
    <cellStyle name="RIGs input totals 2 2 2 30" xfId="36298" xr:uid="{00000000-0005-0000-0000-0000A28E0000}"/>
    <cellStyle name="RIGs input totals 2 2 2 31" xfId="36299" xr:uid="{00000000-0005-0000-0000-0000A38E0000}"/>
    <cellStyle name="RIGs input totals 2 2 2 32" xfId="36300" xr:uid="{00000000-0005-0000-0000-0000A48E0000}"/>
    <cellStyle name="RIGs input totals 2 2 2 33" xfId="36301" xr:uid="{00000000-0005-0000-0000-0000A58E0000}"/>
    <cellStyle name="RIGs input totals 2 2 2 34" xfId="36302" xr:uid="{00000000-0005-0000-0000-0000A68E0000}"/>
    <cellStyle name="RIGs input totals 2 2 2 35" xfId="36303" xr:uid="{00000000-0005-0000-0000-0000A78E0000}"/>
    <cellStyle name="RIGs input totals 2 2 2 36" xfId="36304" xr:uid="{00000000-0005-0000-0000-0000A88E0000}"/>
    <cellStyle name="RIGs input totals 2 2 2 37" xfId="36305" xr:uid="{00000000-0005-0000-0000-0000A98E0000}"/>
    <cellStyle name="RIGs input totals 2 2 2 38" xfId="36306" xr:uid="{00000000-0005-0000-0000-0000AA8E0000}"/>
    <cellStyle name="RIGs input totals 2 2 2 4" xfId="36307" xr:uid="{00000000-0005-0000-0000-0000AB8E0000}"/>
    <cellStyle name="RIGs input totals 2 2 2 4 10" xfId="36308" xr:uid="{00000000-0005-0000-0000-0000AC8E0000}"/>
    <cellStyle name="RIGs input totals 2 2 2 4 11" xfId="36309" xr:uid="{00000000-0005-0000-0000-0000AD8E0000}"/>
    <cellStyle name="RIGs input totals 2 2 2 4 12" xfId="36310" xr:uid="{00000000-0005-0000-0000-0000AE8E0000}"/>
    <cellStyle name="RIGs input totals 2 2 2 4 13" xfId="36311" xr:uid="{00000000-0005-0000-0000-0000AF8E0000}"/>
    <cellStyle name="RIGs input totals 2 2 2 4 14" xfId="36312" xr:uid="{00000000-0005-0000-0000-0000B08E0000}"/>
    <cellStyle name="RIGs input totals 2 2 2 4 15" xfId="36313" xr:uid="{00000000-0005-0000-0000-0000B18E0000}"/>
    <cellStyle name="RIGs input totals 2 2 2 4 16" xfId="36314" xr:uid="{00000000-0005-0000-0000-0000B28E0000}"/>
    <cellStyle name="RIGs input totals 2 2 2 4 17" xfId="36315" xr:uid="{00000000-0005-0000-0000-0000B38E0000}"/>
    <cellStyle name="RIGs input totals 2 2 2 4 18" xfId="36316" xr:uid="{00000000-0005-0000-0000-0000B48E0000}"/>
    <cellStyle name="RIGs input totals 2 2 2 4 19" xfId="36317" xr:uid="{00000000-0005-0000-0000-0000B58E0000}"/>
    <cellStyle name="RIGs input totals 2 2 2 4 2" xfId="36318" xr:uid="{00000000-0005-0000-0000-0000B68E0000}"/>
    <cellStyle name="RIGs input totals 2 2 2 4 2 10" xfId="36319" xr:uid="{00000000-0005-0000-0000-0000B78E0000}"/>
    <cellStyle name="RIGs input totals 2 2 2 4 2 11" xfId="36320" xr:uid="{00000000-0005-0000-0000-0000B88E0000}"/>
    <cellStyle name="RIGs input totals 2 2 2 4 2 12" xfId="36321" xr:uid="{00000000-0005-0000-0000-0000B98E0000}"/>
    <cellStyle name="RIGs input totals 2 2 2 4 2 13" xfId="36322" xr:uid="{00000000-0005-0000-0000-0000BA8E0000}"/>
    <cellStyle name="RIGs input totals 2 2 2 4 2 2" xfId="36323" xr:uid="{00000000-0005-0000-0000-0000BB8E0000}"/>
    <cellStyle name="RIGs input totals 2 2 2 4 2 2 2" xfId="36324" xr:uid="{00000000-0005-0000-0000-0000BC8E0000}"/>
    <cellStyle name="RIGs input totals 2 2 2 4 2 2 3" xfId="36325" xr:uid="{00000000-0005-0000-0000-0000BD8E0000}"/>
    <cellStyle name="RIGs input totals 2 2 2 4 2 3" xfId="36326" xr:uid="{00000000-0005-0000-0000-0000BE8E0000}"/>
    <cellStyle name="RIGs input totals 2 2 2 4 2 3 2" xfId="36327" xr:uid="{00000000-0005-0000-0000-0000BF8E0000}"/>
    <cellStyle name="RIGs input totals 2 2 2 4 2 3 3" xfId="36328" xr:uid="{00000000-0005-0000-0000-0000C08E0000}"/>
    <cellStyle name="RIGs input totals 2 2 2 4 2 4" xfId="36329" xr:uid="{00000000-0005-0000-0000-0000C18E0000}"/>
    <cellStyle name="RIGs input totals 2 2 2 4 2 5" xfId="36330" xr:uid="{00000000-0005-0000-0000-0000C28E0000}"/>
    <cellStyle name="RIGs input totals 2 2 2 4 2 6" xfId="36331" xr:uid="{00000000-0005-0000-0000-0000C38E0000}"/>
    <cellStyle name="RIGs input totals 2 2 2 4 2 7" xfId="36332" xr:uid="{00000000-0005-0000-0000-0000C48E0000}"/>
    <cellStyle name="RIGs input totals 2 2 2 4 2 8" xfId="36333" xr:uid="{00000000-0005-0000-0000-0000C58E0000}"/>
    <cellStyle name="RIGs input totals 2 2 2 4 2 9" xfId="36334" xr:uid="{00000000-0005-0000-0000-0000C68E0000}"/>
    <cellStyle name="RIGs input totals 2 2 2 4 20" xfId="36335" xr:uid="{00000000-0005-0000-0000-0000C78E0000}"/>
    <cellStyle name="RIGs input totals 2 2 2 4 21" xfId="36336" xr:uid="{00000000-0005-0000-0000-0000C88E0000}"/>
    <cellStyle name="RIGs input totals 2 2 2 4 22" xfId="36337" xr:uid="{00000000-0005-0000-0000-0000C98E0000}"/>
    <cellStyle name="RIGs input totals 2 2 2 4 23" xfId="36338" xr:uid="{00000000-0005-0000-0000-0000CA8E0000}"/>
    <cellStyle name="RIGs input totals 2 2 2 4 24" xfId="36339" xr:uid="{00000000-0005-0000-0000-0000CB8E0000}"/>
    <cellStyle name="RIGs input totals 2 2 2 4 25" xfId="36340" xr:uid="{00000000-0005-0000-0000-0000CC8E0000}"/>
    <cellStyle name="RIGs input totals 2 2 2 4 26" xfId="36341" xr:uid="{00000000-0005-0000-0000-0000CD8E0000}"/>
    <cellStyle name="RIGs input totals 2 2 2 4 27" xfId="36342" xr:uid="{00000000-0005-0000-0000-0000CE8E0000}"/>
    <cellStyle name="RIGs input totals 2 2 2 4 28" xfId="36343" xr:uid="{00000000-0005-0000-0000-0000CF8E0000}"/>
    <cellStyle name="RIGs input totals 2 2 2 4 29" xfId="36344" xr:uid="{00000000-0005-0000-0000-0000D08E0000}"/>
    <cellStyle name="RIGs input totals 2 2 2 4 3" xfId="36345" xr:uid="{00000000-0005-0000-0000-0000D18E0000}"/>
    <cellStyle name="RIGs input totals 2 2 2 4 3 2" xfId="36346" xr:uid="{00000000-0005-0000-0000-0000D28E0000}"/>
    <cellStyle name="RIGs input totals 2 2 2 4 3 3" xfId="36347" xr:uid="{00000000-0005-0000-0000-0000D38E0000}"/>
    <cellStyle name="RIGs input totals 2 2 2 4 30" xfId="36348" xr:uid="{00000000-0005-0000-0000-0000D48E0000}"/>
    <cellStyle name="RIGs input totals 2 2 2 4 31" xfId="36349" xr:uid="{00000000-0005-0000-0000-0000D58E0000}"/>
    <cellStyle name="RIGs input totals 2 2 2 4 32" xfId="36350" xr:uid="{00000000-0005-0000-0000-0000D68E0000}"/>
    <cellStyle name="RIGs input totals 2 2 2 4 33" xfId="36351" xr:uid="{00000000-0005-0000-0000-0000D78E0000}"/>
    <cellStyle name="RIGs input totals 2 2 2 4 34" xfId="36352" xr:uid="{00000000-0005-0000-0000-0000D88E0000}"/>
    <cellStyle name="RIGs input totals 2 2 2 4 4" xfId="36353" xr:uid="{00000000-0005-0000-0000-0000D98E0000}"/>
    <cellStyle name="RIGs input totals 2 2 2 4 4 2" xfId="36354" xr:uid="{00000000-0005-0000-0000-0000DA8E0000}"/>
    <cellStyle name="RIGs input totals 2 2 2 4 4 3" xfId="36355" xr:uid="{00000000-0005-0000-0000-0000DB8E0000}"/>
    <cellStyle name="RIGs input totals 2 2 2 4 5" xfId="36356" xr:uid="{00000000-0005-0000-0000-0000DC8E0000}"/>
    <cellStyle name="RIGs input totals 2 2 2 4 6" xfId="36357" xr:uid="{00000000-0005-0000-0000-0000DD8E0000}"/>
    <cellStyle name="RIGs input totals 2 2 2 4 7" xfId="36358" xr:uid="{00000000-0005-0000-0000-0000DE8E0000}"/>
    <cellStyle name="RIGs input totals 2 2 2 4 8" xfId="36359" xr:uid="{00000000-0005-0000-0000-0000DF8E0000}"/>
    <cellStyle name="RIGs input totals 2 2 2 4 9" xfId="36360" xr:uid="{00000000-0005-0000-0000-0000E08E0000}"/>
    <cellStyle name="RIGs input totals 2 2 2 5" xfId="36361" xr:uid="{00000000-0005-0000-0000-0000E18E0000}"/>
    <cellStyle name="RIGs input totals 2 2 2 5 10" xfId="36362" xr:uid="{00000000-0005-0000-0000-0000E28E0000}"/>
    <cellStyle name="RIGs input totals 2 2 2 5 11" xfId="36363" xr:uid="{00000000-0005-0000-0000-0000E38E0000}"/>
    <cellStyle name="RIGs input totals 2 2 2 5 12" xfId="36364" xr:uid="{00000000-0005-0000-0000-0000E48E0000}"/>
    <cellStyle name="RIGs input totals 2 2 2 5 13" xfId="36365" xr:uid="{00000000-0005-0000-0000-0000E58E0000}"/>
    <cellStyle name="RIGs input totals 2 2 2 5 2" xfId="36366" xr:uid="{00000000-0005-0000-0000-0000E68E0000}"/>
    <cellStyle name="RIGs input totals 2 2 2 5 2 2" xfId="36367" xr:uid="{00000000-0005-0000-0000-0000E78E0000}"/>
    <cellStyle name="RIGs input totals 2 2 2 5 2 3" xfId="36368" xr:uid="{00000000-0005-0000-0000-0000E88E0000}"/>
    <cellStyle name="RIGs input totals 2 2 2 5 3" xfId="36369" xr:uid="{00000000-0005-0000-0000-0000E98E0000}"/>
    <cellStyle name="RIGs input totals 2 2 2 5 3 2" xfId="36370" xr:uid="{00000000-0005-0000-0000-0000EA8E0000}"/>
    <cellStyle name="RIGs input totals 2 2 2 5 3 3" xfId="36371" xr:uid="{00000000-0005-0000-0000-0000EB8E0000}"/>
    <cellStyle name="RIGs input totals 2 2 2 5 4" xfId="36372" xr:uid="{00000000-0005-0000-0000-0000EC8E0000}"/>
    <cellStyle name="RIGs input totals 2 2 2 5 5" xfId="36373" xr:uid="{00000000-0005-0000-0000-0000ED8E0000}"/>
    <cellStyle name="RIGs input totals 2 2 2 5 6" xfId="36374" xr:uid="{00000000-0005-0000-0000-0000EE8E0000}"/>
    <cellStyle name="RIGs input totals 2 2 2 5 7" xfId="36375" xr:uid="{00000000-0005-0000-0000-0000EF8E0000}"/>
    <cellStyle name="RIGs input totals 2 2 2 5 8" xfId="36376" xr:uid="{00000000-0005-0000-0000-0000F08E0000}"/>
    <cellStyle name="RIGs input totals 2 2 2 5 9" xfId="36377" xr:uid="{00000000-0005-0000-0000-0000F18E0000}"/>
    <cellStyle name="RIGs input totals 2 2 2 6" xfId="36378" xr:uid="{00000000-0005-0000-0000-0000F28E0000}"/>
    <cellStyle name="RIGs input totals 2 2 2 6 2" xfId="36379" xr:uid="{00000000-0005-0000-0000-0000F38E0000}"/>
    <cellStyle name="RIGs input totals 2 2 2 6 2 2" xfId="36380" xr:uid="{00000000-0005-0000-0000-0000F48E0000}"/>
    <cellStyle name="RIGs input totals 2 2 2 6 2 3" xfId="36381" xr:uid="{00000000-0005-0000-0000-0000F58E0000}"/>
    <cellStyle name="RIGs input totals 2 2 2 6 3" xfId="36382" xr:uid="{00000000-0005-0000-0000-0000F68E0000}"/>
    <cellStyle name="RIGs input totals 2 2 2 6 3 2" xfId="36383" xr:uid="{00000000-0005-0000-0000-0000F78E0000}"/>
    <cellStyle name="RIGs input totals 2 2 2 6 4" xfId="36384" xr:uid="{00000000-0005-0000-0000-0000F88E0000}"/>
    <cellStyle name="RIGs input totals 2 2 2 7" xfId="36385" xr:uid="{00000000-0005-0000-0000-0000F98E0000}"/>
    <cellStyle name="RIGs input totals 2 2 2 7 2" xfId="36386" xr:uid="{00000000-0005-0000-0000-0000FA8E0000}"/>
    <cellStyle name="RIGs input totals 2 2 2 8" xfId="36387" xr:uid="{00000000-0005-0000-0000-0000FB8E0000}"/>
    <cellStyle name="RIGs input totals 2 2 2 8 2" xfId="36388" xr:uid="{00000000-0005-0000-0000-0000FC8E0000}"/>
    <cellStyle name="RIGs input totals 2 2 2 9" xfId="36389" xr:uid="{00000000-0005-0000-0000-0000FD8E0000}"/>
    <cellStyle name="RIGs input totals 2 2 2 9 2" xfId="36390" xr:uid="{00000000-0005-0000-0000-0000FE8E0000}"/>
    <cellStyle name="RIGs input totals 2 2 2_4 28 1_Asst_Health_Crit_AllTO_RIIO_20110714pm" xfId="36391" xr:uid="{00000000-0005-0000-0000-0000FF8E0000}"/>
    <cellStyle name="RIGs input totals 2 2 20" xfId="36392" xr:uid="{00000000-0005-0000-0000-0000008F0000}"/>
    <cellStyle name="RIGs input totals 2 2 20 2" xfId="36393" xr:uid="{00000000-0005-0000-0000-0000018F0000}"/>
    <cellStyle name="RIGs input totals 2 2 21" xfId="36394" xr:uid="{00000000-0005-0000-0000-0000028F0000}"/>
    <cellStyle name="RIGs input totals 2 2 21 2" xfId="36395" xr:uid="{00000000-0005-0000-0000-0000038F0000}"/>
    <cellStyle name="RIGs input totals 2 2 22" xfId="36396" xr:uid="{00000000-0005-0000-0000-0000048F0000}"/>
    <cellStyle name="RIGs input totals 2 2 22 2" xfId="36397" xr:uid="{00000000-0005-0000-0000-0000058F0000}"/>
    <cellStyle name="RIGs input totals 2 2 23" xfId="36398" xr:uid="{00000000-0005-0000-0000-0000068F0000}"/>
    <cellStyle name="RIGs input totals 2 2 23 2" xfId="36399" xr:uid="{00000000-0005-0000-0000-0000078F0000}"/>
    <cellStyle name="RIGs input totals 2 2 24" xfId="36400" xr:uid="{00000000-0005-0000-0000-0000088F0000}"/>
    <cellStyle name="RIGs input totals 2 2 24 2" xfId="36401" xr:uid="{00000000-0005-0000-0000-0000098F0000}"/>
    <cellStyle name="RIGs input totals 2 2 25" xfId="36402" xr:uid="{00000000-0005-0000-0000-00000A8F0000}"/>
    <cellStyle name="RIGs input totals 2 2 25 2" xfId="36403" xr:uid="{00000000-0005-0000-0000-00000B8F0000}"/>
    <cellStyle name="RIGs input totals 2 2 26" xfId="36404" xr:uid="{00000000-0005-0000-0000-00000C8F0000}"/>
    <cellStyle name="RIGs input totals 2 2 26 2" xfId="36405" xr:uid="{00000000-0005-0000-0000-00000D8F0000}"/>
    <cellStyle name="RIGs input totals 2 2 27" xfId="36406" xr:uid="{00000000-0005-0000-0000-00000E8F0000}"/>
    <cellStyle name="RIGs input totals 2 2 28" xfId="36407" xr:uid="{00000000-0005-0000-0000-00000F8F0000}"/>
    <cellStyle name="RIGs input totals 2 2 29" xfId="36408" xr:uid="{00000000-0005-0000-0000-0000108F0000}"/>
    <cellStyle name="RIGs input totals 2 2 3" xfId="36409" xr:uid="{00000000-0005-0000-0000-0000118F0000}"/>
    <cellStyle name="RIGs input totals 2 2 3 10" xfId="36410" xr:uid="{00000000-0005-0000-0000-0000128F0000}"/>
    <cellStyle name="RIGs input totals 2 2 3 11" xfId="36411" xr:uid="{00000000-0005-0000-0000-0000138F0000}"/>
    <cellStyle name="RIGs input totals 2 2 3 12" xfId="36412" xr:uid="{00000000-0005-0000-0000-0000148F0000}"/>
    <cellStyle name="RIGs input totals 2 2 3 13" xfId="36413" xr:uid="{00000000-0005-0000-0000-0000158F0000}"/>
    <cellStyle name="RIGs input totals 2 2 3 14" xfId="36414" xr:uid="{00000000-0005-0000-0000-0000168F0000}"/>
    <cellStyle name="RIGs input totals 2 2 3 15" xfId="36415" xr:uid="{00000000-0005-0000-0000-0000178F0000}"/>
    <cellStyle name="RIGs input totals 2 2 3 16" xfId="36416" xr:uid="{00000000-0005-0000-0000-0000188F0000}"/>
    <cellStyle name="RIGs input totals 2 2 3 17" xfId="36417" xr:uid="{00000000-0005-0000-0000-0000198F0000}"/>
    <cellStyle name="RIGs input totals 2 2 3 18" xfId="36418" xr:uid="{00000000-0005-0000-0000-00001A8F0000}"/>
    <cellStyle name="RIGs input totals 2 2 3 19" xfId="36419" xr:uid="{00000000-0005-0000-0000-00001B8F0000}"/>
    <cellStyle name="RIGs input totals 2 2 3 2" xfId="36420" xr:uid="{00000000-0005-0000-0000-00001C8F0000}"/>
    <cellStyle name="RIGs input totals 2 2 3 2 10" xfId="36421" xr:uid="{00000000-0005-0000-0000-00001D8F0000}"/>
    <cellStyle name="RIGs input totals 2 2 3 2 11" xfId="36422" xr:uid="{00000000-0005-0000-0000-00001E8F0000}"/>
    <cellStyle name="RIGs input totals 2 2 3 2 12" xfId="36423" xr:uid="{00000000-0005-0000-0000-00001F8F0000}"/>
    <cellStyle name="RIGs input totals 2 2 3 2 13" xfId="36424" xr:uid="{00000000-0005-0000-0000-0000208F0000}"/>
    <cellStyle name="RIGs input totals 2 2 3 2 14" xfId="36425" xr:uid="{00000000-0005-0000-0000-0000218F0000}"/>
    <cellStyle name="RIGs input totals 2 2 3 2 15" xfId="36426" xr:uid="{00000000-0005-0000-0000-0000228F0000}"/>
    <cellStyle name="RIGs input totals 2 2 3 2 16" xfId="36427" xr:uid="{00000000-0005-0000-0000-0000238F0000}"/>
    <cellStyle name="RIGs input totals 2 2 3 2 17" xfId="36428" xr:uid="{00000000-0005-0000-0000-0000248F0000}"/>
    <cellStyle name="RIGs input totals 2 2 3 2 18" xfId="36429" xr:uid="{00000000-0005-0000-0000-0000258F0000}"/>
    <cellStyle name="RIGs input totals 2 2 3 2 19" xfId="36430" xr:uid="{00000000-0005-0000-0000-0000268F0000}"/>
    <cellStyle name="RIGs input totals 2 2 3 2 2" xfId="36431" xr:uid="{00000000-0005-0000-0000-0000278F0000}"/>
    <cellStyle name="RIGs input totals 2 2 3 2 2 10" xfId="36432" xr:uid="{00000000-0005-0000-0000-0000288F0000}"/>
    <cellStyle name="RIGs input totals 2 2 3 2 2 11" xfId="36433" xr:uid="{00000000-0005-0000-0000-0000298F0000}"/>
    <cellStyle name="RIGs input totals 2 2 3 2 2 12" xfId="36434" xr:uid="{00000000-0005-0000-0000-00002A8F0000}"/>
    <cellStyle name="RIGs input totals 2 2 3 2 2 13" xfId="36435" xr:uid="{00000000-0005-0000-0000-00002B8F0000}"/>
    <cellStyle name="RIGs input totals 2 2 3 2 2 2" xfId="36436" xr:uid="{00000000-0005-0000-0000-00002C8F0000}"/>
    <cellStyle name="RIGs input totals 2 2 3 2 2 2 2" xfId="36437" xr:uid="{00000000-0005-0000-0000-00002D8F0000}"/>
    <cellStyle name="RIGs input totals 2 2 3 2 2 2 3" xfId="36438" xr:uid="{00000000-0005-0000-0000-00002E8F0000}"/>
    <cellStyle name="RIGs input totals 2 2 3 2 2 3" xfId="36439" xr:uid="{00000000-0005-0000-0000-00002F8F0000}"/>
    <cellStyle name="RIGs input totals 2 2 3 2 2 3 2" xfId="36440" xr:uid="{00000000-0005-0000-0000-0000308F0000}"/>
    <cellStyle name="RIGs input totals 2 2 3 2 2 3 3" xfId="36441" xr:uid="{00000000-0005-0000-0000-0000318F0000}"/>
    <cellStyle name="RIGs input totals 2 2 3 2 2 4" xfId="36442" xr:uid="{00000000-0005-0000-0000-0000328F0000}"/>
    <cellStyle name="RIGs input totals 2 2 3 2 2 5" xfId="36443" xr:uid="{00000000-0005-0000-0000-0000338F0000}"/>
    <cellStyle name="RIGs input totals 2 2 3 2 2 6" xfId="36444" xr:uid="{00000000-0005-0000-0000-0000348F0000}"/>
    <cellStyle name="RIGs input totals 2 2 3 2 2 7" xfId="36445" xr:uid="{00000000-0005-0000-0000-0000358F0000}"/>
    <cellStyle name="RIGs input totals 2 2 3 2 2 8" xfId="36446" xr:uid="{00000000-0005-0000-0000-0000368F0000}"/>
    <cellStyle name="RIGs input totals 2 2 3 2 2 9" xfId="36447" xr:uid="{00000000-0005-0000-0000-0000378F0000}"/>
    <cellStyle name="RIGs input totals 2 2 3 2 20" xfId="36448" xr:uid="{00000000-0005-0000-0000-0000388F0000}"/>
    <cellStyle name="RIGs input totals 2 2 3 2 21" xfId="36449" xr:uid="{00000000-0005-0000-0000-0000398F0000}"/>
    <cellStyle name="RIGs input totals 2 2 3 2 22" xfId="36450" xr:uid="{00000000-0005-0000-0000-00003A8F0000}"/>
    <cellStyle name="RIGs input totals 2 2 3 2 23" xfId="36451" xr:uid="{00000000-0005-0000-0000-00003B8F0000}"/>
    <cellStyle name="RIGs input totals 2 2 3 2 24" xfId="36452" xr:uid="{00000000-0005-0000-0000-00003C8F0000}"/>
    <cellStyle name="RIGs input totals 2 2 3 2 25" xfId="36453" xr:uid="{00000000-0005-0000-0000-00003D8F0000}"/>
    <cellStyle name="RIGs input totals 2 2 3 2 26" xfId="36454" xr:uid="{00000000-0005-0000-0000-00003E8F0000}"/>
    <cellStyle name="RIGs input totals 2 2 3 2 27" xfId="36455" xr:uid="{00000000-0005-0000-0000-00003F8F0000}"/>
    <cellStyle name="RIGs input totals 2 2 3 2 28" xfId="36456" xr:uid="{00000000-0005-0000-0000-0000408F0000}"/>
    <cellStyle name="RIGs input totals 2 2 3 2 29" xfId="36457" xr:uid="{00000000-0005-0000-0000-0000418F0000}"/>
    <cellStyle name="RIGs input totals 2 2 3 2 3" xfId="36458" xr:uid="{00000000-0005-0000-0000-0000428F0000}"/>
    <cellStyle name="RIGs input totals 2 2 3 2 3 2" xfId="36459" xr:uid="{00000000-0005-0000-0000-0000438F0000}"/>
    <cellStyle name="RIGs input totals 2 2 3 2 3 3" xfId="36460" xr:uid="{00000000-0005-0000-0000-0000448F0000}"/>
    <cellStyle name="RIGs input totals 2 2 3 2 30" xfId="36461" xr:uid="{00000000-0005-0000-0000-0000458F0000}"/>
    <cellStyle name="RIGs input totals 2 2 3 2 31" xfId="36462" xr:uid="{00000000-0005-0000-0000-0000468F0000}"/>
    <cellStyle name="RIGs input totals 2 2 3 2 32" xfId="36463" xr:uid="{00000000-0005-0000-0000-0000478F0000}"/>
    <cellStyle name="RIGs input totals 2 2 3 2 33" xfId="36464" xr:uid="{00000000-0005-0000-0000-0000488F0000}"/>
    <cellStyle name="RIGs input totals 2 2 3 2 34" xfId="36465" xr:uid="{00000000-0005-0000-0000-0000498F0000}"/>
    <cellStyle name="RIGs input totals 2 2 3 2 4" xfId="36466" xr:uid="{00000000-0005-0000-0000-00004A8F0000}"/>
    <cellStyle name="RIGs input totals 2 2 3 2 4 2" xfId="36467" xr:uid="{00000000-0005-0000-0000-00004B8F0000}"/>
    <cellStyle name="RIGs input totals 2 2 3 2 4 3" xfId="36468" xr:uid="{00000000-0005-0000-0000-00004C8F0000}"/>
    <cellStyle name="RIGs input totals 2 2 3 2 5" xfId="36469" xr:uid="{00000000-0005-0000-0000-00004D8F0000}"/>
    <cellStyle name="RIGs input totals 2 2 3 2 6" xfId="36470" xr:uid="{00000000-0005-0000-0000-00004E8F0000}"/>
    <cellStyle name="RIGs input totals 2 2 3 2 7" xfId="36471" xr:uid="{00000000-0005-0000-0000-00004F8F0000}"/>
    <cellStyle name="RIGs input totals 2 2 3 2 8" xfId="36472" xr:uid="{00000000-0005-0000-0000-0000508F0000}"/>
    <cellStyle name="RIGs input totals 2 2 3 2 9" xfId="36473" xr:uid="{00000000-0005-0000-0000-0000518F0000}"/>
    <cellStyle name="RIGs input totals 2 2 3 20" xfId="36474" xr:uid="{00000000-0005-0000-0000-0000528F0000}"/>
    <cellStyle name="RIGs input totals 2 2 3 21" xfId="36475" xr:uid="{00000000-0005-0000-0000-0000538F0000}"/>
    <cellStyle name="RIGs input totals 2 2 3 22" xfId="36476" xr:uid="{00000000-0005-0000-0000-0000548F0000}"/>
    <cellStyle name="RIGs input totals 2 2 3 23" xfId="36477" xr:uid="{00000000-0005-0000-0000-0000558F0000}"/>
    <cellStyle name="RIGs input totals 2 2 3 24" xfId="36478" xr:uid="{00000000-0005-0000-0000-0000568F0000}"/>
    <cellStyle name="RIGs input totals 2 2 3 25" xfId="36479" xr:uid="{00000000-0005-0000-0000-0000578F0000}"/>
    <cellStyle name="RIGs input totals 2 2 3 26" xfId="36480" xr:uid="{00000000-0005-0000-0000-0000588F0000}"/>
    <cellStyle name="RIGs input totals 2 2 3 27" xfId="36481" xr:uid="{00000000-0005-0000-0000-0000598F0000}"/>
    <cellStyle name="RIGs input totals 2 2 3 28" xfId="36482" xr:uid="{00000000-0005-0000-0000-00005A8F0000}"/>
    <cellStyle name="RIGs input totals 2 2 3 29" xfId="36483" xr:uid="{00000000-0005-0000-0000-00005B8F0000}"/>
    <cellStyle name="RIGs input totals 2 2 3 3" xfId="36484" xr:uid="{00000000-0005-0000-0000-00005C8F0000}"/>
    <cellStyle name="RIGs input totals 2 2 3 3 10" xfId="36485" xr:uid="{00000000-0005-0000-0000-00005D8F0000}"/>
    <cellStyle name="RIGs input totals 2 2 3 3 11" xfId="36486" xr:uid="{00000000-0005-0000-0000-00005E8F0000}"/>
    <cellStyle name="RIGs input totals 2 2 3 3 12" xfId="36487" xr:uid="{00000000-0005-0000-0000-00005F8F0000}"/>
    <cellStyle name="RIGs input totals 2 2 3 3 13" xfId="36488" xr:uid="{00000000-0005-0000-0000-0000608F0000}"/>
    <cellStyle name="RIGs input totals 2 2 3 3 2" xfId="36489" xr:uid="{00000000-0005-0000-0000-0000618F0000}"/>
    <cellStyle name="RIGs input totals 2 2 3 3 2 2" xfId="36490" xr:uid="{00000000-0005-0000-0000-0000628F0000}"/>
    <cellStyle name="RIGs input totals 2 2 3 3 2 3" xfId="36491" xr:uid="{00000000-0005-0000-0000-0000638F0000}"/>
    <cellStyle name="RIGs input totals 2 2 3 3 3" xfId="36492" xr:uid="{00000000-0005-0000-0000-0000648F0000}"/>
    <cellStyle name="RIGs input totals 2 2 3 3 3 2" xfId="36493" xr:uid="{00000000-0005-0000-0000-0000658F0000}"/>
    <cellStyle name="RIGs input totals 2 2 3 3 3 3" xfId="36494" xr:uid="{00000000-0005-0000-0000-0000668F0000}"/>
    <cellStyle name="RIGs input totals 2 2 3 3 4" xfId="36495" xr:uid="{00000000-0005-0000-0000-0000678F0000}"/>
    <cellStyle name="RIGs input totals 2 2 3 3 5" xfId="36496" xr:uid="{00000000-0005-0000-0000-0000688F0000}"/>
    <cellStyle name="RIGs input totals 2 2 3 3 6" xfId="36497" xr:uid="{00000000-0005-0000-0000-0000698F0000}"/>
    <cellStyle name="RIGs input totals 2 2 3 3 7" xfId="36498" xr:uid="{00000000-0005-0000-0000-00006A8F0000}"/>
    <cellStyle name="RIGs input totals 2 2 3 3 8" xfId="36499" xr:uid="{00000000-0005-0000-0000-00006B8F0000}"/>
    <cellStyle name="RIGs input totals 2 2 3 3 9" xfId="36500" xr:uid="{00000000-0005-0000-0000-00006C8F0000}"/>
    <cellStyle name="RIGs input totals 2 2 3 30" xfId="36501" xr:uid="{00000000-0005-0000-0000-00006D8F0000}"/>
    <cellStyle name="RIGs input totals 2 2 3 31" xfId="36502" xr:uid="{00000000-0005-0000-0000-00006E8F0000}"/>
    <cellStyle name="RIGs input totals 2 2 3 32" xfId="36503" xr:uid="{00000000-0005-0000-0000-00006F8F0000}"/>
    <cellStyle name="RIGs input totals 2 2 3 33" xfId="36504" xr:uid="{00000000-0005-0000-0000-0000708F0000}"/>
    <cellStyle name="RIGs input totals 2 2 3 34" xfId="36505" xr:uid="{00000000-0005-0000-0000-0000718F0000}"/>
    <cellStyle name="RIGs input totals 2 2 3 35" xfId="36506" xr:uid="{00000000-0005-0000-0000-0000728F0000}"/>
    <cellStyle name="RIGs input totals 2 2 3 4" xfId="36507" xr:uid="{00000000-0005-0000-0000-0000738F0000}"/>
    <cellStyle name="RIGs input totals 2 2 3 4 2" xfId="36508" xr:uid="{00000000-0005-0000-0000-0000748F0000}"/>
    <cellStyle name="RIGs input totals 2 2 3 4 3" xfId="36509" xr:uid="{00000000-0005-0000-0000-0000758F0000}"/>
    <cellStyle name="RIGs input totals 2 2 3 5" xfId="36510" xr:uid="{00000000-0005-0000-0000-0000768F0000}"/>
    <cellStyle name="RIGs input totals 2 2 3 5 2" xfId="36511" xr:uid="{00000000-0005-0000-0000-0000778F0000}"/>
    <cellStyle name="RIGs input totals 2 2 3 5 3" xfId="36512" xr:uid="{00000000-0005-0000-0000-0000788F0000}"/>
    <cellStyle name="RIGs input totals 2 2 3 6" xfId="36513" xr:uid="{00000000-0005-0000-0000-0000798F0000}"/>
    <cellStyle name="RIGs input totals 2 2 3 7" xfId="36514" xr:uid="{00000000-0005-0000-0000-00007A8F0000}"/>
    <cellStyle name="RIGs input totals 2 2 3 8" xfId="36515" xr:uid="{00000000-0005-0000-0000-00007B8F0000}"/>
    <cellStyle name="RIGs input totals 2 2 3 9" xfId="36516" xr:uid="{00000000-0005-0000-0000-00007C8F0000}"/>
    <cellStyle name="RIGs input totals 2 2 3_4 28 1_Asst_Health_Crit_AllTO_RIIO_20110714pm" xfId="36517" xr:uid="{00000000-0005-0000-0000-00007D8F0000}"/>
    <cellStyle name="RIGs input totals 2 2 30" xfId="36518" xr:uid="{00000000-0005-0000-0000-00007E8F0000}"/>
    <cellStyle name="RIGs input totals 2 2 31" xfId="36519" xr:uid="{00000000-0005-0000-0000-00007F8F0000}"/>
    <cellStyle name="RIGs input totals 2 2 32" xfId="36520" xr:uid="{00000000-0005-0000-0000-0000808F0000}"/>
    <cellStyle name="RIGs input totals 2 2 33" xfId="36521" xr:uid="{00000000-0005-0000-0000-0000818F0000}"/>
    <cellStyle name="RIGs input totals 2 2 34" xfId="36522" xr:uid="{00000000-0005-0000-0000-0000828F0000}"/>
    <cellStyle name="RIGs input totals 2 2 35" xfId="36523" xr:uid="{00000000-0005-0000-0000-0000838F0000}"/>
    <cellStyle name="RIGs input totals 2 2 36" xfId="36524" xr:uid="{00000000-0005-0000-0000-0000848F0000}"/>
    <cellStyle name="RIGs input totals 2 2 37" xfId="36525" xr:uid="{00000000-0005-0000-0000-0000858F0000}"/>
    <cellStyle name="RIGs input totals 2 2 38" xfId="36526" xr:uid="{00000000-0005-0000-0000-0000868F0000}"/>
    <cellStyle name="RIGs input totals 2 2 39" xfId="36527" xr:uid="{00000000-0005-0000-0000-0000878F0000}"/>
    <cellStyle name="RIGs input totals 2 2 4" xfId="36528" xr:uid="{00000000-0005-0000-0000-0000888F0000}"/>
    <cellStyle name="RIGs input totals 2 2 4 10" xfId="36529" xr:uid="{00000000-0005-0000-0000-0000898F0000}"/>
    <cellStyle name="RIGs input totals 2 2 4 11" xfId="36530" xr:uid="{00000000-0005-0000-0000-00008A8F0000}"/>
    <cellStyle name="RIGs input totals 2 2 4 12" xfId="36531" xr:uid="{00000000-0005-0000-0000-00008B8F0000}"/>
    <cellStyle name="RIGs input totals 2 2 4 13" xfId="36532" xr:uid="{00000000-0005-0000-0000-00008C8F0000}"/>
    <cellStyle name="RIGs input totals 2 2 4 14" xfId="36533" xr:uid="{00000000-0005-0000-0000-00008D8F0000}"/>
    <cellStyle name="RIGs input totals 2 2 4 15" xfId="36534" xr:uid="{00000000-0005-0000-0000-00008E8F0000}"/>
    <cellStyle name="RIGs input totals 2 2 4 16" xfId="36535" xr:uid="{00000000-0005-0000-0000-00008F8F0000}"/>
    <cellStyle name="RIGs input totals 2 2 4 17" xfId="36536" xr:uid="{00000000-0005-0000-0000-0000908F0000}"/>
    <cellStyle name="RIGs input totals 2 2 4 18" xfId="36537" xr:uid="{00000000-0005-0000-0000-0000918F0000}"/>
    <cellStyle name="RIGs input totals 2 2 4 19" xfId="36538" xr:uid="{00000000-0005-0000-0000-0000928F0000}"/>
    <cellStyle name="RIGs input totals 2 2 4 2" xfId="36539" xr:uid="{00000000-0005-0000-0000-0000938F0000}"/>
    <cellStyle name="RIGs input totals 2 2 4 2 10" xfId="36540" xr:uid="{00000000-0005-0000-0000-0000948F0000}"/>
    <cellStyle name="RIGs input totals 2 2 4 2 11" xfId="36541" xr:uid="{00000000-0005-0000-0000-0000958F0000}"/>
    <cellStyle name="RIGs input totals 2 2 4 2 12" xfId="36542" xr:uid="{00000000-0005-0000-0000-0000968F0000}"/>
    <cellStyle name="RIGs input totals 2 2 4 2 13" xfId="36543" xr:uid="{00000000-0005-0000-0000-0000978F0000}"/>
    <cellStyle name="RIGs input totals 2 2 4 2 2" xfId="36544" xr:uid="{00000000-0005-0000-0000-0000988F0000}"/>
    <cellStyle name="RIGs input totals 2 2 4 2 2 2" xfId="36545" xr:uid="{00000000-0005-0000-0000-0000998F0000}"/>
    <cellStyle name="RIGs input totals 2 2 4 2 2 3" xfId="36546" xr:uid="{00000000-0005-0000-0000-00009A8F0000}"/>
    <cellStyle name="RIGs input totals 2 2 4 2 3" xfId="36547" xr:uid="{00000000-0005-0000-0000-00009B8F0000}"/>
    <cellStyle name="RIGs input totals 2 2 4 2 3 2" xfId="36548" xr:uid="{00000000-0005-0000-0000-00009C8F0000}"/>
    <cellStyle name="RIGs input totals 2 2 4 2 3 3" xfId="36549" xr:uid="{00000000-0005-0000-0000-00009D8F0000}"/>
    <cellStyle name="RIGs input totals 2 2 4 2 4" xfId="36550" xr:uid="{00000000-0005-0000-0000-00009E8F0000}"/>
    <cellStyle name="RIGs input totals 2 2 4 2 5" xfId="36551" xr:uid="{00000000-0005-0000-0000-00009F8F0000}"/>
    <cellStyle name="RIGs input totals 2 2 4 2 6" xfId="36552" xr:uid="{00000000-0005-0000-0000-0000A08F0000}"/>
    <cellStyle name="RIGs input totals 2 2 4 2 7" xfId="36553" xr:uid="{00000000-0005-0000-0000-0000A18F0000}"/>
    <cellStyle name="RIGs input totals 2 2 4 2 8" xfId="36554" xr:uid="{00000000-0005-0000-0000-0000A28F0000}"/>
    <cellStyle name="RIGs input totals 2 2 4 2 9" xfId="36555" xr:uid="{00000000-0005-0000-0000-0000A38F0000}"/>
    <cellStyle name="RIGs input totals 2 2 4 20" xfId="36556" xr:uid="{00000000-0005-0000-0000-0000A48F0000}"/>
    <cellStyle name="RIGs input totals 2 2 4 21" xfId="36557" xr:uid="{00000000-0005-0000-0000-0000A58F0000}"/>
    <cellStyle name="RIGs input totals 2 2 4 22" xfId="36558" xr:uid="{00000000-0005-0000-0000-0000A68F0000}"/>
    <cellStyle name="RIGs input totals 2 2 4 23" xfId="36559" xr:uid="{00000000-0005-0000-0000-0000A78F0000}"/>
    <cellStyle name="RIGs input totals 2 2 4 24" xfId="36560" xr:uid="{00000000-0005-0000-0000-0000A88F0000}"/>
    <cellStyle name="RIGs input totals 2 2 4 25" xfId="36561" xr:uid="{00000000-0005-0000-0000-0000A98F0000}"/>
    <cellStyle name="RIGs input totals 2 2 4 26" xfId="36562" xr:uid="{00000000-0005-0000-0000-0000AA8F0000}"/>
    <cellStyle name="RIGs input totals 2 2 4 27" xfId="36563" xr:uid="{00000000-0005-0000-0000-0000AB8F0000}"/>
    <cellStyle name="RIGs input totals 2 2 4 28" xfId="36564" xr:uid="{00000000-0005-0000-0000-0000AC8F0000}"/>
    <cellStyle name="RIGs input totals 2 2 4 29" xfId="36565" xr:uid="{00000000-0005-0000-0000-0000AD8F0000}"/>
    <cellStyle name="RIGs input totals 2 2 4 3" xfId="36566" xr:uid="{00000000-0005-0000-0000-0000AE8F0000}"/>
    <cellStyle name="RIGs input totals 2 2 4 3 2" xfId="36567" xr:uid="{00000000-0005-0000-0000-0000AF8F0000}"/>
    <cellStyle name="RIGs input totals 2 2 4 3 3" xfId="36568" xr:uid="{00000000-0005-0000-0000-0000B08F0000}"/>
    <cellStyle name="RIGs input totals 2 2 4 30" xfId="36569" xr:uid="{00000000-0005-0000-0000-0000B18F0000}"/>
    <cellStyle name="RIGs input totals 2 2 4 31" xfId="36570" xr:uid="{00000000-0005-0000-0000-0000B28F0000}"/>
    <cellStyle name="RIGs input totals 2 2 4 32" xfId="36571" xr:uid="{00000000-0005-0000-0000-0000B38F0000}"/>
    <cellStyle name="RIGs input totals 2 2 4 33" xfId="36572" xr:uid="{00000000-0005-0000-0000-0000B48F0000}"/>
    <cellStyle name="RIGs input totals 2 2 4 34" xfId="36573" xr:uid="{00000000-0005-0000-0000-0000B58F0000}"/>
    <cellStyle name="RIGs input totals 2 2 4 4" xfId="36574" xr:uid="{00000000-0005-0000-0000-0000B68F0000}"/>
    <cellStyle name="RIGs input totals 2 2 4 4 2" xfId="36575" xr:uid="{00000000-0005-0000-0000-0000B78F0000}"/>
    <cellStyle name="RIGs input totals 2 2 4 4 3" xfId="36576" xr:uid="{00000000-0005-0000-0000-0000B88F0000}"/>
    <cellStyle name="RIGs input totals 2 2 4 5" xfId="36577" xr:uid="{00000000-0005-0000-0000-0000B98F0000}"/>
    <cellStyle name="RIGs input totals 2 2 4 6" xfId="36578" xr:uid="{00000000-0005-0000-0000-0000BA8F0000}"/>
    <cellStyle name="RIGs input totals 2 2 4 7" xfId="36579" xr:uid="{00000000-0005-0000-0000-0000BB8F0000}"/>
    <cellStyle name="RIGs input totals 2 2 4 8" xfId="36580" xr:uid="{00000000-0005-0000-0000-0000BC8F0000}"/>
    <cellStyle name="RIGs input totals 2 2 4 9" xfId="36581" xr:uid="{00000000-0005-0000-0000-0000BD8F0000}"/>
    <cellStyle name="RIGs input totals 2 2 5" xfId="36582" xr:uid="{00000000-0005-0000-0000-0000BE8F0000}"/>
    <cellStyle name="RIGs input totals 2 2 5 10" xfId="36583" xr:uid="{00000000-0005-0000-0000-0000BF8F0000}"/>
    <cellStyle name="RIGs input totals 2 2 5 11" xfId="36584" xr:uid="{00000000-0005-0000-0000-0000C08F0000}"/>
    <cellStyle name="RIGs input totals 2 2 5 12" xfId="36585" xr:uid="{00000000-0005-0000-0000-0000C18F0000}"/>
    <cellStyle name="RIGs input totals 2 2 5 13" xfId="36586" xr:uid="{00000000-0005-0000-0000-0000C28F0000}"/>
    <cellStyle name="RIGs input totals 2 2 5 14" xfId="36587" xr:uid="{00000000-0005-0000-0000-0000C38F0000}"/>
    <cellStyle name="RIGs input totals 2 2 5 15" xfId="36588" xr:uid="{00000000-0005-0000-0000-0000C48F0000}"/>
    <cellStyle name="RIGs input totals 2 2 5 16" xfId="36589" xr:uid="{00000000-0005-0000-0000-0000C58F0000}"/>
    <cellStyle name="RIGs input totals 2 2 5 17" xfId="36590" xr:uid="{00000000-0005-0000-0000-0000C68F0000}"/>
    <cellStyle name="RIGs input totals 2 2 5 18" xfId="36591" xr:uid="{00000000-0005-0000-0000-0000C78F0000}"/>
    <cellStyle name="RIGs input totals 2 2 5 19" xfId="36592" xr:uid="{00000000-0005-0000-0000-0000C88F0000}"/>
    <cellStyle name="RIGs input totals 2 2 5 2" xfId="36593" xr:uid="{00000000-0005-0000-0000-0000C98F0000}"/>
    <cellStyle name="RIGs input totals 2 2 5 2 10" xfId="36594" xr:uid="{00000000-0005-0000-0000-0000CA8F0000}"/>
    <cellStyle name="RIGs input totals 2 2 5 2 11" xfId="36595" xr:uid="{00000000-0005-0000-0000-0000CB8F0000}"/>
    <cellStyle name="RIGs input totals 2 2 5 2 12" xfId="36596" xr:uid="{00000000-0005-0000-0000-0000CC8F0000}"/>
    <cellStyle name="RIGs input totals 2 2 5 2 13" xfId="36597" xr:uid="{00000000-0005-0000-0000-0000CD8F0000}"/>
    <cellStyle name="RIGs input totals 2 2 5 2 2" xfId="36598" xr:uid="{00000000-0005-0000-0000-0000CE8F0000}"/>
    <cellStyle name="RIGs input totals 2 2 5 2 2 2" xfId="36599" xr:uid="{00000000-0005-0000-0000-0000CF8F0000}"/>
    <cellStyle name="RIGs input totals 2 2 5 2 2 3" xfId="36600" xr:uid="{00000000-0005-0000-0000-0000D08F0000}"/>
    <cellStyle name="RIGs input totals 2 2 5 2 3" xfId="36601" xr:uid="{00000000-0005-0000-0000-0000D18F0000}"/>
    <cellStyle name="RIGs input totals 2 2 5 2 3 2" xfId="36602" xr:uid="{00000000-0005-0000-0000-0000D28F0000}"/>
    <cellStyle name="RIGs input totals 2 2 5 2 3 3" xfId="36603" xr:uid="{00000000-0005-0000-0000-0000D38F0000}"/>
    <cellStyle name="RIGs input totals 2 2 5 2 4" xfId="36604" xr:uid="{00000000-0005-0000-0000-0000D48F0000}"/>
    <cellStyle name="RIGs input totals 2 2 5 2 5" xfId="36605" xr:uid="{00000000-0005-0000-0000-0000D58F0000}"/>
    <cellStyle name="RIGs input totals 2 2 5 2 6" xfId="36606" xr:uid="{00000000-0005-0000-0000-0000D68F0000}"/>
    <cellStyle name="RIGs input totals 2 2 5 2 7" xfId="36607" xr:uid="{00000000-0005-0000-0000-0000D78F0000}"/>
    <cellStyle name="RIGs input totals 2 2 5 2 8" xfId="36608" xr:uid="{00000000-0005-0000-0000-0000D88F0000}"/>
    <cellStyle name="RIGs input totals 2 2 5 2 9" xfId="36609" xr:uid="{00000000-0005-0000-0000-0000D98F0000}"/>
    <cellStyle name="RIGs input totals 2 2 5 20" xfId="36610" xr:uid="{00000000-0005-0000-0000-0000DA8F0000}"/>
    <cellStyle name="RIGs input totals 2 2 5 21" xfId="36611" xr:uid="{00000000-0005-0000-0000-0000DB8F0000}"/>
    <cellStyle name="RIGs input totals 2 2 5 22" xfId="36612" xr:uid="{00000000-0005-0000-0000-0000DC8F0000}"/>
    <cellStyle name="RIGs input totals 2 2 5 23" xfId="36613" xr:uid="{00000000-0005-0000-0000-0000DD8F0000}"/>
    <cellStyle name="RIGs input totals 2 2 5 24" xfId="36614" xr:uid="{00000000-0005-0000-0000-0000DE8F0000}"/>
    <cellStyle name="RIGs input totals 2 2 5 25" xfId="36615" xr:uid="{00000000-0005-0000-0000-0000DF8F0000}"/>
    <cellStyle name="RIGs input totals 2 2 5 26" xfId="36616" xr:uid="{00000000-0005-0000-0000-0000E08F0000}"/>
    <cellStyle name="RIGs input totals 2 2 5 27" xfId="36617" xr:uid="{00000000-0005-0000-0000-0000E18F0000}"/>
    <cellStyle name="RIGs input totals 2 2 5 28" xfId="36618" xr:uid="{00000000-0005-0000-0000-0000E28F0000}"/>
    <cellStyle name="RIGs input totals 2 2 5 29" xfId="36619" xr:uid="{00000000-0005-0000-0000-0000E38F0000}"/>
    <cellStyle name="RIGs input totals 2 2 5 3" xfId="36620" xr:uid="{00000000-0005-0000-0000-0000E48F0000}"/>
    <cellStyle name="RIGs input totals 2 2 5 3 2" xfId="36621" xr:uid="{00000000-0005-0000-0000-0000E58F0000}"/>
    <cellStyle name="RIGs input totals 2 2 5 3 3" xfId="36622" xr:uid="{00000000-0005-0000-0000-0000E68F0000}"/>
    <cellStyle name="RIGs input totals 2 2 5 30" xfId="36623" xr:uid="{00000000-0005-0000-0000-0000E78F0000}"/>
    <cellStyle name="RIGs input totals 2 2 5 31" xfId="36624" xr:uid="{00000000-0005-0000-0000-0000E88F0000}"/>
    <cellStyle name="RIGs input totals 2 2 5 32" xfId="36625" xr:uid="{00000000-0005-0000-0000-0000E98F0000}"/>
    <cellStyle name="RIGs input totals 2 2 5 33" xfId="36626" xr:uid="{00000000-0005-0000-0000-0000EA8F0000}"/>
    <cellStyle name="RIGs input totals 2 2 5 34" xfId="36627" xr:uid="{00000000-0005-0000-0000-0000EB8F0000}"/>
    <cellStyle name="RIGs input totals 2 2 5 4" xfId="36628" xr:uid="{00000000-0005-0000-0000-0000EC8F0000}"/>
    <cellStyle name="RIGs input totals 2 2 5 4 2" xfId="36629" xr:uid="{00000000-0005-0000-0000-0000ED8F0000}"/>
    <cellStyle name="RIGs input totals 2 2 5 4 3" xfId="36630" xr:uid="{00000000-0005-0000-0000-0000EE8F0000}"/>
    <cellStyle name="RIGs input totals 2 2 5 5" xfId="36631" xr:uid="{00000000-0005-0000-0000-0000EF8F0000}"/>
    <cellStyle name="RIGs input totals 2 2 5 6" xfId="36632" xr:uid="{00000000-0005-0000-0000-0000F08F0000}"/>
    <cellStyle name="RIGs input totals 2 2 5 7" xfId="36633" xr:uid="{00000000-0005-0000-0000-0000F18F0000}"/>
    <cellStyle name="RIGs input totals 2 2 5 8" xfId="36634" xr:uid="{00000000-0005-0000-0000-0000F28F0000}"/>
    <cellStyle name="RIGs input totals 2 2 5 9" xfId="36635" xr:uid="{00000000-0005-0000-0000-0000F38F0000}"/>
    <cellStyle name="RIGs input totals 2 2 6" xfId="36636" xr:uid="{00000000-0005-0000-0000-0000F48F0000}"/>
    <cellStyle name="RIGs input totals 2 2 6 10" xfId="36637" xr:uid="{00000000-0005-0000-0000-0000F58F0000}"/>
    <cellStyle name="RIGs input totals 2 2 6 11" xfId="36638" xr:uid="{00000000-0005-0000-0000-0000F68F0000}"/>
    <cellStyle name="RIGs input totals 2 2 6 12" xfId="36639" xr:uid="{00000000-0005-0000-0000-0000F78F0000}"/>
    <cellStyle name="RIGs input totals 2 2 6 13" xfId="36640" xr:uid="{00000000-0005-0000-0000-0000F88F0000}"/>
    <cellStyle name="RIGs input totals 2 2 6 2" xfId="36641" xr:uid="{00000000-0005-0000-0000-0000F98F0000}"/>
    <cellStyle name="RIGs input totals 2 2 6 2 2" xfId="36642" xr:uid="{00000000-0005-0000-0000-0000FA8F0000}"/>
    <cellStyle name="RIGs input totals 2 2 6 2 3" xfId="36643" xr:uid="{00000000-0005-0000-0000-0000FB8F0000}"/>
    <cellStyle name="RIGs input totals 2 2 6 3" xfId="36644" xr:uid="{00000000-0005-0000-0000-0000FC8F0000}"/>
    <cellStyle name="RIGs input totals 2 2 6 3 2" xfId="36645" xr:uid="{00000000-0005-0000-0000-0000FD8F0000}"/>
    <cellStyle name="RIGs input totals 2 2 6 3 3" xfId="36646" xr:uid="{00000000-0005-0000-0000-0000FE8F0000}"/>
    <cellStyle name="RIGs input totals 2 2 6 4" xfId="36647" xr:uid="{00000000-0005-0000-0000-0000FF8F0000}"/>
    <cellStyle name="RIGs input totals 2 2 6 5" xfId="36648" xr:uid="{00000000-0005-0000-0000-000000900000}"/>
    <cellStyle name="RIGs input totals 2 2 6 6" xfId="36649" xr:uid="{00000000-0005-0000-0000-000001900000}"/>
    <cellStyle name="RIGs input totals 2 2 6 7" xfId="36650" xr:uid="{00000000-0005-0000-0000-000002900000}"/>
    <cellStyle name="RIGs input totals 2 2 6 8" xfId="36651" xr:uid="{00000000-0005-0000-0000-000003900000}"/>
    <cellStyle name="RIGs input totals 2 2 6 9" xfId="36652" xr:uid="{00000000-0005-0000-0000-000004900000}"/>
    <cellStyle name="RIGs input totals 2 2 7" xfId="36653" xr:uid="{00000000-0005-0000-0000-000005900000}"/>
    <cellStyle name="RIGs input totals 2 2 7 2" xfId="36654" xr:uid="{00000000-0005-0000-0000-000006900000}"/>
    <cellStyle name="RIGs input totals 2 2 7 2 2" xfId="36655" xr:uid="{00000000-0005-0000-0000-000007900000}"/>
    <cellStyle name="RIGs input totals 2 2 7 2 3" xfId="36656" xr:uid="{00000000-0005-0000-0000-000008900000}"/>
    <cellStyle name="RIGs input totals 2 2 7 3" xfId="36657" xr:uid="{00000000-0005-0000-0000-000009900000}"/>
    <cellStyle name="RIGs input totals 2 2 7 3 2" xfId="36658" xr:uid="{00000000-0005-0000-0000-00000A900000}"/>
    <cellStyle name="RIGs input totals 2 2 7 4" xfId="36659" xr:uid="{00000000-0005-0000-0000-00000B900000}"/>
    <cellStyle name="RIGs input totals 2 2 8" xfId="36660" xr:uid="{00000000-0005-0000-0000-00000C900000}"/>
    <cellStyle name="RIGs input totals 2 2 8 2" xfId="36661" xr:uid="{00000000-0005-0000-0000-00000D900000}"/>
    <cellStyle name="RIGs input totals 2 2 9" xfId="36662" xr:uid="{00000000-0005-0000-0000-00000E900000}"/>
    <cellStyle name="RIGs input totals 2 2 9 2" xfId="36663" xr:uid="{00000000-0005-0000-0000-00000F900000}"/>
    <cellStyle name="RIGs input totals 2 2_1.3s Accounting C Costs Scots" xfId="36664" xr:uid="{00000000-0005-0000-0000-000010900000}"/>
    <cellStyle name="RIGs input totals 2 20" xfId="36665" xr:uid="{00000000-0005-0000-0000-000011900000}"/>
    <cellStyle name="RIGs input totals 2 20 2" xfId="36666" xr:uid="{00000000-0005-0000-0000-000012900000}"/>
    <cellStyle name="RIGs input totals 2 21" xfId="36667" xr:uid="{00000000-0005-0000-0000-000013900000}"/>
    <cellStyle name="RIGs input totals 2 21 2" xfId="36668" xr:uid="{00000000-0005-0000-0000-000014900000}"/>
    <cellStyle name="RIGs input totals 2 22" xfId="36669" xr:uid="{00000000-0005-0000-0000-000015900000}"/>
    <cellStyle name="RIGs input totals 2 22 2" xfId="36670" xr:uid="{00000000-0005-0000-0000-000016900000}"/>
    <cellStyle name="RIGs input totals 2 23" xfId="36671" xr:uid="{00000000-0005-0000-0000-000017900000}"/>
    <cellStyle name="RIGs input totals 2 23 2" xfId="36672" xr:uid="{00000000-0005-0000-0000-000018900000}"/>
    <cellStyle name="RIGs input totals 2 24" xfId="36673" xr:uid="{00000000-0005-0000-0000-000019900000}"/>
    <cellStyle name="RIGs input totals 2 24 2" xfId="36674" xr:uid="{00000000-0005-0000-0000-00001A900000}"/>
    <cellStyle name="RIGs input totals 2 25" xfId="36675" xr:uid="{00000000-0005-0000-0000-00001B900000}"/>
    <cellStyle name="RIGs input totals 2 25 2" xfId="36676" xr:uid="{00000000-0005-0000-0000-00001C900000}"/>
    <cellStyle name="RIGs input totals 2 26" xfId="36677" xr:uid="{00000000-0005-0000-0000-00001D900000}"/>
    <cellStyle name="RIGs input totals 2 26 2" xfId="36678" xr:uid="{00000000-0005-0000-0000-00001E900000}"/>
    <cellStyle name="RIGs input totals 2 27" xfId="36679" xr:uid="{00000000-0005-0000-0000-00001F900000}"/>
    <cellStyle name="RIGs input totals 2 27 2" xfId="36680" xr:uid="{00000000-0005-0000-0000-000020900000}"/>
    <cellStyle name="RIGs input totals 2 28" xfId="36681" xr:uid="{00000000-0005-0000-0000-000021900000}"/>
    <cellStyle name="RIGs input totals 2 28 2" xfId="36682" xr:uid="{00000000-0005-0000-0000-000022900000}"/>
    <cellStyle name="RIGs input totals 2 29" xfId="36683" xr:uid="{00000000-0005-0000-0000-000023900000}"/>
    <cellStyle name="RIGs input totals 2 29 2" xfId="36684" xr:uid="{00000000-0005-0000-0000-000024900000}"/>
    <cellStyle name="RIGs input totals 2 3" xfId="36685" xr:uid="{00000000-0005-0000-0000-000025900000}"/>
    <cellStyle name="RIGs input totals 2 3 10" xfId="36686" xr:uid="{00000000-0005-0000-0000-000026900000}"/>
    <cellStyle name="RIGs input totals 2 3 10 2" xfId="36687" xr:uid="{00000000-0005-0000-0000-000027900000}"/>
    <cellStyle name="RIGs input totals 2 3 11" xfId="36688" xr:uid="{00000000-0005-0000-0000-000028900000}"/>
    <cellStyle name="RIGs input totals 2 3 11 2" xfId="36689" xr:uid="{00000000-0005-0000-0000-000029900000}"/>
    <cellStyle name="RIGs input totals 2 3 12" xfId="36690" xr:uid="{00000000-0005-0000-0000-00002A900000}"/>
    <cellStyle name="RIGs input totals 2 3 12 2" xfId="36691" xr:uid="{00000000-0005-0000-0000-00002B900000}"/>
    <cellStyle name="RIGs input totals 2 3 13" xfId="36692" xr:uid="{00000000-0005-0000-0000-00002C900000}"/>
    <cellStyle name="RIGs input totals 2 3 13 2" xfId="36693" xr:uid="{00000000-0005-0000-0000-00002D900000}"/>
    <cellStyle name="RIGs input totals 2 3 14" xfId="36694" xr:uid="{00000000-0005-0000-0000-00002E900000}"/>
    <cellStyle name="RIGs input totals 2 3 14 2" xfId="36695" xr:uid="{00000000-0005-0000-0000-00002F900000}"/>
    <cellStyle name="RIGs input totals 2 3 15" xfId="36696" xr:uid="{00000000-0005-0000-0000-000030900000}"/>
    <cellStyle name="RIGs input totals 2 3 15 2" xfId="36697" xr:uid="{00000000-0005-0000-0000-000031900000}"/>
    <cellStyle name="RIGs input totals 2 3 16" xfId="36698" xr:uid="{00000000-0005-0000-0000-000032900000}"/>
    <cellStyle name="RIGs input totals 2 3 16 2" xfId="36699" xr:uid="{00000000-0005-0000-0000-000033900000}"/>
    <cellStyle name="RIGs input totals 2 3 17" xfId="36700" xr:uid="{00000000-0005-0000-0000-000034900000}"/>
    <cellStyle name="RIGs input totals 2 3 17 2" xfId="36701" xr:uid="{00000000-0005-0000-0000-000035900000}"/>
    <cellStyle name="RIGs input totals 2 3 18" xfId="36702" xr:uid="{00000000-0005-0000-0000-000036900000}"/>
    <cellStyle name="RIGs input totals 2 3 18 2" xfId="36703" xr:uid="{00000000-0005-0000-0000-000037900000}"/>
    <cellStyle name="RIGs input totals 2 3 19" xfId="36704" xr:uid="{00000000-0005-0000-0000-000038900000}"/>
    <cellStyle name="RIGs input totals 2 3 19 2" xfId="36705" xr:uid="{00000000-0005-0000-0000-000039900000}"/>
    <cellStyle name="RIGs input totals 2 3 2" xfId="36706" xr:uid="{00000000-0005-0000-0000-00003A900000}"/>
    <cellStyle name="RIGs input totals 2 3 2 10" xfId="36707" xr:uid="{00000000-0005-0000-0000-00003B900000}"/>
    <cellStyle name="RIGs input totals 2 3 2 10 2" xfId="36708" xr:uid="{00000000-0005-0000-0000-00003C900000}"/>
    <cellStyle name="RIGs input totals 2 3 2 11" xfId="36709" xr:uid="{00000000-0005-0000-0000-00003D900000}"/>
    <cellStyle name="RIGs input totals 2 3 2 11 2" xfId="36710" xr:uid="{00000000-0005-0000-0000-00003E900000}"/>
    <cellStyle name="RIGs input totals 2 3 2 12" xfId="36711" xr:uid="{00000000-0005-0000-0000-00003F900000}"/>
    <cellStyle name="RIGs input totals 2 3 2 12 2" xfId="36712" xr:uid="{00000000-0005-0000-0000-000040900000}"/>
    <cellStyle name="RIGs input totals 2 3 2 13" xfId="36713" xr:uid="{00000000-0005-0000-0000-000041900000}"/>
    <cellStyle name="RIGs input totals 2 3 2 13 2" xfId="36714" xr:uid="{00000000-0005-0000-0000-000042900000}"/>
    <cellStyle name="RIGs input totals 2 3 2 14" xfId="36715" xr:uid="{00000000-0005-0000-0000-000043900000}"/>
    <cellStyle name="RIGs input totals 2 3 2 14 2" xfId="36716" xr:uid="{00000000-0005-0000-0000-000044900000}"/>
    <cellStyle name="RIGs input totals 2 3 2 15" xfId="36717" xr:uid="{00000000-0005-0000-0000-000045900000}"/>
    <cellStyle name="RIGs input totals 2 3 2 15 2" xfId="36718" xr:uid="{00000000-0005-0000-0000-000046900000}"/>
    <cellStyle name="RIGs input totals 2 3 2 16" xfId="36719" xr:uid="{00000000-0005-0000-0000-000047900000}"/>
    <cellStyle name="RIGs input totals 2 3 2 16 2" xfId="36720" xr:uid="{00000000-0005-0000-0000-000048900000}"/>
    <cellStyle name="RIGs input totals 2 3 2 17" xfId="36721" xr:uid="{00000000-0005-0000-0000-000049900000}"/>
    <cellStyle name="RIGs input totals 2 3 2 17 2" xfId="36722" xr:uid="{00000000-0005-0000-0000-00004A900000}"/>
    <cellStyle name="RIGs input totals 2 3 2 18" xfId="36723" xr:uid="{00000000-0005-0000-0000-00004B900000}"/>
    <cellStyle name="RIGs input totals 2 3 2 18 2" xfId="36724" xr:uid="{00000000-0005-0000-0000-00004C900000}"/>
    <cellStyle name="RIGs input totals 2 3 2 19" xfId="36725" xr:uid="{00000000-0005-0000-0000-00004D900000}"/>
    <cellStyle name="RIGs input totals 2 3 2 19 2" xfId="36726" xr:uid="{00000000-0005-0000-0000-00004E900000}"/>
    <cellStyle name="RIGs input totals 2 3 2 2" xfId="36727" xr:uid="{00000000-0005-0000-0000-00004F900000}"/>
    <cellStyle name="RIGs input totals 2 3 2 2 10" xfId="36728" xr:uid="{00000000-0005-0000-0000-000050900000}"/>
    <cellStyle name="RIGs input totals 2 3 2 2 11" xfId="36729" xr:uid="{00000000-0005-0000-0000-000051900000}"/>
    <cellStyle name="RIGs input totals 2 3 2 2 12" xfId="36730" xr:uid="{00000000-0005-0000-0000-000052900000}"/>
    <cellStyle name="RIGs input totals 2 3 2 2 13" xfId="36731" xr:uid="{00000000-0005-0000-0000-000053900000}"/>
    <cellStyle name="RIGs input totals 2 3 2 2 14" xfId="36732" xr:uid="{00000000-0005-0000-0000-000054900000}"/>
    <cellStyle name="RIGs input totals 2 3 2 2 15" xfId="36733" xr:uid="{00000000-0005-0000-0000-000055900000}"/>
    <cellStyle name="RIGs input totals 2 3 2 2 16" xfId="36734" xr:uid="{00000000-0005-0000-0000-000056900000}"/>
    <cellStyle name="RIGs input totals 2 3 2 2 17" xfId="36735" xr:uid="{00000000-0005-0000-0000-000057900000}"/>
    <cellStyle name="RIGs input totals 2 3 2 2 18" xfId="36736" xr:uid="{00000000-0005-0000-0000-000058900000}"/>
    <cellStyle name="RIGs input totals 2 3 2 2 19" xfId="36737" xr:uid="{00000000-0005-0000-0000-000059900000}"/>
    <cellStyle name="RIGs input totals 2 3 2 2 2" xfId="36738" xr:uid="{00000000-0005-0000-0000-00005A900000}"/>
    <cellStyle name="RIGs input totals 2 3 2 2 2 10" xfId="36739" xr:uid="{00000000-0005-0000-0000-00005B900000}"/>
    <cellStyle name="RIGs input totals 2 3 2 2 2 11" xfId="36740" xr:uid="{00000000-0005-0000-0000-00005C900000}"/>
    <cellStyle name="RIGs input totals 2 3 2 2 2 12" xfId="36741" xr:uid="{00000000-0005-0000-0000-00005D900000}"/>
    <cellStyle name="RIGs input totals 2 3 2 2 2 13" xfId="36742" xr:uid="{00000000-0005-0000-0000-00005E900000}"/>
    <cellStyle name="RIGs input totals 2 3 2 2 2 14" xfId="36743" xr:uid="{00000000-0005-0000-0000-00005F900000}"/>
    <cellStyle name="RIGs input totals 2 3 2 2 2 15" xfId="36744" xr:uid="{00000000-0005-0000-0000-000060900000}"/>
    <cellStyle name="RIGs input totals 2 3 2 2 2 16" xfId="36745" xr:uid="{00000000-0005-0000-0000-000061900000}"/>
    <cellStyle name="RIGs input totals 2 3 2 2 2 17" xfId="36746" xr:uid="{00000000-0005-0000-0000-000062900000}"/>
    <cellStyle name="RIGs input totals 2 3 2 2 2 18" xfId="36747" xr:uid="{00000000-0005-0000-0000-000063900000}"/>
    <cellStyle name="RIGs input totals 2 3 2 2 2 19" xfId="36748" xr:uid="{00000000-0005-0000-0000-000064900000}"/>
    <cellStyle name="RIGs input totals 2 3 2 2 2 2" xfId="36749" xr:uid="{00000000-0005-0000-0000-000065900000}"/>
    <cellStyle name="RIGs input totals 2 3 2 2 2 2 10" xfId="36750" xr:uid="{00000000-0005-0000-0000-000066900000}"/>
    <cellStyle name="RIGs input totals 2 3 2 2 2 2 11" xfId="36751" xr:uid="{00000000-0005-0000-0000-000067900000}"/>
    <cellStyle name="RIGs input totals 2 3 2 2 2 2 12" xfId="36752" xr:uid="{00000000-0005-0000-0000-000068900000}"/>
    <cellStyle name="RIGs input totals 2 3 2 2 2 2 13" xfId="36753" xr:uid="{00000000-0005-0000-0000-000069900000}"/>
    <cellStyle name="RIGs input totals 2 3 2 2 2 2 2" xfId="36754" xr:uid="{00000000-0005-0000-0000-00006A900000}"/>
    <cellStyle name="RIGs input totals 2 3 2 2 2 2 2 2" xfId="36755" xr:uid="{00000000-0005-0000-0000-00006B900000}"/>
    <cellStyle name="RIGs input totals 2 3 2 2 2 2 2 3" xfId="36756" xr:uid="{00000000-0005-0000-0000-00006C900000}"/>
    <cellStyle name="RIGs input totals 2 3 2 2 2 2 3" xfId="36757" xr:uid="{00000000-0005-0000-0000-00006D900000}"/>
    <cellStyle name="RIGs input totals 2 3 2 2 2 2 3 2" xfId="36758" xr:uid="{00000000-0005-0000-0000-00006E900000}"/>
    <cellStyle name="RIGs input totals 2 3 2 2 2 2 3 3" xfId="36759" xr:uid="{00000000-0005-0000-0000-00006F900000}"/>
    <cellStyle name="RIGs input totals 2 3 2 2 2 2 4" xfId="36760" xr:uid="{00000000-0005-0000-0000-000070900000}"/>
    <cellStyle name="RIGs input totals 2 3 2 2 2 2 5" xfId="36761" xr:uid="{00000000-0005-0000-0000-000071900000}"/>
    <cellStyle name="RIGs input totals 2 3 2 2 2 2 6" xfId="36762" xr:uid="{00000000-0005-0000-0000-000072900000}"/>
    <cellStyle name="RIGs input totals 2 3 2 2 2 2 7" xfId="36763" xr:uid="{00000000-0005-0000-0000-000073900000}"/>
    <cellStyle name="RIGs input totals 2 3 2 2 2 2 8" xfId="36764" xr:uid="{00000000-0005-0000-0000-000074900000}"/>
    <cellStyle name="RIGs input totals 2 3 2 2 2 2 9" xfId="36765" xr:uid="{00000000-0005-0000-0000-000075900000}"/>
    <cellStyle name="RIGs input totals 2 3 2 2 2 20" xfId="36766" xr:uid="{00000000-0005-0000-0000-000076900000}"/>
    <cellStyle name="RIGs input totals 2 3 2 2 2 21" xfId="36767" xr:uid="{00000000-0005-0000-0000-000077900000}"/>
    <cellStyle name="RIGs input totals 2 3 2 2 2 22" xfId="36768" xr:uid="{00000000-0005-0000-0000-000078900000}"/>
    <cellStyle name="RIGs input totals 2 3 2 2 2 23" xfId="36769" xr:uid="{00000000-0005-0000-0000-000079900000}"/>
    <cellStyle name="RIGs input totals 2 3 2 2 2 24" xfId="36770" xr:uid="{00000000-0005-0000-0000-00007A900000}"/>
    <cellStyle name="RIGs input totals 2 3 2 2 2 25" xfId="36771" xr:uid="{00000000-0005-0000-0000-00007B900000}"/>
    <cellStyle name="RIGs input totals 2 3 2 2 2 26" xfId="36772" xr:uid="{00000000-0005-0000-0000-00007C900000}"/>
    <cellStyle name="RIGs input totals 2 3 2 2 2 27" xfId="36773" xr:uid="{00000000-0005-0000-0000-00007D900000}"/>
    <cellStyle name="RIGs input totals 2 3 2 2 2 28" xfId="36774" xr:uid="{00000000-0005-0000-0000-00007E900000}"/>
    <cellStyle name="RIGs input totals 2 3 2 2 2 29" xfId="36775" xr:uid="{00000000-0005-0000-0000-00007F900000}"/>
    <cellStyle name="RIGs input totals 2 3 2 2 2 3" xfId="36776" xr:uid="{00000000-0005-0000-0000-000080900000}"/>
    <cellStyle name="RIGs input totals 2 3 2 2 2 3 2" xfId="36777" xr:uid="{00000000-0005-0000-0000-000081900000}"/>
    <cellStyle name="RIGs input totals 2 3 2 2 2 3 3" xfId="36778" xr:uid="{00000000-0005-0000-0000-000082900000}"/>
    <cellStyle name="RIGs input totals 2 3 2 2 2 30" xfId="36779" xr:uid="{00000000-0005-0000-0000-000083900000}"/>
    <cellStyle name="RIGs input totals 2 3 2 2 2 31" xfId="36780" xr:uid="{00000000-0005-0000-0000-000084900000}"/>
    <cellStyle name="RIGs input totals 2 3 2 2 2 32" xfId="36781" xr:uid="{00000000-0005-0000-0000-000085900000}"/>
    <cellStyle name="RIGs input totals 2 3 2 2 2 33" xfId="36782" xr:uid="{00000000-0005-0000-0000-000086900000}"/>
    <cellStyle name="RIGs input totals 2 3 2 2 2 34" xfId="36783" xr:uid="{00000000-0005-0000-0000-000087900000}"/>
    <cellStyle name="RIGs input totals 2 3 2 2 2 4" xfId="36784" xr:uid="{00000000-0005-0000-0000-000088900000}"/>
    <cellStyle name="RIGs input totals 2 3 2 2 2 4 2" xfId="36785" xr:uid="{00000000-0005-0000-0000-000089900000}"/>
    <cellStyle name="RIGs input totals 2 3 2 2 2 4 3" xfId="36786" xr:uid="{00000000-0005-0000-0000-00008A900000}"/>
    <cellStyle name="RIGs input totals 2 3 2 2 2 5" xfId="36787" xr:uid="{00000000-0005-0000-0000-00008B900000}"/>
    <cellStyle name="RIGs input totals 2 3 2 2 2 6" xfId="36788" xr:uid="{00000000-0005-0000-0000-00008C900000}"/>
    <cellStyle name="RIGs input totals 2 3 2 2 2 7" xfId="36789" xr:uid="{00000000-0005-0000-0000-00008D900000}"/>
    <cellStyle name="RIGs input totals 2 3 2 2 2 8" xfId="36790" xr:uid="{00000000-0005-0000-0000-00008E900000}"/>
    <cellStyle name="RIGs input totals 2 3 2 2 2 9" xfId="36791" xr:uid="{00000000-0005-0000-0000-00008F900000}"/>
    <cellStyle name="RIGs input totals 2 3 2 2 20" xfId="36792" xr:uid="{00000000-0005-0000-0000-000090900000}"/>
    <cellStyle name="RIGs input totals 2 3 2 2 21" xfId="36793" xr:uid="{00000000-0005-0000-0000-000091900000}"/>
    <cellStyle name="RIGs input totals 2 3 2 2 22" xfId="36794" xr:uid="{00000000-0005-0000-0000-000092900000}"/>
    <cellStyle name="RIGs input totals 2 3 2 2 23" xfId="36795" xr:uid="{00000000-0005-0000-0000-000093900000}"/>
    <cellStyle name="RIGs input totals 2 3 2 2 24" xfId="36796" xr:uid="{00000000-0005-0000-0000-000094900000}"/>
    <cellStyle name="RIGs input totals 2 3 2 2 25" xfId="36797" xr:uid="{00000000-0005-0000-0000-000095900000}"/>
    <cellStyle name="RIGs input totals 2 3 2 2 26" xfId="36798" xr:uid="{00000000-0005-0000-0000-000096900000}"/>
    <cellStyle name="RIGs input totals 2 3 2 2 27" xfId="36799" xr:uid="{00000000-0005-0000-0000-000097900000}"/>
    <cellStyle name="RIGs input totals 2 3 2 2 28" xfId="36800" xr:uid="{00000000-0005-0000-0000-000098900000}"/>
    <cellStyle name="RIGs input totals 2 3 2 2 29" xfId="36801" xr:uid="{00000000-0005-0000-0000-000099900000}"/>
    <cellStyle name="RIGs input totals 2 3 2 2 3" xfId="36802" xr:uid="{00000000-0005-0000-0000-00009A900000}"/>
    <cellStyle name="RIGs input totals 2 3 2 2 3 10" xfId="36803" xr:uid="{00000000-0005-0000-0000-00009B900000}"/>
    <cellStyle name="RIGs input totals 2 3 2 2 3 11" xfId="36804" xr:uid="{00000000-0005-0000-0000-00009C900000}"/>
    <cellStyle name="RIGs input totals 2 3 2 2 3 12" xfId="36805" xr:uid="{00000000-0005-0000-0000-00009D900000}"/>
    <cellStyle name="RIGs input totals 2 3 2 2 3 13" xfId="36806" xr:uid="{00000000-0005-0000-0000-00009E900000}"/>
    <cellStyle name="RIGs input totals 2 3 2 2 3 2" xfId="36807" xr:uid="{00000000-0005-0000-0000-00009F900000}"/>
    <cellStyle name="RIGs input totals 2 3 2 2 3 2 2" xfId="36808" xr:uid="{00000000-0005-0000-0000-0000A0900000}"/>
    <cellStyle name="RIGs input totals 2 3 2 2 3 2 3" xfId="36809" xr:uid="{00000000-0005-0000-0000-0000A1900000}"/>
    <cellStyle name="RIGs input totals 2 3 2 2 3 3" xfId="36810" xr:uid="{00000000-0005-0000-0000-0000A2900000}"/>
    <cellStyle name="RIGs input totals 2 3 2 2 3 3 2" xfId="36811" xr:uid="{00000000-0005-0000-0000-0000A3900000}"/>
    <cellStyle name="RIGs input totals 2 3 2 2 3 3 3" xfId="36812" xr:uid="{00000000-0005-0000-0000-0000A4900000}"/>
    <cellStyle name="RIGs input totals 2 3 2 2 3 4" xfId="36813" xr:uid="{00000000-0005-0000-0000-0000A5900000}"/>
    <cellStyle name="RIGs input totals 2 3 2 2 3 5" xfId="36814" xr:uid="{00000000-0005-0000-0000-0000A6900000}"/>
    <cellStyle name="RIGs input totals 2 3 2 2 3 6" xfId="36815" xr:uid="{00000000-0005-0000-0000-0000A7900000}"/>
    <cellStyle name="RIGs input totals 2 3 2 2 3 7" xfId="36816" xr:uid="{00000000-0005-0000-0000-0000A8900000}"/>
    <cellStyle name="RIGs input totals 2 3 2 2 3 8" xfId="36817" xr:uid="{00000000-0005-0000-0000-0000A9900000}"/>
    <cellStyle name="RIGs input totals 2 3 2 2 3 9" xfId="36818" xr:uid="{00000000-0005-0000-0000-0000AA900000}"/>
    <cellStyle name="RIGs input totals 2 3 2 2 30" xfId="36819" xr:uid="{00000000-0005-0000-0000-0000AB900000}"/>
    <cellStyle name="RIGs input totals 2 3 2 2 31" xfId="36820" xr:uid="{00000000-0005-0000-0000-0000AC900000}"/>
    <cellStyle name="RIGs input totals 2 3 2 2 32" xfId="36821" xr:uid="{00000000-0005-0000-0000-0000AD900000}"/>
    <cellStyle name="RIGs input totals 2 3 2 2 33" xfId="36822" xr:uid="{00000000-0005-0000-0000-0000AE900000}"/>
    <cellStyle name="RIGs input totals 2 3 2 2 34" xfId="36823" xr:uid="{00000000-0005-0000-0000-0000AF900000}"/>
    <cellStyle name="RIGs input totals 2 3 2 2 35" xfId="36824" xr:uid="{00000000-0005-0000-0000-0000B0900000}"/>
    <cellStyle name="RIGs input totals 2 3 2 2 4" xfId="36825" xr:uid="{00000000-0005-0000-0000-0000B1900000}"/>
    <cellStyle name="RIGs input totals 2 3 2 2 4 2" xfId="36826" xr:uid="{00000000-0005-0000-0000-0000B2900000}"/>
    <cellStyle name="RIGs input totals 2 3 2 2 4 3" xfId="36827" xr:uid="{00000000-0005-0000-0000-0000B3900000}"/>
    <cellStyle name="RIGs input totals 2 3 2 2 5" xfId="36828" xr:uid="{00000000-0005-0000-0000-0000B4900000}"/>
    <cellStyle name="RIGs input totals 2 3 2 2 5 2" xfId="36829" xr:uid="{00000000-0005-0000-0000-0000B5900000}"/>
    <cellStyle name="RIGs input totals 2 3 2 2 5 3" xfId="36830" xr:uid="{00000000-0005-0000-0000-0000B6900000}"/>
    <cellStyle name="RIGs input totals 2 3 2 2 6" xfId="36831" xr:uid="{00000000-0005-0000-0000-0000B7900000}"/>
    <cellStyle name="RIGs input totals 2 3 2 2 7" xfId="36832" xr:uid="{00000000-0005-0000-0000-0000B8900000}"/>
    <cellStyle name="RIGs input totals 2 3 2 2 8" xfId="36833" xr:uid="{00000000-0005-0000-0000-0000B9900000}"/>
    <cellStyle name="RIGs input totals 2 3 2 2 9" xfId="36834" xr:uid="{00000000-0005-0000-0000-0000BA900000}"/>
    <cellStyle name="RIGs input totals 2 3 2 2_4 28 1_Asst_Health_Crit_AllTO_RIIO_20110714pm" xfId="36835" xr:uid="{00000000-0005-0000-0000-0000BB900000}"/>
    <cellStyle name="RIGs input totals 2 3 2 20" xfId="36836" xr:uid="{00000000-0005-0000-0000-0000BC900000}"/>
    <cellStyle name="RIGs input totals 2 3 2 20 2" xfId="36837" xr:uid="{00000000-0005-0000-0000-0000BD900000}"/>
    <cellStyle name="RIGs input totals 2 3 2 21" xfId="36838" xr:uid="{00000000-0005-0000-0000-0000BE900000}"/>
    <cellStyle name="RIGs input totals 2 3 2 21 2" xfId="36839" xr:uid="{00000000-0005-0000-0000-0000BF900000}"/>
    <cellStyle name="RIGs input totals 2 3 2 22" xfId="36840" xr:uid="{00000000-0005-0000-0000-0000C0900000}"/>
    <cellStyle name="RIGs input totals 2 3 2 22 2" xfId="36841" xr:uid="{00000000-0005-0000-0000-0000C1900000}"/>
    <cellStyle name="RIGs input totals 2 3 2 23" xfId="36842" xr:uid="{00000000-0005-0000-0000-0000C2900000}"/>
    <cellStyle name="RIGs input totals 2 3 2 23 2" xfId="36843" xr:uid="{00000000-0005-0000-0000-0000C3900000}"/>
    <cellStyle name="RIGs input totals 2 3 2 24" xfId="36844" xr:uid="{00000000-0005-0000-0000-0000C4900000}"/>
    <cellStyle name="RIGs input totals 2 3 2 24 2" xfId="36845" xr:uid="{00000000-0005-0000-0000-0000C5900000}"/>
    <cellStyle name="RIGs input totals 2 3 2 25" xfId="36846" xr:uid="{00000000-0005-0000-0000-0000C6900000}"/>
    <cellStyle name="RIGs input totals 2 3 2 25 2" xfId="36847" xr:uid="{00000000-0005-0000-0000-0000C7900000}"/>
    <cellStyle name="RIGs input totals 2 3 2 26" xfId="36848" xr:uid="{00000000-0005-0000-0000-0000C8900000}"/>
    <cellStyle name="RIGs input totals 2 3 2 27" xfId="36849" xr:uid="{00000000-0005-0000-0000-0000C9900000}"/>
    <cellStyle name="RIGs input totals 2 3 2 28" xfId="36850" xr:uid="{00000000-0005-0000-0000-0000CA900000}"/>
    <cellStyle name="RIGs input totals 2 3 2 29" xfId="36851" xr:uid="{00000000-0005-0000-0000-0000CB900000}"/>
    <cellStyle name="RIGs input totals 2 3 2 3" xfId="36852" xr:uid="{00000000-0005-0000-0000-0000CC900000}"/>
    <cellStyle name="RIGs input totals 2 3 2 3 10" xfId="36853" xr:uid="{00000000-0005-0000-0000-0000CD900000}"/>
    <cellStyle name="RIGs input totals 2 3 2 3 11" xfId="36854" xr:uid="{00000000-0005-0000-0000-0000CE900000}"/>
    <cellStyle name="RIGs input totals 2 3 2 3 12" xfId="36855" xr:uid="{00000000-0005-0000-0000-0000CF900000}"/>
    <cellStyle name="RIGs input totals 2 3 2 3 13" xfId="36856" xr:uid="{00000000-0005-0000-0000-0000D0900000}"/>
    <cellStyle name="RIGs input totals 2 3 2 3 14" xfId="36857" xr:uid="{00000000-0005-0000-0000-0000D1900000}"/>
    <cellStyle name="RIGs input totals 2 3 2 3 15" xfId="36858" xr:uid="{00000000-0005-0000-0000-0000D2900000}"/>
    <cellStyle name="RIGs input totals 2 3 2 3 16" xfId="36859" xr:uid="{00000000-0005-0000-0000-0000D3900000}"/>
    <cellStyle name="RIGs input totals 2 3 2 3 17" xfId="36860" xr:uid="{00000000-0005-0000-0000-0000D4900000}"/>
    <cellStyle name="RIGs input totals 2 3 2 3 18" xfId="36861" xr:uid="{00000000-0005-0000-0000-0000D5900000}"/>
    <cellStyle name="RIGs input totals 2 3 2 3 19" xfId="36862" xr:uid="{00000000-0005-0000-0000-0000D6900000}"/>
    <cellStyle name="RIGs input totals 2 3 2 3 2" xfId="36863" xr:uid="{00000000-0005-0000-0000-0000D7900000}"/>
    <cellStyle name="RIGs input totals 2 3 2 3 2 10" xfId="36864" xr:uid="{00000000-0005-0000-0000-0000D8900000}"/>
    <cellStyle name="RIGs input totals 2 3 2 3 2 11" xfId="36865" xr:uid="{00000000-0005-0000-0000-0000D9900000}"/>
    <cellStyle name="RIGs input totals 2 3 2 3 2 12" xfId="36866" xr:uid="{00000000-0005-0000-0000-0000DA900000}"/>
    <cellStyle name="RIGs input totals 2 3 2 3 2 13" xfId="36867" xr:uid="{00000000-0005-0000-0000-0000DB900000}"/>
    <cellStyle name="RIGs input totals 2 3 2 3 2 2" xfId="36868" xr:uid="{00000000-0005-0000-0000-0000DC900000}"/>
    <cellStyle name="RIGs input totals 2 3 2 3 2 2 2" xfId="36869" xr:uid="{00000000-0005-0000-0000-0000DD900000}"/>
    <cellStyle name="RIGs input totals 2 3 2 3 2 2 3" xfId="36870" xr:uid="{00000000-0005-0000-0000-0000DE900000}"/>
    <cellStyle name="RIGs input totals 2 3 2 3 2 3" xfId="36871" xr:uid="{00000000-0005-0000-0000-0000DF900000}"/>
    <cellStyle name="RIGs input totals 2 3 2 3 2 3 2" xfId="36872" xr:uid="{00000000-0005-0000-0000-0000E0900000}"/>
    <cellStyle name="RIGs input totals 2 3 2 3 2 3 3" xfId="36873" xr:uid="{00000000-0005-0000-0000-0000E1900000}"/>
    <cellStyle name="RIGs input totals 2 3 2 3 2 4" xfId="36874" xr:uid="{00000000-0005-0000-0000-0000E2900000}"/>
    <cellStyle name="RIGs input totals 2 3 2 3 2 5" xfId="36875" xr:uid="{00000000-0005-0000-0000-0000E3900000}"/>
    <cellStyle name="RIGs input totals 2 3 2 3 2 6" xfId="36876" xr:uid="{00000000-0005-0000-0000-0000E4900000}"/>
    <cellStyle name="RIGs input totals 2 3 2 3 2 7" xfId="36877" xr:uid="{00000000-0005-0000-0000-0000E5900000}"/>
    <cellStyle name="RIGs input totals 2 3 2 3 2 8" xfId="36878" xr:uid="{00000000-0005-0000-0000-0000E6900000}"/>
    <cellStyle name="RIGs input totals 2 3 2 3 2 9" xfId="36879" xr:uid="{00000000-0005-0000-0000-0000E7900000}"/>
    <cellStyle name="RIGs input totals 2 3 2 3 20" xfId="36880" xr:uid="{00000000-0005-0000-0000-0000E8900000}"/>
    <cellStyle name="RIGs input totals 2 3 2 3 21" xfId="36881" xr:uid="{00000000-0005-0000-0000-0000E9900000}"/>
    <cellStyle name="RIGs input totals 2 3 2 3 22" xfId="36882" xr:uid="{00000000-0005-0000-0000-0000EA900000}"/>
    <cellStyle name="RIGs input totals 2 3 2 3 23" xfId="36883" xr:uid="{00000000-0005-0000-0000-0000EB900000}"/>
    <cellStyle name="RIGs input totals 2 3 2 3 24" xfId="36884" xr:uid="{00000000-0005-0000-0000-0000EC900000}"/>
    <cellStyle name="RIGs input totals 2 3 2 3 25" xfId="36885" xr:uid="{00000000-0005-0000-0000-0000ED900000}"/>
    <cellStyle name="RIGs input totals 2 3 2 3 26" xfId="36886" xr:uid="{00000000-0005-0000-0000-0000EE900000}"/>
    <cellStyle name="RIGs input totals 2 3 2 3 27" xfId="36887" xr:uid="{00000000-0005-0000-0000-0000EF900000}"/>
    <cellStyle name="RIGs input totals 2 3 2 3 28" xfId="36888" xr:uid="{00000000-0005-0000-0000-0000F0900000}"/>
    <cellStyle name="RIGs input totals 2 3 2 3 29" xfId="36889" xr:uid="{00000000-0005-0000-0000-0000F1900000}"/>
    <cellStyle name="RIGs input totals 2 3 2 3 3" xfId="36890" xr:uid="{00000000-0005-0000-0000-0000F2900000}"/>
    <cellStyle name="RIGs input totals 2 3 2 3 3 2" xfId="36891" xr:uid="{00000000-0005-0000-0000-0000F3900000}"/>
    <cellStyle name="RIGs input totals 2 3 2 3 3 3" xfId="36892" xr:uid="{00000000-0005-0000-0000-0000F4900000}"/>
    <cellStyle name="RIGs input totals 2 3 2 3 30" xfId="36893" xr:uid="{00000000-0005-0000-0000-0000F5900000}"/>
    <cellStyle name="RIGs input totals 2 3 2 3 31" xfId="36894" xr:uid="{00000000-0005-0000-0000-0000F6900000}"/>
    <cellStyle name="RIGs input totals 2 3 2 3 32" xfId="36895" xr:uid="{00000000-0005-0000-0000-0000F7900000}"/>
    <cellStyle name="RIGs input totals 2 3 2 3 33" xfId="36896" xr:uid="{00000000-0005-0000-0000-0000F8900000}"/>
    <cellStyle name="RIGs input totals 2 3 2 3 34" xfId="36897" xr:uid="{00000000-0005-0000-0000-0000F9900000}"/>
    <cellStyle name="RIGs input totals 2 3 2 3 4" xfId="36898" xr:uid="{00000000-0005-0000-0000-0000FA900000}"/>
    <cellStyle name="RIGs input totals 2 3 2 3 4 2" xfId="36899" xr:uid="{00000000-0005-0000-0000-0000FB900000}"/>
    <cellStyle name="RIGs input totals 2 3 2 3 4 3" xfId="36900" xr:uid="{00000000-0005-0000-0000-0000FC900000}"/>
    <cellStyle name="RIGs input totals 2 3 2 3 5" xfId="36901" xr:uid="{00000000-0005-0000-0000-0000FD900000}"/>
    <cellStyle name="RIGs input totals 2 3 2 3 6" xfId="36902" xr:uid="{00000000-0005-0000-0000-0000FE900000}"/>
    <cellStyle name="RIGs input totals 2 3 2 3 7" xfId="36903" xr:uid="{00000000-0005-0000-0000-0000FF900000}"/>
    <cellStyle name="RIGs input totals 2 3 2 3 8" xfId="36904" xr:uid="{00000000-0005-0000-0000-000000910000}"/>
    <cellStyle name="RIGs input totals 2 3 2 3 9" xfId="36905" xr:uid="{00000000-0005-0000-0000-000001910000}"/>
    <cellStyle name="RIGs input totals 2 3 2 30" xfId="36906" xr:uid="{00000000-0005-0000-0000-000002910000}"/>
    <cellStyle name="RIGs input totals 2 3 2 31" xfId="36907" xr:uid="{00000000-0005-0000-0000-000003910000}"/>
    <cellStyle name="RIGs input totals 2 3 2 32" xfId="36908" xr:uid="{00000000-0005-0000-0000-000004910000}"/>
    <cellStyle name="RIGs input totals 2 3 2 33" xfId="36909" xr:uid="{00000000-0005-0000-0000-000005910000}"/>
    <cellStyle name="RIGs input totals 2 3 2 34" xfId="36910" xr:uid="{00000000-0005-0000-0000-000006910000}"/>
    <cellStyle name="RIGs input totals 2 3 2 35" xfId="36911" xr:uid="{00000000-0005-0000-0000-000007910000}"/>
    <cellStyle name="RIGs input totals 2 3 2 36" xfId="36912" xr:uid="{00000000-0005-0000-0000-000008910000}"/>
    <cellStyle name="RIGs input totals 2 3 2 37" xfId="36913" xr:uid="{00000000-0005-0000-0000-000009910000}"/>
    <cellStyle name="RIGs input totals 2 3 2 38" xfId="36914" xr:uid="{00000000-0005-0000-0000-00000A910000}"/>
    <cellStyle name="RIGs input totals 2 3 2 4" xfId="36915" xr:uid="{00000000-0005-0000-0000-00000B910000}"/>
    <cellStyle name="RIGs input totals 2 3 2 4 10" xfId="36916" xr:uid="{00000000-0005-0000-0000-00000C910000}"/>
    <cellStyle name="RIGs input totals 2 3 2 4 11" xfId="36917" xr:uid="{00000000-0005-0000-0000-00000D910000}"/>
    <cellStyle name="RIGs input totals 2 3 2 4 12" xfId="36918" xr:uid="{00000000-0005-0000-0000-00000E910000}"/>
    <cellStyle name="RIGs input totals 2 3 2 4 13" xfId="36919" xr:uid="{00000000-0005-0000-0000-00000F910000}"/>
    <cellStyle name="RIGs input totals 2 3 2 4 14" xfId="36920" xr:uid="{00000000-0005-0000-0000-000010910000}"/>
    <cellStyle name="RIGs input totals 2 3 2 4 15" xfId="36921" xr:uid="{00000000-0005-0000-0000-000011910000}"/>
    <cellStyle name="RIGs input totals 2 3 2 4 16" xfId="36922" xr:uid="{00000000-0005-0000-0000-000012910000}"/>
    <cellStyle name="RIGs input totals 2 3 2 4 17" xfId="36923" xr:uid="{00000000-0005-0000-0000-000013910000}"/>
    <cellStyle name="RIGs input totals 2 3 2 4 18" xfId="36924" xr:uid="{00000000-0005-0000-0000-000014910000}"/>
    <cellStyle name="RIGs input totals 2 3 2 4 19" xfId="36925" xr:uid="{00000000-0005-0000-0000-000015910000}"/>
    <cellStyle name="RIGs input totals 2 3 2 4 2" xfId="36926" xr:uid="{00000000-0005-0000-0000-000016910000}"/>
    <cellStyle name="RIGs input totals 2 3 2 4 2 10" xfId="36927" xr:uid="{00000000-0005-0000-0000-000017910000}"/>
    <cellStyle name="RIGs input totals 2 3 2 4 2 11" xfId="36928" xr:uid="{00000000-0005-0000-0000-000018910000}"/>
    <cellStyle name="RIGs input totals 2 3 2 4 2 12" xfId="36929" xr:uid="{00000000-0005-0000-0000-000019910000}"/>
    <cellStyle name="RIGs input totals 2 3 2 4 2 13" xfId="36930" xr:uid="{00000000-0005-0000-0000-00001A910000}"/>
    <cellStyle name="RIGs input totals 2 3 2 4 2 2" xfId="36931" xr:uid="{00000000-0005-0000-0000-00001B910000}"/>
    <cellStyle name="RIGs input totals 2 3 2 4 2 2 2" xfId="36932" xr:uid="{00000000-0005-0000-0000-00001C910000}"/>
    <cellStyle name="RIGs input totals 2 3 2 4 2 2 3" xfId="36933" xr:uid="{00000000-0005-0000-0000-00001D910000}"/>
    <cellStyle name="RIGs input totals 2 3 2 4 2 3" xfId="36934" xr:uid="{00000000-0005-0000-0000-00001E910000}"/>
    <cellStyle name="RIGs input totals 2 3 2 4 2 3 2" xfId="36935" xr:uid="{00000000-0005-0000-0000-00001F910000}"/>
    <cellStyle name="RIGs input totals 2 3 2 4 2 3 3" xfId="36936" xr:uid="{00000000-0005-0000-0000-000020910000}"/>
    <cellStyle name="RIGs input totals 2 3 2 4 2 4" xfId="36937" xr:uid="{00000000-0005-0000-0000-000021910000}"/>
    <cellStyle name="RIGs input totals 2 3 2 4 2 5" xfId="36938" xr:uid="{00000000-0005-0000-0000-000022910000}"/>
    <cellStyle name="RIGs input totals 2 3 2 4 2 6" xfId="36939" xr:uid="{00000000-0005-0000-0000-000023910000}"/>
    <cellStyle name="RIGs input totals 2 3 2 4 2 7" xfId="36940" xr:uid="{00000000-0005-0000-0000-000024910000}"/>
    <cellStyle name="RIGs input totals 2 3 2 4 2 8" xfId="36941" xr:uid="{00000000-0005-0000-0000-000025910000}"/>
    <cellStyle name="RIGs input totals 2 3 2 4 2 9" xfId="36942" xr:uid="{00000000-0005-0000-0000-000026910000}"/>
    <cellStyle name="RIGs input totals 2 3 2 4 20" xfId="36943" xr:uid="{00000000-0005-0000-0000-000027910000}"/>
    <cellStyle name="RIGs input totals 2 3 2 4 21" xfId="36944" xr:uid="{00000000-0005-0000-0000-000028910000}"/>
    <cellStyle name="RIGs input totals 2 3 2 4 22" xfId="36945" xr:uid="{00000000-0005-0000-0000-000029910000}"/>
    <cellStyle name="RIGs input totals 2 3 2 4 23" xfId="36946" xr:uid="{00000000-0005-0000-0000-00002A910000}"/>
    <cellStyle name="RIGs input totals 2 3 2 4 24" xfId="36947" xr:uid="{00000000-0005-0000-0000-00002B910000}"/>
    <cellStyle name="RIGs input totals 2 3 2 4 25" xfId="36948" xr:uid="{00000000-0005-0000-0000-00002C910000}"/>
    <cellStyle name="RIGs input totals 2 3 2 4 26" xfId="36949" xr:uid="{00000000-0005-0000-0000-00002D910000}"/>
    <cellStyle name="RIGs input totals 2 3 2 4 27" xfId="36950" xr:uid="{00000000-0005-0000-0000-00002E910000}"/>
    <cellStyle name="RIGs input totals 2 3 2 4 28" xfId="36951" xr:uid="{00000000-0005-0000-0000-00002F910000}"/>
    <cellStyle name="RIGs input totals 2 3 2 4 29" xfId="36952" xr:uid="{00000000-0005-0000-0000-000030910000}"/>
    <cellStyle name="RIGs input totals 2 3 2 4 3" xfId="36953" xr:uid="{00000000-0005-0000-0000-000031910000}"/>
    <cellStyle name="RIGs input totals 2 3 2 4 3 2" xfId="36954" xr:uid="{00000000-0005-0000-0000-000032910000}"/>
    <cellStyle name="RIGs input totals 2 3 2 4 3 3" xfId="36955" xr:uid="{00000000-0005-0000-0000-000033910000}"/>
    <cellStyle name="RIGs input totals 2 3 2 4 30" xfId="36956" xr:uid="{00000000-0005-0000-0000-000034910000}"/>
    <cellStyle name="RIGs input totals 2 3 2 4 31" xfId="36957" xr:uid="{00000000-0005-0000-0000-000035910000}"/>
    <cellStyle name="RIGs input totals 2 3 2 4 32" xfId="36958" xr:uid="{00000000-0005-0000-0000-000036910000}"/>
    <cellStyle name="RIGs input totals 2 3 2 4 33" xfId="36959" xr:uid="{00000000-0005-0000-0000-000037910000}"/>
    <cellStyle name="RIGs input totals 2 3 2 4 34" xfId="36960" xr:uid="{00000000-0005-0000-0000-000038910000}"/>
    <cellStyle name="RIGs input totals 2 3 2 4 4" xfId="36961" xr:uid="{00000000-0005-0000-0000-000039910000}"/>
    <cellStyle name="RIGs input totals 2 3 2 4 4 2" xfId="36962" xr:uid="{00000000-0005-0000-0000-00003A910000}"/>
    <cellStyle name="RIGs input totals 2 3 2 4 4 3" xfId="36963" xr:uid="{00000000-0005-0000-0000-00003B910000}"/>
    <cellStyle name="RIGs input totals 2 3 2 4 5" xfId="36964" xr:uid="{00000000-0005-0000-0000-00003C910000}"/>
    <cellStyle name="RIGs input totals 2 3 2 4 6" xfId="36965" xr:uid="{00000000-0005-0000-0000-00003D910000}"/>
    <cellStyle name="RIGs input totals 2 3 2 4 7" xfId="36966" xr:uid="{00000000-0005-0000-0000-00003E910000}"/>
    <cellStyle name="RIGs input totals 2 3 2 4 8" xfId="36967" xr:uid="{00000000-0005-0000-0000-00003F910000}"/>
    <cellStyle name="RIGs input totals 2 3 2 4 9" xfId="36968" xr:uid="{00000000-0005-0000-0000-000040910000}"/>
    <cellStyle name="RIGs input totals 2 3 2 5" xfId="36969" xr:uid="{00000000-0005-0000-0000-000041910000}"/>
    <cellStyle name="RIGs input totals 2 3 2 5 10" xfId="36970" xr:uid="{00000000-0005-0000-0000-000042910000}"/>
    <cellStyle name="RIGs input totals 2 3 2 5 11" xfId="36971" xr:uid="{00000000-0005-0000-0000-000043910000}"/>
    <cellStyle name="RIGs input totals 2 3 2 5 12" xfId="36972" xr:uid="{00000000-0005-0000-0000-000044910000}"/>
    <cellStyle name="RIGs input totals 2 3 2 5 13" xfId="36973" xr:uid="{00000000-0005-0000-0000-000045910000}"/>
    <cellStyle name="RIGs input totals 2 3 2 5 2" xfId="36974" xr:uid="{00000000-0005-0000-0000-000046910000}"/>
    <cellStyle name="RIGs input totals 2 3 2 5 2 2" xfId="36975" xr:uid="{00000000-0005-0000-0000-000047910000}"/>
    <cellStyle name="RIGs input totals 2 3 2 5 2 3" xfId="36976" xr:uid="{00000000-0005-0000-0000-000048910000}"/>
    <cellStyle name="RIGs input totals 2 3 2 5 3" xfId="36977" xr:uid="{00000000-0005-0000-0000-000049910000}"/>
    <cellStyle name="RIGs input totals 2 3 2 5 3 2" xfId="36978" xr:uid="{00000000-0005-0000-0000-00004A910000}"/>
    <cellStyle name="RIGs input totals 2 3 2 5 3 3" xfId="36979" xr:uid="{00000000-0005-0000-0000-00004B910000}"/>
    <cellStyle name="RIGs input totals 2 3 2 5 4" xfId="36980" xr:uid="{00000000-0005-0000-0000-00004C910000}"/>
    <cellStyle name="RIGs input totals 2 3 2 5 5" xfId="36981" xr:uid="{00000000-0005-0000-0000-00004D910000}"/>
    <cellStyle name="RIGs input totals 2 3 2 5 6" xfId="36982" xr:uid="{00000000-0005-0000-0000-00004E910000}"/>
    <cellStyle name="RIGs input totals 2 3 2 5 7" xfId="36983" xr:uid="{00000000-0005-0000-0000-00004F910000}"/>
    <cellStyle name="RIGs input totals 2 3 2 5 8" xfId="36984" xr:uid="{00000000-0005-0000-0000-000050910000}"/>
    <cellStyle name="RIGs input totals 2 3 2 5 9" xfId="36985" xr:uid="{00000000-0005-0000-0000-000051910000}"/>
    <cellStyle name="RIGs input totals 2 3 2 6" xfId="36986" xr:uid="{00000000-0005-0000-0000-000052910000}"/>
    <cellStyle name="RIGs input totals 2 3 2 6 2" xfId="36987" xr:uid="{00000000-0005-0000-0000-000053910000}"/>
    <cellStyle name="RIGs input totals 2 3 2 6 2 2" xfId="36988" xr:uid="{00000000-0005-0000-0000-000054910000}"/>
    <cellStyle name="RIGs input totals 2 3 2 6 2 3" xfId="36989" xr:uid="{00000000-0005-0000-0000-000055910000}"/>
    <cellStyle name="RIGs input totals 2 3 2 6 3" xfId="36990" xr:uid="{00000000-0005-0000-0000-000056910000}"/>
    <cellStyle name="RIGs input totals 2 3 2 6 3 2" xfId="36991" xr:uid="{00000000-0005-0000-0000-000057910000}"/>
    <cellStyle name="RIGs input totals 2 3 2 6 4" xfId="36992" xr:uid="{00000000-0005-0000-0000-000058910000}"/>
    <cellStyle name="RIGs input totals 2 3 2 7" xfId="36993" xr:uid="{00000000-0005-0000-0000-000059910000}"/>
    <cellStyle name="RIGs input totals 2 3 2 7 2" xfId="36994" xr:uid="{00000000-0005-0000-0000-00005A910000}"/>
    <cellStyle name="RIGs input totals 2 3 2 8" xfId="36995" xr:uid="{00000000-0005-0000-0000-00005B910000}"/>
    <cellStyle name="RIGs input totals 2 3 2 8 2" xfId="36996" xr:uid="{00000000-0005-0000-0000-00005C910000}"/>
    <cellStyle name="RIGs input totals 2 3 2 9" xfId="36997" xr:uid="{00000000-0005-0000-0000-00005D910000}"/>
    <cellStyle name="RIGs input totals 2 3 2 9 2" xfId="36998" xr:uid="{00000000-0005-0000-0000-00005E910000}"/>
    <cellStyle name="RIGs input totals 2 3 2_4 28 1_Asst_Health_Crit_AllTO_RIIO_20110714pm" xfId="36999" xr:uid="{00000000-0005-0000-0000-00005F910000}"/>
    <cellStyle name="RIGs input totals 2 3 20" xfId="37000" xr:uid="{00000000-0005-0000-0000-000060910000}"/>
    <cellStyle name="RIGs input totals 2 3 20 2" xfId="37001" xr:uid="{00000000-0005-0000-0000-000061910000}"/>
    <cellStyle name="RIGs input totals 2 3 21" xfId="37002" xr:uid="{00000000-0005-0000-0000-000062910000}"/>
    <cellStyle name="RIGs input totals 2 3 21 2" xfId="37003" xr:uid="{00000000-0005-0000-0000-000063910000}"/>
    <cellStyle name="RIGs input totals 2 3 22" xfId="37004" xr:uid="{00000000-0005-0000-0000-000064910000}"/>
    <cellStyle name="RIGs input totals 2 3 22 2" xfId="37005" xr:uid="{00000000-0005-0000-0000-000065910000}"/>
    <cellStyle name="RIGs input totals 2 3 23" xfId="37006" xr:uid="{00000000-0005-0000-0000-000066910000}"/>
    <cellStyle name="RIGs input totals 2 3 23 2" xfId="37007" xr:uid="{00000000-0005-0000-0000-000067910000}"/>
    <cellStyle name="RIGs input totals 2 3 24" xfId="37008" xr:uid="{00000000-0005-0000-0000-000068910000}"/>
    <cellStyle name="RIGs input totals 2 3 24 2" xfId="37009" xr:uid="{00000000-0005-0000-0000-000069910000}"/>
    <cellStyle name="RIGs input totals 2 3 25" xfId="37010" xr:uid="{00000000-0005-0000-0000-00006A910000}"/>
    <cellStyle name="RIGs input totals 2 3 25 2" xfId="37011" xr:uid="{00000000-0005-0000-0000-00006B910000}"/>
    <cellStyle name="RIGs input totals 2 3 26" xfId="37012" xr:uid="{00000000-0005-0000-0000-00006C910000}"/>
    <cellStyle name="RIGs input totals 2 3 26 2" xfId="37013" xr:uid="{00000000-0005-0000-0000-00006D910000}"/>
    <cellStyle name="RIGs input totals 2 3 27" xfId="37014" xr:uid="{00000000-0005-0000-0000-00006E910000}"/>
    <cellStyle name="RIGs input totals 2 3 28" xfId="37015" xr:uid="{00000000-0005-0000-0000-00006F910000}"/>
    <cellStyle name="RIGs input totals 2 3 29" xfId="37016" xr:uid="{00000000-0005-0000-0000-000070910000}"/>
    <cellStyle name="RIGs input totals 2 3 3" xfId="37017" xr:uid="{00000000-0005-0000-0000-000071910000}"/>
    <cellStyle name="RIGs input totals 2 3 3 10" xfId="37018" xr:uid="{00000000-0005-0000-0000-000072910000}"/>
    <cellStyle name="RIGs input totals 2 3 3 11" xfId="37019" xr:uid="{00000000-0005-0000-0000-000073910000}"/>
    <cellStyle name="RIGs input totals 2 3 3 12" xfId="37020" xr:uid="{00000000-0005-0000-0000-000074910000}"/>
    <cellStyle name="RIGs input totals 2 3 3 13" xfId="37021" xr:uid="{00000000-0005-0000-0000-000075910000}"/>
    <cellStyle name="RIGs input totals 2 3 3 14" xfId="37022" xr:uid="{00000000-0005-0000-0000-000076910000}"/>
    <cellStyle name="RIGs input totals 2 3 3 15" xfId="37023" xr:uid="{00000000-0005-0000-0000-000077910000}"/>
    <cellStyle name="RIGs input totals 2 3 3 16" xfId="37024" xr:uid="{00000000-0005-0000-0000-000078910000}"/>
    <cellStyle name="RIGs input totals 2 3 3 17" xfId="37025" xr:uid="{00000000-0005-0000-0000-000079910000}"/>
    <cellStyle name="RIGs input totals 2 3 3 18" xfId="37026" xr:uid="{00000000-0005-0000-0000-00007A910000}"/>
    <cellStyle name="RIGs input totals 2 3 3 19" xfId="37027" xr:uid="{00000000-0005-0000-0000-00007B910000}"/>
    <cellStyle name="RIGs input totals 2 3 3 2" xfId="37028" xr:uid="{00000000-0005-0000-0000-00007C910000}"/>
    <cellStyle name="RIGs input totals 2 3 3 2 10" xfId="37029" xr:uid="{00000000-0005-0000-0000-00007D910000}"/>
    <cellStyle name="RIGs input totals 2 3 3 2 11" xfId="37030" xr:uid="{00000000-0005-0000-0000-00007E910000}"/>
    <cellStyle name="RIGs input totals 2 3 3 2 12" xfId="37031" xr:uid="{00000000-0005-0000-0000-00007F910000}"/>
    <cellStyle name="RIGs input totals 2 3 3 2 13" xfId="37032" xr:uid="{00000000-0005-0000-0000-000080910000}"/>
    <cellStyle name="RIGs input totals 2 3 3 2 14" xfId="37033" xr:uid="{00000000-0005-0000-0000-000081910000}"/>
    <cellStyle name="RIGs input totals 2 3 3 2 15" xfId="37034" xr:uid="{00000000-0005-0000-0000-000082910000}"/>
    <cellStyle name="RIGs input totals 2 3 3 2 16" xfId="37035" xr:uid="{00000000-0005-0000-0000-000083910000}"/>
    <cellStyle name="RIGs input totals 2 3 3 2 17" xfId="37036" xr:uid="{00000000-0005-0000-0000-000084910000}"/>
    <cellStyle name="RIGs input totals 2 3 3 2 18" xfId="37037" xr:uid="{00000000-0005-0000-0000-000085910000}"/>
    <cellStyle name="RIGs input totals 2 3 3 2 19" xfId="37038" xr:uid="{00000000-0005-0000-0000-000086910000}"/>
    <cellStyle name="RIGs input totals 2 3 3 2 2" xfId="37039" xr:uid="{00000000-0005-0000-0000-000087910000}"/>
    <cellStyle name="RIGs input totals 2 3 3 2 2 10" xfId="37040" xr:uid="{00000000-0005-0000-0000-000088910000}"/>
    <cellStyle name="RIGs input totals 2 3 3 2 2 11" xfId="37041" xr:uid="{00000000-0005-0000-0000-000089910000}"/>
    <cellStyle name="RIGs input totals 2 3 3 2 2 12" xfId="37042" xr:uid="{00000000-0005-0000-0000-00008A910000}"/>
    <cellStyle name="RIGs input totals 2 3 3 2 2 13" xfId="37043" xr:uid="{00000000-0005-0000-0000-00008B910000}"/>
    <cellStyle name="RIGs input totals 2 3 3 2 2 2" xfId="37044" xr:uid="{00000000-0005-0000-0000-00008C910000}"/>
    <cellStyle name="RIGs input totals 2 3 3 2 2 2 2" xfId="37045" xr:uid="{00000000-0005-0000-0000-00008D910000}"/>
    <cellStyle name="RIGs input totals 2 3 3 2 2 2 3" xfId="37046" xr:uid="{00000000-0005-0000-0000-00008E910000}"/>
    <cellStyle name="RIGs input totals 2 3 3 2 2 3" xfId="37047" xr:uid="{00000000-0005-0000-0000-00008F910000}"/>
    <cellStyle name="RIGs input totals 2 3 3 2 2 3 2" xfId="37048" xr:uid="{00000000-0005-0000-0000-000090910000}"/>
    <cellStyle name="RIGs input totals 2 3 3 2 2 3 3" xfId="37049" xr:uid="{00000000-0005-0000-0000-000091910000}"/>
    <cellStyle name="RIGs input totals 2 3 3 2 2 4" xfId="37050" xr:uid="{00000000-0005-0000-0000-000092910000}"/>
    <cellStyle name="RIGs input totals 2 3 3 2 2 5" xfId="37051" xr:uid="{00000000-0005-0000-0000-000093910000}"/>
    <cellStyle name="RIGs input totals 2 3 3 2 2 6" xfId="37052" xr:uid="{00000000-0005-0000-0000-000094910000}"/>
    <cellStyle name="RIGs input totals 2 3 3 2 2 7" xfId="37053" xr:uid="{00000000-0005-0000-0000-000095910000}"/>
    <cellStyle name="RIGs input totals 2 3 3 2 2 8" xfId="37054" xr:uid="{00000000-0005-0000-0000-000096910000}"/>
    <cellStyle name="RIGs input totals 2 3 3 2 2 9" xfId="37055" xr:uid="{00000000-0005-0000-0000-000097910000}"/>
    <cellStyle name="RIGs input totals 2 3 3 2 20" xfId="37056" xr:uid="{00000000-0005-0000-0000-000098910000}"/>
    <cellStyle name="RIGs input totals 2 3 3 2 21" xfId="37057" xr:uid="{00000000-0005-0000-0000-000099910000}"/>
    <cellStyle name="RIGs input totals 2 3 3 2 22" xfId="37058" xr:uid="{00000000-0005-0000-0000-00009A910000}"/>
    <cellStyle name="RIGs input totals 2 3 3 2 23" xfId="37059" xr:uid="{00000000-0005-0000-0000-00009B910000}"/>
    <cellStyle name="RIGs input totals 2 3 3 2 24" xfId="37060" xr:uid="{00000000-0005-0000-0000-00009C910000}"/>
    <cellStyle name="RIGs input totals 2 3 3 2 25" xfId="37061" xr:uid="{00000000-0005-0000-0000-00009D910000}"/>
    <cellStyle name="RIGs input totals 2 3 3 2 26" xfId="37062" xr:uid="{00000000-0005-0000-0000-00009E910000}"/>
    <cellStyle name="RIGs input totals 2 3 3 2 27" xfId="37063" xr:uid="{00000000-0005-0000-0000-00009F910000}"/>
    <cellStyle name="RIGs input totals 2 3 3 2 28" xfId="37064" xr:uid="{00000000-0005-0000-0000-0000A0910000}"/>
    <cellStyle name="RIGs input totals 2 3 3 2 29" xfId="37065" xr:uid="{00000000-0005-0000-0000-0000A1910000}"/>
    <cellStyle name="RIGs input totals 2 3 3 2 3" xfId="37066" xr:uid="{00000000-0005-0000-0000-0000A2910000}"/>
    <cellStyle name="RIGs input totals 2 3 3 2 3 2" xfId="37067" xr:uid="{00000000-0005-0000-0000-0000A3910000}"/>
    <cellStyle name="RIGs input totals 2 3 3 2 3 3" xfId="37068" xr:uid="{00000000-0005-0000-0000-0000A4910000}"/>
    <cellStyle name="RIGs input totals 2 3 3 2 30" xfId="37069" xr:uid="{00000000-0005-0000-0000-0000A5910000}"/>
    <cellStyle name="RIGs input totals 2 3 3 2 31" xfId="37070" xr:uid="{00000000-0005-0000-0000-0000A6910000}"/>
    <cellStyle name="RIGs input totals 2 3 3 2 32" xfId="37071" xr:uid="{00000000-0005-0000-0000-0000A7910000}"/>
    <cellStyle name="RIGs input totals 2 3 3 2 33" xfId="37072" xr:uid="{00000000-0005-0000-0000-0000A8910000}"/>
    <cellStyle name="RIGs input totals 2 3 3 2 34" xfId="37073" xr:uid="{00000000-0005-0000-0000-0000A9910000}"/>
    <cellStyle name="RIGs input totals 2 3 3 2 4" xfId="37074" xr:uid="{00000000-0005-0000-0000-0000AA910000}"/>
    <cellStyle name="RIGs input totals 2 3 3 2 4 2" xfId="37075" xr:uid="{00000000-0005-0000-0000-0000AB910000}"/>
    <cellStyle name="RIGs input totals 2 3 3 2 4 3" xfId="37076" xr:uid="{00000000-0005-0000-0000-0000AC910000}"/>
    <cellStyle name="RIGs input totals 2 3 3 2 5" xfId="37077" xr:uid="{00000000-0005-0000-0000-0000AD910000}"/>
    <cellStyle name="RIGs input totals 2 3 3 2 6" xfId="37078" xr:uid="{00000000-0005-0000-0000-0000AE910000}"/>
    <cellStyle name="RIGs input totals 2 3 3 2 7" xfId="37079" xr:uid="{00000000-0005-0000-0000-0000AF910000}"/>
    <cellStyle name="RIGs input totals 2 3 3 2 8" xfId="37080" xr:uid="{00000000-0005-0000-0000-0000B0910000}"/>
    <cellStyle name="RIGs input totals 2 3 3 2 9" xfId="37081" xr:uid="{00000000-0005-0000-0000-0000B1910000}"/>
    <cellStyle name="RIGs input totals 2 3 3 20" xfId="37082" xr:uid="{00000000-0005-0000-0000-0000B2910000}"/>
    <cellStyle name="RIGs input totals 2 3 3 21" xfId="37083" xr:uid="{00000000-0005-0000-0000-0000B3910000}"/>
    <cellStyle name="RIGs input totals 2 3 3 22" xfId="37084" xr:uid="{00000000-0005-0000-0000-0000B4910000}"/>
    <cellStyle name="RIGs input totals 2 3 3 23" xfId="37085" xr:uid="{00000000-0005-0000-0000-0000B5910000}"/>
    <cellStyle name="RIGs input totals 2 3 3 24" xfId="37086" xr:uid="{00000000-0005-0000-0000-0000B6910000}"/>
    <cellStyle name="RIGs input totals 2 3 3 25" xfId="37087" xr:uid="{00000000-0005-0000-0000-0000B7910000}"/>
    <cellStyle name="RIGs input totals 2 3 3 26" xfId="37088" xr:uid="{00000000-0005-0000-0000-0000B8910000}"/>
    <cellStyle name="RIGs input totals 2 3 3 27" xfId="37089" xr:uid="{00000000-0005-0000-0000-0000B9910000}"/>
    <cellStyle name="RIGs input totals 2 3 3 28" xfId="37090" xr:uid="{00000000-0005-0000-0000-0000BA910000}"/>
    <cellStyle name="RIGs input totals 2 3 3 29" xfId="37091" xr:uid="{00000000-0005-0000-0000-0000BB910000}"/>
    <cellStyle name="RIGs input totals 2 3 3 3" xfId="37092" xr:uid="{00000000-0005-0000-0000-0000BC910000}"/>
    <cellStyle name="RIGs input totals 2 3 3 3 10" xfId="37093" xr:uid="{00000000-0005-0000-0000-0000BD910000}"/>
    <cellStyle name="RIGs input totals 2 3 3 3 11" xfId="37094" xr:uid="{00000000-0005-0000-0000-0000BE910000}"/>
    <cellStyle name="RIGs input totals 2 3 3 3 12" xfId="37095" xr:uid="{00000000-0005-0000-0000-0000BF910000}"/>
    <cellStyle name="RIGs input totals 2 3 3 3 13" xfId="37096" xr:uid="{00000000-0005-0000-0000-0000C0910000}"/>
    <cellStyle name="RIGs input totals 2 3 3 3 2" xfId="37097" xr:uid="{00000000-0005-0000-0000-0000C1910000}"/>
    <cellStyle name="RIGs input totals 2 3 3 3 2 2" xfId="37098" xr:uid="{00000000-0005-0000-0000-0000C2910000}"/>
    <cellStyle name="RIGs input totals 2 3 3 3 2 3" xfId="37099" xr:uid="{00000000-0005-0000-0000-0000C3910000}"/>
    <cellStyle name="RIGs input totals 2 3 3 3 3" xfId="37100" xr:uid="{00000000-0005-0000-0000-0000C4910000}"/>
    <cellStyle name="RIGs input totals 2 3 3 3 3 2" xfId="37101" xr:uid="{00000000-0005-0000-0000-0000C5910000}"/>
    <cellStyle name="RIGs input totals 2 3 3 3 3 3" xfId="37102" xr:uid="{00000000-0005-0000-0000-0000C6910000}"/>
    <cellStyle name="RIGs input totals 2 3 3 3 4" xfId="37103" xr:uid="{00000000-0005-0000-0000-0000C7910000}"/>
    <cellStyle name="RIGs input totals 2 3 3 3 5" xfId="37104" xr:uid="{00000000-0005-0000-0000-0000C8910000}"/>
    <cellStyle name="RIGs input totals 2 3 3 3 6" xfId="37105" xr:uid="{00000000-0005-0000-0000-0000C9910000}"/>
    <cellStyle name="RIGs input totals 2 3 3 3 7" xfId="37106" xr:uid="{00000000-0005-0000-0000-0000CA910000}"/>
    <cellStyle name="RIGs input totals 2 3 3 3 8" xfId="37107" xr:uid="{00000000-0005-0000-0000-0000CB910000}"/>
    <cellStyle name="RIGs input totals 2 3 3 3 9" xfId="37108" xr:uid="{00000000-0005-0000-0000-0000CC910000}"/>
    <cellStyle name="RIGs input totals 2 3 3 30" xfId="37109" xr:uid="{00000000-0005-0000-0000-0000CD910000}"/>
    <cellStyle name="RIGs input totals 2 3 3 31" xfId="37110" xr:uid="{00000000-0005-0000-0000-0000CE910000}"/>
    <cellStyle name="RIGs input totals 2 3 3 32" xfId="37111" xr:uid="{00000000-0005-0000-0000-0000CF910000}"/>
    <cellStyle name="RIGs input totals 2 3 3 33" xfId="37112" xr:uid="{00000000-0005-0000-0000-0000D0910000}"/>
    <cellStyle name="RIGs input totals 2 3 3 34" xfId="37113" xr:uid="{00000000-0005-0000-0000-0000D1910000}"/>
    <cellStyle name="RIGs input totals 2 3 3 35" xfId="37114" xr:uid="{00000000-0005-0000-0000-0000D2910000}"/>
    <cellStyle name="RIGs input totals 2 3 3 4" xfId="37115" xr:uid="{00000000-0005-0000-0000-0000D3910000}"/>
    <cellStyle name="RIGs input totals 2 3 3 4 2" xfId="37116" xr:uid="{00000000-0005-0000-0000-0000D4910000}"/>
    <cellStyle name="RIGs input totals 2 3 3 4 3" xfId="37117" xr:uid="{00000000-0005-0000-0000-0000D5910000}"/>
    <cellStyle name="RIGs input totals 2 3 3 5" xfId="37118" xr:uid="{00000000-0005-0000-0000-0000D6910000}"/>
    <cellStyle name="RIGs input totals 2 3 3 5 2" xfId="37119" xr:uid="{00000000-0005-0000-0000-0000D7910000}"/>
    <cellStyle name="RIGs input totals 2 3 3 5 3" xfId="37120" xr:uid="{00000000-0005-0000-0000-0000D8910000}"/>
    <cellStyle name="RIGs input totals 2 3 3 6" xfId="37121" xr:uid="{00000000-0005-0000-0000-0000D9910000}"/>
    <cellStyle name="RIGs input totals 2 3 3 7" xfId="37122" xr:uid="{00000000-0005-0000-0000-0000DA910000}"/>
    <cellStyle name="RIGs input totals 2 3 3 8" xfId="37123" xr:uid="{00000000-0005-0000-0000-0000DB910000}"/>
    <cellStyle name="RIGs input totals 2 3 3 9" xfId="37124" xr:uid="{00000000-0005-0000-0000-0000DC910000}"/>
    <cellStyle name="RIGs input totals 2 3 3_4 28 1_Asst_Health_Crit_AllTO_RIIO_20110714pm" xfId="37125" xr:uid="{00000000-0005-0000-0000-0000DD910000}"/>
    <cellStyle name="RIGs input totals 2 3 30" xfId="37126" xr:uid="{00000000-0005-0000-0000-0000DE910000}"/>
    <cellStyle name="RIGs input totals 2 3 31" xfId="37127" xr:uid="{00000000-0005-0000-0000-0000DF910000}"/>
    <cellStyle name="RIGs input totals 2 3 32" xfId="37128" xr:uid="{00000000-0005-0000-0000-0000E0910000}"/>
    <cellStyle name="RIGs input totals 2 3 33" xfId="37129" xr:uid="{00000000-0005-0000-0000-0000E1910000}"/>
    <cellStyle name="RIGs input totals 2 3 34" xfId="37130" xr:uid="{00000000-0005-0000-0000-0000E2910000}"/>
    <cellStyle name="RIGs input totals 2 3 35" xfId="37131" xr:uid="{00000000-0005-0000-0000-0000E3910000}"/>
    <cellStyle name="RIGs input totals 2 3 36" xfId="37132" xr:uid="{00000000-0005-0000-0000-0000E4910000}"/>
    <cellStyle name="RIGs input totals 2 3 37" xfId="37133" xr:uid="{00000000-0005-0000-0000-0000E5910000}"/>
    <cellStyle name="RIGs input totals 2 3 38" xfId="37134" xr:uid="{00000000-0005-0000-0000-0000E6910000}"/>
    <cellStyle name="RIGs input totals 2 3 39" xfId="37135" xr:uid="{00000000-0005-0000-0000-0000E7910000}"/>
    <cellStyle name="RIGs input totals 2 3 4" xfId="37136" xr:uid="{00000000-0005-0000-0000-0000E8910000}"/>
    <cellStyle name="RIGs input totals 2 3 4 10" xfId="37137" xr:uid="{00000000-0005-0000-0000-0000E9910000}"/>
    <cellStyle name="RIGs input totals 2 3 4 11" xfId="37138" xr:uid="{00000000-0005-0000-0000-0000EA910000}"/>
    <cellStyle name="RIGs input totals 2 3 4 12" xfId="37139" xr:uid="{00000000-0005-0000-0000-0000EB910000}"/>
    <cellStyle name="RIGs input totals 2 3 4 13" xfId="37140" xr:uid="{00000000-0005-0000-0000-0000EC910000}"/>
    <cellStyle name="RIGs input totals 2 3 4 14" xfId="37141" xr:uid="{00000000-0005-0000-0000-0000ED910000}"/>
    <cellStyle name="RIGs input totals 2 3 4 15" xfId="37142" xr:uid="{00000000-0005-0000-0000-0000EE910000}"/>
    <cellStyle name="RIGs input totals 2 3 4 16" xfId="37143" xr:uid="{00000000-0005-0000-0000-0000EF910000}"/>
    <cellStyle name="RIGs input totals 2 3 4 17" xfId="37144" xr:uid="{00000000-0005-0000-0000-0000F0910000}"/>
    <cellStyle name="RIGs input totals 2 3 4 18" xfId="37145" xr:uid="{00000000-0005-0000-0000-0000F1910000}"/>
    <cellStyle name="RIGs input totals 2 3 4 19" xfId="37146" xr:uid="{00000000-0005-0000-0000-0000F2910000}"/>
    <cellStyle name="RIGs input totals 2 3 4 2" xfId="37147" xr:uid="{00000000-0005-0000-0000-0000F3910000}"/>
    <cellStyle name="RIGs input totals 2 3 4 2 10" xfId="37148" xr:uid="{00000000-0005-0000-0000-0000F4910000}"/>
    <cellStyle name="RIGs input totals 2 3 4 2 11" xfId="37149" xr:uid="{00000000-0005-0000-0000-0000F5910000}"/>
    <cellStyle name="RIGs input totals 2 3 4 2 12" xfId="37150" xr:uid="{00000000-0005-0000-0000-0000F6910000}"/>
    <cellStyle name="RIGs input totals 2 3 4 2 13" xfId="37151" xr:uid="{00000000-0005-0000-0000-0000F7910000}"/>
    <cellStyle name="RIGs input totals 2 3 4 2 2" xfId="37152" xr:uid="{00000000-0005-0000-0000-0000F8910000}"/>
    <cellStyle name="RIGs input totals 2 3 4 2 2 2" xfId="37153" xr:uid="{00000000-0005-0000-0000-0000F9910000}"/>
    <cellStyle name="RIGs input totals 2 3 4 2 2 3" xfId="37154" xr:uid="{00000000-0005-0000-0000-0000FA910000}"/>
    <cellStyle name="RIGs input totals 2 3 4 2 3" xfId="37155" xr:uid="{00000000-0005-0000-0000-0000FB910000}"/>
    <cellStyle name="RIGs input totals 2 3 4 2 3 2" xfId="37156" xr:uid="{00000000-0005-0000-0000-0000FC910000}"/>
    <cellStyle name="RIGs input totals 2 3 4 2 3 3" xfId="37157" xr:uid="{00000000-0005-0000-0000-0000FD910000}"/>
    <cellStyle name="RIGs input totals 2 3 4 2 4" xfId="37158" xr:uid="{00000000-0005-0000-0000-0000FE910000}"/>
    <cellStyle name="RIGs input totals 2 3 4 2 5" xfId="37159" xr:uid="{00000000-0005-0000-0000-0000FF910000}"/>
    <cellStyle name="RIGs input totals 2 3 4 2 6" xfId="37160" xr:uid="{00000000-0005-0000-0000-000000920000}"/>
    <cellStyle name="RIGs input totals 2 3 4 2 7" xfId="37161" xr:uid="{00000000-0005-0000-0000-000001920000}"/>
    <cellStyle name="RIGs input totals 2 3 4 2 8" xfId="37162" xr:uid="{00000000-0005-0000-0000-000002920000}"/>
    <cellStyle name="RIGs input totals 2 3 4 2 9" xfId="37163" xr:uid="{00000000-0005-0000-0000-000003920000}"/>
    <cellStyle name="RIGs input totals 2 3 4 20" xfId="37164" xr:uid="{00000000-0005-0000-0000-000004920000}"/>
    <cellStyle name="RIGs input totals 2 3 4 21" xfId="37165" xr:uid="{00000000-0005-0000-0000-000005920000}"/>
    <cellStyle name="RIGs input totals 2 3 4 22" xfId="37166" xr:uid="{00000000-0005-0000-0000-000006920000}"/>
    <cellStyle name="RIGs input totals 2 3 4 23" xfId="37167" xr:uid="{00000000-0005-0000-0000-000007920000}"/>
    <cellStyle name="RIGs input totals 2 3 4 24" xfId="37168" xr:uid="{00000000-0005-0000-0000-000008920000}"/>
    <cellStyle name="RIGs input totals 2 3 4 25" xfId="37169" xr:uid="{00000000-0005-0000-0000-000009920000}"/>
    <cellStyle name="RIGs input totals 2 3 4 26" xfId="37170" xr:uid="{00000000-0005-0000-0000-00000A920000}"/>
    <cellStyle name="RIGs input totals 2 3 4 27" xfId="37171" xr:uid="{00000000-0005-0000-0000-00000B920000}"/>
    <cellStyle name="RIGs input totals 2 3 4 28" xfId="37172" xr:uid="{00000000-0005-0000-0000-00000C920000}"/>
    <cellStyle name="RIGs input totals 2 3 4 29" xfId="37173" xr:uid="{00000000-0005-0000-0000-00000D920000}"/>
    <cellStyle name="RIGs input totals 2 3 4 3" xfId="37174" xr:uid="{00000000-0005-0000-0000-00000E920000}"/>
    <cellStyle name="RIGs input totals 2 3 4 3 2" xfId="37175" xr:uid="{00000000-0005-0000-0000-00000F920000}"/>
    <cellStyle name="RIGs input totals 2 3 4 3 3" xfId="37176" xr:uid="{00000000-0005-0000-0000-000010920000}"/>
    <cellStyle name="RIGs input totals 2 3 4 30" xfId="37177" xr:uid="{00000000-0005-0000-0000-000011920000}"/>
    <cellStyle name="RIGs input totals 2 3 4 31" xfId="37178" xr:uid="{00000000-0005-0000-0000-000012920000}"/>
    <cellStyle name="RIGs input totals 2 3 4 32" xfId="37179" xr:uid="{00000000-0005-0000-0000-000013920000}"/>
    <cellStyle name="RIGs input totals 2 3 4 33" xfId="37180" xr:uid="{00000000-0005-0000-0000-000014920000}"/>
    <cellStyle name="RIGs input totals 2 3 4 34" xfId="37181" xr:uid="{00000000-0005-0000-0000-000015920000}"/>
    <cellStyle name="RIGs input totals 2 3 4 4" xfId="37182" xr:uid="{00000000-0005-0000-0000-000016920000}"/>
    <cellStyle name="RIGs input totals 2 3 4 4 2" xfId="37183" xr:uid="{00000000-0005-0000-0000-000017920000}"/>
    <cellStyle name="RIGs input totals 2 3 4 4 3" xfId="37184" xr:uid="{00000000-0005-0000-0000-000018920000}"/>
    <cellStyle name="RIGs input totals 2 3 4 5" xfId="37185" xr:uid="{00000000-0005-0000-0000-000019920000}"/>
    <cellStyle name="RIGs input totals 2 3 4 6" xfId="37186" xr:uid="{00000000-0005-0000-0000-00001A920000}"/>
    <cellStyle name="RIGs input totals 2 3 4 7" xfId="37187" xr:uid="{00000000-0005-0000-0000-00001B920000}"/>
    <cellStyle name="RIGs input totals 2 3 4 8" xfId="37188" xr:uid="{00000000-0005-0000-0000-00001C920000}"/>
    <cellStyle name="RIGs input totals 2 3 4 9" xfId="37189" xr:uid="{00000000-0005-0000-0000-00001D920000}"/>
    <cellStyle name="RIGs input totals 2 3 5" xfId="37190" xr:uid="{00000000-0005-0000-0000-00001E920000}"/>
    <cellStyle name="RIGs input totals 2 3 5 10" xfId="37191" xr:uid="{00000000-0005-0000-0000-00001F920000}"/>
    <cellStyle name="RIGs input totals 2 3 5 11" xfId="37192" xr:uid="{00000000-0005-0000-0000-000020920000}"/>
    <cellStyle name="RIGs input totals 2 3 5 12" xfId="37193" xr:uid="{00000000-0005-0000-0000-000021920000}"/>
    <cellStyle name="RIGs input totals 2 3 5 13" xfId="37194" xr:uid="{00000000-0005-0000-0000-000022920000}"/>
    <cellStyle name="RIGs input totals 2 3 5 14" xfId="37195" xr:uid="{00000000-0005-0000-0000-000023920000}"/>
    <cellStyle name="RIGs input totals 2 3 5 15" xfId="37196" xr:uid="{00000000-0005-0000-0000-000024920000}"/>
    <cellStyle name="RIGs input totals 2 3 5 16" xfId="37197" xr:uid="{00000000-0005-0000-0000-000025920000}"/>
    <cellStyle name="RIGs input totals 2 3 5 17" xfId="37198" xr:uid="{00000000-0005-0000-0000-000026920000}"/>
    <cellStyle name="RIGs input totals 2 3 5 18" xfId="37199" xr:uid="{00000000-0005-0000-0000-000027920000}"/>
    <cellStyle name="RIGs input totals 2 3 5 19" xfId="37200" xr:uid="{00000000-0005-0000-0000-000028920000}"/>
    <cellStyle name="RIGs input totals 2 3 5 2" xfId="37201" xr:uid="{00000000-0005-0000-0000-000029920000}"/>
    <cellStyle name="RIGs input totals 2 3 5 2 10" xfId="37202" xr:uid="{00000000-0005-0000-0000-00002A920000}"/>
    <cellStyle name="RIGs input totals 2 3 5 2 11" xfId="37203" xr:uid="{00000000-0005-0000-0000-00002B920000}"/>
    <cellStyle name="RIGs input totals 2 3 5 2 12" xfId="37204" xr:uid="{00000000-0005-0000-0000-00002C920000}"/>
    <cellStyle name="RIGs input totals 2 3 5 2 13" xfId="37205" xr:uid="{00000000-0005-0000-0000-00002D920000}"/>
    <cellStyle name="RIGs input totals 2 3 5 2 2" xfId="37206" xr:uid="{00000000-0005-0000-0000-00002E920000}"/>
    <cellStyle name="RIGs input totals 2 3 5 2 2 2" xfId="37207" xr:uid="{00000000-0005-0000-0000-00002F920000}"/>
    <cellStyle name="RIGs input totals 2 3 5 2 2 3" xfId="37208" xr:uid="{00000000-0005-0000-0000-000030920000}"/>
    <cellStyle name="RIGs input totals 2 3 5 2 3" xfId="37209" xr:uid="{00000000-0005-0000-0000-000031920000}"/>
    <cellStyle name="RIGs input totals 2 3 5 2 3 2" xfId="37210" xr:uid="{00000000-0005-0000-0000-000032920000}"/>
    <cellStyle name="RIGs input totals 2 3 5 2 3 3" xfId="37211" xr:uid="{00000000-0005-0000-0000-000033920000}"/>
    <cellStyle name="RIGs input totals 2 3 5 2 4" xfId="37212" xr:uid="{00000000-0005-0000-0000-000034920000}"/>
    <cellStyle name="RIGs input totals 2 3 5 2 5" xfId="37213" xr:uid="{00000000-0005-0000-0000-000035920000}"/>
    <cellStyle name="RIGs input totals 2 3 5 2 6" xfId="37214" xr:uid="{00000000-0005-0000-0000-000036920000}"/>
    <cellStyle name="RIGs input totals 2 3 5 2 7" xfId="37215" xr:uid="{00000000-0005-0000-0000-000037920000}"/>
    <cellStyle name="RIGs input totals 2 3 5 2 8" xfId="37216" xr:uid="{00000000-0005-0000-0000-000038920000}"/>
    <cellStyle name="RIGs input totals 2 3 5 2 9" xfId="37217" xr:uid="{00000000-0005-0000-0000-000039920000}"/>
    <cellStyle name="RIGs input totals 2 3 5 20" xfId="37218" xr:uid="{00000000-0005-0000-0000-00003A920000}"/>
    <cellStyle name="RIGs input totals 2 3 5 21" xfId="37219" xr:uid="{00000000-0005-0000-0000-00003B920000}"/>
    <cellStyle name="RIGs input totals 2 3 5 22" xfId="37220" xr:uid="{00000000-0005-0000-0000-00003C920000}"/>
    <cellStyle name="RIGs input totals 2 3 5 23" xfId="37221" xr:uid="{00000000-0005-0000-0000-00003D920000}"/>
    <cellStyle name="RIGs input totals 2 3 5 24" xfId="37222" xr:uid="{00000000-0005-0000-0000-00003E920000}"/>
    <cellStyle name="RIGs input totals 2 3 5 25" xfId="37223" xr:uid="{00000000-0005-0000-0000-00003F920000}"/>
    <cellStyle name="RIGs input totals 2 3 5 26" xfId="37224" xr:uid="{00000000-0005-0000-0000-000040920000}"/>
    <cellStyle name="RIGs input totals 2 3 5 27" xfId="37225" xr:uid="{00000000-0005-0000-0000-000041920000}"/>
    <cellStyle name="RIGs input totals 2 3 5 28" xfId="37226" xr:uid="{00000000-0005-0000-0000-000042920000}"/>
    <cellStyle name="RIGs input totals 2 3 5 29" xfId="37227" xr:uid="{00000000-0005-0000-0000-000043920000}"/>
    <cellStyle name="RIGs input totals 2 3 5 3" xfId="37228" xr:uid="{00000000-0005-0000-0000-000044920000}"/>
    <cellStyle name="RIGs input totals 2 3 5 3 2" xfId="37229" xr:uid="{00000000-0005-0000-0000-000045920000}"/>
    <cellStyle name="RIGs input totals 2 3 5 3 3" xfId="37230" xr:uid="{00000000-0005-0000-0000-000046920000}"/>
    <cellStyle name="RIGs input totals 2 3 5 30" xfId="37231" xr:uid="{00000000-0005-0000-0000-000047920000}"/>
    <cellStyle name="RIGs input totals 2 3 5 31" xfId="37232" xr:uid="{00000000-0005-0000-0000-000048920000}"/>
    <cellStyle name="RIGs input totals 2 3 5 32" xfId="37233" xr:uid="{00000000-0005-0000-0000-000049920000}"/>
    <cellStyle name="RIGs input totals 2 3 5 33" xfId="37234" xr:uid="{00000000-0005-0000-0000-00004A920000}"/>
    <cellStyle name="RIGs input totals 2 3 5 34" xfId="37235" xr:uid="{00000000-0005-0000-0000-00004B920000}"/>
    <cellStyle name="RIGs input totals 2 3 5 4" xfId="37236" xr:uid="{00000000-0005-0000-0000-00004C920000}"/>
    <cellStyle name="RIGs input totals 2 3 5 4 2" xfId="37237" xr:uid="{00000000-0005-0000-0000-00004D920000}"/>
    <cellStyle name="RIGs input totals 2 3 5 4 3" xfId="37238" xr:uid="{00000000-0005-0000-0000-00004E920000}"/>
    <cellStyle name="RIGs input totals 2 3 5 5" xfId="37239" xr:uid="{00000000-0005-0000-0000-00004F920000}"/>
    <cellStyle name="RIGs input totals 2 3 5 6" xfId="37240" xr:uid="{00000000-0005-0000-0000-000050920000}"/>
    <cellStyle name="RIGs input totals 2 3 5 7" xfId="37241" xr:uid="{00000000-0005-0000-0000-000051920000}"/>
    <cellStyle name="RIGs input totals 2 3 5 8" xfId="37242" xr:uid="{00000000-0005-0000-0000-000052920000}"/>
    <cellStyle name="RIGs input totals 2 3 5 9" xfId="37243" xr:uid="{00000000-0005-0000-0000-000053920000}"/>
    <cellStyle name="RIGs input totals 2 3 6" xfId="37244" xr:uid="{00000000-0005-0000-0000-000054920000}"/>
    <cellStyle name="RIGs input totals 2 3 6 10" xfId="37245" xr:uid="{00000000-0005-0000-0000-000055920000}"/>
    <cellStyle name="RIGs input totals 2 3 6 11" xfId="37246" xr:uid="{00000000-0005-0000-0000-000056920000}"/>
    <cellStyle name="RIGs input totals 2 3 6 12" xfId="37247" xr:uid="{00000000-0005-0000-0000-000057920000}"/>
    <cellStyle name="RIGs input totals 2 3 6 13" xfId="37248" xr:uid="{00000000-0005-0000-0000-000058920000}"/>
    <cellStyle name="RIGs input totals 2 3 6 2" xfId="37249" xr:uid="{00000000-0005-0000-0000-000059920000}"/>
    <cellStyle name="RIGs input totals 2 3 6 2 2" xfId="37250" xr:uid="{00000000-0005-0000-0000-00005A920000}"/>
    <cellStyle name="RIGs input totals 2 3 6 2 3" xfId="37251" xr:uid="{00000000-0005-0000-0000-00005B920000}"/>
    <cellStyle name="RIGs input totals 2 3 6 3" xfId="37252" xr:uid="{00000000-0005-0000-0000-00005C920000}"/>
    <cellStyle name="RIGs input totals 2 3 6 3 2" xfId="37253" xr:uid="{00000000-0005-0000-0000-00005D920000}"/>
    <cellStyle name="RIGs input totals 2 3 6 3 3" xfId="37254" xr:uid="{00000000-0005-0000-0000-00005E920000}"/>
    <cellStyle name="RIGs input totals 2 3 6 4" xfId="37255" xr:uid="{00000000-0005-0000-0000-00005F920000}"/>
    <cellStyle name="RIGs input totals 2 3 6 5" xfId="37256" xr:uid="{00000000-0005-0000-0000-000060920000}"/>
    <cellStyle name="RIGs input totals 2 3 6 6" xfId="37257" xr:uid="{00000000-0005-0000-0000-000061920000}"/>
    <cellStyle name="RIGs input totals 2 3 6 7" xfId="37258" xr:uid="{00000000-0005-0000-0000-000062920000}"/>
    <cellStyle name="RIGs input totals 2 3 6 8" xfId="37259" xr:uid="{00000000-0005-0000-0000-000063920000}"/>
    <cellStyle name="RIGs input totals 2 3 6 9" xfId="37260" xr:uid="{00000000-0005-0000-0000-000064920000}"/>
    <cellStyle name="RIGs input totals 2 3 7" xfId="37261" xr:uid="{00000000-0005-0000-0000-000065920000}"/>
    <cellStyle name="RIGs input totals 2 3 7 2" xfId="37262" xr:uid="{00000000-0005-0000-0000-000066920000}"/>
    <cellStyle name="RIGs input totals 2 3 7 2 2" xfId="37263" xr:uid="{00000000-0005-0000-0000-000067920000}"/>
    <cellStyle name="RIGs input totals 2 3 7 2 3" xfId="37264" xr:uid="{00000000-0005-0000-0000-000068920000}"/>
    <cellStyle name="RIGs input totals 2 3 7 3" xfId="37265" xr:uid="{00000000-0005-0000-0000-000069920000}"/>
    <cellStyle name="RIGs input totals 2 3 7 3 2" xfId="37266" xr:uid="{00000000-0005-0000-0000-00006A920000}"/>
    <cellStyle name="RIGs input totals 2 3 7 4" xfId="37267" xr:uid="{00000000-0005-0000-0000-00006B920000}"/>
    <cellStyle name="RIGs input totals 2 3 8" xfId="37268" xr:uid="{00000000-0005-0000-0000-00006C920000}"/>
    <cellStyle name="RIGs input totals 2 3 8 2" xfId="37269" xr:uid="{00000000-0005-0000-0000-00006D920000}"/>
    <cellStyle name="RIGs input totals 2 3 9" xfId="37270" xr:uid="{00000000-0005-0000-0000-00006E920000}"/>
    <cellStyle name="RIGs input totals 2 3 9 2" xfId="37271" xr:uid="{00000000-0005-0000-0000-00006F920000}"/>
    <cellStyle name="RIGs input totals 2 3_1.3s Accounting C Costs Scots" xfId="37272" xr:uid="{00000000-0005-0000-0000-000070920000}"/>
    <cellStyle name="RIGs input totals 2 30" xfId="37273" xr:uid="{00000000-0005-0000-0000-000071920000}"/>
    <cellStyle name="RIGs input totals 2 30 2" xfId="37274" xr:uid="{00000000-0005-0000-0000-000072920000}"/>
    <cellStyle name="RIGs input totals 2 31" xfId="37275" xr:uid="{00000000-0005-0000-0000-000073920000}"/>
    <cellStyle name="RIGs input totals 2 31 2" xfId="37276" xr:uid="{00000000-0005-0000-0000-000074920000}"/>
    <cellStyle name="RIGs input totals 2 32" xfId="37277" xr:uid="{00000000-0005-0000-0000-000075920000}"/>
    <cellStyle name="RIGs input totals 2 32 2" xfId="37278" xr:uid="{00000000-0005-0000-0000-000076920000}"/>
    <cellStyle name="RIGs input totals 2 33" xfId="37279" xr:uid="{00000000-0005-0000-0000-000077920000}"/>
    <cellStyle name="RIGs input totals 2 34" xfId="37280" xr:uid="{00000000-0005-0000-0000-000078920000}"/>
    <cellStyle name="RIGs input totals 2 35" xfId="37281" xr:uid="{00000000-0005-0000-0000-000079920000}"/>
    <cellStyle name="RIGs input totals 2 36" xfId="37282" xr:uid="{00000000-0005-0000-0000-00007A920000}"/>
    <cellStyle name="RIGs input totals 2 37" xfId="37283" xr:uid="{00000000-0005-0000-0000-00007B920000}"/>
    <cellStyle name="RIGs input totals 2 38" xfId="37284" xr:uid="{00000000-0005-0000-0000-00007C920000}"/>
    <cellStyle name="RIGs input totals 2 39" xfId="37285" xr:uid="{00000000-0005-0000-0000-00007D920000}"/>
    <cellStyle name="RIGs input totals 2 4" xfId="37286" xr:uid="{00000000-0005-0000-0000-00007E920000}"/>
    <cellStyle name="RIGs input totals 2 4 10" xfId="37287" xr:uid="{00000000-0005-0000-0000-00007F920000}"/>
    <cellStyle name="RIGs input totals 2 4 10 2" xfId="37288" xr:uid="{00000000-0005-0000-0000-000080920000}"/>
    <cellStyle name="RIGs input totals 2 4 11" xfId="37289" xr:uid="{00000000-0005-0000-0000-000081920000}"/>
    <cellStyle name="RIGs input totals 2 4 11 2" xfId="37290" xr:uid="{00000000-0005-0000-0000-000082920000}"/>
    <cellStyle name="RIGs input totals 2 4 12" xfId="37291" xr:uid="{00000000-0005-0000-0000-000083920000}"/>
    <cellStyle name="RIGs input totals 2 4 12 2" xfId="37292" xr:uid="{00000000-0005-0000-0000-000084920000}"/>
    <cellStyle name="RIGs input totals 2 4 13" xfId="37293" xr:uid="{00000000-0005-0000-0000-000085920000}"/>
    <cellStyle name="RIGs input totals 2 4 13 2" xfId="37294" xr:uid="{00000000-0005-0000-0000-000086920000}"/>
    <cellStyle name="RIGs input totals 2 4 14" xfId="37295" xr:uid="{00000000-0005-0000-0000-000087920000}"/>
    <cellStyle name="RIGs input totals 2 4 14 2" xfId="37296" xr:uid="{00000000-0005-0000-0000-000088920000}"/>
    <cellStyle name="RIGs input totals 2 4 15" xfId="37297" xr:uid="{00000000-0005-0000-0000-000089920000}"/>
    <cellStyle name="RIGs input totals 2 4 15 2" xfId="37298" xr:uid="{00000000-0005-0000-0000-00008A920000}"/>
    <cellStyle name="RIGs input totals 2 4 16" xfId="37299" xr:uid="{00000000-0005-0000-0000-00008B920000}"/>
    <cellStyle name="RIGs input totals 2 4 16 2" xfId="37300" xr:uid="{00000000-0005-0000-0000-00008C920000}"/>
    <cellStyle name="RIGs input totals 2 4 17" xfId="37301" xr:uid="{00000000-0005-0000-0000-00008D920000}"/>
    <cellStyle name="RIGs input totals 2 4 17 2" xfId="37302" xr:uid="{00000000-0005-0000-0000-00008E920000}"/>
    <cellStyle name="RIGs input totals 2 4 18" xfId="37303" xr:uid="{00000000-0005-0000-0000-00008F920000}"/>
    <cellStyle name="RIGs input totals 2 4 18 2" xfId="37304" xr:uid="{00000000-0005-0000-0000-000090920000}"/>
    <cellStyle name="RIGs input totals 2 4 19" xfId="37305" xr:uid="{00000000-0005-0000-0000-000091920000}"/>
    <cellStyle name="RIGs input totals 2 4 19 2" xfId="37306" xr:uid="{00000000-0005-0000-0000-000092920000}"/>
    <cellStyle name="RIGs input totals 2 4 2" xfId="37307" xr:uid="{00000000-0005-0000-0000-000093920000}"/>
    <cellStyle name="RIGs input totals 2 4 2 10" xfId="37308" xr:uid="{00000000-0005-0000-0000-000094920000}"/>
    <cellStyle name="RIGs input totals 2 4 2 10 2" xfId="37309" xr:uid="{00000000-0005-0000-0000-000095920000}"/>
    <cellStyle name="RIGs input totals 2 4 2 11" xfId="37310" xr:uid="{00000000-0005-0000-0000-000096920000}"/>
    <cellStyle name="RIGs input totals 2 4 2 11 2" xfId="37311" xr:uid="{00000000-0005-0000-0000-000097920000}"/>
    <cellStyle name="RIGs input totals 2 4 2 12" xfId="37312" xr:uid="{00000000-0005-0000-0000-000098920000}"/>
    <cellStyle name="RIGs input totals 2 4 2 12 2" xfId="37313" xr:uid="{00000000-0005-0000-0000-000099920000}"/>
    <cellStyle name="RIGs input totals 2 4 2 13" xfId="37314" xr:uid="{00000000-0005-0000-0000-00009A920000}"/>
    <cellStyle name="RIGs input totals 2 4 2 13 2" xfId="37315" xr:uid="{00000000-0005-0000-0000-00009B920000}"/>
    <cellStyle name="RIGs input totals 2 4 2 14" xfId="37316" xr:uid="{00000000-0005-0000-0000-00009C920000}"/>
    <cellStyle name="RIGs input totals 2 4 2 14 2" xfId="37317" xr:uid="{00000000-0005-0000-0000-00009D920000}"/>
    <cellStyle name="RIGs input totals 2 4 2 15" xfId="37318" xr:uid="{00000000-0005-0000-0000-00009E920000}"/>
    <cellStyle name="RIGs input totals 2 4 2 15 2" xfId="37319" xr:uid="{00000000-0005-0000-0000-00009F920000}"/>
    <cellStyle name="RIGs input totals 2 4 2 16" xfId="37320" xr:uid="{00000000-0005-0000-0000-0000A0920000}"/>
    <cellStyle name="RIGs input totals 2 4 2 16 2" xfId="37321" xr:uid="{00000000-0005-0000-0000-0000A1920000}"/>
    <cellStyle name="RIGs input totals 2 4 2 17" xfId="37322" xr:uid="{00000000-0005-0000-0000-0000A2920000}"/>
    <cellStyle name="RIGs input totals 2 4 2 17 2" xfId="37323" xr:uid="{00000000-0005-0000-0000-0000A3920000}"/>
    <cellStyle name="RIGs input totals 2 4 2 18" xfId="37324" xr:uid="{00000000-0005-0000-0000-0000A4920000}"/>
    <cellStyle name="RIGs input totals 2 4 2 18 2" xfId="37325" xr:uid="{00000000-0005-0000-0000-0000A5920000}"/>
    <cellStyle name="RIGs input totals 2 4 2 19" xfId="37326" xr:uid="{00000000-0005-0000-0000-0000A6920000}"/>
    <cellStyle name="RIGs input totals 2 4 2 19 2" xfId="37327" xr:uid="{00000000-0005-0000-0000-0000A7920000}"/>
    <cellStyle name="RIGs input totals 2 4 2 2" xfId="37328" xr:uid="{00000000-0005-0000-0000-0000A8920000}"/>
    <cellStyle name="RIGs input totals 2 4 2 2 10" xfId="37329" xr:uid="{00000000-0005-0000-0000-0000A9920000}"/>
    <cellStyle name="RIGs input totals 2 4 2 2 11" xfId="37330" xr:uid="{00000000-0005-0000-0000-0000AA920000}"/>
    <cellStyle name="RIGs input totals 2 4 2 2 12" xfId="37331" xr:uid="{00000000-0005-0000-0000-0000AB920000}"/>
    <cellStyle name="RIGs input totals 2 4 2 2 13" xfId="37332" xr:uid="{00000000-0005-0000-0000-0000AC920000}"/>
    <cellStyle name="RIGs input totals 2 4 2 2 14" xfId="37333" xr:uid="{00000000-0005-0000-0000-0000AD920000}"/>
    <cellStyle name="RIGs input totals 2 4 2 2 15" xfId="37334" xr:uid="{00000000-0005-0000-0000-0000AE920000}"/>
    <cellStyle name="RIGs input totals 2 4 2 2 16" xfId="37335" xr:uid="{00000000-0005-0000-0000-0000AF920000}"/>
    <cellStyle name="RIGs input totals 2 4 2 2 17" xfId="37336" xr:uid="{00000000-0005-0000-0000-0000B0920000}"/>
    <cellStyle name="RIGs input totals 2 4 2 2 18" xfId="37337" xr:uid="{00000000-0005-0000-0000-0000B1920000}"/>
    <cellStyle name="RIGs input totals 2 4 2 2 19" xfId="37338" xr:uid="{00000000-0005-0000-0000-0000B2920000}"/>
    <cellStyle name="RIGs input totals 2 4 2 2 2" xfId="37339" xr:uid="{00000000-0005-0000-0000-0000B3920000}"/>
    <cellStyle name="RIGs input totals 2 4 2 2 2 10" xfId="37340" xr:uid="{00000000-0005-0000-0000-0000B4920000}"/>
    <cellStyle name="RIGs input totals 2 4 2 2 2 11" xfId="37341" xr:uid="{00000000-0005-0000-0000-0000B5920000}"/>
    <cellStyle name="RIGs input totals 2 4 2 2 2 12" xfId="37342" xr:uid="{00000000-0005-0000-0000-0000B6920000}"/>
    <cellStyle name="RIGs input totals 2 4 2 2 2 13" xfId="37343" xr:uid="{00000000-0005-0000-0000-0000B7920000}"/>
    <cellStyle name="RIGs input totals 2 4 2 2 2 14" xfId="37344" xr:uid="{00000000-0005-0000-0000-0000B8920000}"/>
    <cellStyle name="RIGs input totals 2 4 2 2 2 15" xfId="37345" xr:uid="{00000000-0005-0000-0000-0000B9920000}"/>
    <cellStyle name="RIGs input totals 2 4 2 2 2 16" xfId="37346" xr:uid="{00000000-0005-0000-0000-0000BA920000}"/>
    <cellStyle name="RIGs input totals 2 4 2 2 2 17" xfId="37347" xr:uid="{00000000-0005-0000-0000-0000BB920000}"/>
    <cellStyle name="RIGs input totals 2 4 2 2 2 18" xfId="37348" xr:uid="{00000000-0005-0000-0000-0000BC920000}"/>
    <cellStyle name="RIGs input totals 2 4 2 2 2 19" xfId="37349" xr:uid="{00000000-0005-0000-0000-0000BD920000}"/>
    <cellStyle name="RIGs input totals 2 4 2 2 2 2" xfId="37350" xr:uid="{00000000-0005-0000-0000-0000BE920000}"/>
    <cellStyle name="RIGs input totals 2 4 2 2 2 2 10" xfId="37351" xr:uid="{00000000-0005-0000-0000-0000BF920000}"/>
    <cellStyle name="RIGs input totals 2 4 2 2 2 2 11" xfId="37352" xr:uid="{00000000-0005-0000-0000-0000C0920000}"/>
    <cellStyle name="RIGs input totals 2 4 2 2 2 2 12" xfId="37353" xr:uid="{00000000-0005-0000-0000-0000C1920000}"/>
    <cellStyle name="RIGs input totals 2 4 2 2 2 2 13" xfId="37354" xr:uid="{00000000-0005-0000-0000-0000C2920000}"/>
    <cellStyle name="RIGs input totals 2 4 2 2 2 2 2" xfId="37355" xr:uid="{00000000-0005-0000-0000-0000C3920000}"/>
    <cellStyle name="RIGs input totals 2 4 2 2 2 2 2 2" xfId="37356" xr:uid="{00000000-0005-0000-0000-0000C4920000}"/>
    <cellStyle name="RIGs input totals 2 4 2 2 2 2 2 3" xfId="37357" xr:uid="{00000000-0005-0000-0000-0000C5920000}"/>
    <cellStyle name="RIGs input totals 2 4 2 2 2 2 3" xfId="37358" xr:uid="{00000000-0005-0000-0000-0000C6920000}"/>
    <cellStyle name="RIGs input totals 2 4 2 2 2 2 3 2" xfId="37359" xr:uid="{00000000-0005-0000-0000-0000C7920000}"/>
    <cellStyle name="RIGs input totals 2 4 2 2 2 2 3 3" xfId="37360" xr:uid="{00000000-0005-0000-0000-0000C8920000}"/>
    <cellStyle name="RIGs input totals 2 4 2 2 2 2 4" xfId="37361" xr:uid="{00000000-0005-0000-0000-0000C9920000}"/>
    <cellStyle name="RIGs input totals 2 4 2 2 2 2 5" xfId="37362" xr:uid="{00000000-0005-0000-0000-0000CA920000}"/>
    <cellStyle name="RIGs input totals 2 4 2 2 2 2 6" xfId="37363" xr:uid="{00000000-0005-0000-0000-0000CB920000}"/>
    <cellStyle name="RIGs input totals 2 4 2 2 2 2 7" xfId="37364" xr:uid="{00000000-0005-0000-0000-0000CC920000}"/>
    <cellStyle name="RIGs input totals 2 4 2 2 2 2 8" xfId="37365" xr:uid="{00000000-0005-0000-0000-0000CD920000}"/>
    <cellStyle name="RIGs input totals 2 4 2 2 2 2 9" xfId="37366" xr:uid="{00000000-0005-0000-0000-0000CE920000}"/>
    <cellStyle name="RIGs input totals 2 4 2 2 2 20" xfId="37367" xr:uid="{00000000-0005-0000-0000-0000CF920000}"/>
    <cellStyle name="RIGs input totals 2 4 2 2 2 21" xfId="37368" xr:uid="{00000000-0005-0000-0000-0000D0920000}"/>
    <cellStyle name="RIGs input totals 2 4 2 2 2 22" xfId="37369" xr:uid="{00000000-0005-0000-0000-0000D1920000}"/>
    <cellStyle name="RIGs input totals 2 4 2 2 2 23" xfId="37370" xr:uid="{00000000-0005-0000-0000-0000D2920000}"/>
    <cellStyle name="RIGs input totals 2 4 2 2 2 24" xfId="37371" xr:uid="{00000000-0005-0000-0000-0000D3920000}"/>
    <cellStyle name="RIGs input totals 2 4 2 2 2 25" xfId="37372" xr:uid="{00000000-0005-0000-0000-0000D4920000}"/>
    <cellStyle name="RIGs input totals 2 4 2 2 2 26" xfId="37373" xr:uid="{00000000-0005-0000-0000-0000D5920000}"/>
    <cellStyle name="RIGs input totals 2 4 2 2 2 27" xfId="37374" xr:uid="{00000000-0005-0000-0000-0000D6920000}"/>
    <cellStyle name="RIGs input totals 2 4 2 2 2 28" xfId="37375" xr:uid="{00000000-0005-0000-0000-0000D7920000}"/>
    <cellStyle name="RIGs input totals 2 4 2 2 2 29" xfId="37376" xr:uid="{00000000-0005-0000-0000-0000D8920000}"/>
    <cellStyle name="RIGs input totals 2 4 2 2 2 3" xfId="37377" xr:uid="{00000000-0005-0000-0000-0000D9920000}"/>
    <cellStyle name="RIGs input totals 2 4 2 2 2 3 2" xfId="37378" xr:uid="{00000000-0005-0000-0000-0000DA920000}"/>
    <cellStyle name="RIGs input totals 2 4 2 2 2 3 3" xfId="37379" xr:uid="{00000000-0005-0000-0000-0000DB920000}"/>
    <cellStyle name="RIGs input totals 2 4 2 2 2 30" xfId="37380" xr:uid="{00000000-0005-0000-0000-0000DC920000}"/>
    <cellStyle name="RIGs input totals 2 4 2 2 2 31" xfId="37381" xr:uid="{00000000-0005-0000-0000-0000DD920000}"/>
    <cellStyle name="RIGs input totals 2 4 2 2 2 32" xfId="37382" xr:uid="{00000000-0005-0000-0000-0000DE920000}"/>
    <cellStyle name="RIGs input totals 2 4 2 2 2 33" xfId="37383" xr:uid="{00000000-0005-0000-0000-0000DF920000}"/>
    <cellStyle name="RIGs input totals 2 4 2 2 2 34" xfId="37384" xr:uid="{00000000-0005-0000-0000-0000E0920000}"/>
    <cellStyle name="RIGs input totals 2 4 2 2 2 4" xfId="37385" xr:uid="{00000000-0005-0000-0000-0000E1920000}"/>
    <cellStyle name="RIGs input totals 2 4 2 2 2 4 2" xfId="37386" xr:uid="{00000000-0005-0000-0000-0000E2920000}"/>
    <cellStyle name="RIGs input totals 2 4 2 2 2 4 3" xfId="37387" xr:uid="{00000000-0005-0000-0000-0000E3920000}"/>
    <cellStyle name="RIGs input totals 2 4 2 2 2 5" xfId="37388" xr:uid="{00000000-0005-0000-0000-0000E4920000}"/>
    <cellStyle name="RIGs input totals 2 4 2 2 2 6" xfId="37389" xr:uid="{00000000-0005-0000-0000-0000E5920000}"/>
    <cellStyle name="RIGs input totals 2 4 2 2 2 7" xfId="37390" xr:uid="{00000000-0005-0000-0000-0000E6920000}"/>
    <cellStyle name="RIGs input totals 2 4 2 2 2 8" xfId="37391" xr:uid="{00000000-0005-0000-0000-0000E7920000}"/>
    <cellStyle name="RIGs input totals 2 4 2 2 2 9" xfId="37392" xr:uid="{00000000-0005-0000-0000-0000E8920000}"/>
    <cellStyle name="RIGs input totals 2 4 2 2 20" xfId="37393" xr:uid="{00000000-0005-0000-0000-0000E9920000}"/>
    <cellStyle name="RIGs input totals 2 4 2 2 21" xfId="37394" xr:uid="{00000000-0005-0000-0000-0000EA920000}"/>
    <cellStyle name="RIGs input totals 2 4 2 2 22" xfId="37395" xr:uid="{00000000-0005-0000-0000-0000EB920000}"/>
    <cellStyle name="RIGs input totals 2 4 2 2 23" xfId="37396" xr:uid="{00000000-0005-0000-0000-0000EC920000}"/>
    <cellStyle name="RIGs input totals 2 4 2 2 24" xfId="37397" xr:uid="{00000000-0005-0000-0000-0000ED920000}"/>
    <cellStyle name="RIGs input totals 2 4 2 2 25" xfId="37398" xr:uid="{00000000-0005-0000-0000-0000EE920000}"/>
    <cellStyle name="RIGs input totals 2 4 2 2 26" xfId="37399" xr:uid="{00000000-0005-0000-0000-0000EF920000}"/>
    <cellStyle name="RIGs input totals 2 4 2 2 27" xfId="37400" xr:uid="{00000000-0005-0000-0000-0000F0920000}"/>
    <cellStyle name="RIGs input totals 2 4 2 2 28" xfId="37401" xr:uid="{00000000-0005-0000-0000-0000F1920000}"/>
    <cellStyle name="RIGs input totals 2 4 2 2 29" xfId="37402" xr:uid="{00000000-0005-0000-0000-0000F2920000}"/>
    <cellStyle name="RIGs input totals 2 4 2 2 3" xfId="37403" xr:uid="{00000000-0005-0000-0000-0000F3920000}"/>
    <cellStyle name="RIGs input totals 2 4 2 2 3 10" xfId="37404" xr:uid="{00000000-0005-0000-0000-0000F4920000}"/>
    <cellStyle name="RIGs input totals 2 4 2 2 3 11" xfId="37405" xr:uid="{00000000-0005-0000-0000-0000F5920000}"/>
    <cellStyle name="RIGs input totals 2 4 2 2 3 12" xfId="37406" xr:uid="{00000000-0005-0000-0000-0000F6920000}"/>
    <cellStyle name="RIGs input totals 2 4 2 2 3 13" xfId="37407" xr:uid="{00000000-0005-0000-0000-0000F7920000}"/>
    <cellStyle name="RIGs input totals 2 4 2 2 3 2" xfId="37408" xr:uid="{00000000-0005-0000-0000-0000F8920000}"/>
    <cellStyle name="RIGs input totals 2 4 2 2 3 2 2" xfId="37409" xr:uid="{00000000-0005-0000-0000-0000F9920000}"/>
    <cellStyle name="RIGs input totals 2 4 2 2 3 2 3" xfId="37410" xr:uid="{00000000-0005-0000-0000-0000FA920000}"/>
    <cellStyle name="RIGs input totals 2 4 2 2 3 3" xfId="37411" xr:uid="{00000000-0005-0000-0000-0000FB920000}"/>
    <cellStyle name="RIGs input totals 2 4 2 2 3 3 2" xfId="37412" xr:uid="{00000000-0005-0000-0000-0000FC920000}"/>
    <cellStyle name="RIGs input totals 2 4 2 2 3 3 3" xfId="37413" xr:uid="{00000000-0005-0000-0000-0000FD920000}"/>
    <cellStyle name="RIGs input totals 2 4 2 2 3 4" xfId="37414" xr:uid="{00000000-0005-0000-0000-0000FE920000}"/>
    <cellStyle name="RIGs input totals 2 4 2 2 3 5" xfId="37415" xr:uid="{00000000-0005-0000-0000-0000FF920000}"/>
    <cellStyle name="RIGs input totals 2 4 2 2 3 6" xfId="37416" xr:uid="{00000000-0005-0000-0000-000000930000}"/>
    <cellStyle name="RIGs input totals 2 4 2 2 3 7" xfId="37417" xr:uid="{00000000-0005-0000-0000-000001930000}"/>
    <cellStyle name="RIGs input totals 2 4 2 2 3 8" xfId="37418" xr:uid="{00000000-0005-0000-0000-000002930000}"/>
    <cellStyle name="RIGs input totals 2 4 2 2 3 9" xfId="37419" xr:uid="{00000000-0005-0000-0000-000003930000}"/>
    <cellStyle name="RIGs input totals 2 4 2 2 30" xfId="37420" xr:uid="{00000000-0005-0000-0000-000004930000}"/>
    <cellStyle name="RIGs input totals 2 4 2 2 31" xfId="37421" xr:uid="{00000000-0005-0000-0000-000005930000}"/>
    <cellStyle name="RIGs input totals 2 4 2 2 4" xfId="37422" xr:uid="{00000000-0005-0000-0000-000006930000}"/>
    <cellStyle name="RIGs input totals 2 4 2 2 4 2" xfId="37423" xr:uid="{00000000-0005-0000-0000-000007930000}"/>
    <cellStyle name="RIGs input totals 2 4 2 2 4 3" xfId="37424" xr:uid="{00000000-0005-0000-0000-000008930000}"/>
    <cellStyle name="RIGs input totals 2 4 2 2 5" xfId="37425" xr:uid="{00000000-0005-0000-0000-000009930000}"/>
    <cellStyle name="RIGs input totals 2 4 2 2 5 2" xfId="37426" xr:uid="{00000000-0005-0000-0000-00000A930000}"/>
    <cellStyle name="RIGs input totals 2 4 2 2 5 3" xfId="37427" xr:uid="{00000000-0005-0000-0000-00000B930000}"/>
    <cellStyle name="RIGs input totals 2 4 2 2 6" xfId="37428" xr:uid="{00000000-0005-0000-0000-00000C930000}"/>
    <cellStyle name="RIGs input totals 2 4 2 2 7" xfId="37429" xr:uid="{00000000-0005-0000-0000-00000D930000}"/>
    <cellStyle name="RIGs input totals 2 4 2 2 8" xfId="37430" xr:uid="{00000000-0005-0000-0000-00000E930000}"/>
    <cellStyle name="RIGs input totals 2 4 2 2 9" xfId="37431" xr:uid="{00000000-0005-0000-0000-00000F930000}"/>
    <cellStyle name="RIGs input totals 2 4 2 2_4 28 1_Asst_Health_Crit_AllTO_RIIO_20110714pm" xfId="37432" xr:uid="{00000000-0005-0000-0000-000010930000}"/>
    <cellStyle name="RIGs input totals 2 4 2 20" xfId="37433" xr:uid="{00000000-0005-0000-0000-000011930000}"/>
    <cellStyle name="RIGs input totals 2 4 2 20 2" xfId="37434" xr:uid="{00000000-0005-0000-0000-000012930000}"/>
    <cellStyle name="RIGs input totals 2 4 2 21" xfId="37435" xr:uid="{00000000-0005-0000-0000-000013930000}"/>
    <cellStyle name="RIGs input totals 2 4 2 21 2" xfId="37436" xr:uid="{00000000-0005-0000-0000-000014930000}"/>
    <cellStyle name="RIGs input totals 2 4 2 22" xfId="37437" xr:uid="{00000000-0005-0000-0000-000015930000}"/>
    <cellStyle name="RIGs input totals 2 4 2 22 2" xfId="37438" xr:uid="{00000000-0005-0000-0000-000016930000}"/>
    <cellStyle name="RIGs input totals 2 4 2 23" xfId="37439" xr:uid="{00000000-0005-0000-0000-000017930000}"/>
    <cellStyle name="RIGs input totals 2 4 2 23 2" xfId="37440" xr:uid="{00000000-0005-0000-0000-000018930000}"/>
    <cellStyle name="RIGs input totals 2 4 2 24" xfId="37441" xr:uid="{00000000-0005-0000-0000-000019930000}"/>
    <cellStyle name="RIGs input totals 2 4 2 24 2" xfId="37442" xr:uid="{00000000-0005-0000-0000-00001A930000}"/>
    <cellStyle name="RIGs input totals 2 4 2 25" xfId="37443" xr:uid="{00000000-0005-0000-0000-00001B930000}"/>
    <cellStyle name="RIGs input totals 2 4 2 25 2" xfId="37444" xr:uid="{00000000-0005-0000-0000-00001C930000}"/>
    <cellStyle name="RIGs input totals 2 4 2 26" xfId="37445" xr:uid="{00000000-0005-0000-0000-00001D930000}"/>
    <cellStyle name="RIGs input totals 2 4 2 27" xfId="37446" xr:uid="{00000000-0005-0000-0000-00001E930000}"/>
    <cellStyle name="RIGs input totals 2 4 2 28" xfId="37447" xr:uid="{00000000-0005-0000-0000-00001F930000}"/>
    <cellStyle name="RIGs input totals 2 4 2 29" xfId="37448" xr:uid="{00000000-0005-0000-0000-000020930000}"/>
    <cellStyle name="RIGs input totals 2 4 2 3" xfId="37449" xr:uid="{00000000-0005-0000-0000-000021930000}"/>
    <cellStyle name="RIGs input totals 2 4 2 3 10" xfId="37450" xr:uid="{00000000-0005-0000-0000-000022930000}"/>
    <cellStyle name="RIGs input totals 2 4 2 3 11" xfId="37451" xr:uid="{00000000-0005-0000-0000-000023930000}"/>
    <cellStyle name="RIGs input totals 2 4 2 3 12" xfId="37452" xr:uid="{00000000-0005-0000-0000-000024930000}"/>
    <cellStyle name="RIGs input totals 2 4 2 3 13" xfId="37453" xr:uid="{00000000-0005-0000-0000-000025930000}"/>
    <cellStyle name="RIGs input totals 2 4 2 3 14" xfId="37454" xr:uid="{00000000-0005-0000-0000-000026930000}"/>
    <cellStyle name="RIGs input totals 2 4 2 3 15" xfId="37455" xr:uid="{00000000-0005-0000-0000-000027930000}"/>
    <cellStyle name="RIGs input totals 2 4 2 3 16" xfId="37456" xr:uid="{00000000-0005-0000-0000-000028930000}"/>
    <cellStyle name="RIGs input totals 2 4 2 3 17" xfId="37457" xr:uid="{00000000-0005-0000-0000-000029930000}"/>
    <cellStyle name="RIGs input totals 2 4 2 3 18" xfId="37458" xr:uid="{00000000-0005-0000-0000-00002A930000}"/>
    <cellStyle name="RIGs input totals 2 4 2 3 19" xfId="37459" xr:uid="{00000000-0005-0000-0000-00002B930000}"/>
    <cellStyle name="RIGs input totals 2 4 2 3 2" xfId="37460" xr:uid="{00000000-0005-0000-0000-00002C930000}"/>
    <cellStyle name="RIGs input totals 2 4 2 3 2 10" xfId="37461" xr:uid="{00000000-0005-0000-0000-00002D930000}"/>
    <cellStyle name="RIGs input totals 2 4 2 3 2 11" xfId="37462" xr:uid="{00000000-0005-0000-0000-00002E930000}"/>
    <cellStyle name="RIGs input totals 2 4 2 3 2 12" xfId="37463" xr:uid="{00000000-0005-0000-0000-00002F930000}"/>
    <cellStyle name="RIGs input totals 2 4 2 3 2 13" xfId="37464" xr:uid="{00000000-0005-0000-0000-000030930000}"/>
    <cellStyle name="RIGs input totals 2 4 2 3 2 2" xfId="37465" xr:uid="{00000000-0005-0000-0000-000031930000}"/>
    <cellStyle name="RIGs input totals 2 4 2 3 2 2 2" xfId="37466" xr:uid="{00000000-0005-0000-0000-000032930000}"/>
    <cellStyle name="RIGs input totals 2 4 2 3 2 2 3" xfId="37467" xr:uid="{00000000-0005-0000-0000-000033930000}"/>
    <cellStyle name="RIGs input totals 2 4 2 3 2 3" xfId="37468" xr:uid="{00000000-0005-0000-0000-000034930000}"/>
    <cellStyle name="RIGs input totals 2 4 2 3 2 3 2" xfId="37469" xr:uid="{00000000-0005-0000-0000-000035930000}"/>
    <cellStyle name="RIGs input totals 2 4 2 3 2 3 3" xfId="37470" xr:uid="{00000000-0005-0000-0000-000036930000}"/>
    <cellStyle name="RIGs input totals 2 4 2 3 2 4" xfId="37471" xr:uid="{00000000-0005-0000-0000-000037930000}"/>
    <cellStyle name="RIGs input totals 2 4 2 3 2 5" xfId="37472" xr:uid="{00000000-0005-0000-0000-000038930000}"/>
    <cellStyle name="RIGs input totals 2 4 2 3 2 6" xfId="37473" xr:uid="{00000000-0005-0000-0000-000039930000}"/>
    <cellStyle name="RIGs input totals 2 4 2 3 2 7" xfId="37474" xr:uid="{00000000-0005-0000-0000-00003A930000}"/>
    <cellStyle name="RIGs input totals 2 4 2 3 2 8" xfId="37475" xr:uid="{00000000-0005-0000-0000-00003B930000}"/>
    <cellStyle name="RIGs input totals 2 4 2 3 2 9" xfId="37476" xr:uid="{00000000-0005-0000-0000-00003C930000}"/>
    <cellStyle name="RIGs input totals 2 4 2 3 20" xfId="37477" xr:uid="{00000000-0005-0000-0000-00003D930000}"/>
    <cellStyle name="RIGs input totals 2 4 2 3 21" xfId="37478" xr:uid="{00000000-0005-0000-0000-00003E930000}"/>
    <cellStyle name="RIGs input totals 2 4 2 3 22" xfId="37479" xr:uid="{00000000-0005-0000-0000-00003F930000}"/>
    <cellStyle name="RIGs input totals 2 4 2 3 23" xfId="37480" xr:uid="{00000000-0005-0000-0000-000040930000}"/>
    <cellStyle name="RIGs input totals 2 4 2 3 24" xfId="37481" xr:uid="{00000000-0005-0000-0000-000041930000}"/>
    <cellStyle name="RIGs input totals 2 4 2 3 25" xfId="37482" xr:uid="{00000000-0005-0000-0000-000042930000}"/>
    <cellStyle name="RIGs input totals 2 4 2 3 26" xfId="37483" xr:uid="{00000000-0005-0000-0000-000043930000}"/>
    <cellStyle name="RIGs input totals 2 4 2 3 27" xfId="37484" xr:uid="{00000000-0005-0000-0000-000044930000}"/>
    <cellStyle name="RIGs input totals 2 4 2 3 28" xfId="37485" xr:uid="{00000000-0005-0000-0000-000045930000}"/>
    <cellStyle name="RIGs input totals 2 4 2 3 29" xfId="37486" xr:uid="{00000000-0005-0000-0000-000046930000}"/>
    <cellStyle name="RIGs input totals 2 4 2 3 3" xfId="37487" xr:uid="{00000000-0005-0000-0000-000047930000}"/>
    <cellStyle name="RIGs input totals 2 4 2 3 3 2" xfId="37488" xr:uid="{00000000-0005-0000-0000-000048930000}"/>
    <cellStyle name="RIGs input totals 2 4 2 3 3 3" xfId="37489" xr:uid="{00000000-0005-0000-0000-000049930000}"/>
    <cellStyle name="RIGs input totals 2 4 2 3 30" xfId="37490" xr:uid="{00000000-0005-0000-0000-00004A930000}"/>
    <cellStyle name="RIGs input totals 2 4 2 3 4" xfId="37491" xr:uid="{00000000-0005-0000-0000-00004B930000}"/>
    <cellStyle name="RIGs input totals 2 4 2 3 4 2" xfId="37492" xr:uid="{00000000-0005-0000-0000-00004C930000}"/>
    <cellStyle name="RIGs input totals 2 4 2 3 4 3" xfId="37493" xr:uid="{00000000-0005-0000-0000-00004D930000}"/>
    <cellStyle name="RIGs input totals 2 4 2 3 5" xfId="37494" xr:uid="{00000000-0005-0000-0000-00004E930000}"/>
    <cellStyle name="RIGs input totals 2 4 2 3 6" xfId="37495" xr:uid="{00000000-0005-0000-0000-00004F930000}"/>
    <cellStyle name="RIGs input totals 2 4 2 3 7" xfId="37496" xr:uid="{00000000-0005-0000-0000-000050930000}"/>
    <cellStyle name="RIGs input totals 2 4 2 3 8" xfId="37497" xr:uid="{00000000-0005-0000-0000-000051930000}"/>
    <cellStyle name="RIGs input totals 2 4 2 3 9" xfId="37498" xr:uid="{00000000-0005-0000-0000-000052930000}"/>
    <cellStyle name="RIGs input totals 2 4 2 30" xfId="37499" xr:uid="{00000000-0005-0000-0000-000053930000}"/>
    <cellStyle name="RIGs input totals 2 4 2 31" xfId="37500" xr:uid="{00000000-0005-0000-0000-000054930000}"/>
    <cellStyle name="RIGs input totals 2 4 2 32" xfId="37501" xr:uid="{00000000-0005-0000-0000-000055930000}"/>
    <cellStyle name="RIGs input totals 2 4 2 33" xfId="37502" xr:uid="{00000000-0005-0000-0000-000056930000}"/>
    <cellStyle name="RIGs input totals 2 4 2 4" xfId="37503" xr:uid="{00000000-0005-0000-0000-000057930000}"/>
    <cellStyle name="RIGs input totals 2 4 2 4 10" xfId="37504" xr:uid="{00000000-0005-0000-0000-000058930000}"/>
    <cellStyle name="RIGs input totals 2 4 2 4 11" xfId="37505" xr:uid="{00000000-0005-0000-0000-000059930000}"/>
    <cellStyle name="RIGs input totals 2 4 2 4 12" xfId="37506" xr:uid="{00000000-0005-0000-0000-00005A930000}"/>
    <cellStyle name="RIGs input totals 2 4 2 4 13" xfId="37507" xr:uid="{00000000-0005-0000-0000-00005B930000}"/>
    <cellStyle name="RIGs input totals 2 4 2 4 14" xfId="37508" xr:uid="{00000000-0005-0000-0000-00005C930000}"/>
    <cellStyle name="RIGs input totals 2 4 2 4 15" xfId="37509" xr:uid="{00000000-0005-0000-0000-00005D930000}"/>
    <cellStyle name="RIGs input totals 2 4 2 4 16" xfId="37510" xr:uid="{00000000-0005-0000-0000-00005E930000}"/>
    <cellStyle name="RIGs input totals 2 4 2 4 17" xfId="37511" xr:uid="{00000000-0005-0000-0000-00005F930000}"/>
    <cellStyle name="RIGs input totals 2 4 2 4 18" xfId="37512" xr:uid="{00000000-0005-0000-0000-000060930000}"/>
    <cellStyle name="RIGs input totals 2 4 2 4 19" xfId="37513" xr:uid="{00000000-0005-0000-0000-000061930000}"/>
    <cellStyle name="RIGs input totals 2 4 2 4 2" xfId="37514" xr:uid="{00000000-0005-0000-0000-000062930000}"/>
    <cellStyle name="RIGs input totals 2 4 2 4 2 10" xfId="37515" xr:uid="{00000000-0005-0000-0000-000063930000}"/>
    <cellStyle name="RIGs input totals 2 4 2 4 2 11" xfId="37516" xr:uid="{00000000-0005-0000-0000-000064930000}"/>
    <cellStyle name="RIGs input totals 2 4 2 4 2 12" xfId="37517" xr:uid="{00000000-0005-0000-0000-000065930000}"/>
    <cellStyle name="RIGs input totals 2 4 2 4 2 13" xfId="37518" xr:uid="{00000000-0005-0000-0000-000066930000}"/>
    <cellStyle name="RIGs input totals 2 4 2 4 2 2" xfId="37519" xr:uid="{00000000-0005-0000-0000-000067930000}"/>
    <cellStyle name="RIGs input totals 2 4 2 4 2 2 2" xfId="37520" xr:uid="{00000000-0005-0000-0000-000068930000}"/>
    <cellStyle name="RIGs input totals 2 4 2 4 2 2 3" xfId="37521" xr:uid="{00000000-0005-0000-0000-000069930000}"/>
    <cellStyle name="RIGs input totals 2 4 2 4 2 3" xfId="37522" xr:uid="{00000000-0005-0000-0000-00006A930000}"/>
    <cellStyle name="RIGs input totals 2 4 2 4 2 3 2" xfId="37523" xr:uid="{00000000-0005-0000-0000-00006B930000}"/>
    <cellStyle name="RIGs input totals 2 4 2 4 2 3 3" xfId="37524" xr:uid="{00000000-0005-0000-0000-00006C930000}"/>
    <cellStyle name="RIGs input totals 2 4 2 4 2 4" xfId="37525" xr:uid="{00000000-0005-0000-0000-00006D930000}"/>
    <cellStyle name="RIGs input totals 2 4 2 4 2 5" xfId="37526" xr:uid="{00000000-0005-0000-0000-00006E930000}"/>
    <cellStyle name="RIGs input totals 2 4 2 4 2 6" xfId="37527" xr:uid="{00000000-0005-0000-0000-00006F930000}"/>
    <cellStyle name="RIGs input totals 2 4 2 4 2 7" xfId="37528" xr:uid="{00000000-0005-0000-0000-000070930000}"/>
    <cellStyle name="RIGs input totals 2 4 2 4 2 8" xfId="37529" xr:uid="{00000000-0005-0000-0000-000071930000}"/>
    <cellStyle name="RIGs input totals 2 4 2 4 2 9" xfId="37530" xr:uid="{00000000-0005-0000-0000-000072930000}"/>
    <cellStyle name="RIGs input totals 2 4 2 4 20" xfId="37531" xr:uid="{00000000-0005-0000-0000-000073930000}"/>
    <cellStyle name="RIGs input totals 2 4 2 4 21" xfId="37532" xr:uid="{00000000-0005-0000-0000-000074930000}"/>
    <cellStyle name="RIGs input totals 2 4 2 4 22" xfId="37533" xr:uid="{00000000-0005-0000-0000-000075930000}"/>
    <cellStyle name="RIGs input totals 2 4 2 4 23" xfId="37534" xr:uid="{00000000-0005-0000-0000-000076930000}"/>
    <cellStyle name="RIGs input totals 2 4 2 4 24" xfId="37535" xr:uid="{00000000-0005-0000-0000-000077930000}"/>
    <cellStyle name="RIGs input totals 2 4 2 4 25" xfId="37536" xr:uid="{00000000-0005-0000-0000-000078930000}"/>
    <cellStyle name="RIGs input totals 2 4 2 4 26" xfId="37537" xr:uid="{00000000-0005-0000-0000-000079930000}"/>
    <cellStyle name="RIGs input totals 2 4 2 4 27" xfId="37538" xr:uid="{00000000-0005-0000-0000-00007A930000}"/>
    <cellStyle name="RIGs input totals 2 4 2 4 28" xfId="37539" xr:uid="{00000000-0005-0000-0000-00007B930000}"/>
    <cellStyle name="RIGs input totals 2 4 2 4 29" xfId="37540" xr:uid="{00000000-0005-0000-0000-00007C930000}"/>
    <cellStyle name="RIGs input totals 2 4 2 4 3" xfId="37541" xr:uid="{00000000-0005-0000-0000-00007D930000}"/>
    <cellStyle name="RIGs input totals 2 4 2 4 3 2" xfId="37542" xr:uid="{00000000-0005-0000-0000-00007E930000}"/>
    <cellStyle name="RIGs input totals 2 4 2 4 3 3" xfId="37543" xr:uid="{00000000-0005-0000-0000-00007F930000}"/>
    <cellStyle name="RIGs input totals 2 4 2 4 30" xfId="37544" xr:uid="{00000000-0005-0000-0000-000080930000}"/>
    <cellStyle name="RIGs input totals 2 4 2 4 4" xfId="37545" xr:uid="{00000000-0005-0000-0000-000081930000}"/>
    <cellStyle name="RIGs input totals 2 4 2 4 4 2" xfId="37546" xr:uid="{00000000-0005-0000-0000-000082930000}"/>
    <cellStyle name="RIGs input totals 2 4 2 4 4 3" xfId="37547" xr:uid="{00000000-0005-0000-0000-000083930000}"/>
    <cellStyle name="RIGs input totals 2 4 2 4 5" xfId="37548" xr:uid="{00000000-0005-0000-0000-000084930000}"/>
    <cellStyle name="RIGs input totals 2 4 2 4 6" xfId="37549" xr:uid="{00000000-0005-0000-0000-000085930000}"/>
    <cellStyle name="RIGs input totals 2 4 2 4 7" xfId="37550" xr:uid="{00000000-0005-0000-0000-000086930000}"/>
    <cellStyle name="RIGs input totals 2 4 2 4 8" xfId="37551" xr:uid="{00000000-0005-0000-0000-000087930000}"/>
    <cellStyle name="RIGs input totals 2 4 2 4 9" xfId="37552" xr:uid="{00000000-0005-0000-0000-000088930000}"/>
    <cellStyle name="RIGs input totals 2 4 2 5" xfId="37553" xr:uid="{00000000-0005-0000-0000-000089930000}"/>
    <cellStyle name="RIGs input totals 2 4 2 5 10" xfId="37554" xr:uid="{00000000-0005-0000-0000-00008A930000}"/>
    <cellStyle name="RIGs input totals 2 4 2 5 11" xfId="37555" xr:uid="{00000000-0005-0000-0000-00008B930000}"/>
    <cellStyle name="RIGs input totals 2 4 2 5 12" xfId="37556" xr:uid="{00000000-0005-0000-0000-00008C930000}"/>
    <cellStyle name="RIGs input totals 2 4 2 5 13" xfId="37557" xr:uid="{00000000-0005-0000-0000-00008D930000}"/>
    <cellStyle name="RIGs input totals 2 4 2 5 2" xfId="37558" xr:uid="{00000000-0005-0000-0000-00008E930000}"/>
    <cellStyle name="RIGs input totals 2 4 2 5 2 2" xfId="37559" xr:uid="{00000000-0005-0000-0000-00008F930000}"/>
    <cellStyle name="RIGs input totals 2 4 2 5 2 3" xfId="37560" xr:uid="{00000000-0005-0000-0000-000090930000}"/>
    <cellStyle name="RIGs input totals 2 4 2 5 3" xfId="37561" xr:uid="{00000000-0005-0000-0000-000091930000}"/>
    <cellStyle name="RIGs input totals 2 4 2 5 3 2" xfId="37562" xr:uid="{00000000-0005-0000-0000-000092930000}"/>
    <cellStyle name="RIGs input totals 2 4 2 5 3 3" xfId="37563" xr:uid="{00000000-0005-0000-0000-000093930000}"/>
    <cellStyle name="RIGs input totals 2 4 2 5 4" xfId="37564" xr:uid="{00000000-0005-0000-0000-000094930000}"/>
    <cellStyle name="RIGs input totals 2 4 2 5 5" xfId="37565" xr:uid="{00000000-0005-0000-0000-000095930000}"/>
    <cellStyle name="RIGs input totals 2 4 2 5 6" xfId="37566" xr:uid="{00000000-0005-0000-0000-000096930000}"/>
    <cellStyle name="RIGs input totals 2 4 2 5 7" xfId="37567" xr:uid="{00000000-0005-0000-0000-000097930000}"/>
    <cellStyle name="RIGs input totals 2 4 2 5 8" xfId="37568" xr:uid="{00000000-0005-0000-0000-000098930000}"/>
    <cellStyle name="RIGs input totals 2 4 2 5 9" xfId="37569" xr:uid="{00000000-0005-0000-0000-000099930000}"/>
    <cellStyle name="RIGs input totals 2 4 2 6" xfId="37570" xr:uid="{00000000-0005-0000-0000-00009A930000}"/>
    <cellStyle name="RIGs input totals 2 4 2 6 2" xfId="37571" xr:uid="{00000000-0005-0000-0000-00009B930000}"/>
    <cellStyle name="RIGs input totals 2 4 2 6 2 2" xfId="37572" xr:uid="{00000000-0005-0000-0000-00009C930000}"/>
    <cellStyle name="RIGs input totals 2 4 2 6 2 3" xfId="37573" xr:uid="{00000000-0005-0000-0000-00009D930000}"/>
    <cellStyle name="RIGs input totals 2 4 2 6 3" xfId="37574" xr:uid="{00000000-0005-0000-0000-00009E930000}"/>
    <cellStyle name="RIGs input totals 2 4 2 6 3 2" xfId="37575" xr:uid="{00000000-0005-0000-0000-00009F930000}"/>
    <cellStyle name="RIGs input totals 2 4 2 6 4" xfId="37576" xr:uid="{00000000-0005-0000-0000-0000A0930000}"/>
    <cellStyle name="RIGs input totals 2 4 2 7" xfId="37577" xr:uid="{00000000-0005-0000-0000-0000A1930000}"/>
    <cellStyle name="RIGs input totals 2 4 2 7 2" xfId="37578" xr:uid="{00000000-0005-0000-0000-0000A2930000}"/>
    <cellStyle name="RIGs input totals 2 4 2 8" xfId="37579" xr:uid="{00000000-0005-0000-0000-0000A3930000}"/>
    <cellStyle name="RIGs input totals 2 4 2 8 2" xfId="37580" xr:uid="{00000000-0005-0000-0000-0000A4930000}"/>
    <cellStyle name="RIGs input totals 2 4 2 9" xfId="37581" xr:uid="{00000000-0005-0000-0000-0000A5930000}"/>
    <cellStyle name="RIGs input totals 2 4 2 9 2" xfId="37582" xr:uid="{00000000-0005-0000-0000-0000A6930000}"/>
    <cellStyle name="RIGs input totals 2 4 2_4 28 1_Asst_Health_Crit_AllTO_RIIO_20110714pm" xfId="37583" xr:uid="{00000000-0005-0000-0000-0000A7930000}"/>
    <cellStyle name="RIGs input totals 2 4 20" xfId="37584" xr:uid="{00000000-0005-0000-0000-0000A8930000}"/>
    <cellStyle name="RIGs input totals 2 4 20 2" xfId="37585" xr:uid="{00000000-0005-0000-0000-0000A9930000}"/>
    <cellStyle name="RIGs input totals 2 4 21" xfId="37586" xr:uid="{00000000-0005-0000-0000-0000AA930000}"/>
    <cellStyle name="RIGs input totals 2 4 21 2" xfId="37587" xr:uid="{00000000-0005-0000-0000-0000AB930000}"/>
    <cellStyle name="RIGs input totals 2 4 22" xfId="37588" xr:uid="{00000000-0005-0000-0000-0000AC930000}"/>
    <cellStyle name="RIGs input totals 2 4 22 2" xfId="37589" xr:uid="{00000000-0005-0000-0000-0000AD930000}"/>
    <cellStyle name="RIGs input totals 2 4 23" xfId="37590" xr:uid="{00000000-0005-0000-0000-0000AE930000}"/>
    <cellStyle name="RIGs input totals 2 4 23 2" xfId="37591" xr:uid="{00000000-0005-0000-0000-0000AF930000}"/>
    <cellStyle name="RIGs input totals 2 4 24" xfId="37592" xr:uid="{00000000-0005-0000-0000-0000B0930000}"/>
    <cellStyle name="RIGs input totals 2 4 24 2" xfId="37593" xr:uid="{00000000-0005-0000-0000-0000B1930000}"/>
    <cellStyle name="RIGs input totals 2 4 25" xfId="37594" xr:uid="{00000000-0005-0000-0000-0000B2930000}"/>
    <cellStyle name="RIGs input totals 2 4 25 2" xfId="37595" xr:uid="{00000000-0005-0000-0000-0000B3930000}"/>
    <cellStyle name="RIGs input totals 2 4 26" xfId="37596" xr:uid="{00000000-0005-0000-0000-0000B4930000}"/>
    <cellStyle name="RIGs input totals 2 4 26 2" xfId="37597" xr:uid="{00000000-0005-0000-0000-0000B5930000}"/>
    <cellStyle name="RIGs input totals 2 4 27" xfId="37598" xr:uid="{00000000-0005-0000-0000-0000B6930000}"/>
    <cellStyle name="RIGs input totals 2 4 27 2" xfId="37599" xr:uid="{00000000-0005-0000-0000-0000B7930000}"/>
    <cellStyle name="RIGs input totals 2 4 28" xfId="37600" xr:uid="{00000000-0005-0000-0000-0000B8930000}"/>
    <cellStyle name="RIGs input totals 2 4 29" xfId="37601" xr:uid="{00000000-0005-0000-0000-0000B9930000}"/>
    <cellStyle name="RIGs input totals 2 4 3" xfId="37602" xr:uid="{00000000-0005-0000-0000-0000BA930000}"/>
    <cellStyle name="RIGs input totals 2 4 3 10" xfId="37603" xr:uid="{00000000-0005-0000-0000-0000BB930000}"/>
    <cellStyle name="RIGs input totals 2 4 3 10 2" xfId="37604" xr:uid="{00000000-0005-0000-0000-0000BC930000}"/>
    <cellStyle name="RIGs input totals 2 4 3 11" xfId="37605" xr:uid="{00000000-0005-0000-0000-0000BD930000}"/>
    <cellStyle name="RIGs input totals 2 4 3 11 2" xfId="37606" xr:uid="{00000000-0005-0000-0000-0000BE930000}"/>
    <cellStyle name="RIGs input totals 2 4 3 12" xfId="37607" xr:uid="{00000000-0005-0000-0000-0000BF930000}"/>
    <cellStyle name="RIGs input totals 2 4 3 12 2" xfId="37608" xr:uid="{00000000-0005-0000-0000-0000C0930000}"/>
    <cellStyle name="RIGs input totals 2 4 3 13" xfId="37609" xr:uid="{00000000-0005-0000-0000-0000C1930000}"/>
    <cellStyle name="RIGs input totals 2 4 3 13 2" xfId="37610" xr:uid="{00000000-0005-0000-0000-0000C2930000}"/>
    <cellStyle name="RIGs input totals 2 4 3 14" xfId="37611" xr:uid="{00000000-0005-0000-0000-0000C3930000}"/>
    <cellStyle name="RIGs input totals 2 4 3 14 2" xfId="37612" xr:uid="{00000000-0005-0000-0000-0000C4930000}"/>
    <cellStyle name="RIGs input totals 2 4 3 15" xfId="37613" xr:uid="{00000000-0005-0000-0000-0000C5930000}"/>
    <cellStyle name="RIGs input totals 2 4 3 15 2" xfId="37614" xr:uid="{00000000-0005-0000-0000-0000C6930000}"/>
    <cellStyle name="RIGs input totals 2 4 3 16" xfId="37615" xr:uid="{00000000-0005-0000-0000-0000C7930000}"/>
    <cellStyle name="RIGs input totals 2 4 3 16 2" xfId="37616" xr:uid="{00000000-0005-0000-0000-0000C8930000}"/>
    <cellStyle name="RIGs input totals 2 4 3 17" xfId="37617" xr:uid="{00000000-0005-0000-0000-0000C9930000}"/>
    <cellStyle name="RIGs input totals 2 4 3 17 2" xfId="37618" xr:uid="{00000000-0005-0000-0000-0000CA930000}"/>
    <cellStyle name="RIGs input totals 2 4 3 18" xfId="37619" xr:uid="{00000000-0005-0000-0000-0000CB930000}"/>
    <cellStyle name="RIGs input totals 2 4 3 18 2" xfId="37620" xr:uid="{00000000-0005-0000-0000-0000CC930000}"/>
    <cellStyle name="RIGs input totals 2 4 3 19" xfId="37621" xr:uid="{00000000-0005-0000-0000-0000CD930000}"/>
    <cellStyle name="RIGs input totals 2 4 3 19 2" xfId="37622" xr:uid="{00000000-0005-0000-0000-0000CE930000}"/>
    <cellStyle name="RIGs input totals 2 4 3 2" xfId="37623" xr:uid="{00000000-0005-0000-0000-0000CF930000}"/>
    <cellStyle name="RIGs input totals 2 4 3 2 10" xfId="37624" xr:uid="{00000000-0005-0000-0000-0000D0930000}"/>
    <cellStyle name="RIGs input totals 2 4 3 2 11" xfId="37625" xr:uid="{00000000-0005-0000-0000-0000D1930000}"/>
    <cellStyle name="RIGs input totals 2 4 3 2 12" xfId="37626" xr:uid="{00000000-0005-0000-0000-0000D2930000}"/>
    <cellStyle name="RIGs input totals 2 4 3 2 13" xfId="37627" xr:uid="{00000000-0005-0000-0000-0000D3930000}"/>
    <cellStyle name="RIGs input totals 2 4 3 2 14" xfId="37628" xr:uid="{00000000-0005-0000-0000-0000D4930000}"/>
    <cellStyle name="RIGs input totals 2 4 3 2 15" xfId="37629" xr:uid="{00000000-0005-0000-0000-0000D5930000}"/>
    <cellStyle name="RIGs input totals 2 4 3 2 16" xfId="37630" xr:uid="{00000000-0005-0000-0000-0000D6930000}"/>
    <cellStyle name="RIGs input totals 2 4 3 2 17" xfId="37631" xr:uid="{00000000-0005-0000-0000-0000D7930000}"/>
    <cellStyle name="RIGs input totals 2 4 3 2 18" xfId="37632" xr:uid="{00000000-0005-0000-0000-0000D8930000}"/>
    <cellStyle name="RIGs input totals 2 4 3 2 19" xfId="37633" xr:uid="{00000000-0005-0000-0000-0000D9930000}"/>
    <cellStyle name="RIGs input totals 2 4 3 2 2" xfId="37634" xr:uid="{00000000-0005-0000-0000-0000DA930000}"/>
    <cellStyle name="RIGs input totals 2 4 3 2 2 10" xfId="37635" xr:uid="{00000000-0005-0000-0000-0000DB930000}"/>
    <cellStyle name="RIGs input totals 2 4 3 2 2 11" xfId="37636" xr:uid="{00000000-0005-0000-0000-0000DC930000}"/>
    <cellStyle name="RIGs input totals 2 4 3 2 2 12" xfId="37637" xr:uid="{00000000-0005-0000-0000-0000DD930000}"/>
    <cellStyle name="RIGs input totals 2 4 3 2 2 13" xfId="37638" xr:uid="{00000000-0005-0000-0000-0000DE930000}"/>
    <cellStyle name="RIGs input totals 2 4 3 2 2 14" xfId="37639" xr:uid="{00000000-0005-0000-0000-0000DF930000}"/>
    <cellStyle name="RIGs input totals 2 4 3 2 2 15" xfId="37640" xr:uid="{00000000-0005-0000-0000-0000E0930000}"/>
    <cellStyle name="RIGs input totals 2 4 3 2 2 16" xfId="37641" xr:uid="{00000000-0005-0000-0000-0000E1930000}"/>
    <cellStyle name="RIGs input totals 2 4 3 2 2 17" xfId="37642" xr:uid="{00000000-0005-0000-0000-0000E2930000}"/>
    <cellStyle name="RIGs input totals 2 4 3 2 2 18" xfId="37643" xr:uid="{00000000-0005-0000-0000-0000E3930000}"/>
    <cellStyle name="RIGs input totals 2 4 3 2 2 19" xfId="37644" xr:uid="{00000000-0005-0000-0000-0000E4930000}"/>
    <cellStyle name="RIGs input totals 2 4 3 2 2 2" xfId="37645" xr:uid="{00000000-0005-0000-0000-0000E5930000}"/>
    <cellStyle name="RIGs input totals 2 4 3 2 2 2 10" xfId="37646" xr:uid="{00000000-0005-0000-0000-0000E6930000}"/>
    <cellStyle name="RIGs input totals 2 4 3 2 2 2 11" xfId="37647" xr:uid="{00000000-0005-0000-0000-0000E7930000}"/>
    <cellStyle name="RIGs input totals 2 4 3 2 2 2 12" xfId="37648" xr:uid="{00000000-0005-0000-0000-0000E8930000}"/>
    <cellStyle name="RIGs input totals 2 4 3 2 2 2 13" xfId="37649" xr:uid="{00000000-0005-0000-0000-0000E9930000}"/>
    <cellStyle name="RIGs input totals 2 4 3 2 2 2 2" xfId="37650" xr:uid="{00000000-0005-0000-0000-0000EA930000}"/>
    <cellStyle name="RIGs input totals 2 4 3 2 2 2 2 2" xfId="37651" xr:uid="{00000000-0005-0000-0000-0000EB930000}"/>
    <cellStyle name="RIGs input totals 2 4 3 2 2 2 2 3" xfId="37652" xr:uid="{00000000-0005-0000-0000-0000EC930000}"/>
    <cellStyle name="RIGs input totals 2 4 3 2 2 2 3" xfId="37653" xr:uid="{00000000-0005-0000-0000-0000ED930000}"/>
    <cellStyle name="RIGs input totals 2 4 3 2 2 2 3 2" xfId="37654" xr:uid="{00000000-0005-0000-0000-0000EE930000}"/>
    <cellStyle name="RIGs input totals 2 4 3 2 2 2 3 3" xfId="37655" xr:uid="{00000000-0005-0000-0000-0000EF930000}"/>
    <cellStyle name="RIGs input totals 2 4 3 2 2 2 4" xfId="37656" xr:uid="{00000000-0005-0000-0000-0000F0930000}"/>
    <cellStyle name="RIGs input totals 2 4 3 2 2 2 5" xfId="37657" xr:uid="{00000000-0005-0000-0000-0000F1930000}"/>
    <cellStyle name="RIGs input totals 2 4 3 2 2 2 6" xfId="37658" xr:uid="{00000000-0005-0000-0000-0000F2930000}"/>
    <cellStyle name="RIGs input totals 2 4 3 2 2 2 7" xfId="37659" xr:uid="{00000000-0005-0000-0000-0000F3930000}"/>
    <cellStyle name="RIGs input totals 2 4 3 2 2 2 8" xfId="37660" xr:uid="{00000000-0005-0000-0000-0000F4930000}"/>
    <cellStyle name="RIGs input totals 2 4 3 2 2 2 9" xfId="37661" xr:uid="{00000000-0005-0000-0000-0000F5930000}"/>
    <cellStyle name="RIGs input totals 2 4 3 2 2 20" xfId="37662" xr:uid="{00000000-0005-0000-0000-0000F6930000}"/>
    <cellStyle name="RIGs input totals 2 4 3 2 2 21" xfId="37663" xr:uid="{00000000-0005-0000-0000-0000F7930000}"/>
    <cellStyle name="RIGs input totals 2 4 3 2 2 22" xfId="37664" xr:uid="{00000000-0005-0000-0000-0000F8930000}"/>
    <cellStyle name="RIGs input totals 2 4 3 2 2 23" xfId="37665" xr:uid="{00000000-0005-0000-0000-0000F9930000}"/>
    <cellStyle name="RIGs input totals 2 4 3 2 2 24" xfId="37666" xr:uid="{00000000-0005-0000-0000-0000FA930000}"/>
    <cellStyle name="RIGs input totals 2 4 3 2 2 25" xfId="37667" xr:uid="{00000000-0005-0000-0000-0000FB930000}"/>
    <cellStyle name="RIGs input totals 2 4 3 2 2 26" xfId="37668" xr:uid="{00000000-0005-0000-0000-0000FC930000}"/>
    <cellStyle name="RIGs input totals 2 4 3 2 2 27" xfId="37669" xr:uid="{00000000-0005-0000-0000-0000FD930000}"/>
    <cellStyle name="RIGs input totals 2 4 3 2 2 28" xfId="37670" xr:uid="{00000000-0005-0000-0000-0000FE930000}"/>
    <cellStyle name="RIGs input totals 2 4 3 2 2 29" xfId="37671" xr:uid="{00000000-0005-0000-0000-0000FF930000}"/>
    <cellStyle name="RIGs input totals 2 4 3 2 2 3" xfId="37672" xr:uid="{00000000-0005-0000-0000-000000940000}"/>
    <cellStyle name="RIGs input totals 2 4 3 2 2 3 2" xfId="37673" xr:uid="{00000000-0005-0000-0000-000001940000}"/>
    <cellStyle name="RIGs input totals 2 4 3 2 2 3 3" xfId="37674" xr:uid="{00000000-0005-0000-0000-000002940000}"/>
    <cellStyle name="RIGs input totals 2 4 3 2 2 30" xfId="37675" xr:uid="{00000000-0005-0000-0000-000003940000}"/>
    <cellStyle name="RIGs input totals 2 4 3 2 2 31" xfId="37676" xr:uid="{00000000-0005-0000-0000-000004940000}"/>
    <cellStyle name="RIGs input totals 2 4 3 2 2 32" xfId="37677" xr:uid="{00000000-0005-0000-0000-000005940000}"/>
    <cellStyle name="RIGs input totals 2 4 3 2 2 33" xfId="37678" xr:uid="{00000000-0005-0000-0000-000006940000}"/>
    <cellStyle name="RIGs input totals 2 4 3 2 2 34" xfId="37679" xr:uid="{00000000-0005-0000-0000-000007940000}"/>
    <cellStyle name="RIGs input totals 2 4 3 2 2 4" xfId="37680" xr:uid="{00000000-0005-0000-0000-000008940000}"/>
    <cellStyle name="RIGs input totals 2 4 3 2 2 4 2" xfId="37681" xr:uid="{00000000-0005-0000-0000-000009940000}"/>
    <cellStyle name="RIGs input totals 2 4 3 2 2 4 3" xfId="37682" xr:uid="{00000000-0005-0000-0000-00000A940000}"/>
    <cellStyle name="RIGs input totals 2 4 3 2 2 5" xfId="37683" xr:uid="{00000000-0005-0000-0000-00000B940000}"/>
    <cellStyle name="RIGs input totals 2 4 3 2 2 6" xfId="37684" xr:uid="{00000000-0005-0000-0000-00000C940000}"/>
    <cellStyle name="RIGs input totals 2 4 3 2 2 7" xfId="37685" xr:uid="{00000000-0005-0000-0000-00000D940000}"/>
    <cellStyle name="RIGs input totals 2 4 3 2 2 8" xfId="37686" xr:uid="{00000000-0005-0000-0000-00000E940000}"/>
    <cellStyle name="RIGs input totals 2 4 3 2 2 9" xfId="37687" xr:uid="{00000000-0005-0000-0000-00000F940000}"/>
    <cellStyle name="RIGs input totals 2 4 3 2 20" xfId="37688" xr:uid="{00000000-0005-0000-0000-000010940000}"/>
    <cellStyle name="RIGs input totals 2 4 3 2 21" xfId="37689" xr:uid="{00000000-0005-0000-0000-000011940000}"/>
    <cellStyle name="RIGs input totals 2 4 3 2 22" xfId="37690" xr:uid="{00000000-0005-0000-0000-000012940000}"/>
    <cellStyle name="RIGs input totals 2 4 3 2 23" xfId="37691" xr:uid="{00000000-0005-0000-0000-000013940000}"/>
    <cellStyle name="RIGs input totals 2 4 3 2 24" xfId="37692" xr:uid="{00000000-0005-0000-0000-000014940000}"/>
    <cellStyle name="RIGs input totals 2 4 3 2 25" xfId="37693" xr:uid="{00000000-0005-0000-0000-000015940000}"/>
    <cellStyle name="RIGs input totals 2 4 3 2 26" xfId="37694" xr:uid="{00000000-0005-0000-0000-000016940000}"/>
    <cellStyle name="RIGs input totals 2 4 3 2 27" xfId="37695" xr:uid="{00000000-0005-0000-0000-000017940000}"/>
    <cellStyle name="RIGs input totals 2 4 3 2 28" xfId="37696" xr:uid="{00000000-0005-0000-0000-000018940000}"/>
    <cellStyle name="RIGs input totals 2 4 3 2 29" xfId="37697" xr:uid="{00000000-0005-0000-0000-000019940000}"/>
    <cellStyle name="RIGs input totals 2 4 3 2 3" xfId="37698" xr:uid="{00000000-0005-0000-0000-00001A940000}"/>
    <cellStyle name="RIGs input totals 2 4 3 2 3 10" xfId="37699" xr:uid="{00000000-0005-0000-0000-00001B940000}"/>
    <cellStyle name="RIGs input totals 2 4 3 2 3 11" xfId="37700" xr:uid="{00000000-0005-0000-0000-00001C940000}"/>
    <cellStyle name="RIGs input totals 2 4 3 2 3 12" xfId="37701" xr:uid="{00000000-0005-0000-0000-00001D940000}"/>
    <cellStyle name="RIGs input totals 2 4 3 2 3 13" xfId="37702" xr:uid="{00000000-0005-0000-0000-00001E940000}"/>
    <cellStyle name="RIGs input totals 2 4 3 2 3 2" xfId="37703" xr:uid="{00000000-0005-0000-0000-00001F940000}"/>
    <cellStyle name="RIGs input totals 2 4 3 2 3 2 2" xfId="37704" xr:uid="{00000000-0005-0000-0000-000020940000}"/>
    <cellStyle name="RIGs input totals 2 4 3 2 3 2 3" xfId="37705" xr:uid="{00000000-0005-0000-0000-000021940000}"/>
    <cellStyle name="RIGs input totals 2 4 3 2 3 3" xfId="37706" xr:uid="{00000000-0005-0000-0000-000022940000}"/>
    <cellStyle name="RIGs input totals 2 4 3 2 3 3 2" xfId="37707" xr:uid="{00000000-0005-0000-0000-000023940000}"/>
    <cellStyle name="RIGs input totals 2 4 3 2 3 3 3" xfId="37708" xr:uid="{00000000-0005-0000-0000-000024940000}"/>
    <cellStyle name="RIGs input totals 2 4 3 2 3 4" xfId="37709" xr:uid="{00000000-0005-0000-0000-000025940000}"/>
    <cellStyle name="RIGs input totals 2 4 3 2 3 5" xfId="37710" xr:uid="{00000000-0005-0000-0000-000026940000}"/>
    <cellStyle name="RIGs input totals 2 4 3 2 3 6" xfId="37711" xr:uid="{00000000-0005-0000-0000-000027940000}"/>
    <cellStyle name="RIGs input totals 2 4 3 2 3 7" xfId="37712" xr:uid="{00000000-0005-0000-0000-000028940000}"/>
    <cellStyle name="RIGs input totals 2 4 3 2 3 8" xfId="37713" xr:uid="{00000000-0005-0000-0000-000029940000}"/>
    <cellStyle name="RIGs input totals 2 4 3 2 3 9" xfId="37714" xr:uid="{00000000-0005-0000-0000-00002A940000}"/>
    <cellStyle name="RIGs input totals 2 4 3 2 30" xfId="37715" xr:uid="{00000000-0005-0000-0000-00002B940000}"/>
    <cellStyle name="RIGs input totals 2 4 3 2 31" xfId="37716" xr:uid="{00000000-0005-0000-0000-00002C940000}"/>
    <cellStyle name="RIGs input totals 2 4 3 2 4" xfId="37717" xr:uid="{00000000-0005-0000-0000-00002D940000}"/>
    <cellStyle name="RIGs input totals 2 4 3 2 4 2" xfId="37718" xr:uid="{00000000-0005-0000-0000-00002E940000}"/>
    <cellStyle name="RIGs input totals 2 4 3 2 4 3" xfId="37719" xr:uid="{00000000-0005-0000-0000-00002F940000}"/>
    <cellStyle name="RIGs input totals 2 4 3 2 5" xfId="37720" xr:uid="{00000000-0005-0000-0000-000030940000}"/>
    <cellStyle name="RIGs input totals 2 4 3 2 5 2" xfId="37721" xr:uid="{00000000-0005-0000-0000-000031940000}"/>
    <cellStyle name="RIGs input totals 2 4 3 2 5 3" xfId="37722" xr:uid="{00000000-0005-0000-0000-000032940000}"/>
    <cellStyle name="RIGs input totals 2 4 3 2 6" xfId="37723" xr:uid="{00000000-0005-0000-0000-000033940000}"/>
    <cellStyle name="RIGs input totals 2 4 3 2 7" xfId="37724" xr:uid="{00000000-0005-0000-0000-000034940000}"/>
    <cellStyle name="RIGs input totals 2 4 3 2 8" xfId="37725" xr:uid="{00000000-0005-0000-0000-000035940000}"/>
    <cellStyle name="RIGs input totals 2 4 3 2 9" xfId="37726" xr:uid="{00000000-0005-0000-0000-000036940000}"/>
    <cellStyle name="RIGs input totals 2 4 3 2_4 28 1_Asst_Health_Crit_AllTO_RIIO_20110714pm" xfId="37727" xr:uid="{00000000-0005-0000-0000-000037940000}"/>
    <cellStyle name="RIGs input totals 2 4 3 20" xfId="37728" xr:uid="{00000000-0005-0000-0000-000038940000}"/>
    <cellStyle name="RIGs input totals 2 4 3 20 2" xfId="37729" xr:uid="{00000000-0005-0000-0000-000039940000}"/>
    <cellStyle name="RIGs input totals 2 4 3 21" xfId="37730" xr:uid="{00000000-0005-0000-0000-00003A940000}"/>
    <cellStyle name="RIGs input totals 2 4 3 21 2" xfId="37731" xr:uid="{00000000-0005-0000-0000-00003B940000}"/>
    <cellStyle name="RIGs input totals 2 4 3 22" xfId="37732" xr:uid="{00000000-0005-0000-0000-00003C940000}"/>
    <cellStyle name="RIGs input totals 2 4 3 22 2" xfId="37733" xr:uid="{00000000-0005-0000-0000-00003D940000}"/>
    <cellStyle name="RIGs input totals 2 4 3 23" xfId="37734" xr:uid="{00000000-0005-0000-0000-00003E940000}"/>
    <cellStyle name="RIGs input totals 2 4 3 23 2" xfId="37735" xr:uid="{00000000-0005-0000-0000-00003F940000}"/>
    <cellStyle name="RIGs input totals 2 4 3 24" xfId="37736" xr:uid="{00000000-0005-0000-0000-000040940000}"/>
    <cellStyle name="RIGs input totals 2 4 3 24 2" xfId="37737" xr:uid="{00000000-0005-0000-0000-000041940000}"/>
    <cellStyle name="RIGs input totals 2 4 3 25" xfId="37738" xr:uid="{00000000-0005-0000-0000-000042940000}"/>
    <cellStyle name="RIGs input totals 2 4 3 25 2" xfId="37739" xr:uid="{00000000-0005-0000-0000-000043940000}"/>
    <cellStyle name="RIGs input totals 2 4 3 26" xfId="37740" xr:uid="{00000000-0005-0000-0000-000044940000}"/>
    <cellStyle name="RIGs input totals 2 4 3 27" xfId="37741" xr:uid="{00000000-0005-0000-0000-000045940000}"/>
    <cellStyle name="RIGs input totals 2 4 3 28" xfId="37742" xr:uid="{00000000-0005-0000-0000-000046940000}"/>
    <cellStyle name="RIGs input totals 2 4 3 29" xfId="37743" xr:uid="{00000000-0005-0000-0000-000047940000}"/>
    <cellStyle name="RIGs input totals 2 4 3 3" xfId="37744" xr:uid="{00000000-0005-0000-0000-000048940000}"/>
    <cellStyle name="RIGs input totals 2 4 3 3 10" xfId="37745" xr:uid="{00000000-0005-0000-0000-000049940000}"/>
    <cellStyle name="RIGs input totals 2 4 3 3 11" xfId="37746" xr:uid="{00000000-0005-0000-0000-00004A940000}"/>
    <cellStyle name="RIGs input totals 2 4 3 3 12" xfId="37747" xr:uid="{00000000-0005-0000-0000-00004B940000}"/>
    <cellStyle name="RIGs input totals 2 4 3 3 13" xfId="37748" xr:uid="{00000000-0005-0000-0000-00004C940000}"/>
    <cellStyle name="RIGs input totals 2 4 3 3 14" xfId="37749" xr:uid="{00000000-0005-0000-0000-00004D940000}"/>
    <cellStyle name="RIGs input totals 2 4 3 3 15" xfId="37750" xr:uid="{00000000-0005-0000-0000-00004E940000}"/>
    <cellStyle name="RIGs input totals 2 4 3 3 16" xfId="37751" xr:uid="{00000000-0005-0000-0000-00004F940000}"/>
    <cellStyle name="RIGs input totals 2 4 3 3 17" xfId="37752" xr:uid="{00000000-0005-0000-0000-000050940000}"/>
    <cellStyle name="RIGs input totals 2 4 3 3 18" xfId="37753" xr:uid="{00000000-0005-0000-0000-000051940000}"/>
    <cellStyle name="RIGs input totals 2 4 3 3 19" xfId="37754" xr:uid="{00000000-0005-0000-0000-000052940000}"/>
    <cellStyle name="RIGs input totals 2 4 3 3 2" xfId="37755" xr:uid="{00000000-0005-0000-0000-000053940000}"/>
    <cellStyle name="RIGs input totals 2 4 3 3 2 10" xfId="37756" xr:uid="{00000000-0005-0000-0000-000054940000}"/>
    <cellStyle name="RIGs input totals 2 4 3 3 2 11" xfId="37757" xr:uid="{00000000-0005-0000-0000-000055940000}"/>
    <cellStyle name="RIGs input totals 2 4 3 3 2 12" xfId="37758" xr:uid="{00000000-0005-0000-0000-000056940000}"/>
    <cellStyle name="RIGs input totals 2 4 3 3 2 13" xfId="37759" xr:uid="{00000000-0005-0000-0000-000057940000}"/>
    <cellStyle name="RIGs input totals 2 4 3 3 2 2" xfId="37760" xr:uid="{00000000-0005-0000-0000-000058940000}"/>
    <cellStyle name="RIGs input totals 2 4 3 3 2 2 2" xfId="37761" xr:uid="{00000000-0005-0000-0000-000059940000}"/>
    <cellStyle name="RIGs input totals 2 4 3 3 2 2 3" xfId="37762" xr:uid="{00000000-0005-0000-0000-00005A940000}"/>
    <cellStyle name="RIGs input totals 2 4 3 3 2 3" xfId="37763" xr:uid="{00000000-0005-0000-0000-00005B940000}"/>
    <cellStyle name="RIGs input totals 2 4 3 3 2 3 2" xfId="37764" xr:uid="{00000000-0005-0000-0000-00005C940000}"/>
    <cellStyle name="RIGs input totals 2 4 3 3 2 3 3" xfId="37765" xr:uid="{00000000-0005-0000-0000-00005D940000}"/>
    <cellStyle name="RIGs input totals 2 4 3 3 2 4" xfId="37766" xr:uid="{00000000-0005-0000-0000-00005E940000}"/>
    <cellStyle name="RIGs input totals 2 4 3 3 2 5" xfId="37767" xr:uid="{00000000-0005-0000-0000-00005F940000}"/>
    <cellStyle name="RIGs input totals 2 4 3 3 2 6" xfId="37768" xr:uid="{00000000-0005-0000-0000-000060940000}"/>
    <cellStyle name="RIGs input totals 2 4 3 3 2 7" xfId="37769" xr:uid="{00000000-0005-0000-0000-000061940000}"/>
    <cellStyle name="RIGs input totals 2 4 3 3 2 8" xfId="37770" xr:uid="{00000000-0005-0000-0000-000062940000}"/>
    <cellStyle name="RIGs input totals 2 4 3 3 2 9" xfId="37771" xr:uid="{00000000-0005-0000-0000-000063940000}"/>
    <cellStyle name="RIGs input totals 2 4 3 3 20" xfId="37772" xr:uid="{00000000-0005-0000-0000-000064940000}"/>
    <cellStyle name="RIGs input totals 2 4 3 3 21" xfId="37773" xr:uid="{00000000-0005-0000-0000-000065940000}"/>
    <cellStyle name="RIGs input totals 2 4 3 3 22" xfId="37774" xr:uid="{00000000-0005-0000-0000-000066940000}"/>
    <cellStyle name="RIGs input totals 2 4 3 3 23" xfId="37775" xr:uid="{00000000-0005-0000-0000-000067940000}"/>
    <cellStyle name="RIGs input totals 2 4 3 3 24" xfId="37776" xr:uid="{00000000-0005-0000-0000-000068940000}"/>
    <cellStyle name="RIGs input totals 2 4 3 3 25" xfId="37777" xr:uid="{00000000-0005-0000-0000-000069940000}"/>
    <cellStyle name="RIGs input totals 2 4 3 3 26" xfId="37778" xr:uid="{00000000-0005-0000-0000-00006A940000}"/>
    <cellStyle name="RIGs input totals 2 4 3 3 27" xfId="37779" xr:uid="{00000000-0005-0000-0000-00006B940000}"/>
    <cellStyle name="RIGs input totals 2 4 3 3 28" xfId="37780" xr:uid="{00000000-0005-0000-0000-00006C940000}"/>
    <cellStyle name="RIGs input totals 2 4 3 3 29" xfId="37781" xr:uid="{00000000-0005-0000-0000-00006D940000}"/>
    <cellStyle name="RIGs input totals 2 4 3 3 3" xfId="37782" xr:uid="{00000000-0005-0000-0000-00006E940000}"/>
    <cellStyle name="RIGs input totals 2 4 3 3 3 2" xfId="37783" xr:uid="{00000000-0005-0000-0000-00006F940000}"/>
    <cellStyle name="RIGs input totals 2 4 3 3 3 3" xfId="37784" xr:uid="{00000000-0005-0000-0000-000070940000}"/>
    <cellStyle name="RIGs input totals 2 4 3 3 30" xfId="37785" xr:uid="{00000000-0005-0000-0000-000071940000}"/>
    <cellStyle name="RIGs input totals 2 4 3 3 4" xfId="37786" xr:uid="{00000000-0005-0000-0000-000072940000}"/>
    <cellStyle name="RIGs input totals 2 4 3 3 4 2" xfId="37787" xr:uid="{00000000-0005-0000-0000-000073940000}"/>
    <cellStyle name="RIGs input totals 2 4 3 3 4 3" xfId="37788" xr:uid="{00000000-0005-0000-0000-000074940000}"/>
    <cellStyle name="RIGs input totals 2 4 3 3 5" xfId="37789" xr:uid="{00000000-0005-0000-0000-000075940000}"/>
    <cellStyle name="RIGs input totals 2 4 3 3 6" xfId="37790" xr:uid="{00000000-0005-0000-0000-000076940000}"/>
    <cellStyle name="RIGs input totals 2 4 3 3 7" xfId="37791" xr:uid="{00000000-0005-0000-0000-000077940000}"/>
    <cellStyle name="RIGs input totals 2 4 3 3 8" xfId="37792" xr:uid="{00000000-0005-0000-0000-000078940000}"/>
    <cellStyle name="RIGs input totals 2 4 3 3 9" xfId="37793" xr:uid="{00000000-0005-0000-0000-000079940000}"/>
    <cellStyle name="RIGs input totals 2 4 3 30" xfId="37794" xr:uid="{00000000-0005-0000-0000-00007A940000}"/>
    <cellStyle name="RIGs input totals 2 4 3 31" xfId="37795" xr:uid="{00000000-0005-0000-0000-00007B940000}"/>
    <cellStyle name="RIGs input totals 2 4 3 32" xfId="37796" xr:uid="{00000000-0005-0000-0000-00007C940000}"/>
    <cellStyle name="RIGs input totals 2 4 3 33" xfId="37797" xr:uid="{00000000-0005-0000-0000-00007D940000}"/>
    <cellStyle name="RIGs input totals 2 4 3 4" xfId="37798" xr:uid="{00000000-0005-0000-0000-00007E940000}"/>
    <cellStyle name="RIGs input totals 2 4 3 4 10" xfId="37799" xr:uid="{00000000-0005-0000-0000-00007F940000}"/>
    <cellStyle name="RIGs input totals 2 4 3 4 11" xfId="37800" xr:uid="{00000000-0005-0000-0000-000080940000}"/>
    <cellStyle name="RIGs input totals 2 4 3 4 12" xfId="37801" xr:uid="{00000000-0005-0000-0000-000081940000}"/>
    <cellStyle name="RIGs input totals 2 4 3 4 13" xfId="37802" xr:uid="{00000000-0005-0000-0000-000082940000}"/>
    <cellStyle name="RIGs input totals 2 4 3 4 14" xfId="37803" xr:uid="{00000000-0005-0000-0000-000083940000}"/>
    <cellStyle name="RIGs input totals 2 4 3 4 15" xfId="37804" xr:uid="{00000000-0005-0000-0000-000084940000}"/>
    <cellStyle name="RIGs input totals 2 4 3 4 16" xfId="37805" xr:uid="{00000000-0005-0000-0000-000085940000}"/>
    <cellStyle name="RIGs input totals 2 4 3 4 17" xfId="37806" xr:uid="{00000000-0005-0000-0000-000086940000}"/>
    <cellStyle name="RIGs input totals 2 4 3 4 18" xfId="37807" xr:uid="{00000000-0005-0000-0000-000087940000}"/>
    <cellStyle name="RIGs input totals 2 4 3 4 19" xfId="37808" xr:uid="{00000000-0005-0000-0000-000088940000}"/>
    <cellStyle name="RIGs input totals 2 4 3 4 2" xfId="37809" xr:uid="{00000000-0005-0000-0000-000089940000}"/>
    <cellStyle name="RIGs input totals 2 4 3 4 2 10" xfId="37810" xr:uid="{00000000-0005-0000-0000-00008A940000}"/>
    <cellStyle name="RIGs input totals 2 4 3 4 2 11" xfId="37811" xr:uid="{00000000-0005-0000-0000-00008B940000}"/>
    <cellStyle name="RIGs input totals 2 4 3 4 2 12" xfId="37812" xr:uid="{00000000-0005-0000-0000-00008C940000}"/>
    <cellStyle name="RIGs input totals 2 4 3 4 2 13" xfId="37813" xr:uid="{00000000-0005-0000-0000-00008D940000}"/>
    <cellStyle name="RIGs input totals 2 4 3 4 2 2" xfId="37814" xr:uid="{00000000-0005-0000-0000-00008E940000}"/>
    <cellStyle name="RIGs input totals 2 4 3 4 2 2 2" xfId="37815" xr:uid="{00000000-0005-0000-0000-00008F940000}"/>
    <cellStyle name="RIGs input totals 2 4 3 4 2 2 3" xfId="37816" xr:uid="{00000000-0005-0000-0000-000090940000}"/>
    <cellStyle name="RIGs input totals 2 4 3 4 2 3" xfId="37817" xr:uid="{00000000-0005-0000-0000-000091940000}"/>
    <cellStyle name="RIGs input totals 2 4 3 4 2 3 2" xfId="37818" xr:uid="{00000000-0005-0000-0000-000092940000}"/>
    <cellStyle name="RIGs input totals 2 4 3 4 2 3 3" xfId="37819" xr:uid="{00000000-0005-0000-0000-000093940000}"/>
    <cellStyle name="RIGs input totals 2 4 3 4 2 4" xfId="37820" xr:uid="{00000000-0005-0000-0000-000094940000}"/>
    <cellStyle name="RIGs input totals 2 4 3 4 2 5" xfId="37821" xr:uid="{00000000-0005-0000-0000-000095940000}"/>
    <cellStyle name="RIGs input totals 2 4 3 4 2 6" xfId="37822" xr:uid="{00000000-0005-0000-0000-000096940000}"/>
    <cellStyle name="RIGs input totals 2 4 3 4 2 7" xfId="37823" xr:uid="{00000000-0005-0000-0000-000097940000}"/>
    <cellStyle name="RIGs input totals 2 4 3 4 2 8" xfId="37824" xr:uid="{00000000-0005-0000-0000-000098940000}"/>
    <cellStyle name="RIGs input totals 2 4 3 4 2 9" xfId="37825" xr:uid="{00000000-0005-0000-0000-000099940000}"/>
    <cellStyle name="RIGs input totals 2 4 3 4 20" xfId="37826" xr:uid="{00000000-0005-0000-0000-00009A940000}"/>
    <cellStyle name="RIGs input totals 2 4 3 4 21" xfId="37827" xr:uid="{00000000-0005-0000-0000-00009B940000}"/>
    <cellStyle name="RIGs input totals 2 4 3 4 22" xfId="37828" xr:uid="{00000000-0005-0000-0000-00009C940000}"/>
    <cellStyle name="RIGs input totals 2 4 3 4 23" xfId="37829" xr:uid="{00000000-0005-0000-0000-00009D940000}"/>
    <cellStyle name="RIGs input totals 2 4 3 4 24" xfId="37830" xr:uid="{00000000-0005-0000-0000-00009E940000}"/>
    <cellStyle name="RIGs input totals 2 4 3 4 25" xfId="37831" xr:uid="{00000000-0005-0000-0000-00009F940000}"/>
    <cellStyle name="RIGs input totals 2 4 3 4 26" xfId="37832" xr:uid="{00000000-0005-0000-0000-0000A0940000}"/>
    <cellStyle name="RIGs input totals 2 4 3 4 27" xfId="37833" xr:uid="{00000000-0005-0000-0000-0000A1940000}"/>
    <cellStyle name="RIGs input totals 2 4 3 4 28" xfId="37834" xr:uid="{00000000-0005-0000-0000-0000A2940000}"/>
    <cellStyle name="RIGs input totals 2 4 3 4 29" xfId="37835" xr:uid="{00000000-0005-0000-0000-0000A3940000}"/>
    <cellStyle name="RIGs input totals 2 4 3 4 3" xfId="37836" xr:uid="{00000000-0005-0000-0000-0000A4940000}"/>
    <cellStyle name="RIGs input totals 2 4 3 4 3 2" xfId="37837" xr:uid="{00000000-0005-0000-0000-0000A5940000}"/>
    <cellStyle name="RIGs input totals 2 4 3 4 3 3" xfId="37838" xr:uid="{00000000-0005-0000-0000-0000A6940000}"/>
    <cellStyle name="RIGs input totals 2 4 3 4 30" xfId="37839" xr:uid="{00000000-0005-0000-0000-0000A7940000}"/>
    <cellStyle name="RIGs input totals 2 4 3 4 4" xfId="37840" xr:uid="{00000000-0005-0000-0000-0000A8940000}"/>
    <cellStyle name="RIGs input totals 2 4 3 4 4 2" xfId="37841" xr:uid="{00000000-0005-0000-0000-0000A9940000}"/>
    <cellStyle name="RIGs input totals 2 4 3 4 4 3" xfId="37842" xr:uid="{00000000-0005-0000-0000-0000AA940000}"/>
    <cellStyle name="RIGs input totals 2 4 3 4 5" xfId="37843" xr:uid="{00000000-0005-0000-0000-0000AB940000}"/>
    <cellStyle name="RIGs input totals 2 4 3 4 6" xfId="37844" xr:uid="{00000000-0005-0000-0000-0000AC940000}"/>
    <cellStyle name="RIGs input totals 2 4 3 4 7" xfId="37845" xr:uid="{00000000-0005-0000-0000-0000AD940000}"/>
    <cellStyle name="RIGs input totals 2 4 3 4 8" xfId="37846" xr:uid="{00000000-0005-0000-0000-0000AE940000}"/>
    <cellStyle name="RIGs input totals 2 4 3 4 9" xfId="37847" xr:uid="{00000000-0005-0000-0000-0000AF940000}"/>
    <cellStyle name="RIGs input totals 2 4 3 5" xfId="37848" xr:uid="{00000000-0005-0000-0000-0000B0940000}"/>
    <cellStyle name="RIGs input totals 2 4 3 5 10" xfId="37849" xr:uid="{00000000-0005-0000-0000-0000B1940000}"/>
    <cellStyle name="RIGs input totals 2 4 3 5 11" xfId="37850" xr:uid="{00000000-0005-0000-0000-0000B2940000}"/>
    <cellStyle name="RIGs input totals 2 4 3 5 12" xfId="37851" xr:uid="{00000000-0005-0000-0000-0000B3940000}"/>
    <cellStyle name="RIGs input totals 2 4 3 5 13" xfId="37852" xr:uid="{00000000-0005-0000-0000-0000B4940000}"/>
    <cellStyle name="RIGs input totals 2 4 3 5 2" xfId="37853" xr:uid="{00000000-0005-0000-0000-0000B5940000}"/>
    <cellStyle name="RIGs input totals 2 4 3 5 2 2" xfId="37854" xr:uid="{00000000-0005-0000-0000-0000B6940000}"/>
    <cellStyle name="RIGs input totals 2 4 3 5 2 3" xfId="37855" xr:uid="{00000000-0005-0000-0000-0000B7940000}"/>
    <cellStyle name="RIGs input totals 2 4 3 5 3" xfId="37856" xr:uid="{00000000-0005-0000-0000-0000B8940000}"/>
    <cellStyle name="RIGs input totals 2 4 3 5 3 2" xfId="37857" xr:uid="{00000000-0005-0000-0000-0000B9940000}"/>
    <cellStyle name="RIGs input totals 2 4 3 5 3 3" xfId="37858" xr:uid="{00000000-0005-0000-0000-0000BA940000}"/>
    <cellStyle name="RIGs input totals 2 4 3 5 4" xfId="37859" xr:uid="{00000000-0005-0000-0000-0000BB940000}"/>
    <cellStyle name="RIGs input totals 2 4 3 5 5" xfId="37860" xr:uid="{00000000-0005-0000-0000-0000BC940000}"/>
    <cellStyle name="RIGs input totals 2 4 3 5 6" xfId="37861" xr:uid="{00000000-0005-0000-0000-0000BD940000}"/>
    <cellStyle name="RIGs input totals 2 4 3 5 7" xfId="37862" xr:uid="{00000000-0005-0000-0000-0000BE940000}"/>
    <cellStyle name="RIGs input totals 2 4 3 5 8" xfId="37863" xr:uid="{00000000-0005-0000-0000-0000BF940000}"/>
    <cellStyle name="RIGs input totals 2 4 3 5 9" xfId="37864" xr:uid="{00000000-0005-0000-0000-0000C0940000}"/>
    <cellStyle name="RIGs input totals 2 4 3 6" xfId="37865" xr:uid="{00000000-0005-0000-0000-0000C1940000}"/>
    <cellStyle name="RIGs input totals 2 4 3 6 2" xfId="37866" xr:uid="{00000000-0005-0000-0000-0000C2940000}"/>
    <cellStyle name="RIGs input totals 2 4 3 6 2 2" xfId="37867" xr:uid="{00000000-0005-0000-0000-0000C3940000}"/>
    <cellStyle name="RIGs input totals 2 4 3 6 2 3" xfId="37868" xr:uid="{00000000-0005-0000-0000-0000C4940000}"/>
    <cellStyle name="RIGs input totals 2 4 3 6 3" xfId="37869" xr:uid="{00000000-0005-0000-0000-0000C5940000}"/>
    <cellStyle name="RIGs input totals 2 4 3 6 3 2" xfId="37870" xr:uid="{00000000-0005-0000-0000-0000C6940000}"/>
    <cellStyle name="RIGs input totals 2 4 3 6 4" xfId="37871" xr:uid="{00000000-0005-0000-0000-0000C7940000}"/>
    <cellStyle name="RIGs input totals 2 4 3 7" xfId="37872" xr:uid="{00000000-0005-0000-0000-0000C8940000}"/>
    <cellStyle name="RIGs input totals 2 4 3 7 2" xfId="37873" xr:uid="{00000000-0005-0000-0000-0000C9940000}"/>
    <cellStyle name="RIGs input totals 2 4 3 8" xfId="37874" xr:uid="{00000000-0005-0000-0000-0000CA940000}"/>
    <cellStyle name="RIGs input totals 2 4 3 8 2" xfId="37875" xr:uid="{00000000-0005-0000-0000-0000CB940000}"/>
    <cellStyle name="RIGs input totals 2 4 3 9" xfId="37876" xr:uid="{00000000-0005-0000-0000-0000CC940000}"/>
    <cellStyle name="RIGs input totals 2 4 3 9 2" xfId="37877" xr:uid="{00000000-0005-0000-0000-0000CD940000}"/>
    <cellStyle name="RIGs input totals 2 4 3_4 28 1_Asst_Health_Crit_AllTO_RIIO_20110714pm" xfId="37878" xr:uid="{00000000-0005-0000-0000-0000CE940000}"/>
    <cellStyle name="RIGs input totals 2 4 30" xfId="37879" xr:uid="{00000000-0005-0000-0000-0000CF940000}"/>
    <cellStyle name="RIGs input totals 2 4 31" xfId="37880" xr:uid="{00000000-0005-0000-0000-0000D0940000}"/>
    <cellStyle name="RIGs input totals 2 4 32" xfId="37881" xr:uid="{00000000-0005-0000-0000-0000D1940000}"/>
    <cellStyle name="RIGs input totals 2 4 33" xfId="37882" xr:uid="{00000000-0005-0000-0000-0000D2940000}"/>
    <cellStyle name="RIGs input totals 2 4 34" xfId="37883" xr:uid="{00000000-0005-0000-0000-0000D3940000}"/>
    <cellStyle name="RIGs input totals 2 4 35" xfId="37884" xr:uid="{00000000-0005-0000-0000-0000D4940000}"/>
    <cellStyle name="RIGs input totals 2 4 36" xfId="37885" xr:uid="{00000000-0005-0000-0000-0000D5940000}"/>
    <cellStyle name="RIGs input totals 2 4 37" xfId="37886" xr:uid="{00000000-0005-0000-0000-0000D6940000}"/>
    <cellStyle name="RIGs input totals 2 4 38" xfId="37887" xr:uid="{00000000-0005-0000-0000-0000D7940000}"/>
    <cellStyle name="RIGs input totals 2 4 39" xfId="37888" xr:uid="{00000000-0005-0000-0000-0000D8940000}"/>
    <cellStyle name="RIGs input totals 2 4 4" xfId="37889" xr:uid="{00000000-0005-0000-0000-0000D9940000}"/>
    <cellStyle name="RIGs input totals 2 4 4 10" xfId="37890" xr:uid="{00000000-0005-0000-0000-0000DA940000}"/>
    <cellStyle name="RIGs input totals 2 4 4 11" xfId="37891" xr:uid="{00000000-0005-0000-0000-0000DB940000}"/>
    <cellStyle name="RIGs input totals 2 4 4 12" xfId="37892" xr:uid="{00000000-0005-0000-0000-0000DC940000}"/>
    <cellStyle name="RIGs input totals 2 4 4 13" xfId="37893" xr:uid="{00000000-0005-0000-0000-0000DD940000}"/>
    <cellStyle name="RIGs input totals 2 4 4 14" xfId="37894" xr:uid="{00000000-0005-0000-0000-0000DE940000}"/>
    <cellStyle name="RIGs input totals 2 4 4 15" xfId="37895" xr:uid="{00000000-0005-0000-0000-0000DF940000}"/>
    <cellStyle name="RIGs input totals 2 4 4 16" xfId="37896" xr:uid="{00000000-0005-0000-0000-0000E0940000}"/>
    <cellStyle name="RIGs input totals 2 4 4 17" xfId="37897" xr:uid="{00000000-0005-0000-0000-0000E1940000}"/>
    <cellStyle name="RIGs input totals 2 4 4 18" xfId="37898" xr:uid="{00000000-0005-0000-0000-0000E2940000}"/>
    <cellStyle name="RIGs input totals 2 4 4 19" xfId="37899" xr:uid="{00000000-0005-0000-0000-0000E3940000}"/>
    <cellStyle name="RIGs input totals 2 4 4 2" xfId="37900" xr:uid="{00000000-0005-0000-0000-0000E4940000}"/>
    <cellStyle name="RIGs input totals 2 4 4 2 10" xfId="37901" xr:uid="{00000000-0005-0000-0000-0000E5940000}"/>
    <cellStyle name="RIGs input totals 2 4 4 2 11" xfId="37902" xr:uid="{00000000-0005-0000-0000-0000E6940000}"/>
    <cellStyle name="RIGs input totals 2 4 4 2 12" xfId="37903" xr:uid="{00000000-0005-0000-0000-0000E7940000}"/>
    <cellStyle name="RIGs input totals 2 4 4 2 13" xfId="37904" xr:uid="{00000000-0005-0000-0000-0000E8940000}"/>
    <cellStyle name="RIGs input totals 2 4 4 2 14" xfId="37905" xr:uid="{00000000-0005-0000-0000-0000E9940000}"/>
    <cellStyle name="RIGs input totals 2 4 4 2 15" xfId="37906" xr:uid="{00000000-0005-0000-0000-0000EA940000}"/>
    <cellStyle name="RIGs input totals 2 4 4 2 16" xfId="37907" xr:uid="{00000000-0005-0000-0000-0000EB940000}"/>
    <cellStyle name="RIGs input totals 2 4 4 2 17" xfId="37908" xr:uid="{00000000-0005-0000-0000-0000EC940000}"/>
    <cellStyle name="RIGs input totals 2 4 4 2 18" xfId="37909" xr:uid="{00000000-0005-0000-0000-0000ED940000}"/>
    <cellStyle name="RIGs input totals 2 4 4 2 19" xfId="37910" xr:uid="{00000000-0005-0000-0000-0000EE940000}"/>
    <cellStyle name="RIGs input totals 2 4 4 2 2" xfId="37911" xr:uid="{00000000-0005-0000-0000-0000EF940000}"/>
    <cellStyle name="RIGs input totals 2 4 4 2 2 10" xfId="37912" xr:uid="{00000000-0005-0000-0000-0000F0940000}"/>
    <cellStyle name="RIGs input totals 2 4 4 2 2 11" xfId="37913" xr:uid="{00000000-0005-0000-0000-0000F1940000}"/>
    <cellStyle name="RIGs input totals 2 4 4 2 2 12" xfId="37914" xr:uid="{00000000-0005-0000-0000-0000F2940000}"/>
    <cellStyle name="RIGs input totals 2 4 4 2 2 13" xfId="37915" xr:uid="{00000000-0005-0000-0000-0000F3940000}"/>
    <cellStyle name="RIGs input totals 2 4 4 2 2 2" xfId="37916" xr:uid="{00000000-0005-0000-0000-0000F4940000}"/>
    <cellStyle name="RIGs input totals 2 4 4 2 2 2 2" xfId="37917" xr:uid="{00000000-0005-0000-0000-0000F5940000}"/>
    <cellStyle name="RIGs input totals 2 4 4 2 2 2 3" xfId="37918" xr:uid="{00000000-0005-0000-0000-0000F6940000}"/>
    <cellStyle name="RIGs input totals 2 4 4 2 2 3" xfId="37919" xr:uid="{00000000-0005-0000-0000-0000F7940000}"/>
    <cellStyle name="RIGs input totals 2 4 4 2 2 3 2" xfId="37920" xr:uid="{00000000-0005-0000-0000-0000F8940000}"/>
    <cellStyle name="RIGs input totals 2 4 4 2 2 3 3" xfId="37921" xr:uid="{00000000-0005-0000-0000-0000F9940000}"/>
    <cellStyle name="RIGs input totals 2 4 4 2 2 4" xfId="37922" xr:uid="{00000000-0005-0000-0000-0000FA940000}"/>
    <cellStyle name="RIGs input totals 2 4 4 2 2 5" xfId="37923" xr:uid="{00000000-0005-0000-0000-0000FB940000}"/>
    <cellStyle name="RIGs input totals 2 4 4 2 2 6" xfId="37924" xr:uid="{00000000-0005-0000-0000-0000FC940000}"/>
    <cellStyle name="RIGs input totals 2 4 4 2 2 7" xfId="37925" xr:uid="{00000000-0005-0000-0000-0000FD940000}"/>
    <cellStyle name="RIGs input totals 2 4 4 2 2 8" xfId="37926" xr:uid="{00000000-0005-0000-0000-0000FE940000}"/>
    <cellStyle name="RIGs input totals 2 4 4 2 2 9" xfId="37927" xr:uid="{00000000-0005-0000-0000-0000FF940000}"/>
    <cellStyle name="RIGs input totals 2 4 4 2 20" xfId="37928" xr:uid="{00000000-0005-0000-0000-000000950000}"/>
    <cellStyle name="RIGs input totals 2 4 4 2 21" xfId="37929" xr:uid="{00000000-0005-0000-0000-000001950000}"/>
    <cellStyle name="RIGs input totals 2 4 4 2 22" xfId="37930" xr:uid="{00000000-0005-0000-0000-000002950000}"/>
    <cellStyle name="RIGs input totals 2 4 4 2 23" xfId="37931" xr:uid="{00000000-0005-0000-0000-000003950000}"/>
    <cellStyle name="RIGs input totals 2 4 4 2 24" xfId="37932" xr:uid="{00000000-0005-0000-0000-000004950000}"/>
    <cellStyle name="RIGs input totals 2 4 4 2 25" xfId="37933" xr:uid="{00000000-0005-0000-0000-000005950000}"/>
    <cellStyle name="RIGs input totals 2 4 4 2 26" xfId="37934" xr:uid="{00000000-0005-0000-0000-000006950000}"/>
    <cellStyle name="RIGs input totals 2 4 4 2 27" xfId="37935" xr:uid="{00000000-0005-0000-0000-000007950000}"/>
    <cellStyle name="RIGs input totals 2 4 4 2 28" xfId="37936" xr:uid="{00000000-0005-0000-0000-000008950000}"/>
    <cellStyle name="RIGs input totals 2 4 4 2 29" xfId="37937" xr:uid="{00000000-0005-0000-0000-000009950000}"/>
    <cellStyle name="RIGs input totals 2 4 4 2 3" xfId="37938" xr:uid="{00000000-0005-0000-0000-00000A950000}"/>
    <cellStyle name="RIGs input totals 2 4 4 2 3 2" xfId="37939" xr:uid="{00000000-0005-0000-0000-00000B950000}"/>
    <cellStyle name="RIGs input totals 2 4 4 2 3 3" xfId="37940" xr:uid="{00000000-0005-0000-0000-00000C950000}"/>
    <cellStyle name="RIGs input totals 2 4 4 2 30" xfId="37941" xr:uid="{00000000-0005-0000-0000-00000D950000}"/>
    <cellStyle name="RIGs input totals 2 4 4 2 31" xfId="37942" xr:uid="{00000000-0005-0000-0000-00000E950000}"/>
    <cellStyle name="RIGs input totals 2 4 4 2 32" xfId="37943" xr:uid="{00000000-0005-0000-0000-00000F950000}"/>
    <cellStyle name="RIGs input totals 2 4 4 2 33" xfId="37944" xr:uid="{00000000-0005-0000-0000-000010950000}"/>
    <cellStyle name="RIGs input totals 2 4 4 2 34" xfId="37945" xr:uid="{00000000-0005-0000-0000-000011950000}"/>
    <cellStyle name="RIGs input totals 2 4 4 2 4" xfId="37946" xr:uid="{00000000-0005-0000-0000-000012950000}"/>
    <cellStyle name="RIGs input totals 2 4 4 2 4 2" xfId="37947" xr:uid="{00000000-0005-0000-0000-000013950000}"/>
    <cellStyle name="RIGs input totals 2 4 4 2 4 3" xfId="37948" xr:uid="{00000000-0005-0000-0000-000014950000}"/>
    <cellStyle name="RIGs input totals 2 4 4 2 5" xfId="37949" xr:uid="{00000000-0005-0000-0000-000015950000}"/>
    <cellStyle name="RIGs input totals 2 4 4 2 6" xfId="37950" xr:uid="{00000000-0005-0000-0000-000016950000}"/>
    <cellStyle name="RIGs input totals 2 4 4 2 7" xfId="37951" xr:uid="{00000000-0005-0000-0000-000017950000}"/>
    <cellStyle name="RIGs input totals 2 4 4 2 8" xfId="37952" xr:uid="{00000000-0005-0000-0000-000018950000}"/>
    <cellStyle name="RIGs input totals 2 4 4 2 9" xfId="37953" xr:uid="{00000000-0005-0000-0000-000019950000}"/>
    <cellStyle name="RIGs input totals 2 4 4 20" xfId="37954" xr:uid="{00000000-0005-0000-0000-00001A950000}"/>
    <cellStyle name="RIGs input totals 2 4 4 21" xfId="37955" xr:uid="{00000000-0005-0000-0000-00001B950000}"/>
    <cellStyle name="RIGs input totals 2 4 4 22" xfId="37956" xr:uid="{00000000-0005-0000-0000-00001C950000}"/>
    <cellStyle name="RIGs input totals 2 4 4 23" xfId="37957" xr:uid="{00000000-0005-0000-0000-00001D950000}"/>
    <cellStyle name="RIGs input totals 2 4 4 24" xfId="37958" xr:uid="{00000000-0005-0000-0000-00001E950000}"/>
    <cellStyle name="RIGs input totals 2 4 4 25" xfId="37959" xr:uid="{00000000-0005-0000-0000-00001F950000}"/>
    <cellStyle name="RIGs input totals 2 4 4 26" xfId="37960" xr:uid="{00000000-0005-0000-0000-000020950000}"/>
    <cellStyle name="RIGs input totals 2 4 4 27" xfId="37961" xr:uid="{00000000-0005-0000-0000-000021950000}"/>
    <cellStyle name="RIGs input totals 2 4 4 28" xfId="37962" xr:uid="{00000000-0005-0000-0000-000022950000}"/>
    <cellStyle name="RIGs input totals 2 4 4 29" xfId="37963" xr:uid="{00000000-0005-0000-0000-000023950000}"/>
    <cellStyle name="RIGs input totals 2 4 4 3" xfId="37964" xr:uid="{00000000-0005-0000-0000-000024950000}"/>
    <cellStyle name="RIGs input totals 2 4 4 3 10" xfId="37965" xr:uid="{00000000-0005-0000-0000-000025950000}"/>
    <cellStyle name="RIGs input totals 2 4 4 3 11" xfId="37966" xr:uid="{00000000-0005-0000-0000-000026950000}"/>
    <cellStyle name="RIGs input totals 2 4 4 3 12" xfId="37967" xr:uid="{00000000-0005-0000-0000-000027950000}"/>
    <cellStyle name="RIGs input totals 2 4 4 3 13" xfId="37968" xr:uid="{00000000-0005-0000-0000-000028950000}"/>
    <cellStyle name="RIGs input totals 2 4 4 3 2" xfId="37969" xr:uid="{00000000-0005-0000-0000-000029950000}"/>
    <cellStyle name="RIGs input totals 2 4 4 3 2 2" xfId="37970" xr:uid="{00000000-0005-0000-0000-00002A950000}"/>
    <cellStyle name="RIGs input totals 2 4 4 3 2 3" xfId="37971" xr:uid="{00000000-0005-0000-0000-00002B950000}"/>
    <cellStyle name="RIGs input totals 2 4 4 3 3" xfId="37972" xr:uid="{00000000-0005-0000-0000-00002C950000}"/>
    <cellStyle name="RIGs input totals 2 4 4 3 3 2" xfId="37973" xr:uid="{00000000-0005-0000-0000-00002D950000}"/>
    <cellStyle name="RIGs input totals 2 4 4 3 3 3" xfId="37974" xr:uid="{00000000-0005-0000-0000-00002E950000}"/>
    <cellStyle name="RIGs input totals 2 4 4 3 4" xfId="37975" xr:uid="{00000000-0005-0000-0000-00002F950000}"/>
    <cellStyle name="RIGs input totals 2 4 4 3 5" xfId="37976" xr:uid="{00000000-0005-0000-0000-000030950000}"/>
    <cellStyle name="RIGs input totals 2 4 4 3 6" xfId="37977" xr:uid="{00000000-0005-0000-0000-000031950000}"/>
    <cellStyle name="RIGs input totals 2 4 4 3 7" xfId="37978" xr:uid="{00000000-0005-0000-0000-000032950000}"/>
    <cellStyle name="RIGs input totals 2 4 4 3 8" xfId="37979" xr:uid="{00000000-0005-0000-0000-000033950000}"/>
    <cellStyle name="RIGs input totals 2 4 4 3 9" xfId="37980" xr:uid="{00000000-0005-0000-0000-000034950000}"/>
    <cellStyle name="RIGs input totals 2 4 4 30" xfId="37981" xr:uid="{00000000-0005-0000-0000-000035950000}"/>
    <cellStyle name="RIGs input totals 2 4 4 31" xfId="37982" xr:uid="{00000000-0005-0000-0000-000036950000}"/>
    <cellStyle name="RIGs input totals 2 4 4 32" xfId="37983" xr:uid="{00000000-0005-0000-0000-000037950000}"/>
    <cellStyle name="RIGs input totals 2 4 4 33" xfId="37984" xr:uid="{00000000-0005-0000-0000-000038950000}"/>
    <cellStyle name="RIGs input totals 2 4 4 34" xfId="37985" xr:uid="{00000000-0005-0000-0000-000039950000}"/>
    <cellStyle name="RIGs input totals 2 4 4 35" xfId="37986" xr:uid="{00000000-0005-0000-0000-00003A950000}"/>
    <cellStyle name="RIGs input totals 2 4 4 4" xfId="37987" xr:uid="{00000000-0005-0000-0000-00003B950000}"/>
    <cellStyle name="RIGs input totals 2 4 4 4 2" xfId="37988" xr:uid="{00000000-0005-0000-0000-00003C950000}"/>
    <cellStyle name="RIGs input totals 2 4 4 4 3" xfId="37989" xr:uid="{00000000-0005-0000-0000-00003D950000}"/>
    <cellStyle name="RIGs input totals 2 4 4 5" xfId="37990" xr:uid="{00000000-0005-0000-0000-00003E950000}"/>
    <cellStyle name="RIGs input totals 2 4 4 5 2" xfId="37991" xr:uid="{00000000-0005-0000-0000-00003F950000}"/>
    <cellStyle name="RIGs input totals 2 4 4 5 3" xfId="37992" xr:uid="{00000000-0005-0000-0000-000040950000}"/>
    <cellStyle name="RIGs input totals 2 4 4 6" xfId="37993" xr:uid="{00000000-0005-0000-0000-000041950000}"/>
    <cellStyle name="RIGs input totals 2 4 4 7" xfId="37994" xr:uid="{00000000-0005-0000-0000-000042950000}"/>
    <cellStyle name="RIGs input totals 2 4 4 8" xfId="37995" xr:uid="{00000000-0005-0000-0000-000043950000}"/>
    <cellStyle name="RIGs input totals 2 4 4 9" xfId="37996" xr:uid="{00000000-0005-0000-0000-000044950000}"/>
    <cellStyle name="RIGs input totals 2 4 4_4 28 1_Asst_Health_Crit_AllTO_RIIO_20110714pm" xfId="37997" xr:uid="{00000000-0005-0000-0000-000045950000}"/>
    <cellStyle name="RIGs input totals 2 4 40" xfId="37998" xr:uid="{00000000-0005-0000-0000-000046950000}"/>
    <cellStyle name="RIGs input totals 2 4 5" xfId="37999" xr:uid="{00000000-0005-0000-0000-000047950000}"/>
    <cellStyle name="RIGs input totals 2 4 5 10" xfId="38000" xr:uid="{00000000-0005-0000-0000-000048950000}"/>
    <cellStyle name="RIGs input totals 2 4 5 11" xfId="38001" xr:uid="{00000000-0005-0000-0000-000049950000}"/>
    <cellStyle name="RIGs input totals 2 4 5 12" xfId="38002" xr:uid="{00000000-0005-0000-0000-00004A950000}"/>
    <cellStyle name="RIGs input totals 2 4 5 13" xfId="38003" xr:uid="{00000000-0005-0000-0000-00004B950000}"/>
    <cellStyle name="RIGs input totals 2 4 5 14" xfId="38004" xr:uid="{00000000-0005-0000-0000-00004C950000}"/>
    <cellStyle name="RIGs input totals 2 4 5 15" xfId="38005" xr:uid="{00000000-0005-0000-0000-00004D950000}"/>
    <cellStyle name="RIGs input totals 2 4 5 16" xfId="38006" xr:uid="{00000000-0005-0000-0000-00004E950000}"/>
    <cellStyle name="RIGs input totals 2 4 5 17" xfId="38007" xr:uid="{00000000-0005-0000-0000-00004F950000}"/>
    <cellStyle name="RIGs input totals 2 4 5 18" xfId="38008" xr:uid="{00000000-0005-0000-0000-000050950000}"/>
    <cellStyle name="RIGs input totals 2 4 5 19" xfId="38009" xr:uid="{00000000-0005-0000-0000-000051950000}"/>
    <cellStyle name="RIGs input totals 2 4 5 2" xfId="38010" xr:uid="{00000000-0005-0000-0000-000052950000}"/>
    <cellStyle name="RIGs input totals 2 4 5 2 10" xfId="38011" xr:uid="{00000000-0005-0000-0000-000053950000}"/>
    <cellStyle name="RIGs input totals 2 4 5 2 11" xfId="38012" xr:uid="{00000000-0005-0000-0000-000054950000}"/>
    <cellStyle name="RIGs input totals 2 4 5 2 12" xfId="38013" xr:uid="{00000000-0005-0000-0000-000055950000}"/>
    <cellStyle name="RIGs input totals 2 4 5 2 13" xfId="38014" xr:uid="{00000000-0005-0000-0000-000056950000}"/>
    <cellStyle name="RIGs input totals 2 4 5 2 2" xfId="38015" xr:uid="{00000000-0005-0000-0000-000057950000}"/>
    <cellStyle name="RIGs input totals 2 4 5 2 2 2" xfId="38016" xr:uid="{00000000-0005-0000-0000-000058950000}"/>
    <cellStyle name="RIGs input totals 2 4 5 2 2 3" xfId="38017" xr:uid="{00000000-0005-0000-0000-000059950000}"/>
    <cellStyle name="RIGs input totals 2 4 5 2 3" xfId="38018" xr:uid="{00000000-0005-0000-0000-00005A950000}"/>
    <cellStyle name="RIGs input totals 2 4 5 2 3 2" xfId="38019" xr:uid="{00000000-0005-0000-0000-00005B950000}"/>
    <cellStyle name="RIGs input totals 2 4 5 2 3 3" xfId="38020" xr:uid="{00000000-0005-0000-0000-00005C950000}"/>
    <cellStyle name="RIGs input totals 2 4 5 2 4" xfId="38021" xr:uid="{00000000-0005-0000-0000-00005D950000}"/>
    <cellStyle name="RIGs input totals 2 4 5 2 5" xfId="38022" xr:uid="{00000000-0005-0000-0000-00005E950000}"/>
    <cellStyle name="RIGs input totals 2 4 5 2 6" xfId="38023" xr:uid="{00000000-0005-0000-0000-00005F950000}"/>
    <cellStyle name="RIGs input totals 2 4 5 2 7" xfId="38024" xr:uid="{00000000-0005-0000-0000-000060950000}"/>
    <cellStyle name="RIGs input totals 2 4 5 2 8" xfId="38025" xr:uid="{00000000-0005-0000-0000-000061950000}"/>
    <cellStyle name="RIGs input totals 2 4 5 2 9" xfId="38026" xr:uid="{00000000-0005-0000-0000-000062950000}"/>
    <cellStyle name="RIGs input totals 2 4 5 20" xfId="38027" xr:uid="{00000000-0005-0000-0000-000063950000}"/>
    <cellStyle name="RIGs input totals 2 4 5 21" xfId="38028" xr:uid="{00000000-0005-0000-0000-000064950000}"/>
    <cellStyle name="RIGs input totals 2 4 5 22" xfId="38029" xr:uid="{00000000-0005-0000-0000-000065950000}"/>
    <cellStyle name="RIGs input totals 2 4 5 23" xfId="38030" xr:uid="{00000000-0005-0000-0000-000066950000}"/>
    <cellStyle name="RIGs input totals 2 4 5 24" xfId="38031" xr:uid="{00000000-0005-0000-0000-000067950000}"/>
    <cellStyle name="RIGs input totals 2 4 5 25" xfId="38032" xr:uid="{00000000-0005-0000-0000-000068950000}"/>
    <cellStyle name="RIGs input totals 2 4 5 26" xfId="38033" xr:uid="{00000000-0005-0000-0000-000069950000}"/>
    <cellStyle name="RIGs input totals 2 4 5 27" xfId="38034" xr:uid="{00000000-0005-0000-0000-00006A950000}"/>
    <cellStyle name="RIGs input totals 2 4 5 28" xfId="38035" xr:uid="{00000000-0005-0000-0000-00006B950000}"/>
    <cellStyle name="RIGs input totals 2 4 5 29" xfId="38036" xr:uid="{00000000-0005-0000-0000-00006C950000}"/>
    <cellStyle name="RIGs input totals 2 4 5 3" xfId="38037" xr:uid="{00000000-0005-0000-0000-00006D950000}"/>
    <cellStyle name="RIGs input totals 2 4 5 3 2" xfId="38038" xr:uid="{00000000-0005-0000-0000-00006E950000}"/>
    <cellStyle name="RIGs input totals 2 4 5 3 3" xfId="38039" xr:uid="{00000000-0005-0000-0000-00006F950000}"/>
    <cellStyle name="RIGs input totals 2 4 5 30" xfId="38040" xr:uid="{00000000-0005-0000-0000-000070950000}"/>
    <cellStyle name="RIGs input totals 2 4 5 31" xfId="38041" xr:uid="{00000000-0005-0000-0000-000071950000}"/>
    <cellStyle name="RIGs input totals 2 4 5 32" xfId="38042" xr:uid="{00000000-0005-0000-0000-000072950000}"/>
    <cellStyle name="RIGs input totals 2 4 5 33" xfId="38043" xr:uid="{00000000-0005-0000-0000-000073950000}"/>
    <cellStyle name="RIGs input totals 2 4 5 34" xfId="38044" xr:uid="{00000000-0005-0000-0000-000074950000}"/>
    <cellStyle name="RIGs input totals 2 4 5 4" xfId="38045" xr:uid="{00000000-0005-0000-0000-000075950000}"/>
    <cellStyle name="RIGs input totals 2 4 5 4 2" xfId="38046" xr:uid="{00000000-0005-0000-0000-000076950000}"/>
    <cellStyle name="RIGs input totals 2 4 5 4 3" xfId="38047" xr:uid="{00000000-0005-0000-0000-000077950000}"/>
    <cellStyle name="RIGs input totals 2 4 5 5" xfId="38048" xr:uid="{00000000-0005-0000-0000-000078950000}"/>
    <cellStyle name="RIGs input totals 2 4 5 6" xfId="38049" xr:uid="{00000000-0005-0000-0000-000079950000}"/>
    <cellStyle name="RIGs input totals 2 4 5 7" xfId="38050" xr:uid="{00000000-0005-0000-0000-00007A950000}"/>
    <cellStyle name="RIGs input totals 2 4 5 8" xfId="38051" xr:uid="{00000000-0005-0000-0000-00007B950000}"/>
    <cellStyle name="RIGs input totals 2 4 5 9" xfId="38052" xr:uid="{00000000-0005-0000-0000-00007C950000}"/>
    <cellStyle name="RIGs input totals 2 4 6" xfId="38053" xr:uid="{00000000-0005-0000-0000-00007D950000}"/>
    <cellStyle name="RIGs input totals 2 4 6 10" xfId="38054" xr:uid="{00000000-0005-0000-0000-00007E950000}"/>
    <cellStyle name="RIGs input totals 2 4 6 11" xfId="38055" xr:uid="{00000000-0005-0000-0000-00007F950000}"/>
    <cellStyle name="RIGs input totals 2 4 6 12" xfId="38056" xr:uid="{00000000-0005-0000-0000-000080950000}"/>
    <cellStyle name="RIGs input totals 2 4 6 13" xfId="38057" xr:uid="{00000000-0005-0000-0000-000081950000}"/>
    <cellStyle name="RIGs input totals 2 4 6 14" xfId="38058" xr:uid="{00000000-0005-0000-0000-000082950000}"/>
    <cellStyle name="RIGs input totals 2 4 6 15" xfId="38059" xr:uid="{00000000-0005-0000-0000-000083950000}"/>
    <cellStyle name="RIGs input totals 2 4 6 16" xfId="38060" xr:uid="{00000000-0005-0000-0000-000084950000}"/>
    <cellStyle name="RIGs input totals 2 4 6 17" xfId="38061" xr:uid="{00000000-0005-0000-0000-000085950000}"/>
    <cellStyle name="RIGs input totals 2 4 6 18" xfId="38062" xr:uid="{00000000-0005-0000-0000-000086950000}"/>
    <cellStyle name="RIGs input totals 2 4 6 19" xfId="38063" xr:uid="{00000000-0005-0000-0000-000087950000}"/>
    <cellStyle name="RIGs input totals 2 4 6 2" xfId="38064" xr:uid="{00000000-0005-0000-0000-000088950000}"/>
    <cellStyle name="RIGs input totals 2 4 6 2 10" xfId="38065" xr:uid="{00000000-0005-0000-0000-000089950000}"/>
    <cellStyle name="RIGs input totals 2 4 6 2 11" xfId="38066" xr:uid="{00000000-0005-0000-0000-00008A950000}"/>
    <cellStyle name="RIGs input totals 2 4 6 2 12" xfId="38067" xr:uid="{00000000-0005-0000-0000-00008B950000}"/>
    <cellStyle name="RIGs input totals 2 4 6 2 13" xfId="38068" xr:uid="{00000000-0005-0000-0000-00008C950000}"/>
    <cellStyle name="RIGs input totals 2 4 6 2 2" xfId="38069" xr:uid="{00000000-0005-0000-0000-00008D950000}"/>
    <cellStyle name="RIGs input totals 2 4 6 2 2 2" xfId="38070" xr:uid="{00000000-0005-0000-0000-00008E950000}"/>
    <cellStyle name="RIGs input totals 2 4 6 2 2 3" xfId="38071" xr:uid="{00000000-0005-0000-0000-00008F950000}"/>
    <cellStyle name="RIGs input totals 2 4 6 2 3" xfId="38072" xr:uid="{00000000-0005-0000-0000-000090950000}"/>
    <cellStyle name="RIGs input totals 2 4 6 2 3 2" xfId="38073" xr:uid="{00000000-0005-0000-0000-000091950000}"/>
    <cellStyle name="RIGs input totals 2 4 6 2 3 3" xfId="38074" xr:uid="{00000000-0005-0000-0000-000092950000}"/>
    <cellStyle name="RIGs input totals 2 4 6 2 4" xfId="38075" xr:uid="{00000000-0005-0000-0000-000093950000}"/>
    <cellStyle name="RIGs input totals 2 4 6 2 5" xfId="38076" xr:uid="{00000000-0005-0000-0000-000094950000}"/>
    <cellStyle name="RIGs input totals 2 4 6 2 6" xfId="38077" xr:uid="{00000000-0005-0000-0000-000095950000}"/>
    <cellStyle name="RIGs input totals 2 4 6 2 7" xfId="38078" xr:uid="{00000000-0005-0000-0000-000096950000}"/>
    <cellStyle name="RIGs input totals 2 4 6 2 8" xfId="38079" xr:uid="{00000000-0005-0000-0000-000097950000}"/>
    <cellStyle name="RIGs input totals 2 4 6 2 9" xfId="38080" xr:uid="{00000000-0005-0000-0000-000098950000}"/>
    <cellStyle name="RIGs input totals 2 4 6 20" xfId="38081" xr:uid="{00000000-0005-0000-0000-000099950000}"/>
    <cellStyle name="RIGs input totals 2 4 6 21" xfId="38082" xr:uid="{00000000-0005-0000-0000-00009A950000}"/>
    <cellStyle name="RIGs input totals 2 4 6 22" xfId="38083" xr:uid="{00000000-0005-0000-0000-00009B950000}"/>
    <cellStyle name="RIGs input totals 2 4 6 23" xfId="38084" xr:uid="{00000000-0005-0000-0000-00009C950000}"/>
    <cellStyle name="RIGs input totals 2 4 6 24" xfId="38085" xr:uid="{00000000-0005-0000-0000-00009D950000}"/>
    <cellStyle name="RIGs input totals 2 4 6 25" xfId="38086" xr:uid="{00000000-0005-0000-0000-00009E950000}"/>
    <cellStyle name="RIGs input totals 2 4 6 26" xfId="38087" xr:uid="{00000000-0005-0000-0000-00009F950000}"/>
    <cellStyle name="RIGs input totals 2 4 6 27" xfId="38088" xr:uid="{00000000-0005-0000-0000-0000A0950000}"/>
    <cellStyle name="RIGs input totals 2 4 6 28" xfId="38089" xr:uid="{00000000-0005-0000-0000-0000A1950000}"/>
    <cellStyle name="RIGs input totals 2 4 6 29" xfId="38090" xr:uid="{00000000-0005-0000-0000-0000A2950000}"/>
    <cellStyle name="RIGs input totals 2 4 6 3" xfId="38091" xr:uid="{00000000-0005-0000-0000-0000A3950000}"/>
    <cellStyle name="RIGs input totals 2 4 6 3 2" xfId="38092" xr:uid="{00000000-0005-0000-0000-0000A4950000}"/>
    <cellStyle name="RIGs input totals 2 4 6 3 3" xfId="38093" xr:uid="{00000000-0005-0000-0000-0000A5950000}"/>
    <cellStyle name="RIGs input totals 2 4 6 30" xfId="38094" xr:uid="{00000000-0005-0000-0000-0000A6950000}"/>
    <cellStyle name="RIGs input totals 2 4 6 31" xfId="38095" xr:uid="{00000000-0005-0000-0000-0000A7950000}"/>
    <cellStyle name="RIGs input totals 2 4 6 32" xfId="38096" xr:uid="{00000000-0005-0000-0000-0000A8950000}"/>
    <cellStyle name="RIGs input totals 2 4 6 33" xfId="38097" xr:uid="{00000000-0005-0000-0000-0000A9950000}"/>
    <cellStyle name="RIGs input totals 2 4 6 34" xfId="38098" xr:uid="{00000000-0005-0000-0000-0000AA950000}"/>
    <cellStyle name="RIGs input totals 2 4 6 4" xfId="38099" xr:uid="{00000000-0005-0000-0000-0000AB950000}"/>
    <cellStyle name="RIGs input totals 2 4 6 4 2" xfId="38100" xr:uid="{00000000-0005-0000-0000-0000AC950000}"/>
    <cellStyle name="RIGs input totals 2 4 6 4 3" xfId="38101" xr:uid="{00000000-0005-0000-0000-0000AD950000}"/>
    <cellStyle name="RIGs input totals 2 4 6 5" xfId="38102" xr:uid="{00000000-0005-0000-0000-0000AE950000}"/>
    <cellStyle name="RIGs input totals 2 4 6 6" xfId="38103" xr:uid="{00000000-0005-0000-0000-0000AF950000}"/>
    <cellStyle name="RIGs input totals 2 4 6 7" xfId="38104" xr:uid="{00000000-0005-0000-0000-0000B0950000}"/>
    <cellStyle name="RIGs input totals 2 4 6 8" xfId="38105" xr:uid="{00000000-0005-0000-0000-0000B1950000}"/>
    <cellStyle name="RIGs input totals 2 4 6 9" xfId="38106" xr:uid="{00000000-0005-0000-0000-0000B2950000}"/>
    <cellStyle name="RIGs input totals 2 4 7" xfId="38107" xr:uid="{00000000-0005-0000-0000-0000B3950000}"/>
    <cellStyle name="RIGs input totals 2 4 7 10" xfId="38108" xr:uid="{00000000-0005-0000-0000-0000B4950000}"/>
    <cellStyle name="RIGs input totals 2 4 7 11" xfId="38109" xr:uid="{00000000-0005-0000-0000-0000B5950000}"/>
    <cellStyle name="RIGs input totals 2 4 7 12" xfId="38110" xr:uid="{00000000-0005-0000-0000-0000B6950000}"/>
    <cellStyle name="RIGs input totals 2 4 7 13" xfId="38111" xr:uid="{00000000-0005-0000-0000-0000B7950000}"/>
    <cellStyle name="RIGs input totals 2 4 7 2" xfId="38112" xr:uid="{00000000-0005-0000-0000-0000B8950000}"/>
    <cellStyle name="RIGs input totals 2 4 7 2 2" xfId="38113" xr:uid="{00000000-0005-0000-0000-0000B9950000}"/>
    <cellStyle name="RIGs input totals 2 4 7 2 3" xfId="38114" xr:uid="{00000000-0005-0000-0000-0000BA950000}"/>
    <cellStyle name="RIGs input totals 2 4 7 3" xfId="38115" xr:uid="{00000000-0005-0000-0000-0000BB950000}"/>
    <cellStyle name="RIGs input totals 2 4 7 3 2" xfId="38116" xr:uid="{00000000-0005-0000-0000-0000BC950000}"/>
    <cellStyle name="RIGs input totals 2 4 7 3 3" xfId="38117" xr:uid="{00000000-0005-0000-0000-0000BD950000}"/>
    <cellStyle name="RIGs input totals 2 4 7 4" xfId="38118" xr:uid="{00000000-0005-0000-0000-0000BE950000}"/>
    <cellStyle name="RIGs input totals 2 4 7 5" xfId="38119" xr:uid="{00000000-0005-0000-0000-0000BF950000}"/>
    <cellStyle name="RIGs input totals 2 4 7 6" xfId="38120" xr:uid="{00000000-0005-0000-0000-0000C0950000}"/>
    <cellStyle name="RIGs input totals 2 4 7 7" xfId="38121" xr:uid="{00000000-0005-0000-0000-0000C1950000}"/>
    <cellStyle name="RIGs input totals 2 4 7 8" xfId="38122" xr:uid="{00000000-0005-0000-0000-0000C2950000}"/>
    <cellStyle name="RIGs input totals 2 4 7 9" xfId="38123" xr:uid="{00000000-0005-0000-0000-0000C3950000}"/>
    <cellStyle name="RIGs input totals 2 4 8" xfId="38124" xr:uid="{00000000-0005-0000-0000-0000C4950000}"/>
    <cellStyle name="RIGs input totals 2 4 8 2" xfId="38125" xr:uid="{00000000-0005-0000-0000-0000C5950000}"/>
    <cellStyle name="RIGs input totals 2 4 8 2 2" xfId="38126" xr:uid="{00000000-0005-0000-0000-0000C6950000}"/>
    <cellStyle name="RIGs input totals 2 4 8 2 3" xfId="38127" xr:uid="{00000000-0005-0000-0000-0000C7950000}"/>
    <cellStyle name="RIGs input totals 2 4 8 3" xfId="38128" xr:uid="{00000000-0005-0000-0000-0000C8950000}"/>
    <cellStyle name="RIGs input totals 2 4 8 3 2" xfId="38129" xr:uid="{00000000-0005-0000-0000-0000C9950000}"/>
    <cellStyle name="RIGs input totals 2 4 8 4" xfId="38130" xr:uid="{00000000-0005-0000-0000-0000CA950000}"/>
    <cellStyle name="RIGs input totals 2 4 9" xfId="38131" xr:uid="{00000000-0005-0000-0000-0000CB950000}"/>
    <cellStyle name="RIGs input totals 2 4 9 2" xfId="38132" xr:uid="{00000000-0005-0000-0000-0000CC950000}"/>
    <cellStyle name="RIGs input totals 2 4_4 28 1_Asst_Health_Crit_AllTO_RIIO_20110714pm" xfId="38133" xr:uid="{00000000-0005-0000-0000-0000CD950000}"/>
    <cellStyle name="RIGs input totals 2 40" xfId="38134" xr:uid="{00000000-0005-0000-0000-0000CE950000}"/>
    <cellStyle name="RIGs input totals 2 41" xfId="38135" xr:uid="{00000000-0005-0000-0000-0000CF950000}"/>
    <cellStyle name="RIGs input totals 2 42" xfId="38136" xr:uid="{00000000-0005-0000-0000-0000D0950000}"/>
    <cellStyle name="RIGs input totals 2 43" xfId="38137" xr:uid="{00000000-0005-0000-0000-0000D1950000}"/>
    <cellStyle name="RIGs input totals 2 44" xfId="38138" xr:uid="{00000000-0005-0000-0000-0000D2950000}"/>
    <cellStyle name="RIGs input totals 2 45" xfId="38139" xr:uid="{00000000-0005-0000-0000-0000D3950000}"/>
    <cellStyle name="RIGs input totals 2 5" xfId="38140" xr:uid="{00000000-0005-0000-0000-0000D4950000}"/>
    <cellStyle name="RIGs input totals 2 5 10" xfId="38141" xr:uid="{00000000-0005-0000-0000-0000D5950000}"/>
    <cellStyle name="RIGs input totals 2 5 10 2" xfId="38142" xr:uid="{00000000-0005-0000-0000-0000D6950000}"/>
    <cellStyle name="RIGs input totals 2 5 11" xfId="38143" xr:uid="{00000000-0005-0000-0000-0000D7950000}"/>
    <cellStyle name="RIGs input totals 2 5 11 2" xfId="38144" xr:uid="{00000000-0005-0000-0000-0000D8950000}"/>
    <cellStyle name="RIGs input totals 2 5 12" xfId="38145" xr:uid="{00000000-0005-0000-0000-0000D9950000}"/>
    <cellStyle name="RIGs input totals 2 5 12 2" xfId="38146" xr:uid="{00000000-0005-0000-0000-0000DA950000}"/>
    <cellStyle name="RIGs input totals 2 5 13" xfId="38147" xr:uid="{00000000-0005-0000-0000-0000DB950000}"/>
    <cellStyle name="RIGs input totals 2 5 13 2" xfId="38148" xr:uid="{00000000-0005-0000-0000-0000DC950000}"/>
    <cellStyle name="RIGs input totals 2 5 14" xfId="38149" xr:uid="{00000000-0005-0000-0000-0000DD950000}"/>
    <cellStyle name="RIGs input totals 2 5 14 2" xfId="38150" xr:uid="{00000000-0005-0000-0000-0000DE950000}"/>
    <cellStyle name="RIGs input totals 2 5 15" xfId="38151" xr:uid="{00000000-0005-0000-0000-0000DF950000}"/>
    <cellStyle name="RIGs input totals 2 5 15 2" xfId="38152" xr:uid="{00000000-0005-0000-0000-0000E0950000}"/>
    <cellStyle name="RIGs input totals 2 5 16" xfId="38153" xr:uid="{00000000-0005-0000-0000-0000E1950000}"/>
    <cellStyle name="RIGs input totals 2 5 16 2" xfId="38154" xr:uid="{00000000-0005-0000-0000-0000E2950000}"/>
    <cellStyle name="RIGs input totals 2 5 17" xfId="38155" xr:uid="{00000000-0005-0000-0000-0000E3950000}"/>
    <cellStyle name="RIGs input totals 2 5 17 2" xfId="38156" xr:uid="{00000000-0005-0000-0000-0000E4950000}"/>
    <cellStyle name="RIGs input totals 2 5 18" xfId="38157" xr:uid="{00000000-0005-0000-0000-0000E5950000}"/>
    <cellStyle name="RIGs input totals 2 5 18 2" xfId="38158" xr:uid="{00000000-0005-0000-0000-0000E6950000}"/>
    <cellStyle name="RIGs input totals 2 5 19" xfId="38159" xr:uid="{00000000-0005-0000-0000-0000E7950000}"/>
    <cellStyle name="RIGs input totals 2 5 19 2" xfId="38160" xr:uid="{00000000-0005-0000-0000-0000E8950000}"/>
    <cellStyle name="RIGs input totals 2 5 2" xfId="38161" xr:uid="{00000000-0005-0000-0000-0000E9950000}"/>
    <cellStyle name="RIGs input totals 2 5 2 10" xfId="38162" xr:uid="{00000000-0005-0000-0000-0000EA950000}"/>
    <cellStyle name="RIGs input totals 2 5 2 10 2" xfId="38163" xr:uid="{00000000-0005-0000-0000-0000EB950000}"/>
    <cellStyle name="RIGs input totals 2 5 2 11" xfId="38164" xr:uid="{00000000-0005-0000-0000-0000EC950000}"/>
    <cellStyle name="RIGs input totals 2 5 2 11 2" xfId="38165" xr:uid="{00000000-0005-0000-0000-0000ED950000}"/>
    <cellStyle name="RIGs input totals 2 5 2 12" xfId="38166" xr:uid="{00000000-0005-0000-0000-0000EE950000}"/>
    <cellStyle name="RIGs input totals 2 5 2 12 2" xfId="38167" xr:uid="{00000000-0005-0000-0000-0000EF950000}"/>
    <cellStyle name="RIGs input totals 2 5 2 13" xfId="38168" xr:uid="{00000000-0005-0000-0000-0000F0950000}"/>
    <cellStyle name="RIGs input totals 2 5 2 13 2" xfId="38169" xr:uid="{00000000-0005-0000-0000-0000F1950000}"/>
    <cellStyle name="RIGs input totals 2 5 2 14" xfId="38170" xr:uid="{00000000-0005-0000-0000-0000F2950000}"/>
    <cellStyle name="RIGs input totals 2 5 2 14 2" xfId="38171" xr:uid="{00000000-0005-0000-0000-0000F3950000}"/>
    <cellStyle name="RIGs input totals 2 5 2 15" xfId="38172" xr:uid="{00000000-0005-0000-0000-0000F4950000}"/>
    <cellStyle name="RIGs input totals 2 5 2 15 2" xfId="38173" xr:uid="{00000000-0005-0000-0000-0000F5950000}"/>
    <cellStyle name="RIGs input totals 2 5 2 16" xfId="38174" xr:uid="{00000000-0005-0000-0000-0000F6950000}"/>
    <cellStyle name="RIGs input totals 2 5 2 16 2" xfId="38175" xr:uid="{00000000-0005-0000-0000-0000F7950000}"/>
    <cellStyle name="RIGs input totals 2 5 2 17" xfId="38176" xr:uid="{00000000-0005-0000-0000-0000F8950000}"/>
    <cellStyle name="RIGs input totals 2 5 2 17 2" xfId="38177" xr:uid="{00000000-0005-0000-0000-0000F9950000}"/>
    <cellStyle name="RIGs input totals 2 5 2 18" xfId="38178" xr:uid="{00000000-0005-0000-0000-0000FA950000}"/>
    <cellStyle name="RIGs input totals 2 5 2 18 2" xfId="38179" xr:uid="{00000000-0005-0000-0000-0000FB950000}"/>
    <cellStyle name="RIGs input totals 2 5 2 19" xfId="38180" xr:uid="{00000000-0005-0000-0000-0000FC950000}"/>
    <cellStyle name="RIGs input totals 2 5 2 19 2" xfId="38181" xr:uid="{00000000-0005-0000-0000-0000FD950000}"/>
    <cellStyle name="RIGs input totals 2 5 2 2" xfId="38182" xr:uid="{00000000-0005-0000-0000-0000FE950000}"/>
    <cellStyle name="RIGs input totals 2 5 2 2 10" xfId="38183" xr:uid="{00000000-0005-0000-0000-0000FF950000}"/>
    <cellStyle name="RIGs input totals 2 5 2 2 11" xfId="38184" xr:uid="{00000000-0005-0000-0000-000000960000}"/>
    <cellStyle name="RIGs input totals 2 5 2 2 12" xfId="38185" xr:uid="{00000000-0005-0000-0000-000001960000}"/>
    <cellStyle name="RIGs input totals 2 5 2 2 13" xfId="38186" xr:uid="{00000000-0005-0000-0000-000002960000}"/>
    <cellStyle name="RIGs input totals 2 5 2 2 14" xfId="38187" xr:uid="{00000000-0005-0000-0000-000003960000}"/>
    <cellStyle name="RIGs input totals 2 5 2 2 15" xfId="38188" xr:uid="{00000000-0005-0000-0000-000004960000}"/>
    <cellStyle name="RIGs input totals 2 5 2 2 16" xfId="38189" xr:uid="{00000000-0005-0000-0000-000005960000}"/>
    <cellStyle name="RIGs input totals 2 5 2 2 17" xfId="38190" xr:uid="{00000000-0005-0000-0000-000006960000}"/>
    <cellStyle name="RIGs input totals 2 5 2 2 18" xfId="38191" xr:uid="{00000000-0005-0000-0000-000007960000}"/>
    <cellStyle name="RIGs input totals 2 5 2 2 19" xfId="38192" xr:uid="{00000000-0005-0000-0000-000008960000}"/>
    <cellStyle name="RIGs input totals 2 5 2 2 2" xfId="38193" xr:uid="{00000000-0005-0000-0000-000009960000}"/>
    <cellStyle name="RIGs input totals 2 5 2 2 2 10" xfId="38194" xr:uid="{00000000-0005-0000-0000-00000A960000}"/>
    <cellStyle name="RIGs input totals 2 5 2 2 2 11" xfId="38195" xr:uid="{00000000-0005-0000-0000-00000B960000}"/>
    <cellStyle name="RIGs input totals 2 5 2 2 2 12" xfId="38196" xr:uid="{00000000-0005-0000-0000-00000C960000}"/>
    <cellStyle name="RIGs input totals 2 5 2 2 2 13" xfId="38197" xr:uid="{00000000-0005-0000-0000-00000D960000}"/>
    <cellStyle name="RIGs input totals 2 5 2 2 2 14" xfId="38198" xr:uid="{00000000-0005-0000-0000-00000E960000}"/>
    <cellStyle name="RIGs input totals 2 5 2 2 2 15" xfId="38199" xr:uid="{00000000-0005-0000-0000-00000F960000}"/>
    <cellStyle name="RIGs input totals 2 5 2 2 2 16" xfId="38200" xr:uid="{00000000-0005-0000-0000-000010960000}"/>
    <cellStyle name="RIGs input totals 2 5 2 2 2 17" xfId="38201" xr:uid="{00000000-0005-0000-0000-000011960000}"/>
    <cellStyle name="RIGs input totals 2 5 2 2 2 18" xfId="38202" xr:uid="{00000000-0005-0000-0000-000012960000}"/>
    <cellStyle name="RIGs input totals 2 5 2 2 2 19" xfId="38203" xr:uid="{00000000-0005-0000-0000-000013960000}"/>
    <cellStyle name="RIGs input totals 2 5 2 2 2 2" xfId="38204" xr:uid="{00000000-0005-0000-0000-000014960000}"/>
    <cellStyle name="RIGs input totals 2 5 2 2 2 2 10" xfId="38205" xr:uid="{00000000-0005-0000-0000-000015960000}"/>
    <cellStyle name="RIGs input totals 2 5 2 2 2 2 11" xfId="38206" xr:uid="{00000000-0005-0000-0000-000016960000}"/>
    <cellStyle name="RIGs input totals 2 5 2 2 2 2 12" xfId="38207" xr:uid="{00000000-0005-0000-0000-000017960000}"/>
    <cellStyle name="RIGs input totals 2 5 2 2 2 2 13" xfId="38208" xr:uid="{00000000-0005-0000-0000-000018960000}"/>
    <cellStyle name="RIGs input totals 2 5 2 2 2 2 2" xfId="38209" xr:uid="{00000000-0005-0000-0000-000019960000}"/>
    <cellStyle name="RIGs input totals 2 5 2 2 2 2 2 2" xfId="38210" xr:uid="{00000000-0005-0000-0000-00001A960000}"/>
    <cellStyle name="RIGs input totals 2 5 2 2 2 2 2 3" xfId="38211" xr:uid="{00000000-0005-0000-0000-00001B960000}"/>
    <cellStyle name="RIGs input totals 2 5 2 2 2 2 3" xfId="38212" xr:uid="{00000000-0005-0000-0000-00001C960000}"/>
    <cellStyle name="RIGs input totals 2 5 2 2 2 2 3 2" xfId="38213" xr:uid="{00000000-0005-0000-0000-00001D960000}"/>
    <cellStyle name="RIGs input totals 2 5 2 2 2 2 3 3" xfId="38214" xr:uid="{00000000-0005-0000-0000-00001E960000}"/>
    <cellStyle name="RIGs input totals 2 5 2 2 2 2 4" xfId="38215" xr:uid="{00000000-0005-0000-0000-00001F960000}"/>
    <cellStyle name="RIGs input totals 2 5 2 2 2 2 5" xfId="38216" xr:uid="{00000000-0005-0000-0000-000020960000}"/>
    <cellStyle name="RIGs input totals 2 5 2 2 2 2 6" xfId="38217" xr:uid="{00000000-0005-0000-0000-000021960000}"/>
    <cellStyle name="RIGs input totals 2 5 2 2 2 2 7" xfId="38218" xr:uid="{00000000-0005-0000-0000-000022960000}"/>
    <cellStyle name="RIGs input totals 2 5 2 2 2 2 8" xfId="38219" xr:uid="{00000000-0005-0000-0000-000023960000}"/>
    <cellStyle name="RIGs input totals 2 5 2 2 2 2 9" xfId="38220" xr:uid="{00000000-0005-0000-0000-000024960000}"/>
    <cellStyle name="RIGs input totals 2 5 2 2 2 20" xfId="38221" xr:uid="{00000000-0005-0000-0000-000025960000}"/>
    <cellStyle name="RIGs input totals 2 5 2 2 2 21" xfId="38222" xr:uid="{00000000-0005-0000-0000-000026960000}"/>
    <cellStyle name="RIGs input totals 2 5 2 2 2 22" xfId="38223" xr:uid="{00000000-0005-0000-0000-000027960000}"/>
    <cellStyle name="RIGs input totals 2 5 2 2 2 23" xfId="38224" xr:uid="{00000000-0005-0000-0000-000028960000}"/>
    <cellStyle name="RIGs input totals 2 5 2 2 2 24" xfId="38225" xr:uid="{00000000-0005-0000-0000-000029960000}"/>
    <cellStyle name="RIGs input totals 2 5 2 2 2 25" xfId="38226" xr:uid="{00000000-0005-0000-0000-00002A960000}"/>
    <cellStyle name="RIGs input totals 2 5 2 2 2 26" xfId="38227" xr:uid="{00000000-0005-0000-0000-00002B960000}"/>
    <cellStyle name="RIGs input totals 2 5 2 2 2 27" xfId="38228" xr:uid="{00000000-0005-0000-0000-00002C960000}"/>
    <cellStyle name="RIGs input totals 2 5 2 2 2 28" xfId="38229" xr:uid="{00000000-0005-0000-0000-00002D960000}"/>
    <cellStyle name="RIGs input totals 2 5 2 2 2 29" xfId="38230" xr:uid="{00000000-0005-0000-0000-00002E960000}"/>
    <cellStyle name="RIGs input totals 2 5 2 2 2 3" xfId="38231" xr:uid="{00000000-0005-0000-0000-00002F960000}"/>
    <cellStyle name="RIGs input totals 2 5 2 2 2 3 2" xfId="38232" xr:uid="{00000000-0005-0000-0000-000030960000}"/>
    <cellStyle name="RIGs input totals 2 5 2 2 2 3 3" xfId="38233" xr:uid="{00000000-0005-0000-0000-000031960000}"/>
    <cellStyle name="RIGs input totals 2 5 2 2 2 30" xfId="38234" xr:uid="{00000000-0005-0000-0000-000032960000}"/>
    <cellStyle name="RIGs input totals 2 5 2 2 2 31" xfId="38235" xr:uid="{00000000-0005-0000-0000-000033960000}"/>
    <cellStyle name="RIGs input totals 2 5 2 2 2 32" xfId="38236" xr:uid="{00000000-0005-0000-0000-000034960000}"/>
    <cellStyle name="RIGs input totals 2 5 2 2 2 33" xfId="38237" xr:uid="{00000000-0005-0000-0000-000035960000}"/>
    <cellStyle name="RIGs input totals 2 5 2 2 2 34" xfId="38238" xr:uid="{00000000-0005-0000-0000-000036960000}"/>
    <cellStyle name="RIGs input totals 2 5 2 2 2 4" xfId="38239" xr:uid="{00000000-0005-0000-0000-000037960000}"/>
    <cellStyle name="RIGs input totals 2 5 2 2 2 4 2" xfId="38240" xr:uid="{00000000-0005-0000-0000-000038960000}"/>
    <cellStyle name="RIGs input totals 2 5 2 2 2 4 3" xfId="38241" xr:uid="{00000000-0005-0000-0000-000039960000}"/>
    <cellStyle name="RIGs input totals 2 5 2 2 2 5" xfId="38242" xr:uid="{00000000-0005-0000-0000-00003A960000}"/>
    <cellStyle name="RIGs input totals 2 5 2 2 2 6" xfId="38243" xr:uid="{00000000-0005-0000-0000-00003B960000}"/>
    <cellStyle name="RIGs input totals 2 5 2 2 2 7" xfId="38244" xr:uid="{00000000-0005-0000-0000-00003C960000}"/>
    <cellStyle name="RIGs input totals 2 5 2 2 2 8" xfId="38245" xr:uid="{00000000-0005-0000-0000-00003D960000}"/>
    <cellStyle name="RIGs input totals 2 5 2 2 2 9" xfId="38246" xr:uid="{00000000-0005-0000-0000-00003E960000}"/>
    <cellStyle name="RIGs input totals 2 5 2 2 20" xfId="38247" xr:uid="{00000000-0005-0000-0000-00003F960000}"/>
    <cellStyle name="RIGs input totals 2 5 2 2 21" xfId="38248" xr:uid="{00000000-0005-0000-0000-000040960000}"/>
    <cellStyle name="RIGs input totals 2 5 2 2 22" xfId="38249" xr:uid="{00000000-0005-0000-0000-000041960000}"/>
    <cellStyle name="RIGs input totals 2 5 2 2 23" xfId="38250" xr:uid="{00000000-0005-0000-0000-000042960000}"/>
    <cellStyle name="RIGs input totals 2 5 2 2 24" xfId="38251" xr:uid="{00000000-0005-0000-0000-000043960000}"/>
    <cellStyle name="RIGs input totals 2 5 2 2 25" xfId="38252" xr:uid="{00000000-0005-0000-0000-000044960000}"/>
    <cellStyle name="RIGs input totals 2 5 2 2 26" xfId="38253" xr:uid="{00000000-0005-0000-0000-000045960000}"/>
    <cellStyle name="RIGs input totals 2 5 2 2 27" xfId="38254" xr:uid="{00000000-0005-0000-0000-000046960000}"/>
    <cellStyle name="RIGs input totals 2 5 2 2 28" xfId="38255" xr:uid="{00000000-0005-0000-0000-000047960000}"/>
    <cellStyle name="RIGs input totals 2 5 2 2 29" xfId="38256" xr:uid="{00000000-0005-0000-0000-000048960000}"/>
    <cellStyle name="RIGs input totals 2 5 2 2 3" xfId="38257" xr:uid="{00000000-0005-0000-0000-000049960000}"/>
    <cellStyle name="RIGs input totals 2 5 2 2 3 10" xfId="38258" xr:uid="{00000000-0005-0000-0000-00004A960000}"/>
    <cellStyle name="RIGs input totals 2 5 2 2 3 11" xfId="38259" xr:uid="{00000000-0005-0000-0000-00004B960000}"/>
    <cellStyle name="RIGs input totals 2 5 2 2 3 12" xfId="38260" xr:uid="{00000000-0005-0000-0000-00004C960000}"/>
    <cellStyle name="RIGs input totals 2 5 2 2 3 13" xfId="38261" xr:uid="{00000000-0005-0000-0000-00004D960000}"/>
    <cellStyle name="RIGs input totals 2 5 2 2 3 2" xfId="38262" xr:uid="{00000000-0005-0000-0000-00004E960000}"/>
    <cellStyle name="RIGs input totals 2 5 2 2 3 2 2" xfId="38263" xr:uid="{00000000-0005-0000-0000-00004F960000}"/>
    <cellStyle name="RIGs input totals 2 5 2 2 3 2 3" xfId="38264" xr:uid="{00000000-0005-0000-0000-000050960000}"/>
    <cellStyle name="RIGs input totals 2 5 2 2 3 3" xfId="38265" xr:uid="{00000000-0005-0000-0000-000051960000}"/>
    <cellStyle name="RIGs input totals 2 5 2 2 3 3 2" xfId="38266" xr:uid="{00000000-0005-0000-0000-000052960000}"/>
    <cellStyle name="RIGs input totals 2 5 2 2 3 3 3" xfId="38267" xr:uid="{00000000-0005-0000-0000-000053960000}"/>
    <cellStyle name="RIGs input totals 2 5 2 2 3 4" xfId="38268" xr:uid="{00000000-0005-0000-0000-000054960000}"/>
    <cellStyle name="RIGs input totals 2 5 2 2 3 5" xfId="38269" xr:uid="{00000000-0005-0000-0000-000055960000}"/>
    <cellStyle name="RIGs input totals 2 5 2 2 3 6" xfId="38270" xr:uid="{00000000-0005-0000-0000-000056960000}"/>
    <cellStyle name="RIGs input totals 2 5 2 2 3 7" xfId="38271" xr:uid="{00000000-0005-0000-0000-000057960000}"/>
    <cellStyle name="RIGs input totals 2 5 2 2 3 8" xfId="38272" xr:uid="{00000000-0005-0000-0000-000058960000}"/>
    <cellStyle name="RIGs input totals 2 5 2 2 3 9" xfId="38273" xr:uid="{00000000-0005-0000-0000-000059960000}"/>
    <cellStyle name="RIGs input totals 2 5 2 2 30" xfId="38274" xr:uid="{00000000-0005-0000-0000-00005A960000}"/>
    <cellStyle name="RIGs input totals 2 5 2 2 31" xfId="38275" xr:uid="{00000000-0005-0000-0000-00005B960000}"/>
    <cellStyle name="RIGs input totals 2 5 2 2 4" xfId="38276" xr:uid="{00000000-0005-0000-0000-00005C960000}"/>
    <cellStyle name="RIGs input totals 2 5 2 2 4 2" xfId="38277" xr:uid="{00000000-0005-0000-0000-00005D960000}"/>
    <cellStyle name="RIGs input totals 2 5 2 2 4 3" xfId="38278" xr:uid="{00000000-0005-0000-0000-00005E960000}"/>
    <cellStyle name="RIGs input totals 2 5 2 2 5" xfId="38279" xr:uid="{00000000-0005-0000-0000-00005F960000}"/>
    <cellStyle name="RIGs input totals 2 5 2 2 5 2" xfId="38280" xr:uid="{00000000-0005-0000-0000-000060960000}"/>
    <cellStyle name="RIGs input totals 2 5 2 2 5 3" xfId="38281" xr:uid="{00000000-0005-0000-0000-000061960000}"/>
    <cellStyle name="RIGs input totals 2 5 2 2 6" xfId="38282" xr:uid="{00000000-0005-0000-0000-000062960000}"/>
    <cellStyle name="RIGs input totals 2 5 2 2 7" xfId="38283" xr:uid="{00000000-0005-0000-0000-000063960000}"/>
    <cellStyle name="RIGs input totals 2 5 2 2 8" xfId="38284" xr:uid="{00000000-0005-0000-0000-000064960000}"/>
    <cellStyle name="RIGs input totals 2 5 2 2 9" xfId="38285" xr:uid="{00000000-0005-0000-0000-000065960000}"/>
    <cellStyle name="RIGs input totals 2 5 2 2_4 28 1_Asst_Health_Crit_AllTO_RIIO_20110714pm" xfId="38286" xr:uid="{00000000-0005-0000-0000-000066960000}"/>
    <cellStyle name="RIGs input totals 2 5 2 20" xfId="38287" xr:uid="{00000000-0005-0000-0000-000067960000}"/>
    <cellStyle name="RIGs input totals 2 5 2 20 2" xfId="38288" xr:uid="{00000000-0005-0000-0000-000068960000}"/>
    <cellStyle name="RIGs input totals 2 5 2 21" xfId="38289" xr:uid="{00000000-0005-0000-0000-000069960000}"/>
    <cellStyle name="RIGs input totals 2 5 2 21 2" xfId="38290" xr:uid="{00000000-0005-0000-0000-00006A960000}"/>
    <cellStyle name="RIGs input totals 2 5 2 22" xfId="38291" xr:uid="{00000000-0005-0000-0000-00006B960000}"/>
    <cellStyle name="RIGs input totals 2 5 2 22 2" xfId="38292" xr:uid="{00000000-0005-0000-0000-00006C960000}"/>
    <cellStyle name="RIGs input totals 2 5 2 23" xfId="38293" xr:uid="{00000000-0005-0000-0000-00006D960000}"/>
    <cellStyle name="RIGs input totals 2 5 2 23 2" xfId="38294" xr:uid="{00000000-0005-0000-0000-00006E960000}"/>
    <cellStyle name="RIGs input totals 2 5 2 24" xfId="38295" xr:uid="{00000000-0005-0000-0000-00006F960000}"/>
    <cellStyle name="RIGs input totals 2 5 2 24 2" xfId="38296" xr:uid="{00000000-0005-0000-0000-000070960000}"/>
    <cellStyle name="RIGs input totals 2 5 2 25" xfId="38297" xr:uid="{00000000-0005-0000-0000-000071960000}"/>
    <cellStyle name="RIGs input totals 2 5 2 25 2" xfId="38298" xr:uid="{00000000-0005-0000-0000-000072960000}"/>
    <cellStyle name="RIGs input totals 2 5 2 26" xfId="38299" xr:uid="{00000000-0005-0000-0000-000073960000}"/>
    <cellStyle name="RIGs input totals 2 5 2 27" xfId="38300" xr:uid="{00000000-0005-0000-0000-000074960000}"/>
    <cellStyle name="RIGs input totals 2 5 2 28" xfId="38301" xr:uid="{00000000-0005-0000-0000-000075960000}"/>
    <cellStyle name="RIGs input totals 2 5 2 29" xfId="38302" xr:uid="{00000000-0005-0000-0000-000076960000}"/>
    <cellStyle name="RIGs input totals 2 5 2 3" xfId="38303" xr:uid="{00000000-0005-0000-0000-000077960000}"/>
    <cellStyle name="RIGs input totals 2 5 2 3 10" xfId="38304" xr:uid="{00000000-0005-0000-0000-000078960000}"/>
    <cellStyle name="RIGs input totals 2 5 2 3 11" xfId="38305" xr:uid="{00000000-0005-0000-0000-000079960000}"/>
    <cellStyle name="RIGs input totals 2 5 2 3 12" xfId="38306" xr:uid="{00000000-0005-0000-0000-00007A960000}"/>
    <cellStyle name="RIGs input totals 2 5 2 3 13" xfId="38307" xr:uid="{00000000-0005-0000-0000-00007B960000}"/>
    <cellStyle name="RIGs input totals 2 5 2 3 14" xfId="38308" xr:uid="{00000000-0005-0000-0000-00007C960000}"/>
    <cellStyle name="RIGs input totals 2 5 2 3 15" xfId="38309" xr:uid="{00000000-0005-0000-0000-00007D960000}"/>
    <cellStyle name="RIGs input totals 2 5 2 3 16" xfId="38310" xr:uid="{00000000-0005-0000-0000-00007E960000}"/>
    <cellStyle name="RIGs input totals 2 5 2 3 17" xfId="38311" xr:uid="{00000000-0005-0000-0000-00007F960000}"/>
    <cellStyle name="RIGs input totals 2 5 2 3 18" xfId="38312" xr:uid="{00000000-0005-0000-0000-000080960000}"/>
    <cellStyle name="RIGs input totals 2 5 2 3 19" xfId="38313" xr:uid="{00000000-0005-0000-0000-000081960000}"/>
    <cellStyle name="RIGs input totals 2 5 2 3 2" xfId="38314" xr:uid="{00000000-0005-0000-0000-000082960000}"/>
    <cellStyle name="RIGs input totals 2 5 2 3 2 10" xfId="38315" xr:uid="{00000000-0005-0000-0000-000083960000}"/>
    <cellStyle name="RIGs input totals 2 5 2 3 2 11" xfId="38316" xr:uid="{00000000-0005-0000-0000-000084960000}"/>
    <cellStyle name="RIGs input totals 2 5 2 3 2 12" xfId="38317" xr:uid="{00000000-0005-0000-0000-000085960000}"/>
    <cellStyle name="RIGs input totals 2 5 2 3 2 13" xfId="38318" xr:uid="{00000000-0005-0000-0000-000086960000}"/>
    <cellStyle name="RIGs input totals 2 5 2 3 2 2" xfId="38319" xr:uid="{00000000-0005-0000-0000-000087960000}"/>
    <cellStyle name="RIGs input totals 2 5 2 3 2 2 2" xfId="38320" xr:uid="{00000000-0005-0000-0000-000088960000}"/>
    <cellStyle name="RIGs input totals 2 5 2 3 2 2 3" xfId="38321" xr:uid="{00000000-0005-0000-0000-000089960000}"/>
    <cellStyle name="RIGs input totals 2 5 2 3 2 3" xfId="38322" xr:uid="{00000000-0005-0000-0000-00008A960000}"/>
    <cellStyle name="RIGs input totals 2 5 2 3 2 3 2" xfId="38323" xr:uid="{00000000-0005-0000-0000-00008B960000}"/>
    <cellStyle name="RIGs input totals 2 5 2 3 2 3 3" xfId="38324" xr:uid="{00000000-0005-0000-0000-00008C960000}"/>
    <cellStyle name="RIGs input totals 2 5 2 3 2 4" xfId="38325" xr:uid="{00000000-0005-0000-0000-00008D960000}"/>
    <cellStyle name="RIGs input totals 2 5 2 3 2 5" xfId="38326" xr:uid="{00000000-0005-0000-0000-00008E960000}"/>
    <cellStyle name="RIGs input totals 2 5 2 3 2 6" xfId="38327" xr:uid="{00000000-0005-0000-0000-00008F960000}"/>
    <cellStyle name="RIGs input totals 2 5 2 3 2 7" xfId="38328" xr:uid="{00000000-0005-0000-0000-000090960000}"/>
    <cellStyle name="RIGs input totals 2 5 2 3 2 8" xfId="38329" xr:uid="{00000000-0005-0000-0000-000091960000}"/>
    <cellStyle name="RIGs input totals 2 5 2 3 2 9" xfId="38330" xr:uid="{00000000-0005-0000-0000-000092960000}"/>
    <cellStyle name="RIGs input totals 2 5 2 3 20" xfId="38331" xr:uid="{00000000-0005-0000-0000-000093960000}"/>
    <cellStyle name="RIGs input totals 2 5 2 3 21" xfId="38332" xr:uid="{00000000-0005-0000-0000-000094960000}"/>
    <cellStyle name="RIGs input totals 2 5 2 3 22" xfId="38333" xr:uid="{00000000-0005-0000-0000-000095960000}"/>
    <cellStyle name="RIGs input totals 2 5 2 3 23" xfId="38334" xr:uid="{00000000-0005-0000-0000-000096960000}"/>
    <cellStyle name="RIGs input totals 2 5 2 3 24" xfId="38335" xr:uid="{00000000-0005-0000-0000-000097960000}"/>
    <cellStyle name="RIGs input totals 2 5 2 3 25" xfId="38336" xr:uid="{00000000-0005-0000-0000-000098960000}"/>
    <cellStyle name="RIGs input totals 2 5 2 3 26" xfId="38337" xr:uid="{00000000-0005-0000-0000-000099960000}"/>
    <cellStyle name="RIGs input totals 2 5 2 3 27" xfId="38338" xr:uid="{00000000-0005-0000-0000-00009A960000}"/>
    <cellStyle name="RIGs input totals 2 5 2 3 28" xfId="38339" xr:uid="{00000000-0005-0000-0000-00009B960000}"/>
    <cellStyle name="RIGs input totals 2 5 2 3 29" xfId="38340" xr:uid="{00000000-0005-0000-0000-00009C960000}"/>
    <cellStyle name="RIGs input totals 2 5 2 3 3" xfId="38341" xr:uid="{00000000-0005-0000-0000-00009D960000}"/>
    <cellStyle name="RIGs input totals 2 5 2 3 3 2" xfId="38342" xr:uid="{00000000-0005-0000-0000-00009E960000}"/>
    <cellStyle name="RIGs input totals 2 5 2 3 3 3" xfId="38343" xr:uid="{00000000-0005-0000-0000-00009F960000}"/>
    <cellStyle name="RIGs input totals 2 5 2 3 30" xfId="38344" xr:uid="{00000000-0005-0000-0000-0000A0960000}"/>
    <cellStyle name="RIGs input totals 2 5 2 3 4" xfId="38345" xr:uid="{00000000-0005-0000-0000-0000A1960000}"/>
    <cellStyle name="RIGs input totals 2 5 2 3 4 2" xfId="38346" xr:uid="{00000000-0005-0000-0000-0000A2960000}"/>
    <cellStyle name="RIGs input totals 2 5 2 3 4 3" xfId="38347" xr:uid="{00000000-0005-0000-0000-0000A3960000}"/>
    <cellStyle name="RIGs input totals 2 5 2 3 5" xfId="38348" xr:uid="{00000000-0005-0000-0000-0000A4960000}"/>
    <cellStyle name="RIGs input totals 2 5 2 3 6" xfId="38349" xr:uid="{00000000-0005-0000-0000-0000A5960000}"/>
    <cellStyle name="RIGs input totals 2 5 2 3 7" xfId="38350" xr:uid="{00000000-0005-0000-0000-0000A6960000}"/>
    <cellStyle name="RIGs input totals 2 5 2 3 8" xfId="38351" xr:uid="{00000000-0005-0000-0000-0000A7960000}"/>
    <cellStyle name="RIGs input totals 2 5 2 3 9" xfId="38352" xr:uid="{00000000-0005-0000-0000-0000A8960000}"/>
    <cellStyle name="RIGs input totals 2 5 2 30" xfId="38353" xr:uid="{00000000-0005-0000-0000-0000A9960000}"/>
    <cellStyle name="RIGs input totals 2 5 2 31" xfId="38354" xr:uid="{00000000-0005-0000-0000-0000AA960000}"/>
    <cellStyle name="RIGs input totals 2 5 2 32" xfId="38355" xr:uid="{00000000-0005-0000-0000-0000AB960000}"/>
    <cellStyle name="RIGs input totals 2 5 2 33" xfId="38356" xr:uid="{00000000-0005-0000-0000-0000AC960000}"/>
    <cellStyle name="RIGs input totals 2 5 2 4" xfId="38357" xr:uid="{00000000-0005-0000-0000-0000AD960000}"/>
    <cellStyle name="RIGs input totals 2 5 2 4 10" xfId="38358" xr:uid="{00000000-0005-0000-0000-0000AE960000}"/>
    <cellStyle name="RIGs input totals 2 5 2 4 11" xfId="38359" xr:uid="{00000000-0005-0000-0000-0000AF960000}"/>
    <cellStyle name="RIGs input totals 2 5 2 4 12" xfId="38360" xr:uid="{00000000-0005-0000-0000-0000B0960000}"/>
    <cellStyle name="RIGs input totals 2 5 2 4 13" xfId="38361" xr:uid="{00000000-0005-0000-0000-0000B1960000}"/>
    <cellStyle name="RIGs input totals 2 5 2 4 14" xfId="38362" xr:uid="{00000000-0005-0000-0000-0000B2960000}"/>
    <cellStyle name="RIGs input totals 2 5 2 4 15" xfId="38363" xr:uid="{00000000-0005-0000-0000-0000B3960000}"/>
    <cellStyle name="RIGs input totals 2 5 2 4 16" xfId="38364" xr:uid="{00000000-0005-0000-0000-0000B4960000}"/>
    <cellStyle name="RIGs input totals 2 5 2 4 17" xfId="38365" xr:uid="{00000000-0005-0000-0000-0000B5960000}"/>
    <cellStyle name="RIGs input totals 2 5 2 4 18" xfId="38366" xr:uid="{00000000-0005-0000-0000-0000B6960000}"/>
    <cellStyle name="RIGs input totals 2 5 2 4 19" xfId="38367" xr:uid="{00000000-0005-0000-0000-0000B7960000}"/>
    <cellStyle name="RIGs input totals 2 5 2 4 2" xfId="38368" xr:uid="{00000000-0005-0000-0000-0000B8960000}"/>
    <cellStyle name="RIGs input totals 2 5 2 4 2 10" xfId="38369" xr:uid="{00000000-0005-0000-0000-0000B9960000}"/>
    <cellStyle name="RIGs input totals 2 5 2 4 2 11" xfId="38370" xr:uid="{00000000-0005-0000-0000-0000BA960000}"/>
    <cellStyle name="RIGs input totals 2 5 2 4 2 12" xfId="38371" xr:uid="{00000000-0005-0000-0000-0000BB960000}"/>
    <cellStyle name="RIGs input totals 2 5 2 4 2 13" xfId="38372" xr:uid="{00000000-0005-0000-0000-0000BC960000}"/>
    <cellStyle name="RIGs input totals 2 5 2 4 2 2" xfId="38373" xr:uid="{00000000-0005-0000-0000-0000BD960000}"/>
    <cellStyle name="RIGs input totals 2 5 2 4 2 2 2" xfId="38374" xr:uid="{00000000-0005-0000-0000-0000BE960000}"/>
    <cellStyle name="RIGs input totals 2 5 2 4 2 2 3" xfId="38375" xr:uid="{00000000-0005-0000-0000-0000BF960000}"/>
    <cellStyle name="RIGs input totals 2 5 2 4 2 3" xfId="38376" xr:uid="{00000000-0005-0000-0000-0000C0960000}"/>
    <cellStyle name="RIGs input totals 2 5 2 4 2 3 2" xfId="38377" xr:uid="{00000000-0005-0000-0000-0000C1960000}"/>
    <cellStyle name="RIGs input totals 2 5 2 4 2 3 3" xfId="38378" xr:uid="{00000000-0005-0000-0000-0000C2960000}"/>
    <cellStyle name="RIGs input totals 2 5 2 4 2 4" xfId="38379" xr:uid="{00000000-0005-0000-0000-0000C3960000}"/>
    <cellStyle name="RIGs input totals 2 5 2 4 2 5" xfId="38380" xr:uid="{00000000-0005-0000-0000-0000C4960000}"/>
    <cellStyle name="RIGs input totals 2 5 2 4 2 6" xfId="38381" xr:uid="{00000000-0005-0000-0000-0000C5960000}"/>
    <cellStyle name="RIGs input totals 2 5 2 4 2 7" xfId="38382" xr:uid="{00000000-0005-0000-0000-0000C6960000}"/>
    <cellStyle name="RIGs input totals 2 5 2 4 2 8" xfId="38383" xr:uid="{00000000-0005-0000-0000-0000C7960000}"/>
    <cellStyle name="RIGs input totals 2 5 2 4 2 9" xfId="38384" xr:uid="{00000000-0005-0000-0000-0000C8960000}"/>
    <cellStyle name="RIGs input totals 2 5 2 4 20" xfId="38385" xr:uid="{00000000-0005-0000-0000-0000C9960000}"/>
    <cellStyle name="RIGs input totals 2 5 2 4 21" xfId="38386" xr:uid="{00000000-0005-0000-0000-0000CA960000}"/>
    <cellStyle name="RIGs input totals 2 5 2 4 22" xfId="38387" xr:uid="{00000000-0005-0000-0000-0000CB960000}"/>
    <cellStyle name="RIGs input totals 2 5 2 4 23" xfId="38388" xr:uid="{00000000-0005-0000-0000-0000CC960000}"/>
    <cellStyle name="RIGs input totals 2 5 2 4 24" xfId="38389" xr:uid="{00000000-0005-0000-0000-0000CD960000}"/>
    <cellStyle name="RIGs input totals 2 5 2 4 25" xfId="38390" xr:uid="{00000000-0005-0000-0000-0000CE960000}"/>
    <cellStyle name="RIGs input totals 2 5 2 4 26" xfId="38391" xr:uid="{00000000-0005-0000-0000-0000CF960000}"/>
    <cellStyle name="RIGs input totals 2 5 2 4 27" xfId="38392" xr:uid="{00000000-0005-0000-0000-0000D0960000}"/>
    <cellStyle name="RIGs input totals 2 5 2 4 28" xfId="38393" xr:uid="{00000000-0005-0000-0000-0000D1960000}"/>
    <cellStyle name="RIGs input totals 2 5 2 4 29" xfId="38394" xr:uid="{00000000-0005-0000-0000-0000D2960000}"/>
    <cellStyle name="RIGs input totals 2 5 2 4 3" xfId="38395" xr:uid="{00000000-0005-0000-0000-0000D3960000}"/>
    <cellStyle name="RIGs input totals 2 5 2 4 3 2" xfId="38396" xr:uid="{00000000-0005-0000-0000-0000D4960000}"/>
    <cellStyle name="RIGs input totals 2 5 2 4 3 3" xfId="38397" xr:uid="{00000000-0005-0000-0000-0000D5960000}"/>
    <cellStyle name="RIGs input totals 2 5 2 4 30" xfId="38398" xr:uid="{00000000-0005-0000-0000-0000D6960000}"/>
    <cellStyle name="RIGs input totals 2 5 2 4 4" xfId="38399" xr:uid="{00000000-0005-0000-0000-0000D7960000}"/>
    <cellStyle name="RIGs input totals 2 5 2 4 4 2" xfId="38400" xr:uid="{00000000-0005-0000-0000-0000D8960000}"/>
    <cellStyle name="RIGs input totals 2 5 2 4 4 3" xfId="38401" xr:uid="{00000000-0005-0000-0000-0000D9960000}"/>
    <cellStyle name="RIGs input totals 2 5 2 4 5" xfId="38402" xr:uid="{00000000-0005-0000-0000-0000DA960000}"/>
    <cellStyle name="RIGs input totals 2 5 2 4 6" xfId="38403" xr:uid="{00000000-0005-0000-0000-0000DB960000}"/>
    <cellStyle name="RIGs input totals 2 5 2 4 7" xfId="38404" xr:uid="{00000000-0005-0000-0000-0000DC960000}"/>
    <cellStyle name="RIGs input totals 2 5 2 4 8" xfId="38405" xr:uid="{00000000-0005-0000-0000-0000DD960000}"/>
    <cellStyle name="RIGs input totals 2 5 2 4 9" xfId="38406" xr:uid="{00000000-0005-0000-0000-0000DE960000}"/>
    <cellStyle name="RIGs input totals 2 5 2 5" xfId="38407" xr:uid="{00000000-0005-0000-0000-0000DF960000}"/>
    <cellStyle name="RIGs input totals 2 5 2 5 10" xfId="38408" xr:uid="{00000000-0005-0000-0000-0000E0960000}"/>
    <cellStyle name="RIGs input totals 2 5 2 5 11" xfId="38409" xr:uid="{00000000-0005-0000-0000-0000E1960000}"/>
    <cellStyle name="RIGs input totals 2 5 2 5 12" xfId="38410" xr:uid="{00000000-0005-0000-0000-0000E2960000}"/>
    <cellStyle name="RIGs input totals 2 5 2 5 13" xfId="38411" xr:uid="{00000000-0005-0000-0000-0000E3960000}"/>
    <cellStyle name="RIGs input totals 2 5 2 5 2" xfId="38412" xr:uid="{00000000-0005-0000-0000-0000E4960000}"/>
    <cellStyle name="RIGs input totals 2 5 2 5 2 2" xfId="38413" xr:uid="{00000000-0005-0000-0000-0000E5960000}"/>
    <cellStyle name="RIGs input totals 2 5 2 5 2 3" xfId="38414" xr:uid="{00000000-0005-0000-0000-0000E6960000}"/>
    <cellStyle name="RIGs input totals 2 5 2 5 3" xfId="38415" xr:uid="{00000000-0005-0000-0000-0000E7960000}"/>
    <cellStyle name="RIGs input totals 2 5 2 5 3 2" xfId="38416" xr:uid="{00000000-0005-0000-0000-0000E8960000}"/>
    <cellStyle name="RIGs input totals 2 5 2 5 3 3" xfId="38417" xr:uid="{00000000-0005-0000-0000-0000E9960000}"/>
    <cellStyle name="RIGs input totals 2 5 2 5 4" xfId="38418" xr:uid="{00000000-0005-0000-0000-0000EA960000}"/>
    <cellStyle name="RIGs input totals 2 5 2 5 5" xfId="38419" xr:uid="{00000000-0005-0000-0000-0000EB960000}"/>
    <cellStyle name="RIGs input totals 2 5 2 5 6" xfId="38420" xr:uid="{00000000-0005-0000-0000-0000EC960000}"/>
    <cellStyle name="RIGs input totals 2 5 2 5 7" xfId="38421" xr:uid="{00000000-0005-0000-0000-0000ED960000}"/>
    <cellStyle name="RIGs input totals 2 5 2 5 8" xfId="38422" xr:uid="{00000000-0005-0000-0000-0000EE960000}"/>
    <cellStyle name="RIGs input totals 2 5 2 5 9" xfId="38423" xr:uid="{00000000-0005-0000-0000-0000EF960000}"/>
    <cellStyle name="RIGs input totals 2 5 2 6" xfId="38424" xr:uid="{00000000-0005-0000-0000-0000F0960000}"/>
    <cellStyle name="RIGs input totals 2 5 2 6 2" xfId="38425" xr:uid="{00000000-0005-0000-0000-0000F1960000}"/>
    <cellStyle name="RIGs input totals 2 5 2 6 2 2" xfId="38426" xr:uid="{00000000-0005-0000-0000-0000F2960000}"/>
    <cellStyle name="RIGs input totals 2 5 2 6 2 3" xfId="38427" xr:uid="{00000000-0005-0000-0000-0000F3960000}"/>
    <cellStyle name="RIGs input totals 2 5 2 6 3" xfId="38428" xr:uid="{00000000-0005-0000-0000-0000F4960000}"/>
    <cellStyle name="RIGs input totals 2 5 2 6 3 2" xfId="38429" xr:uid="{00000000-0005-0000-0000-0000F5960000}"/>
    <cellStyle name="RIGs input totals 2 5 2 6 4" xfId="38430" xr:uid="{00000000-0005-0000-0000-0000F6960000}"/>
    <cellStyle name="RIGs input totals 2 5 2 7" xfId="38431" xr:uid="{00000000-0005-0000-0000-0000F7960000}"/>
    <cellStyle name="RIGs input totals 2 5 2 7 2" xfId="38432" xr:uid="{00000000-0005-0000-0000-0000F8960000}"/>
    <cellStyle name="RIGs input totals 2 5 2 8" xfId="38433" xr:uid="{00000000-0005-0000-0000-0000F9960000}"/>
    <cellStyle name="RIGs input totals 2 5 2 8 2" xfId="38434" xr:uid="{00000000-0005-0000-0000-0000FA960000}"/>
    <cellStyle name="RIGs input totals 2 5 2 9" xfId="38435" xr:uid="{00000000-0005-0000-0000-0000FB960000}"/>
    <cellStyle name="RIGs input totals 2 5 2 9 2" xfId="38436" xr:uid="{00000000-0005-0000-0000-0000FC960000}"/>
    <cellStyle name="RIGs input totals 2 5 2_4 28 1_Asst_Health_Crit_AllTO_RIIO_20110714pm" xfId="38437" xr:uid="{00000000-0005-0000-0000-0000FD960000}"/>
    <cellStyle name="RIGs input totals 2 5 20" xfId="38438" xr:uid="{00000000-0005-0000-0000-0000FE960000}"/>
    <cellStyle name="RIGs input totals 2 5 20 2" xfId="38439" xr:uid="{00000000-0005-0000-0000-0000FF960000}"/>
    <cellStyle name="RIGs input totals 2 5 21" xfId="38440" xr:uid="{00000000-0005-0000-0000-000000970000}"/>
    <cellStyle name="RIGs input totals 2 5 21 2" xfId="38441" xr:uid="{00000000-0005-0000-0000-000001970000}"/>
    <cellStyle name="RIGs input totals 2 5 22" xfId="38442" xr:uid="{00000000-0005-0000-0000-000002970000}"/>
    <cellStyle name="RIGs input totals 2 5 22 2" xfId="38443" xr:uid="{00000000-0005-0000-0000-000003970000}"/>
    <cellStyle name="RIGs input totals 2 5 23" xfId="38444" xr:uid="{00000000-0005-0000-0000-000004970000}"/>
    <cellStyle name="RIGs input totals 2 5 23 2" xfId="38445" xr:uid="{00000000-0005-0000-0000-000005970000}"/>
    <cellStyle name="RIGs input totals 2 5 24" xfId="38446" xr:uid="{00000000-0005-0000-0000-000006970000}"/>
    <cellStyle name="RIGs input totals 2 5 24 2" xfId="38447" xr:uid="{00000000-0005-0000-0000-000007970000}"/>
    <cellStyle name="RIGs input totals 2 5 25" xfId="38448" xr:uid="{00000000-0005-0000-0000-000008970000}"/>
    <cellStyle name="RIGs input totals 2 5 25 2" xfId="38449" xr:uid="{00000000-0005-0000-0000-000009970000}"/>
    <cellStyle name="RIGs input totals 2 5 26" xfId="38450" xr:uid="{00000000-0005-0000-0000-00000A970000}"/>
    <cellStyle name="RIGs input totals 2 5 26 2" xfId="38451" xr:uid="{00000000-0005-0000-0000-00000B970000}"/>
    <cellStyle name="RIGs input totals 2 5 27" xfId="38452" xr:uid="{00000000-0005-0000-0000-00000C970000}"/>
    <cellStyle name="RIGs input totals 2 5 28" xfId="38453" xr:uid="{00000000-0005-0000-0000-00000D970000}"/>
    <cellStyle name="RIGs input totals 2 5 29" xfId="38454" xr:uid="{00000000-0005-0000-0000-00000E970000}"/>
    <cellStyle name="RIGs input totals 2 5 3" xfId="38455" xr:uid="{00000000-0005-0000-0000-00000F970000}"/>
    <cellStyle name="RIGs input totals 2 5 3 10" xfId="38456" xr:uid="{00000000-0005-0000-0000-000010970000}"/>
    <cellStyle name="RIGs input totals 2 5 3 11" xfId="38457" xr:uid="{00000000-0005-0000-0000-000011970000}"/>
    <cellStyle name="RIGs input totals 2 5 3 12" xfId="38458" xr:uid="{00000000-0005-0000-0000-000012970000}"/>
    <cellStyle name="RIGs input totals 2 5 3 13" xfId="38459" xr:uid="{00000000-0005-0000-0000-000013970000}"/>
    <cellStyle name="RIGs input totals 2 5 3 14" xfId="38460" xr:uid="{00000000-0005-0000-0000-000014970000}"/>
    <cellStyle name="RIGs input totals 2 5 3 15" xfId="38461" xr:uid="{00000000-0005-0000-0000-000015970000}"/>
    <cellStyle name="RIGs input totals 2 5 3 16" xfId="38462" xr:uid="{00000000-0005-0000-0000-000016970000}"/>
    <cellStyle name="RIGs input totals 2 5 3 17" xfId="38463" xr:uid="{00000000-0005-0000-0000-000017970000}"/>
    <cellStyle name="RIGs input totals 2 5 3 18" xfId="38464" xr:uid="{00000000-0005-0000-0000-000018970000}"/>
    <cellStyle name="RIGs input totals 2 5 3 19" xfId="38465" xr:uid="{00000000-0005-0000-0000-000019970000}"/>
    <cellStyle name="RIGs input totals 2 5 3 2" xfId="38466" xr:uid="{00000000-0005-0000-0000-00001A970000}"/>
    <cellStyle name="RIGs input totals 2 5 3 2 10" xfId="38467" xr:uid="{00000000-0005-0000-0000-00001B970000}"/>
    <cellStyle name="RIGs input totals 2 5 3 2 11" xfId="38468" xr:uid="{00000000-0005-0000-0000-00001C970000}"/>
    <cellStyle name="RIGs input totals 2 5 3 2 12" xfId="38469" xr:uid="{00000000-0005-0000-0000-00001D970000}"/>
    <cellStyle name="RIGs input totals 2 5 3 2 13" xfId="38470" xr:uid="{00000000-0005-0000-0000-00001E970000}"/>
    <cellStyle name="RIGs input totals 2 5 3 2 14" xfId="38471" xr:uid="{00000000-0005-0000-0000-00001F970000}"/>
    <cellStyle name="RIGs input totals 2 5 3 2 15" xfId="38472" xr:uid="{00000000-0005-0000-0000-000020970000}"/>
    <cellStyle name="RIGs input totals 2 5 3 2 16" xfId="38473" xr:uid="{00000000-0005-0000-0000-000021970000}"/>
    <cellStyle name="RIGs input totals 2 5 3 2 17" xfId="38474" xr:uid="{00000000-0005-0000-0000-000022970000}"/>
    <cellStyle name="RIGs input totals 2 5 3 2 18" xfId="38475" xr:uid="{00000000-0005-0000-0000-000023970000}"/>
    <cellStyle name="RIGs input totals 2 5 3 2 19" xfId="38476" xr:uid="{00000000-0005-0000-0000-000024970000}"/>
    <cellStyle name="RIGs input totals 2 5 3 2 2" xfId="38477" xr:uid="{00000000-0005-0000-0000-000025970000}"/>
    <cellStyle name="RIGs input totals 2 5 3 2 2 10" xfId="38478" xr:uid="{00000000-0005-0000-0000-000026970000}"/>
    <cellStyle name="RIGs input totals 2 5 3 2 2 11" xfId="38479" xr:uid="{00000000-0005-0000-0000-000027970000}"/>
    <cellStyle name="RIGs input totals 2 5 3 2 2 12" xfId="38480" xr:uid="{00000000-0005-0000-0000-000028970000}"/>
    <cellStyle name="RIGs input totals 2 5 3 2 2 13" xfId="38481" xr:uid="{00000000-0005-0000-0000-000029970000}"/>
    <cellStyle name="RIGs input totals 2 5 3 2 2 2" xfId="38482" xr:uid="{00000000-0005-0000-0000-00002A970000}"/>
    <cellStyle name="RIGs input totals 2 5 3 2 2 2 2" xfId="38483" xr:uid="{00000000-0005-0000-0000-00002B970000}"/>
    <cellStyle name="RIGs input totals 2 5 3 2 2 2 3" xfId="38484" xr:uid="{00000000-0005-0000-0000-00002C970000}"/>
    <cellStyle name="RIGs input totals 2 5 3 2 2 3" xfId="38485" xr:uid="{00000000-0005-0000-0000-00002D970000}"/>
    <cellStyle name="RIGs input totals 2 5 3 2 2 3 2" xfId="38486" xr:uid="{00000000-0005-0000-0000-00002E970000}"/>
    <cellStyle name="RIGs input totals 2 5 3 2 2 3 3" xfId="38487" xr:uid="{00000000-0005-0000-0000-00002F970000}"/>
    <cellStyle name="RIGs input totals 2 5 3 2 2 4" xfId="38488" xr:uid="{00000000-0005-0000-0000-000030970000}"/>
    <cellStyle name="RIGs input totals 2 5 3 2 2 5" xfId="38489" xr:uid="{00000000-0005-0000-0000-000031970000}"/>
    <cellStyle name="RIGs input totals 2 5 3 2 2 6" xfId="38490" xr:uid="{00000000-0005-0000-0000-000032970000}"/>
    <cellStyle name="RIGs input totals 2 5 3 2 2 7" xfId="38491" xr:uid="{00000000-0005-0000-0000-000033970000}"/>
    <cellStyle name="RIGs input totals 2 5 3 2 2 8" xfId="38492" xr:uid="{00000000-0005-0000-0000-000034970000}"/>
    <cellStyle name="RIGs input totals 2 5 3 2 2 9" xfId="38493" xr:uid="{00000000-0005-0000-0000-000035970000}"/>
    <cellStyle name="RIGs input totals 2 5 3 2 20" xfId="38494" xr:uid="{00000000-0005-0000-0000-000036970000}"/>
    <cellStyle name="RIGs input totals 2 5 3 2 21" xfId="38495" xr:uid="{00000000-0005-0000-0000-000037970000}"/>
    <cellStyle name="RIGs input totals 2 5 3 2 22" xfId="38496" xr:uid="{00000000-0005-0000-0000-000038970000}"/>
    <cellStyle name="RIGs input totals 2 5 3 2 23" xfId="38497" xr:uid="{00000000-0005-0000-0000-000039970000}"/>
    <cellStyle name="RIGs input totals 2 5 3 2 24" xfId="38498" xr:uid="{00000000-0005-0000-0000-00003A970000}"/>
    <cellStyle name="RIGs input totals 2 5 3 2 25" xfId="38499" xr:uid="{00000000-0005-0000-0000-00003B970000}"/>
    <cellStyle name="RIGs input totals 2 5 3 2 26" xfId="38500" xr:uid="{00000000-0005-0000-0000-00003C970000}"/>
    <cellStyle name="RIGs input totals 2 5 3 2 27" xfId="38501" xr:uid="{00000000-0005-0000-0000-00003D970000}"/>
    <cellStyle name="RIGs input totals 2 5 3 2 28" xfId="38502" xr:uid="{00000000-0005-0000-0000-00003E970000}"/>
    <cellStyle name="RIGs input totals 2 5 3 2 29" xfId="38503" xr:uid="{00000000-0005-0000-0000-00003F970000}"/>
    <cellStyle name="RIGs input totals 2 5 3 2 3" xfId="38504" xr:uid="{00000000-0005-0000-0000-000040970000}"/>
    <cellStyle name="RIGs input totals 2 5 3 2 3 2" xfId="38505" xr:uid="{00000000-0005-0000-0000-000041970000}"/>
    <cellStyle name="RIGs input totals 2 5 3 2 3 3" xfId="38506" xr:uid="{00000000-0005-0000-0000-000042970000}"/>
    <cellStyle name="RIGs input totals 2 5 3 2 30" xfId="38507" xr:uid="{00000000-0005-0000-0000-000043970000}"/>
    <cellStyle name="RIGs input totals 2 5 3 2 31" xfId="38508" xr:uid="{00000000-0005-0000-0000-000044970000}"/>
    <cellStyle name="RIGs input totals 2 5 3 2 32" xfId="38509" xr:uid="{00000000-0005-0000-0000-000045970000}"/>
    <cellStyle name="RIGs input totals 2 5 3 2 33" xfId="38510" xr:uid="{00000000-0005-0000-0000-000046970000}"/>
    <cellStyle name="RIGs input totals 2 5 3 2 34" xfId="38511" xr:uid="{00000000-0005-0000-0000-000047970000}"/>
    <cellStyle name="RIGs input totals 2 5 3 2 4" xfId="38512" xr:uid="{00000000-0005-0000-0000-000048970000}"/>
    <cellStyle name="RIGs input totals 2 5 3 2 4 2" xfId="38513" xr:uid="{00000000-0005-0000-0000-000049970000}"/>
    <cellStyle name="RIGs input totals 2 5 3 2 4 3" xfId="38514" xr:uid="{00000000-0005-0000-0000-00004A970000}"/>
    <cellStyle name="RIGs input totals 2 5 3 2 5" xfId="38515" xr:uid="{00000000-0005-0000-0000-00004B970000}"/>
    <cellStyle name="RIGs input totals 2 5 3 2 6" xfId="38516" xr:uid="{00000000-0005-0000-0000-00004C970000}"/>
    <cellStyle name="RIGs input totals 2 5 3 2 7" xfId="38517" xr:uid="{00000000-0005-0000-0000-00004D970000}"/>
    <cellStyle name="RIGs input totals 2 5 3 2 8" xfId="38518" xr:uid="{00000000-0005-0000-0000-00004E970000}"/>
    <cellStyle name="RIGs input totals 2 5 3 2 9" xfId="38519" xr:uid="{00000000-0005-0000-0000-00004F970000}"/>
    <cellStyle name="RIGs input totals 2 5 3 20" xfId="38520" xr:uid="{00000000-0005-0000-0000-000050970000}"/>
    <cellStyle name="RIGs input totals 2 5 3 21" xfId="38521" xr:uid="{00000000-0005-0000-0000-000051970000}"/>
    <cellStyle name="RIGs input totals 2 5 3 22" xfId="38522" xr:uid="{00000000-0005-0000-0000-000052970000}"/>
    <cellStyle name="RIGs input totals 2 5 3 23" xfId="38523" xr:uid="{00000000-0005-0000-0000-000053970000}"/>
    <cellStyle name="RIGs input totals 2 5 3 24" xfId="38524" xr:uid="{00000000-0005-0000-0000-000054970000}"/>
    <cellStyle name="RIGs input totals 2 5 3 25" xfId="38525" xr:uid="{00000000-0005-0000-0000-000055970000}"/>
    <cellStyle name="RIGs input totals 2 5 3 26" xfId="38526" xr:uid="{00000000-0005-0000-0000-000056970000}"/>
    <cellStyle name="RIGs input totals 2 5 3 27" xfId="38527" xr:uid="{00000000-0005-0000-0000-000057970000}"/>
    <cellStyle name="RIGs input totals 2 5 3 28" xfId="38528" xr:uid="{00000000-0005-0000-0000-000058970000}"/>
    <cellStyle name="RIGs input totals 2 5 3 29" xfId="38529" xr:uid="{00000000-0005-0000-0000-000059970000}"/>
    <cellStyle name="RIGs input totals 2 5 3 3" xfId="38530" xr:uid="{00000000-0005-0000-0000-00005A970000}"/>
    <cellStyle name="RIGs input totals 2 5 3 3 10" xfId="38531" xr:uid="{00000000-0005-0000-0000-00005B970000}"/>
    <cellStyle name="RIGs input totals 2 5 3 3 11" xfId="38532" xr:uid="{00000000-0005-0000-0000-00005C970000}"/>
    <cellStyle name="RIGs input totals 2 5 3 3 12" xfId="38533" xr:uid="{00000000-0005-0000-0000-00005D970000}"/>
    <cellStyle name="RIGs input totals 2 5 3 3 13" xfId="38534" xr:uid="{00000000-0005-0000-0000-00005E970000}"/>
    <cellStyle name="RIGs input totals 2 5 3 3 2" xfId="38535" xr:uid="{00000000-0005-0000-0000-00005F970000}"/>
    <cellStyle name="RIGs input totals 2 5 3 3 2 2" xfId="38536" xr:uid="{00000000-0005-0000-0000-000060970000}"/>
    <cellStyle name="RIGs input totals 2 5 3 3 2 3" xfId="38537" xr:uid="{00000000-0005-0000-0000-000061970000}"/>
    <cellStyle name="RIGs input totals 2 5 3 3 3" xfId="38538" xr:uid="{00000000-0005-0000-0000-000062970000}"/>
    <cellStyle name="RIGs input totals 2 5 3 3 3 2" xfId="38539" xr:uid="{00000000-0005-0000-0000-000063970000}"/>
    <cellStyle name="RIGs input totals 2 5 3 3 3 3" xfId="38540" xr:uid="{00000000-0005-0000-0000-000064970000}"/>
    <cellStyle name="RIGs input totals 2 5 3 3 4" xfId="38541" xr:uid="{00000000-0005-0000-0000-000065970000}"/>
    <cellStyle name="RIGs input totals 2 5 3 3 5" xfId="38542" xr:uid="{00000000-0005-0000-0000-000066970000}"/>
    <cellStyle name="RIGs input totals 2 5 3 3 6" xfId="38543" xr:uid="{00000000-0005-0000-0000-000067970000}"/>
    <cellStyle name="RIGs input totals 2 5 3 3 7" xfId="38544" xr:uid="{00000000-0005-0000-0000-000068970000}"/>
    <cellStyle name="RIGs input totals 2 5 3 3 8" xfId="38545" xr:uid="{00000000-0005-0000-0000-000069970000}"/>
    <cellStyle name="RIGs input totals 2 5 3 3 9" xfId="38546" xr:uid="{00000000-0005-0000-0000-00006A970000}"/>
    <cellStyle name="RIGs input totals 2 5 3 30" xfId="38547" xr:uid="{00000000-0005-0000-0000-00006B970000}"/>
    <cellStyle name="RIGs input totals 2 5 3 31" xfId="38548" xr:uid="{00000000-0005-0000-0000-00006C970000}"/>
    <cellStyle name="RIGs input totals 2 5 3 32" xfId="38549" xr:uid="{00000000-0005-0000-0000-00006D970000}"/>
    <cellStyle name="RIGs input totals 2 5 3 33" xfId="38550" xr:uid="{00000000-0005-0000-0000-00006E970000}"/>
    <cellStyle name="RIGs input totals 2 5 3 34" xfId="38551" xr:uid="{00000000-0005-0000-0000-00006F970000}"/>
    <cellStyle name="RIGs input totals 2 5 3 35" xfId="38552" xr:uid="{00000000-0005-0000-0000-000070970000}"/>
    <cellStyle name="RIGs input totals 2 5 3 4" xfId="38553" xr:uid="{00000000-0005-0000-0000-000071970000}"/>
    <cellStyle name="RIGs input totals 2 5 3 4 2" xfId="38554" xr:uid="{00000000-0005-0000-0000-000072970000}"/>
    <cellStyle name="RIGs input totals 2 5 3 4 3" xfId="38555" xr:uid="{00000000-0005-0000-0000-000073970000}"/>
    <cellStyle name="RIGs input totals 2 5 3 5" xfId="38556" xr:uid="{00000000-0005-0000-0000-000074970000}"/>
    <cellStyle name="RIGs input totals 2 5 3 5 2" xfId="38557" xr:uid="{00000000-0005-0000-0000-000075970000}"/>
    <cellStyle name="RIGs input totals 2 5 3 5 3" xfId="38558" xr:uid="{00000000-0005-0000-0000-000076970000}"/>
    <cellStyle name="RIGs input totals 2 5 3 6" xfId="38559" xr:uid="{00000000-0005-0000-0000-000077970000}"/>
    <cellStyle name="RIGs input totals 2 5 3 7" xfId="38560" xr:uid="{00000000-0005-0000-0000-000078970000}"/>
    <cellStyle name="RIGs input totals 2 5 3 8" xfId="38561" xr:uid="{00000000-0005-0000-0000-000079970000}"/>
    <cellStyle name="RIGs input totals 2 5 3 9" xfId="38562" xr:uid="{00000000-0005-0000-0000-00007A970000}"/>
    <cellStyle name="RIGs input totals 2 5 3_4 28 1_Asst_Health_Crit_AllTO_RIIO_20110714pm" xfId="38563" xr:uid="{00000000-0005-0000-0000-00007B970000}"/>
    <cellStyle name="RIGs input totals 2 5 30" xfId="38564" xr:uid="{00000000-0005-0000-0000-00007C970000}"/>
    <cellStyle name="RIGs input totals 2 5 31" xfId="38565" xr:uid="{00000000-0005-0000-0000-00007D970000}"/>
    <cellStyle name="RIGs input totals 2 5 32" xfId="38566" xr:uid="{00000000-0005-0000-0000-00007E970000}"/>
    <cellStyle name="RIGs input totals 2 5 33" xfId="38567" xr:uid="{00000000-0005-0000-0000-00007F970000}"/>
    <cellStyle name="RIGs input totals 2 5 34" xfId="38568" xr:uid="{00000000-0005-0000-0000-000080970000}"/>
    <cellStyle name="RIGs input totals 2 5 35" xfId="38569" xr:uid="{00000000-0005-0000-0000-000081970000}"/>
    <cellStyle name="RIGs input totals 2 5 36" xfId="38570" xr:uid="{00000000-0005-0000-0000-000082970000}"/>
    <cellStyle name="RIGs input totals 2 5 37" xfId="38571" xr:uid="{00000000-0005-0000-0000-000083970000}"/>
    <cellStyle name="RIGs input totals 2 5 38" xfId="38572" xr:uid="{00000000-0005-0000-0000-000084970000}"/>
    <cellStyle name="RIGs input totals 2 5 39" xfId="38573" xr:uid="{00000000-0005-0000-0000-000085970000}"/>
    <cellStyle name="RIGs input totals 2 5 4" xfId="38574" xr:uid="{00000000-0005-0000-0000-000086970000}"/>
    <cellStyle name="RIGs input totals 2 5 4 10" xfId="38575" xr:uid="{00000000-0005-0000-0000-000087970000}"/>
    <cellStyle name="RIGs input totals 2 5 4 11" xfId="38576" xr:uid="{00000000-0005-0000-0000-000088970000}"/>
    <cellStyle name="RIGs input totals 2 5 4 12" xfId="38577" xr:uid="{00000000-0005-0000-0000-000089970000}"/>
    <cellStyle name="RIGs input totals 2 5 4 13" xfId="38578" xr:uid="{00000000-0005-0000-0000-00008A970000}"/>
    <cellStyle name="RIGs input totals 2 5 4 14" xfId="38579" xr:uid="{00000000-0005-0000-0000-00008B970000}"/>
    <cellStyle name="RIGs input totals 2 5 4 15" xfId="38580" xr:uid="{00000000-0005-0000-0000-00008C970000}"/>
    <cellStyle name="RIGs input totals 2 5 4 16" xfId="38581" xr:uid="{00000000-0005-0000-0000-00008D970000}"/>
    <cellStyle name="RIGs input totals 2 5 4 17" xfId="38582" xr:uid="{00000000-0005-0000-0000-00008E970000}"/>
    <cellStyle name="RIGs input totals 2 5 4 18" xfId="38583" xr:uid="{00000000-0005-0000-0000-00008F970000}"/>
    <cellStyle name="RIGs input totals 2 5 4 19" xfId="38584" xr:uid="{00000000-0005-0000-0000-000090970000}"/>
    <cellStyle name="RIGs input totals 2 5 4 2" xfId="38585" xr:uid="{00000000-0005-0000-0000-000091970000}"/>
    <cellStyle name="RIGs input totals 2 5 4 2 10" xfId="38586" xr:uid="{00000000-0005-0000-0000-000092970000}"/>
    <cellStyle name="RIGs input totals 2 5 4 2 11" xfId="38587" xr:uid="{00000000-0005-0000-0000-000093970000}"/>
    <cellStyle name="RIGs input totals 2 5 4 2 12" xfId="38588" xr:uid="{00000000-0005-0000-0000-000094970000}"/>
    <cellStyle name="RIGs input totals 2 5 4 2 13" xfId="38589" xr:uid="{00000000-0005-0000-0000-000095970000}"/>
    <cellStyle name="RIGs input totals 2 5 4 2 2" xfId="38590" xr:uid="{00000000-0005-0000-0000-000096970000}"/>
    <cellStyle name="RIGs input totals 2 5 4 2 2 2" xfId="38591" xr:uid="{00000000-0005-0000-0000-000097970000}"/>
    <cellStyle name="RIGs input totals 2 5 4 2 2 3" xfId="38592" xr:uid="{00000000-0005-0000-0000-000098970000}"/>
    <cellStyle name="RIGs input totals 2 5 4 2 3" xfId="38593" xr:uid="{00000000-0005-0000-0000-000099970000}"/>
    <cellStyle name="RIGs input totals 2 5 4 2 3 2" xfId="38594" xr:uid="{00000000-0005-0000-0000-00009A970000}"/>
    <cellStyle name="RIGs input totals 2 5 4 2 3 3" xfId="38595" xr:uid="{00000000-0005-0000-0000-00009B970000}"/>
    <cellStyle name="RIGs input totals 2 5 4 2 4" xfId="38596" xr:uid="{00000000-0005-0000-0000-00009C970000}"/>
    <cellStyle name="RIGs input totals 2 5 4 2 5" xfId="38597" xr:uid="{00000000-0005-0000-0000-00009D970000}"/>
    <cellStyle name="RIGs input totals 2 5 4 2 6" xfId="38598" xr:uid="{00000000-0005-0000-0000-00009E970000}"/>
    <cellStyle name="RIGs input totals 2 5 4 2 7" xfId="38599" xr:uid="{00000000-0005-0000-0000-00009F970000}"/>
    <cellStyle name="RIGs input totals 2 5 4 2 8" xfId="38600" xr:uid="{00000000-0005-0000-0000-0000A0970000}"/>
    <cellStyle name="RIGs input totals 2 5 4 2 9" xfId="38601" xr:uid="{00000000-0005-0000-0000-0000A1970000}"/>
    <cellStyle name="RIGs input totals 2 5 4 20" xfId="38602" xr:uid="{00000000-0005-0000-0000-0000A2970000}"/>
    <cellStyle name="RIGs input totals 2 5 4 21" xfId="38603" xr:uid="{00000000-0005-0000-0000-0000A3970000}"/>
    <cellStyle name="RIGs input totals 2 5 4 22" xfId="38604" xr:uid="{00000000-0005-0000-0000-0000A4970000}"/>
    <cellStyle name="RIGs input totals 2 5 4 23" xfId="38605" xr:uid="{00000000-0005-0000-0000-0000A5970000}"/>
    <cellStyle name="RIGs input totals 2 5 4 24" xfId="38606" xr:uid="{00000000-0005-0000-0000-0000A6970000}"/>
    <cellStyle name="RIGs input totals 2 5 4 25" xfId="38607" xr:uid="{00000000-0005-0000-0000-0000A7970000}"/>
    <cellStyle name="RIGs input totals 2 5 4 26" xfId="38608" xr:uid="{00000000-0005-0000-0000-0000A8970000}"/>
    <cellStyle name="RIGs input totals 2 5 4 27" xfId="38609" xr:uid="{00000000-0005-0000-0000-0000A9970000}"/>
    <cellStyle name="RIGs input totals 2 5 4 28" xfId="38610" xr:uid="{00000000-0005-0000-0000-0000AA970000}"/>
    <cellStyle name="RIGs input totals 2 5 4 29" xfId="38611" xr:uid="{00000000-0005-0000-0000-0000AB970000}"/>
    <cellStyle name="RIGs input totals 2 5 4 3" xfId="38612" xr:uid="{00000000-0005-0000-0000-0000AC970000}"/>
    <cellStyle name="RIGs input totals 2 5 4 3 2" xfId="38613" xr:uid="{00000000-0005-0000-0000-0000AD970000}"/>
    <cellStyle name="RIGs input totals 2 5 4 3 3" xfId="38614" xr:uid="{00000000-0005-0000-0000-0000AE970000}"/>
    <cellStyle name="RIGs input totals 2 5 4 30" xfId="38615" xr:uid="{00000000-0005-0000-0000-0000AF970000}"/>
    <cellStyle name="RIGs input totals 2 5 4 31" xfId="38616" xr:uid="{00000000-0005-0000-0000-0000B0970000}"/>
    <cellStyle name="RIGs input totals 2 5 4 32" xfId="38617" xr:uid="{00000000-0005-0000-0000-0000B1970000}"/>
    <cellStyle name="RIGs input totals 2 5 4 33" xfId="38618" xr:uid="{00000000-0005-0000-0000-0000B2970000}"/>
    <cellStyle name="RIGs input totals 2 5 4 34" xfId="38619" xr:uid="{00000000-0005-0000-0000-0000B3970000}"/>
    <cellStyle name="RIGs input totals 2 5 4 4" xfId="38620" xr:uid="{00000000-0005-0000-0000-0000B4970000}"/>
    <cellStyle name="RIGs input totals 2 5 4 4 2" xfId="38621" xr:uid="{00000000-0005-0000-0000-0000B5970000}"/>
    <cellStyle name="RIGs input totals 2 5 4 4 3" xfId="38622" xr:uid="{00000000-0005-0000-0000-0000B6970000}"/>
    <cellStyle name="RIGs input totals 2 5 4 5" xfId="38623" xr:uid="{00000000-0005-0000-0000-0000B7970000}"/>
    <cellStyle name="RIGs input totals 2 5 4 6" xfId="38624" xr:uid="{00000000-0005-0000-0000-0000B8970000}"/>
    <cellStyle name="RIGs input totals 2 5 4 7" xfId="38625" xr:uid="{00000000-0005-0000-0000-0000B9970000}"/>
    <cellStyle name="RIGs input totals 2 5 4 8" xfId="38626" xr:uid="{00000000-0005-0000-0000-0000BA970000}"/>
    <cellStyle name="RIGs input totals 2 5 4 9" xfId="38627" xr:uid="{00000000-0005-0000-0000-0000BB970000}"/>
    <cellStyle name="RIGs input totals 2 5 5" xfId="38628" xr:uid="{00000000-0005-0000-0000-0000BC970000}"/>
    <cellStyle name="RIGs input totals 2 5 5 10" xfId="38629" xr:uid="{00000000-0005-0000-0000-0000BD970000}"/>
    <cellStyle name="RIGs input totals 2 5 5 11" xfId="38630" xr:uid="{00000000-0005-0000-0000-0000BE970000}"/>
    <cellStyle name="RIGs input totals 2 5 5 12" xfId="38631" xr:uid="{00000000-0005-0000-0000-0000BF970000}"/>
    <cellStyle name="RIGs input totals 2 5 5 13" xfId="38632" xr:uid="{00000000-0005-0000-0000-0000C0970000}"/>
    <cellStyle name="RIGs input totals 2 5 5 14" xfId="38633" xr:uid="{00000000-0005-0000-0000-0000C1970000}"/>
    <cellStyle name="RIGs input totals 2 5 5 15" xfId="38634" xr:uid="{00000000-0005-0000-0000-0000C2970000}"/>
    <cellStyle name="RIGs input totals 2 5 5 16" xfId="38635" xr:uid="{00000000-0005-0000-0000-0000C3970000}"/>
    <cellStyle name="RIGs input totals 2 5 5 17" xfId="38636" xr:uid="{00000000-0005-0000-0000-0000C4970000}"/>
    <cellStyle name="RIGs input totals 2 5 5 18" xfId="38637" xr:uid="{00000000-0005-0000-0000-0000C5970000}"/>
    <cellStyle name="RIGs input totals 2 5 5 19" xfId="38638" xr:uid="{00000000-0005-0000-0000-0000C6970000}"/>
    <cellStyle name="RIGs input totals 2 5 5 2" xfId="38639" xr:uid="{00000000-0005-0000-0000-0000C7970000}"/>
    <cellStyle name="RIGs input totals 2 5 5 2 10" xfId="38640" xr:uid="{00000000-0005-0000-0000-0000C8970000}"/>
    <cellStyle name="RIGs input totals 2 5 5 2 11" xfId="38641" xr:uid="{00000000-0005-0000-0000-0000C9970000}"/>
    <cellStyle name="RIGs input totals 2 5 5 2 12" xfId="38642" xr:uid="{00000000-0005-0000-0000-0000CA970000}"/>
    <cellStyle name="RIGs input totals 2 5 5 2 13" xfId="38643" xr:uid="{00000000-0005-0000-0000-0000CB970000}"/>
    <cellStyle name="RIGs input totals 2 5 5 2 2" xfId="38644" xr:uid="{00000000-0005-0000-0000-0000CC970000}"/>
    <cellStyle name="RIGs input totals 2 5 5 2 2 2" xfId="38645" xr:uid="{00000000-0005-0000-0000-0000CD970000}"/>
    <cellStyle name="RIGs input totals 2 5 5 2 2 3" xfId="38646" xr:uid="{00000000-0005-0000-0000-0000CE970000}"/>
    <cellStyle name="RIGs input totals 2 5 5 2 3" xfId="38647" xr:uid="{00000000-0005-0000-0000-0000CF970000}"/>
    <cellStyle name="RIGs input totals 2 5 5 2 3 2" xfId="38648" xr:uid="{00000000-0005-0000-0000-0000D0970000}"/>
    <cellStyle name="RIGs input totals 2 5 5 2 3 3" xfId="38649" xr:uid="{00000000-0005-0000-0000-0000D1970000}"/>
    <cellStyle name="RIGs input totals 2 5 5 2 4" xfId="38650" xr:uid="{00000000-0005-0000-0000-0000D2970000}"/>
    <cellStyle name="RIGs input totals 2 5 5 2 5" xfId="38651" xr:uid="{00000000-0005-0000-0000-0000D3970000}"/>
    <cellStyle name="RIGs input totals 2 5 5 2 6" xfId="38652" xr:uid="{00000000-0005-0000-0000-0000D4970000}"/>
    <cellStyle name="RIGs input totals 2 5 5 2 7" xfId="38653" xr:uid="{00000000-0005-0000-0000-0000D5970000}"/>
    <cellStyle name="RIGs input totals 2 5 5 2 8" xfId="38654" xr:uid="{00000000-0005-0000-0000-0000D6970000}"/>
    <cellStyle name="RIGs input totals 2 5 5 2 9" xfId="38655" xr:uid="{00000000-0005-0000-0000-0000D7970000}"/>
    <cellStyle name="RIGs input totals 2 5 5 20" xfId="38656" xr:uid="{00000000-0005-0000-0000-0000D8970000}"/>
    <cellStyle name="RIGs input totals 2 5 5 21" xfId="38657" xr:uid="{00000000-0005-0000-0000-0000D9970000}"/>
    <cellStyle name="RIGs input totals 2 5 5 22" xfId="38658" xr:uid="{00000000-0005-0000-0000-0000DA970000}"/>
    <cellStyle name="RIGs input totals 2 5 5 23" xfId="38659" xr:uid="{00000000-0005-0000-0000-0000DB970000}"/>
    <cellStyle name="RIGs input totals 2 5 5 24" xfId="38660" xr:uid="{00000000-0005-0000-0000-0000DC970000}"/>
    <cellStyle name="RIGs input totals 2 5 5 25" xfId="38661" xr:uid="{00000000-0005-0000-0000-0000DD970000}"/>
    <cellStyle name="RIGs input totals 2 5 5 26" xfId="38662" xr:uid="{00000000-0005-0000-0000-0000DE970000}"/>
    <cellStyle name="RIGs input totals 2 5 5 27" xfId="38663" xr:uid="{00000000-0005-0000-0000-0000DF970000}"/>
    <cellStyle name="RIGs input totals 2 5 5 28" xfId="38664" xr:uid="{00000000-0005-0000-0000-0000E0970000}"/>
    <cellStyle name="RIGs input totals 2 5 5 29" xfId="38665" xr:uid="{00000000-0005-0000-0000-0000E1970000}"/>
    <cellStyle name="RIGs input totals 2 5 5 3" xfId="38666" xr:uid="{00000000-0005-0000-0000-0000E2970000}"/>
    <cellStyle name="RIGs input totals 2 5 5 3 2" xfId="38667" xr:uid="{00000000-0005-0000-0000-0000E3970000}"/>
    <cellStyle name="RIGs input totals 2 5 5 3 3" xfId="38668" xr:uid="{00000000-0005-0000-0000-0000E4970000}"/>
    <cellStyle name="RIGs input totals 2 5 5 30" xfId="38669" xr:uid="{00000000-0005-0000-0000-0000E5970000}"/>
    <cellStyle name="RIGs input totals 2 5 5 31" xfId="38670" xr:uid="{00000000-0005-0000-0000-0000E6970000}"/>
    <cellStyle name="RIGs input totals 2 5 5 32" xfId="38671" xr:uid="{00000000-0005-0000-0000-0000E7970000}"/>
    <cellStyle name="RIGs input totals 2 5 5 33" xfId="38672" xr:uid="{00000000-0005-0000-0000-0000E8970000}"/>
    <cellStyle name="RIGs input totals 2 5 5 34" xfId="38673" xr:uid="{00000000-0005-0000-0000-0000E9970000}"/>
    <cellStyle name="RIGs input totals 2 5 5 4" xfId="38674" xr:uid="{00000000-0005-0000-0000-0000EA970000}"/>
    <cellStyle name="RIGs input totals 2 5 5 4 2" xfId="38675" xr:uid="{00000000-0005-0000-0000-0000EB970000}"/>
    <cellStyle name="RIGs input totals 2 5 5 4 3" xfId="38676" xr:uid="{00000000-0005-0000-0000-0000EC970000}"/>
    <cellStyle name="RIGs input totals 2 5 5 5" xfId="38677" xr:uid="{00000000-0005-0000-0000-0000ED970000}"/>
    <cellStyle name="RIGs input totals 2 5 5 6" xfId="38678" xr:uid="{00000000-0005-0000-0000-0000EE970000}"/>
    <cellStyle name="RIGs input totals 2 5 5 7" xfId="38679" xr:uid="{00000000-0005-0000-0000-0000EF970000}"/>
    <cellStyle name="RIGs input totals 2 5 5 8" xfId="38680" xr:uid="{00000000-0005-0000-0000-0000F0970000}"/>
    <cellStyle name="RIGs input totals 2 5 5 9" xfId="38681" xr:uid="{00000000-0005-0000-0000-0000F1970000}"/>
    <cellStyle name="RIGs input totals 2 5 6" xfId="38682" xr:uid="{00000000-0005-0000-0000-0000F2970000}"/>
    <cellStyle name="RIGs input totals 2 5 6 10" xfId="38683" xr:uid="{00000000-0005-0000-0000-0000F3970000}"/>
    <cellStyle name="RIGs input totals 2 5 6 11" xfId="38684" xr:uid="{00000000-0005-0000-0000-0000F4970000}"/>
    <cellStyle name="RIGs input totals 2 5 6 12" xfId="38685" xr:uid="{00000000-0005-0000-0000-0000F5970000}"/>
    <cellStyle name="RIGs input totals 2 5 6 13" xfId="38686" xr:uid="{00000000-0005-0000-0000-0000F6970000}"/>
    <cellStyle name="RIGs input totals 2 5 6 2" xfId="38687" xr:uid="{00000000-0005-0000-0000-0000F7970000}"/>
    <cellStyle name="RIGs input totals 2 5 6 2 2" xfId="38688" xr:uid="{00000000-0005-0000-0000-0000F8970000}"/>
    <cellStyle name="RIGs input totals 2 5 6 2 3" xfId="38689" xr:uid="{00000000-0005-0000-0000-0000F9970000}"/>
    <cellStyle name="RIGs input totals 2 5 6 3" xfId="38690" xr:uid="{00000000-0005-0000-0000-0000FA970000}"/>
    <cellStyle name="RIGs input totals 2 5 6 3 2" xfId="38691" xr:uid="{00000000-0005-0000-0000-0000FB970000}"/>
    <cellStyle name="RIGs input totals 2 5 6 3 3" xfId="38692" xr:uid="{00000000-0005-0000-0000-0000FC970000}"/>
    <cellStyle name="RIGs input totals 2 5 6 4" xfId="38693" xr:uid="{00000000-0005-0000-0000-0000FD970000}"/>
    <cellStyle name="RIGs input totals 2 5 6 5" xfId="38694" xr:uid="{00000000-0005-0000-0000-0000FE970000}"/>
    <cellStyle name="RIGs input totals 2 5 6 6" xfId="38695" xr:uid="{00000000-0005-0000-0000-0000FF970000}"/>
    <cellStyle name="RIGs input totals 2 5 6 7" xfId="38696" xr:uid="{00000000-0005-0000-0000-000000980000}"/>
    <cellStyle name="RIGs input totals 2 5 6 8" xfId="38697" xr:uid="{00000000-0005-0000-0000-000001980000}"/>
    <cellStyle name="RIGs input totals 2 5 6 9" xfId="38698" xr:uid="{00000000-0005-0000-0000-000002980000}"/>
    <cellStyle name="RIGs input totals 2 5 7" xfId="38699" xr:uid="{00000000-0005-0000-0000-000003980000}"/>
    <cellStyle name="RIGs input totals 2 5 7 2" xfId="38700" xr:uid="{00000000-0005-0000-0000-000004980000}"/>
    <cellStyle name="RIGs input totals 2 5 7 2 2" xfId="38701" xr:uid="{00000000-0005-0000-0000-000005980000}"/>
    <cellStyle name="RIGs input totals 2 5 7 2 3" xfId="38702" xr:uid="{00000000-0005-0000-0000-000006980000}"/>
    <cellStyle name="RIGs input totals 2 5 7 3" xfId="38703" xr:uid="{00000000-0005-0000-0000-000007980000}"/>
    <cellStyle name="RIGs input totals 2 5 7 3 2" xfId="38704" xr:uid="{00000000-0005-0000-0000-000008980000}"/>
    <cellStyle name="RIGs input totals 2 5 7 4" xfId="38705" xr:uid="{00000000-0005-0000-0000-000009980000}"/>
    <cellStyle name="RIGs input totals 2 5 8" xfId="38706" xr:uid="{00000000-0005-0000-0000-00000A980000}"/>
    <cellStyle name="RIGs input totals 2 5 8 2" xfId="38707" xr:uid="{00000000-0005-0000-0000-00000B980000}"/>
    <cellStyle name="RIGs input totals 2 5 9" xfId="38708" xr:uid="{00000000-0005-0000-0000-00000C980000}"/>
    <cellStyle name="RIGs input totals 2 5 9 2" xfId="38709" xr:uid="{00000000-0005-0000-0000-00000D980000}"/>
    <cellStyle name="RIGs input totals 2 5_4 28 1_Asst_Health_Crit_AllTO_RIIO_20110714pm" xfId="38710" xr:uid="{00000000-0005-0000-0000-00000E980000}"/>
    <cellStyle name="RIGs input totals 2 6" xfId="38711" xr:uid="{00000000-0005-0000-0000-00000F980000}"/>
    <cellStyle name="RIGs input totals 2 6 10" xfId="38712" xr:uid="{00000000-0005-0000-0000-000010980000}"/>
    <cellStyle name="RIGs input totals 2 6 11" xfId="38713" xr:uid="{00000000-0005-0000-0000-000011980000}"/>
    <cellStyle name="RIGs input totals 2 6 12" xfId="38714" xr:uid="{00000000-0005-0000-0000-000012980000}"/>
    <cellStyle name="RIGs input totals 2 6 13" xfId="38715" xr:uid="{00000000-0005-0000-0000-000013980000}"/>
    <cellStyle name="RIGs input totals 2 6 14" xfId="38716" xr:uid="{00000000-0005-0000-0000-000014980000}"/>
    <cellStyle name="RIGs input totals 2 6 15" xfId="38717" xr:uid="{00000000-0005-0000-0000-000015980000}"/>
    <cellStyle name="RIGs input totals 2 6 16" xfId="38718" xr:uid="{00000000-0005-0000-0000-000016980000}"/>
    <cellStyle name="RIGs input totals 2 6 17" xfId="38719" xr:uid="{00000000-0005-0000-0000-000017980000}"/>
    <cellStyle name="RIGs input totals 2 6 18" xfId="38720" xr:uid="{00000000-0005-0000-0000-000018980000}"/>
    <cellStyle name="RIGs input totals 2 6 19" xfId="38721" xr:uid="{00000000-0005-0000-0000-000019980000}"/>
    <cellStyle name="RIGs input totals 2 6 2" xfId="38722" xr:uid="{00000000-0005-0000-0000-00001A980000}"/>
    <cellStyle name="RIGs input totals 2 6 2 10" xfId="38723" xr:uid="{00000000-0005-0000-0000-00001B980000}"/>
    <cellStyle name="RIGs input totals 2 6 2 11" xfId="38724" xr:uid="{00000000-0005-0000-0000-00001C980000}"/>
    <cellStyle name="RIGs input totals 2 6 2 12" xfId="38725" xr:uid="{00000000-0005-0000-0000-00001D980000}"/>
    <cellStyle name="RIGs input totals 2 6 2 13" xfId="38726" xr:uid="{00000000-0005-0000-0000-00001E980000}"/>
    <cellStyle name="RIGs input totals 2 6 2 14" xfId="38727" xr:uid="{00000000-0005-0000-0000-00001F980000}"/>
    <cellStyle name="RIGs input totals 2 6 2 15" xfId="38728" xr:uid="{00000000-0005-0000-0000-000020980000}"/>
    <cellStyle name="RIGs input totals 2 6 2 16" xfId="38729" xr:uid="{00000000-0005-0000-0000-000021980000}"/>
    <cellStyle name="RIGs input totals 2 6 2 17" xfId="38730" xr:uid="{00000000-0005-0000-0000-000022980000}"/>
    <cellStyle name="RIGs input totals 2 6 2 18" xfId="38731" xr:uid="{00000000-0005-0000-0000-000023980000}"/>
    <cellStyle name="RIGs input totals 2 6 2 19" xfId="38732" xr:uid="{00000000-0005-0000-0000-000024980000}"/>
    <cellStyle name="RIGs input totals 2 6 2 2" xfId="38733" xr:uid="{00000000-0005-0000-0000-000025980000}"/>
    <cellStyle name="RIGs input totals 2 6 2 2 10" xfId="38734" xr:uid="{00000000-0005-0000-0000-000026980000}"/>
    <cellStyle name="RIGs input totals 2 6 2 2 11" xfId="38735" xr:uid="{00000000-0005-0000-0000-000027980000}"/>
    <cellStyle name="RIGs input totals 2 6 2 2 12" xfId="38736" xr:uid="{00000000-0005-0000-0000-000028980000}"/>
    <cellStyle name="RIGs input totals 2 6 2 2 13" xfId="38737" xr:uid="{00000000-0005-0000-0000-000029980000}"/>
    <cellStyle name="RIGs input totals 2 6 2 2 2" xfId="38738" xr:uid="{00000000-0005-0000-0000-00002A980000}"/>
    <cellStyle name="RIGs input totals 2 6 2 2 2 2" xfId="38739" xr:uid="{00000000-0005-0000-0000-00002B980000}"/>
    <cellStyle name="RIGs input totals 2 6 2 2 2 3" xfId="38740" xr:uid="{00000000-0005-0000-0000-00002C980000}"/>
    <cellStyle name="RIGs input totals 2 6 2 2 3" xfId="38741" xr:uid="{00000000-0005-0000-0000-00002D980000}"/>
    <cellStyle name="RIGs input totals 2 6 2 2 3 2" xfId="38742" xr:uid="{00000000-0005-0000-0000-00002E980000}"/>
    <cellStyle name="RIGs input totals 2 6 2 2 3 3" xfId="38743" xr:uid="{00000000-0005-0000-0000-00002F980000}"/>
    <cellStyle name="RIGs input totals 2 6 2 2 4" xfId="38744" xr:uid="{00000000-0005-0000-0000-000030980000}"/>
    <cellStyle name="RIGs input totals 2 6 2 2 5" xfId="38745" xr:uid="{00000000-0005-0000-0000-000031980000}"/>
    <cellStyle name="RIGs input totals 2 6 2 2 6" xfId="38746" xr:uid="{00000000-0005-0000-0000-000032980000}"/>
    <cellStyle name="RIGs input totals 2 6 2 2 7" xfId="38747" xr:uid="{00000000-0005-0000-0000-000033980000}"/>
    <cellStyle name="RIGs input totals 2 6 2 2 8" xfId="38748" xr:uid="{00000000-0005-0000-0000-000034980000}"/>
    <cellStyle name="RIGs input totals 2 6 2 2 9" xfId="38749" xr:uid="{00000000-0005-0000-0000-000035980000}"/>
    <cellStyle name="RIGs input totals 2 6 2 20" xfId="38750" xr:uid="{00000000-0005-0000-0000-000036980000}"/>
    <cellStyle name="RIGs input totals 2 6 2 21" xfId="38751" xr:uid="{00000000-0005-0000-0000-000037980000}"/>
    <cellStyle name="RIGs input totals 2 6 2 22" xfId="38752" xr:uid="{00000000-0005-0000-0000-000038980000}"/>
    <cellStyle name="RIGs input totals 2 6 2 23" xfId="38753" xr:uid="{00000000-0005-0000-0000-000039980000}"/>
    <cellStyle name="RIGs input totals 2 6 2 24" xfId="38754" xr:uid="{00000000-0005-0000-0000-00003A980000}"/>
    <cellStyle name="RIGs input totals 2 6 2 25" xfId="38755" xr:uid="{00000000-0005-0000-0000-00003B980000}"/>
    <cellStyle name="RIGs input totals 2 6 2 26" xfId="38756" xr:uid="{00000000-0005-0000-0000-00003C980000}"/>
    <cellStyle name="RIGs input totals 2 6 2 27" xfId="38757" xr:uid="{00000000-0005-0000-0000-00003D980000}"/>
    <cellStyle name="RIGs input totals 2 6 2 28" xfId="38758" xr:uid="{00000000-0005-0000-0000-00003E980000}"/>
    <cellStyle name="RIGs input totals 2 6 2 29" xfId="38759" xr:uid="{00000000-0005-0000-0000-00003F980000}"/>
    <cellStyle name="RIGs input totals 2 6 2 3" xfId="38760" xr:uid="{00000000-0005-0000-0000-000040980000}"/>
    <cellStyle name="RIGs input totals 2 6 2 3 2" xfId="38761" xr:uid="{00000000-0005-0000-0000-000041980000}"/>
    <cellStyle name="RIGs input totals 2 6 2 3 3" xfId="38762" xr:uid="{00000000-0005-0000-0000-000042980000}"/>
    <cellStyle name="RIGs input totals 2 6 2 30" xfId="38763" xr:uid="{00000000-0005-0000-0000-000043980000}"/>
    <cellStyle name="RIGs input totals 2 6 2 31" xfId="38764" xr:uid="{00000000-0005-0000-0000-000044980000}"/>
    <cellStyle name="RIGs input totals 2 6 2 32" xfId="38765" xr:uid="{00000000-0005-0000-0000-000045980000}"/>
    <cellStyle name="RIGs input totals 2 6 2 33" xfId="38766" xr:uid="{00000000-0005-0000-0000-000046980000}"/>
    <cellStyle name="RIGs input totals 2 6 2 34" xfId="38767" xr:uid="{00000000-0005-0000-0000-000047980000}"/>
    <cellStyle name="RIGs input totals 2 6 2 4" xfId="38768" xr:uid="{00000000-0005-0000-0000-000048980000}"/>
    <cellStyle name="RIGs input totals 2 6 2 4 2" xfId="38769" xr:uid="{00000000-0005-0000-0000-000049980000}"/>
    <cellStyle name="RIGs input totals 2 6 2 4 3" xfId="38770" xr:uid="{00000000-0005-0000-0000-00004A980000}"/>
    <cellStyle name="RIGs input totals 2 6 2 5" xfId="38771" xr:uid="{00000000-0005-0000-0000-00004B980000}"/>
    <cellStyle name="RIGs input totals 2 6 2 6" xfId="38772" xr:uid="{00000000-0005-0000-0000-00004C980000}"/>
    <cellStyle name="RIGs input totals 2 6 2 7" xfId="38773" xr:uid="{00000000-0005-0000-0000-00004D980000}"/>
    <cellStyle name="RIGs input totals 2 6 2 8" xfId="38774" xr:uid="{00000000-0005-0000-0000-00004E980000}"/>
    <cellStyle name="RIGs input totals 2 6 2 9" xfId="38775" xr:uid="{00000000-0005-0000-0000-00004F980000}"/>
    <cellStyle name="RIGs input totals 2 6 20" xfId="38776" xr:uid="{00000000-0005-0000-0000-000050980000}"/>
    <cellStyle name="RIGs input totals 2 6 21" xfId="38777" xr:uid="{00000000-0005-0000-0000-000051980000}"/>
    <cellStyle name="RIGs input totals 2 6 22" xfId="38778" xr:uid="{00000000-0005-0000-0000-000052980000}"/>
    <cellStyle name="RIGs input totals 2 6 23" xfId="38779" xr:uid="{00000000-0005-0000-0000-000053980000}"/>
    <cellStyle name="RIGs input totals 2 6 24" xfId="38780" xr:uid="{00000000-0005-0000-0000-000054980000}"/>
    <cellStyle name="RIGs input totals 2 6 25" xfId="38781" xr:uid="{00000000-0005-0000-0000-000055980000}"/>
    <cellStyle name="RIGs input totals 2 6 26" xfId="38782" xr:uid="{00000000-0005-0000-0000-000056980000}"/>
    <cellStyle name="RIGs input totals 2 6 27" xfId="38783" xr:uid="{00000000-0005-0000-0000-000057980000}"/>
    <cellStyle name="RIGs input totals 2 6 28" xfId="38784" xr:uid="{00000000-0005-0000-0000-000058980000}"/>
    <cellStyle name="RIGs input totals 2 6 29" xfId="38785" xr:uid="{00000000-0005-0000-0000-000059980000}"/>
    <cellStyle name="RIGs input totals 2 6 3" xfId="38786" xr:uid="{00000000-0005-0000-0000-00005A980000}"/>
    <cellStyle name="RIGs input totals 2 6 3 10" xfId="38787" xr:uid="{00000000-0005-0000-0000-00005B980000}"/>
    <cellStyle name="RIGs input totals 2 6 3 11" xfId="38788" xr:uid="{00000000-0005-0000-0000-00005C980000}"/>
    <cellStyle name="RIGs input totals 2 6 3 12" xfId="38789" xr:uid="{00000000-0005-0000-0000-00005D980000}"/>
    <cellStyle name="RIGs input totals 2 6 3 13" xfId="38790" xr:uid="{00000000-0005-0000-0000-00005E980000}"/>
    <cellStyle name="RIGs input totals 2 6 3 2" xfId="38791" xr:uid="{00000000-0005-0000-0000-00005F980000}"/>
    <cellStyle name="RIGs input totals 2 6 3 2 2" xfId="38792" xr:uid="{00000000-0005-0000-0000-000060980000}"/>
    <cellStyle name="RIGs input totals 2 6 3 2 3" xfId="38793" xr:uid="{00000000-0005-0000-0000-000061980000}"/>
    <cellStyle name="RIGs input totals 2 6 3 3" xfId="38794" xr:uid="{00000000-0005-0000-0000-000062980000}"/>
    <cellStyle name="RIGs input totals 2 6 3 3 2" xfId="38795" xr:uid="{00000000-0005-0000-0000-000063980000}"/>
    <cellStyle name="RIGs input totals 2 6 3 3 3" xfId="38796" xr:uid="{00000000-0005-0000-0000-000064980000}"/>
    <cellStyle name="RIGs input totals 2 6 3 4" xfId="38797" xr:uid="{00000000-0005-0000-0000-000065980000}"/>
    <cellStyle name="RIGs input totals 2 6 3 5" xfId="38798" xr:uid="{00000000-0005-0000-0000-000066980000}"/>
    <cellStyle name="RIGs input totals 2 6 3 6" xfId="38799" xr:uid="{00000000-0005-0000-0000-000067980000}"/>
    <cellStyle name="RIGs input totals 2 6 3 7" xfId="38800" xr:uid="{00000000-0005-0000-0000-000068980000}"/>
    <cellStyle name="RIGs input totals 2 6 3 8" xfId="38801" xr:uid="{00000000-0005-0000-0000-000069980000}"/>
    <cellStyle name="RIGs input totals 2 6 3 9" xfId="38802" xr:uid="{00000000-0005-0000-0000-00006A980000}"/>
    <cellStyle name="RIGs input totals 2 6 30" xfId="38803" xr:uid="{00000000-0005-0000-0000-00006B980000}"/>
    <cellStyle name="RIGs input totals 2 6 31" xfId="38804" xr:uid="{00000000-0005-0000-0000-00006C980000}"/>
    <cellStyle name="RIGs input totals 2 6 32" xfId="38805" xr:uid="{00000000-0005-0000-0000-00006D980000}"/>
    <cellStyle name="RIGs input totals 2 6 33" xfId="38806" xr:uid="{00000000-0005-0000-0000-00006E980000}"/>
    <cellStyle name="RIGs input totals 2 6 34" xfId="38807" xr:uid="{00000000-0005-0000-0000-00006F980000}"/>
    <cellStyle name="RIGs input totals 2 6 35" xfId="38808" xr:uid="{00000000-0005-0000-0000-000070980000}"/>
    <cellStyle name="RIGs input totals 2 6 4" xfId="38809" xr:uid="{00000000-0005-0000-0000-000071980000}"/>
    <cellStyle name="RIGs input totals 2 6 4 2" xfId="38810" xr:uid="{00000000-0005-0000-0000-000072980000}"/>
    <cellStyle name="RIGs input totals 2 6 4 3" xfId="38811" xr:uid="{00000000-0005-0000-0000-000073980000}"/>
    <cellStyle name="RIGs input totals 2 6 5" xfId="38812" xr:uid="{00000000-0005-0000-0000-000074980000}"/>
    <cellStyle name="RIGs input totals 2 6 5 2" xfId="38813" xr:uid="{00000000-0005-0000-0000-000075980000}"/>
    <cellStyle name="RIGs input totals 2 6 5 3" xfId="38814" xr:uid="{00000000-0005-0000-0000-000076980000}"/>
    <cellStyle name="RIGs input totals 2 6 6" xfId="38815" xr:uid="{00000000-0005-0000-0000-000077980000}"/>
    <cellStyle name="RIGs input totals 2 6 7" xfId="38816" xr:uid="{00000000-0005-0000-0000-000078980000}"/>
    <cellStyle name="RIGs input totals 2 6 8" xfId="38817" xr:uid="{00000000-0005-0000-0000-000079980000}"/>
    <cellStyle name="RIGs input totals 2 6 9" xfId="38818" xr:uid="{00000000-0005-0000-0000-00007A980000}"/>
    <cellStyle name="RIGs input totals 2 6_4 28 1_Asst_Health_Crit_AllTO_RIIO_20110714pm" xfId="38819" xr:uid="{00000000-0005-0000-0000-00007B980000}"/>
    <cellStyle name="RIGs input totals 2 7" xfId="38820" xr:uid="{00000000-0005-0000-0000-00007C980000}"/>
    <cellStyle name="RIGs input totals 2 7 10" xfId="38821" xr:uid="{00000000-0005-0000-0000-00007D980000}"/>
    <cellStyle name="RIGs input totals 2 7 11" xfId="38822" xr:uid="{00000000-0005-0000-0000-00007E980000}"/>
    <cellStyle name="RIGs input totals 2 7 12" xfId="38823" xr:uid="{00000000-0005-0000-0000-00007F980000}"/>
    <cellStyle name="RIGs input totals 2 7 13" xfId="38824" xr:uid="{00000000-0005-0000-0000-000080980000}"/>
    <cellStyle name="RIGs input totals 2 7 14" xfId="38825" xr:uid="{00000000-0005-0000-0000-000081980000}"/>
    <cellStyle name="RIGs input totals 2 7 15" xfId="38826" xr:uid="{00000000-0005-0000-0000-000082980000}"/>
    <cellStyle name="RIGs input totals 2 7 16" xfId="38827" xr:uid="{00000000-0005-0000-0000-000083980000}"/>
    <cellStyle name="RIGs input totals 2 7 17" xfId="38828" xr:uid="{00000000-0005-0000-0000-000084980000}"/>
    <cellStyle name="RIGs input totals 2 7 18" xfId="38829" xr:uid="{00000000-0005-0000-0000-000085980000}"/>
    <cellStyle name="RIGs input totals 2 7 19" xfId="38830" xr:uid="{00000000-0005-0000-0000-000086980000}"/>
    <cellStyle name="RIGs input totals 2 7 2" xfId="38831" xr:uid="{00000000-0005-0000-0000-000087980000}"/>
    <cellStyle name="RIGs input totals 2 7 2 10" xfId="38832" xr:uid="{00000000-0005-0000-0000-000088980000}"/>
    <cellStyle name="RIGs input totals 2 7 2 11" xfId="38833" xr:uid="{00000000-0005-0000-0000-000089980000}"/>
    <cellStyle name="RIGs input totals 2 7 2 12" xfId="38834" xr:uid="{00000000-0005-0000-0000-00008A980000}"/>
    <cellStyle name="RIGs input totals 2 7 2 13" xfId="38835" xr:uid="{00000000-0005-0000-0000-00008B980000}"/>
    <cellStyle name="RIGs input totals 2 7 2 2" xfId="38836" xr:uid="{00000000-0005-0000-0000-00008C980000}"/>
    <cellStyle name="RIGs input totals 2 7 2 2 2" xfId="38837" xr:uid="{00000000-0005-0000-0000-00008D980000}"/>
    <cellStyle name="RIGs input totals 2 7 2 2 3" xfId="38838" xr:uid="{00000000-0005-0000-0000-00008E980000}"/>
    <cellStyle name="RIGs input totals 2 7 2 3" xfId="38839" xr:uid="{00000000-0005-0000-0000-00008F980000}"/>
    <cellStyle name="RIGs input totals 2 7 2 3 2" xfId="38840" xr:uid="{00000000-0005-0000-0000-000090980000}"/>
    <cellStyle name="RIGs input totals 2 7 2 3 3" xfId="38841" xr:uid="{00000000-0005-0000-0000-000091980000}"/>
    <cellStyle name="RIGs input totals 2 7 2 4" xfId="38842" xr:uid="{00000000-0005-0000-0000-000092980000}"/>
    <cellStyle name="RIGs input totals 2 7 2 5" xfId="38843" xr:uid="{00000000-0005-0000-0000-000093980000}"/>
    <cellStyle name="RIGs input totals 2 7 2 6" xfId="38844" xr:uid="{00000000-0005-0000-0000-000094980000}"/>
    <cellStyle name="RIGs input totals 2 7 2 7" xfId="38845" xr:uid="{00000000-0005-0000-0000-000095980000}"/>
    <cellStyle name="RIGs input totals 2 7 2 8" xfId="38846" xr:uid="{00000000-0005-0000-0000-000096980000}"/>
    <cellStyle name="RIGs input totals 2 7 2 9" xfId="38847" xr:uid="{00000000-0005-0000-0000-000097980000}"/>
    <cellStyle name="RIGs input totals 2 7 20" xfId="38848" xr:uid="{00000000-0005-0000-0000-000098980000}"/>
    <cellStyle name="RIGs input totals 2 7 21" xfId="38849" xr:uid="{00000000-0005-0000-0000-000099980000}"/>
    <cellStyle name="RIGs input totals 2 7 22" xfId="38850" xr:uid="{00000000-0005-0000-0000-00009A980000}"/>
    <cellStyle name="RIGs input totals 2 7 23" xfId="38851" xr:uid="{00000000-0005-0000-0000-00009B980000}"/>
    <cellStyle name="RIGs input totals 2 7 24" xfId="38852" xr:uid="{00000000-0005-0000-0000-00009C980000}"/>
    <cellStyle name="RIGs input totals 2 7 25" xfId="38853" xr:uid="{00000000-0005-0000-0000-00009D980000}"/>
    <cellStyle name="RIGs input totals 2 7 26" xfId="38854" xr:uid="{00000000-0005-0000-0000-00009E980000}"/>
    <cellStyle name="RIGs input totals 2 7 27" xfId="38855" xr:uid="{00000000-0005-0000-0000-00009F980000}"/>
    <cellStyle name="RIGs input totals 2 7 28" xfId="38856" xr:uid="{00000000-0005-0000-0000-0000A0980000}"/>
    <cellStyle name="RIGs input totals 2 7 29" xfId="38857" xr:uid="{00000000-0005-0000-0000-0000A1980000}"/>
    <cellStyle name="RIGs input totals 2 7 3" xfId="38858" xr:uid="{00000000-0005-0000-0000-0000A2980000}"/>
    <cellStyle name="RIGs input totals 2 7 3 2" xfId="38859" xr:uid="{00000000-0005-0000-0000-0000A3980000}"/>
    <cellStyle name="RIGs input totals 2 7 3 3" xfId="38860" xr:uid="{00000000-0005-0000-0000-0000A4980000}"/>
    <cellStyle name="RIGs input totals 2 7 30" xfId="38861" xr:uid="{00000000-0005-0000-0000-0000A5980000}"/>
    <cellStyle name="RIGs input totals 2 7 31" xfId="38862" xr:uid="{00000000-0005-0000-0000-0000A6980000}"/>
    <cellStyle name="RIGs input totals 2 7 32" xfId="38863" xr:uid="{00000000-0005-0000-0000-0000A7980000}"/>
    <cellStyle name="RIGs input totals 2 7 33" xfId="38864" xr:uid="{00000000-0005-0000-0000-0000A8980000}"/>
    <cellStyle name="RIGs input totals 2 7 34" xfId="38865" xr:uid="{00000000-0005-0000-0000-0000A9980000}"/>
    <cellStyle name="RIGs input totals 2 7 4" xfId="38866" xr:uid="{00000000-0005-0000-0000-0000AA980000}"/>
    <cellStyle name="RIGs input totals 2 7 4 2" xfId="38867" xr:uid="{00000000-0005-0000-0000-0000AB980000}"/>
    <cellStyle name="RIGs input totals 2 7 4 3" xfId="38868" xr:uid="{00000000-0005-0000-0000-0000AC980000}"/>
    <cellStyle name="RIGs input totals 2 7 5" xfId="38869" xr:uid="{00000000-0005-0000-0000-0000AD980000}"/>
    <cellStyle name="RIGs input totals 2 7 6" xfId="38870" xr:uid="{00000000-0005-0000-0000-0000AE980000}"/>
    <cellStyle name="RIGs input totals 2 7 7" xfId="38871" xr:uid="{00000000-0005-0000-0000-0000AF980000}"/>
    <cellStyle name="RIGs input totals 2 7 8" xfId="38872" xr:uid="{00000000-0005-0000-0000-0000B0980000}"/>
    <cellStyle name="RIGs input totals 2 7 9" xfId="38873" xr:uid="{00000000-0005-0000-0000-0000B1980000}"/>
    <cellStyle name="RIGs input totals 2 8" xfId="38874" xr:uid="{00000000-0005-0000-0000-0000B2980000}"/>
    <cellStyle name="RIGs input totals 2 8 10" xfId="38875" xr:uid="{00000000-0005-0000-0000-0000B3980000}"/>
    <cellStyle name="RIGs input totals 2 8 11" xfId="38876" xr:uid="{00000000-0005-0000-0000-0000B4980000}"/>
    <cellStyle name="RIGs input totals 2 8 12" xfId="38877" xr:uid="{00000000-0005-0000-0000-0000B5980000}"/>
    <cellStyle name="RIGs input totals 2 8 13" xfId="38878" xr:uid="{00000000-0005-0000-0000-0000B6980000}"/>
    <cellStyle name="RIGs input totals 2 8 14" xfId="38879" xr:uid="{00000000-0005-0000-0000-0000B7980000}"/>
    <cellStyle name="RIGs input totals 2 8 15" xfId="38880" xr:uid="{00000000-0005-0000-0000-0000B8980000}"/>
    <cellStyle name="RIGs input totals 2 8 16" xfId="38881" xr:uid="{00000000-0005-0000-0000-0000B9980000}"/>
    <cellStyle name="RIGs input totals 2 8 17" xfId="38882" xr:uid="{00000000-0005-0000-0000-0000BA980000}"/>
    <cellStyle name="RIGs input totals 2 8 18" xfId="38883" xr:uid="{00000000-0005-0000-0000-0000BB980000}"/>
    <cellStyle name="RIGs input totals 2 8 19" xfId="38884" xr:uid="{00000000-0005-0000-0000-0000BC980000}"/>
    <cellStyle name="RIGs input totals 2 8 2" xfId="38885" xr:uid="{00000000-0005-0000-0000-0000BD980000}"/>
    <cellStyle name="RIGs input totals 2 8 2 10" xfId="38886" xr:uid="{00000000-0005-0000-0000-0000BE980000}"/>
    <cellStyle name="RIGs input totals 2 8 2 11" xfId="38887" xr:uid="{00000000-0005-0000-0000-0000BF980000}"/>
    <cellStyle name="RIGs input totals 2 8 2 12" xfId="38888" xr:uid="{00000000-0005-0000-0000-0000C0980000}"/>
    <cellStyle name="RIGs input totals 2 8 2 13" xfId="38889" xr:uid="{00000000-0005-0000-0000-0000C1980000}"/>
    <cellStyle name="RIGs input totals 2 8 2 2" xfId="38890" xr:uid="{00000000-0005-0000-0000-0000C2980000}"/>
    <cellStyle name="RIGs input totals 2 8 2 2 2" xfId="38891" xr:uid="{00000000-0005-0000-0000-0000C3980000}"/>
    <cellStyle name="RIGs input totals 2 8 2 2 3" xfId="38892" xr:uid="{00000000-0005-0000-0000-0000C4980000}"/>
    <cellStyle name="RIGs input totals 2 8 2 3" xfId="38893" xr:uid="{00000000-0005-0000-0000-0000C5980000}"/>
    <cellStyle name="RIGs input totals 2 8 2 3 2" xfId="38894" xr:uid="{00000000-0005-0000-0000-0000C6980000}"/>
    <cellStyle name="RIGs input totals 2 8 2 3 3" xfId="38895" xr:uid="{00000000-0005-0000-0000-0000C7980000}"/>
    <cellStyle name="RIGs input totals 2 8 2 4" xfId="38896" xr:uid="{00000000-0005-0000-0000-0000C8980000}"/>
    <cellStyle name="RIGs input totals 2 8 2 5" xfId="38897" xr:uid="{00000000-0005-0000-0000-0000C9980000}"/>
    <cellStyle name="RIGs input totals 2 8 2 6" xfId="38898" xr:uid="{00000000-0005-0000-0000-0000CA980000}"/>
    <cellStyle name="RIGs input totals 2 8 2 7" xfId="38899" xr:uid="{00000000-0005-0000-0000-0000CB980000}"/>
    <cellStyle name="RIGs input totals 2 8 2 8" xfId="38900" xr:uid="{00000000-0005-0000-0000-0000CC980000}"/>
    <cellStyle name="RIGs input totals 2 8 2 9" xfId="38901" xr:uid="{00000000-0005-0000-0000-0000CD980000}"/>
    <cellStyle name="RIGs input totals 2 8 20" xfId="38902" xr:uid="{00000000-0005-0000-0000-0000CE980000}"/>
    <cellStyle name="RIGs input totals 2 8 21" xfId="38903" xr:uid="{00000000-0005-0000-0000-0000CF980000}"/>
    <cellStyle name="RIGs input totals 2 8 22" xfId="38904" xr:uid="{00000000-0005-0000-0000-0000D0980000}"/>
    <cellStyle name="RIGs input totals 2 8 23" xfId="38905" xr:uid="{00000000-0005-0000-0000-0000D1980000}"/>
    <cellStyle name="RIGs input totals 2 8 24" xfId="38906" xr:uid="{00000000-0005-0000-0000-0000D2980000}"/>
    <cellStyle name="RIGs input totals 2 8 25" xfId="38907" xr:uid="{00000000-0005-0000-0000-0000D3980000}"/>
    <cellStyle name="RIGs input totals 2 8 26" xfId="38908" xr:uid="{00000000-0005-0000-0000-0000D4980000}"/>
    <cellStyle name="RIGs input totals 2 8 27" xfId="38909" xr:uid="{00000000-0005-0000-0000-0000D5980000}"/>
    <cellStyle name="RIGs input totals 2 8 28" xfId="38910" xr:uid="{00000000-0005-0000-0000-0000D6980000}"/>
    <cellStyle name="RIGs input totals 2 8 29" xfId="38911" xr:uid="{00000000-0005-0000-0000-0000D7980000}"/>
    <cellStyle name="RIGs input totals 2 8 3" xfId="38912" xr:uid="{00000000-0005-0000-0000-0000D8980000}"/>
    <cellStyle name="RIGs input totals 2 8 3 2" xfId="38913" xr:uid="{00000000-0005-0000-0000-0000D9980000}"/>
    <cellStyle name="RIGs input totals 2 8 3 3" xfId="38914" xr:uid="{00000000-0005-0000-0000-0000DA980000}"/>
    <cellStyle name="RIGs input totals 2 8 30" xfId="38915" xr:uid="{00000000-0005-0000-0000-0000DB980000}"/>
    <cellStyle name="RIGs input totals 2 8 31" xfId="38916" xr:uid="{00000000-0005-0000-0000-0000DC980000}"/>
    <cellStyle name="RIGs input totals 2 8 32" xfId="38917" xr:uid="{00000000-0005-0000-0000-0000DD980000}"/>
    <cellStyle name="RIGs input totals 2 8 33" xfId="38918" xr:uid="{00000000-0005-0000-0000-0000DE980000}"/>
    <cellStyle name="RIGs input totals 2 8 34" xfId="38919" xr:uid="{00000000-0005-0000-0000-0000DF980000}"/>
    <cellStyle name="RIGs input totals 2 8 4" xfId="38920" xr:uid="{00000000-0005-0000-0000-0000E0980000}"/>
    <cellStyle name="RIGs input totals 2 8 4 2" xfId="38921" xr:uid="{00000000-0005-0000-0000-0000E1980000}"/>
    <cellStyle name="RIGs input totals 2 8 4 3" xfId="38922" xr:uid="{00000000-0005-0000-0000-0000E2980000}"/>
    <cellStyle name="RIGs input totals 2 8 5" xfId="38923" xr:uid="{00000000-0005-0000-0000-0000E3980000}"/>
    <cellStyle name="RIGs input totals 2 8 6" xfId="38924" xr:uid="{00000000-0005-0000-0000-0000E4980000}"/>
    <cellStyle name="RIGs input totals 2 8 7" xfId="38925" xr:uid="{00000000-0005-0000-0000-0000E5980000}"/>
    <cellStyle name="RIGs input totals 2 8 8" xfId="38926" xr:uid="{00000000-0005-0000-0000-0000E6980000}"/>
    <cellStyle name="RIGs input totals 2 8 9" xfId="38927" xr:uid="{00000000-0005-0000-0000-0000E7980000}"/>
    <cellStyle name="RIGs input totals 2 9" xfId="38928" xr:uid="{00000000-0005-0000-0000-0000E8980000}"/>
    <cellStyle name="RIGs input totals 2 9 10" xfId="38929" xr:uid="{00000000-0005-0000-0000-0000E9980000}"/>
    <cellStyle name="RIGs input totals 2 9 11" xfId="38930" xr:uid="{00000000-0005-0000-0000-0000EA980000}"/>
    <cellStyle name="RIGs input totals 2 9 12" xfId="38931" xr:uid="{00000000-0005-0000-0000-0000EB980000}"/>
    <cellStyle name="RIGs input totals 2 9 13" xfId="38932" xr:uid="{00000000-0005-0000-0000-0000EC980000}"/>
    <cellStyle name="RIGs input totals 2 9 14" xfId="38933" xr:uid="{00000000-0005-0000-0000-0000ED980000}"/>
    <cellStyle name="RIGs input totals 2 9 15" xfId="38934" xr:uid="{00000000-0005-0000-0000-0000EE980000}"/>
    <cellStyle name="RIGs input totals 2 9 16" xfId="38935" xr:uid="{00000000-0005-0000-0000-0000EF980000}"/>
    <cellStyle name="RIGs input totals 2 9 17" xfId="38936" xr:uid="{00000000-0005-0000-0000-0000F0980000}"/>
    <cellStyle name="RIGs input totals 2 9 18" xfId="38937" xr:uid="{00000000-0005-0000-0000-0000F1980000}"/>
    <cellStyle name="RIGs input totals 2 9 19" xfId="38938" xr:uid="{00000000-0005-0000-0000-0000F2980000}"/>
    <cellStyle name="RIGs input totals 2 9 2" xfId="38939" xr:uid="{00000000-0005-0000-0000-0000F3980000}"/>
    <cellStyle name="RIGs input totals 2 9 2 10" xfId="38940" xr:uid="{00000000-0005-0000-0000-0000F4980000}"/>
    <cellStyle name="RIGs input totals 2 9 2 11" xfId="38941" xr:uid="{00000000-0005-0000-0000-0000F5980000}"/>
    <cellStyle name="RIGs input totals 2 9 2 12" xfId="38942" xr:uid="{00000000-0005-0000-0000-0000F6980000}"/>
    <cellStyle name="RIGs input totals 2 9 2 13" xfId="38943" xr:uid="{00000000-0005-0000-0000-0000F7980000}"/>
    <cellStyle name="RIGs input totals 2 9 2 2" xfId="38944" xr:uid="{00000000-0005-0000-0000-0000F8980000}"/>
    <cellStyle name="RIGs input totals 2 9 2 2 2" xfId="38945" xr:uid="{00000000-0005-0000-0000-0000F9980000}"/>
    <cellStyle name="RIGs input totals 2 9 2 2 3" xfId="38946" xr:uid="{00000000-0005-0000-0000-0000FA980000}"/>
    <cellStyle name="RIGs input totals 2 9 2 3" xfId="38947" xr:uid="{00000000-0005-0000-0000-0000FB980000}"/>
    <cellStyle name="RIGs input totals 2 9 2 3 2" xfId="38948" xr:uid="{00000000-0005-0000-0000-0000FC980000}"/>
    <cellStyle name="RIGs input totals 2 9 2 3 3" xfId="38949" xr:uid="{00000000-0005-0000-0000-0000FD980000}"/>
    <cellStyle name="RIGs input totals 2 9 2 4" xfId="38950" xr:uid="{00000000-0005-0000-0000-0000FE980000}"/>
    <cellStyle name="RIGs input totals 2 9 2 5" xfId="38951" xr:uid="{00000000-0005-0000-0000-0000FF980000}"/>
    <cellStyle name="RIGs input totals 2 9 2 6" xfId="38952" xr:uid="{00000000-0005-0000-0000-000000990000}"/>
    <cellStyle name="RIGs input totals 2 9 2 7" xfId="38953" xr:uid="{00000000-0005-0000-0000-000001990000}"/>
    <cellStyle name="RIGs input totals 2 9 2 8" xfId="38954" xr:uid="{00000000-0005-0000-0000-000002990000}"/>
    <cellStyle name="RIGs input totals 2 9 2 9" xfId="38955" xr:uid="{00000000-0005-0000-0000-000003990000}"/>
    <cellStyle name="RIGs input totals 2 9 20" xfId="38956" xr:uid="{00000000-0005-0000-0000-000004990000}"/>
    <cellStyle name="RIGs input totals 2 9 21" xfId="38957" xr:uid="{00000000-0005-0000-0000-000005990000}"/>
    <cellStyle name="RIGs input totals 2 9 22" xfId="38958" xr:uid="{00000000-0005-0000-0000-000006990000}"/>
    <cellStyle name="RIGs input totals 2 9 23" xfId="38959" xr:uid="{00000000-0005-0000-0000-000007990000}"/>
    <cellStyle name="RIGs input totals 2 9 24" xfId="38960" xr:uid="{00000000-0005-0000-0000-000008990000}"/>
    <cellStyle name="RIGs input totals 2 9 25" xfId="38961" xr:uid="{00000000-0005-0000-0000-000009990000}"/>
    <cellStyle name="RIGs input totals 2 9 26" xfId="38962" xr:uid="{00000000-0005-0000-0000-00000A990000}"/>
    <cellStyle name="RIGs input totals 2 9 27" xfId="38963" xr:uid="{00000000-0005-0000-0000-00000B990000}"/>
    <cellStyle name="RIGs input totals 2 9 28" xfId="38964" xr:uid="{00000000-0005-0000-0000-00000C990000}"/>
    <cellStyle name="RIGs input totals 2 9 29" xfId="38965" xr:uid="{00000000-0005-0000-0000-00000D990000}"/>
    <cellStyle name="RIGs input totals 2 9 3" xfId="38966" xr:uid="{00000000-0005-0000-0000-00000E990000}"/>
    <cellStyle name="RIGs input totals 2 9 3 2" xfId="38967" xr:uid="{00000000-0005-0000-0000-00000F990000}"/>
    <cellStyle name="RIGs input totals 2 9 3 3" xfId="38968" xr:uid="{00000000-0005-0000-0000-000010990000}"/>
    <cellStyle name="RIGs input totals 2 9 30" xfId="38969" xr:uid="{00000000-0005-0000-0000-000011990000}"/>
    <cellStyle name="RIGs input totals 2 9 31" xfId="38970" xr:uid="{00000000-0005-0000-0000-000012990000}"/>
    <cellStyle name="RIGs input totals 2 9 32" xfId="38971" xr:uid="{00000000-0005-0000-0000-000013990000}"/>
    <cellStyle name="RIGs input totals 2 9 33" xfId="38972" xr:uid="{00000000-0005-0000-0000-000014990000}"/>
    <cellStyle name="RIGs input totals 2 9 34" xfId="38973" xr:uid="{00000000-0005-0000-0000-000015990000}"/>
    <cellStyle name="RIGs input totals 2 9 4" xfId="38974" xr:uid="{00000000-0005-0000-0000-000016990000}"/>
    <cellStyle name="RIGs input totals 2 9 4 2" xfId="38975" xr:uid="{00000000-0005-0000-0000-000017990000}"/>
    <cellStyle name="RIGs input totals 2 9 4 3" xfId="38976" xr:uid="{00000000-0005-0000-0000-000018990000}"/>
    <cellStyle name="RIGs input totals 2 9 5" xfId="38977" xr:uid="{00000000-0005-0000-0000-000019990000}"/>
    <cellStyle name="RIGs input totals 2 9 6" xfId="38978" xr:uid="{00000000-0005-0000-0000-00001A990000}"/>
    <cellStyle name="RIGs input totals 2 9 7" xfId="38979" xr:uid="{00000000-0005-0000-0000-00001B990000}"/>
    <cellStyle name="RIGs input totals 2 9 8" xfId="38980" xr:uid="{00000000-0005-0000-0000-00001C990000}"/>
    <cellStyle name="RIGs input totals 2 9 9" xfId="38981" xr:uid="{00000000-0005-0000-0000-00001D990000}"/>
    <cellStyle name="RIGs input totals 2_1.3s Accounting C Costs Scots" xfId="38982" xr:uid="{00000000-0005-0000-0000-00001E990000}"/>
    <cellStyle name="RIGs input totals 20" xfId="38983" xr:uid="{00000000-0005-0000-0000-00001F990000}"/>
    <cellStyle name="RIGs input totals 20 2" xfId="38984" xr:uid="{00000000-0005-0000-0000-000020990000}"/>
    <cellStyle name="RIGs input totals 21" xfId="38985" xr:uid="{00000000-0005-0000-0000-000021990000}"/>
    <cellStyle name="RIGs input totals 21 2" xfId="38986" xr:uid="{00000000-0005-0000-0000-000022990000}"/>
    <cellStyle name="RIGs input totals 22" xfId="38987" xr:uid="{00000000-0005-0000-0000-000023990000}"/>
    <cellStyle name="RIGs input totals 22 2" xfId="38988" xr:uid="{00000000-0005-0000-0000-000024990000}"/>
    <cellStyle name="RIGs input totals 23" xfId="38989" xr:uid="{00000000-0005-0000-0000-000025990000}"/>
    <cellStyle name="RIGs input totals 23 2" xfId="38990" xr:uid="{00000000-0005-0000-0000-000026990000}"/>
    <cellStyle name="RIGs input totals 24" xfId="38991" xr:uid="{00000000-0005-0000-0000-000027990000}"/>
    <cellStyle name="RIGs input totals 24 2" xfId="38992" xr:uid="{00000000-0005-0000-0000-000028990000}"/>
    <cellStyle name="RIGs input totals 25" xfId="38993" xr:uid="{00000000-0005-0000-0000-000029990000}"/>
    <cellStyle name="RIGs input totals 25 2" xfId="38994" xr:uid="{00000000-0005-0000-0000-00002A990000}"/>
    <cellStyle name="RIGs input totals 26" xfId="38995" xr:uid="{00000000-0005-0000-0000-00002B990000}"/>
    <cellStyle name="RIGs input totals 26 2" xfId="38996" xr:uid="{00000000-0005-0000-0000-00002C990000}"/>
    <cellStyle name="RIGs input totals 27" xfId="38997" xr:uid="{00000000-0005-0000-0000-00002D990000}"/>
    <cellStyle name="RIGs input totals 27 2" xfId="38998" xr:uid="{00000000-0005-0000-0000-00002E990000}"/>
    <cellStyle name="RIGs input totals 28" xfId="38999" xr:uid="{00000000-0005-0000-0000-00002F990000}"/>
    <cellStyle name="RIGs input totals 28 2" xfId="39000" xr:uid="{00000000-0005-0000-0000-000030990000}"/>
    <cellStyle name="RIGs input totals 29" xfId="39001" xr:uid="{00000000-0005-0000-0000-000031990000}"/>
    <cellStyle name="RIGs input totals 29 2" xfId="39002" xr:uid="{00000000-0005-0000-0000-000032990000}"/>
    <cellStyle name="RIGs input totals 3" xfId="39003" xr:uid="{00000000-0005-0000-0000-000033990000}"/>
    <cellStyle name="RIGs input totals 3 10" xfId="39004" xr:uid="{00000000-0005-0000-0000-000034990000}"/>
    <cellStyle name="RIGs input totals 3 10 2" xfId="39005" xr:uid="{00000000-0005-0000-0000-000035990000}"/>
    <cellStyle name="RIGs input totals 3 11" xfId="39006" xr:uid="{00000000-0005-0000-0000-000036990000}"/>
    <cellStyle name="RIGs input totals 3 11 2" xfId="39007" xr:uid="{00000000-0005-0000-0000-000037990000}"/>
    <cellStyle name="RIGs input totals 3 12" xfId="39008" xr:uid="{00000000-0005-0000-0000-000038990000}"/>
    <cellStyle name="RIGs input totals 3 12 2" xfId="39009" xr:uid="{00000000-0005-0000-0000-000039990000}"/>
    <cellStyle name="RIGs input totals 3 13" xfId="39010" xr:uid="{00000000-0005-0000-0000-00003A990000}"/>
    <cellStyle name="RIGs input totals 3 13 2" xfId="39011" xr:uid="{00000000-0005-0000-0000-00003B990000}"/>
    <cellStyle name="RIGs input totals 3 14" xfId="39012" xr:uid="{00000000-0005-0000-0000-00003C990000}"/>
    <cellStyle name="RIGs input totals 3 14 2" xfId="39013" xr:uid="{00000000-0005-0000-0000-00003D990000}"/>
    <cellStyle name="RIGs input totals 3 15" xfId="39014" xr:uid="{00000000-0005-0000-0000-00003E990000}"/>
    <cellStyle name="RIGs input totals 3 15 2" xfId="39015" xr:uid="{00000000-0005-0000-0000-00003F990000}"/>
    <cellStyle name="RIGs input totals 3 16" xfId="39016" xr:uid="{00000000-0005-0000-0000-000040990000}"/>
    <cellStyle name="RIGs input totals 3 16 2" xfId="39017" xr:uid="{00000000-0005-0000-0000-000041990000}"/>
    <cellStyle name="RIGs input totals 3 17" xfId="39018" xr:uid="{00000000-0005-0000-0000-000042990000}"/>
    <cellStyle name="RIGs input totals 3 17 2" xfId="39019" xr:uid="{00000000-0005-0000-0000-000043990000}"/>
    <cellStyle name="RIGs input totals 3 18" xfId="39020" xr:uid="{00000000-0005-0000-0000-000044990000}"/>
    <cellStyle name="RIGs input totals 3 18 2" xfId="39021" xr:uid="{00000000-0005-0000-0000-000045990000}"/>
    <cellStyle name="RIGs input totals 3 19" xfId="39022" xr:uid="{00000000-0005-0000-0000-000046990000}"/>
    <cellStyle name="RIGs input totals 3 19 2" xfId="39023" xr:uid="{00000000-0005-0000-0000-000047990000}"/>
    <cellStyle name="RIGs input totals 3 2" xfId="39024" xr:uid="{00000000-0005-0000-0000-000048990000}"/>
    <cellStyle name="RIGs input totals 3 2 10" xfId="39025" xr:uid="{00000000-0005-0000-0000-000049990000}"/>
    <cellStyle name="RIGs input totals 3 2 10 2" xfId="39026" xr:uid="{00000000-0005-0000-0000-00004A990000}"/>
    <cellStyle name="RIGs input totals 3 2 11" xfId="39027" xr:uid="{00000000-0005-0000-0000-00004B990000}"/>
    <cellStyle name="RIGs input totals 3 2 11 2" xfId="39028" xr:uid="{00000000-0005-0000-0000-00004C990000}"/>
    <cellStyle name="RIGs input totals 3 2 12" xfId="39029" xr:uid="{00000000-0005-0000-0000-00004D990000}"/>
    <cellStyle name="RIGs input totals 3 2 12 2" xfId="39030" xr:uid="{00000000-0005-0000-0000-00004E990000}"/>
    <cellStyle name="RIGs input totals 3 2 13" xfId="39031" xr:uid="{00000000-0005-0000-0000-00004F990000}"/>
    <cellStyle name="RIGs input totals 3 2 13 2" xfId="39032" xr:uid="{00000000-0005-0000-0000-000050990000}"/>
    <cellStyle name="RIGs input totals 3 2 14" xfId="39033" xr:uid="{00000000-0005-0000-0000-000051990000}"/>
    <cellStyle name="RIGs input totals 3 2 14 2" xfId="39034" xr:uid="{00000000-0005-0000-0000-000052990000}"/>
    <cellStyle name="RIGs input totals 3 2 15" xfId="39035" xr:uid="{00000000-0005-0000-0000-000053990000}"/>
    <cellStyle name="RIGs input totals 3 2 15 2" xfId="39036" xr:uid="{00000000-0005-0000-0000-000054990000}"/>
    <cellStyle name="RIGs input totals 3 2 16" xfId="39037" xr:uid="{00000000-0005-0000-0000-000055990000}"/>
    <cellStyle name="RIGs input totals 3 2 16 2" xfId="39038" xr:uid="{00000000-0005-0000-0000-000056990000}"/>
    <cellStyle name="RIGs input totals 3 2 17" xfId="39039" xr:uid="{00000000-0005-0000-0000-000057990000}"/>
    <cellStyle name="RIGs input totals 3 2 17 2" xfId="39040" xr:uid="{00000000-0005-0000-0000-000058990000}"/>
    <cellStyle name="RIGs input totals 3 2 18" xfId="39041" xr:uid="{00000000-0005-0000-0000-000059990000}"/>
    <cellStyle name="RIGs input totals 3 2 18 2" xfId="39042" xr:uid="{00000000-0005-0000-0000-00005A990000}"/>
    <cellStyle name="RIGs input totals 3 2 19" xfId="39043" xr:uid="{00000000-0005-0000-0000-00005B990000}"/>
    <cellStyle name="RIGs input totals 3 2 19 2" xfId="39044" xr:uid="{00000000-0005-0000-0000-00005C990000}"/>
    <cellStyle name="RIGs input totals 3 2 2" xfId="39045" xr:uid="{00000000-0005-0000-0000-00005D990000}"/>
    <cellStyle name="RIGs input totals 3 2 2 10" xfId="39046" xr:uid="{00000000-0005-0000-0000-00005E990000}"/>
    <cellStyle name="RIGs input totals 3 2 2 11" xfId="39047" xr:uid="{00000000-0005-0000-0000-00005F990000}"/>
    <cellStyle name="RIGs input totals 3 2 2 12" xfId="39048" xr:uid="{00000000-0005-0000-0000-000060990000}"/>
    <cellStyle name="RIGs input totals 3 2 2 13" xfId="39049" xr:uid="{00000000-0005-0000-0000-000061990000}"/>
    <cellStyle name="RIGs input totals 3 2 2 14" xfId="39050" xr:uid="{00000000-0005-0000-0000-000062990000}"/>
    <cellStyle name="RIGs input totals 3 2 2 15" xfId="39051" xr:uid="{00000000-0005-0000-0000-000063990000}"/>
    <cellStyle name="RIGs input totals 3 2 2 16" xfId="39052" xr:uid="{00000000-0005-0000-0000-000064990000}"/>
    <cellStyle name="RIGs input totals 3 2 2 17" xfId="39053" xr:uid="{00000000-0005-0000-0000-000065990000}"/>
    <cellStyle name="RIGs input totals 3 2 2 18" xfId="39054" xr:uid="{00000000-0005-0000-0000-000066990000}"/>
    <cellStyle name="RIGs input totals 3 2 2 19" xfId="39055" xr:uid="{00000000-0005-0000-0000-000067990000}"/>
    <cellStyle name="RIGs input totals 3 2 2 2" xfId="39056" xr:uid="{00000000-0005-0000-0000-000068990000}"/>
    <cellStyle name="RIGs input totals 3 2 2 2 10" xfId="39057" xr:uid="{00000000-0005-0000-0000-000069990000}"/>
    <cellStyle name="RIGs input totals 3 2 2 2 11" xfId="39058" xr:uid="{00000000-0005-0000-0000-00006A990000}"/>
    <cellStyle name="RIGs input totals 3 2 2 2 12" xfId="39059" xr:uid="{00000000-0005-0000-0000-00006B990000}"/>
    <cellStyle name="RIGs input totals 3 2 2 2 13" xfId="39060" xr:uid="{00000000-0005-0000-0000-00006C990000}"/>
    <cellStyle name="RIGs input totals 3 2 2 2 14" xfId="39061" xr:uid="{00000000-0005-0000-0000-00006D990000}"/>
    <cellStyle name="RIGs input totals 3 2 2 2 15" xfId="39062" xr:uid="{00000000-0005-0000-0000-00006E990000}"/>
    <cellStyle name="RIGs input totals 3 2 2 2 16" xfId="39063" xr:uid="{00000000-0005-0000-0000-00006F990000}"/>
    <cellStyle name="RIGs input totals 3 2 2 2 17" xfId="39064" xr:uid="{00000000-0005-0000-0000-000070990000}"/>
    <cellStyle name="RIGs input totals 3 2 2 2 18" xfId="39065" xr:uid="{00000000-0005-0000-0000-000071990000}"/>
    <cellStyle name="RIGs input totals 3 2 2 2 19" xfId="39066" xr:uid="{00000000-0005-0000-0000-000072990000}"/>
    <cellStyle name="RIGs input totals 3 2 2 2 2" xfId="39067" xr:uid="{00000000-0005-0000-0000-000073990000}"/>
    <cellStyle name="RIGs input totals 3 2 2 2 2 10" xfId="39068" xr:uid="{00000000-0005-0000-0000-000074990000}"/>
    <cellStyle name="RIGs input totals 3 2 2 2 2 11" xfId="39069" xr:uid="{00000000-0005-0000-0000-000075990000}"/>
    <cellStyle name="RIGs input totals 3 2 2 2 2 12" xfId="39070" xr:uid="{00000000-0005-0000-0000-000076990000}"/>
    <cellStyle name="RIGs input totals 3 2 2 2 2 13" xfId="39071" xr:uid="{00000000-0005-0000-0000-000077990000}"/>
    <cellStyle name="RIGs input totals 3 2 2 2 2 2" xfId="39072" xr:uid="{00000000-0005-0000-0000-000078990000}"/>
    <cellStyle name="RIGs input totals 3 2 2 2 2 2 2" xfId="39073" xr:uid="{00000000-0005-0000-0000-000079990000}"/>
    <cellStyle name="RIGs input totals 3 2 2 2 2 2 3" xfId="39074" xr:uid="{00000000-0005-0000-0000-00007A990000}"/>
    <cellStyle name="RIGs input totals 3 2 2 2 2 3" xfId="39075" xr:uid="{00000000-0005-0000-0000-00007B990000}"/>
    <cellStyle name="RIGs input totals 3 2 2 2 2 3 2" xfId="39076" xr:uid="{00000000-0005-0000-0000-00007C990000}"/>
    <cellStyle name="RIGs input totals 3 2 2 2 2 3 3" xfId="39077" xr:uid="{00000000-0005-0000-0000-00007D990000}"/>
    <cellStyle name="RIGs input totals 3 2 2 2 2 4" xfId="39078" xr:uid="{00000000-0005-0000-0000-00007E990000}"/>
    <cellStyle name="RIGs input totals 3 2 2 2 2 5" xfId="39079" xr:uid="{00000000-0005-0000-0000-00007F990000}"/>
    <cellStyle name="RIGs input totals 3 2 2 2 2 6" xfId="39080" xr:uid="{00000000-0005-0000-0000-000080990000}"/>
    <cellStyle name="RIGs input totals 3 2 2 2 2 7" xfId="39081" xr:uid="{00000000-0005-0000-0000-000081990000}"/>
    <cellStyle name="RIGs input totals 3 2 2 2 2 8" xfId="39082" xr:uid="{00000000-0005-0000-0000-000082990000}"/>
    <cellStyle name="RIGs input totals 3 2 2 2 2 9" xfId="39083" xr:uid="{00000000-0005-0000-0000-000083990000}"/>
    <cellStyle name="RIGs input totals 3 2 2 2 20" xfId="39084" xr:uid="{00000000-0005-0000-0000-000084990000}"/>
    <cellStyle name="RIGs input totals 3 2 2 2 21" xfId="39085" xr:uid="{00000000-0005-0000-0000-000085990000}"/>
    <cellStyle name="RIGs input totals 3 2 2 2 22" xfId="39086" xr:uid="{00000000-0005-0000-0000-000086990000}"/>
    <cellStyle name="RIGs input totals 3 2 2 2 23" xfId="39087" xr:uid="{00000000-0005-0000-0000-000087990000}"/>
    <cellStyle name="RIGs input totals 3 2 2 2 24" xfId="39088" xr:uid="{00000000-0005-0000-0000-000088990000}"/>
    <cellStyle name="RIGs input totals 3 2 2 2 25" xfId="39089" xr:uid="{00000000-0005-0000-0000-000089990000}"/>
    <cellStyle name="RIGs input totals 3 2 2 2 26" xfId="39090" xr:uid="{00000000-0005-0000-0000-00008A990000}"/>
    <cellStyle name="RIGs input totals 3 2 2 2 27" xfId="39091" xr:uid="{00000000-0005-0000-0000-00008B990000}"/>
    <cellStyle name="RIGs input totals 3 2 2 2 28" xfId="39092" xr:uid="{00000000-0005-0000-0000-00008C990000}"/>
    <cellStyle name="RIGs input totals 3 2 2 2 29" xfId="39093" xr:uid="{00000000-0005-0000-0000-00008D990000}"/>
    <cellStyle name="RIGs input totals 3 2 2 2 3" xfId="39094" xr:uid="{00000000-0005-0000-0000-00008E990000}"/>
    <cellStyle name="RIGs input totals 3 2 2 2 3 2" xfId="39095" xr:uid="{00000000-0005-0000-0000-00008F990000}"/>
    <cellStyle name="RIGs input totals 3 2 2 2 3 3" xfId="39096" xr:uid="{00000000-0005-0000-0000-000090990000}"/>
    <cellStyle name="RIGs input totals 3 2 2 2 30" xfId="39097" xr:uid="{00000000-0005-0000-0000-000091990000}"/>
    <cellStyle name="RIGs input totals 3 2 2 2 31" xfId="39098" xr:uid="{00000000-0005-0000-0000-000092990000}"/>
    <cellStyle name="RIGs input totals 3 2 2 2 32" xfId="39099" xr:uid="{00000000-0005-0000-0000-000093990000}"/>
    <cellStyle name="RIGs input totals 3 2 2 2 33" xfId="39100" xr:uid="{00000000-0005-0000-0000-000094990000}"/>
    <cellStyle name="RIGs input totals 3 2 2 2 34" xfId="39101" xr:uid="{00000000-0005-0000-0000-000095990000}"/>
    <cellStyle name="RIGs input totals 3 2 2 2 4" xfId="39102" xr:uid="{00000000-0005-0000-0000-000096990000}"/>
    <cellStyle name="RIGs input totals 3 2 2 2 4 2" xfId="39103" xr:uid="{00000000-0005-0000-0000-000097990000}"/>
    <cellStyle name="RIGs input totals 3 2 2 2 4 3" xfId="39104" xr:uid="{00000000-0005-0000-0000-000098990000}"/>
    <cellStyle name="RIGs input totals 3 2 2 2 5" xfId="39105" xr:uid="{00000000-0005-0000-0000-000099990000}"/>
    <cellStyle name="RIGs input totals 3 2 2 2 6" xfId="39106" xr:uid="{00000000-0005-0000-0000-00009A990000}"/>
    <cellStyle name="RIGs input totals 3 2 2 2 7" xfId="39107" xr:uid="{00000000-0005-0000-0000-00009B990000}"/>
    <cellStyle name="RIGs input totals 3 2 2 2 8" xfId="39108" xr:uid="{00000000-0005-0000-0000-00009C990000}"/>
    <cellStyle name="RIGs input totals 3 2 2 2 9" xfId="39109" xr:uid="{00000000-0005-0000-0000-00009D990000}"/>
    <cellStyle name="RIGs input totals 3 2 2 20" xfId="39110" xr:uid="{00000000-0005-0000-0000-00009E990000}"/>
    <cellStyle name="RIGs input totals 3 2 2 21" xfId="39111" xr:uid="{00000000-0005-0000-0000-00009F990000}"/>
    <cellStyle name="RIGs input totals 3 2 2 22" xfId="39112" xr:uid="{00000000-0005-0000-0000-0000A0990000}"/>
    <cellStyle name="RIGs input totals 3 2 2 23" xfId="39113" xr:uid="{00000000-0005-0000-0000-0000A1990000}"/>
    <cellStyle name="RIGs input totals 3 2 2 24" xfId="39114" xr:uid="{00000000-0005-0000-0000-0000A2990000}"/>
    <cellStyle name="RIGs input totals 3 2 2 25" xfId="39115" xr:uid="{00000000-0005-0000-0000-0000A3990000}"/>
    <cellStyle name="RIGs input totals 3 2 2 26" xfId="39116" xr:uid="{00000000-0005-0000-0000-0000A4990000}"/>
    <cellStyle name="RIGs input totals 3 2 2 27" xfId="39117" xr:uid="{00000000-0005-0000-0000-0000A5990000}"/>
    <cellStyle name="RIGs input totals 3 2 2 28" xfId="39118" xr:uid="{00000000-0005-0000-0000-0000A6990000}"/>
    <cellStyle name="RIGs input totals 3 2 2 29" xfId="39119" xr:uid="{00000000-0005-0000-0000-0000A7990000}"/>
    <cellStyle name="RIGs input totals 3 2 2 3" xfId="39120" xr:uid="{00000000-0005-0000-0000-0000A8990000}"/>
    <cellStyle name="RIGs input totals 3 2 2 3 10" xfId="39121" xr:uid="{00000000-0005-0000-0000-0000A9990000}"/>
    <cellStyle name="RIGs input totals 3 2 2 3 11" xfId="39122" xr:uid="{00000000-0005-0000-0000-0000AA990000}"/>
    <cellStyle name="RIGs input totals 3 2 2 3 12" xfId="39123" xr:uid="{00000000-0005-0000-0000-0000AB990000}"/>
    <cellStyle name="RIGs input totals 3 2 2 3 13" xfId="39124" xr:uid="{00000000-0005-0000-0000-0000AC990000}"/>
    <cellStyle name="RIGs input totals 3 2 2 3 2" xfId="39125" xr:uid="{00000000-0005-0000-0000-0000AD990000}"/>
    <cellStyle name="RIGs input totals 3 2 2 3 2 2" xfId="39126" xr:uid="{00000000-0005-0000-0000-0000AE990000}"/>
    <cellStyle name="RIGs input totals 3 2 2 3 2 3" xfId="39127" xr:uid="{00000000-0005-0000-0000-0000AF990000}"/>
    <cellStyle name="RIGs input totals 3 2 2 3 3" xfId="39128" xr:uid="{00000000-0005-0000-0000-0000B0990000}"/>
    <cellStyle name="RIGs input totals 3 2 2 3 3 2" xfId="39129" xr:uid="{00000000-0005-0000-0000-0000B1990000}"/>
    <cellStyle name="RIGs input totals 3 2 2 3 3 3" xfId="39130" xr:uid="{00000000-0005-0000-0000-0000B2990000}"/>
    <cellStyle name="RIGs input totals 3 2 2 3 4" xfId="39131" xr:uid="{00000000-0005-0000-0000-0000B3990000}"/>
    <cellStyle name="RIGs input totals 3 2 2 3 5" xfId="39132" xr:uid="{00000000-0005-0000-0000-0000B4990000}"/>
    <cellStyle name="RIGs input totals 3 2 2 3 6" xfId="39133" xr:uid="{00000000-0005-0000-0000-0000B5990000}"/>
    <cellStyle name="RIGs input totals 3 2 2 3 7" xfId="39134" xr:uid="{00000000-0005-0000-0000-0000B6990000}"/>
    <cellStyle name="RIGs input totals 3 2 2 3 8" xfId="39135" xr:uid="{00000000-0005-0000-0000-0000B7990000}"/>
    <cellStyle name="RIGs input totals 3 2 2 3 9" xfId="39136" xr:uid="{00000000-0005-0000-0000-0000B8990000}"/>
    <cellStyle name="RIGs input totals 3 2 2 30" xfId="39137" xr:uid="{00000000-0005-0000-0000-0000B9990000}"/>
    <cellStyle name="RIGs input totals 3 2 2 31" xfId="39138" xr:uid="{00000000-0005-0000-0000-0000BA990000}"/>
    <cellStyle name="RIGs input totals 3 2 2 32" xfId="39139" xr:uid="{00000000-0005-0000-0000-0000BB990000}"/>
    <cellStyle name="RIGs input totals 3 2 2 33" xfId="39140" xr:uid="{00000000-0005-0000-0000-0000BC990000}"/>
    <cellStyle name="RIGs input totals 3 2 2 34" xfId="39141" xr:uid="{00000000-0005-0000-0000-0000BD990000}"/>
    <cellStyle name="RIGs input totals 3 2 2 35" xfId="39142" xr:uid="{00000000-0005-0000-0000-0000BE990000}"/>
    <cellStyle name="RIGs input totals 3 2 2 4" xfId="39143" xr:uid="{00000000-0005-0000-0000-0000BF990000}"/>
    <cellStyle name="RIGs input totals 3 2 2 4 2" xfId="39144" xr:uid="{00000000-0005-0000-0000-0000C0990000}"/>
    <cellStyle name="RIGs input totals 3 2 2 4 3" xfId="39145" xr:uid="{00000000-0005-0000-0000-0000C1990000}"/>
    <cellStyle name="RIGs input totals 3 2 2 5" xfId="39146" xr:uid="{00000000-0005-0000-0000-0000C2990000}"/>
    <cellStyle name="RIGs input totals 3 2 2 5 2" xfId="39147" xr:uid="{00000000-0005-0000-0000-0000C3990000}"/>
    <cellStyle name="RIGs input totals 3 2 2 5 3" xfId="39148" xr:uid="{00000000-0005-0000-0000-0000C4990000}"/>
    <cellStyle name="RIGs input totals 3 2 2 6" xfId="39149" xr:uid="{00000000-0005-0000-0000-0000C5990000}"/>
    <cellStyle name="RIGs input totals 3 2 2 7" xfId="39150" xr:uid="{00000000-0005-0000-0000-0000C6990000}"/>
    <cellStyle name="RIGs input totals 3 2 2 8" xfId="39151" xr:uid="{00000000-0005-0000-0000-0000C7990000}"/>
    <cellStyle name="RIGs input totals 3 2 2 9" xfId="39152" xr:uid="{00000000-0005-0000-0000-0000C8990000}"/>
    <cellStyle name="RIGs input totals 3 2 2_4 28 1_Asst_Health_Crit_AllTO_RIIO_20110714pm" xfId="39153" xr:uid="{00000000-0005-0000-0000-0000C9990000}"/>
    <cellStyle name="RIGs input totals 3 2 20" xfId="39154" xr:uid="{00000000-0005-0000-0000-0000CA990000}"/>
    <cellStyle name="RIGs input totals 3 2 20 2" xfId="39155" xr:uid="{00000000-0005-0000-0000-0000CB990000}"/>
    <cellStyle name="RIGs input totals 3 2 21" xfId="39156" xr:uid="{00000000-0005-0000-0000-0000CC990000}"/>
    <cellStyle name="RIGs input totals 3 2 21 2" xfId="39157" xr:uid="{00000000-0005-0000-0000-0000CD990000}"/>
    <cellStyle name="RIGs input totals 3 2 22" xfId="39158" xr:uid="{00000000-0005-0000-0000-0000CE990000}"/>
    <cellStyle name="RIGs input totals 3 2 22 2" xfId="39159" xr:uid="{00000000-0005-0000-0000-0000CF990000}"/>
    <cellStyle name="RIGs input totals 3 2 23" xfId="39160" xr:uid="{00000000-0005-0000-0000-0000D0990000}"/>
    <cellStyle name="RIGs input totals 3 2 23 2" xfId="39161" xr:uid="{00000000-0005-0000-0000-0000D1990000}"/>
    <cellStyle name="RIGs input totals 3 2 24" xfId="39162" xr:uid="{00000000-0005-0000-0000-0000D2990000}"/>
    <cellStyle name="RIGs input totals 3 2 24 2" xfId="39163" xr:uid="{00000000-0005-0000-0000-0000D3990000}"/>
    <cellStyle name="RIGs input totals 3 2 25" xfId="39164" xr:uid="{00000000-0005-0000-0000-0000D4990000}"/>
    <cellStyle name="RIGs input totals 3 2 25 2" xfId="39165" xr:uid="{00000000-0005-0000-0000-0000D5990000}"/>
    <cellStyle name="RIGs input totals 3 2 26" xfId="39166" xr:uid="{00000000-0005-0000-0000-0000D6990000}"/>
    <cellStyle name="RIGs input totals 3 2 27" xfId="39167" xr:uid="{00000000-0005-0000-0000-0000D7990000}"/>
    <cellStyle name="RIGs input totals 3 2 28" xfId="39168" xr:uid="{00000000-0005-0000-0000-0000D8990000}"/>
    <cellStyle name="RIGs input totals 3 2 29" xfId="39169" xr:uid="{00000000-0005-0000-0000-0000D9990000}"/>
    <cellStyle name="RIGs input totals 3 2 3" xfId="39170" xr:uid="{00000000-0005-0000-0000-0000DA990000}"/>
    <cellStyle name="RIGs input totals 3 2 3 10" xfId="39171" xr:uid="{00000000-0005-0000-0000-0000DB990000}"/>
    <cellStyle name="RIGs input totals 3 2 3 11" xfId="39172" xr:uid="{00000000-0005-0000-0000-0000DC990000}"/>
    <cellStyle name="RIGs input totals 3 2 3 12" xfId="39173" xr:uid="{00000000-0005-0000-0000-0000DD990000}"/>
    <cellStyle name="RIGs input totals 3 2 3 13" xfId="39174" xr:uid="{00000000-0005-0000-0000-0000DE990000}"/>
    <cellStyle name="RIGs input totals 3 2 3 14" xfId="39175" xr:uid="{00000000-0005-0000-0000-0000DF990000}"/>
    <cellStyle name="RIGs input totals 3 2 3 15" xfId="39176" xr:uid="{00000000-0005-0000-0000-0000E0990000}"/>
    <cellStyle name="RIGs input totals 3 2 3 16" xfId="39177" xr:uid="{00000000-0005-0000-0000-0000E1990000}"/>
    <cellStyle name="RIGs input totals 3 2 3 17" xfId="39178" xr:uid="{00000000-0005-0000-0000-0000E2990000}"/>
    <cellStyle name="RIGs input totals 3 2 3 18" xfId="39179" xr:uid="{00000000-0005-0000-0000-0000E3990000}"/>
    <cellStyle name="RIGs input totals 3 2 3 19" xfId="39180" xr:uid="{00000000-0005-0000-0000-0000E4990000}"/>
    <cellStyle name="RIGs input totals 3 2 3 2" xfId="39181" xr:uid="{00000000-0005-0000-0000-0000E5990000}"/>
    <cellStyle name="RIGs input totals 3 2 3 2 10" xfId="39182" xr:uid="{00000000-0005-0000-0000-0000E6990000}"/>
    <cellStyle name="RIGs input totals 3 2 3 2 11" xfId="39183" xr:uid="{00000000-0005-0000-0000-0000E7990000}"/>
    <cellStyle name="RIGs input totals 3 2 3 2 12" xfId="39184" xr:uid="{00000000-0005-0000-0000-0000E8990000}"/>
    <cellStyle name="RIGs input totals 3 2 3 2 13" xfId="39185" xr:uid="{00000000-0005-0000-0000-0000E9990000}"/>
    <cellStyle name="RIGs input totals 3 2 3 2 2" xfId="39186" xr:uid="{00000000-0005-0000-0000-0000EA990000}"/>
    <cellStyle name="RIGs input totals 3 2 3 2 2 2" xfId="39187" xr:uid="{00000000-0005-0000-0000-0000EB990000}"/>
    <cellStyle name="RIGs input totals 3 2 3 2 2 3" xfId="39188" xr:uid="{00000000-0005-0000-0000-0000EC990000}"/>
    <cellStyle name="RIGs input totals 3 2 3 2 3" xfId="39189" xr:uid="{00000000-0005-0000-0000-0000ED990000}"/>
    <cellStyle name="RIGs input totals 3 2 3 2 3 2" xfId="39190" xr:uid="{00000000-0005-0000-0000-0000EE990000}"/>
    <cellStyle name="RIGs input totals 3 2 3 2 3 3" xfId="39191" xr:uid="{00000000-0005-0000-0000-0000EF990000}"/>
    <cellStyle name="RIGs input totals 3 2 3 2 4" xfId="39192" xr:uid="{00000000-0005-0000-0000-0000F0990000}"/>
    <cellStyle name="RIGs input totals 3 2 3 2 5" xfId="39193" xr:uid="{00000000-0005-0000-0000-0000F1990000}"/>
    <cellStyle name="RIGs input totals 3 2 3 2 6" xfId="39194" xr:uid="{00000000-0005-0000-0000-0000F2990000}"/>
    <cellStyle name="RIGs input totals 3 2 3 2 7" xfId="39195" xr:uid="{00000000-0005-0000-0000-0000F3990000}"/>
    <cellStyle name="RIGs input totals 3 2 3 2 8" xfId="39196" xr:uid="{00000000-0005-0000-0000-0000F4990000}"/>
    <cellStyle name="RIGs input totals 3 2 3 2 9" xfId="39197" xr:uid="{00000000-0005-0000-0000-0000F5990000}"/>
    <cellStyle name="RIGs input totals 3 2 3 20" xfId="39198" xr:uid="{00000000-0005-0000-0000-0000F6990000}"/>
    <cellStyle name="RIGs input totals 3 2 3 21" xfId="39199" xr:uid="{00000000-0005-0000-0000-0000F7990000}"/>
    <cellStyle name="RIGs input totals 3 2 3 22" xfId="39200" xr:uid="{00000000-0005-0000-0000-0000F8990000}"/>
    <cellStyle name="RIGs input totals 3 2 3 23" xfId="39201" xr:uid="{00000000-0005-0000-0000-0000F9990000}"/>
    <cellStyle name="RIGs input totals 3 2 3 24" xfId="39202" xr:uid="{00000000-0005-0000-0000-0000FA990000}"/>
    <cellStyle name="RIGs input totals 3 2 3 25" xfId="39203" xr:uid="{00000000-0005-0000-0000-0000FB990000}"/>
    <cellStyle name="RIGs input totals 3 2 3 26" xfId="39204" xr:uid="{00000000-0005-0000-0000-0000FC990000}"/>
    <cellStyle name="RIGs input totals 3 2 3 27" xfId="39205" xr:uid="{00000000-0005-0000-0000-0000FD990000}"/>
    <cellStyle name="RIGs input totals 3 2 3 28" xfId="39206" xr:uid="{00000000-0005-0000-0000-0000FE990000}"/>
    <cellStyle name="RIGs input totals 3 2 3 29" xfId="39207" xr:uid="{00000000-0005-0000-0000-0000FF990000}"/>
    <cellStyle name="RIGs input totals 3 2 3 3" xfId="39208" xr:uid="{00000000-0005-0000-0000-0000009A0000}"/>
    <cellStyle name="RIGs input totals 3 2 3 3 2" xfId="39209" xr:uid="{00000000-0005-0000-0000-0000019A0000}"/>
    <cellStyle name="RIGs input totals 3 2 3 3 3" xfId="39210" xr:uid="{00000000-0005-0000-0000-0000029A0000}"/>
    <cellStyle name="RIGs input totals 3 2 3 30" xfId="39211" xr:uid="{00000000-0005-0000-0000-0000039A0000}"/>
    <cellStyle name="RIGs input totals 3 2 3 31" xfId="39212" xr:uid="{00000000-0005-0000-0000-0000049A0000}"/>
    <cellStyle name="RIGs input totals 3 2 3 32" xfId="39213" xr:uid="{00000000-0005-0000-0000-0000059A0000}"/>
    <cellStyle name="RIGs input totals 3 2 3 33" xfId="39214" xr:uid="{00000000-0005-0000-0000-0000069A0000}"/>
    <cellStyle name="RIGs input totals 3 2 3 34" xfId="39215" xr:uid="{00000000-0005-0000-0000-0000079A0000}"/>
    <cellStyle name="RIGs input totals 3 2 3 4" xfId="39216" xr:uid="{00000000-0005-0000-0000-0000089A0000}"/>
    <cellStyle name="RIGs input totals 3 2 3 4 2" xfId="39217" xr:uid="{00000000-0005-0000-0000-0000099A0000}"/>
    <cellStyle name="RIGs input totals 3 2 3 4 3" xfId="39218" xr:uid="{00000000-0005-0000-0000-00000A9A0000}"/>
    <cellStyle name="RIGs input totals 3 2 3 5" xfId="39219" xr:uid="{00000000-0005-0000-0000-00000B9A0000}"/>
    <cellStyle name="RIGs input totals 3 2 3 6" xfId="39220" xr:uid="{00000000-0005-0000-0000-00000C9A0000}"/>
    <cellStyle name="RIGs input totals 3 2 3 7" xfId="39221" xr:uid="{00000000-0005-0000-0000-00000D9A0000}"/>
    <cellStyle name="RIGs input totals 3 2 3 8" xfId="39222" xr:uid="{00000000-0005-0000-0000-00000E9A0000}"/>
    <cellStyle name="RIGs input totals 3 2 3 9" xfId="39223" xr:uid="{00000000-0005-0000-0000-00000F9A0000}"/>
    <cellStyle name="RIGs input totals 3 2 30" xfId="39224" xr:uid="{00000000-0005-0000-0000-0000109A0000}"/>
    <cellStyle name="RIGs input totals 3 2 31" xfId="39225" xr:uid="{00000000-0005-0000-0000-0000119A0000}"/>
    <cellStyle name="RIGs input totals 3 2 32" xfId="39226" xr:uid="{00000000-0005-0000-0000-0000129A0000}"/>
    <cellStyle name="RIGs input totals 3 2 33" xfId="39227" xr:uid="{00000000-0005-0000-0000-0000139A0000}"/>
    <cellStyle name="RIGs input totals 3 2 34" xfId="39228" xr:uid="{00000000-0005-0000-0000-0000149A0000}"/>
    <cellStyle name="RIGs input totals 3 2 35" xfId="39229" xr:uid="{00000000-0005-0000-0000-0000159A0000}"/>
    <cellStyle name="RIGs input totals 3 2 36" xfId="39230" xr:uid="{00000000-0005-0000-0000-0000169A0000}"/>
    <cellStyle name="RIGs input totals 3 2 37" xfId="39231" xr:uid="{00000000-0005-0000-0000-0000179A0000}"/>
    <cellStyle name="RIGs input totals 3 2 38" xfId="39232" xr:uid="{00000000-0005-0000-0000-0000189A0000}"/>
    <cellStyle name="RIGs input totals 3 2 4" xfId="39233" xr:uid="{00000000-0005-0000-0000-0000199A0000}"/>
    <cellStyle name="RIGs input totals 3 2 4 10" xfId="39234" xr:uid="{00000000-0005-0000-0000-00001A9A0000}"/>
    <cellStyle name="RIGs input totals 3 2 4 11" xfId="39235" xr:uid="{00000000-0005-0000-0000-00001B9A0000}"/>
    <cellStyle name="RIGs input totals 3 2 4 12" xfId="39236" xr:uid="{00000000-0005-0000-0000-00001C9A0000}"/>
    <cellStyle name="RIGs input totals 3 2 4 13" xfId="39237" xr:uid="{00000000-0005-0000-0000-00001D9A0000}"/>
    <cellStyle name="RIGs input totals 3 2 4 14" xfId="39238" xr:uid="{00000000-0005-0000-0000-00001E9A0000}"/>
    <cellStyle name="RIGs input totals 3 2 4 15" xfId="39239" xr:uid="{00000000-0005-0000-0000-00001F9A0000}"/>
    <cellStyle name="RIGs input totals 3 2 4 16" xfId="39240" xr:uid="{00000000-0005-0000-0000-0000209A0000}"/>
    <cellStyle name="RIGs input totals 3 2 4 17" xfId="39241" xr:uid="{00000000-0005-0000-0000-0000219A0000}"/>
    <cellStyle name="RIGs input totals 3 2 4 18" xfId="39242" xr:uid="{00000000-0005-0000-0000-0000229A0000}"/>
    <cellStyle name="RIGs input totals 3 2 4 19" xfId="39243" xr:uid="{00000000-0005-0000-0000-0000239A0000}"/>
    <cellStyle name="RIGs input totals 3 2 4 2" xfId="39244" xr:uid="{00000000-0005-0000-0000-0000249A0000}"/>
    <cellStyle name="RIGs input totals 3 2 4 2 10" xfId="39245" xr:uid="{00000000-0005-0000-0000-0000259A0000}"/>
    <cellStyle name="RIGs input totals 3 2 4 2 11" xfId="39246" xr:uid="{00000000-0005-0000-0000-0000269A0000}"/>
    <cellStyle name="RIGs input totals 3 2 4 2 12" xfId="39247" xr:uid="{00000000-0005-0000-0000-0000279A0000}"/>
    <cellStyle name="RIGs input totals 3 2 4 2 13" xfId="39248" xr:uid="{00000000-0005-0000-0000-0000289A0000}"/>
    <cellStyle name="RIGs input totals 3 2 4 2 2" xfId="39249" xr:uid="{00000000-0005-0000-0000-0000299A0000}"/>
    <cellStyle name="RIGs input totals 3 2 4 2 2 2" xfId="39250" xr:uid="{00000000-0005-0000-0000-00002A9A0000}"/>
    <cellStyle name="RIGs input totals 3 2 4 2 2 3" xfId="39251" xr:uid="{00000000-0005-0000-0000-00002B9A0000}"/>
    <cellStyle name="RIGs input totals 3 2 4 2 3" xfId="39252" xr:uid="{00000000-0005-0000-0000-00002C9A0000}"/>
    <cellStyle name="RIGs input totals 3 2 4 2 3 2" xfId="39253" xr:uid="{00000000-0005-0000-0000-00002D9A0000}"/>
    <cellStyle name="RIGs input totals 3 2 4 2 3 3" xfId="39254" xr:uid="{00000000-0005-0000-0000-00002E9A0000}"/>
    <cellStyle name="RIGs input totals 3 2 4 2 4" xfId="39255" xr:uid="{00000000-0005-0000-0000-00002F9A0000}"/>
    <cellStyle name="RIGs input totals 3 2 4 2 5" xfId="39256" xr:uid="{00000000-0005-0000-0000-0000309A0000}"/>
    <cellStyle name="RIGs input totals 3 2 4 2 6" xfId="39257" xr:uid="{00000000-0005-0000-0000-0000319A0000}"/>
    <cellStyle name="RIGs input totals 3 2 4 2 7" xfId="39258" xr:uid="{00000000-0005-0000-0000-0000329A0000}"/>
    <cellStyle name="RIGs input totals 3 2 4 2 8" xfId="39259" xr:uid="{00000000-0005-0000-0000-0000339A0000}"/>
    <cellStyle name="RIGs input totals 3 2 4 2 9" xfId="39260" xr:uid="{00000000-0005-0000-0000-0000349A0000}"/>
    <cellStyle name="RIGs input totals 3 2 4 20" xfId="39261" xr:uid="{00000000-0005-0000-0000-0000359A0000}"/>
    <cellStyle name="RIGs input totals 3 2 4 21" xfId="39262" xr:uid="{00000000-0005-0000-0000-0000369A0000}"/>
    <cellStyle name="RIGs input totals 3 2 4 22" xfId="39263" xr:uid="{00000000-0005-0000-0000-0000379A0000}"/>
    <cellStyle name="RIGs input totals 3 2 4 23" xfId="39264" xr:uid="{00000000-0005-0000-0000-0000389A0000}"/>
    <cellStyle name="RIGs input totals 3 2 4 24" xfId="39265" xr:uid="{00000000-0005-0000-0000-0000399A0000}"/>
    <cellStyle name="RIGs input totals 3 2 4 25" xfId="39266" xr:uid="{00000000-0005-0000-0000-00003A9A0000}"/>
    <cellStyle name="RIGs input totals 3 2 4 26" xfId="39267" xr:uid="{00000000-0005-0000-0000-00003B9A0000}"/>
    <cellStyle name="RIGs input totals 3 2 4 27" xfId="39268" xr:uid="{00000000-0005-0000-0000-00003C9A0000}"/>
    <cellStyle name="RIGs input totals 3 2 4 28" xfId="39269" xr:uid="{00000000-0005-0000-0000-00003D9A0000}"/>
    <cellStyle name="RIGs input totals 3 2 4 29" xfId="39270" xr:uid="{00000000-0005-0000-0000-00003E9A0000}"/>
    <cellStyle name="RIGs input totals 3 2 4 3" xfId="39271" xr:uid="{00000000-0005-0000-0000-00003F9A0000}"/>
    <cellStyle name="RIGs input totals 3 2 4 3 2" xfId="39272" xr:uid="{00000000-0005-0000-0000-0000409A0000}"/>
    <cellStyle name="RIGs input totals 3 2 4 3 3" xfId="39273" xr:uid="{00000000-0005-0000-0000-0000419A0000}"/>
    <cellStyle name="RIGs input totals 3 2 4 30" xfId="39274" xr:uid="{00000000-0005-0000-0000-0000429A0000}"/>
    <cellStyle name="RIGs input totals 3 2 4 31" xfId="39275" xr:uid="{00000000-0005-0000-0000-0000439A0000}"/>
    <cellStyle name="RIGs input totals 3 2 4 32" xfId="39276" xr:uid="{00000000-0005-0000-0000-0000449A0000}"/>
    <cellStyle name="RIGs input totals 3 2 4 33" xfId="39277" xr:uid="{00000000-0005-0000-0000-0000459A0000}"/>
    <cellStyle name="RIGs input totals 3 2 4 34" xfId="39278" xr:uid="{00000000-0005-0000-0000-0000469A0000}"/>
    <cellStyle name="RIGs input totals 3 2 4 4" xfId="39279" xr:uid="{00000000-0005-0000-0000-0000479A0000}"/>
    <cellStyle name="RIGs input totals 3 2 4 4 2" xfId="39280" xr:uid="{00000000-0005-0000-0000-0000489A0000}"/>
    <cellStyle name="RIGs input totals 3 2 4 4 3" xfId="39281" xr:uid="{00000000-0005-0000-0000-0000499A0000}"/>
    <cellStyle name="RIGs input totals 3 2 4 5" xfId="39282" xr:uid="{00000000-0005-0000-0000-00004A9A0000}"/>
    <cellStyle name="RIGs input totals 3 2 4 6" xfId="39283" xr:uid="{00000000-0005-0000-0000-00004B9A0000}"/>
    <cellStyle name="RIGs input totals 3 2 4 7" xfId="39284" xr:uid="{00000000-0005-0000-0000-00004C9A0000}"/>
    <cellStyle name="RIGs input totals 3 2 4 8" xfId="39285" xr:uid="{00000000-0005-0000-0000-00004D9A0000}"/>
    <cellStyle name="RIGs input totals 3 2 4 9" xfId="39286" xr:uid="{00000000-0005-0000-0000-00004E9A0000}"/>
    <cellStyle name="RIGs input totals 3 2 5" xfId="39287" xr:uid="{00000000-0005-0000-0000-00004F9A0000}"/>
    <cellStyle name="RIGs input totals 3 2 5 10" xfId="39288" xr:uid="{00000000-0005-0000-0000-0000509A0000}"/>
    <cellStyle name="RIGs input totals 3 2 5 11" xfId="39289" xr:uid="{00000000-0005-0000-0000-0000519A0000}"/>
    <cellStyle name="RIGs input totals 3 2 5 12" xfId="39290" xr:uid="{00000000-0005-0000-0000-0000529A0000}"/>
    <cellStyle name="RIGs input totals 3 2 5 13" xfId="39291" xr:uid="{00000000-0005-0000-0000-0000539A0000}"/>
    <cellStyle name="RIGs input totals 3 2 5 2" xfId="39292" xr:uid="{00000000-0005-0000-0000-0000549A0000}"/>
    <cellStyle name="RIGs input totals 3 2 5 2 2" xfId="39293" xr:uid="{00000000-0005-0000-0000-0000559A0000}"/>
    <cellStyle name="RIGs input totals 3 2 5 2 3" xfId="39294" xr:uid="{00000000-0005-0000-0000-0000569A0000}"/>
    <cellStyle name="RIGs input totals 3 2 5 3" xfId="39295" xr:uid="{00000000-0005-0000-0000-0000579A0000}"/>
    <cellStyle name="RIGs input totals 3 2 5 3 2" xfId="39296" xr:uid="{00000000-0005-0000-0000-0000589A0000}"/>
    <cellStyle name="RIGs input totals 3 2 5 3 3" xfId="39297" xr:uid="{00000000-0005-0000-0000-0000599A0000}"/>
    <cellStyle name="RIGs input totals 3 2 5 4" xfId="39298" xr:uid="{00000000-0005-0000-0000-00005A9A0000}"/>
    <cellStyle name="RIGs input totals 3 2 5 5" xfId="39299" xr:uid="{00000000-0005-0000-0000-00005B9A0000}"/>
    <cellStyle name="RIGs input totals 3 2 5 6" xfId="39300" xr:uid="{00000000-0005-0000-0000-00005C9A0000}"/>
    <cellStyle name="RIGs input totals 3 2 5 7" xfId="39301" xr:uid="{00000000-0005-0000-0000-00005D9A0000}"/>
    <cellStyle name="RIGs input totals 3 2 5 8" xfId="39302" xr:uid="{00000000-0005-0000-0000-00005E9A0000}"/>
    <cellStyle name="RIGs input totals 3 2 5 9" xfId="39303" xr:uid="{00000000-0005-0000-0000-00005F9A0000}"/>
    <cellStyle name="RIGs input totals 3 2 6" xfId="39304" xr:uid="{00000000-0005-0000-0000-0000609A0000}"/>
    <cellStyle name="RIGs input totals 3 2 6 2" xfId="39305" xr:uid="{00000000-0005-0000-0000-0000619A0000}"/>
    <cellStyle name="RIGs input totals 3 2 6 2 2" xfId="39306" xr:uid="{00000000-0005-0000-0000-0000629A0000}"/>
    <cellStyle name="RIGs input totals 3 2 6 2 3" xfId="39307" xr:uid="{00000000-0005-0000-0000-0000639A0000}"/>
    <cellStyle name="RIGs input totals 3 2 6 3" xfId="39308" xr:uid="{00000000-0005-0000-0000-0000649A0000}"/>
    <cellStyle name="RIGs input totals 3 2 6 3 2" xfId="39309" xr:uid="{00000000-0005-0000-0000-0000659A0000}"/>
    <cellStyle name="RIGs input totals 3 2 6 4" xfId="39310" xr:uid="{00000000-0005-0000-0000-0000669A0000}"/>
    <cellStyle name="RIGs input totals 3 2 7" xfId="39311" xr:uid="{00000000-0005-0000-0000-0000679A0000}"/>
    <cellStyle name="RIGs input totals 3 2 7 2" xfId="39312" xr:uid="{00000000-0005-0000-0000-0000689A0000}"/>
    <cellStyle name="RIGs input totals 3 2 8" xfId="39313" xr:uid="{00000000-0005-0000-0000-0000699A0000}"/>
    <cellStyle name="RIGs input totals 3 2 8 2" xfId="39314" xr:uid="{00000000-0005-0000-0000-00006A9A0000}"/>
    <cellStyle name="RIGs input totals 3 2 9" xfId="39315" xr:uid="{00000000-0005-0000-0000-00006B9A0000}"/>
    <cellStyle name="RIGs input totals 3 2 9 2" xfId="39316" xr:uid="{00000000-0005-0000-0000-00006C9A0000}"/>
    <cellStyle name="RIGs input totals 3 2_4 28 1_Asst_Health_Crit_AllTO_RIIO_20110714pm" xfId="39317" xr:uid="{00000000-0005-0000-0000-00006D9A0000}"/>
    <cellStyle name="RIGs input totals 3 20" xfId="39318" xr:uid="{00000000-0005-0000-0000-00006E9A0000}"/>
    <cellStyle name="RIGs input totals 3 20 2" xfId="39319" xr:uid="{00000000-0005-0000-0000-00006F9A0000}"/>
    <cellStyle name="RIGs input totals 3 21" xfId="39320" xr:uid="{00000000-0005-0000-0000-0000709A0000}"/>
    <cellStyle name="RIGs input totals 3 21 2" xfId="39321" xr:uid="{00000000-0005-0000-0000-0000719A0000}"/>
    <cellStyle name="RIGs input totals 3 22" xfId="39322" xr:uid="{00000000-0005-0000-0000-0000729A0000}"/>
    <cellStyle name="RIGs input totals 3 22 2" xfId="39323" xr:uid="{00000000-0005-0000-0000-0000739A0000}"/>
    <cellStyle name="RIGs input totals 3 23" xfId="39324" xr:uid="{00000000-0005-0000-0000-0000749A0000}"/>
    <cellStyle name="RIGs input totals 3 23 2" xfId="39325" xr:uid="{00000000-0005-0000-0000-0000759A0000}"/>
    <cellStyle name="RIGs input totals 3 24" xfId="39326" xr:uid="{00000000-0005-0000-0000-0000769A0000}"/>
    <cellStyle name="RIGs input totals 3 24 2" xfId="39327" xr:uid="{00000000-0005-0000-0000-0000779A0000}"/>
    <cellStyle name="RIGs input totals 3 25" xfId="39328" xr:uid="{00000000-0005-0000-0000-0000789A0000}"/>
    <cellStyle name="RIGs input totals 3 25 2" xfId="39329" xr:uid="{00000000-0005-0000-0000-0000799A0000}"/>
    <cellStyle name="RIGs input totals 3 26" xfId="39330" xr:uid="{00000000-0005-0000-0000-00007A9A0000}"/>
    <cellStyle name="RIGs input totals 3 26 2" xfId="39331" xr:uid="{00000000-0005-0000-0000-00007B9A0000}"/>
    <cellStyle name="RIGs input totals 3 27" xfId="39332" xr:uid="{00000000-0005-0000-0000-00007C9A0000}"/>
    <cellStyle name="RIGs input totals 3 28" xfId="39333" xr:uid="{00000000-0005-0000-0000-00007D9A0000}"/>
    <cellStyle name="RIGs input totals 3 29" xfId="39334" xr:uid="{00000000-0005-0000-0000-00007E9A0000}"/>
    <cellStyle name="RIGs input totals 3 3" xfId="39335" xr:uid="{00000000-0005-0000-0000-00007F9A0000}"/>
    <cellStyle name="RIGs input totals 3 3 10" xfId="39336" xr:uid="{00000000-0005-0000-0000-0000809A0000}"/>
    <cellStyle name="RIGs input totals 3 3 11" xfId="39337" xr:uid="{00000000-0005-0000-0000-0000819A0000}"/>
    <cellStyle name="RIGs input totals 3 3 12" xfId="39338" xr:uid="{00000000-0005-0000-0000-0000829A0000}"/>
    <cellStyle name="RIGs input totals 3 3 13" xfId="39339" xr:uid="{00000000-0005-0000-0000-0000839A0000}"/>
    <cellStyle name="RIGs input totals 3 3 14" xfId="39340" xr:uid="{00000000-0005-0000-0000-0000849A0000}"/>
    <cellStyle name="RIGs input totals 3 3 15" xfId="39341" xr:uid="{00000000-0005-0000-0000-0000859A0000}"/>
    <cellStyle name="RIGs input totals 3 3 16" xfId="39342" xr:uid="{00000000-0005-0000-0000-0000869A0000}"/>
    <cellStyle name="RIGs input totals 3 3 17" xfId="39343" xr:uid="{00000000-0005-0000-0000-0000879A0000}"/>
    <cellStyle name="RIGs input totals 3 3 18" xfId="39344" xr:uid="{00000000-0005-0000-0000-0000889A0000}"/>
    <cellStyle name="RIGs input totals 3 3 19" xfId="39345" xr:uid="{00000000-0005-0000-0000-0000899A0000}"/>
    <cellStyle name="RIGs input totals 3 3 2" xfId="39346" xr:uid="{00000000-0005-0000-0000-00008A9A0000}"/>
    <cellStyle name="RIGs input totals 3 3 2 10" xfId="39347" xr:uid="{00000000-0005-0000-0000-00008B9A0000}"/>
    <cellStyle name="RIGs input totals 3 3 2 11" xfId="39348" xr:uid="{00000000-0005-0000-0000-00008C9A0000}"/>
    <cellStyle name="RIGs input totals 3 3 2 12" xfId="39349" xr:uid="{00000000-0005-0000-0000-00008D9A0000}"/>
    <cellStyle name="RIGs input totals 3 3 2 13" xfId="39350" xr:uid="{00000000-0005-0000-0000-00008E9A0000}"/>
    <cellStyle name="RIGs input totals 3 3 2 14" xfId="39351" xr:uid="{00000000-0005-0000-0000-00008F9A0000}"/>
    <cellStyle name="RIGs input totals 3 3 2 15" xfId="39352" xr:uid="{00000000-0005-0000-0000-0000909A0000}"/>
    <cellStyle name="RIGs input totals 3 3 2 16" xfId="39353" xr:uid="{00000000-0005-0000-0000-0000919A0000}"/>
    <cellStyle name="RIGs input totals 3 3 2 17" xfId="39354" xr:uid="{00000000-0005-0000-0000-0000929A0000}"/>
    <cellStyle name="RIGs input totals 3 3 2 18" xfId="39355" xr:uid="{00000000-0005-0000-0000-0000939A0000}"/>
    <cellStyle name="RIGs input totals 3 3 2 19" xfId="39356" xr:uid="{00000000-0005-0000-0000-0000949A0000}"/>
    <cellStyle name="RIGs input totals 3 3 2 2" xfId="39357" xr:uid="{00000000-0005-0000-0000-0000959A0000}"/>
    <cellStyle name="RIGs input totals 3 3 2 2 10" xfId="39358" xr:uid="{00000000-0005-0000-0000-0000969A0000}"/>
    <cellStyle name="RIGs input totals 3 3 2 2 11" xfId="39359" xr:uid="{00000000-0005-0000-0000-0000979A0000}"/>
    <cellStyle name="RIGs input totals 3 3 2 2 12" xfId="39360" xr:uid="{00000000-0005-0000-0000-0000989A0000}"/>
    <cellStyle name="RIGs input totals 3 3 2 2 13" xfId="39361" xr:uid="{00000000-0005-0000-0000-0000999A0000}"/>
    <cellStyle name="RIGs input totals 3 3 2 2 2" xfId="39362" xr:uid="{00000000-0005-0000-0000-00009A9A0000}"/>
    <cellStyle name="RIGs input totals 3 3 2 2 2 2" xfId="39363" xr:uid="{00000000-0005-0000-0000-00009B9A0000}"/>
    <cellStyle name="RIGs input totals 3 3 2 2 2 3" xfId="39364" xr:uid="{00000000-0005-0000-0000-00009C9A0000}"/>
    <cellStyle name="RIGs input totals 3 3 2 2 3" xfId="39365" xr:uid="{00000000-0005-0000-0000-00009D9A0000}"/>
    <cellStyle name="RIGs input totals 3 3 2 2 3 2" xfId="39366" xr:uid="{00000000-0005-0000-0000-00009E9A0000}"/>
    <cellStyle name="RIGs input totals 3 3 2 2 3 3" xfId="39367" xr:uid="{00000000-0005-0000-0000-00009F9A0000}"/>
    <cellStyle name="RIGs input totals 3 3 2 2 4" xfId="39368" xr:uid="{00000000-0005-0000-0000-0000A09A0000}"/>
    <cellStyle name="RIGs input totals 3 3 2 2 5" xfId="39369" xr:uid="{00000000-0005-0000-0000-0000A19A0000}"/>
    <cellStyle name="RIGs input totals 3 3 2 2 6" xfId="39370" xr:uid="{00000000-0005-0000-0000-0000A29A0000}"/>
    <cellStyle name="RIGs input totals 3 3 2 2 7" xfId="39371" xr:uid="{00000000-0005-0000-0000-0000A39A0000}"/>
    <cellStyle name="RIGs input totals 3 3 2 2 8" xfId="39372" xr:uid="{00000000-0005-0000-0000-0000A49A0000}"/>
    <cellStyle name="RIGs input totals 3 3 2 2 9" xfId="39373" xr:uid="{00000000-0005-0000-0000-0000A59A0000}"/>
    <cellStyle name="RIGs input totals 3 3 2 20" xfId="39374" xr:uid="{00000000-0005-0000-0000-0000A69A0000}"/>
    <cellStyle name="RIGs input totals 3 3 2 21" xfId="39375" xr:uid="{00000000-0005-0000-0000-0000A79A0000}"/>
    <cellStyle name="RIGs input totals 3 3 2 22" xfId="39376" xr:uid="{00000000-0005-0000-0000-0000A89A0000}"/>
    <cellStyle name="RIGs input totals 3 3 2 23" xfId="39377" xr:uid="{00000000-0005-0000-0000-0000A99A0000}"/>
    <cellStyle name="RIGs input totals 3 3 2 24" xfId="39378" xr:uid="{00000000-0005-0000-0000-0000AA9A0000}"/>
    <cellStyle name="RIGs input totals 3 3 2 25" xfId="39379" xr:uid="{00000000-0005-0000-0000-0000AB9A0000}"/>
    <cellStyle name="RIGs input totals 3 3 2 26" xfId="39380" xr:uid="{00000000-0005-0000-0000-0000AC9A0000}"/>
    <cellStyle name="RIGs input totals 3 3 2 27" xfId="39381" xr:uid="{00000000-0005-0000-0000-0000AD9A0000}"/>
    <cellStyle name="RIGs input totals 3 3 2 28" xfId="39382" xr:uid="{00000000-0005-0000-0000-0000AE9A0000}"/>
    <cellStyle name="RIGs input totals 3 3 2 29" xfId="39383" xr:uid="{00000000-0005-0000-0000-0000AF9A0000}"/>
    <cellStyle name="RIGs input totals 3 3 2 3" xfId="39384" xr:uid="{00000000-0005-0000-0000-0000B09A0000}"/>
    <cellStyle name="RIGs input totals 3 3 2 3 2" xfId="39385" xr:uid="{00000000-0005-0000-0000-0000B19A0000}"/>
    <cellStyle name="RIGs input totals 3 3 2 3 3" xfId="39386" xr:uid="{00000000-0005-0000-0000-0000B29A0000}"/>
    <cellStyle name="RIGs input totals 3 3 2 30" xfId="39387" xr:uid="{00000000-0005-0000-0000-0000B39A0000}"/>
    <cellStyle name="RIGs input totals 3 3 2 31" xfId="39388" xr:uid="{00000000-0005-0000-0000-0000B49A0000}"/>
    <cellStyle name="RIGs input totals 3 3 2 32" xfId="39389" xr:uid="{00000000-0005-0000-0000-0000B59A0000}"/>
    <cellStyle name="RIGs input totals 3 3 2 33" xfId="39390" xr:uid="{00000000-0005-0000-0000-0000B69A0000}"/>
    <cellStyle name="RIGs input totals 3 3 2 34" xfId="39391" xr:uid="{00000000-0005-0000-0000-0000B79A0000}"/>
    <cellStyle name="RIGs input totals 3 3 2 4" xfId="39392" xr:uid="{00000000-0005-0000-0000-0000B89A0000}"/>
    <cellStyle name="RIGs input totals 3 3 2 4 2" xfId="39393" xr:uid="{00000000-0005-0000-0000-0000B99A0000}"/>
    <cellStyle name="RIGs input totals 3 3 2 4 3" xfId="39394" xr:uid="{00000000-0005-0000-0000-0000BA9A0000}"/>
    <cellStyle name="RIGs input totals 3 3 2 5" xfId="39395" xr:uid="{00000000-0005-0000-0000-0000BB9A0000}"/>
    <cellStyle name="RIGs input totals 3 3 2 6" xfId="39396" xr:uid="{00000000-0005-0000-0000-0000BC9A0000}"/>
    <cellStyle name="RIGs input totals 3 3 2 7" xfId="39397" xr:uid="{00000000-0005-0000-0000-0000BD9A0000}"/>
    <cellStyle name="RIGs input totals 3 3 2 8" xfId="39398" xr:uid="{00000000-0005-0000-0000-0000BE9A0000}"/>
    <cellStyle name="RIGs input totals 3 3 2 9" xfId="39399" xr:uid="{00000000-0005-0000-0000-0000BF9A0000}"/>
    <cellStyle name="RIGs input totals 3 3 20" xfId="39400" xr:uid="{00000000-0005-0000-0000-0000C09A0000}"/>
    <cellStyle name="RIGs input totals 3 3 21" xfId="39401" xr:uid="{00000000-0005-0000-0000-0000C19A0000}"/>
    <cellStyle name="RIGs input totals 3 3 22" xfId="39402" xr:uid="{00000000-0005-0000-0000-0000C29A0000}"/>
    <cellStyle name="RIGs input totals 3 3 23" xfId="39403" xr:uid="{00000000-0005-0000-0000-0000C39A0000}"/>
    <cellStyle name="RIGs input totals 3 3 24" xfId="39404" xr:uid="{00000000-0005-0000-0000-0000C49A0000}"/>
    <cellStyle name="RIGs input totals 3 3 25" xfId="39405" xr:uid="{00000000-0005-0000-0000-0000C59A0000}"/>
    <cellStyle name="RIGs input totals 3 3 26" xfId="39406" xr:uid="{00000000-0005-0000-0000-0000C69A0000}"/>
    <cellStyle name="RIGs input totals 3 3 27" xfId="39407" xr:uid="{00000000-0005-0000-0000-0000C79A0000}"/>
    <cellStyle name="RIGs input totals 3 3 28" xfId="39408" xr:uid="{00000000-0005-0000-0000-0000C89A0000}"/>
    <cellStyle name="RIGs input totals 3 3 29" xfId="39409" xr:uid="{00000000-0005-0000-0000-0000C99A0000}"/>
    <cellStyle name="RIGs input totals 3 3 3" xfId="39410" xr:uid="{00000000-0005-0000-0000-0000CA9A0000}"/>
    <cellStyle name="RIGs input totals 3 3 3 10" xfId="39411" xr:uid="{00000000-0005-0000-0000-0000CB9A0000}"/>
    <cellStyle name="RIGs input totals 3 3 3 11" xfId="39412" xr:uid="{00000000-0005-0000-0000-0000CC9A0000}"/>
    <cellStyle name="RIGs input totals 3 3 3 12" xfId="39413" xr:uid="{00000000-0005-0000-0000-0000CD9A0000}"/>
    <cellStyle name="RIGs input totals 3 3 3 13" xfId="39414" xr:uid="{00000000-0005-0000-0000-0000CE9A0000}"/>
    <cellStyle name="RIGs input totals 3 3 3 2" xfId="39415" xr:uid="{00000000-0005-0000-0000-0000CF9A0000}"/>
    <cellStyle name="RIGs input totals 3 3 3 2 2" xfId="39416" xr:uid="{00000000-0005-0000-0000-0000D09A0000}"/>
    <cellStyle name="RIGs input totals 3 3 3 2 3" xfId="39417" xr:uid="{00000000-0005-0000-0000-0000D19A0000}"/>
    <cellStyle name="RIGs input totals 3 3 3 3" xfId="39418" xr:uid="{00000000-0005-0000-0000-0000D29A0000}"/>
    <cellStyle name="RIGs input totals 3 3 3 3 2" xfId="39419" xr:uid="{00000000-0005-0000-0000-0000D39A0000}"/>
    <cellStyle name="RIGs input totals 3 3 3 3 3" xfId="39420" xr:uid="{00000000-0005-0000-0000-0000D49A0000}"/>
    <cellStyle name="RIGs input totals 3 3 3 4" xfId="39421" xr:uid="{00000000-0005-0000-0000-0000D59A0000}"/>
    <cellStyle name="RIGs input totals 3 3 3 5" xfId="39422" xr:uid="{00000000-0005-0000-0000-0000D69A0000}"/>
    <cellStyle name="RIGs input totals 3 3 3 6" xfId="39423" xr:uid="{00000000-0005-0000-0000-0000D79A0000}"/>
    <cellStyle name="RIGs input totals 3 3 3 7" xfId="39424" xr:uid="{00000000-0005-0000-0000-0000D89A0000}"/>
    <cellStyle name="RIGs input totals 3 3 3 8" xfId="39425" xr:uid="{00000000-0005-0000-0000-0000D99A0000}"/>
    <cellStyle name="RIGs input totals 3 3 3 9" xfId="39426" xr:uid="{00000000-0005-0000-0000-0000DA9A0000}"/>
    <cellStyle name="RIGs input totals 3 3 30" xfId="39427" xr:uid="{00000000-0005-0000-0000-0000DB9A0000}"/>
    <cellStyle name="RIGs input totals 3 3 31" xfId="39428" xr:uid="{00000000-0005-0000-0000-0000DC9A0000}"/>
    <cellStyle name="RIGs input totals 3 3 32" xfId="39429" xr:uid="{00000000-0005-0000-0000-0000DD9A0000}"/>
    <cellStyle name="RIGs input totals 3 3 33" xfId="39430" xr:uid="{00000000-0005-0000-0000-0000DE9A0000}"/>
    <cellStyle name="RIGs input totals 3 3 34" xfId="39431" xr:uid="{00000000-0005-0000-0000-0000DF9A0000}"/>
    <cellStyle name="RIGs input totals 3 3 35" xfId="39432" xr:uid="{00000000-0005-0000-0000-0000E09A0000}"/>
    <cellStyle name="RIGs input totals 3 3 4" xfId="39433" xr:uid="{00000000-0005-0000-0000-0000E19A0000}"/>
    <cellStyle name="RIGs input totals 3 3 4 2" xfId="39434" xr:uid="{00000000-0005-0000-0000-0000E29A0000}"/>
    <cellStyle name="RIGs input totals 3 3 4 3" xfId="39435" xr:uid="{00000000-0005-0000-0000-0000E39A0000}"/>
    <cellStyle name="RIGs input totals 3 3 5" xfId="39436" xr:uid="{00000000-0005-0000-0000-0000E49A0000}"/>
    <cellStyle name="RIGs input totals 3 3 5 2" xfId="39437" xr:uid="{00000000-0005-0000-0000-0000E59A0000}"/>
    <cellStyle name="RIGs input totals 3 3 5 3" xfId="39438" xr:uid="{00000000-0005-0000-0000-0000E69A0000}"/>
    <cellStyle name="RIGs input totals 3 3 6" xfId="39439" xr:uid="{00000000-0005-0000-0000-0000E79A0000}"/>
    <cellStyle name="RIGs input totals 3 3 7" xfId="39440" xr:uid="{00000000-0005-0000-0000-0000E89A0000}"/>
    <cellStyle name="RIGs input totals 3 3 8" xfId="39441" xr:uid="{00000000-0005-0000-0000-0000E99A0000}"/>
    <cellStyle name="RIGs input totals 3 3 9" xfId="39442" xr:uid="{00000000-0005-0000-0000-0000EA9A0000}"/>
    <cellStyle name="RIGs input totals 3 3_4 28 1_Asst_Health_Crit_AllTO_RIIO_20110714pm" xfId="39443" xr:uid="{00000000-0005-0000-0000-0000EB9A0000}"/>
    <cellStyle name="RIGs input totals 3 30" xfId="39444" xr:uid="{00000000-0005-0000-0000-0000EC9A0000}"/>
    <cellStyle name="RIGs input totals 3 31" xfId="39445" xr:uid="{00000000-0005-0000-0000-0000ED9A0000}"/>
    <cellStyle name="RIGs input totals 3 32" xfId="39446" xr:uid="{00000000-0005-0000-0000-0000EE9A0000}"/>
    <cellStyle name="RIGs input totals 3 33" xfId="39447" xr:uid="{00000000-0005-0000-0000-0000EF9A0000}"/>
    <cellStyle name="RIGs input totals 3 34" xfId="39448" xr:uid="{00000000-0005-0000-0000-0000F09A0000}"/>
    <cellStyle name="RIGs input totals 3 35" xfId="39449" xr:uid="{00000000-0005-0000-0000-0000F19A0000}"/>
    <cellStyle name="RIGs input totals 3 36" xfId="39450" xr:uid="{00000000-0005-0000-0000-0000F29A0000}"/>
    <cellStyle name="RIGs input totals 3 37" xfId="39451" xr:uid="{00000000-0005-0000-0000-0000F39A0000}"/>
    <cellStyle name="RIGs input totals 3 38" xfId="39452" xr:uid="{00000000-0005-0000-0000-0000F49A0000}"/>
    <cellStyle name="RIGs input totals 3 39" xfId="39453" xr:uid="{00000000-0005-0000-0000-0000F59A0000}"/>
    <cellStyle name="RIGs input totals 3 4" xfId="39454" xr:uid="{00000000-0005-0000-0000-0000F69A0000}"/>
    <cellStyle name="RIGs input totals 3 4 10" xfId="39455" xr:uid="{00000000-0005-0000-0000-0000F79A0000}"/>
    <cellStyle name="RIGs input totals 3 4 11" xfId="39456" xr:uid="{00000000-0005-0000-0000-0000F89A0000}"/>
    <cellStyle name="RIGs input totals 3 4 12" xfId="39457" xr:uid="{00000000-0005-0000-0000-0000F99A0000}"/>
    <cellStyle name="RIGs input totals 3 4 13" xfId="39458" xr:uid="{00000000-0005-0000-0000-0000FA9A0000}"/>
    <cellStyle name="RIGs input totals 3 4 14" xfId="39459" xr:uid="{00000000-0005-0000-0000-0000FB9A0000}"/>
    <cellStyle name="RIGs input totals 3 4 15" xfId="39460" xr:uid="{00000000-0005-0000-0000-0000FC9A0000}"/>
    <cellStyle name="RIGs input totals 3 4 16" xfId="39461" xr:uid="{00000000-0005-0000-0000-0000FD9A0000}"/>
    <cellStyle name="RIGs input totals 3 4 17" xfId="39462" xr:uid="{00000000-0005-0000-0000-0000FE9A0000}"/>
    <cellStyle name="RIGs input totals 3 4 18" xfId="39463" xr:uid="{00000000-0005-0000-0000-0000FF9A0000}"/>
    <cellStyle name="RIGs input totals 3 4 19" xfId="39464" xr:uid="{00000000-0005-0000-0000-0000009B0000}"/>
    <cellStyle name="RIGs input totals 3 4 2" xfId="39465" xr:uid="{00000000-0005-0000-0000-0000019B0000}"/>
    <cellStyle name="RIGs input totals 3 4 2 10" xfId="39466" xr:uid="{00000000-0005-0000-0000-0000029B0000}"/>
    <cellStyle name="RIGs input totals 3 4 2 11" xfId="39467" xr:uid="{00000000-0005-0000-0000-0000039B0000}"/>
    <cellStyle name="RIGs input totals 3 4 2 12" xfId="39468" xr:uid="{00000000-0005-0000-0000-0000049B0000}"/>
    <cellStyle name="RIGs input totals 3 4 2 13" xfId="39469" xr:uid="{00000000-0005-0000-0000-0000059B0000}"/>
    <cellStyle name="RIGs input totals 3 4 2 2" xfId="39470" xr:uid="{00000000-0005-0000-0000-0000069B0000}"/>
    <cellStyle name="RIGs input totals 3 4 2 2 2" xfId="39471" xr:uid="{00000000-0005-0000-0000-0000079B0000}"/>
    <cellStyle name="RIGs input totals 3 4 2 2 3" xfId="39472" xr:uid="{00000000-0005-0000-0000-0000089B0000}"/>
    <cellStyle name="RIGs input totals 3 4 2 3" xfId="39473" xr:uid="{00000000-0005-0000-0000-0000099B0000}"/>
    <cellStyle name="RIGs input totals 3 4 2 3 2" xfId="39474" xr:uid="{00000000-0005-0000-0000-00000A9B0000}"/>
    <cellStyle name="RIGs input totals 3 4 2 3 3" xfId="39475" xr:uid="{00000000-0005-0000-0000-00000B9B0000}"/>
    <cellStyle name="RIGs input totals 3 4 2 4" xfId="39476" xr:uid="{00000000-0005-0000-0000-00000C9B0000}"/>
    <cellStyle name="RIGs input totals 3 4 2 5" xfId="39477" xr:uid="{00000000-0005-0000-0000-00000D9B0000}"/>
    <cellStyle name="RIGs input totals 3 4 2 6" xfId="39478" xr:uid="{00000000-0005-0000-0000-00000E9B0000}"/>
    <cellStyle name="RIGs input totals 3 4 2 7" xfId="39479" xr:uid="{00000000-0005-0000-0000-00000F9B0000}"/>
    <cellStyle name="RIGs input totals 3 4 2 8" xfId="39480" xr:uid="{00000000-0005-0000-0000-0000109B0000}"/>
    <cellStyle name="RIGs input totals 3 4 2 9" xfId="39481" xr:uid="{00000000-0005-0000-0000-0000119B0000}"/>
    <cellStyle name="RIGs input totals 3 4 20" xfId="39482" xr:uid="{00000000-0005-0000-0000-0000129B0000}"/>
    <cellStyle name="RIGs input totals 3 4 21" xfId="39483" xr:uid="{00000000-0005-0000-0000-0000139B0000}"/>
    <cellStyle name="RIGs input totals 3 4 22" xfId="39484" xr:uid="{00000000-0005-0000-0000-0000149B0000}"/>
    <cellStyle name="RIGs input totals 3 4 23" xfId="39485" xr:uid="{00000000-0005-0000-0000-0000159B0000}"/>
    <cellStyle name="RIGs input totals 3 4 24" xfId="39486" xr:uid="{00000000-0005-0000-0000-0000169B0000}"/>
    <cellStyle name="RIGs input totals 3 4 25" xfId="39487" xr:uid="{00000000-0005-0000-0000-0000179B0000}"/>
    <cellStyle name="RIGs input totals 3 4 26" xfId="39488" xr:uid="{00000000-0005-0000-0000-0000189B0000}"/>
    <cellStyle name="RIGs input totals 3 4 27" xfId="39489" xr:uid="{00000000-0005-0000-0000-0000199B0000}"/>
    <cellStyle name="RIGs input totals 3 4 28" xfId="39490" xr:uid="{00000000-0005-0000-0000-00001A9B0000}"/>
    <cellStyle name="RIGs input totals 3 4 29" xfId="39491" xr:uid="{00000000-0005-0000-0000-00001B9B0000}"/>
    <cellStyle name="RIGs input totals 3 4 3" xfId="39492" xr:uid="{00000000-0005-0000-0000-00001C9B0000}"/>
    <cellStyle name="RIGs input totals 3 4 3 2" xfId="39493" xr:uid="{00000000-0005-0000-0000-00001D9B0000}"/>
    <cellStyle name="RIGs input totals 3 4 3 3" xfId="39494" xr:uid="{00000000-0005-0000-0000-00001E9B0000}"/>
    <cellStyle name="RIGs input totals 3 4 30" xfId="39495" xr:uid="{00000000-0005-0000-0000-00001F9B0000}"/>
    <cellStyle name="RIGs input totals 3 4 31" xfId="39496" xr:uid="{00000000-0005-0000-0000-0000209B0000}"/>
    <cellStyle name="RIGs input totals 3 4 32" xfId="39497" xr:uid="{00000000-0005-0000-0000-0000219B0000}"/>
    <cellStyle name="RIGs input totals 3 4 33" xfId="39498" xr:uid="{00000000-0005-0000-0000-0000229B0000}"/>
    <cellStyle name="RIGs input totals 3 4 34" xfId="39499" xr:uid="{00000000-0005-0000-0000-0000239B0000}"/>
    <cellStyle name="RIGs input totals 3 4 4" xfId="39500" xr:uid="{00000000-0005-0000-0000-0000249B0000}"/>
    <cellStyle name="RIGs input totals 3 4 4 2" xfId="39501" xr:uid="{00000000-0005-0000-0000-0000259B0000}"/>
    <cellStyle name="RIGs input totals 3 4 4 3" xfId="39502" xr:uid="{00000000-0005-0000-0000-0000269B0000}"/>
    <cellStyle name="RIGs input totals 3 4 5" xfId="39503" xr:uid="{00000000-0005-0000-0000-0000279B0000}"/>
    <cellStyle name="RIGs input totals 3 4 6" xfId="39504" xr:uid="{00000000-0005-0000-0000-0000289B0000}"/>
    <cellStyle name="RIGs input totals 3 4 7" xfId="39505" xr:uid="{00000000-0005-0000-0000-0000299B0000}"/>
    <cellStyle name="RIGs input totals 3 4 8" xfId="39506" xr:uid="{00000000-0005-0000-0000-00002A9B0000}"/>
    <cellStyle name="RIGs input totals 3 4 9" xfId="39507" xr:uid="{00000000-0005-0000-0000-00002B9B0000}"/>
    <cellStyle name="RIGs input totals 3 5" xfId="39508" xr:uid="{00000000-0005-0000-0000-00002C9B0000}"/>
    <cellStyle name="RIGs input totals 3 5 10" xfId="39509" xr:uid="{00000000-0005-0000-0000-00002D9B0000}"/>
    <cellStyle name="RIGs input totals 3 5 11" xfId="39510" xr:uid="{00000000-0005-0000-0000-00002E9B0000}"/>
    <cellStyle name="RIGs input totals 3 5 12" xfId="39511" xr:uid="{00000000-0005-0000-0000-00002F9B0000}"/>
    <cellStyle name="RIGs input totals 3 5 13" xfId="39512" xr:uid="{00000000-0005-0000-0000-0000309B0000}"/>
    <cellStyle name="RIGs input totals 3 5 14" xfId="39513" xr:uid="{00000000-0005-0000-0000-0000319B0000}"/>
    <cellStyle name="RIGs input totals 3 5 15" xfId="39514" xr:uid="{00000000-0005-0000-0000-0000329B0000}"/>
    <cellStyle name="RIGs input totals 3 5 16" xfId="39515" xr:uid="{00000000-0005-0000-0000-0000339B0000}"/>
    <cellStyle name="RIGs input totals 3 5 17" xfId="39516" xr:uid="{00000000-0005-0000-0000-0000349B0000}"/>
    <cellStyle name="RIGs input totals 3 5 18" xfId="39517" xr:uid="{00000000-0005-0000-0000-0000359B0000}"/>
    <cellStyle name="RIGs input totals 3 5 19" xfId="39518" xr:uid="{00000000-0005-0000-0000-0000369B0000}"/>
    <cellStyle name="RIGs input totals 3 5 2" xfId="39519" xr:uid="{00000000-0005-0000-0000-0000379B0000}"/>
    <cellStyle name="RIGs input totals 3 5 2 10" xfId="39520" xr:uid="{00000000-0005-0000-0000-0000389B0000}"/>
    <cellStyle name="RIGs input totals 3 5 2 11" xfId="39521" xr:uid="{00000000-0005-0000-0000-0000399B0000}"/>
    <cellStyle name="RIGs input totals 3 5 2 12" xfId="39522" xr:uid="{00000000-0005-0000-0000-00003A9B0000}"/>
    <cellStyle name="RIGs input totals 3 5 2 13" xfId="39523" xr:uid="{00000000-0005-0000-0000-00003B9B0000}"/>
    <cellStyle name="RIGs input totals 3 5 2 2" xfId="39524" xr:uid="{00000000-0005-0000-0000-00003C9B0000}"/>
    <cellStyle name="RIGs input totals 3 5 2 2 2" xfId="39525" xr:uid="{00000000-0005-0000-0000-00003D9B0000}"/>
    <cellStyle name="RIGs input totals 3 5 2 2 3" xfId="39526" xr:uid="{00000000-0005-0000-0000-00003E9B0000}"/>
    <cellStyle name="RIGs input totals 3 5 2 3" xfId="39527" xr:uid="{00000000-0005-0000-0000-00003F9B0000}"/>
    <cellStyle name="RIGs input totals 3 5 2 3 2" xfId="39528" xr:uid="{00000000-0005-0000-0000-0000409B0000}"/>
    <cellStyle name="RIGs input totals 3 5 2 3 3" xfId="39529" xr:uid="{00000000-0005-0000-0000-0000419B0000}"/>
    <cellStyle name="RIGs input totals 3 5 2 4" xfId="39530" xr:uid="{00000000-0005-0000-0000-0000429B0000}"/>
    <cellStyle name="RIGs input totals 3 5 2 5" xfId="39531" xr:uid="{00000000-0005-0000-0000-0000439B0000}"/>
    <cellStyle name="RIGs input totals 3 5 2 6" xfId="39532" xr:uid="{00000000-0005-0000-0000-0000449B0000}"/>
    <cellStyle name="RIGs input totals 3 5 2 7" xfId="39533" xr:uid="{00000000-0005-0000-0000-0000459B0000}"/>
    <cellStyle name="RIGs input totals 3 5 2 8" xfId="39534" xr:uid="{00000000-0005-0000-0000-0000469B0000}"/>
    <cellStyle name="RIGs input totals 3 5 2 9" xfId="39535" xr:uid="{00000000-0005-0000-0000-0000479B0000}"/>
    <cellStyle name="RIGs input totals 3 5 20" xfId="39536" xr:uid="{00000000-0005-0000-0000-0000489B0000}"/>
    <cellStyle name="RIGs input totals 3 5 21" xfId="39537" xr:uid="{00000000-0005-0000-0000-0000499B0000}"/>
    <cellStyle name="RIGs input totals 3 5 22" xfId="39538" xr:uid="{00000000-0005-0000-0000-00004A9B0000}"/>
    <cellStyle name="RIGs input totals 3 5 23" xfId="39539" xr:uid="{00000000-0005-0000-0000-00004B9B0000}"/>
    <cellStyle name="RIGs input totals 3 5 24" xfId="39540" xr:uid="{00000000-0005-0000-0000-00004C9B0000}"/>
    <cellStyle name="RIGs input totals 3 5 25" xfId="39541" xr:uid="{00000000-0005-0000-0000-00004D9B0000}"/>
    <cellStyle name="RIGs input totals 3 5 26" xfId="39542" xr:uid="{00000000-0005-0000-0000-00004E9B0000}"/>
    <cellStyle name="RIGs input totals 3 5 27" xfId="39543" xr:uid="{00000000-0005-0000-0000-00004F9B0000}"/>
    <cellStyle name="RIGs input totals 3 5 28" xfId="39544" xr:uid="{00000000-0005-0000-0000-0000509B0000}"/>
    <cellStyle name="RIGs input totals 3 5 29" xfId="39545" xr:uid="{00000000-0005-0000-0000-0000519B0000}"/>
    <cellStyle name="RIGs input totals 3 5 3" xfId="39546" xr:uid="{00000000-0005-0000-0000-0000529B0000}"/>
    <cellStyle name="RIGs input totals 3 5 3 2" xfId="39547" xr:uid="{00000000-0005-0000-0000-0000539B0000}"/>
    <cellStyle name="RIGs input totals 3 5 3 3" xfId="39548" xr:uid="{00000000-0005-0000-0000-0000549B0000}"/>
    <cellStyle name="RIGs input totals 3 5 30" xfId="39549" xr:uid="{00000000-0005-0000-0000-0000559B0000}"/>
    <cellStyle name="RIGs input totals 3 5 31" xfId="39550" xr:uid="{00000000-0005-0000-0000-0000569B0000}"/>
    <cellStyle name="RIGs input totals 3 5 32" xfId="39551" xr:uid="{00000000-0005-0000-0000-0000579B0000}"/>
    <cellStyle name="RIGs input totals 3 5 33" xfId="39552" xr:uid="{00000000-0005-0000-0000-0000589B0000}"/>
    <cellStyle name="RIGs input totals 3 5 34" xfId="39553" xr:uid="{00000000-0005-0000-0000-0000599B0000}"/>
    <cellStyle name="RIGs input totals 3 5 4" xfId="39554" xr:uid="{00000000-0005-0000-0000-00005A9B0000}"/>
    <cellStyle name="RIGs input totals 3 5 4 2" xfId="39555" xr:uid="{00000000-0005-0000-0000-00005B9B0000}"/>
    <cellStyle name="RIGs input totals 3 5 4 3" xfId="39556" xr:uid="{00000000-0005-0000-0000-00005C9B0000}"/>
    <cellStyle name="RIGs input totals 3 5 5" xfId="39557" xr:uid="{00000000-0005-0000-0000-00005D9B0000}"/>
    <cellStyle name="RIGs input totals 3 5 6" xfId="39558" xr:uid="{00000000-0005-0000-0000-00005E9B0000}"/>
    <cellStyle name="RIGs input totals 3 5 7" xfId="39559" xr:uid="{00000000-0005-0000-0000-00005F9B0000}"/>
    <cellStyle name="RIGs input totals 3 5 8" xfId="39560" xr:uid="{00000000-0005-0000-0000-0000609B0000}"/>
    <cellStyle name="RIGs input totals 3 5 9" xfId="39561" xr:uid="{00000000-0005-0000-0000-0000619B0000}"/>
    <cellStyle name="RIGs input totals 3 6" xfId="39562" xr:uid="{00000000-0005-0000-0000-0000629B0000}"/>
    <cellStyle name="RIGs input totals 3 6 10" xfId="39563" xr:uid="{00000000-0005-0000-0000-0000639B0000}"/>
    <cellStyle name="RIGs input totals 3 6 11" xfId="39564" xr:uid="{00000000-0005-0000-0000-0000649B0000}"/>
    <cellStyle name="RIGs input totals 3 6 12" xfId="39565" xr:uid="{00000000-0005-0000-0000-0000659B0000}"/>
    <cellStyle name="RIGs input totals 3 6 13" xfId="39566" xr:uid="{00000000-0005-0000-0000-0000669B0000}"/>
    <cellStyle name="RIGs input totals 3 6 2" xfId="39567" xr:uid="{00000000-0005-0000-0000-0000679B0000}"/>
    <cellStyle name="RIGs input totals 3 6 2 2" xfId="39568" xr:uid="{00000000-0005-0000-0000-0000689B0000}"/>
    <cellStyle name="RIGs input totals 3 6 2 3" xfId="39569" xr:uid="{00000000-0005-0000-0000-0000699B0000}"/>
    <cellStyle name="RIGs input totals 3 6 3" xfId="39570" xr:uid="{00000000-0005-0000-0000-00006A9B0000}"/>
    <cellStyle name="RIGs input totals 3 6 3 2" xfId="39571" xr:uid="{00000000-0005-0000-0000-00006B9B0000}"/>
    <cellStyle name="RIGs input totals 3 6 3 3" xfId="39572" xr:uid="{00000000-0005-0000-0000-00006C9B0000}"/>
    <cellStyle name="RIGs input totals 3 6 4" xfId="39573" xr:uid="{00000000-0005-0000-0000-00006D9B0000}"/>
    <cellStyle name="RIGs input totals 3 6 5" xfId="39574" xr:uid="{00000000-0005-0000-0000-00006E9B0000}"/>
    <cellStyle name="RIGs input totals 3 6 6" xfId="39575" xr:uid="{00000000-0005-0000-0000-00006F9B0000}"/>
    <cellStyle name="RIGs input totals 3 6 7" xfId="39576" xr:uid="{00000000-0005-0000-0000-0000709B0000}"/>
    <cellStyle name="RIGs input totals 3 6 8" xfId="39577" xr:uid="{00000000-0005-0000-0000-0000719B0000}"/>
    <cellStyle name="RIGs input totals 3 6 9" xfId="39578" xr:uid="{00000000-0005-0000-0000-0000729B0000}"/>
    <cellStyle name="RIGs input totals 3 7" xfId="39579" xr:uid="{00000000-0005-0000-0000-0000739B0000}"/>
    <cellStyle name="RIGs input totals 3 7 2" xfId="39580" xr:uid="{00000000-0005-0000-0000-0000749B0000}"/>
    <cellStyle name="RIGs input totals 3 7 2 2" xfId="39581" xr:uid="{00000000-0005-0000-0000-0000759B0000}"/>
    <cellStyle name="RIGs input totals 3 7 2 3" xfId="39582" xr:uid="{00000000-0005-0000-0000-0000769B0000}"/>
    <cellStyle name="RIGs input totals 3 7 3" xfId="39583" xr:uid="{00000000-0005-0000-0000-0000779B0000}"/>
    <cellStyle name="RIGs input totals 3 7 3 2" xfId="39584" xr:uid="{00000000-0005-0000-0000-0000789B0000}"/>
    <cellStyle name="RIGs input totals 3 7 4" xfId="39585" xr:uid="{00000000-0005-0000-0000-0000799B0000}"/>
    <cellStyle name="RIGs input totals 3 8" xfId="39586" xr:uid="{00000000-0005-0000-0000-00007A9B0000}"/>
    <cellStyle name="RIGs input totals 3 8 2" xfId="39587" xr:uid="{00000000-0005-0000-0000-00007B9B0000}"/>
    <cellStyle name="RIGs input totals 3 9" xfId="39588" xr:uid="{00000000-0005-0000-0000-00007C9B0000}"/>
    <cellStyle name="RIGs input totals 3 9 2" xfId="39589" xr:uid="{00000000-0005-0000-0000-00007D9B0000}"/>
    <cellStyle name="RIGs input totals 3_1.3s Accounting C Costs Scots" xfId="39590" xr:uid="{00000000-0005-0000-0000-00007E9B0000}"/>
    <cellStyle name="RIGs input totals 30" xfId="39591" xr:uid="{00000000-0005-0000-0000-00007F9B0000}"/>
    <cellStyle name="RIGs input totals 30 2" xfId="39592" xr:uid="{00000000-0005-0000-0000-0000809B0000}"/>
    <cellStyle name="RIGs input totals 31" xfId="39593" xr:uid="{00000000-0005-0000-0000-0000819B0000}"/>
    <cellStyle name="RIGs input totals 31 2" xfId="39594" xr:uid="{00000000-0005-0000-0000-0000829B0000}"/>
    <cellStyle name="RIGs input totals 32" xfId="39595" xr:uid="{00000000-0005-0000-0000-0000839B0000}"/>
    <cellStyle name="RIGs input totals 32 2" xfId="39596" xr:uid="{00000000-0005-0000-0000-0000849B0000}"/>
    <cellStyle name="RIGs input totals 33" xfId="39597" xr:uid="{00000000-0005-0000-0000-0000859B0000}"/>
    <cellStyle name="RIGs input totals 33 2" xfId="39598" xr:uid="{00000000-0005-0000-0000-0000869B0000}"/>
    <cellStyle name="RIGs input totals 34" xfId="39599" xr:uid="{00000000-0005-0000-0000-0000879B0000}"/>
    <cellStyle name="RIGs input totals 35" xfId="39600" xr:uid="{00000000-0005-0000-0000-0000889B0000}"/>
    <cellStyle name="RIGs input totals 36" xfId="39601" xr:uid="{00000000-0005-0000-0000-0000899B0000}"/>
    <cellStyle name="RIGs input totals 37" xfId="39602" xr:uid="{00000000-0005-0000-0000-00008A9B0000}"/>
    <cellStyle name="RIGs input totals 38" xfId="39603" xr:uid="{00000000-0005-0000-0000-00008B9B0000}"/>
    <cellStyle name="RIGs input totals 39" xfId="39604" xr:uid="{00000000-0005-0000-0000-00008C9B0000}"/>
    <cellStyle name="RIGs input totals 4" xfId="39605" xr:uid="{00000000-0005-0000-0000-00008D9B0000}"/>
    <cellStyle name="RIGs input totals 4 10" xfId="39606" xr:uid="{00000000-0005-0000-0000-00008E9B0000}"/>
    <cellStyle name="RIGs input totals 4 10 2" xfId="39607" xr:uid="{00000000-0005-0000-0000-00008F9B0000}"/>
    <cellStyle name="RIGs input totals 4 11" xfId="39608" xr:uid="{00000000-0005-0000-0000-0000909B0000}"/>
    <cellStyle name="RIGs input totals 4 11 2" xfId="39609" xr:uid="{00000000-0005-0000-0000-0000919B0000}"/>
    <cellStyle name="RIGs input totals 4 12" xfId="39610" xr:uid="{00000000-0005-0000-0000-0000929B0000}"/>
    <cellStyle name="RIGs input totals 4 12 2" xfId="39611" xr:uid="{00000000-0005-0000-0000-0000939B0000}"/>
    <cellStyle name="RIGs input totals 4 13" xfId="39612" xr:uid="{00000000-0005-0000-0000-0000949B0000}"/>
    <cellStyle name="RIGs input totals 4 13 2" xfId="39613" xr:uid="{00000000-0005-0000-0000-0000959B0000}"/>
    <cellStyle name="RIGs input totals 4 14" xfId="39614" xr:uid="{00000000-0005-0000-0000-0000969B0000}"/>
    <cellStyle name="RIGs input totals 4 14 2" xfId="39615" xr:uid="{00000000-0005-0000-0000-0000979B0000}"/>
    <cellStyle name="RIGs input totals 4 15" xfId="39616" xr:uid="{00000000-0005-0000-0000-0000989B0000}"/>
    <cellStyle name="RIGs input totals 4 15 2" xfId="39617" xr:uid="{00000000-0005-0000-0000-0000999B0000}"/>
    <cellStyle name="RIGs input totals 4 16" xfId="39618" xr:uid="{00000000-0005-0000-0000-00009A9B0000}"/>
    <cellStyle name="RIGs input totals 4 16 2" xfId="39619" xr:uid="{00000000-0005-0000-0000-00009B9B0000}"/>
    <cellStyle name="RIGs input totals 4 17" xfId="39620" xr:uid="{00000000-0005-0000-0000-00009C9B0000}"/>
    <cellStyle name="RIGs input totals 4 17 2" xfId="39621" xr:uid="{00000000-0005-0000-0000-00009D9B0000}"/>
    <cellStyle name="RIGs input totals 4 18" xfId="39622" xr:uid="{00000000-0005-0000-0000-00009E9B0000}"/>
    <cellStyle name="RIGs input totals 4 18 2" xfId="39623" xr:uid="{00000000-0005-0000-0000-00009F9B0000}"/>
    <cellStyle name="RIGs input totals 4 19" xfId="39624" xr:uid="{00000000-0005-0000-0000-0000A09B0000}"/>
    <cellStyle name="RIGs input totals 4 19 2" xfId="39625" xr:uid="{00000000-0005-0000-0000-0000A19B0000}"/>
    <cellStyle name="RIGs input totals 4 2" xfId="39626" xr:uid="{00000000-0005-0000-0000-0000A29B0000}"/>
    <cellStyle name="RIGs input totals 4 2 10" xfId="39627" xr:uid="{00000000-0005-0000-0000-0000A39B0000}"/>
    <cellStyle name="RIGs input totals 4 2 10 2" xfId="39628" xr:uid="{00000000-0005-0000-0000-0000A49B0000}"/>
    <cellStyle name="RIGs input totals 4 2 11" xfId="39629" xr:uid="{00000000-0005-0000-0000-0000A59B0000}"/>
    <cellStyle name="RIGs input totals 4 2 11 2" xfId="39630" xr:uid="{00000000-0005-0000-0000-0000A69B0000}"/>
    <cellStyle name="RIGs input totals 4 2 12" xfId="39631" xr:uid="{00000000-0005-0000-0000-0000A79B0000}"/>
    <cellStyle name="RIGs input totals 4 2 12 2" xfId="39632" xr:uid="{00000000-0005-0000-0000-0000A89B0000}"/>
    <cellStyle name="RIGs input totals 4 2 13" xfId="39633" xr:uid="{00000000-0005-0000-0000-0000A99B0000}"/>
    <cellStyle name="RIGs input totals 4 2 13 2" xfId="39634" xr:uid="{00000000-0005-0000-0000-0000AA9B0000}"/>
    <cellStyle name="RIGs input totals 4 2 14" xfId="39635" xr:uid="{00000000-0005-0000-0000-0000AB9B0000}"/>
    <cellStyle name="RIGs input totals 4 2 14 2" xfId="39636" xr:uid="{00000000-0005-0000-0000-0000AC9B0000}"/>
    <cellStyle name="RIGs input totals 4 2 15" xfId="39637" xr:uid="{00000000-0005-0000-0000-0000AD9B0000}"/>
    <cellStyle name="RIGs input totals 4 2 15 2" xfId="39638" xr:uid="{00000000-0005-0000-0000-0000AE9B0000}"/>
    <cellStyle name="RIGs input totals 4 2 16" xfId="39639" xr:uid="{00000000-0005-0000-0000-0000AF9B0000}"/>
    <cellStyle name="RIGs input totals 4 2 16 2" xfId="39640" xr:uid="{00000000-0005-0000-0000-0000B09B0000}"/>
    <cellStyle name="RIGs input totals 4 2 17" xfId="39641" xr:uid="{00000000-0005-0000-0000-0000B19B0000}"/>
    <cellStyle name="RIGs input totals 4 2 17 2" xfId="39642" xr:uid="{00000000-0005-0000-0000-0000B29B0000}"/>
    <cellStyle name="RIGs input totals 4 2 18" xfId="39643" xr:uid="{00000000-0005-0000-0000-0000B39B0000}"/>
    <cellStyle name="RIGs input totals 4 2 18 2" xfId="39644" xr:uid="{00000000-0005-0000-0000-0000B49B0000}"/>
    <cellStyle name="RIGs input totals 4 2 19" xfId="39645" xr:uid="{00000000-0005-0000-0000-0000B59B0000}"/>
    <cellStyle name="RIGs input totals 4 2 19 2" xfId="39646" xr:uid="{00000000-0005-0000-0000-0000B69B0000}"/>
    <cellStyle name="RIGs input totals 4 2 2" xfId="39647" xr:uid="{00000000-0005-0000-0000-0000B79B0000}"/>
    <cellStyle name="RIGs input totals 4 2 2 10" xfId="39648" xr:uid="{00000000-0005-0000-0000-0000B89B0000}"/>
    <cellStyle name="RIGs input totals 4 2 2 11" xfId="39649" xr:uid="{00000000-0005-0000-0000-0000B99B0000}"/>
    <cellStyle name="RIGs input totals 4 2 2 12" xfId="39650" xr:uid="{00000000-0005-0000-0000-0000BA9B0000}"/>
    <cellStyle name="RIGs input totals 4 2 2 13" xfId="39651" xr:uid="{00000000-0005-0000-0000-0000BB9B0000}"/>
    <cellStyle name="RIGs input totals 4 2 2 14" xfId="39652" xr:uid="{00000000-0005-0000-0000-0000BC9B0000}"/>
    <cellStyle name="RIGs input totals 4 2 2 15" xfId="39653" xr:uid="{00000000-0005-0000-0000-0000BD9B0000}"/>
    <cellStyle name="RIGs input totals 4 2 2 16" xfId="39654" xr:uid="{00000000-0005-0000-0000-0000BE9B0000}"/>
    <cellStyle name="RIGs input totals 4 2 2 17" xfId="39655" xr:uid="{00000000-0005-0000-0000-0000BF9B0000}"/>
    <cellStyle name="RIGs input totals 4 2 2 18" xfId="39656" xr:uid="{00000000-0005-0000-0000-0000C09B0000}"/>
    <cellStyle name="RIGs input totals 4 2 2 19" xfId="39657" xr:uid="{00000000-0005-0000-0000-0000C19B0000}"/>
    <cellStyle name="RIGs input totals 4 2 2 2" xfId="39658" xr:uid="{00000000-0005-0000-0000-0000C29B0000}"/>
    <cellStyle name="RIGs input totals 4 2 2 2 10" xfId="39659" xr:uid="{00000000-0005-0000-0000-0000C39B0000}"/>
    <cellStyle name="RIGs input totals 4 2 2 2 11" xfId="39660" xr:uid="{00000000-0005-0000-0000-0000C49B0000}"/>
    <cellStyle name="RIGs input totals 4 2 2 2 12" xfId="39661" xr:uid="{00000000-0005-0000-0000-0000C59B0000}"/>
    <cellStyle name="RIGs input totals 4 2 2 2 13" xfId="39662" xr:uid="{00000000-0005-0000-0000-0000C69B0000}"/>
    <cellStyle name="RIGs input totals 4 2 2 2 14" xfId="39663" xr:uid="{00000000-0005-0000-0000-0000C79B0000}"/>
    <cellStyle name="RIGs input totals 4 2 2 2 15" xfId="39664" xr:uid="{00000000-0005-0000-0000-0000C89B0000}"/>
    <cellStyle name="RIGs input totals 4 2 2 2 16" xfId="39665" xr:uid="{00000000-0005-0000-0000-0000C99B0000}"/>
    <cellStyle name="RIGs input totals 4 2 2 2 17" xfId="39666" xr:uid="{00000000-0005-0000-0000-0000CA9B0000}"/>
    <cellStyle name="RIGs input totals 4 2 2 2 18" xfId="39667" xr:uid="{00000000-0005-0000-0000-0000CB9B0000}"/>
    <cellStyle name="RIGs input totals 4 2 2 2 19" xfId="39668" xr:uid="{00000000-0005-0000-0000-0000CC9B0000}"/>
    <cellStyle name="RIGs input totals 4 2 2 2 2" xfId="39669" xr:uid="{00000000-0005-0000-0000-0000CD9B0000}"/>
    <cellStyle name="RIGs input totals 4 2 2 2 2 10" xfId="39670" xr:uid="{00000000-0005-0000-0000-0000CE9B0000}"/>
    <cellStyle name="RIGs input totals 4 2 2 2 2 11" xfId="39671" xr:uid="{00000000-0005-0000-0000-0000CF9B0000}"/>
    <cellStyle name="RIGs input totals 4 2 2 2 2 12" xfId="39672" xr:uid="{00000000-0005-0000-0000-0000D09B0000}"/>
    <cellStyle name="RIGs input totals 4 2 2 2 2 13" xfId="39673" xr:uid="{00000000-0005-0000-0000-0000D19B0000}"/>
    <cellStyle name="RIGs input totals 4 2 2 2 2 2" xfId="39674" xr:uid="{00000000-0005-0000-0000-0000D29B0000}"/>
    <cellStyle name="RIGs input totals 4 2 2 2 2 2 2" xfId="39675" xr:uid="{00000000-0005-0000-0000-0000D39B0000}"/>
    <cellStyle name="RIGs input totals 4 2 2 2 2 2 3" xfId="39676" xr:uid="{00000000-0005-0000-0000-0000D49B0000}"/>
    <cellStyle name="RIGs input totals 4 2 2 2 2 3" xfId="39677" xr:uid="{00000000-0005-0000-0000-0000D59B0000}"/>
    <cellStyle name="RIGs input totals 4 2 2 2 2 3 2" xfId="39678" xr:uid="{00000000-0005-0000-0000-0000D69B0000}"/>
    <cellStyle name="RIGs input totals 4 2 2 2 2 3 3" xfId="39679" xr:uid="{00000000-0005-0000-0000-0000D79B0000}"/>
    <cellStyle name="RIGs input totals 4 2 2 2 2 4" xfId="39680" xr:uid="{00000000-0005-0000-0000-0000D89B0000}"/>
    <cellStyle name="RIGs input totals 4 2 2 2 2 5" xfId="39681" xr:uid="{00000000-0005-0000-0000-0000D99B0000}"/>
    <cellStyle name="RIGs input totals 4 2 2 2 2 6" xfId="39682" xr:uid="{00000000-0005-0000-0000-0000DA9B0000}"/>
    <cellStyle name="RIGs input totals 4 2 2 2 2 7" xfId="39683" xr:uid="{00000000-0005-0000-0000-0000DB9B0000}"/>
    <cellStyle name="RIGs input totals 4 2 2 2 2 8" xfId="39684" xr:uid="{00000000-0005-0000-0000-0000DC9B0000}"/>
    <cellStyle name="RIGs input totals 4 2 2 2 2 9" xfId="39685" xr:uid="{00000000-0005-0000-0000-0000DD9B0000}"/>
    <cellStyle name="RIGs input totals 4 2 2 2 20" xfId="39686" xr:uid="{00000000-0005-0000-0000-0000DE9B0000}"/>
    <cellStyle name="RIGs input totals 4 2 2 2 21" xfId="39687" xr:uid="{00000000-0005-0000-0000-0000DF9B0000}"/>
    <cellStyle name="RIGs input totals 4 2 2 2 22" xfId="39688" xr:uid="{00000000-0005-0000-0000-0000E09B0000}"/>
    <cellStyle name="RIGs input totals 4 2 2 2 23" xfId="39689" xr:uid="{00000000-0005-0000-0000-0000E19B0000}"/>
    <cellStyle name="RIGs input totals 4 2 2 2 24" xfId="39690" xr:uid="{00000000-0005-0000-0000-0000E29B0000}"/>
    <cellStyle name="RIGs input totals 4 2 2 2 25" xfId="39691" xr:uid="{00000000-0005-0000-0000-0000E39B0000}"/>
    <cellStyle name="RIGs input totals 4 2 2 2 26" xfId="39692" xr:uid="{00000000-0005-0000-0000-0000E49B0000}"/>
    <cellStyle name="RIGs input totals 4 2 2 2 27" xfId="39693" xr:uid="{00000000-0005-0000-0000-0000E59B0000}"/>
    <cellStyle name="RIGs input totals 4 2 2 2 28" xfId="39694" xr:uid="{00000000-0005-0000-0000-0000E69B0000}"/>
    <cellStyle name="RIGs input totals 4 2 2 2 29" xfId="39695" xr:uid="{00000000-0005-0000-0000-0000E79B0000}"/>
    <cellStyle name="RIGs input totals 4 2 2 2 3" xfId="39696" xr:uid="{00000000-0005-0000-0000-0000E89B0000}"/>
    <cellStyle name="RIGs input totals 4 2 2 2 3 2" xfId="39697" xr:uid="{00000000-0005-0000-0000-0000E99B0000}"/>
    <cellStyle name="RIGs input totals 4 2 2 2 3 3" xfId="39698" xr:uid="{00000000-0005-0000-0000-0000EA9B0000}"/>
    <cellStyle name="RIGs input totals 4 2 2 2 30" xfId="39699" xr:uid="{00000000-0005-0000-0000-0000EB9B0000}"/>
    <cellStyle name="RIGs input totals 4 2 2 2 31" xfId="39700" xr:uid="{00000000-0005-0000-0000-0000EC9B0000}"/>
    <cellStyle name="RIGs input totals 4 2 2 2 32" xfId="39701" xr:uid="{00000000-0005-0000-0000-0000ED9B0000}"/>
    <cellStyle name="RIGs input totals 4 2 2 2 33" xfId="39702" xr:uid="{00000000-0005-0000-0000-0000EE9B0000}"/>
    <cellStyle name="RIGs input totals 4 2 2 2 34" xfId="39703" xr:uid="{00000000-0005-0000-0000-0000EF9B0000}"/>
    <cellStyle name="RIGs input totals 4 2 2 2 4" xfId="39704" xr:uid="{00000000-0005-0000-0000-0000F09B0000}"/>
    <cellStyle name="RIGs input totals 4 2 2 2 4 2" xfId="39705" xr:uid="{00000000-0005-0000-0000-0000F19B0000}"/>
    <cellStyle name="RIGs input totals 4 2 2 2 4 3" xfId="39706" xr:uid="{00000000-0005-0000-0000-0000F29B0000}"/>
    <cellStyle name="RIGs input totals 4 2 2 2 5" xfId="39707" xr:uid="{00000000-0005-0000-0000-0000F39B0000}"/>
    <cellStyle name="RIGs input totals 4 2 2 2 6" xfId="39708" xr:uid="{00000000-0005-0000-0000-0000F49B0000}"/>
    <cellStyle name="RIGs input totals 4 2 2 2 7" xfId="39709" xr:uid="{00000000-0005-0000-0000-0000F59B0000}"/>
    <cellStyle name="RIGs input totals 4 2 2 2 8" xfId="39710" xr:uid="{00000000-0005-0000-0000-0000F69B0000}"/>
    <cellStyle name="RIGs input totals 4 2 2 2 9" xfId="39711" xr:uid="{00000000-0005-0000-0000-0000F79B0000}"/>
    <cellStyle name="RIGs input totals 4 2 2 20" xfId="39712" xr:uid="{00000000-0005-0000-0000-0000F89B0000}"/>
    <cellStyle name="RIGs input totals 4 2 2 21" xfId="39713" xr:uid="{00000000-0005-0000-0000-0000F99B0000}"/>
    <cellStyle name="RIGs input totals 4 2 2 22" xfId="39714" xr:uid="{00000000-0005-0000-0000-0000FA9B0000}"/>
    <cellStyle name="RIGs input totals 4 2 2 23" xfId="39715" xr:uid="{00000000-0005-0000-0000-0000FB9B0000}"/>
    <cellStyle name="RIGs input totals 4 2 2 24" xfId="39716" xr:uid="{00000000-0005-0000-0000-0000FC9B0000}"/>
    <cellStyle name="RIGs input totals 4 2 2 25" xfId="39717" xr:uid="{00000000-0005-0000-0000-0000FD9B0000}"/>
    <cellStyle name="RIGs input totals 4 2 2 26" xfId="39718" xr:uid="{00000000-0005-0000-0000-0000FE9B0000}"/>
    <cellStyle name="RIGs input totals 4 2 2 27" xfId="39719" xr:uid="{00000000-0005-0000-0000-0000FF9B0000}"/>
    <cellStyle name="RIGs input totals 4 2 2 28" xfId="39720" xr:uid="{00000000-0005-0000-0000-0000009C0000}"/>
    <cellStyle name="RIGs input totals 4 2 2 29" xfId="39721" xr:uid="{00000000-0005-0000-0000-0000019C0000}"/>
    <cellStyle name="RIGs input totals 4 2 2 3" xfId="39722" xr:uid="{00000000-0005-0000-0000-0000029C0000}"/>
    <cellStyle name="RIGs input totals 4 2 2 3 10" xfId="39723" xr:uid="{00000000-0005-0000-0000-0000039C0000}"/>
    <cellStyle name="RIGs input totals 4 2 2 3 11" xfId="39724" xr:uid="{00000000-0005-0000-0000-0000049C0000}"/>
    <cellStyle name="RIGs input totals 4 2 2 3 12" xfId="39725" xr:uid="{00000000-0005-0000-0000-0000059C0000}"/>
    <cellStyle name="RIGs input totals 4 2 2 3 13" xfId="39726" xr:uid="{00000000-0005-0000-0000-0000069C0000}"/>
    <cellStyle name="RIGs input totals 4 2 2 3 2" xfId="39727" xr:uid="{00000000-0005-0000-0000-0000079C0000}"/>
    <cellStyle name="RIGs input totals 4 2 2 3 2 2" xfId="39728" xr:uid="{00000000-0005-0000-0000-0000089C0000}"/>
    <cellStyle name="RIGs input totals 4 2 2 3 2 3" xfId="39729" xr:uid="{00000000-0005-0000-0000-0000099C0000}"/>
    <cellStyle name="RIGs input totals 4 2 2 3 3" xfId="39730" xr:uid="{00000000-0005-0000-0000-00000A9C0000}"/>
    <cellStyle name="RIGs input totals 4 2 2 3 3 2" xfId="39731" xr:uid="{00000000-0005-0000-0000-00000B9C0000}"/>
    <cellStyle name="RIGs input totals 4 2 2 3 3 3" xfId="39732" xr:uid="{00000000-0005-0000-0000-00000C9C0000}"/>
    <cellStyle name="RIGs input totals 4 2 2 3 4" xfId="39733" xr:uid="{00000000-0005-0000-0000-00000D9C0000}"/>
    <cellStyle name="RIGs input totals 4 2 2 3 5" xfId="39734" xr:uid="{00000000-0005-0000-0000-00000E9C0000}"/>
    <cellStyle name="RIGs input totals 4 2 2 3 6" xfId="39735" xr:uid="{00000000-0005-0000-0000-00000F9C0000}"/>
    <cellStyle name="RIGs input totals 4 2 2 3 7" xfId="39736" xr:uid="{00000000-0005-0000-0000-0000109C0000}"/>
    <cellStyle name="RIGs input totals 4 2 2 3 8" xfId="39737" xr:uid="{00000000-0005-0000-0000-0000119C0000}"/>
    <cellStyle name="RIGs input totals 4 2 2 3 9" xfId="39738" xr:uid="{00000000-0005-0000-0000-0000129C0000}"/>
    <cellStyle name="RIGs input totals 4 2 2 30" xfId="39739" xr:uid="{00000000-0005-0000-0000-0000139C0000}"/>
    <cellStyle name="RIGs input totals 4 2 2 31" xfId="39740" xr:uid="{00000000-0005-0000-0000-0000149C0000}"/>
    <cellStyle name="RIGs input totals 4 2 2 32" xfId="39741" xr:uid="{00000000-0005-0000-0000-0000159C0000}"/>
    <cellStyle name="RIGs input totals 4 2 2 33" xfId="39742" xr:uid="{00000000-0005-0000-0000-0000169C0000}"/>
    <cellStyle name="RIGs input totals 4 2 2 34" xfId="39743" xr:uid="{00000000-0005-0000-0000-0000179C0000}"/>
    <cellStyle name="RIGs input totals 4 2 2 35" xfId="39744" xr:uid="{00000000-0005-0000-0000-0000189C0000}"/>
    <cellStyle name="RIGs input totals 4 2 2 4" xfId="39745" xr:uid="{00000000-0005-0000-0000-0000199C0000}"/>
    <cellStyle name="RIGs input totals 4 2 2 4 2" xfId="39746" xr:uid="{00000000-0005-0000-0000-00001A9C0000}"/>
    <cellStyle name="RIGs input totals 4 2 2 4 3" xfId="39747" xr:uid="{00000000-0005-0000-0000-00001B9C0000}"/>
    <cellStyle name="RIGs input totals 4 2 2 5" xfId="39748" xr:uid="{00000000-0005-0000-0000-00001C9C0000}"/>
    <cellStyle name="RIGs input totals 4 2 2 5 2" xfId="39749" xr:uid="{00000000-0005-0000-0000-00001D9C0000}"/>
    <cellStyle name="RIGs input totals 4 2 2 5 3" xfId="39750" xr:uid="{00000000-0005-0000-0000-00001E9C0000}"/>
    <cellStyle name="RIGs input totals 4 2 2 6" xfId="39751" xr:uid="{00000000-0005-0000-0000-00001F9C0000}"/>
    <cellStyle name="RIGs input totals 4 2 2 7" xfId="39752" xr:uid="{00000000-0005-0000-0000-0000209C0000}"/>
    <cellStyle name="RIGs input totals 4 2 2 8" xfId="39753" xr:uid="{00000000-0005-0000-0000-0000219C0000}"/>
    <cellStyle name="RIGs input totals 4 2 2 9" xfId="39754" xr:uid="{00000000-0005-0000-0000-0000229C0000}"/>
    <cellStyle name="RIGs input totals 4 2 2_4 28 1_Asst_Health_Crit_AllTO_RIIO_20110714pm" xfId="39755" xr:uid="{00000000-0005-0000-0000-0000239C0000}"/>
    <cellStyle name="RIGs input totals 4 2 20" xfId="39756" xr:uid="{00000000-0005-0000-0000-0000249C0000}"/>
    <cellStyle name="RIGs input totals 4 2 20 2" xfId="39757" xr:uid="{00000000-0005-0000-0000-0000259C0000}"/>
    <cellStyle name="RIGs input totals 4 2 21" xfId="39758" xr:uid="{00000000-0005-0000-0000-0000269C0000}"/>
    <cellStyle name="RIGs input totals 4 2 21 2" xfId="39759" xr:uid="{00000000-0005-0000-0000-0000279C0000}"/>
    <cellStyle name="RIGs input totals 4 2 22" xfId="39760" xr:uid="{00000000-0005-0000-0000-0000289C0000}"/>
    <cellStyle name="RIGs input totals 4 2 22 2" xfId="39761" xr:uid="{00000000-0005-0000-0000-0000299C0000}"/>
    <cellStyle name="RIGs input totals 4 2 23" xfId="39762" xr:uid="{00000000-0005-0000-0000-00002A9C0000}"/>
    <cellStyle name="RIGs input totals 4 2 23 2" xfId="39763" xr:uid="{00000000-0005-0000-0000-00002B9C0000}"/>
    <cellStyle name="RIGs input totals 4 2 24" xfId="39764" xr:uid="{00000000-0005-0000-0000-00002C9C0000}"/>
    <cellStyle name="RIGs input totals 4 2 24 2" xfId="39765" xr:uid="{00000000-0005-0000-0000-00002D9C0000}"/>
    <cellStyle name="RIGs input totals 4 2 25" xfId="39766" xr:uid="{00000000-0005-0000-0000-00002E9C0000}"/>
    <cellStyle name="RIGs input totals 4 2 25 2" xfId="39767" xr:uid="{00000000-0005-0000-0000-00002F9C0000}"/>
    <cellStyle name="RIGs input totals 4 2 26" xfId="39768" xr:uid="{00000000-0005-0000-0000-0000309C0000}"/>
    <cellStyle name="RIGs input totals 4 2 27" xfId="39769" xr:uid="{00000000-0005-0000-0000-0000319C0000}"/>
    <cellStyle name="RIGs input totals 4 2 28" xfId="39770" xr:uid="{00000000-0005-0000-0000-0000329C0000}"/>
    <cellStyle name="RIGs input totals 4 2 29" xfId="39771" xr:uid="{00000000-0005-0000-0000-0000339C0000}"/>
    <cellStyle name="RIGs input totals 4 2 3" xfId="39772" xr:uid="{00000000-0005-0000-0000-0000349C0000}"/>
    <cellStyle name="RIGs input totals 4 2 3 10" xfId="39773" xr:uid="{00000000-0005-0000-0000-0000359C0000}"/>
    <cellStyle name="RIGs input totals 4 2 3 11" xfId="39774" xr:uid="{00000000-0005-0000-0000-0000369C0000}"/>
    <cellStyle name="RIGs input totals 4 2 3 12" xfId="39775" xr:uid="{00000000-0005-0000-0000-0000379C0000}"/>
    <cellStyle name="RIGs input totals 4 2 3 13" xfId="39776" xr:uid="{00000000-0005-0000-0000-0000389C0000}"/>
    <cellStyle name="RIGs input totals 4 2 3 14" xfId="39777" xr:uid="{00000000-0005-0000-0000-0000399C0000}"/>
    <cellStyle name="RIGs input totals 4 2 3 15" xfId="39778" xr:uid="{00000000-0005-0000-0000-00003A9C0000}"/>
    <cellStyle name="RIGs input totals 4 2 3 16" xfId="39779" xr:uid="{00000000-0005-0000-0000-00003B9C0000}"/>
    <cellStyle name="RIGs input totals 4 2 3 17" xfId="39780" xr:uid="{00000000-0005-0000-0000-00003C9C0000}"/>
    <cellStyle name="RIGs input totals 4 2 3 18" xfId="39781" xr:uid="{00000000-0005-0000-0000-00003D9C0000}"/>
    <cellStyle name="RIGs input totals 4 2 3 19" xfId="39782" xr:uid="{00000000-0005-0000-0000-00003E9C0000}"/>
    <cellStyle name="RIGs input totals 4 2 3 2" xfId="39783" xr:uid="{00000000-0005-0000-0000-00003F9C0000}"/>
    <cellStyle name="RIGs input totals 4 2 3 2 10" xfId="39784" xr:uid="{00000000-0005-0000-0000-0000409C0000}"/>
    <cellStyle name="RIGs input totals 4 2 3 2 11" xfId="39785" xr:uid="{00000000-0005-0000-0000-0000419C0000}"/>
    <cellStyle name="RIGs input totals 4 2 3 2 12" xfId="39786" xr:uid="{00000000-0005-0000-0000-0000429C0000}"/>
    <cellStyle name="RIGs input totals 4 2 3 2 13" xfId="39787" xr:uid="{00000000-0005-0000-0000-0000439C0000}"/>
    <cellStyle name="RIGs input totals 4 2 3 2 2" xfId="39788" xr:uid="{00000000-0005-0000-0000-0000449C0000}"/>
    <cellStyle name="RIGs input totals 4 2 3 2 2 2" xfId="39789" xr:uid="{00000000-0005-0000-0000-0000459C0000}"/>
    <cellStyle name="RIGs input totals 4 2 3 2 2 3" xfId="39790" xr:uid="{00000000-0005-0000-0000-0000469C0000}"/>
    <cellStyle name="RIGs input totals 4 2 3 2 3" xfId="39791" xr:uid="{00000000-0005-0000-0000-0000479C0000}"/>
    <cellStyle name="RIGs input totals 4 2 3 2 3 2" xfId="39792" xr:uid="{00000000-0005-0000-0000-0000489C0000}"/>
    <cellStyle name="RIGs input totals 4 2 3 2 3 3" xfId="39793" xr:uid="{00000000-0005-0000-0000-0000499C0000}"/>
    <cellStyle name="RIGs input totals 4 2 3 2 4" xfId="39794" xr:uid="{00000000-0005-0000-0000-00004A9C0000}"/>
    <cellStyle name="RIGs input totals 4 2 3 2 5" xfId="39795" xr:uid="{00000000-0005-0000-0000-00004B9C0000}"/>
    <cellStyle name="RIGs input totals 4 2 3 2 6" xfId="39796" xr:uid="{00000000-0005-0000-0000-00004C9C0000}"/>
    <cellStyle name="RIGs input totals 4 2 3 2 7" xfId="39797" xr:uid="{00000000-0005-0000-0000-00004D9C0000}"/>
    <cellStyle name="RIGs input totals 4 2 3 2 8" xfId="39798" xr:uid="{00000000-0005-0000-0000-00004E9C0000}"/>
    <cellStyle name="RIGs input totals 4 2 3 2 9" xfId="39799" xr:uid="{00000000-0005-0000-0000-00004F9C0000}"/>
    <cellStyle name="RIGs input totals 4 2 3 20" xfId="39800" xr:uid="{00000000-0005-0000-0000-0000509C0000}"/>
    <cellStyle name="RIGs input totals 4 2 3 21" xfId="39801" xr:uid="{00000000-0005-0000-0000-0000519C0000}"/>
    <cellStyle name="RIGs input totals 4 2 3 22" xfId="39802" xr:uid="{00000000-0005-0000-0000-0000529C0000}"/>
    <cellStyle name="RIGs input totals 4 2 3 23" xfId="39803" xr:uid="{00000000-0005-0000-0000-0000539C0000}"/>
    <cellStyle name="RIGs input totals 4 2 3 24" xfId="39804" xr:uid="{00000000-0005-0000-0000-0000549C0000}"/>
    <cellStyle name="RIGs input totals 4 2 3 25" xfId="39805" xr:uid="{00000000-0005-0000-0000-0000559C0000}"/>
    <cellStyle name="RIGs input totals 4 2 3 26" xfId="39806" xr:uid="{00000000-0005-0000-0000-0000569C0000}"/>
    <cellStyle name="RIGs input totals 4 2 3 27" xfId="39807" xr:uid="{00000000-0005-0000-0000-0000579C0000}"/>
    <cellStyle name="RIGs input totals 4 2 3 28" xfId="39808" xr:uid="{00000000-0005-0000-0000-0000589C0000}"/>
    <cellStyle name="RIGs input totals 4 2 3 29" xfId="39809" xr:uid="{00000000-0005-0000-0000-0000599C0000}"/>
    <cellStyle name="RIGs input totals 4 2 3 3" xfId="39810" xr:uid="{00000000-0005-0000-0000-00005A9C0000}"/>
    <cellStyle name="RIGs input totals 4 2 3 3 2" xfId="39811" xr:uid="{00000000-0005-0000-0000-00005B9C0000}"/>
    <cellStyle name="RIGs input totals 4 2 3 3 3" xfId="39812" xr:uid="{00000000-0005-0000-0000-00005C9C0000}"/>
    <cellStyle name="RIGs input totals 4 2 3 30" xfId="39813" xr:uid="{00000000-0005-0000-0000-00005D9C0000}"/>
    <cellStyle name="RIGs input totals 4 2 3 31" xfId="39814" xr:uid="{00000000-0005-0000-0000-00005E9C0000}"/>
    <cellStyle name="RIGs input totals 4 2 3 32" xfId="39815" xr:uid="{00000000-0005-0000-0000-00005F9C0000}"/>
    <cellStyle name="RIGs input totals 4 2 3 33" xfId="39816" xr:uid="{00000000-0005-0000-0000-0000609C0000}"/>
    <cellStyle name="RIGs input totals 4 2 3 34" xfId="39817" xr:uid="{00000000-0005-0000-0000-0000619C0000}"/>
    <cellStyle name="RIGs input totals 4 2 3 4" xfId="39818" xr:uid="{00000000-0005-0000-0000-0000629C0000}"/>
    <cellStyle name="RIGs input totals 4 2 3 4 2" xfId="39819" xr:uid="{00000000-0005-0000-0000-0000639C0000}"/>
    <cellStyle name="RIGs input totals 4 2 3 4 3" xfId="39820" xr:uid="{00000000-0005-0000-0000-0000649C0000}"/>
    <cellStyle name="RIGs input totals 4 2 3 5" xfId="39821" xr:uid="{00000000-0005-0000-0000-0000659C0000}"/>
    <cellStyle name="RIGs input totals 4 2 3 6" xfId="39822" xr:uid="{00000000-0005-0000-0000-0000669C0000}"/>
    <cellStyle name="RIGs input totals 4 2 3 7" xfId="39823" xr:uid="{00000000-0005-0000-0000-0000679C0000}"/>
    <cellStyle name="RIGs input totals 4 2 3 8" xfId="39824" xr:uid="{00000000-0005-0000-0000-0000689C0000}"/>
    <cellStyle name="RIGs input totals 4 2 3 9" xfId="39825" xr:uid="{00000000-0005-0000-0000-0000699C0000}"/>
    <cellStyle name="RIGs input totals 4 2 30" xfId="39826" xr:uid="{00000000-0005-0000-0000-00006A9C0000}"/>
    <cellStyle name="RIGs input totals 4 2 31" xfId="39827" xr:uid="{00000000-0005-0000-0000-00006B9C0000}"/>
    <cellStyle name="RIGs input totals 4 2 32" xfId="39828" xr:uid="{00000000-0005-0000-0000-00006C9C0000}"/>
    <cellStyle name="RIGs input totals 4 2 33" xfId="39829" xr:uid="{00000000-0005-0000-0000-00006D9C0000}"/>
    <cellStyle name="RIGs input totals 4 2 34" xfId="39830" xr:uid="{00000000-0005-0000-0000-00006E9C0000}"/>
    <cellStyle name="RIGs input totals 4 2 35" xfId="39831" xr:uid="{00000000-0005-0000-0000-00006F9C0000}"/>
    <cellStyle name="RIGs input totals 4 2 36" xfId="39832" xr:uid="{00000000-0005-0000-0000-0000709C0000}"/>
    <cellStyle name="RIGs input totals 4 2 37" xfId="39833" xr:uid="{00000000-0005-0000-0000-0000719C0000}"/>
    <cellStyle name="RIGs input totals 4 2 38" xfId="39834" xr:uid="{00000000-0005-0000-0000-0000729C0000}"/>
    <cellStyle name="RIGs input totals 4 2 4" xfId="39835" xr:uid="{00000000-0005-0000-0000-0000739C0000}"/>
    <cellStyle name="RIGs input totals 4 2 4 10" xfId="39836" xr:uid="{00000000-0005-0000-0000-0000749C0000}"/>
    <cellStyle name="RIGs input totals 4 2 4 11" xfId="39837" xr:uid="{00000000-0005-0000-0000-0000759C0000}"/>
    <cellStyle name="RIGs input totals 4 2 4 12" xfId="39838" xr:uid="{00000000-0005-0000-0000-0000769C0000}"/>
    <cellStyle name="RIGs input totals 4 2 4 13" xfId="39839" xr:uid="{00000000-0005-0000-0000-0000779C0000}"/>
    <cellStyle name="RIGs input totals 4 2 4 14" xfId="39840" xr:uid="{00000000-0005-0000-0000-0000789C0000}"/>
    <cellStyle name="RIGs input totals 4 2 4 15" xfId="39841" xr:uid="{00000000-0005-0000-0000-0000799C0000}"/>
    <cellStyle name="RIGs input totals 4 2 4 16" xfId="39842" xr:uid="{00000000-0005-0000-0000-00007A9C0000}"/>
    <cellStyle name="RIGs input totals 4 2 4 17" xfId="39843" xr:uid="{00000000-0005-0000-0000-00007B9C0000}"/>
    <cellStyle name="RIGs input totals 4 2 4 18" xfId="39844" xr:uid="{00000000-0005-0000-0000-00007C9C0000}"/>
    <cellStyle name="RIGs input totals 4 2 4 19" xfId="39845" xr:uid="{00000000-0005-0000-0000-00007D9C0000}"/>
    <cellStyle name="RIGs input totals 4 2 4 2" xfId="39846" xr:uid="{00000000-0005-0000-0000-00007E9C0000}"/>
    <cellStyle name="RIGs input totals 4 2 4 2 10" xfId="39847" xr:uid="{00000000-0005-0000-0000-00007F9C0000}"/>
    <cellStyle name="RIGs input totals 4 2 4 2 11" xfId="39848" xr:uid="{00000000-0005-0000-0000-0000809C0000}"/>
    <cellStyle name="RIGs input totals 4 2 4 2 12" xfId="39849" xr:uid="{00000000-0005-0000-0000-0000819C0000}"/>
    <cellStyle name="RIGs input totals 4 2 4 2 13" xfId="39850" xr:uid="{00000000-0005-0000-0000-0000829C0000}"/>
    <cellStyle name="RIGs input totals 4 2 4 2 2" xfId="39851" xr:uid="{00000000-0005-0000-0000-0000839C0000}"/>
    <cellStyle name="RIGs input totals 4 2 4 2 2 2" xfId="39852" xr:uid="{00000000-0005-0000-0000-0000849C0000}"/>
    <cellStyle name="RIGs input totals 4 2 4 2 2 3" xfId="39853" xr:uid="{00000000-0005-0000-0000-0000859C0000}"/>
    <cellStyle name="RIGs input totals 4 2 4 2 3" xfId="39854" xr:uid="{00000000-0005-0000-0000-0000869C0000}"/>
    <cellStyle name="RIGs input totals 4 2 4 2 3 2" xfId="39855" xr:uid="{00000000-0005-0000-0000-0000879C0000}"/>
    <cellStyle name="RIGs input totals 4 2 4 2 3 3" xfId="39856" xr:uid="{00000000-0005-0000-0000-0000889C0000}"/>
    <cellStyle name="RIGs input totals 4 2 4 2 4" xfId="39857" xr:uid="{00000000-0005-0000-0000-0000899C0000}"/>
    <cellStyle name="RIGs input totals 4 2 4 2 5" xfId="39858" xr:uid="{00000000-0005-0000-0000-00008A9C0000}"/>
    <cellStyle name="RIGs input totals 4 2 4 2 6" xfId="39859" xr:uid="{00000000-0005-0000-0000-00008B9C0000}"/>
    <cellStyle name="RIGs input totals 4 2 4 2 7" xfId="39860" xr:uid="{00000000-0005-0000-0000-00008C9C0000}"/>
    <cellStyle name="RIGs input totals 4 2 4 2 8" xfId="39861" xr:uid="{00000000-0005-0000-0000-00008D9C0000}"/>
    <cellStyle name="RIGs input totals 4 2 4 2 9" xfId="39862" xr:uid="{00000000-0005-0000-0000-00008E9C0000}"/>
    <cellStyle name="RIGs input totals 4 2 4 20" xfId="39863" xr:uid="{00000000-0005-0000-0000-00008F9C0000}"/>
    <cellStyle name="RIGs input totals 4 2 4 21" xfId="39864" xr:uid="{00000000-0005-0000-0000-0000909C0000}"/>
    <cellStyle name="RIGs input totals 4 2 4 22" xfId="39865" xr:uid="{00000000-0005-0000-0000-0000919C0000}"/>
    <cellStyle name="RIGs input totals 4 2 4 23" xfId="39866" xr:uid="{00000000-0005-0000-0000-0000929C0000}"/>
    <cellStyle name="RIGs input totals 4 2 4 24" xfId="39867" xr:uid="{00000000-0005-0000-0000-0000939C0000}"/>
    <cellStyle name="RIGs input totals 4 2 4 25" xfId="39868" xr:uid="{00000000-0005-0000-0000-0000949C0000}"/>
    <cellStyle name="RIGs input totals 4 2 4 26" xfId="39869" xr:uid="{00000000-0005-0000-0000-0000959C0000}"/>
    <cellStyle name="RIGs input totals 4 2 4 27" xfId="39870" xr:uid="{00000000-0005-0000-0000-0000969C0000}"/>
    <cellStyle name="RIGs input totals 4 2 4 28" xfId="39871" xr:uid="{00000000-0005-0000-0000-0000979C0000}"/>
    <cellStyle name="RIGs input totals 4 2 4 29" xfId="39872" xr:uid="{00000000-0005-0000-0000-0000989C0000}"/>
    <cellStyle name="RIGs input totals 4 2 4 3" xfId="39873" xr:uid="{00000000-0005-0000-0000-0000999C0000}"/>
    <cellStyle name="RIGs input totals 4 2 4 3 2" xfId="39874" xr:uid="{00000000-0005-0000-0000-00009A9C0000}"/>
    <cellStyle name="RIGs input totals 4 2 4 3 3" xfId="39875" xr:uid="{00000000-0005-0000-0000-00009B9C0000}"/>
    <cellStyle name="RIGs input totals 4 2 4 30" xfId="39876" xr:uid="{00000000-0005-0000-0000-00009C9C0000}"/>
    <cellStyle name="RIGs input totals 4 2 4 31" xfId="39877" xr:uid="{00000000-0005-0000-0000-00009D9C0000}"/>
    <cellStyle name="RIGs input totals 4 2 4 32" xfId="39878" xr:uid="{00000000-0005-0000-0000-00009E9C0000}"/>
    <cellStyle name="RIGs input totals 4 2 4 33" xfId="39879" xr:uid="{00000000-0005-0000-0000-00009F9C0000}"/>
    <cellStyle name="RIGs input totals 4 2 4 34" xfId="39880" xr:uid="{00000000-0005-0000-0000-0000A09C0000}"/>
    <cellStyle name="RIGs input totals 4 2 4 4" xfId="39881" xr:uid="{00000000-0005-0000-0000-0000A19C0000}"/>
    <cellStyle name="RIGs input totals 4 2 4 4 2" xfId="39882" xr:uid="{00000000-0005-0000-0000-0000A29C0000}"/>
    <cellStyle name="RIGs input totals 4 2 4 4 3" xfId="39883" xr:uid="{00000000-0005-0000-0000-0000A39C0000}"/>
    <cellStyle name="RIGs input totals 4 2 4 5" xfId="39884" xr:uid="{00000000-0005-0000-0000-0000A49C0000}"/>
    <cellStyle name="RIGs input totals 4 2 4 6" xfId="39885" xr:uid="{00000000-0005-0000-0000-0000A59C0000}"/>
    <cellStyle name="RIGs input totals 4 2 4 7" xfId="39886" xr:uid="{00000000-0005-0000-0000-0000A69C0000}"/>
    <cellStyle name="RIGs input totals 4 2 4 8" xfId="39887" xr:uid="{00000000-0005-0000-0000-0000A79C0000}"/>
    <cellStyle name="RIGs input totals 4 2 4 9" xfId="39888" xr:uid="{00000000-0005-0000-0000-0000A89C0000}"/>
    <cellStyle name="RIGs input totals 4 2 5" xfId="39889" xr:uid="{00000000-0005-0000-0000-0000A99C0000}"/>
    <cellStyle name="RIGs input totals 4 2 5 10" xfId="39890" xr:uid="{00000000-0005-0000-0000-0000AA9C0000}"/>
    <cellStyle name="RIGs input totals 4 2 5 11" xfId="39891" xr:uid="{00000000-0005-0000-0000-0000AB9C0000}"/>
    <cellStyle name="RIGs input totals 4 2 5 12" xfId="39892" xr:uid="{00000000-0005-0000-0000-0000AC9C0000}"/>
    <cellStyle name="RIGs input totals 4 2 5 13" xfId="39893" xr:uid="{00000000-0005-0000-0000-0000AD9C0000}"/>
    <cellStyle name="RIGs input totals 4 2 5 2" xfId="39894" xr:uid="{00000000-0005-0000-0000-0000AE9C0000}"/>
    <cellStyle name="RIGs input totals 4 2 5 2 2" xfId="39895" xr:uid="{00000000-0005-0000-0000-0000AF9C0000}"/>
    <cellStyle name="RIGs input totals 4 2 5 2 3" xfId="39896" xr:uid="{00000000-0005-0000-0000-0000B09C0000}"/>
    <cellStyle name="RIGs input totals 4 2 5 3" xfId="39897" xr:uid="{00000000-0005-0000-0000-0000B19C0000}"/>
    <cellStyle name="RIGs input totals 4 2 5 3 2" xfId="39898" xr:uid="{00000000-0005-0000-0000-0000B29C0000}"/>
    <cellStyle name="RIGs input totals 4 2 5 3 3" xfId="39899" xr:uid="{00000000-0005-0000-0000-0000B39C0000}"/>
    <cellStyle name="RIGs input totals 4 2 5 4" xfId="39900" xr:uid="{00000000-0005-0000-0000-0000B49C0000}"/>
    <cellStyle name="RIGs input totals 4 2 5 5" xfId="39901" xr:uid="{00000000-0005-0000-0000-0000B59C0000}"/>
    <cellStyle name="RIGs input totals 4 2 5 6" xfId="39902" xr:uid="{00000000-0005-0000-0000-0000B69C0000}"/>
    <cellStyle name="RIGs input totals 4 2 5 7" xfId="39903" xr:uid="{00000000-0005-0000-0000-0000B79C0000}"/>
    <cellStyle name="RIGs input totals 4 2 5 8" xfId="39904" xr:uid="{00000000-0005-0000-0000-0000B89C0000}"/>
    <cellStyle name="RIGs input totals 4 2 5 9" xfId="39905" xr:uid="{00000000-0005-0000-0000-0000B99C0000}"/>
    <cellStyle name="RIGs input totals 4 2 6" xfId="39906" xr:uid="{00000000-0005-0000-0000-0000BA9C0000}"/>
    <cellStyle name="RIGs input totals 4 2 6 2" xfId="39907" xr:uid="{00000000-0005-0000-0000-0000BB9C0000}"/>
    <cellStyle name="RIGs input totals 4 2 6 2 2" xfId="39908" xr:uid="{00000000-0005-0000-0000-0000BC9C0000}"/>
    <cellStyle name="RIGs input totals 4 2 6 2 3" xfId="39909" xr:uid="{00000000-0005-0000-0000-0000BD9C0000}"/>
    <cellStyle name="RIGs input totals 4 2 6 3" xfId="39910" xr:uid="{00000000-0005-0000-0000-0000BE9C0000}"/>
    <cellStyle name="RIGs input totals 4 2 6 3 2" xfId="39911" xr:uid="{00000000-0005-0000-0000-0000BF9C0000}"/>
    <cellStyle name="RIGs input totals 4 2 6 4" xfId="39912" xr:uid="{00000000-0005-0000-0000-0000C09C0000}"/>
    <cellStyle name="RIGs input totals 4 2 7" xfId="39913" xr:uid="{00000000-0005-0000-0000-0000C19C0000}"/>
    <cellStyle name="RIGs input totals 4 2 7 2" xfId="39914" xr:uid="{00000000-0005-0000-0000-0000C29C0000}"/>
    <cellStyle name="RIGs input totals 4 2 8" xfId="39915" xr:uid="{00000000-0005-0000-0000-0000C39C0000}"/>
    <cellStyle name="RIGs input totals 4 2 8 2" xfId="39916" xr:uid="{00000000-0005-0000-0000-0000C49C0000}"/>
    <cellStyle name="RIGs input totals 4 2 9" xfId="39917" xr:uid="{00000000-0005-0000-0000-0000C59C0000}"/>
    <cellStyle name="RIGs input totals 4 2 9 2" xfId="39918" xr:uid="{00000000-0005-0000-0000-0000C69C0000}"/>
    <cellStyle name="RIGs input totals 4 2_4 28 1_Asst_Health_Crit_AllTO_RIIO_20110714pm" xfId="39919" xr:uid="{00000000-0005-0000-0000-0000C79C0000}"/>
    <cellStyle name="RIGs input totals 4 20" xfId="39920" xr:uid="{00000000-0005-0000-0000-0000C89C0000}"/>
    <cellStyle name="RIGs input totals 4 20 2" xfId="39921" xr:uid="{00000000-0005-0000-0000-0000C99C0000}"/>
    <cellStyle name="RIGs input totals 4 21" xfId="39922" xr:uid="{00000000-0005-0000-0000-0000CA9C0000}"/>
    <cellStyle name="RIGs input totals 4 21 2" xfId="39923" xr:uid="{00000000-0005-0000-0000-0000CB9C0000}"/>
    <cellStyle name="RIGs input totals 4 22" xfId="39924" xr:uid="{00000000-0005-0000-0000-0000CC9C0000}"/>
    <cellStyle name="RIGs input totals 4 22 2" xfId="39925" xr:uid="{00000000-0005-0000-0000-0000CD9C0000}"/>
    <cellStyle name="RIGs input totals 4 23" xfId="39926" xr:uid="{00000000-0005-0000-0000-0000CE9C0000}"/>
    <cellStyle name="RIGs input totals 4 23 2" xfId="39927" xr:uid="{00000000-0005-0000-0000-0000CF9C0000}"/>
    <cellStyle name="RIGs input totals 4 24" xfId="39928" xr:uid="{00000000-0005-0000-0000-0000D09C0000}"/>
    <cellStyle name="RIGs input totals 4 24 2" xfId="39929" xr:uid="{00000000-0005-0000-0000-0000D19C0000}"/>
    <cellStyle name="RIGs input totals 4 25" xfId="39930" xr:uid="{00000000-0005-0000-0000-0000D29C0000}"/>
    <cellStyle name="RIGs input totals 4 25 2" xfId="39931" xr:uid="{00000000-0005-0000-0000-0000D39C0000}"/>
    <cellStyle name="RIGs input totals 4 26" xfId="39932" xr:uid="{00000000-0005-0000-0000-0000D49C0000}"/>
    <cellStyle name="RIGs input totals 4 26 2" xfId="39933" xr:uid="{00000000-0005-0000-0000-0000D59C0000}"/>
    <cellStyle name="RIGs input totals 4 27" xfId="39934" xr:uid="{00000000-0005-0000-0000-0000D69C0000}"/>
    <cellStyle name="RIGs input totals 4 28" xfId="39935" xr:uid="{00000000-0005-0000-0000-0000D79C0000}"/>
    <cellStyle name="RIGs input totals 4 29" xfId="39936" xr:uid="{00000000-0005-0000-0000-0000D89C0000}"/>
    <cellStyle name="RIGs input totals 4 3" xfId="39937" xr:uid="{00000000-0005-0000-0000-0000D99C0000}"/>
    <cellStyle name="RIGs input totals 4 3 10" xfId="39938" xr:uid="{00000000-0005-0000-0000-0000DA9C0000}"/>
    <cellStyle name="RIGs input totals 4 3 11" xfId="39939" xr:uid="{00000000-0005-0000-0000-0000DB9C0000}"/>
    <cellStyle name="RIGs input totals 4 3 12" xfId="39940" xr:uid="{00000000-0005-0000-0000-0000DC9C0000}"/>
    <cellStyle name="RIGs input totals 4 3 13" xfId="39941" xr:uid="{00000000-0005-0000-0000-0000DD9C0000}"/>
    <cellStyle name="RIGs input totals 4 3 14" xfId="39942" xr:uid="{00000000-0005-0000-0000-0000DE9C0000}"/>
    <cellStyle name="RIGs input totals 4 3 15" xfId="39943" xr:uid="{00000000-0005-0000-0000-0000DF9C0000}"/>
    <cellStyle name="RIGs input totals 4 3 16" xfId="39944" xr:uid="{00000000-0005-0000-0000-0000E09C0000}"/>
    <cellStyle name="RIGs input totals 4 3 17" xfId="39945" xr:uid="{00000000-0005-0000-0000-0000E19C0000}"/>
    <cellStyle name="RIGs input totals 4 3 18" xfId="39946" xr:uid="{00000000-0005-0000-0000-0000E29C0000}"/>
    <cellStyle name="RIGs input totals 4 3 19" xfId="39947" xr:uid="{00000000-0005-0000-0000-0000E39C0000}"/>
    <cellStyle name="RIGs input totals 4 3 2" xfId="39948" xr:uid="{00000000-0005-0000-0000-0000E49C0000}"/>
    <cellStyle name="RIGs input totals 4 3 2 10" xfId="39949" xr:uid="{00000000-0005-0000-0000-0000E59C0000}"/>
    <cellStyle name="RIGs input totals 4 3 2 11" xfId="39950" xr:uid="{00000000-0005-0000-0000-0000E69C0000}"/>
    <cellStyle name="RIGs input totals 4 3 2 12" xfId="39951" xr:uid="{00000000-0005-0000-0000-0000E79C0000}"/>
    <cellStyle name="RIGs input totals 4 3 2 13" xfId="39952" xr:uid="{00000000-0005-0000-0000-0000E89C0000}"/>
    <cellStyle name="RIGs input totals 4 3 2 14" xfId="39953" xr:uid="{00000000-0005-0000-0000-0000E99C0000}"/>
    <cellStyle name="RIGs input totals 4 3 2 15" xfId="39954" xr:uid="{00000000-0005-0000-0000-0000EA9C0000}"/>
    <cellStyle name="RIGs input totals 4 3 2 16" xfId="39955" xr:uid="{00000000-0005-0000-0000-0000EB9C0000}"/>
    <cellStyle name="RIGs input totals 4 3 2 17" xfId="39956" xr:uid="{00000000-0005-0000-0000-0000EC9C0000}"/>
    <cellStyle name="RIGs input totals 4 3 2 18" xfId="39957" xr:uid="{00000000-0005-0000-0000-0000ED9C0000}"/>
    <cellStyle name="RIGs input totals 4 3 2 19" xfId="39958" xr:uid="{00000000-0005-0000-0000-0000EE9C0000}"/>
    <cellStyle name="RIGs input totals 4 3 2 2" xfId="39959" xr:uid="{00000000-0005-0000-0000-0000EF9C0000}"/>
    <cellStyle name="RIGs input totals 4 3 2 2 10" xfId="39960" xr:uid="{00000000-0005-0000-0000-0000F09C0000}"/>
    <cellStyle name="RIGs input totals 4 3 2 2 11" xfId="39961" xr:uid="{00000000-0005-0000-0000-0000F19C0000}"/>
    <cellStyle name="RIGs input totals 4 3 2 2 12" xfId="39962" xr:uid="{00000000-0005-0000-0000-0000F29C0000}"/>
    <cellStyle name="RIGs input totals 4 3 2 2 13" xfId="39963" xr:uid="{00000000-0005-0000-0000-0000F39C0000}"/>
    <cellStyle name="RIGs input totals 4 3 2 2 2" xfId="39964" xr:uid="{00000000-0005-0000-0000-0000F49C0000}"/>
    <cellStyle name="RIGs input totals 4 3 2 2 2 2" xfId="39965" xr:uid="{00000000-0005-0000-0000-0000F59C0000}"/>
    <cellStyle name="RIGs input totals 4 3 2 2 2 3" xfId="39966" xr:uid="{00000000-0005-0000-0000-0000F69C0000}"/>
    <cellStyle name="RIGs input totals 4 3 2 2 3" xfId="39967" xr:uid="{00000000-0005-0000-0000-0000F79C0000}"/>
    <cellStyle name="RIGs input totals 4 3 2 2 3 2" xfId="39968" xr:uid="{00000000-0005-0000-0000-0000F89C0000}"/>
    <cellStyle name="RIGs input totals 4 3 2 2 3 3" xfId="39969" xr:uid="{00000000-0005-0000-0000-0000F99C0000}"/>
    <cellStyle name="RIGs input totals 4 3 2 2 4" xfId="39970" xr:uid="{00000000-0005-0000-0000-0000FA9C0000}"/>
    <cellStyle name="RIGs input totals 4 3 2 2 5" xfId="39971" xr:uid="{00000000-0005-0000-0000-0000FB9C0000}"/>
    <cellStyle name="RIGs input totals 4 3 2 2 6" xfId="39972" xr:uid="{00000000-0005-0000-0000-0000FC9C0000}"/>
    <cellStyle name="RIGs input totals 4 3 2 2 7" xfId="39973" xr:uid="{00000000-0005-0000-0000-0000FD9C0000}"/>
    <cellStyle name="RIGs input totals 4 3 2 2 8" xfId="39974" xr:uid="{00000000-0005-0000-0000-0000FE9C0000}"/>
    <cellStyle name="RIGs input totals 4 3 2 2 9" xfId="39975" xr:uid="{00000000-0005-0000-0000-0000FF9C0000}"/>
    <cellStyle name="RIGs input totals 4 3 2 20" xfId="39976" xr:uid="{00000000-0005-0000-0000-0000009D0000}"/>
    <cellStyle name="RIGs input totals 4 3 2 21" xfId="39977" xr:uid="{00000000-0005-0000-0000-0000019D0000}"/>
    <cellStyle name="RIGs input totals 4 3 2 22" xfId="39978" xr:uid="{00000000-0005-0000-0000-0000029D0000}"/>
    <cellStyle name="RIGs input totals 4 3 2 23" xfId="39979" xr:uid="{00000000-0005-0000-0000-0000039D0000}"/>
    <cellStyle name="RIGs input totals 4 3 2 24" xfId="39980" xr:uid="{00000000-0005-0000-0000-0000049D0000}"/>
    <cellStyle name="RIGs input totals 4 3 2 25" xfId="39981" xr:uid="{00000000-0005-0000-0000-0000059D0000}"/>
    <cellStyle name="RIGs input totals 4 3 2 26" xfId="39982" xr:uid="{00000000-0005-0000-0000-0000069D0000}"/>
    <cellStyle name="RIGs input totals 4 3 2 27" xfId="39983" xr:uid="{00000000-0005-0000-0000-0000079D0000}"/>
    <cellStyle name="RIGs input totals 4 3 2 28" xfId="39984" xr:uid="{00000000-0005-0000-0000-0000089D0000}"/>
    <cellStyle name="RIGs input totals 4 3 2 29" xfId="39985" xr:uid="{00000000-0005-0000-0000-0000099D0000}"/>
    <cellStyle name="RIGs input totals 4 3 2 3" xfId="39986" xr:uid="{00000000-0005-0000-0000-00000A9D0000}"/>
    <cellStyle name="RIGs input totals 4 3 2 3 2" xfId="39987" xr:uid="{00000000-0005-0000-0000-00000B9D0000}"/>
    <cellStyle name="RIGs input totals 4 3 2 3 3" xfId="39988" xr:uid="{00000000-0005-0000-0000-00000C9D0000}"/>
    <cellStyle name="RIGs input totals 4 3 2 30" xfId="39989" xr:uid="{00000000-0005-0000-0000-00000D9D0000}"/>
    <cellStyle name="RIGs input totals 4 3 2 31" xfId="39990" xr:uid="{00000000-0005-0000-0000-00000E9D0000}"/>
    <cellStyle name="RIGs input totals 4 3 2 32" xfId="39991" xr:uid="{00000000-0005-0000-0000-00000F9D0000}"/>
    <cellStyle name="RIGs input totals 4 3 2 33" xfId="39992" xr:uid="{00000000-0005-0000-0000-0000109D0000}"/>
    <cellStyle name="RIGs input totals 4 3 2 34" xfId="39993" xr:uid="{00000000-0005-0000-0000-0000119D0000}"/>
    <cellStyle name="RIGs input totals 4 3 2 4" xfId="39994" xr:uid="{00000000-0005-0000-0000-0000129D0000}"/>
    <cellStyle name="RIGs input totals 4 3 2 4 2" xfId="39995" xr:uid="{00000000-0005-0000-0000-0000139D0000}"/>
    <cellStyle name="RIGs input totals 4 3 2 4 3" xfId="39996" xr:uid="{00000000-0005-0000-0000-0000149D0000}"/>
    <cellStyle name="RIGs input totals 4 3 2 5" xfId="39997" xr:uid="{00000000-0005-0000-0000-0000159D0000}"/>
    <cellStyle name="RIGs input totals 4 3 2 6" xfId="39998" xr:uid="{00000000-0005-0000-0000-0000169D0000}"/>
    <cellStyle name="RIGs input totals 4 3 2 7" xfId="39999" xr:uid="{00000000-0005-0000-0000-0000179D0000}"/>
    <cellStyle name="RIGs input totals 4 3 2 8" xfId="40000" xr:uid="{00000000-0005-0000-0000-0000189D0000}"/>
    <cellStyle name="RIGs input totals 4 3 2 9" xfId="40001" xr:uid="{00000000-0005-0000-0000-0000199D0000}"/>
    <cellStyle name="RIGs input totals 4 3 20" xfId="40002" xr:uid="{00000000-0005-0000-0000-00001A9D0000}"/>
    <cellStyle name="RIGs input totals 4 3 21" xfId="40003" xr:uid="{00000000-0005-0000-0000-00001B9D0000}"/>
    <cellStyle name="RIGs input totals 4 3 22" xfId="40004" xr:uid="{00000000-0005-0000-0000-00001C9D0000}"/>
    <cellStyle name="RIGs input totals 4 3 23" xfId="40005" xr:uid="{00000000-0005-0000-0000-00001D9D0000}"/>
    <cellStyle name="RIGs input totals 4 3 24" xfId="40006" xr:uid="{00000000-0005-0000-0000-00001E9D0000}"/>
    <cellStyle name="RIGs input totals 4 3 25" xfId="40007" xr:uid="{00000000-0005-0000-0000-00001F9D0000}"/>
    <cellStyle name="RIGs input totals 4 3 26" xfId="40008" xr:uid="{00000000-0005-0000-0000-0000209D0000}"/>
    <cellStyle name="RIGs input totals 4 3 27" xfId="40009" xr:uid="{00000000-0005-0000-0000-0000219D0000}"/>
    <cellStyle name="RIGs input totals 4 3 28" xfId="40010" xr:uid="{00000000-0005-0000-0000-0000229D0000}"/>
    <cellStyle name="RIGs input totals 4 3 29" xfId="40011" xr:uid="{00000000-0005-0000-0000-0000239D0000}"/>
    <cellStyle name="RIGs input totals 4 3 3" xfId="40012" xr:uid="{00000000-0005-0000-0000-0000249D0000}"/>
    <cellStyle name="RIGs input totals 4 3 3 10" xfId="40013" xr:uid="{00000000-0005-0000-0000-0000259D0000}"/>
    <cellStyle name="RIGs input totals 4 3 3 11" xfId="40014" xr:uid="{00000000-0005-0000-0000-0000269D0000}"/>
    <cellStyle name="RIGs input totals 4 3 3 12" xfId="40015" xr:uid="{00000000-0005-0000-0000-0000279D0000}"/>
    <cellStyle name="RIGs input totals 4 3 3 13" xfId="40016" xr:uid="{00000000-0005-0000-0000-0000289D0000}"/>
    <cellStyle name="RIGs input totals 4 3 3 2" xfId="40017" xr:uid="{00000000-0005-0000-0000-0000299D0000}"/>
    <cellStyle name="RIGs input totals 4 3 3 2 2" xfId="40018" xr:uid="{00000000-0005-0000-0000-00002A9D0000}"/>
    <cellStyle name="RIGs input totals 4 3 3 2 3" xfId="40019" xr:uid="{00000000-0005-0000-0000-00002B9D0000}"/>
    <cellStyle name="RIGs input totals 4 3 3 3" xfId="40020" xr:uid="{00000000-0005-0000-0000-00002C9D0000}"/>
    <cellStyle name="RIGs input totals 4 3 3 3 2" xfId="40021" xr:uid="{00000000-0005-0000-0000-00002D9D0000}"/>
    <cellStyle name="RIGs input totals 4 3 3 3 3" xfId="40022" xr:uid="{00000000-0005-0000-0000-00002E9D0000}"/>
    <cellStyle name="RIGs input totals 4 3 3 4" xfId="40023" xr:uid="{00000000-0005-0000-0000-00002F9D0000}"/>
    <cellStyle name="RIGs input totals 4 3 3 5" xfId="40024" xr:uid="{00000000-0005-0000-0000-0000309D0000}"/>
    <cellStyle name="RIGs input totals 4 3 3 6" xfId="40025" xr:uid="{00000000-0005-0000-0000-0000319D0000}"/>
    <cellStyle name="RIGs input totals 4 3 3 7" xfId="40026" xr:uid="{00000000-0005-0000-0000-0000329D0000}"/>
    <cellStyle name="RIGs input totals 4 3 3 8" xfId="40027" xr:uid="{00000000-0005-0000-0000-0000339D0000}"/>
    <cellStyle name="RIGs input totals 4 3 3 9" xfId="40028" xr:uid="{00000000-0005-0000-0000-0000349D0000}"/>
    <cellStyle name="RIGs input totals 4 3 30" xfId="40029" xr:uid="{00000000-0005-0000-0000-0000359D0000}"/>
    <cellStyle name="RIGs input totals 4 3 31" xfId="40030" xr:uid="{00000000-0005-0000-0000-0000369D0000}"/>
    <cellStyle name="RIGs input totals 4 3 32" xfId="40031" xr:uid="{00000000-0005-0000-0000-0000379D0000}"/>
    <cellStyle name="RIGs input totals 4 3 33" xfId="40032" xr:uid="{00000000-0005-0000-0000-0000389D0000}"/>
    <cellStyle name="RIGs input totals 4 3 34" xfId="40033" xr:uid="{00000000-0005-0000-0000-0000399D0000}"/>
    <cellStyle name="RIGs input totals 4 3 35" xfId="40034" xr:uid="{00000000-0005-0000-0000-00003A9D0000}"/>
    <cellStyle name="RIGs input totals 4 3 4" xfId="40035" xr:uid="{00000000-0005-0000-0000-00003B9D0000}"/>
    <cellStyle name="RIGs input totals 4 3 4 2" xfId="40036" xr:uid="{00000000-0005-0000-0000-00003C9D0000}"/>
    <cellStyle name="RIGs input totals 4 3 4 3" xfId="40037" xr:uid="{00000000-0005-0000-0000-00003D9D0000}"/>
    <cellStyle name="RIGs input totals 4 3 5" xfId="40038" xr:uid="{00000000-0005-0000-0000-00003E9D0000}"/>
    <cellStyle name="RIGs input totals 4 3 5 2" xfId="40039" xr:uid="{00000000-0005-0000-0000-00003F9D0000}"/>
    <cellStyle name="RIGs input totals 4 3 5 3" xfId="40040" xr:uid="{00000000-0005-0000-0000-0000409D0000}"/>
    <cellStyle name="RIGs input totals 4 3 6" xfId="40041" xr:uid="{00000000-0005-0000-0000-0000419D0000}"/>
    <cellStyle name="RIGs input totals 4 3 7" xfId="40042" xr:uid="{00000000-0005-0000-0000-0000429D0000}"/>
    <cellStyle name="RIGs input totals 4 3 8" xfId="40043" xr:uid="{00000000-0005-0000-0000-0000439D0000}"/>
    <cellStyle name="RIGs input totals 4 3 9" xfId="40044" xr:uid="{00000000-0005-0000-0000-0000449D0000}"/>
    <cellStyle name="RIGs input totals 4 3_4 28 1_Asst_Health_Crit_AllTO_RIIO_20110714pm" xfId="40045" xr:uid="{00000000-0005-0000-0000-0000459D0000}"/>
    <cellStyle name="RIGs input totals 4 30" xfId="40046" xr:uid="{00000000-0005-0000-0000-0000469D0000}"/>
    <cellStyle name="RIGs input totals 4 31" xfId="40047" xr:uid="{00000000-0005-0000-0000-0000479D0000}"/>
    <cellStyle name="RIGs input totals 4 32" xfId="40048" xr:uid="{00000000-0005-0000-0000-0000489D0000}"/>
    <cellStyle name="RIGs input totals 4 33" xfId="40049" xr:uid="{00000000-0005-0000-0000-0000499D0000}"/>
    <cellStyle name="RIGs input totals 4 34" xfId="40050" xr:uid="{00000000-0005-0000-0000-00004A9D0000}"/>
    <cellStyle name="RIGs input totals 4 35" xfId="40051" xr:uid="{00000000-0005-0000-0000-00004B9D0000}"/>
    <cellStyle name="RIGs input totals 4 36" xfId="40052" xr:uid="{00000000-0005-0000-0000-00004C9D0000}"/>
    <cellStyle name="RIGs input totals 4 37" xfId="40053" xr:uid="{00000000-0005-0000-0000-00004D9D0000}"/>
    <cellStyle name="RIGs input totals 4 38" xfId="40054" xr:uid="{00000000-0005-0000-0000-00004E9D0000}"/>
    <cellStyle name="RIGs input totals 4 39" xfId="40055" xr:uid="{00000000-0005-0000-0000-00004F9D0000}"/>
    <cellStyle name="RIGs input totals 4 4" xfId="40056" xr:uid="{00000000-0005-0000-0000-0000509D0000}"/>
    <cellStyle name="RIGs input totals 4 4 10" xfId="40057" xr:uid="{00000000-0005-0000-0000-0000519D0000}"/>
    <cellStyle name="RIGs input totals 4 4 11" xfId="40058" xr:uid="{00000000-0005-0000-0000-0000529D0000}"/>
    <cellStyle name="RIGs input totals 4 4 12" xfId="40059" xr:uid="{00000000-0005-0000-0000-0000539D0000}"/>
    <cellStyle name="RIGs input totals 4 4 13" xfId="40060" xr:uid="{00000000-0005-0000-0000-0000549D0000}"/>
    <cellStyle name="RIGs input totals 4 4 14" xfId="40061" xr:uid="{00000000-0005-0000-0000-0000559D0000}"/>
    <cellStyle name="RIGs input totals 4 4 15" xfId="40062" xr:uid="{00000000-0005-0000-0000-0000569D0000}"/>
    <cellStyle name="RIGs input totals 4 4 16" xfId="40063" xr:uid="{00000000-0005-0000-0000-0000579D0000}"/>
    <cellStyle name="RIGs input totals 4 4 17" xfId="40064" xr:uid="{00000000-0005-0000-0000-0000589D0000}"/>
    <cellStyle name="RIGs input totals 4 4 18" xfId="40065" xr:uid="{00000000-0005-0000-0000-0000599D0000}"/>
    <cellStyle name="RIGs input totals 4 4 19" xfId="40066" xr:uid="{00000000-0005-0000-0000-00005A9D0000}"/>
    <cellStyle name="RIGs input totals 4 4 2" xfId="40067" xr:uid="{00000000-0005-0000-0000-00005B9D0000}"/>
    <cellStyle name="RIGs input totals 4 4 2 10" xfId="40068" xr:uid="{00000000-0005-0000-0000-00005C9D0000}"/>
    <cellStyle name="RIGs input totals 4 4 2 11" xfId="40069" xr:uid="{00000000-0005-0000-0000-00005D9D0000}"/>
    <cellStyle name="RIGs input totals 4 4 2 12" xfId="40070" xr:uid="{00000000-0005-0000-0000-00005E9D0000}"/>
    <cellStyle name="RIGs input totals 4 4 2 13" xfId="40071" xr:uid="{00000000-0005-0000-0000-00005F9D0000}"/>
    <cellStyle name="RIGs input totals 4 4 2 2" xfId="40072" xr:uid="{00000000-0005-0000-0000-0000609D0000}"/>
    <cellStyle name="RIGs input totals 4 4 2 2 2" xfId="40073" xr:uid="{00000000-0005-0000-0000-0000619D0000}"/>
    <cellStyle name="RIGs input totals 4 4 2 2 3" xfId="40074" xr:uid="{00000000-0005-0000-0000-0000629D0000}"/>
    <cellStyle name="RIGs input totals 4 4 2 3" xfId="40075" xr:uid="{00000000-0005-0000-0000-0000639D0000}"/>
    <cellStyle name="RIGs input totals 4 4 2 3 2" xfId="40076" xr:uid="{00000000-0005-0000-0000-0000649D0000}"/>
    <cellStyle name="RIGs input totals 4 4 2 3 3" xfId="40077" xr:uid="{00000000-0005-0000-0000-0000659D0000}"/>
    <cellStyle name="RIGs input totals 4 4 2 4" xfId="40078" xr:uid="{00000000-0005-0000-0000-0000669D0000}"/>
    <cellStyle name="RIGs input totals 4 4 2 5" xfId="40079" xr:uid="{00000000-0005-0000-0000-0000679D0000}"/>
    <cellStyle name="RIGs input totals 4 4 2 6" xfId="40080" xr:uid="{00000000-0005-0000-0000-0000689D0000}"/>
    <cellStyle name="RIGs input totals 4 4 2 7" xfId="40081" xr:uid="{00000000-0005-0000-0000-0000699D0000}"/>
    <cellStyle name="RIGs input totals 4 4 2 8" xfId="40082" xr:uid="{00000000-0005-0000-0000-00006A9D0000}"/>
    <cellStyle name="RIGs input totals 4 4 2 9" xfId="40083" xr:uid="{00000000-0005-0000-0000-00006B9D0000}"/>
    <cellStyle name="RIGs input totals 4 4 20" xfId="40084" xr:uid="{00000000-0005-0000-0000-00006C9D0000}"/>
    <cellStyle name="RIGs input totals 4 4 21" xfId="40085" xr:uid="{00000000-0005-0000-0000-00006D9D0000}"/>
    <cellStyle name="RIGs input totals 4 4 22" xfId="40086" xr:uid="{00000000-0005-0000-0000-00006E9D0000}"/>
    <cellStyle name="RIGs input totals 4 4 23" xfId="40087" xr:uid="{00000000-0005-0000-0000-00006F9D0000}"/>
    <cellStyle name="RIGs input totals 4 4 24" xfId="40088" xr:uid="{00000000-0005-0000-0000-0000709D0000}"/>
    <cellStyle name="RIGs input totals 4 4 25" xfId="40089" xr:uid="{00000000-0005-0000-0000-0000719D0000}"/>
    <cellStyle name="RIGs input totals 4 4 26" xfId="40090" xr:uid="{00000000-0005-0000-0000-0000729D0000}"/>
    <cellStyle name="RIGs input totals 4 4 27" xfId="40091" xr:uid="{00000000-0005-0000-0000-0000739D0000}"/>
    <cellStyle name="RIGs input totals 4 4 28" xfId="40092" xr:uid="{00000000-0005-0000-0000-0000749D0000}"/>
    <cellStyle name="RIGs input totals 4 4 29" xfId="40093" xr:uid="{00000000-0005-0000-0000-0000759D0000}"/>
    <cellStyle name="RIGs input totals 4 4 3" xfId="40094" xr:uid="{00000000-0005-0000-0000-0000769D0000}"/>
    <cellStyle name="RIGs input totals 4 4 3 2" xfId="40095" xr:uid="{00000000-0005-0000-0000-0000779D0000}"/>
    <cellStyle name="RIGs input totals 4 4 3 3" xfId="40096" xr:uid="{00000000-0005-0000-0000-0000789D0000}"/>
    <cellStyle name="RIGs input totals 4 4 30" xfId="40097" xr:uid="{00000000-0005-0000-0000-0000799D0000}"/>
    <cellStyle name="RIGs input totals 4 4 31" xfId="40098" xr:uid="{00000000-0005-0000-0000-00007A9D0000}"/>
    <cellStyle name="RIGs input totals 4 4 32" xfId="40099" xr:uid="{00000000-0005-0000-0000-00007B9D0000}"/>
    <cellStyle name="RIGs input totals 4 4 33" xfId="40100" xr:uid="{00000000-0005-0000-0000-00007C9D0000}"/>
    <cellStyle name="RIGs input totals 4 4 34" xfId="40101" xr:uid="{00000000-0005-0000-0000-00007D9D0000}"/>
    <cellStyle name="RIGs input totals 4 4 4" xfId="40102" xr:uid="{00000000-0005-0000-0000-00007E9D0000}"/>
    <cellStyle name="RIGs input totals 4 4 4 2" xfId="40103" xr:uid="{00000000-0005-0000-0000-00007F9D0000}"/>
    <cellStyle name="RIGs input totals 4 4 4 3" xfId="40104" xr:uid="{00000000-0005-0000-0000-0000809D0000}"/>
    <cellStyle name="RIGs input totals 4 4 5" xfId="40105" xr:uid="{00000000-0005-0000-0000-0000819D0000}"/>
    <cellStyle name="RIGs input totals 4 4 6" xfId="40106" xr:uid="{00000000-0005-0000-0000-0000829D0000}"/>
    <cellStyle name="RIGs input totals 4 4 7" xfId="40107" xr:uid="{00000000-0005-0000-0000-0000839D0000}"/>
    <cellStyle name="RIGs input totals 4 4 8" xfId="40108" xr:uid="{00000000-0005-0000-0000-0000849D0000}"/>
    <cellStyle name="RIGs input totals 4 4 9" xfId="40109" xr:uid="{00000000-0005-0000-0000-0000859D0000}"/>
    <cellStyle name="RIGs input totals 4 5" xfId="40110" xr:uid="{00000000-0005-0000-0000-0000869D0000}"/>
    <cellStyle name="RIGs input totals 4 5 10" xfId="40111" xr:uid="{00000000-0005-0000-0000-0000879D0000}"/>
    <cellStyle name="RIGs input totals 4 5 11" xfId="40112" xr:uid="{00000000-0005-0000-0000-0000889D0000}"/>
    <cellStyle name="RIGs input totals 4 5 12" xfId="40113" xr:uid="{00000000-0005-0000-0000-0000899D0000}"/>
    <cellStyle name="RIGs input totals 4 5 13" xfId="40114" xr:uid="{00000000-0005-0000-0000-00008A9D0000}"/>
    <cellStyle name="RIGs input totals 4 5 14" xfId="40115" xr:uid="{00000000-0005-0000-0000-00008B9D0000}"/>
    <cellStyle name="RIGs input totals 4 5 15" xfId="40116" xr:uid="{00000000-0005-0000-0000-00008C9D0000}"/>
    <cellStyle name="RIGs input totals 4 5 16" xfId="40117" xr:uid="{00000000-0005-0000-0000-00008D9D0000}"/>
    <cellStyle name="RIGs input totals 4 5 17" xfId="40118" xr:uid="{00000000-0005-0000-0000-00008E9D0000}"/>
    <cellStyle name="RIGs input totals 4 5 18" xfId="40119" xr:uid="{00000000-0005-0000-0000-00008F9D0000}"/>
    <cellStyle name="RIGs input totals 4 5 19" xfId="40120" xr:uid="{00000000-0005-0000-0000-0000909D0000}"/>
    <cellStyle name="RIGs input totals 4 5 2" xfId="40121" xr:uid="{00000000-0005-0000-0000-0000919D0000}"/>
    <cellStyle name="RIGs input totals 4 5 2 10" xfId="40122" xr:uid="{00000000-0005-0000-0000-0000929D0000}"/>
    <cellStyle name="RIGs input totals 4 5 2 11" xfId="40123" xr:uid="{00000000-0005-0000-0000-0000939D0000}"/>
    <cellStyle name="RIGs input totals 4 5 2 12" xfId="40124" xr:uid="{00000000-0005-0000-0000-0000949D0000}"/>
    <cellStyle name="RIGs input totals 4 5 2 13" xfId="40125" xr:uid="{00000000-0005-0000-0000-0000959D0000}"/>
    <cellStyle name="RIGs input totals 4 5 2 2" xfId="40126" xr:uid="{00000000-0005-0000-0000-0000969D0000}"/>
    <cellStyle name="RIGs input totals 4 5 2 2 2" xfId="40127" xr:uid="{00000000-0005-0000-0000-0000979D0000}"/>
    <cellStyle name="RIGs input totals 4 5 2 2 3" xfId="40128" xr:uid="{00000000-0005-0000-0000-0000989D0000}"/>
    <cellStyle name="RIGs input totals 4 5 2 3" xfId="40129" xr:uid="{00000000-0005-0000-0000-0000999D0000}"/>
    <cellStyle name="RIGs input totals 4 5 2 3 2" xfId="40130" xr:uid="{00000000-0005-0000-0000-00009A9D0000}"/>
    <cellStyle name="RIGs input totals 4 5 2 3 3" xfId="40131" xr:uid="{00000000-0005-0000-0000-00009B9D0000}"/>
    <cellStyle name="RIGs input totals 4 5 2 4" xfId="40132" xr:uid="{00000000-0005-0000-0000-00009C9D0000}"/>
    <cellStyle name="RIGs input totals 4 5 2 5" xfId="40133" xr:uid="{00000000-0005-0000-0000-00009D9D0000}"/>
    <cellStyle name="RIGs input totals 4 5 2 6" xfId="40134" xr:uid="{00000000-0005-0000-0000-00009E9D0000}"/>
    <cellStyle name="RIGs input totals 4 5 2 7" xfId="40135" xr:uid="{00000000-0005-0000-0000-00009F9D0000}"/>
    <cellStyle name="RIGs input totals 4 5 2 8" xfId="40136" xr:uid="{00000000-0005-0000-0000-0000A09D0000}"/>
    <cellStyle name="RIGs input totals 4 5 2 9" xfId="40137" xr:uid="{00000000-0005-0000-0000-0000A19D0000}"/>
    <cellStyle name="RIGs input totals 4 5 20" xfId="40138" xr:uid="{00000000-0005-0000-0000-0000A29D0000}"/>
    <cellStyle name="RIGs input totals 4 5 21" xfId="40139" xr:uid="{00000000-0005-0000-0000-0000A39D0000}"/>
    <cellStyle name="RIGs input totals 4 5 22" xfId="40140" xr:uid="{00000000-0005-0000-0000-0000A49D0000}"/>
    <cellStyle name="RIGs input totals 4 5 23" xfId="40141" xr:uid="{00000000-0005-0000-0000-0000A59D0000}"/>
    <cellStyle name="RIGs input totals 4 5 24" xfId="40142" xr:uid="{00000000-0005-0000-0000-0000A69D0000}"/>
    <cellStyle name="RIGs input totals 4 5 25" xfId="40143" xr:uid="{00000000-0005-0000-0000-0000A79D0000}"/>
    <cellStyle name="RIGs input totals 4 5 26" xfId="40144" xr:uid="{00000000-0005-0000-0000-0000A89D0000}"/>
    <cellStyle name="RIGs input totals 4 5 27" xfId="40145" xr:uid="{00000000-0005-0000-0000-0000A99D0000}"/>
    <cellStyle name="RIGs input totals 4 5 28" xfId="40146" xr:uid="{00000000-0005-0000-0000-0000AA9D0000}"/>
    <cellStyle name="RIGs input totals 4 5 29" xfId="40147" xr:uid="{00000000-0005-0000-0000-0000AB9D0000}"/>
    <cellStyle name="RIGs input totals 4 5 3" xfId="40148" xr:uid="{00000000-0005-0000-0000-0000AC9D0000}"/>
    <cellStyle name="RIGs input totals 4 5 3 2" xfId="40149" xr:uid="{00000000-0005-0000-0000-0000AD9D0000}"/>
    <cellStyle name="RIGs input totals 4 5 3 3" xfId="40150" xr:uid="{00000000-0005-0000-0000-0000AE9D0000}"/>
    <cellStyle name="RIGs input totals 4 5 30" xfId="40151" xr:uid="{00000000-0005-0000-0000-0000AF9D0000}"/>
    <cellStyle name="RIGs input totals 4 5 31" xfId="40152" xr:uid="{00000000-0005-0000-0000-0000B09D0000}"/>
    <cellStyle name="RIGs input totals 4 5 32" xfId="40153" xr:uid="{00000000-0005-0000-0000-0000B19D0000}"/>
    <cellStyle name="RIGs input totals 4 5 33" xfId="40154" xr:uid="{00000000-0005-0000-0000-0000B29D0000}"/>
    <cellStyle name="RIGs input totals 4 5 34" xfId="40155" xr:uid="{00000000-0005-0000-0000-0000B39D0000}"/>
    <cellStyle name="RIGs input totals 4 5 4" xfId="40156" xr:uid="{00000000-0005-0000-0000-0000B49D0000}"/>
    <cellStyle name="RIGs input totals 4 5 4 2" xfId="40157" xr:uid="{00000000-0005-0000-0000-0000B59D0000}"/>
    <cellStyle name="RIGs input totals 4 5 4 3" xfId="40158" xr:uid="{00000000-0005-0000-0000-0000B69D0000}"/>
    <cellStyle name="RIGs input totals 4 5 5" xfId="40159" xr:uid="{00000000-0005-0000-0000-0000B79D0000}"/>
    <cellStyle name="RIGs input totals 4 5 6" xfId="40160" xr:uid="{00000000-0005-0000-0000-0000B89D0000}"/>
    <cellStyle name="RIGs input totals 4 5 7" xfId="40161" xr:uid="{00000000-0005-0000-0000-0000B99D0000}"/>
    <cellStyle name="RIGs input totals 4 5 8" xfId="40162" xr:uid="{00000000-0005-0000-0000-0000BA9D0000}"/>
    <cellStyle name="RIGs input totals 4 5 9" xfId="40163" xr:uid="{00000000-0005-0000-0000-0000BB9D0000}"/>
    <cellStyle name="RIGs input totals 4 6" xfId="40164" xr:uid="{00000000-0005-0000-0000-0000BC9D0000}"/>
    <cellStyle name="RIGs input totals 4 6 10" xfId="40165" xr:uid="{00000000-0005-0000-0000-0000BD9D0000}"/>
    <cellStyle name="RIGs input totals 4 6 11" xfId="40166" xr:uid="{00000000-0005-0000-0000-0000BE9D0000}"/>
    <cellStyle name="RIGs input totals 4 6 12" xfId="40167" xr:uid="{00000000-0005-0000-0000-0000BF9D0000}"/>
    <cellStyle name="RIGs input totals 4 6 13" xfId="40168" xr:uid="{00000000-0005-0000-0000-0000C09D0000}"/>
    <cellStyle name="RIGs input totals 4 6 2" xfId="40169" xr:uid="{00000000-0005-0000-0000-0000C19D0000}"/>
    <cellStyle name="RIGs input totals 4 6 2 2" xfId="40170" xr:uid="{00000000-0005-0000-0000-0000C29D0000}"/>
    <cellStyle name="RIGs input totals 4 6 2 3" xfId="40171" xr:uid="{00000000-0005-0000-0000-0000C39D0000}"/>
    <cellStyle name="RIGs input totals 4 6 3" xfId="40172" xr:uid="{00000000-0005-0000-0000-0000C49D0000}"/>
    <cellStyle name="RIGs input totals 4 6 3 2" xfId="40173" xr:uid="{00000000-0005-0000-0000-0000C59D0000}"/>
    <cellStyle name="RIGs input totals 4 6 3 3" xfId="40174" xr:uid="{00000000-0005-0000-0000-0000C69D0000}"/>
    <cellStyle name="RIGs input totals 4 6 4" xfId="40175" xr:uid="{00000000-0005-0000-0000-0000C79D0000}"/>
    <cellStyle name="RIGs input totals 4 6 5" xfId="40176" xr:uid="{00000000-0005-0000-0000-0000C89D0000}"/>
    <cellStyle name="RIGs input totals 4 6 6" xfId="40177" xr:uid="{00000000-0005-0000-0000-0000C99D0000}"/>
    <cellStyle name="RIGs input totals 4 6 7" xfId="40178" xr:uid="{00000000-0005-0000-0000-0000CA9D0000}"/>
    <cellStyle name="RIGs input totals 4 6 8" xfId="40179" xr:uid="{00000000-0005-0000-0000-0000CB9D0000}"/>
    <cellStyle name="RIGs input totals 4 6 9" xfId="40180" xr:uid="{00000000-0005-0000-0000-0000CC9D0000}"/>
    <cellStyle name="RIGs input totals 4 7" xfId="40181" xr:uid="{00000000-0005-0000-0000-0000CD9D0000}"/>
    <cellStyle name="RIGs input totals 4 7 2" xfId="40182" xr:uid="{00000000-0005-0000-0000-0000CE9D0000}"/>
    <cellStyle name="RIGs input totals 4 7 2 2" xfId="40183" xr:uid="{00000000-0005-0000-0000-0000CF9D0000}"/>
    <cellStyle name="RIGs input totals 4 7 2 3" xfId="40184" xr:uid="{00000000-0005-0000-0000-0000D09D0000}"/>
    <cellStyle name="RIGs input totals 4 7 3" xfId="40185" xr:uid="{00000000-0005-0000-0000-0000D19D0000}"/>
    <cellStyle name="RIGs input totals 4 7 3 2" xfId="40186" xr:uid="{00000000-0005-0000-0000-0000D29D0000}"/>
    <cellStyle name="RIGs input totals 4 7 4" xfId="40187" xr:uid="{00000000-0005-0000-0000-0000D39D0000}"/>
    <cellStyle name="RIGs input totals 4 8" xfId="40188" xr:uid="{00000000-0005-0000-0000-0000D49D0000}"/>
    <cellStyle name="RIGs input totals 4 8 2" xfId="40189" xr:uid="{00000000-0005-0000-0000-0000D59D0000}"/>
    <cellStyle name="RIGs input totals 4 9" xfId="40190" xr:uid="{00000000-0005-0000-0000-0000D69D0000}"/>
    <cellStyle name="RIGs input totals 4 9 2" xfId="40191" xr:uid="{00000000-0005-0000-0000-0000D79D0000}"/>
    <cellStyle name="RIGs input totals 4_1.3s Accounting C Costs Scots" xfId="40192" xr:uid="{00000000-0005-0000-0000-0000D89D0000}"/>
    <cellStyle name="RIGs input totals 40" xfId="40193" xr:uid="{00000000-0005-0000-0000-0000D99D0000}"/>
    <cellStyle name="RIGs input totals 41" xfId="40194" xr:uid="{00000000-0005-0000-0000-0000DA9D0000}"/>
    <cellStyle name="RIGs input totals 42" xfId="40195" xr:uid="{00000000-0005-0000-0000-0000DB9D0000}"/>
    <cellStyle name="RIGs input totals 43" xfId="40196" xr:uid="{00000000-0005-0000-0000-0000DC9D0000}"/>
    <cellStyle name="RIGs input totals 44" xfId="40197" xr:uid="{00000000-0005-0000-0000-0000DD9D0000}"/>
    <cellStyle name="RIGs input totals 45" xfId="40198" xr:uid="{00000000-0005-0000-0000-0000DE9D0000}"/>
    <cellStyle name="RIGs input totals 46" xfId="40199" xr:uid="{00000000-0005-0000-0000-0000DF9D0000}"/>
    <cellStyle name="RIGs input totals 47" xfId="48431" xr:uid="{00000000-0005-0000-0000-0000E09D0000}"/>
    <cellStyle name="RIGs input totals 5" xfId="40200" xr:uid="{00000000-0005-0000-0000-0000E19D0000}"/>
    <cellStyle name="RIGs input totals 5 10" xfId="40201" xr:uid="{00000000-0005-0000-0000-0000E29D0000}"/>
    <cellStyle name="RIGs input totals 5 10 2" xfId="40202" xr:uid="{00000000-0005-0000-0000-0000E39D0000}"/>
    <cellStyle name="RIGs input totals 5 11" xfId="40203" xr:uid="{00000000-0005-0000-0000-0000E49D0000}"/>
    <cellStyle name="RIGs input totals 5 11 2" xfId="40204" xr:uid="{00000000-0005-0000-0000-0000E59D0000}"/>
    <cellStyle name="RIGs input totals 5 12" xfId="40205" xr:uid="{00000000-0005-0000-0000-0000E69D0000}"/>
    <cellStyle name="RIGs input totals 5 12 2" xfId="40206" xr:uid="{00000000-0005-0000-0000-0000E79D0000}"/>
    <cellStyle name="RIGs input totals 5 13" xfId="40207" xr:uid="{00000000-0005-0000-0000-0000E89D0000}"/>
    <cellStyle name="RIGs input totals 5 13 2" xfId="40208" xr:uid="{00000000-0005-0000-0000-0000E99D0000}"/>
    <cellStyle name="RIGs input totals 5 14" xfId="40209" xr:uid="{00000000-0005-0000-0000-0000EA9D0000}"/>
    <cellStyle name="RIGs input totals 5 14 2" xfId="40210" xr:uid="{00000000-0005-0000-0000-0000EB9D0000}"/>
    <cellStyle name="RIGs input totals 5 15" xfId="40211" xr:uid="{00000000-0005-0000-0000-0000EC9D0000}"/>
    <cellStyle name="RIGs input totals 5 15 2" xfId="40212" xr:uid="{00000000-0005-0000-0000-0000ED9D0000}"/>
    <cellStyle name="RIGs input totals 5 16" xfId="40213" xr:uid="{00000000-0005-0000-0000-0000EE9D0000}"/>
    <cellStyle name="RIGs input totals 5 16 2" xfId="40214" xr:uid="{00000000-0005-0000-0000-0000EF9D0000}"/>
    <cellStyle name="RIGs input totals 5 17" xfId="40215" xr:uid="{00000000-0005-0000-0000-0000F09D0000}"/>
    <cellStyle name="RIGs input totals 5 17 2" xfId="40216" xr:uid="{00000000-0005-0000-0000-0000F19D0000}"/>
    <cellStyle name="RIGs input totals 5 18" xfId="40217" xr:uid="{00000000-0005-0000-0000-0000F29D0000}"/>
    <cellStyle name="RIGs input totals 5 18 2" xfId="40218" xr:uid="{00000000-0005-0000-0000-0000F39D0000}"/>
    <cellStyle name="RIGs input totals 5 19" xfId="40219" xr:uid="{00000000-0005-0000-0000-0000F49D0000}"/>
    <cellStyle name="RIGs input totals 5 19 2" xfId="40220" xr:uid="{00000000-0005-0000-0000-0000F59D0000}"/>
    <cellStyle name="RIGs input totals 5 2" xfId="40221" xr:uid="{00000000-0005-0000-0000-0000F69D0000}"/>
    <cellStyle name="RIGs input totals 5 2 10" xfId="40222" xr:uid="{00000000-0005-0000-0000-0000F79D0000}"/>
    <cellStyle name="RIGs input totals 5 2 10 2" xfId="40223" xr:uid="{00000000-0005-0000-0000-0000F89D0000}"/>
    <cellStyle name="RIGs input totals 5 2 11" xfId="40224" xr:uid="{00000000-0005-0000-0000-0000F99D0000}"/>
    <cellStyle name="RIGs input totals 5 2 11 2" xfId="40225" xr:uid="{00000000-0005-0000-0000-0000FA9D0000}"/>
    <cellStyle name="RIGs input totals 5 2 12" xfId="40226" xr:uid="{00000000-0005-0000-0000-0000FB9D0000}"/>
    <cellStyle name="RIGs input totals 5 2 12 2" xfId="40227" xr:uid="{00000000-0005-0000-0000-0000FC9D0000}"/>
    <cellStyle name="RIGs input totals 5 2 13" xfId="40228" xr:uid="{00000000-0005-0000-0000-0000FD9D0000}"/>
    <cellStyle name="RIGs input totals 5 2 13 2" xfId="40229" xr:uid="{00000000-0005-0000-0000-0000FE9D0000}"/>
    <cellStyle name="RIGs input totals 5 2 14" xfId="40230" xr:uid="{00000000-0005-0000-0000-0000FF9D0000}"/>
    <cellStyle name="RIGs input totals 5 2 14 2" xfId="40231" xr:uid="{00000000-0005-0000-0000-0000009E0000}"/>
    <cellStyle name="RIGs input totals 5 2 15" xfId="40232" xr:uid="{00000000-0005-0000-0000-0000019E0000}"/>
    <cellStyle name="RIGs input totals 5 2 15 2" xfId="40233" xr:uid="{00000000-0005-0000-0000-0000029E0000}"/>
    <cellStyle name="RIGs input totals 5 2 16" xfId="40234" xr:uid="{00000000-0005-0000-0000-0000039E0000}"/>
    <cellStyle name="RIGs input totals 5 2 16 2" xfId="40235" xr:uid="{00000000-0005-0000-0000-0000049E0000}"/>
    <cellStyle name="RIGs input totals 5 2 17" xfId="40236" xr:uid="{00000000-0005-0000-0000-0000059E0000}"/>
    <cellStyle name="RIGs input totals 5 2 17 2" xfId="40237" xr:uid="{00000000-0005-0000-0000-0000069E0000}"/>
    <cellStyle name="RIGs input totals 5 2 18" xfId="40238" xr:uid="{00000000-0005-0000-0000-0000079E0000}"/>
    <cellStyle name="RIGs input totals 5 2 18 2" xfId="40239" xr:uid="{00000000-0005-0000-0000-0000089E0000}"/>
    <cellStyle name="RIGs input totals 5 2 19" xfId="40240" xr:uid="{00000000-0005-0000-0000-0000099E0000}"/>
    <cellStyle name="RIGs input totals 5 2 19 2" xfId="40241" xr:uid="{00000000-0005-0000-0000-00000A9E0000}"/>
    <cellStyle name="RIGs input totals 5 2 2" xfId="40242" xr:uid="{00000000-0005-0000-0000-00000B9E0000}"/>
    <cellStyle name="RIGs input totals 5 2 2 10" xfId="40243" xr:uid="{00000000-0005-0000-0000-00000C9E0000}"/>
    <cellStyle name="RIGs input totals 5 2 2 10 2" xfId="40244" xr:uid="{00000000-0005-0000-0000-00000D9E0000}"/>
    <cellStyle name="RIGs input totals 5 2 2 11" xfId="40245" xr:uid="{00000000-0005-0000-0000-00000E9E0000}"/>
    <cellStyle name="RIGs input totals 5 2 2 11 2" xfId="40246" xr:uid="{00000000-0005-0000-0000-00000F9E0000}"/>
    <cellStyle name="RIGs input totals 5 2 2 12" xfId="40247" xr:uid="{00000000-0005-0000-0000-0000109E0000}"/>
    <cellStyle name="RIGs input totals 5 2 2 12 2" xfId="40248" xr:uid="{00000000-0005-0000-0000-0000119E0000}"/>
    <cellStyle name="RIGs input totals 5 2 2 13" xfId="40249" xr:uid="{00000000-0005-0000-0000-0000129E0000}"/>
    <cellStyle name="RIGs input totals 5 2 2 13 2" xfId="40250" xr:uid="{00000000-0005-0000-0000-0000139E0000}"/>
    <cellStyle name="RIGs input totals 5 2 2 14" xfId="40251" xr:uid="{00000000-0005-0000-0000-0000149E0000}"/>
    <cellStyle name="RIGs input totals 5 2 2 14 2" xfId="40252" xr:uid="{00000000-0005-0000-0000-0000159E0000}"/>
    <cellStyle name="RIGs input totals 5 2 2 15" xfId="40253" xr:uid="{00000000-0005-0000-0000-0000169E0000}"/>
    <cellStyle name="RIGs input totals 5 2 2 15 2" xfId="40254" xr:uid="{00000000-0005-0000-0000-0000179E0000}"/>
    <cellStyle name="RIGs input totals 5 2 2 16" xfId="40255" xr:uid="{00000000-0005-0000-0000-0000189E0000}"/>
    <cellStyle name="RIGs input totals 5 2 2 16 2" xfId="40256" xr:uid="{00000000-0005-0000-0000-0000199E0000}"/>
    <cellStyle name="RIGs input totals 5 2 2 17" xfId="40257" xr:uid="{00000000-0005-0000-0000-00001A9E0000}"/>
    <cellStyle name="RIGs input totals 5 2 2 17 2" xfId="40258" xr:uid="{00000000-0005-0000-0000-00001B9E0000}"/>
    <cellStyle name="RIGs input totals 5 2 2 18" xfId="40259" xr:uid="{00000000-0005-0000-0000-00001C9E0000}"/>
    <cellStyle name="RIGs input totals 5 2 2 18 2" xfId="40260" xr:uid="{00000000-0005-0000-0000-00001D9E0000}"/>
    <cellStyle name="RIGs input totals 5 2 2 19" xfId="40261" xr:uid="{00000000-0005-0000-0000-00001E9E0000}"/>
    <cellStyle name="RIGs input totals 5 2 2 19 2" xfId="40262" xr:uid="{00000000-0005-0000-0000-00001F9E0000}"/>
    <cellStyle name="RIGs input totals 5 2 2 2" xfId="40263" xr:uid="{00000000-0005-0000-0000-0000209E0000}"/>
    <cellStyle name="RIGs input totals 5 2 2 2 10" xfId="40264" xr:uid="{00000000-0005-0000-0000-0000219E0000}"/>
    <cellStyle name="RIGs input totals 5 2 2 2 11" xfId="40265" xr:uid="{00000000-0005-0000-0000-0000229E0000}"/>
    <cellStyle name="RIGs input totals 5 2 2 2 12" xfId="40266" xr:uid="{00000000-0005-0000-0000-0000239E0000}"/>
    <cellStyle name="RIGs input totals 5 2 2 2 13" xfId="40267" xr:uid="{00000000-0005-0000-0000-0000249E0000}"/>
    <cellStyle name="RIGs input totals 5 2 2 2 14" xfId="40268" xr:uid="{00000000-0005-0000-0000-0000259E0000}"/>
    <cellStyle name="RIGs input totals 5 2 2 2 15" xfId="40269" xr:uid="{00000000-0005-0000-0000-0000269E0000}"/>
    <cellStyle name="RIGs input totals 5 2 2 2 16" xfId="40270" xr:uid="{00000000-0005-0000-0000-0000279E0000}"/>
    <cellStyle name="RIGs input totals 5 2 2 2 17" xfId="40271" xr:uid="{00000000-0005-0000-0000-0000289E0000}"/>
    <cellStyle name="RIGs input totals 5 2 2 2 18" xfId="40272" xr:uid="{00000000-0005-0000-0000-0000299E0000}"/>
    <cellStyle name="RIGs input totals 5 2 2 2 19" xfId="40273" xr:uid="{00000000-0005-0000-0000-00002A9E0000}"/>
    <cellStyle name="RIGs input totals 5 2 2 2 2" xfId="40274" xr:uid="{00000000-0005-0000-0000-00002B9E0000}"/>
    <cellStyle name="RIGs input totals 5 2 2 2 2 10" xfId="40275" xr:uid="{00000000-0005-0000-0000-00002C9E0000}"/>
    <cellStyle name="RIGs input totals 5 2 2 2 2 11" xfId="40276" xr:uid="{00000000-0005-0000-0000-00002D9E0000}"/>
    <cellStyle name="RIGs input totals 5 2 2 2 2 12" xfId="40277" xr:uid="{00000000-0005-0000-0000-00002E9E0000}"/>
    <cellStyle name="RIGs input totals 5 2 2 2 2 13" xfId="40278" xr:uid="{00000000-0005-0000-0000-00002F9E0000}"/>
    <cellStyle name="RIGs input totals 5 2 2 2 2 14" xfId="40279" xr:uid="{00000000-0005-0000-0000-0000309E0000}"/>
    <cellStyle name="RIGs input totals 5 2 2 2 2 15" xfId="40280" xr:uid="{00000000-0005-0000-0000-0000319E0000}"/>
    <cellStyle name="RIGs input totals 5 2 2 2 2 16" xfId="40281" xr:uid="{00000000-0005-0000-0000-0000329E0000}"/>
    <cellStyle name="RIGs input totals 5 2 2 2 2 17" xfId="40282" xr:uid="{00000000-0005-0000-0000-0000339E0000}"/>
    <cellStyle name="RIGs input totals 5 2 2 2 2 18" xfId="40283" xr:uid="{00000000-0005-0000-0000-0000349E0000}"/>
    <cellStyle name="RIGs input totals 5 2 2 2 2 19" xfId="40284" xr:uid="{00000000-0005-0000-0000-0000359E0000}"/>
    <cellStyle name="RIGs input totals 5 2 2 2 2 2" xfId="40285" xr:uid="{00000000-0005-0000-0000-0000369E0000}"/>
    <cellStyle name="RIGs input totals 5 2 2 2 2 2 10" xfId="40286" xr:uid="{00000000-0005-0000-0000-0000379E0000}"/>
    <cellStyle name="RIGs input totals 5 2 2 2 2 2 11" xfId="40287" xr:uid="{00000000-0005-0000-0000-0000389E0000}"/>
    <cellStyle name="RIGs input totals 5 2 2 2 2 2 12" xfId="40288" xr:uid="{00000000-0005-0000-0000-0000399E0000}"/>
    <cellStyle name="RIGs input totals 5 2 2 2 2 2 13" xfId="40289" xr:uid="{00000000-0005-0000-0000-00003A9E0000}"/>
    <cellStyle name="RIGs input totals 5 2 2 2 2 2 2" xfId="40290" xr:uid="{00000000-0005-0000-0000-00003B9E0000}"/>
    <cellStyle name="RIGs input totals 5 2 2 2 2 2 2 2" xfId="40291" xr:uid="{00000000-0005-0000-0000-00003C9E0000}"/>
    <cellStyle name="RIGs input totals 5 2 2 2 2 2 2 3" xfId="40292" xr:uid="{00000000-0005-0000-0000-00003D9E0000}"/>
    <cellStyle name="RIGs input totals 5 2 2 2 2 2 3" xfId="40293" xr:uid="{00000000-0005-0000-0000-00003E9E0000}"/>
    <cellStyle name="RIGs input totals 5 2 2 2 2 2 3 2" xfId="40294" xr:uid="{00000000-0005-0000-0000-00003F9E0000}"/>
    <cellStyle name="RIGs input totals 5 2 2 2 2 2 3 3" xfId="40295" xr:uid="{00000000-0005-0000-0000-0000409E0000}"/>
    <cellStyle name="RIGs input totals 5 2 2 2 2 2 4" xfId="40296" xr:uid="{00000000-0005-0000-0000-0000419E0000}"/>
    <cellStyle name="RIGs input totals 5 2 2 2 2 2 5" xfId="40297" xr:uid="{00000000-0005-0000-0000-0000429E0000}"/>
    <cellStyle name="RIGs input totals 5 2 2 2 2 2 6" xfId="40298" xr:uid="{00000000-0005-0000-0000-0000439E0000}"/>
    <cellStyle name="RIGs input totals 5 2 2 2 2 2 7" xfId="40299" xr:uid="{00000000-0005-0000-0000-0000449E0000}"/>
    <cellStyle name="RIGs input totals 5 2 2 2 2 2 8" xfId="40300" xr:uid="{00000000-0005-0000-0000-0000459E0000}"/>
    <cellStyle name="RIGs input totals 5 2 2 2 2 2 9" xfId="40301" xr:uid="{00000000-0005-0000-0000-0000469E0000}"/>
    <cellStyle name="RIGs input totals 5 2 2 2 2 20" xfId="40302" xr:uid="{00000000-0005-0000-0000-0000479E0000}"/>
    <cellStyle name="RIGs input totals 5 2 2 2 2 21" xfId="40303" xr:uid="{00000000-0005-0000-0000-0000489E0000}"/>
    <cellStyle name="RIGs input totals 5 2 2 2 2 22" xfId="40304" xr:uid="{00000000-0005-0000-0000-0000499E0000}"/>
    <cellStyle name="RIGs input totals 5 2 2 2 2 23" xfId="40305" xr:uid="{00000000-0005-0000-0000-00004A9E0000}"/>
    <cellStyle name="RIGs input totals 5 2 2 2 2 24" xfId="40306" xr:uid="{00000000-0005-0000-0000-00004B9E0000}"/>
    <cellStyle name="RIGs input totals 5 2 2 2 2 25" xfId="40307" xr:uid="{00000000-0005-0000-0000-00004C9E0000}"/>
    <cellStyle name="RIGs input totals 5 2 2 2 2 26" xfId="40308" xr:uid="{00000000-0005-0000-0000-00004D9E0000}"/>
    <cellStyle name="RIGs input totals 5 2 2 2 2 27" xfId="40309" xr:uid="{00000000-0005-0000-0000-00004E9E0000}"/>
    <cellStyle name="RIGs input totals 5 2 2 2 2 28" xfId="40310" xr:uid="{00000000-0005-0000-0000-00004F9E0000}"/>
    <cellStyle name="RIGs input totals 5 2 2 2 2 29" xfId="40311" xr:uid="{00000000-0005-0000-0000-0000509E0000}"/>
    <cellStyle name="RIGs input totals 5 2 2 2 2 3" xfId="40312" xr:uid="{00000000-0005-0000-0000-0000519E0000}"/>
    <cellStyle name="RIGs input totals 5 2 2 2 2 3 2" xfId="40313" xr:uid="{00000000-0005-0000-0000-0000529E0000}"/>
    <cellStyle name="RIGs input totals 5 2 2 2 2 3 3" xfId="40314" xr:uid="{00000000-0005-0000-0000-0000539E0000}"/>
    <cellStyle name="RIGs input totals 5 2 2 2 2 30" xfId="40315" xr:uid="{00000000-0005-0000-0000-0000549E0000}"/>
    <cellStyle name="RIGs input totals 5 2 2 2 2 31" xfId="40316" xr:uid="{00000000-0005-0000-0000-0000559E0000}"/>
    <cellStyle name="RIGs input totals 5 2 2 2 2 32" xfId="40317" xr:uid="{00000000-0005-0000-0000-0000569E0000}"/>
    <cellStyle name="RIGs input totals 5 2 2 2 2 33" xfId="40318" xr:uid="{00000000-0005-0000-0000-0000579E0000}"/>
    <cellStyle name="RIGs input totals 5 2 2 2 2 34" xfId="40319" xr:uid="{00000000-0005-0000-0000-0000589E0000}"/>
    <cellStyle name="RIGs input totals 5 2 2 2 2 4" xfId="40320" xr:uid="{00000000-0005-0000-0000-0000599E0000}"/>
    <cellStyle name="RIGs input totals 5 2 2 2 2 4 2" xfId="40321" xr:uid="{00000000-0005-0000-0000-00005A9E0000}"/>
    <cellStyle name="RIGs input totals 5 2 2 2 2 4 3" xfId="40322" xr:uid="{00000000-0005-0000-0000-00005B9E0000}"/>
    <cellStyle name="RIGs input totals 5 2 2 2 2 5" xfId="40323" xr:uid="{00000000-0005-0000-0000-00005C9E0000}"/>
    <cellStyle name="RIGs input totals 5 2 2 2 2 6" xfId="40324" xr:uid="{00000000-0005-0000-0000-00005D9E0000}"/>
    <cellStyle name="RIGs input totals 5 2 2 2 2 7" xfId="40325" xr:uid="{00000000-0005-0000-0000-00005E9E0000}"/>
    <cellStyle name="RIGs input totals 5 2 2 2 2 8" xfId="40326" xr:uid="{00000000-0005-0000-0000-00005F9E0000}"/>
    <cellStyle name="RIGs input totals 5 2 2 2 2 9" xfId="40327" xr:uid="{00000000-0005-0000-0000-0000609E0000}"/>
    <cellStyle name="RIGs input totals 5 2 2 2 20" xfId="40328" xr:uid="{00000000-0005-0000-0000-0000619E0000}"/>
    <cellStyle name="RIGs input totals 5 2 2 2 21" xfId="40329" xr:uid="{00000000-0005-0000-0000-0000629E0000}"/>
    <cellStyle name="RIGs input totals 5 2 2 2 22" xfId="40330" xr:uid="{00000000-0005-0000-0000-0000639E0000}"/>
    <cellStyle name="RIGs input totals 5 2 2 2 23" xfId="40331" xr:uid="{00000000-0005-0000-0000-0000649E0000}"/>
    <cellStyle name="RIGs input totals 5 2 2 2 24" xfId="40332" xr:uid="{00000000-0005-0000-0000-0000659E0000}"/>
    <cellStyle name="RIGs input totals 5 2 2 2 25" xfId="40333" xr:uid="{00000000-0005-0000-0000-0000669E0000}"/>
    <cellStyle name="RIGs input totals 5 2 2 2 26" xfId="40334" xr:uid="{00000000-0005-0000-0000-0000679E0000}"/>
    <cellStyle name="RIGs input totals 5 2 2 2 27" xfId="40335" xr:uid="{00000000-0005-0000-0000-0000689E0000}"/>
    <cellStyle name="RIGs input totals 5 2 2 2 28" xfId="40336" xr:uid="{00000000-0005-0000-0000-0000699E0000}"/>
    <cellStyle name="RIGs input totals 5 2 2 2 29" xfId="40337" xr:uid="{00000000-0005-0000-0000-00006A9E0000}"/>
    <cellStyle name="RIGs input totals 5 2 2 2 3" xfId="40338" xr:uid="{00000000-0005-0000-0000-00006B9E0000}"/>
    <cellStyle name="RIGs input totals 5 2 2 2 3 10" xfId="40339" xr:uid="{00000000-0005-0000-0000-00006C9E0000}"/>
    <cellStyle name="RIGs input totals 5 2 2 2 3 11" xfId="40340" xr:uid="{00000000-0005-0000-0000-00006D9E0000}"/>
    <cellStyle name="RIGs input totals 5 2 2 2 3 12" xfId="40341" xr:uid="{00000000-0005-0000-0000-00006E9E0000}"/>
    <cellStyle name="RIGs input totals 5 2 2 2 3 13" xfId="40342" xr:uid="{00000000-0005-0000-0000-00006F9E0000}"/>
    <cellStyle name="RIGs input totals 5 2 2 2 3 2" xfId="40343" xr:uid="{00000000-0005-0000-0000-0000709E0000}"/>
    <cellStyle name="RIGs input totals 5 2 2 2 3 2 2" xfId="40344" xr:uid="{00000000-0005-0000-0000-0000719E0000}"/>
    <cellStyle name="RIGs input totals 5 2 2 2 3 2 3" xfId="40345" xr:uid="{00000000-0005-0000-0000-0000729E0000}"/>
    <cellStyle name="RIGs input totals 5 2 2 2 3 3" xfId="40346" xr:uid="{00000000-0005-0000-0000-0000739E0000}"/>
    <cellStyle name="RIGs input totals 5 2 2 2 3 3 2" xfId="40347" xr:uid="{00000000-0005-0000-0000-0000749E0000}"/>
    <cellStyle name="RIGs input totals 5 2 2 2 3 3 3" xfId="40348" xr:uid="{00000000-0005-0000-0000-0000759E0000}"/>
    <cellStyle name="RIGs input totals 5 2 2 2 3 4" xfId="40349" xr:uid="{00000000-0005-0000-0000-0000769E0000}"/>
    <cellStyle name="RIGs input totals 5 2 2 2 3 5" xfId="40350" xr:uid="{00000000-0005-0000-0000-0000779E0000}"/>
    <cellStyle name="RIGs input totals 5 2 2 2 3 6" xfId="40351" xr:uid="{00000000-0005-0000-0000-0000789E0000}"/>
    <cellStyle name="RIGs input totals 5 2 2 2 3 7" xfId="40352" xr:uid="{00000000-0005-0000-0000-0000799E0000}"/>
    <cellStyle name="RIGs input totals 5 2 2 2 3 8" xfId="40353" xr:uid="{00000000-0005-0000-0000-00007A9E0000}"/>
    <cellStyle name="RIGs input totals 5 2 2 2 3 9" xfId="40354" xr:uid="{00000000-0005-0000-0000-00007B9E0000}"/>
    <cellStyle name="RIGs input totals 5 2 2 2 30" xfId="40355" xr:uid="{00000000-0005-0000-0000-00007C9E0000}"/>
    <cellStyle name="RIGs input totals 5 2 2 2 31" xfId="40356" xr:uid="{00000000-0005-0000-0000-00007D9E0000}"/>
    <cellStyle name="RIGs input totals 5 2 2 2 4" xfId="40357" xr:uid="{00000000-0005-0000-0000-00007E9E0000}"/>
    <cellStyle name="RIGs input totals 5 2 2 2 4 2" xfId="40358" xr:uid="{00000000-0005-0000-0000-00007F9E0000}"/>
    <cellStyle name="RIGs input totals 5 2 2 2 4 3" xfId="40359" xr:uid="{00000000-0005-0000-0000-0000809E0000}"/>
    <cellStyle name="RIGs input totals 5 2 2 2 5" xfId="40360" xr:uid="{00000000-0005-0000-0000-0000819E0000}"/>
    <cellStyle name="RIGs input totals 5 2 2 2 5 2" xfId="40361" xr:uid="{00000000-0005-0000-0000-0000829E0000}"/>
    <cellStyle name="RIGs input totals 5 2 2 2 5 3" xfId="40362" xr:uid="{00000000-0005-0000-0000-0000839E0000}"/>
    <cellStyle name="RIGs input totals 5 2 2 2 6" xfId="40363" xr:uid="{00000000-0005-0000-0000-0000849E0000}"/>
    <cellStyle name="RIGs input totals 5 2 2 2 7" xfId="40364" xr:uid="{00000000-0005-0000-0000-0000859E0000}"/>
    <cellStyle name="RIGs input totals 5 2 2 2 8" xfId="40365" xr:uid="{00000000-0005-0000-0000-0000869E0000}"/>
    <cellStyle name="RIGs input totals 5 2 2 2 9" xfId="40366" xr:uid="{00000000-0005-0000-0000-0000879E0000}"/>
    <cellStyle name="RIGs input totals 5 2 2 2_4 28 1_Asst_Health_Crit_AllTO_RIIO_20110714pm" xfId="40367" xr:uid="{00000000-0005-0000-0000-0000889E0000}"/>
    <cellStyle name="RIGs input totals 5 2 2 20" xfId="40368" xr:uid="{00000000-0005-0000-0000-0000899E0000}"/>
    <cellStyle name="RIGs input totals 5 2 2 20 2" xfId="40369" xr:uid="{00000000-0005-0000-0000-00008A9E0000}"/>
    <cellStyle name="RIGs input totals 5 2 2 21" xfId="40370" xr:uid="{00000000-0005-0000-0000-00008B9E0000}"/>
    <cellStyle name="RIGs input totals 5 2 2 21 2" xfId="40371" xr:uid="{00000000-0005-0000-0000-00008C9E0000}"/>
    <cellStyle name="RIGs input totals 5 2 2 22" xfId="40372" xr:uid="{00000000-0005-0000-0000-00008D9E0000}"/>
    <cellStyle name="RIGs input totals 5 2 2 22 2" xfId="40373" xr:uid="{00000000-0005-0000-0000-00008E9E0000}"/>
    <cellStyle name="RIGs input totals 5 2 2 23" xfId="40374" xr:uid="{00000000-0005-0000-0000-00008F9E0000}"/>
    <cellStyle name="RIGs input totals 5 2 2 23 2" xfId="40375" xr:uid="{00000000-0005-0000-0000-0000909E0000}"/>
    <cellStyle name="RIGs input totals 5 2 2 24" xfId="40376" xr:uid="{00000000-0005-0000-0000-0000919E0000}"/>
    <cellStyle name="RIGs input totals 5 2 2 24 2" xfId="40377" xr:uid="{00000000-0005-0000-0000-0000929E0000}"/>
    <cellStyle name="RIGs input totals 5 2 2 25" xfId="40378" xr:uid="{00000000-0005-0000-0000-0000939E0000}"/>
    <cellStyle name="RIGs input totals 5 2 2 25 2" xfId="40379" xr:uid="{00000000-0005-0000-0000-0000949E0000}"/>
    <cellStyle name="RIGs input totals 5 2 2 26" xfId="40380" xr:uid="{00000000-0005-0000-0000-0000959E0000}"/>
    <cellStyle name="RIGs input totals 5 2 2 27" xfId="40381" xr:uid="{00000000-0005-0000-0000-0000969E0000}"/>
    <cellStyle name="RIGs input totals 5 2 2 28" xfId="40382" xr:uid="{00000000-0005-0000-0000-0000979E0000}"/>
    <cellStyle name="RIGs input totals 5 2 2 29" xfId="40383" xr:uid="{00000000-0005-0000-0000-0000989E0000}"/>
    <cellStyle name="RIGs input totals 5 2 2 3" xfId="40384" xr:uid="{00000000-0005-0000-0000-0000999E0000}"/>
    <cellStyle name="RIGs input totals 5 2 2 3 10" xfId="40385" xr:uid="{00000000-0005-0000-0000-00009A9E0000}"/>
    <cellStyle name="RIGs input totals 5 2 2 3 11" xfId="40386" xr:uid="{00000000-0005-0000-0000-00009B9E0000}"/>
    <cellStyle name="RIGs input totals 5 2 2 3 12" xfId="40387" xr:uid="{00000000-0005-0000-0000-00009C9E0000}"/>
    <cellStyle name="RIGs input totals 5 2 2 3 13" xfId="40388" xr:uid="{00000000-0005-0000-0000-00009D9E0000}"/>
    <cellStyle name="RIGs input totals 5 2 2 3 14" xfId="40389" xr:uid="{00000000-0005-0000-0000-00009E9E0000}"/>
    <cellStyle name="RIGs input totals 5 2 2 3 15" xfId="40390" xr:uid="{00000000-0005-0000-0000-00009F9E0000}"/>
    <cellStyle name="RIGs input totals 5 2 2 3 16" xfId="40391" xr:uid="{00000000-0005-0000-0000-0000A09E0000}"/>
    <cellStyle name="RIGs input totals 5 2 2 3 17" xfId="40392" xr:uid="{00000000-0005-0000-0000-0000A19E0000}"/>
    <cellStyle name="RIGs input totals 5 2 2 3 18" xfId="40393" xr:uid="{00000000-0005-0000-0000-0000A29E0000}"/>
    <cellStyle name="RIGs input totals 5 2 2 3 19" xfId="40394" xr:uid="{00000000-0005-0000-0000-0000A39E0000}"/>
    <cellStyle name="RIGs input totals 5 2 2 3 2" xfId="40395" xr:uid="{00000000-0005-0000-0000-0000A49E0000}"/>
    <cellStyle name="RIGs input totals 5 2 2 3 2 10" xfId="40396" xr:uid="{00000000-0005-0000-0000-0000A59E0000}"/>
    <cellStyle name="RIGs input totals 5 2 2 3 2 11" xfId="40397" xr:uid="{00000000-0005-0000-0000-0000A69E0000}"/>
    <cellStyle name="RIGs input totals 5 2 2 3 2 12" xfId="40398" xr:uid="{00000000-0005-0000-0000-0000A79E0000}"/>
    <cellStyle name="RIGs input totals 5 2 2 3 2 13" xfId="40399" xr:uid="{00000000-0005-0000-0000-0000A89E0000}"/>
    <cellStyle name="RIGs input totals 5 2 2 3 2 2" xfId="40400" xr:uid="{00000000-0005-0000-0000-0000A99E0000}"/>
    <cellStyle name="RIGs input totals 5 2 2 3 2 2 2" xfId="40401" xr:uid="{00000000-0005-0000-0000-0000AA9E0000}"/>
    <cellStyle name="RIGs input totals 5 2 2 3 2 2 3" xfId="40402" xr:uid="{00000000-0005-0000-0000-0000AB9E0000}"/>
    <cellStyle name="RIGs input totals 5 2 2 3 2 3" xfId="40403" xr:uid="{00000000-0005-0000-0000-0000AC9E0000}"/>
    <cellStyle name="RIGs input totals 5 2 2 3 2 3 2" xfId="40404" xr:uid="{00000000-0005-0000-0000-0000AD9E0000}"/>
    <cellStyle name="RIGs input totals 5 2 2 3 2 3 3" xfId="40405" xr:uid="{00000000-0005-0000-0000-0000AE9E0000}"/>
    <cellStyle name="RIGs input totals 5 2 2 3 2 4" xfId="40406" xr:uid="{00000000-0005-0000-0000-0000AF9E0000}"/>
    <cellStyle name="RIGs input totals 5 2 2 3 2 5" xfId="40407" xr:uid="{00000000-0005-0000-0000-0000B09E0000}"/>
    <cellStyle name="RIGs input totals 5 2 2 3 2 6" xfId="40408" xr:uid="{00000000-0005-0000-0000-0000B19E0000}"/>
    <cellStyle name="RIGs input totals 5 2 2 3 2 7" xfId="40409" xr:uid="{00000000-0005-0000-0000-0000B29E0000}"/>
    <cellStyle name="RIGs input totals 5 2 2 3 2 8" xfId="40410" xr:uid="{00000000-0005-0000-0000-0000B39E0000}"/>
    <cellStyle name="RIGs input totals 5 2 2 3 2 9" xfId="40411" xr:uid="{00000000-0005-0000-0000-0000B49E0000}"/>
    <cellStyle name="RIGs input totals 5 2 2 3 20" xfId="40412" xr:uid="{00000000-0005-0000-0000-0000B59E0000}"/>
    <cellStyle name="RIGs input totals 5 2 2 3 21" xfId="40413" xr:uid="{00000000-0005-0000-0000-0000B69E0000}"/>
    <cellStyle name="RIGs input totals 5 2 2 3 22" xfId="40414" xr:uid="{00000000-0005-0000-0000-0000B79E0000}"/>
    <cellStyle name="RIGs input totals 5 2 2 3 23" xfId="40415" xr:uid="{00000000-0005-0000-0000-0000B89E0000}"/>
    <cellStyle name="RIGs input totals 5 2 2 3 24" xfId="40416" xr:uid="{00000000-0005-0000-0000-0000B99E0000}"/>
    <cellStyle name="RIGs input totals 5 2 2 3 25" xfId="40417" xr:uid="{00000000-0005-0000-0000-0000BA9E0000}"/>
    <cellStyle name="RIGs input totals 5 2 2 3 26" xfId="40418" xr:uid="{00000000-0005-0000-0000-0000BB9E0000}"/>
    <cellStyle name="RIGs input totals 5 2 2 3 27" xfId="40419" xr:uid="{00000000-0005-0000-0000-0000BC9E0000}"/>
    <cellStyle name="RIGs input totals 5 2 2 3 28" xfId="40420" xr:uid="{00000000-0005-0000-0000-0000BD9E0000}"/>
    <cellStyle name="RIGs input totals 5 2 2 3 29" xfId="40421" xr:uid="{00000000-0005-0000-0000-0000BE9E0000}"/>
    <cellStyle name="RIGs input totals 5 2 2 3 3" xfId="40422" xr:uid="{00000000-0005-0000-0000-0000BF9E0000}"/>
    <cellStyle name="RIGs input totals 5 2 2 3 3 2" xfId="40423" xr:uid="{00000000-0005-0000-0000-0000C09E0000}"/>
    <cellStyle name="RIGs input totals 5 2 2 3 3 3" xfId="40424" xr:uid="{00000000-0005-0000-0000-0000C19E0000}"/>
    <cellStyle name="RIGs input totals 5 2 2 3 30" xfId="40425" xr:uid="{00000000-0005-0000-0000-0000C29E0000}"/>
    <cellStyle name="RIGs input totals 5 2 2 3 4" xfId="40426" xr:uid="{00000000-0005-0000-0000-0000C39E0000}"/>
    <cellStyle name="RIGs input totals 5 2 2 3 4 2" xfId="40427" xr:uid="{00000000-0005-0000-0000-0000C49E0000}"/>
    <cellStyle name="RIGs input totals 5 2 2 3 4 3" xfId="40428" xr:uid="{00000000-0005-0000-0000-0000C59E0000}"/>
    <cellStyle name="RIGs input totals 5 2 2 3 5" xfId="40429" xr:uid="{00000000-0005-0000-0000-0000C69E0000}"/>
    <cellStyle name="RIGs input totals 5 2 2 3 6" xfId="40430" xr:uid="{00000000-0005-0000-0000-0000C79E0000}"/>
    <cellStyle name="RIGs input totals 5 2 2 3 7" xfId="40431" xr:uid="{00000000-0005-0000-0000-0000C89E0000}"/>
    <cellStyle name="RIGs input totals 5 2 2 3 8" xfId="40432" xr:uid="{00000000-0005-0000-0000-0000C99E0000}"/>
    <cellStyle name="RIGs input totals 5 2 2 3 9" xfId="40433" xr:uid="{00000000-0005-0000-0000-0000CA9E0000}"/>
    <cellStyle name="RIGs input totals 5 2 2 30" xfId="40434" xr:uid="{00000000-0005-0000-0000-0000CB9E0000}"/>
    <cellStyle name="RIGs input totals 5 2 2 31" xfId="40435" xr:uid="{00000000-0005-0000-0000-0000CC9E0000}"/>
    <cellStyle name="RIGs input totals 5 2 2 32" xfId="40436" xr:uid="{00000000-0005-0000-0000-0000CD9E0000}"/>
    <cellStyle name="RIGs input totals 5 2 2 33" xfId="40437" xr:uid="{00000000-0005-0000-0000-0000CE9E0000}"/>
    <cellStyle name="RIGs input totals 5 2 2 4" xfId="40438" xr:uid="{00000000-0005-0000-0000-0000CF9E0000}"/>
    <cellStyle name="RIGs input totals 5 2 2 4 10" xfId="40439" xr:uid="{00000000-0005-0000-0000-0000D09E0000}"/>
    <cellStyle name="RIGs input totals 5 2 2 4 11" xfId="40440" xr:uid="{00000000-0005-0000-0000-0000D19E0000}"/>
    <cellStyle name="RIGs input totals 5 2 2 4 12" xfId="40441" xr:uid="{00000000-0005-0000-0000-0000D29E0000}"/>
    <cellStyle name="RIGs input totals 5 2 2 4 13" xfId="40442" xr:uid="{00000000-0005-0000-0000-0000D39E0000}"/>
    <cellStyle name="RIGs input totals 5 2 2 4 14" xfId="40443" xr:uid="{00000000-0005-0000-0000-0000D49E0000}"/>
    <cellStyle name="RIGs input totals 5 2 2 4 15" xfId="40444" xr:uid="{00000000-0005-0000-0000-0000D59E0000}"/>
    <cellStyle name="RIGs input totals 5 2 2 4 16" xfId="40445" xr:uid="{00000000-0005-0000-0000-0000D69E0000}"/>
    <cellStyle name="RIGs input totals 5 2 2 4 17" xfId="40446" xr:uid="{00000000-0005-0000-0000-0000D79E0000}"/>
    <cellStyle name="RIGs input totals 5 2 2 4 18" xfId="40447" xr:uid="{00000000-0005-0000-0000-0000D89E0000}"/>
    <cellStyle name="RIGs input totals 5 2 2 4 19" xfId="40448" xr:uid="{00000000-0005-0000-0000-0000D99E0000}"/>
    <cellStyle name="RIGs input totals 5 2 2 4 2" xfId="40449" xr:uid="{00000000-0005-0000-0000-0000DA9E0000}"/>
    <cellStyle name="RIGs input totals 5 2 2 4 2 10" xfId="40450" xr:uid="{00000000-0005-0000-0000-0000DB9E0000}"/>
    <cellStyle name="RIGs input totals 5 2 2 4 2 11" xfId="40451" xr:uid="{00000000-0005-0000-0000-0000DC9E0000}"/>
    <cellStyle name="RIGs input totals 5 2 2 4 2 12" xfId="40452" xr:uid="{00000000-0005-0000-0000-0000DD9E0000}"/>
    <cellStyle name="RIGs input totals 5 2 2 4 2 13" xfId="40453" xr:uid="{00000000-0005-0000-0000-0000DE9E0000}"/>
    <cellStyle name="RIGs input totals 5 2 2 4 2 2" xfId="40454" xr:uid="{00000000-0005-0000-0000-0000DF9E0000}"/>
    <cellStyle name="RIGs input totals 5 2 2 4 2 2 2" xfId="40455" xr:uid="{00000000-0005-0000-0000-0000E09E0000}"/>
    <cellStyle name="RIGs input totals 5 2 2 4 2 2 3" xfId="40456" xr:uid="{00000000-0005-0000-0000-0000E19E0000}"/>
    <cellStyle name="RIGs input totals 5 2 2 4 2 3" xfId="40457" xr:uid="{00000000-0005-0000-0000-0000E29E0000}"/>
    <cellStyle name="RIGs input totals 5 2 2 4 2 3 2" xfId="40458" xr:uid="{00000000-0005-0000-0000-0000E39E0000}"/>
    <cellStyle name="RIGs input totals 5 2 2 4 2 3 3" xfId="40459" xr:uid="{00000000-0005-0000-0000-0000E49E0000}"/>
    <cellStyle name="RIGs input totals 5 2 2 4 2 4" xfId="40460" xr:uid="{00000000-0005-0000-0000-0000E59E0000}"/>
    <cellStyle name="RIGs input totals 5 2 2 4 2 5" xfId="40461" xr:uid="{00000000-0005-0000-0000-0000E69E0000}"/>
    <cellStyle name="RIGs input totals 5 2 2 4 2 6" xfId="40462" xr:uid="{00000000-0005-0000-0000-0000E79E0000}"/>
    <cellStyle name="RIGs input totals 5 2 2 4 2 7" xfId="40463" xr:uid="{00000000-0005-0000-0000-0000E89E0000}"/>
    <cellStyle name="RIGs input totals 5 2 2 4 2 8" xfId="40464" xr:uid="{00000000-0005-0000-0000-0000E99E0000}"/>
    <cellStyle name="RIGs input totals 5 2 2 4 2 9" xfId="40465" xr:uid="{00000000-0005-0000-0000-0000EA9E0000}"/>
    <cellStyle name="RIGs input totals 5 2 2 4 20" xfId="40466" xr:uid="{00000000-0005-0000-0000-0000EB9E0000}"/>
    <cellStyle name="RIGs input totals 5 2 2 4 21" xfId="40467" xr:uid="{00000000-0005-0000-0000-0000EC9E0000}"/>
    <cellStyle name="RIGs input totals 5 2 2 4 22" xfId="40468" xr:uid="{00000000-0005-0000-0000-0000ED9E0000}"/>
    <cellStyle name="RIGs input totals 5 2 2 4 23" xfId="40469" xr:uid="{00000000-0005-0000-0000-0000EE9E0000}"/>
    <cellStyle name="RIGs input totals 5 2 2 4 24" xfId="40470" xr:uid="{00000000-0005-0000-0000-0000EF9E0000}"/>
    <cellStyle name="RIGs input totals 5 2 2 4 25" xfId="40471" xr:uid="{00000000-0005-0000-0000-0000F09E0000}"/>
    <cellStyle name="RIGs input totals 5 2 2 4 26" xfId="40472" xr:uid="{00000000-0005-0000-0000-0000F19E0000}"/>
    <cellStyle name="RIGs input totals 5 2 2 4 27" xfId="40473" xr:uid="{00000000-0005-0000-0000-0000F29E0000}"/>
    <cellStyle name="RIGs input totals 5 2 2 4 28" xfId="40474" xr:uid="{00000000-0005-0000-0000-0000F39E0000}"/>
    <cellStyle name="RIGs input totals 5 2 2 4 29" xfId="40475" xr:uid="{00000000-0005-0000-0000-0000F49E0000}"/>
    <cellStyle name="RIGs input totals 5 2 2 4 3" xfId="40476" xr:uid="{00000000-0005-0000-0000-0000F59E0000}"/>
    <cellStyle name="RIGs input totals 5 2 2 4 3 2" xfId="40477" xr:uid="{00000000-0005-0000-0000-0000F69E0000}"/>
    <cellStyle name="RIGs input totals 5 2 2 4 3 3" xfId="40478" xr:uid="{00000000-0005-0000-0000-0000F79E0000}"/>
    <cellStyle name="RIGs input totals 5 2 2 4 30" xfId="40479" xr:uid="{00000000-0005-0000-0000-0000F89E0000}"/>
    <cellStyle name="RIGs input totals 5 2 2 4 4" xfId="40480" xr:uid="{00000000-0005-0000-0000-0000F99E0000}"/>
    <cellStyle name="RIGs input totals 5 2 2 4 4 2" xfId="40481" xr:uid="{00000000-0005-0000-0000-0000FA9E0000}"/>
    <cellStyle name="RIGs input totals 5 2 2 4 4 3" xfId="40482" xr:uid="{00000000-0005-0000-0000-0000FB9E0000}"/>
    <cellStyle name="RIGs input totals 5 2 2 4 5" xfId="40483" xr:uid="{00000000-0005-0000-0000-0000FC9E0000}"/>
    <cellStyle name="RIGs input totals 5 2 2 4 6" xfId="40484" xr:uid="{00000000-0005-0000-0000-0000FD9E0000}"/>
    <cellStyle name="RIGs input totals 5 2 2 4 7" xfId="40485" xr:uid="{00000000-0005-0000-0000-0000FE9E0000}"/>
    <cellStyle name="RIGs input totals 5 2 2 4 8" xfId="40486" xr:uid="{00000000-0005-0000-0000-0000FF9E0000}"/>
    <cellStyle name="RIGs input totals 5 2 2 4 9" xfId="40487" xr:uid="{00000000-0005-0000-0000-0000009F0000}"/>
    <cellStyle name="RIGs input totals 5 2 2 5" xfId="40488" xr:uid="{00000000-0005-0000-0000-0000019F0000}"/>
    <cellStyle name="RIGs input totals 5 2 2 5 10" xfId="40489" xr:uid="{00000000-0005-0000-0000-0000029F0000}"/>
    <cellStyle name="RIGs input totals 5 2 2 5 11" xfId="40490" xr:uid="{00000000-0005-0000-0000-0000039F0000}"/>
    <cellStyle name="RIGs input totals 5 2 2 5 12" xfId="40491" xr:uid="{00000000-0005-0000-0000-0000049F0000}"/>
    <cellStyle name="RIGs input totals 5 2 2 5 13" xfId="40492" xr:uid="{00000000-0005-0000-0000-0000059F0000}"/>
    <cellStyle name="RIGs input totals 5 2 2 5 2" xfId="40493" xr:uid="{00000000-0005-0000-0000-0000069F0000}"/>
    <cellStyle name="RIGs input totals 5 2 2 5 2 2" xfId="40494" xr:uid="{00000000-0005-0000-0000-0000079F0000}"/>
    <cellStyle name="RIGs input totals 5 2 2 5 2 3" xfId="40495" xr:uid="{00000000-0005-0000-0000-0000089F0000}"/>
    <cellStyle name="RIGs input totals 5 2 2 5 3" xfId="40496" xr:uid="{00000000-0005-0000-0000-0000099F0000}"/>
    <cellStyle name="RIGs input totals 5 2 2 5 3 2" xfId="40497" xr:uid="{00000000-0005-0000-0000-00000A9F0000}"/>
    <cellStyle name="RIGs input totals 5 2 2 5 3 3" xfId="40498" xr:uid="{00000000-0005-0000-0000-00000B9F0000}"/>
    <cellStyle name="RIGs input totals 5 2 2 5 4" xfId="40499" xr:uid="{00000000-0005-0000-0000-00000C9F0000}"/>
    <cellStyle name="RIGs input totals 5 2 2 5 5" xfId="40500" xr:uid="{00000000-0005-0000-0000-00000D9F0000}"/>
    <cellStyle name="RIGs input totals 5 2 2 5 6" xfId="40501" xr:uid="{00000000-0005-0000-0000-00000E9F0000}"/>
    <cellStyle name="RIGs input totals 5 2 2 5 7" xfId="40502" xr:uid="{00000000-0005-0000-0000-00000F9F0000}"/>
    <cellStyle name="RIGs input totals 5 2 2 5 8" xfId="40503" xr:uid="{00000000-0005-0000-0000-0000109F0000}"/>
    <cellStyle name="RIGs input totals 5 2 2 5 9" xfId="40504" xr:uid="{00000000-0005-0000-0000-0000119F0000}"/>
    <cellStyle name="RIGs input totals 5 2 2 6" xfId="40505" xr:uid="{00000000-0005-0000-0000-0000129F0000}"/>
    <cellStyle name="RIGs input totals 5 2 2 6 2" xfId="40506" xr:uid="{00000000-0005-0000-0000-0000139F0000}"/>
    <cellStyle name="RIGs input totals 5 2 2 6 2 2" xfId="40507" xr:uid="{00000000-0005-0000-0000-0000149F0000}"/>
    <cellStyle name="RIGs input totals 5 2 2 6 2 3" xfId="40508" xr:uid="{00000000-0005-0000-0000-0000159F0000}"/>
    <cellStyle name="RIGs input totals 5 2 2 6 3" xfId="40509" xr:uid="{00000000-0005-0000-0000-0000169F0000}"/>
    <cellStyle name="RIGs input totals 5 2 2 6 3 2" xfId="40510" xr:uid="{00000000-0005-0000-0000-0000179F0000}"/>
    <cellStyle name="RIGs input totals 5 2 2 6 4" xfId="40511" xr:uid="{00000000-0005-0000-0000-0000189F0000}"/>
    <cellStyle name="RIGs input totals 5 2 2 7" xfId="40512" xr:uid="{00000000-0005-0000-0000-0000199F0000}"/>
    <cellStyle name="RIGs input totals 5 2 2 7 2" xfId="40513" xr:uid="{00000000-0005-0000-0000-00001A9F0000}"/>
    <cellStyle name="RIGs input totals 5 2 2 8" xfId="40514" xr:uid="{00000000-0005-0000-0000-00001B9F0000}"/>
    <cellStyle name="RIGs input totals 5 2 2 8 2" xfId="40515" xr:uid="{00000000-0005-0000-0000-00001C9F0000}"/>
    <cellStyle name="RIGs input totals 5 2 2 9" xfId="40516" xr:uid="{00000000-0005-0000-0000-00001D9F0000}"/>
    <cellStyle name="RIGs input totals 5 2 2 9 2" xfId="40517" xr:uid="{00000000-0005-0000-0000-00001E9F0000}"/>
    <cellStyle name="RIGs input totals 5 2 2_4 28 1_Asst_Health_Crit_AllTO_RIIO_20110714pm" xfId="40518" xr:uid="{00000000-0005-0000-0000-00001F9F0000}"/>
    <cellStyle name="RIGs input totals 5 2 20" xfId="40519" xr:uid="{00000000-0005-0000-0000-0000209F0000}"/>
    <cellStyle name="RIGs input totals 5 2 20 2" xfId="40520" xr:uid="{00000000-0005-0000-0000-0000219F0000}"/>
    <cellStyle name="RIGs input totals 5 2 21" xfId="40521" xr:uid="{00000000-0005-0000-0000-0000229F0000}"/>
    <cellStyle name="RIGs input totals 5 2 21 2" xfId="40522" xr:uid="{00000000-0005-0000-0000-0000239F0000}"/>
    <cellStyle name="RIGs input totals 5 2 22" xfId="40523" xr:uid="{00000000-0005-0000-0000-0000249F0000}"/>
    <cellStyle name="RIGs input totals 5 2 22 2" xfId="40524" xr:uid="{00000000-0005-0000-0000-0000259F0000}"/>
    <cellStyle name="RIGs input totals 5 2 23" xfId="40525" xr:uid="{00000000-0005-0000-0000-0000269F0000}"/>
    <cellStyle name="RIGs input totals 5 2 23 2" xfId="40526" xr:uid="{00000000-0005-0000-0000-0000279F0000}"/>
    <cellStyle name="RIGs input totals 5 2 24" xfId="40527" xr:uid="{00000000-0005-0000-0000-0000289F0000}"/>
    <cellStyle name="RIGs input totals 5 2 24 2" xfId="40528" xr:uid="{00000000-0005-0000-0000-0000299F0000}"/>
    <cellStyle name="RIGs input totals 5 2 25" xfId="40529" xr:uid="{00000000-0005-0000-0000-00002A9F0000}"/>
    <cellStyle name="RIGs input totals 5 2 25 2" xfId="40530" xr:uid="{00000000-0005-0000-0000-00002B9F0000}"/>
    <cellStyle name="RIGs input totals 5 2 26" xfId="40531" xr:uid="{00000000-0005-0000-0000-00002C9F0000}"/>
    <cellStyle name="RIGs input totals 5 2 26 2" xfId="40532" xr:uid="{00000000-0005-0000-0000-00002D9F0000}"/>
    <cellStyle name="RIGs input totals 5 2 27" xfId="40533" xr:uid="{00000000-0005-0000-0000-00002E9F0000}"/>
    <cellStyle name="RIGs input totals 5 2 28" xfId="40534" xr:uid="{00000000-0005-0000-0000-00002F9F0000}"/>
    <cellStyle name="RIGs input totals 5 2 29" xfId="40535" xr:uid="{00000000-0005-0000-0000-0000309F0000}"/>
    <cellStyle name="RIGs input totals 5 2 3" xfId="40536" xr:uid="{00000000-0005-0000-0000-0000319F0000}"/>
    <cellStyle name="RIGs input totals 5 2 3 10" xfId="40537" xr:uid="{00000000-0005-0000-0000-0000329F0000}"/>
    <cellStyle name="RIGs input totals 5 2 3 11" xfId="40538" xr:uid="{00000000-0005-0000-0000-0000339F0000}"/>
    <cellStyle name="RIGs input totals 5 2 3 12" xfId="40539" xr:uid="{00000000-0005-0000-0000-0000349F0000}"/>
    <cellStyle name="RIGs input totals 5 2 3 13" xfId="40540" xr:uid="{00000000-0005-0000-0000-0000359F0000}"/>
    <cellStyle name="RIGs input totals 5 2 3 14" xfId="40541" xr:uid="{00000000-0005-0000-0000-0000369F0000}"/>
    <cellStyle name="RIGs input totals 5 2 3 15" xfId="40542" xr:uid="{00000000-0005-0000-0000-0000379F0000}"/>
    <cellStyle name="RIGs input totals 5 2 3 16" xfId="40543" xr:uid="{00000000-0005-0000-0000-0000389F0000}"/>
    <cellStyle name="RIGs input totals 5 2 3 17" xfId="40544" xr:uid="{00000000-0005-0000-0000-0000399F0000}"/>
    <cellStyle name="RIGs input totals 5 2 3 18" xfId="40545" xr:uid="{00000000-0005-0000-0000-00003A9F0000}"/>
    <cellStyle name="RIGs input totals 5 2 3 19" xfId="40546" xr:uid="{00000000-0005-0000-0000-00003B9F0000}"/>
    <cellStyle name="RIGs input totals 5 2 3 2" xfId="40547" xr:uid="{00000000-0005-0000-0000-00003C9F0000}"/>
    <cellStyle name="RIGs input totals 5 2 3 2 10" xfId="40548" xr:uid="{00000000-0005-0000-0000-00003D9F0000}"/>
    <cellStyle name="RIGs input totals 5 2 3 2 11" xfId="40549" xr:uid="{00000000-0005-0000-0000-00003E9F0000}"/>
    <cellStyle name="RIGs input totals 5 2 3 2 12" xfId="40550" xr:uid="{00000000-0005-0000-0000-00003F9F0000}"/>
    <cellStyle name="RIGs input totals 5 2 3 2 13" xfId="40551" xr:uid="{00000000-0005-0000-0000-0000409F0000}"/>
    <cellStyle name="RIGs input totals 5 2 3 2 14" xfId="40552" xr:uid="{00000000-0005-0000-0000-0000419F0000}"/>
    <cellStyle name="RIGs input totals 5 2 3 2 15" xfId="40553" xr:uid="{00000000-0005-0000-0000-0000429F0000}"/>
    <cellStyle name="RIGs input totals 5 2 3 2 16" xfId="40554" xr:uid="{00000000-0005-0000-0000-0000439F0000}"/>
    <cellStyle name="RIGs input totals 5 2 3 2 17" xfId="40555" xr:uid="{00000000-0005-0000-0000-0000449F0000}"/>
    <cellStyle name="RIGs input totals 5 2 3 2 18" xfId="40556" xr:uid="{00000000-0005-0000-0000-0000459F0000}"/>
    <cellStyle name="RIGs input totals 5 2 3 2 19" xfId="40557" xr:uid="{00000000-0005-0000-0000-0000469F0000}"/>
    <cellStyle name="RIGs input totals 5 2 3 2 2" xfId="40558" xr:uid="{00000000-0005-0000-0000-0000479F0000}"/>
    <cellStyle name="RIGs input totals 5 2 3 2 2 10" xfId="40559" xr:uid="{00000000-0005-0000-0000-0000489F0000}"/>
    <cellStyle name="RIGs input totals 5 2 3 2 2 11" xfId="40560" xr:uid="{00000000-0005-0000-0000-0000499F0000}"/>
    <cellStyle name="RIGs input totals 5 2 3 2 2 12" xfId="40561" xr:uid="{00000000-0005-0000-0000-00004A9F0000}"/>
    <cellStyle name="RIGs input totals 5 2 3 2 2 13" xfId="40562" xr:uid="{00000000-0005-0000-0000-00004B9F0000}"/>
    <cellStyle name="RIGs input totals 5 2 3 2 2 2" xfId="40563" xr:uid="{00000000-0005-0000-0000-00004C9F0000}"/>
    <cellStyle name="RIGs input totals 5 2 3 2 2 2 2" xfId="40564" xr:uid="{00000000-0005-0000-0000-00004D9F0000}"/>
    <cellStyle name="RIGs input totals 5 2 3 2 2 2 3" xfId="40565" xr:uid="{00000000-0005-0000-0000-00004E9F0000}"/>
    <cellStyle name="RIGs input totals 5 2 3 2 2 3" xfId="40566" xr:uid="{00000000-0005-0000-0000-00004F9F0000}"/>
    <cellStyle name="RIGs input totals 5 2 3 2 2 3 2" xfId="40567" xr:uid="{00000000-0005-0000-0000-0000509F0000}"/>
    <cellStyle name="RIGs input totals 5 2 3 2 2 3 3" xfId="40568" xr:uid="{00000000-0005-0000-0000-0000519F0000}"/>
    <cellStyle name="RIGs input totals 5 2 3 2 2 4" xfId="40569" xr:uid="{00000000-0005-0000-0000-0000529F0000}"/>
    <cellStyle name="RIGs input totals 5 2 3 2 2 5" xfId="40570" xr:uid="{00000000-0005-0000-0000-0000539F0000}"/>
    <cellStyle name="RIGs input totals 5 2 3 2 2 6" xfId="40571" xr:uid="{00000000-0005-0000-0000-0000549F0000}"/>
    <cellStyle name="RIGs input totals 5 2 3 2 2 7" xfId="40572" xr:uid="{00000000-0005-0000-0000-0000559F0000}"/>
    <cellStyle name="RIGs input totals 5 2 3 2 2 8" xfId="40573" xr:uid="{00000000-0005-0000-0000-0000569F0000}"/>
    <cellStyle name="RIGs input totals 5 2 3 2 2 9" xfId="40574" xr:uid="{00000000-0005-0000-0000-0000579F0000}"/>
    <cellStyle name="RIGs input totals 5 2 3 2 20" xfId="40575" xr:uid="{00000000-0005-0000-0000-0000589F0000}"/>
    <cellStyle name="RIGs input totals 5 2 3 2 21" xfId="40576" xr:uid="{00000000-0005-0000-0000-0000599F0000}"/>
    <cellStyle name="RIGs input totals 5 2 3 2 22" xfId="40577" xr:uid="{00000000-0005-0000-0000-00005A9F0000}"/>
    <cellStyle name="RIGs input totals 5 2 3 2 23" xfId="40578" xr:uid="{00000000-0005-0000-0000-00005B9F0000}"/>
    <cellStyle name="RIGs input totals 5 2 3 2 24" xfId="40579" xr:uid="{00000000-0005-0000-0000-00005C9F0000}"/>
    <cellStyle name="RIGs input totals 5 2 3 2 25" xfId="40580" xr:uid="{00000000-0005-0000-0000-00005D9F0000}"/>
    <cellStyle name="RIGs input totals 5 2 3 2 26" xfId="40581" xr:uid="{00000000-0005-0000-0000-00005E9F0000}"/>
    <cellStyle name="RIGs input totals 5 2 3 2 27" xfId="40582" xr:uid="{00000000-0005-0000-0000-00005F9F0000}"/>
    <cellStyle name="RIGs input totals 5 2 3 2 28" xfId="40583" xr:uid="{00000000-0005-0000-0000-0000609F0000}"/>
    <cellStyle name="RIGs input totals 5 2 3 2 29" xfId="40584" xr:uid="{00000000-0005-0000-0000-0000619F0000}"/>
    <cellStyle name="RIGs input totals 5 2 3 2 3" xfId="40585" xr:uid="{00000000-0005-0000-0000-0000629F0000}"/>
    <cellStyle name="RIGs input totals 5 2 3 2 3 2" xfId="40586" xr:uid="{00000000-0005-0000-0000-0000639F0000}"/>
    <cellStyle name="RIGs input totals 5 2 3 2 3 3" xfId="40587" xr:uid="{00000000-0005-0000-0000-0000649F0000}"/>
    <cellStyle name="RIGs input totals 5 2 3 2 30" xfId="40588" xr:uid="{00000000-0005-0000-0000-0000659F0000}"/>
    <cellStyle name="RIGs input totals 5 2 3 2 31" xfId="40589" xr:uid="{00000000-0005-0000-0000-0000669F0000}"/>
    <cellStyle name="RIGs input totals 5 2 3 2 32" xfId="40590" xr:uid="{00000000-0005-0000-0000-0000679F0000}"/>
    <cellStyle name="RIGs input totals 5 2 3 2 33" xfId="40591" xr:uid="{00000000-0005-0000-0000-0000689F0000}"/>
    <cellStyle name="RIGs input totals 5 2 3 2 34" xfId="40592" xr:uid="{00000000-0005-0000-0000-0000699F0000}"/>
    <cellStyle name="RIGs input totals 5 2 3 2 4" xfId="40593" xr:uid="{00000000-0005-0000-0000-00006A9F0000}"/>
    <cellStyle name="RIGs input totals 5 2 3 2 4 2" xfId="40594" xr:uid="{00000000-0005-0000-0000-00006B9F0000}"/>
    <cellStyle name="RIGs input totals 5 2 3 2 4 3" xfId="40595" xr:uid="{00000000-0005-0000-0000-00006C9F0000}"/>
    <cellStyle name="RIGs input totals 5 2 3 2 5" xfId="40596" xr:uid="{00000000-0005-0000-0000-00006D9F0000}"/>
    <cellStyle name="RIGs input totals 5 2 3 2 6" xfId="40597" xr:uid="{00000000-0005-0000-0000-00006E9F0000}"/>
    <cellStyle name="RIGs input totals 5 2 3 2 7" xfId="40598" xr:uid="{00000000-0005-0000-0000-00006F9F0000}"/>
    <cellStyle name="RIGs input totals 5 2 3 2 8" xfId="40599" xr:uid="{00000000-0005-0000-0000-0000709F0000}"/>
    <cellStyle name="RIGs input totals 5 2 3 2 9" xfId="40600" xr:uid="{00000000-0005-0000-0000-0000719F0000}"/>
    <cellStyle name="RIGs input totals 5 2 3 20" xfId="40601" xr:uid="{00000000-0005-0000-0000-0000729F0000}"/>
    <cellStyle name="RIGs input totals 5 2 3 21" xfId="40602" xr:uid="{00000000-0005-0000-0000-0000739F0000}"/>
    <cellStyle name="RIGs input totals 5 2 3 22" xfId="40603" xr:uid="{00000000-0005-0000-0000-0000749F0000}"/>
    <cellStyle name="RIGs input totals 5 2 3 23" xfId="40604" xr:uid="{00000000-0005-0000-0000-0000759F0000}"/>
    <cellStyle name="RIGs input totals 5 2 3 24" xfId="40605" xr:uid="{00000000-0005-0000-0000-0000769F0000}"/>
    <cellStyle name="RIGs input totals 5 2 3 25" xfId="40606" xr:uid="{00000000-0005-0000-0000-0000779F0000}"/>
    <cellStyle name="RIGs input totals 5 2 3 26" xfId="40607" xr:uid="{00000000-0005-0000-0000-0000789F0000}"/>
    <cellStyle name="RIGs input totals 5 2 3 27" xfId="40608" xr:uid="{00000000-0005-0000-0000-0000799F0000}"/>
    <cellStyle name="RIGs input totals 5 2 3 28" xfId="40609" xr:uid="{00000000-0005-0000-0000-00007A9F0000}"/>
    <cellStyle name="RIGs input totals 5 2 3 29" xfId="40610" xr:uid="{00000000-0005-0000-0000-00007B9F0000}"/>
    <cellStyle name="RIGs input totals 5 2 3 3" xfId="40611" xr:uid="{00000000-0005-0000-0000-00007C9F0000}"/>
    <cellStyle name="RIGs input totals 5 2 3 3 10" xfId="40612" xr:uid="{00000000-0005-0000-0000-00007D9F0000}"/>
    <cellStyle name="RIGs input totals 5 2 3 3 11" xfId="40613" xr:uid="{00000000-0005-0000-0000-00007E9F0000}"/>
    <cellStyle name="RIGs input totals 5 2 3 3 12" xfId="40614" xr:uid="{00000000-0005-0000-0000-00007F9F0000}"/>
    <cellStyle name="RIGs input totals 5 2 3 3 13" xfId="40615" xr:uid="{00000000-0005-0000-0000-0000809F0000}"/>
    <cellStyle name="RIGs input totals 5 2 3 3 2" xfId="40616" xr:uid="{00000000-0005-0000-0000-0000819F0000}"/>
    <cellStyle name="RIGs input totals 5 2 3 3 2 2" xfId="40617" xr:uid="{00000000-0005-0000-0000-0000829F0000}"/>
    <cellStyle name="RIGs input totals 5 2 3 3 2 3" xfId="40618" xr:uid="{00000000-0005-0000-0000-0000839F0000}"/>
    <cellStyle name="RIGs input totals 5 2 3 3 3" xfId="40619" xr:uid="{00000000-0005-0000-0000-0000849F0000}"/>
    <cellStyle name="RIGs input totals 5 2 3 3 3 2" xfId="40620" xr:uid="{00000000-0005-0000-0000-0000859F0000}"/>
    <cellStyle name="RIGs input totals 5 2 3 3 3 3" xfId="40621" xr:uid="{00000000-0005-0000-0000-0000869F0000}"/>
    <cellStyle name="RIGs input totals 5 2 3 3 4" xfId="40622" xr:uid="{00000000-0005-0000-0000-0000879F0000}"/>
    <cellStyle name="RIGs input totals 5 2 3 3 5" xfId="40623" xr:uid="{00000000-0005-0000-0000-0000889F0000}"/>
    <cellStyle name="RIGs input totals 5 2 3 3 6" xfId="40624" xr:uid="{00000000-0005-0000-0000-0000899F0000}"/>
    <cellStyle name="RIGs input totals 5 2 3 3 7" xfId="40625" xr:uid="{00000000-0005-0000-0000-00008A9F0000}"/>
    <cellStyle name="RIGs input totals 5 2 3 3 8" xfId="40626" xr:uid="{00000000-0005-0000-0000-00008B9F0000}"/>
    <cellStyle name="RIGs input totals 5 2 3 3 9" xfId="40627" xr:uid="{00000000-0005-0000-0000-00008C9F0000}"/>
    <cellStyle name="RIGs input totals 5 2 3 30" xfId="40628" xr:uid="{00000000-0005-0000-0000-00008D9F0000}"/>
    <cellStyle name="RIGs input totals 5 2 3 31" xfId="40629" xr:uid="{00000000-0005-0000-0000-00008E9F0000}"/>
    <cellStyle name="RIGs input totals 5 2 3 32" xfId="40630" xr:uid="{00000000-0005-0000-0000-00008F9F0000}"/>
    <cellStyle name="RIGs input totals 5 2 3 33" xfId="40631" xr:uid="{00000000-0005-0000-0000-0000909F0000}"/>
    <cellStyle name="RIGs input totals 5 2 3 34" xfId="40632" xr:uid="{00000000-0005-0000-0000-0000919F0000}"/>
    <cellStyle name="RIGs input totals 5 2 3 35" xfId="40633" xr:uid="{00000000-0005-0000-0000-0000929F0000}"/>
    <cellStyle name="RIGs input totals 5 2 3 4" xfId="40634" xr:uid="{00000000-0005-0000-0000-0000939F0000}"/>
    <cellStyle name="RIGs input totals 5 2 3 4 2" xfId="40635" xr:uid="{00000000-0005-0000-0000-0000949F0000}"/>
    <cellStyle name="RIGs input totals 5 2 3 4 3" xfId="40636" xr:uid="{00000000-0005-0000-0000-0000959F0000}"/>
    <cellStyle name="RIGs input totals 5 2 3 5" xfId="40637" xr:uid="{00000000-0005-0000-0000-0000969F0000}"/>
    <cellStyle name="RIGs input totals 5 2 3 5 2" xfId="40638" xr:uid="{00000000-0005-0000-0000-0000979F0000}"/>
    <cellStyle name="RIGs input totals 5 2 3 5 3" xfId="40639" xr:uid="{00000000-0005-0000-0000-0000989F0000}"/>
    <cellStyle name="RIGs input totals 5 2 3 6" xfId="40640" xr:uid="{00000000-0005-0000-0000-0000999F0000}"/>
    <cellStyle name="RIGs input totals 5 2 3 7" xfId="40641" xr:uid="{00000000-0005-0000-0000-00009A9F0000}"/>
    <cellStyle name="RIGs input totals 5 2 3 8" xfId="40642" xr:uid="{00000000-0005-0000-0000-00009B9F0000}"/>
    <cellStyle name="RIGs input totals 5 2 3 9" xfId="40643" xr:uid="{00000000-0005-0000-0000-00009C9F0000}"/>
    <cellStyle name="RIGs input totals 5 2 3_4 28 1_Asst_Health_Crit_AllTO_RIIO_20110714pm" xfId="40644" xr:uid="{00000000-0005-0000-0000-00009D9F0000}"/>
    <cellStyle name="RIGs input totals 5 2 30" xfId="40645" xr:uid="{00000000-0005-0000-0000-00009E9F0000}"/>
    <cellStyle name="RIGs input totals 5 2 31" xfId="40646" xr:uid="{00000000-0005-0000-0000-00009F9F0000}"/>
    <cellStyle name="RIGs input totals 5 2 32" xfId="40647" xr:uid="{00000000-0005-0000-0000-0000A09F0000}"/>
    <cellStyle name="RIGs input totals 5 2 33" xfId="40648" xr:uid="{00000000-0005-0000-0000-0000A19F0000}"/>
    <cellStyle name="RIGs input totals 5 2 34" xfId="40649" xr:uid="{00000000-0005-0000-0000-0000A29F0000}"/>
    <cellStyle name="RIGs input totals 5 2 35" xfId="40650" xr:uid="{00000000-0005-0000-0000-0000A39F0000}"/>
    <cellStyle name="RIGs input totals 5 2 36" xfId="40651" xr:uid="{00000000-0005-0000-0000-0000A49F0000}"/>
    <cellStyle name="RIGs input totals 5 2 37" xfId="40652" xr:uid="{00000000-0005-0000-0000-0000A59F0000}"/>
    <cellStyle name="RIGs input totals 5 2 38" xfId="40653" xr:uid="{00000000-0005-0000-0000-0000A69F0000}"/>
    <cellStyle name="RIGs input totals 5 2 39" xfId="40654" xr:uid="{00000000-0005-0000-0000-0000A79F0000}"/>
    <cellStyle name="RIGs input totals 5 2 4" xfId="40655" xr:uid="{00000000-0005-0000-0000-0000A89F0000}"/>
    <cellStyle name="RIGs input totals 5 2 4 10" xfId="40656" xr:uid="{00000000-0005-0000-0000-0000A99F0000}"/>
    <cellStyle name="RIGs input totals 5 2 4 11" xfId="40657" xr:uid="{00000000-0005-0000-0000-0000AA9F0000}"/>
    <cellStyle name="RIGs input totals 5 2 4 12" xfId="40658" xr:uid="{00000000-0005-0000-0000-0000AB9F0000}"/>
    <cellStyle name="RIGs input totals 5 2 4 13" xfId="40659" xr:uid="{00000000-0005-0000-0000-0000AC9F0000}"/>
    <cellStyle name="RIGs input totals 5 2 4 14" xfId="40660" xr:uid="{00000000-0005-0000-0000-0000AD9F0000}"/>
    <cellStyle name="RIGs input totals 5 2 4 15" xfId="40661" xr:uid="{00000000-0005-0000-0000-0000AE9F0000}"/>
    <cellStyle name="RIGs input totals 5 2 4 16" xfId="40662" xr:uid="{00000000-0005-0000-0000-0000AF9F0000}"/>
    <cellStyle name="RIGs input totals 5 2 4 17" xfId="40663" xr:uid="{00000000-0005-0000-0000-0000B09F0000}"/>
    <cellStyle name="RIGs input totals 5 2 4 18" xfId="40664" xr:uid="{00000000-0005-0000-0000-0000B19F0000}"/>
    <cellStyle name="RIGs input totals 5 2 4 19" xfId="40665" xr:uid="{00000000-0005-0000-0000-0000B29F0000}"/>
    <cellStyle name="RIGs input totals 5 2 4 2" xfId="40666" xr:uid="{00000000-0005-0000-0000-0000B39F0000}"/>
    <cellStyle name="RIGs input totals 5 2 4 2 10" xfId="40667" xr:uid="{00000000-0005-0000-0000-0000B49F0000}"/>
    <cellStyle name="RIGs input totals 5 2 4 2 11" xfId="40668" xr:uid="{00000000-0005-0000-0000-0000B59F0000}"/>
    <cellStyle name="RIGs input totals 5 2 4 2 12" xfId="40669" xr:uid="{00000000-0005-0000-0000-0000B69F0000}"/>
    <cellStyle name="RIGs input totals 5 2 4 2 13" xfId="40670" xr:uid="{00000000-0005-0000-0000-0000B79F0000}"/>
    <cellStyle name="RIGs input totals 5 2 4 2 2" xfId="40671" xr:uid="{00000000-0005-0000-0000-0000B89F0000}"/>
    <cellStyle name="RIGs input totals 5 2 4 2 2 2" xfId="40672" xr:uid="{00000000-0005-0000-0000-0000B99F0000}"/>
    <cellStyle name="RIGs input totals 5 2 4 2 2 3" xfId="40673" xr:uid="{00000000-0005-0000-0000-0000BA9F0000}"/>
    <cellStyle name="RIGs input totals 5 2 4 2 3" xfId="40674" xr:uid="{00000000-0005-0000-0000-0000BB9F0000}"/>
    <cellStyle name="RIGs input totals 5 2 4 2 3 2" xfId="40675" xr:uid="{00000000-0005-0000-0000-0000BC9F0000}"/>
    <cellStyle name="RIGs input totals 5 2 4 2 3 3" xfId="40676" xr:uid="{00000000-0005-0000-0000-0000BD9F0000}"/>
    <cellStyle name="RIGs input totals 5 2 4 2 4" xfId="40677" xr:uid="{00000000-0005-0000-0000-0000BE9F0000}"/>
    <cellStyle name="RIGs input totals 5 2 4 2 5" xfId="40678" xr:uid="{00000000-0005-0000-0000-0000BF9F0000}"/>
    <cellStyle name="RIGs input totals 5 2 4 2 6" xfId="40679" xr:uid="{00000000-0005-0000-0000-0000C09F0000}"/>
    <cellStyle name="RIGs input totals 5 2 4 2 7" xfId="40680" xr:uid="{00000000-0005-0000-0000-0000C19F0000}"/>
    <cellStyle name="RIGs input totals 5 2 4 2 8" xfId="40681" xr:uid="{00000000-0005-0000-0000-0000C29F0000}"/>
    <cellStyle name="RIGs input totals 5 2 4 2 9" xfId="40682" xr:uid="{00000000-0005-0000-0000-0000C39F0000}"/>
    <cellStyle name="RIGs input totals 5 2 4 20" xfId="40683" xr:uid="{00000000-0005-0000-0000-0000C49F0000}"/>
    <cellStyle name="RIGs input totals 5 2 4 21" xfId="40684" xr:uid="{00000000-0005-0000-0000-0000C59F0000}"/>
    <cellStyle name="RIGs input totals 5 2 4 22" xfId="40685" xr:uid="{00000000-0005-0000-0000-0000C69F0000}"/>
    <cellStyle name="RIGs input totals 5 2 4 23" xfId="40686" xr:uid="{00000000-0005-0000-0000-0000C79F0000}"/>
    <cellStyle name="RIGs input totals 5 2 4 24" xfId="40687" xr:uid="{00000000-0005-0000-0000-0000C89F0000}"/>
    <cellStyle name="RIGs input totals 5 2 4 25" xfId="40688" xr:uid="{00000000-0005-0000-0000-0000C99F0000}"/>
    <cellStyle name="RIGs input totals 5 2 4 26" xfId="40689" xr:uid="{00000000-0005-0000-0000-0000CA9F0000}"/>
    <cellStyle name="RIGs input totals 5 2 4 27" xfId="40690" xr:uid="{00000000-0005-0000-0000-0000CB9F0000}"/>
    <cellStyle name="RIGs input totals 5 2 4 28" xfId="40691" xr:uid="{00000000-0005-0000-0000-0000CC9F0000}"/>
    <cellStyle name="RIGs input totals 5 2 4 29" xfId="40692" xr:uid="{00000000-0005-0000-0000-0000CD9F0000}"/>
    <cellStyle name="RIGs input totals 5 2 4 3" xfId="40693" xr:uid="{00000000-0005-0000-0000-0000CE9F0000}"/>
    <cellStyle name="RIGs input totals 5 2 4 3 2" xfId="40694" xr:uid="{00000000-0005-0000-0000-0000CF9F0000}"/>
    <cellStyle name="RIGs input totals 5 2 4 3 3" xfId="40695" xr:uid="{00000000-0005-0000-0000-0000D09F0000}"/>
    <cellStyle name="RIGs input totals 5 2 4 30" xfId="40696" xr:uid="{00000000-0005-0000-0000-0000D19F0000}"/>
    <cellStyle name="RIGs input totals 5 2 4 31" xfId="40697" xr:uid="{00000000-0005-0000-0000-0000D29F0000}"/>
    <cellStyle name="RIGs input totals 5 2 4 32" xfId="40698" xr:uid="{00000000-0005-0000-0000-0000D39F0000}"/>
    <cellStyle name="RIGs input totals 5 2 4 33" xfId="40699" xr:uid="{00000000-0005-0000-0000-0000D49F0000}"/>
    <cellStyle name="RIGs input totals 5 2 4 34" xfId="40700" xr:uid="{00000000-0005-0000-0000-0000D59F0000}"/>
    <cellStyle name="RIGs input totals 5 2 4 4" xfId="40701" xr:uid="{00000000-0005-0000-0000-0000D69F0000}"/>
    <cellStyle name="RIGs input totals 5 2 4 4 2" xfId="40702" xr:uid="{00000000-0005-0000-0000-0000D79F0000}"/>
    <cellStyle name="RIGs input totals 5 2 4 4 3" xfId="40703" xr:uid="{00000000-0005-0000-0000-0000D89F0000}"/>
    <cellStyle name="RIGs input totals 5 2 4 5" xfId="40704" xr:uid="{00000000-0005-0000-0000-0000D99F0000}"/>
    <cellStyle name="RIGs input totals 5 2 4 6" xfId="40705" xr:uid="{00000000-0005-0000-0000-0000DA9F0000}"/>
    <cellStyle name="RIGs input totals 5 2 4 7" xfId="40706" xr:uid="{00000000-0005-0000-0000-0000DB9F0000}"/>
    <cellStyle name="RIGs input totals 5 2 4 8" xfId="40707" xr:uid="{00000000-0005-0000-0000-0000DC9F0000}"/>
    <cellStyle name="RIGs input totals 5 2 4 9" xfId="40708" xr:uid="{00000000-0005-0000-0000-0000DD9F0000}"/>
    <cellStyle name="RIGs input totals 5 2 5" xfId="40709" xr:uid="{00000000-0005-0000-0000-0000DE9F0000}"/>
    <cellStyle name="RIGs input totals 5 2 5 10" xfId="40710" xr:uid="{00000000-0005-0000-0000-0000DF9F0000}"/>
    <cellStyle name="RIGs input totals 5 2 5 11" xfId="40711" xr:uid="{00000000-0005-0000-0000-0000E09F0000}"/>
    <cellStyle name="RIGs input totals 5 2 5 12" xfId="40712" xr:uid="{00000000-0005-0000-0000-0000E19F0000}"/>
    <cellStyle name="RIGs input totals 5 2 5 13" xfId="40713" xr:uid="{00000000-0005-0000-0000-0000E29F0000}"/>
    <cellStyle name="RIGs input totals 5 2 5 14" xfId="40714" xr:uid="{00000000-0005-0000-0000-0000E39F0000}"/>
    <cellStyle name="RIGs input totals 5 2 5 15" xfId="40715" xr:uid="{00000000-0005-0000-0000-0000E49F0000}"/>
    <cellStyle name="RIGs input totals 5 2 5 16" xfId="40716" xr:uid="{00000000-0005-0000-0000-0000E59F0000}"/>
    <cellStyle name="RIGs input totals 5 2 5 17" xfId="40717" xr:uid="{00000000-0005-0000-0000-0000E69F0000}"/>
    <cellStyle name="RIGs input totals 5 2 5 18" xfId="40718" xr:uid="{00000000-0005-0000-0000-0000E79F0000}"/>
    <cellStyle name="RIGs input totals 5 2 5 19" xfId="40719" xr:uid="{00000000-0005-0000-0000-0000E89F0000}"/>
    <cellStyle name="RIGs input totals 5 2 5 2" xfId="40720" xr:uid="{00000000-0005-0000-0000-0000E99F0000}"/>
    <cellStyle name="RIGs input totals 5 2 5 2 10" xfId="40721" xr:uid="{00000000-0005-0000-0000-0000EA9F0000}"/>
    <cellStyle name="RIGs input totals 5 2 5 2 11" xfId="40722" xr:uid="{00000000-0005-0000-0000-0000EB9F0000}"/>
    <cellStyle name="RIGs input totals 5 2 5 2 12" xfId="40723" xr:uid="{00000000-0005-0000-0000-0000EC9F0000}"/>
    <cellStyle name="RIGs input totals 5 2 5 2 13" xfId="40724" xr:uid="{00000000-0005-0000-0000-0000ED9F0000}"/>
    <cellStyle name="RIGs input totals 5 2 5 2 2" xfId="40725" xr:uid="{00000000-0005-0000-0000-0000EE9F0000}"/>
    <cellStyle name="RIGs input totals 5 2 5 2 2 2" xfId="40726" xr:uid="{00000000-0005-0000-0000-0000EF9F0000}"/>
    <cellStyle name="RIGs input totals 5 2 5 2 2 3" xfId="40727" xr:uid="{00000000-0005-0000-0000-0000F09F0000}"/>
    <cellStyle name="RIGs input totals 5 2 5 2 3" xfId="40728" xr:uid="{00000000-0005-0000-0000-0000F19F0000}"/>
    <cellStyle name="RIGs input totals 5 2 5 2 3 2" xfId="40729" xr:uid="{00000000-0005-0000-0000-0000F29F0000}"/>
    <cellStyle name="RIGs input totals 5 2 5 2 3 3" xfId="40730" xr:uid="{00000000-0005-0000-0000-0000F39F0000}"/>
    <cellStyle name="RIGs input totals 5 2 5 2 4" xfId="40731" xr:uid="{00000000-0005-0000-0000-0000F49F0000}"/>
    <cellStyle name="RIGs input totals 5 2 5 2 5" xfId="40732" xr:uid="{00000000-0005-0000-0000-0000F59F0000}"/>
    <cellStyle name="RIGs input totals 5 2 5 2 6" xfId="40733" xr:uid="{00000000-0005-0000-0000-0000F69F0000}"/>
    <cellStyle name="RIGs input totals 5 2 5 2 7" xfId="40734" xr:uid="{00000000-0005-0000-0000-0000F79F0000}"/>
    <cellStyle name="RIGs input totals 5 2 5 2 8" xfId="40735" xr:uid="{00000000-0005-0000-0000-0000F89F0000}"/>
    <cellStyle name="RIGs input totals 5 2 5 2 9" xfId="40736" xr:uid="{00000000-0005-0000-0000-0000F99F0000}"/>
    <cellStyle name="RIGs input totals 5 2 5 20" xfId="40737" xr:uid="{00000000-0005-0000-0000-0000FA9F0000}"/>
    <cellStyle name="RIGs input totals 5 2 5 21" xfId="40738" xr:uid="{00000000-0005-0000-0000-0000FB9F0000}"/>
    <cellStyle name="RIGs input totals 5 2 5 22" xfId="40739" xr:uid="{00000000-0005-0000-0000-0000FC9F0000}"/>
    <cellStyle name="RIGs input totals 5 2 5 23" xfId="40740" xr:uid="{00000000-0005-0000-0000-0000FD9F0000}"/>
    <cellStyle name="RIGs input totals 5 2 5 24" xfId="40741" xr:uid="{00000000-0005-0000-0000-0000FE9F0000}"/>
    <cellStyle name="RIGs input totals 5 2 5 25" xfId="40742" xr:uid="{00000000-0005-0000-0000-0000FF9F0000}"/>
    <cellStyle name="RIGs input totals 5 2 5 26" xfId="40743" xr:uid="{00000000-0005-0000-0000-000000A00000}"/>
    <cellStyle name="RIGs input totals 5 2 5 27" xfId="40744" xr:uid="{00000000-0005-0000-0000-000001A00000}"/>
    <cellStyle name="RIGs input totals 5 2 5 28" xfId="40745" xr:uid="{00000000-0005-0000-0000-000002A00000}"/>
    <cellStyle name="RIGs input totals 5 2 5 29" xfId="40746" xr:uid="{00000000-0005-0000-0000-000003A00000}"/>
    <cellStyle name="RIGs input totals 5 2 5 3" xfId="40747" xr:uid="{00000000-0005-0000-0000-000004A00000}"/>
    <cellStyle name="RIGs input totals 5 2 5 3 2" xfId="40748" xr:uid="{00000000-0005-0000-0000-000005A00000}"/>
    <cellStyle name="RIGs input totals 5 2 5 3 3" xfId="40749" xr:uid="{00000000-0005-0000-0000-000006A00000}"/>
    <cellStyle name="RIGs input totals 5 2 5 30" xfId="40750" xr:uid="{00000000-0005-0000-0000-000007A00000}"/>
    <cellStyle name="RIGs input totals 5 2 5 31" xfId="40751" xr:uid="{00000000-0005-0000-0000-000008A00000}"/>
    <cellStyle name="RIGs input totals 5 2 5 32" xfId="40752" xr:uid="{00000000-0005-0000-0000-000009A00000}"/>
    <cellStyle name="RIGs input totals 5 2 5 33" xfId="40753" xr:uid="{00000000-0005-0000-0000-00000AA00000}"/>
    <cellStyle name="RIGs input totals 5 2 5 34" xfId="40754" xr:uid="{00000000-0005-0000-0000-00000BA00000}"/>
    <cellStyle name="RIGs input totals 5 2 5 4" xfId="40755" xr:uid="{00000000-0005-0000-0000-00000CA00000}"/>
    <cellStyle name="RIGs input totals 5 2 5 4 2" xfId="40756" xr:uid="{00000000-0005-0000-0000-00000DA00000}"/>
    <cellStyle name="RIGs input totals 5 2 5 4 3" xfId="40757" xr:uid="{00000000-0005-0000-0000-00000EA00000}"/>
    <cellStyle name="RIGs input totals 5 2 5 5" xfId="40758" xr:uid="{00000000-0005-0000-0000-00000FA00000}"/>
    <cellStyle name="RIGs input totals 5 2 5 6" xfId="40759" xr:uid="{00000000-0005-0000-0000-000010A00000}"/>
    <cellStyle name="RIGs input totals 5 2 5 7" xfId="40760" xr:uid="{00000000-0005-0000-0000-000011A00000}"/>
    <cellStyle name="RIGs input totals 5 2 5 8" xfId="40761" xr:uid="{00000000-0005-0000-0000-000012A00000}"/>
    <cellStyle name="RIGs input totals 5 2 5 9" xfId="40762" xr:uid="{00000000-0005-0000-0000-000013A00000}"/>
    <cellStyle name="RIGs input totals 5 2 6" xfId="40763" xr:uid="{00000000-0005-0000-0000-000014A00000}"/>
    <cellStyle name="RIGs input totals 5 2 6 10" xfId="40764" xr:uid="{00000000-0005-0000-0000-000015A00000}"/>
    <cellStyle name="RIGs input totals 5 2 6 11" xfId="40765" xr:uid="{00000000-0005-0000-0000-000016A00000}"/>
    <cellStyle name="RIGs input totals 5 2 6 12" xfId="40766" xr:uid="{00000000-0005-0000-0000-000017A00000}"/>
    <cellStyle name="RIGs input totals 5 2 6 13" xfId="40767" xr:uid="{00000000-0005-0000-0000-000018A00000}"/>
    <cellStyle name="RIGs input totals 5 2 6 2" xfId="40768" xr:uid="{00000000-0005-0000-0000-000019A00000}"/>
    <cellStyle name="RIGs input totals 5 2 6 2 2" xfId="40769" xr:uid="{00000000-0005-0000-0000-00001AA00000}"/>
    <cellStyle name="RIGs input totals 5 2 6 2 3" xfId="40770" xr:uid="{00000000-0005-0000-0000-00001BA00000}"/>
    <cellStyle name="RIGs input totals 5 2 6 3" xfId="40771" xr:uid="{00000000-0005-0000-0000-00001CA00000}"/>
    <cellStyle name="RIGs input totals 5 2 6 3 2" xfId="40772" xr:uid="{00000000-0005-0000-0000-00001DA00000}"/>
    <cellStyle name="RIGs input totals 5 2 6 3 3" xfId="40773" xr:uid="{00000000-0005-0000-0000-00001EA00000}"/>
    <cellStyle name="RIGs input totals 5 2 6 4" xfId="40774" xr:uid="{00000000-0005-0000-0000-00001FA00000}"/>
    <cellStyle name="RIGs input totals 5 2 6 5" xfId="40775" xr:uid="{00000000-0005-0000-0000-000020A00000}"/>
    <cellStyle name="RIGs input totals 5 2 6 6" xfId="40776" xr:uid="{00000000-0005-0000-0000-000021A00000}"/>
    <cellStyle name="RIGs input totals 5 2 6 7" xfId="40777" xr:uid="{00000000-0005-0000-0000-000022A00000}"/>
    <cellStyle name="RIGs input totals 5 2 6 8" xfId="40778" xr:uid="{00000000-0005-0000-0000-000023A00000}"/>
    <cellStyle name="RIGs input totals 5 2 6 9" xfId="40779" xr:uid="{00000000-0005-0000-0000-000024A00000}"/>
    <cellStyle name="RIGs input totals 5 2 7" xfId="40780" xr:uid="{00000000-0005-0000-0000-000025A00000}"/>
    <cellStyle name="RIGs input totals 5 2 7 2" xfId="40781" xr:uid="{00000000-0005-0000-0000-000026A00000}"/>
    <cellStyle name="RIGs input totals 5 2 7 2 2" xfId="40782" xr:uid="{00000000-0005-0000-0000-000027A00000}"/>
    <cellStyle name="RIGs input totals 5 2 7 2 3" xfId="40783" xr:uid="{00000000-0005-0000-0000-000028A00000}"/>
    <cellStyle name="RIGs input totals 5 2 7 3" xfId="40784" xr:uid="{00000000-0005-0000-0000-000029A00000}"/>
    <cellStyle name="RIGs input totals 5 2 7 3 2" xfId="40785" xr:uid="{00000000-0005-0000-0000-00002AA00000}"/>
    <cellStyle name="RIGs input totals 5 2 7 4" xfId="40786" xr:uid="{00000000-0005-0000-0000-00002BA00000}"/>
    <cellStyle name="RIGs input totals 5 2 8" xfId="40787" xr:uid="{00000000-0005-0000-0000-00002CA00000}"/>
    <cellStyle name="RIGs input totals 5 2 8 2" xfId="40788" xr:uid="{00000000-0005-0000-0000-00002DA00000}"/>
    <cellStyle name="RIGs input totals 5 2 9" xfId="40789" xr:uid="{00000000-0005-0000-0000-00002EA00000}"/>
    <cellStyle name="RIGs input totals 5 2 9 2" xfId="40790" xr:uid="{00000000-0005-0000-0000-00002FA00000}"/>
    <cellStyle name="RIGs input totals 5 2_4 28 1_Asst_Health_Crit_AllTO_RIIO_20110714pm" xfId="40791" xr:uid="{00000000-0005-0000-0000-000030A00000}"/>
    <cellStyle name="RIGs input totals 5 20" xfId="40792" xr:uid="{00000000-0005-0000-0000-000031A00000}"/>
    <cellStyle name="RIGs input totals 5 20 2" xfId="40793" xr:uid="{00000000-0005-0000-0000-000032A00000}"/>
    <cellStyle name="RIGs input totals 5 21" xfId="40794" xr:uid="{00000000-0005-0000-0000-000033A00000}"/>
    <cellStyle name="RIGs input totals 5 21 2" xfId="40795" xr:uid="{00000000-0005-0000-0000-000034A00000}"/>
    <cellStyle name="RIGs input totals 5 22" xfId="40796" xr:uid="{00000000-0005-0000-0000-000035A00000}"/>
    <cellStyle name="RIGs input totals 5 22 2" xfId="40797" xr:uid="{00000000-0005-0000-0000-000036A00000}"/>
    <cellStyle name="RIGs input totals 5 23" xfId="40798" xr:uid="{00000000-0005-0000-0000-000037A00000}"/>
    <cellStyle name="RIGs input totals 5 23 2" xfId="40799" xr:uid="{00000000-0005-0000-0000-000038A00000}"/>
    <cellStyle name="RIGs input totals 5 24" xfId="40800" xr:uid="{00000000-0005-0000-0000-000039A00000}"/>
    <cellStyle name="RIGs input totals 5 24 2" xfId="40801" xr:uid="{00000000-0005-0000-0000-00003AA00000}"/>
    <cellStyle name="RIGs input totals 5 25" xfId="40802" xr:uid="{00000000-0005-0000-0000-00003BA00000}"/>
    <cellStyle name="RIGs input totals 5 25 2" xfId="40803" xr:uid="{00000000-0005-0000-0000-00003CA00000}"/>
    <cellStyle name="RIGs input totals 5 26" xfId="40804" xr:uid="{00000000-0005-0000-0000-00003DA00000}"/>
    <cellStyle name="RIGs input totals 5 26 2" xfId="40805" xr:uid="{00000000-0005-0000-0000-00003EA00000}"/>
    <cellStyle name="RIGs input totals 5 27" xfId="40806" xr:uid="{00000000-0005-0000-0000-00003FA00000}"/>
    <cellStyle name="RIGs input totals 5 28" xfId="40807" xr:uid="{00000000-0005-0000-0000-000040A00000}"/>
    <cellStyle name="RIGs input totals 5 29" xfId="40808" xr:uid="{00000000-0005-0000-0000-000041A00000}"/>
    <cellStyle name="RIGs input totals 5 3" xfId="40809" xr:uid="{00000000-0005-0000-0000-000042A00000}"/>
    <cellStyle name="RIGs input totals 5 3 10" xfId="40810" xr:uid="{00000000-0005-0000-0000-000043A00000}"/>
    <cellStyle name="RIGs input totals 5 3 11" xfId="40811" xr:uid="{00000000-0005-0000-0000-000044A00000}"/>
    <cellStyle name="RIGs input totals 5 3 12" xfId="40812" xr:uid="{00000000-0005-0000-0000-000045A00000}"/>
    <cellStyle name="RIGs input totals 5 3 13" xfId="40813" xr:uid="{00000000-0005-0000-0000-000046A00000}"/>
    <cellStyle name="RIGs input totals 5 3 14" xfId="40814" xr:uid="{00000000-0005-0000-0000-000047A00000}"/>
    <cellStyle name="RIGs input totals 5 3 15" xfId="40815" xr:uid="{00000000-0005-0000-0000-000048A00000}"/>
    <cellStyle name="RIGs input totals 5 3 16" xfId="40816" xr:uid="{00000000-0005-0000-0000-000049A00000}"/>
    <cellStyle name="RIGs input totals 5 3 17" xfId="40817" xr:uid="{00000000-0005-0000-0000-00004AA00000}"/>
    <cellStyle name="RIGs input totals 5 3 18" xfId="40818" xr:uid="{00000000-0005-0000-0000-00004BA00000}"/>
    <cellStyle name="RIGs input totals 5 3 19" xfId="40819" xr:uid="{00000000-0005-0000-0000-00004CA00000}"/>
    <cellStyle name="RIGs input totals 5 3 2" xfId="40820" xr:uid="{00000000-0005-0000-0000-00004DA00000}"/>
    <cellStyle name="RIGs input totals 5 3 2 10" xfId="40821" xr:uid="{00000000-0005-0000-0000-00004EA00000}"/>
    <cellStyle name="RIGs input totals 5 3 2 11" xfId="40822" xr:uid="{00000000-0005-0000-0000-00004FA00000}"/>
    <cellStyle name="RIGs input totals 5 3 2 12" xfId="40823" xr:uid="{00000000-0005-0000-0000-000050A00000}"/>
    <cellStyle name="RIGs input totals 5 3 2 13" xfId="40824" xr:uid="{00000000-0005-0000-0000-000051A00000}"/>
    <cellStyle name="RIGs input totals 5 3 2 14" xfId="40825" xr:uid="{00000000-0005-0000-0000-000052A00000}"/>
    <cellStyle name="RIGs input totals 5 3 2 15" xfId="40826" xr:uid="{00000000-0005-0000-0000-000053A00000}"/>
    <cellStyle name="RIGs input totals 5 3 2 16" xfId="40827" xr:uid="{00000000-0005-0000-0000-000054A00000}"/>
    <cellStyle name="RIGs input totals 5 3 2 17" xfId="40828" xr:uid="{00000000-0005-0000-0000-000055A00000}"/>
    <cellStyle name="RIGs input totals 5 3 2 18" xfId="40829" xr:uid="{00000000-0005-0000-0000-000056A00000}"/>
    <cellStyle name="RIGs input totals 5 3 2 19" xfId="40830" xr:uid="{00000000-0005-0000-0000-000057A00000}"/>
    <cellStyle name="RIGs input totals 5 3 2 2" xfId="40831" xr:uid="{00000000-0005-0000-0000-000058A00000}"/>
    <cellStyle name="RIGs input totals 5 3 2 2 10" xfId="40832" xr:uid="{00000000-0005-0000-0000-000059A00000}"/>
    <cellStyle name="RIGs input totals 5 3 2 2 11" xfId="40833" xr:uid="{00000000-0005-0000-0000-00005AA00000}"/>
    <cellStyle name="RIGs input totals 5 3 2 2 12" xfId="40834" xr:uid="{00000000-0005-0000-0000-00005BA00000}"/>
    <cellStyle name="RIGs input totals 5 3 2 2 13" xfId="40835" xr:uid="{00000000-0005-0000-0000-00005CA00000}"/>
    <cellStyle name="RIGs input totals 5 3 2 2 2" xfId="40836" xr:uid="{00000000-0005-0000-0000-00005DA00000}"/>
    <cellStyle name="RIGs input totals 5 3 2 2 2 2" xfId="40837" xr:uid="{00000000-0005-0000-0000-00005EA00000}"/>
    <cellStyle name="RIGs input totals 5 3 2 2 2 3" xfId="40838" xr:uid="{00000000-0005-0000-0000-00005FA00000}"/>
    <cellStyle name="RIGs input totals 5 3 2 2 3" xfId="40839" xr:uid="{00000000-0005-0000-0000-000060A00000}"/>
    <cellStyle name="RIGs input totals 5 3 2 2 3 2" xfId="40840" xr:uid="{00000000-0005-0000-0000-000061A00000}"/>
    <cellStyle name="RIGs input totals 5 3 2 2 3 3" xfId="40841" xr:uid="{00000000-0005-0000-0000-000062A00000}"/>
    <cellStyle name="RIGs input totals 5 3 2 2 4" xfId="40842" xr:uid="{00000000-0005-0000-0000-000063A00000}"/>
    <cellStyle name="RIGs input totals 5 3 2 2 5" xfId="40843" xr:uid="{00000000-0005-0000-0000-000064A00000}"/>
    <cellStyle name="RIGs input totals 5 3 2 2 6" xfId="40844" xr:uid="{00000000-0005-0000-0000-000065A00000}"/>
    <cellStyle name="RIGs input totals 5 3 2 2 7" xfId="40845" xr:uid="{00000000-0005-0000-0000-000066A00000}"/>
    <cellStyle name="RIGs input totals 5 3 2 2 8" xfId="40846" xr:uid="{00000000-0005-0000-0000-000067A00000}"/>
    <cellStyle name="RIGs input totals 5 3 2 2 9" xfId="40847" xr:uid="{00000000-0005-0000-0000-000068A00000}"/>
    <cellStyle name="RIGs input totals 5 3 2 20" xfId="40848" xr:uid="{00000000-0005-0000-0000-000069A00000}"/>
    <cellStyle name="RIGs input totals 5 3 2 21" xfId="40849" xr:uid="{00000000-0005-0000-0000-00006AA00000}"/>
    <cellStyle name="RIGs input totals 5 3 2 22" xfId="40850" xr:uid="{00000000-0005-0000-0000-00006BA00000}"/>
    <cellStyle name="RIGs input totals 5 3 2 23" xfId="40851" xr:uid="{00000000-0005-0000-0000-00006CA00000}"/>
    <cellStyle name="RIGs input totals 5 3 2 24" xfId="40852" xr:uid="{00000000-0005-0000-0000-00006DA00000}"/>
    <cellStyle name="RIGs input totals 5 3 2 25" xfId="40853" xr:uid="{00000000-0005-0000-0000-00006EA00000}"/>
    <cellStyle name="RIGs input totals 5 3 2 26" xfId="40854" xr:uid="{00000000-0005-0000-0000-00006FA00000}"/>
    <cellStyle name="RIGs input totals 5 3 2 27" xfId="40855" xr:uid="{00000000-0005-0000-0000-000070A00000}"/>
    <cellStyle name="RIGs input totals 5 3 2 28" xfId="40856" xr:uid="{00000000-0005-0000-0000-000071A00000}"/>
    <cellStyle name="RIGs input totals 5 3 2 29" xfId="40857" xr:uid="{00000000-0005-0000-0000-000072A00000}"/>
    <cellStyle name="RIGs input totals 5 3 2 3" xfId="40858" xr:uid="{00000000-0005-0000-0000-000073A00000}"/>
    <cellStyle name="RIGs input totals 5 3 2 3 2" xfId="40859" xr:uid="{00000000-0005-0000-0000-000074A00000}"/>
    <cellStyle name="RIGs input totals 5 3 2 3 3" xfId="40860" xr:uid="{00000000-0005-0000-0000-000075A00000}"/>
    <cellStyle name="RIGs input totals 5 3 2 30" xfId="40861" xr:uid="{00000000-0005-0000-0000-000076A00000}"/>
    <cellStyle name="RIGs input totals 5 3 2 31" xfId="40862" xr:uid="{00000000-0005-0000-0000-000077A00000}"/>
    <cellStyle name="RIGs input totals 5 3 2 32" xfId="40863" xr:uid="{00000000-0005-0000-0000-000078A00000}"/>
    <cellStyle name="RIGs input totals 5 3 2 33" xfId="40864" xr:uid="{00000000-0005-0000-0000-000079A00000}"/>
    <cellStyle name="RIGs input totals 5 3 2 34" xfId="40865" xr:uid="{00000000-0005-0000-0000-00007AA00000}"/>
    <cellStyle name="RIGs input totals 5 3 2 4" xfId="40866" xr:uid="{00000000-0005-0000-0000-00007BA00000}"/>
    <cellStyle name="RIGs input totals 5 3 2 4 2" xfId="40867" xr:uid="{00000000-0005-0000-0000-00007CA00000}"/>
    <cellStyle name="RIGs input totals 5 3 2 4 3" xfId="40868" xr:uid="{00000000-0005-0000-0000-00007DA00000}"/>
    <cellStyle name="RIGs input totals 5 3 2 5" xfId="40869" xr:uid="{00000000-0005-0000-0000-00007EA00000}"/>
    <cellStyle name="RIGs input totals 5 3 2 6" xfId="40870" xr:uid="{00000000-0005-0000-0000-00007FA00000}"/>
    <cellStyle name="RIGs input totals 5 3 2 7" xfId="40871" xr:uid="{00000000-0005-0000-0000-000080A00000}"/>
    <cellStyle name="RIGs input totals 5 3 2 8" xfId="40872" xr:uid="{00000000-0005-0000-0000-000081A00000}"/>
    <cellStyle name="RIGs input totals 5 3 2 9" xfId="40873" xr:uid="{00000000-0005-0000-0000-000082A00000}"/>
    <cellStyle name="RIGs input totals 5 3 20" xfId="40874" xr:uid="{00000000-0005-0000-0000-000083A00000}"/>
    <cellStyle name="RIGs input totals 5 3 21" xfId="40875" xr:uid="{00000000-0005-0000-0000-000084A00000}"/>
    <cellStyle name="RIGs input totals 5 3 22" xfId="40876" xr:uid="{00000000-0005-0000-0000-000085A00000}"/>
    <cellStyle name="RIGs input totals 5 3 23" xfId="40877" xr:uid="{00000000-0005-0000-0000-000086A00000}"/>
    <cellStyle name="RIGs input totals 5 3 24" xfId="40878" xr:uid="{00000000-0005-0000-0000-000087A00000}"/>
    <cellStyle name="RIGs input totals 5 3 25" xfId="40879" xr:uid="{00000000-0005-0000-0000-000088A00000}"/>
    <cellStyle name="RIGs input totals 5 3 26" xfId="40880" xr:uid="{00000000-0005-0000-0000-000089A00000}"/>
    <cellStyle name="RIGs input totals 5 3 27" xfId="40881" xr:uid="{00000000-0005-0000-0000-00008AA00000}"/>
    <cellStyle name="RIGs input totals 5 3 28" xfId="40882" xr:uid="{00000000-0005-0000-0000-00008BA00000}"/>
    <cellStyle name="RIGs input totals 5 3 29" xfId="40883" xr:uid="{00000000-0005-0000-0000-00008CA00000}"/>
    <cellStyle name="RIGs input totals 5 3 3" xfId="40884" xr:uid="{00000000-0005-0000-0000-00008DA00000}"/>
    <cellStyle name="RIGs input totals 5 3 3 10" xfId="40885" xr:uid="{00000000-0005-0000-0000-00008EA00000}"/>
    <cellStyle name="RIGs input totals 5 3 3 11" xfId="40886" xr:uid="{00000000-0005-0000-0000-00008FA00000}"/>
    <cellStyle name="RIGs input totals 5 3 3 12" xfId="40887" xr:uid="{00000000-0005-0000-0000-000090A00000}"/>
    <cellStyle name="RIGs input totals 5 3 3 13" xfId="40888" xr:uid="{00000000-0005-0000-0000-000091A00000}"/>
    <cellStyle name="RIGs input totals 5 3 3 2" xfId="40889" xr:uid="{00000000-0005-0000-0000-000092A00000}"/>
    <cellStyle name="RIGs input totals 5 3 3 2 2" xfId="40890" xr:uid="{00000000-0005-0000-0000-000093A00000}"/>
    <cellStyle name="RIGs input totals 5 3 3 2 3" xfId="40891" xr:uid="{00000000-0005-0000-0000-000094A00000}"/>
    <cellStyle name="RIGs input totals 5 3 3 3" xfId="40892" xr:uid="{00000000-0005-0000-0000-000095A00000}"/>
    <cellStyle name="RIGs input totals 5 3 3 3 2" xfId="40893" xr:uid="{00000000-0005-0000-0000-000096A00000}"/>
    <cellStyle name="RIGs input totals 5 3 3 3 3" xfId="40894" xr:uid="{00000000-0005-0000-0000-000097A00000}"/>
    <cellStyle name="RIGs input totals 5 3 3 4" xfId="40895" xr:uid="{00000000-0005-0000-0000-000098A00000}"/>
    <cellStyle name="RIGs input totals 5 3 3 5" xfId="40896" xr:uid="{00000000-0005-0000-0000-000099A00000}"/>
    <cellStyle name="RIGs input totals 5 3 3 6" xfId="40897" xr:uid="{00000000-0005-0000-0000-00009AA00000}"/>
    <cellStyle name="RIGs input totals 5 3 3 7" xfId="40898" xr:uid="{00000000-0005-0000-0000-00009BA00000}"/>
    <cellStyle name="RIGs input totals 5 3 3 8" xfId="40899" xr:uid="{00000000-0005-0000-0000-00009CA00000}"/>
    <cellStyle name="RIGs input totals 5 3 3 9" xfId="40900" xr:uid="{00000000-0005-0000-0000-00009DA00000}"/>
    <cellStyle name="RIGs input totals 5 3 30" xfId="40901" xr:uid="{00000000-0005-0000-0000-00009EA00000}"/>
    <cellStyle name="RIGs input totals 5 3 31" xfId="40902" xr:uid="{00000000-0005-0000-0000-00009FA00000}"/>
    <cellStyle name="RIGs input totals 5 3 32" xfId="40903" xr:uid="{00000000-0005-0000-0000-0000A0A00000}"/>
    <cellStyle name="RIGs input totals 5 3 33" xfId="40904" xr:uid="{00000000-0005-0000-0000-0000A1A00000}"/>
    <cellStyle name="RIGs input totals 5 3 34" xfId="40905" xr:uid="{00000000-0005-0000-0000-0000A2A00000}"/>
    <cellStyle name="RIGs input totals 5 3 35" xfId="40906" xr:uid="{00000000-0005-0000-0000-0000A3A00000}"/>
    <cellStyle name="RIGs input totals 5 3 4" xfId="40907" xr:uid="{00000000-0005-0000-0000-0000A4A00000}"/>
    <cellStyle name="RIGs input totals 5 3 4 2" xfId="40908" xr:uid="{00000000-0005-0000-0000-0000A5A00000}"/>
    <cellStyle name="RIGs input totals 5 3 4 3" xfId="40909" xr:uid="{00000000-0005-0000-0000-0000A6A00000}"/>
    <cellStyle name="RIGs input totals 5 3 5" xfId="40910" xr:uid="{00000000-0005-0000-0000-0000A7A00000}"/>
    <cellStyle name="RIGs input totals 5 3 5 2" xfId="40911" xr:uid="{00000000-0005-0000-0000-0000A8A00000}"/>
    <cellStyle name="RIGs input totals 5 3 5 3" xfId="40912" xr:uid="{00000000-0005-0000-0000-0000A9A00000}"/>
    <cellStyle name="RIGs input totals 5 3 6" xfId="40913" xr:uid="{00000000-0005-0000-0000-0000AAA00000}"/>
    <cellStyle name="RIGs input totals 5 3 7" xfId="40914" xr:uid="{00000000-0005-0000-0000-0000ABA00000}"/>
    <cellStyle name="RIGs input totals 5 3 8" xfId="40915" xr:uid="{00000000-0005-0000-0000-0000ACA00000}"/>
    <cellStyle name="RIGs input totals 5 3 9" xfId="40916" xr:uid="{00000000-0005-0000-0000-0000ADA00000}"/>
    <cellStyle name="RIGs input totals 5 3_4 28 1_Asst_Health_Crit_AllTO_RIIO_20110714pm" xfId="40917" xr:uid="{00000000-0005-0000-0000-0000AEA00000}"/>
    <cellStyle name="RIGs input totals 5 30" xfId="40918" xr:uid="{00000000-0005-0000-0000-0000AFA00000}"/>
    <cellStyle name="RIGs input totals 5 31" xfId="40919" xr:uid="{00000000-0005-0000-0000-0000B0A00000}"/>
    <cellStyle name="RIGs input totals 5 32" xfId="40920" xr:uid="{00000000-0005-0000-0000-0000B1A00000}"/>
    <cellStyle name="RIGs input totals 5 33" xfId="40921" xr:uid="{00000000-0005-0000-0000-0000B2A00000}"/>
    <cellStyle name="RIGs input totals 5 34" xfId="40922" xr:uid="{00000000-0005-0000-0000-0000B3A00000}"/>
    <cellStyle name="RIGs input totals 5 35" xfId="40923" xr:uid="{00000000-0005-0000-0000-0000B4A00000}"/>
    <cellStyle name="RIGs input totals 5 36" xfId="40924" xr:uid="{00000000-0005-0000-0000-0000B5A00000}"/>
    <cellStyle name="RIGs input totals 5 37" xfId="40925" xr:uid="{00000000-0005-0000-0000-0000B6A00000}"/>
    <cellStyle name="RIGs input totals 5 38" xfId="40926" xr:uid="{00000000-0005-0000-0000-0000B7A00000}"/>
    <cellStyle name="RIGs input totals 5 39" xfId="40927" xr:uid="{00000000-0005-0000-0000-0000B8A00000}"/>
    <cellStyle name="RIGs input totals 5 4" xfId="40928" xr:uid="{00000000-0005-0000-0000-0000B9A00000}"/>
    <cellStyle name="RIGs input totals 5 4 10" xfId="40929" xr:uid="{00000000-0005-0000-0000-0000BAA00000}"/>
    <cellStyle name="RIGs input totals 5 4 11" xfId="40930" xr:uid="{00000000-0005-0000-0000-0000BBA00000}"/>
    <cellStyle name="RIGs input totals 5 4 12" xfId="40931" xr:uid="{00000000-0005-0000-0000-0000BCA00000}"/>
    <cellStyle name="RIGs input totals 5 4 13" xfId="40932" xr:uid="{00000000-0005-0000-0000-0000BDA00000}"/>
    <cellStyle name="RIGs input totals 5 4 14" xfId="40933" xr:uid="{00000000-0005-0000-0000-0000BEA00000}"/>
    <cellStyle name="RIGs input totals 5 4 15" xfId="40934" xr:uid="{00000000-0005-0000-0000-0000BFA00000}"/>
    <cellStyle name="RIGs input totals 5 4 16" xfId="40935" xr:uid="{00000000-0005-0000-0000-0000C0A00000}"/>
    <cellStyle name="RIGs input totals 5 4 17" xfId="40936" xr:uid="{00000000-0005-0000-0000-0000C1A00000}"/>
    <cellStyle name="RIGs input totals 5 4 18" xfId="40937" xr:uid="{00000000-0005-0000-0000-0000C2A00000}"/>
    <cellStyle name="RIGs input totals 5 4 19" xfId="40938" xr:uid="{00000000-0005-0000-0000-0000C3A00000}"/>
    <cellStyle name="RIGs input totals 5 4 2" xfId="40939" xr:uid="{00000000-0005-0000-0000-0000C4A00000}"/>
    <cellStyle name="RIGs input totals 5 4 2 10" xfId="40940" xr:uid="{00000000-0005-0000-0000-0000C5A00000}"/>
    <cellStyle name="RIGs input totals 5 4 2 11" xfId="40941" xr:uid="{00000000-0005-0000-0000-0000C6A00000}"/>
    <cellStyle name="RIGs input totals 5 4 2 12" xfId="40942" xr:uid="{00000000-0005-0000-0000-0000C7A00000}"/>
    <cellStyle name="RIGs input totals 5 4 2 13" xfId="40943" xr:uid="{00000000-0005-0000-0000-0000C8A00000}"/>
    <cellStyle name="RIGs input totals 5 4 2 2" xfId="40944" xr:uid="{00000000-0005-0000-0000-0000C9A00000}"/>
    <cellStyle name="RIGs input totals 5 4 2 2 2" xfId="40945" xr:uid="{00000000-0005-0000-0000-0000CAA00000}"/>
    <cellStyle name="RIGs input totals 5 4 2 2 3" xfId="40946" xr:uid="{00000000-0005-0000-0000-0000CBA00000}"/>
    <cellStyle name="RIGs input totals 5 4 2 3" xfId="40947" xr:uid="{00000000-0005-0000-0000-0000CCA00000}"/>
    <cellStyle name="RIGs input totals 5 4 2 3 2" xfId="40948" xr:uid="{00000000-0005-0000-0000-0000CDA00000}"/>
    <cellStyle name="RIGs input totals 5 4 2 3 3" xfId="40949" xr:uid="{00000000-0005-0000-0000-0000CEA00000}"/>
    <cellStyle name="RIGs input totals 5 4 2 4" xfId="40950" xr:uid="{00000000-0005-0000-0000-0000CFA00000}"/>
    <cellStyle name="RIGs input totals 5 4 2 5" xfId="40951" xr:uid="{00000000-0005-0000-0000-0000D0A00000}"/>
    <cellStyle name="RIGs input totals 5 4 2 6" xfId="40952" xr:uid="{00000000-0005-0000-0000-0000D1A00000}"/>
    <cellStyle name="RIGs input totals 5 4 2 7" xfId="40953" xr:uid="{00000000-0005-0000-0000-0000D2A00000}"/>
    <cellStyle name="RIGs input totals 5 4 2 8" xfId="40954" xr:uid="{00000000-0005-0000-0000-0000D3A00000}"/>
    <cellStyle name="RIGs input totals 5 4 2 9" xfId="40955" xr:uid="{00000000-0005-0000-0000-0000D4A00000}"/>
    <cellStyle name="RIGs input totals 5 4 20" xfId="40956" xr:uid="{00000000-0005-0000-0000-0000D5A00000}"/>
    <cellStyle name="RIGs input totals 5 4 21" xfId="40957" xr:uid="{00000000-0005-0000-0000-0000D6A00000}"/>
    <cellStyle name="RIGs input totals 5 4 22" xfId="40958" xr:uid="{00000000-0005-0000-0000-0000D7A00000}"/>
    <cellStyle name="RIGs input totals 5 4 23" xfId="40959" xr:uid="{00000000-0005-0000-0000-0000D8A00000}"/>
    <cellStyle name="RIGs input totals 5 4 24" xfId="40960" xr:uid="{00000000-0005-0000-0000-0000D9A00000}"/>
    <cellStyle name="RIGs input totals 5 4 25" xfId="40961" xr:uid="{00000000-0005-0000-0000-0000DAA00000}"/>
    <cellStyle name="RIGs input totals 5 4 26" xfId="40962" xr:uid="{00000000-0005-0000-0000-0000DBA00000}"/>
    <cellStyle name="RIGs input totals 5 4 27" xfId="40963" xr:uid="{00000000-0005-0000-0000-0000DCA00000}"/>
    <cellStyle name="RIGs input totals 5 4 28" xfId="40964" xr:uid="{00000000-0005-0000-0000-0000DDA00000}"/>
    <cellStyle name="RIGs input totals 5 4 29" xfId="40965" xr:uid="{00000000-0005-0000-0000-0000DEA00000}"/>
    <cellStyle name="RIGs input totals 5 4 3" xfId="40966" xr:uid="{00000000-0005-0000-0000-0000DFA00000}"/>
    <cellStyle name="RIGs input totals 5 4 3 2" xfId="40967" xr:uid="{00000000-0005-0000-0000-0000E0A00000}"/>
    <cellStyle name="RIGs input totals 5 4 3 3" xfId="40968" xr:uid="{00000000-0005-0000-0000-0000E1A00000}"/>
    <cellStyle name="RIGs input totals 5 4 30" xfId="40969" xr:uid="{00000000-0005-0000-0000-0000E2A00000}"/>
    <cellStyle name="RIGs input totals 5 4 31" xfId="40970" xr:uid="{00000000-0005-0000-0000-0000E3A00000}"/>
    <cellStyle name="RIGs input totals 5 4 32" xfId="40971" xr:uid="{00000000-0005-0000-0000-0000E4A00000}"/>
    <cellStyle name="RIGs input totals 5 4 33" xfId="40972" xr:uid="{00000000-0005-0000-0000-0000E5A00000}"/>
    <cellStyle name="RIGs input totals 5 4 34" xfId="40973" xr:uid="{00000000-0005-0000-0000-0000E6A00000}"/>
    <cellStyle name="RIGs input totals 5 4 4" xfId="40974" xr:uid="{00000000-0005-0000-0000-0000E7A00000}"/>
    <cellStyle name="RIGs input totals 5 4 4 2" xfId="40975" xr:uid="{00000000-0005-0000-0000-0000E8A00000}"/>
    <cellStyle name="RIGs input totals 5 4 4 3" xfId="40976" xr:uid="{00000000-0005-0000-0000-0000E9A00000}"/>
    <cellStyle name="RIGs input totals 5 4 5" xfId="40977" xr:uid="{00000000-0005-0000-0000-0000EAA00000}"/>
    <cellStyle name="RIGs input totals 5 4 6" xfId="40978" xr:uid="{00000000-0005-0000-0000-0000EBA00000}"/>
    <cellStyle name="RIGs input totals 5 4 7" xfId="40979" xr:uid="{00000000-0005-0000-0000-0000ECA00000}"/>
    <cellStyle name="RIGs input totals 5 4 8" xfId="40980" xr:uid="{00000000-0005-0000-0000-0000EDA00000}"/>
    <cellStyle name="RIGs input totals 5 4 9" xfId="40981" xr:uid="{00000000-0005-0000-0000-0000EEA00000}"/>
    <cellStyle name="RIGs input totals 5 5" xfId="40982" xr:uid="{00000000-0005-0000-0000-0000EFA00000}"/>
    <cellStyle name="RIGs input totals 5 5 10" xfId="40983" xr:uid="{00000000-0005-0000-0000-0000F0A00000}"/>
    <cellStyle name="RIGs input totals 5 5 11" xfId="40984" xr:uid="{00000000-0005-0000-0000-0000F1A00000}"/>
    <cellStyle name="RIGs input totals 5 5 12" xfId="40985" xr:uid="{00000000-0005-0000-0000-0000F2A00000}"/>
    <cellStyle name="RIGs input totals 5 5 13" xfId="40986" xr:uid="{00000000-0005-0000-0000-0000F3A00000}"/>
    <cellStyle name="RIGs input totals 5 5 14" xfId="40987" xr:uid="{00000000-0005-0000-0000-0000F4A00000}"/>
    <cellStyle name="RIGs input totals 5 5 15" xfId="40988" xr:uid="{00000000-0005-0000-0000-0000F5A00000}"/>
    <cellStyle name="RIGs input totals 5 5 16" xfId="40989" xr:uid="{00000000-0005-0000-0000-0000F6A00000}"/>
    <cellStyle name="RIGs input totals 5 5 17" xfId="40990" xr:uid="{00000000-0005-0000-0000-0000F7A00000}"/>
    <cellStyle name="RIGs input totals 5 5 18" xfId="40991" xr:uid="{00000000-0005-0000-0000-0000F8A00000}"/>
    <cellStyle name="RIGs input totals 5 5 19" xfId="40992" xr:uid="{00000000-0005-0000-0000-0000F9A00000}"/>
    <cellStyle name="RIGs input totals 5 5 2" xfId="40993" xr:uid="{00000000-0005-0000-0000-0000FAA00000}"/>
    <cellStyle name="RIGs input totals 5 5 2 10" xfId="40994" xr:uid="{00000000-0005-0000-0000-0000FBA00000}"/>
    <cellStyle name="RIGs input totals 5 5 2 11" xfId="40995" xr:uid="{00000000-0005-0000-0000-0000FCA00000}"/>
    <cellStyle name="RIGs input totals 5 5 2 12" xfId="40996" xr:uid="{00000000-0005-0000-0000-0000FDA00000}"/>
    <cellStyle name="RIGs input totals 5 5 2 13" xfId="40997" xr:uid="{00000000-0005-0000-0000-0000FEA00000}"/>
    <cellStyle name="RIGs input totals 5 5 2 2" xfId="40998" xr:uid="{00000000-0005-0000-0000-0000FFA00000}"/>
    <cellStyle name="RIGs input totals 5 5 2 2 2" xfId="40999" xr:uid="{00000000-0005-0000-0000-000000A10000}"/>
    <cellStyle name="RIGs input totals 5 5 2 2 3" xfId="41000" xr:uid="{00000000-0005-0000-0000-000001A10000}"/>
    <cellStyle name="RIGs input totals 5 5 2 3" xfId="41001" xr:uid="{00000000-0005-0000-0000-000002A10000}"/>
    <cellStyle name="RIGs input totals 5 5 2 3 2" xfId="41002" xr:uid="{00000000-0005-0000-0000-000003A10000}"/>
    <cellStyle name="RIGs input totals 5 5 2 3 3" xfId="41003" xr:uid="{00000000-0005-0000-0000-000004A10000}"/>
    <cellStyle name="RIGs input totals 5 5 2 4" xfId="41004" xr:uid="{00000000-0005-0000-0000-000005A10000}"/>
    <cellStyle name="RIGs input totals 5 5 2 5" xfId="41005" xr:uid="{00000000-0005-0000-0000-000006A10000}"/>
    <cellStyle name="RIGs input totals 5 5 2 6" xfId="41006" xr:uid="{00000000-0005-0000-0000-000007A10000}"/>
    <cellStyle name="RIGs input totals 5 5 2 7" xfId="41007" xr:uid="{00000000-0005-0000-0000-000008A10000}"/>
    <cellStyle name="RIGs input totals 5 5 2 8" xfId="41008" xr:uid="{00000000-0005-0000-0000-000009A10000}"/>
    <cellStyle name="RIGs input totals 5 5 2 9" xfId="41009" xr:uid="{00000000-0005-0000-0000-00000AA10000}"/>
    <cellStyle name="RIGs input totals 5 5 20" xfId="41010" xr:uid="{00000000-0005-0000-0000-00000BA10000}"/>
    <cellStyle name="RIGs input totals 5 5 21" xfId="41011" xr:uid="{00000000-0005-0000-0000-00000CA10000}"/>
    <cellStyle name="RIGs input totals 5 5 22" xfId="41012" xr:uid="{00000000-0005-0000-0000-00000DA10000}"/>
    <cellStyle name="RIGs input totals 5 5 23" xfId="41013" xr:uid="{00000000-0005-0000-0000-00000EA10000}"/>
    <cellStyle name="RIGs input totals 5 5 24" xfId="41014" xr:uid="{00000000-0005-0000-0000-00000FA10000}"/>
    <cellStyle name="RIGs input totals 5 5 25" xfId="41015" xr:uid="{00000000-0005-0000-0000-000010A10000}"/>
    <cellStyle name="RIGs input totals 5 5 26" xfId="41016" xr:uid="{00000000-0005-0000-0000-000011A10000}"/>
    <cellStyle name="RIGs input totals 5 5 27" xfId="41017" xr:uid="{00000000-0005-0000-0000-000012A10000}"/>
    <cellStyle name="RIGs input totals 5 5 28" xfId="41018" xr:uid="{00000000-0005-0000-0000-000013A10000}"/>
    <cellStyle name="RIGs input totals 5 5 29" xfId="41019" xr:uid="{00000000-0005-0000-0000-000014A10000}"/>
    <cellStyle name="RIGs input totals 5 5 3" xfId="41020" xr:uid="{00000000-0005-0000-0000-000015A10000}"/>
    <cellStyle name="RIGs input totals 5 5 3 2" xfId="41021" xr:uid="{00000000-0005-0000-0000-000016A10000}"/>
    <cellStyle name="RIGs input totals 5 5 3 3" xfId="41022" xr:uid="{00000000-0005-0000-0000-000017A10000}"/>
    <cellStyle name="RIGs input totals 5 5 30" xfId="41023" xr:uid="{00000000-0005-0000-0000-000018A10000}"/>
    <cellStyle name="RIGs input totals 5 5 31" xfId="41024" xr:uid="{00000000-0005-0000-0000-000019A10000}"/>
    <cellStyle name="RIGs input totals 5 5 32" xfId="41025" xr:uid="{00000000-0005-0000-0000-00001AA10000}"/>
    <cellStyle name="RIGs input totals 5 5 33" xfId="41026" xr:uid="{00000000-0005-0000-0000-00001BA10000}"/>
    <cellStyle name="RIGs input totals 5 5 34" xfId="41027" xr:uid="{00000000-0005-0000-0000-00001CA10000}"/>
    <cellStyle name="RIGs input totals 5 5 4" xfId="41028" xr:uid="{00000000-0005-0000-0000-00001DA10000}"/>
    <cellStyle name="RIGs input totals 5 5 4 2" xfId="41029" xr:uid="{00000000-0005-0000-0000-00001EA10000}"/>
    <cellStyle name="RIGs input totals 5 5 4 3" xfId="41030" xr:uid="{00000000-0005-0000-0000-00001FA10000}"/>
    <cellStyle name="RIGs input totals 5 5 5" xfId="41031" xr:uid="{00000000-0005-0000-0000-000020A10000}"/>
    <cellStyle name="RIGs input totals 5 5 6" xfId="41032" xr:uid="{00000000-0005-0000-0000-000021A10000}"/>
    <cellStyle name="RIGs input totals 5 5 7" xfId="41033" xr:uid="{00000000-0005-0000-0000-000022A10000}"/>
    <cellStyle name="RIGs input totals 5 5 8" xfId="41034" xr:uid="{00000000-0005-0000-0000-000023A10000}"/>
    <cellStyle name="RIGs input totals 5 5 9" xfId="41035" xr:uid="{00000000-0005-0000-0000-000024A10000}"/>
    <cellStyle name="RIGs input totals 5 6" xfId="41036" xr:uid="{00000000-0005-0000-0000-000025A10000}"/>
    <cellStyle name="RIGs input totals 5 6 10" xfId="41037" xr:uid="{00000000-0005-0000-0000-000026A10000}"/>
    <cellStyle name="RIGs input totals 5 6 11" xfId="41038" xr:uid="{00000000-0005-0000-0000-000027A10000}"/>
    <cellStyle name="RIGs input totals 5 6 12" xfId="41039" xr:uid="{00000000-0005-0000-0000-000028A10000}"/>
    <cellStyle name="RIGs input totals 5 6 13" xfId="41040" xr:uid="{00000000-0005-0000-0000-000029A10000}"/>
    <cellStyle name="RIGs input totals 5 6 2" xfId="41041" xr:uid="{00000000-0005-0000-0000-00002AA10000}"/>
    <cellStyle name="RIGs input totals 5 6 2 2" xfId="41042" xr:uid="{00000000-0005-0000-0000-00002BA10000}"/>
    <cellStyle name="RIGs input totals 5 6 2 3" xfId="41043" xr:uid="{00000000-0005-0000-0000-00002CA10000}"/>
    <cellStyle name="RIGs input totals 5 6 3" xfId="41044" xr:uid="{00000000-0005-0000-0000-00002DA10000}"/>
    <cellStyle name="RIGs input totals 5 6 3 2" xfId="41045" xr:uid="{00000000-0005-0000-0000-00002EA10000}"/>
    <cellStyle name="RIGs input totals 5 6 3 3" xfId="41046" xr:uid="{00000000-0005-0000-0000-00002FA10000}"/>
    <cellStyle name="RIGs input totals 5 6 4" xfId="41047" xr:uid="{00000000-0005-0000-0000-000030A10000}"/>
    <cellStyle name="RIGs input totals 5 6 5" xfId="41048" xr:uid="{00000000-0005-0000-0000-000031A10000}"/>
    <cellStyle name="RIGs input totals 5 6 6" xfId="41049" xr:uid="{00000000-0005-0000-0000-000032A10000}"/>
    <cellStyle name="RIGs input totals 5 6 7" xfId="41050" xr:uid="{00000000-0005-0000-0000-000033A10000}"/>
    <cellStyle name="RIGs input totals 5 6 8" xfId="41051" xr:uid="{00000000-0005-0000-0000-000034A10000}"/>
    <cellStyle name="RIGs input totals 5 6 9" xfId="41052" xr:uid="{00000000-0005-0000-0000-000035A10000}"/>
    <cellStyle name="RIGs input totals 5 7" xfId="41053" xr:uid="{00000000-0005-0000-0000-000036A10000}"/>
    <cellStyle name="RIGs input totals 5 7 2" xfId="41054" xr:uid="{00000000-0005-0000-0000-000037A10000}"/>
    <cellStyle name="RIGs input totals 5 7 2 2" xfId="41055" xr:uid="{00000000-0005-0000-0000-000038A10000}"/>
    <cellStyle name="RIGs input totals 5 7 2 3" xfId="41056" xr:uid="{00000000-0005-0000-0000-000039A10000}"/>
    <cellStyle name="RIGs input totals 5 7 3" xfId="41057" xr:uid="{00000000-0005-0000-0000-00003AA10000}"/>
    <cellStyle name="RIGs input totals 5 7 3 2" xfId="41058" xr:uid="{00000000-0005-0000-0000-00003BA10000}"/>
    <cellStyle name="RIGs input totals 5 7 4" xfId="41059" xr:uid="{00000000-0005-0000-0000-00003CA10000}"/>
    <cellStyle name="RIGs input totals 5 8" xfId="41060" xr:uid="{00000000-0005-0000-0000-00003DA10000}"/>
    <cellStyle name="RIGs input totals 5 8 2" xfId="41061" xr:uid="{00000000-0005-0000-0000-00003EA10000}"/>
    <cellStyle name="RIGs input totals 5 9" xfId="41062" xr:uid="{00000000-0005-0000-0000-00003FA10000}"/>
    <cellStyle name="RIGs input totals 5 9 2" xfId="41063" xr:uid="{00000000-0005-0000-0000-000040A10000}"/>
    <cellStyle name="RIGs input totals 5_1.3s Accounting C Costs Scots" xfId="41064" xr:uid="{00000000-0005-0000-0000-000041A10000}"/>
    <cellStyle name="RIGs input totals 6" xfId="41065" xr:uid="{00000000-0005-0000-0000-000042A10000}"/>
    <cellStyle name="RIGs input totals 6 10" xfId="41066" xr:uid="{00000000-0005-0000-0000-000043A10000}"/>
    <cellStyle name="RIGs input totals 6 10 2" xfId="41067" xr:uid="{00000000-0005-0000-0000-000044A10000}"/>
    <cellStyle name="RIGs input totals 6 11" xfId="41068" xr:uid="{00000000-0005-0000-0000-000045A10000}"/>
    <cellStyle name="RIGs input totals 6 11 2" xfId="41069" xr:uid="{00000000-0005-0000-0000-000046A10000}"/>
    <cellStyle name="RIGs input totals 6 12" xfId="41070" xr:uid="{00000000-0005-0000-0000-000047A10000}"/>
    <cellStyle name="RIGs input totals 6 12 2" xfId="41071" xr:uid="{00000000-0005-0000-0000-000048A10000}"/>
    <cellStyle name="RIGs input totals 6 13" xfId="41072" xr:uid="{00000000-0005-0000-0000-000049A10000}"/>
    <cellStyle name="RIGs input totals 6 13 2" xfId="41073" xr:uid="{00000000-0005-0000-0000-00004AA10000}"/>
    <cellStyle name="RIGs input totals 6 14" xfId="41074" xr:uid="{00000000-0005-0000-0000-00004BA10000}"/>
    <cellStyle name="RIGs input totals 6 14 2" xfId="41075" xr:uid="{00000000-0005-0000-0000-00004CA10000}"/>
    <cellStyle name="RIGs input totals 6 15" xfId="41076" xr:uid="{00000000-0005-0000-0000-00004DA10000}"/>
    <cellStyle name="RIGs input totals 6 15 2" xfId="41077" xr:uid="{00000000-0005-0000-0000-00004EA10000}"/>
    <cellStyle name="RIGs input totals 6 16" xfId="41078" xr:uid="{00000000-0005-0000-0000-00004FA10000}"/>
    <cellStyle name="RIGs input totals 6 16 2" xfId="41079" xr:uid="{00000000-0005-0000-0000-000050A10000}"/>
    <cellStyle name="RIGs input totals 6 17" xfId="41080" xr:uid="{00000000-0005-0000-0000-000051A10000}"/>
    <cellStyle name="RIGs input totals 6 17 2" xfId="41081" xr:uid="{00000000-0005-0000-0000-000052A10000}"/>
    <cellStyle name="RIGs input totals 6 18" xfId="41082" xr:uid="{00000000-0005-0000-0000-000053A10000}"/>
    <cellStyle name="RIGs input totals 6 18 2" xfId="41083" xr:uid="{00000000-0005-0000-0000-000054A10000}"/>
    <cellStyle name="RIGs input totals 6 19" xfId="41084" xr:uid="{00000000-0005-0000-0000-000055A10000}"/>
    <cellStyle name="RIGs input totals 6 19 2" xfId="41085" xr:uid="{00000000-0005-0000-0000-000056A10000}"/>
    <cellStyle name="RIGs input totals 6 2" xfId="41086" xr:uid="{00000000-0005-0000-0000-000057A10000}"/>
    <cellStyle name="RIGs input totals 6 2 10" xfId="41087" xr:uid="{00000000-0005-0000-0000-000058A10000}"/>
    <cellStyle name="RIGs input totals 6 2 11" xfId="41088" xr:uid="{00000000-0005-0000-0000-000059A10000}"/>
    <cellStyle name="RIGs input totals 6 2 12" xfId="41089" xr:uid="{00000000-0005-0000-0000-00005AA10000}"/>
    <cellStyle name="RIGs input totals 6 2 13" xfId="41090" xr:uid="{00000000-0005-0000-0000-00005BA10000}"/>
    <cellStyle name="RIGs input totals 6 2 14" xfId="41091" xr:uid="{00000000-0005-0000-0000-00005CA10000}"/>
    <cellStyle name="RIGs input totals 6 2 15" xfId="41092" xr:uid="{00000000-0005-0000-0000-00005DA10000}"/>
    <cellStyle name="RIGs input totals 6 2 16" xfId="41093" xr:uid="{00000000-0005-0000-0000-00005EA10000}"/>
    <cellStyle name="RIGs input totals 6 2 17" xfId="41094" xr:uid="{00000000-0005-0000-0000-00005FA10000}"/>
    <cellStyle name="RIGs input totals 6 2 18" xfId="41095" xr:uid="{00000000-0005-0000-0000-000060A10000}"/>
    <cellStyle name="RIGs input totals 6 2 19" xfId="41096" xr:uid="{00000000-0005-0000-0000-000061A10000}"/>
    <cellStyle name="RIGs input totals 6 2 2" xfId="41097" xr:uid="{00000000-0005-0000-0000-000062A10000}"/>
    <cellStyle name="RIGs input totals 6 2 2 10" xfId="41098" xr:uid="{00000000-0005-0000-0000-000063A10000}"/>
    <cellStyle name="RIGs input totals 6 2 2 11" xfId="41099" xr:uid="{00000000-0005-0000-0000-000064A10000}"/>
    <cellStyle name="RIGs input totals 6 2 2 12" xfId="41100" xr:uid="{00000000-0005-0000-0000-000065A10000}"/>
    <cellStyle name="RIGs input totals 6 2 2 13" xfId="41101" xr:uid="{00000000-0005-0000-0000-000066A10000}"/>
    <cellStyle name="RIGs input totals 6 2 2 14" xfId="41102" xr:uid="{00000000-0005-0000-0000-000067A10000}"/>
    <cellStyle name="RIGs input totals 6 2 2 15" xfId="41103" xr:uid="{00000000-0005-0000-0000-000068A10000}"/>
    <cellStyle name="RIGs input totals 6 2 2 16" xfId="41104" xr:uid="{00000000-0005-0000-0000-000069A10000}"/>
    <cellStyle name="RIGs input totals 6 2 2 17" xfId="41105" xr:uid="{00000000-0005-0000-0000-00006AA10000}"/>
    <cellStyle name="RIGs input totals 6 2 2 18" xfId="41106" xr:uid="{00000000-0005-0000-0000-00006BA10000}"/>
    <cellStyle name="RIGs input totals 6 2 2 19" xfId="41107" xr:uid="{00000000-0005-0000-0000-00006CA10000}"/>
    <cellStyle name="RIGs input totals 6 2 2 2" xfId="41108" xr:uid="{00000000-0005-0000-0000-00006DA10000}"/>
    <cellStyle name="RIGs input totals 6 2 2 2 10" xfId="41109" xr:uid="{00000000-0005-0000-0000-00006EA10000}"/>
    <cellStyle name="RIGs input totals 6 2 2 2 11" xfId="41110" xr:uid="{00000000-0005-0000-0000-00006FA10000}"/>
    <cellStyle name="RIGs input totals 6 2 2 2 12" xfId="41111" xr:uid="{00000000-0005-0000-0000-000070A10000}"/>
    <cellStyle name="RIGs input totals 6 2 2 2 13" xfId="41112" xr:uid="{00000000-0005-0000-0000-000071A10000}"/>
    <cellStyle name="RIGs input totals 6 2 2 2 2" xfId="41113" xr:uid="{00000000-0005-0000-0000-000072A10000}"/>
    <cellStyle name="RIGs input totals 6 2 2 2 2 2" xfId="41114" xr:uid="{00000000-0005-0000-0000-000073A10000}"/>
    <cellStyle name="RIGs input totals 6 2 2 2 2 3" xfId="41115" xr:uid="{00000000-0005-0000-0000-000074A10000}"/>
    <cellStyle name="RIGs input totals 6 2 2 2 3" xfId="41116" xr:uid="{00000000-0005-0000-0000-000075A10000}"/>
    <cellStyle name="RIGs input totals 6 2 2 2 3 2" xfId="41117" xr:uid="{00000000-0005-0000-0000-000076A10000}"/>
    <cellStyle name="RIGs input totals 6 2 2 2 3 3" xfId="41118" xr:uid="{00000000-0005-0000-0000-000077A10000}"/>
    <cellStyle name="RIGs input totals 6 2 2 2 4" xfId="41119" xr:uid="{00000000-0005-0000-0000-000078A10000}"/>
    <cellStyle name="RIGs input totals 6 2 2 2 5" xfId="41120" xr:uid="{00000000-0005-0000-0000-000079A10000}"/>
    <cellStyle name="RIGs input totals 6 2 2 2 6" xfId="41121" xr:uid="{00000000-0005-0000-0000-00007AA10000}"/>
    <cellStyle name="RIGs input totals 6 2 2 2 7" xfId="41122" xr:uid="{00000000-0005-0000-0000-00007BA10000}"/>
    <cellStyle name="RIGs input totals 6 2 2 2 8" xfId="41123" xr:uid="{00000000-0005-0000-0000-00007CA10000}"/>
    <cellStyle name="RIGs input totals 6 2 2 2 9" xfId="41124" xr:uid="{00000000-0005-0000-0000-00007DA10000}"/>
    <cellStyle name="RIGs input totals 6 2 2 20" xfId="41125" xr:uid="{00000000-0005-0000-0000-00007EA10000}"/>
    <cellStyle name="RIGs input totals 6 2 2 21" xfId="41126" xr:uid="{00000000-0005-0000-0000-00007FA10000}"/>
    <cellStyle name="RIGs input totals 6 2 2 22" xfId="41127" xr:uid="{00000000-0005-0000-0000-000080A10000}"/>
    <cellStyle name="RIGs input totals 6 2 2 23" xfId="41128" xr:uid="{00000000-0005-0000-0000-000081A10000}"/>
    <cellStyle name="RIGs input totals 6 2 2 24" xfId="41129" xr:uid="{00000000-0005-0000-0000-000082A10000}"/>
    <cellStyle name="RIGs input totals 6 2 2 25" xfId="41130" xr:uid="{00000000-0005-0000-0000-000083A10000}"/>
    <cellStyle name="RIGs input totals 6 2 2 26" xfId="41131" xr:uid="{00000000-0005-0000-0000-000084A10000}"/>
    <cellStyle name="RIGs input totals 6 2 2 27" xfId="41132" xr:uid="{00000000-0005-0000-0000-000085A10000}"/>
    <cellStyle name="RIGs input totals 6 2 2 28" xfId="41133" xr:uid="{00000000-0005-0000-0000-000086A10000}"/>
    <cellStyle name="RIGs input totals 6 2 2 29" xfId="41134" xr:uid="{00000000-0005-0000-0000-000087A10000}"/>
    <cellStyle name="RIGs input totals 6 2 2 3" xfId="41135" xr:uid="{00000000-0005-0000-0000-000088A10000}"/>
    <cellStyle name="RIGs input totals 6 2 2 3 2" xfId="41136" xr:uid="{00000000-0005-0000-0000-000089A10000}"/>
    <cellStyle name="RIGs input totals 6 2 2 3 3" xfId="41137" xr:uid="{00000000-0005-0000-0000-00008AA10000}"/>
    <cellStyle name="RIGs input totals 6 2 2 30" xfId="41138" xr:uid="{00000000-0005-0000-0000-00008BA10000}"/>
    <cellStyle name="RIGs input totals 6 2 2 31" xfId="41139" xr:uid="{00000000-0005-0000-0000-00008CA10000}"/>
    <cellStyle name="RIGs input totals 6 2 2 32" xfId="41140" xr:uid="{00000000-0005-0000-0000-00008DA10000}"/>
    <cellStyle name="RIGs input totals 6 2 2 33" xfId="41141" xr:uid="{00000000-0005-0000-0000-00008EA10000}"/>
    <cellStyle name="RIGs input totals 6 2 2 34" xfId="41142" xr:uid="{00000000-0005-0000-0000-00008FA10000}"/>
    <cellStyle name="RIGs input totals 6 2 2 4" xfId="41143" xr:uid="{00000000-0005-0000-0000-000090A10000}"/>
    <cellStyle name="RIGs input totals 6 2 2 4 2" xfId="41144" xr:uid="{00000000-0005-0000-0000-000091A10000}"/>
    <cellStyle name="RIGs input totals 6 2 2 4 3" xfId="41145" xr:uid="{00000000-0005-0000-0000-000092A10000}"/>
    <cellStyle name="RIGs input totals 6 2 2 5" xfId="41146" xr:uid="{00000000-0005-0000-0000-000093A10000}"/>
    <cellStyle name="RIGs input totals 6 2 2 6" xfId="41147" xr:uid="{00000000-0005-0000-0000-000094A10000}"/>
    <cellStyle name="RIGs input totals 6 2 2 7" xfId="41148" xr:uid="{00000000-0005-0000-0000-000095A10000}"/>
    <cellStyle name="RIGs input totals 6 2 2 8" xfId="41149" xr:uid="{00000000-0005-0000-0000-000096A10000}"/>
    <cellStyle name="RIGs input totals 6 2 2 9" xfId="41150" xr:uid="{00000000-0005-0000-0000-000097A10000}"/>
    <cellStyle name="RIGs input totals 6 2 20" xfId="41151" xr:uid="{00000000-0005-0000-0000-000098A10000}"/>
    <cellStyle name="RIGs input totals 6 2 21" xfId="41152" xr:uid="{00000000-0005-0000-0000-000099A10000}"/>
    <cellStyle name="RIGs input totals 6 2 22" xfId="41153" xr:uid="{00000000-0005-0000-0000-00009AA10000}"/>
    <cellStyle name="RIGs input totals 6 2 23" xfId="41154" xr:uid="{00000000-0005-0000-0000-00009BA10000}"/>
    <cellStyle name="RIGs input totals 6 2 24" xfId="41155" xr:uid="{00000000-0005-0000-0000-00009CA10000}"/>
    <cellStyle name="RIGs input totals 6 2 25" xfId="41156" xr:uid="{00000000-0005-0000-0000-00009DA10000}"/>
    <cellStyle name="RIGs input totals 6 2 26" xfId="41157" xr:uid="{00000000-0005-0000-0000-00009EA10000}"/>
    <cellStyle name="RIGs input totals 6 2 27" xfId="41158" xr:uid="{00000000-0005-0000-0000-00009FA10000}"/>
    <cellStyle name="RIGs input totals 6 2 28" xfId="41159" xr:uid="{00000000-0005-0000-0000-0000A0A10000}"/>
    <cellStyle name="RIGs input totals 6 2 29" xfId="41160" xr:uid="{00000000-0005-0000-0000-0000A1A10000}"/>
    <cellStyle name="RIGs input totals 6 2 3" xfId="41161" xr:uid="{00000000-0005-0000-0000-0000A2A10000}"/>
    <cellStyle name="RIGs input totals 6 2 3 10" xfId="41162" xr:uid="{00000000-0005-0000-0000-0000A3A10000}"/>
    <cellStyle name="RIGs input totals 6 2 3 11" xfId="41163" xr:uid="{00000000-0005-0000-0000-0000A4A10000}"/>
    <cellStyle name="RIGs input totals 6 2 3 12" xfId="41164" xr:uid="{00000000-0005-0000-0000-0000A5A10000}"/>
    <cellStyle name="RIGs input totals 6 2 3 13" xfId="41165" xr:uid="{00000000-0005-0000-0000-0000A6A10000}"/>
    <cellStyle name="RIGs input totals 6 2 3 2" xfId="41166" xr:uid="{00000000-0005-0000-0000-0000A7A10000}"/>
    <cellStyle name="RIGs input totals 6 2 3 2 2" xfId="41167" xr:uid="{00000000-0005-0000-0000-0000A8A10000}"/>
    <cellStyle name="RIGs input totals 6 2 3 2 3" xfId="41168" xr:uid="{00000000-0005-0000-0000-0000A9A10000}"/>
    <cellStyle name="RIGs input totals 6 2 3 3" xfId="41169" xr:uid="{00000000-0005-0000-0000-0000AAA10000}"/>
    <cellStyle name="RIGs input totals 6 2 3 3 2" xfId="41170" xr:uid="{00000000-0005-0000-0000-0000ABA10000}"/>
    <cellStyle name="RIGs input totals 6 2 3 3 3" xfId="41171" xr:uid="{00000000-0005-0000-0000-0000ACA10000}"/>
    <cellStyle name="RIGs input totals 6 2 3 4" xfId="41172" xr:uid="{00000000-0005-0000-0000-0000ADA10000}"/>
    <cellStyle name="RIGs input totals 6 2 3 5" xfId="41173" xr:uid="{00000000-0005-0000-0000-0000AEA10000}"/>
    <cellStyle name="RIGs input totals 6 2 3 6" xfId="41174" xr:uid="{00000000-0005-0000-0000-0000AFA10000}"/>
    <cellStyle name="RIGs input totals 6 2 3 7" xfId="41175" xr:uid="{00000000-0005-0000-0000-0000B0A10000}"/>
    <cellStyle name="RIGs input totals 6 2 3 8" xfId="41176" xr:uid="{00000000-0005-0000-0000-0000B1A10000}"/>
    <cellStyle name="RIGs input totals 6 2 3 9" xfId="41177" xr:uid="{00000000-0005-0000-0000-0000B2A10000}"/>
    <cellStyle name="RIGs input totals 6 2 30" xfId="41178" xr:uid="{00000000-0005-0000-0000-0000B3A10000}"/>
    <cellStyle name="RIGs input totals 6 2 31" xfId="41179" xr:uid="{00000000-0005-0000-0000-0000B4A10000}"/>
    <cellStyle name="RIGs input totals 6 2 32" xfId="41180" xr:uid="{00000000-0005-0000-0000-0000B5A10000}"/>
    <cellStyle name="RIGs input totals 6 2 33" xfId="41181" xr:uid="{00000000-0005-0000-0000-0000B6A10000}"/>
    <cellStyle name="RIGs input totals 6 2 34" xfId="41182" xr:uid="{00000000-0005-0000-0000-0000B7A10000}"/>
    <cellStyle name="RIGs input totals 6 2 35" xfId="41183" xr:uid="{00000000-0005-0000-0000-0000B8A10000}"/>
    <cellStyle name="RIGs input totals 6 2 4" xfId="41184" xr:uid="{00000000-0005-0000-0000-0000B9A10000}"/>
    <cellStyle name="RIGs input totals 6 2 4 2" xfId="41185" xr:uid="{00000000-0005-0000-0000-0000BAA10000}"/>
    <cellStyle name="RIGs input totals 6 2 4 3" xfId="41186" xr:uid="{00000000-0005-0000-0000-0000BBA10000}"/>
    <cellStyle name="RIGs input totals 6 2 5" xfId="41187" xr:uid="{00000000-0005-0000-0000-0000BCA10000}"/>
    <cellStyle name="RIGs input totals 6 2 5 2" xfId="41188" xr:uid="{00000000-0005-0000-0000-0000BDA10000}"/>
    <cellStyle name="RIGs input totals 6 2 5 3" xfId="41189" xr:uid="{00000000-0005-0000-0000-0000BEA10000}"/>
    <cellStyle name="RIGs input totals 6 2 6" xfId="41190" xr:uid="{00000000-0005-0000-0000-0000BFA10000}"/>
    <cellStyle name="RIGs input totals 6 2 7" xfId="41191" xr:uid="{00000000-0005-0000-0000-0000C0A10000}"/>
    <cellStyle name="RIGs input totals 6 2 8" xfId="41192" xr:uid="{00000000-0005-0000-0000-0000C1A10000}"/>
    <cellStyle name="RIGs input totals 6 2 9" xfId="41193" xr:uid="{00000000-0005-0000-0000-0000C2A10000}"/>
    <cellStyle name="RIGs input totals 6 2_4 28 1_Asst_Health_Crit_AllTO_RIIO_20110714pm" xfId="41194" xr:uid="{00000000-0005-0000-0000-0000C3A10000}"/>
    <cellStyle name="RIGs input totals 6 20" xfId="41195" xr:uid="{00000000-0005-0000-0000-0000C4A10000}"/>
    <cellStyle name="RIGs input totals 6 20 2" xfId="41196" xr:uid="{00000000-0005-0000-0000-0000C5A10000}"/>
    <cellStyle name="RIGs input totals 6 21" xfId="41197" xr:uid="{00000000-0005-0000-0000-0000C6A10000}"/>
    <cellStyle name="RIGs input totals 6 21 2" xfId="41198" xr:uid="{00000000-0005-0000-0000-0000C7A10000}"/>
    <cellStyle name="RIGs input totals 6 22" xfId="41199" xr:uid="{00000000-0005-0000-0000-0000C8A10000}"/>
    <cellStyle name="RIGs input totals 6 22 2" xfId="41200" xr:uid="{00000000-0005-0000-0000-0000C9A10000}"/>
    <cellStyle name="RIGs input totals 6 23" xfId="41201" xr:uid="{00000000-0005-0000-0000-0000CAA10000}"/>
    <cellStyle name="RIGs input totals 6 23 2" xfId="41202" xr:uid="{00000000-0005-0000-0000-0000CBA10000}"/>
    <cellStyle name="RIGs input totals 6 24" xfId="41203" xr:uid="{00000000-0005-0000-0000-0000CCA10000}"/>
    <cellStyle name="RIGs input totals 6 24 2" xfId="41204" xr:uid="{00000000-0005-0000-0000-0000CDA10000}"/>
    <cellStyle name="RIGs input totals 6 25" xfId="41205" xr:uid="{00000000-0005-0000-0000-0000CEA10000}"/>
    <cellStyle name="RIGs input totals 6 25 2" xfId="41206" xr:uid="{00000000-0005-0000-0000-0000CFA10000}"/>
    <cellStyle name="RIGs input totals 6 26" xfId="41207" xr:uid="{00000000-0005-0000-0000-0000D0A10000}"/>
    <cellStyle name="RIGs input totals 6 27" xfId="41208" xr:uid="{00000000-0005-0000-0000-0000D1A10000}"/>
    <cellStyle name="RIGs input totals 6 28" xfId="41209" xr:uid="{00000000-0005-0000-0000-0000D2A10000}"/>
    <cellStyle name="RIGs input totals 6 29" xfId="41210" xr:uid="{00000000-0005-0000-0000-0000D3A10000}"/>
    <cellStyle name="RIGs input totals 6 3" xfId="41211" xr:uid="{00000000-0005-0000-0000-0000D4A10000}"/>
    <cellStyle name="RIGs input totals 6 3 10" xfId="41212" xr:uid="{00000000-0005-0000-0000-0000D5A10000}"/>
    <cellStyle name="RIGs input totals 6 3 11" xfId="41213" xr:uid="{00000000-0005-0000-0000-0000D6A10000}"/>
    <cellStyle name="RIGs input totals 6 3 12" xfId="41214" xr:uid="{00000000-0005-0000-0000-0000D7A10000}"/>
    <cellStyle name="RIGs input totals 6 3 13" xfId="41215" xr:uid="{00000000-0005-0000-0000-0000D8A10000}"/>
    <cellStyle name="RIGs input totals 6 3 14" xfId="41216" xr:uid="{00000000-0005-0000-0000-0000D9A10000}"/>
    <cellStyle name="RIGs input totals 6 3 15" xfId="41217" xr:uid="{00000000-0005-0000-0000-0000DAA10000}"/>
    <cellStyle name="RIGs input totals 6 3 16" xfId="41218" xr:uid="{00000000-0005-0000-0000-0000DBA10000}"/>
    <cellStyle name="RIGs input totals 6 3 17" xfId="41219" xr:uid="{00000000-0005-0000-0000-0000DCA10000}"/>
    <cellStyle name="RIGs input totals 6 3 18" xfId="41220" xr:uid="{00000000-0005-0000-0000-0000DDA10000}"/>
    <cellStyle name="RIGs input totals 6 3 19" xfId="41221" xr:uid="{00000000-0005-0000-0000-0000DEA10000}"/>
    <cellStyle name="RIGs input totals 6 3 2" xfId="41222" xr:uid="{00000000-0005-0000-0000-0000DFA10000}"/>
    <cellStyle name="RIGs input totals 6 3 2 10" xfId="41223" xr:uid="{00000000-0005-0000-0000-0000E0A10000}"/>
    <cellStyle name="RIGs input totals 6 3 2 11" xfId="41224" xr:uid="{00000000-0005-0000-0000-0000E1A10000}"/>
    <cellStyle name="RIGs input totals 6 3 2 12" xfId="41225" xr:uid="{00000000-0005-0000-0000-0000E2A10000}"/>
    <cellStyle name="RIGs input totals 6 3 2 13" xfId="41226" xr:uid="{00000000-0005-0000-0000-0000E3A10000}"/>
    <cellStyle name="RIGs input totals 6 3 2 2" xfId="41227" xr:uid="{00000000-0005-0000-0000-0000E4A10000}"/>
    <cellStyle name="RIGs input totals 6 3 2 2 2" xfId="41228" xr:uid="{00000000-0005-0000-0000-0000E5A10000}"/>
    <cellStyle name="RIGs input totals 6 3 2 2 3" xfId="41229" xr:uid="{00000000-0005-0000-0000-0000E6A10000}"/>
    <cellStyle name="RIGs input totals 6 3 2 3" xfId="41230" xr:uid="{00000000-0005-0000-0000-0000E7A10000}"/>
    <cellStyle name="RIGs input totals 6 3 2 3 2" xfId="41231" xr:uid="{00000000-0005-0000-0000-0000E8A10000}"/>
    <cellStyle name="RIGs input totals 6 3 2 3 3" xfId="41232" xr:uid="{00000000-0005-0000-0000-0000E9A10000}"/>
    <cellStyle name="RIGs input totals 6 3 2 4" xfId="41233" xr:uid="{00000000-0005-0000-0000-0000EAA10000}"/>
    <cellStyle name="RIGs input totals 6 3 2 5" xfId="41234" xr:uid="{00000000-0005-0000-0000-0000EBA10000}"/>
    <cellStyle name="RIGs input totals 6 3 2 6" xfId="41235" xr:uid="{00000000-0005-0000-0000-0000ECA10000}"/>
    <cellStyle name="RIGs input totals 6 3 2 7" xfId="41236" xr:uid="{00000000-0005-0000-0000-0000EDA10000}"/>
    <cellStyle name="RIGs input totals 6 3 2 8" xfId="41237" xr:uid="{00000000-0005-0000-0000-0000EEA10000}"/>
    <cellStyle name="RIGs input totals 6 3 2 9" xfId="41238" xr:uid="{00000000-0005-0000-0000-0000EFA10000}"/>
    <cellStyle name="RIGs input totals 6 3 20" xfId="41239" xr:uid="{00000000-0005-0000-0000-0000F0A10000}"/>
    <cellStyle name="RIGs input totals 6 3 21" xfId="41240" xr:uid="{00000000-0005-0000-0000-0000F1A10000}"/>
    <cellStyle name="RIGs input totals 6 3 22" xfId="41241" xr:uid="{00000000-0005-0000-0000-0000F2A10000}"/>
    <cellStyle name="RIGs input totals 6 3 23" xfId="41242" xr:uid="{00000000-0005-0000-0000-0000F3A10000}"/>
    <cellStyle name="RIGs input totals 6 3 24" xfId="41243" xr:uid="{00000000-0005-0000-0000-0000F4A10000}"/>
    <cellStyle name="RIGs input totals 6 3 25" xfId="41244" xr:uid="{00000000-0005-0000-0000-0000F5A10000}"/>
    <cellStyle name="RIGs input totals 6 3 26" xfId="41245" xr:uid="{00000000-0005-0000-0000-0000F6A10000}"/>
    <cellStyle name="RIGs input totals 6 3 27" xfId="41246" xr:uid="{00000000-0005-0000-0000-0000F7A10000}"/>
    <cellStyle name="RIGs input totals 6 3 28" xfId="41247" xr:uid="{00000000-0005-0000-0000-0000F8A10000}"/>
    <cellStyle name="RIGs input totals 6 3 29" xfId="41248" xr:uid="{00000000-0005-0000-0000-0000F9A10000}"/>
    <cellStyle name="RIGs input totals 6 3 3" xfId="41249" xr:uid="{00000000-0005-0000-0000-0000FAA10000}"/>
    <cellStyle name="RIGs input totals 6 3 3 2" xfId="41250" xr:uid="{00000000-0005-0000-0000-0000FBA10000}"/>
    <cellStyle name="RIGs input totals 6 3 3 3" xfId="41251" xr:uid="{00000000-0005-0000-0000-0000FCA10000}"/>
    <cellStyle name="RIGs input totals 6 3 30" xfId="41252" xr:uid="{00000000-0005-0000-0000-0000FDA10000}"/>
    <cellStyle name="RIGs input totals 6 3 31" xfId="41253" xr:uid="{00000000-0005-0000-0000-0000FEA10000}"/>
    <cellStyle name="RIGs input totals 6 3 32" xfId="41254" xr:uid="{00000000-0005-0000-0000-0000FFA10000}"/>
    <cellStyle name="RIGs input totals 6 3 33" xfId="41255" xr:uid="{00000000-0005-0000-0000-000000A20000}"/>
    <cellStyle name="RIGs input totals 6 3 34" xfId="41256" xr:uid="{00000000-0005-0000-0000-000001A20000}"/>
    <cellStyle name="RIGs input totals 6 3 4" xfId="41257" xr:uid="{00000000-0005-0000-0000-000002A20000}"/>
    <cellStyle name="RIGs input totals 6 3 4 2" xfId="41258" xr:uid="{00000000-0005-0000-0000-000003A20000}"/>
    <cellStyle name="RIGs input totals 6 3 4 3" xfId="41259" xr:uid="{00000000-0005-0000-0000-000004A20000}"/>
    <cellStyle name="RIGs input totals 6 3 5" xfId="41260" xr:uid="{00000000-0005-0000-0000-000005A20000}"/>
    <cellStyle name="RIGs input totals 6 3 6" xfId="41261" xr:uid="{00000000-0005-0000-0000-000006A20000}"/>
    <cellStyle name="RIGs input totals 6 3 7" xfId="41262" xr:uid="{00000000-0005-0000-0000-000007A20000}"/>
    <cellStyle name="RIGs input totals 6 3 8" xfId="41263" xr:uid="{00000000-0005-0000-0000-000008A20000}"/>
    <cellStyle name="RIGs input totals 6 3 9" xfId="41264" xr:uid="{00000000-0005-0000-0000-000009A20000}"/>
    <cellStyle name="RIGs input totals 6 30" xfId="41265" xr:uid="{00000000-0005-0000-0000-00000AA20000}"/>
    <cellStyle name="RIGs input totals 6 31" xfId="41266" xr:uid="{00000000-0005-0000-0000-00000BA20000}"/>
    <cellStyle name="RIGs input totals 6 32" xfId="41267" xr:uid="{00000000-0005-0000-0000-00000CA20000}"/>
    <cellStyle name="RIGs input totals 6 33" xfId="41268" xr:uid="{00000000-0005-0000-0000-00000DA20000}"/>
    <cellStyle name="RIGs input totals 6 34" xfId="41269" xr:uid="{00000000-0005-0000-0000-00000EA20000}"/>
    <cellStyle name="RIGs input totals 6 35" xfId="41270" xr:uid="{00000000-0005-0000-0000-00000FA20000}"/>
    <cellStyle name="RIGs input totals 6 36" xfId="41271" xr:uid="{00000000-0005-0000-0000-000010A20000}"/>
    <cellStyle name="RIGs input totals 6 37" xfId="41272" xr:uid="{00000000-0005-0000-0000-000011A20000}"/>
    <cellStyle name="RIGs input totals 6 38" xfId="41273" xr:uid="{00000000-0005-0000-0000-000012A20000}"/>
    <cellStyle name="RIGs input totals 6 4" xfId="41274" xr:uid="{00000000-0005-0000-0000-000013A20000}"/>
    <cellStyle name="RIGs input totals 6 4 10" xfId="41275" xr:uid="{00000000-0005-0000-0000-000014A20000}"/>
    <cellStyle name="RIGs input totals 6 4 11" xfId="41276" xr:uid="{00000000-0005-0000-0000-000015A20000}"/>
    <cellStyle name="RIGs input totals 6 4 12" xfId="41277" xr:uid="{00000000-0005-0000-0000-000016A20000}"/>
    <cellStyle name="RIGs input totals 6 4 13" xfId="41278" xr:uid="{00000000-0005-0000-0000-000017A20000}"/>
    <cellStyle name="RIGs input totals 6 4 14" xfId="41279" xr:uid="{00000000-0005-0000-0000-000018A20000}"/>
    <cellStyle name="RIGs input totals 6 4 15" xfId="41280" xr:uid="{00000000-0005-0000-0000-000019A20000}"/>
    <cellStyle name="RIGs input totals 6 4 16" xfId="41281" xr:uid="{00000000-0005-0000-0000-00001AA20000}"/>
    <cellStyle name="RIGs input totals 6 4 17" xfId="41282" xr:uid="{00000000-0005-0000-0000-00001BA20000}"/>
    <cellStyle name="RIGs input totals 6 4 18" xfId="41283" xr:uid="{00000000-0005-0000-0000-00001CA20000}"/>
    <cellStyle name="RIGs input totals 6 4 19" xfId="41284" xr:uid="{00000000-0005-0000-0000-00001DA20000}"/>
    <cellStyle name="RIGs input totals 6 4 2" xfId="41285" xr:uid="{00000000-0005-0000-0000-00001EA20000}"/>
    <cellStyle name="RIGs input totals 6 4 2 10" xfId="41286" xr:uid="{00000000-0005-0000-0000-00001FA20000}"/>
    <cellStyle name="RIGs input totals 6 4 2 11" xfId="41287" xr:uid="{00000000-0005-0000-0000-000020A20000}"/>
    <cellStyle name="RIGs input totals 6 4 2 12" xfId="41288" xr:uid="{00000000-0005-0000-0000-000021A20000}"/>
    <cellStyle name="RIGs input totals 6 4 2 13" xfId="41289" xr:uid="{00000000-0005-0000-0000-000022A20000}"/>
    <cellStyle name="RIGs input totals 6 4 2 2" xfId="41290" xr:uid="{00000000-0005-0000-0000-000023A20000}"/>
    <cellStyle name="RIGs input totals 6 4 2 2 2" xfId="41291" xr:uid="{00000000-0005-0000-0000-000024A20000}"/>
    <cellStyle name="RIGs input totals 6 4 2 2 3" xfId="41292" xr:uid="{00000000-0005-0000-0000-000025A20000}"/>
    <cellStyle name="RIGs input totals 6 4 2 3" xfId="41293" xr:uid="{00000000-0005-0000-0000-000026A20000}"/>
    <cellStyle name="RIGs input totals 6 4 2 3 2" xfId="41294" xr:uid="{00000000-0005-0000-0000-000027A20000}"/>
    <cellStyle name="RIGs input totals 6 4 2 3 3" xfId="41295" xr:uid="{00000000-0005-0000-0000-000028A20000}"/>
    <cellStyle name="RIGs input totals 6 4 2 4" xfId="41296" xr:uid="{00000000-0005-0000-0000-000029A20000}"/>
    <cellStyle name="RIGs input totals 6 4 2 5" xfId="41297" xr:uid="{00000000-0005-0000-0000-00002AA20000}"/>
    <cellStyle name="RIGs input totals 6 4 2 6" xfId="41298" xr:uid="{00000000-0005-0000-0000-00002BA20000}"/>
    <cellStyle name="RIGs input totals 6 4 2 7" xfId="41299" xr:uid="{00000000-0005-0000-0000-00002CA20000}"/>
    <cellStyle name="RIGs input totals 6 4 2 8" xfId="41300" xr:uid="{00000000-0005-0000-0000-00002DA20000}"/>
    <cellStyle name="RIGs input totals 6 4 2 9" xfId="41301" xr:uid="{00000000-0005-0000-0000-00002EA20000}"/>
    <cellStyle name="RIGs input totals 6 4 20" xfId="41302" xr:uid="{00000000-0005-0000-0000-00002FA20000}"/>
    <cellStyle name="RIGs input totals 6 4 21" xfId="41303" xr:uid="{00000000-0005-0000-0000-000030A20000}"/>
    <cellStyle name="RIGs input totals 6 4 22" xfId="41304" xr:uid="{00000000-0005-0000-0000-000031A20000}"/>
    <cellStyle name="RIGs input totals 6 4 23" xfId="41305" xr:uid="{00000000-0005-0000-0000-000032A20000}"/>
    <cellStyle name="RIGs input totals 6 4 24" xfId="41306" xr:uid="{00000000-0005-0000-0000-000033A20000}"/>
    <cellStyle name="RIGs input totals 6 4 25" xfId="41307" xr:uid="{00000000-0005-0000-0000-000034A20000}"/>
    <cellStyle name="RIGs input totals 6 4 26" xfId="41308" xr:uid="{00000000-0005-0000-0000-000035A20000}"/>
    <cellStyle name="RIGs input totals 6 4 27" xfId="41309" xr:uid="{00000000-0005-0000-0000-000036A20000}"/>
    <cellStyle name="RIGs input totals 6 4 28" xfId="41310" xr:uid="{00000000-0005-0000-0000-000037A20000}"/>
    <cellStyle name="RIGs input totals 6 4 29" xfId="41311" xr:uid="{00000000-0005-0000-0000-000038A20000}"/>
    <cellStyle name="RIGs input totals 6 4 3" xfId="41312" xr:uid="{00000000-0005-0000-0000-000039A20000}"/>
    <cellStyle name="RIGs input totals 6 4 3 2" xfId="41313" xr:uid="{00000000-0005-0000-0000-00003AA20000}"/>
    <cellStyle name="RIGs input totals 6 4 3 3" xfId="41314" xr:uid="{00000000-0005-0000-0000-00003BA20000}"/>
    <cellStyle name="RIGs input totals 6 4 30" xfId="41315" xr:uid="{00000000-0005-0000-0000-00003CA20000}"/>
    <cellStyle name="RIGs input totals 6 4 31" xfId="41316" xr:uid="{00000000-0005-0000-0000-00003DA20000}"/>
    <cellStyle name="RIGs input totals 6 4 32" xfId="41317" xr:uid="{00000000-0005-0000-0000-00003EA20000}"/>
    <cellStyle name="RIGs input totals 6 4 33" xfId="41318" xr:uid="{00000000-0005-0000-0000-00003FA20000}"/>
    <cellStyle name="RIGs input totals 6 4 34" xfId="41319" xr:uid="{00000000-0005-0000-0000-000040A20000}"/>
    <cellStyle name="RIGs input totals 6 4 4" xfId="41320" xr:uid="{00000000-0005-0000-0000-000041A20000}"/>
    <cellStyle name="RIGs input totals 6 4 4 2" xfId="41321" xr:uid="{00000000-0005-0000-0000-000042A20000}"/>
    <cellStyle name="RIGs input totals 6 4 4 3" xfId="41322" xr:uid="{00000000-0005-0000-0000-000043A20000}"/>
    <cellStyle name="RIGs input totals 6 4 5" xfId="41323" xr:uid="{00000000-0005-0000-0000-000044A20000}"/>
    <cellStyle name="RIGs input totals 6 4 6" xfId="41324" xr:uid="{00000000-0005-0000-0000-000045A20000}"/>
    <cellStyle name="RIGs input totals 6 4 7" xfId="41325" xr:uid="{00000000-0005-0000-0000-000046A20000}"/>
    <cellStyle name="RIGs input totals 6 4 8" xfId="41326" xr:uid="{00000000-0005-0000-0000-000047A20000}"/>
    <cellStyle name="RIGs input totals 6 4 9" xfId="41327" xr:uid="{00000000-0005-0000-0000-000048A20000}"/>
    <cellStyle name="RIGs input totals 6 5" xfId="41328" xr:uid="{00000000-0005-0000-0000-000049A20000}"/>
    <cellStyle name="RIGs input totals 6 5 10" xfId="41329" xr:uid="{00000000-0005-0000-0000-00004AA20000}"/>
    <cellStyle name="RIGs input totals 6 5 11" xfId="41330" xr:uid="{00000000-0005-0000-0000-00004BA20000}"/>
    <cellStyle name="RIGs input totals 6 5 12" xfId="41331" xr:uid="{00000000-0005-0000-0000-00004CA20000}"/>
    <cellStyle name="RIGs input totals 6 5 13" xfId="41332" xr:uid="{00000000-0005-0000-0000-00004DA20000}"/>
    <cellStyle name="RIGs input totals 6 5 2" xfId="41333" xr:uid="{00000000-0005-0000-0000-00004EA20000}"/>
    <cellStyle name="RIGs input totals 6 5 2 2" xfId="41334" xr:uid="{00000000-0005-0000-0000-00004FA20000}"/>
    <cellStyle name="RIGs input totals 6 5 2 3" xfId="41335" xr:uid="{00000000-0005-0000-0000-000050A20000}"/>
    <cellStyle name="RIGs input totals 6 5 3" xfId="41336" xr:uid="{00000000-0005-0000-0000-000051A20000}"/>
    <cellStyle name="RIGs input totals 6 5 3 2" xfId="41337" xr:uid="{00000000-0005-0000-0000-000052A20000}"/>
    <cellStyle name="RIGs input totals 6 5 3 3" xfId="41338" xr:uid="{00000000-0005-0000-0000-000053A20000}"/>
    <cellStyle name="RIGs input totals 6 5 4" xfId="41339" xr:uid="{00000000-0005-0000-0000-000054A20000}"/>
    <cellStyle name="RIGs input totals 6 5 5" xfId="41340" xr:uid="{00000000-0005-0000-0000-000055A20000}"/>
    <cellStyle name="RIGs input totals 6 5 6" xfId="41341" xr:uid="{00000000-0005-0000-0000-000056A20000}"/>
    <cellStyle name="RIGs input totals 6 5 7" xfId="41342" xr:uid="{00000000-0005-0000-0000-000057A20000}"/>
    <cellStyle name="RIGs input totals 6 5 8" xfId="41343" xr:uid="{00000000-0005-0000-0000-000058A20000}"/>
    <cellStyle name="RIGs input totals 6 5 9" xfId="41344" xr:uid="{00000000-0005-0000-0000-000059A20000}"/>
    <cellStyle name="RIGs input totals 6 6" xfId="41345" xr:uid="{00000000-0005-0000-0000-00005AA20000}"/>
    <cellStyle name="RIGs input totals 6 6 2" xfId="41346" xr:uid="{00000000-0005-0000-0000-00005BA20000}"/>
    <cellStyle name="RIGs input totals 6 6 2 2" xfId="41347" xr:uid="{00000000-0005-0000-0000-00005CA20000}"/>
    <cellStyle name="RIGs input totals 6 6 2 3" xfId="41348" xr:uid="{00000000-0005-0000-0000-00005DA20000}"/>
    <cellStyle name="RIGs input totals 6 6 3" xfId="41349" xr:uid="{00000000-0005-0000-0000-00005EA20000}"/>
    <cellStyle name="RIGs input totals 6 6 3 2" xfId="41350" xr:uid="{00000000-0005-0000-0000-00005FA20000}"/>
    <cellStyle name="RIGs input totals 6 6 4" xfId="41351" xr:uid="{00000000-0005-0000-0000-000060A20000}"/>
    <cellStyle name="RIGs input totals 6 7" xfId="41352" xr:uid="{00000000-0005-0000-0000-000061A20000}"/>
    <cellStyle name="RIGs input totals 6 7 2" xfId="41353" xr:uid="{00000000-0005-0000-0000-000062A20000}"/>
    <cellStyle name="RIGs input totals 6 8" xfId="41354" xr:uid="{00000000-0005-0000-0000-000063A20000}"/>
    <cellStyle name="RIGs input totals 6 8 2" xfId="41355" xr:uid="{00000000-0005-0000-0000-000064A20000}"/>
    <cellStyle name="RIGs input totals 6 9" xfId="41356" xr:uid="{00000000-0005-0000-0000-000065A20000}"/>
    <cellStyle name="RIGs input totals 6 9 2" xfId="41357" xr:uid="{00000000-0005-0000-0000-000066A20000}"/>
    <cellStyle name="RIGs input totals 6_4 28 1_Asst_Health_Crit_AllTO_RIIO_20110714pm" xfId="41358" xr:uid="{00000000-0005-0000-0000-000067A20000}"/>
    <cellStyle name="RIGs input totals 7" xfId="41359" xr:uid="{00000000-0005-0000-0000-000068A20000}"/>
    <cellStyle name="RIGs input totals 7 10" xfId="41360" xr:uid="{00000000-0005-0000-0000-000069A20000}"/>
    <cellStyle name="RIGs input totals 7 11" xfId="41361" xr:uid="{00000000-0005-0000-0000-00006AA20000}"/>
    <cellStyle name="RIGs input totals 7 12" xfId="41362" xr:uid="{00000000-0005-0000-0000-00006BA20000}"/>
    <cellStyle name="RIGs input totals 7 13" xfId="41363" xr:uid="{00000000-0005-0000-0000-00006CA20000}"/>
    <cellStyle name="RIGs input totals 7 14" xfId="41364" xr:uid="{00000000-0005-0000-0000-00006DA20000}"/>
    <cellStyle name="RIGs input totals 7 15" xfId="41365" xr:uid="{00000000-0005-0000-0000-00006EA20000}"/>
    <cellStyle name="RIGs input totals 7 16" xfId="41366" xr:uid="{00000000-0005-0000-0000-00006FA20000}"/>
    <cellStyle name="RIGs input totals 7 17" xfId="41367" xr:uid="{00000000-0005-0000-0000-000070A20000}"/>
    <cellStyle name="RIGs input totals 7 18" xfId="41368" xr:uid="{00000000-0005-0000-0000-000071A20000}"/>
    <cellStyle name="RIGs input totals 7 19" xfId="41369" xr:uid="{00000000-0005-0000-0000-000072A20000}"/>
    <cellStyle name="RIGs input totals 7 2" xfId="41370" xr:uid="{00000000-0005-0000-0000-000073A20000}"/>
    <cellStyle name="RIGs input totals 7 2 10" xfId="41371" xr:uid="{00000000-0005-0000-0000-000074A20000}"/>
    <cellStyle name="RIGs input totals 7 2 11" xfId="41372" xr:uid="{00000000-0005-0000-0000-000075A20000}"/>
    <cellStyle name="RIGs input totals 7 2 12" xfId="41373" xr:uid="{00000000-0005-0000-0000-000076A20000}"/>
    <cellStyle name="RIGs input totals 7 2 13" xfId="41374" xr:uid="{00000000-0005-0000-0000-000077A20000}"/>
    <cellStyle name="RIGs input totals 7 2 14" xfId="41375" xr:uid="{00000000-0005-0000-0000-000078A20000}"/>
    <cellStyle name="RIGs input totals 7 2 15" xfId="41376" xr:uid="{00000000-0005-0000-0000-000079A20000}"/>
    <cellStyle name="RIGs input totals 7 2 16" xfId="41377" xr:uid="{00000000-0005-0000-0000-00007AA20000}"/>
    <cellStyle name="RIGs input totals 7 2 17" xfId="41378" xr:uid="{00000000-0005-0000-0000-00007BA20000}"/>
    <cellStyle name="RIGs input totals 7 2 18" xfId="41379" xr:uid="{00000000-0005-0000-0000-00007CA20000}"/>
    <cellStyle name="RIGs input totals 7 2 19" xfId="41380" xr:uid="{00000000-0005-0000-0000-00007DA20000}"/>
    <cellStyle name="RIGs input totals 7 2 2" xfId="41381" xr:uid="{00000000-0005-0000-0000-00007EA20000}"/>
    <cellStyle name="RIGs input totals 7 2 2 10" xfId="41382" xr:uid="{00000000-0005-0000-0000-00007FA20000}"/>
    <cellStyle name="RIGs input totals 7 2 2 11" xfId="41383" xr:uid="{00000000-0005-0000-0000-000080A20000}"/>
    <cellStyle name="RIGs input totals 7 2 2 12" xfId="41384" xr:uid="{00000000-0005-0000-0000-000081A20000}"/>
    <cellStyle name="RIGs input totals 7 2 2 13" xfId="41385" xr:uid="{00000000-0005-0000-0000-000082A20000}"/>
    <cellStyle name="RIGs input totals 7 2 2 2" xfId="41386" xr:uid="{00000000-0005-0000-0000-000083A20000}"/>
    <cellStyle name="RIGs input totals 7 2 2 2 2" xfId="41387" xr:uid="{00000000-0005-0000-0000-000084A20000}"/>
    <cellStyle name="RIGs input totals 7 2 2 2 3" xfId="41388" xr:uid="{00000000-0005-0000-0000-000085A20000}"/>
    <cellStyle name="RIGs input totals 7 2 2 3" xfId="41389" xr:uid="{00000000-0005-0000-0000-000086A20000}"/>
    <cellStyle name="RIGs input totals 7 2 2 3 2" xfId="41390" xr:uid="{00000000-0005-0000-0000-000087A20000}"/>
    <cellStyle name="RIGs input totals 7 2 2 3 3" xfId="41391" xr:uid="{00000000-0005-0000-0000-000088A20000}"/>
    <cellStyle name="RIGs input totals 7 2 2 4" xfId="41392" xr:uid="{00000000-0005-0000-0000-000089A20000}"/>
    <cellStyle name="RIGs input totals 7 2 2 5" xfId="41393" xr:uid="{00000000-0005-0000-0000-00008AA20000}"/>
    <cellStyle name="RIGs input totals 7 2 2 6" xfId="41394" xr:uid="{00000000-0005-0000-0000-00008BA20000}"/>
    <cellStyle name="RIGs input totals 7 2 2 7" xfId="41395" xr:uid="{00000000-0005-0000-0000-00008CA20000}"/>
    <cellStyle name="RIGs input totals 7 2 2 8" xfId="41396" xr:uid="{00000000-0005-0000-0000-00008DA20000}"/>
    <cellStyle name="RIGs input totals 7 2 2 9" xfId="41397" xr:uid="{00000000-0005-0000-0000-00008EA20000}"/>
    <cellStyle name="RIGs input totals 7 2 20" xfId="41398" xr:uid="{00000000-0005-0000-0000-00008FA20000}"/>
    <cellStyle name="RIGs input totals 7 2 21" xfId="41399" xr:uid="{00000000-0005-0000-0000-000090A20000}"/>
    <cellStyle name="RIGs input totals 7 2 22" xfId="41400" xr:uid="{00000000-0005-0000-0000-000091A20000}"/>
    <cellStyle name="RIGs input totals 7 2 23" xfId="41401" xr:uid="{00000000-0005-0000-0000-000092A20000}"/>
    <cellStyle name="RIGs input totals 7 2 24" xfId="41402" xr:uid="{00000000-0005-0000-0000-000093A20000}"/>
    <cellStyle name="RIGs input totals 7 2 25" xfId="41403" xr:uid="{00000000-0005-0000-0000-000094A20000}"/>
    <cellStyle name="RIGs input totals 7 2 26" xfId="41404" xr:uid="{00000000-0005-0000-0000-000095A20000}"/>
    <cellStyle name="RIGs input totals 7 2 27" xfId="41405" xr:uid="{00000000-0005-0000-0000-000096A20000}"/>
    <cellStyle name="RIGs input totals 7 2 28" xfId="41406" xr:uid="{00000000-0005-0000-0000-000097A20000}"/>
    <cellStyle name="RIGs input totals 7 2 29" xfId="41407" xr:uid="{00000000-0005-0000-0000-000098A20000}"/>
    <cellStyle name="RIGs input totals 7 2 3" xfId="41408" xr:uid="{00000000-0005-0000-0000-000099A20000}"/>
    <cellStyle name="RIGs input totals 7 2 3 2" xfId="41409" xr:uid="{00000000-0005-0000-0000-00009AA20000}"/>
    <cellStyle name="RIGs input totals 7 2 3 3" xfId="41410" xr:uid="{00000000-0005-0000-0000-00009BA20000}"/>
    <cellStyle name="RIGs input totals 7 2 30" xfId="41411" xr:uid="{00000000-0005-0000-0000-00009CA20000}"/>
    <cellStyle name="RIGs input totals 7 2 31" xfId="41412" xr:uid="{00000000-0005-0000-0000-00009DA20000}"/>
    <cellStyle name="RIGs input totals 7 2 32" xfId="41413" xr:uid="{00000000-0005-0000-0000-00009EA20000}"/>
    <cellStyle name="RIGs input totals 7 2 33" xfId="41414" xr:uid="{00000000-0005-0000-0000-00009FA20000}"/>
    <cellStyle name="RIGs input totals 7 2 34" xfId="41415" xr:uid="{00000000-0005-0000-0000-0000A0A20000}"/>
    <cellStyle name="RIGs input totals 7 2 4" xfId="41416" xr:uid="{00000000-0005-0000-0000-0000A1A20000}"/>
    <cellStyle name="RIGs input totals 7 2 4 2" xfId="41417" xr:uid="{00000000-0005-0000-0000-0000A2A20000}"/>
    <cellStyle name="RIGs input totals 7 2 4 3" xfId="41418" xr:uid="{00000000-0005-0000-0000-0000A3A20000}"/>
    <cellStyle name="RIGs input totals 7 2 5" xfId="41419" xr:uid="{00000000-0005-0000-0000-0000A4A20000}"/>
    <cellStyle name="RIGs input totals 7 2 6" xfId="41420" xr:uid="{00000000-0005-0000-0000-0000A5A20000}"/>
    <cellStyle name="RIGs input totals 7 2 7" xfId="41421" xr:uid="{00000000-0005-0000-0000-0000A6A20000}"/>
    <cellStyle name="RIGs input totals 7 2 8" xfId="41422" xr:uid="{00000000-0005-0000-0000-0000A7A20000}"/>
    <cellStyle name="RIGs input totals 7 2 9" xfId="41423" xr:uid="{00000000-0005-0000-0000-0000A8A20000}"/>
    <cellStyle name="RIGs input totals 7 20" xfId="41424" xr:uid="{00000000-0005-0000-0000-0000A9A20000}"/>
    <cellStyle name="RIGs input totals 7 21" xfId="41425" xr:uid="{00000000-0005-0000-0000-0000AAA20000}"/>
    <cellStyle name="RIGs input totals 7 22" xfId="41426" xr:uid="{00000000-0005-0000-0000-0000ABA20000}"/>
    <cellStyle name="RIGs input totals 7 23" xfId="41427" xr:uid="{00000000-0005-0000-0000-0000ACA20000}"/>
    <cellStyle name="RIGs input totals 7 24" xfId="41428" xr:uid="{00000000-0005-0000-0000-0000ADA20000}"/>
    <cellStyle name="RIGs input totals 7 25" xfId="41429" xr:uid="{00000000-0005-0000-0000-0000AEA20000}"/>
    <cellStyle name="RIGs input totals 7 26" xfId="41430" xr:uid="{00000000-0005-0000-0000-0000AFA20000}"/>
    <cellStyle name="RIGs input totals 7 27" xfId="41431" xr:uid="{00000000-0005-0000-0000-0000B0A20000}"/>
    <cellStyle name="RIGs input totals 7 28" xfId="41432" xr:uid="{00000000-0005-0000-0000-0000B1A20000}"/>
    <cellStyle name="RIGs input totals 7 29" xfId="41433" xr:uid="{00000000-0005-0000-0000-0000B2A20000}"/>
    <cellStyle name="RIGs input totals 7 3" xfId="41434" xr:uid="{00000000-0005-0000-0000-0000B3A20000}"/>
    <cellStyle name="RIGs input totals 7 3 10" xfId="41435" xr:uid="{00000000-0005-0000-0000-0000B4A20000}"/>
    <cellStyle name="RIGs input totals 7 3 11" xfId="41436" xr:uid="{00000000-0005-0000-0000-0000B5A20000}"/>
    <cellStyle name="RIGs input totals 7 3 12" xfId="41437" xr:uid="{00000000-0005-0000-0000-0000B6A20000}"/>
    <cellStyle name="RIGs input totals 7 3 13" xfId="41438" xr:uid="{00000000-0005-0000-0000-0000B7A20000}"/>
    <cellStyle name="RIGs input totals 7 3 14" xfId="41439" xr:uid="{00000000-0005-0000-0000-0000B8A20000}"/>
    <cellStyle name="RIGs input totals 7 3 15" xfId="41440" xr:uid="{00000000-0005-0000-0000-0000B9A20000}"/>
    <cellStyle name="RIGs input totals 7 3 16" xfId="41441" xr:uid="{00000000-0005-0000-0000-0000BAA20000}"/>
    <cellStyle name="RIGs input totals 7 3 17" xfId="41442" xr:uid="{00000000-0005-0000-0000-0000BBA20000}"/>
    <cellStyle name="RIGs input totals 7 3 18" xfId="41443" xr:uid="{00000000-0005-0000-0000-0000BCA20000}"/>
    <cellStyle name="RIGs input totals 7 3 19" xfId="41444" xr:uid="{00000000-0005-0000-0000-0000BDA20000}"/>
    <cellStyle name="RIGs input totals 7 3 2" xfId="41445" xr:uid="{00000000-0005-0000-0000-0000BEA20000}"/>
    <cellStyle name="RIGs input totals 7 3 2 10" xfId="41446" xr:uid="{00000000-0005-0000-0000-0000BFA20000}"/>
    <cellStyle name="RIGs input totals 7 3 2 11" xfId="41447" xr:uid="{00000000-0005-0000-0000-0000C0A20000}"/>
    <cellStyle name="RIGs input totals 7 3 2 12" xfId="41448" xr:uid="{00000000-0005-0000-0000-0000C1A20000}"/>
    <cellStyle name="RIGs input totals 7 3 2 13" xfId="41449" xr:uid="{00000000-0005-0000-0000-0000C2A20000}"/>
    <cellStyle name="RIGs input totals 7 3 2 2" xfId="41450" xr:uid="{00000000-0005-0000-0000-0000C3A20000}"/>
    <cellStyle name="RIGs input totals 7 3 2 2 2" xfId="41451" xr:uid="{00000000-0005-0000-0000-0000C4A20000}"/>
    <cellStyle name="RIGs input totals 7 3 2 2 3" xfId="41452" xr:uid="{00000000-0005-0000-0000-0000C5A20000}"/>
    <cellStyle name="RIGs input totals 7 3 2 3" xfId="41453" xr:uid="{00000000-0005-0000-0000-0000C6A20000}"/>
    <cellStyle name="RIGs input totals 7 3 2 3 2" xfId="41454" xr:uid="{00000000-0005-0000-0000-0000C7A20000}"/>
    <cellStyle name="RIGs input totals 7 3 2 3 3" xfId="41455" xr:uid="{00000000-0005-0000-0000-0000C8A20000}"/>
    <cellStyle name="RIGs input totals 7 3 2 4" xfId="41456" xr:uid="{00000000-0005-0000-0000-0000C9A20000}"/>
    <cellStyle name="RIGs input totals 7 3 2 5" xfId="41457" xr:uid="{00000000-0005-0000-0000-0000CAA20000}"/>
    <cellStyle name="RIGs input totals 7 3 2 6" xfId="41458" xr:uid="{00000000-0005-0000-0000-0000CBA20000}"/>
    <cellStyle name="RIGs input totals 7 3 2 7" xfId="41459" xr:uid="{00000000-0005-0000-0000-0000CCA20000}"/>
    <cellStyle name="RIGs input totals 7 3 2 8" xfId="41460" xr:uid="{00000000-0005-0000-0000-0000CDA20000}"/>
    <cellStyle name="RIGs input totals 7 3 2 9" xfId="41461" xr:uid="{00000000-0005-0000-0000-0000CEA20000}"/>
    <cellStyle name="RIGs input totals 7 3 20" xfId="41462" xr:uid="{00000000-0005-0000-0000-0000CFA20000}"/>
    <cellStyle name="RIGs input totals 7 3 21" xfId="41463" xr:uid="{00000000-0005-0000-0000-0000D0A20000}"/>
    <cellStyle name="RIGs input totals 7 3 22" xfId="41464" xr:uid="{00000000-0005-0000-0000-0000D1A20000}"/>
    <cellStyle name="RIGs input totals 7 3 23" xfId="41465" xr:uid="{00000000-0005-0000-0000-0000D2A20000}"/>
    <cellStyle name="RIGs input totals 7 3 24" xfId="41466" xr:uid="{00000000-0005-0000-0000-0000D3A20000}"/>
    <cellStyle name="RIGs input totals 7 3 25" xfId="41467" xr:uid="{00000000-0005-0000-0000-0000D4A20000}"/>
    <cellStyle name="RIGs input totals 7 3 26" xfId="41468" xr:uid="{00000000-0005-0000-0000-0000D5A20000}"/>
    <cellStyle name="RIGs input totals 7 3 27" xfId="41469" xr:uid="{00000000-0005-0000-0000-0000D6A20000}"/>
    <cellStyle name="RIGs input totals 7 3 28" xfId="41470" xr:uid="{00000000-0005-0000-0000-0000D7A20000}"/>
    <cellStyle name="RIGs input totals 7 3 29" xfId="41471" xr:uid="{00000000-0005-0000-0000-0000D8A20000}"/>
    <cellStyle name="RIGs input totals 7 3 3" xfId="41472" xr:uid="{00000000-0005-0000-0000-0000D9A20000}"/>
    <cellStyle name="RIGs input totals 7 3 3 2" xfId="41473" xr:uid="{00000000-0005-0000-0000-0000DAA20000}"/>
    <cellStyle name="RIGs input totals 7 3 3 3" xfId="41474" xr:uid="{00000000-0005-0000-0000-0000DBA20000}"/>
    <cellStyle name="RIGs input totals 7 3 30" xfId="41475" xr:uid="{00000000-0005-0000-0000-0000DCA20000}"/>
    <cellStyle name="RIGs input totals 7 3 31" xfId="41476" xr:uid="{00000000-0005-0000-0000-0000DDA20000}"/>
    <cellStyle name="RIGs input totals 7 3 32" xfId="41477" xr:uid="{00000000-0005-0000-0000-0000DEA20000}"/>
    <cellStyle name="RIGs input totals 7 3 33" xfId="41478" xr:uid="{00000000-0005-0000-0000-0000DFA20000}"/>
    <cellStyle name="RIGs input totals 7 3 34" xfId="41479" xr:uid="{00000000-0005-0000-0000-0000E0A20000}"/>
    <cellStyle name="RIGs input totals 7 3 4" xfId="41480" xr:uid="{00000000-0005-0000-0000-0000E1A20000}"/>
    <cellStyle name="RIGs input totals 7 3 4 2" xfId="41481" xr:uid="{00000000-0005-0000-0000-0000E2A20000}"/>
    <cellStyle name="RIGs input totals 7 3 4 3" xfId="41482" xr:uid="{00000000-0005-0000-0000-0000E3A20000}"/>
    <cellStyle name="RIGs input totals 7 3 5" xfId="41483" xr:uid="{00000000-0005-0000-0000-0000E4A20000}"/>
    <cellStyle name="RIGs input totals 7 3 6" xfId="41484" xr:uid="{00000000-0005-0000-0000-0000E5A20000}"/>
    <cellStyle name="RIGs input totals 7 3 7" xfId="41485" xr:uid="{00000000-0005-0000-0000-0000E6A20000}"/>
    <cellStyle name="RIGs input totals 7 3 8" xfId="41486" xr:uid="{00000000-0005-0000-0000-0000E7A20000}"/>
    <cellStyle name="RIGs input totals 7 3 9" xfId="41487" xr:uid="{00000000-0005-0000-0000-0000E8A20000}"/>
    <cellStyle name="RIGs input totals 7 30" xfId="41488" xr:uid="{00000000-0005-0000-0000-0000E9A20000}"/>
    <cellStyle name="RIGs input totals 7 31" xfId="41489" xr:uid="{00000000-0005-0000-0000-0000EAA20000}"/>
    <cellStyle name="RIGs input totals 7 32" xfId="41490" xr:uid="{00000000-0005-0000-0000-0000EBA20000}"/>
    <cellStyle name="RIGs input totals 7 33" xfId="41491" xr:uid="{00000000-0005-0000-0000-0000ECA20000}"/>
    <cellStyle name="RIGs input totals 7 34" xfId="41492" xr:uid="{00000000-0005-0000-0000-0000EDA20000}"/>
    <cellStyle name="RIGs input totals 7 35" xfId="41493" xr:uid="{00000000-0005-0000-0000-0000EEA20000}"/>
    <cellStyle name="RIGs input totals 7 36" xfId="41494" xr:uid="{00000000-0005-0000-0000-0000EFA20000}"/>
    <cellStyle name="RIGs input totals 7 37" xfId="41495" xr:uid="{00000000-0005-0000-0000-0000F0A20000}"/>
    <cellStyle name="RIGs input totals 7 38" xfId="41496" xr:uid="{00000000-0005-0000-0000-0000F1A20000}"/>
    <cellStyle name="RIGs input totals 7 4" xfId="41497" xr:uid="{00000000-0005-0000-0000-0000F2A20000}"/>
    <cellStyle name="RIGs input totals 7 4 10" xfId="41498" xr:uid="{00000000-0005-0000-0000-0000F3A20000}"/>
    <cellStyle name="RIGs input totals 7 4 11" xfId="41499" xr:uid="{00000000-0005-0000-0000-0000F4A20000}"/>
    <cellStyle name="RIGs input totals 7 4 12" xfId="41500" xr:uid="{00000000-0005-0000-0000-0000F5A20000}"/>
    <cellStyle name="RIGs input totals 7 4 13" xfId="41501" xr:uid="{00000000-0005-0000-0000-0000F6A20000}"/>
    <cellStyle name="RIGs input totals 7 4 14" xfId="41502" xr:uid="{00000000-0005-0000-0000-0000F7A20000}"/>
    <cellStyle name="RIGs input totals 7 4 15" xfId="41503" xr:uid="{00000000-0005-0000-0000-0000F8A20000}"/>
    <cellStyle name="RIGs input totals 7 4 16" xfId="41504" xr:uid="{00000000-0005-0000-0000-0000F9A20000}"/>
    <cellStyle name="RIGs input totals 7 4 17" xfId="41505" xr:uid="{00000000-0005-0000-0000-0000FAA20000}"/>
    <cellStyle name="RIGs input totals 7 4 18" xfId="41506" xr:uid="{00000000-0005-0000-0000-0000FBA20000}"/>
    <cellStyle name="RIGs input totals 7 4 19" xfId="41507" xr:uid="{00000000-0005-0000-0000-0000FCA20000}"/>
    <cellStyle name="RIGs input totals 7 4 2" xfId="41508" xr:uid="{00000000-0005-0000-0000-0000FDA20000}"/>
    <cellStyle name="RIGs input totals 7 4 2 10" xfId="41509" xr:uid="{00000000-0005-0000-0000-0000FEA20000}"/>
    <cellStyle name="RIGs input totals 7 4 2 11" xfId="41510" xr:uid="{00000000-0005-0000-0000-0000FFA20000}"/>
    <cellStyle name="RIGs input totals 7 4 2 12" xfId="41511" xr:uid="{00000000-0005-0000-0000-000000A30000}"/>
    <cellStyle name="RIGs input totals 7 4 2 13" xfId="41512" xr:uid="{00000000-0005-0000-0000-000001A30000}"/>
    <cellStyle name="RIGs input totals 7 4 2 2" xfId="41513" xr:uid="{00000000-0005-0000-0000-000002A30000}"/>
    <cellStyle name="RIGs input totals 7 4 2 2 2" xfId="41514" xr:uid="{00000000-0005-0000-0000-000003A30000}"/>
    <cellStyle name="RIGs input totals 7 4 2 2 3" xfId="41515" xr:uid="{00000000-0005-0000-0000-000004A30000}"/>
    <cellStyle name="RIGs input totals 7 4 2 3" xfId="41516" xr:uid="{00000000-0005-0000-0000-000005A30000}"/>
    <cellStyle name="RIGs input totals 7 4 2 3 2" xfId="41517" xr:uid="{00000000-0005-0000-0000-000006A30000}"/>
    <cellStyle name="RIGs input totals 7 4 2 3 3" xfId="41518" xr:uid="{00000000-0005-0000-0000-000007A30000}"/>
    <cellStyle name="RIGs input totals 7 4 2 4" xfId="41519" xr:uid="{00000000-0005-0000-0000-000008A30000}"/>
    <cellStyle name="RIGs input totals 7 4 2 5" xfId="41520" xr:uid="{00000000-0005-0000-0000-000009A30000}"/>
    <cellStyle name="RIGs input totals 7 4 2 6" xfId="41521" xr:uid="{00000000-0005-0000-0000-00000AA30000}"/>
    <cellStyle name="RIGs input totals 7 4 2 7" xfId="41522" xr:uid="{00000000-0005-0000-0000-00000BA30000}"/>
    <cellStyle name="RIGs input totals 7 4 2 8" xfId="41523" xr:uid="{00000000-0005-0000-0000-00000CA30000}"/>
    <cellStyle name="RIGs input totals 7 4 2 9" xfId="41524" xr:uid="{00000000-0005-0000-0000-00000DA30000}"/>
    <cellStyle name="RIGs input totals 7 4 20" xfId="41525" xr:uid="{00000000-0005-0000-0000-00000EA30000}"/>
    <cellStyle name="RIGs input totals 7 4 21" xfId="41526" xr:uid="{00000000-0005-0000-0000-00000FA30000}"/>
    <cellStyle name="RIGs input totals 7 4 22" xfId="41527" xr:uid="{00000000-0005-0000-0000-000010A30000}"/>
    <cellStyle name="RIGs input totals 7 4 23" xfId="41528" xr:uid="{00000000-0005-0000-0000-000011A30000}"/>
    <cellStyle name="RIGs input totals 7 4 24" xfId="41529" xr:uid="{00000000-0005-0000-0000-000012A30000}"/>
    <cellStyle name="RIGs input totals 7 4 25" xfId="41530" xr:uid="{00000000-0005-0000-0000-000013A30000}"/>
    <cellStyle name="RIGs input totals 7 4 26" xfId="41531" xr:uid="{00000000-0005-0000-0000-000014A30000}"/>
    <cellStyle name="RIGs input totals 7 4 27" xfId="41532" xr:uid="{00000000-0005-0000-0000-000015A30000}"/>
    <cellStyle name="RIGs input totals 7 4 28" xfId="41533" xr:uid="{00000000-0005-0000-0000-000016A30000}"/>
    <cellStyle name="RIGs input totals 7 4 29" xfId="41534" xr:uid="{00000000-0005-0000-0000-000017A30000}"/>
    <cellStyle name="RIGs input totals 7 4 3" xfId="41535" xr:uid="{00000000-0005-0000-0000-000018A30000}"/>
    <cellStyle name="RIGs input totals 7 4 3 2" xfId="41536" xr:uid="{00000000-0005-0000-0000-000019A30000}"/>
    <cellStyle name="RIGs input totals 7 4 3 3" xfId="41537" xr:uid="{00000000-0005-0000-0000-00001AA30000}"/>
    <cellStyle name="RIGs input totals 7 4 30" xfId="41538" xr:uid="{00000000-0005-0000-0000-00001BA30000}"/>
    <cellStyle name="RIGs input totals 7 4 31" xfId="41539" xr:uid="{00000000-0005-0000-0000-00001CA30000}"/>
    <cellStyle name="RIGs input totals 7 4 32" xfId="41540" xr:uid="{00000000-0005-0000-0000-00001DA30000}"/>
    <cellStyle name="RIGs input totals 7 4 33" xfId="41541" xr:uid="{00000000-0005-0000-0000-00001EA30000}"/>
    <cellStyle name="RIGs input totals 7 4 34" xfId="41542" xr:uid="{00000000-0005-0000-0000-00001FA30000}"/>
    <cellStyle name="RIGs input totals 7 4 4" xfId="41543" xr:uid="{00000000-0005-0000-0000-000020A30000}"/>
    <cellStyle name="RIGs input totals 7 4 4 2" xfId="41544" xr:uid="{00000000-0005-0000-0000-000021A30000}"/>
    <cellStyle name="RIGs input totals 7 4 4 3" xfId="41545" xr:uid="{00000000-0005-0000-0000-000022A30000}"/>
    <cellStyle name="RIGs input totals 7 4 5" xfId="41546" xr:uid="{00000000-0005-0000-0000-000023A30000}"/>
    <cellStyle name="RIGs input totals 7 4 6" xfId="41547" xr:uid="{00000000-0005-0000-0000-000024A30000}"/>
    <cellStyle name="RIGs input totals 7 4 7" xfId="41548" xr:uid="{00000000-0005-0000-0000-000025A30000}"/>
    <cellStyle name="RIGs input totals 7 4 8" xfId="41549" xr:uid="{00000000-0005-0000-0000-000026A30000}"/>
    <cellStyle name="RIGs input totals 7 4 9" xfId="41550" xr:uid="{00000000-0005-0000-0000-000027A30000}"/>
    <cellStyle name="RIGs input totals 7 5" xfId="41551" xr:uid="{00000000-0005-0000-0000-000028A30000}"/>
    <cellStyle name="RIGs input totals 7 5 10" xfId="41552" xr:uid="{00000000-0005-0000-0000-000029A30000}"/>
    <cellStyle name="RIGs input totals 7 5 11" xfId="41553" xr:uid="{00000000-0005-0000-0000-00002AA30000}"/>
    <cellStyle name="RIGs input totals 7 5 12" xfId="41554" xr:uid="{00000000-0005-0000-0000-00002BA30000}"/>
    <cellStyle name="RIGs input totals 7 5 13" xfId="41555" xr:uid="{00000000-0005-0000-0000-00002CA30000}"/>
    <cellStyle name="RIGs input totals 7 5 2" xfId="41556" xr:uid="{00000000-0005-0000-0000-00002DA30000}"/>
    <cellStyle name="RIGs input totals 7 5 2 2" xfId="41557" xr:uid="{00000000-0005-0000-0000-00002EA30000}"/>
    <cellStyle name="RIGs input totals 7 5 2 3" xfId="41558" xr:uid="{00000000-0005-0000-0000-00002FA30000}"/>
    <cellStyle name="RIGs input totals 7 5 3" xfId="41559" xr:uid="{00000000-0005-0000-0000-000030A30000}"/>
    <cellStyle name="RIGs input totals 7 5 3 2" xfId="41560" xr:uid="{00000000-0005-0000-0000-000031A30000}"/>
    <cellStyle name="RIGs input totals 7 5 3 3" xfId="41561" xr:uid="{00000000-0005-0000-0000-000032A30000}"/>
    <cellStyle name="RIGs input totals 7 5 4" xfId="41562" xr:uid="{00000000-0005-0000-0000-000033A30000}"/>
    <cellStyle name="RIGs input totals 7 5 5" xfId="41563" xr:uid="{00000000-0005-0000-0000-000034A30000}"/>
    <cellStyle name="RIGs input totals 7 5 6" xfId="41564" xr:uid="{00000000-0005-0000-0000-000035A30000}"/>
    <cellStyle name="RIGs input totals 7 5 7" xfId="41565" xr:uid="{00000000-0005-0000-0000-000036A30000}"/>
    <cellStyle name="RIGs input totals 7 5 8" xfId="41566" xr:uid="{00000000-0005-0000-0000-000037A30000}"/>
    <cellStyle name="RIGs input totals 7 5 9" xfId="41567" xr:uid="{00000000-0005-0000-0000-000038A30000}"/>
    <cellStyle name="RIGs input totals 7 6" xfId="41568" xr:uid="{00000000-0005-0000-0000-000039A30000}"/>
    <cellStyle name="RIGs input totals 7 6 2" xfId="41569" xr:uid="{00000000-0005-0000-0000-00003AA30000}"/>
    <cellStyle name="RIGs input totals 7 6 3" xfId="41570" xr:uid="{00000000-0005-0000-0000-00003BA30000}"/>
    <cellStyle name="RIGs input totals 7 7" xfId="41571" xr:uid="{00000000-0005-0000-0000-00003CA30000}"/>
    <cellStyle name="RIGs input totals 7 7 2" xfId="41572" xr:uid="{00000000-0005-0000-0000-00003DA30000}"/>
    <cellStyle name="RIGs input totals 7 7 3" xfId="41573" xr:uid="{00000000-0005-0000-0000-00003EA30000}"/>
    <cellStyle name="RIGs input totals 7 8" xfId="41574" xr:uid="{00000000-0005-0000-0000-00003FA30000}"/>
    <cellStyle name="RIGs input totals 7 9" xfId="41575" xr:uid="{00000000-0005-0000-0000-000040A30000}"/>
    <cellStyle name="RIGs input totals 7_4 28 1_Asst_Health_Crit_AllTO_RIIO_20110714pm" xfId="41576" xr:uid="{00000000-0005-0000-0000-000041A30000}"/>
    <cellStyle name="RIGs input totals 8" xfId="41577" xr:uid="{00000000-0005-0000-0000-000042A30000}"/>
    <cellStyle name="RIGs input totals 8 10" xfId="41578" xr:uid="{00000000-0005-0000-0000-000043A30000}"/>
    <cellStyle name="RIGs input totals 8 11" xfId="41579" xr:uid="{00000000-0005-0000-0000-000044A30000}"/>
    <cellStyle name="RIGs input totals 8 12" xfId="41580" xr:uid="{00000000-0005-0000-0000-000045A30000}"/>
    <cellStyle name="RIGs input totals 8 13" xfId="41581" xr:uid="{00000000-0005-0000-0000-000046A30000}"/>
    <cellStyle name="RIGs input totals 8 14" xfId="41582" xr:uid="{00000000-0005-0000-0000-000047A30000}"/>
    <cellStyle name="RIGs input totals 8 15" xfId="41583" xr:uid="{00000000-0005-0000-0000-000048A30000}"/>
    <cellStyle name="RIGs input totals 8 16" xfId="41584" xr:uid="{00000000-0005-0000-0000-000049A30000}"/>
    <cellStyle name="RIGs input totals 8 17" xfId="41585" xr:uid="{00000000-0005-0000-0000-00004AA30000}"/>
    <cellStyle name="RIGs input totals 8 18" xfId="41586" xr:uid="{00000000-0005-0000-0000-00004BA30000}"/>
    <cellStyle name="RIGs input totals 8 19" xfId="41587" xr:uid="{00000000-0005-0000-0000-00004CA30000}"/>
    <cellStyle name="RIGs input totals 8 2" xfId="41588" xr:uid="{00000000-0005-0000-0000-00004DA30000}"/>
    <cellStyle name="RIGs input totals 8 2 10" xfId="41589" xr:uid="{00000000-0005-0000-0000-00004EA30000}"/>
    <cellStyle name="RIGs input totals 8 2 11" xfId="41590" xr:uid="{00000000-0005-0000-0000-00004FA30000}"/>
    <cellStyle name="RIGs input totals 8 2 12" xfId="41591" xr:uid="{00000000-0005-0000-0000-000050A30000}"/>
    <cellStyle name="RIGs input totals 8 2 13" xfId="41592" xr:uid="{00000000-0005-0000-0000-000051A30000}"/>
    <cellStyle name="RIGs input totals 8 2 2" xfId="41593" xr:uid="{00000000-0005-0000-0000-000052A30000}"/>
    <cellStyle name="RIGs input totals 8 2 2 2" xfId="41594" xr:uid="{00000000-0005-0000-0000-000053A30000}"/>
    <cellStyle name="RIGs input totals 8 2 2 3" xfId="41595" xr:uid="{00000000-0005-0000-0000-000054A30000}"/>
    <cellStyle name="RIGs input totals 8 2 3" xfId="41596" xr:uid="{00000000-0005-0000-0000-000055A30000}"/>
    <cellStyle name="RIGs input totals 8 2 3 2" xfId="41597" xr:uid="{00000000-0005-0000-0000-000056A30000}"/>
    <cellStyle name="RIGs input totals 8 2 3 3" xfId="41598" xr:uid="{00000000-0005-0000-0000-000057A30000}"/>
    <cellStyle name="RIGs input totals 8 2 4" xfId="41599" xr:uid="{00000000-0005-0000-0000-000058A30000}"/>
    <cellStyle name="RIGs input totals 8 2 5" xfId="41600" xr:uid="{00000000-0005-0000-0000-000059A30000}"/>
    <cellStyle name="RIGs input totals 8 2 6" xfId="41601" xr:uid="{00000000-0005-0000-0000-00005AA30000}"/>
    <cellStyle name="RIGs input totals 8 2 7" xfId="41602" xr:uid="{00000000-0005-0000-0000-00005BA30000}"/>
    <cellStyle name="RIGs input totals 8 2 8" xfId="41603" xr:uid="{00000000-0005-0000-0000-00005CA30000}"/>
    <cellStyle name="RIGs input totals 8 2 9" xfId="41604" xr:uid="{00000000-0005-0000-0000-00005DA30000}"/>
    <cellStyle name="RIGs input totals 8 20" xfId="41605" xr:uid="{00000000-0005-0000-0000-00005EA30000}"/>
    <cellStyle name="RIGs input totals 8 21" xfId="41606" xr:uid="{00000000-0005-0000-0000-00005FA30000}"/>
    <cellStyle name="RIGs input totals 8 22" xfId="41607" xr:uid="{00000000-0005-0000-0000-000060A30000}"/>
    <cellStyle name="RIGs input totals 8 23" xfId="41608" xr:uid="{00000000-0005-0000-0000-000061A30000}"/>
    <cellStyle name="RIGs input totals 8 24" xfId="41609" xr:uid="{00000000-0005-0000-0000-000062A30000}"/>
    <cellStyle name="RIGs input totals 8 25" xfId="41610" xr:uid="{00000000-0005-0000-0000-000063A30000}"/>
    <cellStyle name="RIGs input totals 8 26" xfId="41611" xr:uid="{00000000-0005-0000-0000-000064A30000}"/>
    <cellStyle name="RIGs input totals 8 27" xfId="41612" xr:uid="{00000000-0005-0000-0000-000065A30000}"/>
    <cellStyle name="RIGs input totals 8 28" xfId="41613" xr:uid="{00000000-0005-0000-0000-000066A30000}"/>
    <cellStyle name="RIGs input totals 8 29" xfId="41614" xr:uid="{00000000-0005-0000-0000-000067A30000}"/>
    <cellStyle name="RIGs input totals 8 3" xfId="41615" xr:uid="{00000000-0005-0000-0000-000068A30000}"/>
    <cellStyle name="RIGs input totals 8 3 2" xfId="41616" xr:uid="{00000000-0005-0000-0000-000069A30000}"/>
    <cellStyle name="RIGs input totals 8 3 3" xfId="41617" xr:uid="{00000000-0005-0000-0000-00006AA30000}"/>
    <cellStyle name="RIGs input totals 8 30" xfId="41618" xr:uid="{00000000-0005-0000-0000-00006BA30000}"/>
    <cellStyle name="RIGs input totals 8 31" xfId="41619" xr:uid="{00000000-0005-0000-0000-00006CA30000}"/>
    <cellStyle name="RIGs input totals 8 32" xfId="41620" xr:uid="{00000000-0005-0000-0000-00006DA30000}"/>
    <cellStyle name="RIGs input totals 8 33" xfId="41621" xr:uid="{00000000-0005-0000-0000-00006EA30000}"/>
    <cellStyle name="RIGs input totals 8 34" xfId="41622" xr:uid="{00000000-0005-0000-0000-00006FA30000}"/>
    <cellStyle name="RIGs input totals 8 4" xfId="41623" xr:uid="{00000000-0005-0000-0000-000070A30000}"/>
    <cellStyle name="RIGs input totals 8 4 2" xfId="41624" xr:uid="{00000000-0005-0000-0000-000071A30000}"/>
    <cellStyle name="RIGs input totals 8 4 3" xfId="41625" xr:uid="{00000000-0005-0000-0000-000072A30000}"/>
    <cellStyle name="RIGs input totals 8 5" xfId="41626" xr:uid="{00000000-0005-0000-0000-000073A30000}"/>
    <cellStyle name="RIGs input totals 8 6" xfId="41627" xr:uid="{00000000-0005-0000-0000-000074A30000}"/>
    <cellStyle name="RIGs input totals 8 7" xfId="41628" xr:uid="{00000000-0005-0000-0000-000075A30000}"/>
    <cellStyle name="RIGs input totals 8 8" xfId="41629" xr:uid="{00000000-0005-0000-0000-000076A30000}"/>
    <cellStyle name="RIGs input totals 8 9" xfId="41630" xr:uid="{00000000-0005-0000-0000-000077A30000}"/>
    <cellStyle name="RIGs input totals 9" xfId="41631" xr:uid="{00000000-0005-0000-0000-000078A30000}"/>
    <cellStyle name="RIGs input totals 9 10" xfId="41632" xr:uid="{00000000-0005-0000-0000-000079A30000}"/>
    <cellStyle name="RIGs input totals 9 11" xfId="41633" xr:uid="{00000000-0005-0000-0000-00007AA30000}"/>
    <cellStyle name="RIGs input totals 9 12" xfId="41634" xr:uid="{00000000-0005-0000-0000-00007BA30000}"/>
    <cellStyle name="RIGs input totals 9 13" xfId="41635" xr:uid="{00000000-0005-0000-0000-00007CA30000}"/>
    <cellStyle name="RIGs input totals 9 14" xfId="41636" xr:uid="{00000000-0005-0000-0000-00007DA30000}"/>
    <cellStyle name="RIGs input totals 9 15" xfId="41637" xr:uid="{00000000-0005-0000-0000-00007EA30000}"/>
    <cellStyle name="RIGs input totals 9 16" xfId="41638" xr:uid="{00000000-0005-0000-0000-00007FA30000}"/>
    <cellStyle name="RIGs input totals 9 17" xfId="41639" xr:uid="{00000000-0005-0000-0000-000080A30000}"/>
    <cellStyle name="RIGs input totals 9 18" xfId="41640" xr:uid="{00000000-0005-0000-0000-000081A30000}"/>
    <cellStyle name="RIGs input totals 9 19" xfId="41641" xr:uid="{00000000-0005-0000-0000-000082A30000}"/>
    <cellStyle name="RIGs input totals 9 2" xfId="41642" xr:uid="{00000000-0005-0000-0000-000083A30000}"/>
    <cellStyle name="RIGs input totals 9 2 10" xfId="41643" xr:uid="{00000000-0005-0000-0000-000084A30000}"/>
    <cellStyle name="RIGs input totals 9 2 11" xfId="41644" xr:uid="{00000000-0005-0000-0000-000085A30000}"/>
    <cellStyle name="RIGs input totals 9 2 12" xfId="41645" xr:uid="{00000000-0005-0000-0000-000086A30000}"/>
    <cellStyle name="RIGs input totals 9 2 13" xfId="41646" xr:uid="{00000000-0005-0000-0000-000087A30000}"/>
    <cellStyle name="RIGs input totals 9 2 2" xfId="41647" xr:uid="{00000000-0005-0000-0000-000088A30000}"/>
    <cellStyle name="RIGs input totals 9 2 2 2" xfId="41648" xr:uid="{00000000-0005-0000-0000-000089A30000}"/>
    <cellStyle name="RIGs input totals 9 2 2 3" xfId="41649" xr:uid="{00000000-0005-0000-0000-00008AA30000}"/>
    <cellStyle name="RIGs input totals 9 2 3" xfId="41650" xr:uid="{00000000-0005-0000-0000-00008BA30000}"/>
    <cellStyle name="RIGs input totals 9 2 3 2" xfId="41651" xr:uid="{00000000-0005-0000-0000-00008CA30000}"/>
    <cellStyle name="RIGs input totals 9 2 3 3" xfId="41652" xr:uid="{00000000-0005-0000-0000-00008DA30000}"/>
    <cellStyle name="RIGs input totals 9 2 4" xfId="41653" xr:uid="{00000000-0005-0000-0000-00008EA30000}"/>
    <cellStyle name="RIGs input totals 9 2 5" xfId="41654" xr:uid="{00000000-0005-0000-0000-00008FA30000}"/>
    <cellStyle name="RIGs input totals 9 2 6" xfId="41655" xr:uid="{00000000-0005-0000-0000-000090A30000}"/>
    <cellStyle name="RIGs input totals 9 2 7" xfId="41656" xr:uid="{00000000-0005-0000-0000-000091A30000}"/>
    <cellStyle name="RIGs input totals 9 2 8" xfId="41657" xr:uid="{00000000-0005-0000-0000-000092A30000}"/>
    <cellStyle name="RIGs input totals 9 2 9" xfId="41658" xr:uid="{00000000-0005-0000-0000-000093A30000}"/>
    <cellStyle name="RIGs input totals 9 20" xfId="41659" xr:uid="{00000000-0005-0000-0000-000094A30000}"/>
    <cellStyle name="RIGs input totals 9 21" xfId="41660" xr:uid="{00000000-0005-0000-0000-000095A30000}"/>
    <cellStyle name="RIGs input totals 9 22" xfId="41661" xr:uid="{00000000-0005-0000-0000-000096A30000}"/>
    <cellStyle name="RIGs input totals 9 23" xfId="41662" xr:uid="{00000000-0005-0000-0000-000097A30000}"/>
    <cellStyle name="RIGs input totals 9 24" xfId="41663" xr:uid="{00000000-0005-0000-0000-000098A30000}"/>
    <cellStyle name="RIGs input totals 9 25" xfId="41664" xr:uid="{00000000-0005-0000-0000-000099A30000}"/>
    <cellStyle name="RIGs input totals 9 26" xfId="41665" xr:uid="{00000000-0005-0000-0000-00009AA30000}"/>
    <cellStyle name="RIGs input totals 9 27" xfId="41666" xr:uid="{00000000-0005-0000-0000-00009BA30000}"/>
    <cellStyle name="RIGs input totals 9 28" xfId="41667" xr:uid="{00000000-0005-0000-0000-00009CA30000}"/>
    <cellStyle name="RIGs input totals 9 29" xfId="41668" xr:uid="{00000000-0005-0000-0000-00009DA30000}"/>
    <cellStyle name="RIGs input totals 9 3" xfId="41669" xr:uid="{00000000-0005-0000-0000-00009EA30000}"/>
    <cellStyle name="RIGs input totals 9 3 2" xfId="41670" xr:uid="{00000000-0005-0000-0000-00009FA30000}"/>
    <cellStyle name="RIGs input totals 9 3 3" xfId="41671" xr:uid="{00000000-0005-0000-0000-0000A0A30000}"/>
    <cellStyle name="RIGs input totals 9 30" xfId="41672" xr:uid="{00000000-0005-0000-0000-0000A1A30000}"/>
    <cellStyle name="RIGs input totals 9 31" xfId="41673" xr:uid="{00000000-0005-0000-0000-0000A2A30000}"/>
    <cellStyle name="RIGs input totals 9 32" xfId="41674" xr:uid="{00000000-0005-0000-0000-0000A3A30000}"/>
    <cellStyle name="RIGs input totals 9 33" xfId="41675" xr:uid="{00000000-0005-0000-0000-0000A4A30000}"/>
    <cellStyle name="RIGs input totals 9 34" xfId="41676" xr:uid="{00000000-0005-0000-0000-0000A5A30000}"/>
    <cellStyle name="RIGs input totals 9 4" xfId="41677" xr:uid="{00000000-0005-0000-0000-0000A6A30000}"/>
    <cellStyle name="RIGs input totals 9 4 2" xfId="41678" xr:uid="{00000000-0005-0000-0000-0000A7A30000}"/>
    <cellStyle name="RIGs input totals 9 4 3" xfId="41679" xr:uid="{00000000-0005-0000-0000-0000A8A30000}"/>
    <cellStyle name="RIGs input totals 9 5" xfId="41680" xr:uid="{00000000-0005-0000-0000-0000A9A30000}"/>
    <cellStyle name="RIGs input totals 9 6" xfId="41681" xr:uid="{00000000-0005-0000-0000-0000AAA30000}"/>
    <cellStyle name="RIGs input totals 9 7" xfId="41682" xr:uid="{00000000-0005-0000-0000-0000ABA30000}"/>
    <cellStyle name="RIGs input totals 9 8" xfId="41683" xr:uid="{00000000-0005-0000-0000-0000ACA30000}"/>
    <cellStyle name="RIGs input totals 9 9" xfId="41684" xr:uid="{00000000-0005-0000-0000-0000ADA30000}"/>
    <cellStyle name="RIGs input totals_1.3s Accounting C Costs Scots" xfId="41685" xr:uid="{00000000-0005-0000-0000-0000AEA30000}"/>
    <cellStyle name="RIGs linked cells" xfId="41686" xr:uid="{00000000-0005-0000-0000-0000AFA30000}"/>
    <cellStyle name="RIGs linked cells 10" xfId="41687" xr:uid="{00000000-0005-0000-0000-0000B0A30000}"/>
    <cellStyle name="RIGs linked cells 10 10" xfId="41688" xr:uid="{00000000-0005-0000-0000-0000B1A30000}"/>
    <cellStyle name="RIGs linked cells 10 11" xfId="41689" xr:uid="{00000000-0005-0000-0000-0000B2A30000}"/>
    <cellStyle name="RIGs linked cells 10 12" xfId="41690" xr:uid="{00000000-0005-0000-0000-0000B3A30000}"/>
    <cellStyle name="RIGs linked cells 10 13" xfId="41691" xr:uid="{00000000-0005-0000-0000-0000B4A30000}"/>
    <cellStyle name="RIGs linked cells 10 14" xfId="41692" xr:uid="{00000000-0005-0000-0000-0000B5A30000}"/>
    <cellStyle name="RIGs linked cells 10 15" xfId="41693" xr:uid="{00000000-0005-0000-0000-0000B6A30000}"/>
    <cellStyle name="RIGs linked cells 10 16" xfId="41694" xr:uid="{00000000-0005-0000-0000-0000B7A30000}"/>
    <cellStyle name="RIGs linked cells 10 17" xfId="41695" xr:uid="{00000000-0005-0000-0000-0000B8A30000}"/>
    <cellStyle name="RIGs linked cells 10 18" xfId="41696" xr:uid="{00000000-0005-0000-0000-0000B9A30000}"/>
    <cellStyle name="RIGs linked cells 10 19" xfId="41697" xr:uid="{00000000-0005-0000-0000-0000BAA30000}"/>
    <cellStyle name="RIGs linked cells 10 2" xfId="41698" xr:uid="{00000000-0005-0000-0000-0000BBA30000}"/>
    <cellStyle name="RIGs linked cells 10 2 10" xfId="41699" xr:uid="{00000000-0005-0000-0000-0000BCA30000}"/>
    <cellStyle name="RIGs linked cells 10 2 11" xfId="41700" xr:uid="{00000000-0005-0000-0000-0000BDA30000}"/>
    <cellStyle name="RIGs linked cells 10 2 12" xfId="41701" xr:uid="{00000000-0005-0000-0000-0000BEA30000}"/>
    <cellStyle name="RIGs linked cells 10 2 13" xfId="41702" xr:uid="{00000000-0005-0000-0000-0000BFA30000}"/>
    <cellStyle name="RIGs linked cells 10 2 2" xfId="41703" xr:uid="{00000000-0005-0000-0000-0000C0A30000}"/>
    <cellStyle name="RIGs linked cells 10 2 2 2" xfId="41704" xr:uid="{00000000-0005-0000-0000-0000C1A30000}"/>
    <cellStyle name="RIGs linked cells 10 2 2 3" xfId="41705" xr:uid="{00000000-0005-0000-0000-0000C2A30000}"/>
    <cellStyle name="RIGs linked cells 10 2 3" xfId="41706" xr:uid="{00000000-0005-0000-0000-0000C3A30000}"/>
    <cellStyle name="RIGs linked cells 10 2 3 2" xfId="41707" xr:uid="{00000000-0005-0000-0000-0000C4A30000}"/>
    <cellStyle name="RIGs linked cells 10 2 3 3" xfId="41708" xr:uid="{00000000-0005-0000-0000-0000C5A30000}"/>
    <cellStyle name="RIGs linked cells 10 2 4" xfId="41709" xr:uid="{00000000-0005-0000-0000-0000C6A30000}"/>
    <cellStyle name="RIGs linked cells 10 2 5" xfId="41710" xr:uid="{00000000-0005-0000-0000-0000C7A30000}"/>
    <cellStyle name="RIGs linked cells 10 2 6" xfId="41711" xr:uid="{00000000-0005-0000-0000-0000C8A30000}"/>
    <cellStyle name="RIGs linked cells 10 2 7" xfId="41712" xr:uid="{00000000-0005-0000-0000-0000C9A30000}"/>
    <cellStyle name="RIGs linked cells 10 2 8" xfId="41713" xr:uid="{00000000-0005-0000-0000-0000CAA30000}"/>
    <cellStyle name="RIGs linked cells 10 2 9" xfId="41714" xr:uid="{00000000-0005-0000-0000-0000CBA30000}"/>
    <cellStyle name="RIGs linked cells 10 20" xfId="41715" xr:uid="{00000000-0005-0000-0000-0000CCA30000}"/>
    <cellStyle name="RIGs linked cells 10 21" xfId="41716" xr:uid="{00000000-0005-0000-0000-0000CDA30000}"/>
    <cellStyle name="RIGs linked cells 10 22" xfId="41717" xr:uid="{00000000-0005-0000-0000-0000CEA30000}"/>
    <cellStyle name="RIGs linked cells 10 23" xfId="41718" xr:uid="{00000000-0005-0000-0000-0000CFA30000}"/>
    <cellStyle name="RIGs linked cells 10 24" xfId="41719" xr:uid="{00000000-0005-0000-0000-0000D0A30000}"/>
    <cellStyle name="RIGs linked cells 10 25" xfId="41720" xr:uid="{00000000-0005-0000-0000-0000D1A30000}"/>
    <cellStyle name="RIGs linked cells 10 26" xfId="41721" xr:uid="{00000000-0005-0000-0000-0000D2A30000}"/>
    <cellStyle name="RIGs linked cells 10 27" xfId="41722" xr:uid="{00000000-0005-0000-0000-0000D3A30000}"/>
    <cellStyle name="RIGs linked cells 10 28" xfId="41723" xr:uid="{00000000-0005-0000-0000-0000D4A30000}"/>
    <cellStyle name="RIGs linked cells 10 29" xfId="41724" xr:uid="{00000000-0005-0000-0000-0000D5A30000}"/>
    <cellStyle name="RIGs linked cells 10 3" xfId="41725" xr:uid="{00000000-0005-0000-0000-0000D6A30000}"/>
    <cellStyle name="RIGs linked cells 10 3 2" xfId="41726" xr:uid="{00000000-0005-0000-0000-0000D7A30000}"/>
    <cellStyle name="RIGs linked cells 10 3 3" xfId="41727" xr:uid="{00000000-0005-0000-0000-0000D8A30000}"/>
    <cellStyle name="RIGs linked cells 10 30" xfId="41728" xr:uid="{00000000-0005-0000-0000-0000D9A30000}"/>
    <cellStyle name="RIGs linked cells 10 31" xfId="41729" xr:uid="{00000000-0005-0000-0000-0000DAA30000}"/>
    <cellStyle name="RIGs linked cells 10 32" xfId="41730" xr:uid="{00000000-0005-0000-0000-0000DBA30000}"/>
    <cellStyle name="RIGs linked cells 10 33" xfId="41731" xr:uid="{00000000-0005-0000-0000-0000DCA30000}"/>
    <cellStyle name="RIGs linked cells 10 34" xfId="41732" xr:uid="{00000000-0005-0000-0000-0000DDA30000}"/>
    <cellStyle name="RIGs linked cells 10 4" xfId="41733" xr:uid="{00000000-0005-0000-0000-0000DEA30000}"/>
    <cellStyle name="RIGs linked cells 10 4 2" xfId="41734" xr:uid="{00000000-0005-0000-0000-0000DFA30000}"/>
    <cellStyle name="RIGs linked cells 10 4 3" xfId="41735" xr:uid="{00000000-0005-0000-0000-0000E0A30000}"/>
    <cellStyle name="RIGs linked cells 10 5" xfId="41736" xr:uid="{00000000-0005-0000-0000-0000E1A30000}"/>
    <cellStyle name="RIGs linked cells 10 6" xfId="41737" xr:uid="{00000000-0005-0000-0000-0000E2A30000}"/>
    <cellStyle name="RIGs linked cells 10 7" xfId="41738" xr:uid="{00000000-0005-0000-0000-0000E3A30000}"/>
    <cellStyle name="RIGs linked cells 10 8" xfId="41739" xr:uid="{00000000-0005-0000-0000-0000E4A30000}"/>
    <cellStyle name="RIGs linked cells 10 9" xfId="41740" xr:uid="{00000000-0005-0000-0000-0000E5A30000}"/>
    <cellStyle name="RIGs linked cells 11" xfId="41741" xr:uid="{00000000-0005-0000-0000-0000E6A30000}"/>
    <cellStyle name="RIGs linked cells 11 10" xfId="41742" xr:uid="{00000000-0005-0000-0000-0000E7A30000}"/>
    <cellStyle name="RIGs linked cells 11 11" xfId="41743" xr:uid="{00000000-0005-0000-0000-0000E8A30000}"/>
    <cellStyle name="RIGs linked cells 11 12" xfId="41744" xr:uid="{00000000-0005-0000-0000-0000E9A30000}"/>
    <cellStyle name="RIGs linked cells 11 13" xfId="41745" xr:uid="{00000000-0005-0000-0000-0000EAA30000}"/>
    <cellStyle name="RIGs linked cells 11 14" xfId="41746" xr:uid="{00000000-0005-0000-0000-0000EBA30000}"/>
    <cellStyle name="RIGs linked cells 11 15" xfId="41747" xr:uid="{00000000-0005-0000-0000-0000ECA30000}"/>
    <cellStyle name="RIGs linked cells 11 16" xfId="41748" xr:uid="{00000000-0005-0000-0000-0000EDA30000}"/>
    <cellStyle name="RIGs linked cells 11 17" xfId="41749" xr:uid="{00000000-0005-0000-0000-0000EEA30000}"/>
    <cellStyle name="RIGs linked cells 11 18" xfId="41750" xr:uid="{00000000-0005-0000-0000-0000EFA30000}"/>
    <cellStyle name="RIGs linked cells 11 19" xfId="41751" xr:uid="{00000000-0005-0000-0000-0000F0A30000}"/>
    <cellStyle name="RIGs linked cells 11 2" xfId="41752" xr:uid="{00000000-0005-0000-0000-0000F1A30000}"/>
    <cellStyle name="RIGs linked cells 11 2 10" xfId="41753" xr:uid="{00000000-0005-0000-0000-0000F2A30000}"/>
    <cellStyle name="RIGs linked cells 11 2 11" xfId="41754" xr:uid="{00000000-0005-0000-0000-0000F3A30000}"/>
    <cellStyle name="RIGs linked cells 11 2 12" xfId="41755" xr:uid="{00000000-0005-0000-0000-0000F4A30000}"/>
    <cellStyle name="RIGs linked cells 11 2 13" xfId="41756" xr:uid="{00000000-0005-0000-0000-0000F5A30000}"/>
    <cellStyle name="RIGs linked cells 11 2 2" xfId="41757" xr:uid="{00000000-0005-0000-0000-0000F6A30000}"/>
    <cellStyle name="RIGs linked cells 11 2 2 2" xfId="41758" xr:uid="{00000000-0005-0000-0000-0000F7A30000}"/>
    <cellStyle name="RIGs linked cells 11 2 2 3" xfId="41759" xr:uid="{00000000-0005-0000-0000-0000F8A30000}"/>
    <cellStyle name="RIGs linked cells 11 2 3" xfId="41760" xr:uid="{00000000-0005-0000-0000-0000F9A30000}"/>
    <cellStyle name="RIGs linked cells 11 2 3 2" xfId="41761" xr:uid="{00000000-0005-0000-0000-0000FAA30000}"/>
    <cellStyle name="RIGs linked cells 11 2 3 3" xfId="41762" xr:uid="{00000000-0005-0000-0000-0000FBA30000}"/>
    <cellStyle name="RIGs linked cells 11 2 4" xfId="41763" xr:uid="{00000000-0005-0000-0000-0000FCA30000}"/>
    <cellStyle name="RIGs linked cells 11 2 5" xfId="41764" xr:uid="{00000000-0005-0000-0000-0000FDA30000}"/>
    <cellStyle name="RIGs linked cells 11 2 6" xfId="41765" xr:uid="{00000000-0005-0000-0000-0000FEA30000}"/>
    <cellStyle name="RIGs linked cells 11 2 7" xfId="41766" xr:uid="{00000000-0005-0000-0000-0000FFA30000}"/>
    <cellStyle name="RIGs linked cells 11 2 8" xfId="41767" xr:uid="{00000000-0005-0000-0000-000000A40000}"/>
    <cellStyle name="RIGs linked cells 11 2 9" xfId="41768" xr:uid="{00000000-0005-0000-0000-000001A40000}"/>
    <cellStyle name="RIGs linked cells 11 20" xfId="41769" xr:uid="{00000000-0005-0000-0000-000002A40000}"/>
    <cellStyle name="RIGs linked cells 11 21" xfId="41770" xr:uid="{00000000-0005-0000-0000-000003A40000}"/>
    <cellStyle name="RIGs linked cells 11 22" xfId="41771" xr:uid="{00000000-0005-0000-0000-000004A40000}"/>
    <cellStyle name="RIGs linked cells 11 23" xfId="41772" xr:uid="{00000000-0005-0000-0000-000005A40000}"/>
    <cellStyle name="RIGs linked cells 11 24" xfId="41773" xr:uid="{00000000-0005-0000-0000-000006A40000}"/>
    <cellStyle name="RIGs linked cells 11 25" xfId="41774" xr:uid="{00000000-0005-0000-0000-000007A40000}"/>
    <cellStyle name="RIGs linked cells 11 26" xfId="41775" xr:uid="{00000000-0005-0000-0000-000008A40000}"/>
    <cellStyle name="RIGs linked cells 11 27" xfId="41776" xr:uid="{00000000-0005-0000-0000-000009A40000}"/>
    <cellStyle name="RIGs linked cells 11 28" xfId="41777" xr:uid="{00000000-0005-0000-0000-00000AA40000}"/>
    <cellStyle name="RIGs linked cells 11 29" xfId="41778" xr:uid="{00000000-0005-0000-0000-00000BA40000}"/>
    <cellStyle name="RIGs linked cells 11 3" xfId="41779" xr:uid="{00000000-0005-0000-0000-00000CA40000}"/>
    <cellStyle name="RIGs linked cells 11 3 2" xfId="41780" xr:uid="{00000000-0005-0000-0000-00000DA40000}"/>
    <cellStyle name="RIGs linked cells 11 3 3" xfId="41781" xr:uid="{00000000-0005-0000-0000-00000EA40000}"/>
    <cellStyle name="RIGs linked cells 11 30" xfId="41782" xr:uid="{00000000-0005-0000-0000-00000FA40000}"/>
    <cellStyle name="RIGs linked cells 11 31" xfId="41783" xr:uid="{00000000-0005-0000-0000-000010A40000}"/>
    <cellStyle name="RIGs linked cells 11 32" xfId="41784" xr:uid="{00000000-0005-0000-0000-000011A40000}"/>
    <cellStyle name="RIGs linked cells 11 33" xfId="41785" xr:uid="{00000000-0005-0000-0000-000012A40000}"/>
    <cellStyle name="RIGs linked cells 11 34" xfId="41786" xr:uid="{00000000-0005-0000-0000-000013A40000}"/>
    <cellStyle name="RIGs linked cells 11 4" xfId="41787" xr:uid="{00000000-0005-0000-0000-000014A40000}"/>
    <cellStyle name="RIGs linked cells 11 4 2" xfId="41788" xr:uid="{00000000-0005-0000-0000-000015A40000}"/>
    <cellStyle name="RIGs linked cells 11 4 3" xfId="41789" xr:uid="{00000000-0005-0000-0000-000016A40000}"/>
    <cellStyle name="RIGs linked cells 11 5" xfId="41790" xr:uid="{00000000-0005-0000-0000-000017A40000}"/>
    <cellStyle name="RIGs linked cells 11 6" xfId="41791" xr:uid="{00000000-0005-0000-0000-000018A40000}"/>
    <cellStyle name="RIGs linked cells 11 7" xfId="41792" xr:uid="{00000000-0005-0000-0000-000019A40000}"/>
    <cellStyle name="RIGs linked cells 11 8" xfId="41793" xr:uid="{00000000-0005-0000-0000-00001AA40000}"/>
    <cellStyle name="RIGs linked cells 11 9" xfId="41794" xr:uid="{00000000-0005-0000-0000-00001BA40000}"/>
    <cellStyle name="RIGs linked cells 12" xfId="41795" xr:uid="{00000000-0005-0000-0000-00001CA40000}"/>
    <cellStyle name="RIGs linked cells 12 10" xfId="41796" xr:uid="{00000000-0005-0000-0000-00001DA40000}"/>
    <cellStyle name="RIGs linked cells 12 11" xfId="41797" xr:uid="{00000000-0005-0000-0000-00001EA40000}"/>
    <cellStyle name="RIGs linked cells 12 12" xfId="41798" xr:uid="{00000000-0005-0000-0000-00001FA40000}"/>
    <cellStyle name="RIGs linked cells 12 13" xfId="41799" xr:uid="{00000000-0005-0000-0000-000020A40000}"/>
    <cellStyle name="RIGs linked cells 12 2" xfId="41800" xr:uid="{00000000-0005-0000-0000-000021A40000}"/>
    <cellStyle name="RIGs linked cells 12 2 2" xfId="41801" xr:uid="{00000000-0005-0000-0000-000022A40000}"/>
    <cellStyle name="RIGs linked cells 12 2 3" xfId="41802" xr:uid="{00000000-0005-0000-0000-000023A40000}"/>
    <cellStyle name="RIGs linked cells 12 3" xfId="41803" xr:uid="{00000000-0005-0000-0000-000024A40000}"/>
    <cellStyle name="RIGs linked cells 12 3 2" xfId="41804" xr:uid="{00000000-0005-0000-0000-000025A40000}"/>
    <cellStyle name="RIGs linked cells 12 3 3" xfId="41805" xr:uid="{00000000-0005-0000-0000-000026A40000}"/>
    <cellStyle name="RIGs linked cells 12 4" xfId="41806" xr:uid="{00000000-0005-0000-0000-000027A40000}"/>
    <cellStyle name="RIGs linked cells 12 5" xfId="41807" xr:uid="{00000000-0005-0000-0000-000028A40000}"/>
    <cellStyle name="RIGs linked cells 12 6" xfId="41808" xr:uid="{00000000-0005-0000-0000-000029A40000}"/>
    <cellStyle name="RIGs linked cells 12 7" xfId="41809" xr:uid="{00000000-0005-0000-0000-00002AA40000}"/>
    <cellStyle name="RIGs linked cells 12 8" xfId="41810" xr:uid="{00000000-0005-0000-0000-00002BA40000}"/>
    <cellStyle name="RIGs linked cells 12 9" xfId="41811" xr:uid="{00000000-0005-0000-0000-00002CA40000}"/>
    <cellStyle name="RIGs linked cells 13" xfId="41812" xr:uid="{00000000-0005-0000-0000-00002DA40000}"/>
    <cellStyle name="RIGs linked cells 13 2" xfId="41813" xr:uid="{00000000-0005-0000-0000-00002EA40000}"/>
    <cellStyle name="RIGs linked cells 13 2 2" xfId="41814" xr:uid="{00000000-0005-0000-0000-00002FA40000}"/>
    <cellStyle name="RIGs linked cells 13 2 3" xfId="41815" xr:uid="{00000000-0005-0000-0000-000030A40000}"/>
    <cellStyle name="RIGs linked cells 13 3" xfId="41816" xr:uid="{00000000-0005-0000-0000-000031A40000}"/>
    <cellStyle name="RIGs linked cells 13 3 2" xfId="41817" xr:uid="{00000000-0005-0000-0000-000032A40000}"/>
    <cellStyle name="RIGs linked cells 13 4" xfId="41818" xr:uid="{00000000-0005-0000-0000-000033A40000}"/>
    <cellStyle name="RIGs linked cells 14" xfId="41819" xr:uid="{00000000-0005-0000-0000-000034A40000}"/>
    <cellStyle name="RIGs linked cells 14 2" xfId="41820" xr:uid="{00000000-0005-0000-0000-000035A40000}"/>
    <cellStyle name="RIGs linked cells 15" xfId="41821" xr:uid="{00000000-0005-0000-0000-000036A40000}"/>
    <cellStyle name="RIGs linked cells 15 2" xfId="41822" xr:uid="{00000000-0005-0000-0000-000037A40000}"/>
    <cellStyle name="RIGs linked cells 16" xfId="41823" xr:uid="{00000000-0005-0000-0000-000038A40000}"/>
    <cellStyle name="RIGs linked cells 16 2" xfId="41824" xr:uid="{00000000-0005-0000-0000-000039A40000}"/>
    <cellStyle name="RIGs linked cells 17" xfId="41825" xr:uid="{00000000-0005-0000-0000-00003AA40000}"/>
    <cellStyle name="RIGs linked cells 17 2" xfId="41826" xr:uid="{00000000-0005-0000-0000-00003BA40000}"/>
    <cellStyle name="RIGs linked cells 18" xfId="41827" xr:uid="{00000000-0005-0000-0000-00003CA40000}"/>
    <cellStyle name="RIGs linked cells 18 2" xfId="41828" xr:uid="{00000000-0005-0000-0000-00003DA40000}"/>
    <cellStyle name="RIGs linked cells 19" xfId="41829" xr:uid="{00000000-0005-0000-0000-00003EA40000}"/>
    <cellStyle name="RIGs linked cells 19 2" xfId="41830" xr:uid="{00000000-0005-0000-0000-00003FA40000}"/>
    <cellStyle name="RIGs linked cells 2" xfId="41831" xr:uid="{00000000-0005-0000-0000-000040A40000}"/>
    <cellStyle name="RIGs linked cells 2 10" xfId="41832" xr:uid="{00000000-0005-0000-0000-000041A40000}"/>
    <cellStyle name="RIGs linked cells 2 10 2" xfId="41833" xr:uid="{00000000-0005-0000-0000-000042A40000}"/>
    <cellStyle name="RIGs linked cells 2 11" xfId="41834" xr:uid="{00000000-0005-0000-0000-000043A40000}"/>
    <cellStyle name="RIGs linked cells 2 11 2" xfId="41835" xr:uid="{00000000-0005-0000-0000-000044A40000}"/>
    <cellStyle name="RIGs linked cells 2 12" xfId="41836" xr:uid="{00000000-0005-0000-0000-000045A40000}"/>
    <cellStyle name="RIGs linked cells 2 12 2" xfId="41837" xr:uid="{00000000-0005-0000-0000-000046A40000}"/>
    <cellStyle name="RIGs linked cells 2 13" xfId="41838" xr:uid="{00000000-0005-0000-0000-000047A40000}"/>
    <cellStyle name="RIGs linked cells 2 13 2" xfId="41839" xr:uid="{00000000-0005-0000-0000-000048A40000}"/>
    <cellStyle name="RIGs linked cells 2 14" xfId="41840" xr:uid="{00000000-0005-0000-0000-000049A40000}"/>
    <cellStyle name="RIGs linked cells 2 14 2" xfId="41841" xr:uid="{00000000-0005-0000-0000-00004AA40000}"/>
    <cellStyle name="RIGs linked cells 2 15" xfId="41842" xr:uid="{00000000-0005-0000-0000-00004BA40000}"/>
    <cellStyle name="RIGs linked cells 2 15 2" xfId="41843" xr:uid="{00000000-0005-0000-0000-00004CA40000}"/>
    <cellStyle name="RIGs linked cells 2 16" xfId="41844" xr:uid="{00000000-0005-0000-0000-00004DA40000}"/>
    <cellStyle name="RIGs linked cells 2 16 2" xfId="41845" xr:uid="{00000000-0005-0000-0000-00004EA40000}"/>
    <cellStyle name="RIGs linked cells 2 17" xfId="41846" xr:uid="{00000000-0005-0000-0000-00004FA40000}"/>
    <cellStyle name="RIGs linked cells 2 17 2" xfId="41847" xr:uid="{00000000-0005-0000-0000-000050A40000}"/>
    <cellStyle name="RIGs linked cells 2 18" xfId="41848" xr:uid="{00000000-0005-0000-0000-000051A40000}"/>
    <cellStyle name="RIGs linked cells 2 18 2" xfId="41849" xr:uid="{00000000-0005-0000-0000-000052A40000}"/>
    <cellStyle name="RIGs linked cells 2 19" xfId="41850" xr:uid="{00000000-0005-0000-0000-000053A40000}"/>
    <cellStyle name="RIGs linked cells 2 19 2" xfId="41851" xr:uid="{00000000-0005-0000-0000-000054A40000}"/>
    <cellStyle name="RIGs linked cells 2 2" xfId="41852" xr:uid="{00000000-0005-0000-0000-000055A40000}"/>
    <cellStyle name="RIGs linked cells 2 2 10" xfId="41853" xr:uid="{00000000-0005-0000-0000-000056A40000}"/>
    <cellStyle name="RIGs linked cells 2 2 10 2" xfId="41854" xr:uid="{00000000-0005-0000-0000-000057A40000}"/>
    <cellStyle name="RIGs linked cells 2 2 11" xfId="41855" xr:uid="{00000000-0005-0000-0000-000058A40000}"/>
    <cellStyle name="RIGs linked cells 2 2 11 2" xfId="41856" xr:uid="{00000000-0005-0000-0000-000059A40000}"/>
    <cellStyle name="RIGs linked cells 2 2 12" xfId="41857" xr:uid="{00000000-0005-0000-0000-00005AA40000}"/>
    <cellStyle name="RIGs linked cells 2 2 12 2" xfId="41858" xr:uid="{00000000-0005-0000-0000-00005BA40000}"/>
    <cellStyle name="RIGs linked cells 2 2 13" xfId="41859" xr:uid="{00000000-0005-0000-0000-00005CA40000}"/>
    <cellStyle name="RIGs linked cells 2 2 13 2" xfId="41860" xr:uid="{00000000-0005-0000-0000-00005DA40000}"/>
    <cellStyle name="RIGs linked cells 2 2 14" xfId="41861" xr:uid="{00000000-0005-0000-0000-00005EA40000}"/>
    <cellStyle name="RIGs linked cells 2 2 14 2" xfId="41862" xr:uid="{00000000-0005-0000-0000-00005FA40000}"/>
    <cellStyle name="RIGs linked cells 2 2 15" xfId="41863" xr:uid="{00000000-0005-0000-0000-000060A40000}"/>
    <cellStyle name="RIGs linked cells 2 2 15 2" xfId="41864" xr:uid="{00000000-0005-0000-0000-000061A40000}"/>
    <cellStyle name="RIGs linked cells 2 2 16" xfId="41865" xr:uid="{00000000-0005-0000-0000-000062A40000}"/>
    <cellStyle name="RIGs linked cells 2 2 16 2" xfId="41866" xr:uid="{00000000-0005-0000-0000-000063A40000}"/>
    <cellStyle name="RIGs linked cells 2 2 17" xfId="41867" xr:uid="{00000000-0005-0000-0000-000064A40000}"/>
    <cellStyle name="RIGs linked cells 2 2 17 2" xfId="41868" xr:uid="{00000000-0005-0000-0000-000065A40000}"/>
    <cellStyle name="RIGs linked cells 2 2 18" xfId="41869" xr:uid="{00000000-0005-0000-0000-000066A40000}"/>
    <cellStyle name="RIGs linked cells 2 2 18 2" xfId="41870" xr:uid="{00000000-0005-0000-0000-000067A40000}"/>
    <cellStyle name="RIGs linked cells 2 2 19" xfId="41871" xr:uid="{00000000-0005-0000-0000-000068A40000}"/>
    <cellStyle name="RIGs linked cells 2 2 19 2" xfId="41872" xr:uid="{00000000-0005-0000-0000-000069A40000}"/>
    <cellStyle name="RIGs linked cells 2 2 2" xfId="41873" xr:uid="{00000000-0005-0000-0000-00006AA40000}"/>
    <cellStyle name="RIGs linked cells 2 2 2 10" xfId="41874" xr:uid="{00000000-0005-0000-0000-00006BA40000}"/>
    <cellStyle name="RIGs linked cells 2 2 2 11" xfId="41875" xr:uid="{00000000-0005-0000-0000-00006CA40000}"/>
    <cellStyle name="RIGs linked cells 2 2 2 12" xfId="41876" xr:uid="{00000000-0005-0000-0000-00006DA40000}"/>
    <cellStyle name="RIGs linked cells 2 2 2 13" xfId="41877" xr:uid="{00000000-0005-0000-0000-00006EA40000}"/>
    <cellStyle name="RIGs linked cells 2 2 2 14" xfId="41878" xr:uid="{00000000-0005-0000-0000-00006FA40000}"/>
    <cellStyle name="RIGs linked cells 2 2 2 15" xfId="41879" xr:uid="{00000000-0005-0000-0000-000070A40000}"/>
    <cellStyle name="RIGs linked cells 2 2 2 16" xfId="41880" xr:uid="{00000000-0005-0000-0000-000071A40000}"/>
    <cellStyle name="RIGs linked cells 2 2 2 17" xfId="41881" xr:uid="{00000000-0005-0000-0000-000072A40000}"/>
    <cellStyle name="RIGs linked cells 2 2 2 18" xfId="41882" xr:uid="{00000000-0005-0000-0000-000073A40000}"/>
    <cellStyle name="RIGs linked cells 2 2 2 19" xfId="41883" xr:uid="{00000000-0005-0000-0000-000074A40000}"/>
    <cellStyle name="RIGs linked cells 2 2 2 2" xfId="41884" xr:uid="{00000000-0005-0000-0000-000075A40000}"/>
    <cellStyle name="RIGs linked cells 2 2 2 2 10" xfId="41885" xr:uid="{00000000-0005-0000-0000-000076A40000}"/>
    <cellStyle name="RIGs linked cells 2 2 2 2 11" xfId="41886" xr:uid="{00000000-0005-0000-0000-000077A40000}"/>
    <cellStyle name="RIGs linked cells 2 2 2 2 12" xfId="41887" xr:uid="{00000000-0005-0000-0000-000078A40000}"/>
    <cellStyle name="RIGs linked cells 2 2 2 2 13" xfId="41888" xr:uid="{00000000-0005-0000-0000-000079A40000}"/>
    <cellStyle name="RIGs linked cells 2 2 2 2 14" xfId="41889" xr:uid="{00000000-0005-0000-0000-00007AA40000}"/>
    <cellStyle name="RIGs linked cells 2 2 2 2 15" xfId="41890" xr:uid="{00000000-0005-0000-0000-00007BA40000}"/>
    <cellStyle name="RIGs linked cells 2 2 2 2 16" xfId="41891" xr:uid="{00000000-0005-0000-0000-00007CA40000}"/>
    <cellStyle name="RIGs linked cells 2 2 2 2 17" xfId="41892" xr:uid="{00000000-0005-0000-0000-00007DA40000}"/>
    <cellStyle name="RIGs linked cells 2 2 2 2 18" xfId="41893" xr:uid="{00000000-0005-0000-0000-00007EA40000}"/>
    <cellStyle name="RIGs linked cells 2 2 2 2 19" xfId="41894" xr:uid="{00000000-0005-0000-0000-00007FA40000}"/>
    <cellStyle name="RIGs linked cells 2 2 2 2 2" xfId="41895" xr:uid="{00000000-0005-0000-0000-000080A40000}"/>
    <cellStyle name="RIGs linked cells 2 2 2 2 2 10" xfId="41896" xr:uid="{00000000-0005-0000-0000-000081A40000}"/>
    <cellStyle name="RIGs linked cells 2 2 2 2 2 11" xfId="41897" xr:uid="{00000000-0005-0000-0000-000082A40000}"/>
    <cellStyle name="RIGs linked cells 2 2 2 2 2 12" xfId="41898" xr:uid="{00000000-0005-0000-0000-000083A40000}"/>
    <cellStyle name="RIGs linked cells 2 2 2 2 2 13" xfId="41899" xr:uid="{00000000-0005-0000-0000-000084A40000}"/>
    <cellStyle name="RIGs linked cells 2 2 2 2 2 2" xfId="41900" xr:uid="{00000000-0005-0000-0000-000085A40000}"/>
    <cellStyle name="RIGs linked cells 2 2 2 2 2 2 2" xfId="41901" xr:uid="{00000000-0005-0000-0000-000086A40000}"/>
    <cellStyle name="RIGs linked cells 2 2 2 2 2 2 3" xfId="41902" xr:uid="{00000000-0005-0000-0000-000087A40000}"/>
    <cellStyle name="RIGs linked cells 2 2 2 2 2 3" xfId="41903" xr:uid="{00000000-0005-0000-0000-000088A40000}"/>
    <cellStyle name="RIGs linked cells 2 2 2 2 2 3 2" xfId="41904" xr:uid="{00000000-0005-0000-0000-000089A40000}"/>
    <cellStyle name="RIGs linked cells 2 2 2 2 2 3 3" xfId="41905" xr:uid="{00000000-0005-0000-0000-00008AA40000}"/>
    <cellStyle name="RIGs linked cells 2 2 2 2 2 4" xfId="41906" xr:uid="{00000000-0005-0000-0000-00008BA40000}"/>
    <cellStyle name="RIGs linked cells 2 2 2 2 2 5" xfId="41907" xr:uid="{00000000-0005-0000-0000-00008CA40000}"/>
    <cellStyle name="RIGs linked cells 2 2 2 2 2 6" xfId="41908" xr:uid="{00000000-0005-0000-0000-00008DA40000}"/>
    <cellStyle name="RIGs linked cells 2 2 2 2 2 7" xfId="41909" xr:uid="{00000000-0005-0000-0000-00008EA40000}"/>
    <cellStyle name="RIGs linked cells 2 2 2 2 2 8" xfId="41910" xr:uid="{00000000-0005-0000-0000-00008FA40000}"/>
    <cellStyle name="RIGs linked cells 2 2 2 2 2 9" xfId="41911" xr:uid="{00000000-0005-0000-0000-000090A40000}"/>
    <cellStyle name="RIGs linked cells 2 2 2 2 20" xfId="41912" xr:uid="{00000000-0005-0000-0000-000091A40000}"/>
    <cellStyle name="RIGs linked cells 2 2 2 2 21" xfId="41913" xr:uid="{00000000-0005-0000-0000-000092A40000}"/>
    <cellStyle name="RIGs linked cells 2 2 2 2 22" xfId="41914" xr:uid="{00000000-0005-0000-0000-000093A40000}"/>
    <cellStyle name="RIGs linked cells 2 2 2 2 23" xfId="41915" xr:uid="{00000000-0005-0000-0000-000094A40000}"/>
    <cellStyle name="RIGs linked cells 2 2 2 2 24" xfId="41916" xr:uid="{00000000-0005-0000-0000-000095A40000}"/>
    <cellStyle name="RIGs linked cells 2 2 2 2 25" xfId="41917" xr:uid="{00000000-0005-0000-0000-000096A40000}"/>
    <cellStyle name="RIGs linked cells 2 2 2 2 26" xfId="41918" xr:uid="{00000000-0005-0000-0000-000097A40000}"/>
    <cellStyle name="RIGs linked cells 2 2 2 2 27" xfId="41919" xr:uid="{00000000-0005-0000-0000-000098A40000}"/>
    <cellStyle name="RIGs linked cells 2 2 2 2 28" xfId="41920" xr:uid="{00000000-0005-0000-0000-000099A40000}"/>
    <cellStyle name="RIGs linked cells 2 2 2 2 29" xfId="41921" xr:uid="{00000000-0005-0000-0000-00009AA40000}"/>
    <cellStyle name="RIGs linked cells 2 2 2 2 3" xfId="41922" xr:uid="{00000000-0005-0000-0000-00009BA40000}"/>
    <cellStyle name="RIGs linked cells 2 2 2 2 3 2" xfId="41923" xr:uid="{00000000-0005-0000-0000-00009CA40000}"/>
    <cellStyle name="RIGs linked cells 2 2 2 2 3 3" xfId="41924" xr:uid="{00000000-0005-0000-0000-00009DA40000}"/>
    <cellStyle name="RIGs linked cells 2 2 2 2 30" xfId="41925" xr:uid="{00000000-0005-0000-0000-00009EA40000}"/>
    <cellStyle name="RIGs linked cells 2 2 2 2 31" xfId="41926" xr:uid="{00000000-0005-0000-0000-00009FA40000}"/>
    <cellStyle name="RIGs linked cells 2 2 2 2 32" xfId="41927" xr:uid="{00000000-0005-0000-0000-0000A0A40000}"/>
    <cellStyle name="RIGs linked cells 2 2 2 2 33" xfId="41928" xr:uid="{00000000-0005-0000-0000-0000A1A40000}"/>
    <cellStyle name="RIGs linked cells 2 2 2 2 34" xfId="41929" xr:uid="{00000000-0005-0000-0000-0000A2A40000}"/>
    <cellStyle name="RIGs linked cells 2 2 2 2 4" xfId="41930" xr:uid="{00000000-0005-0000-0000-0000A3A40000}"/>
    <cellStyle name="RIGs linked cells 2 2 2 2 4 2" xfId="41931" xr:uid="{00000000-0005-0000-0000-0000A4A40000}"/>
    <cellStyle name="RIGs linked cells 2 2 2 2 4 3" xfId="41932" xr:uid="{00000000-0005-0000-0000-0000A5A40000}"/>
    <cellStyle name="RIGs linked cells 2 2 2 2 5" xfId="41933" xr:uid="{00000000-0005-0000-0000-0000A6A40000}"/>
    <cellStyle name="RIGs linked cells 2 2 2 2 6" xfId="41934" xr:uid="{00000000-0005-0000-0000-0000A7A40000}"/>
    <cellStyle name="RIGs linked cells 2 2 2 2 7" xfId="41935" xr:uid="{00000000-0005-0000-0000-0000A8A40000}"/>
    <cellStyle name="RIGs linked cells 2 2 2 2 8" xfId="41936" xr:uid="{00000000-0005-0000-0000-0000A9A40000}"/>
    <cellStyle name="RIGs linked cells 2 2 2 2 9" xfId="41937" xr:uid="{00000000-0005-0000-0000-0000AAA40000}"/>
    <cellStyle name="RIGs linked cells 2 2 2 20" xfId="41938" xr:uid="{00000000-0005-0000-0000-0000ABA40000}"/>
    <cellStyle name="RIGs linked cells 2 2 2 21" xfId="41939" xr:uid="{00000000-0005-0000-0000-0000ACA40000}"/>
    <cellStyle name="RIGs linked cells 2 2 2 22" xfId="41940" xr:uid="{00000000-0005-0000-0000-0000ADA40000}"/>
    <cellStyle name="RIGs linked cells 2 2 2 23" xfId="41941" xr:uid="{00000000-0005-0000-0000-0000AEA40000}"/>
    <cellStyle name="RIGs linked cells 2 2 2 24" xfId="41942" xr:uid="{00000000-0005-0000-0000-0000AFA40000}"/>
    <cellStyle name="RIGs linked cells 2 2 2 25" xfId="41943" xr:uid="{00000000-0005-0000-0000-0000B0A40000}"/>
    <cellStyle name="RIGs linked cells 2 2 2 26" xfId="41944" xr:uid="{00000000-0005-0000-0000-0000B1A40000}"/>
    <cellStyle name="RIGs linked cells 2 2 2 27" xfId="41945" xr:uid="{00000000-0005-0000-0000-0000B2A40000}"/>
    <cellStyle name="RIGs linked cells 2 2 2 28" xfId="41946" xr:uid="{00000000-0005-0000-0000-0000B3A40000}"/>
    <cellStyle name="RIGs linked cells 2 2 2 29" xfId="41947" xr:uid="{00000000-0005-0000-0000-0000B4A40000}"/>
    <cellStyle name="RIGs linked cells 2 2 2 3" xfId="41948" xr:uid="{00000000-0005-0000-0000-0000B5A40000}"/>
    <cellStyle name="RIGs linked cells 2 2 2 3 10" xfId="41949" xr:uid="{00000000-0005-0000-0000-0000B6A40000}"/>
    <cellStyle name="RIGs linked cells 2 2 2 3 11" xfId="41950" xr:uid="{00000000-0005-0000-0000-0000B7A40000}"/>
    <cellStyle name="RIGs linked cells 2 2 2 3 12" xfId="41951" xr:uid="{00000000-0005-0000-0000-0000B8A40000}"/>
    <cellStyle name="RIGs linked cells 2 2 2 3 13" xfId="41952" xr:uid="{00000000-0005-0000-0000-0000B9A40000}"/>
    <cellStyle name="RIGs linked cells 2 2 2 3 2" xfId="41953" xr:uid="{00000000-0005-0000-0000-0000BAA40000}"/>
    <cellStyle name="RIGs linked cells 2 2 2 3 2 2" xfId="41954" xr:uid="{00000000-0005-0000-0000-0000BBA40000}"/>
    <cellStyle name="RIGs linked cells 2 2 2 3 2 3" xfId="41955" xr:uid="{00000000-0005-0000-0000-0000BCA40000}"/>
    <cellStyle name="RIGs linked cells 2 2 2 3 3" xfId="41956" xr:uid="{00000000-0005-0000-0000-0000BDA40000}"/>
    <cellStyle name="RIGs linked cells 2 2 2 3 3 2" xfId="41957" xr:uid="{00000000-0005-0000-0000-0000BEA40000}"/>
    <cellStyle name="RIGs linked cells 2 2 2 3 3 3" xfId="41958" xr:uid="{00000000-0005-0000-0000-0000BFA40000}"/>
    <cellStyle name="RIGs linked cells 2 2 2 3 4" xfId="41959" xr:uid="{00000000-0005-0000-0000-0000C0A40000}"/>
    <cellStyle name="RIGs linked cells 2 2 2 3 5" xfId="41960" xr:uid="{00000000-0005-0000-0000-0000C1A40000}"/>
    <cellStyle name="RIGs linked cells 2 2 2 3 6" xfId="41961" xr:uid="{00000000-0005-0000-0000-0000C2A40000}"/>
    <cellStyle name="RIGs linked cells 2 2 2 3 7" xfId="41962" xr:uid="{00000000-0005-0000-0000-0000C3A40000}"/>
    <cellStyle name="RIGs linked cells 2 2 2 3 8" xfId="41963" xr:uid="{00000000-0005-0000-0000-0000C4A40000}"/>
    <cellStyle name="RIGs linked cells 2 2 2 3 9" xfId="41964" xr:uid="{00000000-0005-0000-0000-0000C5A40000}"/>
    <cellStyle name="RIGs linked cells 2 2 2 30" xfId="41965" xr:uid="{00000000-0005-0000-0000-0000C6A40000}"/>
    <cellStyle name="RIGs linked cells 2 2 2 31" xfId="41966" xr:uid="{00000000-0005-0000-0000-0000C7A40000}"/>
    <cellStyle name="RIGs linked cells 2 2 2 32" xfId="41967" xr:uid="{00000000-0005-0000-0000-0000C8A40000}"/>
    <cellStyle name="RIGs linked cells 2 2 2 33" xfId="41968" xr:uid="{00000000-0005-0000-0000-0000C9A40000}"/>
    <cellStyle name="RIGs linked cells 2 2 2 34" xfId="41969" xr:uid="{00000000-0005-0000-0000-0000CAA40000}"/>
    <cellStyle name="RIGs linked cells 2 2 2 35" xfId="41970" xr:uid="{00000000-0005-0000-0000-0000CBA40000}"/>
    <cellStyle name="RIGs linked cells 2 2 2 4" xfId="41971" xr:uid="{00000000-0005-0000-0000-0000CCA40000}"/>
    <cellStyle name="RIGs linked cells 2 2 2 4 2" xfId="41972" xr:uid="{00000000-0005-0000-0000-0000CDA40000}"/>
    <cellStyle name="RIGs linked cells 2 2 2 4 3" xfId="41973" xr:uid="{00000000-0005-0000-0000-0000CEA40000}"/>
    <cellStyle name="RIGs linked cells 2 2 2 5" xfId="41974" xr:uid="{00000000-0005-0000-0000-0000CFA40000}"/>
    <cellStyle name="RIGs linked cells 2 2 2 5 2" xfId="41975" xr:uid="{00000000-0005-0000-0000-0000D0A40000}"/>
    <cellStyle name="RIGs linked cells 2 2 2 5 3" xfId="41976" xr:uid="{00000000-0005-0000-0000-0000D1A40000}"/>
    <cellStyle name="RIGs linked cells 2 2 2 6" xfId="41977" xr:uid="{00000000-0005-0000-0000-0000D2A40000}"/>
    <cellStyle name="RIGs linked cells 2 2 2 7" xfId="41978" xr:uid="{00000000-0005-0000-0000-0000D3A40000}"/>
    <cellStyle name="RIGs linked cells 2 2 2 8" xfId="41979" xr:uid="{00000000-0005-0000-0000-0000D4A40000}"/>
    <cellStyle name="RIGs linked cells 2 2 2 9" xfId="41980" xr:uid="{00000000-0005-0000-0000-0000D5A40000}"/>
    <cellStyle name="RIGs linked cells 2 2 2_4 28 1_Asst_Health_Crit_AllTO_RIIO_20110714pm" xfId="41981" xr:uid="{00000000-0005-0000-0000-0000D6A40000}"/>
    <cellStyle name="RIGs linked cells 2 2 20" xfId="41982" xr:uid="{00000000-0005-0000-0000-0000D7A40000}"/>
    <cellStyle name="RIGs linked cells 2 2 20 2" xfId="41983" xr:uid="{00000000-0005-0000-0000-0000D8A40000}"/>
    <cellStyle name="RIGs linked cells 2 2 21" xfId="41984" xr:uid="{00000000-0005-0000-0000-0000D9A40000}"/>
    <cellStyle name="RIGs linked cells 2 2 21 2" xfId="41985" xr:uid="{00000000-0005-0000-0000-0000DAA40000}"/>
    <cellStyle name="RIGs linked cells 2 2 22" xfId="41986" xr:uid="{00000000-0005-0000-0000-0000DBA40000}"/>
    <cellStyle name="RIGs linked cells 2 2 22 2" xfId="41987" xr:uid="{00000000-0005-0000-0000-0000DCA40000}"/>
    <cellStyle name="RIGs linked cells 2 2 23" xfId="41988" xr:uid="{00000000-0005-0000-0000-0000DDA40000}"/>
    <cellStyle name="RIGs linked cells 2 2 23 2" xfId="41989" xr:uid="{00000000-0005-0000-0000-0000DEA40000}"/>
    <cellStyle name="RIGs linked cells 2 2 24" xfId="41990" xr:uid="{00000000-0005-0000-0000-0000DFA40000}"/>
    <cellStyle name="RIGs linked cells 2 2 24 2" xfId="41991" xr:uid="{00000000-0005-0000-0000-0000E0A40000}"/>
    <cellStyle name="RIGs linked cells 2 2 25" xfId="41992" xr:uid="{00000000-0005-0000-0000-0000E1A40000}"/>
    <cellStyle name="RIGs linked cells 2 2 25 2" xfId="41993" xr:uid="{00000000-0005-0000-0000-0000E2A40000}"/>
    <cellStyle name="RIGs linked cells 2 2 26" xfId="41994" xr:uid="{00000000-0005-0000-0000-0000E3A40000}"/>
    <cellStyle name="RIGs linked cells 2 2 27" xfId="41995" xr:uid="{00000000-0005-0000-0000-0000E4A40000}"/>
    <cellStyle name="RIGs linked cells 2 2 28" xfId="41996" xr:uid="{00000000-0005-0000-0000-0000E5A40000}"/>
    <cellStyle name="RIGs linked cells 2 2 29" xfId="41997" xr:uid="{00000000-0005-0000-0000-0000E6A40000}"/>
    <cellStyle name="RIGs linked cells 2 2 3" xfId="41998" xr:uid="{00000000-0005-0000-0000-0000E7A40000}"/>
    <cellStyle name="RIGs linked cells 2 2 3 10" xfId="41999" xr:uid="{00000000-0005-0000-0000-0000E8A40000}"/>
    <cellStyle name="RIGs linked cells 2 2 3 11" xfId="42000" xr:uid="{00000000-0005-0000-0000-0000E9A40000}"/>
    <cellStyle name="RIGs linked cells 2 2 3 12" xfId="42001" xr:uid="{00000000-0005-0000-0000-0000EAA40000}"/>
    <cellStyle name="RIGs linked cells 2 2 3 13" xfId="42002" xr:uid="{00000000-0005-0000-0000-0000EBA40000}"/>
    <cellStyle name="RIGs linked cells 2 2 3 14" xfId="42003" xr:uid="{00000000-0005-0000-0000-0000ECA40000}"/>
    <cellStyle name="RIGs linked cells 2 2 3 15" xfId="42004" xr:uid="{00000000-0005-0000-0000-0000EDA40000}"/>
    <cellStyle name="RIGs linked cells 2 2 3 16" xfId="42005" xr:uid="{00000000-0005-0000-0000-0000EEA40000}"/>
    <cellStyle name="RIGs linked cells 2 2 3 17" xfId="42006" xr:uid="{00000000-0005-0000-0000-0000EFA40000}"/>
    <cellStyle name="RIGs linked cells 2 2 3 18" xfId="42007" xr:uid="{00000000-0005-0000-0000-0000F0A40000}"/>
    <cellStyle name="RIGs linked cells 2 2 3 19" xfId="42008" xr:uid="{00000000-0005-0000-0000-0000F1A40000}"/>
    <cellStyle name="RIGs linked cells 2 2 3 2" xfId="42009" xr:uid="{00000000-0005-0000-0000-0000F2A40000}"/>
    <cellStyle name="RIGs linked cells 2 2 3 2 10" xfId="42010" xr:uid="{00000000-0005-0000-0000-0000F3A40000}"/>
    <cellStyle name="RIGs linked cells 2 2 3 2 11" xfId="42011" xr:uid="{00000000-0005-0000-0000-0000F4A40000}"/>
    <cellStyle name="RIGs linked cells 2 2 3 2 12" xfId="42012" xr:uid="{00000000-0005-0000-0000-0000F5A40000}"/>
    <cellStyle name="RIGs linked cells 2 2 3 2 13" xfId="42013" xr:uid="{00000000-0005-0000-0000-0000F6A40000}"/>
    <cellStyle name="RIGs linked cells 2 2 3 2 2" xfId="42014" xr:uid="{00000000-0005-0000-0000-0000F7A40000}"/>
    <cellStyle name="RIGs linked cells 2 2 3 2 2 2" xfId="42015" xr:uid="{00000000-0005-0000-0000-0000F8A40000}"/>
    <cellStyle name="RIGs linked cells 2 2 3 2 2 3" xfId="42016" xr:uid="{00000000-0005-0000-0000-0000F9A40000}"/>
    <cellStyle name="RIGs linked cells 2 2 3 2 3" xfId="42017" xr:uid="{00000000-0005-0000-0000-0000FAA40000}"/>
    <cellStyle name="RIGs linked cells 2 2 3 2 3 2" xfId="42018" xr:uid="{00000000-0005-0000-0000-0000FBA40000}"/>
    <cellStyle name="RIGs linked cells 2 2 3 2 3 3" xfId="42019" xr:uid="{00000000-0005-0000-0000-0000FCA40000}"/>
    <cellStyle name="RIGs linked cells 2 2 3 2 4" xfId="42020" xr:uid="{00000000-0005-0000-0000-0000FDA40000}"/>
    <cellStyle name="RIGs linked cells 2 2 3 2 5" xfId="42021" xr:uid="{00000000-0005-0000-0000-0000FEA40000}"/>
    <cellStyle name="RIGs linked cells 2 2 3 2 6" xfId="42022" xr:uid="{00000000-0005-0000-0000-0000FFA40000}"/>
    <cellStyle name="RIGs linked cells 2 2 3 2 7" xfId="42023" xr:uid="{00000000-0005-0000-0000-000000A50000}"/>
    <cellStyle name="RIGs linked cells 2 2 3 2 8" xfId="42024" xr:uid="{00000000-0005-0000-0000-000001A50000}"/>
    <cellStyle name="RIGs linked cells 2 2 3 2 9" xfId="42025" xr:uid="{00000000-0005-0000-0000-000002A50000}"/>
    <cellStyle name="RIGs linked cells 2 2 3 20" xfId="42026" xr:uid="{00000000-0005-0000-0000-000003A50000}"/>
    <cellStyle name="RIGs linked cells 2 2 3 21" xfId="42027" xr:uid="{00000000-0005-0000-0000-000004A50000}"/>
    <cellStyle name="RIGs linked cells 2 2 3 22" xfId="42028" xr:uid="{00000000-0005-0000-0000-000005A50000}"/>
    <cellStyle name="RIGs linked cells 2 2 3 23" xfId="42029" xr:uid="{00000000-0005-0000-0000-000006A50000}"/>
    <cellStyle name="RIGs linked cells 2 2 3 24" xfId="42030" xr:uid="{00000000-0005-0000-0000-000007A50000}"/>
    <cellStyle name="RIGs linked cells 2 2 3 25" xfId="42031" xr:uid="{00000000-0005-0000-0000-000008A50000}"/>
    <cellStyle name="RIGs linked cells 2 2 3 26" xfId="42032" xr:uid="{00000000-0005-0000-0000-000009A50000}"/>
    <cellStyle name="RIGs linked cells 2 2 3 27" xfId="42033" xr:uid="{00000000-0005-0000-0000-00000AA50000}"/>
    <cellStyle name="RIGs linked cells 2 2 3 28" xfId="42034" xr:uid="{00000000-0005-0000-0000-00000BA50000}"/>
    <cellStyle name="RIGs linked cells 2 2 3 29" xfId="42035" xr:uid="{00000000-0005-0000-0000-00000CA50000}"/>
    <cellStyle name="RIGs linked cells 2 2 3 3" xfId="42036" xr:uid="{00000000-0005-0000-0000-00000DA50000}"/>
    <cellStyle name="RIGs linked cells 2 2 3 3 2" xfId="42037" xr:uid="{00000000-0005-0000-0000-00000EA50000}"/>
    <cellStyle name="RIGs linked cells 2 2 3 3 3" xfId="42038" xr:uid="{00000000-0005-0000-0000-00000FA50000}"/>
    <cellStyle name="RIGs linked cells 2 2 3 30" xfId="42039" xr:uid="{00000000-0005-0000-0000-000010A50000}"/>
    <cellStyle name="RIGs linked cells 2 2 3 31" xfId="42040" xr:uid="{00000000-0005-0000-0000-000011A50000}"/>
    <cellStyle name="RIGs linked cells 2 2 3 32" xfId="42041" xr:uid="{00000000-0005-0000-0000-000012A50000}"/>
    <cellStyle name="RIGs linked cells 2 2 3 33" xfId="42042" xr:uid="{00000000-0005-0000-0000-000013A50000}"/>
    <cellStyle name="RIGs linked cells 2 2 3 34" xfId="42043" xr:uid="{00000000-0005-0000-0000-000014A50000}"/>
    <cellStyle name="RIGs linked cells 2 2 3 4" xfId="42044" xr:uid="{00000000-0005-0000-0000-000015A50000}"/>
    <cellStyle name="RIGs linked cells 2 2 3 4 2" xfId="42045" xr:uid="{00000000-0005-0000-0000-000016A50000}"/>
    <cellStyle name="RIGs linked cells 2 2 3 4 3" xfId="42046" xr:uid="{00000000-0005-0000-0000-000017A50000}"/>
    <cellStyle name="RIGs linked cells 2 2 3 5" xfId="42047" xr:uid="{00000000-0005-0000-0000-000018A50000}"/>
    <cellStyle name="RIGs linked cells 2 2 3 6" xfId="42048" xr:uid="{00000000-0005-0000-0000-000019A50000}"/>
    <cellStyle name="RIGs linked cells 2 2 3 7" xfId="42049" xr:uid="{00000000-0005-0000-0000-00001AA50000}"/>
    <cellStyle name="RIGs linked cells 2 2 3 8" xfId="42050" xr:uid="{00000000-0005-0000-0000-00001BA50000}"/>
    <cellStyle name="RIGs linked cells 2 2 3 9" xfId="42051" xr:uid="{00000000-0005-0000-0000-00001CA50000}"/>
    <cellStyle name="RIGs linked cells 2 2 30" xfId="42052" xr:uid="{00000000-0005-0000-0000-00001DA50000}"/>
    <cellStyle name="RIGs linked cells 2 2 31" xfId="42053" xr:uid="{00000000-0005-0000-0000-00001EA50000}"/>
    <cellStyle name="RIGs linked cells 2 2 32" xfId="42054" xr:uid="{00000000-0005-0000-0000-00001FA50000}"/>
    <cellStyle name="RIGs linked cells 2 2 33" xfId="42055" xr:uid="{00000000-0005-0000-0000-000020A50000}"/>
    <cellStyle name="RIGs linked cells 2 2 34" xfId="42056" xr:uid="{00000000-0005-0000-0000-000021A50000}"/>
    <cellStyle name="RIGs linked cells 2 2 35" xfId="42057" xr:uid="{00000000-0005-0000-0000-000022A50000}"/>
    <cellStyle name="RIGs linked cells 2 2 36" xfId="42058" xr:uid="{00000000-0005-0000-0000-000023A50000}"/>
    <cellStyle name="RIGs linked cells 2 2 37" xfId="42059" xr:uid="{00000000-0005-0000-0000-000024A50000}"/>
    <cellStyle name="RIGs linked cells 2 2 38" xfId="42060" xr:uid="{00000000-0005-0000-0000-000025A50000}"/>
    <cellStyle name="RIGs linked cells 2 2 4" xfId="42061" xr:uid="{00000000-0005-0000-0000-000026A50000}"/>
    <cellStyle name="RIGs linked cells 2 2 4 10" xfId="42062" xr:uid="{00000000-0005-0000-0000-000027A50000}"/>
    <cellStyle name="RIGs linked cells 2 2 4 11" xfId="42063" xr:uid="{00000000-0005-0000-0000-000028A50000}"/>
    <cellStyle name="RIGs linked cells 2 2 4 12" xfId="42064" xr:uid="{00000000-0005-0000-0000-000029A50000}"/>
    <cellStyle name="RIGs linked cells 2 2 4 13" xfId="42065" xr:uid="{00000000-0005-0000-0000-00002AA50000}"/>
    <cellStyle name="RIGs linked cells 2 2 4 14" xfId="42066" xr:uid="{00000000-0005-0000-0000-00002BA50000}"/>
    <cellStyle name="RIGs linked cells 2 2 4 15" xfId="42067" xr:uid="{00000000-0005-0000-0000-00002CA50000}"/>
    <cellStyle name="RIGs linked cells 2 2 4 16" xfId="42068" xr:uid="{00000000-0005-0000-0000-00002DA50000}"/>
    <cellStyle name="RIGs linked cells 2 2 4 17" xfId="42069" xr:uid="{00000000-0005-0000-0000-00002EA50000}"/>
    <cellStyle name="RIGs linked cells 2 2 4 18" xfId="42070" xr:uid="{00000000-0005-0000-0000-00002FA50000}"/>
    <cellStyle name="RIGs linked cells 2 2 4 19" xfId="42071" xr:uid="{00000000-0005-0000-0000-000030A50000}"/>
    <cellStyle name="RIGs linked cells 2 2 4 2" xfId="42072" xr:uid="{00000000-0005-0000-0000-000031A50000}"/>
    <cellStyle name="RIGs linked cells 2 2 4 2 10" xfId="42073" xr:uid="{00000000-0005-0000-0000-000032A50000}"/>
    <cellStyle name="RIGs linked cells 2 2 4 2 11" xfId="42074" xr:uid="{00000000-0005-0000-0000-000033A50000}"/>
    <cellStyle name="RIGs linked cells 2 2 4 2 12" xfId="42075" xr:uid="{00000000-0005-0000-0000-000034A50000}"/>
    <cellStyle name="RIGs linked cells 2 2 4 2 13" xfId="42076" xr:uid="{00000000-0005-0000-0000-000035A50000}"/>
    <cellStyle name="RIGs linked cells 2 2 4 2 2" xfId="42077" xr:uid="{00000000-0005-0000-0000-000036A50000}"/>
    <cellStyle name="RIGs linked cells 2 2 4 2 2 2" xfId="42078" xr:uid="{00000000-0005-0000-0000-000037A50000}"/>
    <cellStyle name="RIGs linked cells 2 2 4 2 2 3" xfId="42079" xr:uid="{00000000-0005-0000-0000-000038A50000}"/>
    <cellStyle name="RIGs linked cells 2 2 4 2 3" xfId="42080" xr:uid="{00000000-0005-0000-0000-000039A50000}"/>
    <cellStyle name="RIGs linked cells 2 2 4 2 3 2" xfId="42081" xr:uid="{00000000-0005-0000-0000-00003AA50000}"/>
    <cellStyle name="RIGs linked cells 2 2 4 2 3 3" xfId="42082" xr:uid="{00000000-0005-0000-0000-00003BA50000}"/>
    <cellStyle name="RIGs linked cells 2 2 4 2 4" xfId="42083" xr:uid="{00000000-0005-0000-0000-00003CA50000}"/>
    <cellStyle name="RIGs linked cells 2 2 4 2 5" xfId="42084" xr:uid="{00000000-0005-0000-0000-00003DA50000}"/>
    <cellStyle name="RIGs linked cells 2 2 4 2 6" xfId="42085" xr:uid="{00000000-0005-0000-0000-00003EA50000}"/>
    <cellStyle name="RIGs linked cells 2 2 4 2 7" xfId="42086" xr:uid="{00000000-0005-0000-0000-00003FA50000}"/>
    <cellStyle name="RIGs linked cells 2 2 4 2 8" xfId="42087" xr:uid="{00000000-0005-0000-0000-000040A50000}"/>
    <cellStyle name="RIGs linked cells 2 2 4 2 9" xfId="42088" xr:uid="{00000000-0005-0000-0000-000041A50000}"/>
    <cellStyle name="RIGs linked cells 2 2 4 20" xfId="42089" xr:uid="{00000000-0005-0000-0000-000042A50000}"/>
    <cellStyle name="RIGs linked cells 2 2 4 21" xfId="42090" xr:uid="{00000000-0005-0000-0000-000043A50000}"/>
    <cellStyle name="RIGs linked cells 2 2 4 22" xfId="42091" xr:uid="{00000000-0005-0000-0000-000044A50000}"/>
    <cellStyle name="RIGs linked cells 2 2 4 23" xfId="42092" xr:uid="{00000000-0005-0000-0000-000045A50000}"/>
    <cellStyle name="RIGs linked cells 2 2 4 24" xfId="42093" xr:uid="{00000000-0005-0000-0000-000046A50000}"/>
    <cellStyle name="RIGs linked cells 2 2 4 25" xfId="42094" xr:uid="{00000000-0005-0000-0000-000047A50000}"/>
    <cellStyle name="RIGs linked cells 2 2 4 26" xfId="42095" xr:uid="{00000000-0005-0000-0000-000048A50000}"/>
    <cellStyle name="RIGs linked cells 2 2 4 27" xfId="42096" xr:uid="{00000000-0005-0000-0000-000049A50000}"/>
    <cellStyle name="RIGs linked cells 2 2 4 28" xfId="42097" xr:uid="{00000000-0005-0000-0000-00004AA50000}"/>
    <cellStyle name="RIGs linked cells 2 2 4 29" xfId="42098" xr:uid="{00000000-0005-0000-0000-00004BA50000}"/>
    <cellStyle name="RIGs linked cells 2 2 4 3" xfId="42099" xr:uid="{00000000-0005-0000-0000-00004CA50000}"/>
    <cellStyle name="RIGs linked cells 2 2 4 3 2" xfId="42100" xr:uid="{00000000-0005-0000-0000-00004DA50000}"/>
    <cellStyle name="RIGs linked cells 2 2 4 3 3" xfId="42101" xr:uid="{00000000-0005-0000-0000-00004EA50000}"/>
    <cellStyle name="RIGs linked cells 2 2 4 30" xfId="42102" xr:uid="{00000000-0005-0000-0000-00004FA50000}"/>
    <cellStyle name="RIGs linked cells 2 2 4 31" xfId="42103" xr:uid="{00000000-0005-0000-0000-000050A50000}"/>
    <cellStyle name="RIGs linked cells 2 2 4 32" xfId="42104" xr:uid="{00000000-0005-0000-0000-000051A50000}"/>
    <cellStyle name="RIGs linked cells 2 2 4 33" xfId="42105" xr:uid="{00000000-0005-0000-0000-000052A50000}"/>
    <cellStyle name="RIGs linked cells 2 2 4 34" xfId="42106" xr:uid="{00000000-0005-0000-0000-000053A50000}"/>
    <cellStyle name="RIGs linked cells 2 2 4 4" xfId="42107" xr:uid="{00000000-0005-0000-0000-000054A50000}"/>
    <cellStyle name="RIGs linked cells 2 2 4 4 2" xfId="42108" xr:uid="{00000000-0005-0000-0000-000055A50000}"/>
    <cellStyle name="RIGs linked cells 2 2 4 4 3" xfId="42109" xr:uid="{00000000-0005-0000-0000-000056A50000}"/>
    <cellStyle name="RIGs linked cells 2 2 4 5" xfId="42110" xr:uid="{00000000-0005-0000-0000-000057A50000}"/>
    <cellStyle name="RIGs linked cells 2 2 4 6" xfId="42111" xr:uid="{00000000-0005-0000-0000-000058A50000}"/>
    <cellStyle name="RIGs linked cells 2 2 4 7" xfId="42112" xr:uid="{00000000-0005-0000-0000-000059A50000}"/>
    <cellStyle name="RIGs linked cells 2 2 4 8" xfId="42113" xr:uid="{00000000-0005-0000-0000-00005AA50000}"/>
    <cellStyle name="RIGs linked cells 2 2 4 9" xfId="42114" xr:uid="{00000000-0005-0000-0000-00005BA50000}"/>
    <cellStyle name="RIGs linked cells 2 2 5" xfId="42115" xr:uid="{00000000-0005-0000-0000-00005CA50000}"/>
    <cellStyle name="RIGs linked cells 2 2 5 10" xfId="42116" xr:uid="{00000000-0005-0000-0000-00005DA50000}"/>
    <cellStyle name="RIGs linked cells 2 2 5 11" xfId="42117" xr:uid="{00000000-0005-0000-0000-00005EA50000}"/>
    <cellStyle name="RIGs linked cells 2 2 5 12" xfId="42118" xr:uid="{00000000-0005-0000-0000-00005FA50000}"/>
    <cellStyle name="RIGs linked cells 2 2 5 13" xfId="42119" xr:uid="{00000000-0005-0000-0000-000060A50000}"/>
    <cellStyle name="RIGs linked cells 2 2 5 2" xfId="42120" xr:uid="{00000000-0005-0000-0000-000061A50000}"/>
    <cellStyle name="RIGs linked cells 2 2 5 2 2" xfId="42121" xr:uid="{00000000-0005-0000-0000-000062A50000}"/>
    <cellStyle name="RIGs linked cells 2 2 5 2 3" xfId="42122" xr:uid="{00000000-0005-0000-0000-000063A50000}"/>
    <cellStyle name="RIGs linked cells 2 2 5 3" xfId="42123" xr:uid="{00000000-0005-0000-0000-000064A50000}"/>
    <cellStyle name="RIGs linked cells 2 2 5 3 2" xfId="42124" xr:uid="{00000000-0005-0000-0000-000065A50000}"/>
    <cellStyle name="RIGs linked cells 2 2 5 3 3" xfId="42125" xr:uid="{00000000-0005-0000-0000-000066A50000}"/>
    <cellStyle name="RIGs linked cells 2 2 5 4" xfId="42126" xr:uid="{00000000-0005-0000-0000-000067A50000}"/>
    <cellStyle name="RIGs linked cells 2 2 5 5" xfId="42127" xr:uid="{00000000-0005-0000-0000-000068A50000}"/>
    <cellStyle name="RIGs linked cells 2 2 5 6" xfId="42128" xr:uid="{00000000-0005-0000-0000-000069A50000}"/>
    <cellStyle name="RIGs linked cells 2 2 5 7" xfId="42129" xr:uid="{00000000-0005-0000-0000-00006AA50000}"/>
    <cellStyle name="RIGs linked cells 2 2 5 8" xfId="42130" xr:uid="{00000000-0005-0000-0000-00006BA50000}"/>
    <cellStyle name="RIGs linked cells 2 2 5 9" xfId="42131" xr:uid="{00000000-0005-0000-0000-00006CA50000}"/>
    <cellStyle name="RIGs linked cells 2 2 6" xfId="42132" xr:uid="{00000000-0005-0000-0000-00006DA50000}"/>
    <cellStyle name="RIGs linked cells 2 2 6 2" xfId="42133" xr:uid="{00000000-0005-0000-0000-00006EA50000}"/>
    <cellStyle name="RIGs linked cells 2 2 6 2 2" xfId="42134" xr:uid="{00000000-0005-0000-0000-00006FA50000}"/>
    <cellStyle name="RIGs linked cells 2 2 6 2 3" xfId="42135" xr:uid="{00000000-0005-0000-0000-000070A50000}"/>
    <cellStyle name="RIGs linked cells 2 2 6 3" xfId="42136" xr:uid="{00000000-0005-0000-0000-000071A50000}"/>
    <cellStyle name="RIGs linked cells 2 2 6 3 2" xfId="42137" xr:uid="{00000000-0005-0000-0000-000072A50000}"/>
    <cellStyle name="RIGs linked cells 2 2 6 4" xfId="42138" xr:uid="{00000000-0005-0000-0000-000073A50000}"/>
    <cellStyle name="RIGs linked cells 2 2 7" xfId="42139" xr:uid="{00000000-0005-0000-0000-000074A50000}"/>
    <cellStyle name="RIGs linked cells 2 2 7 2" xfId="42140" xr:uid="{00000000-0005-0000-0000-000075A50000}"/>
    <cellStyle name="RIGs linked cells 2 2 8" xfId="42141" xr:uid="{00000000-0005-0000-0000-000076A50000}"/>
    <cellStyle name="RIGs linked cells 2 2 8 2" xfId="42142" xr:uid="{00000000-0005-0000-0000-000077A50000}"/>
    <cellStyle name="RIGs linked cells 2 2 9" xfId="42143" xr:uid="{00000000-0005-0000-0000-000078A50000}"/>
    <cellStyle name="RIGs linked cells 2 2 9 2" xfId="42144" xr:uid="{00000000-0005-0000-0000-000079A50000}"/>
    <cellStyle name="RIGs linked cells 2 2_4 28 1_Asst_Health_Crit_AllTO_RIIO_20110714pm" xfId="42145" xr:uid="{00000000-0005-0000-0000-00007AA50000}"/>
    <cellStyle name="RIGs linked cells 2 20" xfId="42146" xr:uid="{00000000-0005-0000-0000-00007BA50000}"/>
    <cellStyle name="RIGs linked cells 2 20 2" xfId="42147" xr:uid="{00000000-0005-0000-0000-00007CA50000}"/>
    <cellStyle name="RIGs linked cells 2 21" xfId="42148" xr:uid="{00000000-0005-0000-0000-00007DA50000}"/>
    <cellStyle name="RIGs linked cells 2 21 2" xfId="42149" xr:uid="{00000000-0005-0000-0000-00007EA50000}"/>
    <cellStyle name="RIGs linked cells 2 22" xfId="42150" xr:uid="{00000000-0005-0000-0000-00007FA50000}"/>
    <cellStyle name="RIGs linked cells 2 22 2" xfId="42151" xr:uid="{00000000-0005-0000-0000-000080A50000}"/>
    <cellStyle name="RIGs linked cells 2 23" xfId="42152" xr:uid="{00000000-0005-0000-0000-000081A50000}"/>
    <cellStyle name="RIGs linked cells 2 23 2" xfId="42153" xr:uid="{00000000-0005-0000-0000-000082A50000}"/>
    <cellStyle name="RIGs linked cells 2 24" xfId="42154" xr:uid="{00000000-0005-0000-0000-000083A50000}"/>
    <cellStyle name="RIGs linked cells 2 24 2" xfId="42155" xr:uid="{00000000-0005-0000-0000-000084A50000}"/>
    <cellStyle name="RIGs linked cells 2 25" xfId="42156" xr:uid="{00000000-0005-0000-0000-000085A50000}"/>
    <cellStyle name="RIGs linked cells 2 25 2" xfId="42157" xr:uid="{00000000-0005-0000-0000-000086A50000}"/>
    <cellStyle name="RIGs linked cells 2 26" xfId="42158" xr:uid="{00000000-0005-0000-0000-000087A50000}"/>
    <cellStyle name="RIGs linked cells 2 26 2" xfId="42159" xr:uid="{00000000-0005-0000-0000-000088A50000}"/>
    <cellStyle name="RIGs linked cells 2 27" xfId="42160" xr:uid="{00000000-0005-0000-0000-000089A50000}"/>
    <cellStyle name="RIGs linked cells 2 28" xfId="42161" xr:uid="{00000000-0005-0000-0000-00008AA50000}"/>
    <cellStyle name="RIGs linked cells 2 29" xfId="42162" xr:uid="{00000000-0005-0000-0000-00008BA50000}"/>
    <cellStyle name="RIGs linked cells 2 3" xfId="42163" xr:uid="{00000000-0005-0000-0000-00008CA50000}"/>
    <cellStyle name="RIGs linked cells 2 3 10" xfId="42164" xr:uid="{00000000-0005-0000-0000-00008DA50000}"/>
    <cellStyle name="RIGs linked cells 2 3 11" xfId="42165" xr:uid="{00000000-0005-0000-0000-00008EA50000}"/>
    <cellStyle name="RIGs linked cells 2 3 12" xfId="42166" xr:uid="{00000000-0005-0000-0000-00008FA50000}"/>
    <cellStyle name="RIGs linked cells 2 3 13" xfId="42167" xr:uid="{00000000-0005-0000-0000-000090A50000}"/>
    <cellStyle name="RIGs linked cells 2 3 14" xfId="42168" xr:uid="{00000000-0005-0000-0000-000091A50000}"/>
    <cellStyle name="RIGs linked cells 2 3 15" xfId="42169" xr:uid="{00000000-0005-0000-0000-000092A50000}"/>
    <cellStyle name="RIGs linked cells 2 3 16" xfId="42170" xr:uid="{00000000-0005-0000-0000-000093A50000}"/>
    <cellStyle name="RIGs linked cells 2 3 17" xfId="42171" xr:uid="{00000000-0005-0000-0000-000094A50000}"/>
    <cellStyle name="RIGs linked cells 2 3 18" xfId="42172" xr:uid="{00000000-0005-0000-0000-000095A50000}"/>
    <cellStyle name="RIGs linked cells 2 3 19" xfId="42173" xr:uid="{00000000-0005-0000-0000-000096A50000}"/>
    <cellStyle name="RIGs linked cells 2 3 2" xfId="42174" xr:uid="{00000000-0005-0000-0000-000097A50000}"/>
    <cellStyle name="RIGs linked cells 2 3 2 10" xfId="42175" xr:uid="{00000000-0005-0000-0000-000098A50000}"/>
    <cellStyle name="RIGs linked cells 2 3 2 11" xfId="42176" xr:uid="{00000000-0005-0000-0000-000099A50000}"/>
    <cellStyle name="RIGs linked cells 2 3 2 12" xfId="42177" xr:uid="{00000000-0005-0000-0000-00009AA50000}"/>
    <cellStyle name="RIGs linked cells 2 3 2 13" xfId="42178" xr:uid="{00000000-0005-0000-0000-00009BA50000}"/>
    <cellStyle name="RIGs linked cells 2 3 2 14" xfId="42179" xr:uid="{00000000-0005-0000-0000-00009CA50000}"/>
    <cellStyle name="RIGs linked cells 2 3 2 15" xfId="42180" xr:uid="{00000000-0005-0000-0000-00009DA50000}"/>
    <cellStyle name="RIGs linked cells 2 3 2 16" xfId="42181" xr:uid="{00000000-0005-0000-0000-00009EA50000}"/>
    <cellStyle name="RIGs linked cells 2 3 2 17" xfId="42182" xr:uid="{00000000-0005-0000-0000-00009FA50000}"/>
    <cellStyle name="RIGs linked cells 2 3 2 18" xfId="42183" xr:uid="{00000000-0005-0000-0000-0000A0A50000}"/>
    <cellStyle name="RIGs linked cells 2 3 2 19" xfId="42184" xr:uid="{00000000-0005-0000-0000-0000A1A50000}"/>
    <cellStyle name="RIGs linked cells 2 3 2 2" xfId="42185" xr:uid="{00000000-0005-0000-0000-0000A2A50000}"/>
    <cellStyle name="RIGs linked cells 2 3 2 2 10" xfId="42186" xr:uid="{00000000-0005-0000-0000-0000A3A50000}"/>
    <cellStyle name="RIGs linked cells 2 3 2 2 11" xfId="42187" xr:uid="{00000000-0005-0000-0000-0000A4A50000}"/>
    <cellStyle name="RIGs linked cells 2 3 2 2 12" xfId="42188" xr:uid="{00000000-0005-0000-0000-0000A5A50000}"/>
    <cellStyle name="RIGs linked cells 2 3 2 2 13" xfId="42189" xr:uid="{00000000-0005-0000-0000-0000A6A50000}"/>
    <cellStyle name="RIGs linked cells 2 3 2 2 2" xfId="42190" xr:uid="{00000000-0005-0000-0000-0000A7A50000}"/>
    <cellStyle name="RIGs linked cells 2 3 2 2 2 2" xfId="42191" xr:uid="{00000000-0005-0000-0000-0000A8A50000}"/>
    <cellStyle name="RIGs linked cells 2 3 2 2 2 3" xfId="42192" xr:uid="{00000000-0005-0000-0000-0000A9A50000}"/>
    <cellStyle name="RIGs linked cells 2 3 2 2 3" xfId="42193" xr:uid="{00000000-0005-0000-0000-0000AAA50000}"/>
    <cellStyle name="RIGs linked cells 2 3 2 2 3 2" xfId="42194" xr:uid="{00000000-0005-0000-0000-0000ABA50000}"/>
    <cellStyle name="RIGs linked cells 2 3 2 2 3 3" xfId="42195" xr:uid="{00000000-0005-0000-0000-0000ACA50000}"/>
    <cellStyle name="RIGs linked cells 2 3 2 2 4" xfId="42196" xr:uid="{00000000-0005-0000-0000-0000ADA50000}"/>
    <cellStyle name="RIGs linked cells 2 3 2 2 5" xfId="42197" xr:uid="{00000000-0005-0000-0000-0000AEA50000}"/>
    <cellStyle name="RIGs linked cells 2 3 2 2 6" xfId="42198" xr:uid="{00000000-0005-0000-0000-0000AFA50000}"/>
    <cellStyle name="RIGs linked cells 2 3 2 2 7" xfId="42199" xr:uid="{00000000-0005-0000-0000-0000B0A50000}"/>
    <cellStyle name="RIGs linked cells 2 3 2 2 8" xfId="42200" xr:uid="{00000000-0005-0000-0000-0000B1A50000}"/>
    <cellStyle name="RIGs linked cells 2 3 2 2 9" xfId="42201" xr:uid="{00000000-0005-0000-0000-0000B2A50000}"/>
    <cellStyle name="RIGs linked cells 2 3 2 20" xfId="42202" xr:uid="{00000000-0005-0000-0000-0000B3A50000}"/>
    <cellStyle name="RIGs linked cells 2 3 2 21" xfId="42203" xr:uid="{00000000-0005-0000-0000-0000B4A50000}"/>
    <cellStyle name="RIGs linked cells 2 3 2 22" xfId="42204" xr:uid="{00000000-0005-0000-0000-0000B5A50000}"/>
    <cellStyle name="RIGs linked cells 2 3 2 23" xfId="42205" xr:uid="{00000000-0005-0000-0000-0000B6A50000}"/>
    <cellStyle name="RIGs linked cells 2 3 2 24" xfId="42206" xr:uid="{00000000-0005-0000-0000-0000B7A50000}"/>
    <cellStyle name="RIGs linked cells 2 3 2 25" xfId="42207" xr:uid="{00000000-0005-0000-0000-0000B8A50000}"/>
    <cellStyle name="RIGs linked cells 2 3 2 26" xfId="42208" xr:uid="{00000000-0005-0000-0000-0000B9A50000}"/>
    <cellStyle name="RIGs linked cells 2 3 2 27" xfId="42209" xr:uid="{00000000-0005-0000-0000-0000BAA50000}"/>
    <cellStyle name="RIGs linked cells 2 3 2 28" xfId="42210" xr:uid="{00000000-0005-0000-0000-0000BBA50000}"/>
    <cellStyle name="RIGs linked cells 2 3 2 29" xfId="42211" xr:uid="{00000000-0005-0000-0000-0000BCA50000}"/>
    <cellStyle name="RIGs linked cells 2 3 2 3" xfId="42212" xr:uid="{00000000-0005-0000-0000-0000BDA50000}"/>
    <cellStyle name="RIGs linked cells 2 3 2 3 2" xfId="42213" xr:uid="{00000000-0005-0000-0000-0000BEA50000}"/>
    <cellStyle name="RIGs linked cells 2 3 2 3 3" xfId="42214" xr:uid="{00000000-0005-0000-0000-0000BFA50000}"/>
    <cellStyle name="RIGs linked cells 2 3 2 30" xfId="42215" xr:uid="{00000000-0005-0000-0000-0000C0A50000}"/>
    <cellStyle name="RIGs linked cells 2 3 2 31" xfId="42216" xr:uid="{00000000-0005-0000-0000-0000C1A50000}"/>
    <cellStyle name="RIGs linked cells 2 3 2 32" xfId="42217" xr:uid="{00000000-0005-0000-0000-0000C2A50000}"/>
    <cellStyle name="RIGs linked cells 2 3 2 33" xfId="42218" xr:uid="{00000000-0005-0000-0000-0000C3A50000}"/>
    <cellStyle name="RIGs linked cells 2 3 2 34" xfId="42219" xr:uid="{00000000-0005-0000-0000-0000C4A50000}"/>
    <cellStyle name="RIGs linked cells 2 3 2 4" xfId="42220" xr:uid="{00000000-0005-0000-0000-0000C5A50000}"/>
    <cellStyle name="RIGs linked cells 2 3 2 4 2" xfId="42221" xr:uid="{00000000-0005-0000-0000-0000C6A50000}"/>
    <cellStyle name="RIGs linked cells 2 3 2 4 3" xfId="42222" xr:uid="{00000000-0005-0000-0000-0000C7A50000}"/>
    <cellStyle name="RIGs linked cells 2 3 2 5" xfId="42223" xr:uid="{00000000-0005-0000-0000-0000C8A50000}"/>
    <cellStyle name="RIGs linked cells 2 3 2 6" xfId="42224" xr:uid="{00000000-0005-0000-0000-0000C9A50000}"/>
    <cellStyle name="RIGs linked cells 2 3 2 7" xfId="42225" xr:uid="{00000000-0005-0000-0000-0000CAA50000}"/>
    <cellStyle name="RIGs linked cells 2 3 2 8" xfId="42226" xr:uid="{00000000-0005-0000-0000-0000CBA50000}"/>
    <cellStyle name="RIGs linked cells 2 3 2 9" xfId="42227" xr:uid="{00000000-0005-0000-0000-0000CCA50000}"/>
    <cellStyle name="RIGs linked cells 2 3 20" xfId="42228" xr:uid="{00000000-0005-0000-0000-0000CDA50000}"/>
    <cellStyle name="RIGs linked cells 2 3 21" xfId="42229" xr:uid="{00000000-0005-0000-0000-0000CEA50000}"/>
    <cellStyle name="RIGs linked cells 2 3 22" xfId="42230" xr:uid="{00000000-0005-0000-0000-0000CFA50000}"/>
    <cellStyle name="RIGs linked cells 2 3 23" xfId="42231" xr:uid="{00000000-0005-0000-0000-0000D0A50000}"/>
    <cellStyle name="RIGs linked cells 2 3 24" xfId="42232" xr:uid="{00000000-0005-0000-0000-0000D1A50000}"/>
    <cellStyle name="RIGs linked cells 2 3 25" xfId="42233" xr:uid="{00000000-0005-0000-0000-0000D2A50000}"/>
    <cellStyle name="RIGs linked cells 2 3 26" xfId="42234" xr:uid="{00000000-0005-0000-0000-0000D3A50000}"/>
    <cellStyle name="RIGs linked cells 2 3 27" xfId="42235" xr:uid="{00000000-0005-0000-0000-0000D4A50000}"/>
    <cellStyle name="RIGs linked cells 2 3 28" xfId="42236" xr:uid="{00000000-0005-0000-0000-0000D5A50000}"/>
    <cellStyle name="RIGs linked cells 2 3 29" xfId="42237" xr:uid="{00000000-0005-0000-0000-0000D6A50000}"/>
    <cellStyle name="RIGs linked cells 2 3 3" xfId="42238" xr:uid="{00000000-0005-0000-0000-0000D7A50000}"/>
    <cellStyle name="RIGs linked cells 2 3 3 10" xfId="42239" xr:uid="{00000000-0005-0000-0000-0000D8A50000}"/>
    <cellStyle name="RIGs linked cells 2 3 3 11" xfId="42240" xr:uid="{00000000-0005-0000-0000-0000D9A50000}"/>
    <cellStyle name="RIGs linked cells 2 3 3 12" xfId="42241" xr:uid="{00000000-0005-0000-0000-0000DAA50000}"/>
    <cellStyle name="RIGs linked cells 2 3 3 13" xfId="42242" xr:uid="{00000000-0005-0000-0000-0000DBA50000}"/>
    <cellStyle name="RIGs linked cells 2 3 3 2" xfId="42243" xr:uid="{00000000-0005-0000-0000-0000DCA50000}"/>
    <cellStyle name="RIGs linked cells 2 3 3 2 2" xfId="42244" xr:uid="{00000000-0005-0000-0000-0000DDA50000}"/>
    <cellStyle name="RIGs linked cells 2 3 3 2 3" xfId="42245" xr:uid="{00000000-0005-0000-0000-0000DEA50000}"/>
    <cellStyle name="RIGs linked cells 2 3 3 3" xfId="42246" xr:uid="{00000000-0005-0000-0000-0000DFA50000}"/>
    <cellStyle name="RIGs linked cells 2 3 3 3 2" xfId="42247" xr:uid="{00000000-0005-0000-0000-0000E0A50000}"/>
    <cellStyle name="RIGs linked cells 2 3 3 3 3" xfId="42248" xr:uid="{00000000-0005-0000-0000-0000E1A50000}"/>
    <cellStyle name="RIGs linked cells 2 3 3 4" xfId="42249" xr:uid="{00000000-0005-0000-0000-0000E2A50000}"/>
    <cellStyle name="RIGs linked cells 2 3 3 5" xfId="42250" xr:uid="{00000000-0005-0000-0000-0000E3A50000}"/>
    <cellStyle name="RIGs linked cells 2 3 3 6" xfId="42251" xr:uid="{00000000-0005-0000-0000-0000E4A50000}"/>
    <cellStyle name="RIGs linked cells 2 3 3 7" xfId="42252" xr:uid="{00000000-0005-0000-0000-0000E5A50000}"/>
    <cellStyle name="RIGs linked cells 2 3 3 8" xfId="42253" xr:uid="{00000000-0005-0000-0000-0000E6A50000}"/>
    <cellStyle name="RIGs linked cells 2 3 3 9" xfId="42254" xr:uid="{00000000-0005-0000-0000-0000E7A50000}"/>
    <cellStyle name="RIGs linked cells 2 3 30" xfId="42255" xr:uid="{00000000-0005-0000-0000-0000E8A50000}"/>
    <cellStyle name="RIGs linked cells 2 3 31" xfId="42256" xr:uid="{00000000-0005-0000-0000-0000E9A50000}"/>
    <cellStyle name="RIGs linked cells 2 3 32" xfId="42257" xr:uid="{00000000-0005-0000-0000-0000EAA50000}"/>
    <cellStyle name="RIGs linked cells 2 3 33" xfId="42258" xr:uid="{00000000-0005-0000-0000-0000EBA50000}"/>
    <cellStyle name="RIGs linked cells 2 3 34" xfId="42259" xr:uid="{00000000-0005-0000-0000-0000ECA50000}"/>
    <cellStyle name="RIGs linked cells 2 3 35" xfId="42260" xr:uid="{00000000-0005-0000-0000-0000EDA50000}"/>
    <cellStyle name="RIGs linked cells 2 3 4" xfId="42261" xr:uid="{00000000-0005-0000-0000-0000EEA50000}"/>
    <cellStyle name="RIGs linked cells 2 3 4 2" xfId="42262" xr:uid="{00000000-0005-0000-0000-0000EFA50000}"/>
    <cellStyle name="RIGs linked cells 2 3 4 3" xfId="42263" xr:uid="{00000000-0005-0000-0000-0000F0A50000}"/>
    <cellStyle name="RIGs linked cells 2 3 5" xfId="42264" xr:uid="{00000000-0005-0000-0000-0000F1A50000}"/>
    <cellStyle name="RIGs linked cells 2 3 5 2" xfId="42265" xr:uid="{00000000-0005-0000-0000-0000F2A50000}"/>
    <cellStyle name="RIGs linked cells 2 3 5 3" xfId="42266" xr:uid="{00000000-0005-0000-0000-0000F3A50000}"/>
    <cellStyle name="RIGs linked cells 2 3 6" xfId="42267" xr:uid="{00000000-0005-0000-0000-0000F4A50000}"/>
    <cellStyle name="RIGs linked cells 2 3 7" xfId="42268" xr:uid="{00000000-0005-0000-0000-0000F5A50000}"/>
    <cellStyle name="RIGs linked cells 2 3 8" xfId="42269" xr:uid="{00000000-0005-0000-0000-0000F6A50000}"/>
    <cellStyle name="RIGs linked cells 2 3 9" xfId="42270" xr:uid="{00000000-0005-0000-0000-0000F7A50000}"/>
    <cellStyle name="RIGs linked cells 2 3_4 28 1_Asst_Health_Crit_AllTO_RIIO_20110714pm" xfId="42271" xr:uid="{00000000-0005-0000-0000-0000F8A50000}"/>
    <cellStyle name="RIGs linked cells 2 30" xfId="42272" xr:uid="{00000000-0005-0000-0000-0000F9A50000}"/>
    <cellStyle name="RIGs linked cells 2 31" xfId="42273" xr:uid="{00000000-0005-0000-0000-0000FAA50000}"/>
    <cellStyle name="RIGs linked cells 2 32" xfId="42274" xr:uid="{00000000-0005-0000-0000-0000FBA50000}"/>
    <cellStyle name="RIGs linked cells 2 33" xfId="42275" xr:uid="{00000000-0005-0000-0000-0000FCA50000}"/>
    <cellStyle name="RIGs linked cells 2 34" xfId="42276" xr:uid="{00000000-0005-0000-0000-0000FDA50000}"/>
    <cellStyle name="RIGs linked cells 2 35" xfId="42277" xr:uid="{00000000-0005-0000-0000-0000FEA50000}"/>
    <cellStyle name="RIGs linked cells 2 36" xfId="42278" xr:uid="{00000000-0005-0000-0000-0000FFA50000}"/>
    <cellStyle name="RIGs linked cells 2 37" xfId="42279" xr:uid="{00000000-0005-0000-0000-000000A60000}"/>
    <cellStyle name="RIGs linked cells 2 38" xfId="42280" xr:uid="{00000000-0005-0000-0000-000001A60000}"/>
    <cellStyle name="RIGs linked cells 2 39" xfId="42281" xr:uid="{00000000-0005-0000-0000-000002A60000}"/>
    <cellStyle name="RIGs linked cells 2 4" xfId="42282" xr:uid="{00000000-0005-0000-0000-000003A60000}"/>
    <cellStyle name="RIGs linked cells 2 4 10" xfId="42283" xr:uid="{00000000-0005-0000-0000-000004A60000}"/>
    <cellStyle name="RIGs linked cells 2 4 11" xfId="42284" xr:uid="{00000000-0005-0000-0000-000005A60000}"/>
    <cellStyle name="RIGs linked cells 2 4 12" xfId="42285" xr:uid="{00000000-0005-0000-0000-000006A60000}"/>
    <cellStyle name="RIGs linked cells 2 4 13" xfId="42286" xr:uid="{00000000-0005-0000-0000-000007A60000}"/>
    <cellStyle name="RIGs linked cells 2 4 14" xfId="42287" xr:uid="{00000000-0005-0000-0000-000008A60000}"/>
    <cellStyle name="RIGs linked cells 2 4 15" xfId="42288" xr:uid="{00000000-0005-0000-0000-000009A60000}"/>
    <cellStyle name="RIGs linked cells 2 4 16" xfId="42289" xr:uid="{00000000-0005-0000-0000-00000AA60000}"/>
    <cellStyle name="RIGs linked cells 2 4 17" xfId="42290" xr:uid="{00000000-0005-0000-0000-00000BA60000}"/>
    <cellStyle name="RIGs linked cells 2 4 18" xfId="42291" xr:uid="{00000000-0005-0000-0000-00000CA60000}"/>
    <cellStyle name="RIGs linked cells 2 4 19" xfId="42292" xr:uid="{00000000-0005-0000-0000-00000DA60000}"/>
    <cellStyle name="RIGs linked cells 2 4 2" xfId="42293" xr:uid="{00000000-0005-0000-0000-00000EA60000}"/>
    <cellStyle name="RIGs linked cells 2 4 2 10" xfId="42294" xr:uid="{00000000-0005-0000-0000-00000FA60000}"/>
    <cellStyle name="RIGs linked cells 2 4 2 11" xfId="42295" xr:uid="{00000000-0005-0000-0000-000010A60000}"/>
    <cellStyle name="RIGs linked cells 2 4 2 12" xfId="42296" xr:uid="{00000000-0005-0000-0000-000011A60000}"/>
    <cellStyle name="RIGs linked cells 2 4 2 13" xfId="42297" xr:uid="{00000000-0005-0000-0000-000012A60000}"/>
    <cellStyle name="RIGs linked cells 2 4 2 2" xfId="42298" xr:uid="{00000000-0005-0000-0000-000013A60000}"/>
    <cellStyle name="RIGs linked cells 2 4 2 2 2" xfId="42299" xr:uid="{00000000-0005-0000-0000-000014A60000}"/>
    <cellStyle name="RIGs linked cells 2 4 2 2 3" xfId="42300" xr:uid="{00000000-0005-0000-0000-000015A60000}"/>
    <cellStyle name="RIGs linked cells 2 4 2 3" xfId="42301" xr:uid="{00000000-0005-0000-0000-000016A60000}"/>
    <cellStyle name="RIGs linked cells 2 4 2 3 2" xfId="42302" xr:uid="{00000000-0005-0000-0000-000017A60000}"/>
    <cellStyle name="RIGs linked cells 2 4 2 3 3" xfId="42303" xr:uid="{00000000-0005-0000-0000-000018A60000}"/>
    <cellStyle name="RIGs linked cells 2 4 2 4" xfId="42304" xr:uid="{00000000-0005-0000-0000-000019A60000}"/>
    <cellStyle name="RIGs linked cells 2 4 2 5" xfId="42305" xr:uid="{00000000-0005-0000-0000-00001AA60000}"/>
    <cellStyle name="RIGs linked cells 2 4 2 6" xfId="42306" xr:uid="{00000000-0005-0000-0000-00001BA60000}"/>
    <cellStyle name="RIGs linked cells 2 4 2 7" xfId="42307" xr:uid="{00000000-0005-0000-0000-00001CA60000}"/>
    <cellStyle name="RIGs linked cells 2 4 2 8" xfId="42308" xr:uid="{00000000-0005-0000-0000-00001DA60000}"/>
    <cellStyle name="RIGs linked cells 2 4 2 9" xfId="42309" xr:uid="{00000000-0005-0000-0000-00001EA60000}"/>
    <cellStyle name="RIGs linked cells 2 4 20" xfId="42310" xr:uid="{00000000-0005-0000-0000-00001FA60000}"/>
    <cellStyle name="RIGs linked cells 2 4 21" xfId="42311" xr:uid="{00000000-0005-0000-0000-000020A60000}"/>
    <cellStyle name="RIGs linked cells 2 4 22" xfId="42312" xr:uid="{00000000-0005-0000-0000-000021A60000}"/>
    <cellStyle name="RIGs linked cells 2 4 23" xfId="42313" xr:uid="{00000000-0005-0000-0000-000022A60000}"/>
    <cellStyle name="RIGs linked cells 2 4 24" xfId="42314" xr:uid="{00000000-0005-0000-0000-000023A60000}"/>
    <cellStyle name="RIGs linked cells 2 4 25" xfId="42315" xr:uid="{00000000-0005-0000-0000-000024A60000}"/>
    <cellStyle name="RIGs linked cells 2 4 26" xfId="42316" xr:uid="{00000000-0005-0000-0000-000025A60000}"/>
    <cellStyle name="RIGs linked cells 2 4 27" xfId="42317" xr:uid="{00000000-0005-0000-0000-000026A60000}"/>
    <cellStyle name="RIGs linked cells 2 4 28" xfId="42318" xr:uid="{00000000-0005-0000-0000-000027A60000}"/>
    <cellStyle name="RIGs linked cells 2 4 29" xfId="42319" xr:uid="{00000000-0005-0000-0000-000028A60000}"/>
    <cellStyle name="RIGs linked cells 2 4 3" xfId="42320" xr:uid="{00000000-0005-0000-0000-000029A60000}"/>
    <cellStyle name="RIGs linked cells 2 4 3 2" xfId="42321" xr:uid="{00000000-0005-0000-0000-00002AA60000}"/>
    <cellStyle name="RIGs linked cells 2 4 3 3" xfId="42322" xr:uid="{00000000-0005-0000-0000-00002BA60000}"/>
    <cellStyle name="RIGs linked cells 2 4 30" xfId="42323" xr:uid="{00000000-0005-0000-0000-00002CA60000}"/>
    <cellStyle name="RIGs linked cells 2 4 31" xfId="42324" xr:uid="{00000000-0005-0000-0000-00002DA60000}"/>
    <cellStyle name="RIGs linked cells 2 4 32" xfId="42325" xr:uid="{00000000-0005-0000-0000-00002EA60000}"/>
    <cellStyle name="RIGs linked cells 2 4 33" xfId="42326" xr:uid="{00000000-0005-0000-0000-00002FA60000}"/>
    <cellStyle name="RIGs linked cells 2 4 34" xfId="42327" xr:uid="{00000000-0005-0000-0000-000030A60000}"/>
    <cellStyle name="RIGs linked cells 2 4 4" xfId="42328" xr:uid="{00000000-0005-0000-0000-000031A60000}"/>
    <cellStyle name="RIGs linked cells 2 4 4 2" xfId="42329" xr:uid="{00000000-0005-0000-0000-000032A60000}"/>
    <cellStyle name="RIGs linked cells 2 4 4 3" xfId="42330" xr:uid="{00000000-0005-0000-0000-000033A60000}"/>
    <cellStyle name="RIGs linked cells 2 4 5" xfId="42331" xr:uid="{00000000-0005-0000-0000-000034A60000}"/>
    <cellStyle name="RIGs linked cells 2 4 6" xfId="42332" xr:uid="{00000000-0005-0000-0000-000035A60000}"/>
    <cellStyle name="RIGs linked cells 2 4 7" xfId="42333" xr:uid="{00000000-0005-0000-0000-000036A60000}"/>
    <cellStyle name="RIGs linked cells 2 4 8" xfId="42334" xr:uid="{00000000-0005-0000-0000-000037A60000}"/>
    <cellStyle name="RIGs linked cells 2 4 9" xfId="42335" xr:uid="{00000000-0005-0000-0000-000038A60000}"/>
    <cellStyle name="RIGs linked cells 2 5" xfId="42336" xr:uid="{00000000-0005-0000-0000-000039A60000}"/>
    <cellStyle name="RIGs linked cells 2 5 10" xfId="42337" xr:uid="{00000000-0005-0000-0000-00003AA60000}"/>
    <cellStyle name="RIGs linked cells 2 5 11" xfId="42338" xr:uid="{00000000-0005-0000-0000-00003BA60000}"/>
    <cellStyle name="RIGs linked cells 2 5 12" xfId="42339" xr:uid="{00000000-0005-0000-0000-00003CA60000}"/>
    <cellStyle name="RIGs linked cells 2 5 13" xfId="42340" xr:uid="{00000000-0005-0000-0000-00003DA60000}"/>
    <cellStyle name="RIGs linked cells 2 5 14" xfId="42341" xr:uid="{00000000-0005-0000-0000-00003EA60000}"/>
    <cellStyle name="RIGs linked cells 2 5 15" xfId="42342" xr:uid="{00000000-0005-0000-0000-00003FA60000}"/>
    <cellStyle name="RIGs linked cells 2 5 16" xfId="42343" xr:uid="{00000000-0005-0000-0000-000040A60000}"/>
    <cellStyle name="RIGs linked cells 2 5 17" xfId="42344" xr:uid="{00000000-0005-0000-0000-000041A60000}"/>
    <cellStyle name="RIGs linked cells 2 5 18" xfId="42345" xr:uid="{00000000-0005-0000-0000-000042A60000}"/>
    <cellStyle name="RIGs linked cells 2 5 19" xfId="42346" xr:uid="{00000000-0005-0000-0000-000043A60000}"/>
    <cellStyle name="RIGs linked cells 2 5 2" xfId="42347" xr:uid="{00000000-0005-0000-0000-000044A60000}"/>
    <cellStyle name="RIGs linked cells 2 5 2 10" xfId="42348" xr:uid="{00000000-0005-0000-0000-000045A60000}"/>
    <cellStyle name="RIGs linked cells 2 5 2 11" xfId="42349" xr:uid="{00000000-0005-0000-0000-000046A60000}"/>
    <cellStyle name="RIGs linked cells 2 5 2 12" xfId="42350" xr:uid="{00000000-0005-0000-0000-000047A60000}"/>
    <cellStyle name="RIGs linked cells 2 5 2 13" xfId="42351" xr:uid="{00000000-0005-0000-0000-000048A60000}"/>
    <cellStyle name="RIGs linked cells 2 5 2 2" xfId="42352" xr:uid="{00000000-0005-0000-0000-000049A60000}"/>
    <cellStyle name="RIGs linked cells 2 5 2 2 2" xfId="42353" xr:uid="{00000000-0005-0000-0000-00004AA60000}"/>
    <cellStyle name="RIGs linked cells 2 5 2 2 3" xfId="42354" xr:uid="{00000000-0005-0000-0000-00004BA60000}"/>
    <cellStyle name="RIGs linked cells 2 5 2 3" xfId="42355" xr:uid="{00000000-0005-0000-0000-00004CA60000}"/>
    <cellStyle name="RIGs linked cells 2 5 2 3 2" xfId="42356" xr:uid="{00000000-0005-0000-0000-00004DA60000}"/>
    <cellStyle name="RIGs linked cells 2 5 2 3 3" xfId="42357" xr:uid="{00000000-0005-0000-0000-00004EA60000}"/>
    <cellStyle name="RIGs linked cells 2 5 2 4" xfId="42358" xr:uid="{00000000-0005-0000-0000-00004FA60000}"/>
    <cellStyle name="RIGs linked cells 2 5 2 5" xfId="42359" xr:uid="{00000000-0005-0000-0000-000050A60000}"/>
    <cellStyle name="RIGs linked cells 2 5 2 6" xfId="42360" xr:uid="{00000000-0005-0000-0000-000051A60000}"/>
    <cellStyle name="RIGs linked cells 2 5 2 7" xfId="42361" xr:uid="{00000000-0005-0000-0000-000052A60000}"/>
    <cellStyle name="RIGs linked cells 2 5 2 8" xfId="42362" xr:uid="{00000000-0005-0000-0000-000053A60000}"/>
    <cellStyle name="RIGs linked cells 2 5 2 9" xfId="42363" xr:uid="{00000000-0005-0000-0000-000054A60000}"/>
    <cellStyle name="RIGs linked cells 2 5 20" xfId="42364" xr:uid="{00000000-0005-0000-0000-000055A60000}"/>
    <cellStyle name="RIGs linked cells 2 5 21" xfId="42365" xr:uid="{00000000-0005-0000-0000-000056A60000}"/>
    <cellStyle name="RIGs linked cells 2 5 22" xfId="42366" xr:uid="{00000000-0005-0000-0000-000057A60000}"/>
    <cellStyle name="RIGs linked cells 2 5 23" xfId="42367" xr:uid="{00000000-0005-0000-0000-000058A60000}"/>
    <cellStyle name="RIGs linked cells 2 5 24" xfId="42368" xr:uid="{00000000-0005-0000-0000-000059A60000}"/>
    <cellStyle name="RIGs linked cells 2 5 25" xfId="42369" xr:uid="{00000000-0005-0000-0000-00005AA60000}"/>
    <cellStyle name="RIGs linked cells 2 5 26" xfId="42370" xr:uid="{00000000-0005-0000-0000-00005BA60000}"/>
    <cellStyle name="RIGs linked cells 2 5 27" xfId="42371" xr:uid="{00000000-0005-0000-0000-00005CA60000}"/>
    <cellStyle name="RIGs linked cells 2 5 28" xfId="42372" xr:uid="{00000000-0005-0000-0000-00005DA60000}"/>
    <cellStyle name="RIGs linked cells 2 5 29" xfId="42373" xr:uid="{00000000-0005-0000-0000-00005EA60000}"/>
    <cellStyle name="RIGs linked cells 2 5 3" xfId="42374" xr:uid="{00000000-0005-0000-0000-00005FA60000}"/>
    <cellStyle name="RIGs linked cells 2 5 3 2" xfId="42375" xr:uid="{00000000-0005-0000-0000-000060A60000}"/>
    <cellStyle name="RIGs linked cells 2 5 3 3" xfId="42376" xr:uid="{00000000-0005-0000-0000-000061A60000}"/>
    <cellStyle name="RIGs linked cells 2 5 30" xfId="42377" xr:uid="{00000000-0005-0000-0000-000062A60000}"/>
    <cellStyle name="RIGs linked cells 2 5 31" xfId="42378" xr:uid="{00000000-0005-0000-0000-000063A60000}"/>
    <cellStyle name="RIGs linked cells 2 5 32" xfId="42379" xr:uid="{00000000-0005-0000-0000-000064A60000}"/>
    <cellStyle name="RIGs linked cells 2 5 33" xfId="42380" xr:uid="{00000000-0005-0000-0000-000065A60000}"/>
    <cellStyle name="RIGs linked cells 2 5 34" xfId="42381" xr:uid="{00000000-0005-0000-0000-000066A60000}"/>
    <cellStyle name="RIGs linked cells 2 5 4" xfId="42382" xr:uid="{00000000-0005-0000-0000-000067A60000}"/>
    <cellStyle name="RIGs linked cells 2 5 4 2" xfId="42383" xr:uid="{00000000-0005-0000-0000-000068A60000}"/>
    <cellStyle name="RIGs linked cells 2 5 4 3" xfId="42384" xr:uid="{00000000-0005-0000-0000-000069A60000}"/>
    <cellStyle name="RIGs linked cells 2 5 5" xfId="42385" xr:uid="{00000000-0005-0000-0000-00006AA60000}"/>
    <cellStyle name="RIGs linked cells 2 5 6" xfId="42386" xr:uid="{00000000-0005-0000-0000-00006BA60000}"/>
    <cellStyle name="RIGs linked cells 2 5 7" xfId="42387" xr:uid="{00000000-0005-0000-0000-00006CA60000}"/>
    <cellStyle name="RIGs linked cells 2 5 8" xfId="42388" xr:uid="{00000000-0005-0000-0000-00006DA60000}"/>
    <cellStyle name="RIGs linked cells 2 5 9" xfId="42389" xr:uid="{00000000-0005-0000-0000-00006EA60000}"/>
    <cellStyle name="RIGs linked cells 2 6" xfId="42390" xr:uid="{00000000-0005-0000-0000-00006FA60000}"/>
    <cellStyle name="RIGs linked cells 2 6 10" xfId="42391" xr:uid="{00000000-0005-0000-0000-000070A60000}"/>
    <cellStyle name="RIGs linked cells 2 6 11" xfId="42392" xr:uid="{00000000-0005-0000-0000-000071A60000}"/>
    <cellStyle name="RIGs linked cells 2 6 12" xfId="42393" xr:uid="{00000000-0005-0000-0000-000072A60000}"/>
    <cellStyle name="RIGs linked cells 2 6 13" xfId="42394" xr:uid="{00000000-0005-0000-0000-000073A60000}"/>
    <cellStyle name="RIGs linked cells 2 6 2" xfId="42395" xr:uid="{00000000-0005-0000-0000-000074A60000}"/>
    <cellStyle name="RIGs linked cells 2 6 2 2" xfId="42396" xr:uid="{00000000-0005-0000-0000-000075A60000}"/>
    <cellStyle name="RIGs linked cells 2 6 2 3" xfId="42397" xr:uid="{00000000-0005-0000-0000-000076A60000}"/>
    <cellStyle name="RIGs linked cells 2 6 3" xfId="42398" xr:uid="{00000000-0005-0000-0000-000077A60000}"/>
    <cellStyle name="RIGs linked cells 2 6 3 2" xfId="42399" xr:uid="{00000000-0005-0000-0000-000078A60000}"/>
    <cellStyle name="RIGs linked cells 2 6 3 3" xfId="42400" xr:uid="{00000000-0005-0000-0000-000079A60000}"/>
    <cellStyle name="RIGs linked cells 2 6 4" xfId="42401" xr:uid="{00000000-0005-0000-0000-00007AA60000}"/>
    <cellStyle name="RIGs linked cells 2 6 5" xfId="42402" xr:uid="{00000000-0005-0000-0000-00007BA60000}"/>
    <cellStyle name="RIGs linked cells 2 6 6" xfId="42403" xr:uid="{00000000-0005-0000-0000-00007CA60000}"/>
    <cellStyle name="RIGs linked cells 2 6 7" xfId="42404" xr:uid="{00000000-0005-0000-0000-00007DA60000}"/>
    <cellStyle name="RIGs linked cells 2 6 8" xfId="42405" xr:uid="{00000000-0005-0000-0000-00007EA60000}"/>
    <cellStyle name="RIGs linked cells 2 6 9" xfId="42406" xr:uid="{00000000-0005-0000-0000-00007FA60000}"/>
    <cellStyle name="RIGs linked cells 2 7" xfId="42407" xr:uid="{00000000-0005-0000-0000-000080A60000}"/>
    <cellStyle name="RIGs linked cells 2 7 2" xfId="42408" xr:uid="{00000000-0005-0000-0000-000081A60000}"/>
    <cellStyle name="RIGs linked cells 2 7 2 2" xfId="42409" xr:uid="{00000000-0005-0000-0000-000082A60000}"/>
    <cellStyle name="RIGs linked cells 2 7 2 3" xfId="42410" xr:uid="{00000000-0005-0000-0000-000083A60000}"/>
    <cellStyle name="RIGs linked cells 2 7 3" xfId="42411" xr:uid="{00000000-0005-0000-0000-000084A60000}"/>
    <cellStyle name="RIGs linked cells 2 7 3 2" xfId="42412" xr:uid="{00000000-0005-0000-0000-000085A60000}"/>
    <cellStyle name="RIGs linked cells 2 7 4" xfId="42413" xr:uid="{00000000-0005-0000-0000-000086A60000}"/>
    <cellStyle name="RIGs linked cells 2 8" xfId="42414" xr:uid="{00000000-0005-0000-0000-000087A60000}"/>
    <cellStyle name="RIGs linked cells 2 8 2" xfId="42415" xr:uid="{00000000-0005-0000-0000-000088A60000}"/>
    <cellStyle name="RIGs linked cells 2 9" xfId="42416" xr:uid="{00000000-0005-0000-0000-000089A60000}"/>
    <cellStyle name="RIGs linked cells 2 9 2" xfId="42417" xr:uid="{00000000-0005-0000-0000-00008AA60000}"/>
    <cellStyle name="RIGs linked cells 2_1.3s Accounting C Costs Scots" xfId="42418" xr:uid="{00000000-0005-0000-0000-00008BA60000}"/>
    <cellStyle name="RIGs linked cells 20" xfId="42419" xr:uid="{00000000-0005-0000-0000-00008CA60000}"/>
    <cellStyle name="RIGs linked cells 20 2" xfId="42420" xr:uid="{00000000-0005-0000-0000-00008DA60000}"/>
    <cellStyle name="RIGs linked cells 21" xfId="42421" xr:uid="{00000000-0005-0000-0000-00008EA60000}"/>
    <cellStyle name="RIGs linked cells 21 2" xfId="42422" xr:uid="{00000000-0005-0000-0000-00008FA60000}"/>
    <cellStyle name="RIGs linked cells 22" xfId="42423" xr:uid="{00000000-0005-0000-0000-000090A60000}"/>
    <cellStyle name="RIGs linked cells 22 2" xfId="42424" xr:uid="{00000000-0005-0000-0000-000091A60000}"/>
    <cellStyle name="RIGs linked cells 23" xfId="42425" xr:uid="{00000000-0005-0000-0000-000092A60000}"/>
    <cellStyle name="RIGs linked cells 23 2" xfId="42426" xr:uid="{00000000-0005-0000-0000-000093A60000}"/>
    <cellStyle name="RIGs linked cells 24" xfId="42427" xr:uid="{00000000-0005-0000-0000-000094A60000}"/>
    <cellStyle name="RIGs linked cells 24 2" xfId="42428" xr:uid="{00000000-0005-0000-0000-000095A60000}"/>
    <cellStyle name="RIGs linked cells 25" xfId="42429" xr:uid="{00000000-0005-0000-0000-000096A60000}"/>
    <cellStyle name="RIGs linked cells 25 2" xfId="42430" xr:uid="{00000000-0005-0000-0000-000097A60000}"/>
    <cellStyle name="RIGs linked cells 26" xfId="42431" xr:uid="{00000000-0005-0000-0000-000098A60000}"/>
    <cellStyle name="RIGs linked cells 26 2" xfId="42432" xr:uid="{00000000-0005-0000-0000-000099A60000}"/>
    <cellStyle name="RIGs linked cells 27" xfId="42433" xr:uid="{00000000-0005-0000-0000-00009AA60000}"/>
    <cellStyle name="RIGs linked cells 27 2" xfId="42434" xr:uid="{00000000-0005-0000-0000-00009BA60000}"/>
    <cellStyle name="RIGs linked cells 28" xfId="42435" xr:uid="{00000000-0005-0000-0000-00009CA60000}"/>
    <cellStyle name="RIGs linked cells 28 2" xfId="42436" xr:uid="{00000000-0005-0000-0000-00009DA60000}"/>
    <cellStyle name="RIGs linked cells 29" xfId="42437" xr:uid="{00000000-0005-0000-0000-00009EA60000}"/>
    <cellStyle name="RIGs linked cells 29 2" xfId="42438" xr:uid="{00000000-0005-0000-0000-00009FA60000}"/>
    <cellStyle name="RIGs linked cells 3" xfId="42439" xr:uid="{00000000-0005-0000-0000-0000A0A60000}"/>
    <cellStyle name="RIGs linked cells 3 10" xfId="42440" xr:uid="{00000000-0005-0000-0000-0000A1A60000}"/>
    <cellStyle name="RIGs linked cells 3 10 2" xfId="42441" xr:uid="{00000000-0005-0000-0000-0000A2A60000}"/>
    <cellStyle name="RIGs linked cells 3 11" xfId="42442" xr:uid="{00000000-0005-0000-0000-0000A3A60000}"/>
    <cellStyle name="RIGs linked cells 3 11 2" xfId="42443" xr:uid="{00000000-0005-0000-0000-0000A4A60000}"/>
    <cellStyle name="RIGs linked cells 3 12" xfId="42444" xr:uid="{00000000-0005-0000-0000-0000A5A60000}"/>
    <cellStyle name="RIGs linked cells 3 12 2" xfId="42445" xr:uid="{00000000-0005-0000-0000-0000A6A60000}"/>
    <cellStyle name="RIGs linked cells 3 13" xfId="42446" xr:uid="{00000000-0005-0000-0000-0000A7A60000}"/>
    <cellStyle name="RIGs linked cells 3 13 2" xfId="42447" xr:uid="{00000000-0005-0000-0000-0000A8A60000}"/>
    <cellStyle name="RIGs linked cells 3 14" xfId="42448" xr:uid="{00000000-0005-0000-0000-0000A9A60000}"/>
    <cellStyle name="RIGs linked cells 3 14 2" xfId="42449" xr:uid="{00000000-0005-0000-0000-0000AAA60000}"/>
    <cellStyle name="RIGs linked cells 3 15" xfId="42450" xr:uid="{00000000-0005-0000-0000-0000ABA60000}"/>
    <cellStyle name="RIGs linked cells 3 15 2" xfId="42451" xr:uid="{00000000-0005-0000-0000-0000ACA60000}"/>
    <cellStyle name="RIGs linked cells 3 16" xfId="42452" xr:uid="{00000000-0005-0000-0000-0000ADA60000}"/>
    <cellStyle name="RIGs linked cells 3 16 2" xfId="42453" xr:uid="{00000000-0005-0000-0000-0000AEA60000}"/>
    <cellStyle name="RIGs linked cells 3 17" xfId="42454" xr:uid="{00000000-0005-0000-0000-0000AFA60000}"/>
    <cellStyle name="RIGs linked cells 3 17 2" xfId="42455" xr:uid="{00000000-0005-0000-0000-0000B0A60000}"/>
    <cellStyle name="RIGs linked cells 3 18" xfId="42456" xr:uid="{00000000-0005-0000-0000-0000B1A60000}"/>
    <cellStyle name="RIGs linked cells 3 18 2" xfId="42457" xr:uid="{00000000-0005-0000-0000-0000B2A60000}"/>
    <cellStyle name="RIGs linked cells 3 19" xfId="42458" xr:uid="{00000000-0005-0000-0000-0000B3A60000}"/>
    <cellStyle name="RIGs linked cells 3 19 2" xfId="42459" xr:uid="{00000000-0005-0000-0000-0000B4A60000}"/>
    <cellStyle name="RIGs linked cells 3 2" xfId="42460" xr:uid="{00000000-0005-0000-0000-0000B5A60000}"/>
    <cellStyle name="RIGs linked cells 3 2 10" xfId="42461" xr:uid="{00000000-0005-0000-0000-0000B6A60000}"/>
    <cellStyle name="RIGs linked cells 3 2 10 2" xfId="42462" xr:uid="{00000000-0005-0000-0000-0000B7A60000}"/>
    <cellStyle name="RIGs linked cells 3 2 11" xfId="42463" xr:uid="{00000000-0005-0000-0000-0000B8A60000}"/>
    <cellStyle name="RIGs linked cells 3 2 11 2" xfId="42464" xr:uid="{00000000-0005-0000-0000-0000B9A60000}"/>
    <cellStyle name="RIGs linked cells 3 2 12" xfId="42465" xr:uid="{00000000-0005-0000-0000-0000BAA60000}"/>
    <cellStyle name="RIGs linked cells 3 2 12 2" xfId="42466" xr:uid="{00000000-0005-0000-0000-0000BBA60000}"/>
    <cellStyle name="RIGs linked cells 3 2 13" xfId="42467" xr:uid="{00000000-0005-0000-0000-0000BCA60000}"/>
    <cellStyle name="RIGs linked cells 3 2 13 2" xfId="42468" xr:uid="{00000000-0005-0000-0000-0000BDA60000}"/>
    <cellStyle name="RIGs linked cells 3 2 14" xfId="42469" xr:uid="{00000000-0005-0000-0000-0000BEA60000}"/>
    <cellStyle name="RIGs linked cells 3 2 14 2" xfId="42470" xr:uid="{00000000-0005-0000-0000-0000BFA60000}"/>
    <cellStyle name="RIGs linked cells 3 2 15" xfId="42471" xr:uid="{00000000-0005-0000-0000-0000C0A60000}"/>
    <cellStyle name="RIGs linked cells 3 2 15 2" xfId="42472" xr:uid="{00000000-0005-0000-0000-0000C1A60000}"/>
    <cellStyle name="RIGs linked cells 3 2 16" xfId="42473" xr:uid="{00000000-0005-0000-0000-0000C2A60000}"/>
    <cellStyle name="RIGs linked cells 3 2 16 2" xfId="42474" xr:uid="{00000000-0005-0000-0000-0000C3A60000}"/>
    <cellStyle name="RIGs linked cells 3 2 17" xfId="42475" xr:uid="{00000000-0005-0000-0000-0000C4A60000}"/>
    <cellStyle name="RIGs linked cells 3 2 17 2" xfId="42476" xr:uid="{00000000-0005-0000-0000-0000C5A60000}"/>
    <cellStyle name="RIGs linked cells 3 2 18" xfId="42477" xr:uid="{00000000-0005-0000-0000-0000C6A60000}"/>
    <cellStyle name="RIGs linked cells 3 2 18 2" xfId="42478" xr:uid="{00000000-0005-0000-0000-0000C7A60000}"/>
    <cellStyle name="RIGs linked cells 3 2 19" xfId="42479" xr:uid="{00000000-0005-0000-0000-0000C8A60000}"/>
    <cellStyle name="RIGs linked cells 3 2 19 2" xfId="42480" xr:uid="{00000000-0005-0000-0000-0000C9A60000}"/>
    <cellStyle name="RIGs linked cells 3 2 2" xfId="42481" xr:uid="{00000000-0005-0000-0000-0000CAA60000}"/>
    <cellStyle name="RIGs linked cells 3 2 2 10" xfId="42482" xr:uid="{00000000-0005-0000-0000-0000CBA60000}"/>
    <cellStyle name="RIGs linked cells 3 2 2 10 2" xfId="42483" xr:uid="{00000000-0005-0000-0000-0000CCA60000}"/>
    <cellStyle name="RIGs linked cells 3 2 2 11" xfId="42484" xr:uid="{00000000-0005-0000-0000-0000CDA60000}"/>
    <cellStyle name="RIGs linked cells 3 2 2 11 2" xfId="42485" xr:uid="{00000000-0005-0000-0000-0000CEA60000}"/>
    <cellStyle name="RIGs linked cells 3 2 2 12" xfId="42486" xr:uid="{00000000-0005-0000-0000-0000CFA60000}"/>
    <cellStyle name="RIGs linked cells 3 2 2 12 2" xfId="42487" xr:uid="{00000000-0005-0000-0000-0000D0A60000}"/>
    <cellStyle name="RIGs linked cells 3 2 2 13" xfId="42488" xr:uid="{00000000-0005-0000-0000-0000D1A60000}"/>
    <cellStyle name="RIGs linked cells 3 2 2 13 2" xfId="42489" xr:uid="{00000000-0005-0000-0000-0000D2A60000}"/>
    <cellStyle name="RIGs linked cells 3 2 2 14" xfId="42490" xr:uid="{00000000-0005-0000-0000-0000D3A60000}"/>
    <cellStyle name="RIGs linked cells 3 2 2 14 2" xfId="42491" xr:uid="{00000000-0005-0000-0000-0000D4A60000}"/>
    <cellStyle name="RIGs linked cells 3 2 2 15" xfId="42492" xr:uid="{00000000-0005-0000-0000-0000D5A60000}"/>
    <cellStyle name="RIGs linked cells 3 2 2 15 2" xfId="42493" xr:uid="{00000000-0005-0000-0000-0000D6A60000}"/>
    <cellStyle name="RIGs linked cells 3 2 2 16" xfId="42494" xr:uid="{00000000-0005-0000-0000-0000D7A60000}"/>
    <cellStyle name="RIGs linked cells 3 2 2 16 2" xfId="42495" xr:uid="{00000000-0005-0000-0000-0000D8A60000}"/>
    <cellStyle name="RIGs linked cells 3 2 2 17" xfId="42496" xr:uid="{00000000-0005-0000-0000-0000D9A60000}"/>
    <cellStyle name="RIGs linked cells 3 2 2 17 2" xfId="42497" xr:uid="{00000000-0005-0000-0000-0000DAA60000}"/>
    <cellStyle name="RIGs linked cells 3 2 2 18" xfId="42498" xr:uid="{00000000-0005-0000-0000-0000DBA60000}"/>
    <cellStyle name="RIGs linked cells 3 2 2 18 2" xfId="42499" xr:uid="{00000000-0005-0000-0000-0000DCA60000}"/>
    <cellStyle name="RIGs linked cells 3 2 2 19" xfId="42500" xr:uid="{00000000-0005-0000-0000-0000DDA60000}"/>
    <cellStyle name="RIGs linked cells 3 2 2 19 2" xfId="42501" xr:uid="{00000000-0005-0000-0000-0000DEA60000}"/>
    <cellStyle name="RIGs linked cells 3 2 2 2" xfId="42502" xr:uid="{00000000-0005-0000-0000-0000DFA60000}"/>
    <cellStyle name="RIGs linked cells 3 2 2 2 10" xfId="42503" xr:uid="{00000000-0005-0000-0000-0000E0A60000}"/>
    <cellStyle name="RIGs linked cells 3 2 2 2 11" xfId="42504" xr:uid="{00000000-0005-0000-0000-0000E1A60000}"/>
    <cellStyle name="RIGs linked cells 3 2 2 2 12" xfId="42505" xr:uid="{00000000-0005-0000-0000-0000E2A60000}"/>
    <cellStyle name="RIGs linked cells 3 2 2 2 13" xfId="42506" xr:uid="{00000000-0005-0000-0000-0000E3A60000}"/>
    <cellStyle name="RIGs linked cells 3 2 2 2 14" xfId="42507" xr:uid="{00000000-0005-0000-0000-0000E4A60000}"/>
    <cellStyle name="RIGs linked cells 3 2 2 2 15" xfId="42508" xr:uid="{00000000-0005-0000-0000-0000E5A60000}"/>
    <cellStyle name="RIGs linked cells 3 2 2 2 16" xfId="42509" xr:uid="{00000000-0005-0000-0000-0000E6A60000}"/>
    <cellStyle name="RIGs linked cells 3 2 2 2 17" xfId="42510" xr:uid="{00000000-0005-0000-0000-0000E7A60000}"/>
    <cellStyle name="RIGs linked cells 3 2 2 2 18" xfId="42511" xr:uid="{00000000-0005-0000-0000-0000E8A60000}"/>
    <cellStyle name="RIGs linked cells 3 2 2 2 19" xfId="42512" xr:uid="{00000000-0005-0000-0000-0000E9A60000}"/>
    <cellStyle name="RIGs linked cells 3 2 2 2 2" xfId="42513" xr:uid="{00000000-0005-0000-0000-0000EAA60000}"/>
    <cellStyle name="RIGs linked cells 3 2 2 2 2 10" xfId="42514" xr:uid="{00000000-0005-0000-0000-0000EBA60000}"/>
    <cellStyle name="RIGs linked cells 3 2 2 2 2 11" xfId="42515" xr:uid="{00000000-0005-0000-0000-0000ECA60000}"/>
    <cellStyle name="RIGs linked cells 3 2 2 2 2 12" xfId="42516" xr:uid="{00000000-0005-0000-0000-0000EDA60000}"/>
    <cellStyle name="RIGs linked cells 3 2 2 2 2 13" xfId="42517" xr:uid="{00000000-0005-0000-0000-0000EEA60000}"/>
    <cellStyle name="RIGs linked cells 3 2 2 2 2 14" xfId="42518" xr:uid="{00000000-0005-0000-0000-0000EFA60000}"/>
    <cellStyle name="RIGs linked cells 3 2 2 2 2 15" xfId="42519" xr:uid="{00000000-0005-0000-0000-0000F0A60000}"/>
    <cellStyle name="RIGs linked cells 3 2 2 2 2 16" xfId="42520" xr:uid="{00000000-0005-0000-0000-0000F1A60000}"/>
    <cellStyle name="RIGs linked cells 3 2 2 2 2 17" xfId="42521" xr:uid="{00000000-0005-0000-0000-0000F2A60000}"/>
    <cellStyle name="RIGs linked cells 3 2 2 2 2 18" xfId="42522" xr:uid="{00000000-0005-0000-0000-0000F3A60000}"/>
    <cellStyle name="RIGs linked cells 3 2 2 2 2 19" xfId="42523" xr:uid="{00000000-0005-0000-0000-0000F4A60000}"/>
    <cellStyle name="RIGs linked cells 3 2 2 2 2 2" xfId="42524" xr:uid="{00000000-0005-0000-0000-0000F5A60000}"/>
    <cellStyle name="RIGs linked cells 3 2 2 2 2 2 10" xfId="42525" xr:uid="{00000000-0005-0000-0000-0000F6A60000}"/>
    <cellStyle name="RIGs linked cells 3 2 2 2 2 2 11" xfId="42526" xr:uid="{00000000-0005-0000-0000-0000F7A60000}"/>
    <cellStyle name="RIGs linked cells 3 2 2 2 2 2 12" xfId="42527" xr:uid="{00000000-0005-0000-0000-0000F8A60000}"/>
    <cellStyle name="RIGs linked cells 3 2 2 2 2 2 13" xfId="42528" xr:uid="{00000000-0005-0000-0000-0000F9A60000}"/>
    <cellStyle name="RIGs linked cells 3 2 2 2 2 2 2" xfId="42529" xr:uid="{00000000-0005-0000-0000-0000FAA60000}"/>
    <cellStyle name="RIGs linked cells 3 2 2 2 2 2 2 2" xfId="42530" xr:uid="{00000000-0005-0000-0000-0000FBA60000}"/>
    <cellStyle name="RIGs linked cells 3 2 2 2 2 2 2 3" xfId="42531" xr:uid="{00000000-0005-0000-0000-0000FCA60000}"/>
    <cellStyle name="RIGs linked cells 3 2 2 2 2 2 3" xfId="42532" xr:uid="{00000000-0005-0000-0000-0000FDA60000}"/>
    <cellStyle name="RIGs linked cells 3 2 2 2 2 2 3 2" xfId="42533" xr:uid="{00000000-0005-0000-0000-0000FEA60000}"/>
    <cellStyle name="RIGs linked cells 3 2 2 2 2 2 3 3" xfId="42534" xr:uid="{00000000-0005-0000-0000-0000FFA60000}"/>
    <cellStyle name="RIGs linked cells 3 2 2 2 2 2 4" xfId="42535" xr:uid="{00000000-0005-0000-0000-000000A70000}"/>
    <cellStyle name="RIGs linked cells 3 2 2 2 2 2 5" xfId="42536" xr:uid="{00000000-0005-0000-0000-000001A70000}"/>
    <cellStyle name="RIGs linked cells 3 2 2 2 2 2 6" xfId="42537" xr:uid="{00000000-0005-0000-0000-000002A70000}"/>
    <cellStyle name="RIGs linked cells 3 2 2 2 2 2 7" xfId="42538" xr:uid="{00000000-0005-0000-0000-000003A70000}"/>
    <cellStyle name="RIGs linked cells 3 2 2 2 2 2 8" xfId="42539" xr:uid="{00000000-0005-0000-0000-000004A70000}"/>
    <cellStyle name="RIGs linked cells 3 2 2 2 2 2 9" xfId="42540" xr:uid="{00000000-0005-0000-0000-000005A70000}"/>
    <cellStyle name="RIGs linked cells 3 2 2 2 2 20" xfId="42541" xr:uid="{00000000-0005-0000-0000-000006A70000}"/>
    <cellStyle name="RIGs linked cells 3 2 2 2 2 21" xfId="42542" xr:uid="{00000000-0005-0000-0000-000007A70000}"/>
    <cellStyle name="RIGs linked cells 3 2 2 2 2 22" xfId="42543" xr:uid="{00000000-0005-0000-0000-000008A70000}"/>
    <cellStyle name="RIGs linked cells 3 2 2 2 2 23" xfId="42544" xr:uid="{00000000-0005-0000-0000-000009A70000}"/>
    <cellStyle name="RIGs linked cells 3 2 2 2 2 24" xfId="42545" xr:uid="{00000000-0005-0000-0000-00000AA70000}"/>
    <cellStyle name="RIGs linked cells 3 2 2 2 2 25" xfId="42546" xr:uid="{00000000-0005-0000-0000-00000BA70000}"/>
    <cellStyle name="RIGs linked cells 3 2 2 2 2 26" xfId="42547" xr:uid="{00000000-0005-0000-0000-00000CA70000}"/>
    <cellStyle name="RIGs linked cells 3 2 2 2 2 27" xfId="42548" xr:uid="{00000000-0005-0000-0000-00000DA70000}"/>
    <cellStyle name="RIGs linked cells 3 2 2 2 2 28" xfId="42549" xr:uid="{00000000-0005-0000-0000-00000EA70000}"/>
    <cellStyle name="RIGs linked cells 3 2 2 2 2 29" xfId="42550" xr:uid="{00000000-0005-0000-0000-00000FA70000}"/>
    <cellStyle name="RIGs linked cells 3 2 2 2 2 3" xfId="42551" xr:uid="{00000000-0005-0000-0000-000010A70000}"/>
    <cellStyle name="RIGs linked cells 3 2 2 2 2 3 2" xfId="42552" xr:uid="{00000000-0005-0000-0000-000011A70000}"/>
    <cellStyle name="RIGs linked cells 3 2 2 2 2 3 3" xfId="42553" xr:uid="{00000000-0005-0000-0000-000012A70000}"/>
    <cellStyle name="RIGs linked cells 3 2 2 2 2 30" xfId="42554" xr:uid="{00000000-0005-0000-0000-000013A70000}"/>
    <cellStyle name="RIGs linked cells 3 2 2 2 2 31" xfId="42555" xr:uid="{00000000-0005-0000-0000-000014A70000}"/>
    <cellStyle name="RIGs linked cells 3 2 2 2 2 32" xfId="42556" xr:uid="{00000000-0005-0000-0000-000015A70000}"/>
    <cellStyle name="RIGs linked cells 3 2 2 2 2 33" xfId="42557" xr:uid="{00000000-0005-0000-0000-000016A70000}"/>
    <cellStyle name="RIGs linked cells 3 2 2 2 2 34" xfId="42558" xr:uid="{00000000-0005-0000-0000-000017A70000}"/>
    <cellStyle name="RIGs linked cells 3 2 2 2 2 4" xfId="42559" xr:uid="{00000000-0005-0000-0000-000018A70000}"/>
    <cellStyle name="RIGs linked cells 3 2 2 2 2 4 2" xfId="42560" xr:uid="{00000000-0005-0000-0000-000019A70000}"/>
    <cellStyle name="RIGs linked cells 3 2 2 2 2 4 3" xfId="42561" xr:uid="{00000000-0005-0000-0000-00001AA70000}"/>
    <cellStyle name="RIGs linked cells 3 2 2 2 2 5" xfId="42562" xr:uid="{00000000-0005-0000-0000-00001BA70000}"/>
    <cellStyle name="RIGs linked cells 3 2 2 2 2 6" xfId="42563" xr:uid="{00000000-0005-0000-0000-00001CA70000}"/>
    <cellStyle name="RIGs linked cells 3 2 2 2 2 7" xfId="42564" xr:uid="{00000000-0005-0000-0000-00001DA70000}"/>
    <cellStyle name="RIGs linked cells 3 2 2 2 2 8" xfId="42565" xr:uid="{00000000-0005-0000-0000-00001EA70000}"/>
    <cellStyle name="RIGs linked cells 3 2 2 2 2 9" xfId="42566" xr:uid="{00000000-0005-0000-0000-00001FA70000}"/>
    <cellStyle name="RIGs linked cells 3 2 2 2 20" xfId="42567" xr:uid="{00000000-0005-0000-0000-000020A70000}"/>
    <cellStyle name="RIGs linked cells 3 2 2 2 21" xfId="42568" xr:uid="{00000000-0005-0000-0000-000021A70000}"/>
    <cellStyle name="RIGs linked cells 3 2 2 2 22" xfId="42569" xr:uid="{00000000-0005-0000-0000-000022A70000}"/>
    <cellStyle name="RIGs linked cells 3 2 2 2 23" xfId="42570" xr:uid="{00000000-0005-0000-0000-000023A70000}"/>
    <cellStyle name="RIGs linked cells 3 2 2 2 24" xfId="42571" xr:uid="{00000000-0005-0000-0000-000024A70000}"/>
    <cellStyle name="RIGs linked cells 3 2 2 2 25" xfId="42572" xr:uid="{00000000-0005-0000-0000-000025A70000}"/>
    <cellStyle name="RIGs linked cells 3 2 2 2 26" xfId="42573" xr:uid="{00000000-0005-0000-0000-000026A70000}"/>
    <cellStyle name="RIGs linked cells 3 2 2 2 27" xfId="42574" xr:uid="{00000000-0005-0000-0000-000027A70000}"/>
    <cellStyle name="RIGs linked cells 3 2 2 2 28" xfId="42575" xr:uid="{00000000-0005-0000-0000-000028A70000}"/>
    <cellStyle name="RIGs linked cells 3 2 2 2 29" xfId="42576" xr:uid="{00000000-0005-0000-0000-000029A70000}"/>
    <cellStyle name="RIGs linked cells 3 2 2 2 3" xfId="42577" xr:uid="{00000000-0005-0000-0000-00002AA70000}"/>
    <cellStyle name="RIGs linked cells 3 2 2 2 3 10" xfId="42578" xr:uid="{00000000-0005-0000-0000-00002BA70000}"/>
    <cellStyle name="RIGs linked cells 3 2 2 2 3 11" xfId="42579" xr:uid="{00000000-0005-0000-0000-00002CA70000}"/>
    <cellStyle name="RIGs linked cells 3 2 2 2 3 12" xfId="42580" xr:uid="{00000000-0005-0000-0000-00002DA70000}"/>
    <cellStyle name="RIGs linked cells 3 2 2 2 3 13" xfId="42581" xr:uid="{00000000-0005-0000-0000-00002EA70000}"/>
    <cellStyle name="RIGs linked cells 3 2 2 2 3 2" xfId="42582" xr:uid="{00000000-0005-0000-0000-00002FA70000}"/>
    <cellStyle name="RIGs linked cells 3 2 2 2 3 2 2" xfId="42583" xr:uid="{00000000-0005-0000-0000-000030A70000}"/>
    <cellStyle name="RIGs linked cells 3 2 2 2 3 2 3" xfId="42584" xr:uid="{00000000-0005-0000-0000-000031A70000}"/>
    <cellStyle name="RIGs linked cells 3 2 2 2 3 3" xfId="42585" xr:uid="{00000000-0005-0000-0000-000032A70000}"/>
    <cellStyle name="RIGs linked cells 3 2 2 2 3 3 2" xfId="42586" xr:uid="{00000000-0005-0000-0000-000033A70000}"/>
    <cellStyle name="RIGs linked cells 3 2 2 2 3 3 3" xfId="42587" xr:uid="{00000000-0005-0000-0000-000034A70000}"/>
    <cellStyle name="RIGs linked cells 3 2 2 2 3 4" xfId="42588" xr:uid="{00000000-0005-0000-0000-000035A70000}"/>
    <cellStyle name="RIGs linked cells 3 2 2 2 3 5" xfId="42589" xr:uid="{00000000-0005-0000-0000-000036A70000}"/>
    <cellStyle name="RIGs linked cells 3 2 2 2 3 6" xfId="42590" xr:uid="{00000000-0005-0000-0000-000037A70000}"/>
    <cellStyle name="RIGs linked cells 3 2 2 2 3 7" xfId="42591" xr:uid="{00000000-0005-0000-0000-000038A70000}"/>
    <cellStyle name="RIGs linked cells 3 2 2 2 3 8" xfId="42592" xr:uid="{00000000-0005-0000-0000-000039A70000}"/>
    <cellStyle name="RIGs linked cells 3 2 2 2 3 9" xfId="42593" xr:uid="{00000000-0005-0000-0000-00003AA70000}"/>
    <cellStyle name="RIGs linked cells 3 2 2 2 30" xfId="42594" xr:uid="{00000000-0005-0000-0000-00003BA70000}"/>
    <cellStyle name="RIGs linked cells 3 2 2 2 31" xfId="42595" xr:uid="{00000000-0005-0000-0000-00003CA70000}"/>
    <cellStyle name="RIGs linked cells 3 2 2 2 4" xfId="42596" xr:uid="{00000000-0005-0000-0000-00003DA70000}"/>
    <cellStyle name="RIGs linked cells 3 2 2 2 4 2" xfId="42597" xr:uid="{00000000-0005-0000-0000-00003EA70000}"/>
    <cellStyle name="RIGs linked cells 3 2 2 2 4 3" xfId="42598" xr:uid="{00000000-0005-0000-0000-00003FA70000}"/>
    <cellStyle name="RIGs linked cells 3 2 2 2 5" xfId="42599" xr:uid="{00000000-0005-0000-0000-000040A70000}"/>
    <cellStyle name="RIGs linked cells 3 2 2 2 5 2" xfId="42600" xr:uid="{00000000-0005-0000-0000-000041A70000}"/>
    <cellStyle name="RIGs linked cells 3 2 2 2 5 3" xfId="42601" xr:uid="{00000000-0005-0000-0000-000042A70000}"/>
    <cellStyle name="RIGs linked cells 3 2 2 2 6" xfId="42602" xr:uid="{00000000-0005-0000-0000-000043A70000}"/>
    <cellStyle name="RIGs linked cells 3 2 2 2 7" xfId="42603" xr:uid="{00000000-0005-0000-0000-000044A70000}"/>
    <cellStyle name="RIGs linked cells 3 2 2 2 8" xfId="42604" xr:uid="{00000000-0005-0000-0000-000045A70000}"/>
    <cellStyle name="RIGs linked cells 3 2 2 2 9" xfId="42605" xr:uid="{00000000-0005-0000-0000-000046A70000}"/>
    <cellStyle name="RIGs linked cells 3 2 2 2_4 28 1_Asst_Health_Crit_AllTO_RIIO_20110714pm" xfId="42606" xr:uid="{00000000-0005-0000-0000-000047A70000}"/>
    <cellStyle name="RIGs linked cells 3 2 2 20" xfId="42607" xr:uid="{00000000-0005-0000-0000-000048A70000}"/>
    <cellStyle name="RIGs linked cells 3 2 2 20 2" xfId="42608" xr:uid="{00000000-0005-0000-0000-000049A70000}"/>
    <cellStyle name="RIGs linked cells 3 2 2 21" xfId="42609" xr:uid="{00000000-0005-0000-0000-00004AA70000}"/>
    <cellStyle name="RIGs linked cells 3 2 2 21 2" xfId="42610" xr:uid="{00000000-0005-0000-0000-00004BA70000}"/>
    <cellStyle name="RIGs linked cells 3 2 2 22" xfId="42611" xr:uid="{00000000-0005-0000-0000-00004CA70000}"/>
    <cellStyle name="RIGs linked cells 3 2 2 22 2" xfId="42612" xr:uid="{00000000-0005-0000-0000-00004DA70000}"/>
    <cellStyle name="RIGs linked cells 3 2 2 23" xfId="42613" xr:uid="{00000000-0005-0000-0000-00004EA70000}"/>
    <cellStyle name="RIGs linked cells 3 2 2 23 2" xfId="42614" xr:uid="{00000000-0005-0000-0000-00004FA70000}"/>
    <cellStyle name="RIGs linked cells 3 2 2 24" xfId="42615" xr:uid="{00000000-0005-0000-0000-000050A70000}"/>
    <cellStyle name="RIGs linked cells 3 2 2 24 2" xfId="42616" xr:uid="{00000000-0005-0000-0000-000051A70000}"/>
    <cellStyle name="RIGs linked cells 3 2 2 25" xfId="42617" xr:uid="{00000000-0005-0000-0000-000052A70000}"/>
    <cellStyle name="RIGs linked cells 3 2 2 25 2" xfId="42618" xr:uid="{00000000-0005-0000-0000-000053A70000}"/>
    <cellStyle name="RIGs linked cells 3 2 2 26" xfId="42619" xr:uid="{00000000-0005-0000-0000-000054A70000}"/>
    <cellStyle name="RIGs linked cells 3 2 2 27" xfId="42620" xr:uid="{00000000-0005-0000-0000-000055A70000}"/>
    <cellStyle name="RIGs linked cells 3 2 2 28" xfId="42621" xr:uid="{00000000-0005-0000-0000-000056A70000}"/>
    <cellStyle name="RIGs linked cells 3 2 2 29" xfId="42622" xr:uid="{00000000-0005-0000-0000-000057A70000}"/>
    <cellStyle name="RIGs linked cells 3 2 2 3" xfId="42623" xr:uid="{00000000-0005-0000-0000-000058A70000}"/>
    <cellStyle name="RIGs linked cells 3 2 2 3 10" xfId="42624" xr:uid="{00000000-0005-0000-0000-000059A70000}"/>
    <cellStyle name="RIGs linked cells 3 2 2 3 11" xfId="42625" xr:uid="{00000000-0005-0000-0000-00005AA70000}"/>
    <cellStyle name="RIGs linked cells 3 2 2 3 12" xfId="42626" xr:uid="{00000000-0005-0000-0000-00005BA70000}"/>
    <cellStyle name="RIGs linked cells 3 2 2 3 13" xfId="42627" xr:uid="{00000000-0005-0000-0000-00005CA70000}"/>
    <cellStyle name="RIGs linked cells 3 2 2 3 14" xfId="42628" xr:uid="{00000000-0005-0000-0000-00005DA70000}"/>
    <cellStyle name="RIGs linked cells 3 2 2 3 15" xfId="42629" xr:uid="{00000000-0005-0000-0000-00005EA70000}"/>
    <cellStyle name="RIGs linked cells 3 2 2 3 16" xfId="42630" xr:uid="{00000000-0005-0000-0000-00005FA70000}"/>
    <cellStyle name="RIGs linked cells 3 2 2 3 17" xfId="42631" xr:uid="{00000000-0005-0000-0000-000060A70000}"/>
    <cellStyle name="RIGs linked cells 3 2 2 3 18" xfId="42632" xr:uid="{00000000-0005-0000-0000-000061A70000}"/>
    <cellStyle name="RIGs linked cells 3 2 2 3 19" xfId="42633" xr:uid="{00000000-0005-0000-0000-000062A70000}"/>
    <cellStyle name="RIGs linked cells 3 2 2 3 2" xfId="42634" xr:uid="{00000000-0005-0000-0000-000063A70000}"/>
    <cellStyle name="RIGs linked cells 3 2 2 3 2 10" xfId="42635" xr:uid="{00000000-0005-0000-0000-000064A70000}"/>
    <cellStyle name="RIGs linked cells 3 2 2 3 2 11" xfId="42636" xr:uid="{00000000-0005-0000-0000-000065A70000}"/>
    <cellStyle name="RIGs linked cells 3 2 2 3 2 12" xfId="42637" xr:uid="{00000000-0005-0000-0000-000066A70000}"/>
    <cellStyle name="RIGs linked cells 3 2 2 3 2 13" xfId="42638" xr:uid="{00000000-0005-0000-0000-000067A70000}"/>
    <cellStyle name="RIGs linked cells 3 2 2 3 2 2" xfId="42639" xr:uid="{00000000-0005-0000-0000-000068A70000}"/>
    <cellStyle name="RIGs linked cells 3 2 2 3 2 2 2" xfId="42640" xr:uid="{00000000-0005-0000-0000-000069A70000}"/>
    <cellStyle name="RIGs linked cells 3 2 2 3 2 2 3" xfId="42641" xr:uid="{00000000-0005-0000-0000-00006AA70000}"/>
    <cellStyle name="RIGs linked cells 3 2 2 3 2 3" xfId="42642" xr:uid="{00000000-0005-0000-0000-00006BA70000}"/>
    <cellStyle name="RIGs linked cells 3 2 2 3 2 3 2" xfId="42643" xr:uid="{00000000-0005-0000-0000-00006CA70000}"/>
    <cellStyle name="RIGs linked cells 3 2 2 3 2 3 3" xfId="42644" xr:uid="{00000000-0005-0000-0000-00006DA70000}"/>
    <cellStyle name="RIGs linked cells 3 2 2 3 2 4" xfId="42645" xr:uid="{00000000-0005-0000-0000-00006EA70000}"/>
    <cellStyle name="RIGs linked cells 3 2 2 3 2 5" xfId="42646" xr:uid="{00000000-0005-0000-0000-00006FA70000}"/>
    <cellStyle name="RIGs linked cells 3 2 2 3 2 6" xfId="42647" xr:uid="{00000000-0005-0000-0000-000070A70000}"/>
    <cellStyle name="RIGs linked cells 3 2 2 3 2 7" xfId="42648" xr:uid="{00000000-0005-0000-0000-000071A70000}"/>
    <cellStyle name="RIGs linked cells 3 2 2 3 2 8" xfId="42649" xr:uid="{00000000-0005-0000-0000-000072A70000}"/>
    <cellStyle name="RIGs linked cells 3 2 2 3 2 9" xfId="42650" xr:uid="{00000000-0005-0000-0000-000073A70000}"/>
    <cellStyle name="RIGs linked cells 3 2 2 3 20" xfId="42651" xr:uid="{00000000-0005-0000-0000-000074A70000}"/>
    <cellStyle name="RIGs linked cells 3 2 2 3 21" xfId="42652" xr:uid="{00000000-0005-0000-0000-000075A70000}"/>
    <cellStyle name="RIGs linked cells 3 2 2 3 22" xfId="42653" xr:uid="{00000000-0005-0000-0000-000076A70000}"/>
    <cellStyle name="RIGs linked cells 3 2 2 3 23" xfId="42654" xr:uid="{00000000-0005-0000-0000-000077A70000}"/>
    <cellStyle name="RIGs linked cells 3 2 2 3 24" xfId="42655" xr:uid="{00000000-0005-0000-0000-000078A70000}"/>
    <cellStyle name="RIGs linked cells 3 2 2 3 25" xfId="42656" xr:uid="{00000000-0005-0000-0000-000079A70000}"/>
    <cellStyle name="RIGs linked cells 3 2 2 3 26" xfId="42657" xr:uid="{00000000-0005-0000-0000-00007AA70000}"/>
    <cellStyle name="RIGs linked cells 3 2 2 3 27" xfId="42658" xr:uid="{00000000-0005-0000-0000-00007BA70000}"/>
    <cellStyle name="RIGs linked cells 3 2 2 3 28" xfId="42659" xr:uid="{00000000-0005-0000-0000-00007CA70000}"/>
    <cellStyle name="RIGs linked cells 3 2 2 3 29" xfId="42660" xr:uid="{00000000-0005-0000-0000-00007DA70000}"/>
    <cellStyle name="RIGs linked cells 3 2 2 3 3" xfId="42661" xr:uid="{00000000-0005-0000-0000-00007EA70000}"/>
    <cellStyle name="RIGs linked cells 3 2 2 3 3 2" xfId="42662" xr:uid="{00000000-0005-0000-0000-00007FA70000}"/>
    <cellStyle name="RIGs linked cells 3 2 2 3 3 3" xfId="42663" xr:uid="{00000000-0005-0000-0000-000080A70000}"/>
    <cellStyle name="RIGs linked cells 3 2 2 3 30" xfId="42664" xr:uid="{00000000-0005-0000-0000-000081A70000}"/>
    <cellStyle name="RIGs linked cells 3 2 2 3 4" xfId="42665" xr:uid="{00000000-0005-0000-0000-000082A70000}"/>
    <cellStyle name="RIGs linked cells 3 2 2 3 4 2" xfId="42666" xr:uid="{00000000-0005-0000-0000-000083A70000}"/>
    <cellStyle name="RIGs linked cells 3 2 2 3 4 3" xfId="42667" xr:uid="{00000000-0005-0000-0000-000084A70000}"/>
    <cellStyle name="RIGs linked cells 3 2 2 3 5" xfId="42668" xr:uid="{00000000-0005-0000-0000-000085A70000}"/>
    <cellStyle name="RIGs linked cells 3 2 2 3 6" xfId="42669" xr:uid="{00000000-0005-0000-0000-000086A70000}"/>
    <cellStyle name="RIGs linked cells 3 2 2 3 7" xfId="42670" xr:uid="{00000000-0005-0000-0000-000087A70000}"/>
    <cellStyle name="RIGs linked cells 3 2 2 3 8" xfId="42671" xr:uid="{00000000-0005-0000-0000-000088A70000}"/>
    <cellStyle name="RIGs linked cells 3 2 2 3 9" xfId="42672" xr:uid="{00000000-0005-0000-0000-000089A70000}"/>
    <cellStyle name="RIGs linked cells 3 2 2 30" xfId="42673" xr:uid="{00000000-0005-0000-0000-00008AA70000}"/>
    <cellStyle name="RIGs linked cells 3 2 2 31" xfId="42674" xr:uid="{00000000-0005-0000-0000-00008BA70000}"/>
    <cellStyle name="RIGs linked cells 3 2 2 32" xfId="42675" xr:uid="{00000000-0005-0000-0000-00008CA70000}"/>
    <cellStyle name="RIGs linked cells 3 2 2 33" xfId="42676" xr:uid="{00000000-0005-0000-0000-00008DA70000}"/>
    <cellStyle name="RIGs linked cells 3 2 2 4" xfId="42677" xr:uid="{00000000-0005-0000-0000-00008EA70000}"/>
    <cellStyle name="RIGs linked cells 3 2 2 4 10" xfId="42678" xr:uid="{00000000-0005-0000-0000-00008FA70000}"/>
    <cellStyle name="RIGs linked cells 3 2 2 4 11" xfId="42679" xr:uid="{00000000-0005-0000-0000-000090A70000}"/>
    <cellStyle name="RIGs linked cells 3 2 2 4 12" xfId="42680" xr:uid="{00000000-0005-0000-0000-000091A70000}"/>
    <cellStyle name="RIGs linked cells 3 2 2 4 13" xfId="42681" xr:uid="{00000000-0005-0000-0000-000092A70000}"/>
    <cellStyle name="RIGs linked cells 3 2 2 4 14" xfId="42682" xr:uid="{00000000-0005-0000-0000-000093A70000}"/>
    <cellStyle name="RIGs linked cells 3 2 2 4 15" xfId="42683" xr:uid="{00000000-0005-0000-0000-000094A70000}"/>
    <cellStyle name="RIGs linked cells 3 2 2 4 16" xfId="42684" xr:uid="{00000000-0005-0000-0000-000095A70000}"/>
    <cellStyle name="RIGs linked cells 3 2 2 4 17" xfId="42685" xr:uid="{00000000-0005-0000-0000-000096A70000}"/>
    <cellStyle name="RIGs linked cells 3 2 2 4 18" xfId="42686" xr:uid="{00000000-0005-0000-0000-000097A70000}"/>
    <cellStyle name="RIGs linked cells 3 2 2 4 19" xfId="42687" xr:uid="{00000000-0005-0000-0000-000098A70000}"/>
    <cellStyle name="RIGs linked cells 3 2 2 4 2" xfId="42688" xr:uid="{00000000-0005-0000-0000-000099A70000}"/>
    <cellStyle name="RIGs linked cells 3 2 2 4 2 10" xfId="42689" xr:uid="{00000000-0005-0000-0000-00009AA70000}"/>
    <cellStyle name="RIGs linked cells 3 2 2 4 2 11" xfId="42690" xr:uid="{00000000-0005-0000-0000-00009BA70000}"/>
    <cellStyle name="RIGs linked cells 3 2 2 4 2 12" xfId="42691" xr:uid="{00000000-0005-0000-0000-00009CA70000}"/>
    <cellStyle name="RIGs linked cells 3 2 2 4 2 13" xfId="42692" xr:uid="{00000000-0005-0000-0000-00009DA70000}"/>
    <cellStyle name="RIGs linked cells 3 2 2 4 2 2" xfId="42693" xr:uid="{00000000-0005-0000-0000-00009EA70000}"/>
    <cellStyle name="RIGs linked cells 3 2 2 4 2 2 2" xfId="42694" xr:uid="{00000000-0005-0000-0000-00009FA70000}"/>
    <cellStyle name="RIGs linked cells 3 2 2 4 2 2 3" xfId="42695" xr:uid="{00000000-0005-0000-0000-0000A0A70000}"/>
    <cellStyle name="RIGs linked cells 3 2 2 4 2 3" xfId="42696" xr:uid="{00000000-0005-0000-0000-0000A1A70000}"/>
    <cellStyle name="RIGs linked cells 3 2 2 4 2 3 2" xfId="42697" xr:uid="{00000000-0005-0000-0000-0000A2A70000}"/>
    <cellStyle name="RIGs linked cells 3 2 2 4 2 3 3" xfId="42698" xr:uid="{00000000-0005-0000-0000-0000A3A70000}"/>
    <cellStyle name="RIGs linked cells 3 2 2 4 2 4" xfId="42699" xr:uid="{00000000-0005-0000-0000-0000A4A70000}"/>
    <cellStyle name="RIGs linked cells 3 2 2 4 2 5" xfId="42700" xr:uid="{00000000-0005-0000-0000-0000A5A70000}"/>
    <cellStyle name="RIGs linked cells 3 2 2 4 2 6" xfId="42701" xr:uid="{00000000-0005-0000-0000-0000A6A70000}"/>
    <cellStyle name="RIGs linked cells 3 2 2 4 2 7" xfId="42702" xr:uid="{00000000-0005-0000-0000-0000A7A70000}"/>
    <cellStyle name="RIGs linked cells 3 2 2 4 2 8" xfId="42703" xr:uid="{00000000-0005-0000-0000-0000A8A70000}"/>
    <cellStyle name="RIGs linked cells 3 2 2 4 2 9" xfId="42704" xr:uid="{00000000-0005-0000-0000-0000A9A70000}"/>
    <cellStyle name="RIGs linked cells 3 2 2 4 20" xfId="42705" xr:uid="{00000000-0005-0000-0000-0000AAA70000}"/>
    <cellStyle name="RIGs linked cells 3 2 2 4 21" xfId="42706" xr:uid="{00000000-0005-0000-0000-0000ABA70000}"/>
    <cellStyle name="RIGs linked cells 3 2 2 4 22" xfId="42707" xr:uid="{00000000-0005-0000-0000-0000ACA70000}"/>
    <cellStyle name="RIGs linked cells 3 2 2 4 23" xfId="42708" xr:uid="{00000000-0005-0000-0000-0000ADA70000}"/>
    <cellStyle name="RIGs linked cells 3 2 2 4 24" xfId="42709" xr:uid="{00000000-0005-0000-0000-0000AEA70000}"/>
    <cellStyle name="RIGs linked cells 3 2 2 4 25" xfId="42710" xr:uid="{00000000-0005-0000-0000-0000AFA70000}"/>
    <cellStyle name="RIGs linked cells 3 2 2 4 26" xfId="42711" xr:uid="{00000000-0005-0000-0000-0000B0A70000}"/>
    <cellStyle name="RIGs linked cells 3 2 2 4 27" xfId="42712" xr:uid="{00000000-0005-0000-0000-0000B1A70000}"/>
    <cellStyle name="RIGs linked cells 3 2 2 4 28" xfId="42713" xr:uid="{00000000-0005-0000-0000-0000B2A70000}"/>
    <cellStyle name="RIGs linked cells 3 2 2 4 29" xfId="42714" xr:uid="{00000000-0005-0000-0000-0000B3A70000}"/>
    <cellStyle name="RIGs linked cells 3 2 2 4 3" xfId="42715" xr:uid="{00000000-0005-0000-0000-0000B4A70000}"/>
    <cellStyle name="RIGs linked cells 3 2 2 4 3 2" xfId="42716" xr:uid="{00000000-0005-0000-0000-0000B5A70000}"/>
    <cellStyle name="RIGs linked cells 3 2 2 4 3 3" xfId="42717" xr:uid="{00000000-0005-0000-0000-0000B6A70000}"/>
    <cellStyle name="RIGs linked cells 3 2 2 4 30" xfId="42718" xr:uid="{00000000-0005-0000-0000-0000B7A70000}"/>
    <cellStyle name="RIGs linked cells 3 2 2 4 4" xfId="42719" xr:uid="{00000000-0005-0000-0000-0000B8A70000}"/>
    <cellStyle name="RIGs linked cells 3 2 2 4 4 2" xfId="42720" xr:uid="{00000000-0005-0000-0000-0000B9A70000}"/>
    <cellStyle name="RIGs linked cells 3 2 2 4 4 3" xfId="42721" xr:uid="{00000000-0005-0000-0000-0000BAA70000}"/>
    <cellStyle name="RIGs linked cells 3 2 2 4 5" xfId="42722" xr:uid="{00000000-0005-0000-0000-0000BBA70000}"/>
    <cellStyle name="RIGs linked cells 3 2 2 4 6" xfId="42723" xr:uid="{00000000-0005-0000-0000-0000BCA70000}"/>
    <cellStyle name="RIGs linked cells 3 2 2 4 7" xfId="42724" xr:uid="{00000000-0005-0000-0000-0000BDA70000}"/>
    <cellStyle name="RIGs linked cells 3 2 2 4 8" xfId="42725" xr:uid="{00000000-0005-0000-0000-0000BEA70000}"/>
    <cellStyle name="RIGs linked cells 3 2 2 4 9" xfId="42726" xr:uid="{00000000-0005-0000-0000-0000BFA70000}"/>
    <cellStyle name="RIGs linked cells 3 2 2 5" xfId="42727" xr:uid="{00000000-0005-0000-0000-0000C0A70000}"/>
    <cellStyle name="RIGs linked cells 3 2 2 5 10" xfId="42728" xr:uid="{00000000-0005-0000-0000-0000C1A70000}"/>
    <cellStyle name="RIGs linked cells 3 2 2 5 11" xfId="42729" xr:uid="{00000000-0005-0000-0000-0000C2A70000}"/>
    <cellStyle name="RIGs linked cells 3 2 2 5 12" xfId="42730" xr:uid="{00000000-0005-0000-0000-0000C3A70000}"/>
    <cellStyle name="RIGs linked cells 3 2 2 5 13" xfId="42731" xr:uid="{00000000-0005-0000-0000-0000C4A70000}"/>
    <cellStyle name="RIGs linked cells 3 2 2 5 2" xfId="42732" xr:uid="{00000000-0005-0000-0000-0000C5A70000}"/>
    <cellStyle name="RIGs linked cells 3 2 2 5 2 2" xfId="42733" xr:uid="{00000000-0005-0000-0000-0000C6A70000}"/>
    <cellStyle name="RIGs linked cells 3 2 2 5 2 3" xfId="42734" xr:uid="{00000000-0005-0000-0000-0000C7A70000}"/>
    <cellStyle name="RIGs linked cells 3 2 2 5 3" xfId="42735" xr:uid="{00000000-0005-0000-0000-0000C8A70000}"/>
    <cellStyle name="RIGs linked cells 3 2 2 5 3 2" xfId="42736" xr:uid="{00000000-0005-0000-0000-0000C9A70000}"/>
    <cellStyle name="RIGs linked cells 3 2 2 5 3 3" xfId="42737" xr:uid="{00000000-0005-0000-0000-0000CAA70000}"/>
    <cellStyle name="RIGs linked cells 3 2 2 5 4" xfId="42738" xr:uid="{00000000-0005-0000-0000-0000CBA70000}"/>
    <cellStyle name="RIGs linked cells 3 2 2 5 5" xfId="42739" xr:uid="{00000000-0005-0000-0000-0000CCA70000}"/>
    <cellStyle name="RIGs linked cells 3 2 2 5 6" xfId="42740" xr:uid="{00000000-0005-0000-0000-0000CDA70000}"/>
    <cellStyle name="RIGs linked cells 3 2 2 5 7" xfId="42741" xr:uid="{00000000-0005-0000-0000-0000CEA70000}"/>
    <cellStyle name="RIGs linked cells 3 2 2 5 8" xfId="42742" xr:uid="{00000000-0005-0000-0000-0000CFA70000}"/>
    <cellStyle name="RIGs linked cells 3 2 2 5 9" xfId="42743" xr:uid="{00000000-0005-0000-0000-0000D0A70000}"/>
    <cellStyle name="RIGs linked cells 3 2 2 6" xfId="42744" xr:uid="{00000000-0005-0000-0000-0000D1A70000}"/>
    <cellStyle name="RIGs linked cells 3 2 2 6 2" xfId="42745" xr:uid="{00000000-0005-0000-0000-0000D2A70000}"/>
    <cellStyle name="RIGs linked cells 3 2 2 6 2 2" xfId="42746" xr:uid="{00000000-0005-0000-0000-0000D3A70000}"/>
    <cellStyle name="RIGs linked cells 3 2 2 6 2 3" xfId="42747" xr:uid="{00000000-0005-0000-0000-0000D4A70000}"/>
    <cellStyle name="RIGs linked cells 3 2 2 6 3" xfId="42748" xr:uid="{00000000-0005-0000-0000-0000D5A70000}"/>
    <cellStyle name="RIGs linked cells 3 2 2 6 3 2" xfId="42749" xr:uid="{00000000-0005-0000-0000-0000D6A70000}"/>
    <cellStyle name="RIGs linked cells 3 2 2 6 4" xfId="42750" xr:uid="{00000000-0005-0000-0000-0000D7A70000}"/>
    <cellStyle name="RIGs linked cells 3 2 2 7" xfId="42751" xr:uid="{00000000-0005-0000-0000-0000D8A70000}"/>
    <cellStyle name="RIGs linked cells 3 2 2 7 2" xfId="42752" xr:uid="{00000000-0005-0000-0000-0000D9A70000}"/>
    <cellStyle name="RIGs linked cells 3 2 2 8" xfId="42753" xr:uid="{00000000-0005-0000-0000-0000DAA70000}"/>
    <cellStyle name="RIGs linked cells 3 2 2 8 2" xfId="42754" xr:uid="{00000000-0005-0000-0000-0000DBA70000}"/>
    <cellStyle name="RIGs linked cells 3 2 2 9" xfId="42755" xr:uid="{00000000-0005-0000-0000-0000DCA70000}"/>
    <cellStyle name="RIGs linked cells 3 2 2 9 2" xfId="42756" xr:uid="{00000000-0005-0000-0000-0000DDA70000}"/>
    <cellStyle name="RIGs linked cells 3 2 2_4 28 1_Asst_Health_Crit_AllTO_RIIO_20110714pm" xfId="42757" xr:uid="{00000000-0005-0000-0000-0000DEA70000}"/>
    <cellStyle name="RIGs linked cells 3 2 20" xfId="42758" xr:uid="{00000000-0005-0000-0000-0000DFA70000}"/>
    <cellStyle name="RIGs linked cells 3 2 20 2" xfId="42759" xr:uid="{00000000-0005-0000-0000-0000E0A70000}"/>
    <cellStyle name="RIGs linked cells 3 2 21" xfId="42760" xr:uid="{00000000-0005-0000-0000-0000E1A70000}"/>
    <cellStyle name="RIGs linked cells 3 2 21 2" xfId="42761" xr:uid="{00000000-0005-0000-0000-0000E2A70000}"/>
    <cellStyle name="RIGs linked cells 3 2 22" xfId="42762" xr:uid="{00000000-0005-0000-0000-0000E3A70000}"/>
    <cellStyle name="RIGs linked cells 3 2 22 2" xfId="42763" xr:uid="{00000000-0005-0000-0000-0000E4A70000}"/>
    <cellStyle name="RIGs linked cells 3 2 23" xfId="42764" xr:uid="{00000000-0005-0000-0000-0000E5A70000}"/>
    <cellStyle name="RIGs linked cells 3 2 23 2" xfId="42765" xr:uid="{00000000-0005-0000-0000-0000E6A70000}"/>
    <cellStyle name="RIGs linked cells 3 2 24" xfId="42766" xr:uid="{00000000-0005-0000-0000-0000E7A70000}"/>
    <cellStyle name="RIGs linked cells 3 2 24 2" xfId="42767" xr:uid="{00000000-0005-0000-0000-0000E8A70000}"/>
    <cellStyle name="RIGs linked cells 3 2 25" xfId="42768" xr:uid="{00000000-0005-0000-0000-0000E9A70000}"/>
    <cellStyle name="RIGs linked cells 3 2 25 2" xfId="42769" xr:uid="{00000000-0005-0000-0000-0000EAA70000}"/>
    <cellStyle name="RIGs linked cells 3 2 26" xfId="42770" xr:uid="{00000000-0005-0000-0000-0000EBA70000}"/>
    <cellStyle name="RIGs linked cells 3 2 26 2" xfId="42771" xr:uid="{00000000-0005-0000-0000-0000ECA70000}"/>
    <cellStyle name="RIGs linked cells 3 2 27" xfId="42772" xr:uid="{00000000-0005-0000-0000-0000EDA70000}"/>
    <cellStyle name="RIGs linked cells 3 2 28" xfId="42773" xr:uid="{00000000-0005-0000-0000-0000EEA70000}"/>
    <cellStyle name="RIGs linked cells 3 2 29" xfId="42774" xr:uid="{00000000-0005-0000-0000-0000EFA70000}"/>
    <cellStyle name="RIGs linked cells 3 2 3" xfId="42775" xr:uid="{00000000-0005-0000-0000-0000F0A70000}"/>
    <cellStyle name="RIGs linked cells 3 2 3 10" xfId="42776" xr:uid="{00000000-0005-0000-0000-0000F1A70000}"/>
    <cellStyle name="RIGs linked cells 3 2 3 11" xfId="42777" xr:uid="{00000000-0005-0000-0000-0000F2A70000}"/>
    <cellStyle name="RIGs linked cells 3 2 3 12" xfId="42778" xr:uid="{00000000-0005-0000-0000-0000F3A70000}"/>
    <cellStyle name="RIGs linked cells 3 2 3 13" xfId="42779" xr:uid="{00000000-0005-0000-0000-0000F4A70000}"/>
    <cellStyle name="RIGs linked cells 3 2 3 14" xfId="42780" xr:uid="{00000000-0005-0000-0000-0000F5A70000}"/>
    <cellStyle name="RIGs linked cells 3 2 3 15" xfId="42781" xr:uid="{00000000-0005-0000-0000-0000F6A70000}"/>
    <cellStyle name="RIGs linked cells 3 2 3 16" xfId="42782" xr:uid="{00000000-0005-0000-0000-0000F7A70000}"/>
    <cellStyle name="RIGs linked cells 3 2 3 17" xfId="42783" xr:uid="{00000000-0005-0000-0000-0000F8A70000}"/>
    <cellStyle name="RIGs linked cells 3 2 3 18" xfId="42784" xr:uid="{00000000-0005-0000-0000-0000F9A70000}"/>
    <cellStyle name="RIGs linked cells 3 2 3 19" xfId="42785" xr:uid="{00000000-0005-0000-0000-0000FAA70000}"/>
    <cellStyle name="RIGs linked cells 3 2 3 2" xfId="42786" xr:uid="{00000000-0005-0000-0000-0000FBA70000}"/>
    <cellStyle name="RIGs linked cells 3 2 3 2 10" xfId="42787" xr:uid="{00000000-0005-0000-0000-0000FCA70000}"/>
    <cellStyle name="RIGs linked cells 3 2 3 2 11" xfId="42788" xr:uid="{00000000-0005-0000-0000-0000FDA70000}"/>
    <cellStyle name="RIGs linked cells 3 2 3 2 12" xfId="42789" xr:uid="{00000000-0005-0000-0000-0000FEA70000}"/>
    <cellStyle name="RIGs linked cells 3 2 3 2 13" xfId="42790" xr:uid="{00000000-0005-0000-0000-0000FFA70000}"/>
    <cellStyle name="RIGs linked cells 3 2 3 2 14" xfId="42791" xr:uid="{00000000-0005-0000-0000-000000A80000}"/>
    <cellStyle name="RIGs linked cells 3 2 3 2 15" xfId="42792" xr:uid="{00000000-0005-0000-0000-000001A80000}"/>
    <cellStyle name="RIGs linked cells 3 2 3 2 16" xfId="42793" xr:uid="{00000000-0005-0000-0000-000002A80000}"/>
    <cellStyle name="RIGs linked cells 3 2 3 2 17" xfId="42794" xr:uid="{00000000-0005-0000-0000-000003A80000}"/>
    <cellStyle name="RIGs linked cells 3 2 3 2 18" xfId="42795" xr:uid="{00000000-0005-0000-0000-000004A80000}"/>
    <cellStyle name="RIGs linked cells 3 2 3 2 19" xfId="42796" xr:uid="{00000000-0005-0000-0000-000005A80000}"/>
    <cellStyle name="RIGs linked cells 3 2 3 2 2" xfId="42797" xr:uid="{00000000-0005-0000-0000-000006A80000}"/>
    <cellStyle name="RIGs linked cells 3 2 3 2 2 10" xfId="42798" xr:uid="{00000000-0005-0000-0000-000007A80000}"/>
    <cellStyle name="RIGs linked cells 3 2 3 2 2 11" xfId="42799" xr:uid="{00000000-0005-0000-0000-000008A80000}"/>
    <cellStyle name="RIGs linked cells 3 2 3 2 2 12" xfId="42800" xr:uid="{00000000-0005-0000-0000-000009A80000}"/>
    <cellStyle name="RIGs linked cells 3 2 3 2 2 13" xfId="42801" xr:uid="{00000000-0005-0000-0000-00000AA80000}"/>
    <cellStyle name="RIGs linked cells 3 2 3 2 2 2" xfId="42802" xr:uid="{00000000-0005-0000-0000-00000BA80000}"/>
    <cellStyle name="RIGs linked cells 3 2 3 2 2 2 2" xfId="42803" xr:uid="{00000000-0005-0000-0000-00000CA80000}"/>
    <cellStyle name="RIGs linked cells 3 2 3 2 2 2 3" xfId="42804" xr:uid="{00000000-0005-0000-0000-00000DA80000}"/>
    <cellStyle name="RIGs linked cells 3 2 3 2 2 3" xfId="42805" xr:uid="{00000000-0005-0000-0000-00000EA80000}"/>
    <cellStyle name="RIGs linked cells 3 2 3 2 2 3 2" xfId="42806" xr:uid="{00000000-0005-0000-0000-00000FA80000}"/>
    <cellStyle name="RIGs linked cells 3 2 3 2 2 3 3" xfId="42807" xr:uid="{00000000-0005-0000-0000-000010A80000}"/>
    <cellStyle name="RIGs linked cells 3 2 3 2 2 4" xfId="42808" xr:uid="{00000000-0005-0000-0000-000011A80000}"/>
    <cellStyle name="RIGs linked cells 3 2 3 2 2 5" xfId="42809" xr:uid="{00000000-0005-0000-0000-000012A80000}"/>
    <cellStyle name="RIGs linked cells 3 2 3 2 2 6" xfId="42810" xr:uid="{00000000-0005-0000-0000-000013A80000}"/>
    <cellStyle name="RIGs linked cells 3 2 3 2 2 7" xfId="42811" xr:uid="{00000000-0005-0000-0000-000014A80000}"/>
    <cellStyle name="RIGs linked cells 3 2 3 2 2 8" xfId="42812" xr:uid="{00000000-0005-0000-0000-000015A80000}"/>
    <cellStyle name="RIGs linked cells 3 2 3 2 2 9" xfId="42813" xr:uid="{00000000-0005-0000-0000-000016A80000}"/>
    <cellStyle name="RIGs linked cells 3 2 3 2 20" xfId="42814" xr:uid="{00000000-0005-0000-0000-000017A80000}"/>
    <cellStyle name="RIGs linked cells 3 2 3 2 21" xfId="42815" xr:uid="{00000000-0005-0000-0000-000018A80000}"/>
    <cellStyle name="RIGs linked cells 3 2 3 2 22" xfId="42816" xr:uid="{00000000-0005-0000-0000-000019A80000}"/>
    <cellStyle name="RIGs linked cells 3 2 3 2 23" xfId="42817" xr:uid="{00000000-0005-0000-0000-00001AA80000}"/>
    <cellStyle name="RIGs linked cells 3 2 3 2 24" xfId="42818" xr:uid="{00000000-0005-0000-0000-00001BA80000}"/>
    <cellStyle name="RIGs linked cells 3 2 3 2 25" xfId="42819" xr:uid="{00000000-0005-0000-0000-00001CA80000}"/>
    <cellStyle name="RIGs linked cells 3 2 3 2 26" xfId="42820" xr:uid="{00000000-0005-0000-0000-00001DA80000}"/>
    <cellStyle name="RIGs linked cells 3 2 3 2 27" xfId="42821" xr:uid="{00000000-0005-0000-0000-00001EA80000}"/>
    <cellStyle name="RIGs linked cells 3 2 3 2 28" xfId="42822" xr:uid="{00000000-0005-0000-0000-00001FA80000}"/>
    <cellStyle name="RIGs linked cells 3 2 3 2 29" xfId="42823" xr:uid="{00000000-0005-0000-0000-000020A80000}"/>
    <cellStyle name="RIGs linked cells 3 2 3 2 3" xfId="42824" xr:uid="{00000000-0005-0000-0000-000021A80000}"/>
    <cellStyle name="RIGs linked cells 3 2 3 2 3 2" xfId="42825" xr:uid="{00000000-0005-0000-0000-000022A80000}"/>
    <cellStyle name="RIGs linked cells 3 2 3 2 3 3" xfId="42826" xr:uid="{00000000-0005-0000-0000-000023A80000}"/>
    <cellStyle name="RIGs linked cells 3 2 3 2 30" xfId="42827" xr:uid="{00000000-0005-0000-0000-000024A80000}"/>
    <cellStyle name="RIGs linked cells 3 2 3 2 31" xfId="42828" xr:uid="{00000000-0005-0000-0000-000025A80000}"/>
    <cellStyle name="RIGs linked cells 3 2 3 2 32" xfId="42829" xr:uid="{00000000-0005-0000-0000-000026A80000}"/>
    <cellStyle name="RIGs linked cells 3 2 3 2 33" xfId="42830" xr:uid="{00000000-0005-0000-0000-000027A80000}"/>
    <cellStyle name="RIGs linked cells 3 2 3 2 34" xfId="42831" xr:uid="{00000000-0005-0000-0000-000028A80000}"/>
    <cellStyle name="RIGs linked cells 3 2 3 2 4" xfId="42832" xr:uid="{00000000-0005-0000-0000-000029A80000}"/>
    <cellStyle name="RIGs linked cells 3 2 3 2 4 2" xfId="42833" xr:uid="{00000000-0005-0000-0000-00002AA80000}"/>
    <cellStyle name="RIGs linked cells 3 2 3 2 4 3" xfId="42834" xr:uid="{00000000-0005-0000-0000-00002BA80000}"/>
    <cellStyle name="RIGs linked cells 3 2 3 2 5" xfId="42835" xr:uid="{00000000-0005-0000-0000-00002CA80000}"/>
    <cellStyle name="RIGs linked cells 3 2 3 2 6" xfId="42836" xr:uid="{00000000-0005-0000-0000-00002DA80000}"/>
    <cellStyle name="RIGs linked cells 3 2 3 2 7" xfId="42837" xr:uid="{00000000-0005-0000-0000-00002EA80000}"/>
    <cellStyle name="RIGs linked cells 3 2 3 2 8" xfId="42838" xr:uid="{00000000-0005-0000-0000-00002FA80000}"/>
    <cellStyle name="RIGs linked cells 3 2 3 2 9" xfId="42839" xr:uid="{00000000-0005-0000-0000-000030A80000}"/>
    <cellStyle name="RIGs linked cells 3 2 3 20" xfId="42840" xr:uid="{00000000-0005-0000-0000-000031A80000}"/>
    <cellStyle name="RIGs linked cells 3 2 3 21" xfId="42841" xr:uid="{00000000-0005-0000-0000-000032A80000}"/>
    <cellStyle name="RIGs linked cells 3 2 3 22" xfId="42842" xr:uid="{00000000-0005-0000-0000-000033A80000}"/>
    <cellStyle name="RIGs linked cells 3 2 3 23" xfId="42843" xr:uid="{00000000-0005-0000-0000-000034A80000}"/>
    <cellStyle name="RIGs linked cells 3 2 3 24" xfId="42844" xr:uid="{00000000-0005-0000-0000-000035A80000}"/>
    <cellStyle name="RIGs linked cells 3 2 3 25" xfId="42845" xr:uid="{00000000-0005-0000-0000-000036A80000}"/>
    <cellStyle name="RIGs linked cells 3 2 3 26" xfId="42846" xr:uid="{00000000-0005-0000-0000-000037A80000}"/>
    <cellStyle name="RIGs linked cells 3 2 3 27" xfId="42847" xr:uid="{00000000-0005-0000-0000-000038A80000}"/>
    <cellStyle name="RIGs linked cells 3 2 3 28" xfId="42848" xr:uid="{00000000-0005-0000-0000-000039A80000}"/>
    <cellStyle name="RIGs linked cells 3 2 3 29" xfId="42849" xr:uid="{00000000-0005-0000-0000-00003AA80000}"/>
    <cellStyle name="RIGs linked cells 3 2 3 3" xfId="42850" xr:uid="{00000000-0005-0000-0000-00003BA80000}"/>
    <cellStyle name="RIGs linked cells 3 2 3 3 10" xfId="42851" xr:uid="{00000000-0005-0000-0000-00003CA80000}"/>
    <cellStyle name="RIGs linked cells 3 2 3 3 11" xfId="42852" xr:uid="{00000000-0005-0000-0000-00003DA80000}"/>
    <cellStyle name="RIGs linked cells 3 2 3 3 12" xfId="42853" xr:uid="{00000000-0005-0000-0000-00003EA80000}"/>
    <cellStyle name="RIGs linked cells 3 2 3 3 13" xfId="42854" xr:uid="{00000000-0005-0000-0000-00003FA80000}"/>
    <cellStyle name="RIGs linked cells 3 2 3 3 2" xfId="42855" xr:uid="{00000000-0005-0000-0000-000040A80000}"/>
    <cellStyle name="RIGs linked cells 3 2 3 3 2 2" xfId="42856" xr:uid="{00000000-0005-0000-0000-000041A80000}"/>
    <cellStyle name="RIGs linked cells 3 2 3 3 2 3" xfId="42857" xr:uid="{00000000-0005-0000-0000-000042A80000}"/>
    <cellStyle name="RIGs linked cells 3 2 3 3 3" xfId="42858" xr:uid="{00000000-0005-0000-0000-000043A80000}"/>
    <cellStyle name="RIGs linked cells 3 2 3 3 3 2" xfId="42859" xr:uid="{00000000-0005-0000-0000-000044A80000}"/>
    <cellStyle name="RIGs linked cells 3 2 3 3 3 3" xfId="42860" xr:uid="{00000000-0005-0000-0000-000045A80000}"/>
    <cellStyle name="RIGs linked cells 3 2 3 3 4" xfId="42861" xr:uid="{00000000-0005-0000-0000-000046A80000}"/>
    <cellStyle name="RIGs linked cells 3 2 3 3 5" xfId="42862" xr:uid="{00000000-0005-0000-0000-000047A80000}"/>
    <cellStyle name="RIGs linked cells 3 2 3 3 6" xfId="42863" xr:uid="{00000000-0005-0000-0000-000048A80000}"/>
    <cellStyle name="RIGs linked cells 3 2 3 3 7" xfId="42864" xr:uid="{00000000-0005-0000-0000-000049A80000}"/>
    <cellStyle name="RIGs linked cells 3 2 3 3 8" xfId="42865" xr:uid="{00000000-0005-0000-0000-00004AA80000}"/>
    <cellStyle name="RIGs linked cells 3 2 3 3 9" xfId="42866" xr:uid="{00000000-0005-0000-0000-00004BA80000}"/>
    <cellStyle name="RIGs linked cells 3 2 3 30" xfId="42867" xr:uid="{00000000-0005-0000-0000-00004CA80000}"/>
    <cellStyle name="RIGs linked cells 3 2 3 31" xfId="42868" xr:uid="{00000000-0005-0000-0000-00004DA80000}"/>
    <cellStyle name="RIGs linked cells 3 2 3 32" xfId="42869" xr:uid="{00000000-0005-0000-0000-00004EA80000}"/>
    <cellStyle name="RIGs linked cells 3 2 3 33" xfId="42870" xr:uid="{00000000-0005-0000-0000-00004FA80000}"/>
    <cellStyle name="RIGs linked cells 3 2 3 34" xfId="42871" xr:uid="{00000000-0005-0000-0000-000050A80000}"/>
    <cellStyle name="RIGs linked cells 3 2 3 35" xfId="42872" xr:uid="{00000000-0005-0000-0000-000051A80000}"/>
    <cellStyle name="RIGs linked cells 3 2 3 4" xfId="42873" xr:uid="{00000000-0005-0000-0000-000052A80000}"/>
    <cellStyle name="RIGs linked cells 3 2 3 4 2" xfId="42874" xr:uid="{00000000-0005-0000-0000-000053A80000}"/>
    <cellStyle name="RIGs linked cells 3 2 3 4 3" xfId="42875" xr:uid="{00000000-0005-0000-0000-000054A80000}"/>
    <cellStyle name="RIGs linked cells 3 2 3 5" xfId="42876" xr:uid="{00000000-0005-0000-0000-000055A80000}"/>
    <cellStyle name="RIGs linked cells 3 2 3 5 2" xfId="42877" xr:uid="{00000000-0005-0000-0000-000056A80000}"/>
    <cellStyle name="RIGs linked cells 3 2 3 5 3" xfId="42878" xr:uid="{00000000-0005-0000-0000-000057A80000}"/>
    <cellStyle name="RIGs linked cells 3 2 3 6" xfId="42879" xr:uid="{00000000-0005-0000-0000-000058A80000}"/>
    <cellStyle name="RIGs linked cells 3 2 3 7" xfId="42880" xr:uid="{00000000-0005-0000-0000-000059A80000}"/>
    <cellStyle name="RIGs linked cells 3 2 3 8" xfId="42881" xr:uid="{00000000-0005-0000-0000-00005AA80000}"/>
    <cellStyle name="RIGs linked cells 3 2 3 9" xfId="42882" xr:uid="{00000000-0005-0000-0000-00005BA80000}"/>
    <cellStyle name="RIGs linked cells 3 2 3_4 28 1_Asst_Health_Crit_AllTO_RIIO_20110714pm" xfId="42883" xr:uid="{00000000-0005-0000-0000-00005CA80000}"/>
    <cellStyle name="RIGs linked cells 3 2 30" xfId="42884" xr:uid="{00000000-0005-0000-0000-00005DA80000}"/>
    <cellStyle name="RIGs linked cells 3 2 31" xfId="42885" xr:uid="{00000000-0005-0000-0000-00005EA80000}"/>
    <cellStyle name="RIGs linked cells 3 2 32" xfId="42886" xr:uid="{00000000-0005-0000-0000-00005FA80000}"/>
    <cellStyle name="RIGs linked cells 3 2 33" xfId="42887" xr:uid="{00000000-0005-0000-0000-000060A80000}"/>
    <cellStyle name="RIGs linked cells 3 2 34" xfId="42888" xr:uid="{00000000-0005-0000-0000-000061A80000}"/>
    <cellStyle name="RIGs linked cells 3 2 35" xfId="42889" xr:uid="{00000000-0005-0000-0000-000062A80000}"/>
    <cellStyle name="RIGs linked cells 3 2 36" xfId="42890" xr:uid="{00000000-0005-0000-0000-000063A80000}"/>
    <cellStyle name="RIGs linked cells 3 2 37" xfId="42891" xr:uid="{00000000-0005-0000-0000-000064A80000}"/>
    <cellStyle name="RIGs linked cells 3 2 38" xfId="42892" xr:uid="{00000000-0005-0000-0000-000065A80000}"/>
    <cellStyle name="RIGs linked cells 3 2 39" xfId="42893" xr:uid="{00000000-0005-0000-0000-000066A80000}"/>
    <cellStyle name="RIGs linked cells 3 2 4" xfId="42894" xr:uid="{00000000-0005-0000-0000-000067A80000}"/>
    <cellStyle name="RIGs linked cells 3 2 4 10" xfId="42895" xr:uid="{00000000-0005-0000-0000-000068A80000}"/>
    <cellStyle name="RIGs linked cells 3 2 4 11" xfId="42896" xr:uid="{00000000-0005-0000-0000-000069A80000}"/>
    <cellStyle name="RIGs linked cells 3 2 4 12" xfId="42897" xr:uid="{00000000-0005-0000-0000-00006AA80000}"/>
    <cellStyle name="RIGs linked cells 3 2 4 13" xfId="42898" xr:uid="{00000000-0005-0000-0000-00006BA80000}"/>
    <cellStyle name="RIGs linked cells 3 2 4 14" xfId="42899" xr:uid="{00000000-0005-0000-0000-00006CA80000}"/>
    <cellStyle name="RIGs linked cells 3 2 4 15" xfId="42900" xr:uid="{00000000-0005-0000-0000-00006DA80000}"/>
    <cellStyle name="RIGs linked cells 3 2 4 16" xfId="42901" xr:uid="{00000000-0005-0000-0000-00006EA80000}"/>
    <cellStyle name="RIGs linked cells 3 2 4 17" xfId="42902" xr:uid="{00000000-0005-0000-0000-00006FA80000}"/>
    <cellStyle name="RIGs linked cells 3 2 4 18" xfId="42903" xr:uid="{00000000-0005-0000-0000-000070A80000}"/>
    <cellStyle name="RIGs linked cells 3 2 4 19" xfId="42904" xr:uid="{00000000-0005-0000-0000-000071A80000}"/>
    <cellStyle name="RIGs linked cells 3 2 4 2" xfId="42905" xr:uid="{00000000-0005-0000-0000-000072A80000}"/>
    <cellStyle name="RIGs linked cells 3 2 4 2 10" xfId="42906" xr:uid="{00000000-0005-0000-0000-000073A80000}"/>
    <cellStyle name="RIGs linked cells 3 2 4 2 11" xfId="42907" xr:uid="{00000000-0005-0000-0000-000074A80000}"/>
    <cellStyle name="RIGs linked cells 3 2 4 2 12" xfId="42908" xr:uid="{00000000-0005-0000-0000-000075A80000}"/>
    <cellStyle name="RIGs linked cells 3 2 4 2 13" xfId="42909" xr:uid="{00000000-0005-0000-0000-000076A80000}"/>
    <cellStyle name="RIGs linked cells 3 2 4 2 2" xfId="42910" xr:uid="{00000000-0005-0000-0000-000077A80000}"/>
    <cellStyle name="RIGs linked cells 3 2 4 2 2 2" xfId="42911" xr:uid="{00000000-0005-0000-0000-000078A80000}"/>
    <cellStyle name="RIGs linked cells 3 2 4 2 2 3" xfId="42912" xr:uid="{00000000-0005-0000-0000-000079A80000}"/>
    <cellStyle name="RIGs linked cells 3 2 4 2 3" xfId="42913" xr:uid="{00000000-0005-0000-0000-00007AA80000}"/>
    <cellStyle name="RIGs linked cells 3 2 4 2 3 2" xfId="42914" xr:uid="{00000000-0005-0000-0000-00007BA80000}"/>
    <cellStyle name="RIGs linked cells 3 2 4 2 3 3" xfId="42915" xr:uid="{00000000-0005-0000-0000-00007CA80000}"/>
    <cellStyle name="RIGs linked cells 3 2 4 2 4" xfId="42916" xr:uid="{00000000-0005-0000-0000-00007DA80000}"/>
    <cellStyle name="RIGs linked cells 3 2 4 2 5" xfId="42917" xr:uid="{00000000-0005-0000-0000-00007EA80000}"/>
    <cellStyle name="RIGs linked cells 3 2 4 2 6" xfId="42918" xr:uid="{00000000-0005-0000-0000-00007FA80000}"/>
    <cellStyle name="RIGs linked cells 3 2 4 2 7" xfId="42919" xr:uid="{00000000-0005-0000-0000-000080A80000}"/>
    <cellStyle name="RIGs linked cells 3 2 4 2 8" xfId="42920" xr:uid="{00000000-0005-0000-0000-000081A80000}"/>
    <cellStyle name="RIGs linked cells 3 2 4 2 9" xfId="42921" xr:uid="{00000000-0005-0000-0000-000082A80000}"/>
    <cellStyle name="RIGs linked cells 3 2 4 20" xfId="42922" xr:uid="{00000000-0005-0000-0000-000083A80000}"/>
    <cellStyle name="RIGs linked cells 3 2 4 21" xfId="42923" xr:uid="{00000000-0005-0000-0000-000084A80000}"/>
    <cellStyle name="RIGs linked cells 3 2 4 22" xfId="42924" xr:uid="{00000000-0005-0000-0000-000085A80000}"/>
    <cellStyle name="RIGs linked cells 3 2 4 23" xfId="42925" xr:uid="{00000000-0005-0000-0000-000086A80000}"/>
    <cellStyle name="RIGs linked cells 3 2 4 24" xfId="42926" xr:uid="{00000000-0005-0000-0000-000087A80000}"/>
    <cellStyle name="RIGs linked cells 3 2 4 25" xfId="42927" xr:uid="{00000000-0005-0000-0000-000088A80000}"/>
    <cellStyle name="RIGs linked cells 3 2 4 26" xfId="42928" xr:uid="{00000000-0005-0000-0000-000089A80000}"/>
    <cellStyle name="RIGs linked cells 3 2 4 27" xfId="42929" xr:uid="{00000000-0005-0000-0000-00008AA80000}"/>
    <cellStyle name="RIGs linked cells 3 2 4 28" xfId="42930" xr:uid="{00000000-0005-0000-0000-00008BA80000}"/>
    <cellStyle name="RIGs linked cells 3 2 4 29" xfId="42931" xr:uid="{00000000-0005-0000-0000-00008CA80000}"/>
    <cellStyle name="RIGs linked cells 3 2 4 3" xfId="42932" xr:uid="{00000000-0005-0000-0000-00008DA80000}"/>
    <cellStyle name="RIGs linked cells 3 2 4 3 2" xfId="42933" xr:uid="{00000000-0005-0000-0000-00008EA80000}"/>
    <cellStyle name="RIGs linked cells 3 2 4 3 3" xfId="42934" xr:uid="{00000000-0005-0000-0000-00008FA80000}"/>
    <cellStyle name="RIGs linked cells 3 2 4 30" xfId="42935" xr:uid="{00000000-0005-0000-0000-000090A80000}"/>
    <cellStyle name="RIGs linked cells 3 2 4 31" xfId="42936" xr:uid="{00000000-0005-0000-0000-000091A80000}"/>
    <cellStyle name="RIGs linked cells 3 2 4 32" xfId="42937" xr:uid="{00000000-0005-0000-0000-000092A80000}"/>
    <cellStyle name="RIGs linked cells 3 2 4 33" xfId="42938" xr:uid="{00000000-0005-0000-0000-000093A80000}"/>
    <cellStyle name="RIGs linked cells 3 2 4 34" xfId="42939" xr:uid="{00000000-0005-0000-0000-000094A80000}"/>
    <cellStyle name="RIGs linked cells 3 2 4 4" xfId="42940" xr:uid="{00000000-0005-0000-0000-000095A80000}"/>
    <cellStyle name="RIGs linked cells 3 2 4 4 2" xfId="42941" xr:uid="{00000000-0005-0000-0000-000096A80000}"/>
    <cellStyle name="RIGs linked cells 3 2 4 4 3" xfId="42942" xr:uid="{00000000-0005-0000-0000-000097A80000}"/>
    <cellStyle name="RIGs linked cells 3 2 4 5" xfId="42943" xr:uid="{00000000-0005-0000-0000-000098A80000}"/>
    <cellStyle name="RIGs linked cells 3 2 4 6" xfId="42944" xr:uid="{00000000-0005-0000-0000-000099A80000}"/>
    <cellStyle name="RIGs linked cells 3 2 4 7" xfId="42945" xr:uid="{00000000-0005-0000-0000-00009AA80000}"/>
    <cellStyle name="RIGs linked cells 3 2 4 8" xfId="42946" xr:uid="{00000000-0005-0000-0000-00009BA80000}"/>
    <cellStyle name="RIGs linked cells 3 2 4 9" xfId="42947" xr:uid="{00000000-0005-0000-0000-00009CA80000}"/>
    <cellStyle name="RIGs linked cells 3 2 5" xfId="42948" xr:uid="{00000000-0005-0000-0000-00009DA80000}"/>
    <cellStyle name="RIGs linked cells 3 2 5 10" xfId="42949" xr:uid="{00000000-0005-0000-0000-00009EA80000}"/>
    <cellStyle name="RIGs linked cells 3 2 5 11" xfId="42950" xr:uid="{00000000-0005-0000-0000-00009FA80000}"/>
    <cellStyle name="RIGs linked cells 3 2 5 12" xfId="42951" xr:uid="{00000000-0005-0000-0000-0000A0A80000}"/>
    <cellStyle name="RIGs linked cells 3 2 5 13" xfId="42952" xr:uid="{00000000-0005-0000-0000-0000A1A80000}"/>
    <cellStyle name="RIGs linked cells 3 2 5 14" xfId="42953" xr:uid="{00000000-0005-0000-0000-0000A2A80000}"/>
    <cellStyle name="RIGs linked cells 3 2 5 15" xfId="42954" xr:uid="{00000000-0005-0000-0000-0000A3A80000}"/>
    <cellStyle name="RIGs linked cells 3 2 5 16" xfId="42955" xr:uid="{00000000-0005-0000-0000-0000A4A80000}"/>
    <cellStyle name="RIGs linked cells 3 2 5 17" xfId="42956" xr:uid="{00000000-0005-0000-0000-0000A5A80000}"/>
    <cellStyle name="RIGs linked cells 3 2 5 18" xfId="42957" xr:uid="{00000000-0005-0000-0000-0000A6A80000}"/>
    <cellStyle name="RIGs linked cells 3 2 5 19" xfId="42958" xr:uid="{00000000-0005-0000-0000-0000A7A80000}"/>
    <cellStyle name="RIGs linked cells 3 2 5 2" xfId="42959" xr:uid="{00000000-0005-0000-0000-0000A8A80000}"/>
    <cellStyle name="RIGs linked cells 3 2 5 2 10" xfId="42960" xr:uid="{00000000-0005-0000-0000-0000A9A80000}"/>
    <cellStyle name="RIGs linked cells 3 2 5 2 11" xfId="42961" xr:uid="{00000000-0005-0000-0000-0000AAA80000}"/>
    <cellStyle name="RIGs linked cells 3 2 5 2 12" xfId="42962" xr:uid="{00000000-0005-0000-0000-0000ABA80000}"/>
    <cellStyle name="RIGs linked cells 3 2 5 2 13" xfId="42963" xr:uid="{00000000-0005-0000-0000-0000ACA80000}"/>
    <cellStyle name="RIGs linked cells 3 2 5 2 2" xfId="42964" xr:uid="{00000000-0005-0000-0000-0000ADA80000}"/>
    <cellStyle name="RIGs linked cells 3 2 5 2 2 2" xfId="42965" xr:uid="{00000000-0005-0000-0000-0000AEA80000}"/>
    <cellStyle name="RIGs linked cells 3 2 5 2 2 3" xfId="42966" xr:uid="{00000000-0005-0000-0000-0000AFA80000}"/>
    <cellStyle name="RIGs linked cells 3 2 5 2 3" xfId="42967" xr:uid="{00000000-0005-0000-0000-0000B0A80000}"/>
    <cellStyle name="RIGs linked cells 3 2 5 2 3 2" xfId="42968" xr:uid="{00000000-0005-0000-0000-0000B1A80000}"/>
    <cellStyle name="RIGs linked cells 3 2 5 2 3 3" xfId="42969" xr:uid="{00000000-0005-0000-0000-0000B2A80000}"/>
    <cellStyle name="RIGs linked cells 3 2 5 2 4" xfId="42970" xr:uid="{00000000-0005-0000-0000-0000B3A80000}"/>
    <cellStyle name="RIGs linked cells 3 2 5 2 5" xfId="42971" xr:uid="{00000000-0005-0000-0000-0000B4A80000}"/>
    <cellStyle name="RIGs linked cells 3 2 5 2 6" xfId="42972" xr:uid="{00000000-0005-0000-0000-0000B5A80000}"/>
    <cellStyle name="RIGs linked cells 3 2 5 2 7" xfId="42973" xr:uid="{00000000-0005-0000-0000-0000B6A80000}"/>
    <cellStyle name="RIGs linked cells 3 2 5 2 8" xfId="42974" xr:uid="{00000000-0005-0000-0000-0000B7A80000}"/>
    <cellStyle name="RIGs linked cells 3 2 5 2 9" xfId="42975" xr:uid="{00000000-0005-0000-0000-0000B8A80000}"/>
    <cellStyle name="RIGs linked cells 3 2 5 20" xfId="42976" xr:uid="{00000000-0005-0000-0000-0000B9A80000}"/>
    <cellStyle name="RIGs linked cells 3 2 5 21" xfId="42977" xr:uid="{00000000-0005-0000-0000-0000BAA80000}"/>
    <cellStyle name="RIGs linked cells 3 2 5 22" xfId="42978" xr:uid="{00000000-0005-0000-0000-0000BBA80000}"/>
    <cellStyle name="RIGs linked cells 3 2 5 23" xfId="42979" xr:uid="{00000000-0005-0000-0000-0000BCA80000}"/>
    <cellStyle name="RIGs linked cells 3 2 5 24" xfId="42980" xr:uid="{00000000-0005-0000-0000-0000BDA80000}"/>
    <cellStyle name="RIGs linked cells 3 2 5 25" xfId="42981" xr:uid="{00000000-0005-0000-0000-0000BEA80000}"/>
    <cellStyle name="RIGs linked cells 3 2 5 26" xfId="42982" xr:uid="{00000000-0005-0000-0000-0000BFA80000}"/>
    <cellStyle name="RIGs linked cells 3 2 5 27" xfId="42983" xr:uid="{00000000-0005-0000-0000-0000C0A80000}"/>
    <cellStyle name="RIGs linked cells 3 2 5 28" xfId="42984" xr:uid="{00000000-0005-0000-0000-0000C1A80000}"/>
    <cellStyle name="RIGs linked cells 3 2 5 29" xfId="42985" xr:uid="{00000000-0005-0000-0000-0000C2A80000}"/>
    <cellStyle name="RIGs linked cells 3 2 5 3" xfId="42986" xr:uid="{00000000-0005-0000-0000-0000C3A80000}"/>
    <cellStyle name="RIGs linked cells 3 2 5 3 2" xfId="42987" xr:uid="{00000000-0005-0000-0000-0000C4A80000}"/>
    <cellStyle name="RIGs linked cells 3 2 5 3 3" xfId="42988" xr:uid="{00000000-0005-0000-0000-0000C5A80000}"/>
    <cellStyle name="RIGs linked cells 3 2 5 30" xfId="42989" xr:uid="{00000000-0005-0000-0000-0000C6A80000}"/>
    <cellStyle name="RIGs linked cells 3 2 5 31" xfId="42990" xr:uid="{00000000-0005-0000-0000-0000C7A80000}"/>
    <cellStyle name="RIGs linked cells 3 2 5 32" xfId="42991" xr:uid="{00000000-0005-0000-0000-0000C8A80000}"/>
    <cellStyle name="RIGs linked cells 3 2 5 33" xfId="42992" xr:uid="{00000000-0005-0000-0000-0000C9A80000}"/>
    <cellStyle name="RIGs linked cells 3 2 5 34" xfId="42993" xr:uid="{00000000-0005-0000-0000-0000CAA80000}"/>
    <cellStyle name="RIGs linked cells 3 2 5 4" xfId="42994" xr:uid="{00000000-0005-0000-0000-0000CBA80000}"/>
    <cellStyle name="RIGs linked cells 3 2 5 4 2" xfId="42995" xr:uid="{00000000-0005-0000-0000-0000CCA80000}"/>
    <cellStyle name="RIGs linked cells 3 2 5 4 3" xfId="42996" xr:uid="{00000000-0005-0000-0000-0000CDA80000}"/>
    <cellStyle name="RIGs linked cells 3 2 5 5" xfId="42997" xr:uid="{00000000-0005-0000-0000-0000CEA80000}"/>
    <cellStyle name="RIGs linked cells 3 2 5 6" xfId="42998" xr:uid="{00000000-0005-0000-0000-0000CFA80000}"/>
    <cellStyle name="RIGs linked cells 3 2 5 7" xfId="42999" xr:uid="{00000000-0005-0000-0000-0000D0A80000}"/>
    <cellStyle name="RIGs linked cells 3 2 5 8" xfId="43000" xr:uid="{00000000-0005-0000-0000-0000D1A80000}"/>
    <cellStyle name="RIGs linked cells 3 2 5 9" xfId="43001" xr:uid="{00000000-0005-0000-0000-0000D2A80000}"/>
    <cellStyle name="RIGs linked cells 3 2 6" xfId="43002" xr:uid="{00000000-0005-0000-0000-0000D3A80000}"/>
    <cellStyle name="RIGs linked cells 3 2 6 10" xfId="43003" xr:uid="{00000000-0005-0000-0000-0000D4A80000}"/>
    <cellStyle name="RIGs linked cells 3 2 6 11" xfId="43004" xr:uid="{00000000-0005-0000-0000-0000D5A80000}"/>
    <cellStyle name="RIGs linked cells 3 2 6 12" xfId="43005" xr:uid="{00000000-0005-0000-0000-0000D6A80000}"/>
    <cellStyle name="RIGs linked cells 3 2 6 13" xfId="43006" xr:uid="{00000000-0005-0000-0000-0000D7A80000}"/>
    <cellStyle name="RIGs linked cells 3 2 6 2" xfId="43007" xr:uid="{00000000-0005-0000-0000-0000D8A80000}"/>
    <cellStyle name="RIGs linked cells 3 2 6 2 2" xfId="43008" xr:uid="{00000000-0005-0000-0000-0000D9A80000}"/>
    <cellStyle name="RIGs linked cells 3 2 6 2 3" xfId="43009" xr:uid="{00000000-0005-0000-0000-0000DAA80000}"/>
    <cellStyle name="RIGs linked cells 3 2 6 3" xfId="43010" xr:uid="{00000000-0005-0000-0000-0000DBA80000}"/>
    <cellStyle name="RIGs linked cells 3 2 6 3 2" xfId="43011" xr:uid="{00000000-0005-0000-0000-0000DCA80000}"/>
    <cellStyle name="RIGs linked cells 3 2 6 3 3" xfId="43012" xr:uid="{00000000-0005-0000-0000-0000DDA80000}"/>
    <cellStyle name="RIGs linked cells 3 2 6 4" xfId="43013" xr:uid="{00000000-0005-0000-0000-0000DEA80000}"/>
    <cellStyle name="RIGs linked cells 3 2 6 5" xfId="43014" xr:uid="{00000000-0005-0000-0000-0000DFA80000}"/>
    <cellStyle name="RIGs linked cells 3 2 6 6" xfId="43015" xr:uid="{00000000-0005-0000-0000-0000E0A80000}"/>
    <cellStyle name="RIGs linked cells 3 2 6 7" xfId="43016" xr:uid="{00000000-0005-0000-0000-0000E1A80000}"/>
    <cellStyle name="RIGs linked cells 3 2 6 8" xfId="43017" xr:uid="{00000000-0005-0000-0000-0000E2A80000}"/>
    <cellStyle name="RIGs linked cells 3 2 6 9" xfId="43018" xr:uid="{00000000-0005-0000-0000-0000E3A80000}"/>
    <cellStyle name="RIGs linked cells 3 2 7" xfId="43019" xr:uid="{00000000-0005-0000-0000-0000E4A80000}"/>
    <cellStyle name="RIGs linked cells 3 2 7 2" xfId="43020" xr:uid="{00000000-0005-0000-0000-0000E5A80000}"/>
    <cellStyle name="RIGs linked cells 3 2 7 2 2" xfId="43021" xr:uid="{00000000-0005-0000-0000-0000E6A80000}"/>
    <cellStyle name="RIGs linked cells 3 2 7 2 3" xfId="43022" xr:uid="{00000000-0005-0000-0000-0000E7A80000}"/>
    <cellStyle name="RIGs linked cells 3 2 7 3" xfId="43023" xr:uid="{00000000-0005-0000-0000-0000E8A80000}"/>
    <cellStyle name="RIGs linked cells 3 2 7 3 2" xfId="43024" xr:uid="{00000000-0005-0000-0000-0000E9A80000}"/>
    <cellStyle name="RIGs linked cells 3 2 7 4" xfId="43025" xr:uid="{00000000-0005-0000-0000-0000EAA80000}"/>
    <cellStyle name="RIGs linked cells 3 2 8" xfId="43026" xr:uid="{00000000-0005-0000-0000-0000EBA80000}"/>
    <cellStyle name="RIGs linked cells 3 2 8 2" xfId="43027" xr:uid="{00000000-0005-0000-0000-0000ECA80000}"/>
    <cellStyle name="RIGs linked cells 3 2 9" xfId="43028" xr:uid="{00000000-0005-0000-0000-0000EDA80000}"/>
    <cellStyle name="RIGs linked cells 3 2 9 2" xfId="43029" xr:uid="{00000000-0005-0000-0000-0000EEA80000}"/>
    <cellStyle name="RIGs linked cells 3 2_4 28 1_Asst_Health_Crit_AllTO_RIIO_20110714pm" xfId="43030" xr:uid="{00000000-0005-0000-0000-0000EFA80000}"/>
    <cellStyle name="RIGs linked cells 3 20" xfId="43031" xr:uid="{00000000-0005-0000-0000-0000F0A80000}"/>
    <cellStyle name="RIGs linked cells 3 20 2" xfId="43032" xr:uid="{00000000-0005-0000-0000-0000F1A80000}"/>
    <cellStyle name="RIGs linked cells 3 21" xfId="43033" xr:uid="{00000000-0005-0000-0000-0000F2A80000}"/>
    <cellStyle name="RIGs linked cells 3 21 2" xfId="43034" xr:uid="{00000000-0005-0000-0000-0000F3A80000}"/>
    <cellStyle name="RIGs linked cells 3 22" xfId="43035" xr:uid="{00000000-0005-0000-0000-0000F4A80000}"/>
    <cellStyle name="RIGs linked cells 3 22 2" xfId="43036" xr:uid="{00000000-0005-0000-0000-0000F5A80000}"/>
    <cellStyle name="RIGs linked cells 3 23" xfId="43037" xr:uid="{00000000-0005-0000-0000-0000F6A80000}"/>
    <cellStyle name="RIGs linked cells 3 23 2" xfId="43038" xr:uid="{00000000-0005-0000-0000-0000F7A80000}"/>
    <cellStyle name="RIGs linked cells 3 24" xfId="43039" xr:uid="{00000000-0005-0000-0000-0000F8A80000}"/>
    <cellStyle name="RIGs linked cells 3 24 2" xfId="43040" xr:uid="{00000000-0005-0000-0000-0000F9A80000}"/>
    <cellStyle name="RIGs linked cells 3 25" xfId="43041" xr:uid="{00000000-0005-0000-0000-0000FAA80000}"/>
    <cellStyle name="RIGs linked cells 3 25 2" xfId="43042" xr:uid="{00000000-0005-0000-0000-0000FBA80000}"/>
    <cellStyle name="RIGs linked cells 3 26" xfId="43043" xr:uid="{00000000-0005-0000-0000-0000FCA80000}"/>
    <cellStyle name="RIGs linked cells 3 26 2" xfId="43044" xr:uid="{00000000-0005-0000-0000-0000FDA80000}"/>
    <cellStyle name="RIGs linked cells 3 27" xfId="43045" xr:uid="{00000000-0005-0000-0000-0000FEA80000}"/>
    <cellStyle name="RIGs linked cells 3 27 2" xfId="43046" xr:uid="{00000000-0005-0000-0000-0000FFA80000}"/>
    <cellStyle name="RIGs linked cells 3 28" xfId="43047" xr:uid="{00000000-0005-0000-0000-000000A90000}"/>
    <cellStyle name="RIGs linked cells 3 29" xfId="43048" xr:uid="{00000000-0005-0000-0000-000001A90000}"/>
    <cellStyle name="RIGs linked cells 3 3" xfId="43049" xr:uid="{00000000-0005-0000-0000-000002A90000}"/>
    <cellStyle name="RIGs linked cells 3 3 10" xfId="43050" xr:uid="{00000000-0005-0000-0000-000003A90000}"/>
    <cellStyle name="RIGs linked cells 3 3 10 2" xfId="43051" xr:uid="{00000000-0005-0000-0000-000004A90000}"/>
    <cellStyle name="RIGs linked cells 3 3 11" xfId="43052" xr:uid="{00000000-0005-0000-0000-000005A90000}"/>
    <cellStyle name="RIGs linked cells 3 3 11 2" xfId="43053" xr:uid="{00000000-0005-0000-0000-000006A90000}"/>
    <cellStyle name="RIGs linked cells 3 3 12" xfId="43054" xr:uid="{00000000-0005-0000-0000-000007A90000}"/>
    <cellStyle name="RIGs linked cells 3 3 12 2" xfId="43055" xr:uid="{00000000-0005-0000-0000-000008A90000}"/>
    <cellStyle name="RIGs linked cells 3 3 13" xfId="43056" xr:uid="{00000000-0005-0000-0000-000009A90000}"/>
    <cellStyle name="RIGs linked cells 3 3 13 2" xfId="43057" xr:uid="{00000000-0005-0000-0000-00000AA90000}"/>
    <cellStyle name="RIGs linked cells 3 3 14" xfId="43058" xr:uid="{00000000-0005-0000-0000-00000BA90000}"/>
    <cellStyle name="RIGs linked cells 3 3 14 2" xfId="43059" xr:uid="{00000000-0005-0000-0000-00000CA90000}"/>
    <cellStyle name="RIGs linked cells 3 3 15" xfId="43060" xr:uid="{00000000-0005-0000-0000-00000DA90000}"/>
    <cellStyle name="RIGs linked cells 3 3 15 2" xfId="43061" xr:uid="{00000000-0005-0000-0000-00000EA90000}"/>
    <cellStyle name="RIGs linked cells 3 3 16" xfId="43062" xr:uid="{00000000-0005-0000-0000-00000FA90000}"/>
    <cellStyle name="RIGs linked cells 3 3 16 2" xfId="43063" xr:uid="{00000000-0005-0000-0000-000010A90000}"/>
    <cellStyle name="RIGs linked cells 3 3 17" xfId="43064" xr:uid="{00000000-0005-0000-0000-000011A90000}"/>
    <cellStyle name="RIGs linked cells 3 3 17 2" xfId="43065" xr:uid="{00000000-0005-0000-0000-000012A90000}"/>
    <cellStyle name="RIGs linked cells 3 3 18" xfId="43066" xr:uid="{00000000-0005-0000-0000-000013A90000}"/>
    <cellStyle name="RIGs linked cells 3 3 18 2" xfId="43067" xr:uid="{00000000-0005-0000-0000-000014A90000}"/>
    <cellStyle name="RIGs linked cells 3 3 19" xfId="43068" xr:uid="{00000000-0005-0000-0000-000015A90000}"/>
    <cellStyle name="RIGs linked cells 3 3 19 2" xfId="43069" xr:uid="{00000000-0005-0000-0000-000016A90000}"/>
    <cellStyle name="RIGs linked cells 3 3 2" xfId="43070" xr:uid="{00000000-0005-0000-0000-000017A90000}"/>
    <cellStyle name="RIGs linked cells 3 3 2 10" xfId="43071" xr:uid="{00000000-0005-0000-0000-000018A90000}"/>
    <cellStyle name="RIGs linked cells 3 3 2 10 2" xfId="43072" xr:uid="{00000000-0005-0000-0000-000019A90000}"/>
    <cellStyle name="RIGs linked cells 3 3 2 11" xfId="43073" xr:uid="{00000000-0005-0000-0000-00001AA90000}"/>
    <cellStyle name="RIGs linked cells 3 3 2 11 2" xfId="43074" xr:uid="{00000000-0005-0000-0000-00001BA90000}"/>
    <cellStyle name="RIGs linked cells 3 3 2 12" xfId="43075" xr:uid="{00000000-0005-0000-0000-00001CA90000}"/>
    <cellStyle name="RIGs linked cells 3 3 2 12 2" xfId="43076" xr:uid="{00000000-0005-0000-0000-00001DA90000}"/>
    <cellStyle name="RIGs linked cells 3 3 2 13" xfId="43077" xr:uid="{00000000-0005-0000-0000-00001EA90000}"/>
    <cellStyle name="RIGs linked cells 3 3 2 13 2" xfId="43078" xr:uid="{00000000-0005-0000-0000-00001FA90000}"/>
    <cellStyle name="RIGs linked cells 3 3 2 14" xfId="43079" xr:uid="{00000000-0005-0000-0000-000020A90000}"/>
    <cellStyle name="RIGs linked cells 3 3 2 14 2" xfId="43080" xr:uid="{00000000-0005-0000-0000-000021A90000}"/>
    <cellStyle name="RIGs linked cells 3 3 2 15" xfId="43081" xr:uid="{00000000-0005-0000-0000-000022A90000}"/>
    <cellStyle name="RIGs linked cells 3 3 2 15 2" xfId="43082" xr:uid="{00000000-0005-0000-0000-000023A90000}"/>
    <cellStyle name="RIGs linked cells 3 3 2 16" xfId="43083" xr:uid="{00000000-0005-0000-0000-000024A90000}"/>
    <cellStyle name="RIGs linked cells 3 3 2 16 2" xfId="43084" xr:uid="{00000000-0005-0000-0000-000025A90000}"/>
    <cellStyle name="RIGs linked cells 3 3 2 17" xfId="43085" xr:uid="{00000000-0005-0000-0000-000026A90000}"/>
    <cellStyle name="RIGs linked cells 3 3 2 17 2" xfId="43086" xr:uid="{00000000-0005-0000-0000-000027A90000}"/>
    <cellStyle name="RIGs linked cells 3 3 2 18" xfId="43087" xr:uid="{00000000-0005-0000-0000-000028A90000}"/>
    <cellStyle name="RIGs linked cells 3 3 2 18 2" xfId="43088" xr:uid="{00000000-0005-0000-0000-000029A90000}"/>
    <cellStyle name="RIGs linked cells 3 3 2 19" xfId="43089" xr:uid="{00000000-0005-0000-0000-00002AA90000}"/>
    <cellStyle name="RIGs linked cells 3 3 2 19 2" xfId="43090" xr:uid="{00000000-0005-0000-0000-00002BA90000}"/>
    <cellStyle name="RIGs linked cells 3 3 2 2" xfId="43091" xr:uid="{00000000-0005-0000-0000-00002CA90000}"/>
    <cellStyle name="RIGs linked cells 3 3 2 2 10" xfId="43092" xr:uid="{00000000-0005-0000-0000-00002DA90000}"/>
    <cellStyle name="RIGs linked cells 3 3 2 2 11" xfId="43093" xr:uid="{00000000-0005-0000-0000-00002EA90000}"/>
    <cellStyle name="RIGs linked cells 3 3 2 2 12" xfId="43094" xr:uid="{00000000-0005-0000-0000-00002FA90000}"/>
    <cellStyle name="RIGs linked cells 3 3 2 2 13" xfId="43095" xr:uid="{00000000-0005-0000-0000-000030A90000}"/>
    <cellStyle name="RIGs linked cells 3 3 2 2 14" xfId="43096" xr:uid="{00000000-0005-0000-0000-000031A90000}"/>
    <cellStyle name="RIGs linked cells 3 3 2 2 15" xfId="43097" xr:uid="{00000000-0005-0000-0000-000032A90000}"/>
    <cellStyle name="RIGs linked cells 3 3 2 2 16" xfId="43098" xr:uid="{00000000-0005-0000-0000-000033A90000}"/>
    <cellStyle name="RIGs linked cells 3 3 2 2 17" xfId="43099" xr:uid="{00000000-0005-0000-0000-000034A90000}"/>
    <cellStyle name="RIGs linked cells 3 3 2 2 18" xfId="43100" xr:uid="{00000000-0005-0000-0000-000035A90000}"/>
    <cellStyle name="RIGs linked cells 3 3 2 2 19" xfId="43101" xr:uid="{00000000-0005-0000-0000-000036A90000}"/>
    <cellStyle name="RIGs linked cells 3 3 2 2 2" xfId="43102" xr:uid="{00000000-0005-0000-0000-000037A90000}"/>
    <cellStyle name="RIGs linked cells 3 3 2 2 2 10" xfId="43103" xr:uid="{00000000-0005-0000-0000-000038A90000}"/>
    <cellStyle name="RIGs linked cells 3 3 2 2 2 11" xfId="43104" xr:uid="{00000000-0005-0000-0000-000039A90000}"/>
    <cellStyle name="RIGs linked cells 3 3 2 2 2 12" xfId="43105" xr:uid="{00000000-0005-0000-0000-00003AA90000}"/>
    <cellStyle name="RIGs linked cells 3 3 2 2 2 13" xfId="43106" xr:uid="{00000000-0005-0000-0000-00003BA90000}"/>
    <cellStyle name="RIGs linked cells 3 3 2 2 2 14" xfId="43107" xr:uid="{00000000-0005-0000-0000-00003CA90000}"/>
    <cellStyle name="RIGs linked cells 3 3 2 2 2 15" xfId="43108" xr:uid="{00000000-0005-0000-0000-00003DA90000}"/>
    <cellStyle name="RIGs linked cells 3 3 2 2 2 16" xfId="43109" xr:uid="{00000000-0005-0000-0000-00003EA90000}"/>
    <cellStyle name="RIGs linked cells 3 3 2 2 2 17" xfId="43110" xr:uid="{00000000-0005-0000-0000-00003FA90000}"/>
    <cellStyle name="RIGs linked cells 3 3 2 2 2 18" xfId="43111" xr:uid="{00000000-0005-0000-0000-000040A90000}"/>
    <cellStyle name="RIGs linked cells 3 3 2 2 2 19" xfId="43112" xr:uid="{00000000-0005-0000-0000-000041A90000}"/>
    <cellStyle name="RIGs linked cells 3 3 2 2 2 2" xfId="43113" xr:uid="{00000000-0005-0000-0000-000042A90000}"/>
    <cellStyle name="RIGs linked cells 3 3 2 2 2 2 10" xfId="43114" xr:uid="{00000000-0005-0000-0000-000043A90000}"/>
    <cellStyle name="RIGs linked cells 3 3 2 2 2 2 11" xfId="43115" xr:uid="{00000000-0005-0000-0000-000044A90000}"/>
    <cellStyle name="RIGs linked cells 3 3 2 2 2 2 12" xfId="43116" xr:uid="{00000000-0005-0000-0000-000045A90000}"/>
    <cellStyle name="RIGs linked cells 3 3 2 2 2 2 13" xfId="43117" xr:uid="{00000000-0005-0000-0000-000046A90000}"/>
    <cellStyle name="RIGs linked cells 3 3 2 2 2 2 2" xfId="43118" xr:uid="{00000000-0005-0000-0000-000047A90000}"/>
    <cellStyle name="RIGs linked cells 3 3 2 2 2 2 2 2" xfId="43119" xr:uid="{00000000-0005-0000-0000-000048A90000}"/>
    <cellStyle name="RIGs linked cells 3 3 2 2 2 2 2 3" xfId="43120" xr:uid="{00000000-0005-0000-0000-000049A90000}"/>
    <cellStyle name="RIGs linked cells 3 3 2 2 2 2 3" xfId="43121" xr:uid="{00000000-0005-0000-0000-00004AA90000}"/>
    <cellStyle name="RIGs linked cells 3 3 2 2 2 2 3 2" xfId="43122" xr:uid="{00000000-0005-0000-0000-00004BA90000}"/>
    <cellStyle name="RIGs linked cells 3 3 2 2 2 2 3 3" xfId="43123" xr:uid="{00000000-0005-0000-0000-00004CA90000}"/>
    <cellStyle name="RIGs linked cells 3 3 2 2 2 2 4" xfId="43124" xr:uid="{00000000-0005-0000-0000-00004DA90000}"/>
    <cellStyle name="RIGs linked cells 3 3 2 2 2 2 5" xfId="43125" xr:uid="{00000000-0005-0000-0000-00004EA90000}"/>
    <cellStyle name="RIGs linked cells 3 3 2 2 2 2 6" xfId="43126" xr:uid="{00000000-0005-0000-0000-00004FA90000}"/>
    <cellStyle name="RIGs linked cells 3 3 2 2 2 2 7" xfId="43127" xr:uid="{00000000-0005-0000-0000-000050A90000}"/>
    <cellStyle name="RIGs linked cells 3 3 2 2 2 2 8" xfId="43128" xr:uid="{00000000-0005-0000-0000-000051A90000}"/>
    <cellStyle name="RIGs linked cells 3 3 2 2 2 2 9" xfId="43129" xr:uid="{00000000-0005-0000-0000-000052A90000}"/>
    <cellStyle name="RIGs linked cells 3 3 2 2 2 20" xfId="43130" xr:uid="{00000000-0005-0000-0000-000053A90000}"/>
    <cellStyle name="RIGs linked cells 3 3 2 2 2 21" xfId="43131" xr:uid="{00000000-0005-0000-0000-000054A90000}"/>
    <cellStyle name="RIGs linked cells 3 3 2 2 2 22" xfId="43132" xr:uid="{00000000-0005-0000-0000-000055A90000}"/>
    <cellStyle name="RIGs linked cells 3 3 2 2 2 23" xfId="43133" xr:uid="{00000000-0005-0000-0000-000056A90000}"/>
    <cellStyle name="RIGs linked cells 3 3 2 2 2 24" xfId="43134" xr:uid="{00000000-0005-0000-0000-000057A90000}"/>
    <cellStyle name="RIGs linked cells 3 3 2 2 2 25" xfId="43135" xr:uid="{00000000-0005-0000-0000-000058A90000}"/>
    <cellStyle name="RIGs linked cells 3 3 2 2 2 26" xfId="43136" xr:uid="{00000000-0005-0000-0000-000059A90000}"/>
    <cellStyle name="RIGs linked cells 3 3 2 2 2 27" xfId="43137" xr:uid="{00000000-0005-0000-0000-00005AA90000}"/>
    <cellStyle name="RIGs linked cells 3 3 2 2 2 28" xfId="43138" xr:uid="{00000000-0005-0000-0000-00005BA90000}"/>
    <cellStyle name="RIGs linked cells 3 3 2 2 2 29" xfId="43139" xr:uid="{00000000-0005-0000-0000-00005CA90000}"/>
    <cellStyle name="RIGs linked cells 3 3 2 2 2 3" xfId="43140" xr:uid="{00000000-0005-0000-0000-00005DA90000}"/>
    <cellStyle name="RIGs linked cells 3 3 2 2 2 3 2" xfId="43141" xr:uid="{00000000-0005-0000-0000-00005EA90000}"/>
    <cellStyle name="RIGs linked cells 3 3 2 2 2 3 3" xfId="43142" xr:uid="{00000000-0005-0000-0000-00005FA90000}"/>
    <cellStyle name="RIGs linked cells 3 3 2 2 2 30" xfId="43143" xr:uid="{00000000-0005-0000-0000-000060A90000}"/>
    <cellStyle name="RIGs linked cells 3 3 2 2 2 31" xfId="43144" xr:uid="{00000000-0005-0000-0000-000061A90000}"/>
    <cellStyle name="RIGs linked cells 3 3 2 2 2 32" xfId="43145" xr:uid="{00000000-0005-0000-0000-000062A90000}"/>
    <cellStyle name="RIGs linked cells 3 3 2 2 2 33" xfId="43146" xr:uid="{00000000-0005-0000-0000-000063A90000}"/>
    <cellStyle name="RIGs linked cells 3 3 2 2 2 34" xfId="43147" xr:uid="{00000000-0005-0000-0000-000064A90000}"/>
    <cellStyle name="RIGs linked cells 3 3 2 2 2 4" xfId="43148" xr:uid="{00000000-0005-0000-0000-000065A90000}"/>
    <cellStyle name="RIGs linked cells 3 3 2 2 2 4 2" xfId="43149" xr:uid="{00000000-0005-0000-0000-000066A90000}"/>
    <cellStyle name="RIGs linked cells 3 3 2 2 2 4 3" xfId="43150" xr:uid="{00000000-0005-0000-0000-000067A90000}"/>
    <cellStyle name="RIGs linked cells 3 3 2 2 2 5" xfId="43151" xr:uid="{00000000-0005-0000-0000-000068A90000}"/>
    <cellStyle name="RIGs linked cells 3 3 2 2 2 6" xfId="43152" xr:uid="{00000000-0005-0000-0000-000069A90000}"/>
    <cellStyle name="RIGs linked cells 3 3 2 2 2 7" xfId="43153" xr:uid="{00000000-0005-0000-0000-00006AA90000}"/>
    <cellStyle name="RIGs linked cells 3 3 2 2 2 8" xfId="43154" xr:uid="{00000000-0005-0000-0000-00006BA90000}"/>
    <cellStyle name="RIGs linked cells 3 3 2 2 2 9" xfId="43155" xr:uid="{00000000-0005-0000-0000-00006CA90000}"/>
    <cellStyle name="RIGs linked cells 3 3 2 2 20" xfId="43156" xr:uid="{00000000-0005-0000-0000-00006DA90000}"/>
    <cellStyle name="RIGs linked cells 3 3 2 2 21" xfId="43157" xr:uid="{00000000-0005-0000-0000-00006EA90000}"/>
    <cellStyle name="RIGs linked cells 3 3 2 2 22" xfId="43158" xr:uid="{00000000-0005-0000-0000-00006FA90000}"/>
    <cellStyle name="RIGs linked cells 3 3 2 2 23" xfId="43159" xr:uid="{00000000-0005-0000-0000-000070A90000}"/>
    <cellStyle name="RIGs linked cells 3 3 2 2 24" xfId="43160" xr:uid="{00000000-0005-0000-0000-000071A90000}"/>
    <cellStyle name="RIGs linked cells 3 3 2 2 25" xfId="43161" xr:uid="{00000000-0005-0000-0000-000072A90000}"/>
    <cellStyle name="RIGs linked cells 3 3 2 2 26" xfId="43162" xr:uid="{00000000-0005-0000-0000-000073A90000}"/>
    <cellStyle name="RIGs linked cells 3 3 2 2 27" xfId="43163" xr:uid="{00000000-0005-0000-0000-000074A90000}"/>
    <cellStyle name="RIGs linked cells 3 3 2 2 28" xfId="43164" xr:uid="{00000000-0005-0000-0000-000075A90000}"/>
    <cellStyle name="RIGs linked cells 3 3 2 2 29" xfId="43165" xr:uid="{00000000-0005-0000-0000-000076A90000}"/>
    <cellStyle name="RIGs linked cells 3 3 2 2 3" xfId="43166" xr:uid="{00000000-0005-0000-0000-000077A90000}"/>
    <cellStyle name="RIGs linked cells 3 3 2 2 3 10" xfId="43167" xr:uid="{00000000-0005-0000-0000-000078A90000}"/>
    <cellStyle name="RIGs linked cells 3 3 2 2 3 11" xfId="43168" xr:uid="{00000000-0005-0000-0000-000079A90000}"/>
    <cellStyle name="RIGs linked cells 3 3 2 2 3 12" xfId="43169" xr:uid="{00000000-0005-0000-0000-00007AA90000}"/>
    <cellStyle name="RIGs linked cells 3 3 2 2 3 13" xfId="43170" xr:uid="{00000000-0005-0000-0000-00007BA90000}"/>
    <cellStyle name="RIGs linked cells 3 3 2 2 3 2" xfId="43171" xr:uid="{00000000-0005-0000-0000-00007CA90000}"/>
    <cellStyle name="RIGs linked cells 3 3 2 2 3 2 2" xfId="43172" xr:uid="{00000000-0005-0000-0000-00007DA90000}"/>
    <cellStyle name="RIGs linked cells 3 3 2 2 3 2 3" xfId="43173" xr:uid="{00000000-0005-0000-0000-00007EA90000}"/>
    <cellStyle name="RIGs linked cells 3 3 2 2 3 3" xfId="43174" xr:uid="{00000000-0005-0000-0000-00007FA90000}"/>
    <cellStyle name="RIGs linked cells 3 3 2 2 3 3 2" xfId="43175" xr:uid="{00000000-0005-0000-0000-000080A90000}"/>
    <cellStyle name="RIGs linked cells 3 3 2 2 3 3 3" xfId="43176" xr:uid="{00000000-0005-0000-0000-000081A90000}"/>
    <cellStyle name="RIGs linked cells 3 3 2 2 3 4" xfId="43177" xr:uid="{00000000-0005-0000-0000-000082A90000}"/>
    <cellStyle name="RIGs linked cells 3 3 2 2 3 5" xfId="43178" xr:uid="{00000000-0005-0000-0000-000083A90000}"/>
    <cellStyle name="RIGs linked cells 3 3 2 2 3 6" xfId="43179" xr:uid="{00000000-0005-0000-0000-000084A90000}"/>
    <cellStyle name="RIGs linked cells 3 3 2 2 3 7" xfId="43180" xr:uid="{00000000-0005-0000-0000-000085A90000}"/>
    <cellStyle name="RIGs linked cells 3 3 2 2 3 8" xfId="43181" xr:uid="{00000000-0005-0000-0000-000086A90000}"/>
    <cellStyle name="RIGs linked cells 3 3 2 2 3 9" xfId="43182" xr:uid="{00000000-0005-0000-0000-000087A90000}"/>
    <cellStyle name="RIGs linked cells 3 3 2 2 30" xfId="43183" xr:uid="{00000000-0005-0000-0000-000088A90000}"/>
    <cellStyle name="RIGs linked cells 3 3 2 2 31" xfId="43184" xr:uid="{00000000-0005-0000-0000-000089A90000}"/>
    <cellStyle name="RIGs linked cells 3 3 2 2 4" xfId="43185" xr:uid="{00000000-0005-0000-0000-00008AA90000}"/>
    <cellStyle name="RIGs linked cells 3 3 2 2 4 2" xfId="43186" xr:uid="{00000000-0005-0000-0000-00008BA90000}"/>
    <cellStyle name="RIGs linked cells 3 3 2 2 4 3" xfId="43187" xr:uid="{00000000-0005-0000-0000-00008CA90000}"/>
    <cellStyle name="RIGs linked cells 3 3 2 2 5" xfId="43188" xr:uid="{00000000-0005-0000-0000-00008DA90000}"/>
    <cellStyle name="RIGs linked cells 3 3 2 2 5 2" xfId="43189" xr:uid="{00000000-0005-0000-0000-00008EA90000}"/>
    <cellStyle name="RIGs linked cells 3 3 2 2 5 3" xfId="43190" xr:uid="{00000000-0005-0000-0000-00008FA90000}"/>
    <cellStyle name="RIGs linked cells 3 3 2 2 6" xfId="43191" xr:uid="{00000000-0005-0000-0000-000090A90000}"/>
    <cellStyle name="RIGs linked cells 3 3 2 2 7" xfId="43192" xr:uid="{00000000-0005-0000-0000-000091A90000}"/>
    <cellStyle name="RIGs linked cells 3 3 2 2 8" xfId="43193" xr:uid="{00000000-0005-0000-0000-000092A90000}"/>
    <cellStyle name="RIGs linked cells 3 3 2 2 9" xfId="43194" xr:uid="{00000000-0005-0000-0000-000093A90000}"/>
    <cellStyle name="RIGs linked cells 3 3 2 2_4 28 1_Asst_Health_Crit_AllTO_RIIO_20110714pm" xfId="43195" xr:uid="{00000000-0005-0000-0000-000094A90000}"/>
    <cellStyle name="RIGs linked cells 3 3 2 20" xfId="43196" xr:uid="{00000000-0005-0000-0000-000095A90000}"/>
    <cellStyle name="RIGs linked cells 3 3 2 20 2" xfId="43197" xr:uid="{00000000-0005-0000-0000-000096A90000}"/>
    <cellStyle name="RIGs linked cells 3 3 2 21" xfId="43198" xr:uid="{00000000-0005-0000-0000-000097A90000}"/>
    <cellStyle name="RIGs linked cells 3 3 2 21 2" xfId="43199" xr:uid="{00000000-0005-0000-0000-000098A90000}"/>
    <cellStyle name="RIGs linked cells 3 3 2 22" xfId="43200" xr:uid="{00000000-0005-0000-0000-000099A90000}"/>
    <cellStyle name="RIGs linked cells 3 3 2 22 2" xfId="43201" xr:uid="{00000000-0005-0000-0000-00009AA90000}"/>
    <cellStyle name="RIGs linked cells 3 3 2 23" xfId="43202" xr:uid="{00000000-0005-0000-0000-00009BA90000}"/>
    <cellStyle name="RIGs linked cells 3 3 2 23 2" xfId="43203" xr:uid="{00000000-0005-0000-0000-00009CA90000}"/>
    <cellStyle name="RIGs linked cells 3 3 2 24" xfId="43204" xr:uid="{00000000-0005-0000-0000-00009DA90000}"/>
    <cellStyle name="RIGs linked cells 3 3 2 24 2" xfId="43205" xr:uid="{00000000-0005-0000-0000-00009EA90000}"/>
    <cellStyle name="RIGs linked cells 3 3 2 25" xfId="43206" xr:uid="{00000000-0005-0000-0000-00009FA90000}"/>
    <cellStyle name="RIGs linked cells 3 3 2 25 2" xfId="43207" xr:uid="{00000000-0005-0000-0000-0000A0A90000}"/>
    <cellStyle name="RIGs linked cells 3 3 2 26" xfId="43208" xr:uid="{00000000-0005-0000-0000-0000A1A90000}"/>
    <cellStyle name="RIGs linked cells 3 3 2 27" xfId="43209" xr:uid="{00000000-0005-0000-0000-0000A2A90000}"/>
    <cellStyle name="RIGs linked cells 3 3 2 28" xfId="43210" xr:uid="{00000000-0005-0000-0000-0000A3A90000}"/>
    <cellStyle name="RIGs linked cells 3 3 2 29" xfId="43211" xr:uid="{00000000-0005-0000-0000-0000A4A90000}"/>
    <cellStyle name="RIGs linked cells 3 3 2 3" xfId="43212" xr:uid="{00000000-0005-0000-0000-0000A5A90000}"/>
    <cellStyle name="RIGs linked cells 3 3 2 3 10" xfId="43213" xr:uid="{00000000-0005-0000-0000-0000A6A90000}"/>
    <cellStyle name="RIGs linked cells 3 3 2 3 11" xfId="43214" xr:uid="{00000000-0005-0000-0000-0000A7A90000}"/>
    <cellStyle name="RIGs linked cells 3 3 2 3 12" xfId="43215" xr:uid="{00000000-0005-0000-0000-0000A8A90000}"/>
    <cellStyle name="RIGs linked cells 3 3 2 3 13" xfId="43216" xr:uid="{00000000-0005-0000-0000-0000A9A90000}"/>
    <cellStyle name="RIGs linked cells 3 3 2 3 14" xfId="43217" xr:uid="{00000000-0005-0000-0000-0000AAA90000}"/>
    <cellStyle name="RIGs linked cells 3 3 2 3 15" xfId="43218" xr:uid="{00000000-0005-0000-0000-0000ABA90000}"/>
    <cellStyle name="RIGs linked cells 3 3 2 3 16" xfId="43219" xr:uid="{00000000-0005-0000-0000-0000ACA90000}"/>
    <cellStyle name="RIGs linked cells 3 3 2 3 17" xfId="43220" xr:uid="{00000000-0005-0000-0000-0000ADA90000}"/>
    <cellStyle name="RIGs linked cells 3 3 2 3 18" xfId="43221" xr:uid="{00000000-0005-0000-0000-0000AEA90000}"/>
    <cellStyle name="RIGs linked cells 3 3 2 3 19" xfId="43222" xr:uid="{00000000-0005-0000-0000-0000AFA90000}"/>
    <cellStyle name="RIGs linked cells 3 3 2 3 2" xfId="43223" xr:uid="{00000000-0005-0000-0000-0000B0A90000}"/>
    <cellStyle name="RIGs linked cells 3 3 2 3 2 10" xfId="43224" xr:uid="{00000000-0005-0000-0000-0000B1A90000}"/>
    <cellStyle name="RIGs linked cells 3 3 2 3 2 11" xfId="43225" xr:uid="{00000000-0005-0000-0000-0000B2A90000}"/>
    <cellStyle name="RIGs linked cells 3 3 2 3 2 12" xfId="43226" xr:uid="{00000000-0005-0000-0000-0000B3A90000}"/>
    <cellStyle name="RIGs linked cells 3 3 2 3 2 13" xfId="43227" xr:uid="{00000000-0005-0000-0000-0000B4A90000}"/>
    <cellStyle name="RIGs linked cells 3 3 2 3 2 2" xfId="43228" xr:uid="{00000000-0005-0000-0000-0000B5A90000}"/>
    <cellStyle name="RIGs linked cells 3 3 2 3 2 2 2" xfId="43229" xr:uid="{00000000-0005-0000-0000-0000B6A90000}"/>
    <cellStyle name="RIGs linked cells 3 3 2 3 2 2 3" xfId="43230" xr:uid="{00000000-0005-0000-0000-0000B7A90000}"/>
    <cellStyle name="RIGs linked cells 3 3 2 3 2 3" xfId="43231" xr:uid="{00000000-0005-0000-0000-0000B8A90000}"/>
    <cellStyle name="RIGs linked cells 3 3 2 3 2 3 2" xfId="43232" xr:uid="{00000000-0005-0000-0000-0000B9A90000}"/>
    <cellStyle name="RIGs linked cells 3 3 2 3 2 3 3" xfId="43233" xr:uid="{00000000-0005-0000-0000-0000BAA90000}"/>
    <cellStyle name="RIGs linked cells 3 3 2 3 2 4" xfId="43234" xr:uid="{00000000-0005-0000-0000-0000BBA90000}"/>
    <cellStyle name="RIGs linked cells 3 3 2 3 2 5" xfId="43235" xr:uid="{00000000-0005-0000-0000-0000BCA90000}"/>
    <cellStyle name="RIGs linked cells 3 3 2 3 2 6" xfId="43236" xr:uid="{00000000-0005-0000-0000-0000BDA90000}"/>
    <cellStyle name="RIGs linked cells 3 3 2 3 2 7" xfId="43237" xr:uid="{00000000-0005-0000-0000-0000BEA90000}"/>
    <cellStyle name="RIGs linked cells 3 3 2 3 2 8" xfId="43238" xr:uid="{00000000-0005-0000-0000-0000BFA90000}"/>
    <cellStyle name="RIGs linked cells 3 3 2 3 2 9" xfId="43239" xr:uid="{00000000-0005-0000-0000-0000C0A90000}"/>
    <cellStyle name="RIGs linked cells 3 3 2 3 20" xfId="43240" xr:uid="{00000000-0005-0000-0000-0000C1A90000}"/>
    <cellStyle name="RIGs linked cells 3 3 2 3 21" xfId="43241" xr:uid="{00000000-0005-0000-0000-0000C2A90000}"/>
    <cellStyle name="RIGs linked cells 3 3 2 3 22" xfId="43242" xr:uid="{00000000-0005-0000-0000-0000C3A90000}"/>
    <cellStyle name="RIGs linked cells 3 3 2 3 23" xfId="43243" xr:uid="{00000000-0005-0000-0000-0000C4A90000}"/>
    <cellStyle name="RIGs linked cells 3 3 2 3 24" xfId="43244" xr:uid="{00000000-0005-0000-0000-0000C5A90000}"/>
    <cellStyle name="RIGs linked cells 3 3 2 3 25" xfId="43245" xr:uid="{00000000-0005-0000-0000-0000C6A90000}"/>
    <cellStyle name="RIGs linked cells 3 3 2 3 26" xfId="43246" xr:uid="{00000000-0005-0000-0000-0000C7A90000}"/>
    <cellStyle name="RIGs linked cells 3 3 2 3 27" xfId="43247" xr:uid="{00000000-0005-0000-0000-0000C8A90000}"/>
    <cellStyle name="RIGs linked cells 3 3 2 3 28" xfId="43248" xr:uid="{00000000-0005-0000-0000-0000C9A90000}"/>
    <cellStyle name="RIGs linked cells 3 3 2 3 29" xfId="43249" xr:uid="{00000000-0005-0000-0000-0000CAA90000}"/>
    <cellStyle name="RIGs linked cells 3 3 2 3 3" xfId="43250" xr:uid="{00000000-0005-0000-0000-0000CBA90000}"/>
    <cellStyle name="RIGs linked cells 3 3 2 3 3 2" xfId="43251" xr:uid="{00000000-0005-0000-0000-0000CCA90000}"/>
    <cellStyle name="RIGs linked cells 3 3 2 3 3 3" xfId="43252" xr:uid="{00000000-0005-0000-0000-0000CDA90000}"/>
    <cellStyle name="RIGs linked cells 3 3 2 3 30" xfId="43253" xr:uid="{00000000-0005-0000-0000-0000CEA90000}"/>
    <cellStyle name="RIGs linked cells 3 3 2 3 4" xfId="43254" xr:uid="{00000000-0005-0000-0000-0000CFA90000}"/>
    <cellStyle name="RIGs linked cells 3 3 2 3 4 2" xfId="43255" xr:uid="{00000000-0005-0000-0000-0000D0A90000}"/>
    <cellStyle name="RIGs linked cells 3 3 2 3 4 3" xfId="43256" xr:uid="{00000000-0005-0000-0000-0000D1A90000}"/>
    <cellStyle name="RIGs linked cells 3 3 2 3 5" xfId="43257" xr:uid="{00000000-0005-0000-0000-0000D2A90000}"/>
    <cellStyle name="RIGs linked cells 3 3 2 3 6" xfId="43258" xr:uid="{00000000-0005-0000-0000-0000D3A90000}"/>
    <cellStyle name="RIGs linked cells 3 3 2 3 7" xfId="43259" xr:uid="{00000000-0005-0000-0000-0000D4A90000}"/>
    <cellStyle name="RIGs linked cells 3 3 2 3 8" xfId="43260" xr:uid="{00000000-0005-0000-0000-0000D5A90000}"/>
    <cellStyle name="RIGs linked cells 3 3 2 3 9" xfId="43261" xr:uid="{00000000-0005-0000-0000-0000D6A90000}"/>
    <cellStyle name="RIGs linked cells 3 3 2 30" xfId="43262" xr:uid="{00000000-0005-0000-0000-0000D7A90000}"/>
    <cellStyle name="RIGs linked cells 3 3 2 31" xfId="43263" xr:uid="{00000000-0005-0000-0000-0000D8A90000}"/>
    <cellStyle name="RIGs linked cells 3 3 2 32" xfId="43264" xr:uid="{00000000-0005-0000-0000-0000D9A90000}"/>
    <cellStyle name="RIGs linked cells 3 3 2 33" xfId="43265" xr:uid="{00000000-0005-0000-0000-0000DAA90000}"/>
    <cellStyle name="RIGs linked cells 3 3 2 4" xfId="43266" xr:uid="{00000000-0005-0000-0000-0000DBA90000}"/>
    <cellStyle name="RIGs linked cells 3 3 2 4 10" xfId="43267" xr:uid="{00000000-0005-0000-0000-0000DCA90000}"/>
    <cellStyle name="RIGs linked cells 3 3 2 4 11" xfId="43268" xr:uid="{00000000-0005-0000-0000-0000DDA90000}"/>
    <cellStyle name="RIGs linked cells 3 3 2 4 12" xfId="43269" xr:uid="{00000000-0005-0000-0000-0000DEA90000}"/>
    <cellStyle name="RIGs linked cells 3 3 2 4 13" xfId="43270" xr:uid="{00000000-0005-0000-0000-0000DFA90000}"/>
    <cellStyle name="RIGs linked cells 3 3 2 4 14" xfId="43271" xr:uid="{00000000-0005-0000-0000-0000E0A90000}"/>
    <cellStyle name="RIGs linked cells 3 3 2 4 15" xfId="43272" xr:uid="{00000000-0005-0000-0000-0000E1A90000}"/>
    <cellStyle name="RIGs linked cells 3 3 2 4 16" xfId="43273" xr:uid="{00000000-0005-0000-0000-0000E2A90000}"/>
    <cellStyle name="RIGs linked cells 3 3 2 4 17" xfId="43274" xr:uid="{00000000-0005-0000-0000-0000E3A90000}"/>
    <cellStyle name="RIGs linked cells 3 3 2 4 18" xfId="43275" xr:uid="{00000000-0005-0000-0000-0000E4A90000}"/>
    <cellStyle name="RIGs linked cells 3 3 2 4 19" xfId="43276" xr:uid="{00000000-0005-0000-0000-0000E5A90000}"/>
    <cellStyle name="RIGs linked cells 3 3 2 4 2" xfId="43277" xr:uid="{00000000-0005-0000-0000-0000E6A90000}"/>
    <cellStyle name="RIGs linked cells 3 3 2 4 2 10" xfId="43278" xr:uid="{00000000-0005-0000-0000-0000E7A90000}"/>
    <cellStyle name="RIGs linked cells 3 3 2 4 2 11" xfId="43279" xr:uid="{00000000-0005-0000-0000-0000E8A90000}"/>
    <cellStyle name="RIGs linked cells 3 3 2 4 2 12" xfId="43280" xr:uid="{00000000-0005-0000-0000-0000E9A90000}"/>
    <cellStyle name="RIGs linked cells 3 3 2 4 2 13" xfId="43281" xr:uid="{00000000-0005-0000-0000-0000EAA90000}"/>
    <cellStyle name="RIGs linked cells 3 3 2 4 2 2" xfId="43282" xr:uid="{00000000-0005-0000-0000-0000EBA90000}"/>
    <cellStyle name="RIGs linked cells 3 3 2 4 2 2 2" xfId="43283" xr:uid="{00000000-0005-0000-0000-0000ECA90000}"/>
    <cellStyle name="RIGs linked cells 3 3 2 4 2 2 3" xfId="43284" xr:uid="{00000000-0005-0000-0000-0000EDA90000}"/>
    <cellStyle name="RIGs linked cells 3 3 2 4 2 3" xfId="43285" xr:uid="{00000000-0005-0000-0000-0000EEA90000}"/>
    <cellStyle name="RIGs linked cells 3 3 2 4 2 3 2" xfId="43286" xr:uid="{00000000-0005-0000-0000-0000EFA90000}"/>
    <cellStyle name="RIGs linked cells 3 3 2 4 2 3 3" xfId="43287" xr:uid="{00000000-0005-0000-0000-0000F0A90000}"/>
    <cellStyle name="RIGs linked cells 3 3 2 4 2 4" xfId="43288" xr:uid="{00000000-0005-0000-0000-0000F1A90000}"/>
    <cellStyle name="RIGs linked cells 3 3 2 4 2 5" xfId="43289" xr:uid="{00000000-0005-0000-0000-0000F2A90000}"/>
    <cellStyle name="RIGs linked cells 3 3 2 4 2 6" xfId="43290" xr:uid="{00000000-0005-0000-0000-0000F3A90000}"/>
    <cellStyle name="RIGs linked cells 3 3 2 4 2 7" xfId="43291" xr:uid="{00000000-0005-0000-0000-0000F4A90000}"/>
    <cellStyle name="RIGs linked cells 3 3 2 4 2 8" xfId="43292" xr:uid="{00000000-0005-0000-0000-0000F5A90000}"/>
    <cellStyle name="RIGs linked cells 3 3 2 4 2 9" xfId="43293" xr:uid="{00000000-0005-0000-0000-0000F6A90000}"/>
    <cellStyle name="RIGs linked cells 3 3 2 4 20" xfId="43294" xr:uid="{00000000-0005-0000-0000-0000F7A90000}"/>
    <cellStyle name="RIGs linked cells 3 3 2 4 21" xfId="43295" xr:uid="{00000000-0005-0000-0000-0000F8A90000}"/>
    <cellStyle name="RIGs linked cells 3 3 2 4 22" xfId="43296" xr:uid="{00000000-0005-0000-0000-0000F9A90000}"/>
    <cellStyle name="RIGs linked cells 3 3 2 4 23" xfId="43297" xr:uid="{00000000-0005-0000-0000-0000FAA90000}"/>
    <cellStyle name="RIGs linked cells 3 3 2 4 24" xfId="43298" xr:uid="{00000000-0005-0000-0000-0000FBA90000}"/>
    <cellStyle name="RIGs linked cells 3 3 2 4 25" xfId="43299" xr:uid="{00000000-0005-0000-0000-0000FCA90000}"/>
    <cellStyle name="RIGs linked cells 3 3 2 4 26" xfId="43300" xr:uid="{00000000-0005-0000-0000-0000FDA90000}"/>
    <cellStyle name="RIGs linked cells 3 3 2 4 27" xfId="43301" xr:uid="{00000000-0005-0000-0000-0000FEA90000}"/>
    <cellStyle name="RIGs linked cells 3 3 2 4 28" xfId="43302" xr:uid="{00000000-0005-0000-0000-0000FFA90000}"/>
    <cellStyle name="RIGs linked cells 3 3 2 4 29" xfId="43303" xr:uid="{00000000-0005-0000-0000-000000AA0000}"/>
    <cellStyle name="RIGs linked cells 3 3 2 4 3" xfId="43304" xr:uid="{00000000-0005-0000-0000-000001AA0000}"/>
    <cellStyle name="RIGs linked cells 3 3 2 4 3 2" xfId="43305" xr:uid="{00000000-0005-0000-0000-000002AA0000}"/>
    <cellStyle name="RIGs linked cells 3 3 2 4 3 3" xfId="43306" xr:uid="{00000000-0005-0000-0000-000003AA0000}"/>
    <cellStyle name="RIGs linked cells 3 3 2 4 30" xfId="43307" xr:uid="{00000000-0005-0000-0000-000004AA0000}"/>
    <cellStyle name="RIGs linked cells 3 3 2 4 4" xfId="43308" xr:uid="{00000000-0005-0000-0000-000005AA0000}"/>
    <cellStyle name="RIGs linked cells 3 3 2 4 4 2" xfId="43309" xr:uid="{00000000-0005-0000-0000-000006AA0000}"/>
    <cellStyle name="RIGs linked cells 3 3 2 4 4 3" xfId="43310" xr:uid="{00000000-0005-0000-0000-000007AA0000}"/>
    <cellStyle name="RIGs linked cells 3 3 2 4 5" xfId="43311" xr:uid="{00000000-0005-0000-0000-000008AA0000}"/>
    <cellStyle name="RIGs linked cells 3 3 2 4 6" xfId="43312" xr:uid="{00000000-0005-0000-0000-000009AA0000}"/>
    <cellStyle name="RIGs linked cells 3 3 2 4 7" xfId="43313" xr:uid="{00000000-0005-0000-0000-00000AAA0000}"/>
    <cellStyle name="RIGs linked cells 3 3 2 4 8" xfId="43314" xr:uid="{00000000-0005-0000-0000-00000BAA0000}"/>
    <cellStyle name="RIGs linked cells 3 3 2 4 9" xfId="43315" xr:uid="{00000000-0005-0000-0000-00000CAA0000}"/>
    <cellStyle name="RIGs linked cells 3 3 2 5" xfId="43316" xr:uid="{00000000-0005-0000-0000-00000DAA0000}"/>
    <cellStyle name="RIGs linked cells 3 3 2 5 10" xfId="43317" xr:uid="{00000000-0005-0000-0000-00000EAA0000}"/>
    <cellStyle name="RIGs linked cells 3 3 2 5 11" xfId="43318" xr:uid="{00000000-0005-0000-0000-00000FAA0000}"/>
    <cellStyle name="RIGs linked cells 3 3 2 5 12" xfId="43319" xr:uid="{00000000-0005-0000-0000-000010AA0000}"/>
    <cellStyle name="RIGs linked cells 3 3 2 5 13" xfId="43320" xr:uid="{00000000-0005-0000-0000-000011AA0000}"/>
    <cellStyle name="RIGs linked cells 3 3 2 5 2" xfId="43321" xr:uid="{00000000-0005-0000-0000-000012AA0000}"/>
    <cellStyle name="RIGs linked cells 3 3 2 5 2 2" xfId="43322" xr:uid="{00000000-0005-0000-0000-000013AA0000}"/>
    <cellStyle name="RIGs linked cells 3 3 2 5 2 3" xfId="43323" xr:uid="{00000000-0005-0000-0000-000014AA0000}"/>
    <cellStyle name="RIGs linked cells 3 3 2 5 3" xfId="43324" xr:uid="{00000000-0005-0000-0000-000015AA0000}"/>
    <cellStyle name="RIGs linked cells 3 3 2 5 3 2" xfId="43325" xr:uid="{00000000-0005-0000-0000-000016AA0000}"/>
    <cellStyle name="RIGs linked cells 3 3 2 5 3 3" xfId="43326" xr:uid="{00000000-0005-0000-0000-000017AA0000}"/>
    <cellStyle name="RIGs linked cells 3 3 2 5 4" xfId="43327" xr:uid="{00000000-0005-0000-0000-000018AA0000}"/>
    <cellStyle name="RIGs linked cells 3 3 2 5 5" xfId="43328" xr:uid="{00000000-0005-0000-0000-000019AA0000}"/>
    <cellStyle name="RIGs linked cells 3 3 2 5 6" xfId="43329" xr:uid="{00000000-0005-0000-0000-00001AAA0000}"/>
    <cellStyle name="RIGs linked cells 3 3 2 5 7" xfId="43330" xr:uid="{00000000-0005-0000-0000-00001BAA0000}"/>
    <cellStyle name="RIGs linked cells 3 3 2 5 8" xfId="43331" xr:uid="{00000000-0005-0000-0000-00001CAA0000}"/>
    <cellStyle name="RIGs linked cells 3 3 2 5 9" xfId="43332" xr:uid="{00000000-0005-0000-0000-00001DAA0000}"/>
    <cellStyle name="RIGs linked cells 3 3 2 6" xfId="43333" xr:uid="{00000000-0005-0000-0000-00001EAA0000}"/>
    <cellStyle name="RIGs linked cells 3 3 2 6 2" xfId="43334" xr:uid="{00000000-0005-0000-0000-00001FAA0000}"/>
    <cellStyle name="RIGs linked cells 3 3 2 6 2 2" xfId="43335" xr:uid="{00000000-0005-0000-0000-000020AA0000}"/>
    <cellStyle name="RIGs linked cells 3 3 2 6 2 3" xfId="43336" xr:uid="{00000000-0005-0000-0000-000021AA0000}"/>
    <cellStyle name="RIGs linked cells 3 3 2 6 3" xfId="43337" xr:uid="{00000000-0005-0000-0000-000022AA0000}"/>
    <cellStyle name="RIGs linked cells 3 3 2 6 3 2" xfId="43338" xr:uid="{00000000-0005-0000-0000-000023AA0000}"/>
    <cellStyle name="RIGs linked cells 3 3 2 6 4" xfId="43339" xr:uid="{00000000-0005-0000-0000-000024AA0000}"/>
    <cellStyle name="RIGs linked cells 3 3 2 7" xfId="43340" xr:uid="{00000000-0005-0000-0000-000025AA0000}"/>
    <cellStyle name="RIGs linked cells 3 3 2 7 2" xfId="43341" xr:uid="{00000000-0005-0000-0000-000026AA0000}"/>
    <cellStyle name="RIGs linked cells 3 3 2 8" xfId="43342" xr:uid="{00000000-0005-0000-0000-000027AA0000}"/>
    <cellStyle name="RIGs linked cells 3 3 2 8 2" xfId="43343" xr:uid="{00000000-0005-0000-0000-000028AA0000}"/>
    <cellStyle name="RIGs linked cells 3 3 2 9" xfId="43344" xr:uid="{00000000-0005-0000-0000-000029AA0000}"/>
    <cellStyle name="RIGs linked cells 3 3 2 9 2" xfId="43345" xr:uid="{00000000-0005-0000-0000-00002AAA0000}"/>
    <cellStyle name="RIGs linked cells 3 3 2_4 28 1_Asst_Health_Crit_AllTO_RIIO_20110714pm" xfId="43346" xr:uid="{00000000-0005-0000-0000-00002BAA0000}"/>
    <cellStyle name="RIGs linked cells 3 3 20" xfId="43347" xr:uid="{00000000-0005-0000-0000-00002CAA0000}"/>
    <cellStyle name="RIGs linked cells 3 3 20 2" xfId="43348" xr:uid="{00000000-0005-0000-0000-00002DAA0000}"/>
    <cellStyle name="RIGs linked cells 3 3 21" xfId="43349" xr:uid="{00000000-0005-0000-0000-00002EAA0000}"/>
    <cellStyle name="RIGs linked cells 3 3 21 2" xfId="43350" xr:uid="{00000000-0005-0000-0000-00002FAA0000}"/>
    <cellStyle name="RIGs linked cells 3 3 22" xfId="43351" xr:uid="{00000000-0005-0000-0000-000030AA0000}"/>
    <cellStyle name="RIGs linked cells 3 3 22 2" xfId="43352" xr:uid="{00000000-0005-0000-0000-000031AA0000}"/>
    <cellStyle name="RIGs linked cells 3 3 23" xfId="43353" xr:uid="{00000000-0005-0000-0000-000032AA0000}"/>
    <cellStyle name="RIGs linked cells 3 3 23 2" xfId="43354" xr:uid="{00000000-0005-0000-0000-000033AA0000}"/>
    <cellStyle name="RIGs linked cells 3 3 24" xfId="43355" xr:uid="{00000000-0005-0000-0000-000034AA0000}"/>
    <cellStyle name="RIGs linked cells 3 3 24 2" xfId="43356" xr:uid="{00000000-0005-0000-0000-000035AA0000}"/>
    <cellStyle name="RIGs linked cells 3 3 25" xfId="43357" xr:uid="{00000000-0005-0000-0000-000036AA0000}"/>
    <cellStyle name="RIGs linked cells 3 3 25 2" xfId="43358" xr:uid="{00000000-0005-0000-0000-000037AA0000}"/>
    <cellStyle name="RIGs linked cells 3 3 26" xfId="43359" xr:uid="{00000000-0005-0000-0000-000038AA0000}"/>
    <cellStyle name="RIGs linked cells 3 3 26 2" xfId="43360" xr:uid="{00000000-0005-0000-0000-000039AA0000}"/>
    <cellStyle name="RIGs linked cells 3 3 27" xfId="43361" xr:uid="{00000000-0005-0000-0000-00003AAA0000}"/>
    <cellStyle name="RIGs linked cells 3 3 28" xfId="43362" xr:uid="{00000000-0005-0000-0000-00003BAA0000}"/>
    <cellStyle name="RIGs linked cells 3 3 29" xfId="43363" xr:uid="{00000000-0005-0000-0000-00003CAA0000}"/>
    <cellStyle name="RIGs linked cells 3 3 3" xfId="43364" xr:uid="{00000000-0005-0000-0000-00003DAA0000}"/>
    <cellStyle name="RIGs linked cells 3 3 3 10" xfId="43365" xr:uid="{00000000-0005-0000-0000-00003EAA0000}"/>
    <cellStyle name="RIGs linked cells 3 3 3 11" xfId="43366" xr:uid="{00000000-0005-0000-0000-00003FAA0000}"/>
    <cellStyle name="RIGs linked cells 3 3 3 12" xfId="43367" xr:uid="{00000000-0005-0000-0000-000040AA0000}"/>
    <cellStyle name="RIGs linked cells 3 3 3 13" xfId="43368" xr:uid="{00000000-0005-0000-0000-000041AA0000}"/>
    <cellStyle name="RIGs linked cells 3 3 3 14" xfId="43369" xr:uid="{00000000-0005-0000-0000-000042AA0000}"/>
    <cellStyle name="RIGs linked cells 3 3 3 15" xfId="43370" xr:uid="{00000000-0005-0000-0000-000043AA0000}"/>
    <cellStyle name="RIGs linked cells 3 3 3 16" xfId="43371" xr:uid="{00000000-0005-0000-0000-000044AA0000}"/>
    <cellStyle name="RIGs linked cells 3 3 3 17" xfId="43372" xr:uid="{00000000-0005-0000-0000-000045AA0000}"/>
    <cellStyle name="RIGs linked cells 3 3 3 18" xfId="43373" xr:uid="{00000000-0005-0000-0000-000046AA0000}"/>
    <cellStyle name="RIGs linked cells 3 3 3 19" xfId="43374" xr:uid="{00000000-0005-0000-0000-000047AA0000}"/>
    <cellStyle name="RIGs linked cells 3 3 3 2" xfId="43375" xr:uid="{00000000-0005-0000-0000-000048AA0000}"/>
    <cellStyle name="RIGs linked cells 3 3 3 2 10" xfId="43376" xr:uid="{00000000-0005-0000-0000-000049AA0000}"/>
    <cellStyle name="RIGs linked cells 3 3 3 2 11" xfId="43377" xr:uid="{00000000-0005-0000-0000-00004AAA0000}"/>
    <cellStyle name="RIGs linked cells 3 3 3 2 12" xfId="43378" xr:uid="{00000000-0005-0000-0000-00004BAA0000}"/>
    <cellStyle name="RIGs linked cells 3 3 3 2 13" xfId="43379" xr:uid="{00000000-0005-0000-0000-00004CAA0000}"/>
    <cellStyle name="RIGs linked cells 3 3 3 2 14" xfId="43380" xr:uid="{00000000-0005-0000-0000-00004DAA0000}"/>
    <cellStyle name="RIGs linked cells 3 3 3 2 15" xfId="43381" xr:uid="{00000000-0005-0000-0000-00004EAA0000}"/>
    <cellStyle name="RIGs linked cells 3 3 3 2 16" xfId="43382" xr:uid="{00000000-0005-0000-0000-00004FAA0000}"/>
    <cellStyle name="RIGs linked cells 3 3 3 2 17" xfId="43383" xr:uid="{00000000-0005-0000-0000-000050AA0000}"/>
    <cellStyle name="RIGs linked cells 3 3 3 2 18" xfId="43384" xr:uid="{00000000-0005-0000-0000-000051AA0000}"/>
    <cellStyle name="RIGs linked cells 3 3 3 2 19" xfId="43385" xr:uid="{00000000-0005-0000-0000-000052AA0000}"/>
    <cellStyle name="RIGs linked cells 3 3 3 2 2" xfId="43386" xr:uid="{00000000-0005-0000-0000-000053AA0000}"/>
    <cellStyle name="RIGs linked cells 3 3 3 2 2 10" xfId="43387" xr:uid="{00000000-0005-0000-0000-000054AA0000}"/>
    <cellStyle name="RIGs linked cells 3 3 3 2 2 11" xfId="43388" xr:uid="{00000000-0005-0000-0000-000055AA0000}"/>
    <cellStyle name="RIGs linked cells 3 3 3 2 2 12" xfId="43389" xr:uid="{00000000-0005-0000-0000-000056AA0000}"/>
    <cellStyle name="RIGs linked cells 3 3 3 2 2 13" xfId="43390" xr:uid="{00000000-0005-0000-0000-000057AA0000}"/>
    <cellStyle name="RIGs linked cells 3 3 3 2 2 2" xfId="43391" xr:uid="{00000000-0005-0000-0000-000058AA0000}"/>
    <cellStyle name="RIGs linked cells 3 3 3 2 2 2 2" xfId="43392" xr:uid="{00000000-0005-0000-0000-000059AA0000}"/>
    <cellStyle name="RIGs linked cells 3 3 3 2 2 2 3" xfId="43393" xr:uid="{00000000-0005-0000-0000-00005AAA0000}"/>
    <cellStyle name="RIGs linked cells 3 3 3 2 2 3" xfId="43394" xr:uid="{00000000-0005-0000-0000-00005BAA0000}"/>
    <cellStyle name="RIGs linked cells 3 3 3 2 2 3 2" xfId="43395" xr:uid="{00000000-0005-0000-0000-00005CAA0000}"/>
    <cellStyle name="RIGs linked cells 3 3 3 2 2 3 3" xfId="43396" xr:uid="{00000000-0005-0000-0000-00005DAA0000}"/>
    <cellStyle name="RIGs linked cells 3 3 3 2 2 4" xfId="43397" xr:uid="{00000000-0005-0000-0000-00005EAA0000}"/>
    <cellStyle name="RIGs linked cells 3 3 3 2 2 5" xfId="43398" xr:uid="{00000000-0005-0000-0000-00005FAA0000}"/>
    <cellStyle name="RIGs linked cells 3 3 3 2 2 6" xfId="43399" xr:uid="{00000000-0005-0000-0000-000060AA0000}"/>
    <cellStyle name="RIGs linked cells 3 3 3 2 2 7" xfId="43400" xr:uid="{00000000-0005-0000-0000-000061AA0000}"/>
    <cellStyle name="RIGs linked cells 3 3 3 2 2 8" xfId="43401" xr:uid="{00000000-0005-0000-0000-000062AA0000}"/>
    <cellStyle name="RIGs linked cells 3 3 3 2 2 9" xfId="43402" xr:uid="{00000000-0005-0000-0000-000063AA0000}"/>
    <cellStyle name="RIGs linked cells 3 3 3 2 20" xfId="43403" xr:uid="{00000000-0005-0000-0000-000064AA0000}"/>
    <cellStyle name="RIGs linked cells 3 3 3 2 21" xfId="43404" xr:uid="{00000000-0005-0000-0000-000065AA0000}"/>
    <cellStyle name="RIGs linked cells 3 3 3 2 22" xfId="43405" xr:uid="{00000000-0005-0000-0000-000066AA0000}"/>
    <cellStyle name="RIGs linked cells 3 3 3 2 23" xfId="43406" xr:uid="{00000000-0005-0000-0000-000067AA0000}"/>
    <cellStyle name="RIGs linked cells 3 3 3 2 24" xfId="43407" xr:uid="{00000000-0005-0000-0000-000068AA0000}"/>
    <cellStyle name="RIGs linked cells 3 3 3 2 25" xfId="43408" xr:uid="{00000000-0005-0000-0000-000069AA0000}"/>
    <cellStyle name="RIGs linked cells 3 3 3 2 26" xfId="43409" xr:uid="{00000000-0005-0000-0000-00006AAA0000}"/>
    <cellStyle name="RIGs linked cells 3 3 3 2 27" xfId="43410" xr:uid="{00000000-0005-0000-0000-00006BAA0000}"/>
    <cellStyle name="RIGs linked cells 3 3 3 2 28" xfId="43411" xr:uid="{00000000-0005-0000-0000-00006CAA0000}"/>
    <cellStyle name="RIGs linked cells 3 3 3 2 29" xfId="43412" xr:uid="{00000000-0005-0000-0000-00006DAA0000}"/>
    <cellStyle name="RIGs linked cells 3 3 3 2 3" xfId="43413" xr:uid="{00000000-0005-0000-0000-00006EAA0000}"/>
    <cellStyle name="RIGs linked cells 3 3 3 2 3 2" xfId="43414" xr:uid="{00000000-0005-0000-0000-00006FAA0000}"/>
    <cellStyle name="RIGs linked cells 3 3 3 2 3 3" xfId="43415" xr:uid="{00000000-0005-0000-0000-000070AA0000}"/>
    <cellStyle name="RIGs linked cells 3 3 3 2 30" xfId="43416" xr:uid="{00000000-0005-0000-0000-000071AA0000}"/>
    <cellStyle name="RIGs linked cells 3 3 3 2 31" xfId="43417" xr:uid="{00000000-0005-0000-0000-000072AA0000}"/>
    <cellStyle name="RIGs linked cells 3 3 3 2 32" xfId="43418" xr:uid="{00000000-0005-0000-0000-000073AA0000}"/>
    <cellStyle name="RIGs linked cells 3 3 3 2 33" xfId="43419" xr:uid="{00000000-0005-0000-0000-000074AA0000}"/>
    <cellStyle name="RIGs linked cells 3 3 3 2 34" xfId="43420" xr:uid="{00000000-0005-0000-0000-000075AA0000}"/>
    <cellStyle name="RIGs linked cells 3 3 3 2 4" xfId="43421" xr:uid="{00000000-0005-0000-0000-000076AA0000}"/>
    <cellStyle name="RIGs linked cells 3 3 3 2 4 2" xfId="43422" xr:uid="{00000000-0005-0000-0000-000077AA0000}"/>
    <cellStyle name="RIGs linked cells 3 3 3 2 4 3" xfId="43423" xr:uid="{00000000-0005-0000-0000-000078AA0000}"/>
    <cellStyle name="RIGs linked cells 3 3 3 2 5" xfId="43424" xr:uid="{00000000-0005-0000-0000-000079AA0000}"/>
    <cellStyle name="RIGs linked cells 3 3 3 2 6" xfId="43425" xr:uid="{00000000-0005-0000-0000-00007AAA0000}"/>
    <cellStyle name="RIGs linked cells 3 3 3 2 7" xfId="43426" xr:uid="{00000000-0005-0000-0000-00007BAA0000}"/>
    <cellStyle name="RIGs linked cells 3 3 3 2 8" xfId="43427" xr:uid="{00000000-0005-0000-0000-00007CAA0000}"/>
    <cellStyle name="RIGs linked cells 3 3 3 2 9" xfId="43428" xr:uid="{00000000-0005-0000-0000-00007DAA0000}"/>
    <cellStyle name="RIGs linked cells 3 3 3 20" xfId="43429" xr:uid="{00000000-0005-0000-0000-00007EAA0000}"/>
    <cellStyle name="RIGs linked cells 3 3 3 21" xfId="43430" xr:uid="{00000000-0005-0000-0000-00007FAA0000}"/>
    <cellStyle name="RIGs linked cells 3 3 3 22" xfId="43431" xr:uid="{00000000-0005-0000-0000-000080AA0000}"/>
    <cellStyle name="RIGs linked cells 3 3 3 23" xfId="43432" xr:uid="{00000000-0005-0000-0000-000081AA0000}"/>
    <cellStyle name="RIGs linked cells 3 3 3 24" xfId="43433" xr:uid="{00000000-0005-0000-0000-000082AA0000}"/>
    <cellStyle name="RIGs linked cells 3 3 3 25" xfId="43434" xr:uid="{00000000-0005-0000-0000-000083AA0000}"/>
    <cellStyle name="RIGs linked cells 3 3 3 26" xfId="43435" xr:uid="{00000000-0005-0000-0000-000084AA0000}"/>
    <cellStyle name="RIGs linked cells 3 3 3 27" xfId="43436" xr:uid="{00000000-0005-0000-0000-000085AA0000}"/>
    <cellStyle name="RIGs linked cells 3 3 3 28" xfId="43437" xr:uid="{00000000-0005-0000-0000-000086AA0000}"/>
    <cellStyle name="RIGs linked cells 3 3 3 29" xfId="43438" xr:uid="{00000000-0005-0000-0000-000087AA0000}"/>
    <cellStyle name="RIGs linked cells 3 3 3 3" xfId="43439" xr:uid="{00000000-0005-0000-0000-000088AA0000}"/>
    <cellStyle name="RIGs linked cells 3 3 3 3 10" xfId="43440" xr:uid="{00000000-0005-0000-0000-000089AA0000}"/>
    <cellStyle name="RIGs linked cells 3 3 3 3 11" xfId="43441" xr:uid="{00000000-0005-0000-0000-00008AAA0000}"/>
    <cellStyle name="RIGs linked cells 3 3 3 3 12" xfId="43442" xr:uid="{00000000-0005-0000-0000-00008BAA0000}"/>
    <cellStyle name="RIGs linked cells 3 3 3 3 13" xfId="43443" xr:uid="{00000000-0005-0000-0000-00008CAA0000}"/>
    <cellStyle name="RIGs linked cells 3 3 3 3 2" xfId="43444" xr:uid="{00000000-0005-0000-0000-00008DAA0000}"/>
    <cellStyle name="RIGs linked cells 3 3 3 3 2 2" xfId="43445" xr:uid="{00000000-0005-0000-0000-00008EAA0000}"/>
    <cellStyle name="RIGs linked cells 3 3 3 3 2 3" xfId="43446" xr:uid="{00000000-0005-0000-0000-00008FAA0000}"/>
    <cellStyle name="RIGs linked cells 3 3 3 3 3" xfId="43447" xr:uid="{00000000-0005-0000-0000-000090AA0000}"/>
    <cellStyle name="RIGs linked cells 3 3 3 3 3 2" xfId="43448" xr:uid="{00000000-0005-0000-0000-000091AA0000}"/>
    <cellStyle name="RIGs linked cells 3 3 3 3 3 3" xfId="43449" xr:uid="{00000000-0005-0000-0000-000092AA0000}"/>
    <cellStyle name="RIGs linked cells 3 3 3 3 4" xfId="43450" xr:uid="{00000000-0005-0000-0000-000093AA0000}"/>
    <cellStyle name="RIGs linked cells 3 3 3 3 5" xfId="43451" xr:uid="{00000000-0005-0000-0000-000094AA0000}"/>
    <cellStyle name="RIGs linked cells 3 3 3 3 6" xfId="43452" xr:uid="{00000000-0005-0000-0000-000095AA0000}"/>
    <cellStyle name="RIGs linked cells 3 3 3 3 7" xfId="43453" xr:uid="{00000000-0005-0000-0000-000096AA0000}"/>
    <cellStyle name="RIGs linked cells 3 3 3 3 8" xfId="43454" xr:uid="{00000000-0005-0000-0000-000097AA0000}"/>
    <cellStyle name="RIGs linked cells 3 3 3 3 9" xfId="43455" xr:uid="{00000000-0005-0000-0000-000098AA0000}"/>
    <cellStyle name="RIGs linked cells 3 3 3 30" xfId="43456" xr:uid="{00000000-0005-0000-0000-000099AA0000}"/>
    <cellStyle name="RIGs linked cells 3 3 3 31" xfId="43457" xr:uid="{00000000-0005-0000-0000-00009AAA0000}"/>
    <cellStyle name="RIGs linked cells 3 3 3 32" xfId="43458" xr:uid="{00000000-0005-0000-0000-00009BAA0000}"/>
    <cellStyle name="RIGs linked cells 3 3 3 33" xfId="43459" xr:uid="{00000000-0005-0000-0000-00009CAA0000}"/>
    <cellStyle name="RIGs linked cells 3 3 3 34" xfId="43460" xr:uid="{00000000-0005-0000-0000-00009DAA0000}"/>
    <cellStyle name="RIGs linked cells 3 3 3 35" xfId="43461" xr:uid="{00000000-0005-0000-0000-00009EAA0000}"/>
    <cellStyle name="RIGs linked cells 3 3 3 4" xfId="43462" xr:uid="{00000000-0005-0000-0000-00009FAA0000}"/>
    <cellStyle name="RIGs linked cells 3 3 3 4 2" xfId="43463" xr:uid="{00000000-0005-0000-0000-0000A0AA0000}"/>
    <cellStyle name="RIGs linked cells 3 3 3 4 3" xfId="43464" xr:uid="{00000000-0005-0000-0000-0000A1AA0000}"/>
    <cellStyle name="RIGs linked cells 3 3 3 5" xfId="43465" xr:uid="{00000000-0005-0000-0000-0000A2AA0000}"/>
    <cellStyle name="RIGs linked cells 3 3 3 5 2" xfId="43466" xr:uid="{00000000-0005-0000-0000-0000A3AA0000}"/>
    <cellStyle name="RIGs linked cells 3 3 3 5 3" xfId="43467" xr:uid="{00000000-0005-0000-0000-0000A4AA0000}"/>
    <cellStyle name="RIGs linked cells 3 3 3 6" xfId="43468" xr:uid="{00000000-0005-0000-0000-0000A5AA0000}"/>
    <cellStyle name="RIGs linked cells 3 3 3 7" xfId="43469" xr:uid="{00000000-0005-0000-0000-0000A6AA0000}"/>
    <cellStyle name="RIGs linked cells 3 3 3 8" xfId="43470" xr:uid="{00000000-0005-0000-0000-0000A7AA0000}"/>
    <cellStyle name="RIGs linked cells 3 3 3 9" xfId="43471" xr:uid="{00000000-0005-0000-0000-0000A8AA0000}"/>
    <cellStyle name="RIGs linked cells 3 3 3_4 28 1_Asst_Health_Crit_AllTO_RIIO_20110714pm" xfId="43472" xr:uid="{00000000-0005-0000-0000-0000A9AA0000}"/>
    <cellStyle name="RIGs linked cells 3 3 30" xfId="43473" xr:uid="{00000000-0005-0000-0000-0000AAAA0000}"/>
    <cellStyle name="RIGs linked cells 3 3 31" xfId="43474" xr:uid="{00000000-0005-0000-0000-0000ABAA0000}"/>
    <cellStyle name="RIGs linked cells 3 3 32" xfId="43475" xr:uid="{00000000-0005-0000-0000-0000ACAA0000}"/>
    <cellStyle name="RIGs linked cells 3 3 33" xfId="43476" xr:uid="{00000000-0005-0000-0000-0000ADAA0000}"/>
    <cellStyle name="RIGs linked cells 3 3 34" xfId="43477" xr:uid="{00000000-0005-0000-0000-0000AEAA0000}"/>
    <cellStyle name="RIGs linked cells 3 3 35" xfId="43478" xr:uid="{00000000-0005-0000-0000-0000AFAA0000}"/>
    <cellStyle name="RIGs linked cells 3 3 36" xfId="43479" xr:uid="{00000000-0005-0000-0000-0000B0AA0000}"/>
    <cellStyle name="RIGs linked cells 3 3 37" xfId="43480" xr:uid="{00000000-0005-0000-0000-0000B1AA0000}"/>
    <cellStyle name="RIGs linked cells 3 3 38" xfId="43481" xr:uid="{00000000-0005-0000-0000-0000B2AA0000}"/>
    <cellStyle name="RIGs linked cells 3 3 39" xfId="43482" xr:uid="{00000000-0005-0000-0000-0000B3AA0000}"/>
    <cellStyle name="RIGs linked cells 3 3 4" xfId="43483" xr:uid="{00000000-0005-0000-0000-0000B4AA0000}"/>
    <cellStyle name="RIGs linked cells 3 3 4 10" xfId="43484" xr:uid="{00000000-0005-0000-0000-0000B5AA0000}"/>
    <cellStyle name="RIGs linked cells 3 3 4 11" xfId="43485" xr:uid="{00000000-0005-0000-0000-0000B6AA0000}"/>
    <cellStyle name="RIGs linked cells 3 3 4 12" xfId="43486" xr:uid="{00000000-0005-0000-0000-0000B7AA0000}"/>
    <cellStyle name="RIGs linked cells 3 3 4 13" xfId="43487" xr:uid="{00000000-0005-0000-0000-0000B8AA0000}"/>
    <cellStyle name="RIGs linked cells 3 3 4 14" xfId="43488" xr:uid="{00000000-0005-0000-0000-0000B9AA0000}"/>
    <cellStyle name="RIGs linked cells 3 3 4 15" xfId="43489" xr:uid="{00000000-0005-0000-0000-0000BAAA0000}"/>
    <cellStyle name="RIGs linked cells 3 3 4 16" xfId="43490" xr:uid="{00000000-0005-0000-0000-0000BBAA0000}"/>
    <cellStyle name="RIGs linked cells 3 3 4 17" xfId="43491" xr:uid="{00000000-0005-0000-0000-0000BCAA0000}"/>
    <cellStyle name="RIGs linked cells 3 3 4 18" xfId="43492" xr:uid="{00000000-0005-0000-0000-0000BDAA0000}"/>
    <cellStyle name="RIGs linked cells 3 3 4 19" xfId="43493" xr:uid="{00000000-0005-0000-0000-0000BEAA0000}"/>
    <cellStyle name="RIGs linked cells 3 3 4 2" xfId="43494" xr:uid="{00000000-0005-0000-0000-0000BFAA0000}"/>
    <cellStyle name="RIGs linked cells 3 3 4 2 10" xfId="43495" xr:uid="{00000000-0005-0000-0000-0000C0AA0000}"/>
    <cellStyle name="RIGs linked cells 3 3 4 2 11" xfId="43496" xr:uid="{00000000-0005-0000-0000-0000C1AA0000}"/>
    <cellStyle name="RIGs linked cells 3 3 4 2 12" xfId="43497" xr:uid="{00000000-0005-0000-0000-0000C2AA0000}"/>
    <cellStyle name="RIGs linked cells 3 3 4 2 13" xfId="43498" xr:uid="{00000000-0005-0000-0000-0000C3AA0000}"/>
    <cellStyle name="RIGs linked cells 3 3 4 2 2" xfId="43499" xr:uid="{00000000-0005-0000-0000-0000C4AA0000}"/>
    <cellStyle name="RIGs linked cells 3 3 4 2 2 2" xfId="43500" xr:uid="{00000000-0005-0000-0000-0000C5AA0000}"/>
    <cellStyle name="RIGs linked cells 3 3 4 2 2 3" xfId="43501" xr:uid="{00000000-0005-0000-0000-0000C6AA0000}"/>
    <cellStyle name="RIGs linked cells 3 3 4 2 3" xfId="43502" xr:uid="{00000000-0005-0000-0000-0000C7AA0000}"/>
    <cellStyle name="RIGs linked cells 3 3 4 2 3 2" xfId="43503" xr:uid="{00000000-0005-0000-0000-0000C8AA0000}"/>
    <cellStyle name="RIGs linked cells 3 3 4 2 3 3" xfId="43504" xr:uid="{00000000-0005-0000-0000-0000C9AA0000}"/>
    <cellStyle name="RIGs linked cells 3 3 4 2 4" xfId="43505" xr:uid="{00000000-0005-0000-0000-0000CAAA0000}"/>
    <cellStyle name="RIGs linked cells 3 3 4 2 5" xfId="43506" xr:uid="{00000000-0005-0000-0000-0000CBAA0000}"/>
    <cellStyle name="RIGs linked cells 3 3 4 2 6" xfId="43507" xr:uid="{00000000-0005-0000-0000-0000CCAA0000}"/>
    <cellStyle name="RIGs linked cells 3 3 4 2 7" xfId="43508" xr:uid="{00000000-0005-0000-0000-0000CDAA0000}"/>
    <cellStyle name="RIGs linked cells 3 3 4 2 8" xfId="43509" xr:uid="{00000000-0005-0000-0000-0000CEAA0000}"/>
    <cellStyle name="RIGs linked cells 3 3 4 2 9" xfId="43510" xr:uid="{00000000-0005-0000-0000-0000CFAA0000}"/>
    <cellStyle name="RIGs linked cells 3 3 4 20" xfId="43511" xr:uid="{00000000-0005-0000-0000-0000D0AA0000}"/>
    <cellStyle name="RIGs linked cells 3 3 4 21" xfId="43512" xr:uid="{00000000-0005-0000-0000-0000D1AA0000}"/>
    <cellStyle name="RIGs linked cells 3 3 4 22" xfId="43513" xr:uid="{00000000-0005-0000-0000-0000D2AA0000}"/>
    <cellStyle name="RIGs linked cells 3 3 4 23" xfId="43514" xr:uid="{00000000-0005-0000-0000-0000D3AA0000}"/>
    <cellStyle name="RIGs linked cells 3 3 4 24" xfId="43515" xr:uid="{00000000-0005-0000-0000-0000D4AA0000}"/>
    <cellStyle name="RIGs linked cells 3 3 4 25" xfId="43516" xr:uid="{00000000-0005-0000-0000-0000D5AA0000}"/>
    <cellStyle name="RIGs linked cells 3 3 4 26" xfId="43517" xr:uid="{00000000-0005-0000-0000-0000D6AA0000}"/>
    <cellStyle name="RIGs linked cells 3 3 4 27" xfId="43518" xr:uid="{00000000-0005-0000-0000-0000D7AA0000}"/>
    <cellStyle name="RIGs linked cells 3 3 4 28" xfId="43519" xr:uid="{00000000-0005-0000-0000-0000D8AA0000}"/>
    <cellStyle name="RIGs linked cells 3 3 4 29" xfId="43520" xr:uid="{00000000-0005-0000-0000-0000D9AA0000}"/>
    <cellStyle name="RIGs linked cells 3 3 4 3" xfId="43521" xr:uid="{00000000-0005-0000-0000-0000DAAA0000}"/>
    <cellStyle name="RIGs linked cells 3 3 4 3 2" xfId="43522" xr:uid="{00000000-0005-0000-0000-0000DBAA0000}"/>
    <cellStyle name="RIGs linked cells 3 3 4 3 3" xfId="43523" xr:uid="{00000000-0005-0000-0000-0000DCAA0000}"/>
    <cellStyle name="RIGs linked cells 3 3 4 30" xfId="43524" xr:uid="{00000000-0005-0000-0000-0000DDAA0000}"/>
    <cellStyle name="RIGs linked cells 3 3 4 31" xfId="43525" xr:uid="{00000000-0005-0000-0000-0000DEAA0000}"/>
    <cellStyle name="RIGs linked cells 3 3 4 32" xfId="43526" xr:uid="{00000000-0005-0000-0000-0000DFAA0000}"/>
    <cellStyle name="RIGs linked cells 3 3 4 33" xfId="43527" xr:uid="{00000000-0005-0000-0000-0000E0AA0000}"/>
    <cellStyle name="RIGs linked cells 3 3 4 34" xfId="43528" xr:uid="{00000000-0005-0000-0000-0000E1AA0000}"/>
    <cellStyle name="RIGs linked cells 3 3 4 4" xfId="43529" xr:uid="{00000000-0005-0000-0000-0000E2AA0000}"/>
    <cellStyle name="RIGs linked cells 3 3 4 4 2" xfId="43530" xr:uid="{00000000-0005-0000-0000-0000E3AA0000}"/>
    <cellStyle name="RIGs linked cells 3 3 4 4 3" xfId="43531" xr:uid="{00000000-0005-0000-0000-0000E4AA0000}"/>
    <cellStyle name="RIGs linked cells 3 3 4 5" xfId="43532" xr:uid="{00000000-0005-0000-0000-0000E5AA0000}"/>
    <cellStyle name="RIGs linked cells 3 3 4 6" xfId="43533" xr:uid="{00000000-0005-0000-0000-0000E6AA0000}"/>
    <cellStyle name="RIGs linked cells 3 3 4 7" xfId="43534" xr:uid="{00000000-0005-0000-0000-0000E7AA0000}"/>
    <cellStyle name="RIGs linked cells 3 3 4 8" xfId="43535" xr:uid="{00000000-0005-0000-0000-0000E8AA0000}"/>
    <cellStyle name="RIGs linked cells 3 3 4 9" xfId="43536" xr:uid="{00000000-0005-0000-0000-0000E9AA0000}"/>
    <cellStyle name="RIGs linked cells 3 3 5" xfId="43537" xr:uid="{00000000-0005-0000-0000-0000EAAA0000}"/>
    <cellStyle name="RIGs linked cells 3 3 5 10" xfId="43538" xr:uid="{00000000-0005-0000-0000-0000EBAA0000}"/>
    <cellStyle name="RIGs linked cells 3 3 5 11" xfId="43539" xr:uid="{00000000-0005-0000-0000-0000ECAA0000}"/>
    <cellStyle name="RIGs linked cells 3 3 5 12" xfId="43540" xr:uid="{00000000-0005-0000-0000-0000EDAA0000}"/>
    <cellStyle name="RIGs linked cells 3 3 5 13" xfId="43541" xr:uid="{00000000-0005-0000-0000-0000EEAA0000}"/>
    <cellStyle name="RIGs linked cells 3 3 5 14" xfId="43542" xr:uid="{00000000-0005-0000-0000-0000EFAA0000}"/>
    <cellStyle name="RIGs linked cells 3 3 5 15" xfId="43543" xr:uid="{00000000-0005-0000-0000-0000F0AA0000}"/>
    <cellStyle name="RIGs linked cells 3 3 5 16" xfId="43544" xr:uid="{00000000-0005-0000-0000-0000F1AA0000}"/>
    <cellStyle name="RIGs linked cells 3 3 5 17" xfId="43545" xr:uid="{00000000-0005-0000-0000-0000F2AA0000}"/>
    <cellStyle name="RIGs linked cells 3 3 5 18" xfId="43546" xr:uid="{00000000-0005-0000-0000-0000F3AA0000}"/>
    <cellStyle name="RIGs linked cells 3 3 5 19" xfId="43547" xr:uid="{00000000-0005-0000-0000-0000F4AA0000}"/>
    <cellStyle name="RIGs linked cells 3 3 5 2" xfId="43548" xr:uid="{00000000-0005-0000-0000-0000F5AA0000}"/>
    <cellStyle name="RIGs linked cells 3 3 5 2 10" xfId="43549" xr:uid="{00000000-0005-0000-0000-0000F6AA0000}"/>
    <cellStyle name="RIGs linked cells 3 3 5 2 11" xfId="43550" xr:uid="{00000000-0005-0000-0000-0000F7AA0000}"/>
    <cellStyle name="RIGs linked cells 3 3 5 2 12" xfId="43551" xr:uid="{00000000-0005-0000-0000-0000F8AA0000}"/>
    <cellStyle name="RIGs linked cells 3 3 5 2 13" xfId="43552" xr:uid="{00000000-0005-0000-0000-0000F9AA0000}"/>
    <cellStyle name="RIGs linked cells 3 3 5 2 2" xfId="43553" xr:uid="{00000000-0005-0000-0000-0000FAAA0000}"/>
    <cellStyle name="RIGs linked cells 3 3 5 2 2 2" xfId="43554" xr:uid="{00000000-0005-0000-0000-0000FBAA0000}"/>
    <cellStyle name="RIGs linked cells 3 3 5 2 2 3" xfId="43555" xr:uid="{00000000-0005-0000-0000-0000FCAA0000}"/>
    <cellStyle name="RIGs linked cells 3 3 5 2 3" xfId="43556" xr:uid="{00000000-0005-0000-0000-0000FDAA0000}"/>
    <cellStyle name="RIGs linked cells 3 3 5 2 3 2" xfId="43557" xr:uid="{00000000-0005-0000-0000-0000FEAA0000}"/>
    <cellStyle name="RIGs linked cells 3 3 5 2 3 3" xfId="43558" xr:uid="{00000000-0005-0000-0000-0000FFAA0000}"/>
    <cellStyle name="RIGs linked cells 3 3 5 2 4" xfId="43559" xr:uid="{00000000-0005-0000-0000-000000AB0000}"/>
    <cellStyle name="RIGs linked cells 3 3 5 2 5" xfId="43560" xr:uid="{00000000-0005-0000-0000-000001AB0000}"/>
    <cellStyle name="RIGs linked cells 3 3 5 2 6" xfId="43561" xr:uid="{00000000-0005-0000-0000-000002AB0000}"/>
    <cellStyle name="RIGs linked cells 3 3 5 2 7" xfId="43562" xr:uid="{00000000-0005-0000-0000-000003AB0000}"/>
    <cellStyle name="RIGs linked cells 3 3 5 2 8" xfId="43563" xr:uid="{00000000-0005-0000-0000-000004AB0000}"/>
    <cellStyle name="RIGs linked cells 3 3 5 2 9" xfId="43564" xr:uid="{00000000-0005-0000-0000-000005AB0000}"/>
    <cellStyle name="RIGs linked cells 3 3 5 20" xfId="43565" xr:uid="{00000000-0005-0000-0000-000006AB0000}"/>
    <cellStyle name="RIGs linked cells 3 3 5 21" xfId="43566" xr:uid="{00000000-0005-0000-0000-000007AB0000}"/>
    <cellStyle name="RIGs linked cells 3 3 5 22" xfId="43567" xr:uid="{00000000-0005-0000-0000-000008AB0000}"/>
    <cellStyle name="RIGs linked cells 3 3 5 23" xfId="43568" xr:uid="{00000000-0005-0000-0000-000009AB0000}"/>
    <cellStyle name="RIGs linked cells 3 3 5 24" xfId="43569" xr:uid="{00000000-0005-0000-0000-00000AAB0000}"/>
    <cellStyle name="RIGs linked cells 3 3 5 25" xfId="43570" xr:uid="{00000000-0005-0000-0000-00000BAB0000}"/>
    <cellStyle name="RIGs linked cells 3 3 5 26" xfId="43571" xr:uid="{00000000-0005-0000-0000-00000CAB0000}"/>
    <cellStyle name="RIGs linked cells 3 3 5 27" xfId="43572" xr:uid="{00000000-0005-0000-0000-00000DAB0000}"/>
    <cellStyle name="RIGs linked cells 3 3 5 28" xfId="43573" xr:uid="{00000000-0005-0000-0000-00000EAB0000}"/>
    <cellStyle name="RIGs linked cells 3 3 5 29" xfId="43574" xr:uid="{00000000-0005-0000-0000-00000FAB0000}"/>
    <cellStyle name="RIGs linked cells 3 3 5 3" xfId="43575" xr:uid="{00000000-0005-0000-0000-000010AB0000}"/>
    <cellStyle name="RIGs linked cells 3 3 5 3 2" xfId="43576" xr:uid="{00000000-0005-0000-0000-000011AB0000}"/>
    <cellStyle name="RIGs linked cells 3 3 5 3 3" xfId="43577" xr:uid="{00000000-0005-0000-0000-000012AB0000}"/>
    <cellStyle name="RIGs linked cells 3 3 5 30" xfId="43578" xr:uid="{00000000-0005-0000-0000-000013AB0000}"/>
    <cellStyle name="RIGs linked cells 3 3 5 31" xfId="43579" xr:uid="{00000000-0005-0000-0000-000014AB0000}"/>
    <cellStyle name="RIGs linked cells 3 3 5 32" xfId="43580" xr:uid="{00000000-0005-0000-0000-000015AB0000}"/>
    <cellStyle name="RIGs linked cells 3 3 5 33" xfId="43581" xr:uid="{00000000-0005-0000-0000-000016AB0000}"/>
    <cellStyle name="RIGs linked cells 3 3 5 34" xfId="43582" xr:uid="{00000000-0005-0000-0000-000017AB0000}"/>
    <cellStyle name="RIGs linked cells 3 3 5 4" xfId="43583" xr:uid="{00000000-0005-0000-0000-000018AB0000}"/>
    <cellStyle name="RIGs linked cells 3 3 5 4 2" xfId="43584" xr:uid="{00000000-0005-0000-0000-000019AB0000}"/>
    <cellStyle name="RIGs linked cells 3 3 5 4 3" xfId="43585" xr:uid="{00000000-0005-0000-0000-00001AAB0000}"/>
    <cellStyle name="RIGs linked cells 3 3 5 5" xfId="43586" xr:uid="{00000000-0005-0000-0000-00001BAB0000}"/>
    <cellStyle name="RIGs linked cells 3 3 5 6" xfId="43587" xr:uid="{00000000-0005-0000-0000-00001CAB0000}"/>
    <cellStyle name="RIGs linked cells 3 3 5 7" xfId="43588" xr:uid="{00000000-0005-0000-0000-00001DAB0000}"/>
    <cellStyle name="RIGs linked cells 3 3 5 8" xfId="43589" xr:uid="{00000000-0005-0000-0000-00001EAB0000}"/>
    <cellStyle name="RIGs linked cells 3 3 5 9" xfId="43590" xr:uid="{00000000-0005-0000-0000-00001FAB0000}"/>
    <cellStyle name="RIGs linked cells 3 3 6" xfId="43591" xr:uid="{00000000-0005-0000-0000-000020AB0000}"/>
    <cellStyle name="RIGs linked cells 3 3 6 10" xfId="43592" xr:uid="{00000000-0005-0000-0000-000021AB0000}"/>
    <cellStyle name="RIGs linked cells 3 3 6 11" xfId="43593" xr:uid="{00000000-0005-0000-0000-000022AB0000}"/>
    <cellStyle name="RIGs linked cells 3 3 6 12" xfId="43594" xr:uid="{00000000-0005-0000-0000-000023AB0000}"/>
    <cellStyle name="RIGs linked cells 3 3 6 13" xfId="43595" xr:uid="{00000000-0005-0000-0000-000024AB0000}"/>
    <cellStyle name="RIGs linked cells 3 3 6 2" xfId="43596" xr:uid="{00000000-0005-0000-0000-000025AB0000}"/>
    <cellStyle name="RIGs linked cells 3 3 6 2 2" xfId="43597" xr:uid="{00000000-0005-0000-0000-000026AB0000}"/>
    <cellStyle name="RIGs linked cells 3 3 6 2 3" xfId="43598" xr:uid="{00000000-0005-0000-0000-000027AB0000}"/>
    <cellStyle name="RIGs linked cells 3 3 6 3" xfId="43599" xr:uid="{00000000-0005-0000-0000-000028AB0000}"/>
    <cellStyle name="RIGs linked cells 3 3 6 3 2" xfId="43600" xr:uid="{00000000-0005-0000-0000-000029AB0000}"/>
    <cellStyle name="RIGs linked cells 3 3 6 3 3" xfId="43601" xr:uid="{00000000-0005-0000-0000-00002AAB0000}"/>
    <cellStyle name="RIGs linked cells 3 3 6 4" xfId="43602" xr:uid="{00000000-0005-0000-0000-00002BAB0000}"/>
    <cellStyle name="RIGs linked cells 3 3 6 5" xfId="43603" xr:uid="{00000000-0005-0000-0000-00002CAB0000}"/>
    <cellStyle name="RIGs linked cells 3 3 6 6" xfId="43604" xr:uid="{00000000-0005-0000-0000-00002DAB0000}"/>
    <cellStyle name="RIGs linked cells 3 3 6 7" xfId="43605" xr:uid="{00000000-0005-0000-0000-00002EAB0000}"/>
    <cellStyle name="RIGs linked cells 3 3 6 8" xfId="43606" xr:uid="{00000000-0005-0000-0000-00002FAB0000}"/>
    <cellStyle name="RIGs linked cells 3 3 6 9" xfId="43607" xr:uid="{00000000-0005-0000-0000-000030AB0000}"/>
    <cellStyle name="RIGs linked cells 3 3 7" xfId="43608" xr:uid="{00000000-0005-0000-0000-000031AB0000}"/>
    <cellStyle name="RIGs linked cells 3 3 7 2" xfId="43609" xr:uid="{00000000-0005-0000-0000-000032AB0000}"/>
    <cellStyle name="RIGs linked cells 3 3 7 2 2" xfId="43610" xr:uid="{00000000-0005-0000-0000-000033AB0000}"/>
    <cellStyle name="RIGs linked cells 3 3 7 2 3" xfId="43611" xr:uid="{00000000-0005-0000-0000-000034AB0000}"/>
    <cellStyle name="RIGs linked cells 3 3 7 3" xfId="43612" xr:uid="{00000000-0005-0000-0000-000035AB0000}"/>
    <cellStyle name="RIGs linked cells 3 3 7 3 2" xfId="43613" xr:uid="{00000000-0005-0000-0000-000036AB0000}"/>
    <cellStyle name="RIGs linked cells 3 3 7 4" xfId="43614" xr:uid="{00000000-0005-0000-0000-000037AB0000}"/>
    <cellStyle name="RIGs linked cells 3 3 8" xfId="43615" xr:uid="{00000000-0005-0000-0000-000038AB0000}"/>
    <cellStyle name="RIGs linked cells 3 3 8 2" xfId="43616" xr:uid="{00000000-0005-0000-0000-000039AB0000}"/>
    <cellStyle name="RIGs linked cells 3 3 9" xfId="43617" xr:uid="{00000000-0005-0000-0000-00003AAB0000}"/>
    <cellStyle name="RIGs linked cells 3 3 9 2" xfId="43618" xr:uid="{00000000-0005-0000-0000-00003BAB0000}"/>
    <cellStyle name="RIGs linked cells 3 3_4 28 1_Asst_Health_Crit_AllTO_RIIO_20110714pm" xfId="43619" xr:uid="{00000000-0005-0000-0000-00003CAB0000}"/>
    <cellStyle name="RIGs linked cells 3 30" xfId="43620" xr:uid="{00000000-0005-0000-0000-00003DAB0000}"/>
    <cellStyle name="RIGs linked cells 3 31" xfId="43621" xr:uid="{00000000-0005-0000-0000-00003EAB0000}"/>
    <cellStyle name="RIGs linked cells 3 32" xfId="43622" xr:uid="{00000000-0005-0000-0000-00003FAB0000}"/>
    <cellStyle name="RIGs linked cells 3 33" xfId="43623" xr:uid="{00000000-0005-0000-0000-000040AB0000}"/>
    <cellStyle name="RIGs linked cells 3 34" xfId="43624" xr:uid="{00000000-0005-0000-0000-000041AB0000}"/>
    <cellStyle name="RIGs linked cells 3 35" xfId="43625" xr:uid="{00000000-0005-0000-0000-000042AB0000}"/>
    <cellStyle name="RIGs linked cells 3 36" xfId="43626" xr:uid="{00000000-0005-0000-0000-000043AB0000}"/>
    <cellStyle name="RIGs linked cells 3 37" xfId="43627" xr:uid="{00000000-0005-0000-0000-000044AB0000}"/>
    <cellStyle name="RIGs linked cells 3 38" xfId="43628" xr:uid="{00000000-0005-0000-0000-000045AB0000}"/>
    <cellStyle name="RIGs linked cells 3 39" xfId="43629" xr:uid="{00000000-0005-0000-0000-000046AB0000}"/>
    <cellStyle name="RIGs linked cells 3 4" xfId="43630" xr:uid="{00000000-0005-0000-0000-000047AB0000}"/>
    <cellStyle name="RIGs linked cells 3 4 10" xfId="43631" xr:uid="{00000000-0005-0000-0000-000048AB0000}"/>
    <cellStyle name="RIGs linked cells 3 4 11" xfId="43632" xr:uid="{00000000-0005-0000-0000-000049AB0000}"/>
    <cellStyle name="RIGs linked cells 3 4 12" xfId="43633" xr:uid="{00000000-0005-0000-0000-00004AAB0000}"/>
    <cellStyle name="RIGs linked cells 3 4 13" xfId="43634" xr:uid="{00000000-0005-0000-0000-00004BAB0000}"/>
    <cellStyle name="RIGs linked cells 3 4 14" xfId="43635" xr:uid="{00000000-0005-0000-0000-00004CAB0000}"/>
    <cellStyle name="RIGs linked cells 3 4 15" xfId="43636" xr:uid="{00000000-0005-0000-0000-00004DAB0000}"/>
    <cellStyle name="RIGs linked cells 3 4 16" xfId="43637" xr:uid="{00000000-0005-0000-0000-00004EAB0000}"/>
    <cellStyle name="RIGs linked cells 3 4 17" xfId="43638" xr:uid="{00000000-0005-0000-0000-00004FAB0000}"/>
    <cellStyle name="RIGs linked cells 3 4 18" xfId="43639" xr:uid="{00000000-0005-0000-0000-000050AB0000}"/>
    <cellStyle name="RIGs linked cells 3 4 19" xfId="43640" xr:uid="{00000000-0005-0000-0000-000051AB0000}"/>
    <cellStyle name="RIGs linked cells 3 4 2" xfId="43641" xr:uid="{00000000-0005-0000-0000-000052AB0000}"/>
    <cellStyle name="RIGs linked cells 3 4 2 10" xfId="43642" xr:uid="{00000000-0005-0000-0000-000053AB0000}"/>
    <cellStyle name="RIGs linked cells 3 4 2 11" xfId="43643" xr:uid="{00000000-0005-0000-0000-000054AB0000}"/>
    <cellStyle name="RIGs linked cells 3 4 2 12" xfId="43644" xr:uid="{00000000-0005-0000-0000-000055AB0000}"/>
    <cellStyle name="RIGs linked cells 3 4 2 13" xfId="43645" xr:uid="{00000000-0005-0000-0000-000056AB0000}"/>
    <cellStyle name="RIGs linked cells 3 4 2 14" xfId="43646" xr:uid="{00000000-0005-0000-0000-000057AB0000}"/>
    <cellStyle name="RIGs linked cells 3 4 2 15" xfId="43647" xr:uid="{00000000-0005-0000-0000-000058AB0000}"/>
    <cellStyle name="RIGs linked cells 3 4 2 16" xfId="43648" xr:uid="{00000000-0005-0000-0000-000059AB0000}"/>
    <cellStyle name="RIGs linked cells 3 4 2 17" xfId="43649" xr:uid="{00000000-0005-0000-0000-00005AAB0000}"/>
    <cellStyle name="RIGs linked cells 3 4 2 18" xfId="43650" xr:uid="{00000000-0005-0000-0000-00005BAB0000}"/>
    <cellStyle name="RIGs linked cells 3 4 2 19" xfId="43651" xr:uid="{00000000-0005-0000-0000-00005CAB0000}"/>
    <cellStyle name="RIGs linked cells 3 4 2 2" xfId="43652" xr:uid="{00000000-0005-0000-0000-00005DAB0000}"/>
    <cellStyle name="RIGs linked cells 3 4 2 2 10" xfId="43653" xr:uid="{00000000-0005-0000-0000-00005EAB0000}"/>
    <cellStyle name="RIGs linked cells 3 4 2 2 11" xfId="43654" xr:uid="{00000000-0005-0000-0000-00005FAB0000}"/>
    <cellStyle name="RIGs linked cells 3 4 2 2 12" xfId="43655" xr:uid="{00000000-0005-0000-0000-000060AB0000}"/>
    <cellStyle name="RIGs linked cells 3 4 2 2 13" xfId="43656" xr:uid="{00000000-0005-0000-0000-000061AB0000}"/>
    <cellStyle name="RIGs linked cells 3 4 2 2 2" xfId="43657" xr:uid="{00000000-0005-0000-0000-000062AB0000}"/>
    <cellStyle name="RIGs linked cells 3 4 2 2 2 2" xfId="43658" xr:uid="{00000000-0005-0000-0000-000063AB0000}"/>
    <cellStyle name="RIGs linked cells 3 4 2 2 2 3" xfId="43659" xr:uid="{00000000-0005-0000-0000-000064AB0000}"/>
    <cellStyle name="RIGs linked cells 3 4 2 2 3" xfId="43660" xr:uid="{00000000-0005-0000-0000-000065AB0000}"/>
    <cellStyle name="RIGs linked cells 3 4 2 2 3 2" xfId="43661" xr:uid="{00000000-0005-0000-0000-000066AB0000}"/>
    <cellStyle name="RIGs linked cells 3 4 2 2 3 3" xfId="43662" xr:uid="{00000000-0005-0000-0000-000067AB0000}"/>
    <cellStyle name="RIGs linked cells 3 4 2 2 4" xfId="43663" xr:uid="{00000000-0005-0000-0000-000068AB0000}"/>
    <cellStyle name="RIGs linked cells 3 4 2 2 5" xfId="43664" xr:uid="{00000000-0005-0000-0000-000069AB0000}"/>
    <cellStyle name="RIGs linked cells 3 4 2 2 6" xfId="43665" xr:uid="{00000000-0005-0000-0000-00006AAB0000}"/>
    <cellStyle name="RIGs linked cells 3 4 2 2 7" xfId="43666" xr:uid="{00000000-0005-0000-0000-00006BAB0000}"/>
    <cellStyle name="RIGs linked cells 3 4 2 2 8" xfId="43667" xr:uid="{00000000-0005-0000-0000-00006CAB0000}"/>
    <cellStyle name="RIGs linked cells 3 4 2 2 9" xfId="43668" xr:uid="{00000000-0005-0000-0000-00006DAB0000}"/>
    <cellStyle name="RIGs linked cells 3 4 2 20" xfId="43669" xr:uid="{00000000-0005-0000-0000-00006EAB0000}"/>
    <cellStyle name="RIGs linked cells 3 4 2 21" xfId="43670" xr:uid="{00000000-0005-0000-0000-00006FAB0000}"/>
    <cellStyle name="RIGs linked cells 3 4 2 22" xfId="43671" xr:uid="{00000000-0005-0000-0000-000070AB0000}"/>
    <cellStyle name="RIGs linked cells 3 4 2 23" xfId="43672" xr:uid="{00000000-0005-0000-0000-000071AB0000}"/>
    <cellStyle name="RIGs linked cells 3 4 2 24" xfId="43673" xr:uid="{00000000-0005-0000-0000-000072AB0000}"/>
    <cellStyle name="RIGs linked cells 3 4 2 25" xfId="43674" xr:uid="{00000000-0005-0000-0000-000073AB0000}"/>
    <cellStyle name="RIGs linked cells 3 4 2 26" xfId="43675" xr:uid="{00000000-0005-0000-0000-000074AB0000}"/>
    <cellStyle name="RIGs linked cells 3 4 2 27" xfId="43676" xr:uid="{00000000-0005-0000-0000-000075AB0000}"/>
    <cellStyle name="RIGs linked cells 3 4 2 28" xfId="43677" xr:uid="{00000000-0005-0000-0000-000076AB0000}"/>
    <cellStyle name="RIGs linked cells 3 4 2 29" xfId="43678" xr:uid="{00000000-0005-0000-0000-000077AB0000}"/>
    <cellStyle name="RIGs linked cells 3 4 2 3" xfId="43679" xr:uid="{00000000-0005-0000-0000-000078AB0000}"/>
    <cellStyle name="RIGs linked cells 3 4 2 3 2" xfId="43680" xr:uid="{00000000-0005-0000-0000-000079AB0000}"/>
    <cellStyle name="RIGs linked cells 3 4 2 3 3" xfId="43681" xr:uid="{00000000-0005-0000-0000-00007AAB0000}"/>
    <cellStyle name="RIGs linked cells 3 4 2 30" xfId="43682" xr:uid="{00000000-0005-0000-0000-00007BAB0000}"/>
    <cellStyle name="RIGs linked cells 3 4 2 31" xfId="43683" xr:uid="{00000000-0005-0000-0000-00007CAB0000}"/>
    <cellStyle name="RIGs linked cells 3 4 2 32" xfId="43684" xr:uid="{00000000-0005-0000-0000-00007DAB0000}"/>
    <cellStyle name="RIGs linked cells 3 4 2 33" xfId="43685" xr:uid="{00000000-0005-0000-0000-00007EAB0000}"/>
    <cellStyle name="RIGs linked cells 3 4 2 34" xfId="43686" xr:uid="{00000000-0005-0000-0000-00007FAB0000}"/>
    <cellStyle name="RIGs linked cells 3 4 2 4" xfId="43687" xr:uid="{00000000-0005-0000-0000-000080AB0000}"/>
    <cellStyle name="RIGs linked cells 3 4 2 4 2" xfId="43688" xr:uid="{00000000-0005-0000-0000-000081AB0000}"/>
    <cellStyle name="RIGs linked cells 3 4 2 4 3" xfId="43689" xr:uid="{00000000-0005-0000-0000-000082AB0000}"/>
    <cellStyle name="RIGs linked cells 3 4 2 5" xfId="43690" xr:uid="{00000000-0005-0000-0000-000083AB0000}"/>
    <cellStyle name="RIGs linked cells 3 4 2 6" xfId="43691" xr:uid="{00000000-0005-0000-0000-000084AB0000}"/>
    <cellStyle name="RIGs linked cells 3 4 2 7" xfId="43692" xr:uid="{00000000-0005-0000-0000-000085AB0000}"/>
    <cellStyle name="RIGs linked cells 3 4 2 8" xfId="43693" xr:uid="{00000000-0005-0000-0000-000086AB0000}"/>
    <cellStyle name="RIGs linked cells 3 4 2 9" xfId="43694" xr:uid="{00000000-0005-0000-0000-000087AB0000}"/>
    <cellStyle name="RIGs linked cells 3 4 20" xfId="43695" xr:uid="{00000000-0005-0000-0000-000088AB0000}"/>
    <cellStyle name="RIGs linked cells 3 4 21" xfId="43696" xr:uid="{00000000-0005-0000-0000-000089AB0000}"/>
    <cellStyle name="RIGs linked cells 3 4 22" xfId="43697" xr:uid="{00000000-0005-0000-0000-00008AAB0000}"/>
    <cellStyle name="RIGs linked cells 3 4 23" xfId="43698" xr:uid="{00000000-0005-0000-0000-00008BAB0000}"/>
    <cellStyle name="RIGs linked cells 3 4 24" xfId="43699" xr:uid="{00000000-0005-0000-0000-00008CAB0000}"/>
    <cellStyle name="RIGs linked cells 3 4 25" xfId="43700" xr:uid="{00000000-0005-0000-0000-00008DAB0000}"/>
    <cellStyle name="RIGs linked cells 3 4 26" xfId="43701" xr:uid="{00000000-0005-0000-0000-00008EAB0000}"/>
    <cellStyle name="RIGs linked cells 3 4 27" xfId="43702" xr:uid="{00000000-0005-0000-0000-00008FAB0000}"/>
    <cellStyle name="RIGs linked cells 3 4 28" xfId="43703" xr:uid="{00000000-0005-0000-0000-000090AB0000}"/>
    <cellStyle name="RIGs linked cells 3 4 29" xfId="43704" xr:uid="{00000000-0005-0000-0000-000091AB0000}"/>
    <cellStyle name="RIGs linked cells 3 4 3" xfId="43705" xr:uid="{00000000-0005-0000-0000-000092AB0000}"/>
    <cellStyle name="RIGs linked cells 3 4 3 10" xfId="43706" xr:uid="{00000000-0005-0000-0000-000093AB0000}"/>
    <cellStyle name="RIGs linked cells 3 4 3 11" xfId="43707" xr:uid="{00000000-0005-0000-0000-000094AB0000}"/>
    <cellStyle name="RIGs linked cells 3 4 3 12" xfId="43708" xr:uid="{00000000-0005-0000-0000-000095AB0000}"/>
    <cellStyle name="RIGs linked cells 3 4 3 13" xfId="43709" xr:uid="{00000000-0005-0000-0000-000096AB0000}"/>
    <cellStyle name="RIGs linked cells 3 4 3 2" xfId="43710" xr:uid="{00000000-0005-0000-0000-000097AB0000}"/>
    <cellStyle name="RIGs linked cells 3 4 3 2 2" xfId="43711" xr:uid="{00000000-0005-0000-0000-000098AB0000}"/>
    <cellStyle name="RIGs linked cells 3 4 3 2 3" xfId="43712" xr:uid="{00000000-0005-0000-0000-000099AB0000}"/>
    <cellStyle name="RIGs linked cells 3 4 3 3" xfId="43713" xr:uid="{00000000-0005-0000-0000-00009AAB0000}"/>
    <cellStyle name="RIGs linked cells 3 4 3 3 2" xfId="43714" xr:uid="{00000000-0005-0000-0000-00009BAB0000}"/>
    <cellStyle name="RIGs linked cells 3 4 3 3 3" xfId="43715" xr:uid="{00000000-0005-0000-0000-00009CAB0000}"/>
    <cellStyle name="RIGs linked cells 3 4 3 4" xfId="43716" xr:uid="{00000000-0005-0000-0000-00009DAB0000}"/>
    <cellStyle name="RIGs linked cells 3 4 3 5" xfId="43717" xr:uid="{00000000-0005-0000-0000-00009EAB0000}"/>
    <cellStyle name="RIGs linked cells 3 4 3 6" xfId="43718" xr:uid="{00000000-0005-0000-0000-00009FAB0000}"/>
    <cellStyle name="RIGs linked cells 3 4 3 7" xfId="43719" xr:uid="{00000000-0005-0000-0000-0000A0AB0000}"/>
    <cellStyle name="RIGs linked cells 3 4 3 8" xfId="43720" xr:uid="{00000000-0005-0000-0000-0000A1AB0000}"/>
    <cellStyle name="RIGs linked cells 3 4 3 9" xfId="43721" xr:uid="{00000000-0005-0000-0000-0000A2AB0000}"/>
    <cellStyle name="RIGs linked cells 3 4 30" xfId="43722" xr:uid="{00000000-0005-0000-0000-0000A3AB0000}"/>
    <cellStyle name="RIGs linked cells 3 4 31" xfId="43723" xr:uid="{00000000-0005-0000-0000-0000A4AB0000}"/>
    <cellStyle name="RIGs linked cells 3 4 32" xfId="43724" xr:uid="{00000000-0005-0000-0000-0000A5AB0000}"/>
    <cellStyle name="RIGs linked cells 3 4 33" xfId="43725" xr:uid="{00000000-0005-0000-0000-0000A6AB0000}"/>
    <cellStyle name="RIGs linked cells 3 4 34" xfId="43726" xr:uid="{00000000-0005-0000-0000-0000A7AB0000}"/>
    <cellStyle name="RIGs linked cells 3 4 35" xfId="43727" xr:uid="{00000000-0005-0000-0000-0000A8AB0000}"/>
    <cellStyle name="RIGs linked cells 3 4 4" xfId="43728" xr:uid="{00000000-0005-0000-0000-0000A9AB0000}"/>
    <cellStyle name="RIGs linked cells 3 4 4 2" xfId="43729" xr:uid="{00000000-0005-0000-0000-0000AAAB0000}"/>
    <cellStyle name="RIGs linked cells 3 4 4 3" xfId="43730" xr:uid="{00000000-0005-0000-0000-0000ABAB0000}"/>
    <cellStyle name="RIGs linked cells 3 4 5" xfId="43731" xr:uid="{00000000-0005-0000-0000-0000ACAB0000}"/>
    <cellStyle name="RIGs linked cells 3 4 5 2" xfId="43732" xr:uid="{00000000-0005-0000-0000-0000ADAB0000}"/>
    <cellStyle name="RIGs linked cells 3 4 5 3" xfId="43733" xr:uid="{00000000-0005-0000-0000-0000AEAB0000}"/>
    <cellStyle name="RIGs linked cells 3 4 6" xfId="43734" xr:uid="{00000000-0005-0000-0000-0000AFAB0000}"/>
    <cellStyle name="RIGs linked cells 3 4 7" xfId="43735" xr:uid="{00000000-0005-0000-0000-0000B0AB0000}"/>
    <cellStyle name="RIGs linked cells 3 4 8" xfId="43736" xr:uid="{00000000-0005-0000-0000-0000B1AB0000}"/>
    <cellStyle name="RIGs linked cells 3 4 9" xfId="43737" xr:uid="{00000000-0005-0000-0000-0000B2AB0000}"/>
    <cellStyle name="RIGs linked cells 3 4_4 28 1_Asst_Health_Crit_AllTO_RIIO_20110714pm" xfId="43738" xr:uid="{00000000-0005-0000-0000-0000B3AB0000}"/>
    <cellStyle name="RIGs linked cells 3 40" xfId="43739" xr:uid="{00000000-0005-0000-0000-0000B4AB0000}"/>
    <cellStyle name="RIGs linked cells 3 5" xfId="43740" xr:uid="{00000000-0005-0000-0000-0000B5AB0000}"/>
    <cellStyle name="RIGs linked cells 3 5 10" xfId="43741" xr:uid="{00000000-0005-0000-0000-0000B6AB0000}"/>
    <cellStyle name="RIGs linked cells 3 5 11" xfId="43742" xr:uid="{00000000-0005-0000-0000-0000B7AB0000}"/>
    <cellStyle name="RIGs linked cells 3 5 12" xfId="43743" xr:uid="{00000000-0005-0000-0000-0000B8AB0000}"/>
    <cellStyle name="RIGs linked cells 3 5 13" xfId="43744" xr:uid="{00000000-0005-0000-0000-0000B9AB0000}"/>
    <cellStyle name="RIGs linked cells 3 5 14" xfId="43745" xr:uid="{00000000-0005-0000-0000-0000BAAB0000}"/>
    <cellStyle name="RIGs linked cells 3 5 15" xfId="43746" xr:uid="{00000000-0005-0000-0000-0000BBAB0000}"/>
    <cellStyle name="RIGs linked cells 3 5 16" xfId="43747" xr:uid="{00000000-0005-0000-0000-0000BCAB0000}"/>
    <cellStyle name="RIGs linked cells 3 5 17" xfId="43748" xr:uid="{00000000-0005-0000-0000-0000BDAB0000}"/>
    <cellStyle name="RIGs linked cells 3 5 18" xfId="43749" xr:uid="{00000000-0005-0000-0000-0000BEAB0000}"/>
    <cellStyle name="RIGs linked cells 3 5 19" xfId="43750" xr:uid="{00000000-0005-0000-0000-0000BFAB0000}"/>
    <cellStyle name="RIGs linked cells 3 5 2" xfId="43751" xr:uid="{00000000-0005-0000-0000-0000C0AB0000}"/>
    <cellStyle name="RIGs linked cells 3 5 2 10" xfId="43752" xr:uid="{00000000-0005-0000-0000-0000C1AB0000}"/>
    <cellStyle name="RIGs linked cells 3 5 2 11" xfId="43753" xr:uid="{00000000-0005-0000-0000-0000C2AB0000}"/>
    <cellStyle name="RIGs linked cells 3 5 2 12" xfId="43754" xr:uid="{00000000-0005-0000-0000-0000C3AB0000}"/>
    <cellStyle name="RIGs linked cells 3 5 2 13" xfId="43755" xr:uid="{00000000-0005-0000-0000-0000C4AB0000}"/>
    <cellStyle name="RIGs linked cells 3 5 2 2" xfId="43756" xr:uid="{00000000-0005-0000-0000-0000C5AB0000}"/>
    <cellStyle name="RIGs linked cells 3 5 2 2 2" xfId="43757" xr:uid="{00000000-0005-0000-0000-0000C6AB0000}"/>
    <cellStyle name="RIGs linked cells 3 5 2 2 3" xfId="43758" xr:uid="{00000000-0005-0000-0000-0000C7AB0000}"/>
    <cellStyle name="RIGs linked cells 3 5 2 3" xfId="43759" xr:uid="{00000000-0005-0000-0000-0000C8AB0000}"/>
    <cellStyle name="RIGs linked cells 3 5 2 3 2" xfId="43760" xr:uid="{00000000-0005-0000-0000-0000C9AB0000}"/>
    <cellStyle name="RIGs linked cells 3 5 2 3 3" xfId="43761" xr:uid="{00000000-0005-0000-0000-0000CAAB0000}"/>
    <cellStyle name="RIGs linked cells 3 5 2 4" xfId="43762" xr:uid="{00000000-0005-0000-0000-0000CBAB0000}"/>
    <cellStyle name="RIGs linked cells 3 5 2 5" xfId="43763" xr:uid="{00000000-0005-0000-0000-0000CCAB0000}"/>
    <cellStyle name="RIGs linked cells 3 5 2 6" xfId="43764" xr:uid="{00000000-0005-0000-0000-0000CDAB0000}"/>
    <cellStyle name="RIGs linked cells 3 5 2 7" xfId="43765" xr:uid="{00000000-0005-0000-0000-0000CEAB0000}"/>
    <cellStyle name="RIGs linked cells 3 5 2 8" xfId="43766" xr:uid="{00000000-0005-0000-0000-0000CFAB0000}"/>
    <cellStyle name="RIGs linked cells 3 5 2 9" xfId="43767" xr:uid="{00000000-0005-0000-0000-0000D0AB0000}"/>
    <cellStyle name="RIGs linked cells 3 5 20" xfId="43768" xr:uid="{00000000-0005-0000-0000-0000D1AB0000}"/>
    <cellStyle name="RIGs linked cells 3 5 21" xfId="43769" xr:uid="{00000000-0005-0000-0000-0000D2AB0000}"/>
    <cellStyle name="RIGs linked cells 3 5 22" xfId="43770" xr:uid="{00000000-0005-0000-0000-0000D3AB0000}"/>
    <cellStyle name="RIGs linked cells 3 5 23" xfId="43771" xr:uid="{00000000-0005-0000-0000-0000D4AB0000}"/>
    <cellStyle name="RIGs linked cells 3 5 24" xfId="43772" xr:uid="{00000000-0005-0000-0000-0000D5AB0000}"/>
    <cellStyle name="RIGs linked cells 3 5 25" xfId="43773" xr:uid="{00000000-0005-0000-0000-0000D6AB0000}"/>
    <cellStyle name="RIGs linked cells 3 5 26" xfId="43774" xr:uid="{00000000-0005-0000-0000-0000D7AB0000}"/>
    <cellStyle name="RIGs linked cells 3 5 27" xfId="43775" xr:uid="{00000000-0005-0000-0000-0000D8AB0000}"/>
    <cellStyle name="RIGs linked cells 3 5 28" xfId="43776" xr:uid="{00000000-0005-0000-0000-0000D9AB0000}"/>
    <cellStyle name="RIGs linked cells 3 5 29" xfId="43777" xr:uid="{00000000-0005-0000-0000-0000DAAB0000}"/>
    <cellStyle name="RIGs linked cells 3 5 3" xfId="43778" xr:uid="{00000000-0005-0000-0000-0000DBAB0000}"/>
    <cellStyle name="RIGs linked cells 3 5 3 2" xfId="43779" xr:uid="{00000000-0005-0000-0000-0000DCAB0000}"/>
    <cellStyle name="RIGs linked cells 3 5 3 3" xfId="43780" xr:uid="{00000000-0005-0000-0000-0000DDAB0000}"/>
    <cellStyle name="RIGs linked cells 3 5 30" xfId="43781" xr:uid="{00000000-0005-0000-0000-0000DEAB0000}"/>
    <cellStyle name="RIGs linked cells 3 5 31" xfId="43782" xr:uid="{00000000-0005-0000-0000-0000DFAB0000}"/>
    <cellStyle name="RIGs linked cells 3 5 32" xfId="43783" xr:uid="{00000000-0005-0000-0000-0000E0AB0000}"/>
    <cellStyle name="RIGs linked cells 3 5 33" xfId="43784" xr:uid="{00000000-0005-0000-0000-0000E1AB0000}"/>
    <cellStyle name="RIGs linked cells 3 5 34" xfId="43785" xr:uid="{00000000-0005-0000-0000-0000E2AB0000}"/>
    <cellStyle name="RIGs linked cells 3 5 4" xfId="43786" xr:uid="{00000000-0005-0000-0000-0000E3AB0000}"/>
    <cellStyle name="RIGs linked cells 3 5 4 2" xfId="43787" xr:uid="{00000000-0005-0000-0000-0000E4AB0000}"/>
    <cellStyle name="RIGs linked cells 3 5 4 3" xfId="43788" xr:uid="{00000000-0005-0000-0000-0000E5AB0000}"/>
    <cellStyle name="RIGs linked cells 3 5 5" xfId="43789" xr:uid="{00000000-0005-0000-0000-0000E6AB0000}"/>
    <cellStyle name="RIGs linked cells 3 5 6" xfId="43790" xr:uid="{00000000-0005-0000-0000-0000E7AB0000}"/>
    <cellStyle name="RIGs linked cells 3 5 7" xfId="43791" xr:uid="{00000000-0005-0000-0000-0000E8AB0000}"/>
    <cellStyle name="RIGs linked cells 3 5 8" xfId="43792" xr:uid="{00000000-0005-0000-0000-0000E9AB0000}"/>
    <cellStyle name="RIGs linked cells 3 5 9" xfId="43793" xr:uid="{00000000-0005-0000-0000-0000EAAB0000}"/>
    <cellStyle name="RIGs linked cells 3 6" xfId="43794" xr:uid="{00000000-0005-0000-0000-0000EBAB0000}"/>
    <cellStyle name="RIGs linked cells 3 6 10" xfId="43795" xr:uid="{00000000-0005-0000-0000-0000ECAB0000}"/>
    <cellStyle name="RIGs linked cells 3 6 11" xfId="43796" xr:uid="{00000000-0005-0000-0000-0000EDAB0000}"/>
    <cellStyle name="RIGs linked cells 3 6 12" xfId="43797" xr:uid="{00000000-0005-0000-0000-0000EEAB0000}"/>
    <cellStyle name="RIGs linked cells 3 6 13" xfId="43798" xr:uid="{00000000-0005-0000-0000-0000EFAB0000}"/>
    <cellStyle name="RIGs linked cells 3 6 14" xfId="43799" xr:uid="{00000000-0005-0000-0000-0000F0AB0000}"/>
    <cellStyle name="RIGs linked cells 3 6 15" xfId="43800" xr:uid="{00000000-0005-0000-0000-0000F1AB0000}"/>
    <cellStyle name="RIGs linked cells 3 6 16" xfId="43801" xr:uid="{00000000-0005-0000-0000-0000F2AB0000}"/>
    <cellStyle name="RIGs linked cells 3 6 17" xfId="43802" xr:uid="{00000000-0005-0000-0000-0000F3AB0000}"/>
    <cellStyle name="RIGs linked cells 3 6 18" xfId="43803" xr:uid="{00000000-0005-0000-0000-0000F4AB0000}"/>
    <cellStyle name="RIGs linked cells 3 6 19" xfId="43804" xr:uid="{00000000-0005-0000-0000-0000F5AB0000}"/>
    <cellStyle name="RIGs linked cells 3 6 2" xfId="43805" xr:uid="{00000000-0005-0000-0000-0000F6AB0000}"/>
    <cellStyle name="RIGs linked cells 3 6 2 10" xfId="43806" xr:uid="{00000000-0005-0000-0000-0000F7AB0000}"/>
    <cellStyle name="RIGs linked cells 3 6 2 11" xfId="43807" xr:uid="{00000000-0005-0000-0000-0000F8AB0000}"/>
    <cellStyle name="RIGs linked cells 3 6 2 12" xfId="43808" xr:uid="{00000000-0005-0000-0000-0000F9AB0000}"/>
    <cellStyle name="RIGs linked cells 3 6 2 13" xfId="43809" xr:uid="{00000000-0005-0000-0000-0000FAAB0000}"/>
    <cellStyle name="RIGs linked cells 3 6 2 2" xfId="43810" xr:uid="{00000000-0005-0000-0000-0000FBAB0000}"/>
    <cellStyle name="RIGs linked cells 3 6 2 2 2" xfId="43811" xr:uid="{00000000-0005-0000-0000-0000FCAB0000}"/>
    <cellStyle name="RIGs linked cells 3 6 2 2 3" xfId="43812" xr:uid="{00000000-0005-0000-0000-0000FDAB0000}"/>
    <cellStyle name="RIGs linked cells 3 6 2 3" xfId="43813" xr:uid="{00000000-0005-0000-0000-0000FEAB0000}"/>
    <cellStyle name="RIGs linked cells 3 6 2 3 2" xfId="43814" xr:uid="{00000000-0005-0000-0000-0000FFAB0000}"/>
    <cellStyle name="RIGs linked cells 3 6 2 3 3" xfId="43815" xr:uid="{00000000-0005-0000-0000-000000AC0000}"/>
    <cellStyle name="RIGs linked cells 3 6 2 4" xfId="43816" xr:uid="{00000000-0005-0000-0000-000001AC0000}"/>
    <cellStyle name="RIGs linked cells 3 6 2 5" xfId="43817" xr:uid="{00000000-0005-0000-0000-000002AC0000}"/>
    <cellStyle name="RIGs linked cells 3 6 2 6" xfId="43818" xr:uid="{00000000-0005-0000-0000-000003AC0000}"/>
    <cellStyle name="RIGs linked cells 3 6 2 7" xfId="43819" xr:uid="{00000000-0005-0000-0000-000004AC0000}"/>
    <cellStyle name="RIGs linked cells 3 6 2 8" xfId="43820" xr:uid="{00000000-0005-0000-0000-000005AC0000}"/>
    <cellStyle name="RIGs linked cells 3 6 2 9" xfId="43821" xr:uid="{00000000-0005-0000-0000-000006AC0000}"/>
    <cellStyle name="RIGs linked cells 3 6 20" xfId="43822" xr:uid="{00000000-0005-0000-0000-000007AC0000}"/>
    <cellStyle name="RIGs linked cells 3 6 21" xfId="43823" xr:uid="{00000000-0005-0000-0000-000008AC0000}"/>
    <cellStyle name="RIGs linked cells 3 6 22" xfId="43824" xr:uid="{00000000-0005-0000-0000-000009AC0000}"/>
    <cellStyle name="RIGs linked cells 3 6 23" xfId="43825" xr:uid="{00000000-0005-0000-0000-00000AAC0000}"/>
    <cellStyle name="RIGs linked cells 3 6 24" xfId="43826" xr:uid="{00000000-0005-0000-0000-00000BAC0000}"/>
    <cellStyle name="RIGs linked cells 3 6 25" xfId="43827" xr:uid="{00000000-0005-0000-0000-00000CAC0000}"/>
    <cellStyle name="RIGs linked cells 3 6 26" xfId="43828" xr:uid="{00000000-0005-0000-0000-00000DAC0000}"/>
    <cellStyle name="RIGs linked cells 3 6 27" xfId="43829" xr:uid="{00000000-0005-0000-0000-00000EAC0000}"/>
    <cellStyle name="RIGs linked cells 3 6 28" xfId="43830" xr:uid="{00000000-0005-0000-0000-00000FAC0000}"/>
    <cellStyle name="RIGs linked cells 3 6 29" xfId="43831" xr:uid="{00000000-0005-0000-0000-000010AC0000}"/>
    <cellStyle name="RIGs linked cells 3 6 3" xfId="43832" xr:uid="{00000000-0005-0000-0000-000011AC0000}"/>
    <cellStyle name="RIGs linked cells 3 6 3 2" xfId="43833" xr:uid="{00000000-0005-0000-0000-000012AC0000}"/>
    <cellStyle name="RIGs linked cells 3 6 3 3" xfId="43834" xr:uid="{00000000-0005-0000-0000-000013AC0000}"/>
    <cellStyle name="RIGs linked cells 3 6 30" xfId="43835" xr:uid="{00000000-0005-0000-0000-000014AC0000}"/>
    <cellStyle name="RIGs linked cells 3 6 31" xfId="43836" xr:uid="{00000000-0005-0000-0000-000015AC0000}"/>
    <cellStyle name="RIGs linked cells 3 6 32" xfId="43837" xr:uid="{00000000-0005-0000-0000-000016AC0000}"/>
    <cellStyle name="RIGs linked cells 3 6 33" xfId="43838" xr:uid="{00000000-0005-0000-0000-000017AC0000}"/>
    <cellStyle name="RIGs linked cells 3 6 34" xfId="43839" xr:uid="{00000000-0005-0000-0000-000018AC0000}"/>
    <cellStyle name="RIGs linked cells 3 6 4" xfId="43840" xr:uid="{00000000-0005-0000-0000-000019AC0000}"/>
    <cellStyle name="RIGs linked cells 3 6 4 2" xfId="43841" xr:uid="{00000000-0005-0000-0000-00001AAC0000}"/>
    <cellStyle name="RIGs linked cells 3 6 4 3" xfId="43842" xr:uid="{00000000-0005-0000-0000-00001BAC0000}"/>
    <cellStyle name="RIGs linked cells 3 6 5" xfId="43843" xr:uid="{00000000-0005-0000-0000-00001CAC0000}"/>
    <cellStyle name="RIGs linked cells 3 6 6" xfId="43844" xr:uid="{00000000-0005-0000-0000-00001DAC0000}"/>
    <cellStyle name="RIGs linked cells 3 6 7" xfId="43845" xr:uid="{00000000-0005-0000-0000-00001EAC0000}"/>
    <cellStyle name="RIGs linked cells 3 6 8" xfId="43846" xr:uid="{00000000-0005-0000-0000-00001FAC0000}"/>
    <cellStyle name="RIGs linked cells 3 6 9" xfId="43847" xr:uid="{00000000-0005-0000-0000-000020AC0000}"/>
    <cellStyle name="RIGs linked cells 3 7" xfId="43848" xr:uid="{00000000-0005-0000-0000-000021AC0000}"/>
    <cellStyle name="RIGs linked cells 3 7 10" xfId="43849" xr:uid="{00000000-0005-0000-0000-000022AC0000}"/>
    <cellStyle name="RIGs linked cells 3 7 11" xfId="43850" xr:uid="{00000000-0005-0000-0000-000023AC0000}"/>
    <cellStyle name="RIGs linked cells 3 7 12" xfId="43851" xr:uid="{00000000-0005-0000-0000-000024AC0000}"/>
    <cellStyle name="RIGs linked cells 3 7 13" xfId="43852" xr:uid="{00000000-0005-0000-0000-000025AC0000}"/>
    <cellStyle name="RIGs linked cells 3 7 2" xfId="43853" xr:uid="{00000000-0005-0000-0000-000026AC0000}"/>
    <cellStyle name="RIGs linked cells 3 7 2 2" xfId="43854" xr:uid="{00000000-0005-0000-0000-000027AC0000}"/>
    <cellStyle name="RIGs linked cells 3 7 2 3" xfId="43855" xr:uid="{00000000-0005-0000-0000-000028AC0000}"/>
    <cellStyle name="RIGs linked cells 3 7 3" xfId="43856" xr:uid="{00000000-0005-0000-0000-000029AC0000}"/>
    <cellStyle name="RIGs linked cells 3 7 3 2" xfId="43857" xr:uid="{00000000-0005-0000-0000-00002AAC0000}"/>
    <cellStyle name="RIGs linked cells 3 7 3 3" xfId="43858" xr:uid="{00000000-0005-0000-0000-00002BAC0000}"/>
    <cellStyle name="RIGs linked cells 3 7 4" xfId="43859" xr:uid="{00000000-0005-0000-0000-00002CAC0000}"/>
    <cellStyle name="RIGs linked cells 3 7 5" xfId="43860" xr:uid="{00000000-0005-0000-0000-00002DAC0000}"/>
    <cellStyle name="RIGs linked cells 3 7 6" xfId="43861" xr:uid="{00000000-0005-0000-0000-00002EAC0000}"/>
    <cellStyle name="RIGs linked cells 3 7 7" xfId="43862" xr:uid="{00000000-0005-0000-0000-00002FAC0000}"/>
    <cellStyle name="RIGs linked cells 3 7 8" xfId="43863" xr:uid="{00000000-0005-0000-0000-000030AC0000}"/>
    <cellStyle name="RIGs linked cells 3 7 9" xfId="43864" xr:uid="{00000000-0005-0000-0000-000031AC0000}"/>
    <cellStyle name="RIGs linked cells 3 8" xfId="43865" xr:uid="{00000000-0005-0000-0000-000032AC0000}"/>
    <cellStyle name="RIGs linked cells 3 8 2" xfId="43866" xr:uid="{00000000-0005-0000-0000-000033AC0000}"/>
    <cellStyle name="RIGs linked cells 3 8 2 2" xfId="43867" xr:uid="{00000000-0005-0000-0000-000034AC0000}"/>
    <cellStyle name="RIGs linked cells 3 8 2 3" xfId="43868" xr:uid="{00000000-0005-0000-0000-000035AC0000}"/>
    <cellStyle name="RIGs linked cells 3 8 3" xfId="43869" xr:uid="{00000000-0005-0000-0000-000036AC0000}"/>
    <cellStyle name="RIGs linked cells 3 8 3 2" xfId="43870" xr:uid="{00000000-0005-0000-0000-000037AC0000}"/>
    <cellStyle name="RIGs linked cells 3 8 4" xfId="43871" xr:uid="{00000000-0005-0000-0000-000038AC0000}"/>
    <cellStyle name="RIGs linked cells 3 9" xfId="43872" xr:uid="{00000000-0005-0000-0000-000039AC0000}"/>
    <cellStyle name="RIGs linked cells 3 9 2" xfId="43873" xr:uid="{00000000-0005-0000-0000-00003AAC0000}"/>
    <cellStyle name="RIGs linked cells 3_1.3s Accounting C Costs Scots" xfId="43874" xr:uid="{00000000-0005-0000-0000-00003BAC0000}"/>
    <cellStyle name="RIGs linked cells 30" xfId="43875" xr:uid="{00000000-0005-0000-0000-00003CAC0000}"/>
    <cellStyle name="RIGs linked cells 30 2" xfId="43876" xr:uid="{00000000-0005-0000-0000-00003DAC0000}"/>
    <cellStyle name="RIGs linked cells 31" xfId="43877" xr:uid="{00000000-0005-0000-0000-00003EAC0000}"/>
    <cellStyle name="RIGs linked cells 31 2" xfId="43878" xr:uid="{00000000-0005-0000-0000-00003FAC0000}"/>
    <cellStyle name="RIGs linked cells 32" xfId="43879" xr:uid="{00000000-0005-0000-0000-000040AC0000}"/>
    <cellStyle name="RIGs linked cells 32 2" xfId="43880" xr:uid="{00000000-0005-0000-0000-000041AC0000}"/>
    <cellStyle name="RIGs linked cells 33" xfId="43881" xr:uid="{00000000-0005-0000-0000-000042AC0000}"/>
    <cellStyle name="RIGs linked cells 34" xfId="43882" xr:uid="{00000000-0005-0000-0000-000043AC0000}"/>
    <cellStyle name="RIGs linked cells 35" xfId="43883" xr:uid="{00000000-0005-0000-0000-000044AC0000}"/>
    <cellStyle name="RIGs linked cells 36" xfId="43884" xr:uid="{00000000-0005-0000-0000-000045AC0000}"/>
    <cellStyle name="RIGs linked cells 37" xfId="43885" xr:uid="{00000000-0005-0000-0000-000046AC0000}"/>
    <cellStyle name="RIGs linked cells 38" xfId="43886" xr:uid="{00000000-0005-0000-0000-000047AC0000}"/>
    <cellStyle name="RIGs linked cells 39" xfId="43887" xr:uid="{00000000-0005-0000-0000-000048AC0000}"/>
    <cellStyle name="RIGs linked cells 4" xfId="43888" xr:uid="{00000000-0005-0000-0000-000049AC0000}"/>
    <cellStyle name="RIGs linked cells 4 10" xfId="43889" xr:uid="{00000000-0005-0000-0000-00004AAC0000}"/>
    <cellStyle name="RIGs linked cells 4 10 2" xfId="43890" xr:uid="{00000000-0005-0000-0000-00004BAC0000}"/>
    <cellStyle name="RIGs linked cells 4 11" xfId="43891" xr:uid="{00000000-0005-0000-0000-00004CAC0000}"/>
    <cellStyle name="RIGs linked cells 4 11 2" xfId="43892" xr:uid="{00000000-0005-0000-0000-00004DAC0000}"/>
    <cellStyle name="RIGs linked cells 4 12" xfId="43893" xr:uid="{00000000-0005-0000-0000-00004EAC0000}"/>
    <cellStyle name="RIGs linked cells 4 12 2" xfId="43894" xr:uid="{00000000-0005-0000-0000-00004FAC0000}"/>
    <cellStyle name="RIGs linked cells 4 13" xfId="43895" xr:uid="{00000000-0005-0000-0000-000050AC0000}"/>
    <cellStyle name="RIGs linked cells 4 13 2" xfId="43896" xr:uid="{00000000-0005-0000-0000-000051AC0000}"/>
    <cellStyle name="RIGs linked cells 4 14" xfId="43897" xr:uid="{00000000-0005-0000-0000-000052AC0000}"/>
    <cellStyle name="RIGs linked cells 4 14 2" xfId="43898" xr:uid="{00000000-0005-0000-0000-000053AC0000}"/>
    <cellStyle name="RIGs linked cells 4 15" xfId="43899" xr:uid="{00000000-0005-0000-0000-000054AC0000}"/>
    <cellStyle name="RIGs linked cells 4 15 2" xfId="43900" xr:uid="{00000000-0005-0000-0000-000055AC0000}"/>
    <cellStyle name="RIGs linked cells 4 16" xfId="43901" xr:uid="{00000000-0005-0000-0000-000056AC0000}"/>
    <cellStyle name="RIGs linked cells 4 16 2" xfId="43902" xr:uid="{00000000-0005-0000-0000-000057AC0000}"/>
    <cellStyle name="RIGs linked cells 4 17" xfId="43903" xr:uid="{00000000-0005-0000-0000-000058AC0000}"/>
    <cellStyle name="RIGs linked cells 4 17 2" xfId="43904" xr:uid="{00000000-0005-0000-0000-000059AC0000}"/>
    <cellStyle name="RIGs linked cells 4 18" xfId="43905" xr:uid="{00000000-0005-0000-0000-00005AAC0000}"/>
    <cellStyle name="RIGs linked cells 4 18 2" xfId="43906" xr:uid="{00000000-0005-0000-0000-00005BAC0000}"/>
    <cellStyle name="RIGs linked cells 4 19" xfId="43907" xr:uid="{00000000-0005-0000-0000-00005CAC0000}"/>
    <cellStyle name="RIGs linked cells 4 19 2" xfId="43908" xr:uid="{00000000-0005-0000-0000-00005DAC0000}"/>
    <cellStyle name="RIGs linked cells 4 2" xfId="43909" xr:uid="{00000000-0005-0000-0000-00005EAC0000}"/>
    <cellStyle name="RIGs linked cells 4 2 10" xfId="43910" xr:uid="{00000000-0005-0000-0000-00005FAC0000}"/>
    <cellStyle name="RIGs linked cells 4 2 10 2" xfId="43911" xr:uid="{00000000-0005-0000-0000-000060AC0000}"/>
    <cellStyle name="RIGs linked cells 4 2 11" xfId="43912" xr:uid="{00000000-0005-0000-0000-000061AC0000}"/>
    <cellStyle name="RIGs linked cells 4 2 11 2" xfId="43913" xr:uid="{00000000-0005-0000-0000-000062AC0000}"/>
    <cellStyle name="RIGs linked cells 4 2 12" xfId="43914" xr:uid="{00000000-0005-0000-0000-000063AC0000}"/>
    <cellStyle name="RIGs linked cells 4 2 12 2" xfId="43915" xr:uid="{00000000-0005-0000-0000-000064AC0000}"/>
    <cellStyle name="RIGs linked cells 4 2 13" xfId="43916" xr:uid="{00000000-0005-0000-0000-000065AC0000}"/>
    <cellStyle name="RIGs linked cells 4 2 13 2" xfId="43917" xr:uid="{00000000-0005-0000-0000-000066AC0000}"/>
    <cellStyle name="RIGs linked cells 4 2 14" xfId="43918" xr:uid="{00000000-0005-0000-0000-000067AC0000}"/>
    <cellStyle name="RIGs linked cells 4 2 14 2" xfId="43919" xr:uid="{00000000-0005-0000-0000-000068AC0000}"/>
    <cellStyle name="RIGs linked cells 4 2 15" xfId="43920" xr:uid="{00000000-0005-0000-0000-000069AC0000}"/>
    <cellStyle name="RIGs linked cells 4 2 15 2" xfId="43921" xr:uid="{00000000-0005-0000-0000-00006AAC0000}"/>
    <cellStyle name="RIGs linked cells 4 2 16" xfId="43922" xr:uid="{00000000-0005-0000-0000-00006BAC0000}"/>
    <cellStyle name="RIGs linked cells 4 2 16 2" xfId="43923" xr:uid="{00000000-0005-0000-0000-00006CAC0000}"/>
    <cellStyle name="RIGs linked cells 4 2 17" xfId="43924" xr:uid="{00000000-0005-0000-0000-00006DAC0000}"/>
    <cellStyle name="RIGs linked cells 4 2 17 2" xfId="43925" xr:uid="{00000000-0005-0000-0000-00006EAC0000}"/>
    <cellStyle name="RIGs linked cells 4 2 18" xfId="43926" xr:uid="{00000000-0005-0000-0000-00006FAC0000}"/>
    <cellStyle name="RIGs linked cells 4 2 18 2" xfId="43927" xr:uid="{00000000-0005-0000-0000-000070AC0000}"/>
    <cellStyle name="RIGs linked cells 4 2 19" xfId="43928" xr:uid="{00000000-0005-0000-0000-000071AC0000}"/>
    <cellStyle name="RIGs linked cells 4 2 19 2" xfId="43929" xr:uid="{00000000-0005-0000-0000-000072AC0000}"/>
    <cellStyle name="RIGs linked cells 4 2 2" xfId="43930" xr:uid="{00000000-0005-0000-0000-000073AC0000}"/>
    <cellStyle name="RIGs linked cells 4 2 2 10" xfId="43931" xr:uid="{00000000-0005-0000-0000-000074AC0000}"/>
    <cellStyle name="RIGs linked cells 4 2 2 10 2" xfId="43932" xr:uid="{00000000-0005-0000-0000-000075AC0000}"/>
    <cellStyle name="RIGs linked cells 4 2 2 11" xfId="43933" xr:uid="{00000000-0005-0000-0000-000076AC0000}"/>
    <cellStyle name="RIGs linked cells 4 2 2 11 2" xfId="43934" xr:uid="{00000000-0005-0000-0000-000077AC0000}"/>
    <cellStyle name="RIGs linked cells 4 2 2 12" xfId="43935" xr:uid="{00000000-0005-0000-0000-000078AC0000}"/>
    <cellStyle name="RIGs linked cells 4 2 2 12 2" xfId="43936" xr:uid="{00000000-0005-0000-0000-000079AC0000}"/>
    <cellStyle name="RIGs linked cells 4 2 2 13" xfId="43937" xr:uid="{00000000-0005-0000-0000-00007AAC0000}"/>
    <cellStyle name="RIGs linked cells 4 2 2 13 2" xfId="43938" xr:uid="{00000000-0005-0000-0000-00007BAC0000}"/>
    <cellStyle name="RIGs linked cells 4 2 2 14" xfId="43939" xr:uid="{00000000-0005-0000-0000-00007CAC0000}"/>
    <cellStyle name="RIGs linked cells 4 2 2 14 2" xfId="43940" xr:uid="{00000000-0005-0000-0000-00007DAC0000}"/>
    <cellStyle name="RIGs linked cells 4 2 2 15" xfId="43941" xr:uid="{00000000-0005-0000-0000-00007EAC0000}"/>
    <cellStyle name="RIGs linked cells 4 2 2 15 2" xfId="43942" xr:uid="{00000000-0005-0000-0000-00007FAC0000}"/>
    <cellStyle name="RIGs linked cells 4 2 2 16" xfId="43943" xr:uid="{00000000-0005-0000-0000-000080AC0000}"/>
    <cellStyle name="RIGs linked cells 4 2 2 16 2" xfId="43944" xr:uid="{00000000-0005-0000-0000-000081AC0000}"/>
    <cellStyle name="RIGs linked cells 4 2 2 17" xfId="43945" xr:uid="{00000000-0005-0000-0000-000082AC0000}"/>
    <cellStyle name="RIGs linked cells 4 2 2 17 2" xfId="43946" xr:uid="{00000000-0005-0000-0000-000083AC0000}"/>
    <cellStyle name="RIGs linked cells 4 2 2 18" xfId="43947" xr:uid="{00000000-0005-0000-0000-000084AC0000}"/>
    <cellStyle name="RIGs linked cells 4 2 2 18 2" xfId="43948" xr:uid="{00000000-0005-0000-0000-000085AC0000}"/>
    <cellStyle name="RIGs linked cells 4 2 2 19" xfId="43949" xr:uid="{00000000-0005-0000-0000-000086AC0000}"/>
    <cellStyle name="RIGs linked cells 4 2 2 19 2" xfId="43950" xr:uid="{00000000-0005-0000-0000-000087AC0000}"/>
    <cellStyle name="RIGs linked cells 4 2 2 2" xfId="43951" xr:uid="{00000000-0005-0000-0000-000088AC0000}"/>
    <cellStyle name="RIGs linked cells 4 2 2 2 10" xfId="43952" xr:uid="{00000000-0005-0000-0000-000089AC0000}"/>
    <cellStyle name="RIGs linked cells 4 2 2 2 11" xfId="43953" xr:uid="{00000000-0005-0000-0000-00008AAC0000}"/>
    <cellStyle name="RIGs linked cells 4 2 2 2 12" xfId="43954" xr:uid="{00000000-0005-0000-0000-00008BAC0000}"/>
    <cellStyle name="RIGs linked cells 4 2 2 2 13" xfId="43955" xr:uid="{00000000-0005-0000-0000-00008CAC0000}"/>
    <cellStyle name="RIGs linked cells 4 2 2 2 14" xfId="43956" xr:uid="{00000000-0005-0000-0000-00008DAC0000}"/>
    <cellStyle name="RIGs linked cells 4 2 2 2 15" xfId="43957" xr:uid="{00000000-0005-0000-0000-00008EAC0000}"/>
    <cellStyle name="RIGs linked cells 4 2 2 2 16" xfId="43958" xr:uid="{00000000-0005-0000-0000-00008FAC0000}"/>
    <cellStyle name="RIGs linked cells 4 2 2 2 17" xfId="43959" xr:uid="{00000000-0005-0000-0000-000090AC0000}"/>
    <cellStyle name="RIGs linked cells 4 2 2 2 18" xfId="43960" xr:uid="{00000000-0005-0000-0000-000091AC0000}"/>
    <cellStyle name="RIGs linked cells 4 2 2 2 19" xfId="43961" xr:uid="{00000000-0005-0000-0000-000092AC0000}"/>
    <cellStyle name="RIGs linked cells 4 2 2 2 2" xfId="43962" xr:uid="{00000000-0005-0000-0000-000093AC0000}"/>
    <cellStyle name="RIGs linked cells 4 2 2 2 2 10" xfId="43963" xr:uid="{00000000-0005-0000-0000-000094AC0000}"/>
    <cellStyle name="RIGs linked cells 4 2 2 2 2 11" xfId="43964" xr:uid="{00000000-0005-0000-0000-000095AC0000}"/>
    <cellStyle name="RIGs linked cells 4 2 2 2 2 12" xfId="43965" xr:uid="{00000000-0005-0000-0000-000096AC0000}"/>
    <cellStyle name="RIGs linked cells 4 2 2 2 2 13" xfId="43966" xr:uid="{00000000-0005-0000-0000-000097AC0000}"/>
    <cellStyle name="RIGs linked cells 4 2 2 2 2 14" xfId="43967" xr:uid="{00000000-0005-0000-0000-000098AC0000}"/>
    <cellStyle name="RIGs linked cells 4 2 2 2 2 15" xfId="43968" xr:uid="{00000000-0005-0000-0000-000099AC0000}"/>
    <cellStyle name="RIGs linked cells 4 2 2 2 2 16" xfId="43969" xr:uid="{00000000-0005-0000-0000-00009AAC0000}"/>
    <cellStyle name="RIGs linked cells 4 2 2 2 2 17" xfId="43970" xr:uid="{00000000-0005-0000-0000-00009BAC0000}"/>
    <cellStyle name="RIGs linked cells 4 2 2 2 2 18" xfId="43971" xr:uid="{00000000-0005-0000-0000-00009CAC0000}"/>
    <cellStyle name="RIGs linked cells 4 2 2 2 2 19" xfId="43972" xr:uid="{00000000-0005-0000-0000-00009DAC0000}"/>
    <cellStyle name="RIGs linked cells 4 2 2 2 2 2" xfId="43973" xr:uid="{00000000-0005-0000-0000-00009EAC0000}"/>
    <cellStyle name="RIGs linked cells 4 2 2 2 2 2 10" xfId="43974" xr:uid="{00000000-0005-0000-0000-00009FAC0000}"/>
    <cellStyle name="RIGs linked cells 4 2 2 2 2 2 11" xfId="43975" xr:uid="{00000000-0005-0000-0000-0000A0AC0000}"/>
    <cellStyle name="RIGs linked cells 4 2 2 2 2 2 12" xfId="43976" xr:uid="{00000000-0005-0000-0000-0000A1AC0000}"/>
    <cellStyle name="RIGs linked cells 4 2 2 2 2 2 13" xfId="43977" xr:uid="{00000000-0005-0000-0000-0000A2AC0000}"/>
    <cellStyle name="RIGs linked cells 4 2 2 2 2 2 2" xfId="43978" xr:uid="{00000000-0005-0000-0000-0000A3AC0000}"/>
    <cellStyle name="RIGs linked cells 4 2 2 2 2 2 2 2" xfId="43979" xr:uid="{00000000-0005-0000-0000-0000A4AC0000}"/>
    <cellStyle name="RIGs linked cells 4 2 2 2 2 2 2 3" xfId="43980" xr:uid="{00000000-0005-0000-0000-0000A5AC0000}"/>
    <cellStyle name="RIGs linked cells 4 2 2 2 2 2 3" xfId="43981" xr:uid="{00000000-0005-0000-0000-0000A6AC0000}"/>
    <cellStyle name="RIGs linked cells 4 2 2 2 2 2 3 2" xfId="43982" xr:uid="{00000000-0005-0000-0000-0000A7AC0000}"/>
    <cellStyle name="RIGs linked cells 4 2 2 2 2 2 3 3" xfId="43983" xr:uid="{00000000-0005-0000-0000-0000A8AC0000}"/>
    <cellStyle name="RIGs linked cells 4 2 2 2 2 2 4" xfId="43984" xr:uid="{00000000-0005-0000-0000-0000A9AC0000}"/>
    <cellStyle name="RIGs linked cells 4 2 2 2 2 2 5" xfId="43985" xr:uid="{00000000-0005-0000-0000-0000AAAC0000}"/>
    <cellStyle name="RIGs linked cells 4 2 2 2 2 2 6" xfId="43986" xr:uid="{00000000-0005-0000-0000-0000ABAC0000}"/>
    <cellStyle name="RIGs linked cells 4 2 2 2 2 2 7" xfId="43987" xr:uid="{00000000-0005-0000-0000-0000ACAC0000}"/>
    <cellStyle name="RIGs linked cells 4 2 2 2 2 2 8" xfId="43988" xr:uid="{00000000-0005-0000-0000-0000ADAC0000}"/>
    <cellStyle name="RIGs linked cells 4 2 2 2 2 2 9" xfId="43989" xr:uid="{00000000-0005-0000-0000-0000AEAC0000}"/>
    <cellStyle name="RIGs linked cells 4 2 2 2 2 20" xfId="43990" xr:uid="{00000000-0005-0000-0000-0000AFAC0000}"/>
    <cellStyle name="RIGs linked cells 4 2 2 2 2 21" xfId="43991" xr:uid="{00000000-0005-0000-0000-0000B0AC0000}"/>
    <cellStyle name="RIGs linked cells 4 2 2 2 2 22" xfId="43992" xr:uid="{00000000-0005-0000-0000-0000B1AC0000}"/>
    <cellStyle name="RIGs linked cells 4 2 2 2 2 23" xfId="43993" xr:uid="{00000000-0005-0000-0000-0000B2AC0000}"/>
    <cellStyle name="RIGs linked cells 4 2 2 2 2 24" xfId="43994" xr:uid="{00000000-0005-0000-0000-0000B3AC0000}"/>
    <cellStyle name="RIGs linked cells 4 2 2 2 2 25" xfId="43995" xr:uid="{00000000-0005-0000-0000-0000B4AC0000}"/>
    <cellStyle name="RIGs linked cells 4 2 2 2 2 26" xfId="43996" xr:uid="{00000000-0005-0000-0000-0000B5AC0000}"/>
    <cellStyle name="RIGs linked cells 4 2 2 2 2 27" xfId="43997" xr:uid="{00000000-0005-0000-0000-0000B6AC0000}"/>
    <cellStyle name="RIGs linked cells 4 2 2 2 2 28" xfId="43998" xr:uid="{00000000-0005-0000-0000-0000B7AC0000}"/>
    <cellStyle name="RIGs linked cells 4 2 2 2 2 29" xfId="43999" xr:uid="{00000000-0005-0000-0000-0000B8AC0000}"/>
    <cellStyle name="RIGs linked cells 4 2 2 2 2 3" xfId="44000" xr:uid="{00000000-0005-0000-0000-0000B9AC0000}"/>
    <cellStyle name="RIGs linked cells 4 2 2 2 2 3 2" xfId="44001" xr:uid="{00000000-0005-0000-0000-0000BAAC0000}"/>
    <cellStyle name="RIGs linked cells 4 2 2 2 2 3 3" xfId="44002" xr:uid="{00000000-0005-0000-0000-0000BBAC0000}"/>
    <cellStyle name="RIGs linked cells 4 2 2 2 2 30" xfId="44003" xr:uid="{00000000-0005-0000-0000-0000BCAC0000}"/>
    <cellStyle name="RIGs linked cells 4 2 2 2 2 31" xfId="44004" xr:uid="{00000000-0005-0000-0000-0000BDAC0000}"/>
    <cellStyle name="RIGs linked cells 4 2 2 2 2 32" xfId="44005" xr:uid="{00000000-0005-0000-0000-0000BEAC0000}"/>
    <cellStyle name="RIGs linked cells 4 2 2 2 2 33" xfId="44006" xr:uid="{00000000-0005-0000-0000-0000BFAC0000}"/>
    <cellStyle name="RIGs linked cells 4 2 2 2 2 34" xfId="44007" xr:uid="{00000000-0005-0000-0000-0000C0AC0000}"/>
    <cellStyle name="RIGs linked cells 4 2 2 2 2 4" xfId="44008" xr:uid="{00000000-0005-0000-0000-0000C1AC0000}"/>
    <cellStyle name="RIGs linked cells 4 2 2 2 2 4 2" xfId="44009" xr:uid="{00000000-0005-0000-0000-0000C2AC0000}"/>
    <cellStyle name="RIGs linked cells 4 2 2 2 2 4 3" xfId="44010" xr:uid="{00000000-0005-0000-0000-0000C3AC0000}"/>
    <cellStyle name="RIGs linked cells 4 2 2 2 2 5" xfId="44011" xr:uid="{00000000-0005-0000-0000-0000C4AC0000}"/>
    <cellStyle name="RIGs linked cells 4 2 2 2 2 6" xfId="44012" xr:uid="{00000000-0005-0000-0000-0000C5AC0000}"/>
    <cellStyle name="RIGs linked cells 4 2 2 2 2 7" xfId="44013" xr:uid="{00000000-0005-0000-0000-0000C6AC0000}"/>
    <cellStyle name="RIGs linked cells 4 2 2 2 2 8" xfId="44014" xr:uid="{00000000-0005-0000-0000-0000C7AC0000}"/>
    <cellStyle name="RIGs linked cells 4 2 2 2 2 9" xfId="44015" xr:uid="{00000000-0005-0000-0000-0000C8AC0000}"/>
    <cellStyle name="RIGs linked cells 4 2 2 2 20" xfId="44016" xr:uid="{00000000-0005-0000-0000-0000C9AC0000}"/>
    <cellStyle name="RIGs linked cells 4 2 2 2 21" xfId="44017" xr:uid="{00000000-0005-0000-0000-0000CAAC0000}"/>
    <cellStyle name="RIGs linked cells 4 2 2 2 22" xfId="44018" xr:uid="{00000000-0005-0000-0000-0000CBAC0000}"/>
    <cellStyle name="RIGs linked cells 4 2 2 2 23" xfId="44019" xr:uid="{00000000-0005-0000-0000-0000CCAC0000}"/>
    <cellStyle name="RIGs linked cells 4 2 2 2 24" xfId="44020" xr:uid="{00000000-0005-0000-0000-0000CDAC0000}"/>
    <cellStyle name="RIGs linked cells 4 2 2 2 25" xfId="44021" xr:uid="{00000000-0005-0000-0000-0000CEAC0000}"/>
    <cellStyle name="RIGs linked cells 4 2 2 2 26" xfId="44022" xr:uid="{00000000-0005-0000-0000-0000CFAC0000}"/>
    <cellStyle name="RIGs linked cells 4 2 2 2 27" xfId="44023" xr:uid="{00000000-0005-0000-0000-0000D0AC0000}"/>
    <cellStyle name="RIGs linked cells 4 2 2 2 28" xfId="44024" xr:uid="{00000000-0005-0000-0000-0000D1AC0000}"/>
    <cellStyle name="RIGs linked cells 4 2 2 2 29" xfId="44025" xr:uid="{00000000-0005-0000-0000-0000D2AC0000}"/>
    <cellStyle name="RIGs linked cells 4 2 2 2 3" xfId="44026" xr:uid="{00000000-0005-0000-0000-0000D3AC0000}"/>
    <cellStyle name="RIGs linked cells 4 2 2 2 3 10" xfId="44027" xr:uid="{00000000-0005-0000-0000-0000D4AC0000}"/>
    <cellStyle name="RIGs linked cells 4 2 2 2 3 11" xfId="44028" xr:uid="{00000000-0005-0000-0000-0000D5AC0000}"/>
    <cellStyle name="RIGs linked cells 4 2 2 2 3 12" xfId="44029" xr:uid="{00000000-0005-0000-0000-0000D6AC0000}"/>
    <cellStyle name="RIGs linked cells 4 2 2 2 3 13" xfId="44030" xr:uid="{00000000-0005-0000-0000-0000D7AC0000}"/>
    <cellStyle name="RIGs linked cells 4 2 2 2 3 2" xfId="44031" xr:uid="{00000000-0005-0000-0000-0000D8AC0000}"/>
    <cellStyle name="RIGs linked cells 4 2 2 2 3 2 2" xfId="44032" xr:uid="{00000000-0005-0000-0000-0000D9AC0000}"/>
    <cellStyle name="RIGs linked cells 4 2 2 2 3 2 3" xfId="44033" xr:uid="{00000000-0005-0000-0000-0000DAAC0000}"/>
    <cellStyle name="RIGs linked cells 4 2 2 2 3 3" xfId="44034" xr:uid="{00000000-0005-0000-0000-0000DBAC0000}"/>
    <cellStyle name="RIGs linked cells 4 2 2 2 3 3 2" xfId="44035" xr:uid="{00000000-0005-0000-0000-0000DCAC0000}"/>
    <cellStyle name="RIGs linked cells 4 2 2 2 3 3 3" xfId="44036" xr:uid="{00000000-0005-0000-0000-0000DDAC0000}"/>
    <cellStyle name="RIGs linked cells 4 2 2 2 3 4" xfId="44037" xr:uid="{00000000-0005-0000-0000-0000DEAC0000}"/>
    <cellStyle name="RIGs linked cells 4 2 2 2 3 5" xfId="44038" xr:uid="{00000000-0005-0000-0000-0000DFAC0000}"/>
    <cellStyle name="RIGs linked cells 4 2 2 2 3 6" xfId="44039" xr:uid="{00000000-0005-0000-0000-0000E0AC0000}"/>
    <cellStyle name="RIGs linked cells 4 2 2 2 3 7" xfId="44040" xr:uid="{00000000-0005-0000-0000-0000E1AC0000}"/>
    <cellStyle name="RIGs linked cells 4 2 2 2 3 8" xfId="44041" xr:uid="{00000000-0005-0000-0000-0000E2AC0000}"/>
    <cellStyle name="RIGs linked cells 4 2 2 2 3 9" xfId="44042" xr:uid="{00000000-0005-0000-0000-0000E3AC0000}"/>
    <cellStyle name="RIGs linked cells 4 2 2 2 30" xfId="44043" xr:uid="{00000000-0005-0000-0000-0000E4AC0000}"/>
    <cellStyle name="RIGs linked cells 4 2 2 2 31" xfId="44044" xr:uid="{00000000-0005-0000-0000-0000E5AC0000}"/>
    <cellStyle name="RIGs linked cells 4 2 2 2 4" xfId="44045" xr:uid="{00000000-0005-0000-0000-0000E6AC0000}"/>
    <cellStyle name="RIGs linked cells 4 2 2 2 4 2" xfId="44046" xr:uid="{00000000-0005-0000-0000-0000E7AC0000}"/>
    <cellStyle name="RIGs linked cells 4 2 2 2 4 3" xfId="44047" xr:uid="{00000000-0005-0000-0000-0000E8AC0000}"/>
    <cellStyle name="RIGs linked cells 4 2 2 2 5" xfId="44048" xr:uid="{00000000-0005-0000-0000-0000E9AC0000}"/>
    <cellStyle name="RIGs linked cells 4 2 2 2 5 2" xfId="44049" xr:uid="{00000000-0005-0000-0000-0000EAAC0000}"/>
    <cellStyle name="RIGs linked cells 4 2 2 2 5 3" xfId="44050" xr:uid="{00000000-0005-0000-0000-0000EBAC0000}"/>
    <cellStyle name="RIGs linked cells 4 2 2 2 6" xfId="44051" xr:uid="{00000000-0005-0000-0000-0000ECAC0000}"/>
    <cellStyle name="RIGs linked cells 4 2 2 2 7" xfId="44052" xr:uid="{00000000-0005-0000-0000-0000EDAC0000}"/>
    <cellStyle name="RIGs linked cells 4 2 2 2 8" xfId="44053" xr:uid="{00000000-0005-0000-0000-0000EEAC0000}"/>
    <cellStyle name="RIGs linked cells 4 2 2 2 9" xfId="44054" xr:uid="{00000000-0005-0000-0000-0000EFAC0000}"/>
    <cellStyle name="RIGs linked cells 4 2 2 2_4 28 1_Asst_Health_Crit_AllTO_RIIO_20110714pm" xfId="44055" xr:uid="{00000000-0005-0000-0000-0000F0AC0000}"/>
    <cellStyle name="RIGs linked cells 4 2 2 20" xfId="44056" xr:uid="{00000000-0005-0000-0000-0000F1AC0000}"/>
    <cellStyle name="RIGs linked cells 4 2 2 20 2" xfId="44057" xr:uid="{00000000-0005-0000-0000-0000F2AC0000}"/>
    <cellStyle name="RIGs linked cells 4 2 2 21" xfId="44058" xr:uid="{00000000-0005-0000-0000-0000F3AC0000}"/>
    <cellStyle name="RIGs linked cells 4 2 2 21 2" xfId="44059" xr:uid="{00000000-0005-0000-0000-0000F4AC0000}"/>
    <cellStyle name="RIGs linked cells 4 2 2 22" xfId="44060" xr:uid="{00000000-0005-0000-0000-0000F5AC0000}"/>
    <cellStyle name="RIGs linked cells 4 2 2 22 2" xfId="44061" xr:uid="{00000000-0005-0000-0000-0000F6AC0000}"/>
    <cellStyle name="RIGs linked cells 4 2 2 23" xfId="44062" xr:uid="{00000000-0005-0000-0000-0000F7AC0000}"/>
    <cellStyle name="RIGs linked cells 4 2 2 23 2" xfId="44063" xr:uid="{00000000-0005-0000-0000-0000F8AC0000}"/>
    <cellStyle name="RIGs linked cells 4 2 2 24" xfId="44064" xr:uid="{00000000-0005-0000-0000-0000F9AC0000}"/>
    <cellStyle name="RIGs linked cells 4 2 2 24 2" xfId="44065" xr:uid="{00000000-0005-0000-0000-0000FAAC0000}"/>
    <cellStyle name="RIGs linked cells 4 2 2 25" xfId="44066" xr:uid="{00000000-0005-0000-0000-0000FBAC0000}"/>
    <cellStyle name="RIGs linked cells 4 2 2 25 2" xfId="44067" xr:uid="{00000000-0005-0000-0000-0000FCAC0000}"/>
    <cellStyle name="RIGs linked cells 4 2 2 26" xfId="44068" xr:uid="{00000000-0005-0000-0000-0000FDAC0000}"/>
    <cellStyle name="RIGs linked cells 4 2 2 27" xfId="44069" xr:uid="{00000000-0005-0000-0000-0000FEAC0000}"/>
    <cellStyle name="RIGs linked cells 4 2 2 28" xfId="44070" xr:uid="{00000000-0005-0000-0000-0000FFAC0000}"/>
    <cellStyle name="RIGs linked cells 4 2 2 29" xfId="44071" xr:uid="{00000000-0005-0000-0000-000000AD0000}"/>
    <cellStyle name="RIGs linked cells 4 2 2 3" xfId="44072" xr:uid="{00000000-0005-0000-0000-000001AD0000}"/>
    <cellStyle name="RIGs linked cells 4 2 2 3 10" xfId="44073" xr:uid="{00000000-0005-0000-0000-000002AD0000}"/>
    <cellStyle name="RIGs linked cells 4 2 2 3 11" xfId="44074" xr:uid="{00000000-0005-0000-0000-000003AD0000}"/>
    <cellStyle name="RIGs linked cells 4 2 2 3 12" xfId="44075" xr:uid="{00000000-0005-0000-0000-000004AD0000}"/>
    <cellStyle name="RIGs linked cells 4 2 2 3 13" xfId="44076" xr:uid="{00000000-0005-0000-0000-000005AD0000}"/>
    <cellStyle name="RIGs linked cells 4 2 2 3 14" xfId="44077" xr:uid="{00000000-0005-0000-0000-000006AD0000}"/>
    <cellStyle name="RIGs linked cells 4 2 2 3 15" xfId="44078" xr:uid="{00000000-0005-0000-0000-000007AD0000}"/>
    <cellStyle name="RIGs linked cells 4 2 2 3 16" xfId="44079" xr:uid="{00000000-0005-0000-0000-000008AD0000}"/>
    <cellStyle name="RIGs linked cells 4 2 2 3 17" xfId="44080" xr:uid="{00000000-0005-0000-0000-000009AD0000}"/>
    <cellStyle name="RIGs linked cells 4 2 2 3 18" xfId="44081" xr:uid="{00000000-0005-0000-0000-00000AAD0000}"/>
    <cellStyle name="RIGs linked cells 4 2 2 3 19" xfId="44082" xr:uid="{00000000-0005-0000-0000-00000BAD0000}"/>
    <cellStyle name="RIGs linked cells 4 2 2 3 2" xfId="44083" xr:uid="{00000000-0005-0000-0000-00000CAD0000}"/>
    <cellStyle name="RIGs linked cells 4 2 2 3 2 10" xfId="44084" xr:uid="{00000000-0005-0000-0000-00000DAD0000}"/>
    <cellStyle name="RIGs linked cells 4 2 2 3 2 11" xfId="44085" xr:uid="{00000000-0005-0000-0000-00000EAD0000}"/>
    <cellStyle name="RIGs linked cells 4 2 2 3 2 12" xfId="44086" xr:uid="{00000000-0005-0000-0000-00000FAD0000}"/>
    <cellStyle name="RIGs linked cells 4 2 2 3 2 13" xfId="44087" xr:uid="{00000000-0005-0000-0000-000010AD0000}"/>
    <cellStyle name="RIGs linked cells 4 2 2 3 2 2" xfId="44088" xr:uid="{00000000-0005-0000-0000-000011AD0000}"/>
    <cellStyle name="RIGs linked cells 4 2 2 3 2 2 2" xfId="44089" xr:uid="{00000000-0005-0000-0000-000012AD0000}"/>
    <cellStyle name="RIGs linked cells 4 2 2 3 2 2 3" xfId="44090" xr:uid="{00000000-0005-0000-0000-000013AD0000}"/>
    <cellStyle name="RIGs linked cells 4 2 2 3 2 3" xfId="44091" xr:uid="{00000000-0005-0000-0000-000014AD0000}"/>
    <cellStyle name="RIGs linked cells 4 2 2 3 2 3 2" xfId="44092" xr:uid="{00000000-0005-0000-0000-000015AD0000}"/>
    <cellStyle name="RIGs linked cells 4 2 2 3 2 3 3" xfId="44093" xr:uid="{00000000-0005-0000-0000-000016AD0000}"/>
    <cellStyle name="RIGs linked cells 4 2 2 3 2 4" xfId="44094" xr:uid="{00000000-0005-0000-0000-000017AD0000}"/>
    <cellStyle name="RIGs linked cells 4 2 2 3 2 5" xfId="44095" xr:uid="{00000000-0005-0000-0000-000018AD0000}"/>
    <cellStyle name="RIGs linked cells 4 2 2 3 2 6" xfId="44096" xr:uid="{00000000-0005-0000-0000-000019AD0000}"/>
    <cellStyle name="RIGs linked cells 4 2 2 3 2 7" xfId="44097" xr:uid="{00000000-0005-0000-0000-00001AAD0000}"/>
    <cellStyle name="RIGs linked cells 4 2 2 3 2 8" xfId="44098" xr:uid="{00000000-0005-0000-0000-00001BAD0000}"/>
    <cellStyle name="RIGs linked cells 4 2 2 3 2 9" xfId="44099" xr:uid="{00000000-0005-0000-0000-00001CAD0000}"/>
    <cellStyle name="RIGs linked cells 4 2 2 3 20" xfId="44100" xr:uid="{00000000-0005-0000-0000-00001DAD0000}"/>
    <cellStyle name="RIGs linked cells 4 2 2 3 21" xfId="44101" xr:uid="{00000000-0005-0000-0000-00001EAD0000}"/>
    <cellStyle name="RIGs linked cells 4 2 2 3 22" xfId="44102" xr:uid="{00000000-0005-0000-0000-00001FAD0000}"/>
    <cellStyle name="RIGs linked cells 4 2 2 3 23" xfId="44103" xr:uid="{00000000-0005-0000-0000-000020AD0000}"/>
    <cellStyle name="RIGs linked cells 4 2 2 3 24" xfId="44104" xr:uid="{00000000-0005-0000-0000-000021AD0000}"/>
    <cellStyle name="RIGs linked cells 4 2 2 3 25" xfId="44105" xr:uid="{00000000-0005-0000-0000-000022AD0000}"/>
    <cellStyle name="RIGs linked cells 4 2 2 3 26" xfId="44106" xr:uid="{00000000-0005-0000-0000-000023AD0000}"/>
    <cellStyle name="RIGs linked cells 4 2 2 3 27" xfId="44107" xr:uid="{00000000-0005-0000-0000-000024AD0000}"/>
    <cellStyle name="RIGs linked cells 4 2 2 3 28" xfId="44108" xr:uid="{00000000-0005-0000-0000-000025AD0000}"/>
    <cellStyle name="RIGs linked cells 4 2 2 3 29" xfId="44109" xr:uid="{00000000-0005-0000-0000-000026AD0000}"/>
    <cellStyle name="RIGs linked cells 4 2 2 3 3" xfId="44110" xr:uid="{00000000-0005-0000-0000-000027AD0000}"/>
    <cellStyle name="RIGs linked cells 4 2 2 3 3 2" xfId="44111" xr:uid="{00000000-0005-0000-0000-000028AD0000}"/>
    <cellStyle name="RIGs linked cells 4 2 2 3 3 3" xfId="44112" xr:uid="{00000000-0005-0000-0000-000029AD0000}"/>
    <cellStyle name="RIGs linked cells 4 2 2 3 30" xfId="44113" xr:uid="{00000000-0005-0000-0000-00002AAD0000}"/>
    <cellStyle name="RIGs linked cells 4 2 2 3 4" xfId="44114" xr:uid="{00000000-0005-0000-0000-00002BAD0000}"/>
    <cellStyle name="RIGs linked cells 4 2 2 3 4 2" xfId="44115" xr:uid="{00000000-0005-0000-0000-00002CAD0000}"/>
    <cellStyle name="RIGs linked cells 4 2 2 3 4 3" xfId="44116" xr:uid="{00000000-0005-0000-0000-00002DAD0000}"/>
    <cellStyle name="RIGs linked cells 4 2 2 3 5" xfId="44117" xr:uid="{00000000-0005-0000-0000-00002EAD0000}"/>
    <cellStyle name="RIGs linked cells 4 2 2 3 6" xfId="44118" xr:uid="{00000000-0005-0000-0000-00002FAD0000}"/>
    <cellStyle name="RIGs linked cells 4 2 2 3 7" xfId="44119" xr:uid="{00000000-0005-0000-0000-000030AD0000}"/>
    <cellStyle name="RIGs linked cells 4 2 2 3 8" xfId="44120" xr:uid="{00000000-0005-0000-0000-000031AD0000}"/>
    <cellStyle name="RIGs linked cells 4 2 2 3 9" xfId="44121" xr:uid="{00000000-0005-0000-0000-000032AD0000}"/>
    <cellStyle name="RIGs linked cells 4 2 2 30" xfId="44122" xr:uid="{00000000-0005-0000-0000-000033AD0000}"/>
    <cellStyle name="RIGs linked cells 4 2 2 31" xfId="44123" xr:uid="{00000000-0005-0000-0000-000034AD0000}"/>
    <cellStyle name="RIGs linked cells 4 2 2 32" xfId="44124" xr:uid="{00000000-0005-0000-0000-000035AD0000}"/>
    <cellStyle name="RIGs linked cells 4 2 2 33" xfId="44125" xr:uid="{00000000-0005-0000-0000-000036AD0000}"/>
    <cellStyle name="RIGs linked cells 4 2 2 4" xfId="44126" xr:uid="{00000000-0005-0000-0000-000037AD0000}"/>
    <cellStyle name="RIGs linked cells 4 2 2 4 10" xfId="44127" xr:uid="{00000000-0005-0000-0000-000038AD0000}"/>
    <cellStyle name="RIGs linked cells 4 2 2 4 11" xfId="44128" xr:uid="{00000000-0005-0000-0000-000039AD0000}"/>
    <cellStyle name="RIGs linked cells 4 2 2 4 12" xfId="44129" xr:uid="{00000000-0005-0000-0000-00003AAD0000}"/>
    <cellStyle name="RIGs linked cells 4 2 2 4 13" xfId="44130" xr:uid="{00000000-0005-0000-0000-00003BAD0000}"/>
    <cellStyle name="RIGs linked cells 4 2 2 4 14" xfId="44131" xr:uid="{00000000-0005-0000-0000-00003CAD0000}"/>
    <cellStyle name="RIGs linked cells 4 2 2 4 15" xfId="44132" xr:uid="{00000000-0005-0000-0000-00003DAD0000}"/>
    <cellStyle name="RIGs linked cells 4 2 2 4 16" xfId="44133" xr:uid="{00000000-0005-0000-0000-00003EAD0000}"/>
    <cellStyle name="RIGs linked cells 4 2 2 4 17" xfId="44134" xr:uid="{00000000-0005-0000-0000-00003FAD0000}"/>
    <cellStyle name="RIGs linked cells 4 2 2 4 18" xfId="44135" xr:uid="{00000000-0005-0000-0000-000040AD0000}"/>
    <cellStyle name="RIGs linked cells 4 2 2 4 19" xfId="44136" xr:uid="{00000000-0005-0000-0000-000041AD0000}"/>
    <cellStyle name="RIGs linked cells 4 2 2 4 2" xfId="44137" xr:uid="{00000000-0005-0000-0000-000042AD0000}"/>
    <cellStyle name="RIGs linked cells 4 2 2 4 2 10" xfId="44138" xr:uid="{00000000-0005-0000-0000-000043AD0000}"/>
    <cellStyle name="RIGs linked cells 4 2 2 4 2 11" xfId="44139" xr:uid="{00000000-0005-0000-0000-000044AD0000}"/>
    <cellStyle name="RIGs linked cells 4 2 2 4 2 12" xfId="44140" xr:uid="{00000000-0005-0000-0000-000045AD0000}"/>
    <cellStyle name="RIGs linked cells 4 2 2 4 2 13" xfId="44141" xr:uid="{00000000-0005-0000-0000-000046AD0000}"/>
    <cellStyle name="RIGs linked cells 4 2 2 4 2 2" xfId="44142" xr:uid="{00000000-0005-0000-0000-000047AD0000}"/>
    <cellStyle name="RIGs linked cells 4 2 2 4 2 2 2" xfId="44143" xr:uid="{00000000-0005-0000-0000-000048AD0000}"/>
    <cellStyle name="RIGs linked cells 4 2 2 4 2 2 3" xfId="44144" xr:uid="{00000000-0005-0000-0000-000049AD0000}"/>
    <cellStyle name="RIGs linked cells 4 2 2 4 2 3" xfId="44145" xr:uid="{00000000-0005-0000-0000-00004AAD0000}"/>
    <cellStyle name="RIGs linked cells 4 2 2 4 2 3 2" xfId="44146" xr:uid="{00000000-0005-0000-0000-00004BAD0000}"/>
    <cellStyle name="RIGs linked cells 4 2 2 4 2 3 3" xfId="44147" xr:uid="{00000000-0005-0000-0000-00004CAD0000}"/>
    <cellStyle name="RIGs linked cells 4 2 2 4 2 4" xfId="44148" xr:uid="{00000000-0005-0000-0000-00004DAD0000}"/>
    <cellStyle name="RIGs linked cells 4 2 2 4 2 5" xfId="44149" xr:uid="{00000000-0005-0000-0000-00004EAD0000}"/>
    <cellStyle name="RIGs linked cells 4 2 2 4 2 6" xfId="44150" xr:uid="{00000000-0005-0000-0000-00004FAD0000}"/>
    <cellStyle name="RIGs linked cells 4 2 2 4 2 7" xfId="44151" xr:uid="{00000000-0005-0000-0000-000050AD0000}"/>
    <cellStyle name="RIGs linked cells 4 2 2 4 2 8" xfId="44152" xr:uid="{00000000-0005-0000-0000-000051AD0000}"/>
    <cellStyle name="RIGs linked cells 4 2 2 4 2 9" xfId="44153" xr:uid="{00000000-0005-0000-0000-000052AD0000}"/>
    <cellStyle name="RIGs linked cells 4 2 2 4 20" xfId="44154" xr:uid="{00000000-0005-0000-0000-000053AD0000}"/>
    <cellStyle name="RIGs linked cells 4 2 2 4 21" xfId="44155" xr:uid="{00000000-0005-0000-0000-000054AD0000}"/>
    <cellStyle name="RIGs linked cells 4 2 2 4 22" xfId="44156" xr:uid="{00000000-0005-0000-0000-000055AD0000}"/>
    <cellStyle name="RIGs linked cells 4 2 2 4 23" xfId="44157" xr:uid="{00000000-0005-0000-0000-000056AD0000}"/>
    <cellStyle name="RIGs linked cells 4 2 2 4 24" xfId="44158" xr:uid="{00000000-0005-0000-0000-000057AD0000}"/>
    <cellStyle name="RIGs linked cells 4 2 2 4 25" xfId="44159" xr:uid="{00000000-0005-0000-0000-000058AD0000}"/>
    <cellStyle name="RIGs linked cells 4 2 2 4 26" xfId="44160" xr:uid="{00000000-0005-0000-0000-000059AD0000}"/>
    <cellStyle name="RIGs linked cells 4 2 2 4 27" xfId="44161" xr:uid="{00000000-0005-0000-0000-00005AAD0000}"/>
    <cellStyle name="RIGs linked cells 4 2 2 4 28" xfId="44162" xr:uid="{00000000-0005-0000-0000-00005BAD0000}"/>
    <cellStyle name="RIGs linked cells 4 2 2 4 29" xfId="44163" xr:uid="{00000000-0005-0000-0000-00005CAD0000}"/>
    <cellStyle name="RIGs linked cells 4 2 2 4 3" xfId="44164" xr:uid="{00000000-0005-0000-0000-00005DAD0000}"/>
    <cellStyle name="RIGs linked cells 4 2 2 4 3 2" xfId="44165" xr:uid="{00000000-0005-0000-0000-00005EAD0000}"/>
    <cellStyle name="RIGs linked cells 4 2 2 4 3 3" xfId="44166" xr:uid="{00000000-0005-0000-0000-00005FAD0000}"/>
    <cellStyle name="RIGs linked cells 4 2 2 4 30" xfId="44167" xr:uid="{00000000-0005-0000-0000-000060AD0000}"/>
    <cellStyle name="RIGs linked cells 4 2 2 4 4" xfId="44168" xr:uid="{00000000-0005-0000-0000-000061AD0000}"/>
    <cellStyle name="RIGs linked cells 4 2 2 4 4 2" xfId="44169" xr:uid="{00000000-0005-0000-0000-000062AD0000}"/>
    <cellStyle name="RIGs linked cells 4 2 2 4 4 3" xfId="44170" xr:uid="{00000000-0005-0000-0000-000063AD0000}"/>
    <cellStyle name="RIGs linked cells 4 2 2 4 5" xfId="44171" xr:uid="{00000000-0005-0000-0000-000064AD0000}"/>
    <cellStyle name="RIGs linked cells 4 2 2 4 6" xfId="44172" xr:uid="{00000000-0005-0000-0000-000065AD0000}"/>
    <cellStyle name="RIGs linked cells 4 2 2 4 7" xfId="44173" xr:uid="{00000000-0005-0000-0000-000066AD0000}"/>
    <cellStyle name="RIGs linked cells 4 2 2 4 8" xfId="44174" xr:uid="{00000000-0005-0000-0000-000067AD0000}"/>
    <cellStyle name="RIGs linked cells 4 2 2 4 9" xfId="44175" xr:uid="{00000000-0005-0000-0000-000068AD0000}"/>
    <cellStyle name="RIGs linked cells 4 2 2 5" xfId="44176" xr:uid="{00000000-0005-0000-0000-000069AD0000}"/>
    <cellStyle name="RIGs linked cells 4 2 2 5 10" xfId="44177" xr:uid="{00000000-0005-0000-0000-00006AAD0000}"/>
    <cellStyle name="RIGs linked cells 4 2 2 5 11" xfId="44178" xr:uid="{00000000-0005-0000-0000-00006BAD0000}"/>
    <cellStyle name="RIGs linked cells 4 2 2 5 12" xfId="44179" xr:uid="{00000000-0005-0000-0000-00006CAD0000}"/>
    <cellStyle name="RIGs linked cells 4 2 2 5 13" xfId="44180" xr:uid="{00000000-0005-0000-0000-00006DAD0000}"/>
    <cellStyle name="RIGs linked cells 4 2 2 5 2" xfId="44181" xr:uid="{00000000-0005-0000-0000-00006EAD0000}"/>
    <cellStyle name="RIGs linked cells 4 2 2 5 2 2" xfId="44182" xr:uid="{00000000-0005-0000-0000-00006FAD0000}"/>
    <cellStyle name="RIGs linked cells 4 2 2 5 2 3" xfId="44183" xr:uid="{00000000-0005-0000-0000-000070AD0000}"/>
    <cellStyle name="RIGs linked cells 4 2 2 5 3" xfId="44184" xr:uid="{00000000-0005-0000-0000-000071AD0000}"/>
    <cellStyle name="RIGs linked cells 4 2 2 5 3 2" xfId="44185" xr:uid="{00000000-0005-0000-0000-000072AD0000}"/>
    <cellStyle name="RIGs linked cells 4 2 2 5 3 3" xfId="44186" xr:uid="{00000000-0005-0000-0000-000073AD0000}"/>
    <cellStyle name="RIGs linked cells 4 2 2 5 4" xfId="44187" xr:uid="{00000000-0005-0000-0000-000074AD0000}"/>
    <cellStyle name="RIGs linked cells 4 2 2 5 5" xfId="44188" xr:uid="{00000000-0005-0000-0000-000075AD0000}"/>
    <cellStyle name="RIGs linked cells 4 2 2 5 6" xfId="44189" xr:uid="{00000000-0005-0000-0000-000076AD0000}"/>
    <cellStyle name="RIGs linked cells 4 2 2 5 7" xfId="44190" xr:uid="{00000000-0005-0000-0000-000077AD0000}"/>
    <cellStyle name="RIGs linked cells 4 2 2 5 8" xfId="44191" xr:uid="{00000000-0005-0000-0000-000078AD0000}"/>
    <cellStyle name="RIGs linked cells 4 2 2 5 9" xfId="44192" xr:uid="{00000000-0005-0000-0000-000079AD0000}"/>
    <cellStyle name="RIGs linked cells 4 2 2 6" xfId="44193" xr:uid="{00000000-0005-0000-0000-00007AAD0000}"/>
    <cellStyle name="RIGs linked cells 4 2 2 6 2" xfId="44194" xr:uid="{00000000-0005-0000-0000-00007BAD0000}"/>
    <cellStyle name="RIGs linked cells 4 2 2 6 2 2" xfId="44195" xr:uid="{00000000-0005-0000-0000-00007CAD0000}"/>
    <cellStyle name="RIGs linked cells 4 2 2 6 2 3" xfId="44196" xr:uid="{00000000-0005-0000-0000-00007DAD0000}"/>
    <cellStyle name="RIGs linked cells 4 2 2 6 3" xfId="44197" xr:uid="{00000000-0005-0000-0000-00007EAD0000}"/>
    <cellStyle name="RIGs linked cells 4 2 2 6 3 2" xfId="44198" xr:uid="{00000000-0005-0000-0000-00007FAD0000}"/>
    <cellStyle name="RIGs linked cells 4 2 2 6 4" xfId="44199" xr:uid="{00000000-0005-0000-0000-000080AD0000}"/>
    <cellStyle name="RIGs linked cells 4 2 2 7" xfId="44200" xr:uid="{00000000-0005-0000-0000-000081AD0000}"/>
    <cellStyle name="RIGs linked cells 4 2 2 7 2" xfId="44201" xr:uid="{00000000-0005-0000-0000-000082AD0000}"/>
    <cellStyle name="RIGs linked cells 4 2 2 8" xfId="44202" xr:uid="{00000000-0005-0000-0000-000083AD0000}"/>
    <cellStyle name="RIGs linked cells 4 2 2 8 2" xfId="44203" xr:uid="{00000000-0005-0000-0000-000084AD0000}"/>
    <cellStyle name="RIGs linked cells 4 2 2 9" xfId="44204" xr:uid="{00000000-0005-0000-0000-000085AD0000}"/>
    <cellStyle name="RIGs linked cells 4 2 2 9 2" xfId="44205" xr:uid="{00000000-0005-0000-0000-000086AD0000}"/>
    <cellStyle name="RIGs linked cells 4 2 2_4 28 1_Asst_Health_Crit_AllTO_RIIO_20110714pm" xfId="44206" xr:uid="{00000000-0005-0000-0000-000087AD0000}"/>
    <cellStyle name="RIGs linked cells 4 2 20" xfId="44207" xr:uid="{00000000-0005-0000-0000-000088AD0000}"/>
    <cellStyle name="RIGs linked cells 4 2 20 2" xfId="44208" xr:uid="{00000000-0005-0000-0000-000089AD0000}"/>
    <cellStyle name="RIGs linked cells 4 2 21" xfId="44209" xr:uid="{00000000-0005-0000-0000-00008AAD0000}"/>
    <cellStyle name="RIGs linked cells 4 2 21 2" xfId="44210" xr:uid="{00000000-0005-0000-0000-00008BAD0000}"/>
    <cellStyle name="RIGs linked cells 4 2 22" xfId="44211" xr:uid="{00000000-0005-0000-0000-00008CAD0000}"/>
    <cellStyle name="RIGs linked cells 4 2 22 2" xfId="44212" xr:uid="{00000000-0005-0000-0000-00008DAD0000}"/>
    <cellStyle name="RIGs linked cells 4 2 23" xfId="44213" xr:uid="{00000000-0005-0000-0000-00008EAD0000}"/>
    <cellStyle name="RIGs linked cells 4 2 23 2" xfId="44214" xr:uid="{00000000-0005-0000-0000-00008FAD0000}"/>
    <cellStyle name="RIGs linked cells 4 2 24" xfId="44215" xr:uid="{00000000-0005-0000-0000-000090AD0000}"/>
    <cellStyle name="RIGs linked cells 4 2 24 2" xfId="44216" xr:uid="{00000000-0005-0000-0000-000091AD0000}"/>
    <cellStyle name="RIGs linked cells 4 2 25" xfId="44217" xr:uid="{00000000-0005-0000-0000-000092AD0000}"/>
    <cellStyle name="RIGs linked cells 4 2 25 2" xfId="44218" xr:uid="{00000000-0005-0000-0000-000093AD0000}"/>
    <cellStyle name="RIGs linked cells 4 2 26" xfId="44219" xr:uid="{00000000-0005-0000-0000-000094AD0000}"/>
    <cellStyle name="RIGs linked cells 4 2 26 2" xfId="44220" xr:uid="{00000000-0005-0000-0000-000095AD0000}"/>
    <cellStyle name="RIGs linked cells 4 2 27" xfId="44221" xr:uid="{00000000-0005-0000-0000-000096AD0000}"/>
    <cellStyle name="RIGs linked cells 4 2 28" xfId="44222" xr:uid="{00000000-0005-0000-0000-000097AD0000}"/>
    <cellStyle name="RIGs linked cells 4 2 29" xfId="44223" xr:uid="{00000000-0005-0000-0000-000098AD0000}"/>
    <cellStyle name="RIGs linked cells 4 2 3" xfId="44224" xr:uid="{00000000-0005-0000-0000-000099AD0000}"/>
    <cellStyle name="RIGs linked cells 4 2 3 10" xfId="44225" xr:uid="{00000000-0005-0000-0000-00009AAD0000}"/>
    <cellStyle name="RIGs linked cells 4 2 3 11" xfId="44226" xr:uid="{00000000-0005-0000-0000-00009BAD0000}"/>
    <cellStyle name="RIGs linked cells 4 2 3 12" xfId="44227" xr:uid="{00000000-0005-0000-0000-00009CAD0000}"/>
    <cellStyle name="RIGs linked cells 4 2 3 13" xfId="44228" xr:uid="{00000000-0005-0000-0000-00009DAD0000}"/>
    <cellStyle name="RIGs linked cells 4 2 3 14" xfId="44229" xr:uid="{00000000-0005-0000-0000-00009EAD0000}"/>
    <cellStyle name="RIGs linked cells 4 2 3 15" xfId="44230" xr:uid="{00000000-0005-0000-0000-00009FAD0000}"/>
    <cellStyle name="RIGs linked cells 4 2 3 16" xfId="44231" xr:uid="{00000000-0005-0000-0000-0000A0AD0000}"/>
    <cellStyle name="RIGs linked cells 4 2 3 17" xfId="44232" xr:uid="{00000000-0005-0000-0000-0000A1AD0000}"/>
    <cellStyle name="RIGs linked cells 4 2 3 18" xfId="44233" xr:uid="{00000000-0005-0000-0000-0000A2AD0000}"/>
    <cellStyle name="RIGs linked cells 4 2 3 19" xfId="44234" xr:uid="{00000000-0005-0000-0000-0000A3AD0000}"/>
    <cellStyle name="RIGs linked cells 4 2 3 2" xfId="44235" xr:uid="{00000000-0005-0000-0000-0000A4AD0000}"/>
    <cellStyle name="RIGs linked cells 4 2 3 2 10" xfId="44236" xr:uid="{00000000-0005-0000-0000-0000A5AD0000}"/>
    <cellStyle name="RIGs linked cells 4 2 3 2 11" xfId="44237" xr:uid="{00000000-0005-0000-0000-0000A6AD0000}"/>
    <cellStyle name="RIGs linked cells 4 2 3 2 12" xfId="44238" xr:uid="{00000000-0005-0000-0000-0000A7AD0000}"/>
    <cellStyle name="RIGs linked cells 4 2 3 2 13" xfId="44239" xr:uid="{00000000-0005-0000-0000-0000A8AD0000}"/>
    <cellStyle name="RIGs linked cells 4 2 3 2 14" xfId="44240" xr:uid="{00000000-0005-0000-0000-0000A9AD0000}"/>
    <cellStyle name="RIGs linked cells 4 2 3 2 15" xfId="44241" xr:uid="{00000000-0005-0000-0000-0000AAAD0000}"/>
    <cellStyle name="RIGs linked cells 4 2 3 2 16" xfId="44242" xr:uid="{00000000-0005-0000-0000-0000ABAD0000}"/>
    <cellStyle name="RIGs linked cells 4 2 3 2 17" xfId="44243" xr:uid="{00000000-0005-0000-0000-0000ACAD0000}"/>
    <cellStyle name="RIGs linked cells 4 2 3 2 18" xfId="44244" xr:uid="{00000000-0005-0000-0000-0000ADAD0000}"/>
    <cellStyle name="RIGs linked cells 4 2 3 2 19" xfId="44245" xr:uid="{00000000-0005-0000-0000-0000AEAD0000}"/>
    <cellStyle name="RIGs linked cells 4 2 3 2 2" xfId="44246" xr:uid="{00000000-0005-0000-0000-0000AFAD0000}"/>
    <cellStyle name="RIGs linked cells 4 2 3 2 2 10" xfId="44247" xr:uid="{00000000-0005-0000-0000-0000B0AD0000}"/>
    <cellStyle name="RIGs linked cells 4 2 3 2 2 11" xfId="44248" xr:uid="{00000000-0005-0000-0000-0000B1AD0000}"/>
    <cellStyle name="RIGs linked cells 4 2 3 2 2 12" xfId="44249" xr:uid="{00000000-0005-0000-0000-0000B2AD0000}"/>
    <cellStyle name="RIGs linked cells 4 2 3 2 2 13" xfId="44250" xr:uid="{00000000-0005-0000-0000-0000B3AD0000}"/>
    <cellStyle name="RIGs linked cells 4 2 3 2 2 2" xfId="44251" xr:uid="{00000000-0005-0000-0000-0000B4AD0000}"/>
    <cellStyle name="RIGs linked cells 4 2 3 2 2 2 2" xfId="44252" xr:uid="{00000000-0005-0000-0000-0000B5AD0000}"/>
    <cellStyle name="RIGs linked cells 4 2 3 2 2 2 3" xfId="44253" xr:uid="{00000000-0005-0000-0000-0000B6AD0000}"/>
    <cellStyle name="RIGs linked cells 4 2 3 2 2 3" xfId="44254" xr:uid="{00000000-0005-0000-0000-0000B7AD0000}"/>
    <cellStyle name="RIGs linked cells 4 2 3 2 2 3 2" xfId="44255" xr:uid="{00000000-0005-0000-0000-0000B8AD0000}"/>
    <cellStyle name="RIGs linked cells 4 2 3 2 2 3 3" xfId="44256" xr:uid="{00000000-0005-0000-0000-0000B9AD0000}"/>
    <cellStyle name="RIGs linked cells 4 2 3 2 2 4" xfId="44257" xr:uid="{00000000-0005-0000-0000-0000BAAD0000}"/>
    <cellStyle name="RIGs linked cells 4 2 3 2 2 5" xfId="44258" xr:uid="{00000000-0005-0000-0000-0000BBAD0000}"/>
    <cellStyle name="RIGs linked cells 4 2 3 2 2 6" xfId="44259" xr:uid="{00000000-0005-0000-0000-0000BCAD0000}"/>
    <cellStyle name="RIGs linked cells 4 2 3 2 2 7" xfId="44260" xr:uid="{00000000-0005-0000-0000-0000BDAD0000}"/>
    <cellStyle name="RIGs linked cells 4 2 3 2 2 8" xfId="44261" xr:uid="{00000000-0005-0000-0000-0000BEAD0000}"/>
    <cellStyle name="RIGs linked cells 4 2 3 2 2 9" xfId="44262" xr:uid="{00000000-0005-0000-0000-0000BFAD0000}"/>
    <cellStyle name="RIGs linked cells 4 2 3 2 20" xfId="44263" xr:uid="{00000000-0005-0000-0000-0000C0AD0000}"/>
    <cellStyle name="RIGs linked cells 4 2 3 2 21" xfId="44264" xr:uid="{00000000-0005-0000-0000-0000C1AD0000}"/>
    <cellStyle name="RIGs linked cells 4 2 3 2 22" xfId="44265" xr:uid="{00000000-0005-0000-0000-0000C2AD0000}"/>
    <cellStyle name="RIGs linked cells 4 2 3 2 23" xfId="44266" xr:uid="{00000000-0005-0000-0000-0000C3AD0000}"/>
    <cellStyle name="RIGs linked cells 4 2 3 2 24" xfId="44267" xr:uid="{00000000-0005-0000-0000-0000C4AD0000}"/>
    <cellStyle name="RIGs linked cells 4 2 3 2 25" xfId="44268" xr:uid="{00000000-0005-0000-0000-0000C5AD0000}"/>
    <cellStyle name="RIGs linked cells 4 2 3 2 26" xfId="44269" xr:uid="{00000000-0005-0000-0000-0000C6AD0000}"/>
    <cellStyle name="RIGs linked cells 4 2 3 2 27" xfId="44270" xr:uid="{00000000-0005-0000-0000-0000C7AD0000}"/>
    <cellStyle name="RIGs linked cells 4 2 3 2 28" xfId="44271" xr:uid="{00000000-0005-0000-0000-0000C8AD0000}"/>
    <cellStyle name="RIGs linked cells 4 2 3 2 29" xfId="44272" xr:uid="{00000000-0005-0000-0000-0000C9AD0000}"/>
    <cellStyle name="RIGs linked cells 4 2 3 2 3" xfId="44273" xr:uid="{00000000-0005-0000-0000-0000CAAD0000}"/>
    <cellStyle name="RIGs linked cells 4 2 3 2 3 2" xfId="44274" xr:uid="{00000000-0005-0000-0000-0000CBAD0000}"/>
    <cellStyle name="RIGs linked cells 4 2 3 2 3 3" xfId="44275" xr:uid="{00000000-0005-0000-0000-0000CCAD0000}"/>
    <cellStyle name="RIGs linked cells 4 2 3 2 30" xfId="44276" xr:uid="{00000000-0005-0000-0000-0000CDAD0000}"/>
    <cellStyle name="RIGs linked cells 4 2 3 2 31" xfId="44277" xr:uid="{00000000-0005-0000-0000-0000CEAD0000}"/>
    <cellStyle name="RIGs linked cells 4 2 3 2 32" xfId="44278" xr:uid="{00000000-0005-0000-0000-0000CFAD0000}"/>
    <cellStyle name="RIGs linked cells 4 2 3 2 33" xfId="44279" xr:uid="{00000000-0005-0000-0000-0000D0AD0000}"/>
    <cellStyle name="RIGs linked cells 4 2 3 2 34" xfId="44280" xr:uid="{00000000-0005-0000-0000-0000D1AD0000}"/>
    <cellStyle name="RIGs linked cells 4 2 3 2 4" xfId="44281" xr:uid="{00000000-0005-0000-0000-0000D2AD0000}"/>
    <cellStyle name="RIGs linked cells 4 2 3 2 4 2" xfId="44282" xr:uid="{00000000-0005-0000-0000-0000D3AD0000}"/>
    <cellStyle name="RIGs linked cells 4 2 3 2 4 3" xfId="44283" xr:uid="{00000000-0005-0000-0000-0000D4AD0000}"/>
    <cellStyle name="RIGs linked cells 4 2 3 2 5" xfId="44284" xr:uid="{00000000-0005-0000-0000-0000D5AD0000}"/>
    <cellStyle name="RIGs linked cells 4 2 3 2 6" xfId="44285" xr:uid="{00000000-0005-0000-0000-0000D6AD0000}"/>
    <cellStyle name="RIGs linked cells 4 2 3 2 7" xfId="44286" xr:uid="{00000000-0005-0000-0000-0000D7AD0000}"/>
    <cellStyle name="RIGs linked cells 4 2 3 2 8" xfId="44287" xr:uid="{00000000-0005-0000-0000-0000D8AD0000}"/>
    <cellStyle name="RIGs linked cells 4 2 3 2 9" xfId="44288" xr:uid="{00000000-0005-0000-0000-0000D9AD0000}"/>
    <cellStyle name="RIGs linked cells 4 2 3 20" xfId="44289" xr:uid="{00000000-0005-0000-0000-0000DAAD0000}"/>
    <cellStyle name="RIGs linked cells 4 2 3 21" xfId="44290" xr:uid="{00000000-0005-0000-0000-0000DBAD0000}"/>
    <cellStyle name="RIGs linked cells 4 2 3 22" xfId="44291" xr:uid="{00000000-0005-0000-0000-0000DCAD0000}"/>
    <cellStyle name="RIGs linked cells 4 2 3 23" xfId="44292" xr:uid="{00000000-0005-0000-0000-0000DDAD0000}"/>
    <cellStyle name="RIGs linked cells 4 2 3 24" xfId="44293" xr:uid="{00000000-0005-0000-0000-0000DEAD0000}"/>
    <cellStyle name="RIGs linked cells 4 2 3 25" xfId="44294" xr:uid="{00000000-0005-0000-0000-0000DFAD0000}"/>
    <cellStyle name="RIGs linked cells 4 2 3 26" xfId="44295" xr:uid="{00000000-0005-0000-0000-0000E0AD0000}"/>
    <cellStyle name="RIGs linked cells 4 2 3 27" xfId="44296" xr:uid="{00000000-0005-0000-0000-0000E1AD0000}"/>
    <cellStyle name="RIGs linked cells 4 2 3 28" xfId="44297" xr:uid="{00000000-0005-0000-0000-0000E2AD0000}"/>
    <cellStyle name="RIGs linked cells 4 2 3 29" xfId="44298" xr:uid="{00000000-0005-0000-0000-0000E3AD0000}"/>
    <cellStyle name="RIGs linked cells 4 2 3 3" xfId="44299" xr:uid="{00000000-0005-0000-0000-0000E4AD0000}"/>
    <cellStyle name="RIGs linked cells 4 2 3 3 10" xfId="44300" xr:uid="{00000000-0005-0000-0000-0000E5AD0000}"/>
    <cellStyle name="RIGs linked cells 4 2 3 3 11" xfId="44301" xr:uid="{00000000-0005-0000-0000-0000E6AD0000}"/>
    <cellStyle name="RIGs linked cells 4 2 3 3 12" xfId="44302" xr:uid="{00000000-0005-0000-0000-0000E7AD0000}"/>
    <cellStyle name="RIGs linked cells 4 2 3 3 13" xfId="44303" xr:uid="{00000000-0005-0000-0000-0000E8AD0000}"/>
    <cellStyle name="RIGs linked cells 4 2 3 3 2" xfId="44304" xr:uid="{00000000-0005-0000-0000-0000E9AD0000}"/>
    <cellStyle name="RIGs linked cells 4 2 3 3 2 2" xfId="44305" xr:uid="{00000000-0005-0000-0000-0000EAAD0000}"/>
    <cellStyle name="RIGs linked cells 4 2 3 3 2 3" xfId="44306" xr:uid="{00000000-0005-0000-0000-0000EBAD0000}"/>
    <cellStyle name="RIGs linked cells 4 2 3 3 3" xfId="44307" xr:uid="{00000000-0005-0000-0000-0000ECAD0000}"/>
    <cellStyle name="RIGs linked cells 4 2 3 3 3 2" xfId="44308" xr:uid="{00000000-0005-0000-0000-0000EDAD0000}"/>
    <cellStyle name="RIGs linked cells 4 2 3 3 3 3" xfId="44309" xr:uid="{00000000-0005-0000-0000-0000EEAD0000}"/>
    <cellStyle name="RIGs linked cells 4 2 3 3 4" xfId="44310" xr:uid="{00000000-0005-0000-0000-0000EFAD0000}"/>
    <cellStyle name="RIGs linked cells 4 2 3 3 5" xfId="44311" xr:uid="{00000000-0005-0000-0000-0000F0AD0000}"/>
    <cellStyle name="RIGs linked cells 4 2 3 3 6" xfId="44312" xr:uid="{00000000-0005-0000-0000-0000F1AD0000}"/>
    <cellStyle name="RIGs linked cells 4 2 3 3 7" xfId="44313" xr:uid="{00000000-0005-0000-0000-0000F2AD0000}"/>
    <cellStyle name="RIGs linked cells 4 2 3 3 8" xfId="44314" xr:uid="{00000000-0005-0000-0000-0000F3AD0000}"/>
    <cellStyle name="RIGs linked cells 4 2 3 3 9" xfId="44315" xr:uid="{00000000-0005-0000-0000-0000F4AD0000}"/>
    <cellStyle name="RIGs linked cells 4 2 3 30" xfId="44316" xr:uid="{00000000-0005-0000-0000-0000F5AD0000}"/>
    <cellStyle name="RIGs linked cells 4 2 3 31" xfId="44317" xr:uid="{00000000-0005-0000-0000-0000F6AD0000}"/>
    <cellStyle name="RIGs linked cells 4 2 3 32" xfId="44318" xr:uid="{00000000-0005-0000-0000-0000F7AD0000}"/>
    <cellStyle name="RIGs linked cells 4 2 3 33" xfId="44319" xr:uid="{00000000-0005-0000-0000-0000F8AD0000}"/>
    <cellStyle name="RIGs linked cells 4 2 3 34" xfId="44320" xr:uid="{00000000-0005-0000-0000-0000F9AD0000}"/>
    <cellStyle name="RIGs linked cells 4 2 3 35" xfId="44321" xr:uid="{00000000-0005-0000-0000-0000FAAD0000}"/>
    <cellStyle name="RIGs linked cells 4 2 3 4" xfId="44322" xr:uid="{00000000-0005-0000-0000-0000FBAD0000}"/>
    <cellStyle name="RIGs linked cells 4 2 3 4 2" xfId="44323" xr:uid="{00000000-0005-0000-0000-0000FCAD0000}"/>
    <cellStyle name="RIGs linked cells 4 2 3 4 3" xfId="44324" xr:uid="{00000000-0005-0000-0000-0000FDAD0000}"/>
    <cellStyle name="RIGs linked cells 4 2 3 5" xfId="44325" xr:uid="{00000000-0005-0000-0000-0000FEAD0000}"/>
    <cellStyle name="RIGs linked cells 4 2 3 5 2" xfId="44326" xr:uid="{00000000-0005-0000-0000-0000FFAD0000}"/>
    <cellStyle name="RIGs linked cells 4 2 3 5 3" xfId="44327" xr:uid="{00000000-0005-0000-0000-000000AE0000}"/>
    <cellStyle name="RIGs linked cells 4 2 3 6" xfId="44328" xr:uid="{00000000-0005-0000-0000-000001AE0000}"/>
    <cellStyle name="RIGs linked cells 4 2 3 7" xfId="44329" xr:uid="{00000000-0005-0000-0000-000002AE0000}"/>
    <cellStyle name="RIGs linked cells 4 2 3 8" xfId="44330" xr:uid="{00000000-0005-0000-0000-000003AE0000}"/>
    <cellStyle name="RIGs linked cells 4 2 3 9" xfId="44331" xr:uid="{00000000-0005-0000-0000-000004AE0000}"/>
    <cellStyle name="RIGs linked cells 4 2 3_4 28 1_Asst_Health_Crit_AllTO_RIIO_20110714pm" xfId="44332" xr:uid="{00000000-0005-0000-0000-000005AE0000}"/>
    <cellStyle name="RIGs linked cells 4 2 30" xfId="44333" xr:uid="{00000000-0005-0000-0000-000006AE0000}"/>
    <cellStyle name="RIGs linked cells 4 2 31" xfId="44334" xr:uid="{00000000-0005-0000-0000-000007AE0000}"/>
    <cellStyle name="RIGs linked cells 4 2 32" xfId="44335" xr:uid="{00000000-0005-0000-0000-000008AE0000}"/>
    <cellStyle name="RIGs linked cells 4 2 33" xfId="44336" xr:uid="{00000000-0005-0000-0000-000009AE0000}"/>
    <cellStyle name="RIGs linked cells 4 2 34" xfId="44337" xr:uid="{00000000-0005-0000-0000-00000AAE0000}"/>
    <cellStyle name="RIGs linked cells 4 2 35" xfId="44338" xr:uid="{00000000-0005-0000-0000-00000BAE0000}"/>
    <cellStyle name="RIGs linked cells 4 2 36" xfId="44339" xr:uid="{00000000-0005-0000-0000-00000CAE0000}"/>
    <cellStyle name="RIGs linked cells 4 2 37" xfId="44340" xr:uid="{00000000-0005-0000-0000-00000DAE0000}"/>
    <cellStyle name="RIGs linked cells 4 2 38" xfId="44341" xr:uid="{00000000-0005-0000-0000-00000EAE0000}"/>
    <cellStyle name="RIGs linked cells 4 2 39" xfId="44342" xr:uid="{00000000-0005-0000-0000-00000FAE0000}"/>
    <cellStyle name="RIGs linked cells 4 2 4" xfId="44343" xr:uid="{00000000-0005-0000-0000-000010AE0000}"/>
    <cellStyle name="RIGs linked cells 4 2 4 10" xfId="44344" xr:uid="{00000000-0005-0000-0000-000011AE0000}"/>
    <cellStyle name="RIGs linked cells 4 2 4 11" xfId="44345" xr:uid="{00000000-0005-0000-0000-000012AE0000}"/>
    <cellStyle name="RIGs linked cells 4 2 4 12" xfId="44346" xr:uid="{00000000-0005-0000-0000-000013AE0000}"/>
    <cellStyle name="RIGs linked cells 4 2 4 13" xfId="44347" xr:uid="{00000000-0005-0000-0000-000014AE0000}"/>
    <cellStyle name="RIGs linked cells 4 2 4 14" xfId="44348" xr:uid="{00000000-0005-0000-0000-000015AE0000}"/>
    <cellStyle name="RIGs linked cells 4 2 4 15" xfId="44349" xr:uid="{00000000-0005-0000-0000-000016AE0000}"/>
    <cellStyle name="RIGs linked cells 4 2 4 16" xfId="44350" xr:uid="{00000000-0005-0000-0000-000017AE0000}"/>
    <cellStyle name="RIGs linked cells 4 2 4 17" xfId="44351" xr:uid="{00000000-0005-0000-0000-000018AE0000}"/>
    <cellStyle name="RIGs linked cells 4 2 4 18" xfId="44352" xr:uid="{00000000-0005-0000-0000-000019AE0000}"/>
    <cellStyle name="RIGs linked cells 4 2 4 19" xfId="44353" xr:uid="{00000000-0005-0000-0000-00001AAE0000}"/>
    <cellStyle name="RIGs linked cells 4 2 4 2" xfId="44354" xr:uid="{00000000-0005-0000-0000-00001BAE0000}"/>
    <cellStyle name="RIGs linked cells 4 2 4 2 10" xfId="44355" xr:uid="{00000000-0005-0000-0000-00001CAE0000}"/>
    <cellStyle name="RIGs linked cells 4 2 4 2 11" xfId="44356" xr:uid="{00000000-0005-0000-0000-00001DAE0000}"/>
    <cellStyle name="RIGs linked cells 4 2 4 2 12" xfId="44357" xr:uid="{00000000-0005-0000-0000-00001EAE0000}"/>
    <cellStyle name="RIGs linked cells 4 2 4 2 13" xfId="44358" xr:uid="{00000000-0005-0000-0000-00001FAE0000}"/>
    <cellStyle name="RIGs linked cells 4 2 4 2 2" xfId="44359" xr:uid="{00000000-0005-0000-0000-000020AE0000}"/>
    <cellStyle name="RIGs linked cells 4 2 4 2 2 2" xfId="44360" xr:uid="{00000000-0005-0000-0000-000021AE0000}"/>
    <cellStyle name="RIGs linked cells 4 2 4 2 2 3" xfId="44361" xr:uid="{00000000-0005-0000-0000-000022AE0000}"/>
    <cellStyle name="RIGs linked cells 4 2 4 2 3" xfId="44362" xr:uid="{00000000-0005-0000-0000-000023AE0000}"/>
    <cellStyle name="RIGs linked cells 4 2 4 2 3 2" xfId="44363" xr:uid="{00000000-0005-0000-0000-000024AE0000}"/>
    <cellStyle name="RIGs linked cells 4 2 4 2 3 3" xfId="44364" xr:uid="{00000000-0005-0000-0000-000025AE0000}"/>
    <cellStyle name="RIGs linked cells 4 2 4 2 4" xfId="44365" xr:uid="{00000000-0005-0000-0000-000026AE0000}"/>
    <cellStyle name="RIGs linked cells 4 2 4 2 5" xfId="44366" xr:uid="{00000000-0005-0000-0000-000027AE0000}"/>
    <cellStyle name="RIGs linked cells 4 2 4 2 6" xfId="44367" xr:uid="{00000000-0005-0000-0000-000028AE0000}"/>
    <cellStyle name="RIGs linked cells 4 2 4 2 7" xfId="44368" xr:uid="{00000000-0005-0000-0000-000029AE0000}"/>
    <cellStyle name="RIGs linked cells 4 2 4 2 8" xfId="44369" xr:uid="{00000000-0005-0000-0000-00002AAE0000}"/>
    <cellStyle name="RIGs linked cells 4 2 4 2 9" xfId="44370" xr:uid="{00000000-0005-0000-0000-00002BAE0000}"/>
    <cellStyle name="RIGs linked cells 4 2 4 20" xfId="44371" xr:uid="{00000000-0005-0000-0000-00002CAE0000}"/>
    <cellStyle name="RIGs linked cells 4 2 4 21" xfId="44372" xr:uid="{00000000-0005-0000-0000-00002DAE0000}"/>
    <cellStyle name="RIGs linked cells 4 2 4 22" xfId="44373" xr:uid="{00000000-0005-0000-0000-00002EAE0000}"/>
    <cellStyle name="RIGs linked cells 4 2 4 23" xfId="44374" xr:uid="{00000000-0005-0000-0000-00002FAE0000}"/>
    <cellStyle name="RIGs linked cells 4 2 4 24" xfId="44375" xr:uid="{00000000-0005-0000-0000-000030AE0000}"/>
    <cellStyle name="RIGs linked cells 4 2 4 25" xfId="44376" xr:uid="{00000000-0005-0000-0000-000031AE0000}"/>
    <cellStyle name="RIGs linked cells 4 2 4 26" xfId="44377" xr:uid="{00000000-0005-0000-0000-000032AE0000}"/>
    <cellStyle name="RIGs linked cells 4 2 4 27" xfId="44378" xr:uid="{00000000-0005-0000-0000-000033AE0000}"/>
    <cellStyle name="RIGs linked cells 4 2 4 28" xfId="44379" xr:uid="{00000000-0005-0000-0000-000034AE0000}"/>
    <cellStyle name="RIGs linked cells 4 2 4 29" xfId="44380" xr:uid="{00000000-0005-0000-0000-000035AE0000}"/>
    <cellStyle name="RIGs linked cells 4 2 4 3" xfId="44381" xr:uid="{00000000-0005-0000-0000-000036AE0000}"/>
    <cellStyle name="RIGs linked cells 4 2 4 3 2" xfId="44382" xr:uid="{00000000-0005-0000-0000-000037AE0000}"/>
    <cellStyle name="RIGs linked cells 4 2 4 3 3" xfId="44383" xr:uid="{00000000-0005-0000-0000-000038AE0000}"/>
    <cellStyle name="RIGs linked cells 4 2 4 30" xfId="44384" xr:uid="{00000000-0005-0000-0000-000039AE0000}"/>
    <cellStyle name="RIGs linked cells 4 2 4 31" xfId="44385" xr:uid="{00000000-0005-0000-0000-00003AAE0000}"/>
    <cellStyle name="RIGs linked cells 4 2 4 32" xfId="44386" xr:uid="{00000000-0005-0000-0000-00003BAE0000}"/>
    <cellStyle name="RIGs linked cells 4 2 4 33" xfId="44387" xr:uid="{00000000-0005-0000-0000-00003CAE0000}"/>
    <cellStyle name="RIGs linked cells 4 2 4 34" xfId="44388" xr:uid="{00000000-0005-0000-0000-00003DAE0000}"/>
    <cellStyle name="RIGs linked cells 4 2 4 4" xfId="44389" xr:uid="{00000000-0005-0000-0000-00003EAE0000}"/>
    <cellStyle name="RIGs linked cells 4 2 4 4 2" xfId="44390" xr:uid="{00000000-0005-0000-0000-00003FAE0000}"/>
    <cellStyle name="RIGs linked cells 4 2 4 4 3" xfId="44391" xr:uid="{00000000-0005-0000-0000-000040AE0000}"/>
    <cellStyle name="RIGs linked cells 4 2 4 5" xfId="44392" xr:uid="{00000000-0005-0000-0000-000041AE0000}"/>
    <cellStyle name="RIGs linked cells 4 2 4 6" xfId="44393" xr:uid="{00000000-0005-0000-0000-000042AE0000}"/>
    <cellStyle name="RIGs linked cells 4 2 4 7" xfId="44394" xr:uid="{00000000-0005-0000-0000-000043AE0000}"/>
    <cellStyle name="RIGs linked cells 4 2 4 8" xfId="44395" xr:uid="{00000000-0005-0000-0000-000044AE0000}"/>
    <cellStyle name="RIGs linked cells 4 2 4 9" xfId="44396" xr:uid="{00000000-0005-0000-0000-000045AE0000}"/>
    <cellStyle name="RIGs linked cells 4 2 5" xfId="44397" xr:uid="{00000000-0005-0000-0000-000046AE0000}"/>
    <cellStyle name="RIGs linked cells 4 2 5 10" xfId="44398" xr:uid="{00000000-0005-0000-0000-000047AE0000}"/>
    <cellStyle name="RIGs linked cells 4 2 5 11" xfId="44399" xr:uid="{00000000-0005-0000-0000-000048AE0000}"/>
    <cellStyle name="RIGs linked cells 4 2 5 12" xfId="44400" xr:uid="{00000000-0005-0000-0000-000049AE0000}"/>
    <cellStyle name="RIGs linked cells 4 2 5 13" xfId="44401" xr:uid="{00000000-0005-0000-0000-00004AAE0000}"/>
    <cellStyle name="RIGs linked cells 4 2 5 14" xfId="44402" xr:uid="{00000000-0005-0000-0000-00004BAE0000}"/>
    <cellStyle name="RIGs linked cells 4 2 5 15" xfId="44403" xr:uid="{00000000-0005-0000-0000-00004CAE0000}"/>
    <cellStyle name="RIGs linked cells 4 2 5 16" xfId="44404" xr:uid="{00000000-0005-0000-0000-00004DAE0000}"/>
    <cellStyle name="RIGs linked cells 4 2 5 17" xfId="44405" xr:uid="{00000000-0005-0000-0000-00004EAE0000}"/>
    <cellStyle name="RIGs linked cells 4 2 5 18" xfId="44406" xr:uid="{00000000-0005-0000-0000-00004FAE0000}"/>
    <cellStyle name="RIGs linked cells 4 2 5 19" xfId="44407" xr:uid="{00000000-0005-0000-0000-000050AE0000}"/>
    <cellStyle name="RIGs linked cells 4 2 5 2" xfId="44408" xr:uid="{00000000-0005-0000-0000-000051AE0000}"/>
    <cellStyle name="RIGs linked cells 4 2 5 2 10" xfId="44409" xr:uid="{00000000-0005-0000-0000-000052AE0000}"/>
    <cellStyle name="RIGs linked cells 4 2 5 2 11" xfId="44410" xr:uid="{00000000-0005-0000-0000-000053AE0000}"/>
    <cellStyle name="RIGs linked cells 4 2 5 2 12" xfId="44411" xr:uid="{00000000-0005-0000-0000-000054AE0000}"/>
    <cellStyle name="RIGs linked cells 4 2 5 2 13" xfId="44412" xr:uid="{00000000-0005-0000-0000-000055AE0000}"/>
    <cellStyle name="RIGs linked cells 4 2 5 2 2" xfId="44413" xr:uid="{00000000-0005-0000-0000-000056AE0000}"/>
    <cellStyle name="RIGs linked cells 4 2 5 2 2 2" xfId="44414" xr:uid="{00000000-0005-0000-0000-000057AE0000}"/>
    <cellStyle name="RIGs linked cells 4 2 5 2 2 3" xfId="44415" xr:uid="{00000000-0005-0000-0000-000058AE0000}"/>
    <cellStyle name="RIGs linked cells 4 2 5 2 3" xfId="44416" xr:uid="{00000000-0005-0000-0000-000059AE0000}"/>
    <cellStyle name="RIGs linked cells 4 2 5 2 3 2" xfId="44417" xr:uid="{00000000-0005-0000-0000-00005AAE0000}"/>
    <cellStyle name="RIGs linked cells 4 2 5 2 3 3" xfId="44418" xr:uid="{00000000-0005-0000-0000-00005BAE0000}"/>
    <cellStyle name="RIGs linked cells 4 2 5 2 4" xfId="44419" xr:uid="{00000000-0005-0000-0000-00005CAE0000}"/>
    <cellStyle name="RIGs linked cells 4 2 5 2 5" xfId="44420" xr:uid="{00000000-0005-0000-0000-00005DAE0000}"/>
    <cellStyle name="RIGs linked cells 4 2 5 2 6" xfId="44421" xr:uid="{00000000-0005-0000-0000-00005EAE0000}"/>
    <cellStyle name="RIGs linked cells 4 2 5 2 7" xfId="44422" xr:uid="{00000000-0005-0000-0000-00005FAE0000}"/>
    <cellStyle name="RIGs linked cells 4 2 5 2 8" xfId="44423" xr:uid="{00000000-0005-0000-0000-000060AE0000}"/>
    <cellStyle name="RIGs linked cells 4 2 5 2 9" xfId="44424" xr:uid="{00000000-0005-0000-0000-000061AE0000}"/>
    <cellStyle name="RIGs linked cells 4 2 5 20" xfId="44425" xr:uid="{00000000-0005-0000-0000-000062AE0000}"/>
    <cellStyle name="RIGs linked cells 4 2 5 21" xfId="44426" xr:uid="{00000000-0005-0000-0000-000063AE0000}"/>
    <cellStyle name="RIGs linked cells 4 2 5 22" xfId="44427" xr:uid="{00000000-0005-0000-0000-000064AE0000}"/>
    <cellStyle name="RIGs linked cells 4 2 5 23" xfId="44428" xr:uid="{00000000-0005-0000-0000-000065AE0000}"/>
    <cellStyle name="RIGs linked cells 4 2 5 24" xfId="44429" xr:uid="{00000000-0005-0000-0000-000066AE0000}"/>
    <cellStyle name="RIGs linked cells 4 2 5 25" xfId="44430" xr:uid="{00000000-0005-0000-0000-000067AE0000}"/>
    <cellStyle name="RIGs linked cells 4 2 5 26" xfId="44431" xr:uid="{00000000-0005-0000-0000-000068AE0000}"/>
    <cellStyle name="RIGs linked cells 4 2 5 27" xfId="44432" xr:uid="{00000000-0005-0000-0000-000069AE0000}"/>
    <cellStyle name="RIGs linked cells 4 2 5 28" xfId="44433" xr:uid="{00000000-0005-0000-0000-00006AAE0000}"/>
    <cellStyle name="RIGs linked cells 4 2 5 29" xfId="44434" xr:uid="{00000000-0005-0000-0000-00006BAE0000}"/>
    <cellStyle name="RIGs linked cells 4 2 5 3" xfId="44435" xr:uid="{00000000-0005-0000-0000-00006CAE0000}"/>
    <cellStyle name="RIGs linked cells 4 2 5 3 2" xfId="44436" xr:uid="{00000000-0005-0000-0000-00006DAE0000}"/>
    <cellStyle name="RIGs linked cells 4 2 5 3 3" xfId="44437" xr:uid="{00000000-0005-0000-0000-00006EAE0000}"/>
    <cellStyle name="RIGs linked cells 4 2 5 30" xfId="44438" xr:uid="{00000000-0005-0000-0000-00006FAE0000}"/>
    <cellStyle name="RIGs linked cells 4 2 5 31" xfId="44439" xr:uid="{00000000-0005-0000-0000-000070AE0000}"/>
    <cellStyle name="RIGs linked cells 4 2 5 32" xfId="44440" xr:uid="{00000000-0005-0000-0000-000071AE0000}"/>
    <cellStyle name="RIGs linked cells 4 2 5 33" xfId="44441" xr:uid="{00000000-0005-0000-0000-000072AE0000}"/>
    <cellStyle name="RIGs linked cells 4 2 5 34" xfId="44442" xr:uid="{00000000-0005-0000-0000-000073AE0000}"/>
    <cellStyle name="RIGs linked cells 4 2 5 4" xfId="44443" xr:uid="{00000000-0005-0000-0000-000074AE0000}"/>
    <cellStyle name="RIGs linked cells 4 2 5 4 2" xfId="44444" xr:uid="{00000000-0005-0000-0000-000075AE0000}"/>
    <cellStyle name="RIGs linked cells 4 2 5 4 3" xfId="44445" xr:uid="{00000000-0005-0000-0000-000076AE0000}"/>
    <cellStyle name="RIGs linked cells 4 2 5 5" xfId="44446" xr:uid="{00000000-0005-0000-0000-000077AE0000}"/>
    <cellStyle name="RIGs linked cells 4 2 5 6" xfId="44447" xr:uid="{00000000-0005-0000-0000-000078AE0000}"/>
    <cellStyle name="RIGs linked cells 4 2 5 7" xfId="44448" xr:uid="{00000000-0005-0000-0000-000079AE0000}"/>
    <cellStyle name="RIGs linked cells 4 2 5 8" xfId="44449" xr:uid="{00000000-0005-0000-0000-00007AAE0000}"/>
    <cellStyle name="RIGs linked cells 4 2 5 9" xfId="44450" xr:uid="{00000000-0005-0000-0000-00007BAE0000}"/>
    <cellStyle name="RIGs linked cells 4 2 6" xfId="44451" xr:uid="{00000000-0005-0000-0000-00007CAE0000}"/>
    <cellStyle name="RIGs linked cells 4 2 6 10" xfId="44452" xr:uid="{00000000-0005-0000-0000-00007DAE0000}"/>
    <cellStyle name="RIGs linked cells 4 2 6 11" xfId="44453" xr:uid="{00000000-0005-0000-0000-00007EAE0000}"/>
    <cellStyle name="RIGs linked cells 4 2 6 12" xfId="44454" xr:uid="{00000000-0005-0000-0000-00007FAE0000}"/>
    <cellStyle name="RIGs linked cells 4 2 6 13" xfId="44455" xr:uid="{00000000-0005-0000-0000-000080AE0000}"/>
    <cellStyle name="RIGs linked cells 4 2 6 2" xfId="44456" xr:uid="{00000000-0005-0000-0000-000081AE0000}"/>
    <cellStyle name="RIGs linked cells 4 2 6 2 2" xfId="44457" xr:uid="{00000000-0005-0000-0000-000082AE0000}"/>
    <cellStyle name="RIGs linked cells 4 2 6 2 3" xfId="44458" xr:uid="{00000000-0005-0000-0000-000083AE0000}"/>
    <cellStyle name="RIGs linked cells 4 2 6 3" xfId="44459" xr:uid="{00000000-0005-0000-0000-000084AE0000}"/>
    <cellStyle name="RIGs linked cells 4 2 6 3 2" xfId="44460" xr:uid="{00000000-0005-0000-0000-000085AE0000}"/>
    <cellStyle name="RIGs linked cells 4 2 6 3 3" xfId="44461" xr:uid="{00000000-0005-0000-0000-000086AE0000}"/>
    <cellStyle name="RIGs linked cells 4 2 6 4" xfId="44462" xr:uid="{00000000-0005-0000-0000-000087AE0000}"/>
    <cellStyle name="RIGs linked cells 4 2 6 5" xfId="44463" xr:uid="{00000000-0005-0000-0000-000088AE0000}"/>
    <cellStyle name="RIGs linked cells 4 2 6 6" xfId="44464" xr:uid="{00000000-0005-0000-0000-000089AE0000}"/>
    <cellStyle name="RIGs linked cells 4 2 6 7" xfId="44465" xr:uid="{00000000-0005-0000-0000-00008AAE0000}"/>
    <cellStyle name="RIGs linked cells 4 2 6 8" xfId="44466" xr:uid="{00000000-0005-0000-0000-00008BAE0000}"/>
    <cellStyle name="RIGs linked cells 4 2 6 9" xfId="44467" xr:uid="{00000000-0005-0000-0000-00008CAE0000}"/>
    <cellStyle name="RIGs linked cells 4 2 7" xfId="44468" xr:uid="{00000000-0005-0000-0000-00008DAE0000}"/>
    <cellStyle name="RIGs linked cells 4 2 7 2" xfId="44469" xr:uid="{00000000-0005-0000-0000-00008EAE0000}"/>
    <cellStyle name="RIGs linked cells 4 2 7 2 2" xfId="44470" xr:uid="{00000000-0005-0000-0000-00008FAE0000}"/>
    <cellStyle name="RIGs linked cells 4 2 7 2 3" xfId="44471" xr:uid="{00000000-0005-0000-0000-000090AE0000}"/>
    <cellStyle name="RIGs linked cells 4 2 7 3" xfId="44472" xr:uid="{00000000-0005-0000-0000-000091AE0000}"/>
    <cellStyle name="RIGs linked cells 4 2 7 3 2" xfId="44473" xr:uid="{00000000-0005-0000-0000-000092AE0000}"/>
    <cellStyle name="RIGs linked cells 4 2 7 4" xfId="44474" xr:uid="{00000000-0005-0000-0000-000093AE0000}"/>
    <cellStyle name="RIGs linked cells 4 2 8" xfId="44475" xr:uid="{00000000-0005-0000-0000-000094AE0000}"/>
    <cellStyle name="RIGs linked cells 4 2 8 2" xfId="44476" xr:uid="{00000000-0005-0000-0000-000095AE0000}"/>
    <cellStyle name="RIGs linked cells 4 2 9" xfId="44477" xr:uid="{00000000-0005-0000-0000-000096AE0000}"/>
    <cellStyle name="RIGs linked cells 4 2 9 2" xfId="44478" xr:uid="{00000000-0005-0000-0000-000097AE0000}"/>
    <cellStyle name="RIGs linked cells 4 2_4 28 1_Asst_Health_Crit_AllTO_RIIO_20110714pm" xfId="44479" xr:uid="{00000000-0005-0000-0000-000098AE0000}"/>
    <cellStyle name="RIGs linked cells 4 20" xfId="44480" xr:uid="{00000000-0005-0000-0000-000099AE0000}"/>
    <cellStyle name="RIGs linked cells 4 20 2" xfId="44481" xr:uid="{00000000-0005-0000-0000-00009AAE0000}"/>
    <cellStyle name="RIGs linked cells 4 21" xfId="44482" xr:uid="{00000000-0005-0000-0000-00009BAE0000}"/>
    <cellStyle name="RIGs linked cells 4 21 2" xfId="44483" xr:uid="{00000000-0005-0000-0000-00009CAE0000}"/>
    <cellStyle name="RIGs linked cells 4 22" xfId="44484" xr:uid="{00000000-0005-0000-0000-00009DAE0000}"/>
    <cellStyle name="RIGs linked cells 4 22 2" xfId="44485" xr:uid="{00000000-0005-0000-0000-00009EAE0000}"/>
    <cellStyle name="RIGs linked cells 4 23" xfId="44486" xr:uid="{00000000-0005-0000-0000-00009FAE0000}"/>
    <cellStyle name="RIGs linked cells 4 23 2" xfId="44487" xr:uid="{00000000-0005-0000-0000-0000A0AE0000}"/>
    <cellStyle name="RIGs linked cells 4 24" xfId="44488" xr:uid="{00000000-0005-0000-0000-0000A1AE0000}"/>
    <cellStyle name="RIGs linked cells 4 24 2" xfId="44489" xr:uid="{00000000-0005-0000-0000-0000A2AE0000}"/>
    <cellStyle name="RIGs linked cells 4 25" xfId="44490" xr:uid="{00000000-0005-0000-0000-0000A3AE0000}"/>
    <cellStyle name="RIGs linked cells 4 25 2" xfId="44491" xr:uid="{00000000-0005-0000-0000-0000A4AE0000}"/>
    <cellStyle name="RIGs linked cells 4 26" xfId="44492" xr:uid="{00000000-0005-0000-0000-0000A5AE0000}"/>
    <cellStyle name="RIGs linked cells 4 26 2" xfId="44493" xr:uid="{00000000-0005-0000-0000-0000A6AE0000}"/>
    <cellStyle name="RIGs linked cells 4 27" xfId="44494" xr:uid="{00000000-0005-0000-0000-0000A7AE0000}"/>
    <cellStyle name="RIGs linked cells 4 28" xfId="44495" xr:uid="{00000000-0005-0000-0000-0000A8AE0000}"/>
    <cellStyle name="RIGs linked cells 4 29" xfId="44496" xr:uid="{00000000-0005-0000-0000-0000A9AE0000}"/>
    <cellStyle name="RIGs linked cells 4 3" xfId="44497" xr:uid="{00000000-0005-0000-0000-0000AAAE0000}"/>
    <cellStyle name="RIGs linked cells 4 3 10" xfId="44498" xr:uid="{00000000-0005-0000-0000-0000ABAE0000}"/>
    <cellStyle name="RIGs linked cells 4 3 11" xfId="44499" xr:uid="{00000000-0005-0000-0000-0000ACAE0000}"/>
    <cellStyle name="RIGs linked cells 4 3 12" xfId="44500" xr:uid="{00000000-0005-0000-0000-0000ADAE0000}"/>
    <cellStyle name="RIGs linked cells 4 3 13" xfId="44501" xr:uid="{00000000-0005-0000-0000-0000AEAE0000}"/>
    <cellStyle name="RIGs linked cells 4 3 14" xfId="44502" xr:uid="{00000000-0005-0000-0000-0000AFAE0000}"/>
    <cellStyle name="RIGs linked cells 4 3 15" xfId="44503" xr:uid="{00000000-0005-0000-0000-0000B0AE0000}"/>
    <cellStyle name="RIGs linked cells 4 3 16" xfId="44504" xr:uid="{00000000-0005-0000-0000-0000B1AE0000}"/>
    <cellStyle name="RIGs linked cells 4 3 17" xfId="44505" xr:uid="{00000000-0005-0000-0000-0000B2AE0000}"/>
    <cellStyle name="RIGs linked cells 4 3 18" xfId="44506" xr:uid="{00000000-0005-0000-0000-0000B3AE0000}"/>
    <cellStyle name="RIGs linked cells 4 3 19" xfId="44507" xr:uid="{00000000-0005-0000-0000-0000B4AE0000}"/>
    <cellStyle name="RIGs linked cells 4 3 2" xfId="44508" xr:uid="{00000000-0005-0000-0000-0000B5AE0000}"/>
    <cellStyle name="RIGs linked cells 4 3 2 10" xfId="44509" xr:uid="{00000000-0005-0000-0000-0000B6AE0000}"/>
    <cellStyle name="RIGs linked cells 4 3 2 11" xfId="44510" xr:uid="{00000000-0005-0000-0000-0000B7AE0000}"/>
    <cellStyle name="RIGs linked cells 4 3 2 12" xfId="44511" xr:uid="{00000000-0005-0000-0000-0000B8AE0000}"/>
    <cellStyle name="RIGs linked cells 4 3 2 13" xfId="44512" xr:uid="{00000000-0005-0000-0000-0000B9AE0000}"/>
    <cellStyle name="RIGs linked cells 4 3 2 14" xfId="44513" xr:uid="{00000000-0005-0000-0000-0000BAAE0000}"/>
    <cellStyle name="RIGs linked cells 4 3 2 15" xfId="44514" xr:uid="{00000000-0005-0000-0000-0000BBAE0000}"/>
    <cellStyle name="RIGs linked cells 4 3 2 16" xfId="44515" xr:uid="{00000000-0005-0000-0000-0000BCAE0000}"/>
    <cellStyle name="RIGs linked cells 4 3 2 17" xfId="44516" xr:uid="{00000000-0005-0000-0000-0000BDAE0000}"/>
    <cellStyle name="RIGs linked cells 4 3 2 18" xfId="44517" xr:uid="{00000000-0005-0000-0000-0000BEAE0000}"/>
    <cellStyle name="RIGs linked cells 4 3 2 19" xfId="44518" xr:uid="{00000000-0005-0000-0000-0000BFAE0000}"/>
    <cellStyle name="RIGs linked cells 4 3 2 2" xfId="44519" xr:uid="{00000000-0005-0000-0000-0000C0AE0000}"/>
    <cellStyle name="RIGs linked cells 4 3 2 2 10" xfId="44520" xr:uid="{00000000-0005-0000-0000-0000C1AE0000}"/>
    <cellStyle name="RIGs linked cells 4 3 2 2 11" xfId="44521" xr:uid="{00000000-0005-0000-0000-0000C2AE0000}"/>
    <cellStyle name="RIGs linked cells 4 3 2 2 12" xfId="44522" xr:uid="{00000000-0005-0000-0000-0000C3AE0000}"/>
    <cellStyle name="RIGs linked cells 4 3 2 2 13" xfId="44523" xr:uid="{00000000-0005-0000-0000-0000C4AE0000}"/>
    <cellStyle name="RIGs linked cells 4 3 2 2 2" xfId="44524" xr:uid="{00000000-0005-0000-0000-0000C5AE0000}"/>
    <cellStyle name="RIGs linked cells 4 3 2 2 2 2" xfId="44525" xr:uid="{00000000-0005-0000-0000-0000C6AE0000}"/>
    <cellStyle name="RIGs linked cells 4 3 2 2 2 3" xfId="44526" xr:uid="{00000000-0005-0000-0000-0000C7AE0000}"/>
    <cellStyle name="RIGs linked cells 4 3 2 2 3" xfId="44527" xr:uid="{00000000-0005-0000-0000-0000C8AE0000}"/>
    <cellStyle name="RIGs linked cells 4 3 2 2 3 2" xfId="44528" xr:uid="{00000000-0005-0000-0000-0000C9AE0000}"/>
    <cellStyle name="RIGs linked cells 4 3 2 2 3 3" xfId="44529" xr:uid="{00000000-0005-0000-0000-0000CAAE0000}"/>
    <cellStyle name="RIGs linked cells 4 3 2 2 4" xfId="44530" xr:uid="{00000000-0005-0000-0000-0000CBAE0000}"/>
    <cellStyle name="RIGs linked cells 4 3 2 2 5" xfId="44531" xr:uid="{00000000-0005-0000-0000-0000CCAE0000}"/>
    <cellStyle name="RIGs linked cells 4 3 2 2 6" xfId="44532" xr:uid="{00000000-0005-0000-0000-0000CDAE0000}"/>
    <cellStyle name="RIGs linked cells 4 3 2 2 7" xfId="44533" xr:uid="{00000000-0005-0000-0000-0000CEAE0000}"/>
    <cellStyle name="RIGs linked cells 4 3 2 2 8" xfId="44534" xr:uid="{00000000-0005-0000-0000-0000CFAE0000}"/>
    <cellStyle name="RIGs linked cells 4 3 2 2 9" xfId="44535" xr:uid="{00000000-0005-0000-0000-0000D0AE0000}"/>
    <cellStyle name="RIGs linked cells 4 3 2 20" xfId="44536" xr:uid="{00000000-0005-0000-0000-0000D1AE0000}"/>
    <cellStyle name="RIGs linked cells 4 3 2 21" xfId="44537" xr:uid="{00000000-0005-0000-0000-0000D2AE0000}"/>
    <cellStyle name="RIGs linked cells 4 3 2 22" xfId="44538" xr:uid="{00000000-0005-0000-0000-0000D3AE0000}"/>
    <cellStyle name="RIGs linked cells 4 3 2 23" xfId="44539" xr:uid="{00000000-0005-0000-0000-0000D4AE0000}"/>
    <cellStyle name="RIGs linked cells 4 3 2 24" xfId="44540" xr:uid="{00000000-0005-0000-0000-0000D5AE0000}"/>
    <cellStyle name="RIGs linked cells 4 3 2 25" xfId="44541" xr:uid="{00000000-0005-0000-0000-0000D6AE0000}"/>
    <cellStyle name="RIGs linked cells 4 3 2 26" xfId="44542" xr:uid="{00000000-0005-0000-0000-0000D7AE0000}"/>
    <cellStyle name="RIGs linked cells 4 3 2 27" xfId="44543" xr:uid="{00000000-0005-0000-0000-0000D8AE0000}"/>
    <cellStyle name="RIGs linked cells 4 3 2 28" xfId="44544" xr:uid="{00000000-0005-0000-0000-0000D9AE0000}"/>
    <cellStyle name="RIGs linked cells 4 3 2 29" xfId="44545" xr:uid="{00000000-0005-0000-0000-0000DAAE0000}"/>
    <cellStyle name="RIGs linked cells 4 3 2 3" xfId="44546" xr:uid="{00000000-0005-0000-0000-0000DBAE0000}"/>
    <cellStyle name="RIGs linked cells 4 3 2 3 2" xfId="44547" xr:uid="{00000000-0005-0000-0000-0000DCAE0000}"/>
    <cellStyle name="RIGs linked cells 4 3 2 3 3" xfId="44548" xr:uid="{00000000-0005-0000-0000-0000DDAE0000}"/>
    <cellStyle name="RIGs linked cells 4 3 2 30" xfId="44549" xr:uid="{00000000-0005-0000-0000-0000DEAE0000}"/>
    <cellStyle name="RIGs linked cells 4 3 2 31" xfId="44550" xr:uid="{00000000-0005-0000-0000-0000DFAE0000}"/>
    <cellStyle name="RIGs linked cells 4 3 2 32" xfId="44551" xr:uid="{00000000-0005-0000-0000-0000E0AE0000}"/>
    <cellStyle name="RIGs linked cells 4 3 2 33" xfId="44552" xr:uid="{00000000-0005-0000-0000-0000E1AE0000}"/>
    <cellStyle name="RIGs linked cells 4 3 2 34" xfId="44553" xr:uid="{00000000-0005-0000-0000-0000E2AE0000}"/>
    <cellStyle name="RIGs linked cells 4 3 2 4" xfId="44554" xr:uid="{00000000-0005-0000-0000-0000E3AE0000}"/>
    <cellStyle name="RIGs linked cells 4 3 2 4 2" xfId="44555" xr:uid="{00000000-0005-0000-0000-0000E4AE0000}"/>
    <cellStyle name="RIGs linked cells 4 3 2 4 3" xfId="44556" xr:uid="{00000000-0005-0000-0000-0000E5AE0000}"/>
    <cellStyle name="RIGs linked cells 4 3 2 5" xfId="44557" xr:uid="{00000000-0005-0000-0000-0000E6AE0000}"/>
    <cellStyle name="RIGs linked cells 4 3 2 6" xfId="44558" xr:uid="{00000000-0005-0000-0000-0000E7AE0000}"/>
    <cellStyle name="RIGs linked cells 4 3 2 7" xfId="44559" xr:uid="{00000000-0005-0000-0000-0000E8AE0000}"/>
    <cellStyle name="RIGs linked cells 4 3 2 8" xfId="44560" xr:uid="{00000000-0005-0000-0000-0000E9AE0000}"/>
    <cellStyle name="RIGs linked cells 4 3 2 9" xfId="44561" xr:uid="{00000000-0005-0000-0000-0000EAAE0000}"/>
    <cellStyle name="RIGs linked cells 4 3 20" xfId="44562" xr:uid="{00000000-0005-0000-0000-0000EBAE0000}"/>
    <cellStyle name="RIGs linked cells 4 3 21" xfId="44563" xr:uid="{00000000-0005-0000-0000-0000ECAE0000}"/>
    <cellStyle name="RIGs linked cells 4 3 22" xfId="44564" xr:uid="{00000000-0005-0000-0000-0000EDAE0000}"/>
    <cellStyle name="RIGs linked cells 4 3 23" xfId="44565" xr:uid="{00000000-0005-0000-0000-0000EEAE0000}"/>
    <cellStyle name="RIGs linked cells 4 3 24" xfId="44566" xr:uid="{00000000-0005-0000-0000-0000EFAE0000}"/>
    <cellStyle name="RIGs linked cells 4 3 25" xfId="44567" xr:uid="{00000000-0005-0000-0000-0000F0AE0000}"/>
    <cellStyle name="RIGs linked cells 4 3 26" xfId="44568" xr:uid="{00000000-0005-0000-0000-0000F1AE0000}"/>
    <cellStyle name="RIGs linked cells 4 3 27" xfId="44569" xr:uid="{00000000-0005-0000-0000-0000F2AE0000}"/>
    <cellStyle name="RIGs linked cells 4 3 28" xfId="44570" xr:uid="{00000000-0005-0000-0000-0000F3AE0000}"/>
    <cellStyle name="RIGs linked cells 4 3 29" xfId="44571" xr:uid="{00000000-0005-0000-0000-0000F4AE0000}"/>
    <cellStyle name="RIGs linked cells 4 3 3" xfId="44572" xr:uid="{00000000-0005-0000-0000-0000F5AE0000}"/>
    <cellStyle name="RIGs linked cells 4 3 3 10" xfId="44573" xr:uid="{00000000-0005-0000-0000-0000F6AE0000}"/>
    <cellStyle name="RIGs linked cells 4 3 3 11" xfId="44574" xr:uid="{00000000-0005-0000-0000-0000F7AE0000}"/>
    <cellStyle name="RIGs linked cells 4 3 3 12" xfId="44575" xr:uid="{00000000-0005-0000-0000-0000F8AE0000}"/>
    <cellStyle name="RIGs linked cells 4 3 3 13" xfId="44576" xr:uid="{00000000-0005-0000-0000-0000F9AE0000}"/>
    <cellStyle name="RIGs linked cells 4 3 3 2" xfId="44577" xr:uid="{00000000-0005-0000-0000-0000FAAE0000}"/>
    <cellStyle name="RIGs linked cells 4 3 3 2 2" xfId="44578" xr:uid="{00000000-0005-0000-0000-0000FBAE0000}"/>
    <cellStyle name="RIGs linked cells 4 3 3 2 3" xfId="44579" xr:uid="{00000000-0005-0000-0000-0000FCAE0000}"/>
    <cellStyle name="RIGs linked cells 4 3 3 3" xfId="44580" xr:uid="{00000000-0005-0000-0000-0000FDAE0000}"/>
    <cellStyle name="RIGs linked cells 4 3 3 3 2" xfId="44581" xr:uid="{00000000-0005-0000-0000-0000FEAE0000}"/>
    <cellStyle name="RIGs linked cells 4 3 3 3 3" xfId="44582" xr:uid="{00000000-0005-0000-0000-0000FFAE0000}"/>
    <cellStyle name="RIGs linked cells 4 3 3 4" xfId="44583" xr:uid="{00000000-0005-0000-0000-000000AF0000}"/>
    <cellStyle name="RIGs linked cells 4 3 3 5" xfId="44584" xr:uid="{00000000-0005-0000-0000-000001AF0000}"/>
    <cellStyle name="RIGs linked cells 4 3 3 6" xfId="44585" xr:uid="{00000000-0005-0000-0000-000002AF0000}"/>
    <cellStyle name="RIGs linked cells 4 3 3 7" xfId="44586" xr:uid="{00000000-0005-0000-0000-000003AF0000}"/>
    <cellStyle name="RIGs linked cells 4 3 3 8" xfId="44587" xr:uid="{00000000-0005-0000-0000-000004AF0000}"/>
    <cellStyle name="RIGs linked cells 4 3 3 9" xfId="44588" xr:uid="{00000000-0005-0000-0000-000005AF0000}"/>
    <cellStyle name="RIGs linked cells 4 3 30" xfId="44589" xr:uid="{00000000-0005-0000-0000-000006AF0000}"/>
    <cellStyle name="RIGs linked cells 4 3 31" xfId="44590" xr:uid="{00000000-0005-0000-0000-000007AF0000}"/>
    <cellStyle name="RIGs linked cells 4 3 32" xfId="44591" xr:uid="{00000000-0005-0000-0000-000008AF0000}"/>
    <cellStyle name="RIGs linked cells 4 3 33" xfId="44592" xr:uid="{00000000-0005-0000-0000-000009AF0000}"/>
    <cellStyle name="RIGs linked cells 4 3 34" xfId="44593" xr:uid="{00000000-0005-0000-0000-00000AAF0000}"/>
    <cellStyle name="RIGs linked cells 4 3 35" xfId="44594" xr:uid="{00000000-0005-0000-0000-00000BAF0000}"/>
    <cellStyle name="RIGs linked cells 4 3 4" xfId="44595" xr:uid="{00000000-0005-0000-0000-00000CAF0000}"/>
    <cellStyle name="RIGs linked cells 4 3 4 2" xfId="44596" xr:uid="{00000000-0005-0000-0000-00000DAF0000}"/>
    <cellStyle name="RIGs linked cells 4 3 4 3" xfId="44597" xr:uid="{00000000-0005-0000-0000-00000EAF0000}"/>
    <cellStyle name="RIGs linked cells 4 3 5" xfId="44598" xr:uid="{00000000-0005-0000-0000-00000FAF0000}"/>
    <cellStyle name="RIGs linked cells 4 3 5 2" xfId="44599" xr:uid="{00000000-0005-0000-0000-000010AF0000}"/>
    <cellStyle name="RIGs linked cells 4 3 5 3" xfId="44600" xr:uid="{00000000-0005-0000-0000-000011AF0000}"/>
    <cellStyle name="RIGs linked cells 4 3 6" xfId="44601" xr:uid="{00000000-0005-0000-0000-000012AF0000}"/>
    <cellStyle name="RIGs linked cells 4 3 7" xfId="44602" xr:uid="{00000000-0005-0000-0000-000013AF0000}"/>
    <cellStyle name="RIGs linked cells 4 3 8" xfId="44603" xr:uid="{00000000-0005-0000-0000-000014AF0000}"/>
    <cellStyle name="RIGs linked cells 4 3 9" xfId="44604" xr:uid="{00000000-0005-0000-0000-000015AF0000}"/>
    <cellStyle name="RIGs linked cells 4 3_4 28 1_Asst_Health_Crit_AllTO_RIIO_20110714pm" xfId="44605" xr:uid="{00000000-0005-0000-0000-000016AF0000}"/>
    <cellStyle name="RIGs linked cells 4 30" xfId="44606" xr:uid="{00000000-0005-0000-0000-000017AF0000}"/>
    <cellStyle name="RIGs linked cells 4 31" xfId="44607" xr:uid="{00000000-0005-0000-0000-000018AF0000}"/>
    <cellStyle name="RIGs linked cells 4 32" xfId="44608" xr:uid="{00000000-0005-0000-0000-000019AF0000}"/>
    <cellStyle name="RIGs linked cells 4 33" xfId="44609" xr:uid="{00000000-0005-0000-0000-00001AAF0000}"/>
    <cellStyle name="RIGs linked cells 4 34" xfId="44610" xr:uid="{00000000-0005-0000-0000-00001BAF0000}"/>
    <cellStyle name="RIGs linked cells 4 35" xfId="44611" xr:uid="{00000000-0005-0000-0000-00001CAF0000}"/>
    <cellStyle name="RIGs linked cells 4 36" xfId="44612" xr:uid="{00000000-0005-0000-0000-00001DAF0000}"/>
    <cellStyle name="RIGs linked cells 4 37" xfId="44613" xr:uid="{00000000-0005-0000-0000-00001EAF0000}"/>
    <cellStyle name="RIGs linked cells 4 38" xfId="44614" xr:uid="{00000000-0005-0000-0000-00001FAF0000}"/>
    <cellStyle name="RIGs linked cells 4 39" xfId="44615" xr:uid="{00000000-0005-0000-0000-000020AF0000}"/>
    <cellStyle name="RIGs linked cells 4 4" xfId="44616" xr:uid="{00000000-0005-0000-0000-000021AF0000}"/>
    <cellStyle name="RIGs linked cells 4 4 10" xfId="44617" xr:uid="{00000000-0005-0000-0000-000022AF0000}"/>
    <cellStyle name="RIGs linked cells 4 4 11" xfId="44618" xr:uid="{00000000-0005-0000-0000-000023AF0000}"/>
    <cellStyle name="RIGs linked cells 4 4 12" xfId="44619" xr:uid="{00000000-0005-0000-0000-000024AF0000}"/>
    <cellStyle name="RIGs linked cells 4 4 13" xfId="44620" xr:uid="{00000000-0005-0000-0000-000025AF0000}"/>
    <cellStyle name="RIGs linked cells 4 4 14" xfId="44621" xr:uid="{00000000-0005-0000-0000-000026AF0000}"/>
    <cellStyle name="RIGs linked cells 4 4 15" xfId="44622" xr:uid="{00000000-0005-0000-0000-000027AF0000}"/>
    <cellStyle name="RIGs linked cells 4 4 16" xfId="44623" xr:uid="{00000000-0005-0000-0000-000028AF0000}"/>
    <cellStyle name="RIGs linked cells 4 4 17" xfId="44624" xr:uid="{00000000-0005-0000-0000-000029AF0000}"/>
    <cellStyle name="RIGs linked cells 4 4 18" xfId="44625" xr:uid="{00000000-0005-0000-0000-00002AAF0000}"/>
    <cellStyle name="RIGs linked cells 4 4 19" xfId="44626" xr:uid="{00000000-0005-0000-0000-00002BAF0000}"/>
    <cellStyle name="RIGs linked cells 4 4 2" xfId="44627" xr:uid="{00000000-0005-0000-0000-00002CAF0000}"/>
    <cellStyle name="RIGs linked cells 4 4 2 10" xfId="44628" xr:uid="{00000000-0005-0000-0000-00002DAF0000}"/>
    <cellStyle name="RIGs linked cells 4 4 2 11" xfId="44629" xr:uid="{00000000-0005-0000-0000-00002EAF0000}"/>
    <cellStyle name="RIGs linked cells 4 4 2 12" xfId="44630" xr:uid="{00000000-0005-0000-0000-00002FAF0000}"/>
    <cellStyle name="RIGs linked cells 4 4 2 13" xfId="44631" xr:uid="{00000000-0005-0000-0000-000030AF0000}"/>
    <cellStyle name="RIGs linked cells 4 4 2 2" xfId="44632" xr:uid="{00000000-0005-0000-0000-000031AF0000}"/>
    <cellStyle name="RIGs linked cells 4 4 2 2 2" xfId="44633" xr:uid="{00000000-0005-0000-0000-000032AF0000}"/>
    <cellStyle name="RIGs linked cells 4 4 2 2 3" xfId="44634" xr:uid="{00000000-0005-0000-0000-000033AF0000}"/>
    <cellStyle name="RIGs linked cells 4 4 2 3" xfId="44635" xr:uid="{00000000-0005-0000-0000-000034AF0000}"/>
    <cellStyle name="RIGs linked cells 4 4 2 3 2" xfId="44636" xr:uid="{00000000-0005-0000-0000-000035AF0000}"/>
    <cellStyle name="RIGs linked cells 4 4 2 3 3" xfId="44637" xr:uid="{00000000-0005-0000-0000-000036AF0000}"/>
    <cellStyle name="RIGs linked cells 4 4 2 4" xfId="44638" xr:uid="{00000000-0005-0000-0000-000037AF0000}"/>
    <cellStyle name="RIGs linked cells 4 4 2 5" xfId="44639" xr:uid="{00000000-0005-0000-0000-000038AF0000}"/>
    <cellStyle name="RIGs linked cells 4 4 2 6" xfId="44640" xr:uid="{00000000-0005-0000-0000-000039AF0000}"/>
    <cellStyle name="RIGs linked cells 4 4 2 7" xfId="44641" xr:uid="{00000000-0005-0000-0000-00003AAF0000}"/>
    <cellStyle name="RIGs linked cells 4 4 2 8" xfId="44642" xr:uid="{00000000-0005-0000-0000-00003BAF0000}"/>
    <cellStyle name="RIGs linked cells 4 4 2 9" xfId="44643" xr:uid="{00000000-0005-0000-0000-00003CAF0000}"/>
    <cellStyle name="RIGs linked cells 4 4 20" xfId="44644" xr:uid="{00000000-0005-0000-0000-00003DAF0000}"/>
    <cellStyle name="RIGs linked cells 4 4 21" xfId="44645" xr:uid="{00000000-0005-0000-0000-00003EAF0000}"/>
    <cellStyle name="RIGs linked cells 4 4 22" xfId="44646" xr:uid="{00000000-0005-0000-0000-00003FAF0000}"/>
    <cellStyle name="RIGs linked cells 4 4 23" xfId="44647" xr:uid="{00000000-0005-0000-0000-000040AF0000}"/>
    <cellStyle name="RIGs linked cells 4 4 24" xfId="44648" xr:uid="{00000000-0005-0000-0000-000041AF0000}"/>
    <cellStyle name="RIGs linked cells 4 4 25" xfId="44649" xr:uid="{00000000-0005-0000-0000-000042AF0000}"/>
    <cellStyle name="RIGs linked cells 4 4 26" xfId="44650" xr:uid="{00000000-0005-0000-0000-000043AF0000}"/>
    <cellStyle name="RIGs linked cells 4 4 27" xfId="44651" xr:uid="{00000000-0005-0000-0000-000044AF0000}"/>
    <cellStyle name="RIGs linked cells 4 4 28" xfId="44652" xr:uid="{00000000-0005-0000-0000-000045AF0000}"/>
    <cellStyle name="RIGs linked cells 4 4 29" xfId="44653" xr:uid="{00000000-0005-0000-0000-000046AF0000}"/>
    <cellStyle name="RIGs linked cells 4 4 3" xfId="44654" xr:uid="{00000000-0005-0000-0000-000047AF0000}"/>
    <cellStyle name="RIGs linked cells 4 4 3 2" xfId="44655" xr:uid="{00000000-0005-0000-0000-000048AF0000}"/>
    <cellStyle name="RIGs linked cells 4 4 3 3" xfId="44656" xr:uid="{00000000-0005-0000-0000-000049AF0000}"/>
    <cellStyle name="RIGs linked cells 4 4 30" xfId="44657" xr:uid="{00000000-0005-0000-0000-00004AAF0000}"/>
    <cellStyle name="RIGs linked cells 4 4 31" xfId="44658" xr:uid="{00000000-0005-0000-0000-00004BAF0000}"/>
    <cellStyle name="RIGs linked cells 4 4 32" xfId="44659" xr:uid="{00000000-0005-0000-0000-00004CAF0000}"/>
    <cellStyle name="RIGs linked cells 4 4 33" xfId="44660" xr:uid="{00000000-0005-0000-0000-00004DAF0000}"/>
    <cellStyle name="RIGs linked cells 4 4 34" xfId="44661" xr:uid="{00000000-0005-0000-0000-00004EAF0000}"/>
    <cellStyle name="RIGs linked cells 4 4 4" xfId="44662" xr:uid="{00000000-0005-0000-0000-00004FAF0000}"/>
    <cellStyle name="RIGs linked cells 4 4 4 2" xfId="44663" xr:uid="{00000000-0005-0000-0000-000050AF0000}"/>
    <cellStyle name="RIGs linked cells 4 4 4 3" xfId="44664" xr:uid="{00000000-0005-0000-0000-000051AF0000}"/>
    <cellStyle name="RIGs linked cells 4 4 5" xfId="44665" xr:uid="{00000000-0005-0000-0000-000052AF0000}"/>
    <cellStyle name="RIGs linked cells 4 4 6" xfId="44666" xr:uid="{00000000-0005-0000-0000-000053AF0000}"/>
    <cellStyle name="RIGs linked cells 4 4 7" xfId="44667" xr:uid="{00000000-0005-0000-0000-000054AF0000}"/>
    <cellStyle name="RIGs linked cells 4 4 8" xfId="44668" xr:uid="{00000000-0005-0000-0000-000055AF0000}"/>
    <cellStyle name="RIGs linked cells 4 4 9" xfId="44669" xr:uid="{00000000-0005-0000-0000-000056AF0000}"/>
    <cellStyle name="RIGs linked cells 4 5" xfId="44670" xr:uid="{00000000-0005-0000-0000-000057AF0000}"/>
    <cellStyle name="RIGs linked cells 4 5 10" xfId="44671" xr:uid="{00000000-0005-0000-0000-000058AF0000}"/>
    <cellStyle name="RIGs linked cells 4 5 11" xfId="44672" xr:uid="{00000000-0005-0000-0000-000059AF0000}"/>
    <cellStyle name="RIGs linked cells 4 5 12" xfId="44673" xr:uid="{00000000-0005-0000-0000-00005AAF0000}"/>
    <cellStyle name="RIGs linked cells 4 5 13" xfId="44674" xr:uid="{00000000-0005-0000-0000-00005BAF0000}"/>
    <cellStyle name="RIGs linked cells 4 5 14" xfId="44675" xr:uid="{00000000-0005-0000-0000-00005CAF0000}"/>
    <cellStyle name="RIGs linked cells 4 5 15" xfId="44676" xr:uid="{00000000-0005-0000-0000-00005DAF0000}"/>
    <cellStyle name="RIGs linked cells 4 5 16" xfId="44677" xr:uid="{00000000-0005-0000-0000-00005EAF0000}"/>
    <cellStyle name="RIGs linked cells 4 5 17" xfId="44678" xr:uid="{00000000-0005-0000-0000-00005FAF0000}"/>
    <cellStyle name="RIGs linked cells 4 5 18" xfId="44679" xr:uid="{00000000-0005-0000-0000-000060AF0000}"/>
    <cellStyle name="RIGs linked cells 4 5 19" xfId="44680" xr:uid="{00000000-0005-0000-0000-000061AF0000}"/>
    <cellStyle name="RIGs linked cells 4 5 2" xfId="44681" xr:uid="{00000000-0005-0000-0000-000062AF0000}"/>
    <cellStyle name="RIGs linked cells 4 5 2 10" xfId="44682" xr:uid="{00000000-0005-0000-0000-000063AF0000}"/>
    <cellStyle name="RIGs linked cells 4 5 2 11" xfId="44683" xr:uid="{00000000-0005-0000-0000-000064AF0000}"/>
    <cellStyle name="RIGs linked cells 4 5 2 12" xfId="44684" xr:uid="{00000000-0005-0000-0000-000065AF0000}"/>
    <cellStyle name="RIGs linked cells 4 5 2 13" xfId="44685" xr:uid="{00000000-0005-0000-0000-000066AF0000}"/>
    <cellStyle name="RIGs linked cells 4 5 2 2" xfId="44686" xr:uid="{00000000-0005-0000-0000-000067AF0000}"/>
    <cellStyle name="RIGs linked cells 4 5 2 2 2" xfId="44687" xr:uid="{00000000-0005-0000-0000-000068AF0000}"/>
    <cellStyle name="RIGs linked cells 4 5 2 2 3" xfId="44688" xr:uid="{00000000-0005-0000-0000-000069AF0000}"/>
    <cellStyle name="RIGs linked cells 4 5 2 3" xfId="44689" xr:uid="{00000000-0005-0000-0000-00006AAF0000}"/>
    <cellStyle name="RIGs linked cells 4 5 2 3 2" xfId="44690" xr:uid="{00000000-0005-0000-0000-00006BAF0000}"/>
    <cellStyle name="RIGs linked cells 4 5 2 3 3" xfId="44691" xr:uid="{00000000-0005-0000-0000-00006CAF0000}"/>
    <cellStyle name="RIGs linked cells 4 5 2 4" xfId="44692" xr:uid="{00000000-0005-0000-0000-00006DAF0000}"/>
    <cellStyle name="RIGs linked cells 4 5 2 5" xfId="44693" xr:uid="{00000000-0005-0000-0000-00006EAF0000}"/>
    <cellStyle name="RIGs linked cells 4 5 2 6" xfId="44694" xr:uid="{00000000-0005-0000-0000-00006FAF0000}"/>
    <cellStyle name="RIGs linked cells 4 5 2 7" xfId="44695" xr:uid="{00000000-0005-0000-0000-000070AF0000}"/>
    <cellStyle name="RIGs linked cells 4 5 2 8" xfId="44696" xr:uid="{00000000-0005-0000-0000-000071AF0000}"/>
    <cellStyle name="RIGs linked cells 4 5 2 9" xfId="44697" xr:uid="{00000000-0005-0000-0000-000072AF0000}"/>
    <cellStyle name="RIGs linked cells 4 5 20" xfId="44698" xr:uid="{00000000-0005-0000-0000-000073AF0000}"/>
    <cellStyle name="RIGs linked cells 4 5 21" xfId="44699" xr:uid="{00000000-0005-0000-0000-000074AF0000}"/>
    <cellStyle name="RIGs linked cells 4 5 22" xfId="44700" xr:uid="{00000000-0005-0000-0000-000075AF0000}"/>
    <cellStyle name="RIGs linked cells 4 5 23" xfId="44701" xr:uid="{00000000-0005-0000-0000-000076AF0000}"/>
    <cellStyle name="RIGs linked cells 4 5 24" xfId="44702" xr:uid="{00000000-0005-0000-0000-000077AF0000}"/>
    <cellStyle name="RIGs linked cells 4 5 25" xfId="44703" xr:uid="{00000000-0005-0000-0000-000078AF0000}"/>
    <cellStyle name="RIGs linked cells 4 5 26" xfId="44704" xr:uid="{00000000-0005-0000-0000-000079AF0000}"/>
    <cellStyle name="RIGs linked cells 4 5 27" xfId="44705" xr:uid="{00000000-0005-0000-0000-00007AAF0000}"/>
    <cellStyle name="RIGs linked cells 4 5 28" xfId="44706" xr:uid="{00000000-0005-0000-0000-00007BAF0000}"/>
    <cellStyle name="RIGs linked cells 4 5 29" xfId="44707" xr:uid="{00000000-0005-0000-0000-00007CAF0000}"/>
    <cellStyle name="RIGs linked cells 4 5 3" xfId="44708" xr:uid="{00000000-0005-0000-0000-00007DAF0000}"/>
    <cellStyle name="RIGs linked cells 4 5 3 2" xfId="44709" xr:uid="{00000000-0005-0000-0000-00007EAF0000}"/>
    <cellStyle name="RIGs linked cells 4 5 3 3" xfId="44710" xr:uid="{00000000-0005-0000-0000-00007FAF0000}"/>
    <cellStyle name="RIGs linked cells 4 5 30" xfId="44711" xr:uid="{00000000-0005-0000-0000-000080AF0000}"/>
    <cellStyle name="RIGs linked cells 4 5 31" xfId="44712" xr:uid="{00000000-0005-0000-0000-000081AF0000}"/>
    <cellStyle name="RIGs linked cells 4 5 32" xfId="44713" xr:uid="{00000000-0005-0000-0000-000082AF0000}"/>
    <cellStyle name="RIGs linked cells 4 5 33" xfId="44714" xr:uid="{00000000-0005-0000-0000-000083AF0000}"/>
    <cellStyle name="RIGs linked cells 4 5 34" xfId="44715" xr:uid="{00000000-0005-0000-0000-000084AF0000}"/>
    <cellStyle name="RIGs linked cells 4 5 4" xfId="44716" xr:uid="{00000000-0005-0000-0000-000085AF0000}"/>
    <cellStyle name="RIGs linked cells 4 5 4 2" xfId="44717" xr:uid="{00000000-0005-0000-0000-000086AF0000}"/>
    <cellStyle name="RIGs linked cells 4 5 4 3" xfId="44718" xr:uid="{00000000-0005-0000-0000-000087AF0000}"/>
    <cellStyle name="RIGs linked cells 4 5 5" xfId="44719" xr:uid="{00000000-0005-0000-0000-000088AF0000}"/>
    <cellStyle name="RIGs linked cells 4 5 6" xfId="44720" xr:uid="{00000000-0005-0000-0000-000089AF0000}"/>
    <cellStyle name="RIGs linked cells 4 5 7" xfId="44721" xr:uid="{00000000-0005-0000-0000-00008AAF0000}"/>
    <cellStyle name="RIGs linked cells 4 5 8" xfId="44722" xr:uid="{00000000-0005-0000-0000-00008BAF0000}"/>
    <cellStyle name="RIGs linked cells 4 5 9" xfId="44723" xr:uid="{00000000-0005-0000-0000-00008CAF0000}"/>
    <cellStyle name="RIGs linked cells 4 6" xfId="44724" xr:uid="{00000000-0005-0000-0000-00008DAF0000}"/>
    <cellStyle name="RIGs linked cells 4 6 10" xfId="44725" xr:uid="{00000000-0005-0000-0000-00008EAF0000}"/>
    <cellStyle name="RIGs linked cells 4 6 11" xfId="44726" xr:uid="{00000000-0005-0000-0000-00008FAF0000}"/>
    <cellStyle name="RIGs linked cells 4 6 12" xfId="44727" xr:uid="{00000000-0005-0000-0000-000090AF0000}"/>
    <cellStyle name="RIGs linked cells 4 6 13" xfId="44728" xr:uid="{00000000-0005-0000-0000-000091AF0000}"/>
    <cellStyle name="RIGs linked cells 4 6 2" xfId="44729" xr:uid="{00000000-0005-0000-0000-000092AF0000}"/>
    <cellStyle name="RIGs linked cells 4 6 2 2" xfId="44730" xr:uid="{00000000-0005-0000-0000-000093AF0000}"/>
    <cellStyle name="RIGs linked cells 4 6 2 3" xfId="44731" xr:uid="{00000000-0005-0000-0000-000094AF0000}"/>
    <cellStyle name="RIGs linked cells 4 6 3" xfId="44732" xr:uid="{00000000-0005-0000-0000-000095AF0000}"/>
    <cellStyle name="RIGs linked cells 4 6 3 2" xfId="44733" xr:uid="{00000000-0005-0000-0000-000096AF0000}"/>
    <cellStyle name="RIGs linked cells 4 6 3 3" xfId="44734" xr:uid="{00000000-0005-0000-0000-000097AF0000}"/>
    <cellStyle name="RIGs linked cells 4 6 4" xfId="44735" xr:uid="{00000000-0005-0000-0000-000098AF0000}"/>
    <cellStyle name="RIGs linked cells 4 6 5" xfId="44736" xr:uid="{00000000-0005-0000-0000-000099AF0000}"/>
    <cellStyle name="RIGs linked cells 4 6 6" xfId="44737" xr:uid="{00000000-0005-0000-0000-00009AAF0000}"/>
    <cellStyle name="RIGs linked cells 4 6 7" xfId="44738" xr:uid="{00000000-0005-0000-0000-00009BAF0000}"/>
    <cellStyle name="RIGs linked cells 4 6 8" xfId="44739" xr:uid="{00000000-0005-0000-0000-00009CAF0000}"/>
    <cellStyle name="RIGs linked cells 4 6 9" xfId="44740" xr:uid="{00000000-0005-0000-0000-00009DAF0000}"/>
    <cellStyle name="RIGs linked cells 4 7" xfId="44741" xr:uid="{00000000-0005-0000-0000-00009EAF0000}"/>
    <cellStyle name="RIGs linked cells 4 7 2" xfId="44742" xr:uid="{00000000-0005-0000-0000-00009FAF0000}"/>
    <cellStyle name="RIGs linked cells 4 7 2 2" xfId="44743" xr:uid="{00000000-0005-0000-0000-0000A0AF0000}"/>
    <cellStyle name="RIGs linked cells 4 7 2 3" xfId="44744" xr:uid="{00000000-0005-0000-0000-0000A1AF0000}"/>
    <cellStyle name="RIGs linked cells 4 7 3" xfId="44745" xr:uid="{00000000-0005-0000-0000-0000A2AF0000}"/>
    <cellStyle name="RIGs linked cells 4 7 3 2" xfId="44746" xr:uid="{00000000-0005-0000-0000-0000A3AF0000}"/>
    <cellStyle name="RIGs linked cells 4 7 4" xfId="44747" xr:uid="{00000000-0005-0000-0000-0000A4AF0000}"/>
    <cellStyle name="RIGs linked cells 4 8" xfId="44748" xr:uid="{00000000-0005-0000-0000-0000A5AF0000}"/>
    <cellStyle name="RIGs linked cells 4 8 2" xfId="44749" xr:uid="{00000000-0005-0000-0000-0000A6AF0000}"/>
    <cellStyle name="RIGs linked cells 4 9" xfId="44750" xr:uid="{00000000-0005-0000-0000-0000A7AF0000}"/>
    <cellStyle name="RIGs linked cells 4 9 2" xfId="44751" xr:uid="{00000000-0005-0000-0000-0000A8AF0000}"/>
    <cellStyle name="RIGs linked cells 4_1.3s Accounting C Costs Scots" xfId="44752" xr:uid="{00000000-0005-0000-0000-0000A9AF0000}"/>
    <cellStyle name="RIGs linked cells 40" xfId="44753" xr:uid="{00000000-0005-0000-0000-0000AAAF0000}"/>
    <cellStyle name="RIGs linked cells 41" xfId="44754" xr:uid="{00000000-0005-0000-0000-0000ABAF0000}"/>
    <cellStyle name="RIGs linked cells 42" xfId="44755" xr:uid="{00000000-0005-0000-0000-0000ACAF0000}"/>
    <cellStyle name="RIGs linked cells 43" xfId="44756" xr:uid="{00000000-0005-0000-0000-0000ADAF0000}"/>
    <cellStyle name="RIGs linked cells 44" xfId="44757" xr:uid="{00000000-0005-0000-0000-0000AEAF0000}"/>
    <cellStyle name="RIGs linked cells 45" xfId="44758" xr:uid="{00000000-0005-0000-0000-0000AFAF0000}"/>
    <cellStyle name="RIGs linked cells 46" xfId="48432" xr:uid="{00000000-0005-0000-0000-0000B0AF0000}"/>
    <cellStyle name="RIGs linked cells 5" xfId="44759" xr:uid="{00000000-0005-0000-0000-0000B1AF0000}"/>
    <cellStyle name="RIGs linked cells 5 10" xfId="44760" xr:uid="{00000000-0005-0000-0000-0000B2AF0000}"/>
    <cellStyle name="RIGs linked cells 5 10 2" xfId="44761" xr:uid="{00000000-0005-0000-0000-0000B3AF0000}"/>
    <cellStyle name="RIGs linked cells 5 11" xfId="44762" xr:uid="{00000000-0005-0000-0000-0000B4AF0000}"/>
    <cellStyle name="RIGs linked cells 5 11 2" xfId="44763" xr:uid="{00000000-0005-0000-0000-0000B5AF0000}"/>
    <cellStyle name="RIGs linked cells 5 12" xfId="44764" xr:uid="{00000000-0005-0000-0000-0000B6AF0000}"/>
    <cellStyle name="RIGs linked cells 5 12 2" xfId="44765" xr:uid="{00000000-0005-0000-0000-0000B7AF0000}"/>
    <cellStyle name="RIGs linked cells 5 13" xfId="44766" xr:uid="{00000000-0005-0000-0000-0000B8AF0000}"/>
    <cellStyle name="RIGs linked cells 5 13 2" xfId="44767" xr:uid="{00000000-0005-0000-0000-0000B9AF0000}"/>
    <cellStyle name="RIGs linked cells 5 14" xfId="44768" xr:uid="{00000000-0005-0000-0000-0000BAAF0000}"/>
    <cellStyle name="RIGs linked cells 5 14 2" xfId="44769" xr:uid="{00000000-0005-0000-0000-0000BBAF0000}"/>
    <cellStyle name="RIGs linked cells 5 15" xfId="44770" xr:uid="{00000000-0005-0000-0000-0000BCAF0000}"/>
    <cellStyle name="RIGs linked cells 5 15 2" xfId="44771" xr:uid="{00000000-0005-0000-0000-0000BDAF0000}"/>
    <cellStyle name="RIGs linked cells 5 16" xfId="44772" xr:uid="{00000000-0005-0000-0000-0000BEAF0000}"/>
    <cellStyle name="RIGs linked cells 5 16 2" xfId="44773" xr:uid="{00000000-0005-0000-0000-0000BFAF0000}"/>
    <cellStyle name="RIGs linked cells 5 17" xfId="44774" xr:uid="{00000000-0005-0000-0000-0000C0AF0000}"/>
    <cellStyle name="RIGs linked cells 5 17 2" xfId="44775" xr:uid="{00000000-0005-0000-0000-0000C1AF0000}"/>
    <cellStyle name="RIGs linked cells 5 18" xfId="44776" xr:uid="{00000000-0005-0000-0000-0000C2AF0000}"/>
    <cellStyle name="RIGs linked cells 5 18 2" xfId="44777" xr:uid="{00000000-0005-0000-0000-0000C3AF0000}"/>
    <cellStyle name="RIGs linked cells 5 19" xfId="44778" xr:uid="{00000000-0005-0000-0000-0000C4AF0000}"/>
    <cellStyle name="RIGs linked cells 5 19 2" xfId="44779" xr:uid="{00000000-0005-0000-0000-0000C5AF0000}"/>
    <cellStyle name="RIGs linked cells 5 2" xfId="44780" xr:uid="{00000000-0005-0000-0000-0000C6AF0000}"/>
    <cellStyle name="RIGs linked cells 5 2 10" xfId="44781" xr:uid="{00000000-0005-0000-0000-0000C7AF0000}"/>
    <cellStyle name="RIGs linked cells 5 2 11" xfId="44782" xr:uid="{00000000-0005-0000-0000-0000C8AF0000}"/>
    <cellStyle name="RIGs linked cells 5 2 12" xfId="44783" xr:uid="{00000000-0005-0000-0000-0000C9AF0000}"/>
    <cellStyle name="RIGs linked cells 5 2 13" xfId="44784" xr:uid="{00000000-0005-0000-0000-0000CAAF0000}"/>
    <cellStyle name="RIGs linked cells 5 2 14" xfId="44785" xr:uid="{00000000-0005-0000-0000-0000CBAF0000}"/>
    <cellStyle name="RIGs linked cells 5 2 15" xfId="44786" xr:uid="{00000000-0005-0000-0000-0000CCAF0000}"/>
    <cellStyle name="RIGs linked cells 5 2 16" xfId="44787" xr:uid="{00000000-0005-0000-0000-0000CDAF0000}"/>
    <cellStyle name="RIGs linked cells 5 2 17" xfId="44788" xr:uid="{00000000-0005-0000-0000-0000CEAF0000}"/>
    <cellStyle name="RIGs linked cells 5 2 18" xfId="44789" xr:uid="{00000000-0005-0000-0000-0000CFAF0000}"/>
    <cellStyle name="RIGs linked cells 5 2 19" xfId="44790" xr:uid="{00000000-0005-0000-0000-0000D0AF0000}"/>
    <cellStyle name="RIGs linked cells 5 2 2" xfId="44791" xr:uid="{00000000-0005-0000-0000-0000D1AF0000}"/>
    <cellStyle name="RIGs linked cells 5 2 2 10" xfId="44792" xr:uid="{00000000-0005-0000-0000-0000D2AF0000}"/>
    <cellStyle name="RIGs linked cells 5 2 2 11" xfId="44793" xr:uid="{00000000-0005-0000-0000-0000D3AF0000}"/>
    <cellStyle name="RIGs linked cells 5 2 2 12" xfId="44794" xr:uid="{00000000-0005-0000-0000-0000D4AF0000}"/>
    <cellStyle name="RIGs linked cells 5 2 2 13" xfId="44795" xr:uid="{00000000-0005-0000-0000-0000D5AF0000}"/>
    <cellStyle name="RIGs linked cells 5 2 2 14" xfId="44796" xr:uid="{00000000-0005-0000-0000-0000D6AF0000}"/>
    <cellStyle name="RIGs linked cells 5 2 2 15" xfId="44797" xr:uid="{00000000-0005-0000-0000-0000D7AF0000}"/>
    <cellStyle name="RIGs linked cells 5 2 2 16" xfId="44798" xr:uid="{00000000-0005-0000-0000-0000D8AF0000}"/>
    <cellStyle name="RIGs linked cells 5 2 2 17" xfId="44799" xr:uid="{00000000-0005-0000-0000-0000D9AF0000}"/>
    <cellStyle name="RIGs linked cells 5 2 2 18" xfId="44800" xr:uid="{00000000-0005-0000-0000-0000DAAF0000}"/>
    <cellStyle name="RIGs linked cells 5 2 2 19" xfId="44801" xr:uid="{00000000-0005-0000-0000-0000DBAF0000}"/>
    <cellStyle name="RIGs linked cells 5 2 2 2" xfId="44802" xr:uid="{00000000-0005-0000-0000-0000DCAF0000}"/>
    <cellStyle name="RIGs linked cells 5 2 2 2 10" xfId="44803" xr:uid="{00000000-0005-0000-0000-0000DDAF0000}"/>
    <cellStyle name="RIGs linked cells 5 2 2 2 11" xfId="44804" xr:uid="{00000000-0005-0000-0000-0000DEAF0000}"/>
    <cellStyle name="RIGs linked cells 5 2 2 2 12" xfId="44805" xr:uid="{00000000-0005-0000-0000-0000DFAF0000}"/>
    <cellStyle name="RIGs linked cells 5 2 2 2 13" xfId="44806" xr:uid="{00000000-0005-0000-0000-0000E0AF0000}"/>
    <cellStyle name="RIGs linked cells 5 2 2 2 2" xfId="44807" xr:uid="{00000000-0005-0000-0000-0000E1AF0000}"/>
    <cellStyle name="RIGs linked cells 5 2 2 2 2 2" xfId="44808" xr:uid="{00000000-0005-0000-0000-0000E2AF0000}"/>
    <cellStyle name="RIGs linked cells 5 2 2 2 2 3" xfId="44809" xr:uid="{00000000-0005-0000-0000-0000E3AF0000}"/>
    <cellStyle name="RIGs linked cells 5 2 2 2 3" xfId="44810" xr:uid="{00000000-0005-0000-0000-0000E4AF0000}"/>
    <cellStyle name="RIGs linked cells 5 2 2 2 3 2" xfId="44811" xr:uid="{00000000-0005-0000-0000-0000E5AF0000}"/>
    <cellStyle name="RIGs linked cells 5 2 2 2 3 3" xfId="44812" xr:uid="{00000000-0005-0000-0000-0000E6AF0000}"/>
    <cellStyle name="RIGs linked cells 5 2 2 2 4" xfId="44813" xr:uid="{00000000-0005-0000-0000-0000E7AF0000}"/>
    <cellStyle name="RIGs linked cells 5 2 2 2 5" xfId="44814" xr:uid="{00000000-0005-0000-0000-0000E8AF0000}"/>
    <cellStyle name="RIGs linked cells 5 2 2 2 6" xfId="44815" xr:uid="{00000000-0005-0000-0000-0000E9AF0000}"/>
    <cellStyle name="RIGs linked cells 5 2 2 2 7" xfId="44816" xr:uid="{00000000-0005-0000-0000-0000EAAF0000}"/>
    <cellStyle name="RIGs linked cells 5 2 2 2 8" xfId="44817" xr:uid="{00000000-0005-0000-0000-0000EBAF0000}"/>
    <cellStyle name="RIGs linked cells 5 2 2 2 9" xfId="44818" xr:uid="{00000000-0005-0000-0000-0000ECAF0000}"/>
    <cellStyle name="RIGs linked cells 5 2 2 20" xfId="44819" xr:uid="{00000000-0005-0000-0000-0000EDAF0000}"/>
    <cellStyle name="RIGs linked cells 5 2 2 21" xfId="44820" xr:uid="{00000000-0005-0000-0000-0000EEAF0000}"/>
    <cellStyle name="RIGs linked cells 5 2 2 22" xfId="44821" xr:uid="{00000000-0005-0000-0000-0000EFAF0000}"/>
    <cellStyle name="RIGs linked cells 5 2 2 23" xfId="44822" xr:uid="{00000000-0005-0000-0000-0000F0AF0000}"/>
    <cellStyle name="RIGs linked cells 5 2 2 24" xfId="44823" xr:uid="{00000000-0005-0000-0000-0000F1AF0000}"/>
    <cellStyle name="RIGs linked cells 5 2 2 25" xfId="44824" xr:uid="{00000000-0005-0000-0000-0000F2AF0000}"/>
    <cellStyle name="RIGs linked cells 5 2 2 26" xfId="44825" xr:uid="{00000000-0005-0000-0000-0000F3AF0000}"/>
    <cellStyle name="RIGs linked cells 5 2 2 27" xfId="44826" xr:uid="{00000000-0005-0000-0000-0000F4AF0000}"/>
    <cellStyle name="RIGs linked cells 5 2 2 28" xfId="44827" xr:uid="{00000000-0005-0000-0000-0000F5AF0000}"/>
    <cellStyle name="RIGs linked cells 5 2 2 29" xfId="44828" xr:uid="{00000000-0005-0000-0000-0000F6AF0000}"/>
    <cellStyle name="RIGs linked cells 5 2 2 3" xfId="44829" xr:uid="{00000000-0005-0000-0000-0000F7AF0000}"/>
    <cellStyle name="RIGs linked cells 5 2 2 3 2" xfId="44830" xr:uid="{00000000-0005-0000-0000-0000F8AF0000}"/>
    <cellStyle name="RIGs linked cells 5 2 2 3 3" xfId="44831" xr:uid="{00000000-0005-0000-0000-0000F9AF0000}"/>
    <cellStyle name="RIGs linked cells 5 2 2 30" xfId="44832" xr:uid="{00000000-0005-0000-0000-0000FAAF0000}"/>
    <cellStyle name="RIGs linked cells 5 2 2 31" xfId="44833" xr:uid="{00000000-0005-0000-0000-0000FBAF0000}"/>
    <cellStyle name="RIGs linked cells 5 2 2 32" xfId="44834" xr:uid="{00000000-0005-0000-0000-0000FCAF0000}"/>
    <cellStyle name="RIGs linked cells 5 2 2 33" xfId="44835" xr:uid="{00000000-0005-0000-0000-0000FDAF0000}"/>
    <cellStyle name="RIGs linked cells 5 2 2 34" xfId="44836" xr:uid="{00000000-0005-0000-0000-0000FEAF0000}"/>
    <cellStyle name="RIGs linked cells 5 2 2 4" xfId="44837" xr:uid="{00000000-0005-0000-0000-0000FFAF0000}"/>
    <cellStyle name="RIGs linked cells 5 2 2 4 2" xfId="44838" xr:uid="{00000000-0005-0000-0000-000000B00000}"/>
    <cellStyle name="RIGs linked cells 5 2 2 4 3" xfId="44839" xr:uid="{00000000-0005-0000-0000-000001B00000}"/>
    <cellStyle name="RIGs linked cells 5 2 2 5" xfId="44840" xr:uid="{00000000-0005-0000-0000-000002B00000}"/>
    <cellStyle name="RIGs linked cells 5 2 2 6" xfId="44841" xr:uid="{00000000-0005-0000-0000-000003B00000}"/>
    <cellStyle name="RIGs linked cells 5 2 2 7" xfId="44842" xr:uid="{00000000-0005-0000-0000-000004B00000}"/>
    <cellStyle name="RIGs linked cells 5 2 2 8" xfId="44843" xr:uid="{00000000-0005-0000-0000-000005B00000}"/>
    <cellStyle name="RIGs linked cells 5 2 2 9" xfId="44844" xr:uid="{00000000-0005-0000-0000-000006B00000}"/>
    <cellStyle name="RIGs linked cells 5 2 20" xfId="44845" xr:uid="{00000000-0005-0000-0000-000007B00000}"/>
    <cellStyle name="RIGs linked cells 5 2 21" xfId="44846" xr:uid="{00000000-0005-0000-0000-000008B00000}"/>
    <cellStyle name="RIGs linked cells 5 2 22" xfId="44847" xr:uid="{00000000-0005-0000-0000-000009B00000}"/>
    <cellStyle name="RIGs linked cells 5 2 23" xfId="44848" xr:uid="{00000000-0005-0000-0000-00000AB00000}"/>
    <cellStyle name="RIGs linked cells 5 2 24" xfId="44849" xr:uid="{00000000-0005-0000-0000-00000BB00000}"/>
    <cellStyle name="RIGs linked cells 5 2 25" xfId="44850" xr:uid="{00000000-0005-0000-0000-00000CB00000}"/>
    <cellStyle name="RIGs linked cells 5 2 26" xfId="44851" xr:uid="{00000000-0005-0000-0000-00000DB00000}"/>
    <cellStyle name="RIGs linked cells 5 2 27" xfId="44852" xr:uid="{00000000-0005-0000-0000-00000EB00000}"/>
    <cellStyle name="RIGs linked cells 5 2 28" xfId="44853" xr:uid="{00000000-0005-0000-0000-00000FB00000}"/>
    <cellStyle name="RIGs linked cells 5 2 29" xfId="44854" xr:uid="{00000000-0005-0000-0000-000010B00000}"/>
    <cellStyle name="RIGs linked cells 5 2 3" xfId="44855" xr:uid="{00000000-0005-0000-0000-000011B00000}"/>
    <cellStyle name="RIGs linked cells 5 2 3 10" xfId="44856" xr:uid="{00000000-0005-0000-0000-000012B00000}"/>
    <cellStyle name="RIGs linked cells 5 2 3 11" xfId="44857" xr:uid="{00000000-0005-0000-0000-000013B00000}"/>
    <cellStyle name="RIGs linked cells 5 2 3 12" xfId="44858" xr:uid="{00000000-0005-0000-0000-000014B00000}"/>
    <cellStyle name="RIGs linked cells 5 2 3 13" xfId="44859" xr:uid="{00000000-0005-0000-0000-000015B00000}"/>
    <cellStyle name="RIGs linked cells 5 2 3 2" xfId="44860" xr:uid="{00000000-0005-0000-0000-000016B00000}"/>
    <cellStyle name="RIGs linked cells 5 2 3 2 2" xfId="44861" xr:uid="{00000000-0005-0000-0000-000017B00000}"/>
    <cellStyle name="RIGs linked cells 5 2 3 2 3" xfId="44862" xr:uid="{00000000-0005-0000-0000-000018B00000}"/>
    <cellStyle name="RIGs linked cells 5 2 3 3" xfId="44863" xr:uid="{00000000-0005-0000-0000-000019B00000}"/>
    <cellStyle name="RIGs linked cells 5 2 3 3 2" xfId="44864" xr:uid="{00000000-0005-0000-0000-00001AB00000}"/>
    <cellStyle name="RIGs linked cells 5 2 3 3 3" xfId="44865" xr:uid="{00000000-0005-0000-0000-00001BB00000}"/>
    <cellStyle name="RIGs linked cells 5 2 3 4" xfId="44866" xr:uid="{00000000-0005-0000-0000-00001CB00000}"/>
    <cellStyle name="RIGs linked cells 5 2 3 5" xfId="44867" xr:uid="{00000000-0005-0000-0000-00001DB00000}"/>
    <cellStyle name="RIGs linked cells 5 2 3 6" xfId="44868" xr:uid="{00000000-0005-0000-0000-00001EB00000}"/>
    <cellStyle name="RIGs linked cells 5 2 3 7" xfId="44869" xr:uid="{00000000-0005-0000-0000-00001FB00000}"/>
    <cellStyle name="RIGs linked cells 5 2 3 8" xfId="44870" xr:uid="{00000000-0005-0000-0000-000020B00000}"/>
    <cellStyle name="RIGs linked cells 5 2 3 9" xfId="44871" xr:uid="{00000000-0005-0000-0000-000021B00000}"/>
    <cellStyle name="RIGs linked cells 5 2 30" xfId="44872" xr:uid="{00000000-0005-0000-0000-000022B00000}"/>
    <cellStyle name="RIGs linked cells 5 2 31" xfId="44873" xr:uid="{00000000-0005-0000-0000-000023B00000}"/>
    <cellStyle name="RIGs linked cells 5 2 32" xfId="44874" xr:uid="{00000000-0005-0000-0000-000024B00000}"/>
    <cellStyle name="RIGs linked cells 5 2 33" xfId="44875" xr:uid="{00000000-0005-0000-0000-000025B00000}"/>
    <cellStyle name="RIGs linked cells 5 2 34" xfId="44876" xr:uid="{00000000-0005-0000-0000-000026B00000}"/>
    <cellStyle name="RIGs linked cells 5 2 35" xfId="44877" xr:uid="{00000000-0005-0000-0000-000027B00000}"/>
    <cellStyle name="RIGs linked cells 5 2 4" xfId="44878" xr:uid="{00000000-0005-0000-0000-000028B00000}"/>
    <cellStyle name="RIGs linked cells 5 2 4 2" xfId="44879" xr:uid="{00000000-0005-0000-0000-000029B00000}"/>
    <cellStyle name="RIGs linked cells 5 2 4 3" xfId="44880" xr:uid="{00000000-0005-0000-0000-00002AB00000}"/>
    <cellStyle name="RIGs linked cells 5 2 5" xfId="44881" xr:uid="{00000000-0005-0000-0000-00002BB00000}"/>
    <cellStyle name="RIGs linked cells 5 2 5 2" xfId="44882" xr:uid="{00000000-0005-0000-0000-00002CB00000}"/>
    <cellStyle name="RIGs linked cells 5 2 5 3" xfId="44883" xr:uid="{00000000-0005-0000-0000-00002DB00000}"/>
    <cellStyle name="RIGs linked cells 5 2 6" xfId="44884" xr:uid="{00000000-0005-0000-0000-00002EB00000}"/>
    <cellStyle name="RIGs linked cells 5 2 7" xfId="44885" xr:uid="{00000000-0005-0000-0000-00002FB00000}"/>
    <cellStyle name="RIGs linked cells 5 2 8" xfId="44886" xr:uid="{00000000-0005-0000-0000-000030B00000}"/>
    <cellStyle name="RIGs linked cells 5 2 9" xfId="44887" xr:uid="{00000000-0005-0000-0000-000031B00000}"/>
    <cellStyle name="RIGs linked cells 5 2_4 28 1_Asst_Health_Crit_AllTO_RIIO_20110714pm" xfId="44888" xr:uid="{00000000-0005-0000-0000-000032B00000}"/>
    <cellStyle name="RIGs linked cells 5 20" xfId="44889" xr:uid="{00000000-0005-0000-0000-000033B00000}"/>
    <cellStyle name="RIGs linked cells 5 20 2" xfId="44890" xr:uid="{00000000-0005-0000-0000-000034B00000}"/>
    <cellStyle name="RIGs linked cells 5 21" xfId="44891" xr:uid="{00000000-0005-0000-0000-000035B00000}"/>
    <cellStyle name="RIGs linked cells 5 21 2" xfId="44892" xr:uid="{00000000-0005-0000-0000-000036B00000}"/>
    <cellStyle name="RIGs linked cells 5 22" xfId="44893" xr:uid="{00000000-0005-0000-0000-000037B00000}"/>
    <cellStyle name="RIGs linked cells 5 22 2" xfId="44894" xr:uid="{00000000-0005-0000-0000-000038B00000}"/>
    <cellStyle name="RIGs linked cells 5 23" xfId="44895" xr:uid="{00000000-0005-0000-0000-000039B00000}"/>
    <cellStyle name="RIGs linked cells 5 23 2" xfId="44896" xr:uid="{00000000-0005-0000-0000-00003AB00000}"/>
    <cellStyle name="RIGs linked cells 5 24" xfId="44897" xr:uid="{00000000-0005-0000-0000-00003BB00000}"/>
    <cellStyle name="RIGs linked cells 5 24 2" xfId="44898" xr:uid="{00000000-0005-0000-0000-00003CB00000}"/>
    <cellStyle name="RIGs linked cells 5 25" xfId="44899" xr:uid="{00000000-0005-0000-0000-00003DB00000}"/>
    <cellStyle name="RIGs linked cells 5 25 2" xfId="44900" xr:uid="{00000000-0005-0000-0000-00003EB00000}"/>
    <cellStyle name="RIGs linked cells 5 26" xfId="44901" xr:uid="{00000000-0005-0000-0000-00003FB00000}"/>
    <cellStyle name="RIGs linked cells 5 27" xfId="44902" xr:uid="{00000000-0005-0000-0000-000040B00000}"/>
    <cellStyle name="RIGs linked cells 5 28" xfId="44903" xr:uid="{00000000-0005-0000-0000-000041B00000}"/>
    <cellStyle name="RIGs linked cells 5 29" xfId="44904" xr:uid="{00000000-0005-0000-0000-000042B00000}"/>
    <cellStyle name="RIGs linked cells 5 3" xfId="44905" xr:uid="{00000000-0005-0000-0000-000043B00000}"/>
    <cellStyle name="RIGs linked cells 5 3 10" xfId="44906" xr:uid="{00000000-0005-0000-0000-000044B00000}"/>
    <cellStyle name="RIGs linked cells 5 3 11" xfId="44907" xr:uid="{00000000-0005-0000-0000-000045B00000}"/>
    <cellStyle name="RIGs linked cells 5 3 12" xfId="44908" xr:uid="{00000000-0005-0000-0000-000046B00000}"/>
    <cellStyle name="RIGs linked cells 5 3 13" xfId="44909" xr:uid="{00000000-0005-0000-0000-000047B00000}"/>
    <cellStyle name="RIGs linked cells 5 3 14" xfId="44910" xr:uid="{00000000-0005-0000-0000-000048B00000}"/>
    <cellStyle name="RIGs linked cells 5 3 15" xfId="44911" xr:uid="{00000000-0005-0000-0000-000049B00000}"/>
    <cellStyle name="RIGs linked cells 5 3 16" xfId="44912" xr:uid="{00000000-0005-0000-0000-00004AB00000}"/>
    <cellStyle name="RIGs linked cells 5 3 17" xfId="44913" xr:uid="{00000000-0005-0000-0000-00004BB00000}"/>
    <cellStyle name="RIGs linked cells 5 3 18" xfId="44914" xr:uid="{00000000-0005-0000-0000-00004CB00000}"/>
    <cellStyle name="RIGs linked cells 5 3 19" xfId="44915" xr:uid="{00000000-0005-0000-0000-00004DB00000}"/>
    <cellStyle name="RIGs linked cells 5 3 2" xfId="44916" xr:uid="{00000000-0005-0000-0000-00004EB00000}"/>
    <cellStyle name="RIGs linked cells 5 3 2 10" xfId="44917" xr:uid="{00000000-0005-0000-0000-00004FB00000}"/>
    <cellStyle name="RIGs linked cells 5 3 2 11" xfId="44918" xr:uid="{00000000-0005-0000-0000-000050B00000}"/>
    <cellStyle name="RIGs linked cells 5 3 2 12" xfId="44919" xr:uid="{00000000-0005-0000-0000-000051B00000}"/>
    <cellStyle name="RIGs linked cells 5 3 2 13" xfId="44920" xr:uid="{00000000-0005-0000-0000-000052B00000}"/>
    <cellStyle name="RIGs linked cells 5 3 2 2" xfId="44921" xr:uid="{00000000-0005-0000-0000-000053B00000}"/>
    <cellStyle name="RIGs linked cells 5 3 2 2 2" xfId="44922" xr:uid="{00000000-0005-0000-0000-000054B00000}"/>
    <cellStyle name="RIGs linked cells 5 3 2 2 3" xfId="44923" xr:uid="{00000000-0005-0000-0000-000055B00000}"/>
    <cellStyle name="RIGs linked cells 5 3 2 3" xfId="44924" xr:uid="{00000000-0005-0000-0000-000056B00000}"/>
    <cellStyle name="RIGs linked cells 5 3 2 3 2" xfId="44925" xr:uid="{00000000-0005-0000-0000-000057B00000}"/>
    <cellStyle name="RIGs linked cells 5 3 2 3 3" xfId="44926" xr:uid="{00000000-0005-0000-0000-000058B00000}"/>
    <cellStyle name="RIGs linked cells 5 3 2 4" xfId="44927" xr:uid="{00000000-0005-0000-0000-000059B00000}"/>
    <cellStyle name="RIGs linked cells 5 3 2 5" xfId="44928" xr:uid="{00000000-0005-0000-0000-00005AB00000}"/>
    <cellStyle name="RIGs linked cells 5 3 2 6" xfId="44929" xr:uid="{00000000-0005-0000-0000-00005BB00000}"/>
    <cellStyle name="RIGs linked cells 5 3 2 7" xfId="44930" xr:uid="{00000000-0005-0000-0000-00005CB00000}"/>
    <cellStyle name="RIGs linked cells 5 3 2 8" xfId="44931" xr:uid="{00000000-0005-0000-0000-00005DB00000}"/>
    <cellStyle name="RIGs linked cells 5 3 2 9" xfId="44932" xr:uid="{00000000-0005-0000-0000-00005EB00000}"/>
    <cellStyle name="RIGs linked cells 5 3 20" xfId="44933" xr:uid="{00000000-0005-0000-0000-00005FB00000}"/>
    <cellStyle name="RIGs linked cells 5 3 21" xfId="44934" xr:uid="{00000000-0005-0000-0000-000060B00000}"/>
    <cellStyle name="RIGs linked cells 5 3 22" xfId="44935" xr:uid="{00000000-0005-0000-0000-000061B00000}"/>
    <cellStyle name="RIGs linked cells 5 3 23" xfId="44936" xr:uid="{00000000-0005-0000-0000-000062B00000}"/>
    <cellStyle name="RIGs linked cells 5 3 24" xfId="44937" xr:uid="{00000000-0005-0000-0000-000063B00000}"/>
    <cellStyle name="RIGs linked cells 5 3 25" xfId="44938" xr:uid="{00000000-0005-0000-0000-000064B00000}"/>
    <cellStyle name="RIGs linked cells 5 3 26" xfId="44939" xr:uid="{00000000-0005-0000-0000-000065B00000}"/>
    <cellStyle name="RIGs linked cells 5 3 27" xfId="44940" xr:uid="{00000000-0005-0000-0000-000066B00000}"/>
    <cellStyle name="RIGs linked cells 5 3 28" xfId="44941" xr:uid="{00000000-0005-0000-0000-000067B00000}"/>
    <cellStyle name="RIGs linked cells 5 3 29" xfId="44942" xr:uid="{00000000-0005-0000-0000-000068B00000}"/>
    <cellStyle name="RIGs linked cells 5 3 3" xfId="44943" xr:uid="{00000000-0005-0000-0000-000069B00000}"/>
    <cellStyle name="RIGs linked cells 5 3 3 2" xfId="44944" xr:uid="{00000000-0005-0000-0000-00006AB00000}"/>
    <cellStyle name="RIGs linked cells 5 3 3 3" xfId="44945" xr:uid="{00000000-0005-0000-0000-00006BB00000}"/>
    <cellStyle name="RIGs linked cells 5 3 30" xfId="44946" xr:uid="{00000000-0005-0000-0000-00006CB00000}"/>
    <cellStyle name="RIGs linked cells 5 3 31" xfId="44947" xr:uid="{00000000-0005-0000-0000-00006DB00000}"/>
    <cellStyle name="RIGs linked cells 5 3 32" xfId="44948" xr:uid="{00000000-0005-0000-0000-00006EB00000}"/>
    <cellStyle name="RIGs linked cells 5 3 33" xfId="44949" xr:uid="{00000000-0005-0000-0000-00006FB00000}"/>
    <cellStyle name="RIGs linked cells 5 3 34" xfId="44950" xr:uid="{00000000-0005-0000-0000-000070B00000}"/>
    <cellStyle name="RIGs linked cells 5 3 4" xfId="44951" xr:uid="{00000000-0005-0000-0000-000071B00000}"/>
    <cellStyle name="RIGs linked cells 5 3 4 2" xfId="44952" xr:uid="{00000000-0005-0000-0000-000072B00000}"/>
    <cellStyle name="RIGs linked cells 5 3 4 3" xfId="44953" xr:uid="{00000000-0005-0000-0000-000073B00000}"/>
    <cellStyle name="RIGs linked cells 5 3 5" xfId="44954" xr:uid="{00000000-0005-0000-0000-000074B00000}"/>
    <cellStyle name="RIGs linked cells 5 3 6" xfId="44955" xr:uid="{00000000-0005-0000-0000-000075B00000}"/>
    <cellStyle name="RIGs linked cells 5 3 7" xfId="44956" xr:uid="{00000000-0005-0000-0000-000076B00000}"/>
    <cellStyle name="RIGs linked cells 5 3 8" xfId="44957" xr:uid="{00000000-0005-0000-0000-000077B00000}"/>
    <cellStyle name="RIGs linked cells 5 3 9" xfId="44958" xr:uid="{00000000-0005-0000-0000-000078B00000}"/>
    <cellStyle name="RIGs linked cells 5 30" xfId="44959" xr:uid="{00000000-0005-0000-0000-000079B00000}"/>
    <cellStyle name="RIGs linked cells 5 31" xfId="44960" xr:uid="{00000000-0005-0000-0000-00007AB00000}"/>
    <cellStyle name="RIGs linked cells 5 32" xfId="44961" xr:uid="{00000000-0005-0000-0000-00007BB00000}"/>
    <cellStyle name="RIGs linked cells 5 33" xfId="44962" xr:uid="{00000000-0005-0000-0000-00007CB00000}"/>
    <cellStyle name="RIGs linked cells 5 34" xfId="44963" xr:uid="{00000000-0005-0000-0000-00007DB00000}"/>
    <cellStyle name="RIGs linked cells 5 35" xfId="44964" xr:uid="{00000000-0005-0000-0000-00007EB00000}"/>
    <cellStyle name="RIGs linked cells 5 36" xfId="44965" xr:uid="{00000000-0005-0000-0000-00007FB00000}"/>
    <cellStyle name="RIGs linked cells 5 37" xfId="44966" xr:uid="{00000000-0005-0000-0000-000080B00000}"/>
    <cellStyle name="RIGs linked cells 5 38" xfId="44967" xr:uid="{00000000-0005-0000-0000-000081B00000}"/>
    <cellStyle name="RIGs linked cells 5 4" xfId="44968" xr:uid="{00000000-0005-0000-0000-000082B00000}"/>
    <cellStyle name="RIGs linked cells 5 4 10" xfId="44969" xr:uid="{00000000-0005-0000-0000-000083B00000}"/>
    <cellStyle name="RIGs linked cells 5 4 11" xfId="44970" xr:uid="{00000000-0005-0000-0000-000084B00000}"/>
    <cellStyle name="RIGs linked cells 5 4 12" xfId="44971" xr:uid="{00000000-0005-0000-0000-000085B00000}"/>
    <cellStyle name="RIGs linked cells 5 4 13" xfId="44972" xr:uid="{00000000-0005-0000-0000-000086B00000}"/>
    <cellStyle name="RIGs linked cells 5 4 14" xfId="44973" xr:uid="{00000000-0005-0000-0000-000087B00000}"/>
    <cellStyle name="RIGs linked cells 5 4 15" xfId="44974" xr:uid="{00000000-0005-0000-0000-000088B00000}"/>
    <cellStyle name="RIGs linked cells 5 4 16" xfId="44975" xr:uid="{00000000-0005-0000-0000-000089B00000}"/>
    <cellStyle name="RIGs linked cells 5 4 17" xfId="44976" xr:uid="{00000000-0005-0000-0000-00008AB00000}"/>
    <cellStyle name="RIGs linked cells 5 4 18" xfId="44977" xr:uid="{00000000-0005-0000-0000-00008BB00000}"/>
    <cellStyle name="RIGs linked cells 5 4 19" xfId="44978" xr:uid="{00000000-0005-0000-0000-00008CB00000}"/>
    <cellStyle name="RIGs linked cells 5 4 2" xfId="44979" xr:uid="{00000000-0005-0000-0000-00008DB00000}"/>
    <cellStyle name="RIGs linked cells 5 4 2 10" xfId="44980" xr:uid="{00000000-0005-0000-0000-00008EB00000}"/>
    <cellStyle name="RIGs linked cells 5 4 2 11" xfId="44981" xr:uid="{00000000-0005-0000-0000-00008FB00000}"/>
    <cellStyle name="RIGs linked cells 5 4 2 12" xfId="44982" xr:uid="{00000000-0005-0000-0000-000090B00000}"/>
    <cellStyle name="RIGs linked cells 5 4 2 13" xfId="44983" xr:uid="{00000000-0005-0000-0000-000091B00000}"/>
    <cellStyle name="RIGs linked cells 5 4 2 2" xfId="44984" xr:uid="{00000000-0005-0000-0000-000092B00000}"/>
    <cellStyle name="RIGs linked cells 5 4 2 2 2" xfId="44985" xr:uid="{00000000-0005-0000-0000-000093B00000}"/>
    <cellStyle name="RIGs linked cells 5 4 2 2 3" xfId="44986" xr:uid="{00000000-0005-0000-0000-000094B00000}"/>
    <cellStyle name="RIGs linked cells 5 4 2 3" xfId="44987" xr:uid="{00000000-0005-0000-0000-000095B00000}"/>
    <cellStyle name="RIGs linked cells 5 4 2 3 2" xfId="44988" xr:uid="{00000000-0005-0000-0000-000096B00000}"/>
    <cellStyle name="RIGs linked cells 5 4 2 3 3" xfId="44989" xr:uid="{00000000-0005-0000-0000-000097B00000}"/>
    <cellStyle name="RIGs linked cells 5 4 2 4" xfId="44990" xr:uid="{00000000-0005-0000-0000-000098B00000}"/>
    <cellStyle name="RIGs linked cells 5 4 2 5" xfId="44991" xr:uid="{00000000-0005-0000-0000-000099B00000}"/>
    <cellStyle name="RIGs linked cells 5 4 2 6" xfId="44992" xr:uid="{00000000-0005-0000-0000-00009AB00000}"/>
    <cellStyle name="RIGs linked cells 5 4 2 7" xfId="44993" xr:uid="{00000000-0005-0000-0000-00009BB00000}"/>
    <cellStyle name="RIGs linked cells 5 4 2 8" xfId="44994" xr:uid="{00000000-0005-0000-0000-00009CB00000}"/>
    <cellStyle name="RIGs linked cells 5 4 2 9" xfId="44995" xr:uid="{00000000-0005-0000-0000-00009DB00000}"/>
    <cellStyle name="RIGs linked cells 5 4 20" xfId="44996" xr:uid="{00000000-0005-0000-0000-00009EB00000}"/>
    <cellStyle name="RIGs linked cells 5 4 21" xfId="44997" xr:uid="{00000000-0005-0000-0000-00009FB00000}"/>
    <cellStyle name="RIGs linked cells 5 4 22" xfId="44998" xr:uid="{00000000-0005-0000-0000-0000A0B00000}"/>
    <cellStyle name="RIGs linked cells 5 4 23" xfId="44999" xr:uid="{00000000-0005-0000-0000-0000A1B00000}"/>
    <cellStyle name="RIGs linked cells 5 4 24" xfId="45000" xr:uid="{00000000-0005-0000-0000-0000A2B00000}"/>
    <cellStyle name="RIGs linked cells 5 4 25" xfId="45001" xr:uid="{00000000-0005-0000-0000-0000A3B00000}"/>
    <cellStyle name="RIGs linked cells 5 4 26" xfId="45002" xr:uid="{00000000-0005-0000-0000-0000A4B00000}"/>
    <cellStyle name="RIGs linked cells 5 4 27" xfId="45003" xr:uid="{00000000-0005-0000-0000-0000A5B00000}"/>
    <cellStyle name="RIGs linked cells 5 4 28" xfId="45004" xr:uid="{00000000-0005-0000-0000-0000A6B00000}"/>
    <cellStyle name="RIGs linked cells 5 4 29" xfId="45005" xr:uid="{00000000-0005-0000-0000-0000A7B00000}"/>
    <cellStyle name="RIGs linked cells 5 4 3" xfId="45006" xr:uid="{00000000-0005-0000-0000-0000A8B00000}"/>
    <cellStyle name="RIGs linked cells 5 4 3 2" xfId="45007" xr:uid="{00000000-0005-0000-0000-0000A9B00000}"/>
    <cellStyle name="RIGs linked cells 5 4 3 3" xfId="45008" xr:uid="{00000000-0005-0000-0000-0000AAB00000}"/>
    <cellStyle name="RIGs linked cells 5 4 30" xfId="45009" xr:uid="{00000000-0005-0000-0000-0000ABB00000}"/>
    <cellStyle name="RIGs linked cells 5 4 31" xfId="45010" xr:uid="{00000000-0005-0000-0000-0000ACB00000}"/>
    <cellStyle name="RIGs linked cells 5 4 32" xfId="45011" xr:uid="{00000000-0005-0000-0000-0000ADB00000}"/>
    <cellStyle name="RIGs linked cells 5 4 33" xfId="45012" xr:uid="{00000000-0005-0000-0000-0000AEB00000}"/>
    <cellStyle name="RIGs linked cells 5 4 34" xfId="45013" xr:uid="{00000000-0005-0000-0000-0000AFB00000}"/>
    <cellStyle name="RIGs linked cells 5 4 4" xfId="45014" xr:uid="{00000000-0005-0000-0000-0000B0B00000}"/>
    <cellStyle name="RIGs linked cells 5 4 4 2" xfId="45015" xr:uid="{00000000-0005-0000-0000-0000B1B00000}"/>
    <cellStyle name="RIGs linked cells 5 4 4 3" xfId="45016" xr:uid="{00000000-0005-0000-0000-0000B2B00000}"/>
    <cellStyle name="RIGs linked cells 5 4 5" xfId="45017" xr:uid="{00000000-0005-0000-0000-0000B3B00000}"/>
    <cellStyle name="RIGs linked cells 5 4 6" xfId="45018" xr:uid="{00000000-0005-0000-0000-0000B4B00000}"/>
    <cellStyle name="RIGs linked cells 5 4 7" xfId="45019" xr:uid="{00000000-0005-0000-0000-0000B5B00000}"/>
    <cellStyle name="RIGs linked cells 5 4 8" xfId="45020" xr:uid="{00000000-0005-0000-0000-0000B6B00000}"/>
    <cellStyle name="RIGs linked cells 5 4 9" xfId="45021" xr:uid="{00000000-0005-0000-0000-0000B7B00000}"/>
    <cellStyle name="RIGs linked cells 5 5" xfId="45022" xr:uid="{00000000-0005-0000-0000-0000B8B00000}"/>
    <cellStyle name="RIGs linked cells 5 5 10" xfId="45023" xr:uid="{00000000-0005-0000-0000-0000B9B00000}"/>
    <cellStyle name="RIGs linked cells 5 5 11" xfId="45024" xr:uid="{00000000-0005-0000-0000-0000BAB00000}"/>
    <cellStyle name="RIGs linked cells 5 5 12" xfId="45025" xr:uid="{00000000-0005-0000-0000-0000BBB00000}"/>
    <cellStyle name="RIGs linked cells 5 5 13" xfId="45026" xr:uid="{00000000-0005-0000-0000-0000BCB00000}"/>
    <cellStyle name="RIGs linked cells 5 5 2" xfId="45027" xr:uid="{00000000-0005-0000-0000-0000BDB00000}"/>
    <cellStyle name="RIGs linked cells 5 5 2 2" xfId="45028" xr:uid="{00000000-0005-0000-0000-0000BEB00000}"/>
    <cellStyle name="RIGs linked cells 5 5 2 3" xfId="45029" xr:uid="{00000000-0005-0000-0000-0000BFB00000}"/>
    <cellStyle name="RIGs linked cells 5 5 3" xfId="45030" xr:uid="{00000000-0005-0000-0000-0000C0B00000}"/>
    <cellStyle name="RIGs linked cells 5 5 3 2" xfId="45031" xr:uid="{00000000-0005-0000-0000-0000C1B00000}"/>
    <cellStyle name="RIGs linked cells 5 5 3 3" xfId="45032" xr:uid="{00000000-0005-0000-0000-0000C2B00000}"/>
    <cellStyle name="RIGs linked cells 5 5 4" xfId="45033" xr:uid="{00000000-0005-0000-0000-0000C3B00000}"/>
    <cellStyle name="RIGs linked cells 5 5 5" xfId="45034" xr:uid="{00000000-0005-0000-0000-0000C4B00000}"/>
    <cellStyle name="RIGs linked cells 5 5 6" xfId="45035" xr:uid="{00000000-0005-0000-0000-0000C5B00000}"/>
    <cellStyle name="RIGs linked cells 5 5 7" xfId="45036" xr:uid="{00000000-0005-0000-0000-0000C6B00000}"/>
    <cellStyle name="RIGs linked cells 5 5 8" xfId="45037" xr:uid="{00000000-0005-0000-0000-0000C7B00000}"/>
    <cellStyle name="RIGs linked cells 5 5 9" xfId="45038" xr:uid="{00000000-0005-0000-0000-0000C8B00000}"/>
    <cellStyle name="RIGs linked cells 5 6" xfId="45039" xr:uid="{00000000-0005-0000-0000-0000C9B00000}"/>
    <cellStyle name="RIGs linked cells 5 6 2" xfId="45040" xr:uid="{00000000-0005-0000-0000-0000CAB00000}"/>
    <cellStyle name="RIGs linked cells 5 6 2 2" xfId="45041" xr:uid="{00000000-0005-0000-0000-0000CBB00000}"/>
    <cellStyle name="RIGs linked cells 5 6 2 3" xfId="45042" xr:uid="{00000000-0005-0000-0000-0000CCB00000}"/>
    <cellStyle name="RIGs linked cells 5 6 3" xfId="45043" xr:uid="{00000000-0005-0000-0000-0000CDB00000}"/>
    <cellStyle name="RIGs linked cells 5 6 3 2" xfId="45044" xr:uid="{00000000-0005-0000-0000-0000CEB00000}"/>
    <cellStyle name="RIGs linked cells 5 6 4" xfId="45045" xr:uid="{00000000-0005-0000-0000-0000CFB00000}"/>
    <cellStyle name="RIGs linked cells 5 7" xfId="45046" xr:uid="{00000000-0005-0000-0000-0000D0B00000}"/>
    <cellStyle name="RIGs linked cells 5 7 2" xfId="45047" xr:uid="{00000000-0005-0000-0000-0000D1B00000}"/>
    <cellStyle name="RIGs linked cells 5 8" xfId="45048" xr:uid="{00000000-0005-0000-0000-0000D2B00000}"/>
    <cellStyle name="RIGs linked cells 5 8 2" xfId="45049" xr:uid="{00000000-0005-0000-0000-0000D3B00000}"/>
    <cellStyle name="RIGs linked cells 5 9" xfId="45050" xr:uid="{00000000-0005-0000-0000-0000D4B00000}"/>
    <cellStyle name="RIGs linked cells 5 9 2" xfId="45051" xr:uid="{00000000-0005-0000-0000-0000D5B00000}"/>
    <cellStyle name="RIGs linked cells 5_4 28 1_Asst_Health_Crit_AllTO_RIIO_20110714pm" xfId="45052" xr:uid="{00000000-0005-0000-0000-0000D6B00000}"/>
    <cellStyle name="RIGs linked cells 6" xfId="45053" xr:uid="{00000000-0005-0000-0000-0000D7B00000}"/>
    <cellStyle name="RIGs linked cells 6 10" xfId="45054" xr:uid="{00000000-0005-0000-0000-0000D8B00000}"/>
    <cellStyle name="RIGs linked cells 6 11" xfId="45055" xr:uid="{00000000-0005-0000-0000-0000D9B00000}"/>
    <cellStyle name="RIGs linked cells 6 12" xfId="45056" xr:uid="{00000000-0005-0000-0000-0000DAB00000}"/>
    <cellStyle name="RIGs linked cells 6 13" xfId="45057" xr:uid="{00000000-0005-0000-0000-0000DBB00000}"/>
    <cellStyle name="RIGs linked cells 6 14" xfId="45058" xr:uid="{00000000-0005-0000-0000-0000DCB00000}"/>
    <cellStyle name="RIGs linked cells 6 15" xfId="45059" xr:uid="{00000000-0005-0000-0000-0000DDB00000}"/>
    <cellStyle name="RIGs linked cells 6 16" xfId="45060" xr:uid="{00000000-0005-0000-0000-0000DEB00000}"/>
    <cellStyle name="RIGs linked cells 6 17" xfId="45061" xr:uid="{00000000-0005-0000-0000-0000DFB00000}"/>
    <cellStyle name="RIGs linked cells 6 18" xfId="45062" xr:uid="{00000000-0005-0000-0000-0000E0B00000}"/>
    <cellStyle name="RIGs linked cells 6 19" xfId="45063" xr:uid="{00000000-0005-0000-0000-0000E1B00000}"/>
    <cellStyle name="RIGs linked cells 6 2" xfId="45064" xr:uid="{00000000-0005-0000-0000-0000E2B00000}"/>
    <cellStyle name="RIGs linked cells 6 2 10" xfId="45065" xr:uid="{00000000-0005-0000-0000-0000E3B00000}"/>
    <cellStyle name="RIGs linked cells 6 2 11" xfId="45066" xr:uid="{00000000-0005-0000-0000-0000E4B00000}"/>
    <cellStyle name="RIGs linked cells 6 2 12" xfId="45067" xr:uid="{00000000-0005-0000-0000-0000E5B00000}"/>
    <cellStyle name="RIGs linked cells 6 2 13" xfId="45068" xr:uid="{00000000-0005-0000-0000-0000E6B00000}"/>
    <cellStyle name="RIGs linked cells 6 2 14" xfId="45069" xr:uid="{00000000-0005-0000-0000-0000E7B00000}"/>
    <cellStyle name="RIGs linked cells 6 2 15" xfId="45070" xr:uid="{00000000-0005-0000-0000-0000E8B00000}"/>
    <cellStyle name="RIGs linked cells 6 2 16" xfId="45071" xr:uid="{00000000-0005-0000-0000-0000E9B00000}"/>
    <cellStyle name="RIGs linked cells 6 2 17" xfId="45072" xr:uid="{00000000-0005-0000-0000-0000EAB00000}"/>
    <cellStyle name="RIGs linked cells 6 2 18" xfId="45073" xr:uid="{00000000-0005-0000-0000-0000EBB00000}"/>
    <cellStyle name="RIGs linked cells 6 2 19" xfId="45074" xr:uid="{00000000-0005-0000-0000-0000ECB00000}"/>
    <cellStyle name="RIGs linked cells 6 2 2" xfId="45075" xr:uid="{00000000-0005-0000-0000-0000EDB00000}"/>
    <cellStyle name="RIGs linked cells 6 2 2 10" xfId="45076" xr:uid="{00000000-0005-0000-0000-0000EEB00000}"/>
    <cellStyle name="RIGs linked cells 6 2 2 11" xfId="45077" xr:uid="{00000000-0005-0000-0000-0000EFB00000}"/>
    <cellStyle name="RIGs linked cells 6 2 2 12" xfId="45078" xr:uid="{00000000-0005-0000-0000-0000F0B00000}"/>
    <cellStyle name="RIGs linked cells 6 2 2 13" xfId="45079" xr:uid="{00000000-0005-0000-0000-0000F1B00000}"/>
    <cellStyle name="RIGs linked cells 6 2 2 2" xfId="45080" xr:uid="{00000000-0005-0000-0000-0000F2B00000}"/>
    <cellStyle name="RIGs linked cells 6 2 2 2 2" xfId="45081" xr:uid="{00000000-0005-0000-0000-0000F3B00000}"/>
    <cellStyle name="RIGs linked cells 6 2 2 2 3" xfId="45082" xr:uid="{00000000-0005-0000-0000-0000F4B00000}"/>
    <cellStyle name="RIGs linked cells 6 2 2 3" xfId="45083" xr:uid="{00000000-0005-0000-0000-0000F5B00000}"/>
    <cellStyle name="RIGs linked cells 6 2 2 3 2" xfId="45084" xr:uid="{00000000-0005-0000-0000-0000F6B00000}"/>
    <cellStyle name="RIGs linked cells 6 2 2 3 3" xfId="45085" xr:uid="{00000000-0005-0000-0000-0000F7B00000}"/>
    <cellStyle name="RIGs linked cells 6 2 2 4" xfId="45086" xr:uid="{00000000-0005-0000-0000-0000F8B00000}"/>
    <cellStyle name="RIGs linked cells 6 2 2 5" xfId="45087" xr:uid="{00000000-0005-0000-0000-0000F9B00000}"/>
    <cellStyle name="RIGs linked cells 6 2 2 6" xfId="45088" xr:uid="{00000000-0005-0000-0000-0000FAB00000}"/>
    <cellStyle name="RIGs linked cells 6 2 2 7" xfId="45089" xr:uid="{00000000-0005-0000-0000-0000FBB00000}"/>
    <cellStyle name="RIGs linked cells 6 2 2 8" xfId="45090" xr:uid="{00000000-0005-0000-0000-0000FCB00000}"/>
    <cellStyle name="RIGs linked cells 6 2 2 9" xfId="45091" xr:uid="{00000000-0005-0000-0000-0000FDB00000}"/>
    <cellStyle name="RIGs linked cells 6 2 20" xfId="45092" xr:uid="{00000000-0005-0000-0000-0000FEB00000}"/>
    <cellStyle name="RIGs linked cells 6 2 21" xfId="45093" xr:uid="{00000000-0005-0000-0000-0000FFB00000}"/>
    <cellStyle name="RIGs linked cells 6 2 22" xfId="45094" xr:uid="{00000000-0005-0000-0000-000000B10000}"/>
    <cellStyle name="RIGs linked cells 6 2 23" xfId="45095" xr:uid="{00000000-0005-0000-0000-000001B10000}"/>
    <cellStyle name="RIGs linked cells 6 2 24" xfId="45096" xr:uid="{00000000-0005-0000-0000-000002B10000}"/>
    <cellStyle name="RIGs linked cells 6 2 25" xfId="45097" xr:uid="{00000000-0005-0000-0000-000003B10000}"/>
    <cellStyle name="RIGs linked cells 6 2 26" xfId="45098" xr:uid="{00000000-0005-0000-0000-000004B10000}"/>
    <cellStyle name="RIGs linked cells 6 2 27" xfId="45099" xr:uid="{00000000-0005-0000-0000-000005B10000}"/>
    <cellStyle name="RIGs linked cells 6 2 28" xfId="45100" xr:uid="{00000000-0005-0000-0000-000006B10000}"/>
    <cellStyle name="RIGs linked cells 6 2 29" xfId="45101" xr:uid="{00000000-0005-0000-0000-000007B10000}"/>
    <cellStyle name="RIGs linked cells 6 2 3" xfId="45102" xr:uid="{00000000-0005-0000-0000-000008B10000}"/>
    <cellStyle name="RIGs linked cells 6 2 3 2" xfId="45103" xr:uid="{00000000-0005-0000-0000-000009B10000}"/>
    <cellStyle name="RIGs linked cells 6 2 3 3" xfId="45104" xr:uid="{00000000-0005-0000-0000-00000AB10000}"/>
    <cellStyle name="RIGs linked cells 6 2 30" xfId="45105" xr:uid="{00000000-0005-0000-0000-00000BB10000}"/>
    <cellStyle name="RIGs linked cells 6 2 31" xfId="45106" xr:uid="{00000000-0005-0000-0000-00000CB10000}"/>
    <cellStyle name="RIGs linked cells 6 2 32" xfId="45107" xr:uid="{00000000-0005-0000-0000-00000DB10000}"/>
    <cellStyle name="RIGs linked cells 6 2 33" xfId="45108" xr:uid="{00000000-0005-0000-0000-00000EB10000}"/>
    <cellStyle name="RIGs linked cells 6 2 34" xfId="45109" xr:uid="{00000000-0005-0000-0000-00000FB10000}"/>
    <cellStyle name="RIGs linked cells 6 2 4" xfId="45110" xr:uid="{00000000-0005-0000-0000-000010B10000}"/>
    <cellStyle name="RIGs linked cells 6 2 4 2" xfId="45111" xr:uid="{00000000-0005-0000-0000-000011B10000}"/>
    <cellStyle name="RIGs linked cells 6 2 4 3" xfId="45112" xr:uid="{00000000-0005-0000-0000-000012B10000}"/>
    <cellStyle name="RIGs linked cells 6 2 5" xfId="45113" xr:uid="{00000000-0005-0000-0000-000013B10000}"/>
    <cellStyle name="RIGs linked cells 6 2 6" xfId="45114" xr:uid="{00000000-0005-0000-0000-000014B10000}"/>
    <cellStyle name="RIGs linked cells 6 2 7" xfId="45115" xr:uid="{00000000-0005-0000-0000-000015B10000}"/>
    <cellStyle name="RIGs linked cells 6 2 8" xfId="45116" xr:uid="{00000000-0005-0000-0000-000016B10000}"/>
    <cellStyle name="RIGs linked cells 6 2 9" xfId="45117" xr:uid="{00000000-0005-0000-0000-000017B10000}"/>
    <cellStyle name="RIGs linked cells 6 20" xfId="45118" xr:uid="{00000000-0005-0000-0000-000018B10000}"/>
    <cellStyle name="RIGs linked cells 6 21" xfId="45119" xr:uid="{00000000-0005-0000-0000-000019B10000}"/>
    <cellStyle name="RIGs linked cells 6 22" xfId="45120" xr:uid="{00000000-0005-0000-0000-00001AB10000}"/>
    <cellStyle name="RIGs linked cells 6 23" xfId="45121" xr:uid="{00000000-0005-0000-0000-00001BB10000}"/>
    <cellStyle name="RIGs linked cells 6 24" xfId="45122" xr:uid="{00000000-0005-0000-0000-00001CB10000}"/>
    <cellStyle name="RIGs linked cells 6 25" xfId="45123" xr:uid="{00000000-0005-0000-0000-00001DB10000}"/>
    <cellStyle name="RIGs linked cells 6 26" xfId="45124" xr:uid="{00000000-0005-0000-0000-00001EB10000}"/>
    <cellStyle name="RIGs linked cells 6 27" xfId="45125" xr:uid="{00000000-0005-0000-0000-00001FB10000}"/>
    <cellStyle name="RIGs linked cells 6 28" xfId="45126" xr:uid="{00000000-0005-0000-0000-000020B10000}"/>
    <cellStyle name="RIGs linked cells 6 29" xfId="45127" xr:uid="{00000000-0005-0000-0000-000021B10000}"/>
    <cellStyle name="RIGs linked cells 6 3" xfId="45128" xr:uid="{00000000-0005-0000-0000-000022B10000}"/>
    <cellStyle name="RIGs linked cells 6 3 10" xfId="45129" xr:uid="{00000000-0005-0000-0000-000023B10000}"/>
    <cellStyle name="RIGs linked cells 6 3 11" xfId="45130" xr:uid="{00000000-0005-0000-0000-000024B10000}"/>
    <cellStyle name="RIGs linked cells 6 3 12" xfId="45131" xr:uid="{00000000-0005-0000-0000-000025B10000}"/>
    <cellStyle name="RIGs linked cells 6 3 13" xfId="45132" xr:uid="{00000000-0005-0000-0000-000026B10000}"/>
    <cellStyle name="RIGs linked cells 6 3 2" xfId="45133" xr:uid="{00000000-0005-0000-0000-000027B10000}"/>
    <cellStyle name="RIGs linked cells 6 3 2 2" xfId="45134" xr:uid="{00000000-0005-0000-0000-000028B10000}"/>
    <cellStyle name="RIGs linked cells 6 3 2 3" xfId="45135" xr:uid="{00000000-0005-0000-0000-000029B10000}"/>
    <cellStyle name="RIGs linked cells 6 3 3" xfId="45136" xr:uid="{00000000-0005-0000-0000-00002AB10000}"/>
    <cellStyle name="RIGs linked cells 6 3 3 2" xfId="45137" xr:uid="{00000000-0005-0000-0000-00002BB10000}"/>
    <cellStyle name="RIGs linked cells 6 3 3 3" xfId="45138" xr:uid="{00000000-0005-0000-0000-00002CB10000}"/>
    <cellStyle name="RIGs linked cells 6 3 4" xfId="45139" xr:uid="{00000000-0005-0000-0000-00002DB10000}"/>
    <cellStyle name="RIGs linked cells 6 3 5" xfId="45140" xr:uid="{00000000-0005-0000-0000-00002EB10000}"/>
    <cellStyle name="RIGs linked cells 6 3 6" xfId="45141" xr:uid="{00000000-0005-0000-0000-00002FB10000}"/>
    <cellStyle name="RIGs linked cells 6 3 7" xfId="45142" xr:uid="{00000000-0005-0000-0000-000030B10000}"/>
    <cellStyle name="RIGs linked cells 6 3 8" xfId="45143" xr:uid="{00000000-0005-0000-0000-000031B10000}"/>
    <cellStyle name="RIGs linked cells 6 3 9" xfId="45144" xr:uid="{00000000-0005-0000-0000-000032B10000}"/>
    <cellStyle name="RIGs linked cells 6 30" xfId="45145" xr:uid="{00000000-0005-0000-0000-000033B10000}"/>
    <cellStyle name="RIGs linked cells 6 31" xfId="45146" xr:uid="{00000000-0005-0000-0000-000034B10000}"/>
    <cellStyle name="RIGs linked cells 6 32" xfId="45147" xr:uid="{00000000-0005-0000-0000-000035B10000}"/>
    <cellStyle name="RIGs linked cells 6 33" xfId="45148" xr:uid="{00000000-0005-0000-0000-000036B10000}"/>
    <cellStyle name="RIGs linked cells 6 34" xfId="45149" xr:uid="{00000000-0005-0000-0000-000037B10000}"/>
    <cellStyle name="RIGs linked cells 6 35" xfId="45150" xr:uid="{00000000-0005-0000-0000-000038B10000}"/>
    <cellStyle name="RIGs linked cells 6 4" xfId="45151" xr:uid="{00000000-0005-0000-0000-000039B10000}"/>
    <cellStyle name="RIGs linked cells 6 4 2" xfId="45152" xr:uid="{00000000-0005-0000-0000-00003AB10000}"/>
    <cellStyle name="RIGs linked cells 6 4 3" xfId="45153" xr:uid="{00000000-0005-0000-0000-00003BB10000}"/>
    <cellStyle name="RIGs linked cells 6 5" xfId="45154" xr:uid="{00000000-0005-0000-0000-00003CB10000}"/>
    <cellStyle name="RIGs linked cells 6 5 2" xfId="45155" xr:uid="{00000000-0005-0000-0000-00003DB10000}"/>
    <cellStyle name="RIGs linked cells 6 5 3" xfId="45156" xr:uid="{00000000-0005-0000-0000-00003EB10000}"/>
    <cellStyle name="RIGs linked cells 6 6" xfId="45157" xr:uid="{00000000-0005-0000-0000-00003FB10000}"/>
    <cellStyle name="RIGs linked cells 6 7" xfId="45158" xr:uid="{00000000-0005-0000-0000-000040B10000}"/>
    <cellStyle name="RIGs linked cells 6 8" xfId="45159" xr:uid="{00000000-0005-0000-0000-000041B10000}"/>
    <cellStyle name="RIGs linked cells 6 9" xfId="45160" xr:uid="{00000000-0005-0000-0000-000042B10000}"/>
    <cellStyle name="RIGs linked cells 6_4 28 1_Asst_Health_Crit_AllTO_RIIO_20110714pm" xfId="45161" xr:uid="{00000000-0005-0000-0000-000043B10000}"/>
    <cellStyle name="RIGs linked cells 7" xfId="45162" xr:uid="{00000000-0005-0000-0000-000044B10000}"/>
    <cellStyle name="RIGs linked cells 7 10" xfId="45163" xr:uid="{00000000-0005-0000-0000-000045B10000}"/>
    <cellStyle name="RIGs linked cells 7 11" xfId="45164" xr:uid="{00000000-0005-0000-0000-000046B10000}"/>
    <cellStyle name="RIGs linked cells 7 12" xfId="45165" xr:uid="{00000000-0005-0000-0000-000047B10000}"/>
    <cellStyle name="RIGs linked cells 7 13" xfId="45166" xr:uid="{00000000-0005-0000-0000-000048B10000}"/>
    <cellStyle name="RIGs linked cells 7 14" xfId="45167" xr:uid="{00000000-0005-0000-0000-000049B10000}"/>
    <cellStyle name="RIGs linked cells 7 15" xfId="45168" xr:uid="{00000000-0005-0000-0000-00004AB10000}"/>
    <cellStyle name="RIGs linked cells 7 16" xfId="45169" xr:uid="{00000000-0005-0000-0000-00004BB10000}"/>
    <cellStyle name="RIGs linked cells 7 17" xfId="45170" xr:uid="{00000000-0005-0000-0000-00004CB10000}"/>
    <cellStyle name="RIGs linked cells 7 18" xfId="45171" xr:uid="{00000000-0005-0000-0000-00004DB10000}"/>
    <cellStyle name="RIGs linked cells 7 19" xfId="45172" xr:uid="{00000000-0005-0000-0000-00004EB10000}"/>
    <cellStyle name="RIGs linked cells 7 2" xfId="45173" xr:uid="{00000000-0005-0000-0000-00004FB10000}"/>
    <cellStyle name="RIGs linked cells 7 2 10" xfId="45174" xr:uid="{00000000-0005-0000-0000-000050B10000}"/>
    <cellStyle name="RIGs linked cells 7 2 11" xfId="45175" xr:uid="{00000000-0005-0000-0000-000051B10000}"/>
    <cellStyle name="RIGs linked cells 7 2 12" xfId="45176" xr:uid="{00000000-0005-0000-0000-000052B10000}"/>
    <cellStyle name="RIGs linked cells 7 2 13" xfId="45177" xr:uid="{00000000-0005-0000-0000-000053B10000}"/>
    <cellStyle name="RIGs linked cells 7 2 2" xfId="45178" xr:uid="{00000000-0005-0000-0000-000054B10000}"/>
    <cellStyle name="RIGs linked cells 7 2 2 2" xfId="45179" xr:uid="{00000000-0005-0000-0000-000055B10000}"/>
    <cellStyle name="RIGs linked cells 7 2 2 3" xfId="45180" xr:uid="{00000000-0005-0000-0000-000056B10000}"/>
    <cellStyle name="RIGs linked cells 7 2 3" xfId="45181" xr:uid="{00000000-0005-0000-0000-000057B10000}"/>
    <cellStyle name="RIGs linked cells 7 2 3 2" xfId="45182" xr:uid="{00000000-0005-0000-0000-000058B10000}"/>
    <cellStyle name="RIGs linked cells 7 2 3 3" xfId="45183" xr:uid="{00000000-0005-0000-0000-000059B10000}"/>
    <cellStyle name="RIGs linked cells 7 2 4" xfId="45184" xr:uid="{00000000-0005-0000-0000-00005AB10000}"/>
    <cellStyle name="RIGs linked cells 7 2 5" xfId="45185" xr:uid="{00000000-0005-0000-0000-00005BB10000}"/>
    <cellStyle name="RIGs linked cells 7 2 6" xfId="45186" xr:uid="{00000000-0005-0000-0000-00005CB10000}"/>
    <cellStyle name="RIGs linked cells 7 2 7" xfId="45187" xr:uid="{00000000-0005-0000-0000-00005DB10000}"/>
    <cellStyle name="RIGs linked cells 7 2 8" xfId="45188" xr:uid="{00000000-0005-0000-0000-00005EB10000}"/>
    <cellStyle name="RIGs linked cells 7 2 9" xfId="45189" xr:uid="{00000000-0005-0000-0000-00005FB10000}"/>
    <cellStyle name="RIGs linked cells 7 20" xfId="45190" xr:uid="{00000000-0005-0000-0000-000060B10000}"/>
    <cellStyle name="RIGs linked cells 7 21" xfId="45191" xr:uid="{00000000-0005-0000-0000-000061B10000}"/>
    <cellStyle name="RIGs linked cells 7 22" xfId="45192" xr:uid="{00000000-0005-0000-0000-000062B10000}"/>
    <cellStyle name="RIGs linked cells 7 23" xfId="45193" xr:uid="{00000000-0005-0000-0000-000063B10000}"/>
    <cellStyle name="RIGs linked cells 7 24" xfId="45194" xr:uid="{00000000-0005-0000-0000-000064B10000}"/>
    <cellStyle name="RIGs linked cells 7 25" xfId="45195" xr:uid="{00000000-0005-0000-0000-000065B10000}"/>
    <cellStyle name="RIGs linked cells 7 26" xfId="45196" xr:uid="{00000000-0005-0000-0000-000066B10000}"/>
    <cellStyle name="RIGs linked cells 7 27" xfId="45197" xr:uid="{00000000-0005-0000-0000-000067B10000}"/>
    <cellStyle name="RIGs linked cells 7 28" xfId="45198" xr:uid="{00000000-0005-0000-0000-000068B10000}"/>
    <cellStyle name="RIGs linked cells 7 29" xfId="45199" xr:uid="{00000000-0005-0000-0000-000069B10000}"/>
    <cellStyle name="RIGs linked cells 7 3" xfId="45200" xr:uid="{00000000-0005-0000-0000-00006AB10000}"/>
    <cellStyle name="RIGs linked cells 7 3 2" xfId="45201" xr:uid="{00000000-0005-0000-0000-00006BB10000}"/>
    <cellStyle name="RIGs linked cells 7 3 3" xfId="45202" xr:uid="{00000000-0005-0000-0000-00006CB10000}"/>
    <cellStyle name="RIGs linked cells 7 30" xfId="45203" xr:uid="{00000000-0005-0000-0000-00006DB10000}"/>
    <cellStyle name="RIGs linked cells 7 31" xfId="45204" xr:uid="{00000000-0005-0000-0000-00006EB10000}"/>
    <cellStyle name="RIGs linked cells 7 32" xfId="45205" xr:uid="{00000000-0005-0000-0000-00006FB10000}"/>
    <cellStyle name="RIGs linked cells 7 33" xfId="45206" xr:uid="{00000000-0005-0000-0000-000070B10000}"/>
    <cellStyle name="RIGs linked cells 7 34" xfId="45207" xr:uid="{00000000-0005-0000-0000-000071B10000}"/>
    <cellStyle name="RIGs linked cells 7 4" xfId="45208" xr:uid="{00000000-0005-0000-0000-000072B10000}"/>
    <cellStyle name="RIGs linked cells 7 4 2" xfId="45209" xr:uid="{00000000-0005-0000-0000-000073B10000}"/>
    <cellStyle name="RIGs linked cells 7 4 3" xfId="45210" xr:uid="{00000000-0005-0000-0000-000074B10000}"/>
    <cellStyle name="RIGs linked cells 7 5" xfId="45211" xr:uid="{00000000-0005-0000-0000-000075B10000}"/>
    <cellStyle name="RIGs linked cells 7 6" xfId="45212" xr:uid="{00000000-0005-0000-0000-000076B10000}"/>
    <cellStyle name="RIGs linked cells 7 7" xfId="45213" xr:uid="{00000000-0005-0000-0000-000077B10000}"/>
    <cellStyle name="RIGs linked cells 7 8" xfId="45214" xr:uid="{00000000-0005-0000-0000-000078B10000}"/>
    <cellStyle name="RIGs linked cells 7 9" xfId="45215" xr:uid="{00000000-0005-0000-0000-000079B10000}"/>
    <cellStyle name="RIGs linked cells 8" xfId="45216" xr:uid="{00000000-0005-0000-0000-00007AB10000}"/>
    <cellStyle name="RIGs linked cells 8 10" xfId="45217" xr:uid="{00000000-0005-0000-0000-00007BB10000}"/>
    <cellStyle name="RIGs linked cells 8 11" xfId="45218" xr:uid="{00000000-0005-0000-0000-00007CB10000}"/>
    <cellStyle name="RIGs linked cells 8 12" xfId="45219" xr:uid="{00000000-0005-0000-0000-00007DB10000}"/>
    <cellStyle name="RIGs linked cells 8 13" xfId="45220" xr:uid="{00000000-0005-0000-0000-00007EB10000}"/>
    <cellStyle name="RIGs linked cells 8 14" xfId="45221" xr:uid="{00000000-0005-0000-0000-00007FB10000}"/>
    <cellStyle name="RIGs linked cells 8 15" xfId="45222" xr:uid="{00000000-0005-0000-0000-000080B10000}"/>
    <cellStyle name="RIGs linked cells 8 16" xfId="45223" xr:uid="{00000000-0005-0000-0000-000081B10000}"/>
    <cellStyle name="RIGs linked cells 8 17" xfId="45224" xr:uid="{00000000-0005-0000-0000-000082B10000}"/>
    <cellStyle name="RIGs linked cells 8 18" xfId="45225" xr:uid="{00000000-0005-0000-0000-000083B10000}"/>
    <cellStyle name="RIGs linked cells 8 19" xfId="45226" xr:uid="{00000000-0005-0000-0000-000084B10000}"/>
    <cellStyle name="RIGs linked cells 8 2" xfId="45227" xr:uid="{00000000-0005-0000-0000-000085B10000}"/>
    <cellStyle name="RIGs linked cells 8 2 10" xfId="45228" xr:uid="{00000000-0005-0000-0000-000086B10000}"/>
    <cellStyle name="RIGs linked cells 8 2 11" xfId="45229" xr:uid="{00000000-0005-0000-0000-000087B10000}"/>
    <cellStyle name="RIGs linked cells 8 2 12" xfId="45230" xr:uid="{00000000-0005-0000-0000-000088B10000}"/>
    <cellStyle name="RIGs linked cells 8 2 13" xfId="45231" xr:uid="{00000000-0005-0000-0000-000089B10000}"/>
    <cellStyle name="RIGs linked cells 8 2 2" xfId="45232" xr:uid="{00000000-0005-0000-0000-00008AB10000}"/>
    <cellStyle name="RIGs linked cells 8 2 2 2" xfId="45233" xr:uid="{00000000-0005-0000-0000-00008BB10000}"/>
    <cellStyle name="RIGs linked cells 8 2 2 3" xfId="45234" xr:uid="{00000000-0005-0000-0000-00008CB10000}"/>
    <cellStyle name="RIGs linked cells 8 2 3" xfId="45235" xr:uid="{00000000-0005-0000-0000-00008DB10000}"/>
    <cellStyle name="RIGs linked cells 8 2 3 2" xfId="45236" xr:uid="{00000000-0005-0000-0000-00008EB10000}"/>
    <cellStyle name="RIGs linked cells 8 2 3 3" xfId="45237" xr:uid="{00000000-0005-0000-0000-00008FB10000}"/>
    <cellStyle name="RIGs linked cells 8 2 4" xfId="45238" xr:uid="{00000000-0005-0000-0000-000090B10000}"/>
    <cellStyle name="RIGs linked cells 8 2 5" xfId="45239" xr:uid="{00000000-0005-0000-0000-000091B10000}"/>
    <cellStyle name="RIGs linked cells 8 2 6" xfId="45240" xr:uid="{00000000-0005-0000-0000-000092B10000}"/>
    <cellStyle name="RIGs linked cells 8 2 7" xfId="45241" xr:uid="{00000000-0005-0000-0000-000093B10000}"/>
    <cellStyle name="RIGs linked cells 8 2 8" xfId="45242" xr:uid="{00000000-0005-0000-0000-000094B10000}"/>
    <cellStyle name="RIGs linked cells 8 2 9" xfId="45243" xr:uid="{00000000-0005-0000-0000-000095B10000}"/>
    <cellStyle name="RIGs linked cells 8 20" xfId="45244" xr:uid="{00000000-0005-0000-0000-000096B10000}"/>
    <cellStyle name="RIGs linked cells 8 21" xfId="45245" xr:uid="{00000000-0005-0000-0000-000097B10000}"/>
    <cellStyle name="RIGs linked cells 8 22" xfId="45246" xr:uid="{00000000-0005-0000-0000-000098B10000}"/>
    <cellStyle name="RIGs linked cells 8 23" xfId="45247" xr:uid="{00000000-0005-0000-0000-000099B10000}"/>
    <cellStyle name="RIGs linked cells 8 24" xfId="45248" xr:uid="{00000000-0005-0000-0000-00009AB10000}"/>
    <cellStyle name="RIGs linked cells 8 25" xfId="45249" xr:uid="{00000000-0005-0000-0000-00009BB10000}"/>
    <cellStyle name="RIGs linked cells 8 26" xfId="45250" xr:uid="{00000000-0005-0000-0000-00009CB10000}"/>
    <cellStyle name="RIGs linked cells 8 27" xfId="45251" xr:uid="{00000000-0005-0000-0000-00009DB10000}"/>
    <cellStyle name="RIGs linked cells 8 28" xfId="45252" xr:uid="{00000000-0005-0000-0000-00009EB10000}"/>
    <cellStyle name="RIGs linked cells 8 29" xfId="45253" xr:uid="{00000000-0005-0000-0000-00009FB10000}"/>
    <cellStyle name="RIGs linked cells 8 3" xfId="45254" xr:uid="{00000000-0005-0000-0000-0000A0B10000}"/>
    <cellStyle name="RIGs linked cells 8 3 2" xfId="45255" xr:uid="{00000000-0005-0000-0000-0000A1B10000}"/>
    <cellStyle name="RIGs linked cells 8 3 3" xfId="45256" xr:uid="{00000000-0005-0000-0000-0000A2B10000}"/>
    <cellStyle name="RIGs linked cells 8 30" xfId="45257" xr:uid="{00000000-0005-0000-0000-0000A3B10000}"/>
    <cellStyle name="RIGs linked cells 8 31" xfId="45258" xr:uid="{00000000-0005-0000-0000-0000A4B10000}"/>
    <cellStyle name="RIGs linked cells 8 32" xfId="45259" xr:uid="{00000000-0005-0000-0000-0000A5B10000}"/>
    <cellStyle name="RIGs linked cells 8 33" xfId="45260" xr:uid="{00000000-0005-0000-0000-0000A6B10000}"/>
    <cellStyle name="RIGs linked cells 8 34" xfId="45261" xr:uid="{00000000-0005-0000-0000-0000A7B10000}"/>
    <cellStyle name="RIGs linked cells 8 4" xfId="45262" xr:uid="{00000000-0005-0000-0000-0000A8B10000}"/>
    <cellStyle name="RIGs linked cells 8 4 2" xfId="45263" xr:uid="{00000000-0005-0000-0000-0000A9B10000}"/>
    <cellStyle name="RIGs linked cells 8 4 3" xfId="45264" xr:uid="{00000000-0005-0000-0000-0000AAB10000}"/>
    <cellStyle name="RIGs linked cells 8 5" xfId="45265" xr:uid="{00000000-0005-0000-0000-0000ABB10000}"/>
    <cellStyle name="RIGs linked cells 8 6" xfId="45266" xr:uid="{00000000-0005-0000-0000-0000ACB10000}"/>
    <cellStyle name="RIGs linked cells 8 7" xfId="45267" xr:uid="{00000000-0005-0000-0000-0000ADB10000}"/>
    <cellStyle name="RIGs linked cells 8 8" xfId="45268" xr:uid="{00000000-0005-0000-0000-0000AEB10000}"/>
    <cellStyle name="RIGs linked cells 8 9" xfId="45269" xr:uid="{00000000-0005-0000-0000-0000AFB10000}"/>
    <cellStyle name="RIGs linked cells 9" xfId="45270" xr:uid="{00000000-0005-0000-0000-0000B0B10000}"/>
    <cellStyle name="RIGs linked cells 9 10" xfId="45271" xr:uid="{00000000-0005-0000-0000-0000B1B10000}"/>
    <cellStyle name="RIGs linked cells 9 11" xfId="45272" xr:uid="{00000000-0005-0000-0000-0000B2B10000}"/>
    <cellStyle name="RIGs linked cells 9 12" xfId="45273" xr:uid="{00000000-0005-0000-0000-0000B3B10000}"/>
    <cellStyle name="RIGs linked cells 9 13" xfId="45274" xr:uid="{00000000-0005-0000-0000-0000B4B10000}"/>
    <cellStyle name="RIGs linked cells 9 14" xfId="45275" xr:uid="{00000000-0005-0000-0000-0000B5B10000}"/>
    <cellStyle name="RIGs linked cells 9 15" xfId="45276" xr:uid="{00000000-0005-0000-0000-0000B6B10000}"/>
    <cellStyle name="RIGs linked cells 9 16" xfId="45277" xr:uid="{00000000-0005-0000-0000-0000B7B10000}"/>
    <cellStyle name="RIGs linked cells 9 17" xfId="45278" xr:uid="{00000000-0005-0000-0000-0000B8B10000}"/>
    <cellStyle name="RIGs linked cells 9 18" xfId="45279" xr:uid="{00000000-0005-0000-0000-0000B9B10000}"/>
    <cellStyle name="RIGs linked cells 9 19" xfId="45280" xr:uid="{00000000-0005-0000-0000-0000BAB10000}"/>
    <cellStyle name="RIGs linked cells 9 2" xfId="45281" xr:uid="{00000000-0005-0000-0000-0000BBB10000}"/>
    <cellStyle name="RIGs linked cells 9 2 10" xfId="45282" xr:uid="{00000000-0005-0000-0000-0000BCB10000}"/>
    <cellStyle name="RIGs linked cells 9 2 11" xfId="45283" xr:uid="{00000000-0005-0000-0000-0000BDB10000}"/>
    <cellStyle name="RIGs linked cells 9 2 12" xfId="45284" xr:uid="{00000000-0005-0000-0000-0000BEB10000}"/>
    <cellStyle name="RIGs linked cells 9 2 13" xfId="45285" xr:uid="{00000000-0005-0000-0000-0000BFB10000}"/>
    <cellStyle name="RIGs linked cells 9 2 2" xfId="45286" xr:uid="{00000000-0005-0000-0000-0000C0B10000}"/>
    <cellStyle name="RIGs linked cells 9 2 2 2" xfId="45287" xr:uid="{00000000-0005-0000-0000-0000C1B10000}"/>
    <cellStyle name="RIGs linked cells 9 2 2 3" xfId="45288" xr:uid="{00000000-0005-0000-0000-0000C2B10000}"/>
    <cellStyle name="RIGs linked cells 9 2 3" xfId="45289" xr:uid="{00000000-0005-0000-0000-0000C3B10000}"/>
    <cellStyle name="RIGs linked cells 9 2 3 2" xfId="45290" xr:uid="{00000000-0005-0000-0000-0000C4B10000}"/>
    <cellStyle name="RIGs linked cells 9 2 3 3" xfId="45291" xr:uid="{00000000-0005-0000-0000-0000C5B10000}"/>
    <cellStyle name="RIGs linked cells 9 2 4" xfId="45292" xr:uid="{00000000-0005-0000-0000-0000C6B10000}"/>
    <cellStyle name="RIGs linked cells 9 2 5" xfId="45293" xr:uid="{00000000-0005-0000-0000-0000C7B10000}"/>
    <cellStyle name="RIGs linked cells 9 2 6" xfId="45294" xr:uid="{00000000-0005-0000-0000-0000C8B10000}"/>
    <cellStyle name="RIGs linked cells 9 2 7" xfId="45295" xr:uid="{00000000-0005-0000-0000-0000C9B10000}"/>
    <cellStyle name="RIGs linked cells 9 2 8" xfId="45296" xr:uid="{00000000-0005-0000-0000-0000CAB10000}"/>
    <cellStyle name="RIGs linked cells 9 2 9" xfId="45297" xr:uid="{00000000-0005-0000-0000-0000CBB10000}"/>
    <cellStyle name="RIGs linked cells 9 20" xfId="45298" xr:uid="{00000000-0005-0000-0000-0000CCB10000}"/>
    <cellStyle name="RIGs linked cells 9 21" xfId="45299" xr:uid="{00000000-0005-0000-0000-0000CDB10000}"/>
    <cellStyle name="RIGs linked cells 9 22" xfId="45300" xr:uid="{00000000-0005-0000-0000-0000CEB10000}"/>
    <cellStyle name="RIGs linked cells 9 23" xfId="45301" xr:uid="{00000000-0005-0000-0000-0000CFB10000}"/>
    <cellStyle name="RIGs linked cells 9 24" xfId="45302" xr:uid="{00000000-0005-0000-0000-0000D0B10000}"/>
    <cellStyle name="RIGs linked cells 9 25" xfId="45303" xr:uid="{00000000-0005-0000-0000-0000D1B10000}"/>
    <cellStyle name="RIGs linked cells 9 26" xfId="45304" xr:uid="{00000000-0005-0000-0000-0000D2B10000}"/>
    <cellStyle name="RIGs linked cells 9 27" xfId="45305" xr:uid="{00000000-0005-0000-0000-0000D3B10000}"/>
    <cellStyle name="RIGs linked cells 9 28" xfId="45306" xr:uid="{00000000-0005-0000-0000-0000D4B10000}"/>
    <cellStyle name="RIGs linked cells 9 29" xfId="45307" xr:uid="{00000000-0005-0000-0000-0000D5B10000}"/>
    <cellStyle name="RIGs linked cells 9 3" xfId="45308" xr:uid="{00000000-0005-0000-0000-0000D6B10000}"/>
    <cellStyle name="RIGs linked cells 9 3 2" xfId="45309" xr:uid="{00000000-0005-0000-0000-0000D7B10000}"/>
    <cellStyle name="RIGs linked cells 9 3 3" xfId="45310" xr:uid="{00000000-0005-0000-0000-0000D8B10000}"/>
    <cellStyle name="RIGs linked cells 9 30" xfId="45311" xr:uid="{00000000-0005-0000-0000-0000D9B10000}"/>
    <cellStyle name="RIGs linked cells 9 31" xfId="45312" xr:uid="{00000000-0005-0000-0000-0000DAB10000}"/>
    <cellStyle name="RIGs linked cells 9 32" xfId="45313" xr:uid="{00000000-0005-0000-0000-0000DBB10000}"/>
    <cellStyle name="RIGs linked cells 9 33" xfId="45314" xr:uid="{00000000-0005-0000-0000-0000DCB10000}"/>
    <cellStyle name="RIGs linked cells 9 34" xfId="45315" xr:uid="{00000000-0005-0000-0000-0000DDB10000}"/>
    <cellStyle name="RIGs linked cells 9 4" xfId="45316" xr:uid="{00000000-0005-0000-0000-0000DEB10000}"/>
    <cellStyle name="RIGs linked cells 9 4 2" xfId="45317" xr:uid="{00000000-0005-0000-0000-0000DFB10000}"/>
    <cellStyle name="RIGs linked cells 9 4 3" xfId="45318" xr:uid="{00000000-0005-0000-0000-0000E0B10000}"/>
    <cellStyle name="RIGs linked cells 9 5" xfId="45319" xr:uid="{00000000-0005-0000-0000-0000E1B10000}"/>
    <cellStyle name="RIGs linked cells 9 6" xfId="45320" xr:uid="{00000000-0005-0000-0000-0000E2B10000}"/>
    <cellStyle name="RIGs linked cells 9 7" xfId="45321" xr:uid="{00000000-0005-0000-0000-0000E3B10000}"/>
    <cellStyle name="RIGs linked cells 9 8" xfId="45322" xr:uid="{00000000-0005-0000-0000-0000E4B10000}"/>
    <cellStyle name="RIGs linked cells 9 9" xfId="45323" xr:uid="{00000000-0005-0000-0000-0000E5B10000}"/>
    <cellStyle name="RIGs linked cells_1.3s Accounting C Costs Scots" xfId="45324" xr:uid="{00000000-0005-0000-0000-0000E6B10000}"/>
    <cellStyle name="RIGs_1.3s Accounting C Costs Scots" xfId="45325" xr:uid="{00000000-0005-0000-0000-0000E7B10000}"/>
    <cellStyle name="RowHeading" xfId="45326" xr:uid="{00000000-0005-0000-0000-0000E8B10000}"/>
    <cellStyle name="s" xfId="45327" xr:uid="{00000000-0005-0000-0000-0000E9B10000}"/>
    <cellStyle name="s_B" xfId="45328" xr:uid="{00000000-0005-0000-0000-0000EAB10000}"/>
    <cellStyle name="s_B_Templates v2" xfId="45329" xr:uid="{00000000-0005-0000-0000-0000EBB10000}"/>
    <cellStyle name="s_B_Templates v3" xfId="45330" xr:uid="{00000000-0005-0000-0000-0000ECB10000}"/>
    <cellStyle name="s_Bal Sheets" xfId="45331" xr:uid="{00000000-0005-0000-0000-0000EDB10000}"/>
    <cellStyle name="s_Bal Sheets_1" xfId="45332" xr:uid="{00000000-0005-0000-0000-0000EEB10000}"/>
    <cellStyle name="s_Bal Sheets_1_Templates v2" xfId="45333" xr:uid="{00000000-0005-0000-0000-0000EFB10000}"/>
    <cellStyle name="s_Bal Sheets_1_Templates v3" xfId="45334" xr:uid="{00000000-0005-0000-0000-0000F0B10000}"/>
    <cellStyle name="s_Bal Sheets_2" xfId="45335" xr:uid="{00000000-0005-0000-0000-0000F1B10000}"/>
    <cellStyle name="s_Bal Sheets_Templates v2" xfId="45336" xr:uid="{00000000-0005-0000-0000-0000F2B10000}"/>
    <cellStyle name="s_Bal Sheets_Templates v3" xfId="45337" xr:uid="{00000000-0005-0000-0000-0000F3B10000}"/>
    <cellStyle name="s_Credit (2)" xfId="45338" xr:uid="{00000000-0005-0000-0000-0000F4B10000}"/>
    <cellStyle name="s_Credit (2)_1" xfId="45339" xr:uid="{00000000-0005-0000-0000-0000F5B10000}"/>
    <cellStyle name="s_Credit (2)_2" xfId="45340" xr:uid="{00000000-0005-0000-0000-0000F6B10000}"/>
    <cellStyle name="s_Credit (2)_2_Templates v2" xfId="45341" xr:uid="{00000000-0005-0000-0000-0000F7B10000}"/>
    <cellStyle name="s_Credit (2)_2_Templates v3" xfId="45342" xr:uid="{00000000-0005-0000-0000-0000F8B10000}"/>
    <cellStyle name="s_Credit (2)_Templates v2" xfId="45343" xr:uid="{00000000-0005-0000-0000-0000F9B10000}"/>
    <cellStyle name="s_Credit (2)_Templates v3" xfId="45344" xr:uid="{00000000-0005-0000-0000-0000FAB10000}"/>
    <cellStyle name="s_DCF Analysis for DPL" xfId="45345" xr:uid="{00000000-0005-0000-0000-0000FBB10000}"/>
    <cellStyle name="s_DCF Analysis for DPL_Templates v2" xfId="45346" xr:uid="{00000000-0005-0000-0000-0000FCB10000}"/>
    <cellStyle name="s_DCF Analysis for DPL_Templates v3" xfId="45347" xr:uid="{00000000-0005-0000-0000-0000FDB10000}"/>
    <cellStyle name="s_DCF Matrix" xfId="45348" xr:uid="{00000000-0005-0000-0000-0000FEB10000}"/>
    <cellStyle name="s_DCF Matrix_1" xfId="45349" xr:uid="{00000000-0005-0000-0000-0000FFB10000}"/>
    <cellStyle name="s_DCF Matrix_1_Templates v2" xfId="45350" xr:uid="{00000000-0005-0000-0000-000000B20000}"/>
    <cellStyle name="s_DCF Matrix_1_Templates v3" xfId="45351" xr:uid="{00000000-0005-0000-0000-000001B20000}"/>
    <cellStyle name="s_DCFLBO Code" xfId="45352" xr:uid="{00000000-0005-0000-0000-000002B20000}"/>
    <cellStyle name="s_DCFLBO Code_1" xfId="45353" xr:uid="{00000000-0005-0000-0000-000003B20000}"/>
    <cellStyle name="s_DCFLBO Code_1_Templates v2" xfId="45354" xr:uid="{00000000-0005-0000-0000-000004B20000}"/>
    <cellStyle name="s_DCFLBO Code_1_Templates v3" xfId="45355" xr:uid="{00000000-0005-0000-0000-000005B20000}"/>
    <cellStyle name="s_DPL Valuation1022" xfId="45356" xr:uid="{00000000-0005-0000-0000-000006B20000}"/>
    <cellStyle name="s_DPL Valuation1022_Templates v2" xfId="45357" xr:uid="{00000000-0005-0000-0000-000007B20000}"/>
    <cellStyle name="s_DPL Valuation1022_Templates v3" xfId="45358" xr:uid="{00000000-0005-0000-0000-000008B20000}"/>
    <cellStyle name="s_Earnings" xfId="45359" xr:uid="{00000000-0005-0000-0000-000009B20000}"/>
    <cellStyle name="s_Earnings (2)" xfId="45360" xr:uid="{00000000-0005-0000-0000-00000AB20000}"/>
    <cellStyle name="s_Earnings (2)_1" xfId="45361" xr:uid="{00000000-0005-0000-0000-00000BB20000}"/>
    <cellStyle name="s_Earnings (2)_1_Templates v2" xfId="45362" xr:uid="{00000000-0005-0000-0000-00000CB20000}"/>
    <cellStyle name="s_Earnings (2)_1_Templates v3" xfId="45363" xr:uid="{00000000-0005-0000-0000-00000DB20000}"/>
    <cellStyle name="s_Earnings (2)_Templates v2" xfId="45364" xr:uid="{00000000-0005-0000-0000-00000EB20000}"/>
    <cellStyle name="s_Earnings (2)_Templates v3" xfId="45365" xr:uid="{00000000-0005-0000-0000-00000FB20000}"/>
    <cellStyle name="s_Earnings_1" xfId="45366" xr:uid="{00000000-0005-0000-0000-000010B20000}"/>
    <cellStyle name="s_Earnings_1_Templates v2" xfId="45367" xr:uid="{00000000-0005-0000-0000-000011B20000}"/>
    <cellStyle name="s_Earnings_1_Templates v3" xfId="45368" xr:uid="{00000000-0005-0000-0000-000012B20000}"/>
    <cellStyle name="s_finsumm" xfId="45369" xr:uid="{00000000-0005-0000-0000-000013B20000}"/>
    <cellStyle name="s_finsumm_1" xfId="45370" xr:uid="{00000000-0005-0000-0000-000014B20000}"/>
    <cellStyle name="s_finsumm_1_Templates v2" xfId="45371" xr:uid="{00000000-0005-0000-0000-000015B20000}"/>
    <cellStyle name="s_finsumm_1_Templates v3" xfId="45372" xr:uid="{00000000-0005-0000-0000-000016B20000}"/>
    <cellStyle name="s_finsumm_2" xfId="45373" xr:uid="{00000000-0005-0000-0000-000017B20000}"/>
    <cellStyle name="s_finsumm_2_Templates v2" xfId="45374" xr:uid="{00000000-0005-0000-0000-000018B20000}"/>
    <cellStyle name="s_finsumm_2_Templates v3" xfId="45375" xr:uid="{00000000-0005-0000-0000-000019B20000}"/>
    <cellStyle name="s_GoroWipTax-to2050_fromCo_Oct21_99" xfId="45376" xr:uid="{00000000-0005-0000-0000-00001AB20000}"/>
    <cellStyle name="s_HardInc " xfId="45377" xr:uid="{00000000-0005-0000-0000-00001BB20000}"/>
    <cellStyle name="s_Hist Inputs (2)" xfId="45378" xr:uid="{00000000-0005-0000-0000-00001CB20000}"/>
    <cellStyle name="s_Hist Inputs (2)_1" xfId="45379" xr:uid="{00000000-0005-0000-0000-00001DB20000}"/>
    <cellStyle name="s_Hist Inputs (2)_1_Templates v2" xfId="45380" xr:uid="{00000000-0005-0000-0000-00001EB20000}"/>
    <cellStyle name="s_Hist Inputs (2)_1_Templates v3" xfId="45381" xr:uid="{00000000-0005-0000-0000-00001FB20000}"/>
    <cellStyle name="s_IEL_finsumm" xfId="45382" xr:uid="{00000000-0005-0000-0000-000020B20000}"/>
    <cellStyle name="s_IEL_finsumm_1" xfId="45383" xr:uid="{00000000-0005-0000-0000-000021B20000}"/>
    <cellStyle name="s_IEL_finsumm_2" xfId="45384" xr:uid="{00000000-0005-0000-0000-000022B20000}"/>
    <cellStyle name="s_IEL_finsumm_2_Templates v2" xfId="45385" xr:uid="{00000000-0005-0000-0000-000023B20000}"/>
    <cellStyle name="s_IEL_finsumm_2_Templates v3" xfId="45386" xr:uid="{00000000-0005-0000-0000-000024B20000}"/>
    <cellStyle name="s_IEL_finsumm_Templates v2" xfId="45387" xr:uid="{00000000-0005-0000-0000-000025B20000}"/>
    <cellStyle name="s_IEL_finsumm_Templates v3" xfId="45388" xr:uid="{00000000-0005-0000-0000-000026B20000}"/>
    <cellStyle name="s_IEL_finsumm1" xfId="45389" xr:uid="{00000000-0005-0000-0000-000027B20000}"/>
    <cellStyle name="s_IEL_finsumm1_1" xfId="45390" xr:uid="{00000000-0005-0000-0000-000028B20000}"/>
    <cellStyle name="s_IEL_finsumm1_1_Templates v2" xfId="45391" xr:uid="{00000000-0005-0000-0000-000029B20000}"/>
    <cellStyle name="s_IEL_finsumm1_1_Templates v3" xfId="45392" xr:uid="{00000000-0005-0000-0000-00002AB20000}"/>
    <cellStyle name="s_IEL_finsumm1_2" xfId="45393" xr:uid="{00000000-0005-0000-0000-00002BB20000}"/>
    <cellStyle name="s_IEL_finsumm1_2_Templates v2" xfId="45394" xr:uid="{00000000-0005-0000-0000-00002CB20000}"/>
    <cellStyle name="s_IEL_finsumm1_2_Templates v3" xfId="45395" xr:uid="{00000000-0005-0000-0000-00002DB20000}"/>
    <cellStyle name="s_IEL_finsumm1_Templates v2" xfId="45396" xr:uid="{00000000-0005-0000-0000-00002EB20000}"/>
    <cellStyle name="s_IEL_finsumm1_Templates v3" xfId="45397" xr:uid="{00000000-0005-0000-0000-00002FB20000}"/>
    <cellStyle name="s_Lbo" xfId="45398" xr:uid="{00000000-0005-0000-0000-000030B20000}"/>
    <cellStyle name="s_LBO Summary" xfId="45399" xr:uid="{00000000-0005-0000-0000-000031B20000}"/>
    <cellStyle name="s_LBO Summary_1" xfId="45400" xr:uid="{00000000-0005-0000-0000-000032B20000}"/>
    <cellStyle name="s_LBO Summary_1_Templates v2" xfId="45401" xr:uid="{00000000-0005-0000-0000-000033B20000}"/>
    <cellStyle name="s_LBO Summary_1_Templates v3" xfId="45402" xr:uid="{00000000-0005-0000-0000-000034B20000}"/>
    <cellStyle name="s_LBO Summary_2" xfId="45403" xr:uid="{00000000-0005-0000-0000-000035B20000}"/>
    <cellStyle name="s_LBO Summary_2_Templates v2" xfId="45404" xr:uid="{00000000-0005-0000-0000-000036B20000}"/>
    <cellStyle name="s_LBO Summary_2_Templates v3" xfId="45405" xr:uid="{00000000-0005-0000-0000-000037B20000}"/>
    <cellStyle name="s_Lbo_1" xfId="45406" xr:uid="{00000000-0005-0000-0000-000038B20000}"/>
    <cellStyle name="s_Lbo_1_Templates v2" xfId="45407" xr:uid="{00000000-0005-0000-0000-000039B20000}"/>
    <cellStyle name="s_Lbo_1_Templates v3" xfId="45408" xr:uid="{00000000-0005-0000-0000-00003AB20000}"/>
    <cellStyle name="s_Lbo_Templates v2" xfId="45409" xr:uid="{00000000-0005-0000-0000-00003BB20000}"/>
    <cellStyle name="s_Lbo_Templates v3" xfId="45410" xr:uid="{00000000-0005-0000-0000-00003CB20000}"/>
    <cellStyle name="s_rvr_analysis_andrew" xfId="45411" xr:uid="{00000000-0005-0000-0000-00003DB20000}"/>
    <cellStyle name="s_rvr_analysis_andrew_Templates v2" xfId="45412" xr:uid="{00000000-0005-0000-0000-00003EB20000}"/>
    <cellStyle name="s_rvr_analysis_andrew_Templates v3" xfId="45413" xr:uid="{00000000-0005-0000-0000-00003FB20000}"/>
    <cellStyle name="s_Schedules" xfId="45414" xr:uid="{00000000-0005-0000-0000-000040B20000}"/>
    <cellStyle name="s_Schedules_1" xfId="45415" xr:uid="{00000000-0005-0000-0000-000041B20000}"/>
    <cellStyle name="s_Schedules_1_Templates v2" xfId="45416" xr:uid="{00000000-0005-0000-0000-000042B20000}"/>
    <cellStyle name="s_Schedules_1_Templates v3" xfId="45417" xr:uid="{00000000-0005-0000-0000-000043B20000}"/>
    <cellStyle name="s_Trans Assump" xfId="45418" xr:uid="{00000000-0005-0000-0000-000044B20000}"/>
    <cellStyle name="s_Trans Assump (2)" xfId="45419" xr:uid="{00000000-0005-0000-0000-000045B20000}"/>
    <cellStyle name="s_Trans Assump (2)_1" xfId="45420" xr:uid="{00000000-0005-0000-0000-000046B20000}"/>
    <cellStyle name="s_Trans Assump (2)_1_Templates v2" xfId="45421" xr:uid="{00000000-0005-0000-0000-000047B20000}"/>
    <cellStyle name="s_Trans Assump (2)_1_Templates v3" xfId="45422" xr:uid="{00000000-0005-0000-0000-000048B20000}"/>
    <cellStyle name="s_Trans Assump_1" xfId="45423" xr:uid="{00000000-0005-0000-0000-000049B20000}"/>
    <cellStyle name="s_Trans Assump_Templates v2" xfId="45424" xr:uid="{00000000-0005-0000-0000-00004AB20000}"/>
    <cellStyle name="s_Trans Assump_Templates v3" xfId="45425" xr:uid="{00000000-0005-0000-0000-00004BB20000}"/>
    <cellStyle name="s_Trans Sum" xfId="45426" xr:uid="{00000000-0005-0000-0000-00004CB20000}"/>
    <cellStyle name="s_Trans Sum_1" xfId="45427" xr:uid="{00000000-0005-0000-0000-00004DB20000}"/>
    <cellStyle name="s_Trans Sum_Templates v2" xfId="45428" xr:uid="{00000000-0005-0000-0000-00004EB20000}"/>
    <cellStyle name="s_Trans Sum_Templates v3" xfId="45429" xr:uid="{00000000-0005-0000-0000-00004FB20000}"/>
    <cellStyle name="s_Unit Price Sen. (2)" xfId="45430" xr:uid="{00000000-0005-0000-0000-000050B20000}"/>
    <cellStyle name="s_Unit Price Sen. (2)_1" xfId="45431" xr:uid="{00000000-0005-0000-0000-000051B20000}"/>
    <cellStyle name="s_Unit Price Sen. (2)_1_Templates v2" xfId="45432" xr:uid="{00000000-0005-0000-0000-000052B20000}"/>
    <cellStyle name="s_Unit Price Sen. (2)_1_Templates v3" xfId="45433" xr:uid="{00000000-0005-0000-0000-000053B20000}"/>
    <cellStyle name="s_Unit Price Sen. (2)_2" xfId="45434" xr:uid="{00000000-0005-0000-0000-000054B20000}"/>
    <cellStyle name="s_Unit Price Sen. (2)_Templates v2" xfId="45435" xr:uid="{00000000-0005-0000-0000-000055B20000}"/>
    <cellStyle name="s_Unit Price Sen. (2)_Templates v3" xfId="45436" xr:uid="{00000000-0005-0000-0000-000056B20000}"/>
    <cellStyle name="Salomon Logo" xfId="45437" xr:uid="{00000000-0005-0000-0000-000057B20000}"/>
    <cellStyle name="SAPBEXaggData" xfId="45438" xr:uid="{00000000-0005-0000-0000-000058B20000}"/>
    <cellStyle name="SAPBEXaggData 10" xfId="45439" xr:uid="{00000000-0005-0000-0000-000059B20000}"/>
    <cellStyle name="SAPBEXaggData 11" xfId="45440" xr:uid="{00000000-0005-0000-0000-00005AB20000}"/>
    <cellStyle name="SAPBEXaggData 12" xfId="45441" xr:uid="{00000000-0005-0000-0000-00005BB20000}"/>
    <cellStyle name="SAPBEXaggData 13" xfId="45442" xr:uid="{00000000-0005-0000-0000-00005CB20000}"/>
    <cellStyle name="SAPBEXaggData 14" xfId="45443" xr:uid="{00000000-0005-0000-0000-00005DB20000}"/>
    <cellStyle name="SAPBEXaggData 15" xfId="45444" xr:uid="{00000000-0005-0000-0000-00005EB20000}"/>
    <cellStyle name="SAPBEXaggData 16" xfId="45445" xr:uid="{00000000-0005-0000-0000-00005FB20000}"/>
    <cellStyle name="SAPBEXaggData 17" xfId="45446" xr:uid="{00000000-0005-0000-0000-000060B20000}"/>
    <cellStyle name="SAPBEXaggData 18" xfId="45447" xr:uid="{00000000-0005-0000-0000-000061B20000}"/>
    <cellStyle name="SAPBEXaggData 19" xfId="45448" xr:uid="{00000000-0005-0000-0000-000062B20000}"/>
    <cellStyle name="SAPBEXaggData 2" xfId="45449" xr:uid="{00000000-0005-0000-0000-000063B20000}"/>
    <cellStyle name="SAPBEXaggData 2 2" xfId="45450" xr:uid="{00000000-0005-0000-0000-000064B20000}"/>
    <cellStyle name="SAPBEXaggData 2 3" xfId="45451" xr:uid="{00000000-0005-0000-0000-000065B20000}"/>
    <cellStyle name="SAPBEXaggData 20" xfId="45452" xr:uid="{00000000-0005-0000-0000-000066B20000}"/>
    <cellStyle name="SAPBEXaggData 21" xfId="45453" xr:uid="{00000000-0005-0000-0000-000067B20000}"/>
    <cellStyle name="SAPBEXaggData 22" xfId="45454" xr:uid="{00000000-0005-0000-0000-000068B20000}"/>
    <cellStyle name="SAPBEXaggData 23" xfId="45455" xr:uid="{00000000-0005-0000-0000-000069B20000}"/>
    <cellStyle name="SAPBEXaggData 24" xfId="45456" xr:uid="{00000000-0005-0000-0000-00006AB20000}"/>
    <cellStyle name="SAPBEXaggData 25" xfId="45457" xr:uid="{00000000-0005-0000-0000-00006BB20000}"/>
    <cellStyle name="SAPBEXaggData 26" xfId="45458" xr:uid="{00000000-0005-0000-0000-00006CB20000}"/>
    <cellStyle name="SAPBEXaggData 27" xfId="45459" xr:uid="{00000000-0005-0000-0000-00006DB20000}"/>
    <cellStyle name="SAPBEXaggData 28" xfId="45460" xr:uid="{00000000-0005-0000-0000-00006EB20000}"/>
    <cellStyle name="SAPBEXaggData 29" xfId="45461" xr:uid="{00000000-0005-0000-0000-00006FB20000}"/>
    <cellStyle name="SAPBEXaggData 3" xfId="45462" xr:uid="{00000000-0005-0000-0000-000070B20000}"/>
    <cellStyle name="SAPBEXaggData 30" xfId="45463" xr:uid="{00000000-0005-0000-0000-000071B20000}"/>
    <cellStyle name="SAPBEXaggData 31" xfId="45464" xr:uid="{00000000-0005-0000-0000-000072B20000}"/>
    <cellStyle name="SAPBEXaggData 32" xfId="45465" xr:uid="{00000000-0005-0000-0000-000073B20000}"/>
    <cellStyle name="SAPBEXaggData 4" xfId="45466" xr:uid="{00000000-0005-0000-0000-000074B20000}"/>
    <cellStyle name="SAPBEXaggData 5" xfId="45467" xr:uid="{00000000-0005-0000-0000-000075B20000}"/>
    <cellStyle name="SAPBEXaggData 6" xfId="45468" xr:uid="{00000000-0005-0000-0000-000076B20000}"/>
    <cellStyle name="SAPBEXaggData 7" xfId="45469" xr:uid="{00000000-0005-0000-0000-000077B20000}"/>
    <cellStyle name="SAPBEXaggData 8" xfId="45470" xr:uid="{00000000-0005-0000-0000-000078B20000}"/>
    <cellStyle name="SAPBEXaggData 9" xfId="45471" xr:uid="{00000000-0005-0000-0000-000079B20000}"/>
    <cellStyle name="SAPBEXaggData_SGN 10a Business Plan 2010v14 used for CF model v2" xfId="45472" xr:uid="{00000000-0005-0000-0000-00007AB20000}"/>
    <cellStyle name="SAPBEXaggDataEmph" xfId="45473" xr:uid="{00000000-0005-0000-0000-00007BB20000}"/>
    <cellStyle name="SAPBEXaggDataEmph 10" xfId="45474" xr:uid="{00000000-0005-0000-0000-00007CB20000}"/>
    <cellStyle name="SAPBEXaggDataEmph 11" xfId="45475" xr:uid="{00000000-0005-0000-0000-00007DB20000}"/>
    <cellStyle name="SAPBEXaggDataEmph 12" xfId="45476" xr:uid="{00000000-0005-0000-0000-00007EB20000}"/>
    <cellStyle name="SAPBEXaggDataEmph 13" xfId="45477" xr:uid="{00000000-0005-0000-0000-00007FB20000}"/>
    <cellStyle name="SAPBEXaggDataEmph 14" xfId="45478" xr:uid="{00000000-0005-0000-0000-000080B20000}"/>
    <cellStyle name="SAPBEXaggDataEmph 15" xfId="45479" xr:uid="{00000000-0005-0000-0000-000081B20000}"/>
    <cellStyle name="SAPBEXaggDataEmph 16" xfId="45480" xr:uid="{00000000-0005-0000-0000-000082B20000}"/>
    <cellStyle name="SAPBEXaggDataEmph 17" xfId="45481" xr:uid="{00000000-0005-0000-0000-000083B20000}"/>
    <cellStyle name="SAPBEXaggDataEmph 18" xfId="45482" xr:uid="{00000000-0005-0000-0000-000084B20000}"/>
    <cellStyle name="SAPBEXaggDataEmph 19" xfId="45483" xr:uid="{00000000-0005-0000-0000-000085B20000}"/>
    <cellStyle name="SAPBEXaggDataEmph 2" xfId="45484" xr:uid="{00000000-0005-0000-0000-000086B20000}"/>
    <cellStyle name="SAPBEXaggDataEmph 2 2" xfId="45485" xr:uid="{00000000-0005-0000-0000-000087B20000}"/>
    <cellStyle name="SAPBEXaggDataEmph 2 3" xfId="45486" xr:uid="{00000000-0005-0000-0000-000088B20000}"/>
    <cellStyle name="SAPBEXaggDataEmph 20" xfId="45487" xr:uid="{00000000-0005-0000-0000-000089B20000}"/>
    <cellStyle name="SAPBEXaggDataEmph 21" xfId="45488" xr:uid="{00000000-0005-0000-0000-00008AB20000}"/>
    <cellStyle name="SAPBEXaggDataEmph 22" xfId="45489" xr:uid="{00000000-0005-0000-0000-00008BB20000}"/>
    <cellStyle name="SAPBEXaggDataEmph 23" xfId="45490" xr:uid="{00000000-0005-0000-0000-00008CB20000}"/>
    <cellStyle name="SAPBEXaggDataEmph 24" xfId="45491" xr:uid="{00000000-0005-0000-0000-00008DB20000}"/>
    <cellStyle name="SAPBEXaggDataEmph 25" xfId="45492" xr:uid="{00000000-0005-0000-0000-00008EB20000}"/>
    <cellStyle name="SAPBEXaggDataEmph 26" xfId="45493" xr:uid="{00000000-0005-0000-0000-00008FB20000}"/>
    <cellStyle name="SAPBEXaggDataEmph 27" xfId="45494" xr:uid="{00000000-0005-0000-0000-000090B20000}"/>
    <cellStyle name="SAPBEXaggDataEmph 28" xfId="45495" xr:uid="{00000000-0005-0000-0000-000091B20000}"/>
    <cellStyle name="SAPBEXaggDataEmph 29" xfId="45496" xr:uid="{00000000-0005-0000-0000-000092B20000}"/>
    <cellStyle name="SAPBEXaggDataEmph 3" xfId="45497" xr:uid="{00000000-0005-0000-0000-000093B20000}"/>
    <cellStyle name="SAPBEXaggDataEmph 30" xfId="45498" xr:uid="{00000000-0005-0000-0000-000094B20000}"/>
    <cellStyle name="SAPBEXaggDataEmph 31" xfId="45499" xr:uid="{00000000-0005-0000-0000-000095B20000}"/>
    <cellStyle name="SAPBEXaggDataEmph 32" xfId="45500" xr:uid="{00000000-0005-0000-0000-000096B20000}"/>
    <cellStyle name="SAPBEXaggDataEmph 4" xfId="45501" xr:uid="{00000000-0005-0000-0000-000097B20000}"/>
    <cellStyle name="SAPBEXaggDataEmph 5" xfId="45502" xr:uid="{00000000-0005-0000-0000-000098B20000}"/>
    <cellStyle name="SAPBEXaggDataEmph 6" xfId="45503" xr:uid="{00000000-0005-0000-0000-000099B20000}"/>
    <cellStyle name="SAPBEXaggDataEmph 7" xfId="45504" xr:uid="{00000000-0005-0000-0000-00009AB20000}"/>
    <cellStyle name="SAPBEXaggDataEmph 8" xfId="45505" xr:uid="{00000000-0005-0000-0000-00009BB20000}"/>
    <cellStyle name="SAPBEXaggDataEmph 9" xfId="45506" xr:uid="{00000000-0005-0000-0000-00009CB20000}"/>
    <cellStyle name="SAPBEXaggDataEmph_SGN 10a Business Plan 2010v14 used for CF model v2" xfId="45507" xr:uid="{00000000-0005-0000-0000-00009DB20000}"/>
    <cellStyle name="SAPBEXaggItem" xfId="45508" xr:uid="{00000000-0005-0000-0000-00009EB20000}"/>
    <cellStyle name="SAPBEXaggItem 10" xfId="45509" xr:uid="{00000000-0005-0000-0000-00009FB20000}"/>
    <cellStyle name="SAPBEXaggItem 11" xfId="45510" xr:uid="{00000000-0005-0000-0000-0000A0B20000}"/>
    <cellStyle name="SAPBEXaggItem 12" xfId="45511" xr:uid="{00000000-0005-0000-0000-0000A1B20000}"/>
    <cellStyle name="SAPBEXaggItem 13" xfId="45512" xr:uid="{00000000-0005-0000-0000-0000A2B20000}"/>
    <cellStyle name="SAPBEXaggItem 14" xfId="45513" xr:uid="{00000000-0005-0000-0000-0000A3B20000}"/>
    <cellStyle name="SAPBEXaggItem 15" xfId="45514" xr:uid="{00000000-0005-0000-0000-0000A4B20000}"/>
    <cellStyle name="SAPBEXaggItem 16" xfId="45515" xr:uid="{00000000-0005-0000-0000-0000A5B20000}"/>
    <cellStyle name="SAPBEXaggItem 17" xfId="45516" xr:uid="{00000000-0005-0000-0000-0000A6B20000}"/>
    <cellStyle name="SAPBEXaggItem 18" xfId="45517" xr:uid="{00000000-0005-0000-0000-0000A7B20000}"/>
    <cellStyle name="SAPBEXaggItem 19" xfId="45518" xr:uid="{00000000-0005-0000-0000-0000A8B20000}"/>
    <cellStyle name="SAPBEXaggItem 2" xfId="45519" xr:uid="{00000000-0005-0000-0000-0000A9B20000}"/>
    <cellStyle name="SAPBEXaggItem 2 2" xfId="45520" xr:uid="{00000000-0005-0000-0000-0000AAB20000}"/>
    <cellStyle name="SAPBEXaggItem 2 3" xfId="45521" xr:uid="{00000000-0005-0000-0000-0000ABB20000}"/>
    <cellStyle name="SAPBEXaggItem 20" xfId="45522" xr:uid="{00000000-0005-0000-0000-0000ACB20000}"/>
    <cellStyle name="SAPBEXaggItem 21" xfId="45523" xr:uid="{00000000-0005-0000-0000-0000ADB20000}"/>
    <cellStyle name="SAPBEXaggItem 22" xfId="45524" xr:uid="{00000000-0005-0000-0000-0000AEB20000}"/>
    <cellStyle name="SAPBEXaggItem 23" xfId="45525" xr:uid="{00000000-0005-0000-0000-0000AFB20000}"/>
    <cellStyle name="SAPBEXaggItem 24" xfId="45526" xr:uid="{00000000-0005-0000-0000-0000B0B20000}"/>
    <cellStyle name="SAPBEXaggItem 25" xfId="45527" xr:uid="{00000000-0005-0000-0000-0000B1B20000}"/>
    <cellStyle name="SAPBEXaggItem 26" xfId="45528" xr:uid="{00000000-0005-0000-0000-0000B2B20000}"/>
    <cellStyle name="SAPBEXaggItem 27" xfId="45529" xr:uid="{00000000-0005-0000-0000-0000B3B20000}"/>
    <cellStyle name="SAPBEXaggItem 28" xfId="45530" xr:uid="{00000000-0005-0000-0000-0000B4B20000}"/>
    <cellStyle name="SAPBEXaggItem 29" xfId="45531" xr:uid="{00000000-0005-0000-0000-0000B5B20000}"/>
    <cellStyle name="SAPBEXaggItem 3" xfId="45532" xr:uid="{00000000-0005-0000-0000-0000B6B20000}"/>
    <cellStyle name="SAPBEXaggItem 30" xfId="45533" xr:uid="{00000000-0005-0000-0000-0000B7B20000}"/>
    <cellStyle name="SAPBEXaggItem 31" xfId="45534" xr:uid="{00000000-0005-0000-0000-0000B8B20000}"/>
    <cellStyle name="SAPBEXaggItem 32" xfId="45535" xr:uid="{00000000-0005-0000-0000-0000B9B20000}"/>
    <cellStyle name="SAPBEXaggItem 4" xfId="45536" xr:uid="{00000000-0005-0000-0000-0000BAB20000}"/>
    <cellStyle name="SAPBEXaggItem 5" xfId="45537" xr:uid="{00000000-0005-0000-0000-0000BBB20000}"/>
    <cellStyle name="SAPBEXaggItem 6" xfId="45538" xr:uid="{00000000-0005-0000-0000-0000BCB20000}"/>
    <cellStyle name="SAPBEXaggItem 7" xfId="45539" xr:uid="{00000000-0005-0000-0000-0000BDB20000}"/>
    <cellStyle name="SAPBEXaggItem 8" xfId="45540" xr:uid="{00000000-0005-0000-0000-0000BEB20000}"/>
    <cellStyle name="SAPBEXaggItem 9" xfId="45541" xr:uid="{00000000-0005-0000-0000-0000BFB20000}"/>
    <cellStyle name="SAPBEXaggItem_SGN 10a Business Plan 2010v14 used for CF model v2" xfId="45542" xr:uid="{00000000-0005-0000-0000-0000C0B20000}"/>
    <cellStyle name="SAPBEXaggItemX" xfId="45543" xr:uid="{00000000-0005-0000-0000-0000C1B20000}"/>
    <cellStyle name="SAPBEXaggItemX 10" xfId="45544" xr:uid="{00000000-0005-0000-0000-0000C2B20000}"/>
    <cellStyle name="SAPBEXaggItemX 11" xfId="45545" xr:uid="{00000000-0005-0000-0000-0000C3B20000}"/>
    <cellStyle name="SAPBEXaggItemX 12" xfId="45546" xr:uid="{00000000-0005-0000-0000-0000C4B20000}"/>
    <cellStyle name="SAPBEXaggItemX 13" xfId="45547" xr:uid="{00000000-0005-0000-0000-0000C5B20000}"/>
    <cellStyle name="SAPBEXaggItemX 14" xfId="45548" xr:uid="{00000000-0005-0000-0000-0000C6B20000}"/>
    <cellStyle name="SAPBEXaggItemX 15" xfId="45549" xr:uid="{00000000-0005-0000-0000-0000C7B20000}"/>
    <cellStyle name="SAPBEXaggItemX 16" xfId="45550" xr:uid="{00000000-0005-0000-0000-0000C8B20000}"/>
    <cellStyle name="SAPBEXaggItemX 17" xfId="45551" xr:uid="{00000000-0005-0000-0000-0000C9B20000}"/>
    <cellStyle name="SAPBEXaggItemX 18" xfId="45552" xr:uid="{00000000-0005-0000-0000-0000CAB20000}"/>
    <cellStyle name="SAPBEXaggItemX 19" xfId="45553" xr:uid="{00000000-0005-0000-0000-0000CBB20000}"/>
    <cellStyle name="SAPBEXaggItemX 2" xfId="45554" xr:uid="{00000000-0005-0000-0000-0000CCB20000}"/>
    <cellStyle name="SAPBEXaggItemX 2 2" xfId="45555" xr:uid="{00000000-0005-0000-0000-0000CDB20000}"/>
    <cellStyle name="SAPBEXaggItemX 2 3" xfId="45556" xr:uid="{00000000-0005-0000-0000-0000CEB20000}"/>
    <cellStyle name="SAPBEXaggItemX 20" xfId="45557" xr:uid="{00000000-0005-0000-0000-0000CFB20000}"/>
    <cellStyle name="SAPBEXaggItemX 21" xfId="45558" xr:uid="{00000000-0005-0000-0000-0000D0B20000}"/>
    <cellStyle name="SAPBEXaggItemX 22" xfId="45559" xr:uid="{00000000-0005-0000-0000-0000D1B20000}"/>
    <cellStyle name="SAPBEXaggItemX 23" xfId="45560" xr:uid="{00000000-0005-0000-0000-0000D2B20000}"/>
    <cellStyle name="SAPBEXaggItemX 24" xfId="45561" xr:uid="{00000000-0005-0000-0000-0000D3B20000}"/>
    <cellStyle name="SAPBEXaggItemX 25" xfId="45562" xr:uid="{00000000-0005-0000-0000-0000D4B20000}"/>
    <cellStyle name="SAPBEXaggItemX 26" xfId="45563" xr:uid="{00000000-0005-0000-0000-0000D5B20000}"/>
    <cellStyle name="SAPBEXaggItemX 27" xfId="45564" xr:uid="{00000000-0005-0000-0000-0000D6B20000}"/>
    <cellStyle name="SAPBEXaggItemX 28" xfId="45565" xr:uid="{00000000-0005-0000-0000-0000D7B20000}"/>
    <cellStyle name="SAPBEXaggItemX 29" xfId="45566" xr:uid="{00000000-0005-0000-0000-0000D8B20000}"/>
    <cellStyle name="SAPBEXaggItemX 3" xfId="45567" xr:uid="{00000000-0005-0000-0000-0000D9B20000}"/>
    <cellStyle name="SAPBEXaggItemX 30" xfId="45568" xr:uid="{00000000-0005-0000-0000-0000DAB20000}"/>
    <cellStyle name="SAPBEXaggItemX 31" xfId="45569" xr:uid="{00000000-0005-0000-0000-0000DBB20000}"/>
    <cellStyle name="SAPBEXaggItemX 32" xfId="45570" xr:uid="{00000000-0005-0000-0000-0000DCB20000}"/>
    <cellStyle name="SAPBEXaggItemX 4" xfId="45571" xr:uid="{00000000-0005-0000-0000-0000DDB20000}"/>
    <cellStyle name="SAPBEXaggItemX 5" xfId="45572" xr:uid="{00000000-0005-0000-0000-0000DEB20000}"/>
    <cellStyle name="SAPBEXaggItemX 6" xfId="45573" xr:uid="{00000000-0005-0000-0000-0000DFB20000}"/>
    <cellStyle name="SAPBEXaggItemX 7" xfId="45574" xr:uid="{00000000-0005-0000-0000-0000E0B20000}"/>
    <cellStyle name="SAPBEXaggItemX 8" xfId="45575" xr:uid="{00000000-0005-0000-0000-0000E1B20000}"/>
    <cellStyle name="SAPBEXaggItemX 9" xfId="45576" xr:uid="{00000000-0005-0000-0000-0000E2B20000}"/>
    <cellStyle name="SAPBEXchaText" xfId="45577" xr:uid="{00000000-0005-0000-0000-0000E3B20000}"/>
    <cellStyle name="SAPBEXchaText 2" xfId="45578" xr:uid="{00000000-0005-0000-0000-0000E4B20000}"/>
    <cellStyle name="SAPBEXchaText_SGN 10a Business Plan 2010v14 used for CF model v2" xfId="45579" xr:uid="{00000000-0005-0000-0000-0000E5B20000}"/>
    <cellStyle name="SAPBEXexcBad7" xfId="45580" xr:uid="{00000000-0005-0000-0000-0000E6B20000}"/>
    <cellStyle name="SAPBEXexcBad7 10" xfId="45581" xr:uid="{00000000-0005-0000-0000-0000E7B20000}"/>
    <cellStyle name="SAPBEXexcBad7 11" xfId="45582" xr:uid="{00000000-0005-0000-0000-0000E8B20000}"/>
    <cellStyle name="SAPBEXexcBad7 12" xfId="45583" xr:uid="{00000000-0005-0000-0000-0000E9B20000}"/>
    <cellStyle name="SAPBEXexcBad7 13" xfId="45584" xr:uid="{00000000-0005-0000-0000-0000EAB20000}"/>
    <cellStyle name="SAPBEXexcBad7 14" xfId="45585" xr:uid="{00000000-0005-0000-0000-0000EBB20000}"/>
    <cellStyle name="SAPBEXexcBad7 15" xfId="45586" xr:uid="{00000000-0005-0000-0000-0000ECB20000}"/>
    <cellStyle name="SAPBEXexcBad7 16" xfId="45587" xr:uid="{00000000-0005-0000-0000-0000EDB20000}"/>
    <cellStyle name="SAPBEXexcBad7 17" xfId="45588" xr:uid="{00000000-0005-0000-0000-0000EEB20000}"/>
    <cellStyle name="SAPBEXexcBad7 18" xfId="45589" xr:uid="{00000000-0005-0000-0000-0000EFB20000}"/>
    <cellStyle name="SAPBEXexcBad7 19" xfId="45590" xr:uid="{00000000-0005-0000-0000-0000F0B20000}"/>
    <cellStyle name="SAPBEXexcBad7 2" xfId="45591" xr:uid="{00000000-0005-0000-0000-0000F1B20000}"/>
    <cellStyle name="SAPBEXexcBad7 2 2" xfId="45592" xr:uid="{00000000-0005-0000-0000-0000F2B20000}"/>
    <cellStyle name="SAPBEXexcBad7 2 3" xfId="45593" xr:uid="{00000000-0005-0000-0000-0000F3B20000}"/>
    <cellStyle name="SAPBEXexcBad7 20" xfId="45594" xr:uid="{00000000-0005-0000-0000-0000F4B20000}"/>
    <cellStyle name="SAPBEXexcBad7 21" xfId="45595" xr:uid="{00000000-0005-0000-0000-0000F5B20000}"/>
    <cellStyle name="SAPBEXexcBad7 22" xfId="45596" xr:uid="{00000000-0005-0000-0000-0000F6B20000}"/>
    <cellStyle name="SAPBEXexcBad7 23" xfId="45597" xr:uid="{00000000-0005-0000-0000-0000F7B20000}"/>
    <cellStyle name="SAPBEXexcBad7 24" xfId="45598" xr:uid="{00000000-0005-0000-0000-0000F8B20000}"/>
    <cellStyle name="SAPBEXexcBad7 25" xfId="45599" xr:uid="{00000000-0005-0000-0000-0000F9B20000}"/>
    <cellStyle name="SAPBEXexcBad7 26" xfId="45600" xr:uid="{00000000-0005-0000-0000-0000FAB20000}"/>
    <cellStyle name="SAPBEXexcBad7 27" xfId="45601" xr:uid="{00000000-0005-0000-0000-0000FBB20000}"/>
    <cellStyle name="SAPBEXexcBad7 28" xfId="45602" xr:uid="{00000000-0005-0000-0000-0000FCB20000}"/>
    <cellStyle name="SAPBEXexcBad7 29" xfId="45603" xr:uid="{00000000-0005-0000-0000-0000FDB20000}"/>
    <cellStyle name="SAPBEXexcBad7 3" xfId="45604" xr:uid="{00000000-0005-0000-0000-0000FEB20000}"/>
    <cellStyle name="SAPBEXexcBad7 30" xfId="45605" xr:uid="{00000000-0005-0000-0000-0000FFB20000}"/>
    <cellStyle name="SAPBEXexcBad7 31" xfId="45606" xr:uid="{00000000-0005-0000-0000-000000B30000}"/>
    <cellStyle name="SAPBEXexcBad7 32" xfId="45607" xr:uid="{00000000-0005-0000-0000-000001B30000}"/>
    <cellStyle name="SAPBEXexcBad7 4" xfId="45608" xr:uid="{00000000-0005-0000-0000-000002B30000}"/>
    <cellStyle name="SAPBEXexcBad7 5" xfId="45609" xr:uid="{00000000-0005-0000-0000-000003B30000}"/>
    <cellStyle name="SAPBEXexcBad7 6" xfId="45610" xr:uid="{00000000-0005-0000-0000-000004B30000}"/>
    <cellStyle name="SAPBEXexcBad7 7" xfId="45611" xr:uid="{00000000-0005-0000-0000-000005B30000}"/>
    <cellStyle name="SAPBEXexcBad7 8" xfId="45612" xr:uid="{00000000-0005-0000-0000-000006B30000}"/>
    <cellStyle name="SAPBEXexcBad7 9" xfId="45613" xr:uid="{00000000-0005-0000-0000-000007B30000}"/>
    <cellStyle name="SAPBEXexcBad7_SGN 10a Business Plan 2010v14 used for CF model v2" xfId="45614" xr:uid="{00000000-0005-0000-0000-000008B30000}"/>
    <cellStyle name="SAPBEXexcBad8" xfId="45615" xr:uid="{00000000-0005-0000-0000-000009B30000}"/>
    <cellStyle name="SAPBEXexcBad8 10" xfId="45616" xr:uid="{00000000-0005-0000-0000-00000AB30000}"/>
    <cellStyle name="SAPBEXexcBad8 11" xfId="45617" xr:uid="{00000000-0005-0000-0000-00000BB30000}"/>
    <cellStyle name="SAPBEXexcBad8 12" xfId="45618" xr:uid="{00000000-0005-0000-0000-00000CB30000}"/>
    <cellStyle name="SAPBEXexcBad8 13" xfId="45619" xr:uid="{00000000-0005-0000-0000-00000DB30000}"/>
    <cellStyle name="SAPBEXexcBad8 14" xfId="45620" xr:uid="{00000000-0005-0000-0000-00000EB30000}"/>
    <cellStyle name="SAPBEXexcBad8 15" xfId="45621" xr:uid="{00000000-0005-0000-0000-00000FB30000}"/>
    <cellStyle name="SAPBEXexcBad8 16" xfId="45622" xr:uid="{00000000-0005-0000-0000-000010B30000}"/>
    <cellStyle name="SAPBEXexcBad8 17" xfId="45623" xr:uid="{00000000-0005-0000-0000-000011B30000}"/>
    <cellStyle name="SAPBEXexcBad8 18" xfId="45624" xr:uid="{00000000-0005-0000-0000-000012B30000}"/>
    <cellStyle name="SAPBEXexcBad8 19" xfId="45625" xr:uid="{00000000-0005-0000-0000-000013B30000}"/>
    <cellStyle name="SAPBEXexcBad8 2" xfId="45626" xr:uid="{00000000-0005-0000-0000-000014B30000}"/>
    <cellStyle name="SAPBEXexcBad8 2 2" xfId="45627" xr:uid="{00000000-0005-0000-0000-000015B30000}"/>
    <cellStyle name="SAPBEXexcBad8 2 3" xfId="45628" xr:uid="{00000000-0005-0000-0000-000016B30000}"/>
    <cellStyle name="SAPBEXexcBad8 20" xfId="45629" xr:uid="{00000000-0005-0000-0000-000017B30000}"/>
    <cellStyle name="SAPBEXexcBad8 21" xfId="45630" xr:uid="{00000000-0005-0000-0000-000018B30000}"/>
    <cellStyle name="SAPBEXexcBad8 22" xfId="45631" xr:uid="{00000000-0005-0000-0000-000019B30000}"/>
    <cellStyle name="SAPBEXexcBad8 23" xfId="45632" xr:uid="{00000000-0005-0000-0000-00001AB30000}"/>
    <cellStyle name="SAPBEXexcBad8 24" xfId="45633" xr:uid="{00000000-0005-0000-0000-00001BB30000}"/>
    <cellStyle name="SAPBEXexcBad8 25" xfId="45634" xr:uid="{00000000-0005-0000-0000-00001CB30000}"/>
    <cellStyle name="SAPBEXexcBad8 26" xfId="45635" xr:uid="{00000000-0005-0000-0000-00001DB30000}"/>
    <cellStyle name="SAPBEXexcBad8 27" xfId="45636" xr:uid="{00000000-0005-0000-0000-00001EB30000}"/>
    <cellStyle name="SAPBEXexcBad8 28" xfId="45637" xr:uid="{00000000-0005-0000-0000-00001FB30000}"/>
    <cellStyle name="SAPBEXexcBad8 29" xfId="45638" xr:uid="{00000000-0005-0000-0000-000020B30000}"/>
    <cellStyle name="SAPBEXexcBad8 3" xfId="45639" xr:uid="{00000000-0005-0000-0000-000021B30000}"/>
    <cellStyle name="SAPBEXexcBad8 30" xfId="45640" xr:uid="{00000000-0005-0000-0000-000022B30000}"/>
    <cellStyle name="SAPBEXexcBad8 31" xfId="45641" xr:uid="{00000000-0005-0000-0000-000023B30000}"/>
    <cellStyle name="SAPBEXexcBad8 32" xfId="45642" xr:uid="{00000000-0005-0000-0000-000024B30000}"/>
    <cellStyle name="SAPBEXexcBad8 4" xfId="45643" xr:uid="{00000000-0005-0000-0000-000025B30000}"/>
    <cellStyle name="SAPBEXexcBad8 5" xfId="45644" xr:uid="{00000000-0005-0000-0000-000026B30000}"/>
    <cellStyle name="SAPBEXexcBad8 6" xfId="45645" xr:uid="{00000000-0005-0000-0000-000027B30000}"/>
    <cellStyle name="SAPBEXexcBad8 7" xfId="45646" xr:uid="{00000000-0005-0000-0000-000028B30000}"/>
    <cellStyle name="SAPBEXexcBad8 8" xfId="45647" xr:uid="{00000000-0005-0000-0000-000029B30000}"/>
    <cellStyle name="SAPBEXexcBad8 9" xfId="45648" xr:uid="{00000000-0005-0000-0000-00002AB30000}"/>
    <cellStyle name="SAPBEXexcBad8_SGN 10a Business Plan 2010v14 used for CF model v2" xfId="45649" xr:uid="{00000000-0005-0000-0000-00002BB30000}"/>
    <cellStyle name="SAPBEXexcBad9" xfId="45650" xr:uid="{00000000-0005-0000-0000-00002CB30000}"/>
    <cellStyle name="SAPBEXexcBad9 10" xfId="45651" xr:uid="{00000000-0005-0000-0000-00002DB30000}"/>
    <cellStyle name="SAPBEXexcBad9 11" xfId="45652" xr:uid="{00000000-0005-0000-0000-00002EB30000}"/>
    <cellStyle name="SAPBEXexcBad9 12" xfId="45653" xr:uid="{00000000-0005-0000-0000-00002FB30000}"/>
    <cellStyle name="SAPBEXexcBad9 13" xfId="45654" xr:uid="{00000000-0005-0000-0000-000030B30000}"/>
    <cellStyle name="SAPBEXexcBad9 14" xfId="45655" xr:uid="{00000000-0005-0000-0000-000031B30000}"/>
    <cellStyle name="SAPBEXexcBad9 15" xfId="45656" xr:uid="{00000000-0005-0000-0000-000032B30000}"/>
    <cellStyle name="SAPBEXexcBad9 16" xfId="45657" xr:uid="{00000000-0005-0000-0000-000033B30000}"/>
    <cellStyle name="SAPBEXexcBad9 17" xfId="45658" xr:uid="{00000000-0005-0000-0000-000034B30000}"/>
    <cellStyle name="SAPBEXexcBad9 18" xfId="45659" xr:uid="{00000000-0005-0000-0000-000035B30000}"/>
    <cellStyle name="SAPBEXexcBad9 19" xfId="45660" xr:uid="{00000000-0005-0000-0000-000036B30000}"/>
    <cellStyle name="SAPBEXexcBad9 2" xfId="45661" xr:uid="{00000000-0005-0000-0000-000037B30000}"/>
    <cellStyle name="SAPBEXexcBad9 2 2" xfId="45662" xr:uid="{00000000-0005-0000-0000-000038B30000}"/>
    <cellStyle name="SAPBEXexcBad9 2 3" xfId="45663" xr:uid="{00000000-0005-0000-0000-000039B30000}"/>
    <cellStyle name="SAPBEXexcBad9 20" xfId="45664" xr:uid="{00000000-0005-0000-0000-00003AB30000}"/>
    <cellStyle name="SAPBEXexcBad9 21" xfId="45665" xr:uid="{00000000-0005-0000-0000-00003BB30000}"/>
    <cellStyle name="SAPBEXexcBad9 22" xfId="45666" xr:uid="{00000000-0005-0000-0000-00003CB30000}"/>
    <cellStyle name="SAPBEXexcBad9 23" xfId="45667" xr:uid="{00000000-0005-0000-0000-00003DB30000}"/>
    <cellStyle name="SAPBEXexcBad9 24" xfId="45668" xr:uid="{00000000-0005-0000-0000-00003EB30000}"/>
    <cellStyle name="SAPBEXexcBad9 25" xfId="45669" xr:uid="{00000000-0005-0000-0000-00003FB30000}"/>
    <cellStyle name="SAPBEXexcBad9 26" xfId="45670" xr:uid="{00000000-0005-0000-0000-000040B30000}"/>
    <cellStyle name="SAPBEXexcBad9 27" xfId="45671" xr:uid="{00000000-0005-0000-0000-000041B30000}"/>
    <cellStyle name="SAPBEXexcBad9 28" xfId="45672" xr:uid="{00000000-0005-0000-0000-000042B30000}"/>
    <cellStyle name="SAPBEXexcBad9 29" xfId="45673" xr:uid="{00000000-0005-0000-0000-000043B30000}"/>
    <cellStyle name="SAPBEXexcBad9 3" xfId="45674" xr:uid="{00000000-0005-0000-0000-000044B30000}"/>
    <cellStyle name="SAPBEXexcBad9 30" xfId="45675" xr:uid="{00000000-0005-0000-0000-000045B30000}"/>
    <cellStyle name="SAPBEXexcBad9 31" xfId="45676" xr:uid="{00000000-0005-0000-0000-000046B30000}"/>
    <cellStyle name="SAPBEXexcBad9 32" xfId="45677" xr:uid="{00000000-0005-0000-0000-000047B30000}"/>
    <cellStyle name="SAPBEXexcBad9 4" xfId="45678" xr:uid="{00000000-0005-0000-0000-000048B30000}"/>
    <cellStyle name="SAPBEXexcBad9 5" xfId="45679" xr:uid="{00000000-0005-0000-0000-000049B30000}"/>
    <cellStyle name="SAPBEXexcBad9 6" xfId="45680" xr:uid="{00000000-0005-0000-0000-00004AB30000}"/>
    <cellStyle name="SAPBEXexcBad9 7" xfId="45681" xr:uid="{00000000-0005-0000-0000-00004BB30000}"/>
    <cellStyle name="SAPBEXexcBad9 8" xfId="45682" xr:uid="{00000000-0005-0000-0000-00004CB30000}"/>
    <cellStyle name="SAPBEXexcBad9 9" xfId="45683" xr:uid="{00000000-0005-0000-0000-00004DB30000}"/>
    <cellStyle name="SAPBEXexcBad9_SGN 10a Business Plan 2010v14 used for CF model v2" xfId="45684" xr:uid="{00000000-0005-0000-0000-00004EB30000}"/>
    <cellStyle name="SAPBEXexcCritical4" xfId="45685" xr:uid="{00000000-0005-0000-0000-00004FB30000}"/>
    <cellStyle name="SAPBEXexcCritical4 10" xfId="45686" xr:uid="{00000000-0005-0000-0000-000050B30000}"/>
    <cellStyle name="SAPBEXexcCritical4 11" xfId="45687" xr:uid="{00000000-0005-0000-0000-000051B30000}"/>
    <cellStyle name="SAPBEXexcCritical4 12" xfId="45688" xr:uid="{00000000-0005-0000-0000-000052B30000}"/>
    <cellStyle name="SAPBEXexcCritical4 13" xfId="45689" xr:uid="{00000000-0005-0000-0000-000053B30000}"/>
    <cellStyle name="SAPBEXexcCritical4 14" xfId="45690" xr:uid="{00000000-0005-0000-0000-000054B30000}"/>
    <cellStyle name="SAPBEXexcCritical4 15" xfId="45691" xr:uid="{00000000-0005-0000-0000-000055B30000}"/>
    <cellStyle name="SAPBEXexcCritical4 16" xfId="45692" xr:uid="{00000000-0005-0000-0000-000056B30000}"/>
    <cellStyle name="SAPBEXexcCritical4 17" xfId="45693" xr:uid="{00000000-0005-0000-0000-000057B30000}"/>
    <cellStyle name="SAPBEXexcCritical4 18" xfId="45694" xr:uid="{00000000-0005-0000-0000-000058B30000}"/>
    <cellStyle name="SAPBEXexcCritical4 19" xfId="45695" xr:uid="{00000000-0005-0000-0000-000059B30000}"/>
    <cellStyle name="SAPBEXexcCritical4 2" xfId="45696" xr:uid="{00000000-0005-0000-0000-00005AB30000}"/>
    <cellStyle name="SAPBEXexcCritical4 2 2" xfId="45697" xr:uid="{00000000-0005-0000-0000-00005BB30000}"/>
    <cellStyle name="SAPBEXexcCritical4 2 3" xfId="45698" xr:uid="{00000000-0005-0000-0000-00005CB30000}"/>
    <cellStyle name="SAPBEXexcCritical4 20" xfId="45699" xr:uid="{00000000-0005-0000-0000-00005DB30000}"/>
    <cellStyle name="SAPBEXexcCritical4 21" xfId="45700" xr:uid="{00000000-0005-0000-0000-00005EB30000}"/>
    <cellStyle name="SAPBEXexcCritical4 22" xfId="45701" xr:uid="{00000000-0005-0000-0000-00005FB30000}"/>
    <cellStyle name="SAPBEXexcCritical4 23" xfId="45702" xr:uid="{00000000-0005-0000-0000-000060B30000}"/>
    <cellStyle name="SAPBEXexcCritical4 24" xfId="45703" xr:uid="{00000000-0005-0000-0000-000061B30000}"/>
    <cellStyle name="SAPBEXexcCritical4 25" xfId="45704" xr:uid="{00000000-0005-0000-0000-000062B30000}"/>
    <cellStyle name="SAPBEXexcCritical4 26" xfId="45705" xr:uid="{00000000-0005-0000-0000-000063B30000}"/>
    <cellStyle name="SAPBEXexcCritical4 27" xfId="45706" xr:uid="{00000000-0005-0000-0000-000064B30000}"/>
    <cellStyle name="SAPBEXexcCritical4 28" xfId="45707" xr:uid="{00000000-0005-0000-0000-000065B30000}"/>
    <cellStyle name="SAPBEXexcCritical4 29" xfId="45708" xr:uid="{00000000-0005-0000-0000-000066B30000}"/>
    <cellStyle name="SAPBEXexcCritical4 3" xfId="45709" xr:uid="{00000000-0005-0000-0000-000067B30000}"/>
    <cellStyle name="SAPBEXexcCritical4 30" xfId="45710" xr:uid="{00000000-0005-0000-0000-000068B30000}"/>
    <cellStyle name="SAPBEXexcCritical4 31" xfId="45711" xr:uid="{00000000-0005-0000-0000-000069B30000}"/>
    <cellStyle name="SAPBEXexcCritical4 32" xfId="45712" xr:uid="{00000000-0005-0000-0000-00006AB30000}"/>
    <cellStyle name="SAPBEXexcCritical4 4" xfId="45713" xr:uid="{00000000-0005-0000-0000-00006BB30000}"/>
    <cellStyle name="SAPBEXexcCritical4 5" xfId="45714" xr:uid="{00000000-0005-0000-0000-00006CB30000}"/>
    <cellStyle name="SAPBEXexcCritical4 6" xfId="45715" xr:uid="{00000000-0005-0000-0000-00006DB30000}"/>
    <cellStyle name="SAPBEXexcCritical4 7" xfId="45716" xr:uid="{00000000-0005-0000-0000-00006EB30000}"/>
    <cellStyle name="SAPBEXexcCritical4 8" xfId="45717" xr:uid="{00000000-0005-0000-0000-00006FB30000}"/>
    <cellStyle name="SAPBEXexcCritical4 9" xfId="45718" xr:uid="{00000000-0005-0000-0000-000070B30000}"/>
    <cellStyle name="SAPBEXexcCritical4_SGN 10a Business Plan 2010v14 used for CF model v2" xfId="45719" xr:uid="{00000000-0005-0000-0000-000071B30000}"/>
    <cellStyle name="SAPBEXexcCritical5" xfId="45720" xr:uid="{00000000-0005-0000-0000-000072B30000}"/>
    <cellStyle name="SAPBEXexcCritical5 10" xfId="45721" xr:uid="{00000000-0005-0000-0000-000073B30000}"/>
    <cellStyle name="SAPBEXexcCritical5 11" xfId="45722" xr:uid="{00000000-0005-0000-0000-000074B30000}"/>
    <cellStyle name="SAPBEXexcCritical5 12" xfId="45723" xr:uid="{00000000-0005-0000-0000-000075B30000}"/>
    <cellStyle name="SAPBEXexcCritical5 13" xfId="45724" xr:uid="{00000000-0005-0000-0000-000076B30000}"/>
    <cellStyle name="SAPBEXexcCritical5 14" xfId="45725" xr:uid="{00000000-0005-0000-0000-000077B30000}"/>
    <cellStyle name="SAPBEXexcCritical5 15" xfId="45726" xr:uid="{00000000-0005-0000-0000-000078B30000}"/>
    <cellStyle name="SAPBEXexcCritical5 16" xfId="45727" xr:uid="{00000000-0005-0000-0000-000079B30000}"/>
    <cellStyle name="SAPBEXexcCritical5 17" xfId="45728" xr:uid="{00000000-0005-0000-0000-00007AB30000}"/>
    <cellStyle name="SAPBEXexcCritical5 18" xfId="45729" xr:uid="{00000000-0005-0000-0000-00007BB30000}"/>
    <cellStyle name="SAPBEXexcCritical5 19" xfId="45730" xr:uid="{00000000-0005-0000-0000-00007CB30000}"/>
    <cellStyle name="SAPBEXexcCritical5 2" xfId="45731" xr:uid="{00000000-0005-0000-0000-00007DB30000}"/>
    <cellStyle name="SAPBEXexcCritical5 2 2" xfId="45732" xr:uid="{00000000-0005-0000-0000-00007EB30000}"/>
    <cellStyle name="SAPBEXexcCritical5 2 3" xfId="45733" xr:uid="{00000000-0005-0000-0000-00007FB30000}"/>
    <cellStyle name="SAPBEXexcCritical5 20" xfId="45734" xr:uid="{00000000-0005-0000-0000-000080B30000}"/>
    <cellStyle name="SAPBEXexcCritical5 21" xfId="45735" xr:uid="{00000000-0005-0000-0000-000081B30000}"/>
    <cellStyle name="SAPBEXexcCritical5 22" xfId="45736" xr:uid="{00000000-0005-0000-0000-000082B30000}"/>
    <cellStyle name="SAPBEXexcCritical5 23" xfId="45737" xr:uid="{00000000-0005-0000-0000-000083B30000}"/>
    <cellStyle name="SAPBEXexcCritical5 24" xfId="45738" xr:uid="{00000000-0005-0000-0000-000084B30000}"/>
    <cellStyle name="SAPBEXexcCritical5 25" xfId="45739" xr:uid="{00000000-0005-0000-0000-000085B30000}"/>
    <cellStyle name="SAPBEXexcCritical5 26" xfId="45740" xr:uid="{00000000-0005-0000-0000-000086B30000}"/>
    <cellStyle name="SAPBEXexcCritical5 27" xfId="45741" xr:uid="{00000000-0005-0000-0000-000087B30000}"/>
    <cellStyle name="SAPBEXexcCritical5 28" xfId="45742" xr:uid="{00000000-0005-0000-0000-000088B30000}"/>
    <cellStyle name="SAPBEXexcCritical5 29" xfId="45743" xr:uid="{00000000-0005-0000-0000-000089B30000}"/>
    <cellStyle name="SAPBEXexcCritical5 3" xfId="45744" xr:uid="{00000000-0005-0000-0000-00008AB30000}"/>
    <cellStyle name="SAPBEXexcCritical5 30" xfId="45745" xr:uid="{00000000-0005-0000-0000-00008BB30000}"/>
    <cellStyle name="SAPBEXexcCritical5 31" xfId="45746" xr:uid="{00000000-0005-0000-0000-00008CB30000}"/>
    <cellStyle name="SAPBEXexcCritical5 32" xfId="45747" xr:uid="{00000000-0005-0000-0000-00008DB30000}"/>
    <cellStyle name="SAPBEXexcCritical5 4" xfId="45748" xr:uid="{00000000-0005-0000-0000-00008EB30000}"/>
    <cellStyle name="SAPBEXexcCritical5 5" xfId="45749" xr:uid="{00000000-0005-0000-0000-00008FB30000}"/>
    <cellStyle name="SAPBEXexcCritical5 6" xfId="45750" xr:uid="{00000000-0005-0000-0000-000090B30000}"/>
    <cellStyle name="SAPBEXexcCritical5 7" xfId="45751" xr:uid="{00000000-0005-0000-0000-000091B30000}"/>
    <cellStyle name="SAPBEXexcCritical5 8" xfId="45752" xr:uid="{00000000-0005-0000-0000-000092B30000}"/>
    <cellStyle name="SAPBEXexcCritical5 9" xfId="45753" xr:uid="{00000000-0005-0000-0000-000093B30000}"/>
    <cellStyle name="SAPBEXexcCritical5_SGN 10a Business Plan 2010v14 used for CF model v2" xfId="45754" xr:uid="{00000000-0005-0000-0000-000094B30000}"/>
    <cellStyle name="SAPBEXexcCritical6" xfId="45755" xr:uid="{00000000-0005-0000-0000-000095B30000}"/>
    <cellStyle name="SAPBEXexcCritical6 10" xfId="45756" xr:uid="{00000000-0005-0000-0000-000096B30000}"/>
    <cellStyle name="SAPBEXexcCritical6 11" xfId="45757" xr:uid="{00000000-0005-0000-0000-000097B30000}"/>
    <cellStyle name="SAPBEXexcCritical6 12" xfId="45758" xr:uid="{00000000-0005-0000-0000-000098B30000}"/>
    <cellStyle name="SAPBEXexcCritical6 13" xfId="45759" xr:uid="{00000000-0005-0000-0000-000099B30000}"/>
    <cellStyle name="SAPBEXexcCritical6 14" xfId="45760" xr:uid="{00000000-0005-0000-0000-00009AB30000}"/>
    <cellStyle name="SAPBEXexcCritical6 15" xfId="45761" xr:uid="{00000000-0005-0000-0000-00009BB30000}"/>
    <cellStyle name="SAPBEXexcCritical6 16" xfId="45762" xr:uid="{00000000-0005-0000-0000-00009CB30000}"/>
    <cellStyle name="SAPBEXexcCritical6 17" xfId="45763" xr:uid="{00000000-0005-0000-0000-00009DB30000}"/>
    <cellStyle name="SAPBEXexcCritical6 18" xfId="45764" xr:uid="{00000000-0005-0000-0000-00009EB30000}"/>
    <cellStyle name="SAPBEXexcCritical6 19" xfId="45765" xr:uid="{00000000-0005-0000-0000-00009FB30000}"/>
    <cellStyle name="SAPBEXexcCritical6 2" xfId="45766" xr:uid="{00000000-0005-0000-0000-0000A0B30000}"/>
    <cellStyle name="SAPBEXexcCritical6 2 2" xfId="45767" xr:uid="{00000000-0005-0000-0000-0000A1B30000}"/>
    <cellStyle name="SAPBEXexcCritical6 2 3" xfId="45768" xr:uid="{00000000-0005-0000-0000-0000A2B30000}"/>
    <cellStyle name="SAPBEXexcCritical6 20" xfId="45769" xr:uid="{00000000-0005-0000-0000-0000A3B30000}"/>
    <cellStyle name="SAPBEXexcCritical6 21" xfId="45770" xr:uid="{00000000-0005-0000-0000-0000A4B30000}"/>
    <cellStyle name="SAPBEXexcCritical6 22" xfId="45771" xr:uid="{00000000-0005-0000-0000-0000A5B30000}"/>
    <cellStyle name="SAPBEXexcCritical6 23" xfId="45772" xr:uid="{00000000-0005-0000-0000-0000A6B30000}"/>
    <cellStyle name="SAPBEXexcCritical6 24" xfId="45773" xr:uid="{00000000-0005-0000-0000-0000A7B30000}"/>
    <cellStyle name="SAPBEXexcCritical6 25" xfId="45774" xr:uid="{00000000-0005-0000-0000-0000A8B30000}"/>
    <cellStyle name="SAPBEXexcCritical6 26" xfId="45775" xr:uid="{00000000-0005-0000-0000-0000A9B30000}"/>
    <cellStyle name="SAPBEXexcCritical6 27" xfId="45776" xr:uid="{00000000-0005-0000-0000-0000AAB30000}"/>
    <cellStyle name="SAPBEXexcCritical6 28" xfId="45777" xr:uid="{00000000-0005-0000-0000-0000ABB30000}"/>
    <cellStyle name="SAPBEXexcCritical6 29" xfId="45778" xr:uid="{00000000-0005-0000-0000-0000ACB30000}"/>
    <cellStyle name="SAPBEXexcCritical6 3" xfId="45779" xr:uid="{00000000-0005-0000-0000-0000ADB30000}"/>
    <cellStyle name="SAPBEXexcCritical6 30" xfId="45780" xr:uid="{00000000-0005-0000-0000-0000AEB30000}"/>
    <cellStyle name="SAPBEXexcCritical6 31" xfId="45781" xr:uid="{00000000-0005-0000-0000-0000AFB30000}"/>
    <cellStyle name="SAPBEXexcCritical6 32" xfId="45782" xr:uid="{00000000-0005-0000-0000-0000B0B30000}"/>
    <cellStyle name="SAPBEXexcCritical6 4" xfId="45783" xr:uid="{00000000-0005-0000-0000-0000B1B30000}"/>
    <cellStyle name="SAPBEXexcCritical6 5" xfId="45784" xr:uid="{00000000-0005-0000-0000-0000B2B30000}"/>
    <cellStyle name="SAPBEXexcCritical6 6" xfId="45785" xr:uid="{00000000-0005-0000-0000-0000B3B30000}"/>
    <cellStyle name="SAPBEXexcCritical6 7" xfId="45786" xr:uid="{00000000-0005-0000-0000-0000B4B30000}"/>
    <cellStyle name="SAPBEXexcCritical6 8" xfId="45787" xr:uid="{00000000-0005-0000-0000-0000B5B30000}"/>
    <cellStyle name="SAPBEXexcCritical6 9" xfId="45788" xr:uid="{00000000-0005-0000-0000-0000B6B30000}"/>
    <cellStyle name="SAPBEXexcCritical6_SGN 10a Business Plan 2010v14 used for CF model v2" xfId="45789" xr:uid="{00000000-0005-0000-0000-0000B7B30000}"/>
    <cellStyle name="SAPBEXexcGood1" xfId="45790" xr:uid="{00000000-0005-0000-0000-0000B8B30000}"/>
    <cellStyle name="SAPBEXexcGood1 10" xfId="45791" xr:uid="{00000000-0005-0000-0000-0000B9B30000}"/>
    <cellStyle name="SAPBEXexcGood1 11" xfId="45792" xr:uid="{00000000-0005-0000-0000-0000BAB30000}"/>
    <cellStyle name="SAPBEXexcGood1 12" xfId="45793" xr:uid="{00000000-0005-0000-0000-0000BBB30000}"/>
    <cellStyle name="SAPBEXexcGood1 13" xfId="45794" xr:uid="{00000000-0005-0000-0000-0000BCB30000}"/>
    <cellStyle name="SAPBEXexcGood1 14" xfId="45795" xr:uid="{00000000-0005-0000-0000-0000BDB30000}"/>
    <cellStyle name="SAPBEXexcGood1 15" xfId="45796" xr:uid="{00000000-0005-0000-0000-0000BEB30000}"/>
    <cellStyle name="SAPBEXexcGood1 16" xfId="45797" xr:uid="{00000000-0005-0000-0000-0000BFB30000}"/>
    <cellStyle name="SAPBEXexcGood1 17" xfId="45798" xr:uid="{00000000-0005-0000-0000-0000C0B30000}"/>
    <cellStyle name="SAPBEXexcGood1 18" xfId="45799" xr:uid="{00000000-0005-0000-0000-0000C1B30000}"/>
    <cellStyle name="SAPBEXexcGood1 19" xfId="45800" xr:uid="{00000000-0005-0000-0000-0000C2B30000}"/>
    <cellStyle name="SAPBEXexcGood1 2" xfId="45801" xr:uid="{00000000-0005-0000-0000-0000C3B30000}"/>
    <cellStyle name="SAPBEXexcGood1 2 2" xfId="45802" xr:uid="{00000000-0005-0000-0000-0000C4B30000}"/>
    <cellStyle name="SAPBEXexcGood1 2 3" xfId="45803" xr:uid="{00000000-0005-0000-0000-0000C5B30000}"/>
    <cellStyle name="SAPBEXexcGood1 20" xfId="45804" xr:uid="{00000000-0005-0000-0000-0000C6B30000}"/>
    <cellStyle name="SAPBEXexcGood1 21" xfId="45805" xr:uid="{00000000-0005-0000-0000-0000C7B30000}"/>
    <cellStyle name="SAPBEXexcGood1 22" xfId="45806" xr:uid="{00000000-0005-0000-0000-0000C8B30000}"/>
    <cellStyle name="SAPBEXexcGood1 23" xfId="45807" xr:uid="{00000000-0005-0000-0000-0000C9B30000}"/>
    <cellStyle name="SAPBEXexcGood1 24" xfId="45808" xr:uid="{00000000-0005-0000-0000-0000CAB30000}"/>
    <cellStyle name="SAPBEXexcGood1 25" xfId="45809" xr:uid="{00000000-0005-0000-0000-0000CBB30000}"/>
    <cellStyle name="SAPBEXexcGood1 26" xfId="45810" xr:uid="{00000000-0005-0000-0000-0000CCB30000}"/>
    <cellStyle name="SAPBEXexcGood1 27" xfId="45811" xr:uid="{00000000-0005-0000-0000-0000CDB30000}"/>
    <cellStyle name="SAPBEXexcGood1 28" xfId="45812" xr:uid="{00000000-0005-0000-0000-0000CEB30000}"/>
    <cellStyle name="SAPBEXexcGood1 29" xfId="45813" xr:uid="{00000000-0005-0000-0000-0000CFB30000}"/>
    <cellStyle name="SAPBEXexcGood1 3" xfId="45814" xr:uid="{00000000-0005-0000-0000-0000D0B30000}"/>
    <cellStyle name="SAPBEXexcGood1 30" xfId="45815" xr:uid="{00000000-0005-0000-0000-0000D1B30000}"/>
    <cellStyle name="SAPBEXexcGood1 31" xfId="45816" xr:uid="{00000000-0005-0000-0000-0000D2B30000}"/>
    <cellStyle name="SAPBEXexcGood1 32" xfId="45817" xr:uid="{00000000-0005-0000-0000-0000D3B30000}"/>
    <cellStyle name="SAPBEXexcGood1 4" xfId="45818" xr:uid="{00000000-0005-0000-0000-0000D4B30000}"/>
    <cellStyle name="SAPBEXexcGood1 5" xfId="45819" xr:uid="{00000000-0005-0000-0000-0000D5B30000}"/>
    <cellStyle name="SAPBEXexcGood1 6" xfId="45820" xr:uid="{00000000-0005-0000-0000-0000D6B30000}"/>
    <cellStyle name="SAPBEXexcGood1 7" xfId="45821" xr:uid="{00000000-0005-0000-0000-0000D7B30000}"/>
    <cellStyle name="SAPBEXexcGood1 8" xfId="45822" xr:uid="{00000000-0005-0000-0000-0000D8B30000}"/>
    <cellStyle name="SAPBEXexcGood1 9" xfId="45823" xr:uid="{00000000-0005-0000-0000-0000D9B30000}"/>
    <cellStyle name="SAPBEXexcGood1_SGN 10a Business Plan 2010v14 used for CF model v2" xfId="45824" xr:uid="{00000000-0005-0000-0000-0000DAB30000}"/>
    <cellStyle name="SAPBEXexcGood2" xfId="45825" xr:uid="{00000000-0005-0000-0000-0000DBB30000}"/>
    <cellStyle name="SAPBEXexcGood2 10" xfId="45826" xr:uid="{00000000-0005-0000-0000-0000DCB30000}"/>
    <cellStyle name="SAPBEXexcGood2 11" xfId="45827" xr:uid="{00000000-0005-0000-0000-0000DDB30000}"/>
    <cellStyle name="SAPBEXexcGood2 12" xfId="45828" xr:uid="{00000000-0005-0000-0000-0000DEB30000}"/>
    <cellStyle name="SAPBEXexcGood2 13" xfId="45829" xr:uid="{00000000-0005-0000-0000-0000DFB30000}"/>
    <cellStyle name="SAPBEXexcGood2 14" xfId="45830" xr:uid="{00000000-0005-0000-0000-0000E0B30000}"/>
    <cellStyle name="SAPBEXexcGood2 15" xfId="45831" xr:uid="{00000000-0005-0000-0000-0000E1B30000}"/>
    <cellStyle name="SAPBEXexcGood2 16" xfId="45832" xr:uid="{00000000-0005-0000-0000-0000E2B30000}"/>
    <cellStyle name="SAPBEXexcGood2 17" xfId="45833" xr:uid="{00000000-0005-0000-0000-0000E3B30000}"/>
    <cellStyle name="SAPBEXexcGood2 18" xfId="45834" xr:uid="{00000000-0005-0000-0000-0000E4B30000}"/>
    <cellStyle name="SAPBEXexcGood2 19" xfId="45835" xr:uid="{00000000-0005-0000-0000-0000E5B30000}"/>
    <cellStyle name="SAPBEXexcGood2 2" xfId="45836" xr:uid="{00000000-0005-0000-0000-0000E6B30000}"/>
    <cellStyle name="SAPBEXexcGood2 2 2" xfId="45837" xr:uid="{00000000-0005-0000-0000-0000E7B30000}"/>
    <cellStyle name="SAPBEXexcGood2 2 3" xfId="45838" xr:uid="{00000000-0005-0000-0000-0000E8B30000}"/>
    <cellStyle name="SAPBEXexcGood2 20" xfId="45839" xr:uid="{00000000-0005-0000-0000-0000E9B30000}"/>
    <cellStyle name="SAPBEXexcGood2 21" xfId="45840" xr:uid="{00000000-0005-0000-0000-0000EAB30000}"/>
    <cellStyle name="SAPBEXexcGood2 22" xfId="45841" xr:uid="{00000000-0005-0000-0000-0000EBB30000}"/>
    <cellStyle name="SAPBEXexcGood2 23" xfId="45842" xr:uid="{00000000-0005-0000-0000-0000ECB30000}"/>
    <cellStyle name="SAPBEXexcGood2 24" xfId="45843" xr:uid="{00000000-0005-0000-0000-0000EDB30000}"/>
    <cellStyle name="SAPBEXexcGood2 25" xfId="45844" xr:uid="{00000000-0005-0000-0000-0000EEB30000}"/>
    <cellStyle name="SAPBEXexcGood2 26" xfId="45845" xr:uid="{00000000-0005-0000-0000-0000EFB30000}"/>
    <cellStyle name="SAPBEXexcGood2 27" xfId="45846" xr:uid="{00000000-0005-0000-0000-0000F0B30000}"/>
    <cellStyle name="SAPBEXexcGood2 28" xfId="45847" xr:uid="{00000000-0005-0000-0000-0000F1B30000}"/>
    <cellStyle name="SAPBEXexcGood2 29" xfId="45848" xr:uid="{00000000-0005-0000-0000-0000F2B30000}"/>
    <cellStyle name="SAPBEXexcGood2 3" xfId="45849" xr:uid="{00000000-0005-0000-0000-0000F3B30000}"/>
    <cellStyle name="SAPBEXexcGood2 30" xfId="45850" xr:uid="{00000000-0005-0000-0000-0000F4B30000}"/>
    <cellStyle name="SAPBEXexcGood2 31" xfId="45851" xr:uid="{00000000-0005-0000-0000-0000F5B30000}"/>
    <cellStyle name="SAPBEXexcGood2 32" xfId="45852" xr:uid="{00000000-0005-0000-0000-0000F6B30000}"/>
    <cellStyle name="SAPBEXexcGood2 4" xfId="45853" xr:uid="{00000000-0005-0000-0000-0000F7B30000}"/>
    <cellStyle name="SAPBEXexcGood2 5" xfId="45854" xr:uid="{00000000-0005-0000-0000-0000F8B30000}"/>
    <cellStyle name="SAPBEXexcGood2 6" xfId="45855" xr:uid="{00000000-0005-0000-0000-0000F9B30000}"/>
    <cellStyle name="SAPBEXexcGood2 7" xfId="45856" xr:uid="{00000000-0005-0000-0000-0000FAB30000}"/>
    <cellStyle name="SAPBEXexcGood2 8" xfId="45857" xr:uid="{00000000-0005-0000-0000-0000FBB30000}"/>
    <cellStyle name="SAPBEXexcGood2 9" xfId="45858" xr:uid="{00000000-0005-0000-0000-0000FCB30000}"/>
    <cellStyle name="SAPBEXexcGood2_SGN 10a Business Plan 2010v14 used for CF model v2" xfId="45859" xr:uid="{00000000-0005-0000-0000-0000FDB30000}"/>
    <cellStyle name="SAPBEXexcGood3" xfId="45860" xr:uid="{00000000-0005-0000-0000-0000FEB30000}"/>
    <cellStyle name="SAPBEXexcGood3 10" xfId="45861" xr:uid="{00000000-0005-0000-0000-0000FFB30000}"/>
    <cellStyle name="SAPBEXexcGood3 11" xfId="45862" xr:uid="{00000000-0005-0000-0000-000000B40000}"/>
    <cellStyle name="SAPBEXexcGood3 12" xfId="45863" xr:uid="{00000000-0005-0000-0000-000001B40000}"/>
    <cellStyle name="SAPBEXexcGood3 13" xfId="45864" xr:uid="{00000000-0005-0000-0000-000002B40000}"/>
    <cellStyle name="SAPBEXexcGood3 14" xfId="45865" xr:uid="{00000000-0005-0000-0000-000003B40000}"/>
    <cellStyle name="SAPBEXexcGood3 15" xfId="45866" xr:uid="{00000000-0005-0000-0000-000004B40000}"/>
    <cellStyle name="SAPBEXexcGood3 16" xfId="45867" xr:uid="{00000000-0005-0000-0000-000005B40000}"/>
    <cellStyle name="SAPBEXexcGood3 17" xfId="45868" xr:uid="{00000000-0005-0000-0000-000006B40000}"/>
    <cellStyle name="SAPBEXexcGood3 18" xfId="45869" xr:uid="{00000000-0005-0000-0000-000007B40000}"/>
    <cellStyle name="SAPBEXexcGood3 19" xfId="45870" xr:uid="{00000000-0005-0000-0000-000008B40000}"/>
    <cellStyle name="SAPBEXexcGood3 2" xfId="45871" xr:uid="{00000000-0005-0000-0000-000009B40000}"/>
    <cellStyle name="SAPBEXexcGood3 2 2" xfId="45872" xr:uid="{00000000-0005-0000-0000-00000AB40000}"/>
    <cellStyle name="SAPBEXexcGood3 2 3" xfId="45873" xr:uid="{00000000-0005-0000-0000-00000BB40000}"/>
    <cellStyle name="SAPBEXexcGood3 20" xfId="45874" xr:uid="{00000000-0005-0000-0000-00000CB40000}"/>
    <cellStyle name="SAPBEXexcGood3 21" xfId="45875" xr:uid="{00000000-0005-0000-0000-00000DB40000}"/>
    <cellStyle name="SAPBEXexcGood3 22" xfId="45876" xr:uid="{00000000-0005-0000-0000-00000EB40000}"/>
    <cellStyle name="SAPBEXexcGood3 23" xfId="45877" xr:uid="{00000000-0005-0000-0000-00000FB40000}"/>
    <cellStyle name="SAPBEXexcGood3 24" xfId="45878" xr:uid="{00000000-0005-0000-0000-000010B40000}"/>
    <cellStyle name="SAPBEXexcGood3 25" xfId="45879" xr:uid="{00000000-0005-0000-0000-000011B40000}"/>
    <cellStyle name="SAPBEXexcGood3 26" xfId="45880" xr:uid="{00000000-0005-0000-0000-000012B40000}"/>
    <cellStyle name="SAPBEXexcGood3 27" xfId="45881" xr:uid="{00000000-0005-0000-0000-000013B40000}"/>
    <cellStyle name="SAPBEXexcGood3 28" xfId="45882" xr:uid="{00000000-0005-0000-0000-000014B40000}"/>
    <cellStyle name="SAPBEXexcGood3 29" xfId="45883" xr:uid="{00000000-0005-0000-0000-000015B40000}"/>
    <cellStyle name="SAPBEXexcGood3 3" xfId="45884" xr:uid="{00000000-0005-0000-0000-000016B40000}"/>
    <cellStyle name="SAPBEXexcGood3 30" xfId="45885" xr:uid="{00000000-0005-0000-0000-000017B40000}"/>
    <cellStyle name="SAPBEXexcGood3 31" xfId="45886" xr:uid="{00000000-0005-0000-0000-000018B40000}"/>
    <cellStyle name="SAPBEXexcGood3 32" xfId="45887" xr:uid="{00000000-0005-0000-0000-000019B40000}"/>
    <cellStyle name="SAPBEXexcGood3 4" xfId="45888" xr:uid="{00000000-0005-0000-0000-00001AB40000}"/>
    <cellStyle name="SAPBEXexcGood3 5" xfId="45889" xr:uid="{00000000-0005-0000-0000-00001BB40000}"/>
    <cellStyle name="SAPBEXexcGood3 6" xfId="45890" xr:uid="{00000000-0005-0000-0000-00001CB40000}"/>
    <cellStyle name="SAPBEXexcGood3 7" xfId="45891" xr:uid="{00000000-0005-0000-0000-00001DB40000}"/>
    <cellStyle name="SAPBEXexcGood3 8" xfId="45892" xr:uid="{00000000-0005-0000-0000-00001EB40000}"/>
    <cellStyle name="SAPBEXexcGood3 9" xfId="45893" xr:uid="{00000000-0005-0000-0000-00001FB40000}"/>
    <cellStyle name="SAPBEXexcGood3_SGN 10a Business Plan 2010v14 used for CF model v2" xfId="45894" xr:uid="{00000000-0005-0000-0000-000020B40000}"/>
    <cellStyle name="SAPBEXfilterDrill" xfId="45895" xr:uid="{00000000-0005-0000-0000-000021B40000}"/>
    <cellStyle name="SAPBEXfilterDrill 2" xfId="45896" xr:uid="{00000000-0005-0000-0000-000022B40000}"/>
    <cellStyle name="SAPBEXfilterDrill_SGN 10a Business Plan 2010v14 used for CF model v2" xfId="45897" xr:uid="{00000000-0005-0000-0000-000023B40000}"/>
    <cellStyle name="SAPBEXfilterItem" xfId="45898" xr:uid="{00000000-0005-0000-0000-000024B40000}"/>
    <cellStyle name="SAPBEXfilterItem 2" xfId="45899" xr:uid="{00000000-0005-0000-0000-000025B40000}"/>
    <cellStyle name="SAPBEXfilterItem_SGN 10a Business Plan 2010v14 used for CF model v2" xfId="45900" xr:uid="{00000000-0005-0000-0000-000026B40000}"/>
    <cellStyle name="SAPBEXfilterText" xfId="45901" xr:uid="{00000000-0005-0000-0000-000027B40000}"/>
    <cellStyle name="SAPBEXfilterText 2" xfId="45902" xr:uid="{00000000-0005-0000-0000-000028B40000}"/>
    <cellStyle name="SAPBEXfilterText_SGN 10a Business Plan 2010v14 used for CF model v2" xfId="45903" xr:uid="{00000000-0005-0000-0000-000029B40000}"/>
    <cellStyle name="SAPBEXformats" xfId="45904" xr:uid="{00000000-0005-0000-0000-00002AB40000}"/>
    <cellStyle name="SAPBEXformats 10" xfId="45905" xr:uid="{00000000-0005-0000-0000-00002BB40000}"/>
    <cellStyle name="SAPBEXformats 11" xfId="45906" xr:uid="{00000000-0005-0000-0000-00002CB40000}"/>
    <cellStyle name="SAPBEXformats 12" xfId="45907" xr:uid="{00000000-0005-0000-0000-00002DB40000}"/>
    <cellStyle name="SAPBEXformats 13" xfId="45908" xr:uid="{00000000-0005-0000-0000-00002EB40000}"/>
    <cellStyle name="SAPBEXformats 14" xfId="45909" xr:uid="{00000000-0005-0000-0000-00002FB40000}"/>
    <cellStyle name="SAPBEXformats 15" xfId="45910" xr:uid="{00000000-0005-0000-0000-000030B40000}"/>
    <cellStyle name="SAPBEXformats 16" xfId="45911" xr:uid="{00000000-0005-0000-0000-000031B40000}"/>
    <cellStyle name="SAPBEXformats 17" xfId="45912" xr:uid="{00000000-0005-0000-0000-000032B40000}"/>
    <cellStyle name="SAPBEXformats 18" xfId="45913" xr:uid="{00000000-0005-0000-0000-000033B40000}"/>
    <cellStyle name="SAPBEXformats 19" xfId="45914" xr:uid="{00000000-0005-0000-0000-000034B40000}"/>
    <cellStyle name="SAPBEXformats 2" xfId="45915" xr:uid="{00000000-0005-0000-0000-000035B40000}"/>
    <cellStyle name="SAPBEXformats 2 2" xfId="45916" xr:uid="{00000000-0005-0000-0000-000036B40000}"/>
    <cellStyle name="SAPBEXformats 2 3" xfId="45917" xr:uid="{00000000-0005-0000-0000-000037B40000}"/>
    <cellStyle name="SAPBEXformats 20" xfId="45918" xr:uid="{00000000-0005-0000-0000-000038B40000}"/>
    <cellStyle name="SAPBEXformats 21" xfId="45919" xr:uid="{00000000-0005-0000-0000-000039B40000}"/>
    <cellStyle name="SAPBEXformats 22" xfId="45920" xr:uid="{00000000-0005-0000-0000-00003AB40000}"/>
    <cellStyle name="SAPBEXformats 23" xfId="45921" xr:uid="{00000000-0005-0000-0000-00003BB40000}"/>
    <cellStyle name="SAPBEXformats 24" xfId="45922" xr:uid="{00000000-0005-0000-0000-00003CB40000}"/>
    <cellStyle name="SAPBEXformats 25" xfId="45923" xr:uid="{00000000-0005-0000-0000-00003DB40000}"/>
    <cellStyle name="SAPBEXformats 26" xfId="45924" xr:uid="{00000000-0005-0000-0000-00003EB40000}"/>
    <cellStyle name="SAPBEXformats 27" xfId="45925" xr:uid="{00000000-0005-0000-0000-00003FB40000}"/>
    <cellStyle name="SAPBEXformats 28" xfId="45926" xr:uid="{00000000-0005-0000-0000-000040B40000}"/>
    <cellStyle name="SAPBEXformats 29" xfId="45927" xr:uid="{00000000-0005-0000-0000-000041B40000}"/>
    <cellStyle name="SAPBEXformats 3" xfId="45928" xr:uid="{00000000-0005-0000-0000-000042B40000}"/>
    <cellStyle name="SAPBEXformats 30" xfId="45929" xr:uid="{00000000-0005-0000-0000-000043B40000}"/>
    <cellStyle name="SAPBEXformats 31" xfId="45930" xr:uid="{00000000-0005-0000-0000-000044B40000}"/>
    <cellStyle name="SAPBEXformats 32" xfId="45931" xr:uid="{00000000-0005-0000-0000-000045B40000}"/>
    <cellStyle name="SAPBEXformats 4" xfId="45932" xr:uid="{00000000-0005-0000-0000-000046B40000}"/>
    <cellStyle name="SAPBEXformats 5" xfId="45933" xr:uid="{00000000-0005-0000-0000-000047B40000}"/>
    <cellStyle name="SAPBEXformats 6" xfId="45934" xr:uid="{00000000-0005-0000-0000-000048B40000}"/>
    <cellStyle name="SAPBEXformats 7" xfId="45935" xr:uid="{00000000-0005-0000-0000-000049B40000}"/>
    <cellStyle name="SAPBEXformats 8" xfId="45936" xr:uid="{00000000-0005-0000-0000-00004AB40000}"/>
    <cellStyle name="SAPBEXformats 9" xfId="45937" xr:uid="{00000000-0005-0000-0000-00004BB40000}"/>
    <cellStyle name="SAPBEXformats_SGN 10a Business Plan 2010v14 used for CF model v2" xfId="45938" xr:uid="{00000000-0005-0000-0000-00004CB40000}"/>
    <cellStyle name="SAPBEXheaderItem" xfId="45939" xr:uid="{00000000-0005-0000-0000-00004DB40000}"/>
    <cellStyle name="SAPBEXheaderItem 2" xfId="45940" xr:uid="{00000000-0005-0000-0000-00004EB40000}"/>
    <cellStyle name="SAPBEXheaderItem_0910 GSO Capex RRP - Final (Detail) v2 220710" xfId="45941" xr:uid="{00000000-0005-0000-0000-00004FB40000}"/>
    <cellStyle name="SAPBEXheaderText" xfId="45942" xr:uid="{00000000-0005-0000-0000-000050B40000}"/>
    <cellStyle name="SAPBEXheaderText 2" xfId="45943" xr:uid="{00000000-0005-0000-0000-000051B40000}"/>
    <cellStyle name="SAPBEXheaderText_0910 GSO Capex RRP - Final (Detail) v2 220710" xfId="45944" xr:uid="{00000000-0005-0000-0000-000052B40000}"/>
    <cellStyle name="SAPBEXHLevel0" xfId="45945" xr:uid="{00000000-0005-0000-0000-000053B40000}"/>
    <cellStyle name="SAPBEXHLevel0 10" xfId="45946" xr:uid="{00000000-0005-0000-0000-000054B40000}"/>
    <cellStyle name="SAPBEXHLevel0 11" xfId="45947" xr:uid="{00000000-0005-0000-0000-000055B40000}"/>
    <cellStyle name="SAPBEXHLevel0 12" xfId="45948" xr:uid="{00000000-0005-0000-0000-000056B40000}"/>
    <cellStyle name="SAPBEXHLevel0 13" xfId="45949" xr:uid="{00000000-0005-0000-0000-000057B40000}"/>
    <cellStyle name="SAPBEXHLevel0 14" xfId="45950" xr:uid="{00000000-0005-0000-0000-000058B40000}"/>
    <cellStyle name="SAPBEXHLevel0 15" xfId="45951" xr:uid="{00000000-0005-0000-0000-000059B40000}"/>
    <cellStyle name="SAPBEXHLevel0 16" xfId="45952" xr:uid="{00000000-0005-0000-0000-00005AB40000}"/>
    <cellStyle name="SAPBEXHLevel0 17" xfId="45953" xr:uid="{00000000-0005-0000-0000-00005BB40000}"/>
    <cellStyle name="SAPBEXHLevel0 18" xfId="45954" xr:uid="{00000000-0005-0000-0000-00005CB40000}"/>
    <cellStyle name="SAPBEXHLevel0 19" xfId="45955" xr:uid="{00000000-0005-0000-0000-00005DB40000}"/>
    <cellStyle name="SAPBEXHLevel0 2" xfId="45956" xr:uid="{00000000-0005-0000-0000-00005EB40000}"/>
    <cellStyle name="SAPBEXHLevel0 2 10" xfId="45957" xr:uid="{00000000-0005-0000-0000-00005FB40000}"/>
    <cellStyle name="SAPBEXHLevel0 2 11" xfId="45958" xr:uid="{00000000-0005-0000-0000-000060B40000}"/>
    <cellStyle name="SAPBEXHLevel0 2 12" xfId="45959" xr:uid="{00000000-0005-0000-0000-000061B40000}"/>
    <cellStyle name="SAPBEXHLevel0 2 13" xfId="45960" xr:uid="{00000000-0005-0000-0000-000062B40000}"/>
    <cellStyle name="SAPBEXHLevel0 2 14" xfId="45961" xr:uid="{00000000-0005-0000-0000-000063B40000}"/>
    <cellStyle name="SAPBEXHLevel0 2 15" xfId="45962" xr:uid="{00000000-0005-0000-0000-000064B40000}"/>
    <cellStyle name="SAPBEXHLevel0 2 16" xfId="45963" xr:uid="{00000000-0005-0000-0000-000065B40000}"/>
    <cellStyle name="SAPBEXHLevel0 2 17" xfId="45964" xr:uid="{00000000-0005-0000-0000-000066B40000}"/>
    <cellStyle name="SAPBEXHLevel0 2 18" xfId="45965" xr:uid="{00000000-0005-0000-0000-000067B40000}"/>
    <cellStyle name="SAPBEXHLevel0 2 19" xfId="45966" xr:uid="{00000000-0005-0000-0000-000068B40000}"/>
    <cellStyle name="SAPBEXHLevel0 2 2" xfId="45967" xr:uid="{00000000-0005-0000-0000-000069B40000}"/>
    <cellStyle name="SAPBEXHLevel0 2 2 2" xfId="45968" xr:uid="{00000000-0005-0000-0000-00006AB40000}"/>
    <cellStyle name="SAPBEXHLevel0 2 2 3" xfId="45969" xr:uid="{00000000-0005-0000-0000-00006BB40000}"/>
    <cellStyle name="SAPBEXHLevel0 2 20" xfId="45970" xr:uid="{00000000-0005-0000-0000-00006CB40000}"/>
    <cellStyle name="SAPBEXHLevel0 2 21" xfId="45971" xr:uid="{00000000-0005-0000-0000-00006DB40000}"/>
    <cellStyle name="SAPBEXHLevel0 2 22" xfId="45972" xr:uid="{00000000-0005-0000-0000-00006EB40000}"/>
    <cellStyle name="SAPBEXHLevel0 2 23" xfId="45973" xr:uid="{00000000-0005-0000-0000-00006FB40000}"/>
    <cellStyle name="SAPBEXHLevel0 2 24" xfId="45974" xr:uid="{00000000-0005-0000-0000-000070B40000}"/>
    <cellStyle name="SAPBEXHLevel0 2 25" xfId="45975" xr:uid="{00000000-0005-0000-0000-000071B40000}"/>
    <cellStyle name="SAPBEXHLevel0 2 26" xfId="45976" xr:uid="{00000000-0005-0000-0000-000072B40000}"/>
    <cellStyle name="SAPBEXHLevel0 2 27" xfId="45977" xr:uid="{00000000-0005-0000-0000-000073B40000}"/>
    <cellStyle name="SAPBEXHLevel0 2 28" xfId="45978" xr:uid="{00000000-0005-0000-0000-000074B40000}"/>
    <cellStyle name="SAPBEXHLevel0 2 29" xfId="45979" xr:uid="{00000000-0005-0000-0000-000075B40000}"/>
    <cellStyle name="SAPBEXHLevel0 2 3" xfId="45980" xr:uid="{00000000-0005-0000-0000-000076B40000}"/>
    <cellStyle name="SAPBEXHLevel0 2 3 2" xfId="45981" xr:uid="{00000000-0005-0000-0000-000077B40000}"/>
    <cellStyle name="SAPBEXHLevel0 2 30" xfId="45982" xr:uid="{00000000-0005-0000-0000-000078B40000}"/>
    <cellStyle name="SAPBEXHLevel0 2 31" xfId="45983" xr:uid="{00000000-0005-0000-0000-000079B40000}"/>
    <cellStyle name="SAPBEXHLevel0 2 32" xfId="45984" xr:uid="{00000000-0005-0000-0000-00007AB40000}"/>
    <cellStyle name="SAPBEXHLevel0 2 4" xfId="45985" xr:uid="{00000000-0005-0000-0000-00007BB40000}"/>
    <cellStyle name="SAPBEXHLevel0 2 4 2" xfId="45986" xr:uid="{00000000-0005-0000-0000-00007CB40000}"/>
    <cellStyle name="SAPBEXHLevel0 2 5" xfId="45987" xr:uid="{00000000-0005-0000-0000-00007DB40000}"/>
    <cellStyle name="SAPBEXHLevel0 2 5 2" xfId="45988" xr:uid="{00000000-0005-0000-0000-00007EB40000}"/>
    <cellStyle name="SAPBEXHLevel0 2 6" xfId="45989" xr:uid="{00000000-0005-0000-0000-00007FB40000}"/>
    <cellStyle name="SAPBEXHLevel0 2 6 2" xfId="45990" xr:uid="{00000000-0005-0000-0000-000080B40000}"/>
    <cellStyle name="SAPBEXHLevel0 2 7" xfId="45991" xr:uid="{00000000-0005-0000-0000-000081B40000}"/>
    <cellStyle name="SAPBEXHLevel0 2 7 2" xfId="45992" xr:uid="{00000000-0005-0000-0000-000082B40000}"/>
    <cellStyle name="SAPBEXHLevel0 2 8" xfId="45993" xr:uid="{00000000-0005-0000-0000-000083B40000}"/>
    <cellStyle name="SAPBEXHLevel0 2 8 2" xfId="45994" xr:uid="{00000000-0005-0000-0000-000084B40000}"/>
    <cellStyle name="SAPBEXHLevel0 2 9" xfId="45995" xr:uid="{00000000-0005-0000-0000-000085B40000}"/>
    <cellStyle name="SAPBEXHLevel0 20" xfId="45996" xr:uid="{00000000-0005-0000-0000-000086B40000}"/>
    <cellStyle name="SAPBEXHLevel0 21" xfId="45997" xr:uid="{00000000-0005-0000-0000-000087B40000}"/>
    <cellStyle name="SAPBEXHLevel0 22" xfId="45998" xr:uid="{00000000-0005-0000-0000-000088B40000}"/>
    <cellStyle name="SAPBEXHLevel0 23" xfId="45999" xr:uid="{00000000-0005-0000-0000-000089B40000}"/>
    <cellStyle name="SAPBEXHLevel0 24" xfId="46000" xr:uid="{00000000-0005-0000-0000-00008AB40000}"/>
    <cellStyle name="SAPBEXHLevel0 25" xfId="46001" xr:uid="{00000000-0005-0000-0000-00008BB40000}"/>
    <cellStyle name="SAPBEXHLevel0 26" xfId="46002" xr:uid="{00000000-0005-0000-0000-00008CB40000}"/>
    <cellStyle name="SAPBEXHLevel0 27" xfId="46003" xr:uid="{00000000-0005-0000-0000-00008DB40000}"/>
    <cellStyle name="SAPBEXHLevel0 28" xfId="46004" xr:uid="{00000000-0005-0000-0000-00008EB40000}"/>
    <cellStyle name="SAPBEXHLevel0 29" xfId="46005" xr:uid="{00000000-0005-0000-0000-00008FB40000}"/>
    <cellStyle name="SAPBEXHLevel0 3" xfId="46006" xr:uid="{00000000-0005-0000-0000-000090B40000}"/>
    <cellStyle name="SAPBEXHLevel0 3 2" xfId="46007" xr:uid="{00000000-0005-0000-0000-000091B40000}"/>
    <cellStyle name="SAPBEXHLevel0 3 3" xfId="46008" xr:uid="{00000000-0005-0000-0000-000092B40000}"/>
    <cellStyle name="SAPBEXHLevel0 30" xfId="46009" xr:uid="{00000000-0005-0000-0000-000093B40000}"/>
    <cellStyle name="SAPBEXHLevel0 31" xfId="46010" xr:uid="{00000000-0005-0000-0000-000094B40000}"/>
    <cellStyle name="SAPBEXHLevel0 32" xfId="46011" xr:uid="{00000000-0005-0000-0000-000095B40000}"/>
    <cellStyle name="SAPBEXHLevel0 33" xfId="46012" xr:uid="{00000000-0005-0000-0000-000096B40000}"/>
    <cellStyle name="SAPBEXHLevel0 4" xfId="46013" xr:uid="{00000000-0005-0000-0000-000097B40000}"/>
    <cellStyle name="SAPBEXHLevel0 4 2" xfId="46014" xr:uid="{00000000-0005-0000-0000-000098B40000}"/>
    <cellStyle name="SAPBEXHLevel0 5" xfId="46015" xr:uid="{00000000-0005-0000-0000-000099B40000}"/>
    <cellStyle name="SAPBEXHLevel0 5 2" xfId="46016" xr:uid="{00000000-0005-0000-0000-00009AB40000}"/>
    <cellStyle name="SAPBEXHLevel0 6" xfId="46017" xr:uid="{00000000-0005-0000-0000-00009BB40000}"/>
    <cellStyle name="SAPBEXHLevel0 6 2" xfId="46018" xr:uid="{00000000-0005-0000-0000-00009CB40000}"/>
    <cellStyle name="SAPBEXHLevel0 7" xfId="46019" xr:uid="{00000000-0005-0000-0000-00009DB40000}"/>
    <cellStyle name="SAPBEXHLevel0 7 2" xfId="46020" xr:uid="{00000000-0005-0000-0000-00009EB40000}"/>
    <cellStyle name="SAPBEXHLevel0 8" xfId="46021" xr:uid="{00000000-0005-0000-0000-00009FB40000}"/>
    <cellStyle name="SAPBEXHLevel0 8 2" xfId="46022" xr:uid="{00000000-0005-0000-0000-0000A0B40000}"/>
    <cellStyle name="SAPBEXHLevel0 9" xfId="46023" xr:uid="{00000000-0005-0000-0000-0000A1B40000}"/>
    <cellStyle name="SAPBEXHLevel0 9 2" xfId="46024" xr:uid="{00000000-0005-0000-0000-0000A2B40000}"/>
    <cellStyle name="SAPBEXHLevel0_0910 GSO Capex RRP - Final (Detail) v2 220710" xfId="46025" xr:uid="{00000000-0005-0000-0000-0000A3B40000}"/>
    <cellStyle name="SAPBEXHLevel0X" xfId="46026" xr:uid="{00000000-0005-0000-0000-0000A4B40000}"/>
    <cellStyle name="SAPBEXHLevel0X 10" xfId="46027" xr:uid="{00000000-0005-0000-0000-0000A5B40000}"/>
    <cellStyle name="SAPBEXHLevel0X 11" xfId="46028" xr:uid="{00000000-0005-0000-0000-0000A6B40000}"/>
    <cellStyle name="SAPBEXHLevel0X 12" xfId="46029" xr:uid="{00000000-0005-0000-0000-0000A7B40000}"/>
    <cellStyle name="SAPBEXHLevel0X 13" xfId="46030" xr:uid="{00000000-0005-0000-0000-0000A8B40000}"/>
    <cellStyle name="SAPBEXHLevel0X 14" xfId="46031" xr:uid="{00000000-0005-0000-0000-0000A9B40000}"/>
    <cellStyle name="SAPBEXHLevel0X 15" xfId="46032" xr:uid="{00000000-0005-0000-0000-0000AAB40000}"/>
    <cellStyle name="SAPBEXHLevel0X 16" xfId="46033" xr:uid="{00000000-0005-0000-0000-0000ABB40000}"/>
    <cellStyle name="SAPBEXHLevel0X 17" xfId="46034" xr:uid="{00000000-0005-0000-0000-0000ACB40000}"/>
    <cellStyle name="SAPBEXHLevel0X 18" xfId="46035" xr:uid="{00000000-0005-0000-0000-0000ADB40000}"/>
    <cellStyle name="SAPBEXHLevel0X 19" xfId="46036" xr:uid="{00000000-0005-0000-0000-0000AEB40000}"/>
    <cellStyle name="SAPBEXHLevel0X 2" xfId="46037" xr:uid="{00000000-0005-0000-0000-0000AFB40000}"/>
    <cellStyle name="SAPBEXHLevel0X 2 10" xfId="46038" xr:uid="{00000000-0005-0000-0000-0000B0B40000}"/>
    <cellStyle name="SAPBEXHLevel0X 2 11" xfId="46039" xr:uid="{00000000-0005-0000-0000-0000B1B40000}"/>
    <cellStyle name="SAPBEXHLevel0X 2 12" xfId="46040" xr:uid="{00000000-0005-0000-0000-0000B2B40000}"/>
    <cellStyle name="SAPBEXHLevel0X 2 13" xfId="46041" xr:uid="{00000000-0005-0000-0000-0000B3B40000}"/>
    <cellStyle name="SAPBEXHLevel0X 2 14" xfId="46042" xr:uid="{00000000-0005-0000-0000-0000B4B40000}"/>
    <cellStyle name="SAPBEXHLevel0X 2 15" xfId="46043" xr:uid="{00000000-0005-0000-0000-0000B5B40000}"/>
    <cellStyle name="SAPBEXHLevel0X 2 16" xfId="46044" xr:uid="{00000000-0005-0000-0000-0000B6B40000}"/>
    <cellStyle name="SAPBEXHLevel0X 2 17" xfId="46045" xr:uid="{00000000-0005-0000-0000-0000B7B40000}"/>
    <cellStyle name="SAPBEXHLevel0X 2 18" xfId="46046" xr:uid="{00000000-0005-0000-0000-0000B8B40000}"/>
    <cellStyle name="SAPBEXHLevel0X 2 19" xfId="46047" xr:uid="{00000000-0005-0000-0000-0000B9B40000}"/>
    <cellStyle name="SAPBEXHLevel0X 2 2" xfId="46048" xr:uid="{00000000-0005-0000-0000-0000BAB40000}"/>
    <cellStyle name="SAPBEXHLevel0X 2 2 2" xfId="46049" xr:uid="{00000000-0005-0000-0000-0000BBB40000}"/>
    <cellStyle name="SAPBEXHLevel0X 2 2 3" xfId="46050" xr:uid="{00000000-0005-0000-0000-0000BCB40000}"/>
    <cellStyle name="SAPBEXHLevel0X 2 20" xfId="46051" xr:uid="{00000000-0005-0000-0000-0000BDB40000}"/>
    <cellStyle name="SAPBEXHLevel0X 2 21" xfId="46052" xr:uid="{00000000-0005-0000-0000-0000BEB40000}"/>
    <cellStyle name="SAPBEXHLevel0X 2 22" xfId="46053" xr:uid="{00000000-0005-0000-0000-0000BFB40000}"/>
    <cellStyle name="SAPBEXHLevel0X 2 23" xfId="46054" xr:uid="{00000000-0005-0000-0000-0000C0B40000}"/>
    <cellStyle name="SAPBEXHLevel0X 2 24" xfId="46055" xr:uid="{00000000-0005-0000-0000-0000C1B40000}"/>
    <cellStyle name="SAPBEXHLevel0X 2 25" xfId="46056" xr:uid="{00000000-0005-0000-0000-0000C2B40000}"/>
    <cellStyle name="SAPBEXHLevel0X 2 26" xfId="46057" xr:uid="{00000000-0005-0000-0000-0000C3B40000}"/>
    <cellStyle name="SAPBEXHLevel0X 2 27" xfId="46058" xr:uid="{00000000-0005-0000-0000-0000C4B40000}"/>
    <cellStyle name="SAPBEXHLevel0X 2 28" xfId="46059" xr:uid="{00000000-0005-0000-0000-0000C5B40000}"/>
    <cellStyle name="SAPBEXHLevel0X 2 29" xfId="46060" xr:uid="{00000000-0005-0000-0000-0000C6B40000}"/>
    <cellStyle name="SAPBEXHLevel0X 2 3" xfId="46061" xr:uid="{00000000-0005-0000-0000-0000C7B40000}"/>
    <cellStyle name="SAPBEXHLevel0X 2 3 2" xfId="46062" xr:uid="{00000000-0005-0000-0000-0000C8B40000}"/>
    <cellStyle name="SAPBEXHLevel0X 2 30" xfId="46063" xr:uid="{00000000-0005-0000-0000-0000C9B40000}"/>
    <cellStyle name="SAPBEXHLevel0X 2 31" xfId="46064" xr:uid="{00000000-0005-0000-0000-0000CAB40000}"/>
    <cellStyle name="SAPBEXHLevel0X 2 32" xfId="46065" xr:uid="{00000000-0005-0000-0000-0000CBB40000}"/>
    <cellStyle name="SAPBEXHLevel0X 2 4" xfId="46066" xr:uid="{00000000-0005-0000-0000-0000CCB40000}"/>
    <cellStyle name="SAPBEXHLevel0X 2 4 2" xfId="46067" xr:uid="{00000000-0005-0000-0000-0000CDB40000}"/>
    <cellStyle name="SAPBEXHLevel0X 2 5" xfId="46068" xr:uid="{00000000-0005-0000-0000-0000CEB40000}"/>
    <cellStyle name="SAPBEXHLevel0X 2 5 2" xfId="46069" xr:uid="{00000000-0005-0000-0000-0000CFB40000}"/>
    <cellStyle name="SAPBEXHLevel0X 2 6" xfId="46070" xr:uid="{00000000-0005-0000-0000-0000D0B40000}"/>
    <cellStyle name="SAPBEXHLevel0X 2 6 2" xfId="46071" xr:uid="{00000000-0005-0000-0000-0000D1B40000}"/>
    <cellStyle name="SAPBEXHLevel0X 2 7" xfId="46072" xr:uid="{00000000-0005-0000-0000-0000D2B40000}"/>
    <cellStyle name="SAPBEXHLevel0X 2 7 2" xfId="46073" xr:uid="{00000000-0005-0000-0000-0000D3B40000}"/>
    <cellStyle name="SAPBEXHLevel0X 2 8" xfId="46074" xr:uid="{00000000-0005-0000-0000-0000D4B40000}"/>
    <cellStyle name="SAPBEXHLevel0X 2 8 2" xfId="46075" xr:uid="{00000000-0005-0000-0000-0000D5B40000}"/>
    <cellStyle name="SAPBEXHLevel0X 2 9" xfId="46076" xr:uid="{00000000-0005-0000-0000-0000D6B40000}"/>
    <cellStyle name="SAPBEXHLevel0X 20" xfId="46077" xr:uid="{00000000-0005-0000-0000-0000D7B40000}"/>
    <cellStyle name="SAPBEXHLevel0X 21" xfId="46078" xr:uid="{00000000-0005-0000-0000-0000D8B40000}"/>
    <cellStyle name="SAPBEXHLevel0X 22" xfId="46079" xr:uid="{00000000-0005-0000-0000-0000D9B40000}"/>
    <cellStyle name="SAPBEXHLevel0X 23" xfId="46080" xr:uid="{00000000-0005-0000-0000-0000DAB40000}"/>
    <cellStyle name="SAPBEXHLevel0X 24" xfId="46081" xr:uid="{00000000-0005-0000-0000-0000DBB40000}"/>
    <cellStyle name="SAPBEXHLevel0X 25" xfId="46082" xr:uid="{00000000-0005-0000-0000-0000DCB40000}"/>
    <cellStyle name="SAPBEXHLevel0X 26" xfId="46083" xr:uid="{00000000-0005-0000-0000-0000DDB40000}"/>
    <cellStyle name="SAPBEXHLevel0X 27" xfId="46084" xr:uid="{00000000-0005-0000-0000-0000DEB40000}"/>
    <cellStyle name="SAPBEXHLevel0X 28" xfId="46085" xr:uid="{00000000-0005-0000-0000-0000DFB40000}"/>
    <cellStyle name="SAPBEXHLevel0X 29" xfId="46086" xr:uid="{00000000-0005-0000-0000-0000E0B40000}"/>
    <cellStyle name="SAPBEXHLevel0X 3" xfId="46087" xr:uid="{00000000-0005-0000-0000-0000E1B40000}"/>
    <cellStyle name="SAPBEXHLevel0X 3 2" xfId="46088" xr:uid="{00000000-0005-0000-0000-0000E2B40000}"/>
    <cellStyle name="SAPBEXHLevel0X 3 3" xfId="46089" xr:uid="{00000000-0005-0000-0000-0000E3B40000}"/>
    <cellStyle name="SAPBEXHLevel0X 30" xfId="46090" xr:uid="{00000000-0005-0000-0000-0000E4B40000}"/>
    <cellStyle name="SAPBEXHLevel0X 31" xfId="46091" xr:uid="{00000000-0005-0000-0000-0000E5B40000}"/>
    <cellStyle name="SAPBEXHLevel0X 32" xfId="46092" xr:uid="{00000000-0005-0000-0000-0000E6B40000}"/>
    <cellStyle name="SAPBEXHLevel0X 33" xfId="46093" xr:uid="{00000000-0005-0000-0000-0000E7B40000}"/>
    <cellStyle name="SAPBEXHLevel0X 4" xfId="46094" xr:uid="{00000000-0005-0000-0000-0000E8B40000}"/>
    <cellStyle name="SAPBEXHLevel0X 4 2" xfId="46095" xr:uid="{00000000-0005-0000-0000-0000E9B40000}"/>
    <cellStyle name="SAPBEXHLevel0X 5" xfId="46096" xr:uid="{00000000-0005-0000-0000-0000EAB40000}"/>
    <cellStyle name="SAPBEXHLevel0X 5 2" xfId="46097" xr:uid="{00000000-0005-0000-0000-0000EBB40000}"/>
    <cellStyle name="SAPBEXHLevel0X 6" xfId="46098" xr:uid="{00000000-0005-0000-0000-0000ECB40000}"/>
    <cellStyle name="SAPBEXHLevel0X 6 2" xfId="46099" xr:uid="{00000000-0005-0000-0000-0000EDB40000}"/>
    <cellStyle name="SAPBEXHLevel0X 7" xfId="46100" xr:uid="{00000000-0005-0000-0000-0000EEB40000}"/>
    <cellStyle name="SAPBEXHLevel0X 7 2" xfId="46101" xr:uid="{00000000-0005-0000-0000-0000EFB40000}"/>
    <cellStyle name="SAPBEXHLevel0X 8" xfId="46102" xr:uid="{00000000-0005-0000-0000-0000F0B40000}"/>
    <cellStyle name="SAPBEXHLevel0X 8 2" xfId="46103" xr:uid="{00000000-0005-0000-0000-0000F1B40000}"/>
    <cellStyle name="SAPBEXHLevel0X 9" xfId="46104" xr:uid="{00000000-0005-0000-0000-0000F2B40000}"/>
    <cellStyle name="SAPBEXHLevel0X 9 2" xfId="46105" xr:uid="{00000000-0005-0000-0000-0000F3B40000}"/>
    <cellStyle name="SAPBEXHLevel0X_0910 GSO Capex RRP - Final (Detail) v2 220710" xfId="46106" xr:uid="{00000000-0005-0000-0000-0000F4B40000}"/>
    <cellStyle name="SAPBEXHLevel1" xfId="46107" xr:uid="{00000000-0005-0000-0000-0000F5B40000}"/>
    <cellStyle name="SAPBEXHLevel1 10" xfId="46108" xr:uid="{00000000-0005-0000-0000-0000F6B40000}"/>
    <cellStyle name="SAPBEXHLevel1 11" xfId="46109" xr:uid="{00000000-0005-0000-0000-0000F7B40000}"/>
    <cellStyle name="SAPBEXHLevel1 12" xfId="46110" xr:uid="{00000000-0005-0000-0000-0000F8B40000}"/>
    <cellStyle name="SAPBEXHLevel1 13" xfId="46111" xr:uid="{00000000-0005-0000-0000-0000F9B40000}"/>
    <cellStyle name="SAPBEXHLevel1 14" xfId="46112" xr:uid="{00000000-0005-0000-0000-0000FAB40000}"/>
    <cellStyle name="SAPBEXHLevel1 15" xfId="46113" xr:uid="{00000000-0005-0000-0000-0000FBB40000}"/>
    <cellStyle name="SAPBEXHLevel1 16" xfId="46114" xr:uid="{00000000-0005-0000-0000-0000FCB40000}"/>
    <cellStyle name="SAPBEXHLevel1 17" xfId="46115" xr:uid="{00000000-0005-0000-0000-0000FDB40000}"/>
    <cellStyle name="SAPBEXHLevel1 18" xfId="46116" xr:uid="{00000000-0005-0000-0000-0000FEB40000}"/>
    <cellStyle name="SAPBEXHLevel1 19" xfId="46117" xr:uid="{00000000-0005-0000-0000-0000FFB40000}"/>
    <cellStyle name="SAPBEXHLevel1 2" xfId="46118" xr:uid="{00000000-0005-0000-0000-000000B50000}"/>
    <cellStyle name="SAPBEXHLevel1 2 10" xfId="46119" xr:uid="{00000000-0005-0000-0000-000001B50000}"/>
    <cellStyle name="SAPBEXHLevel1 2 11" xfId="46120" xr:uid="{00000000-0005-0000-0000-000002B50000}"/>
    <cellStyle name="SAPBEXHLevel1 2 12" xfId="46121" xr:uid="{00000000-0005-0000-0000-000003B50000}"/>
    <cellStyle name="SAPBEXHLevel1 2 13" xfId="46122" xr:uid="{00000000-0005-0000-0000-000004B50000}"/>
    <cellStyle name="SAPBEXHLevel1 2 14" xfId="46123" xr:uid="{00000000-0005-0000-0000-000005B50000}"/>
    <cellStyle name="SAPBEXHLevel1 2 15" xfId="46124" xr:uid="{00000000-0005-0000-0000-000006B50000}"/>
    <cellStyle name="SAPBEXHLevel1 2 16" xfId="46125" xr:uid="{00000000-0005-0000-0000-000007B50000}"/>
    <cellStyle name="SAPBEXHLevel1 2 17" xfId="46126" xr:uid="{00000000-0005-0000-0000-000008B50000}"/>
    <cellStyle name="SAPBEXHLevel1 2 18" xfId="46127" xr:uid="{00000000-0005-0000-0000-000009B50000}"/>
    <cellStyle name="SAPBEXHLevel1 2 19" xfId="46128" xr:uid="{00000000-0005-0000-0000-00000AB50000}"/>
    <cellStyle name="SAPBEXHLevel1 2 2" xfId="46129" xr:uid="{00000000-0005-0000-0000-00000BB50000}"/>
    <cellStyle name="SAPBEXHLevel1 2 2 2" xfId="46130" xr:uid="{00000000-0005-0000-0000-00000CB50000}"/>
    <cellStyle name="SAPBEXHLevel1 2 2 3" xfId="46131" xr:uid="{00000000-0005-0000-0000-00000DB50000}"/>
    <cellStyle name="SAPBEXHLevel1 2 20" xfId="46132" xr:uid="{00000000-0005-0000-0000-00000EB50000}"/>
    <cellStyle name="SAPBEXHLevel1 2 21" xfId="46133" xr:uid="{00000000-0005-0000-0000-00000FB50000}"/>
    <cellStyle name="SAPBEXHLevel1 2 22" xfId="46134" xr:uid="{00000000-0005-0000-0000-000010B50000}"/>
    <cellStyle name="SAPBEXHLevel1 2 23" xfId="46135" xr:uid="{00000000-0005-0000-0000-000011B50000}"/>
    <cellStyle name="SAPBEXHLevel1 2 24" xfId="46136" xr:uid="{00000000-0005-0000-0000-000012B50000}"/>
    <cellStyle name="SAPBEXHLevel1 2 25" xfId="46137" xr:uid="{00000000-0005-0000-0000-000013B50000}"/>
    <cellStyle name="SAPBEXHLevel1 2 26" xfId="46138" xr:uid="{00000000-0005-0000-0000-000014B50000}"/>
    <cellStyle name="SAPBEXHLevel1 2 27" xfId="46139" xr:uid="{00000000-0005-0000-0000-000015B50000}"/>
    <cellStyle name="SAPBEXHLevel1 2 28" xfId="46140" xr:uid="{00000000-0005-0000-0000-000016B50000}"/>
    <cellStyle name="SAPBEXHLevel1 2 29" xfId="46141" xr:uid="{00000000-0005-0000-0000-000017B50000}"/>
    <cellStyle name="SAPBEXHLevel1 2 3" xfId="46142" xr:uid="{00000000-0005-0000-0000-000018B50000}"/>
    <cellStyle name="SAPBEXHLevel1 2 3 2" xfId="46143" xr:uid="{00000000-0005-0000-0000-000019B50000}"/>
    <cellStyle name="SAPBEXHLevel1 2 30" xfId="46144" xr:uid="{00000000-0005-0000-0000-00001AB50000}"/>
    <cellStyle name="SAPBEXHLevel1 2 31" xfId="46145" xr:uid="{00000000-0005-0000-0000-00001BB50000}"/>
    <cellStyle name="SAPBEXHLevel1 2 32" xfId="46146" xr:uid="{00000000-0005-0000-0000-00001CB50000}"/>
    <cellStyle name="SAPBEXHLevel1 2 4" xfId="46147" xr:uid="{00000000-0005-0000-0000-00001DB50000}"/>
    <cellStyle name="SAPBEXHLevel1 2 4 2" xfId="46148" xr:uid="{00000000-0005-0000-0000-00001EB50000}"/>
    <cellStyle name="SAPBEXHLevel1 2 5" xfId="46149" xr:uid="{00000000-0005-0000-0000-00001FB50000}"/>
    <cellStyle name="SAPBEXHLevel1 2 5 2" xfId="46150" xr:uid="{00000000-0005-0000-0000-000020B50000}"/>
    <cellStyle name="SAPBEXHLevel1 2 6" xfId="46151" xr:uid="{00000000-0005-0000-0000-000021B50000}"/>
    <cellStyle name="SAPBEXHLevel1 2 6 2" xfId="46152" xr:uid="{00000000-0005-0000-0000-000022B50000}"/>
    <cellStyle name="SAPBEXHLevel1 2 7" xfId="46153" xr:uid="{00000000-0005-0000-0000-000023B50000}"/>
    <cellStyle name="SAPBEXHLevel1 2 7 2" xfId="46154" xr:uid="{00000000-0005-0000-0000-000024B50000}"/>
    <cellStyle name="SAPBEXHLevel1 2 8" xfId="46155" xr:uid="{00000000-0005-0000-0000-000025B50000}"/>
    <cellStyle name="SAPBEXHLevel1 2 8 2" xfId="46156" xr:uid="{00000000-0005-0000-0000-000026B50000}"/>
    <cellStyle name="SAPBEXHLevel1 2 9" xfId="46157" xr:uid="{00000000-0005-0000-0000-000027B50000}"/>
    <cellStyle name="SAPBEXHLevel1 20" xfId="46158" xr:uid="{00000000-0005-0000-0000-000028B50000}"/>
    <cellStyle name="SAPBEXHLevel1 21" xfId="46159" xr:uid="{00000000-0005-0000-0000-000029B50000}"/>
    <cellStyle name="SAPBEXHLevel1 22" xfId="46160" xr:uid="{00000000-0005-0000-0000-00002AB50000}"/>
    <cellStyle name="SAPBEXHLevel1 23" xfId="46161" xr:uid="{00000000-0005-0000-0000-00002BB50000}"/>
    <cellStyle name="SAPBEXHLevel1 24" xfId="46162" xr:uid="{00000000-0005-0000-0000-00002CB50000}"/>
    <cellStyle name="SAPBEXHLevel1 25" xfId="46163" xr:uid="{00000000-0005-0000-0000-00002DB50000}"/>
    <cellStyle name="SAPBEXHLevel1 26" xfId="46164" xr:uid="{00000000-0005-0000-0000-00002EB50000}"/>
    <cellStyle name="SAPBEXHLevel1 27" xfId="46165" xr:uid="{00000000-0005-0000-0000-00002FB50000}"/>
    <cellStyle name="SAPBEXHLevel1 28" xfId="46166" xr:uid="{00000000-0005-0000-0000-000030B50000}"/>
    <cellStyle name="SAPBEXHLevel1 29" xfId="46167" xr:uid="{00000000-0005-0000-0000-000031B50000}"/>
    <cellStyle name="SAPBEXHLevel1 3" xfId="46168" xr:uid="{00000000-0005-0000-0000-000032B50000}"/>
    <cellStyle name="SAPBEXHLevel1 3 2" xfId="46169" xr:uid="{00000000-0005-0000-0000-000033B50000}"/>
    <cellStyle name="SAPBEXHLevel1 3 3" xfId="46170" xr:uid="{00000000-0005-0000-0000-000034B50000}"/>
    <cellStyle name="SAPBEXHLevel1 30" xfId="46171" xr:uid="{00000000-0005-0000-0000-000035B50000}"/>
    <cellStyle name="SAPBEXHLevel1 31" xfId="46172" xr:uid="{00000000-0005-0000-0000-000036B50000}"/>
    <cellStyle name="SAPBEXHLevel1 32" xfId="46173" xr:uid="{00000000-0005-0000-0000-000037B50000}"/>
    <cellStyle name="SAPBEXHLevel1 33" xfId="46174" xr:uid="{00000000-0005-0000-0000-000038B50000}"/>
    <cellStyle name="SAPBEXHLevel1 4" xfId="46175" xr:uid="{00000000-0005-0000-0000-000039B50000}"/>
    <cellStyle name="SAPBEXHLevel1 4 2" xfId="46176" xr:uid="{00000000-0005-0000-0000-00003AB50000}"/>
    <cellStyle name="SAPBEXHLevel1 5" xfId="46177" xr:uid="{00000000-0005-0000-0000-00003BB50000}"/>
    <cellStyle name="SAPBEXHLevel1 5 2" xfId="46178" xr:uid="{00000000-0005-0000-0000-00003CB50000}"/>
    <cellStyle name="SAPBEXHLevel1 6" xfId="46179" xr:uid="{00000000-0005-0000-0000-00003DB50000}"/>
    <cellStyle name="SAPBEXHLevel1 6 2" xfId="46180" xr:uid="{00000000-0005-0000-0000-00003EB50000}"/>
    <cellStyle name="SAPBEXHLevel1 7" xfId="46181" xr:uid="{00000000-0005-0000-0000-00003FB50000}"/>
    <cellStyle name="SAPBEXHLevel1 7 2" xfId="46182" xr:uid="{00000000-0005-0000-0000-000040B50000}"/>
    <cellStyle name="SAPBEXHLevel1 8" xfId="46183" xr:uid="{00000000-0005-0000-0000-000041B50000}"/>
    <cellStyle name="SAPBEXHLevel1 8 2" xfId="46184" xr:uid="{00000000-0005-0000-0000-000042B50000}"/>
    <cellStyle name="SAPBEXHLevel1 9" xfId="46185" xr:uid="{00000000-0005-0000-0000-000043B50000}"/>
    <cellStyle name="SAPBEXHLevel1 9 2" xfId="46186" xr:uid="{00000000-0005-0000-0000-000044B50000}"/>
    <cellStyle name="SAPBEXHLevel1_0910 GSO Capex RRP - Final (Detail) v2 220710" xfId="46187" xr:uid="{00000000-0005-0000-0000-000045B50000}"/>
    <cellStyle name="SAPBEXHLevel1X" xfId="46188" xr:uid="{00000000-0005-0000-0000-000046B50000}"/>
    <cellStyle name="SAPBEXHLevel1X 10" xfId="46189" xr:uid="{00000000-0005-0000-0000-000047B50000}"/>
    <cellStyle name="SAPBEXHLevel1X 11" xfId="46190" xr:uid="{00000000-0005-0000-0000-000048B50000}"/>
    <cellStyle name="SAPBEXHLevel1X 12" xfId="46191" xr:uid="{00000000-0005-0000-0000-000049B50000}"/>
    <cellStyle name="SAPBEXHLevel1X 13" xfId="46192" xr:uid="{00000000-0005-0000-0000-00004AB50000}"/>
    <cellStyle name="SAPBEXHLevel1X 14" xfId="46193" xr:uid="{00000000-0005-0000-0000-00004BB50000}"/>
    <cellStyle name="SAPBEXHLevel1X 15" xfId="46194" xr:uid="{00000000-0005-0000-0000-00004CB50000}"/>
    <cellStyle name="SAPBEXHLevel1X 16" xfId="46195" xr:uid="{00000000-0005-0000-0000-00004DB50000}"/>
    <cellStyle name="SAPBEXHLevel1X 17" xfId="46196" xr:uid="{00000000-0005-0000-0000-00004EB50000}"/>
    <cellStyle name="SAPBEXHLevel1X 18" xfId="46197" xr:uid="{00000000-0005-0000-0000-00004FB50000}"/>
    <cellStyle name="SAPBEXHLevel1X 19" xfId="46198" xr:uid="{00000000-0005-0000-0000-000050B50000}"/>
    <cellStyle name="SAPBEXHLevel1X 2" xfId="46199" xr:uid="{00000000-0005-0000-0000-000051B50000}"/>
    <cellStyle name="SAPBEXHLevel1X 2 10" xfId="46200" xr:uid="{00000000-0005-0000-0000-000052B50000}"/>
    <cellStyle name="SAPBEXHLevel1X 2 11" xfId="46201" xr:uid="{00000000-0005-0000-0000-000053B50000}"/>
    <cellStyle name="SAPBEXHLevel1X 2 12" xfId="46202" xr:uid="{00000000-0005-0000-0000-000054B50000}"/>
    <cellStyle name="SAPBEXHLevel1X 2 13" xfId="46203" xr:uid="{00000000-0005-0000-0000-000055B50000}"/>
    <cellStyle name="SAPBEXHLevel1X 2 14" xfId="46204" xr:uid="{00000000-0005-0000-0000-000056B50000}"/>
    <cellStyle name="SAPBEXHLevel1X 2 15" xfId="46205" xr:uid="{00000000-0005-0000-0000-000057B50000}"/>
    <cellStyle name="SAPBEXHLevel1X 2 16" xfId="46206" xr:uid="{00000000-0005-0000-0000-000058B50000}"/>
    <cellStyle name="SAPBEXHLevel1X 2 17" xfId="46207" xr:uid="{00000000-0005-0000-0000-000059B50000}"/>
    <cellStyle name="SAPBEXHLevel1X 2 18" xfId="46208" xr:uid="{00000000-0005-0000-0000-00005AB50000}"/>
    <cellStyle name="SAPBEXHLevel1X 2 19" xfId="46209" xr:uid="{00000000-0005-0000-0000-00005BB50000}"/>
    <cellStyle name="SAPBEXHLevel1X 2 2" xfId="46210" xr:uid="{00000000-0005-0000-0000-00005CB50000}"/>
    <cellStyle name="SAPBEXHLevel1X 2 2 2" xfId="46211" xr:uid="{00000000-0005-0000-0000-00005DB50000}"/>
    <cellStyle name="SAPBEXHLevel1X 2 2 3" xfId="46212" xr:uid="{00000000-0005-0000-0000-00005EB50000}"/>
    <cellStyle name="SAPBEXHLevel1X 2 20" xfId="46213" xr:uid="{00000000-0005-0000-0000-00005FB50000}"/>
    <cellStyle name="SAPBEXHLevel1X 2 21" xfId="46214" xr:uid="{00000000-0005-0000-0000-000060B50000}"/>
    <cellStyle name="SAPBEXHLevel1X 2 22" xfId="46215" xr:uid="{00000000-0005-0000-0000-000061B50000}"/>
    <cellStyle name="SAPBEXHLevel1X 2 23" xfId="46216" xr:uid="{00000000-0005-0000-0000-000062B50000}"/>
    <cellStyle name="SAPBEXHLevel1X 2 24" xfId="46217" xr:uid="{00000000-0005-0000-0000-000063B50000}"/>
    <cellStyle name="SAPBEXHLevel1X 2 25" xfId="46218" xr:uid="{00000000-0005-0000-0000-000064B50000}"/>
    <cellStyle name="SAPBEXHLevel1X 2 26" xfId="46219" xr:uid="{00000000-0005-0000-0000-000065B50000}"/>
    <cellStyle name="SAPBEXHLevel1X 2 27" xfId="46220" xr:uid="{00000000-0005-0000-0000-000066B50000}"/>
    <cellStyle name="SAPBEXHLevel1X 2 28" xfId="46221" xr:uid="{00000000-0005-0000-0000-000067B50000}"/>
    <cellStyle name="SAPBEXHLevel1X 2 29" xfId="46222" xr:uid="{00000000-0005-0000-0000-000068B50000}"/>
    <cellStyle name="SAPBEXHLevel1X 2 3" xfId="46223" xr:uid="{00000000-0005-0000-0000-000069B50000}"/>
    <cellStyle name="SAPBEXHLevel1X 2 3 2" xfId="46224" xr:uid="{00000000-0005-0000-0000-00006AB50000}"/>
    <cellStyle name="SAPBEXHLevel1X 2 30" xfId="46225" xr:uid="{00000000-0005-0000-0000-00006BB50000}"/>
    <cellStyle name="SAPBEXHLevel1X 2 31" xfId="46226" xr:uid="{00000000-0005-0000-0000-00006CB50000}"/>
    <cellStyle name="SAPBEXHLevel1X 2 32" xfId="46227" xr:uid="{00000000-0005-0000-0000-00006DB50000}"/>
    <cellStyle name="SAPBEXHLevel1X 2 4" xfId="46228" xr:uid="{00000000-0005-0000-0000-00006EB50000}"/>
    <cellStyle name="SAPBEXHLevel1X 2 4 2" xfId="46229" xr:uid="{00000000-0005-0000-0000-00006FB50000}"/>
    <cellStyle name="SAPBEXHLevel1X 2 5" xfId="46230" xr:uid="{00000000-0005-0000-0000-000070B50000}"/>
    <cellStyle name="SAPBEXHLevel1X 2 5 2" xfId="46231" xr:uid="{00000000-0005-0000-0000-000071B50000}"/>
    <cellStyle name="SAPBEXHLevel1X 2 6" xfId="46232" xr:uid="{00000000-0005-0000-0000-000072B50000}"/>
    <cellStyle name="SAPBEXHLevel1X 2 6 2" xfId="46233" xr:uid="{00000000-0005-0000-0000-000073B50000}"/>
    <cellStyle name="SAPBEXHLevel1X 2 7" xfId="46234" xr:uid="{00000000-0005-0000-0000-000074B50000}"/>
    <cellStyle name="SAPBEXHLevel1X 2 7 2" xfId="46235" xr:uid="{00000000-0005-0000-0000-000075B50000}"/>
    <cellStyle name="SAPBEXHLevel1X 2 8" xfId="46236" xr:uid="{00000000-0005-0000-0000-000076B50000}"/>
    <cellStyle name="SAPBEXHLevel1X 2 8 2" xfId="46237" xr:uid="{00000000-0005-0000-0000-000077B50000}"/>
    <cellStyle name="SAPBEXHLevel1X 2 9" xfId="46238" xr:uid="{00000000-0005-0000-0000-000078B50000}"/>
    <cellStyle name="SAPBEXHLevel1X 20" xfId="46239" xr:uid="{00000000-0005-0000-0000-000079B50000}"/>
    <cellStyle name="SAPBEXHLevel1X 21" xfId="46240" xr:uid="{00000000-0005-0000-0000-00007AB50000}"/>
    <cellStyle name="SAPBEXHLevel1X 22" xfId="46241" xr:uid="{00000000-0005-0000-0000-00007BB50000}"/>
    <cellStyle name="SAPBEXHLevel1X 23" xfId="46242" xr:uid="{00000000-0005-0000-0000-00007CB50000}"/>
    <cellStyle name="SAPBEXHLevel1X 24" xfId="46243" xr:uid="{00000000-0005-0000-0000-00007DB50000}"/>
    <cellStyle name="SAPBEXHLevel1X 25" xfId="46244" xr:uid="{00000000-0005-0000-0000-00007EB50000}"/>
    <cellStyle name="SAPBEXHLevel1X 26" xfId="46245" xr:uid="{00000000-0005-0000-0000-00007FB50000}"/>
    <cellStyle name="SAPBEXHLevel1X 27" xfId="46246" xr:uid="{00000000-0005-0000-0000-000080B50000}"/>
    <cellStyle name="SAPBEXHLevel1X 28" xfId="46247" xr:uid="{00000000-0005-0000-0000-000081B50000}"/>
    <cellStyle name="SAPBEXHLevel1X 29" xfId="46248" xr:uid="{00000000-0005-0000-0000-000082B50000}"/>
    <cellStyle name="SAPBEXHLevel1X 3" xfId="46249" xr:uid="{00000000-0005-0000-0000-000083B50000}"/>
    <cellStyle name="SAPBEXHLevel1X 3 2" xfId="46250" xr:uid="{00000000-0005-0000-0000-000084B50000}"/>
    <cellStyle name="SAPBEXHLevel1X 3 3" xfId="46251" xr:uid="{00000000-0005-0000-0000-000085B50000}"/>
    <cellStyle name="SAPBEXHLevel1X 30" xfId="46252" xr:uid="{00000000-0005-0000-0000-000086B50000}"/>
    <cellStyle name="SAPBEXHLevel1X 31" xfId="46253" xr:uid="{00000000-0005-0000-0000-000087B50000}"/>
    <cellStyle name="SAPBEXHLevel1X 32" xfId="46254" xr:uid="{00000000-0005-0000-0000-000088B50000}"/>
    <cellStyle name="SAPBEXHLevel1X 33" xfId="46255" xr:uid="{00000000-0005-0000-0000-000089B50000}"/>
    <cellStyle name="SAPBEXHLevel1X 4" xfId="46256" xr:uid="{00000000-0005-0000-0000-00008AB50000}"/>
    <cellStyle name="SAPBEXHLevel1X 4 2" xfId="46257" xr:uid="{00000000-0005-0000-0000-00008BB50000}"/>
    <cellStyle name="SAPBEXHLevel1X 5" xfId="46258" xr:uid="{00000000-0005-0000-0000-00008CB50000}"/>
    <cellStyle name="SAPBEXHLevel1X 5 2" xfId="46259" xr:uid="{00000000-0005-0000-0000-00008DB50000}"/>
    <cellStyle name="SAPBEXHLevel1X 6" xfId="46260" xr:uid="{00000000-0005-0000-0000-00008EB50000}"/>
    <cellStyle name="SAPBEXHLevel1X 6 2" xfId="46261" xr:uid="{00000000-0005-0000-0000-00008FB50000}"/>
    <cellStyle name="SAPBEXHLevel1X 7" xfId="46262" xr:uid="{00000000-0005-0000-0000-000090B50000}"/>
    <cellStyle name="SAPBEXHLevel1X 7 2" xfId="46263" xr:uid="{00000000-0005-0000-0000-000091B50000}"/>
    <cellStyle name="SAPBEXHLevel1X 8" xfId="46264" xr:uid="{00000000-0005-0000-0000-000092B50000}"/>
    <cellStyle name="SAPBEXHLevel1X 8 2" xfId="46265" xr:uid="{00000000-0005-0000-0000-000093B50000}"/>
    <cellStyle name="SAPBEXHLevel1X 9" xfId="46266" xr:uid="{00000000-0005-0000-0000-000094B50000}"/>
    <cellStyle name="SAPBEXHLevel1X 9 2" xfId="46267" xr:uid="{00000000-0005-0000-0000-000095B50000}"/>
    <cellStyle name="SAPBEXHLevel1X_0910 GSO Capex RRP - Final (Detail) v2 220710" xfId="46268" xr:uid="{00000000-0005-0000-0000-000096B50000}"/>
    <cellStyle name="SAPBEXHLevel2" xfId="46269" xr:uid="{00000000-0005-0000-0000-000097B50000}"/>
    <cellStyle name="SAPBEXHLevel2 10" xfId="46270" xr:uid="{00000000-0005-0000-0000-000098B50000}"/>
    <cellStyle name="SAPBEXHLevel2 11" xfId="46271" xr:uid="{00000000-0005-0000-0000-000099B50000}"/>
    <cellStyle name="SAPBEXHLevel2 12" xfId="46272" xr:uid="{00000000-0005-0000-0000-00009AB50000}"/>
    <cellStyle name="SAPBEXHLevel2 13" xfId="46273" xr:uid="{00000000-0005-0000-0000-00009BB50000}"/>
    <cellStyle name="SAPBEXHLevel2 14" xfId="46274" xr:uid="{00000000-0005-0000-0000-00009CB50000}"/>
    <cellStyle name="SAPBEXHLevel2 15" xfId="46275" xr:uid="{00000000-0005-0000-0000-00009DB50000}"/>
    <cellStyle name="SAPBEXHLevel2 16" xfId="46276" xr:uid="{00000000-0005-0000-0000-00009EB50000}"/>
    <cellStyle name="SAPBEXHLevel2 17" xfId="46277" xr:uid="{00000000-0005-0000-0000-00009FB50000}"/>
    <cellStyle name="SAPBEXHLevel2 18" xfId="46278" xr:uid="{00000000-0005-0000-0000-0000A0B50000}"/>
    <cellStyle name="SAPBEXHLevel2 19" xfId="46279" xr:uid="{00000000-0005-0000-0000-0000A1B50000}"/>
    <cellStyle name="SAPBEXHLevel2 2" xfId="46280" xr:uid="{00000000-0005-0000-0000-0000A2B50000}"/>
    <cellStyle name="SAPBEXHLevel2 2 10" xfId="46281" xr:uid="{00000000-0005-0000-0000-0000A3B50000}"/>
    <cellStyle name="SAPBEXHLevel2 2 11" xfId="46282" xr:uid="{00000000-0005-0000-0000-0000A4B50000}"/>
    <cellStyle name="SAPBEXHLevel2 2 12" xfId="46283" xr:uid="{00000000-0005-0000-0000-0000A5B50000}"/>
    <cellStyle name="SAPBEXHLevel2 2 13" xfId="46284" xr:uid="{00000000-0005-0000-0000-0000A6B50000}"/>
    <cellStyle name="SAPBEXHLevel2 2 14" xfId="46285" xr:uid="{00000000-0005-0000-0000-0000A7B50000}"/>
    <cellStyle name="SAPBEXHLevel2 2 15" xfId="46286" xr:uid="{00000000-0005-0000-0000-0000A8B50000}"/>
    <cellStyle name="SAPBEXHLevel2 2 16" xfId="46287" xr:uid="{00000000-0005-0000-0000-0000A9B50000}"/>
    <cellStyle name="SAPBEXHLevel2 2 17" xfId="46288" xr:uid="{00000000-0005-0000-0000-0000AAB50000}"/>
    <cellStyle name="SAPBEXHLevel2 2 18" xfId="46289" xr:uid="{00000000-0005-0000-0000-0000ABB50000}"/>
    <cellStyle name="SAPBEXHLevel2 2 19" xfId="46290" xr:uid="{00000000-0005-0000-0000-0000ACB50000}"/>
    <cellStyle name="SAPBEXHLevel2 2 2" xfId="46291" xr:uid="{00000000-0005-0000-0000-0000ADB50000}"/>
    <cellStyle name="SAPBEXHLevel2 2 2 2" xfId="46292" xr:uid="{00000000-0005-0000-0000-0000AEB50000}"/>
    <cellStyle name="SAPBEXHLevel2 2 2 3" xfId="46293" xr:uid="{00000000-0005-0000-0000-0000AFB50000}"/>
    <cellStyle name="SAPBEXHLevel2 2 20" xfId="46294" xr:uid="{00000000-0005-0000-0000-0000B0B50000}"/>
    <cellStyle name="SAPBEXHLevel2 2 21" xfId="46295" xr:uid="{00000000-0005-0000-0000-0000B1B50000}"/>
    <cellStyle name="SAPBEXHLevel2 2 22" xfId="46296" xr:uid="{00000000-0005-0000-0000-0000B2B50000}"/>
    <cellStyle name="SAPBEXHLevel2 2 23" xfId="46297" xr:uid="{00000000-0005-0000-0000-0000B3B50000}"/>
    <cellStyle name="SAPBEXHLevel2 2 24" xfId="46298" xr:uid="{00000000-0005-0000-0000-0000B4B50000}"/>
    <cellStyle name="SAPBEXHLevel2 2 25" xfId="46299" xr:uid="{00000000-0005-0000-0000-0000B5B50000}"/>
    <cellStyle name="SAPBEXHLevel2 2 26" xfId="46300" xr:uid="{00000000-0005-0000-0000-0000B6B50000}"/>
    <cellStyle name="SAPBEXHLevel2 2 27" xfId="46301" xr:uid="{00000000-0005-0000-0000-0000B7B50000}"/>
    <cellStyle name="SAPBEXHLevel2 2 28" xfId="46302" xr:uid="{00000000-0005-0000-0000-0000B8B50000}"/>
    <cellStyle name="SAPBEXHLevel2 2 29" xfId="46303" xr:uid="{00000000-0005-0000-0000-0000B9B50000}"/>
    <cellStyle name="SAPBEXHLevel2 2 3" xfId="46304" xr:uid="{00000000-0005-0000-0000-0000BAB50000}"/>
    <cellStyle name="SAPBEXHLevel2 2 3 2" xfId="46305" xr:uid="{00000000-0005-0000-0000-0000BBB50000}"/>
    <cellStyle name="SAPBEXHLevel2 2 30" xfId="46306" xr:uid="{00000000-0005-0000-0000-0000BCB50000}"/>
    <cellStyle name="SAPBEXHLevel2 2 31" xfId="46307" xr:uid="{00000000-0005-0000-0000-0000BDB50000}"/>
    <cellStyle name="SAPBEXHLevel2 2 32" xfId="46308" xr:uid="{00000000-0005-0000-0000-0000BEB50000}"/>
    <cellStyle name="SAPBEXHLevel2 2 4" xfId="46309" xr:uid="{00000000-0005-0000-0000-0000BFB50000}"/>
    <cellStyle name="SAPBEXHLevel2 2 4 2" xfId="46310" xr:uid="{00000000-0005-0000-0000-0000C0B50000}"/>
    <cellStyle name="SAPBEXHLevel2 2 5" xfId="46311" xr:uid="{00000000-0005-0000-0000-0000C1B50000}"/>
    <cellStyle name="SAPBEXHLevel2 2 5 2" xfId="46312" xr:uid="{00000000-0005-0000-0000-0000C2B50000}"/>
    <cellStyle name="SAPBEXHLevel2 2 6" xfId="46313" xr:uid="{00000000-0005-0000-0000-0000C3B50000}"/>
    <cellStyle name="SAPBEXHLevel2 2 6 2" xfId="46314" xr:uid="{00000000-0005-0000-0000-0000C4B50000}"/>
    <cellStyle name="SAPBEXHLevel2 2 7" xfId="46315" xr:uid="{00000000-0005-0000-0000-0000C5B50000}"/>
    <cellStyle name="SAPBEXHLevel2 2 7 2" xfId="46316" xr:uid="{00000000-0005-0000-0000-0000C6B50000}"/>
    <cellStyle name="SAPBEXHLevel2 2 8" xfId="46317" xr:uid="{00000000-0005-0000-0000-0000C7B50000}"/>
    <cellStyle name="SAPBEXHLevel2 2 8 2" xfId="46318" xr:uid="{00000000-0005-0000-0000-0000C8B50000}"/>
    <cellStyle name="SAPBEXHLevel2 2 9" xfId="46319" xr:uid="{00000000-0005-0000-0000-0000C9B50000}"/>
    <cellStyle name="SAPBEXHLevel2 20" xfId="46320" xr:uid="{00000000-0005-0000-0000-0000CAB50000}"/>
    <cellStyle name="SAPBEXHLevel2 21" xfId="46321" xr:uid="{00000000-0005-0000-0000-0000CBB50000}"/>
    <cellStyle name="SAPBEXHLevel2 22" xfId="46322" xr:uid="{00000000-0005-0000-0000-0000CCB50000}"/>
    <cellStyle name="SAPBEXHLevel2 23" xfId="46323" xr:uid="{00000000-0005-0000-0000-0000CDB50000}"/>
    <cellStyle name="SAPBEXHLevel2 24" xfId="46324" xr:uid="{00000000-0005-0000-0000-0000CEB50000}"/>
    <cellStyle name="SAPBEXHLevel2 25" xfId="46325" xr:uid="{00000000-0005-0000-0000-0000CFB50000}"/>
    <cellStyle name="SAPBEXHLevel2 26" xfId="46326" xr:uid="{00000000-0005-0000-0000-0000D0B50000}"/>
    <cellStyle name="SAPBEXHLevel2 27" xfId="46327" xr:uid="{00000000-0005-0000-0000-0000D1B50000}"/>
    <cellStyle name="SAPBEXHLevel2 28" xfId="46328" xr:uid="{00000000-0005-0000-0000-0000D2B50000}"/>
    <cellStyle name="SAPBEXHLevel2 29" xfId="46329" xr:uid="{00000000-0005-0000-0000-0000D3B50000}"/>
    <cellStyle name="SAPBEXHLevel2 3" xfId="46330" xr:uid="{00000000-0005-0000-0000-0000D4B50000}"/>
    <cellStyle name="SAPBEXHLevel2 3 2" xfId="46331" xr:uid="{00000000-0005-0000-0000-0000D5B50000}"/>
    <cellStyle name="SAPBEXHLevel2 3 3" xfId="46332" xr:uid="{00000000-0005-0000-0000-0000D6B50000}"/>
    <cellStyle name="SAPBEXHLevel2 30" xfId="46333" xr:uid="{00000000-0005-0000-0000-0000D7B50000}"/>
    <cellStyle name="SAPBEXHLevel2 31" xfId="46334" xr:uid="{00000000-0005-0000-0000-0000D8B50000}"/>
    <cellStyle name="SAPBEXHLevel2 32" xfId="46335" xr:uid="{00000000-0005-0000-0000-0000D9B50000}"/>
    <cellStyle name="SAPBEXHLevel2 33" xfId="46336" xr:uid="{00000000-0005-0000-0000-0000DAB50000}"/>
    <cellStyle name="SAPBEXHLevel2 4" xfId="46337" xr:uid="{00000000-0005-0000-0000-0000DBB50000}"/>
    <cellStyle name="SAPBEXHLevel2 4 2" xfId="46338" xr:uid="{00000000-0005-0000-0000-0000DCB50000}"/>
    <cellStyle name="SAPBEXHLevel2 5" xfId="46339" xr:uid="{00000000-0005-0000-0000-0000DDB50000}"/>
    <cellStyle name="SAPBEXHLevel2 5 2" xfId="46340" xr:uid="{00000000-0005-0000-0000-0000DEB50000}"/>
    <cellStyle name="SAPBEXHLevel2 6" xfId="46341" xr:uid="{00000000-0005-0000-0000-0000DFB50000}"/>
    <cellStyle name="SAPBEXHLevel2 6 2" xfId="46342" xr:uid="{00000000-0005-0000-0000-0000E0B50000}"/>
    <cellStyle name="SAPBEXHLevel2 7" xfId="46343" xr:uid="{00000000-0005-0000-0000-0000E1B50000}"/>
    <cellStyle name="SAPBEXHLevel2 7 2" xfId="46344" xr:uid="{00000000-0005-0000-0000-0000E2B50000}"/>
    <cellStyle name="SAPBEXHLevel2 8" xfId="46345" xr:uid="{00000000-0005-0000-0000-0000E3B50000}"/>
    <cellStyle name="SAPBEXHLevel2 8 2" xfId="46346" xr:uid="{00000000-0005-0000-0000-0000E4B50000}"/>
    <cellStyle name="SAPBEXHLevel2 9" xfId="46347" xr:uid="{00000000-0005-0000-0000-0000E5B50000}"/>
    <cellStyle name="SAPBEXHLevel2 9 2" xfId="46348" xr:uid="{00000000-0005-0000-0000-0000E6B50000}"/>
    <cellStyle name="SAPBEXHLevel2_0910 GSO Capex RRP - Final (Detail) v2 220710" xfId="46349" xr:uid="{00000000-0005-0000-0000-0000E7B50000}"/>
    <cellStyle name="SAPBEXHLevel2X" xfId="46350" xr:uid="{00000000-0005-0000-0000-0000E8B50000}"/>
    <cellStyle name="SAPBEXHLevel2X 10" xfId="46351" xr:uid="{00000000-0005-0000-0000-0000E9B50000}"/>
    <cellStyle name="SAPBEXHLevel2X 11" xfId="46352" xr:uid="{00000000-0005-0000-0000-0000EAB50000}"/>
    <cellStyle name="SAPBEXHLevel2X 12" xfId="46353" xr:uid="{00000000-0005-0000-0000-0000EBB50000}"/>
    <cellStyle name="SAPBEXHLevel2X 13" xfId="46354" xr:uid="{00000000-0005-0000-0000-0000ECB50000}"/>
    <cellStyle name="SAPBEXHLevel2X 14" xfId="46355" xr:uid="{00000000-0005-0000-0000-0000EDB50000}"/>
    <cellStyle name="SAPBEXHLevel2X 15" xfId="46356" xr:uid="{00000000-0005-0000-0000-0000EEB50000}"/>
    <cellStyle name="SAPBEXHLevel2X 16" xfId="46357" xr:uid="{00000000-0005-0000-0000-0000EFB50000}"/>
    <cellStyle name="SAPBEXHLevel2X 17" xfId="46358" xr:uid="{00000000-0005-0000-0000-0000F0B50000}"/>
    <cellStyle name="SAPBEXHLevel2X 18" xfId="46359" xr:uid="{00000000-0005-0000-0000-0000F1B50000}"/>
    <cellStyle name="SAPBEXHLevel2X 19" xfId="46360" xr:uid="{00000000-0005-0000-0000-0000F2B50000}"/>
    <cellStyle name="SAPBEXHLevel2X 2" xfId="46361" xr:uid="{00000000-0005-0000-0000-0000F3B50000}"/>
    <cellStyle name="SAPBEXHLevel2X 2 10" xfId="46362" xr:uid="{00000000-0005-0000-0000-0000F4B50000}"/>
    <cellStyle name="SAPBEXHLevel2X 2 11" xfId="46363" xr:uid="{00000000-0005-0000-0000-0000F5B50000}"/>
    <cellStyle name="SAPBEXHLevel2X 2 12" xfId="46364" xr:uid="{00000000-0005-0000-0000-0000F6B50000}"/>
    <cellStyle name="SAPBEXHLevel2X 2 13" xfId="46365" xr:uid="{00000000-0005-0000-0000-0000F7B50000}"/>
    <cellStyle name="SAPBEXHLevel2X 2 14" xfId="46366" xr:uid="{00000000-0005-0000-0000-0000F8B50000}"/>
    <cellStyle name="SAPBEXHLevel2X 2 15" xfId="46367" xr:uid="{00000000-0005-0000-0000-0000F9B50000}"/>
    <cellStyle name="SAPBEXHLevel2X 2 16" xfId="46368" xr:uid="{00000000-0005-0000-0000-0000FAB50000}"/>
    <cellStyle name="SAPBEXHLevel2X 2 17" xfId="46369" xr:uid="{00000000-0005-0000-0000-0000FBB50000}"/>
    <cellStyle name="SAPBEXHLevel2X 2 18" xfId="46370" xr:uid="{00000000-0005-0000-0000-0000FCB50000}"/>
    <cellStyle name="SAPBEXHLevel2X 2 19" xfId="46371" xr:uid="{00000000-0005-0000-0000-0000FDB50000}"/>
    <cellStyle name="SAPBEXHLevel2X 2 2" xfId="46372" xr:uid="{00000000-0005-0000-0000-0000FEB50000}"/>
    <cellStyle name="SAPBEXHLevel2X 2 2 2" xfId="46373" xr:uid="{00000000-0005-0000-0000-0000FFB50000}"/>
    <cellStyle name="SAPBEXHLevel2X 2 2 3" xfId="46374" xr:uid="{00000000-0005-0000-0000-000000B60000}"/>
    <cellStyle name="SAPBEXHLevel2X 2 20" xfId="46375" xr:uid="{00000000-0005-0000-0000-000001B60000}"/>
    <cellStyle name="SAPBEXHLevel2X 2 21" xfId="46376" xr:uid="{00000000-0005-0000-0000-000002B60000}"/>
    <cellStyle name="SAPBEXHLevel2X 2 22" xfId="46377" xr:uid="{00000000-0005-0000-0000-000003B60000}"/>
    <cellStyle name="SAPBEXHLevel2X 2 23" xfId="46378" xr:uid="{00000000-0005-0000-0000-000004B60000}"/>
    <cellStyle name="SAPBEXHLevel2X 2 24" xfId="46379" xr:uid="{00000000-0005-0000-0000-000005B60000}"/>
    <cellStyle name="SAPBEXHLevel2X 2 25" xfId="46380" xr:uid="{00000000-0005-0000-0000-000006B60000}"/>
    <cellStyle name="SAPBEXHLevel2X 2 26" xfId="46381" xr:uid="{00000000-0005-0000-0000-000007B60000}"/>
    <cellStyle name="SAPBEXHLevel2X 2 27" xfId="46382" xr:uid="{00000000-0005-0000-0000-000008B60000}"/>
    <cellStyle name="SAPBEXHLevel2X 2 28" xfId="46383" xr:uid="{00000000-0005-0000-0000-000009B60000}"/>
    <cellStyle name="SAPBEXHLevel2X 2 29" xfId="46384" xr:uid="{00000000-0005-0000-0000-00000AB60000}"/>
    <cellStyle name="SAPBEXHLevel2X 2 3" xfId="46385" xr:uid="{00000000-0005-0000-0000-00000BB60000}"/>
    <cellStyle name="SAPBEXHLevel2X 2 3 2" xfId="46386" xr:uid="{00000000-0005-0000-0000-00000CB60000}"/>
    <cellStyle name="SAPBEXHLevel2X 2 30" xfId="46387" xr:uid="{00000000-0005-0000-0000-00000DB60000}"/>
    <cellStyle name="SAPBEXHLevel2X 2 31" xfId="46388" xr:uid="{00000000-0005-0000-0000-00000EB60000}"/>
    <cellStyle name="SAPBEXHLevel2X 2 32" xfId="46389" xr:uid="{00000000-0005-0000-0000-00000FB60000}"/>
    <cellStyle name="SAPBEXHLevel2X 2 4" xfId="46390" xr:uid="{00000000-0005-0000-0000-000010B60000}"/>
    <cellStyle name="SAPBEXHLevel2X 2 4 2" xfId="46391" xr:uid="{00000000-0005-0000-0000-000011B60000}"/>
    <cellStyle name="SAPBEXHLevel2X 2 5" xfId="46392" xr:uid="{00000000-0005-0000-0000-000012B60000}"/>
    <cellStyle name="SAPBEXHLevel2X 2 5 2" xfId="46393" xr:uid="{00000000-0005-0000-0000-000013B60000}"/>
    <cellStyle name="SAPBEXHLevel2X 2 6" xfId="46394" xr:uid="{00000000-0005-0000-0000-000014B60000}"/>
    <cellStyle name="SAPBEXHLevel2X 2 6 2" xfId="46395" xr:uid="{00000000-0005-0000-0000-000015B60000}"/>
    <cellStyle name="SAPBEXHLevel2X 2 7" xfId="46396" xr:uid="{00000000-0005-0000-0000-000016B60000}"/>
    <cellStyle name="SAPBEXHLevel2X 2 7 2" xfId="46397" xr:uid="{00000000-0005-0000-0000-000017B60000}"/>
    <cellStyle name="SAPBEXHLevel2X 2 8" xfId="46398" xr:uid="{00000000-0005-0000-0000-000018B60000}"/>
    <cellStyle name="SAPBEXHLevel2X 2 8 2" xfId="46399" xr:uid="{00000000-0005-0000-0000-000019B60000}"/>
    <cellStyle name="SAPBEXHLevel2X 2 9" xfId="46400" xr:uid="{00000000-0005-0000-0000-00001AB60000}"/>
    <cellStyle name="SAPBEXHLevel2X 20" xfId="46401" xr:uid="{00000000-0005-0000-0000-00001BB60000}"/>
    <cellStyle name="SAPBEXHLevel2X 21" xfId="46402" xr:uid="{00000000-0005-0000-0000-00001CB60000}"/>
    <cellStyle name="SAPBEXHLevel2X 22" xfId="46403" xr:uid="{00000000-0005-0000-0000-00001DB60000}"/>
    <cellStyle name="SAPBEXHLevel2X 23" xfId="46404" xr:uid="{00000000-0005-0000-0000-00001EB60000}"/>
    <cellStyle name="SAPBEXHLevel2X 24" xfId="46405" xr:uid="{00000000-0005-0000-0000-00001FB60000}"/>
    <cellStyle name="SAPBEXHLevel2X 25" xfId="46406" xr:uid="{00000000-0005-0000-0000-000020B60000}"/>
    <cellStyle name="SAPBEXHLevel2X 26" xfId="46407" xr:uid="{00000000-0005-0000-0000-000021B60000}"/>
    <cellStyle name="SAPBEXHLevel2X 27" xfId="46408" xr:uid="{00000000-0005-0000-0000-000022B60000}"/>
    <cellStyle name="SAPBEXHLevel2X 28" xfId="46409" xr:uid="{00000000-0005-0000-0000-000023B60000}"/>
    <cellStyle name="SAPBEXHLevel2X 29" xfId="46410" xr:uid="{00000000-0005-0000-0000-000024B60000}"/>
    <cellStyle name="SAPBEXHLevel2X 3" xfId="46411" xr:uid="{00000000-0005-0000-0000-000025B60000}"/>
    <cellStyle name="SAPBEXHLevel2X 3 2" xfId="46412" xr:uid="{00000000-0005-0000-0000-000026B60000}"/>
    <cellStyle name="SAPBEXHLevel2X 3 3" xfId="46413" xr:uid="{00000000-0005-0000-0000-000027B60000}"/>
    <cellStyle name="SAPBEXHLevel2X 30" xfId="46414" xr:uid="{00000000-0005-0000-0000-000028B60000}"/>
    <cellStyle name="SAPBEXHLevel2X 31" xfId="46415" xr:uid="{00000000-0005-0000-0000-000029B60000}"/>
    <cellStyle name="SAPBEXHLevel2X 32" xfId="46416" xr:uid="{00000000-0005-0000-0000-00002AB60000}"/>
    <cellStyle name="SAPBEXHLevel2X 33" xfId="46417" xr:uid="{00000000-0005-0000-0000-00002BB60000}"/>
    <cellStyle name="SAPBEXHLevel2X 4" xfId="46418" xr:uid="{00000000-0005-0000-0000-00002CB60000}"/>
    <cellStyle name="SAPBEXHLevel2X 4 2" xfId="46419" xr:uid="{00000000-0005-0000-0000-00002DB60000}"/>
    <cellStyle name="SAPBEXHLevel2X 5" xfId="46420" xr:uid="{00000000-0005-0000-0000-00002EB60000}"/>
    <cellStyle name="SAPBEXHLevel2X 5 2" xfId="46421" xr:uid="{00000000-0005-0000-0000-00002FB60000}"/>
    <cellStyle name="SAPBEXHLevel2X 6" xfId="46422" xr:uid="{00000000-0005-0000-0000-000030B60000}"/>
    <cellStyle name="SAPBEXHLevel2X 6 2" xfId="46423" xr:uid="{00000000-0005-0000-0000-000031B60000}"/>
    <cellStyle name="SAPBEXHLevel2X 7" xfId="46424" xr:uid="{00000000-0005-0000-0000-000032B60000}"/>
    <cellStyle name="SAPBEXHLevel2X 7 2" xfId="46425" xr:uid="{00000000-0005-0000-0000-000033B60000}"/>
    <cellStyle name="SAPBEXHLevel2X 8" xfId="46426" xr:uid="{00000000-0005-0000-0000-000034B60000}"/>
    <cellStyle name="SAPBEXHLevel2X 8 2" xfId="46427" xr:uid="{00000000-0005-0000-0000-000035B60000}"/>
    <cellStyle name="SAPBEXHLevel2X 9" xfId="46428" xr:uid="{00000000-0005-0000-0000-000036B60000}"/>
    <cellStyle name="SAPBEXHLevel2X 9 2" xfId="46429" xr:uid="{00000000-0005-0000-0000-000037B60000}"/>
    <cellStyle name="SAPBEXHLevel2X_0910 GSO Capex RRP - Final (Detail) v2 220710" xfId="46430" xr:uid="{00000000-0005-0000-0000-000038B60000}"/>
    <cellStyle name="SAPBEXHLevel3" xfId="46431" xr:uid="{00000000-0005-0000-0000-000039B60000}"/>
    <cellStyle name="SAPBEXHLevel3 10" xfId="46432" xr:uid="{00000000-0005-0000-0000-00003AB60000}"/>
    <cellStyle name="SAPBEXHLevel3 11" xfId="46433" xr:uid="{00000000-0005-0000-0000-00003BB60000}"/>
    <cellStyle name="SAPBEXHLevel3 12" xfId="46434" xr:uid="{00000000-0005-0000-0000-00003CB60000}"/>
    <cellStyle name="SAPBEXHLevel3 13" xfId="46435" xr:uid="{00000000-0005-0000-0000-00003DB60000}"/>
    <cellStyle name="SAPBEXHLevel3 14" xfId="46436" xr:uid="{00000000-0005-0000-0000-00003EB60000}"/>
    <cellStyle name="SAPBEXHLevel3 15" xfId="46437" xr:uid="{00000000-0005-0000-0000-00003FB60000}"/>
    <cellStyle name="SAPBEXHLevel3 16" xfId="46438" xr:uid="{00000000-0005-0000-0000-000040B60000}"/>
    <cellStyle name="SAPBEXHLevel3 17" xfId="46439" xr:uid="{00000000-0005-0000-0000-000041B60000}"/>
    <cellStyle name="SAPBEXHLevel3 18" xfId="46440" xr:uid="{00000000-0005-0000-0000-000042B60000}"/>
    <cellStyle name="SAPBEXHLevel3 19" xfId="46441" xr:uid="{00000000-0005-0000-0000-000043B60000}"/>
    <cellStyle name="SAPBEXHLevel3 2" xfId="46442" xr:uid="{00000000-0005-0000-0000-000044B60000}"/>
    <cellStyle name="SAPBEXHLevel3 2 10" xfId="46443" xr:uid="{00000000-0005-0000-0000-000045B60000}"/>
    <cellStyle name="SAPBEXHLevel3 2 11" xfId="46444" xr:uid="{00000000-0005-0000-0000-000046B60000}"/>
    <cellStyle name="SAPBEXHLevel3 2 12" xfId="46445" xr:uid="{00000000-0005-0000-0000-000047B60000}"/>
    <cellStyle name="SAPBEXHLevel3 2 13" xfId="46446" xr:uid="{00000000-0005-0000-0000-000048B60000}"/>
    <cellStyle name="SAPBEXHLevel3 2 14" xfId="46447" xr:uid="{00000000-0005-0000-0000-000049B60000}"/>
    <cellStyle name="SAPBEXHLevel3 2 15" xfId="46448" xr:uid="{00000000-0005-0000-0000-00004AB60000}"/>
    <cellStyle name="SAPBEXHLevel3 2 16" xfId="46449" xr:uid="{00000000-0005-0000-0000-00004BB60000}"/>
    <cellStyle name="SAPBEXHLevel3 2 17" xfId="46450" xr:uid="{00000000-0005-0000-0000-00004CB60000}"/>
    <cellStyle name="SAPBEXHLevel3 2 18" xfId="46451" xr:uid="{00000000-0005-0000-0000-00004DB60000}"/>
    <cellStyle name="SAPBEXHLevel3 2 19" xfId="46452" xr:uid="{00000000-0005-0000-0000-00004EB60000}"/>
    <cellStyle name="SAPBEXHLevel3 2 2" xfId="46453" xr:uid="{00000000-0005-0000-0000-00004FB60000}"/>
    <cellStyle name="SAPBEXHLevel3 2 2 2" xfId="46454" xr:uid="{00000000-0005-0000-0000-000050B60000}"/>
    <cellStyle name="SAPBEXHLevel3 2 2 3" xfId="46455" xr:uid="{00000000-0005-0000-0000-000051B60000}"/>
    <cellStyle name="SAPBEXHLevel3 2 20" xfId="46456" xr:uid="{00000000-0005-0000-0000-000052B60000}"/>
    <cellStyle name="SAPBEXHLevel3 2 21" xfId="46457" xr:uid="{00000000-0005-0000-0000-000053B60000}"/>
    <cellStyle name="SAPBEXHLevel3 2 22" xfId="46458" xr:uid="{00000000-0005-0000-0000-000054B60000}"/>
    <cellStyle name="SAPBEXHLevel3 2 23" xfId="46459" xr:uid="{00000000-0005-0000-0000-000055B60000}"/>
    <cellStyle name="SAPBEXHLevel3 2 24" xfId="46460" xr:uid="{00000000-0005-0000-0000-000056B60000}"/>
    <cellStyle name="SAPBEXHLevel3 2 25" xfId="46461" xr:uid="{00000000-0005-0000-0000-000057B60000}"/>
    <cellStyle name="SAPBEXHLevel3 2 26" xfId="46462" xr:uid="{00000000-0005-0000-0000-000058B60000}"/>
    <cellStyle name="SAPBEXHLevel3 2 27" xfId="46463" xr:uid="{00000000-0005-0000-0000-000059B60000}"/>
    <cellStyle name="SAPBEXHLevel3 2 28" xfId="46464" xr:uid="{00000000-0005-0000-0000-00005AB60000}"/>
    <cellStyle name="SAPBEXHLevel3 2 29" xfId="46465" xr:uid="{00000000-0005-0000-0000-00005BB60000}"/>
    <cellStyle name="SAPBEXHLevel3 2 3" xfId="46466" xr:uid="{00000000-0005-0000-0000-00005CB60000}"/>
    <cellStyle name="SAPBEXHLevel3 2 3 2" xfId="46467" xr:uid="{00000000-0005-0000-0000-00005DB60000}"/>
    <cellStyle name="SAPBEXHLevel3 2 30" xfId="46468" xr:uid="{00000000-0005-0000-0000-00005EB60000}"/>
    <cellStyle name="SAPBEXHLevel3 2 31" xfId="46469" xr:uid="{00000000-0005-0000-0000-00005FB60000}"/>
    <cellStyle name="SAPBEXHLevel3 2 32" xfId="46470" xr:uid="{00000000-0005-0000-0000-000060B60000}"/>
    <cellStyle name="SAPBEXHLevel3 2 4" xfId="46471" xr:uid="{00000000-0005-0000-0000-000061B60000}"/>
    <cellStyle name="SAPBEXHLevel3 2 4 2" xfId="46472" xr:uid="{00000000-0005-0000-0000-000062B60000}"/>
    <cellStyle name="SAPBEXHLevel3 2 5" xfId="46473" xr:uid="{00000000-0005-0000-0000-000063B60000}"/>
    <cellStyle name="SAPBEXHLevel3 2 5 2" xfId="46474" xr:uid="{00000000-0005-0000-0000-000064B60000}"/>
    <cellStyle name="SAPBEXHLevel3 2 6" xfId="46475" xr:uid="{00000000-0005-0000-0000-000065B60000}"/>
    <cellStyle name="SAPBEXHLevel3 2 6 2" xfId="46476" xr:uid="{00000000-0005-0000-0000-000066B60000}"/>
    <cellStyle name="SAPBEXHLevel3 2 7" xfId="46477" xr:uid="{00000000-0005-0000-0000-000067B60000}"/>
    <cellStyle name="SAPBEXHLevel3 2 7 2" xfId="46478" xr:uid="{00000000-0005-0000-0000-000068B60000}"/>
    <cellStyle name="SAPBEXHLevel3 2 8" xfId="46479" xr:uid="{00000000-0005-0000-0000-000069B60000}"/>
    <cellStyle name="SAPBEXHLevel3 2 8 2" xfId="46480" xr:uid="{00000000-0005-0000-0000-00006AB60000}"/>
    <cellStyle name="SAPBEXHLevel3 2 9" xfId="46481" xr:uid="{00000000-0005-0000-0000-00006BB60000}"/>
    <cellStyle name="SAPBEXHLevel3 20" xfId="46482" xr:uid="{00000000-0005-0000-0000-00006CB60000}"/>
    <cellStyle name="SAPBEXHLevel3 21" xfId="46483" xr:uid="{00000000-0005-0000-0000-00006DB60000}"/>
    <cellStyle name="SAPBEXHLevel3 22" xfId="46484" xr:uid="{00000000-0005-0000-0000-00006EB60000}"/>
    <cellStyle name="SAPBEXHLevel3 23" xfId="46485" xr:uid="{00000000-0005-0000-0000-00006FB60000}"/>
    <cellStyle name="SAPBEXHLevel3 24" xfId="46486" xr:uid="{00000000-0005-0000-0000-000070B60000}"/>
    <cellStyle name="SAPBEXHLevel3 25" xfId="46487" xr:uid="{00000000-0005-0000-0000-000071B60000}"/>
    <cellStyle name="SAPBEXHLevel3 26" xfId="46488" xr:uid="{00000000-0005-0000-0000-000072B60000}"/>
    <cellStyle name="SAPBEXHLevel3 27" xfId="46489" xr:uid="{00000000-0005-0000-0000-000073B60000}"/>
    <cellStyle name="SAPBEXHLevel3 28" xfId="46490" xr:uid="{00000000-0005-0000-0000-000074B60000}"/>
    <cellStyle name="SAPBEXHLevel3 29" xfId="46491" xr:uid="{00000000-0005-0000-0000-000075B60000}"/>
    <cellStyle name="SAPBEXHLevel3 3" xfId="46492" xr:uid="{00000000-0005-0000-0000-000076B60000}"/>
    <cellStyle name="SAPBEXHLevel3 3 2" xfId="46493" xr:uid="{00000000-0005-0000-0000-000077B60000}"/>
    <cellStyle name="SAPBEXHLevel3 3 3" xfId="46494" xr:uid="{00000000-0005-0000-0000-000078B60000}"/>
    <cellStyle name="SAPBEXHLevel3 30" xfId="46495" xr:uid="{00000000-0005-0000-0000-000079B60000}"/>
    <cellStyle name="SAPBEXHLevel3 31" xfId="46496" xr:uid="{00000000-0005-0000-0000-00007AB60000}"/>
    <cellStyle name="SAPBEXHLevel3 32" xfId="46497" xr:uid="{00000000-0005-0000-0000-00007BB60000}"/>
    <cellStyle name="SAPBEXHLevel3 33" xfId="46498" xr:uid="{00000000-0005-0000-0000-00007CB60000}"/>
    <cellStyle name="SAPBEXHLevel3 4" xfId="46499" xr:uid="{00000000-0005-0000-0000-00007DB60000}"/>
    <cellStyle name="SAPBEXHLevel3 4 2" xfId="46500" xr:uid="{00000000-0005-0000-0000-00007EB60000}"/>
    <cellStyle name="SAPBEXHLevel3 5" xfId="46501" xr:uid="{00000000-0005-0000-0000-00007FB60000}"/>
    <cellStyle name="SAPBEXHLevel3 5 2" xfId="46502" xr:uid="{00000000-0005-0000-0000-000080B60000}"/>
    <cellStyle name="SAPBEXHLevel3 6" xfId="46503" xr:uid="{00000000-0005-0000-0000-000081B60000}"/>
    <cellStyle name="SAPBEXHLevel3 6 2" xfId="46504" xr:uid="{00000000-0005-0000-0000-000082B60000}"/>
    <cellStyle name="SAPBEXHLevel3 7" xfId="46505" xr:uid="{00000000-0005-0000-0000-000083B60000}"/>
    <cellStyle name="SAPBEXHLevel3 7 2" xfId="46506" xr:uid="{00000000-0005-0000-0000-000084B60000}"/>
    <cellStyle name="SAPBEXHLevel3 8" xfId="46507" xr:uid="{00000000-0005-0000-0000-000085B60000}"/>
    <cellStyle name="SAPBEXHLevel3 8 2" xfId="46508" xr:uid="{00000000-0005-0000-0000-000086B60000}"/>
    <cellStyle name="SAPBEXHLevel3 9" xfId="46509" xr:uid="{00000000-0005-0000-0000-000087B60000}"/>
    <cellStyle name="SAPBEXHLevel3 9 2" xfId="46510" xr:uid="{00000000-0005-0000-0000-000088B60000}"/>
    <cellStyle name="SAPBEXHLevel3_0910 GSO Capex RRP - Final (Detail) v2 220710" xfId="46511" xr:uid="{00000000-0005-0000-0000-000089B60000}"/>
    <cellStyle name="SAPBEXHLevel3X" xfId="46512" xr:uid="{00000000-0005-0000-0000-00008AB60000}"/>
    <cellStyle name="SAPBEXHLevel3X 10" xfId="46513" xr:uid="{00000000-0005-0000-0000-00008BB60000}"/>
    <cellStyle name="SAPBEXHLevel3X 11" xfId="46514" xr:uid="{00000000-0005-0000-0000-00008CB60000}"/>
    <cellStyle name="SAPBEXHLevel3X 12" xfId="46515" xr:uid="{00000000-0005-0000-0000-00008DB60000}"/>
    <cellStyle name="SAPBEXHLevel3X 13" xfId="46516" xr:uid="{00000000-0005-0000-0000-00008EB60000}"/>
    <cellStyle name="SAPBEXHLevel3X 14" xfId="46517" xr:uid="{00000000-0005-0000-0000-00008FB60000}"/>
    <cellStyle name="SAPBEXHLevel3X 15" xfId="46518" xr:uid="{00000000-0005-0000-0000-000090B60000}"/>
    <cellStyle name="SAPBEXHLevel3X 16" xfId="46519" xr:uid="{00000000-0005-0000-0000-000091B60000}"/>
    <cellStyle name="SAPBEXHLevel3X 17" xfId="46520" xr:uid="{00000000-0005-0000-0000-000092B60000}"/>
    <cellStyle name="SAPBEXHLevel3X 18" xfId="46521" xr:uid="{00000000-0005-0000-0000-000093B60000}"/>
    <cellStyle name="SAPBEXHLevel3X 19" xfId="46522" xr:uid="{00000000-0005-0000-0000-000094B60000}"/>
    <cellStyle name="SAPBEXHLevel3X 2" xfId="46523" xr:uid="{00000000-0005-0000-0000-000095B60000}"/>
    <cellStyle name="SAPBEXHLevel3X 2 10" xfId="46524" xr:uid="{00000000-0005-0000-0000-000096B60000}"/>
    <cellStyle name="SAPBEXHLevel3X 2 11" xfId="46525" xr:uid="{00000000-0005-0000-0000-000097B60000}"/>
    <cellStyle name="SAPBEXHLevel3X 2 12" xfId="46526" xr:uid="{00000000-0005-0000-0000-000098B60000}"/>
    <cellStyle name="SAPBEXHLevel3X 2 13" xfId="46527" xr:uid="{00000000-0005-0000-0000-000099B60000}"/>
    <cellStyle name="SAPBEXHLevel3X 2 14" xfId="46528" xr:uid="{00000000-0005-0000-0000-00009AB60000}"/>
    <cellStyle name="SAPBEXHLevel3X 2 15" xfId="46529" xr:uid="{00000000-0005-0000-0000-00009BB60000}"/>
    <cellStyle name="SAPBEXHLevel3X 2 16" xfId="46530" xr:uid="{00000000-0005-0000-0000-00009CB60000}"/>
    <cellStyle name="SAPBEXHLevel3X 2 17" xfId="46531" xr:uid="{00000000-0005-0000-0000-00009DB60000}"/>
    <cellStyle name="SAPBEXHLevel3X 2 18" xfId="46532" xr:uid="{00000000-0005-0000-0000-00009EB60000}"/>
    <cellStyle name="SAPBEXHLevel3X 2 19" xfId="46533" xr:uid="{00000000-0005-0000-0000-00009FB60000}"/>
    <cellStyle name="SAPBEXHLevel3X 2 2" xfId="46534" xr:uid="{00000000-0005-0000-0000-0000A0B60000}"/>
    <cellStyle name="SAPBEXHLevel3X 2 2 2" xfId="46535" xr:uid="{00000000-0005-0000-0000-0000A1B60000}"/>
    <cellStyle name="SAPBEXHLevel3X 2 2 3" xfId="46536" xr:uid="{00000000-0005-0000-0000-0000A2B60000}"/>
    <cellStyle name="SAPBEXHLevel3X 2 20" xfId="46537" xr:uid="{00000000-0005-0000-0000-0000A3B60000}"/>
    <cellStyle name="SAPBEXHLevel3X 2 21" xfId="46538" xr:uid="{00000000-0005-0000-0000-0000A4B60000}"/>
    <cellStyle name="SAPBEXHLevel3X 2 22" xfId="46539" xr:uid="{00000000-0005-0000-0000-0000A5B60000}"/>
    <cellStyle name="SAPBEXHLevel3X 2 23" xfId="46540" xr:uid="{00000000-0005-0000-0000-0000A6B60000}"/>
    <cellStyle name="SAPBEXHLevel3X 2 24" xfId="46541" xr:uid="{00000000-0005-0000-0000-0000A7B60000}"/>
    <cellStyle name="SAPBEXHLevel3X 2 25" xfId="46542" xr:uid="{00000000-0005-0000-0000-0000A8B60000}"/>
    <cellStyle name="SAPBEXHLevel3X 2 26" xfId="46543" xr:uid="{00000000-0005-0000-0000-0000A9B60000}"/>
    <cellStyle name="SAPBEXHLevel3X 2 27" xfId="46544" xr:uid="{00000000-0005-0000-0000-0000AAB60000}"/>
    <cellStyle name="SAPBEXHLevel3X 2 28" xfId="46545" xr:uid="{00000000-0005-0000-0000-0000ABB60000}"/>
    <cellStyle name="SAPBEXHLevel3X 2 29" xfId="46546" xr:uid="{00000000-0005-0000-0000-0000ACB60000}"/>
    <cellStyle name="SAPBEXHLevel3X 2 3" xfId="46547" xr:uid="{00000000-0005-0000-0000-0000ADB60000}"/>
    <cellStyle name="SAPBEXHLevel3X 2 3 2" xfId="46548" xr:uid="{00000000-0005-0000-0000-0000AEB60000}"/>
    <cellStyle name="SAPBEXHLevel3X 2 30" xfId="46549" xr:uid="{00000000-0005-0000-0000-0000AFB60000}"/>
    <cellStyle name="SAPBEXHLevel3X 2 31" xfId="46550" xr:uid="{00000000-0005-0000-0000-0000B0B60000}"/>
    <cellStyle name="SAPBEXHLevel3X 2 32" xfId="46551" xr:uid="{00000000-0005-0000-0000-0000B1B60000}"/>
    <cellStyle name="SAPBEXHLevel3X 2 4" xfId="46552" xr:uid="{00000000-0005-0000-0000-0000B2B60000}"/>
    <cellStyle name="SAPBEXHLevel3X 2 4 2" xfId="46553" xr:uid="{00000000-0005-0000-0000-0000B3B60000}"/>
    <cellStyle name="SAPBEXHLevel3X 2 5" xfId="46554" xr:uid="{00000000-0005-0000-0000-0000B4B60000}"/>
    <cellStyle name="SAPBEXHLevel3X 2 5 2" xfId="46555" xr:uid="{00000000-0005-0000-0000-0000B5B60000}"/>
    <cellStyle name="SAPBEXHLevel3X 2 6" xfId="46556" xr:uid="{00000000-0005-0000-0000-0000B6B60000}"/>
    <cellStyle name="SAPBEXHLevel3X 2 6 2" xfId="46557" xr:uid="{00000000-0005-0000-0000-0000B7B60000}"/>
    <cellStyle name="SAPBEXHLevel3X 2 7" xfId="46558" xr:uid="{00000000-0005-0000-0000-0000B8B60000}"/>
    <cellStyle name="SAPBEXHLevel3X 2 7 2" xfId="46559" xr:uid="{00000000-0005-0000-0000-0000B9B60000}"/>
    <cellStyle name="SAPBEXHLevel3X 2 8" xfId="46560" xr:uid="{00000000-0005-0000-0000-0000BAB60000}"/>
    <cellStyle name="SAPBEXHLevel3X 2 8 2" xfId="46561" xr:uid="{00000000-0005-0000-0000-0000BBB60000}"/>
    <cellStyle name="SAPBEXHLevel3X 2 9" xfId="46562" xr:uid="{00000000-0005-0000-0000-0000BCB60000}"/>
    <cellStyle name="SAPBEXHLevel3X 20" xfId="46563" xr:uid="{00000000-0005-0000-0000-0000BDB60000}"/>
    <cellStyle name="SAPBEXHLevel3X 21" xfId="46564" xr:uid="{00000000-0005-0000-0000-0000BEB60000}"/>
    <cellStyle name="SAPBEXHLevel3X 22" xfId="46565" xr:uid="{00000000-0005-0000-0000-0000BFB60000}"/>
    <cellStyle name="SAPBEXHLevel3X 23" xfId="46566" xr:uid="{00000000-0005-0000-0000-0000C0B60000}"/>
    <cellStyle name="SAPBEXHLevel3X 24" xfId="46567" xr:uid="{00000000-0005-0000-0000-0000C1B60000}"/>
    <cellStyle name="SAPBEXHLevel3X 25" xfId="46568" xr:uid="{00000000-0005-0000-0000-0000C2B60000}"/>
    <cellStyle name="SAPBEXHLevel3X 26" xfId="46569" xr:uid="{00000000-0005-0000-0000-0000C3B60000}"/>
    <cellStyle name="SAPBEXHLevel3X 27" xfId="46570" xr:uid="{00000000-0005-0000-0000-0000C4B60000}"/>
    <cellStyle name="SAPBEXHLevel3X 28" xfId="46571" xr:uid="{00000000-0005-0000-0000-0000C5B60000}"/>
    <cellStyle name="SAPBEXHLevel3X 29" xfId="46572" xr:uid="{00000000-0005-0000-0000-0000C6B60000}"/>
    <cellStyle name="SAPBEXHLevel3X 3" xfId="46573" xr:uid="{00000000-0005-0000-0000-0000C7B60000}"/>
    <cellStyle name="SAPBEXHLevel3X 3 2" xfId="46574" xr:uid="{00000000-0005-0000-0000-0000C8B60000}"/>
    <cellStyle name="SAPBEXHLevel3X 3 3" xfId="46575" xr:uid="{00000000-0005-0000-0000-0000C9B60000}"/>
    <cellStyle name="SAPBEXHLevel3X 30" xfId="46576" xr:uid="{00000000-0005-0000-0000-0000CAB60000}"/>
    <cellStyle name="SAPBEXHLevel3X 31" xfId="46577" xr:uid="{00000000-0005-0000-0000-0000CBB60000}"/>
    <cellStyle name="SAPBEXHLevel3X 32" xfId="46578" xr:uid="{00000000-0005-0000-0000-0000CCB60000}"/>
    <cellStyle name="SAPBEXHLevel3X 33" xfId="46579" xr:uid="{00000000-0005-0000-0000-0000CDB60000}"/>
    <cellStyle name="SAPBEXHLevel3X 4" xfId="46580" xr:uid="{00000000-0005-0000-0000-0000CEB60000}"/>
    <cellStyle name="SAPBEXHLevel3X 4 2" xfId="46581" xr:uid="{00000000-0005-0000-0000-0000CFB60000}"/>
    <cellStyle name="SAPBEXHLevel3X 5" xfId="46582" xr:uid="{00000000-0005-0000-0000-0000D0B60000}"/>
    <cellStyle name="SAPBEXHLevel3X 5 2" xfId="46583" xr:uid="{00000000-0005-0000-0000-0000D1B60000}"/>
    <cellStyle name="SAPBEXHLevel3X 6" xfId="46584" xr:uid="{00000000-0005-0000-0000-0000D2B60000}"/>
    <cellStyle name="SAPBEXHLevel3X 6 2" xfId="46585" xr:uid="{00000000-0005-0000-0000-0000D3B60000}"/>
    <cellStyle name="SAPBEXHLevel3X 7" xfId="46586" xr:uid="{00000000-0005-0000-0000-0000D4B60000}"/>
    <cellStyle name="SAPBEXHLevel3X 7 2" xfId="46587" xr:uid="{00000000-0005-0000-0000-0000D5B60000}"/>
    <cellStyle name="SAPBEXHLevel3X 8" xfId="46588" xr:uid="{00000000-0005-0000-0000-0000D6B60000}"/>
    <cellStyle name="SAPBEXHLevel3X 8 2" xfId="46589" xr:uid="{00000000-0005-0000-0000-0000D7B60000}"/>
    <cellStyle name="SAPBEXHLevel3X 9" xfId="46590" xr:uid="{00000000-0005-0000-0000-0000D8B60000}"/>
    <cellStyle name="SAPBEXHLevel3X 9 2" xfId="46591" xr:uid="{00000000-0005-0000-0000-0000D9B60000}"/>
    <cellStyle name="SAPBEXHLevel3X_0910 GSO Capex RRP - Final (Detail) v2 220710" xfId="46592" xr:uid="{00000000-0005-0000-0000-0000DAB60000}"/>
    <cellStyle name="SAPBEXinputData" xfId="46593" xr:uid="{00000000-0005-0000-0000-0000DBB60000}"/>
    <cellStyle name="SAPBEXinputData 10" xfId="46594" xr:uid="{00000000-0005-0000-0000-0000DCB60000}"/>
    <cellStyle name="SAPBEXinputData 10 2" xfId="46595" xr:uid="{00000000-0005-0000-0000-0000DDB60000}"/>
    <cellStyle name="SAPBEXinputData 11" xfId="46596" xr:uid="{00000000-0005-0000-0000-0000DEB60000}"/>
    <cellStyle name="SAPBEXinputData 11 2" xfId="46597" xr:uid="{00000000-0005-0000-0000-0000DFB60000}"/>
    <cellStyle name="SAPBEXinputData 12" xfId="46598" xr:uid="{00000000-0005-0000-0000-0000E0B60000}"/>
    <cellStyle name="SAPBEXinputData 12 2" xfId="46599" xr:uid="{00000000-0005-0000-0000-0000E1B60000}"/>
    <cellStyle name="SAPBEXinputData 13" xfId="46600" xr:uid="{00000000-0005-0000-0000-0000E2B60000}"/>
    <cellStyle name="SAPBEXinputData 13 2" xfId="46601" xr:uid="{00000000-0005-0000-0000-0000E3B60000}"/>
    <cellStyle name="SAPBEXinputData 14" xfId="46602" xr:uid="{00000000-0005-0000-0000-0000E4B60000}"/>
    <cellStyle name="SAPBEXinputData 15" xfId="46603" xr:uid="{00000000-0005-0000-0000-0000E5B60000}"/>
    <cellStyle name="SAPBEXinputData 16" xfId="46604" xr:uid="{00000000-0005-0000-0000-0000E6B60000}"/>
    <cellStyle name="SAPBEXinputData 17" xfId="46605" xr:uid="{00000000-0005-0000-0000-0000E7B60000}"/>
    <cellStyle name="SAPBEXinputData 18" xfId="46606" xr:uid="{00000000-0005-0000-0000-0000E8B60000}"/>
    <cellStyle name="SAPBEXinputData 2" xfId="46607" xr:uid="{00000000-0005-0000-0000-0000E9B60000}"/>
    <cellStyle name="SAPBEXinputData 2 10" xfId="46608" xr:uid="{00000000-0005-0000-0000-0000EAB60000}"/>
    <cellStyle name="SAPBEXinputData 2 10 2" xfId="46609" xr:uid="{00000000-0005-0000-0000-0000EBB60000}"/>
    <cellStyle name="SAPBEXinputData 2 11" xfId="46610" xr:uid="{00000000-0005-0000-0000-0000ECB60000}"/>
    <cellStyle name="SAPBEXinputData 2 11 2" xfId="46611" xr:uid="{00000000-0005-0000-0000-0000EDB60000}"/>
    <cellStyle name="SAPBEXinputData 2 12" xfId="46612" xr:uid="{00000000-0005-0000-0000-0000EEB60000}"/>
    <cellStyle name="SAPBEXinputData 2 12 2" xfId="46613" xr:uid="{00000000-0005-0000-0000-0000EFB60000}"/>
    <cellStyle name="SAPBEXinputData 2 13" xfId="46614" xr:uid="{00000000-0005-0000-0000-0000F0B60000}"/>
    <cellStyle name="SAPBEXinputData 2 14" xfId="46615" xr:uid="{00000000-0005-0000-0000-0000F1B60000}"/>
    <cellStyle name="SAPBEXinputData 2 15" xfId="46616" xr:uid="{00000000-0005-0000-0000-0000F2B60000}"/>
    <cellStyle name="SAPBEXinputData 2 16" xfId="46617" xr:uid="{00000000-0005-0000-0000-0000F3B60000}"/>
    <cellStyle name="SAPBEXinputData 2 17" xfId="46618" xr:uid="{00000000-0005-0000-0000-0000F4B60000}"/>
    <cellStyle name="SAPBEXinputData 2 2" xfId="46619" xr:uid="{00000000-0005-0000-0000-0000F5B60000}"/>
    <cellStyle name="SAPBEXinputData 2 2 10" xfId="46620" xr:uid="{00000000-0005-0000-0000-0000F6B60000}"/>
    <cellStyle name="SAPBEXinputData 2 2 11" xfId="46621" xr:uid="{00000000-0005-0000-0000-0000F7B60000}"/>
    <cellStyle name="SAPBEXinputData 2 2 12" xfId="46622" xr:uid="{00000000-0005-0000-0000-0000F8B60000}"/>
    <cellStyle name="SAPBEXinputData 2 2 13" xfId="46623" xr:uid="{00000000-0005-0000-0000-0000F9B60000}"/>
    <cellStyle name="SAPBEXinputData 2 2 14" xfId="46624" xr:uid="{00000000-0005-0000-0000-0000FAB60000}"/>
    <cellStyle name="SAPBEXinputData 2 2 15" xfId="46625" xr:uid="{00000000-0005-0000-0000-0000FBB60000}"/>
    <cellStyle name="SAPBEXinputData 2 2 16" xfId="46626" xr:uid="{00000000-0005-0000-0000-0000FCB60000}"/>
    <cellStyle name="SAPBEXinputData 2 2 17" xfId="46627" xr:uid="{00000000-0005-0000-0000-0000FDB60000}"/>
    <cellStyle name="SAPBEXinputData 2 2 18" xfId="46628" xr:uid="{00000000-0005-0000-0000-0000FEB60000}"/>
    <cellStyle name="SAPBEXinputData 2 2 19" xfId="46629" xr:uid="{00000000-0005-0000-0000-0000FFB60000}"/>
    <cellStyle name="SAPBEXinputData 2 2 2" xfId="46630" xr:uid="{00000000-0005-0000-0000-000000B70000}"/>
    <cellStyle name="SAPBEXinputData 2 2 2 10" xfId="46631" xr:uid="{00000000-0005-0000-0000-000001B70000}"/>
    <cellStyle name="SAPBEXinputData 2 2 2 11" xfId="46632" xr:uid="{00000000-0005-0000-0000-000002B70000}"/>
    <cellStyle name="SAPBEXinputData 2 2 2 12" xfId="46633" xr:uid="{00000000-0005-0000-0000-000003B70000}"/>
    <cellStyle name="SAPBEXinputData 2 2 2 13" xfId="46634" xr:uid="{00000000-0005-0000-0000-000004B70000}"/>
    <cellStyle name="SAPBEXinputData 2 2 2 2" xfId="46635" xr:uid="{00000000-0005-0000-0000-000005B70000}"/>
    <cellStyle name="SAPBEXinputData 2 2 2 2 2" xfId="46636" xr:uid="{00000000-0005-0000-0000-000006B70000}"/>
    <cellStyle name="SAPBEXinputData 2 2 2 2 3" xfId="46637" xr:uid="{00000000-0005-0000-0000-000007B70000}"/>
    <cellStyle name="SAPBEXinputData 2 2 2 3" xfId="46638" xr:uid="{00000000-0005-0000-0000-000008B70000}"/>
    <cellStyle name="SAPBEXinputData 2 2 2 3 2" xfId="46639" xr:uid="{00000000-0005-0000-0000-000009B70000}"/>
    <cellStyle name="SAPBEXinputData 2 2 2 4" xfId="46640" xr:uid="{00000000-0005-0000-0000-00000AB70000}"/>
    <cellStyle name="SAPBEXinputData 2 2 2 4 2" xfId="46641" xr:uid="{00000000-0005-0000-0000-00000BB70000}"/>
    <cellStyle name="SAPBEXinputData 2 2 2 5" xfId="46642" xr:uid="{00000000-0005-0000-0000-00000CB70000}"/>
    <cellStyle name="SAPBEXinputData 2 2 2 5 2" xfId="46643" xr:uid="{00000000-0005-0000-0000-00000DB70000}"/>
    <cellStyle name="SAPBEXinputData 2 2 2 6" xfId="46644" xr:uid="{00000000-0005-0000-0000-00000EB70000}"/>
    <cellStyle name="SAPBEXinputData 2 2 2 6 2" xfId="46645" xr:uid="{00000000-0005-0000-0000-00000FB70000}"/>
    <cellStyle name="SAPBEXinputData 2 2 2 7" xfId="46646" xr:uid="{00000000-0005-0000-0000-000010B70000}"/>
    <cellStyle name="SAPBEXinputData 2 2 2 7 2" xfId="46647" xr:uid="{00000000-0005-0000-0000-000011B70000}"/>
    <cellStyle name="SAPBEXinputData 2 2 2 8" xfId="46648" xr:uid="{00000000-0005-0000-0000-000012B70000}"/>
    <cellStyle name="SAPBEXinputData 2 2 2 8 2" xfId="46649" xr:uid="{00000000-0005-0000-0000-000013B70000}"/>
    <cellStyle name="SAPBEXinputData 2 2 2 9" xfId="46650" xr:uid="{00000000-0005-0000-0000-000014B70000}"/>
    <cellStyle name="SAPBEXinputData 2 2 20" xfId="46651" xr:uid="{00000000-0005-0000-0000-000015B70000}"/>
    <cellStyle name="SAPBEXinputData 2 2 21" xfId="46652" xr:uid="{00000000-0005-0000-0000-000016B70000}"/>
    <cellStyle name="SAPBEXinputData 2 2 22" xfId="46653" xr:uid="{00000000-0005-0000-0000-000017B70000}"/>
    <cellStyle name="SAPBEXinputData 2 2 23" xfId="46654" xr:uid="{00000000-0005-0000-0000-000018B70000}"/>
    <cellStyle name="SAPBEXinputData 2 2 24" xfId="46655" xr:uid="{00000000-0005-0000-0000-000019B70000}"/>
    <cellStyle name="SAPBEXinputData 2 2 25" xfId="46656" xr:uid="{00000000-0005-0000-0000-00001AB70000}"/>
    <cellStyle name="SAPBEXinputData 2 2 26" xfId="46657" xr:uid="{00000000-0005-0000-0000-00001BB70000}"/>
    <cellStyle name="SAPBEXinputData 2 2 27" xfId="46658" xr:uid="{00000000-0005-0000-0000-00001CB70000}"/>
    <cellStyle name="SAPBEXinputData 2 2 28" xfId="46659" xr:uid="{00000000-0005-0000-0000-00001DB70000}"/>
    <cellStyle name="SAPBEXinputData 2 2 29" xfId="46660" xr:uid="{00000000-0005-0000-0000-00001EB70000}"/>
    <cellStyle name="SAPBEXinputData 2 2 3" xfId="46661" xr:uid="{00000000-0005-0000-0000-00001FB70000}"/>
    <cellStyle name="SAPBEXinputData 2 2 3 2" xfId="46662" xr:uid="{00000000-0005-0000-0000-000020B70000}"/>
    <cellStyle name="SAPBEXinputData 2 2 3 3" xfId="46663" xr:uid="{00000000-0005-0000-0000-000021B70000}"/>
    <cellStyle name="SAPBEXinputData 2 2 30" xfId="46664" xr:uid="{00000000-0005-0000-0000-000022B70000}"/>
    <cellStyle name="SAPBEXinputData 2 2 4" xfId="46665" xr:uid="{00000000-0005-0000-0000-000023B70000}"/>
    <cellStyle name="SAPBEXinputData 2 2 4 2" xfId="46666" xr:uid="{00000000-0005-0000-0000-000024B70000}"/>
    <cellStyle name="SAPBEXinputData 2 2 5" xfId="46667" xr:uid="{00000000-0005-0000-0000-000025B70000}"/>
    <cellStyle name="SAPBEXinputData 2 2 5 2" xfId="46668" xr:uid="{00000000-0005-0000-0000-000026B70000}"/>
    <cellStyle name="SAPBEXinputData 2 2 6" xfId="46669" xr:uid="{00000000-0005-0000-0000-000027B70000}"/>
    <cellStyle name="SAPBEXinputData 2 2 6 2" xfId="46670" xr:uid="{00000000-0005-0000-0000-000028B70000}"/>
    <cellStyle name="SAPBEXinputData 2 2 7" xfId="46671" xr:uid="{00000000-0005-0000-0000-000029B70000}"/>
    <cellStyle name="SAPBEXinputData 2 2 7 2" xfId="46672" xr:uid="{00000000-0005-0000-0000-00002AB70000}"/>
    <cellStyle name="SAPBEXinputData 2 2 8" xfId="46673" xr:uid="{00000000-0005-0000-0000-00002BB70000}"/>
    <cellStyle name="SAPBEXinputData 2 2 8 2" xfId="46674" xr:uid="{00000000-0005-0000-0000-00002CB70000}"/>
    <cellStyle name="SAPBEXinputData 2 2 9" xfId="46675" xr:uid="{00000000-0005-0000-0000-00002DB70000}"/>
    <cellStyle name="SAPBEXinputData 2 2 9 2" xfId="46676" xr:uid="{00000000-0005-0000-0000-00002EB70000}"/>
    <cellStyle name="SAPBEXinputData 2 3" xfId="46677" xr:uid="{00000000-0005-0000-0000-00002FB70000}"/>
    <cellStyle name="SAPBEXinputData 2 3 10" xfId="46678" xr:uid="{00000000-0005-0000-0000-000030B70000}"/>
    <cellStyle name="SAPBEXinputData 2 3 11" xfId="46679" xr:uid="{00000000-0005-0000-0000-000031B70000}"/>
    <cellStyle name="SAPBEXinputData 2 3 12" xfId="46680" xr:uid="{00000000-0005-0000-0000-000032B70000}"/>
    <cellStyle name="SAPBEXinputData 2 3 13" xfId="46681" xr:uid="{00000000-0005-0000-0000-000033B70000}"/>
    <cellStyle name="SAPBEXinputData 2 3 14" xfId="46682" xr:uid="{00000000-0005-0000-0000-000034B70000}"/>
    <cellStyle name="SAPBEXinputData 2 3 15" xfId="46683" xr:uid="{00000000-0005-0000-0000-000035B70000}"/>
    <cellStyle name="SAPBEXinputData 2 3 16" xfId="46684" xr:uid="{00000000-0005-0000-0000-000036B70000}"/>
    <cellStyle name="SAPBEXinputData 2 3 17" xfId="46685" xr:uid="{00000000-0005-0000-0000-000037B70000}"/>
    <cellStyle name="SAPBEXinputData 2 3 18" xfId="46686" xr:uid="{00000000-0005-0000-0000-000038B70000}"/>
    <cellStyle name="SAPBEXinputData 2 3 19" xfId="46687" xr:uid="{00000000-0005-0000-0000-000039B70000}"/>
    <cellStyle name="SAPBEXinputData 2 3 2" xfId="46688" xr:uid="{00000000-0005-0000-0000-00003AB70000}"/>
    <cellStyle name="SAPBEXinputData 2 3 2 10" xfId="46689" xr:uid="{00000000-0005-0000-0000-00003BB70000}"/>
    <cellStyle name="SAPBEXinputData 2 3 2 11" xfId="46690" xr:uid="{00000000-0005-0000-0000-00003CB70000}"/>
    <cellStyle name="SAPBEXinputData 2 3 2 12" xfId="46691" xr:uid="{00000000-0005-0000-0000-00003DB70000}"/>
    <cellStyle name="SAPBEXinputData 2 3 2 13" xfId="46692" xr:uid="{00000000-0005-0000-0000-00003EB70000}"/>
    <cellStyle name="SAPBEXinputData 2 3 2 2" xfId="46693" xr:uid="{00000000-0005-0000-0000-00003FB70000}"/>
    <cellStyle name="SAPBEXinputData 2 3 2 2 2" xfId="46694" xr:uid="{00000000-0005-0000-0000-000040B70000}"/>
    <cellStyle name="SAPBEXinputData 2 3 2 2 3" xfId="46695" xr:uid="{00000000-0005-0000-0000-000041B70000}"/>
    <cellStyle name="SAPBEXinputData 2 3 2 3" xfId="46696" xr:uid="{00000000-0005-0000-0000-000042B70000}"/>
    <cellStyle name="SAPBEXinputData 2 3 2 3 2" xfId="46697" xr:uid="{00000000-0005-0000-0000-000043B70000}"/>
    <cellStyle name="SAPBEXinputData 2 3 2 4" xfId="46698" xr:uid="{00000000-0005-0000-0000-000044B70000}"/>
    <cellStyle name="SAPBEXinputData 2 3 2 4 2" xfId="46699" xr:uid="{00000000-0005-0000-0000-000045B70000}"/>
    <cellStyle name="SAPBEXinputData 2 3 2 5" xfId="46700" xr:uid="{00000000-0005-0000-0000-000046B70000}"/>
    <cellStyle name="SAPBEXinputData 2 3 2 5 2" xfId="46701" xr:uid="{00000000-0005-0000-0000-000047B70000}"/>
    <cellStyle name="SAPBEXinputData 2 3 2 6" xfId="46702" xr:uid="{00000000-0005-0000-0000-000048B70000}"/>
    <cellStyle name="SAPBEXinputData 2 3 2 6 2" xfId="46703" xr:uid="{00000000-0005-0000-0000-000049B70000}"/>
    <cellStyle name="SAPBEXinputData 2 3 2 7" xfId="46704" xr:uid="{00000000-0005-0000-0000-00004AB70000}"/>
    <cellStyle name="SAPBEXinputData 2 3 2 7 2" xfId="46705" xr:uid="{00000000-0005-0000-0000-00004BB70000}"/>
    <cellStyle name="SAPBEXinputData 2 3 2 8" xfId="46706" xr:uid="{00000000-0005-0000-0000-00004CB70000}"/>
    <cellStyle name="SAPBEXinputData 2 3 2 8 2" xfId="46707" xr:uid="{00000000-0005-0000-0000-00004DB70000}"/>
    <cellStyle name="SAPBEXinputData 2 3 2 9" xfId="46708" xr:uid="{00000000-0005-0000-0000-00004EB70000}"/>
    <cellStyle name="SAPBEXinputData 2 3 20" xfId="46709" xr:uid="{00000000-0005-0000-0000-00004FB70000}"/>
    <cellStyle name="SAPBEXinputData 2 3 21" xfId="46710" xr:uid="{00000000-0005-0000-0000-000050B70000}"/>
    <cellStyle name="SAPBEXinputData 2 3 22" xfId="46711" xr:uid="{00000000-0005-0000-0000-000051B70000}"/>
    <cellStyle name="SAPBEXinputData 2 3 23" xfId="46712" xr:uid="{00000000-0005-0000-0000-000052B70000}"/>
    <cellStyle name="SAPBEXinputData 2 3 24" xfId="46713" xr:uid="{00000000-0005-0000-0000-000053B70000}"/>
    <cellStyle name="SAPBEXinputData 2 3 25" xfId="46714" xr:uid="{00000000-0005-0000-0000-000054B70000}"/>
    <cellStyle name="SAPBEXinputData 2 3 26" xfId="46715" xr:uid="{00000000-0005-0000-0000-000055B70000}"/>
    <cellStyle name="SAPBEXinputData 2 3 27" xfId="46716" xr:uid="{00000000-0005-0000-0000-000056B70000}"/>
    <cellStyle name="SAPBEXinputData 2 3 28" xfId="46717" xr:uid="{00000000-0005-0000-0000-000057B70000}"/>
    <cellStyle name="SAPBEXinputData 2 3 29" xfId="46718" xr:uid="{00000000-0005-0000-0000-000058B70000}"/>
    <cellStyle name="SAPBEXinputData 2 3 3" xfId="46719" xr:uid="{00000000-0005-0000-0000-000059B70000}"/>
    <cellStyle name="SAPBEXinputData 2 3 3 2" xfId="46720" xr:uid="{00000000-0005-0000-0000-00005AB70000}"/>
    <cellStyle name="SAPBEXinputData 2 3 3 3" xfId="46721" xr:uid="{00000000-0005-0000-0000-00005BB70000}"/>
    <cellStyle name="SAPBEXinputData 2 3 30" xfId="46722" xr:uid="{00000000-0005-0000-0000-00005CB70000}"/>
    <cellStyle name="SAPBEXinputData 2 3 4" xfId="46723" xr:uid="{00000000-0005-0000-0000-00005DB70000}"/>
    <cellStyle name="SAPBEXinputData 2 3 4 2" xfId="46724" xr:uid="{00000000-0005-0000-0000-00005EB70000}"/>
    <cellStyle name="SAPBEXinputData 2 3 5" xfId="46725" xr:uid="{00000000-0005-0000-0000-00005FB70000}"/>
    <cellStyle name="SAPBEXinputData 2 3 5 2" xfId="46726" xr:uid="{00000000-0005-0000-0000-000060B70000}"/>
    <cellStyle name="SAPBEXinputData 2 3 6" xfId="46727" xr:uid="{00000000-0005-0000-0000-000061B70000}"/>
    <cellStyle name="SAPBEXinputData 2 3 6 2" xfId="46728" xr:uid="{00000000-0005-0000-0000-000062B70000}"/>
    <cellStyle name="SAPBEXinputData 2 3 7" xfId="46729" xr:uid="{00000000-0005-0000-0000-000063B70000}"/>
    <cellStyle name="SAPBEXinputData 2 3 7 2" xfId="46730" xr:uid="{00000000-0005-0000-0000-000064B70000}"/>
    <cellStyle name="SAPBEXinputData 2 3 8" xfId="46731" xr:uid="{00000000-0005-0000-0000-000065B70000}"/>
    <cellStyle name="SAPBEXinputData 2 3 8 2" xfId="46732" xr:uid="{00000000-0005-0000-0000-000066B70000}"/>
    <cellStyle name="SAPBEXinputData 2 3 9" xfId="46733" xr:uid="{00000000-0005-0000-0000-000067B70000}"/>
    <cellStyle name="SAPBEXinputData 2 3 9 2" xfId="46734" xr:uid="{00000000-0005-0000-0000-000068B70000}"/>
    <cellStyle name="SAPBEXinputData 2 4" xfId="46735" xr:uid="{00000000-0005-0000-0000-000069B70000}"/>
    <cellStyle name="SAPBEXinputData 2 4 10" xfId="46736" xr:uid="{00000000-0005-0000-0000-00006AB70000}"/>
    <cellStyle name="SAPBEXinputData 2 4 11" xfId="46737" xr:uid="{00000000-0005-0000-0000-00006BB70000}"/>
    <cellStyle name="SAPBEXinputData 2 4 12" xfId="46738" xr:uid="{00000000-0005-0000-0000-00006CB70000}"/>
    <cellStyle name="SAPBEXinputData 2 4 13" xfId="46739" xr:uid="{00000000-0005-0000-0000-00006DB70000}"/>
    <cellStyle name="SAPBEXinputData 2 4 14" xfId="46740" xr:uid="{00000000-0005-0000-0000-00006EB70000}"/>
    <cellStyle name="SAPBEXinputData 2 4 15" xfId="46741" xr:uid="{00000000-0005-0000-0000-00006FB70000}"/>
    <cellStyle name="SAPBEXinputData 2 4 16" xfId="46742" xr:uid="{00000000-0005-0000-0000-000070B70000}"/>
    <cellStyle name="SAPBEXinputData 2 4 17" xfId="46743" xr:uid="{00000000-0005-0000-0000-000071B70000}"/>
    <cellStyle name="SAPBEXinputData 2 4 18" xfId="46744" xr:uid="{00000000-0005-0000-0000-000072B70000}"/>
    <cellStyle name="SAPBEXinputData 2 4 19" xfId="46745" xr:uid="{00000000-0005-0000-0000-000073B70000}"/>
    <cellStyle name="SAPBEXinputData 2 4 2" xfId="46746" xr:uid="{00000000-0005-0000-0000-000074B70000}"/>
    <cellStyle name="SAPBEXinputData 2 4 2 10" xfId="46747" xr:uid="{00000000-0005-0000-0000-000075B70000}"/>
    <cellStyle name="SAPBEXinputData 2 4 2 11" xfId="46748" xr:uid="{00000000-0005-0000-0000-000076B70000}"/>
    <cellStyle name="SAPBEXinputData 2 4 2 12" xfId="46749" xr:uid="{00000000-0005-0000-0000-000077B70000}"/>
    <cellStyle name="SAPBEXinputData 2 4 2 13" xfId="46750" xr:uid="{00000000-0005-0000-0000-000078B70000}"/>
    <cellStyle name="SAPBEXinputData 2 4 2 2" xfId="46751" xr:uid="{00000000-0005-0000-0000-000079B70000}"/>
    <cellStyle name="SAPBEXinputData 2 4 2 2 2" xfId="46752" xr:uid="{00000000-0005-0000-0000-00007AB70000}"/>
    <cellStyle name="SAPBEXinputData 2 4 2 2 3" xfId="46753" xr:uid="{00000000-0005-0000-0000-00007BB70000}"/>
    <cellStyle name="SAPBEXinputData 2 4 2 3" xfId="46754" xr:uid="{00000000-0005-0000-0000-00007CB70000}"/>
    <cellStyle name="SAPBEXinputData 2 4 2 3 2" xfId="46755" xr:uid="{00000000-0005-0000-0000-00007DB70000}"/>
    <cellStyle name="SAPBEXinputData 2 4 2 4" xfId="46756" xr:uid="{00000000-0005-0000-0000-00007EB70000}"/>
    <cellStyle name="SAPBEXinputData 2 4 2 4 2" xfId="46757" xr:uid="{00000000-0005-0000-0000-00007FB70000}"/>
    <cellStyle name="SAPBEXinputData 2 4 2 5" xfId="46758" xr:uid="{00000000-0005-0000-0000-000080B70000}"/>
    <cellStyle name="SAPBEXinputData 2 4 2 5 2" xfId="46759" xr:uid="{00000000-0005-0000-0000-000081B70000}"/>
    <cellStyle name="SAPBEXinputData 2 4 2 6" xfId="46760" xr:uid="{00000000-0005-0000-0000-000082B70000}"/>
    <cellStyle name="SAPBEXinputData 2 4 2 6 2" xfId="46761" xr:uid="{00000000-0005-0000-0000-000083B70000}"/>
    <cellStyle name="SAPBEXinputData 2 4 2 7" xfId="46762" xr:uid="{00000000-0005-0000-0000-000084B70000}"/>
    <cellStyle name="SAPBEXinputData 2 4 2 7 2" xfId="46763" xr:uid="{00000000-0005-0000-0000-000085B70000}"/>
    <cellStyle name="SAPBEXinputData 2 4 2 8" xfId="46764" xr:uid="{00000000-0005-0000-0000-000086B70000}"/>
    <cellStyle name="SAPBEXinputData 2 4 2 8 2" xfId="46765" xr:uid="{00000000-0005-0000-0000-000087B70000}"/>
    <cellStyle name="SAPBEXinputData 2 4 2 9" xfId="46766" xr:uid="{00000000-0005-0000-0000-000088B70000}"/>
    <cellStyle name="SAPBEXinputData 2 4 20" xfId="46767" xr:uid="{00000000-0005-0000-0000-000089B70000}"/>
    <cellStyle name="SAPBEXinputData 2 4 21" xfId="46768" xr:uid="{00000000-0005-0000-0000-00008AB70000}"/>
    <cellStyle name="SAPBEXinputData 2 4 22" xfId="46769" xr:uid="{00000000-0005-0000-0000-00008BB70000}"/>
    <cellStyle name="SAPBEXinputData 2 4 23" xfId="46770" xr:uid="{00000000-0005-0000-0000-00008CB70000}"/>
    <cellStyle name="SAPBEXinputData 2 4 24" xfId="46771" xr:uid="{00000000-0005-0000-0000-00008DB70000}"/>
    <cellStyle name="SAPBEXinputData 2 4 25" xfId="46772" xr:uid="{00000000-0005-0000-0000-00008EB70000}"/>
    <cellStyle name="SAPBEXinputData 2 4 26" xfId="46773" xr:uid="{00000000-0005-0000-0000-00008FB70000}"/>
    <cellStyle name="SAPBEXinputData 2 4 27" xfId="46774" xr:uid="{00000000-0005-0000-0000-000090B70000}"/>
    <cellStyle name="SAPBEXinputData 2 4 28" xfId="46775" xr:uid="{00000000-0005-0000-0000-000091B70000}"/>
    <cellStyle name="SAPBEXinputData 2 4 29" xfId="46776" xr:uid="{00000000-0005-0000-0000-000092B70000}"/>
    <cellStyle name="SAPBEXinputData 2 4 3" xfId="46777" xr:uid="{00000000-0005-0000-0000-000093B70000}"/>
    <cellStyle name="SAPBEXinputData 2 4 3 2" xfId="46778" xr:uid="{00000000-0005-0000-0000-000094B70000}"/>
    <cellStyle name="SAPBEXinputData 2 4 3 3" xfId="46779" xr:uid="{00000000-0005-0000-0000-000095B70000}"/>
    <cellStyle name="SAPBEXinputData 2 4 30" xfId="46780" xr:uid="{00000000-0005-0000-0000-000096B70000}"/>
    <cellStyle name="SAPBEXinputData 2 4 4" xfId="46781" xr:uid="{00000000-0005-0000-0000-000097B70000}"/>
    <cellStyle name="SAPBEXinputData 2 4 4 2" xfId="46782" xr:uid="{00000000-0005-0000-0000-000098B70000}"/>
    <cellStyle name="SAPBEXinputData 2 4 5" xfId="46783" xr:uid="{00000000-0005-0000-0000-000099B70000}"/>
    <cellStyle name="SAPBEXinputData 2 4 5 2" xfId="46784" xr:uid="{00000000-0005-0000-0000-00009AB70000}"/>
    <cellStyle name="SAPBEXinputData 2 4 6" xfId="46785" xr:uid="{00000000-0005-0000-0000-00009BB70000}"/>
    <cellStyle name="SAPBEXinputData 2 4 6 2" xfId="46786" xr:uid="{00000000-0005-0000-0000-00009CB70000}"/>
    <cellStyle name="SAPBEXinputData 2 4 7" xfId="46787" xr:uid="{00000000-0005-0000-0000-00009DB70000}"/>
    <cellStyle name="SAPBEXinputData 2 4 7 2" xfId="46788" xr:uid="{00000000-0005-0000-0000-00009EB70000}"/>
    <cellStyle name="SAPBEXinputData 2 4 8" xfId="46789" xr:uid="{00000000-0005-0000-0000-00009FB70000}"/>
    <cellStyle name="SAPBEXinputData 2 4 8 2" xfId="46790" xr:uid="{00000000-0005-0000-0000-0000A0B70000}"/>
    <cellStyle name="SAPBEXinputData 2 4 9" xfId="46791" xr:uid="{00000000-0005-0000-0000-0000A1B70000}"/>
    <cellStyle name="SAPBEXinputData 2 4 9 2" xfId="46792" xr:uid="{00000000-0005-0000-0000-0000A2B70000}"/>
    <cellStyle name="SAPBEXinputData 2 5" xfId="46793" xr:uid="{00000000-0005-0000-0000-0000A3B70000}"/>
    <cellStyle name="SAPBEXinputData 2 5 10" xfId="46794" xr:uid="{00000000-0005-0000-0000-0000A4B70000}"/>
    <cellStyle name="SAPBEXinputData 2 5 11" xfId="46795" xr:uid="{00000000-0005-0000-0000-0000A5B70000}"/>
    <cellStyle name="SAPBEXinputData 2 5 12" xfId="46796" xr:uid="{00000000-0005-0000-0000-0000A6B70000}"/>
    <cellStyle name="SAPBEXinputData 2 5 13" xfId="46797" xr:uid="{00000000-0005-0000-0000-0000A7B70000}"/>
    <cellStyle name="SAPBEXinputData 2 5 2" xfId="46798" xr:uid="{00000000-0005-0000-0000-0000A8B70000}"/>
    <cellStyle name="SAPBEXinputData 2 5 2 2" xfId="46799" xr:uid="{00000000-0005-0000-0000-0000A9B70000}"/>
    <cellStyle name="SAPBEXinputData 2 5 2 3" xfId="46800" xr:uid="{00000000-0005-0000-0000-0000AAB70000}"/>
    <cellStyle name="SAPBEXinputData 2 5 3" xfId="46801" xr:uid="{00000000-0005-0000-0000-0000ABB70000}"/>
    <cellStyle name="SAPBEXinputData 2 5 3 2" xfId="46802" xr:uid="{00000000-0005-0000-0000-0000ACB70000}"/>
    <cellStyle name="SAPBEXinputData 2 5 4" xfId="46803" xr:uid="{00000000-0005-0000-0000-0000ADB70000}"/>
    <cellStyle name="SAPBEXinputData 2 5 4 2" xfId="46804" xr:uid="{00000000-0005-0000-0000-0000AEB70000}"/>
    <cellStyle name="SAPBEXinputData 2 5 5" xfId="46805" xr:uid="{00000000-0005-0000-0000-0000AFB70000}"/>
    <cellStyle name="SAPBEXinputData 2 5 5 2" xfId="46806" xr:uid="{00000000-0005-0000-0000-0000B0B70000}"/>
    <cellStyle name="SAPBEXinputData 2 5 6" xfId="46807" xr:uid="{00000000-0005-0000-0000-0000B1B70000}"/>
    <cellStyle name="SAPBEXinputData 2 5 6 2" xfId="46808" xr:uid="{00000000-0005-0000-0000-0000B2B70000}"/>
    <cellStyle name="SAPBEXinputData 2 5 7" xfId="46809" xr:uid="{00000000-0005-0000-0000-0000B3B70000}"/>
    <cellStyle name="SAPBEXinputData 2 5 7 2" xfId="46810" xr:uid="{00000000-0005-0000-0000-0000B4B70000}"/>
    <cellStyle name="SAPBEXinputData 2 5 8" xfId="46811" xr:uid="{00000000-0005-0000-0000-0000B5B70000}"/>
    <cellStyle name="SAPBEXinputData 2 5 8 2" xfId="46812" xr:uid="{00000000-0005-0000-0000-0000B6B70000}"/>
    <cellStyle name="SAPBEXinputData 2 5 9" xfId="46813" xr:uid="{00000000-0005-0000-0000-0000B7B70000}"/>
    <cellStyle name="SAPBEXinputData 2 6" xfId="46814" xr:uid="{00000000-0005-0000-0000-0000B8B70000}"/>
    <cellStyle name="SAPBEXinputData 2 6 2" xfId="46815" xr:uid="{00000000-0005-0000-0000-0000B9B70000}"/>
    <cellStyle name="SAPBEXinputData 2 6 3" xfId="46816" xr:uid="{00000000-0005-0000-0000-0000BAB70000}"/>
    <cellStyle name="SAPBEXinputData 2 7" xfId="46817" xr:uid="{00000000-0005-0000-0000-0000BBB70000}"/>
    <cellStyle name="SAPBEXinputData 2 7 2" xfId="46818" xr:uid="{00000000-0005-0000-0000-0000BCB70000}"/>
    <cellStyle name="SAPBEXinputData 2 8" xfId="46819" xr:uid="{00000000-0005-0000-0000-0000BDB70000}"/>
    <cellStyle name="SAPBEXinputData 2 8 2" xfId="46820" xr:uid="{00000000-0005-0000-0000-0000BEB70000}"/>
    <cellStyle name="SAPBEXinputData 2 9" xfId="46821" xr:uid="{00000000-0005-0000-0000-0000BFB70000}"/>
    <cellStyle name="SAPBEXinputData 2 9 2" xfId="46822" xr:uid="{00000000-0005-0000-0000-0000C0B70000}"/>
    <cellStyle name="SAPBEXinputData 3" xfId="46823" xr:uid="{00000000-0005-0000-0000-0000C1B70000}"/>
    <cellStyle name="SAPBEXinputData 3 10" xfId="46824" xr:uid="{00000000-0005-0000-0000-0000C2B70000}"/>
    <cellStyle name="SAPBEXinputData 3 11" xfId="46825" xr:uid="{00000000-0005-0000-0000-0000C3B70000}"/>
    <cellStyle name="SAPBEXinputData 3 12" xfId="46826" xr:uid="{00000000-0005-0000-0000-0000C4B70000}"/>
    <cellStyle name="SAPBEXinputData 3 13" xfId="46827" xr:uid="{00000000-0005-0000-0000-0000C5B70000}"/>
    <cellStyle name="SAPBEXinputData 3 14" xfId="46828" xr:uid="{00000000-0005-0000-0000-0000C6B70000}"/>
    <cellStyle name="SAPBEXinputData 3 15" xfId="46829" xr:uid="{00000000-0005-0000-0000-0000C7B70000}"/>
    <cellStyle name="SAPBEXinputData 3 16" xfId="46830" xr:uid="{00000000-0005-0000-0000-0000C8B70000}"/>
    <cellStyle name="SAPBEXinputData 3 17" xfId="46831" xr:uid="{00000000-0005-0000-0000-0000C9B70000}"/>
    <cellStyle name="SAPBEXinputData 3 18" xfId="46832" xr:uid="{00000000-0005-0000-0000-0000CAB70000}"/>
    <cellStyle name="SAPBEXinputData 3 19" xfId="46833" xr:uid="{00000000-0005-0000-0000-0000CBB70000}"/>
    <cellStyle name="SAPBEXinputData 3 2" xfId="46834" xr:uid="{00000000-0005-0000-0000-0000CCB70000}"/>
    <cellStyle name="SAPBEXinputData 3 2 10" xfId="46835" xr:uid="{00000000-0005-0000-0000-0000CDB70000}"/>
    <cellStyle name="SAPBEXinputData 3 2 11" xfId="46836" xr:uid="{00000000-0005-0000-0000-0000CEB70000}"/>
    <cellStyle name="SAPBEXinputData 3 2 12" xfId="46837" xr:uid="{00000000-0005-0000-0000-0000CFB70000}"/>
    <cellStyle name="SAPBEXinputData 3 2 13" xfId="46838" xr:uid="{00000000-0005-0000-0000-0000D0B70000}"/>
    <cellStyle name="SAPBEXinputData 3 2 2" xfId="46839" xr:uid="{00000000-0005-0000-0000-0000D1B70000}"/>
    <cellStyle name="SAPBEXinputData 3 2 2 2" xfId="46840" xr:uid="{00000000-0005-0000-0000-0000D2B70000}"/>
    <cellStyle name="SAPBEXinputData 3 2 2 3" xfId="46841" xr:uid="{00000000-0005-0000-0000-0000D3B70000}"/>
    <cellStyle name="SAPBEXinputData 3 2 3" xfId="46842" xr:uid="{00000000-0005-0000-0000-0000D4B70000}"/>
    <cellStyle name="SAPBEXinputData 3 2 3 2" xfId="46843" xr:uid="{00000000-0005-0000-0000-0000D5B70000}"/>
    <cellStyle name="SAPBEXinputData 3 2 4" xfId="46844" xr:uid="{00000000-0005-0000-0000-0000D6B70000}"/>
    <cellStyle name="SAPBEXinputData 3 2 4 2" xfId="46845" xr:uid="{00000000-0005-0000-0000-0000D7B70000}"/>
    <cellStyle name="SAPBEXinputData 3 2 5" xfId="46846" xr:uid="{00000000-0005-0000-0000-0000D8B70000}"/>
    <cellStyle name="SAPBEXinputData 3 2 5 2" xfId="46847" xr:uid="{00000000-0005-0000-0000-0000D9B70000}"/>
    <cellStyle name="SAPBEXinputData 3 2 6" xfId="46848" xr:uid="{00000000-0005-0000-0000-0000DAB70000}"/>
    <cellStyle name="SAPBEXinputData 3 2 6 2" xfId="46849" xr:uid="{00000000-0005-0000-0000-0000DBB70000}"/>
    <cellStyle name="SAPBEXinputData 3 2 7" xfId="46850" xr:uid="{00000000-0005-0000-0000-0000DCB70000}"/>
    <cellStyle name="SAPBEXinputData 3 2 7 2" xfId="46851" xr:uid="{00000000-0005-0000-0000-0000DDB70000}"/>
    <cellStyle name="SAPBEXinputData 3 2 8" xfId="46852" xr:uid="{00000000-0005-0000-0000-0000DEB70000}"/>
    <cellStyle name="SAPBEXinputData 3 2 8 2" xfId="46853" xr:uid="{00000000-0005-0000-0000-0000DFB70000}"/>
    <cellStyle name="SAPBEXinputData 3 2 9" xfId="46854" xr:uid="{00000000-0005-0000-0000-0000E0B70000}"/>
    <cellStyle name="SAPBEXinputData 3 20" xfId="46855" xr:uid="{00000000-0005-0000-0000-0000E1B70000}"/>
    <cellStyle name="SAPBEXinputData 3 21" xfId="46856" xr:uid="{00000000-0005-0000-0000-0000E2B70000}"/>
    <cellStyle name="SAPBEXinputData 3 22" xfId="46857" xr:uid="{00000000-0005-0000-0000-0000E3B70000}"/>
    <cellStyle name="SAPBEXinputData 3 23" xfId="46858" xr:uid="{00000000-0005-0000-0000-0000E4B70000}"/>
    <cellStyle name="SAPBEXinputData 3 24" xfId="46859" xr:uid="{00000000-0005-0000-0000-0000E5B70000}"/>
    <cellStyle name="SAPBEXinputData 3 25" xfId="46860" xr:uid="{00000000-0005-0000-0000-0000E6B70000}"/>
    <cellStyle name="SAPBEXinputData 3 26" xfId="46861" xr:uid="{00000000-0005-0000-0000-0000E7B70000}"/>
    <cellStyle name="SAPBEXinputData 3 27" xfId="46862" xr:uid="{00000000-0005-0000-0000-0000E8B70000}"/>
    <cellStyle name="SAPBEXinputData 3 28" xfId="46863" xr:uid="{00000000-0005-0000-0000-0000E9B70000}"/>
    <cellStyle name="SAPBEXinputData 3 29" xfId="46864" xr:uid="{00000000-0005-0000-0000-0000EAB70000}"/>
    <cellStyle name="SAPBEXinputData 3 3" xfId="46865" xr:uid="{00000000-0005-0000-0000-0000EBB70000}"/>
    <cellStyle name="SAPBEXinputData 3 3 2" xfId="46866" xr:uid="{00000000-0005-0000-0000-0000ECB70000}"/>
    <cellStyle name="SAPBEXinputData 3 3 3" xfId="46867" xr:uid="{00000000-0005-0000-0000-0000EDB70000}"/>
    <cellStyle name="SAPBEXinputData 3 30" xfId="46868" xr:uid="{00000000-0005-0000-0000-0000EEB70000}"/>
    <cellStyle name="SAPBEXinputData 3 4" xfId="46869" xr:uid="{00000000-0005-0000-0000-0000EFB70000}"/>
    <cellStyle name="SAPBEXinputData 3 4 2" xfId="46870" xr:uid="{00000000-0005-0000-0000-0000F0B70000}"/>
    <cellStyle name="SAPBEXinputData 3 5" xfId="46871" xr:uid="{00000000-0005-0000-0000-0000F1B70000}"/>
    <cellStyle name="SAPBEXinputData 3 5 2" xfId="46872" xr:uid="{00000000-0005-0000-0000-0000F2B70000}"/>
    <cellStyle name="SAPBEXinputData 3 6" xfId="46873" xr:uid="{00000000-0005-0000-0000-0000F3B70000}"/>
    <cellStyle name="SAPBEXinputData 3 6 2" xfId="46874" xr:uid="{00000000-0005-0000-0000-0000F4B70000}"/>
    <cellStyle name="SAPBEXinputData 3 7" xfId="46875" xr:uid="{00000000-0005-0000-0000-0000F5B70000}"/>
    <cellStyle name="SAPBEXinputData 3 7 2" xfId="46876" xr:uid="{00000000-0005-0000-0000-0000F6B70000}"/>
    <cellStyle name="SAPBEXinputData 3 8" xfId="46877" xr:uid="{00000000-0005-0000-0000-0000F7B70000}"/>
    <cellStyle name="SAPBEXinputData 3 8 2" xfId="46878" xr:uid="{00000000-0005-0000-0000-0000F8B70000}"/>
    <cellStyle name="SAPBEXinputData 3 9" xfId="46879" xr:uid="{00000000-0005-0000-0000-0000F9B70000}"/>
    <cellStyle name="SAPBEXinputData 3 9 2" xfId="46880" xr:uid="{00000000-0005-0000-0000-0000FAB70000}"/>
    <cellStyle name="SAPBEXinputData 4" xfId="46881" xr:uid="{00000000-0005-0000-0000-0000FBB70000}"/>
    <cellStyle name="SAPBEXinputData 4 10" xfId="46882" xr:uid="{00000000-0005-0000-0000-0000FCB70000}"/>
    <cellStyle name="SAPBEXinputData 4 11" xfId="46883" xr:uid="{00000000-0005-0000-0000-0000FDB70000}"/>
    <cellStyle name="SAPBEXinputData 4 12" xfId="46884" xr:uid="{00000000-0005-0000-0000-0000FEB70000}"/>
    <cellStyle name="SAPBEXinputData 4 13" xfId="46885" xr:uid="{00000000-0005-0000-0000-0000FFB70000}"/>
    <cellStyle name="SAPBEXinputData 4 14" xfId="46886" xr:uid="{00000000-0005-0000-0000-000000B80000}"/>
    <cellStyle name="SAPBEXinputData 4 15" xfId="46887" xr:uid="{00000000-0005-0000-0000-000001B80000}"/>
    <cellStyle name="SAPBEXinputData 4 16" xfId="46888" xr:uid="{00000000-0005-0000-0000-000002B80000}"/>
    <cellStyle name="SAPBEXinputData 4 17" xfId="46889" xr:uid="{00000000-0005-0000-0000-000003B80000}"/>
    <cellStyle name="SAPBEXinputData 4 18" xfId="46890" xr:uid="{00000000-0005-0000-0000-000004B80000}"/>
    <cellStyle name="SAPBEXinputData 4 19" xfId="46891" xr:uid="{00000000-0005-0000-0000-000005B80000}"/>
    <cellStyle name="SAPBEXinputData 4 2" xfId="46892" xr:uid="{00000000-0005-0000-0000-000006B80000}"/>
    <cellStyle name="SAPBEXinputData 4 2 10" xfId="46893" xr:uid="{00000000-0005-0000-0000-000007B80000}"/>
    <cellStyle name="SAPBEXinputData 4 2 11" xfId="46894" xr:uid="{00000000-0005-0000-0000-000008B80000}"/>
    <cellStyle name="SAPBEXinputData 4 2 12" xfId="46895" xr:uid="{00000000-0005-0000-0000-000009B80000}"/>
    <cellStyle name="SAPBEXinputData 4 2 13" xfId="46896" xr:uid="{00000000-0005-0000-0000-00000AB80000}"/>
    <cellStyle name="SAPBEXinputData 4 2 2" xfId="46897" xr:uid="{00000000-0005-0000-0000-00000BB80000}"/>
    <cellStyle name="SAPBEXinputData 4 2 2 2" xfId="46898" xr:uid="{00000000-0005-0000-0000-00000CB80000}"/>
    <cellStyle name="SAPBEXinputData 4 2 2 3" xfId="46899" xr:uid="{00000000-0005-0000-0000-00000DB80000}"/>
    <cellStyle name="SAPBEXinputData 4 2 3" xfId="46900" xr:uid="{00000000-0005-0000-0000-00000EB80000}"/>
    <cellStyle name="SAPBEXinputData 4 2 3 2" xfId="46901" xr:uid="{00000000-0005-0000-0000-00000FB80000}"/>
    <cellStyle name="SAPBEXinputData 4 2 4" xfId="46902" xr:uid="{00000000-0005-0000-0000-000010B80000}"/>
    <cellStyle name="SAPBEXinputData 4 2 4 2" xfId="46903" xr:uid="{00000000-0005-0000-0000-000011B80000}"/>
    <cellStyle name="SAPBEXinputData 4 2 5" xfId="46904" xr:uid="{00000000-0005-0000-0000-000012B80000}"/>
    <cellStyle name="SAPBEXinputData 4 2 5 2" xfId="46905" xr:uid="{00000000-0005-0000-0000-000013B80000}"/>
    <cellStyle name="SAPBEXinputData 4 2 6" xfId="46906" xr:uid="{00000000-0005-0000-0000-000014B80000}"/>
    <cellStyle name="SAPBEXinputData 4 2 6 2" xfId="46907" xr:uid="{00000000-0005-0000-0000-000015B80000}"/>
    <cellStyle name="SAPBEXinputData 4 2 7" xfId="46908" xr:uid="{00000000-0005-0000-0000-000016B80000}"/>
    <cellStyle name="SAPBEXinputData 4 2 7 2" xfId="46909" xr:uid="{00000000-0005-0000-0000-000017B80000}"/>
    <cellStyle name="SAPBEXinputData 4 2 8" xfId="46910" xr:uid="{00000000-0005-0000-0000-000018B80000}"/>
    <cellStyle name="SAPBEXinputData 4 2 8 2" xfId="46911" xr:uid="{00000000-0005-0000-0000-000019B80000}"/>
    <cellStyle name="SAPBEXinputData 4 2 9" xfId="46912" xr:uid="{00000000-0005-0000-0000-00001AB80000}"/>
    <cellStyle name="SAPBEXinputData 4 20" xfId="46913" xr:uid="{00000000-0005-0000-0000-00001BB80000}"/>
    <cellStyle name="SAPBEXinputData 4 21" xfId="46914" xr:uid="{00000000-0005-0000-0000-00001CB80000}"/>
    <cellStyle name="SAPBEXinputData 4 22" xfId="46915" xr:uid="{00000000-0005-0000-0000-00001DB80000}"/>
    <cellStyle name="SAPBEXinputData 4 23" xfId="46916" xr:uid="{00000000-0005-0000-0000-00001EB80000}"/>
    <cellStyle name="SAPBEXinputData 4 24" xfId="46917" xr:uid="{00000000-0005-0000-0000-00001FB80000}"/>
    <cellStyle name="SAPBEXinputData 4 25" xfId="46918" xr:uid="{00000000-0005-0000-0000-000020B80000}"/>
    <cellStyle name="SAPBEXinputData 4 26" xfId="46919" xr:uid="{00000000-0005-0000-0000-000021B80000}"/>
    <cellStyle name="SAPBEXinputData 4 27" xfId="46920" xr:uid="{00000000-0005-0000-0000-000022B80000}"/>
    <cellStyle name="SAPBEXinputData 4 28" xfId="46921" xr:uid="{00000000-0005-0000-0000-000023B80000}"/>
    <cellStyle name="SAPBEXinputData 4 29" xfId="46922" xr:uid="{00000000-0005-0000-0000-000024B80000}"/>
    <cellStyle name="SAPBEXinputData 4 3" xfId="46923" xr:uid="{00000000-0005-0000-0000-000025B80000}"/>
    <cellStyle name="SAPBEXinputData 4 3 2" xfId="46924" xr:uid="{00000000-0005-0000-0000-000026B80000}"/>
    <cellStyle name="SAPBEXinputData 4 3 3" xfId="46925" xr:uid="{00000000-0005-0000-0000-000027B80000}"/>
    <cellStyle name="SAPBEXinputData 4 30" xfId="46926" xr:uid="{00000000-0005-0000-0000-000028B80000}"/>
    <cellStyle name="SAPBEXinputData 4 4" xfId="46927" xr:uid="{00000000-0005-0000-0000-000029B80000}"/>
    <cellStyle name="SAPBEXinputData 4 4 2" xfId="46928" xr:uid="{00000000-0005-0000-0000-00002AB80000}"/>
    <cellStyle name="SAPBEXinputData 4 5" xfId="46929" xr:uid="{00000000-0005-0000-0000-00002BB80000}"/>
    <cellStyle name="SAPBEXinputData 4 5 2" xfId="46930" xr:uid="{00000000-0005-0000-0000-00002CB80000}"/>
    <cellStyle name="SAPBEXinputData 4 6" xfId="46931" xr:uid="{00000000-0005-0000-0000-00002DB80000}"/>
    <cellStyle name="SAPBEXinputData 4 6 2" xfId="46932" xr:uid="{00000000-0005-0000-0000-00002EB80000}"/>
    <cellStyle name="SAPBEXinputData 4 7" xfId="46933" xr:uid="{00000000-0005-0000-0000-00002FB80000}"/>
    <cellStyle name="SAPBEXinputData 4 7 2" xfId="46934" xr:uid="{00000000-0005-0000-0000-000030B80000}"/>
    <cellStyle name="SAPBEXinputData 4 8" xfId="46935" xr:uid="{00000000-0005-0000-0000-000031B80000}"/>
    <cellStyle name="SAPBEXinputData 4 8 2" xfId="46936" xr:uid="{00000000-0005-0000-0000-000032B80000}"/>
    <cellStyle name="SAPBEXinputData 4 9" xfId="46937" xr:uid="{00000000-0005-0000-0000-000033B80000}"/>
    <cellStyle name="SAPBEXinputData 4 9 2" xfId="46938" xr:uid="{00000000-0005-0000-0000-000034B80000}"/>
    <cellStyle name="SAPBEXinputData 5" xfId="46939" xr:uid="{00000000-0005-0000-0000-000035B80000}"/>
    <cellStyle name="SAPBEXinputData 5 10" xfId="46940" xr:uid="{00000000-0005-0000-0000-000036B80000}"/>
    <cellStyle name="SAPBEXinputData 5 11" xfId="46941" xr:uid="{00000000-0005-0000-0000-000037B80000}"/>
    <cellStyle name="SAPBEXinputData 5 12" xfId="46942" xr:uid="{00000000-0005-0000-0000-000038B80000}"/>
    <cellStyle name="SAPBEXinputData 5 13" xfId="46943" xr:uid="{00000000-0005-0000-0000-000039B80000}"/>
    <cellStyle name="SAPBEXinputData 5 14" xfId="46944" xr:uid="{00000000-0005-0000-0000-00003AB80000}"/>
    <cellStyle name="SAPBEXinputData 5 15" xfId="46945" xr:uid="{00000000-0005-0000-0000-00003BB80000}"/>
    <cellStyle name="SAPBEXinputData 5 16" xfId="46946" xr:uid="{00000000-0005-0000-0000-00003CB80000}"/>
    <cellStyle name="SAPBEXinputData 5 17" xfId="46947" xr:uid="{00000000-0005-0000-0000-00003DB80000}"/>
    <cellStyle name="SAPBEXinputData 5 18" xfId="46948" xr:uid="{00000000-0005-0000-0000-00003EB80000}"/>
    <cellStyle name="SAPBEXinputData 5 19" xfId="46949" xr:uid="{00000000-0005-0000-0000-00003FB80000}"/>
    <cellStyle name="SAPBEXinputData 5 2" xfId="46950" xr:uid="{00000000-0005-0000-0000-000040B80000}"/>
    <cellStyle name="SAPBEXinputData 5 2 10" xfId="46951" xr:uid="{00000000-0005-0000-0000-000041B80000}"/>
    <cellStyle name="SAPBEXinputData 5 2 11" xfId="46952" xr:uid="{00000000-0005-0000-0000-000042B80000}"/>
    <cellStyle name="SAPBEXinputData 5 2 12" xfId="46953" xr:uid="{00000000-0005-0000-0000-000043B80000}"/>
    <cellStyle name="SAPBEXinputData 5 2 13" xfId="46954" xr:uid="{00000000-0005-0000-0000-000044B80000}"/>
    <cellStyle name="SAPBEXinputData 5 2 2" xfId="46955" xr:uid="{00000000-0005-0000-0000-000045B80000}"/>
    <cellStyle name="SAPBEXinputData 5 2 2 2" xfId="46956" xr:uid="{00000000-0005-0000-0000-000046B80000}"/>
    <cellStyle name="SAPBEXinputData 5 2 2 3" xfId="46957" xr:uid="{00000000-0005-0000-0000-000047B80000}"/>
    <cellStyle name="SAPBEXinputData 5 2 3" xfId="46958" xr:uid="{00000000-0005-0000-0000-000048B80000}"/>
    <cellStyle name="SAPBEXinputData 5 2 3 2" xfId="46959" xr:uid="{00000000-0005-0000-0000-000049B80000}"/>
    <cellStyle name="SAPBEXinputData 5 2 4" xfId="46960" xr:uid="{00000000-0005-0000-0000-00004AB80000}"/>
    <cellStyle name="SAPBEXinputData 5 2 4 2" xfId="46961" xr:uid="{00000000-0005-0000-0000-00004BB80000}"/>
    <cellStyle name="SAPBEXinputData 5 2 5" xfId="46962" xr:uid="{00000000-0005-0000-0000-00004CB80000}"/>
    <cellStyle name="SAPBEXinputData 5 2 5 2" xfId="46963" xr:uid="{00000000-0005-0000-0000-00004DB80000}"/>
    <cellStyle name="SAPBEXinputData 5 2 6" xfId="46964" xr:uid="{00000000-0005-0000-0000-00004EB80000}"/>
    <cellStyle name="SAPBEXinputData 5 2 6 2" xfId="46965" xr:uid="{00000000-0005-0000-0000-00004FB80000}"/>
    <cellStyle name="SAPBEXinputData 5 2 7" xfId="46966" xr:uid="{00000000-0005-0000-0000-000050B80000}"/>
    <cellStyle name="SAPBEXinputData 5 2 7 2" xfId="46967" xr:uid="{00000000-0005-0000-0000-000051B80000}"/>
    <cellStyle name="SAPBEXinputData 5 2 8" xfId="46968" xr:uid="{00000000-0005-0000-0000-000052B80000}"/>
    <cellStyle name="SAPBEXinputData 5 2 8 2" xfId="46969" xr:uid="{00000000-0005-0000-0000-000053B80000}"/>
    <cellStyle name="SAPBEXinputData 5 2 9" xfId="46970" xr:uid="{00000000-0005-0000-0000-000054B80000}"/>
    <cellStyle name="SAPBEXinputData 5 20" xfId="46971" xr:uid="{00000000-0005-0000-0000-000055B80000}"/>
    <cellStyle name="SAPBEXinputData 5 21" xfId="46972" xr:uid="{00000000-0005-0000-0000-000056B80000}"/>
    <cellStyle name="SAPBEXinputData 5 22" xfId="46973" xr:uid="{00000000-0005-0000-0000-000057B80000}"/>
    <cellStyle name="SAPBEXinputData 5 23" xfId="46974" xr:uid="{00000000-0005-0000-0000-000058B80000}"/>
    <cellStyle name="SAPBEXinputData 5 24" xfId="46975" xr:uid="{00000000-0005-0000-0000-000059B80000}"/>
    <cellStyle name="SAPBEXinputData 5 25" xfId="46976" xr:uid="{00000000-0005-0000-0000-00005AB80000}"/>
    <cellStyle name="SAPBEXinputData 5 26" xfId="46977" xr:uid="{00000000-0005-0000-0000-00005BB80000}"/>
    <cellStyle name="SAPBEXinputData 5 27" xfId="46978" xr:uid="{00000000-0005-0000-0000-00005CB80000}"/>
    <cellStyle name="SAPBEXinputData 5 28" xfId="46979" xr:uid="{00000000-0005-0000-0000-00005DB80000}"/>
    <cellStyle name="SAPBEXinputData 5 29" xfId="46980" xr:uid="{00000000-0005-0000-0000-00005EB80000}"/>
    <cellStyle name="SAPBEXinputData 5 3" xfId="46981" xr:uid="{00000000-0005-0000-0000-00005FB80000}"/>
    <cellStyle name="SAPBEXinputData 5 3 2" xfId="46982" xr:uid="{00000000-0005-0000-0000-000060B80000}"/>
    <cellStyle name="SAPBEXinputData 5 3 3" xfId="46983" xr:uid="{00000000-0005-0000-0000-000061B80000}"/>
    <cellStyle name="SAPBEXinputData 5 30" xfId="46984" xr:uid="{00000000-0005-0000-0000-000062B80000}"/>
    <cellStyle name="SAPBEXinputData 5 4" xfId="46985" xr:uid="{00000000-0005-0000-0000-000063B80000}"/>
    <cellStyle name="SAPBEXinputData 5 4 2" xfId="46986" xr:uid="{00000000-0005-0000-0000-000064B80000}"/>
    <cellStyle name="SAPBEXinputData 5 5" xfId="46987" xr:uid="{00000000-0005-0000-0000-000065B80000}"/>
    <cellStyle name="SAPBEXinputData 5 5 2" xfId="46988" xr:uid="{00000000-0005-0000-0000-000066B80000}"/>
    <cellStyle name="SAPBEXinputData 5 6" xfId="46989" xr:uid="{00000000-0005-0000-0000-000067B80000}"/>
    <cellStyle name="SAPBEXinputData 5 6 2" xfId="46990" xr:uid="{00000000-0005-0000-0000-000068B80000}"/>
    <cellStyle name="SAPBEXinputData 5 7" xfId="46991" xr:uid="{00000000-0005-0000-0000-000069B80000}"/>
    <cellStyle name="SAPBEXinputData 5 7 2" xfId="46992" xr:uid="{00000000-0005-0000-0000-00006AB80000}"/>
    <cellStyle name="SAPBEXinputData 5 8" xfId="46993" xr:uid="{00000000-0005-0000-0000-00006BB80000}"/>
    <cellStyle name="SAPBEXinputData 5 8 2" xfId="46994" xr:uid="{00000000-0005-0000-0000-00006CB80000}"/>
    <cellStyle name="SAPBEXinputData 5 9" xfId="46995" xr:uid="{00000000-0005-0000-0000-00006DB80000}"/>
    <cellStyle name="SAPBEXinputData 5 9 2" xfId="46996" xr:uid="{00000000-0005-0000-0000-00006EB80000}"/>
    <cellStyle name="SAPBEXinputData 6" xfId="46997" xr:uid="{00000000-0005-0000-0000-00006FB80000}"/>
    <cellStyle name="SAPBEXinputData 6 10" xfId="46998" xr:uid="{00000000-0005-0000-0000-000070B80000}"/>
    <cellStyle name="SAPBEXinputData 6 11" xfId="46999" xr:uid="{00000000-0005-0000-0000-000071B80000}"/>
    <cellStyle name="SAPBEXinputData 6 12" xfId="47000" xr:uid="{00000000-0005-0000-0000-000072B80000}"/>
    <cellStyle name="SAPBEXinputData 6 13" xfId="47001" xr:uid="{00000000-0005-0000-0000-000073B80000}"/>
    <cellStyle name="SAPBEXinputData 6 2" xfId="47002" xr:uid="{00000000-0005-0000-0000-000074B80000}"/>
    <cellStyle name="SAPBEXinputData 6 2 2" xfId="47003" xr:uid="{00000000-0005-0000-0000-000075B80000}"/>
    <cellStyle name="SAPBEXinputData 6 2 3" xfId="47004" xr:uid="{00000000-0005-0000-0000-000076B80000}"/>
    <cellStyle name="SAPBEXinputData 6 3" xfId="47005" xr:uid="{00000000-0005-0000-0000-000077B80000}"/>
    <cellStyle name="SAPBEXinputData 6 3 2" xfId="47006" xr:uid="{00000000-0005-0000-0000-000078B80000}"/>
    <cellStyle name="SAPBEXinputData 6 4" xfId="47007" xr:uid="{00000000-0005-0000-0000-000079B80000}"/>
    <cellStyle name="SAPBEXinputData 6 4 2" xfId="47008" xr:uid="{00000000-0005-0000-0000-00007AB80000}"/>
    <cellStyle name="SAPBEXinputData 6 5" xfId="47009" xr:uid="{00000000-0005-0000-0000-00007BB80000}"/>
    <cellStyle name="SAPBEXinputData 6 5 2" xfId="47010" xr:uid="{00000000-0005-0000-0000-00007CB80000}"/>
    <cellStyle name="SAPBEXinputData 6 6" xfId="47011" xr:uid="{00000000-0005-0000-0000-00007DB80000}"/>
    <cellStyle name="SAPBEXinputData 6 6 2" xfId="47012" xr:uid="{00000000-0005-0000-0000-00007EB80000}"/>
    <cellStyle name="SAPBEXinputData 6 7" xfId="47013" xr:uid="{00000000-0005-0000-0000-00007FB80000}"/>
    <cellStyle name="SAPBEXinputData 6 7 2" xfId="47014" xr:uid="{00000000-0005-0000-0000-000080B80000}"/>
    <cellStyle name="SAPBEXinputData 6 8" xfId="47015" xr:uid="{00000000-0005-0000-0000-000081B80000}"/>
    <cellStyle name="SAPBEXinputData 6 8 2" xfId="47016" xr:uid="{00000000-0005-0000-0000-000082B80000}"/>
    <cellStyle name="SAPBEXinputData 6 9" xfId="47017" xr:uid="{00000000-0005-0000-0000-000083B80000}"/>
    <cellStyle name="SAPBEXinputData 7" xfId="47018" xr:uid="{00000000-0005-0000-0000-000084B80000}"/>
    <cellStyle name="SAPBEXinputData 7 2" xfId="47019" xr:uid="{00000000-0005-0000-0000-000085B80000}"/>
    <cellStyle name="SAPBEXinputData 7 3" xfId="47020" xr:uid="{00000000-0005-0000-0000-000086B80000}"/>
    <cellStyle name="SAPBEXinputData 8" xfId="47021" xr:uid="{00000000-0005-0000-0000-000087B80000}"/>
    <cellStyle name="SAPBEXinputData 8 2" xfId="47022" xr:uid="{00000000-0005-0000-0000-000088B80000}"/>
    <cellStyle name="SAPBEXinputData 9" xfId="47023" xr:uid="{00000000-0005-0000-0000-000089B80000}"/>
    <cellStyle name="SAPBEXinputData 9 2" xfId="47024" xr:uid="{00000000-0005-0000-0000-00008AB80000}"/>
    <cellStyle name="SAPBEXinputData_0910 GSO Capex RRP - Final (Detail) v2 220710" xfId="47025" xr:uid="{00000000-0005-0000-0000-00008BB80000}"/>
    <cellStyle name="SAPBEXItemHeader" xfId="47026" xr:uid="{00000000-0005-0000-0000-00008CB80000}"/>
    <cellStyle name="SAPBEXItemHeader 10" xfId="47027" xr:uid="{00000000-0005-0000-0000-00008DB80000}"/>
    <cellStyle name="SAPBEXItemHeader 11" xfId="47028" xr:uid="{00000000-0005-0000-0000-00008EB80000}"/>
    <cellStyle name="SAPBEXItemHeader 12" xfId="47029" xr:uid="{00000000-0005-0000-0000-00008FB80000}"/>
    <cellStyle name="SAPBEXItemHeader 13" xfId="47030" xr:uid="{00000000-0005-0000-0000-000090B80000}"/>
    <cellStyle name="SAPBEXItemHeader 14" xfId="47031" xr:uid="{00000000-0005-0000-0000-000091B80000}"/>
    <cellStyle name="SAPBEXItemHeader 15" xfId="47032" xr:uid="{00000000-0005-0000-0000-000092B80000}"/>
    <cellStyle name="SAPBEXItemHeader 16" xfId="47033" xr:uid="{00000000-0005-0000-0000-000093B80000}"/>
    <cellStyle name="SAPBEXItemHeader 17" xfId="47034" xr:uid="{00000000-0005-0000-0000-000094B80000}"/>
    <cellStyle name="SAPBEXItemHeader 18" xfId="47035" xr:uid="{00000000-0005-0000-0000-000095B80000}"/>
    <cellStyle name="SAPBEXItemHeader 19" xfId="47036" xr:uid="{00000000-0005-0000-0000-000096B80000}"/>
    <cellStyle name="SAPBEXItemHeader 2" xfId="47037" xr:uid="{00000000-0005-0000-0000-000097B80000}"/>
    <cellStyle name="SAPBEXItemHeader 2 2" xfId="47038" xr:uid="{00000000-0005-0000-0000-000098B80000}"/>
    <cellStyle name="SAPBEXItemHeader 2 3" xfId="47039" xr:uid="{00000000-0005-0000-0000-000099B80000}"/>
    <cellStyle name="SAPBEXItemHeader 20" xfId="47040" xr:uid="{00000000-0005-0000-0000-00009AB80000}"/>
    <cellStyle name="SAPBEXItemHeader 21" xfId="47041" xr:uid="{00000000-0005-0000-0000-00009BB80000}"/>
    <cellStyle name="SAPBEXItemHeader 22" xfId="47042" xr:uid="{00000000-0005-0000-0000-00009CB80000}"/>
    <cellStyle name="SAPBEXItemHeader 23" xfId="47043" xr:uid="{00000000-0005-0000-0000-00009DB80000}"/>
    <cellStyle name="SAPBEXItemHeader 24" xfId="47044" xr:uid="{00000000-0005-0000-0000-00009EB80000}"/>
    <cellStyle name="SAPBEXItemHeader 25" xfId="47045" xr:uid="{00000000-0005-0000-0000-00009FB80000}"/>
    <cellStyle name="SAPBEXItemHeader 26" xfId="47046" xr:uid="{00000000-0005-0000-0000-0000A0B80000}"/>
    <cellStyle name="SAPBEXItemHeader 27" xfId="47047" xr:uid="{00000000-0005-0000-0000-0000A1B80000}"/>
    <cellStyle name="SAPBEXItemHeader 28" xfId="47048" xr:uid="{00000000-0005-0000-0000-0000A2B80000}"/>
    <cellStyle name="SAPBEXItemHeader 29" xfId="47049" xr:uid="{00000000-0005-0000-0000-0000A3B80000}"/>
    <cellStyle name="SAPBEXItemHeader 3" xfId="47050" xr:uid="{00000000-0005-0000-0000-0000A4B80000}"/>
    <cellStyle name="SAPBEXItemHeader 30" xfId="47051" xr:uid="{00000000-0005-0000-0000-0000A5B80000}"/>
    <cellStyle name="SAPBEXItemHeader 31" xfId="47052" xr:uid="{00000000-0005-0000-0000-0000A6B80000}"/>
    <cellStyle name="SAPBEXItemHeader 32" xfId="47053" xr:uid="{00000000-0005-0000-0000-0000A7B80000}"/>
    <cellStyle name="SAPBEXItemHeader 4" xfId="47054" xr:uid="{00000000-0005-0000-0000-0000A8B80000}"/>
    <cellStyle name="SAPBEXItemHeader 5" xfId="47055" xr:uid="{00000000-0005-0000-0000-0000A9B80000}"/>
    <cellStyle name="SAPBEXItemHeader 6" xfId="47056" xr:uid="{00000000-0005-0000-0000-0000AAB80000}"/>
    <cellStyle name="SAPBEXItemHeader 7" xfId="47057" xr:uid="{00000000-0005-0000-0000-0000ABB80000}"/>
    <cellStyle name="SAPBEXItemHeader 8" xfId="47058" xr:uid="{00000000-0005-0000-0000-0000ACB80000}"/>
    <cellStyle name="SAPBEXItemHeader 9" xfId="47059" xr:uid="{00000000-0005-0000-0000-0000ADB80000}"/>
    <cellStyle name="SAPBEXresData" xfId="47060" xr:uid="{00000000-0005-0000-0000-0000AEB80000}"/>
    <cellStyle name="SAPBEXresData 10" xfId="47061" xr:uid="{00000000-0005-0000-0000-0000AFB80000}"/>
    <cellStyle name="SAPBEXresData 11" xfId="47062" xr:uid="{00000000-0005-0000-0000-0000B0B80000}"/>
    <cellStyle name="SAPBEXresData 12" xfId="47063" xr:uid="{00000000-0005-0000-0000-0000B1B80000}"/>
    <cellStyle name="SAPBEXresData 13" xfId="47064" xr:uid="{00000000-0005-0000-0000-0000B2B80000}"/>
    <cellStyle name="SAPBEXresData 14" xfId="47065" xr:uid="{00000000-0005-0000-0000-0000B3B80000}"/>
    <cellStyle name="SAPBEXresData 15" xfId="47066" xr:uid="{00000000-0005-0000-0000-0000B4B80000}"/>
    <cellStyle name="SAPBEXresData 16" xfId="47067" xr:uid="{00000000-0005-0000-0000-0000B5B80000}"/>
    <cellStyle name="SAPBEXresData 17" xfId="47068" xr:uid="{00000000-0005-0000-0000-0000B6B80000}"/>
    <cellStyle name="SAPBEXresData 18" xfId="47069" xr:uid="{00000000-0005-0000-0000-0000B7B80000}"/>
    <cellStyle name="SAPBEXresData 19" xfId="47070" xr:uid="{00000000-0005-0000-0000-0000B8B80000}"/>
    <cellStyle name="SAPBEXresData 2" xfId="47071" xr:uid="{00000000-0005-0000-0000-0000B9B80000}"/>
    <cellStyle name="SAPBEXresData 2 2" xfId="47072" xr:uid="{00000000-0005-0000-0000-0000BAB80000}"/>
    <cellStyle name="SAPBEXresData 2 3" xfId="47073" xr:uid="{00000000-0005-0000-0000-0000BBB80000}"/>
    <cellStyle name="SAPBEXresData 20" xfId="47074" xr:uid="{00000000-0005-0000-0000-0000BCB80000}"/>
    <cellStyle name="SAPBEXresData 21" xfId="47075" xr:uid="{00000000-0005-0000-0000-0000BDB80000}"/>
    <cellStyle name="SAPBEXresData 22" xfId="47076" xr:uid="{00000000-0005-0000-0000-0000BEB80000}"/>
    <cellStyle name="SAPBEXresData 23" xfId="47077" xr:uid="{00000000-0005-0000-0000-0000BFB80000}"/>
    <cellStyle name="SAPBEXresData 24" xfId="47078" xr:uid="{00000000-0005-0000-0000-0000C0B80000}"/>
    <cellStyle name="SAPBEXresData 25" xfId="47079" xr:uid="{00000000-0005-0000-0000-0000C1B80000}"/>
    <cellStyle name="SAPBEXresData 26" xfId="47080" xr:uid="{00000000-0005-0000-0000-0000C2B80000}"/>
    <cellStyle name="SAPBEXresData 27" xfId="47081" xr:uid="{00000000-0005-0000-0000-0000C3B80000}"/>
    <cellStyle name="SAPBEXresData 28" xfId="47082" xr:uid="{00000000-0005-0000-0000-0000C4B80000}"/>
    <cellStyle name="SAPBEXresData 29" xfId="47083" xr:uid="{00000000-0005-0000-0000-0000C5B80000}"/>
    <cellStyle name="SAPBEXresData 3" xfId="47084" xr:uid="{00000000-0005-0000-0000-0000C6B80000}"/>
    <cellStyle name="SAPBEXresData 30" xfId="47085" xr:uid="{00000000-0005-0000-0000-0000C7B80000}"/>
    <cellStyle name="SAPBEXresData 31" xfId="47086" xr:uid="{00000000-0005-0000-0000-0000C8B80000}"/>
    <cellStyle name="SAPBEXresData 32" xfId="47087" xr:uid="{00000000-0005-0000-0000-0000C9B80000}"/>
    <cellStyle name="SAPBEXresData 4" xfId="47088" xr:uid="{00000000-0005-0000-0000-0000CAB80000}"/>
    <cellStyle name="SAPBEXresData 5" xfId="47089" xr:uid="{00000000-0005-0000-0000-0000CBB80000}"/>
    <cellStyle name="SAPBEXresData 6" xfId="47090" xr:uid="{00000000-0005-0000-0000-0000CCB80000}"/>
    <cellStyle name="SAPBEXresData 7" xfId="47091" xr:uid="{00000000-0005-0000-0000-0000CDB80000}"/>
    <cellStyle name="SAPBEXresData 8" xfId="47092" xr:uid="{00000000-0005-0000-0000-0000CEB80000}"/>
    <cellStyle name="SAPBEXresData 9" xfId="47093" xr:uid="{00000000-0005-0000-0000-0000CFB80000}"/>
    <cellStyle name="SAPBEXresData_SGN 10a Business Plan 2010v14 used for CF model v2" xfId="47094" xr:uid="{00000000-0005-0000-0000-0000D0B80000}"/>
    <cellStyle name="SAPBEXresDataEmph" xfId="47095" xr:uid="{00000000-0005-0000-0000-0000D1B80000}"/>
    <cellStyle name="SAPBEXresDataEmph 10" xfId="47096" xr:uid="{00000000-0005-0000-0000-0000D2B80000}"/>
    <cellStyle name="SAPBEXresDataEmph 11" xfId="47097" xr:uid="{00000000-0005-0000-0000-0000D3B80000}"/>
    <cellStyle name="SAPBEXresDataEmph 12" xfId="47098" xr:uid="{00000000-0005-0000-0000-0000D4B80000}"/>
    <cellStyle name="SAPBEXresDataEmph 13" xfId="47099" xr:uid="{00000000-0005-0000-0000-0000D5B80000}"/>
    <cellStyle name="SAPBEXresDataEmph 14" xfId="47100" xr:uid="{00000000-0005-0000-0000-0000D6B80000}"/>
    <cellStyle name="SAPBEXresDataEmph 15" xfId="47101" xr:uid="{00000000-0005-0000-0000-0000D7B80000}"/>
    <cellStyle name="SAPBEXresDataEmph 16" xfId="47102" xr:uid="{00000000-0005-0000-0000-0000D8B80000}"/>
    <cellStyle name="SAPBEXresDataEmph 17" xfId="47103" xr:uid="{00000000-0005-0000-0000-0000D9B80000}"/>
    <cellStyle name="SAPBEXresDataEmph 18" xfId="47104" xr:uid="{00000000-0005-0000-0000-0000DAB80000}"/>
    <cellStyle name="SAPBEXresDataEmph 19" xfId="47105" xr:uid="{00000000-0005-0000-0000-0000DBB80000}"/>
    <cellStyle name="SAPBEXresDataEmph 2" xfId="47106" xr:uid="{00000000-0005-0000-0000-0000DCB80000}"/>
    <cellStyle name="SAPBEXresDataEmph 2 2" xfId="47107" xr:uid="{00000000-0005-0000-0000-0000DDB80000}"/>
    <cellStyle name="SAPBEXresDataEmph 2 3" xfId="47108" xr:uid="{00000000-0005-0000-0000-0000DEB80000}"/>
    <cellStyle name="SAPBEXresDataEmph 20" xfId="47109" xr:uid="{00000000-0005-0000-0000-0000DFB80000}"/>
    <cellStyle name="SAPBEXresDataEmph 21" xfId="47110" xr:uid="{00000000-0005-0000-0000-0000E0B80000}"/>
    <cellStyle name="SAPBEXresDataEmph 22" xfId="47111" xr:uid="{00000000-0005-0000-0000-0000E1B80000}"/>
    <cellStyle name="SAPBEXresDataEmph 23" xfId="47112" xr:uid="{00000000-0005-0000-0000-0000E2B80000}"/>
    <cellStyle name="SAPBEXresDataEmph 24" xfId="47113" xr:uid="{00000000-0005-0000-0000-0000E3B80000}"/>
    <cellStyle name="SAPBEXresDataEmph 25" xfId="47114" xr:uid="{00000000-0005-0000-0000-0000E4B80000}"/>
    <cellStyle name="SAPBEXresDataEmph 26" xfId="47115" xr:uid="{00000000-0005-0000-0000-0000E5B80000}"/>
    <cellStyle name="SAPBEXresDataEmph 27" xfId="47116" xr:uid="{00000000-0005-0000-0000-0000E6B80000}"/>
    <cellStyle name="SAPBEXresDataEmph 28" xfId="47117" xr:uid="{00000000-0005-0000-0000-0000E7B80000}"/>
    <cellStyle name="SAPBEXresDataEmph 29" xfId="47118" xr:uid="{00000000-0005-0000-0000-0000E8B80000}"/>
    <cellStyle name="SAPBEXresDataEmph 3" xfId="47119" xr:uid="{00000000-0005-0000-0000-0000E9B80000}"/>
    <cellStyle name="SAPBEXresDataEmph 30" xfId="47120" xr:uid="{00000000-0005-0000-0000-0000EAB80000}"/>
    <cellStyle name="SAPBEXresDataEmph 31" xfId="47121" xr:uid="{00000000-0005-0000-0000-0000EBB80000}"/>
    <cellStyle name="SAPBEXresDataEmph 32" xfId="47122" xr:uid="{00000000-0005-0000-0000-0000ECB80000}"/>
    <cellStyle name="SAPBEXresDataEmph 4" xfId="47123" xr:uid="{00000000-0005-0000-0000-0000EDB80000}"/>
    <cellStyle name="SAPBEXresDataEmph 5" xfId="47124" xr:uid="{00000000-0005-0000-0000-0000EEB80000}"/>
    <cellStyle name="SAPBEXresDataEmph 6" xfId="47125" xr:uid="{00000000-0005-0000-0000-0000EFB80000}"/>
    <cellStyle name="SAPBEXresDataEmph 7" xfId="47126" xr:uid="{00000000-0005-0000-0000-0000F0B80000}"/>
    <cellStyle name="SAPBEXresDataEmph 8" xfId="47127" xr:uid="{00000000-0005-0000-0000-0000F1B80000}"/>
    <cellStyle name="SAPBEXresDataEmph 9" xfId="47128" xr:uid="{00000000-0005-0000-0000-0000F2B80000}"/>
    <cellStyle name="SAPBEXresDataEmph_SGN 10a Business Plan 2010v14 used for CF model v2" xfId="47129" xr:uid="{00000000-0005-0000-0000-0000F3B80000}"/>
    <cellStyle name="SAPBEXresItem" xfId="47130" xr:uid="{00000000-0005-0000-0000-0000F4B80000}"/>
    <cellStyle name="SAPBEXresItem 10" xfId="47131" xr:uid="{00000000-0005-0000-0000-0000F5B80000}"/>
    <cellStyle name="SAPBEXresItem 11" xfId="47132" xr:uid="{00000000-0005-0000-0000-0000F6B80000}"/>
    <cellStyle name="SAPBEXresItem 12" xfId="47133" xr:uid="{00000000-0005-0000-0000-0000F7B80000}"/>
    <cellStyle name="SAPBEXresItem 13" xfId="47134" xr:uid="{00000000-0005-0000-0000-0000F8B80000}"/>
    <cellStyle name="SAPBEXresItem 14" xfId="47135" xr:uid="{00000000-0005-0000-0000-0000F9B80000}"/>
    <cellStyle name="SAPBEXresItem 15" xfId="47136" xr:uid="{00000000-0005-0000-0000-0000FAB80000}"/>
    <cellStyle name="SAPBEXresItem 16" xfId="47137" xr:uid="{00000000-0005-0000-0000-0000FBB80000}"/>
    <cellStyle name="SAPBEXresItem 17" xfId="47138" xr:uid="{00000000-0005-0000-0000-0000FCB80000}"/>
    <cellStyle name="SAPBEXresItem 18" xfId="47139" xr:uid="{00000000-0005-0000-0000-0000FDB80000}"/>
    <cellStyle name="SAPBEXresItem 19" xfId="47140" xr:uid="{00000000-0005-0000-0000-0000FEB80000}"/>
    <cellStyle name="SAPBEXresItem 2" xfId="47141" xr:uid="{00000000-0005-0000-0000-0000FFB80000}"/>
    <cellStyle name="SAPBEXresItem 2 2" xfId="47142" xr:uid="{00000000-0005-0000-0000-000000B90000}"/>
    <cellStyle name="SAPBEXresItem 2 3" xfId="47143" xr:uid="{00000000-0005-0000-0000-000001B90000}"/>
    <cellStyle name="SAPBEXresItem 20" xfId="47144" xr:uid="{00000000-0005-0000-0000-000002B90000}"/>
    <cellStyle name="SAPBEXresItem 21" xfId="47145" xr:uid="{00000000-0005-0000-0000-000003B90000}"/>
    <cellStyle name="SAPBEXresItem 22" xfId="47146" xr:uid="{00000000-0005-0000-0000-000004B90000}"/>
    <cellStyle name="SAPBEXresItem 23" xfId="47147" xr:uid="{00000000-0005-0000-0000-000005B90000}"/>
    <cellStyle name="SAPBEXresItem 24" xfId="47148" xr:uid="{00000000-0005-0000-0000-000006B90000}"/>
    <cellStyle name="SAPBEXresItem 25" xfId="47149" xr:uid="{00000000-0005-0000-0000-000007B90000}"/>
    <cellStyle name="SAPBEXresItem 26" xfId="47150" xr:uid="{00000000-0005-0000-0000-000008B90000}"/>
    <cellStyle name="SAPBEXresItem 27" xfId="47151" xr:uid="{00000000-0005-0000-0000-000009B90000}"/>
    <cellStyle name="SAPBEXresItem 28" xfId="47152" xr:uid="{00000000-0005-0000-0000-00000AB90000}"/>
    <cellStyle name="SAPBEXresItem 29" xfId="47153" xr:uid="{00000000-0005-0000-0000-00000BB90000}"/>
    <cellStyle name="SAPBEXresItem 3" xfId="47154" xr:uid="{00000000-0005-0000-0000-00000CB90000}"/>
    <cellStyle name="SAPBEXresItem 30" xfId="47155" xr:uid="{00000000-0005-0000-0000-00000DB90000}"/>
    <cellStyle name="SAPBEXresItem 31" xfId="47156" xr:uid="{00000000-0005-0000-0000-00000EB90000}"/>
    <cellStyle name="SAPBEXresItem 32" xfId="47157" xr:uid="{00000000-0005-0000-0000-00000FB90000}"/>
    <cellStyle name="SAPBEXresItem 4" xfId="47158" xr:uid="{00000000-0005-0000-0000-000010B90000}"/>
    <cellStyle name="SAPBEXresItem 5" xfId="47159" xr:uid="{00000000-0005-0000-0000-000011B90000}"/>
    <cellStyle name="SAPBEXresItem 6" xfId="47160" xr:uid="{00000000-0005-0000-0000-000012B90000}"/>
    <cellStyle name="SAPBEXresItem 7" xfId="47161" xr:uid="{00000000-0005-0000-0000-000013B90000}"/>
    <cellStyle name="SAPBEXresItem 8" xfId="47162" xr:uid="{00000000-0005-0000-0000-000014B90000}"/>
    <cellStyle name="SAPBEXresItem 9" xfId="47163" xr:uid="{00000000-0005-0000-0000-000015B90000}"/>
    <cellStyle name="SAPBEXresItem_SGN 10a Business Plan 2010v14 used for CF model v2" xfId="47164" xr:uid="{00000000-0005-0000-0000-000016B90000}"/>
    <cellStyle name="SAPBEXresItemX" xfId="47165" xr:uid="{00000000-0005-0000-0000-000017B90000}"/>
    <cellStyle name="SAPBEXresItemX 10" xfId="47166" xr:uid="{00000000-0005-0000-0000-000018B90000}"/>
    <cellStyle name="SAPBEXresItemX 11" xfId="47167" xr:uid="{00000000-0005-0000-0000-000019B90000}"/>
    <cellStyle name="SAPBEXresItemX 12" xfId="47168" xr:uid="{00000000-0005-0000-0000-00001AB90000}"/>
    <cellStyle name="SAPBEXresItemX 13" xfId="47169" xr:uid="{00000000-0005-0000-0000-00001BB90000}"/>
    <cellStyle name="SAPBEXresItemX 14" xfId="47170" xr:uid="{00000000-0005-0000-0000-00001CB90000}"/>
    <cellStyle name="SAPBEXresItemX 15" xfId="47171" xr:uid="{00000000-0005-0000-0000-00001DB90000}"/>
    <cellStyle name="SAPBEXresItemX 16" xfId="47172" xr:uid="{00000000-0005-0000-0000-00001EB90000}"/>
    <cellStyle name="SAPBEXresItemX 17" xfId="47173" xr:uid="{00000000-0005-0000-0000-00001FB90000}"/>
    <cellStyle name="SAPBEXresItemX 18" xfId="47174" xr:uid="{00000000-0005-0000-0000-000020B90000}"/>
    <cellStyle name="SAPBEXresItemX 19" xfId="47175" xr:uid="{00000000-0005-0000-0000-000021B90000}"/>
    <cellStyle name="SAPBEXresItemX 2" xfId="47176" xr:uid="{00000000-0005-0000-0000-000022B90000}"/>
    <cellStyle name="SAPBEXresItemX 2 2" xfId="47177" xr:uid="{00000000-0005-0000-0000-000023B90000}"/>
    <cellStyle name="SAPBEXresItemX 2 3" xfId="47178" xr:uid="{00000000-0005-0000-0000-000024B90000}"/>
    <cellStyle name="SAPBEXresItemX 20" xfId="47179" xr:uid="{00000000-0005-0000-0000-000025B90000}"/>
    <cellStyle name="SAPBEXresItemX 21" xfId="47180" xr:uid="{00000000-0005-0000-0000-000026B90000}"/>
    <cellStyle name="SAPBEXresItemX 22" xfId="47181" xr:uid="{00000000-0005-0000-0000-000027B90000}"/>
    <cellStyle name="SAPBEXresItemX 23" xfId="47182" xr:uid="{00000000-0005-0000-0000-000028B90000}"/>
    <cellStyle name="SAPBEXresItemX 24" xfId="47183" xr:uid="{00000000-0005-0000-0000-000029B90000}"/>
    <cellStyle name="SAPBEXresItemX 25" xfId="47184" xr:uid="{00000000-0005-0000-0000-00002AB90000}"/>
    <cellStyle name="SAPBEXresItemX 26" xfId="47185" xr:uid="{00000000-0005-0000-0000-00002BB90000}"/>
    <cellStyle name="SAPBEXresItemX 27" xfId="47186" xr:uid="{00000000-0005-0000-0000-00002CB90000}"/>
    <cellStyle name="SAPBEXresItemX 28" xfId="47187" xr:uid="{00000000-0005-0000-0000-00002DB90000}"/>
    <cellStyle name="SAPBEXresItemX 29" xfId="47188" xr:uid="{00000000-0005-0000-0000-00002EB90000}"/>
    <cellStyle name="SAPBEXresItemX 3" xfId="47189" xr:uid="{00000000-0005-0000-0000-00002FB90000}"/>
    <cellStyle name="SAPBEXresItemX 30" xfId="47190" xr:uid="{00000000-0005-0000-0000-000030B90000}"/>
    <cellStyle name="SAPBEXresItemX 31" xfId="47191" xr:uid="{00000000-0005-0000-0000-000031B90000}"/>
    <cellStyle name="SAPBEXresItemX 32" xfId="47192" xr:uid="{00000000-0005-0000-0000-000032B90000}"/>
    <cellStyle name="SAPBEXresItemX 4" xfId="47193" xr:uid="{00000000-0005-0000-0000-000033B90000}"/>
    <cellStyle name="SAPBEXresItemX 5" xfId="47194" xr:uid="{00000000-0005-0000-0000-000034B90000}"/>
    <cellStyle name="SAPBEXresItemX 6" xfId="47195" xr:uid="{00000000-0005-0000-0000-000035B90000}"/>
    <cellStyle name="SAPBEXresItemX 7" xfId="47196" xr:uid="{00000000-0005-0000-0000-000036B90000}"/>
    <cellStyle name="SAPBEXresItemX 8" xfId="47197" xr:uid="{00000000-0005-0000-0000-000037B90000}"/>
    <cellStyle name="SAPBEXresItemX 9" xfId="47198" xr:uid="{00000000-0005-0000-0000-000038B90000}"/>
    <cellStyle name="SAPBEXstdData" xfId="47199" xr:uid="{00000000-0005-0000-0000-000039B90000}"/>
    <cellStyle name="SAPBEXstdData 10" xfId="47200" xr:uid="{00000000-0005-0000-0000-00003AB90000}"/>
    <cellStyle name="SAPBEXstdData 11" xfId="47201" xr:uid="{00000000-0005-0000-0000-00003BB90000}"/>
    <cellStyle name="SAPBEXstdData 12" xfId="47202" xr:uid="{00000000-0005-0000-0000-00003CB90000}"/>
    <cellStyle name="SAPBEXstdData 13" xfId="47203" xr:uid="{00000000-0005-0000-0000-00003DB90000}"/>
    <cellStyle name="SAPBEXstdData 14" xfId="47204" xr:uid="{00000000-0005-0000-0000-00003EB90000}"/>
    <cellStyle name="SAPBEXstdData 15" xfId="47205" xr:uid="{00000000-0005-0000-0000-00003FB90000}"/>
    <cellStyle name="SAPBEXstdData 16" xfId="47206" xr:uid="{00000000-0005-0000-0000-000040B90000}"/>
    <cellStyle name="SAPBEXstdData 17" xfId="47207" xr:uid="{00000000-0005-0000-0000-000041B90000}"/>
    <cellStyle name="SAPBEXstdData 18" xfId="47208" xr:uid="{00000000-0005-0000-0000-000042B90000}"/>
    <cellStyle name="SAPBEXstdData 19" xfId="47209" xr:uid="{00000000-0005-0000-0000-000043B90000}"/>
    <cellStyle name="SAPBEXstdData 2" xfId="47210" xr:uid="{00000000-0005-0000-0000-000044B90000}"/>
    <cellStyle name="SAPBEXstdData 2 2" xfId="47211" xr:uid="{00000000-0005-0000-0000-000045B90000}"/>
    <cellStyle name="SAPBEXstdData 2 3" xfId="47212" xr:uid="{00000000-0005-0000-0000-000046B90000}"/>
    <cellStyle name="SAPBEXstdData 20" xfId="47213" xr:uid="{00000000-0005-0000-0000-000047B90000}"/>
    <cellStyle name="SAPBEXstdData 21" xfId="47214" xr:uid="{00000000-0005-0000-0000-000048B90000}"/>
    <cellStyle name="SAPBEXstdData 22" xfId="47215" xr:uid="{00000000-0005-0000-0000-000049B90000}"/>
    <cellStyle name="SAPBEXstdData 23" xfId="47216" xr:uid="{00000000-0005-0000-0000-00004AB90000}"/>
    <cellStyle name="SAPBEXstdData 24" xfId="47217" xr:uid="{00000000-0005-0000-0000-00004BB90000}"/>
    <cellStyle name="SAPBEXstdData 25" xfId="47218" xr:uid="{00000000-0005-0000-0000-00004CB90000}"/>
    <cellStyle name="SAPBEXstdData 26" xfId="47219" xr:uid="{00000000-0005-0000-0000-00004DB90000}"/>
    <cellStyle name="SAPBEXstdData 27" xfId="47220" xr:uid="{00000000-0005-0000-0000-00004EB90000}"/>
    <cellStyle name="SAPBEXstdData 28" xfId="47221" xr:uid="{00000000-0005-0000-0000-00004FB90000}"/>
    <cellStyle name="SAPBEXstdData 29" xfId="47222" xr:uid="{00000000-0005-0000-0000-000050B90000}"/>
    <cellStyle name="SAPBEXstdData 3" xfId="47223" xr:uid="{00000000-0005-0000-0000-000051B90000}"/>
    <cellStyle name="SAPBEXstdData 30" xfId="47224" xr:uid="{00000000-0005-0000-0000-000052B90000}"/>
    <cellStyle name="SAPBEXstdData 31" xfId="47225" xr:uid="{00000000-0005-0000-0000-000053B90000}"/>
    <cellStyle name="SAPBEXstdData 32" xfId="47226" xr:uid="{00000000-0005-0000-0000-000054B90000}"/>
    <cellStyle name="SAPBEXstdData 4" xfId="47227" xr:uid="{00000000-0005-0000-0000-000055B90000}"/>
    <cellStyle name="SAPBEXstdData 5" xfId="47228" xr:uid="{00000000-0005-0000-0000-000056B90000}"/>
    <cellStyle name="SAPBEXstdData 6" xfId="47229" xr:uid="{00000000-0005-0000-0000-000057B90000}"/>
    <cellStyle name="SAPBEXstdData 7" xfId="47230" xr:uid="{00000000-0005-0000-0000-000058B90000}"/>
    <cellStyle name="SAPBEXstdData 8" xfId="47231" xr:uid="{00000000-0005-0000-0000-000059B90000}"/>
    <cellStyle name="SAPBEXstdData 9" xfId="47232" xr:uid="{00000000-0005-0000-0000-00005AB90000}"/>
    <cellStyle name="SAPBEXstdData_SGN 10a Business Plan 2010v14 used for CF model v2" xfId="47233" xr:uid="{00000000-0005-0000-0000-00005BB90000}"/>
    <cellStyle name="SAPBEXstdDataEmph" xfId="47234" xr:uid="{00000000-0005-0000-0000-00005CB90000}"/>
    <cellStyle name="SAPBEXstdDataEmph 10" xfId="47235" xr:uid="{00000000-0005-0000-0000-00005DB90000}"/>
    <cellStyle name="SAPBEXstdDataEmph 11" xfId="47236" xr:uid="{00000000-0005-0000-0000-00005EB90000}"/>
    <cellStyle name="SAPBEXstdDataEmph 12" xfId="47237" xr:uid="{00000000-0005-0000-0000-00005FB90000}"/>
    <cellStyle name="SAPBEXstdDataEmph 13" xfId="47238" xr:uid="{00000000-0005-0000-0000-000060B90000}"/>
    <cellStyle name="SAPBEXstdDataEmph 14" xfId="47239" xr:uid="{00000000-0005-0000-0000-000061B90000}"/>
    <cellStyle name="SAPBEXstdDataEmph 15" xfId="47240" xr:uid="{00000000-0005-0000-0000-000062B90000}"/>
    <cellStyle name="SAPBEXstdDataEmph 16" xfId="47241" xr:uid="{00000000-0005-0000-0000-000063B90000}"/>
    <cellStyle name="SAPBEXstdDataEmph 17" xfId="47242" xr:uid="{00000000-0005-0000-0000-000064B90000}"/>
    <cellStyle name="SAPBEXstdDataEmph 18" xfId="47243" xr:uid="{00000000-0005-0000-0000-000065B90000}"/>
    <cellStyle name="SAPBEXstdDataEmph 19" xfId="47244" xr:uid="{00000000-0005-0000-0000-000066B90000}"/>
    <cellStyle name="SAPBEXstdDataEmph 2" xfId="47245" xr:uid="{00000000-0005-0000-0000-000067B90000}"/>
    <cellStyle name="SAPBEXstdDataEmph 2 2" xfId="47246" xr:uid="{00000000-0005-0000-0000-000068B90000}"/>
    <cellStyle name="SAPBEXstdDataEmph 2 3" xfId="47247" xr:uid="{00000000-0005-0000-0000-000069B90000}"/>
    <cellStyle name="SAPBEXstdDataEmph 20" xfId="47248" xr:uid="{00000000-0005-0000-0000-00006AB90000}"/>
    <cellStyle name="SAPBEXstdDataEmph 21" xfId="47249" xr:uid="{00000000-0005-0000-0000-00006BB90000}"/>
    <cellStyle name="SAPBEXstdDataEmph 22" xfId="47250" xr:uid="{00000000-0005-0000-0000-00006CB90000}"/>
    <cellStyle name="SAPBEXstdDataEmph 23" xfId="47251" xr:uid="{00000000-0005-0000-0000-00006DB90000}"/>
    <cellStyle name="SAPBEXstdDataEmph 24" xfId="47252" xr:uid="{00000000-0005-0000-0000-00006EB90000}"/>
    <cellStyle name="SAPBEXstdDataEmph 25" xfId="47253" xr:uid="{00000000-0005-0000-0000-00006FB90000}"/>
    <cellStyle name="SAPBEXstdDataEmph 26" xfId="47254" xr:uid="{00000000-0005-0000-0000-000070B90000}"/>
    <cellStyle name="SAPBEXstdDataEmph 27" xfId="47255" xr:uid="{00000000-0005-0000-0000-000071B90000}"/>
    <cellStyle name="SAPBEXstdDataEmph 28" xfId="47256" xr:uid="{00000000-0005-0000-0000-000072B90000}"/>
    <cellStyle name="SAPBEXstdDataEmph 29" xfId="47257" xr:uid="{00000000-0005-0000-0000-000073B90000}"/>
    <cellStyle name="SAPBEXstdDataEmph 3" xfId="47258" xr:uid="{00000000-0005-0000-0000-000074B90000}"/>
    <cellStyle name="SAPBEXstdDataEmph 30" xfId="47259" xr:uid="{00000000-0005-0000-0000-000075B90000}"/>
    <cellStyle name="SAPBEXstdDataEmph 31" xfId="47260" xr:uid="{00000000-0005-0000-0000-000076B90000}"/>
    <cellStyle name="SAPBEXstdDataEmph 32" xfId="47261" xr:uid="{00000000-0005-0000-0000-000077B90000}"/>
    <cellStyle name="SAPBEXstdDataEmph 4" xfId="47262" xr:uid="{00000000-0005-0000-0000-000078B90000}"/>
    <cellStyle name="SAPBEXstdDataEmph 5" xfId="47263" xr:uid="{00000000-0005-0000-0000-000079B90000}"/>
    <cellStyle name="SAPBEXstdDataEmph 6" xfId="47264" xr:uid="{00000000-0005-0000-0000-00007AB90000}"/>
    <cellStyle name="SAPBEXstdDataEmph 7" xfId="47265" xr:uid="{00000000-0005-0000-0000-00007BB90000}"/>
    <cellStyle name="SAPBEXstdDataEmph 8" xfId="47266" xr:uid="{00000000-0005-0000-0000-00007CB90000}"/>
    <cellStyle name="SAPBEXstdDataEmph 9" xfId="47267" xr:uid="{00000000-0005-0000-0000-00007DB90000}"/>
    <cellStyle name="SAPBEXstdDataEmph_SGN 10a Business Plan 2010v14 used for CF model v2" xfId="47268" xr:uid="{00000000-0005-0000-0000-00007EB90000}"/>
    <cellStyle name="SAPBEXstdItem" xfId="47269" xr:uid="{00000000-0005-0000-0000-00007FB90000}"/>
    <cellStyle name="SAPBEXstdItem 10" xfId="47270" xr:uid="{00000000-0005-0000-0000-000080B90000}"/>
    <cellStyle name="SAPBEXstdItem 11" xfId="47271" xr:uid="{00000000-0005-0000-0000-000081B90000}"/>
    <cellStyle name="SAPBEXstdItem 12" xfId="47272" xr:uid="{00000000-0005-0000-0000-000082B90000}"/>
    <cellStyle name="SAPBEXstdItem 13" xfId="47273" xr:uid="{00000000-0005-0000-0000-000083B90000}"/>
    <cellStyle name="SAPBEXstdItem 14" xfId="47274" xr:uid="{00000000-0005-0000-0000-000084B90000}"/>
    <cellStyle name="SAPBEXstdItem 15" xfId="47275" xr:uid="{00000000-0005-0000-0000-000085B90000}"/>
    <cellStyle name="SAPBEXstdItem 16" xfId="47276" xr:uid="{00000000-0005-0000-0000-000086B90000}"/>
    <cellStyle name="SAPBEXstdItem 17" xfId="47277" xr:uid="{00000000-0005-0000-0000-000087B90000}"/>
    <cellStyle name="SAPBEXstdItem 18" xfId="47278" xr:uid="{00000000-0005-0000-0000-000088B90000}"/>
    <cellStyle name="SAPBEXstdItem 19" xfId="47279" xr:uid="{00000000-0005-0000-0000-000089B90000}"/>
    <cellStyle name="SAPBEXstdItem 2" xfId="47280" xr:uid="{00000000-0005-0000-0000-00008AB90000}"/>
    <cellStyle name="SAPBEXstdItem 2 2" xfId="47281" xr:uid="{00000000-0005-0000-0000-00008BB90000}"/>
    <cellStyle name="SAPBEXstdItem 2 3" xfId="47282" xr:uid="{00000000-0005-0000-0000-00008CB90000}"/>
    <cellStyle name="SAPBEXstdItem 20" xfId="47283" xr:uid="{00000000-0005-0000-0000-00008DB90000}"/>
    <cellStyle name="SAPBEXstdItem 21" xfId="47284" xr:uid="{00000000-0005-0000-0000-00008EB90000}"/>
    <cellStyle name="SAPBEXstdItem 22" xfId="47285" xr:uid="{00000000-0005-0000-0000-00008FB90000}"/>
    <cellStyle name="SAPBEXstdItem 23" xfId="47286" xr:uid="{00000000-0005-0000-0000-000090B90000}"/>
    <cellStyle name="SAPBEXstdItem 24" xfId="47287" xr:uid="{00000000-0005-0000-0000-000091B90000}"/>
    <cellStyle name="SAPBEXstdItem 25" xfId="47288" xr:uid="{00000000-0005-0000-0000-000092B90000}"/>
    <cellStyle name="SAPBEXstdItem 26" xfId="47289" xr:uid="{00000000-0005-0000-0000-000093B90000}"/>
    <cellStyle name="SAPBEXstdItem 27" xfId="47290" xr:uid="{00000000-0005-0000-0000-000094B90000}"/>
    <cellStyle name="SAPBEXstdItem 28" xfId="47291" xr:uid="{00000000-0005-0000-0000-000095B90000}"/>
    <cellStyle name="SAPBEXstdItem 29" xfId="47292" xr:uid="{00000000-0005-0000-0000-000096B90000}"/>
    <cellStyle name="SAPBEXstdItem 3" xfId="47293" xr:uid="{00000000-0005-0000-0000-000097B90000}"/>
    <cellStyle name="SAPBEXstdItem 30" xfId="47294" xr:uid="{00000000-0005-0000-0000-000098B90000}"/>
    <cellStyle name="SAPBEXstdItem 31" xfId="47295" xr:uid="{00000000-0005-0000-0000-000099B90000}"/>
    <cellStyle name="SAPBEXstdItem 32" xfId="47296" xr:uid="{00000000-0005-0000-0000-00009AB90000}"/>
    <cellStyle name="SAPBEXstdItem 4" xfId="47297" xr:uid="{00000000-0005-0000-0000-00009BB90000}"/>
    <cellStyle name="SAPBEXstdItem 5" xfId="47298" xr:uid="{00000000-0005-0000-0000-00009CB90000}"/>
    <cellStyle name="SAPBEXstdItem 6" xfId="47299" xr:uid="{00000000-0005-0000-0000-00009DB90000}"/>
    <cellStyle name="SAPBEXstdItem 7" xfId="47300" xr:uid="{00000000-0005-0000-0000-00009EB90000}"/>
    <cellStyle name="SAPBEXstdItem 8" xfId="47301" xr:uid="{00000000-0005-0000-0000-00009FB90000}"/>
    <cellStyle name="SAPBEXstdItem 9" xfId="47302" xr:uid="{00000000-0005-0000-0000-0000A0B90000}"/>
    <cellStyle name="SAPBEXstdItem_SGN 10a Business Plan 2010v14 used for CF model v2" xfId="47303" xr:uid="{00000000-0005-0000-0000-0000A1B90000}"/>
    <cellStyle name="SAPBEXstdItemX" xfId="47304" xr:uid="{00000000-0005-0000-0000-0000A2B90000}"/>
    <cellStyle name="SAPBEXstdItemX 10" xfId="47305" xr:uid="{00000000-0005-0000-0000-0000A3B90000}"/>
    <cellStyle name="SAPBEXstdItemX 11" xfId="47306" xr:uid="{00000000-0005-0000-0000-0000A4B90000}"/>
    <cellStyle name="SAPBEXstdItemX 12" xfId="47307" xr:uid="{00000000-0005-0000-0000-0000A5B90000}"/>
    <cellStyle name="SAPBEXstdItemX 13" xfId="47308" xr:uid="{00000000-0005-0000-0000-0000A6B90000}"/>
    <cellStyle name="SAPBEXstdItemX 14" xfId="47309" xr:uid="{00000000-0005-0000-0000-0000A7B90000}"/>
    <cellStyle name="SAPBEXstdItemX 15" xfId="47310" xr:uid="{00000000-0005-0000-0000-0000A8B90000}"/>
    <cellStyle name="SAPBEXstdItemX 16" xfId="47311" xr:uid="{00000000-0005-0000-0000-0000A9B90000}"/>
    <cellStyle name="SAPBEXstdItemX 17" xfId="47312" xr:uid="{00000000-0005-0000-0000-0000AAB90000}"/>
    <cellStyle name="SAPBEXstdItemX 18" xfId="47313" xr:uid="{00000000-0005-0000-0000-0000ABB90000}"/>
    <cellStyle name="SAPBEXstdItemX 19" xfId="47314" xr:uid="{00000000-0005-0000-0000-0000ACB90000}"/>
    <cellStyle name="SAPBEXstdItemX 2" xfId="47315" xr:uid="{00000000-0005-0000-0000-0000ADB90000}"/>
    <cellStyle name="SAPBEXstdItemX 2 2" xfId="47316" xr:uid="{00000000-0005-0000-0000-0000AEB90000}"/>
    <cellStyle name="SAPBEXstdItemX 2 3" xfId="47317" xr:uid="{00000000-0005-0000-0000-0000AFB90000}"/>
    <cellStyle name="SAPBEXstdItemX 20" xfId="47318" xr:uid="{00000000-0005-0000-0000-0000B0B90000}"/>
    <cellStyle name="SAPBEXstdItemX 21" xfId="47319" xr:uid="{00000000-0005-0000-0000-0000B1B90000}"/>
    <cellStyle name="SAPBEXstdItemX 22" xfId="47320" xr:uid="{00000000-0005-0000-0000-0000B2B90000}"/>
    <cellStyle name="SAPBEXstdItemX 23" xfId="47321" xr:uid="{00000000-0005-0000-0000-0000B3B90000}"/>
    <cellStyle name="SAPBEXstdItemX 24" xfId="47322" xr:uid="{00000000-0005-0000-0000-0000B4B90000}"/>
    <cellStyle name="SAPBEXstdItemX 25" xfId="47323" xr:uid="{00000000-0005-0000-0000-0000B5B90000}"/>
    <cellStyle name="SAPBEXstdItemX 26" xfId="47324" xr:uid="{00000000-0005-0000-0000-0000B6B90000}"/>
    <cellStyle name="SAPBEXstdItemX 27" xfId="47325" xr:uid="{00000000-0005-0000-0000-0000B7B90000}"/>
    <cellStyle name="SAPBEXstdItemX 28" xfId="47326" xr:uid="{00000000-0005-0000-0000-0000B8B90000}"/>
    <cellStyle name="SAPBEXstdItemX 29" xfId="47327" xr:uid="{00000000-0005-0000-0000-0000B9B90000}"/>
    <cellStyle name="SAPBEXstdItemX 3" xfId="47328" xr:uid="{00000000-0005-0000-0000-0000BAB90000}"/>
    <cellStyle name="SAPBEXstdItemX 30" xfId="47329" xr:uid="{00000000-0005-0000-0000-0000BBB90000}"/>
    <cellStyle name="SAPBEXstdItemX 31" xfId="47330" xr:uid="{00000000-0005-0000-0000-0000BCB90000}"/>
    <cellStyle name="SAPBEXstdItemX 32" xfId="47331" xr:uid="{00000000-0005-0000-0000-0000BDB90000}"/>
    <cellStyle name="SAPBEXstdItemX 4" xfId="47332" xr:uid="{00000000-0005-0000-0000-0000BEB90000}"/>
    <cellStyle name="SAPBEXstdItemX 5" xfId="47333" xr:uid="{00000000-0005-0000-0000-0000BFB90000}"/>
    <cellStyle name="SAPBEXstdItemX 6" xfId="47334" xr:uid="{00000000-0005-0000-0000-0000C0B90000}"/>
    <cellStyle name="SAPBEXstdItemX 7" xfId="47335" xr:uid="{00000000-0005-0000-0000-0000C1B90000}"/>
    <cellStyle name="SAPBEXstdItemX 8" xfId="47336" xr:uid="{00000000-0005-0000-0000-0000C2B90000}"/>
    <cellStyle name="SAPBEXstdItemX 9" xfId="47337" xr:uid="{00000000-0005-0000-0000-0000C3B90000}"/>
    <cellStyle name="SAPBEXtitle" xfId="47338" xr:uid="{00000000-0005-0000-0000-0000C4B90000}"/>
    <cellStyle name="SAPBEXtitle 2" xfId="47339" xr:uid="{00000000-0005-0000-0000-0000C5B90000}"/>
    <cellStyle name="SAPBEXtitle 2 2" xfId="47340" xr:uid="{00000000-0005-0000-0000-0000C6B90000}"/>
    <cellStyle name="SAPBEXtitle_SGN 10a Business Plan 2010v14 used for CF model v2" xfId="47341" xr:uid="{00000000-0005-0000-0000-0000C7B90000}"/>
    <cellStyle name="SAPBEXunassignedItem" xfId="47342" xr:uid="{00000000-0005-0000-0000-0000C8B90000}"/>
    <cellStyle name="SAPBEXunassignedItem 10" xfId="47343" xr:uid="{00000000-0005-0000-0000-0000C9B90000}"/>
    <cellStyle name="SAPBEXunassignedItem 10 2" xfId="47344" xr:uid="{00000000-0005-0000-0000-0000CAB90000}"/>
    <cellStyle name="SAPBEXunassignedItem 11" xfId="47345" xr:uid="{00000000-0005-0000-0000-0000CBB90000}"/>
    <cellStyle name="SAPBEXunassignedItem 11 2" xfId="47346" xr:uid="{00000000-0005-0000-0000-0000CCB90000}"/>
    <cellStyle name="SAPBEXunassignedItem 12" xfId="47347" xr:uid="{00000000-0005-0000-0000-0000CDB90000}"/>
    <cellStyle name="SAPBEXunassignedItem 12 2" xfId="47348" xr:uid="{00000000-0005-0000-0000-0000CEB90000}"/>
    <cellStyle name="SAPBEXunassignedItem 13" xfId="47349" xr:uid="{00000000-0005-0000-0000-0000CFB90000}"/>
    <cellStyle name="SAPBEXunassignedItem 14" xfId="47350" xr:uid="{00000000-0005-0000-0000-0000D0B90000}"/>
    <cellStyle name="SAPBEXunassignedItem 15" xfId="47351" xr:uid="{00000000-0005-0000-0000-0000D1B90000}"/>
    <cellStyle name="SAPBEXunassignedItem 16" xfId="47352" xr:uid="{00000000-0005-0000-0000-0000D2B90000}"/>
    <cellStyle name="SAPBEXunassignedItem 17" xfId="47353" xr:uid="{00000000-0005-0000-0000-0000D3B90000}"/>
    <cellStyle name="SAPBEXunassignedItem 2" xfId="47354" xr:uid="{00000000-0005-0000-0000-0000D4B90000}"/>
    <cellStyle name="SAPBEXunassignedItem 2 10" xfId="47355" xr:uid="{00000000-0005-0000-0000-0000D5B90000}"/>
    <cellStyle name="SAPBEXunassignedItem 2 11" xfId="47356" xr:uid="{00000000-0005-0000-0000-0000D6B90000}"/>
    <cellStyle name="SAPBEXunassignedItem 2 12" xfId="47357" xr:uid="{00000000-0005-0000-0000-0000D7B90000}"/>
    <cellStyle name="SAPBEXunassignedItem 2 13" xfId="47358" xr:uid="{00000000-0005-0000-0000-0000D8B90000}"/>
    <cellStyle name="SAPBEXunassignedItem 2 14" xfId="47359" xr:uid="{00000000-0005-0000-0000-0000D9B90000}"/>
    <cellStyle name="SAPBEXunassignedItem 2 15" xfId="47360" xr:uid="{00000000-0005-0000-0000-0000DAB90000}"/>
    <cellStyle name="SAPBEXunassignedItem 2 16" xfId="47361" xr:uid="{00000000-0005-0000-0000-0000DBB90000}"/>
    <cellStyle name="SAPBEXunassignedItem 2 17" xfId="47362" xr:uid="{00000000-0005-0000-0000-0000DCB90000}"/>
    <cellStyle name="SAPBEXunassignedItem 2 18" xfId="47363" xr:uid="{00000000-0005-0000-0000-0000DDB90000}"/>
    <cellStyle name="SAPBEXunassignedItem 2 19" xfId="47364" xr:uid="{00000000-0005-0000-0000-0000DEB90000}"/>
    <cellStyle name="SAPBEXunassignedItem 2 2" xfId="47365" xr:uid="{00000000-0005-0000-0000-0000DFB90000}"/>
    <cellStyle name="SAPBEXunassignedItem 2 2 10" xfId="47366" xr:uid="{00000000-0005-0000-0000-0000E0B90000}"/>
    <cellStyle name="SAPBEXunassignedItem 2 2 11" xfId="47367" xr:uid="{00000000-0005-0000-0000-0000E1B90000}"/>
    <cellStyle name="SAPBEXunassignedItem 2 2 12" xfId="47368" xr:uid="{00000000-0005-0000-0000-0000E2B90000}"/>
    <cellStyle name="SAPBEXunassignedItem 2 2 13" xfId="47369" xr:uid="{00000000-0005-0000-0000-0000E3B90000}"/>
    <cellStyle name="SAPBEXunassignedItem 2 2 2" xfId="47370" xr:uid="{00000000-0005-0000-0000-0000E4B90000}"/>
    <cellStyle name="SAPBEXunassignedItem 2 2 2 2" xfId="47371" xr:uid="{00000000-0005-0000-0000-0000E5B90000}"/>
    <cellStyle name="SAPBEXunassignedItem 2 2 2 3" xfId="47372" xr:uid="{00000000-0005-0000-0000-0000E6B90000}"/>
    <cellStyle name="SAPBEXunassignedItem 2 2 3" xfId="47373" xr:uid="{00000000-0005-0000-0000-0000E7B90000}"/>
    <cellStyle name="SAPBEXunassignedItem 2 2 3 2" xfId="47374" xr:uid="{00000000-0005-0000-0000-0000E8B90000}"/>
    <cellStyle name="SAPBEXunassignedItem 2 2 4" xfId="47375" xr:uid="{00000000-0005-0000-0000-0000E9B90000}"/>
    <cellStyle name="SAPBEXunassignedItem 2 2 4 2" xfId="47376" xr:uid="{00000000-0005-0000-0000-0000EAB90000}"/>
    <cellStyle name="SAPBEXunassignedItem 2 2 5" xfId="47377" xr:uid="{00000000-0005-0000-0000-0000EBB90000}"/>
    <cellStyle name="SAPBEXunassignedItem 2 2 5 2" xfId="47378" xr:uid="{00000000-0005-0000-0000-0000ECB90000}"/>
    <cellStyle name="SAPBEXunassignedItem 2 2 6" xfId="47379" xr:uid="{00000000-0005-0000-0000-0000EDB90000}"/>
    <cellStyle name="SAPBEXunassignedItem 2 2 6 2" xfId="47380" xr:uid="{00000000-0005-0000-0000-0000EEB90000}"/>
    <cellStyle name="SAPBEXunassignedItem 2 2 7" xfId="47381" xr:uid="{00000000-0005-0000-0000-0000EFB90000}"/>
    <cellStyle name="SAPBEXunassignedItem 2 2 7 2" xfId="47382" xr:uid="{00000000-0005-0000-0000-0000F0B90000}"/>
    <cellStyle name="SAPBEXunassignedItem 2 2 8" xfId="47383" xr:uid="{00000000-0005-0000-0000-0000F1B90000}"/>
    <cellStyle name="SAPBEXunassignedItem 2 2 8 2" xfId="47384" xr:uid="{00000000-0005-0000-0000-0000F2B90000}"/>
    <cellStyle name="SAPBEXunassignedItem 2 2 9" xfId="47385" xr:uid="{00000000-0005-0000-0000-0000F3B90000}"/>
    <cellStyle name="SAPBEXunassignedItem 2 20" xfId="47386" xr:uid="{00000000-0005-0000-0000-0000F4B90000}"/>
    <cellStyle name="SAPBEXunassignedItem 2 21" xfId="47387" xr:uid="{00000000-0005-0000-0000-0000F5B90000}"/>
    <cellStyle name="SAPBEXunassignedItem 2 22" xfId="47388" xr:uid="{00000000-0005-0000-0000-0000F6B90000}"/>
    <cellStyle name="SAPBEXunassignedItem 2 23" xfId="47389" xr:uid="{00000000-0005-0000-0000-0000F7B90000}"/>
    <cellStyle name="SAPBEXunassignedItem 2 24" xfId="47390" xr:uid="{00000000-0005-0000-0000-0000F8B90000}"/>
    <cellStyle name="SAPBEXunassignedItem 2 25" xfId="47391" xr:uid="{00000000-0005-0000-0000-0000F9B90000}"/>
    <cellStyle name="SAPBEXunassignedItem 2 26" xfId="47392" xr:uid="{00000000-0005-0000-0000-0000FAB90000}"/>
    <cellStyle name="SAPBEXunassignedItem 2 27" xfId="47393" xr:uid="{00000000-0005-0000-0000-0000FBB90000}"/>
    <cellStyle name="SAPBEXunassignedItem 2 28" xfId="47394" xr:uid="{00000000-0005-0000-0000-0000FCB90000}"/>
    <cellStyle name="SAPBEXunassignedItem 2 29" xfId="47395" xr:uid="{00000000-0005-0000-0000-0000FDB90000}"/>
    <cellStyle name="SAPBEXunassignedItem 2 3" xfId="47396" xr:uid="{00000000-0005-0000-0000-0000FEB90000}"/>
    <cellStyle name="SAPBEXunassignedItem 2 3 2" xfId="47397" xr:uid="{00000000-0005-0000-0000-0000FFB90000}"/>
    <cellStyle name="SAPBEXunassignedItem 2 3 3" xfId="47398" xr:uid="{00000000-0005-0000-0000-000000BA0000}"/>
    <cellStyle name="SAPBEXunassignedItem 2 30" xfId="47399" xr:uid="{00000000-0005-0000-0000-000001BA0000}"/>
    <cellStyle name="SAPBEXunassignedItem 2 4" xfId="47400" xr:uid="{00000000-0005-0000-0000-000002BA0000}"/>
    <cellStyle name="SAPBEXunassignedItem 2 4 2" xfId="47401" xr:uid="{00000000-0005-0000-0000-000003BA0000}"/>
    <cellStyle name="SAPBEXunassignedItem 2 5" xfId="47402" xr:uid="{00000000-0005-0000-0000-000004BA0000}"/>
    <cellStyle name="SAPBEXunassignedItem 2 5 2" xfId="47403" xr:uid="{00000000-0005-0000-0000-000005BA0000}"/>
    <cellStyle name="SAPBEXunassignedItem 2 6" xfId="47404" xr:uid="{00000000-0005-0000-0000-000006BA0000}"/>
    <cellStyle name="SAPBEXunassignedItem 2 6 2" xfId="47405" xr:uid="{00000000-0005-0000-0000-000007BA0000}"/>
    <cellStyle name="SAPBEXunassignedItem 2 7" xfId="47406" xr:uid="{00000000-0005-0000-0000-000008BA0000}"/>
    <cellStyle name="SAPBEXunassignedItem 2 7 2" xfId="47407" xr:uid="{00000000-0005-0000-0000-000009BA0000}"/>
    <cellStyle name="SAPBEXunassignedItem 2 8" xfId="47408" xr:uid="{00000000-0005-0000-0000-00000ABA0000}"/>
    <cellStyle name="SAPBEXunassignedItem 2 8 2" xfId="47409" xr:uid="{00000000-0005-0000-0000-00000BBA0000}"/>
    <cellStyle name="SAPBEXunassignedItem 2 9" xfId="47410" xr:uid="{00000000-0005-0000-0000-00000CBA0000}"/>
    <cellStyle name="SAPBEXunassignedItem 2 9 2" xfId="47411" xr:uid="{00000000-0005-0000-0000-00000DBA0000}"/>
    <cellStyle name="SAPBEXunassignedItem 3" xfId="47412" xr:uid="{00000000-0005-0000-0000-00000EBA0000}"/>
    <cellStyle name="SAPBEXunassignedItem 3 10" xfId="47413" xr:uid="{00000000-0005-0000-0000-00000FBA0000}"/>
    <cellStyle name="SAPBEXunassignedItem 3 11" xfId="47414" xr:uid="{00000000-0005-0000-0000-000010BA0000}"/>
    <cellStyle name="SAPBEXunassignedItem 3 12" xfId="47415" xr:uid="{00000000-0005-0000-0000-000011BA0000}"/>
    <cellStyle name="SAPBEXunassignedItem 3 13" xfId="47416" xr:uid="{00000000-0005-0000-0000-000012BA0000}"/>
    <cellStyle name="SAPBEXunassignedItem 3 14" xfId="47417" xr:uid="{00000000-0005-0000-0000-000013BA0000}"/>
    <cellStyle name="SAPBEXunassignedItem 3 15" xfId="47418" xr:uid="{00000000-0005-0000-0000-000014BA0000}"/>
    <cellStyle name="SAPBEXunassignedItem 3 16" xfId="47419" xr:uid="{00000000-0005-0000-0000-000015BA0000}"/>
    <cellStyle name="SAPBEXunassignedItem 3 17" xfId="47420" xr:uid="{00000000-0005-0000-0000-000016BA0000}"/>
    <cellStyle name="SAPBEXunassignedItem 3 18" xfId="47421" xr:uid="{00000000-0005-0000-0000-000017BA0000}"/>
    <cellStyle name="SAPBEXunassignedItem 3 19" xfId="47422" xr:uid="{00000000-0005-0000-0000-000018BA0000}"/>
    <cellStyle name="SAPBEXunassignedItem 3 2" xfId="47423" xr:uid="{00000000-0005-0000-0000-000019BA0000}"/>
    <cellStyle name="SAPBEXunassignedItem 3 2 10" xfId="47424" xr:uid="{00000000-0005-0000-0000-00001ABA0000}"/>
    <cellStyle name="SAPBEXunassignedItem 3 2 11" xfId="47425" xr:uid="{00000000-0005-0000-0000-00001BBA0000}"/>
    <cellStyle name="SAPBEXunassignedItem 3 2 12" xfId="47426" xr:uid="{00000000-0005-0000-0000-00001CBA0000}"/>
    <cellStyle name="SAPBEXunassignedItem 3 2 13" xfId="47427" xr:uid="{00000000-0005-0000-0000-00001DBA0000}"/>
    <cellStyle name="SAPBEXunassignedItem 3 2 2" xfId="47428" xr:uid="{00000000-0005-0000-0000-00001EBA0000}"/>
    <cellStyle name="SAPBEXunassignedItem 3 2 2 2" xfId="47429" xr:uid="{00000000-0005-0000-0000-00001FBA0000}"/>
    <cellStyle name="SAPBEXunassignedItem 3 2 2 3" xfId="47430" xr:uid="{00000000-0005-0000-0000-000020BA0000}"/>
    <cellStyle name="SAPBEXunassignedItem 3 2 3" xfId="47431" xr:uid="{00000000-0005-0000-0000-000021BA0000}"/>
    <cellStyle name="SAPBEXunassignedItem 3 2 3 2" xfId="47432" xr:uid="{00000000-0005-0000-0000-000022BA0000}"/>
    <cellStyle name="SAPBEXunassignedItem 3 2 4" xfId="47433" xr:uid="{00000000-0005-0000-0000-000023BA0000}"/>
    <cellStyle name="SAPBEXunassignedItem 3 2 4 2" xfId="47434" xr:uid="{00000000-0005-0000-0000-000024BA0000}"/>
    <cellStyle name="SAPBEXunassignedItem 3 2 5" xfId="47435" xr:uid="{00000000-0005-0000-0000-000025BA0000}"/>
    <cellStyle name="SAPBEXunassignedItem 3 2 5 2" xfId="47436" xr:uid="{00000000-0005-0000-0000-000026BA0000}"/>
    <cellStyle name="SAPBEXunassignedItem 3 2 6" xfId="47437" xr:uid="{00000000-0005-0000-0000-000027BA0000}"/>
    <cellStyle name="SAPBEXunassignedItem 3 2 6 2" xfId="47438" xr:uid="{00000000-0005-0000-0000-000028BA0000}"/>
    <cellStyle name="SAPBEXunassignedItem 3 2 7" xfId="47439" xr:uid="{00000000-0005-0000-0000-000029BA0000}"/>
    <cellStyle name="SAPBEXunassignedItem 3 2 7 2" xfId="47440" xr:uid="{00000000-0005-0000-0000-00002ABA0000}"/>
    <cellStyle name="SAPBEXunassignedItem 3 2 8" xfId="47441" xr:uid="{00000000-0005-0000-0000-00002BBA0000}"/>
    <cellStyle name="SAPBEXunassignedItem 3 2 8 2" xfId="47442" xr:uid="{00000000-0005-0000-0000-00002CBA0000}"/>
    <cellStyle name="SAPBEXunassignedItem 3 2 9" xfId="47443" xr:uid="{00000000-0005-0000-0000-00002DBA0000}"/>
    <cellStyle name="SAPBEXunassignedItem 3 20" xfId="47444" xr:uid="{00000000-0005-0000-0000-00002EBA0000}"/>
    <cellStyle name="SAPBEXunassignedItem 3 21" xfId="47445" xr:uid="{00000000-0005-0000-0000-00002FBA0000}"/>
    <cellStyle name="SAPBEXunassignedItem 3 22" xfId="47446" xr:uid="{00000000-0005-0000-0000-000030BA0000}"/>
    <cellStyle name="SAPBEXunassignedItem 3 23" xfId="47447" xr:uid="{00000000-0005-0000-0000-000031BA0000}"/>
    <cellStyle name="SAPBEXunassignedItem 3 24" xfId="47448" xr:uid="{00000000-0005-0000-0000-000032BA0000}"/>
    <cellStyle name="SAPBEXunassignedItem 3 25" xfId="47449" xr:uid="{00000000-0005-0000-0000-000033BA0000}"/>
    <cellStyle name="SAPBEXunassignedItem 3 26" xfId="47450" xr:uid="{00000000-0005-0000-0000-000034BA0000}"/>
    <cellStyle name="SAPBEXunassignedItem 3 27" xfId="47451" xr:uid="{00000000-0005-0000-0000-000035BA0000}"/>
    <cellStyle name="SAPBEXunassignedItem 3 28" xfId="47452" xr:uid="{00000000-0005-0000-0000-000036BA0000}"/>
    <cellStyle name="SAPBEXunassignedItem 3 29" xfId="47453" xr:uid="{00000000-0005-0000-0000-000037BA0000}"/>
    <cellStyle name="SAPBEXunassignedItem 3 3" xfId="47454" xr:uid="{00000000-0005-0000-0000-000038BA0000}"/>
    <cellStyle name="SAPBEXunassignedItem 3 3 2" xfId="47455" xr:uid="{00000000-0005-0000-0000-000039BA0000}"/>
    <cellStyle name="SAPBEXunassignedItem 3 3 3" xfId="47456" xr:uid="{00000000-0005-0000-0000-00003ABA0000}"/>
    <cellStyle name="SAPBEXunassignedItem 3 30" xfId="47457" xr:uid="{00000000-0005-0000-0000-00003BBA0000}"/>
    <cellStyle name="SAPBEXunassignedItem 3 4" xfId="47458" xr:uid="{00000000-0005-0000-0000-00003CBA0000}"/>
    <cellStyle name="SAPBEXunassignedItem 3 4 2" xfId="47459" xr:uid="{00000000-0005-0000-0000-00003DBA0000}"/>
    <cellStyle name="SAPBEXunassignedItem 3 5" xfId="47460" xr:uid="{00000000-0005-0000-0000-00003EBA0000}"/>
    <cellStyle name="SAPBEXunassignedItem 3 5 2" xfId="47461" xr:uid="{00000000-0005-0000-0000-00003FBA0000}"/>
    <cellStyle name="SAPBEXunassignedItem 3 6" xfId="47462" xr:uid="{00000000-0005-0000-0000-000040BA0000}"/>
    <cellStyle name="SAPBEXunassignedItem 3 6 2" xfId="47463" xr:uid="{00000000-0005-0000-0000-000041BA0000}"/>
    <cellStyle name="SAPBEXunassignedItem 3 7" xfId="47464" xr:uid="{00000000-0005-0000-0000-000042BA0000}"/>
    <cellStyle name="SAPBEXunassignedItem 3 7 2" xfId="47465" xr:uid="{00000000-0005-0000-0000-000043BA0000}"/>
    <cellStyle name="SAPBEXunassignedItem 3 8" xfId="47466" xr:uid="{00000000-0005-0000-0000-000044BA0000}"/>
    <cellStyle name="SAPBEXunassignedItem 3 8 2" xfId="47467" xr:uid="{00000000-0005-0000-0000-000045BA0000}"/>
    <cellStyle name="SAPBEXunassignedItem 3 9" xfId="47468" xr:uid="{00000000-0005-0000-0000-000046BA0000}"/>
    <cellStyle name="SAPBEXunassignedItem 3 9 2" xfId="47469" xr:uid="{00000000-0005-0000-0000-000047BA0000}"/>
    <cellStyle name="SAPBEXunassignedItem 4" xfId="47470" xr:uid="{00000000-0005-0000-0000-000048BA0000}"/>
    <cellStyle name="SAPBEXunassignedItem 4 10" xfId="47471" xr:uid="{00000000-0005-0000-0000-000049BA0000}"/>
    <cellStyle name="SAPBEXunassignedItem 4 11" xfId="47472" xr:uid="{00000000-0005-0000-0000-00004ABA0000}"/>
    <cellStyle name="SAPBEXunassignedItem 4 12" xfId="47473" xr:uid="{00000000-0005-0000-0000-00004BBA0000}"/>
    <cellStyle name="SAPBEXunassignedItem 4 13" xfId="47474" xr:uid="{00000000-0005-0000-0000-00004CBA0000}"/>
    <cellStyle name="SAPBEXunassignedItem 4 14" xfId="47475" xr:uid="{00000000-0005-0000-0000-00004DBA0000}"/>
    <cellStyle name="SAPBEXunassignedItem 4 15" xfId="47476" xr:uid="{00000000-0005-0000-0000-00004EBA0000}"/>
    <cellStyle name="SAPBEXunassignedItem 4 16" xfId="47477" xr:uid="{00000000-0005-0000-0000-00004FBA0000}"/>
    <cellStyle name="SAPBEXunassignedItem 4 17" xfId="47478" xr:uid="{00000000-0005-0000-0000-000050BA0000}"/>
    <cellStyle name="SAPBEXunassignedItem 4 18" xfId="47479" xr:uid="{00000000-0005-0000-0000-000051BA0000}"/>
    <cellStyle name="SAPBEXunassignedItem 4 19" xfId="47480" xr:uid="{00000000-0005-0000-0000-000052BA0000}"/>
    <cellStyle name="SAPBEXunassignedItem 4 2" xfId="47481" xr:uid="{00000000-0005-0000-0000-000053BA0000}"/>
    <cellStyle name="SAPBEXunassignedItem 4 2 10" xfId="47482" xr:uid="{00000000-0005-0000-0000-000054BA0000}"/>
    <cellStyle name="SAPBEXunassignedItem 4 2 11" xfId="47483" xr:uid="{00000000-0005-0000-0000-000055BA0000}"/>
    <cellStyle name="SAPBEXunassignedItem 4 2 12" xfId="47484" xr:uid="{00000000-0005-0000-0000-000056BA0000}"/>
    <cellStyle name="SAPBEXunassignedItem 4 2 13" xfId="47485" xr:uid="{00000000-0005-0000-0000-000057BA0000}"/>
    <cellStyle name="SAPBEXunassignedItem 4 2 2" xfId="47486" xr:uid="{00000000-0005-0000-0000-000058BA0000}"/>
    <cellStyle name="SAPBEXunassignedItem 4 2 2 2" xfId="47487" xr:uid="{00000000-0005-0000-0000-000059BA0000}"/>
    <cellStyle name="SAPBEXunassignedItem 4 2 2 3" xfId="47488" xr:uid="{00000000-0005-0000-0000-00005ABA0000}"/>
    <cellStyle name="SAPBEXunassignedItem 4 2 3" xfId="47489" xr:uid="{00000000-0005-0000-0000-00005BBA0000}"/>
    <cellStyle name="SAPBEXunassignedItem 4 2 3 2" xfId="47490" xr:uid="{00000000-0005-0000-0000-00005CBA0000}"/>
    <cellStyle name="SAPBEXunassignedItem 4 2 4" xfId="47491" xr:uid="{00000000-0005-0000-0000-00005DBA0000}"/>
    <cellStyle name="SAPBEXunassignedItem 4 2 4 2" xfId="47492" xr:uid="{00000000-0005-0000-0000-00005EBA0000}"/>
    <cellStyle name="SAPBEXunassignedItem 4 2 5" xfId="47493" xr:uid="{00000000-0005-0000-0000-00005FBA0000}"/>
    <cellStyle name="SAPBEXunassignedItem 4 2 5 2" xfId="47494" xr:uid="{00000000-0005-0000-0000-000060BA0000}"/>
    <cellStyle name="SAPBEXunassignedItem 4 2 6" xfId="47495" xr:uid="{00000000-0005-0000-0000-000061BA0000}"/>
    <cellStyle name="SAPBEXunassignedItem 4 2 6 2" xfId="47496" xr:uid="{00000000-0005-0000-0000-000062BA0000}"/>
    <cellStyle name="SAPBEXunassignedItem 4 2 7" xfId="47497" xr:uid="{00000000-0005-0000-0000-000063BA0000}"/>
    <cellStyle name="SAPBEXunassignedItem 4 2 7 2" xfId="47498" xr:uid="{00000000-0005-0000-0000-000064BA0000}"/>
    <cellStyle name="SAPBEXunassignedItem 4 2 8" xfId="47499" xr:uid="{00000000-0005-0000-0000-000065BA0000}"/>
    <cellStyle name="SAPBEXunassignedItem 4 2 8 2" xfId="47500" xr:uid="{00000000-0005-0000-0000-000066BA0000}"/>
    <cellStyle name="SAPBEXunassignedItem 4 2 9" xfId="47501" xr:uid="{00000000-0005-0000-0000-000067BA0000}"/>
    <cellStyle name="SAPBEXunassignedItem 4 20" xfId="47502" xr:uid="{00000000-0005-0000-0000-000068BA0000}"/>
    <cellStyle name="SAPBEXunassignedItem 4 21" xfId="47503" xr:uid="{00000000-0005-0000-0000-000069BA0000}"/>
    <cellStyle name="SAPBEXunassignedItem 4 22" xfId="47504" xr:uid="{00000000-0005-0000-0000-00006ABA0000}"/>
    <cellStyle name="SAPBEXunassignedItem 4 23" xfId="47505" xr:uid="{00000000-0005-0000-0000-00006BBA0000}"/>
    <cellStyle name="SAPBEXunassignedItem 4 24" xfId="47506" xr:uid="{00000000-0005-0000-0000-00006CBA0000}"/>
    <cellStyle name="SAPBEXunassignedItem 4 25" xfId="47507" xr:uid="{00000000-0005-0000-0000-00006DBA0000}"/>
    <cellStyle name="SAPBEXunassignedItem 4 26" xfId="47508" xr:uid="{00000000-0005-0000-0000-00006EBA0000}"/>
    <cellStyle name="SAPBEXunassignedItem 4 27" xfId="47509" xr:uid="{00000000-0005-0000-0000-00006FBA0000}"/>
    <cellStyle name="SAPBEXunassignedItem 4 28" xfId="47510" xr:uid="{00000000-0005-0000-0000-000070BA0000}"/>
    <cellStyle name="SAPBEXunassignedItem 4 29" xfId="47511" xr:uid="{00000000-0005-0000-0000-000071BA0000}"/>
    <cellStyle name="SAPBEXunassignedItem 4 3" xfId="47512" xr:uid="{00000000-0005-0000-0000-000072BA0000}"/>
    <cellStyle name="SAPBEXunassignedItem 4 3 2" xfId="47513" xr:uid="{00000000-0005-0000-0000-000073BA0000}"/>
    <cellStyle name="SAPBEXunassignedItem 4 3 3" xfId="47514" xr:uid="{00000000-0005-0000-0000-000074BA0000}"/>
    <cellStyle name="SAPBEXunassignedItem 4 30" xfId="47515" xr:uid="{00000000-0005-0000-0000-000075BA0000}"/>
    <cellStyle name="SAPBEXunassignedItem 4 4" xfId="47516" xr:uid="{00000000-0005-0000-0000-000076BA0000}"/>
    <cellStyle name="SAPBEXunassignedItem 4 4 2" xfId="47517" xr:uid="{00000000-0005-0000-0000-000077BA0000}"/>
    <cellStyle name="SAPBEXunassignedItem 4 5" xfId="47518" xr:uid="{00000000-0005-0000-0000-000078BA0000}"/>
    <cellStyle name="SAPBEXunassignedItem 4 5 2" xfId="47519" xr:uid="{00000000-0005-0000-0000-000079BA0000}"/>
    <cellStyle name="SAPBEXunassignedItem 4 6" xfId="47520" xr:uid="{00000000-0005-0000-0000-00007ABA0000}"/>
    <cellStyle name="SAPBEXunassignedItem 4 6 2" xfId="47521" xr:uid="{00000000-0005-0000-0000-00007BBA0000}"/>
    <cellStyle name="SAPBEXunassignedItem 4 7" xfId="47522" xr:uid="{00000000-0005-0000-0000-00007CBA0000}"/>
    <cellStyle name="SAPBEXunassignedItem 4 7 2" xfId="47523" xr:uid="{00000000-0005-0000-0000-00007DBA0000}"/>
    <cellStyle name="SAPBEXunassignedItem 4 8" xfId="47524" xr:uid="{00000000-0005-0000-0000-00007EBA0000}"/>
    <cellStyle name="SAPBEXunassignedItem 4 8 2" xfId="47525" xr:uid="{00000000-0005-0000-0000-00007FBA0000}"/>
    <cellStyle name="SAPBEXunassignedItem 4 9" xfId="47526" xr:uid="{00000000-0005-0000-0000-000080BA0000}"/>
    <cellStyle name="SAPBEXunassignedItem 4 9 2" xfId="47527" xr:uid="{00000000-0005-0000-0000-000081BA0000}"/>
    <cellStyle name="SAPBEXunassignedItem 5" xfId="47528" xr:uid="{00000000-0005-0000-0000-000082BA0000}"/>
    <cellStyle name="SAPBEXunassignedItem 5 10" xfId="47529" xr:uid="{00000000-0005-0000-0000-000083BA0000}"/>
    <cellStyle name="SAPBEXunassignedItem 5 11" xfId="47530" xr:uid="{00000000-0005-0000-0000-000084BA0000}"/>
    <cellStyle name="SAPBEXunassignedItem 5 12" xfId="47531" xr:uid="{00000000-0005-0000-0000-000085BA0000}"/>
    <cellStyle name="SAPBEXunassignedItem 5 13" xfId="47532" xr:uid="{00000000-0005-0000-0000-000086BA0000}"/>
    <cellStyle name="SAPBEXunassignedItem 5 2" xfId="47533" xr:uid="{00000000-0005-0000-0000-000087BA0000}"/>
    <cellStyle name="SAPBEXunassignedItem 5 2 2" xfId="47534" xr:uid="{00000000-0005-0000-0000-000088BA0000}"/>
    <cellStyle name="SAPBEXunassignedItem 5 2 3" xfId="47535" xr:uid="{00000000-0005-0000-0000-000089BA0000}"/>
    <cellStyle name="SAPBEXunassignedItem 5 3" xfId="47536" xr:uid="{00000000-0005-0000-0000-00008ABA0000}"/>
    <cellStyle name="SAPBEXunassignedItem 5 3 2" xfId="47537" xr:uid="{00000000-0005-0000-0000-00008BBA0000}"/>
    <cellStyle name="SAPBEXunassignedItem 5 4" xfId="47538" xr:uid="{00000000-0005-0000-0000-00008CBA0000}"/>
    <cellStyle name="SAPBEXunassignedItem 5 4 2" xfId="47539" xr:uid="{00000000-0005-0000-0000-00008DBA0000}"/>
    <cellStyle name="SAPBEXunassignedItem 5 5" xfId="47540" xr:uid="{00000000-0005-0000-0000-00008EBA0000}"/>
    <cellStyle name="SAPBEXunassignedItem 5 5 2" xfId="47541" xr:uid="{00000000-0005-0000-0000-00008FBA0000}"/>
    <cellStyle name="SAPBEXunassignedItem 5 6" xfId="47542" xr:uid="{00000000-0005-0000-0000-000090BA0000}"/>
    <cellStyle name="SAPBEXunassignedItem 5 6 2" xfId="47543" xr:uid="{00000000-0005-0000-0000-000091BA0000}"/>
    <cellStyle name="SAPBEXunassignedItem 5 7" xfId="47544" xr:uid="{00000000-0005-0000-0000-000092BA0000}"/>
    <cellStyle name="SAPBEXunassignedItem 5 7 2" xfId="47545" xr:uid="{00000000-0005-0000-0000-000093BA0000}"/>
    <cellStyle name="SAPBEXunassignedItem 5 8" xfId="47546" xr:uid="{00000000-0005-0000-0000-000094BA0000}"/>
    <cellStyle name="SAPBEXunassignedItem 5 8 2" xfId="47547" xr:uid="{00000000-0005-0000-0000-000095BA0000}"/>
    <cellStyle name="SAPBEXunassignedItem 5 9" xfId="47548" xr:uid="{00000000-0005-0000-0000-000096BA0000}"/>
    <cellStyle name="SAPBEXunassignedItem 6" xfId="47549" xr:uid="{00000000-0005-0000-0000-000097BA0000}"/>
    <cellStyle name="SAPBEXunassignedItem 6 2" xfId="47550" xr:uid="{00000000-0005-0000-0000-000098BA0000}"/>
    <cellStyle name="SAPBEXunassignedItem 6 3" xfId="47551" xr:uid="{00000000-0005-0000-0000-000099BA0000}"/>
    <cellStyle name="SAPBEXunassignedItem 7" xfId="47552" xr:uid="{00000000-0005-0000-0000-00009ABA0000}"/>
    <cellStyle name="SAPBEXunassignedItem 7 2" xfId="47553" xr:uid="{00000000-0005-0000-0000-00009BBA0000}"/>
    <cellStyle name="SAPBEXunassignedItem 8" xfId="47554" xr:uid="{00000000-0005-0000-0000-00009CBA0000}"/>
    <cellStyle name="SAPBEXunassignedItem 8 2" xfId="47555" xr:uid="{00000000-0005-0000-0000-00009DBA0000}"/>
    <cellStyle name="SAPBEXunassignedItem 9" xfId="47556" xr:uid="{00000000-0005-0000-0000-00009EBA0000}"/>
    <cellStyle name="SAPBEXunassignedItem 9 2" xfId="47557" xr:uid="{00000000-0005-0000-0000-00009FBA0000}"/>
    <cellStyle name="SAPBEXunassignedItem_Business Plan " xfId="47558" xr:uid="{00000000-0005-0000-0000-0000A0BA0000}"/>
    <cellStyle name="SAPBEXundefined" xfId="47559" xr:uid="{00000000-0005-0000-0000-0000A1BA0000}"/>
    <cellStyle name="SAPBEXundefined 10" xfId="47560" xr:uid="{00000000-0005-0000-0000-0000A2BA0000}"/>
    <cellStyle name="SAPBEXundefined 11" xfId="47561" xr:uid="{00000000-0005-0000-0000-0000A3BA0000}"/>
    <cellStyle name="SAPBEXundefined 12" xfId="47562" xr:uid="{00000000-0005-0000-0000-0000A4BA0000}"/>
    <cellStyle name="SAPBEXundefined 13" xfId="47563" xr:uid="{00000000-0005-0000-0000-0000A5BA0000}"/>
    <cellStyle name="SAPBEXundefined 14" xfId="47564" xr:uid="{00000000-0005-0000-0000-0000A6BA0000}"/>
    <cellStyle name="SAPBEXundefined 15" xfId="47565" xr:uid="{00000000-0005-0000-0000-0000A7BA0000}"/>
    <cellStyle name="SAPBEXundefined 16" xfId="47566" xr:uid="{00000000-0005-0000-0000-0000A8BA0000}"/>
    <cellStyle name="SAPBEXundefined 17" xfId="47567" xr:uid="{00000000-0005-0000-0000-0000A9BA0000}"/>
    <cellStyle name="SAPBEXundefined 18" xfId="47568" xr:uid="{00000000-0005-0000-0000-0000AABA0000}"/>
    <cellStyle name="SAPBEXundefined 19" xfId="47569" xr:uid="{00000000-0005-0000-0000-0000ABBA0000}"/>
    <cellStyle name="SAPBEXundefined 2" xfId="47570" xr:uid="{00000000-0005-0000-0000-0000ACBA0000}"/>
    <cellStyle name="SAPBEXundefined 2 2" xfId="47571" xr:uid="{00000000-0005-0000-0000-0000ADBA0000}"/>
    <cellStyle name="SAPBEXundefined 2 2 2" xfId="47572" xr:uid="{00000000-0005-0000-0000-0000AEBA0000}"/>
    <cellStyle name="SAPBEXundefined 2 2 3" xfId="47573" xr:uid="{00000000-0005-0000-0000-0000AFBA0000}"/>
    <cellStyle name="SAPBEXundefined 2 3" xfId="47574" xr:uid="{00000000-0005-0000-0000-0000B0BA0000}"/>
    <cellStyle name="SAPBEXundefined 2 3 2" xfId="47575" xr:uid="{00000000-0005-0000-0000-0000B1BA0000}"/>
    <cellStyle name="SAPBEXundefined 2 4" xfId="47576" xr:uid="{00000000-0005-0000-0000-0000B2BA0000}"/>
    <cellStyle name="SAPBEXundefined 20" xfId="47577" xr:uid="{00000000-0005-0000-0000-0000B3BA0000}"/>
    <cellStyle name="SAPBEXundefined 21" xfId="47578" xr:uid="{00000000-0005-0000-0000-0000B4BA0000}"/>
    <cellStyle name="SAPBEXundefined 22" xfId="47579" xr:uid="{00000000-0005-0000-0000-0000B5BA0000}"/>
    <cellStyle name="SAPBEXundefined 23" xfId="47580" xr:uid="{00000000-0005-0000-0000-0000B6BA0000}"/>
    <cellStyle name="SAPBEXundefined 24" xfId="47581" xr:uid="{00000000-0005-0000-0000-0000B7BA0000}"/>
    <cellStyle name="SAPBEXundefined 25" xfId="47582" xr:uid="{00000000-0005-0000-0000-0000B8BA0000}"/>
    <cellStyle name="SAPBEXundefined 26" xfId="47583" xr:uid="{00000000-0005-0000-0000-0000B9BA0000}"/>
    <cellStyle name="SAPBEXundefined 27" xfId="47584" xr:uid="{00000000-0005-0000-0000-0000BABA0000}"/>
    <cellStyle name="SAPBEXundefined 28" xfId="47585" xr:uid="{00000000-0005-0000-0000-0000BBBA0000}"/>
    <cellStyle name="SAPBEXundefined 29" xfId="47586" xr:uid="{00000000-0005-0000-0000-0000BCBA0000}"/>
    <cellStyle name="SAPBEXundefined 3" xfId="47587" xr:uid="{00000000-0005-0000-0000-0000BDBA0000}"/>
    <cellStyle name="SAPBEXundefined 3 2" xfId="47588" xr:uid="{00000000-0005-0000-0000-0000BEBA0000}"/>
    <cellStyle name="SAPBEXundefined 3 3" xfId="47589" xr:uid="{00000000-0005-0000-0000-0000BFBA0000}"/>
    <cellStyle name="SAPBEXundefined 30" xfId="47590" xr:uid="{00000000-0005-0000-0000-0000C0BA0000}"/>
    <cellStyle name="SAPBEXundefined 31" xfId="47591" xr:uid="{00000000-0005-0000-0000-0000C1BA0000}"/>
    <cellStyle name="SAPBEXundefined 32" xfId="47592" xr:uid="{00000000-0005-0000-0000-0000C2BA0000}"/>
    <cellStyle name="SAPBEXundefined 4" xfId="47593" xr:uid="{00000000-0005-0000-0000-0000C3BA0000}"/>
    <cellStyle name="SAPBEXundefined 4 2" xfId="47594" xr:uid="{00000000-0005-0000-0000-0000C4BA0000}"/>
    <cellStyle name="SAPBEXundefined 5" xfId="47595" xr:uid="{00000000-0005-0000-0000-0000C5BA0000}"/>
    <cellStyle name="SAPBEXundefined 6" xfId="47596" xr:uid="{00000000-0005-0000-0000-0000C6BA0000}"/>
    <cellStyle name="SAPBEXundefined 7" xfId="47597" xr:uid="{00000000-0005-0000-0000-0000C7BA0000}"/>
    <cellStyle name="SAPBEXundefined 8" xfId="47598" xr:uid="{00000000-0005-0000-0000-0000C8BA0000}"/>
    <cellStyle name="SAPBEXundefined 9" xfId="47599" xr:uid="{00000000-0005-0000-0000-0000C9BA0000}"/>
    <cellStyle name="SAPBEXundefined_SGN 10a Business Plan 2010v14 used for CF model v2" xfId="47600" xr:uid="{00000000-0005-0000-0000-0000CABA0000}"/>
    <cellStyle name="Scen_index" xfId="47601" xr:uid="{00000000-0005-0000-0000-0000CBBA0000}"/>
    <cellStyle name="Sch_name" xfId="47602" xr:uid="{00000000-0005-0000-0000-0000CCBA0000}"/>
    <cellStyle name="Section Head" xfId="47603" xr:uid="{00000000-0005-0000-0000-0000CDBA0000}"/>
    <cellStyle name="Separador de milhares [0]_K16010001" xfId="47604" xr:uid="{00000000-0005-0000-0000-0000CEBA0000}"/>
    <cellStyle name="Separador de milhares_DADOS DO BALANCO" xfId="47605" xr:uid="{00000000-0005-0000-0000-0000CFBA0000}"/>
    <cellStyle name="Shading" xfId="47606" xr:uid="{00000000-0005-0000-0000-0000D0BA0000}"/>
    <cellStyle name="Sheet Header" xfId="47607" xr:uid="{00000000-0005-0000-0000-0000D1BA0000}"/>
    <cellStyle name="Sheet Title" xfId="47608" xr:uid="{00000000-0005-0000-0000-0000D2BA0000}"/>
    <cellStyle name="Sheet Title 2" xfId="47609" xr:uid="{00000000-0005-0000-0000-0000D3BA0000}"/>
    <cellStyle name="Sheet Title 2 2" xfId="47610" xr:uid="{00000000-0005-0000-0000-0000D4BA0000}"/>
    <cellStyle name="Sheet Title 2 3" xfId="47611" xr:uid="{00000000-0005-0000-0000-0000D5BA0000}"/>
    <cellStyle name="Sheet Title 3" xfId="47612" xr:uid="{00000000-0005-0000-0000-0000D6BA0000}"/>
    <cellStyle name="Sheet Title 4" xfId="47613" xr:uid="{00000000-0005-0000-0000-0000D7BA0000}"/>
    <cellStyle name="Sheet Title 5" xfId="47614" xr:uid="{00000000-0005-0000-0000-0000D8BA0000}"/>
    <cellStyle name="Sheet Title 6" xfId="47615" xr:uid="{00000000-0005-0000-0000-0000D9BA0000}"/>
    <cellStyle name="Sheet Title 7" xfId="47616" xr:uid="{00000000-0005-0000-0000-0000DABA0000}"/>
    <cellStyle name="ShOut" xfId="47617" xr:uid="{00000000-0005-0000-0000-0000DBBA0000}"/>
    <cellStyle name="sideways" xfId="47618" xr:uid="{00000000-0005-0000-0000-0000DCBA0000}"/>
    <cellStyle name="Single Cell Column Heading" xfId="47619" xr:uid="{00000000-0005-0000-0000-0000DDBA0000}"/>
    <cellStyle name="SSN" xfId="47620" xr:uid="{00000000-0005-0000-0000-0000DEBA0000}"/>
    <cellStyle name="Standard_Anpassen der Amortisation" xfId="47621" xr:uid="{00000000-0005-0000-0000-0000DFBA0000}"/>
    <cellStyle name="Std_%" xfId="47622" xr:uid="{00000000-0005-0000-0000-0000E0BA0000}"/>
    <cellStyle name="Style 1" xfId="47623" xr:uid="{00000000-0005-0000-0000-0000E1BA0000}"/>
    <cellStyle name="Style 1 10" xfId="47624" xr:uid="{00000000-0005-0000-0000-0000E2BA0000}"/>
    <cellStyle name="Style 1 2" xfId="47625" xr:uid="{00000000-0005-0000-0000-0000E3BA0000}"/>
    <cellStyle name="Style 1 2 10" xfId="47626" xr:uid="{00000000-0005-0000-0000-0000E4BA0000}"/>
    <cellStyle name="Style 1 2 11" xfId="47627" xr:uid="{00000000-0005-0000-0000-0000E5BA0000}"/>
    <cellStyle name="Style 1 2 12" xfId="47628" xr:uid="{00000000-0005-0000-0000-0000E6BA0000}"/>
    <cellStyle name="Style 1 2 13" xfId="47629" xr:uid="{00000000-0005-0000-0000-0000E7BA0000}"/>
    <cellStyle name="Style 1 2 14" xfId="47630" xr:uid="{00000000-0005-0000-0000-0000E8BA0000}"/>
    <cellStyle name="Style 1 2 15" xfId="47631" xr:uid="{00000000-0005-0000-0000-0000E9BA0000}"/>
    <cellStyle name="Style 1 2 16" xfId="47632" xr:uid="{00000000-0005-0000-0000-0000EABA0000}"/>
    <cellStyle name="Style 1 2 17" xfId="47633" xr:uid="{00000000-0005-0000-0000-0000EBBA0000}"/>
    <cellStyle name="Style 1 2 2" xfId="47634" xr:uid="{00000000-0005-0000-0000-0000ECBA0000}"/>
    <cellStyle name="Style 1 2 3" xfId="47635" xr:uid="{00000000-0005-0000-0000-0000EDBA0000}"/>
    <cellStyle name="Style 1 2 4" xfId="47636" xr:uid="{00000000-0005-0000-0000-0000EEBA0000}"/>
    <cellStyle name="Style 1 2 5" xfId="47637" xr:uid="{00000000-0005-0000-0000-0000EFBA0000}"/>
    <cellStyle name="Style 1 2 6" xfId="47638" xr:uid="{00000000-0005-0000-0000-0000F0BA0000}"/>
    <cellStyle name="Style 1 2 7" xfId="47639" xr:uid="{00000000-0005-0000-0000-0000F1BA0000}"/>
    <cellStyle name="Style 1 2 8" xfId="47640" xr:uid="{00000000-0005-0000-0000-0000F2BA0000}"/>
    <cellStyle name="Style 1 2 9" xfId="47641" xr:uid="{00000000-0005-0000-0000-0000F3BA0000}"/>
    <cellStyle name="Style 1 3" xfId="47642" xr:uid="{00000000-0005-0000-0000-0000F4BA0000}"/>
    <cellStyle name="Style 1 3 2" xfId="47643" xr:uid="{00000000-0005-0000-0000-0000F5BA0000}"/>
    <cellStyle name="Style 1 3 2 2" xfId="47644" xr:uid="{00000000-0005-0000-0000-0000F6BA0000}"/>
    <cellStyle name="Style 1 3 2 3" xfId="47645" xr:uid="{00000000-0005-0000-0000-0000F7BA0000}"/>
    <cellStyle name="Style 1 3 2 4" xfId="47646" xr:uid="{00000000-0005-0000-0000-0000F8BA0000}"/>
    <cellStyle name="Style 1 3 3" xfId="47647" xr:uid="{00000000-0005-0000-0000-0000F9BA0000}"/>
    <cellStyle name="Style 1 3 4" xfId="47648" xr:uid="{00000000-0005-0000-0000-0000FABA0000}"/>
    <cellStyle name="Style 1 3 5" xfId="47649" xr:uid="{00000000-0005-0000-0000-0000FBBA0000}"/>
    <cellStyle name="Style 1 3 6" xfId="47650" xr:uid="{00000000-0005-0000-0000-0000FCBA0000}"/>
    <cellStyle name="Style 1 4" xfId="47651" xr:uid="{00000000-0005-0000-0000-0000FDBA0000}"/>
    <cellStyle name="Style 1 4 2" xfId="47652" xr:uid="{00000000-0005-0000-0000-0000FEBA0000}"/>
    <cellStyle name="Style 1 5" xfId="47653" xr:uid="{00000000-0005-0000-0000-0000FFBA0000}"/>
    <cellStyle name="Style 1 6" xfId="47654" xr:uid="{00000000-0005-0000-0000-000000BB0000}"/>
    <cellStyle name="Style 1 7" xfId="47655" xr:uid="{00000000-0005-0000-0000-000001BB0000}"/>
    <cellStyle name="Style 1 8" xfId="47656" xr:uid="{00000000-0005-0000-0000-000002BB0000}"/>
    <cellStyle name="Style 1 9" xfId="47657" xr:uid="{00000000-0005-0000-0000-000003BB0000}"/>
    <cellStyle name="Style 1_Business Plan " xfId="47658" xr:uid="{00000000-0005-0000-0000-000004BB0000}"/>
    <cellStyle name="Style 100" xfId="47659" xr:uid="{00000000-0005-0000-0000-000005BB0000}"/>
    <cellStyle name="Style 101" xfId="47660" xr:uid="{00000000-0005-0000-0000-000006BB0000}"/>
    <cellStyle name="Style 102" xfId="47661" xr:uid="{00000000-0005-0000-0000-000007BB0000}"/>
    <cellStyle name="Style 103" xfId="47662" xr:uid="{00000000-0005-0000-0000-000008BB0000}"/>
    <cellStyle name="Style 104" xfId="47663" xr:uid="{00000000-0005-0000-0000-000009BB0000}"/>
    <cellStyle name="Style 105" xfId="47664" xr:uid="{00000000-0005-0000-0000-00000ABB0000}"/>
    <cellStyle name="Style 106" xfId="47665" xr:uid="{00000000-0005-0000-0000-00000BBB0000}"/>
    <cellStyle name="Style 107" xfId="47666" xr:uid="{00000000-0005-0000-0000-00000CBB0000}"/>
    <cellStyle name="Style 108" xfId="47667" xr:uid="{00000000-0005-0000-0000-00000DBB0000}"/>
    <cellStyle name="Style 109" xfId="47668" xr:uid="{00000000-0005-0000-0000-00000EBB0000}"/>
    <cellStyle name="Style 110" xfId="47669" xr:uid="{00000000-0005-0000-0000-00000FBB0000}"/>
    <cellStyle name="Style 111" xfId="47670" xr:uid="{00000000-0005-0000-0000-000010BB0000}"/>
    <cellStyle name="Style 112" xfId="47671" xr:uid="{00000000-0005-0000-0000-000011BB0000}"/>
    <cellStyle name="Style 113" xfId="47672" xr:uid="{00000000-0005-0000-0000-000012BB0000}"/>
    <cellStyle name="Style 114" xfId="47673" xr:uid="{00000000-0005-0000-0000-000013BB0000}"/>
    <cellStyle name="Style 115" xfId="47674" xr:uid="{00000000-0005-0000-0000-000014BB0000}"/>
    <cellStyle name="Style 116" xfId="47675" xr:uid="{00000000-0005-0000-0000-000015BB0000}"/>
    <cellStyle name="Style 117" xfId="47676" xr:uid="{00000000-0005-0000-0000-000016BB0000}"/>
    <cellStyle name="Style 118" xfId="47677" xr:uid="{00000000-0005-0000-0000-000017BB0000}"/>
    <cellStyle name="Style 119" xfId="47678" xr:uid="{00000000-0005-0000-0000-000018BB0000}"/>
    <cellStyle name="Style 120" xfId="47679" xr:uid="{00000000-0005-0000-0000-000019BB0000}"/>
    <cellStyle name="Style 121" xfId="47680" xr:uid="{00000000-0005-0000-0000-00001ABB0000}"/>
    <cellStyle name="Style 122" xfId="47681" xr:uid="{00000000-0005-0000-0000-00001BBB0000}"/>
    <cellStyle name="Style 123" xfId="47682" xr:uid="{00000000-0005-0000-0000-00001CBB0000}"/>
    <cellStyle name="Style 124" xfId="47683" xr:uid="{00000000-0005-0000-0000-00001DBB0000}"/>
    <cellStyle name="Style 125" xfId="47684" xr:uid="{00000000-0005-0000-0000-00001EBB0000}"/>
    <cellStyle name="Style 126" xfId="47685" xr:uid="{00000000-0005-0000-0000-00001FBB0000}"/>
    <cellStyle name="Style 127" xfId="47686" xr:uid="{00000000-0005-0000-0000-000020BB0000}"/>
    <cellStyle name="Style 128" xfId="47687" xr:uid="{00000000-0005-0000-0000-000021BB0000}"/>
    <cellStyle name="Style 129" xfId="47688" xr:uid="{00000000-0005-0000-0000-000022BB0000}"/>
    <cellStyle name="Style 130" xfId="47689" xr:uid="{00000000-0005-0000-0000-000023BB0000}"/>
    <cellStyle name="Style 131" xfId="47690" xr:uid="{00000000-0005-0000-0000-000024BB0000}"/>
    <cellStyle name="Style 132" xfId="47691" xr:uid="{00000000-0005-0000-0000-000025BB0000}"/>
    <cellStyle name="Style 133" xfId="47692" xr:uid="{00000000-0005-0000-0000-000026BB0000}"/>
    <cellStyle name="Style 134" xfId="47693" xr:uid="{00000000-0005-0000-0000-000027BB0000}"/>
    <cellStyle name="Style 135" xfId="47694" xr:uid="{00000000-0005-0000-0000-000028BB0000}"/>
    <cellStyle name="Style 136" xfId="47695" xr:uid="{00000000-0005-0000-0000-000029BB0000}"/>
    <cellStyle name="Style 137" xfId="47696" xr:uid="{00000000-0005-0000-0000-00002ABB0000}"/>
    <cellStyle name="Style 138" xfId="47697" xr:uid="{00000000-0005-0000-0000-00002BBB0000}"/>
    <cellStyle name="Style 139" xfId="47698" xr:uid="{00000000-0005-0000-0000-00002CBB0000}"/>
    <cellStyle name="Style 140" xfId="47699" xr:uid="{00000000-0005-0000-0000-00002DBB0000}"/>
    <cellStyle name="Style 141" xfId="47700" xr:uid="{00000000-0005-0000-0000-00002EBB0000}"/>
    <cellStyle name="Style 142" xfId="47701" xr:uid="{00000000-0005-0000-0000-00002FBB0000}"/>
    <cellStyle name="Style 143" xfId="47702" xr:uid="{00000000-0005-0000-0000-000030BB0000}"/>
    <cellStyle name="Style 144" xfId="47703" xr:uid="{00000000-0005-0000-0000-000031BB0000}"/>
    <cellStyle name="Style 145" xfId="47704" xr:uid="{00000000-0005-0000-0000-000032BB0000}"/>
    <cellStyle name="Style 146" xfId="47705" xr:uid="{00000000-0005-0000-0000-000033BB0000}"/>
    <cellStyle name="Style 147" xfId="47706" xr:uid="{00000000-0005-0000-0000-000034BB0000}"/>
    <cellStyle name="Style 148" xfId="47707" xr:uid="{00000000-0005-0000-0000-000035BB0000}"/>
    <cellStyle name="Style 149" xfId="47708" xr:uid="{00000000-0005-0000-0000-000036BB0000}"/>
    <cellStyle name="Style 150" xfId="47709" xr:uid="{00000000-0005-0000-0000-000037BB0000}"/>
    <cellStyle name="Style 151" xfId="47710" xr:uid="{00000000-0005-0000-0000-000038BB0000}"/>
    <cellStyle name="Style 152" xfId="47711" xr:uid="{00000000-0005-0000-0000-000039BB0000}"/>
    <cellStyle name="Style 153" xfId="47712" xr:uid="{00000000-0005-0000-0000-00003ABB0000}"/>
    <cellStyle name="Style 154" xfId="47713" xr:uid="{00000000-0005-0000-0000-00003BBB0000}"/>
    <cellStyle name="Style 155" xfId="47714" xr:uid="{00000000-0005-0000-0000-00003CBB0000}"/>
    <cellStyle name="Style 156" xfId="47715" xr:uid="{00000000-0005-0000-0000-00003DBB0000}"/>
    <cellStyle name="Style 157" xfId="47716" xr:uid="{00000000-0005-0000-0000-00003EBB0000}"/>
    <cellStyle name="Style 158" xfId="47717" xr:uid="{00000000-0005-0000-0000-00003FBB0000}"/>
    <cellStyle name="Style 159" xfId="47718" xr:uid="{00000000-0005-0000-0000-000040BB0000}"/>
    <cellStyle name="Style 160" xfId="47719" xr:uid="{00000000-0005-0000-0000-000041BB0000}"/>
    <cellStyle name="Style 161" xfId="47720" xr:uid="{00000000-0005-0000-0000-000042BB0000}"/>
    <cellStyle name="Style 162" xfId="47721" xr:uid="{00000000-0005-0000-0000-000043BB0000}"/>
    <cellStyle name="Style 164" xfId="47722" xr:uid="{00000000-0005-0000-0000-000044BB0000}"/>
    <cellStyle name="Style 166" xfId="47723" xr:uid="{00000000-0005-0000-0000-000045BB0000}"/>
    <cellStyle name="Style 168" xfId="47724" xr:uid="{00000000-0005-0000-0000-000046BB0000}"/>
    <cellStyle name="Style 170" xfId="47725" xr:uid="{00000000-0005-0000-0000-000047BB0000}"/>
    <cellStyle name="Style 172" xfId="47726" xr:uid="{00000000-0005-0000-0000-000048BB0000}"/>
    <cellStyle name="Style 174" xfId="47727" xr:uid="{00000000-0005-0000-0000-000049BB0000}"/>
    <cellStyle name="Style 176" xfId="47728" xr:uid="{00000000-0005-0000-0000-00004ABB0000}"/>
    <cellStyle name="Style 178" xfId="47729" xr:uid="{00000000-0005-0000-0000-00004BBB0000}"/>
    <cellStyle name="Style 2" xfId="47730" xr:uid="{00000000-0005-0000-0000-00004CBB0000}"/>
    <cellStyle name="Style 3" xfId="47731" xr:uid="{00000000-0005-0000-0000-00004DBB0000}"/>
    <cellStyle name="Style 41" xfId="47732" xr:uid="{00000000-0005-0000-0000-00004EBB0000}"/>
    <cellStyle name="Style 42" xfId="47733" xr:uid="{00000000-0005-0000-0000-00004FBB0000}"/>
    <cellStyle name="Style 43" xfId="47734" xr:uid="{00000000-0005-0000-0000-000050BB0000}"/>
    <cellStyle name="Style 44" xfId="47735" xr:uid="{00000000-0005-0000-0000-000051BB0000}"/>
    <cellStyle name="Style 45" xfId="47736" xr:uid="{00000000-0005-0000-0000-000052BB0000}"/>
    <cellStyle name="Style 46" xfId="47737" xr:uid="{00000000-0005-0000-0000-000053BB0000}"/>
    <cellStyle name="Style 47" xfId="47738" xr:uid="{00000000-0005-0000-0000-000054BB0000}"/>
    <cellStyle name="Style 48" xfId="47739" xr:uid="{00000000-0005-0000-0000-000055BB0000}"/>
    <cellStyle name="Style 49" xfId="47740" xr:uid="{00000000-0005-0000-0000-000056BB0000}"/>
    <cellStyle name="Style 50" xfId="47741" xr:uid="{00000000-0005-0000-0000-000057BB0000}"/>
    <cellStyle name="Style 56" xfId="47742" xr:uid="{00000000-0005-0000-0000-000058BB0000}"/>
    <cellStyle name="Style 58" xfId="47743" xr:uid="{00000000-0005-0000-0000-000059BB0000}"/>
    <cellStyle name="Style 60" xfId="47744" xr:uid="{00000000-0005-0000-0000-00005ABB0000}"/>
    <cellStyle name="Style 62" xfId="47745" xr:uid="{00000000-0005-0000-0000-00005BBB0000}"/>
    <cellStyle name="Style 63" xfId="47746" xr:uid="{00000000-0005-0000-0000-00005CBB0000}"/>
    <cellStyle name="Style 64" xfId="47747" xr:uid="{00000000-0005-0000-0000-00005DBB0000}"/>
    <cellStyle name="Style 65" xfId="47748" xr:uid="{00000000-0005-0000-0000-00005EBB0000}"/>
    <cellStyle name="Style 66" xfId="47749" xr:uid="{00000000-0005-0000-0000-00005FBB0000}"/>
    <cellStyle name="Style 67" xfId="47750" xr:uid="{00000000-0005-0000-0000-000060BB0000}"/>
    <cellStyle name="Style 68" xfId="47751" xr:uid="{00000000-0005-0000-0000-000061BB0000}"/>
    <cellStyle name="Style 69" xfId="47752" xr:uid="{00000000-0005-0000-0000-000062BB0000}"/>
    <cellStyle name="Style 70" xfId="47753" xr:uid="{00000000-0005-0000-0000-000063BB0000}"/>
    <cellStyle name="Style 71" xfId="47754" xr:uid="{00000000-0005-0000-0000-000064BB0000}"/>
    <cellStyle name="Style 72" xfId="47755" xr:uid="{00000000-0005-0000-0000-000065BB0000}"/>
    <cellStyle name="Style 73" xfId="47756" xr:uid="{00000000-0005-0000-0000-000066BB0000}"/>
    <cellStyle name="Style 74" xfId="47757" xr:uid="{00000000-0005-0000-0000-000067BB0000}"/>
    <cellStyle name="Style 82" xfId="47758" xr:uid="{00000000-0005-0000-0000-000068BB0000}"/>
    <cellStyle name="Style 83" xfId="47759" xr:uid="{00000000-0005-0000-0000-000069BB0000}"/>
    <cellStyle name="Style 84" xfId="47760" xr:uid="{00000000-0005-0000-0000-00006ABB0000}"/>
    <cellStyle name="Style 85" xfId="47761" xr:uid="{00000000-0005-0000-0000-00006BBB0000}"/>
    <cellStyle name="Style 86" xfId="47762" xr:uid="{00000000-0005-0000-0000-00006CBB0000}"/>
    <cellStyle name="Style 87" xfId="47763" xr:uid="{00000000-0005-0000-0000-00006DBB0000}"/>
    <cellStyle name="Style 88" xfId="47764" xr:uid="{00000000-0005-0000-0000-00006EBB0000}"/>
    <cellStyle name="Style 89" xfId="47765" xr:uid="{00000000-0005-0000-0000-00006FBB0000}"/>
    <cellStyle name="Style 90" xfId="47766" xr:uid="{00000000-0005-0000-0000-000070BB0000}"/>
    <cellStyle name="Style 91" xfId="47767" xr:uid="{00000000-0005-0000-0000-000071BB0000}"/>
    <cellStyle name="Style 92" xfId="47768" xr:uid="{00000000-0005-0000-0000-000072BB0000}"/>
    <cellStyle name="Style 93" xfId="47769" xr:uid="{00000000-0005-0000-0000-000073BB0000}"/>
    <cellStyle name="Style 94" xfId="47770" xr:uid="{00000000-0005-0000-0000-000074BB0000}"/>
    <cellStyle name="Style 95" xfId="47771" xr:uid="{00000000-0005-0000-0000-000075BB0000}"/>
    <cellStyle name="Style 96" xfId="47772" xr:uid="{00000000-0005-0000-0000-000076BB0000}"/>
    <cellStyle name="Style 97" xfId="47773" xr:uid="{00000000-0005-0000-0000-000077BB0000}"/>
    <cellStyle name="Style 98" xfId="47774" xr:uid="{00000000-0005-0000-0000-000078BB0000}"/>
    <cellStyle name="Style 99" xfId="47775" xr:uid="{00000000-0005-0000-0000-000079BB0000}"/>
    <cellStyle name="STYLE1 - Style1" xfId="47776" xr:uid="{00000000-0005-0000-0000-00007ABB0000}"/>
    <cellStyle name="subhead" xfId="47777" xr:uid="{00000000-0005-0000-0000-00007BBB0000}"/>
    <cellStyle name="Subheading" xfId="47778" xr:uid="{00000000-0005-0000-0000-00007CBB0000}"/>
    <cellStyle name="SubsidTitle" xfId="47779" xr:uid="{00000000-0005-0000-0000-00007DBB0000}"/>
    <cellStyle name="subtitle" xfId="47780" xr:uid="{00000000-0005-0000-0000-00007EBB0000}"/>
    <cellStyle name="Subtotal" xfId="47781" xr:uid="{00000000-0005-0000-0000-00007FBB0000}"/>
    <cellStyle name="Sub-total" xfId="47782" xr:uid="{00000000-0005-0000-0000-000080BB0000}"/>
    <cellStyle name="Subtotal_Allocated Opex " xfId="47783" xr:uid="{00000000-0005-0000-0000-000081BB0000}"/>
    <cellStyle name="Sub-total_Spreadsheet to populate plan slides 120810" xfId="47784" xr:uid="{00000000-0005-0000-0000-000082BB0000}"/>
    <cellStyle name="Subtotal_Total summary" xfId="47785" xr:uid="{00000000-0005-0000-0000-000083BB0000}"/>
    <cellStyle name="swpBody01" xfId="47786" xr:uid="{00000000-0005-0000-0000-000084BB0000}"/>
    <cellStyle name="swpBody01 2" xfId="47787" xr:uid="{00000000-0005-0000-0000-000085BB0000}"/>
    <cellStyle name="swpBody01 3" xfId="47788" xr:uid="{00000000-0005-0000-0000-000086BB0000}"/>
    <cellStyle name="swpBody01 4" xfId="47789" xr:uid="{00000000-0005-0000-0000-000087BB0000}"/>
    <cellStyle name="swpBody01 5" xfId="47790" xr:uid="{00000000-0005-0000-0000-000088BB0000}"/>
    <cellStyle name="swpBody01 6" xfId="47791" xr:uid="{00000000-0005-0000-0000-000089BB0000}"/>
    <cellStyle name="swpBody01 7" xfId="47792" xr:uid="{00000000-0005-0000-0000-00008ABB0000}"/>
    <cellStyle name="swpBody01 8" xfId="47793" xr:uid="{00000000-0005-0000-0000-00008BBB0000}"/>
    <cellStyle name="SYSTEM" xfId="47794" xr:uid="{00000000-0005-0000-0000-00008CBB0000}"/>
    <cellStyle name="SYSTEM 2" xfId="47795" xr:uid="{00000000-0005-0000-0000-00008DBB0000}"/>
    <cellStyle name="Table Head" xfId="47796" xr:uid="{00000000-0005-0000-0000-00008EBB0000}"/>
    <cellStyle name="Table Head Aligned" xfId="47797" xr:uid="{00000000-0005-0000-0000-00008FBB0000}"/>
    <cellStyle name="Table Head Blue" xfId="47798" xr:uid="{00000000-0005-0000-0000-000090BB0000}"/>
    <cellStyle name="Table Head Green" xfId="47799" xr:uid="{00000000-0005-0000-0000-000091BB0000}"/>
    <cellStyle name="Table Head_Val_Sum_Graph" xfId="47800" xr:uid="{00000000-0005-0000-0000-000092BB0000}"/>
    <cellStyle name="Table Text" xfId="47801" xr:uid="{00000000-0005-0000-0000-000093BB0000}"/>
    <cellStyle name="Table Title" xfId="47802" xr:uid="{00000000-0005-0000-0000-000094BB0000}"/>
    <cellStyle name="Table Units" xfId="47803" xr:uid="{00000000-0005-0000-0000-000095BB0000}"/>
    <cellStyle name="Table_Header" xfId="47804" xr:uid="{00000000-0005-0000-0000-000096BB0000}"/>
    <cellStyle name="tcn" xfId="47805" xr:uid="{00000000-0005-0000-0000-000097BB0000}"/>
    <cellStyle name="Text" xfId="47806" xr:uid="{00000000-0005-0000-0000-000098BB0000}"/>
    <cellStyle name="Text 1" xfId="47807" xr:uid="{00000000-0005-0000-0000-000099BB0000}"/>
    <cellStyle name="Text 2" xfId="47808" xr:uid="{00000000-0005-0000-0000-00009ABB0000}"/>
    <cellStyle name="Text Head 1" xfId="47809" xr:uid="{00000000-0005-0000-0000-00009BBB0000}"/>
    <cellStyle name="Text Level 1" xfId="47810" xr:uid="{00000000-0005-0000-0000-00009CBB0000}"/>
    <cellStyle name="Text Level 2" xfId="47811" xr:uid="{00000000-0005-0000-0000-00009DBB0000}"/>
    <cellStyle name="Text Level 3" xfId="47812" xr:uid="{00000000-0005-0000-0000-00009EBB0000}"/>
    <cellStyle name="Text Level 4" xfId="47813" xr:uid="{00000000-0005-0000-0000-00009FBB0000}"/>
    <cellStyle name="Thousand" xfId="47814" xr:uid="{00000000-0005-0000-0000-0000A0BB0000}"/>
    <cellStyle name="TIME Detail" xfId="47815" xr:uid="{00000000-0005-0000-0000-0000A1BB0000}"/>
    <cellStyle name="TIME Period Start" xfId="47816" xr:uid="{00000000-0005-0000-0000-0000A2BB0000}"/>
    <cellStyle name="Title 2" xfId="47817" xr:uid="{00000000-0005-0000-0000-0000A3BB0000}"/>
    <cellStyle name="Title 2 10" xfId="47818" xr:uid="{00000000-0005-0000-0000-0000A4BB0000}"/>
    <cellStyle name="Title 2 11" xfId="47819" xr:uid="{00000000-0005-0000-0000-0000A5BB0000}"/>
    <cellStyle name="Title 2 12" xfId="47820" xr:uid="{00000000-0005-0000-0000-0000A6BB0000}"/>
    <cellStyle name="Title 2 13" xfId="47821" xr:uid="{00000000-0005-0000-0000-0000A7BB0000}"/>
    <cellStyle name="Title 2 14" xfId="47822" xr:uid="{00000000-0005-0000-0000-0000A8BB0000}"/>
    <cellStyle name="Title 2 15" xfId="47823" xr:uid="{00000000-0005-0000-0000-0000A9BB0000}"/>
    <cellStyle name="Title 2 16" xfId="47824" xr:uid="{00000000-0005-0000-0000-0000AABB0000}"/>
    <cellStyle name="Title 2 17" xfId="47825" xr:uid="{00000000-0005-0000-0000-0000ABBB0000}"/>
    <cellStyle name="Title 2 2" xfId="47826" xr:uid="{00000000-0005-0000-0000-0000ACBB0000}"/>
    <cellStyle name="Title 2 3" xfId="47827" xr:uid="{00000000-0005-0000-0000-0000ADBB0000}"/>
    <cellStyle name="Title 2 4" xfId="47828" xr:uid="{00000000-0005-0000-0000-0000AEBB0000}"/>
    <cellStyle name="Title 2 5" xfId="47829" xr:uid="{00000000-0005-0000-0000-0000AFBB0000}"/>
    <cellStyle name="Title 2 6" xfId="47830" xr:uid="{00000000-0005-0000-0000-0000B0BB0000}"/>
    <cellStyle name="Title 2 7" xfId="47831" xr:uid="{00000000-0005-0000-0000-0000B1BB0000}"/>
    <cellStyle name="Title 2 8" xfId="47832" xr:uid="{00000000-0005-0000-0000-0000B2BB0000}"/>
    <cellStyle name="Title 2 9" xfId="47833" xr:uid="{00000000-0005-0000-0000-0000B3BB0000}"/>
    <cellStyle name="Title 3" xfId="47834" xr:uid="{00000000-0005-0000-0000-0000B4BB0000}"/>
    <cellStyle name="Title 3 2" xfId="47835" xr:uid="{00000000-0005-0000-0000-0000B5BB0000}"/>
    <cellStyle name="Title 3 3" xfId="47836" xr:uid="{00000000-0005-0000-0000-0000B6BB0000}"/>
    <cellStyle name="Title 4" xfId="47837" xr:uid="{00000000-0005-0000-0000-0000B7BB0000}"/>
    <cellStyle name="Title 5" xfId="47838" xr:uid="{00000000-0005-0000-0000-0000B8BB0000}"/>
    <cellStyle name="Title 6" xfId="47839" xr:uid="{00000000-0005-0000-0000-0000B9BB0000}"/>
    <cellStyle name="Title 7" xfId="47840" xr:uid="{00000000-0005-0000-0000-0000BABB0000}"/>
    <cellStyle name="Title 7 2" xfId="47841" xr:uid="{00000000-0005-0000-0000-0000BBBB0000}"/>
    <cellStyle name="Title 8" xfId="47842" xr:uid="{00000000-0005-0000-0000-0000BCBB0000}"/>
    <cellStyle name="Title Row" xfId="47843" xr:uid="{00000000-0005-0000-0000-0000BDBB0000}"/>
    <cellStyle name="Titles" xfId="47844" xr:uid="{00000000-0005-0000-0000-0000BEBB0000}"/>
    <cellStyle name="tn" xfId="47845" xr:uid="{00000000-0005-0000-0000-0000BFBB0000}"/>
    <cellStyle name="tons" xfId="47846" xr:uid="{00000000-0005-0000-0000-0000C0BB0000}"/>
    <cellStyle name="Topline" xfId="47847" xr:uid="{00000000-0005-0000-0000-0000C1BB0000}"/>
    <cellStyle name="Total 1" xfId="47848" xr:uid="{00000000-0005-0000-0000-0000C2BB0000}"/>
    <cellStyle name="Total 1 10" xfId="47849" xr:uid="{00000000-0005-0000-0000-0000C3BB0000}"/>
    <cellStyle name="Total 1 11" xfId="47850" xr:uid="{00000000-0005-0000-0000-0000C4BB0000}"/>
    <cellStyle name="Total 1 12" xfId="47851" xr:uid="{00000000-0005-0000-0000-0000C5BB0000}"/>
    <cellStyle name="Total 1 13" xfId="47852" xr:uid="{00000000-0005-0000-0000-0000C6BB0000}"/>
    <cellStyle name="Total 1 14" xfId="47853" xr:uid="{00000000-0005-0000-0000-0000C7BB0000}"/>
    <cellStyle name="Total 1 15" xfId="47854" xr:uid="{00000000-0005-0000-0000-0000C8BB0000}"/>
    <cellStyle name="Total 1 16" xfId="47855" xr:uid="{00000000-0005-0000-0000-0000C9BB0000}"/>
    <cellStyle name="Total 1 17" xfId="47856" xr:uid="{00000000-0005-0000-0000-0000CABB0000}"/>
    <cellStyle name="Total 1 18" xfId="47857" xr:uid="{00000000-0005-0000-0000-0000CBBB0000}"/>
    <cellStyle name="Total 1 19" xfId="47858" xr:uid="{00000000-0005-0000-0000-0000CCBB0000}"/>
    <cellStyle name="Total 1 2" xfId="47859" xr:uid="{00000000-0005-0000-0000-0000CDBB0000}"/>
    <cellStyle name="Total 1 2 10" xfId="47860" xr:uid="{00000000-0005-0000-0000-0000CEBB0000}"/>
    <cellStyle name="Total 1 2 11" xfId="47861" xr:uid="{00000000-0005-0000-0000-0000CFBB0000}"/>
    <cellStyle name="Total 1 2 12" xfId="47862" xr:uid="{00000000-0005-0000-0000-0000D0BB0000}"/>
    <cellStyle name="Total 1 2 13" xfId="47863" xr:uid="{00000000-0005-0000-0000-0000D1BB0000}"/>
    <cellStyle name="Total 1 2 14" xfId="47864" xr:uid="{00000000-0005-0000-0000-0000D2BB0000}"/>
    <cellStyle name="Total 1 2 15" xfId="47865" xr:uid="{00000000-0005-0000-0000-0000D3BB0000}"/>
    <cellStyle name="Total 1 2 16" xfId="47866" xr:uid="{00000000-0005-0000-0000-0000D4BB0000}"/>
    <cellStyle name="Total 1 2 17" xfId="47867" xr:uid="{00000000-0005-0000-0000-0000D5BB0000}"/>
    <cellStyle name="Total 1 2 18" xfId="47868" xr:uid="{00000000-0005-0000-0000-0000D6BB0000}"/>
    <cellStyle name="Total 1 2 19" xfId="47869" xr:uid="{00000000-0005-0000-0000-0000D7BB0000}"/>
    <cellStyle name="Total 1 2 2" xfId="47870" xr:uid="{00000000-0005-0000-0000-0000D8BB0000}"/>
    <cellStyle name="Total 1 2 2 10" xfId="47871" xr:uid="{00000000-0005-0000-0000-0000D9BB0000}"/>
    <cellStyle name="Total 1 2 2 11" xfId="47872" xr:uid="{00000000-0005-0000-0000-0000DABB0000}"/>
    <cellStyle name="Total 1 2 2 12" xfId="47873" xr:uid="{00000000-0005-0000-0000-0000DBBB0000}"/>
    <cellStyle name="Total 1 2 2 13" xfId="47874" xr:uid="{00000000-0005-0000-0000-0000DCBB0000}"/>
    <cellStyle name="Total 1 2 2 2" xfId="47875" xr:uid="{00000000-0005-0000-0000-0000DDBB0000}"/>
    <cellStyle name="Total 1 2 2 2 2" xfId="47876" xr:uid="{00000000-0005-0000-0000-0000DEBB0000}"/>
    <cellStyle name="Total 1 2 2 2 3" xfId="47877" xr:uid="{00000000-0005-0000-0000-0000DFBB0000}"/>
    <cellStyle name="Total 1 2 2 3" xfId="47878" xr:uid="{00000000-0005-0000-0000-0000E0BB0000}"/>
    <cellStyle name="Total 1 2 2 3 2" xfId="47879" xr:uid="{00000000-0005-0000-0000-0000E1BB0000}"/>
    <cellStyle name="Total 1 2 2 3 3" xfId="47880" xr:uid="{00000000-0005-0000-0000-0000E2BB0000}"/>
    <cellStyle name="Total 1 2 2 4" xfId="47881" xr:uid="{00000000-0005-0000-0000-0000E3BB0000}"/>
    <cellStyle name="Total 1 2 2 4 2" xfId="47882" xr:uid="{00000000-0005-0000-0000-0000E4BB0000}"/>
    <cellStyle name="Total 1 2 2 4 3" xfId="47883" xr:uid="{00000000-0005-0000-0000-0000E5BB0000}"/>
    <cellStyle name="Total 1 2 2 5" xfId="47884" xr:uid="{00000000-0005-0000-0000-0000E6BB0000}"/>
    <cellStyle name="Total 1 2 2 6" xfId="47885" xr:uid="{00000000-0005-0000-0000-0000E7BB0000}"/>
    <cellStyle name="Total 1 2 2 7" xfId="47886" xr:uid="{00000000-0005-0000-0000-0000E8BB0000}"/>
    <cellStyle name="Total 1 2 2 8" xfId="47887" xr:uid="{00000000-0005-0000-0000-0000E9BB0000}"/>
    <cellStyle name="Total 1 2 2 9" xfId="47888" xr:uid="{00000000-0005-0000-0000-0000EABB0000}"/>
    <cellStyle name="Total 1 2 20" xfId="47889" xr:uid="{00000000-0005-0000-0000-0000EBBB0000}"/>
    <cellStyle name="Total 1 2 21" xfId="47890" xr:uid="{00000000-0005-0000-0000-0000ECBB0000}"/>
    <cellStyle name="Total 1 2 22" xfId="47891" xr:uid="{00000000-0005-0000-0000-0000EDBB0000}"/>
    <cellStyle name="Total 1 2 23" xfId="47892" xr:uid="{00000000-0005-0000-0000-0000EEBB0000}"/>
    <cellStyle name="Total 1 2 24" xfId="47893" xr:uid="{00000000-0005-0000-0000-0000EFBB0000}"/>
    <cellStyle name="Total 1 2 25" xfId="47894" xr:uid="{00000000-0005-0000-0000-0000F0BB0000}"/>
    <cellStyle name="Total 1 2 26" xfId="47895" xr:uid="{00000000-0005-0000-0000-0000F1BB0000}"/>
    <cellStyle name="Total 1 2 27" xfId="47896" xr:uid="{00000000-0005-0000-0000-0000F2BB0000}"/>
    <cellStyle name="Total 1 2 28" xfId="47897" xr:uid="{00000000-0005-0000-0000-0000F3BB0000}"/>
    <cellStyle name="Total 1 2 29" xfId="47898" xr:uid="{00000000-0005-0000-0000-0000F4BB0000}"/>
    <cellStyle name="Total 1 2 3" xfId="47899" xr:uid="{00000000-0005-0000-0000-0000F5BB0000}"/>
    <cellStyle name="Total 1 2 3 2" xfId="47900" xr:uid="{00000000-0005-0000-0000-0000F6BB0000}"/>
    <cellStyle name="Total 1 2 3 3" xfId="47901" xr:uid="{00000000-0005-0000-0000-0000F7BB0000}"/>
    <cellStyle name="Total 1 2 30" xfId="47902" xr:uid="{00000000-0005-0000-0000-0000F8BB0000}"/>
    <cellStyle name="Total 1 2 4" xfId="47903" xr:uid="{00000000-0005-0000-0000-0000F9BB0000}"/>
    <cellStyle name="Total 1 2 4 2" xfId="47904" xr:uid="{00000000-0005-0000-0000-0000FABB0000}"/>
    <cellStyle name="Total 1 2 4 3" xfId="47905" xr:uid="{00000000-0005-0000-0000-0000FBBB0000}"/>
    <cellStyle name="Total 1 2 5" xfId="47906" xr:uid="{00000000-0005-0000-0000-0000FCBB0000}"/>
    <cellStyle name="Total 1 2 5 2" xfId="47907" xr:uid="{00000000-0005-0000-0000-0000FDBB0000}"/>
    <cellStyle name="Total 1 2 5 3" xfId="47908" xr:uid="{00000000-0005-0000-0000-0000FEBB0000}"/>
    <cellStyle name="Total 1 2 6" xfId="47909" xr:uid="{00000000-0005-0000-0000-0000FFBB0000}"/>
    <cellStyle name="Total 1 2 7" xfId="47910" xr:uid="{00000000-0005-0000-0000-000000BC0000}"/>
    <cellStyle name="Total 1 2 8" xfId="47911" xr:uid="{00000000-0005-0000-0000-000001BC0000}"/>
    <cellStyle name="Total 1 2 9" xfId="47912" xr:uid="{00000000-0005-0000-0000-000002BC0000}"/>
    <cellStyle name="Total 1 20" xfId="47913" xr:uid="{00000000-0005-0000-0000-000003BC0000}"/>
    <cellStyle name="Total 1 21" xfId="47914" xr:uid="{00000000-0005-0000-0000-000004BC0000}"/>
    <cellStyle name="Total 1 22" xfId="47915" xr:uid="{00000000-0005-0000-0000-000005BC0000}"/>
    <cellStyle name="Total 1 23" xfId="47916" xr:uid="{00000000-0005-0000-0000-000006BC0000}"/>
    <cellStyle name="Total 1 24" xfId="47917" xr:uid="{00000000-0005-0000-0000-000007BC0000}"/>
    <cellStyle name="Total 1 25" xfId="47918" xr:uid="{00000000-0005-0000-0000-000008BC0000}"/>
    <cellStyle name="Total 1 26" xfId="47919" xr:uid="{00000000-0005-0000-0000-000009BC0000}"/>
    <cellStyle name="Total 1 27" xfId="47920" xr:uid="{00000000-0005-0000-0000-00000ABC0000}"/>
    <cellStyle name="Total 1 28" xfId="47921" xr:uid="{00000000-0005-0000-0000-00000BBC0000}"/>
    <cellStyle name="Total 1 29" xfId="47922" xr:uid="{00000000-0005-0000-0000-00000CBC0000}"/>
    <cellStyle name="Total 1 3" xfId="47923" xr:uid="{00000000-0005-0000-0000-00000DBC0000}"/>
    <cellStyle name="Total 1 3 10" xfId="47924" xr:uid="{00000000-0005-0000-0000-00000EBC0000}"/>
    <cellStyle name="Total 1 3 11" xfId="47925" xr:uid="{00000000-0005-0000-0000-00000FBC0000}"/>
    <cellStyle name="Total 1 3 12" xfId="47926" xr:uid="{00000000-0005-0000-0000-000010BC0000}"/>
    <cellStyle name="Total 1 3 13" xfId="47927" xr:uid="{00000000-0005-0000-0000-000011BC0000}"/>
    <cellStyle name="Total 1 3 14" xfId="47928" xr:uid="{00000000-0005-0000-0000-000012BC0000}"/>
    <cellStyle name="Total 1 3 15" xfId="47929" xr:uid="{00000000-0005-0000-0000-000013BC0000}"/>
    <cellStyle name="Total 1 3 16" xfId="47930" xr:uid="{00000000-0005-0000-0000-000014BC0000}"/>
    <cellStyle name="Total 1 3 17" xfId="47931" xr:uid="{00000000-0005-0000-0000-000015BC0000}"/>
    <cellStyle name="Total 1 3 18" xfId="47932" xr:uid="{00000000-0005-0000-0000-000016BC0000}"/>
    <cellStyle name="Total 1 3 19" xfId="47933" xr:uid="{00000000-0005-0000-0000-000017BC0000}"/>
    <cellStyle name="Total 1 3 2" xfId="47934" xr:uid="{00000000-0005-0000-0000-000018BC0000}"/>
    <cellStyle name="Total 1 3 2 10" xfId="47935" xr:uid="{00000000-0005-0000-0000-000019BC0000}"/>
    <cellStyle name="Total 1 3 2 11" xfId="47936" xr:uid="{00000000-0005-0000-0000-00001ABC0000}"/>
    <cellStyle name="Total 1 3 2 12" xfId="47937" xr:uid="{00000000-0005-0000-0000-00001BBC0000}"/>
    <cellStyle name="Total 1 3 2 13" xfId="47938" xr:uid="{00000000-0005-0000-0000-00001CBC0000}"/>
    <cellStyle name="Total 1 3 2 2" xfId="47939" xr:uid="{00000000-0005-0000-0000-00001DBC0000}"/>
    <cellStyle name="Total 1 3 2 2 2" xfId="47940" xr:uid="{00000000-0005-0000-0000-00001EBC0000}"/>
    <cellStyle name="Total 1 3 2 2 3" xfId="47941" xr:uid="{00000000-0005-0000-0000-00001FBC0000}"/>
    <cellStyle name="Total 1 3 2 3" xfId="47942" xr:uid="{00000000-0005-0000-0000-000020BC0000}"/>
    <cellStyle name="Total 1 3 2 3 2" xfId="47943" xr:uid="{00000000-0005-0000-0000-000021BC0000}"/>
    <cellStyle name="Total 1 3 2 3 3" xfId="47944" xr:uid="{00000000-0005-0000-0000-000022BC0000}"/>
    <cellStyle name="Total 1 3 2 4" xfId="47945" xr:uid="{00000000-0005-0000-0000-000023BC0000}"/>
    <cellStyle name="Total 1 3 2 4 2" xfId="47946" xr:uid="{00000000-0005-0000-0000-000024BC0000}"/>
    <cellStyle name="Total 1 3 2 4 3" xfId="47947" xr:uid="{00000000-0005-0000-0000-000025BC0000}"/>
    <cellStyle name="Total 1 3 2 5" xfId="47948" xr:uid="{00000000-0005-0000-0000-000026BC0000}"/>
    <cellStyle name="Total 1 3 2 6" xfId="47949" xr:uid="{00000000-0005-0000-0000-000027BC0000}"/>
    <cellStyle name="Total 1 3 2 7" xfId="47950" xr:uid="{00000000-0005-0000-0000-000028BC0000}"/>
    <cellStyle name="Total 1 3 2 8" xfId="47951" xr:uid="{00000000-0005-0000-0000-000029BC0000}"/>
    <cellStyle name="Total 1 3 2 9" xfId="47952" xr:uid="{00000000-0005-0000-0000-00002ABC0000}"/>
    <cellStyle name="Total 1 3 20" xfId="47953" xr:uid="{00000000-0005-0000-0000-00002BBC0000}"/>
    <cellStyle name="Total 1 3 21" xfId="47954" xr:uid="{00000000-0005-0000-0000-00002CBC0000}"/>
    <cellStyle name="Total 1 3 22" xfId="47955" xr:uid="{00000000-0005-0000-0000-00002DBC0000}"/>
    <cellStyle name="Total 1 3 23" xfId="47956" xr:uid="{00000000-0005-0000-0000-00002EBC0000}"/>
    <cellStyle name="Total 1 3 24" xfId="47957" xr:uid="{00000000-0005-0000-0000-00002FBC0000}"/>
    <cellStyle name="Total 1 3 25" xfId="47958" xr:uid="{00000000-0005-0000-0000-000030BC0000}"/>
    <cellStyle name="Total 1 3 26" xfId="47959" xr:uid="{00000000-0005-0000-0000-000031BC0000}"/>
    <cellStyle name="Total 1 3 27" xfId="47960" xr:uid="{00000000-0005-0000-0000-000032BC0000}"/>
    <cellStyle name="Total 1 3 28" xfId="47961" xr:uid="{00000000-0005-0000-0000-000033BC0000}"/>
    <cellStyle name="Total 1 3 29" xfId="47962" xr:uid="{00000000-0005-0000-0000-000034BC0000}"/>
    <cellStyle name="Total 1 3 3" xfId="47963" xr:uid="{00000000-0005-0000-0000-000035BC0000}"/>
    <cellStyle name="Total 1 3 3 2" xfId="47964" xr:uid="{00000000-0005-0000-0000-000036BC0000}"/>
    <cellStyle name="Total 1 3 3 3" xfId="47965" xr:uid="{00000000-0005-0000-0000-000037BC0000}"/>
    <cellStyle name="Total 1 3 30" xfId="47966" xr:uid="{00000000-0005-0000-0000-000038BC0000}"/>
    <cellStyle name="Total 1 3 4" xfId="47967" xr:uid="{00000000-0005-0000-0000-000039BC0000}"/>
    <cellStyle name="Total 1 3 4 2" xfId="47968" xr:uid="{00000000-0005-0000-0000-00003ABC0000}"/>
    <cellStyle name="Total 1 3 4 3" xfId="47969" xr:uid="{00000000-0005-0000-0000-00003BBC0000}"/>
    <cellStyle name="Total 1 3 5" xfId="47970" xr:uid="{00000000-0005-0000-0000-00003CBC0000}"/>
    <cellStyle name="Total 1 3 5 2" xfId="47971" xr:uid="{00000000-0005-0000-0000-00003DBC0000}"/>
    <cellStyle name="Total 1 3 5 3" xfId="47972" xr:uid="{00000000-0005-0000-0000-00003EBC0000}"/>
    <cellStyle name="Total 1 3 6" xfId="47973" xr:uid="{00000000-0005-0000-0000-00003FBC0000}"/>
    <cellStyle name="Total 1 3 7" xfId="47974" xr:uid="{00000000-0005-0000-0000-000040BC0000}"/>
    <cellStyle name="Total 1 3 8" xfId="47975" xr:uid="{00000000-0005-0000-0000-000041BC0000}"/>
    <cellStyle name="Total 1 3 9" xfId="47976" xr:uid="{00000000-0005-0000-0000-000042BC0000}"/>
    <cellStyle name="Total 1 30" xfId="47977" xr:uid="{00000000-0005-0000-0000-000043BC0000}"/>
    <cellStyle name="Total 1 31" xfId="47978" xr:uid="{00000000-0005-0000-0000-000044BC0000}"/>
    <cellStyle name="Total 1 32" xfId="47979" xr:uid="{00000000-0005-0000-0000-000045BC0000}"/>
    <cellStyle name="Total 1 33" xfId="47980" xr:uid="{00000000-0005-0000-0000-000046BC0000}"/>
    <cellStyle name="Total 1 34" xfId="47981" xr:uid="{00000000-0005-0000-0000-000047BC0000}"/>
    <cellStyle name="Total 1 35" xfId="47982" xr:uid="{00000000-0005-0000-0000-000048BC0000}"/>
    <cellStyle name="Total 1 36" xfId="47983" xr:uid="{00000000-0005-0000-0000-000049BC0000}"/>
    <cellStyle name="Total 1 37" xfId="47984" xr:uid="{00000000-0005-0000-0000-00004ABC0000}"/>
    <cellStyle name="Total 1 38" xfId="47985" xr:uid="{00000000-0005-0000-0000-00004BBC0000}"/>
    <cellStyle name="Total 1 39" xfId="47986" xr:uid="{00000000-0005-0000-0000-00004CBC0000}"/>
    <cellStyle name="Total 1 4" xfId="47987" xr:uid="{00000000-0005-0000-0000-00004DBC0000}"/>
    <cellStyle name="Total 1 4 10" xfId="47988" xr:uid="{00000000-0005-0000-0000-00004EBC0000}"/>
    <cellStyle name="Total 1 4 11" xfId="47989" xr:uid="{00000000-0005-0000-0000-00004FBC0000}"/>
    <cellStyle name="Total 1 4 12" xfId="47990" xr:uid="{00000000-0005-0000-0000-000050BC0000}"/>
    <cellStyle name="Total 1 4 13" xfId="47991" xr:uid="{00000000-0005-0000-0000-000051BC0000}"/>
    <cellStyle name="Total 1 4 14" xfId="47992" xr:uid="{00000000-0005-0000-0000-000052BC0000}"/>
    <cellStyle name="Total 1 4 15" xfId="47993" xr:uid="{00000000-0005-0000-0000-000053BC0000}"/>
    <cellStyle name="Total 1 4 16" xfId="47994" xr:uid="{00000000-0005-0000-0000-000054BC0000}"/>
    <cellStyle name="Total 1 4 17" xfId="47995" xr:uid="{00000000-0005-0000-0000-000055BC0000}"/>
    <cellStyle name="Total 1 4 18" xfId="47996" xr:uid="{00000000-0005-0000-0000-000056BC0000}"/>
    <cellStyle name="Total 1 4 19" xfId="47997" xr:uid="{00000000-0005-0000-0000-000057BC0000}"/>
    <cellStyle name="Total 1 4 2" xfId="47998" xr:uid="{00000000-0005-0000-0000-000058BC0000}"/>
    <cellStyle name="Total 1 4 2 10" xfId="47999" xr:uid="{00000000-0005-0000-0000-000059BC0000}"/>
    <cellStyle name="Total 1 4 2 11" xfId="48000" xr:uid="{00000000-0005-0000-0000-00005ABC0000}"/>
    <cellStyle name="Total 1 4 2 12" xfId="48001" xr:uid="{00000000-0005-0000-0000-00005BBC0000}"/>
    <cellStyle name="Total 1 4 2 13" xfId="48002" xr:uid="{00000000-0005-0000-0000-00005CBC0000}"/>
    <cellStyle name="Total 1 4 2 2" xfId="48003" xr:uid="{00000000-0005-0000-0000-00005DBC0000}"/>
    <cellStyle name="Total 1 4 2 2 2" xfId="48004" xr:uid="{00000000-0005-0000-0000-00005EBC0000}"/>
    <cellStyle name="Total 1 4 2 2 3" xfId="48005" xr:uid="{00000000-0005-0000-0000-00005FBC0000}"/>
    <cellStyle name="Total 1 4 2 3" xfId="48006" xr:uid="{00000000-0005-0000-0000-000060BC0000}"/>
    <cellStyle name="Total 1 4 2 3 2" xfId="48007" xr:uid="{00000000-0005-0000-0000-000061BC0000}"/>
    <cellStyle name="Total 1 4 2 3 3" xfId="48008" xr:uid="{00000000-0005-0000-0000-000062BC0000}"/>
    <cellStyle name="Total 1 4 2 4" xfId="48009" xr:uid="{00000000-0005-0000-0000-000063BC0000}"/>
    <cellStyle name="Total 1 4 2 4 2" xfId="48010" xr:uid="{00000000-0005-0000-0000-000064BC0000}"/>
    <cellStyle name="Total 1 4 2 4 3" xfId="48011" xr:uid="{00000000-0005-0000-0000-000065BC0000}"/>
    <cellStyle name="Total 1 4 2 5" xfId="48012" xr:uid="{00000000-0005-0000-0000-000066BC0000}"/>
    <cellStyle name="Total 1 4 2 6" xfId="48013" xr:uid="{00000000-0005-0000-0000-000067BC0000}"/>
    <cellStyle name="Total 1 4 2 7" xfId="48014" xr:uid="{00000000-0005-0000-0000-000068BC0000}"/>
    <cellStyle name="Total 1 4 2 8" xfId="48015" xr:uid="{00000000-0005-0000-0000-000069BC0000}"/>
    <cellStyle name="Total 1 4 2 9" xfId="48016" xr:uid="{00000000-0005-0000-0000-00006ABC0000}"/>
    <cellStyle name="Total 1 4 20" xfId="48017" xr:uid="{00000000-0005-0000-0000-00006BBC0000}"/>
    <cellStyle name="Total 1 4 21" xfId="48018" xr:uid="{00000000-0005-0000-0000-00006CBC0000}"/>
    <cellStyle name="Total 1 4 22" xfId="48019" xr:uid="{00000000-0005-0000-0000-00006DBC0000}"/>
    <cellStyle name="Total 1 4 23" xfId="48020" xr:uid="{00000000-0005-0000-0000-00006EBC0000}"/>
    <cellStyle name="Total 1 4 24" xfId="48021" xr:uid="{00000000-0005-0000-0000-00006FBC0000}"/>
    <cellStyle name="Total 1 4 25" xfId="48022" xr:uid="{00000000-0005-0000-0000-000070BC0000}"/>
    <cellStyle name="Total 1 4 26" xfId="48023" xr:uid="{00000000-0005-0000-0000-000071BC0000}"/>
    <cellStyle name="Total 1 4 27" xfId="48024" xr:uid="{00000000-0005-0000-0000-000072BC0000}"/>
    <cellStyle name="Total 1 4 28" xfId="48025" xr:uid="{00000000-0005-0000-0000-000073BC0000}"/>
    <cellStyle name="Total 1 4 29" xfId="48026" xr:uid="{00000000-0005-0000-0000-000074BC0000}"/>
    <cellStyle name="Total 1 4 3" xfId="48027" xr:uid="{00000000-0005-0000-0000-000075BC0000}"/>
    <cellStyle name="Total 1 4 3 2" xfId="48028" xr:uid="{00000000-0005-0000-0000-000076BC0000}"/>
    <cellStyle name="Total 1 4 3 3" xfId="48029" xr:uid="{00000000-0005-0000-0000-000077BC0000}"/>
    <cellStyle name="Total 1 4 30" xfId="48030" xr:uid="{00000000-0005-0000-0000-000078BC0000}"/>
    <cellStyle name="Total 1 4 4" xfId="48031" xr:uid="{00000000-0005-0000-0000-000079BC0000}"/>
    <cellStyle name="Total 1 4 4 2" xfId="48032" xr:uid="{00000000-0005-0000-0000-00007ABC0000}"/>
    <cellStyle name="Total 1 4 4 3" xfId="48033" xr:uid="{00000000-0005-0000-0000-00007BBC0000}"/>
    <cellStyle name="Total 1 4 5" xfId="48034" xr:uid="{00000000-0005-0000-0000-00007CBC0000}"/>
    <cellStyle name="Total 1 4 5 2" xfId="48035" xr:uid="{00000000-0005-0000-0000-00007DBC0000}"/>
    <cellStyle name="Total 1 4 5 3" xfId="48036" xr:uid="{00000000-0005-0000-0000-00007EBC0000}"/>
    <cellStyle name="Total 1 4 6" xfId="48037" xr:uid="{00000000-0005-0000-0000-00007FBC0000}"/>
    <cellStyle name="Total 1 4 7" xfId="48038" xr:uid="{00000000-0005-0000-0000-000080BC0000}"/>
    <cellStyle name="Total 1 4 8" xfId="48039" xr:uid="{00000000-0005-0000-0000-000081BC0000}"/>
    <cellStyle name="Total 1 4 9" xfId="48040" xr:uid="{00000000-0005-0000-0000-000082BC0000}"/>
    <cellStyle name="Total 1 40" xfId="48041" xr:uid="{00000000-0005-0000-0000-000083BC0000}"/>
    <cellStyle name="Total 1 41" xfId="48042" xr:uid="{00000000-0005-0000-0000-000084BC0000}"/>
    <cellStyle name="Total 1 42" xfId="48043" xr:uid="{00000000-0005-0000-0000-000085BC0000}"/>
    <cellStyle name="Total 1 43" xfId="48044" xr:uid="{00000000-0005-0000-0000-000086BC0000}"/>
    <cellStyle name="Total 1 44" xfId="48045" xr:uid="{00000000-0005-0000-0000-000087BC0000}"/>
    <cellStyle name="Total 1 45" xfId="48046" xr:uid="{00000000-0005-0000-0000-000088BC0000}"/>
    <cellStyle name="Total 1 46" xfId="48047" xr:uid="{00000000-0005-0000-0000-000089BC0000}"/>
    <cellStyle name="Total 1 47" xfId="48048" xr:uid="{00000000-0005-0000-0000-00008ABC0000}"/>
    <cellStyle name="Total 1 48" xfId="48049" xr:uid="{00000000-0005-0000-0000-00008BBC0000}"/>
    <cellStyle name="Total 1 49" xfId="48050" xr:uid="{00000000-0005-0000-0000-00008CBC0000}"/>
    <cellStyle name="Total 1 5" xfId="48051" xr:uid="{00000000-0005-0000-0000-00008DBC0000}"/>
    <cellStyle name="Total 1 5 10" xfId="48052" xr:uid="{00000000-0005-0000-0000-00008EBC0000}"/>
    <cellStyle name="Total 1 5 11" xfId="48053" xr:uid="{00000000-0005-0000-0000-00008FBC0000}"/>
    <cellStyle name="Total 1 5 12" xfId="48054" xr:uid="{00000000-0005-0000-0000-000090BC0000}"/>
    <cellStyle name="Total 1 5 13" xfId="48055" xr:uid="{00000000-0005-0000-0000-000091BC0000}"/>
    <cellStyle name="Total 1 5 2" xfId="48056" xr:uid="{00000000-0005-0000-0000-000092BC0000}"/>
    <cellStyle name="Total 1 5 2 2" xfId="48057" xr:uid="{00000000-0005-0000-0000-000093BC0000}"/>
    <cellStyle name="Total 1 5 2 3" xfId="48058" xr:uid="{00000000-0005-0000-0000-000094BC0000}"/>
    <cellStyle name="Total 1 5 3" xfId="48059" xr:uid="{00000000-0005-0000-0000-000095BC0000}"/>
    <cellStyle name="Total 1 5 3 2" xfId="48060" xr:uid="{00000000-0005-0000-0000-000096BC0000}"/>
    <cellStyle name="Total 1 5 3 3" xfId="48061" xr:uid="{00000000-0005-0000-0000-000097BC0000}"/>
    <cellStyle name="Total 1 5 4" xfId="48062" xr:uid="{00000000-0005-0000-0000-000098BC0000}"/>
    <cellStyle name="Total 1 5 4 2" xfId="48063" xr:uid="{00000000-0005-0000-0000-000099BC0000}"/>
    <cellStyle name="Total 1 5 4 3" xfId="48064" xr:uid="{00000000-0005-0000-0000-00009ABC0000}"/>
    <cellStyle name="Total 1 5 5" xfId="48065" xr:uid="{00000000-0005-0000-0000-00009BBC0000}"/>
    <cellStyle name="Total 1 5 6" xfId="48066" xr:uid="{00000000-0005-0000-0000-00009CBC0000}"/>
    <cellStyle name="Total 1 5 7" xfId="48067" xr:uid="{00000000-0005-0000-0000-00009DBC0000}"/>
    <cellStyle name="Total 1 5 8" xfId="48068" xr:uid="{00000000-0005-0000-0000-00009EBC0000}"/>
    <cellStyle name="Total 1 5 9" xfId="48069" xr:uid="{00000000-0005-0000-0000-00009FBC0000}"/>
    <cellStyle name="Total 1 50" xfId="48070" xr:uid="{00000000-0005-0000-0000-0000A0BC0000}"/>
    <cellStyle name="Total 1 51" xfId="48071" xr:uid="{00000000-0005-0000-0000-0000A1BC0000}"/>
    <cellStyle name="Total 1 52" xfId="48072" xr:uid="{00000000-0005-0000-0000-0000A2BC0000}"/>
    <cellStyle name="Total 1 53" xfId="48073" xr:uid="{00000000-0005-0000-0000-0000A3BC0000}"/>
    <cellStyle name="Total 1 54" xfId="48074" xr:uid="{00000000-0005-0000-0000-0000A4BC0000}"/>
    <cellStyle name="Total 1 55" xfId="48075" xr:uid="{00000000-0005-0000-0000-0000A5BC0000}"/>
    <cellStyle name="Total 1 56" xfId="48076" xr:uid="{00000000-0005-0000-0000-0000A6BC0000}"/>
    <cellStyle name="Total 1 57" xfId="48077" xr:uid="{00000000-0005-0000-0000-0000A7BC0000}"/>
    <cellStyle name="Total 1 58" xfId="48078" xr:uid="{00000000-0005-0000-0000-0000A8BC0000}"/>
    <cellStyle name="Total 1 59" xfId="48079" xr:uid="{00000000-0005-0000-0000-0000A9BC0000}"/>
    <cellStyle name="Total 1 6" xfId="48080" xr:uid="{00000000-0005-0000-0000-0000AABC0000}"/>
    <cellStyle name="Total 1 6 2" xfId="48081" xr:uid="{00000000-0005-0000-0000-0000ABBC0000}"/>
    <cellStyle name="Total 1 6 3" xfId="48082" xr:uid="{00000000-0005-0000-0000-0000ACBC0000}"/>
    <cellStyle name="Total 1 60" xfId="48083" xr:uid="{00000000-0005-0000-0000-0000ADBC0000}"/>
    <cellStyle name="Total 1 61" xfId="48084" xr:uid="{00000000-0005-0000-0000-0000AEBC0000}"/>
    <cellStyle name="Total 1 62" xfId="48085" xr:uid="{00000000-0005-0000-0000-0000AFBC0000}"/>
    <cellStyle name="Total 1 63" xfId="48086" xr:uid="{00000000-0005-0000-0000-0000B0BC0000}"/>
    <cellStyle name="Total 1 64" xfId="48087" xr:uid="{00000000-0005-0000-0000-0000B1BC0000}"/>
    <cellStyle name="Total 1 65" xfId="48088" xr:uid="{00000000-0005-0000-0000-0000B2BC0000}"/>
    <cellStyle name="Total 1 66" xfId="48089" xr:uid="{00000000-0005-0000-0000-0000B3BC0000}"/>
    <cellStyle name="Total 1 67" xfId="48090" xr:uid="{00000000-0005-0000-0000-0000B4BC0000}"/>
    <cellStyle name="Total 1 68" xfId="48091" xr:uid="{00000000-0005-0000-0000-0000B5BC0000}"/>
    <cellStyle name="Total 1 69" xfId="48092" xr:uid="{00000000-0005-0000-0000-0000B6BC0000}"/>
    <cellStyle name="Total 1 7" xfId="48093" xr:uid="{00000000-0005-0000-0000-0000B7BC0000}"/>
    <cellStyle name="Total 1 7 2" xfId="48094" xr:uid="{00000000-0005-0000-0000-0000B8BC0000}"/>
    <cellStyle name="Total 1 7 3" xfId="48095" xr:uid="{00000000-0005-0000-0000-0000B9BC0000}"/>
    <cellStyle name="Total 1 70" xfId="48096" xr:uid="{00000000-0005-0000-0000-0000BABC0000}"/>
    <cellStyle name="Total 1 71" xfId="48097" xr:uid="{00000000-0005-0000-0000-0000BBBC0000}"/>
    <cellStyle name="Total 1 72" xfId="48098" xr:uid="{00000000-0005-0000-0000-0000BCBC0000}"/>
    <cellStyle name="Total 1 73" xfId="48099" xr:uid="{00000000-0005-0000-0000-0000BDBC0000}"/>
    <cellStyle name="Total 1 74" xfId="48100" xr:uid="{00000000-0005-0000-0000-0000BEBC0000}"/>
    <cellStyle name="Total 1 75" xfId="48101" xr:uid="{00000000-0005-0000-0000-0000BFBC0000}"/>
    <cellStyle name="Total 1 76" xfId="48102" xr:uid="{00000000-0005-0000-0000-0000C0BC0000}"/>
    <cellStyle name="Total 1 77" xfId="48103" xr:uid="{00000000-0005-0000-0000-0000C1BC0000}"/>
    <cellStyle name="Total 1 78" xfId="48104" xr:uid="{00000000-0005-0000-0000-0000C2BC0000}"/>
    <cellStyle name="Total 1 8" xfId="48105" xr:uid="{00000000-0005-0000-0000-0000C3BC0000}"/>
    <cellStyle name="Total 1 8 2" xfId="48106" xr:uid="{00000000-0005-0000-0000-0000C4BC0000}"/>
    <cellStyle name="Total 1 8 3" xfId="48107" xr:uid="{00000000-0005-0000-0000-0000C5BC0000}"/>
    <cellStyle name="Total 1 9" xfId="48108" xr:uid="{00000000-0005-0000-0000-0000C6BC0000}"/>
    <cellStyle name="Total 1_Customer Operations Business Plan Input Reqs (3)" xfId="48109" xr:uid="{00000000-0005-0000-0000-0000C7BC0000}"/>
    <cellStyle name="Total 2" xfId="48110" xr:uid="{00000000-0005-0000-0000-0000C8BC0000}"/>
    <cellStyle name="Total 2 10" xfId="48111" xr:uid="{00000000-0005-0000-0000-0000C9BC0000}"/>
    <cellStyle name="Total 2 11" xfId="48112" xr:uid="{00000000-0005-0000-0000-0000CABC0000}"/>
    <cellStyle name="Total 2 12" xfId="48113" xr:uid="{00000000-0005-0000-0000-0000CBBC0000}"/>
    <cellStyle name="Total 2 13" xfId="48114" xr:uid="{00000000-0005-0000-0000-0000CCBC0000}"/>
    <cellStyle name="Total 2 14" xfId="48115" xr:uid="{00000000-0005-0000-0000-0000CDBC0000}"/>
    <cellStyle name="Total 2 15" xfId="48116" xr:uid="{00000000-0005-0000-0000-0000CEBC0000}"/>
    <cellStyle name="Total 2 16" xfId="48117" xr:uid="{00000000-0005-0000-0000-0000CFBC0000}"/>
    <cellStyle name="Total 2 17" xfId="48118" xr:uid="{00000000-0005-0000-0000-0000D0BC0000}"/>
    <cellStyle name="Total 2 18" xfId="48119" xr:uid="{00000000-0005-0000-0000-0000D1BC0000}"/>
    <cellStyle name="Total 2 19" xfId="48120" xr:uid="{00000000-0005-0000-0000-0000D2BC0000}"/>
    <cellStyle name="Total 2 2" xfId="48121" xr:uid="{00000000-0005-0000-0000-0000D3BC0000}"/>
    <cellStyle name="Total 2 2 2" xfId="48122" xr:uid="{00000000-0005-0000-0000-0000D4BC0000}"/>
    <cellStyle name="Total 2 2 3" xfId="48123" xr:uid="{00000000-0005-0000-0000-0000D5BC0000}"/>
    <cellStyle name="Total 2 20" xfId="48124" xr:uid="{00000000-0005-0000-0000-0000D6BC0000}"/>
    <cellStyle name="Total 2 21" xfId="48125" xr:uid="{00000000-0005-0000-0000-0000D7BC0000}"/>
    <cellStyle name="Total 2 22" xfId="48126" xr:uid="{00000000-0005-0000-0000-0000D8BC0000}"/>
    <cellStyle name="Total 2 23" xfId="48127" xr:uid="{00000000-0005-0000-0000-0000D9BC0000}"/>
    <cellStyle name="Total 2 24" xfId="48128" xr:uid="{00000000-0005-0000-0000-0000DABC0000}"/>
    <cellStyle name="Total 2 25" xfId="48129" xr:uid="{00000000-0005-0000-0000-0000DBBC0000}"/>
    <cellStyle name="Total 2 26" xfId="48130" xr:uid="{00000000-0005-0000-0000-0000DCBC0000}"/>
    <cellStyle name="Total 2 27" xfId="48131" xr:uid="{00000000-0005-0000-0000-0000DDBC0000}"/>
    <cellStyle name="Total 2 28" xfId="48132" xr:uid="{00000000-0005-0000-0000-0000DEBC0000}"/>
    <cellStyle name="Total 2 29" xfId="48133" xr:uid="{00000000-0005-0000-0000-0000DFBC0000}"/>
    <cellStyle name="Total 2 3" xfId="48134" xr:uid="{00000000-0005-0000-0000-0000E0BC0000}"/>
    <cellStyle name="Total 2 3 2" xfId="48135" xr:uid="{00000000-0005-0000-0000-0000E1BC0000}"/>
    <cellStyle name="Total 2 3 3" xfId="48136" xr:uid="{00000000-0005-0000-0000-0000E2BC0000}"/>
    <cellStyle name="Total 2 30" xfId="48137" xr:uid="{00000000-0005-0000-0000-0000E3BC0000}"/>
    <cellStyle name="Total 2 31" xfId="48138" xr:uid="{00000000-0005-0000-0000-0000E4BC0000}"/>
    <cellStyle name="Total 2 32" xfId="48139" xr:uid="{00000000-0005-0000-0000-0000E5BC0000}"/>
    <cellStyle name="Total 2 33" xfId="48140" xr:uid="{00000000-0005-0000-0000-0000E6BC0000}"/>
    <cellStyle name="Total 2 34" xfId="48141" xr:uid="{00000000-0005-0000-0000-0000E7BC0000}"/>
    <cellStyle name="Total 2 35" xfId="48142" xr:uid="{00000000-0005-0000-0000-0000E8BC0000}"/>
    <cellStyle name="Total 2 36" xfId="48143" xr:uid="{00000000-0005-0000-0000-0000E9BC0000}"/>
    <cellStyle name="Total 2 37" xfId="48144" xr:uid="{00000000-0005-0000-0000-0000EABC0000}"/>
    <cellStyle name="Total 2 38" xfId="48145" xr:uid="{00000000-0005-0000-0000-0000EBBC0000}"/>
    <cellStyle name="Total 2 39" xfId="48146" xr:uid="{00000000-0005-0000-0000-0000ECBC0000}"/>
    <cellStyle name="Total 2 4" xfId="48147" xr:uid="{00000000-0005-0000-0000-0000EDBC0000}"/>
    <cellStyle name="Total 2 40" xfId="48148" xr:uid="{00000000-0005-0000-0000-0000EEBC0000}"/>
    <cellStyle name="Total 2 41" xfId="48149" xr:uid="{00000000-0005-0000-0000-0000EFBC0000}"/>
    <cellStyle name="Total 2 42" xfId="48150" xr:uid="{00000000-0005-0000-0000-0000F0BC0000}"/>
    <cellStyle name="Total 2 43" xfId="48151" xr:uid="{00000000-0005-0000-0000-0000F1BC0000}"/>
    <cellStyle name="Total 2 44" xfId="48152" xr:uid="{00000000-0005-0000-0000-0000F2BC0000}"/>
    <cellStyle name="Total 2 45" xfId="48153" xr:uid="{00000000-0005-0000-0000-0000F3BC0000}"/>
    <cellStyle name="Total 2 46" xfId="48154" xr:uid="{00000000-0005-0000-0000-0000F4BC0000}"/>
    <cellStyle name="Total 2 47" xfId="48155" xr:uid="{00000000-0005-0000-0000-0000F5BC0000}"/>
    <cellStyle name="Total 2 48" xfId="48156" xr:uid="{00000000-0005-0000-0000-0000F6BC0000}"/>
    <cellStyle name="Total 2 5" xfId="48157" xr:uid="{00000000-0005-0000-0000-0000F7BC0000}"/>
    <cellStyle name="Total 2 6" xfId="48158" xr:uid="{00000000-0005-0000-0000-0000F8BC0000}"/>
    <cellStyle name="Total 2 7" xfId="48159" xr:uid="{00000000-0005-0000-0000-0000F9BC0000}"/>
    <cellStyle name="Total 2 8" xfId="48160" xr:uid="{00000000-0005-0000-0000-0000FABC0000}"/>
    <cellStyle name="Total 2 9" xfId="48161" xr:uid="{00000000-0005-0000-0000-0000FBBC0000}"/>
    <cellStyle name="Total 3" xfId="48162" xr:uid="{00000000-0005-0000-0000-0000FCBC0000}"/>
    <cellStyle name="Total 3 2" xfId="48163" xr:uid="{00000000-0005-0000-0000-0000FDBC0000}"/>
    <cellStyle name="Total 3 3" xfId="48164" xr:uid="{00000000-0005-0000-0000-0000FEBC0000}"/>
    <cellStyle name="Total 4" xfId="48165" xr:uid="{00000000-0005-0000-0000-0000FFBC0000}"/>
    <cellStyle name="Total 5" xfId="48166" xr:uid="{00000000-0005-0000-0000-000000BD0000}"/>
    <cellStyle name="Total 6" xfId="48167" xr:uid="{00000000-0005-0000-0000-000001BD0000}"/>
    <cellStyle name="Total 7" xfId="48168" xr:uid="{00000000-0005-0000-0000-000002BD0000}"/>
    <cellStyle name="Total 7 2" xfId="48169" xr:uid="{00000000-0005-0000-0000-000003BD0000}"/>
    <cellStyle name="Total 7 2 2" xfId="48170" xr:uid="{00000000-0005-0000-0000-000004BD0000}"/>
    <cellStyle name="Total 8" xfId="48171" xr:uid="{00000000-0005-0000-0000-000005BD0000}"/>
    <cellStyle name="Totals" xfId="48172" xr:uid="{00000000-0005-0000-0000-000006BD0000}"/>
    <cellStyle name="Totals [0]" xfId="48173" xr:uid="{00000000-0005-0000-0000-000007BD0000}"/>
    <cellStyle name="Totals [2]" xfId="48174" xr:uid="{00000000-0005-0000-0000-000008BD0000}"/>
    <cellStyle name="Totals_CNANGES NEEDED" xfId="48175" xr:uid="{00000000-0005-0000-0000-000009BD0000}"/>
    <cellStyle name="Tusental (0)_pldt" xfId="48405" xr:uid="{00000000-0005-0000-0000-00000ABD0000}"/>
    <cellStyle name="Tusental_pldt" xfId="48406" xr:uid="{00000000-0005-0000-0000-00000BBD0000}"/>
    <cellStyle name="u" xfId="48176" xr:uid="{00000000-0005-0000-0000-00000CBD0000}"/>
    <cellStyle name="Underline_Single" xfId="48177" xr:uid="{00000000-0005-0000-0000-00000DBD0000}"/>
    <cellStyle name="Unprot" xfId="48178" xr:uid="{00000000-0005-0000-0000-00000EBD0000}"/>
    <cellStyle name="Unprot$" xfId="48179" xr:uid="{00000000-0005-0000-0000-00000FBD0000}"/>
    <cellStyle name="Unprot_CurrencySKorea" xfId="48180" xr:uid="{00000000-0005-0000-0000-000010BD0000}"/>
    <cellStyle name="Unprotect" xfId="48181" xr:uid="{00000000-0005-0000-0000-000011BD0000}"/>
    <cellStyle name="UNPROTECTED" xfId="48182" xr:uid="{00000000-0005-0000-0000-000012BD0000}"/>
    <cellStyle name="UnProtectedCalc" xfId="48183" xr:uid="{00000000-0005-0000-0000-000013BD0000}"/>
    <cellStyle name="Update" xfId="48184" xr:uid="{00000000-0005-0000-0000-000014BD0000}"/>
    <cellStyle name="USD" xfId="48185" xr:uid="{00000000-0005-0000-0000-000015BD0000}"/>
    <cellStyle name="USD billion" xfId="48186" xr:uid="{00000000-0005-0000-0000-000016BD0000}"/>
    <cellStyle name="USD million" xfId="48187" xr:uid="{00000000-0005-0000-0000-000017BD0000}"/>
    <cellStyle name="USD thousand" xfId="48188" xr:uid="{00000000-0005-0000-0000-000018BD0000}"/>
    <cellStyle name="Valuta (0)_pldt" xfId="48407" xr:uid="{00000000-0005-0000-0000-000019BD0000}"/>
    <cellStyle name="Valuta_pldt" xfId="48408" xr:uid="{00000000-0005-0000-0000-00001ABD0000}"/>
    <cellStyle name="vcc" xfId="48189" xr:uid="{00000000-0005-0000-0000-00001BBD0000}"/>
    <cellStyle name="VDD" xfId="48190" xr:uid="{00000000-0005-0000-0000-00001CBD0000}"/>
    <cellStyle name="Währung [0]_Compiling Utility Macros" xfId="48191" xr:uid="{00000000-0005-0000-0000-00001DBD0000}"/>
    <cellStyle name="Währung_Compiling Utility Macros" xfId="48192" xr:uid="{00000000-0005-0000-0000-00001EBD0000}"/>
    <cellStyle name="Warning Text 2" xfId="48193" xr:uid="{00000000-0005-0000-0000-00001FBD0000}"/>
    <cellStyle name="Warning Text 2 10" xfId="48194" xr:uid="{00000000-0005-0000-0000-000020BD0000}"/>
    <cellStyle name="Warning Text 2 11" xfId="48195" xr:uid="{00000000-0005-0000-0000-000021BD0000}"/>
    <cellStyle name="Warning Text 2 12" xfId="48196" xr:uid="{00000000-0005-0000-0000-000022BD0000}"/>
    <cellStyle name="Warning Text 2 13" xfId="48197" xr:uid="{00000000-0005-0000-0000-000023BD0000}"/>
    <cellStyle name="Warning Text 2 14" xfId="48198" xr:uid="{00000000-0005-0000-0000-000024BD0000}"/>
    <cellStyle name="Warning Text 2 15" xfId="48199" xr:uid="{00000000-0005-0000-0000-000025BD0000}"/>
    <cellStyle name="Warning Text 2 16" xfId="48200" xr:uid="{00000000-0005-0000-0000-000026BD0000}"/>
    <cellStyle name="Warning Text 2 17" xfId="48201" xr:uid="{00000000-0005-0000-0000-000027BD0000}"/>
    <cellStyle name="Warning Text 2 2" xfId="48202" xr:uid="{00000000-0005-0000-0000-000028BD0000}"/>
    <cellStyle name="Warning Text 2 3" xfId="48203" xr:uid="{00000000-0005-0000-0000-000029BD0000}"/>
    <cellStyle name="Warning Text 2 4" xfId="48204" xr:uid="{00000000-0005-0000-0000-00002ABD0000}"/>
    <cellStyle name="Warning Text 2 5" xfId="48205" xr:uid="{00000000-0005-0000-0000-00002BBD0000}"/>
    <cellStyle name="Warning Text 2 6" xfId="48206" xr:uid="{00000000-0005-0000-0000-00002CBD0000}"/>
    <cellStyle name="Warning Text 2 7" xfId="48207" xr:uid="{00000000-0005-0000-0000-00002DBD0000}"/>
    <cellStyle name="Warning Text 2 8" xfId="48208" xr:uid="{00000000-0005-0000-0000-00002EBD0000}"/>
    <cellStyle name="Warning Text 2 9" xfId="48209" xr:uid="{00000000-0005-0000-0000-00002FBD0000}"/>
    <cellStyle name="Warning Text 3" xfId="48210" xr:uid="{00000000-0005-0000-0000-000030BD0000}"/>
    <cellStyle name="Yellow" xfId="48211" xr:uid="{00000000-0005-0000-0000-000031BD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indexed="10"/>
        </patternFill>
      </fill>
    </dxf>
    <dxf>
      <fill>
        <patternFill>
          <bgColor indexed="10"/>
        </patternFill>
      </fill>
    </dxf>
  </dxfs>
  <tableStyles count="0" defaultTableStyle="TableStyleMedium2" defaultPivotStyle="PivotStyleLight16"/>
  <colors>
    <mruColors>
      <color rgb="FFFFFFCC"/>
      <color rgb="FFCCFFFF"/>
      <color rgb="FFCCFFCC"/>
      <color rgb="FFFF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'NARM7 - Dashboard'!$AR$2:$AU$2</c:f>
          <c:strCache>
            <c:ptCount val="4"/>
            <c:pt idx="0">
              <c:v>NETWORK RISK OUTPUT TO DATE</c:v>
            </c:pt>
          </c:strCache>
        </c:strRef>
      </c:tx>
      <c:layout>
        <c:manualLayout>
          <c:xMode val="edge"/>
          <c:yMode val="edge"/>
          <c:x val="0.22584057996414031"/>
          <c:y val="4.4193508250945E-2"/>
        </c:manualLayout>
      </c:layout>
      <c:overlay val="0"/>
      <c:spPr>
        <a:noFill/>
      </c:spPr>
      <c:txPr>
        <a:bodyPr/>
        <a:lstStyle/>
        <a:p>
          <a:pPr algn="ctr" rtl="0">
            <a:defRPr sz="1800" b="1" i="0" u="none" strike="noStrike" kern="1200" baseline="0">
              <a:solidFill>
                <a:schemeClr val="tx1"/>
              </a:solidFill>
              <a:latin typeface="Calibri"/>
              <a:ea typeface="Calibri"/>
              <a:cs typeface="Calibri"/>
            </a:defRPr>
          </a:pPr>
          <a:endParaRPr lang="en-US"/>
        </a:p>
      </c:txPr>
    </c:title>
    <c:autoTitleDeleted val="0"/>
    <c:plotArea>
      <c:layout>
        <c:manualLayout>
          <c:layoutTarget val="inner"/>
          <c:xMode val="edge"/>
          <c:yMode val="edge"/>
          <c:x val="0.11104295520601996"/>
          <c:y val="0.18230156181077697"/>
          <c:w val="0.83855444837330539"/>
          <c:h val="0.69565170272388677"/>
        </c:manualLayout>
      </c:layout>
      <c:lineChart>
        <c:grouping val="standard"/>
        <c:varyColors val="0"/>
        <c:ser>
          <c:idx val="1"/>
          <c:order val="0"/>
          <c:tx>
            <c:v>% NARMs output delivered to date</c:v>
          </c:tx>
          <c:spPr>
            <a:ln w="6350">
              <a:solidFill>
                <a:srgbClr val="00B050"/>
              </a:solidFill>
              <a:prstDash val="solid"/>
            </a:ln>
          </c:spPr>
          <c:marker>
            <c:symbol val="square"/>
            <c:size val="5"/>
            <c:spPr>
              <a:solidFill>
                <a:srgbClr val="00B050"/>
              </a:solidFill>
              <a:ln w="6350">
                <a:solidFill>
                  <a:srgbClr val="00B050"/>
                </a:solidFill>
              </a:ln>
            </c:spPr>
          </c:marker>
          <c:dPt>
            <c:idx val="3"/>
            <c:bubble3D val="0"/>
            <c:extLst>
              <c:ext xmlns:c16="http://schemas.microsoft.com/office/drawing/2014/chart" uri="{C3380CC4-5D6E-409C-BE32-E72D297353CC}">
                <c16:uniqueId val="{00000001-5641-486E-9977-7DFEAB28CDD3}"/>
              </c:ext>
            </c:extLst>
          </c:dPt>
          <c:dLbls>
            <c:dLbl>
              <c:idx val="0"/>
              <c:delete val="1"/>
              <c:extLst>
                <c:ext xmlns:c15="http://schemas.microsoft.com/office/drawing/2012/chart" uri="{CE6537A1-D6FC-4f65-9D91-7224C49458BB}"/>
                <c:ext xmlns:c16="http://schemas.microsoft.com/office/drawing/2014/chart" uri="{C3380CC4-5D6E-409C-BE32-E72D297353CC}">
                  <c16:uniqueId val="{00000002-5641-486E-9977-7DFEAB28CDD3}"/>
                </c:ext>
              </c:extLst>
            </c:dLbl>
            <c:spPr>
              <a:noFill/>
              <a:ln>
                <a:noFill/>
              </a:ln>
              <a:effectLst/>
            </c:spPr>
            <c:txPr>
              <a:bodyPr/>
              <a:lstStyle/>
              <a:p>
                <a:pPr>
                  <a:defRPr sz="1400" b="1">
                    <a:solidFill>
                      <a:srgbClr val="00B05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6"/>
              <c:pt idx="0">
                <c:v>2023</c:v>
              </c:pt>
              <c:pt idx="1">
                <c:v>2024</c:v>
              </c:pt>
              <c:pt idx="2">
                <c:v>2025</c:v>
              </c:pt>
              <c:pt idx="3">
                <c:v>2026</c:v>
              </c:pt>
              <c:pt idx="4">
                <c:v>2027</c:v>
              </c:pt>
              <c:pt idx="5">
                <c:v>2028</c:v>
              </c:pt>
            </c:numLit>
          </c:cat>
          <c:val>
            <c:numRef>
              <c:f>'NARM7 - Dashboard'!$AN$12:$AS$12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5641-486E-9977-7DFEAB28CDD3}"/>
            </c:ext>
          </c:extLst>
        </c:ser>
        <c:dLbls>
          <c:showLegendKey val="0"/>
          <c:showVal val="0"/>
          <c:showCatName val="0"/>
          <c:showSerName val="0"/>
          <c:showPercent val="0"/>
          <c:showBubbleSize val="0"/>
        </c:dLbls>
        <c:marker val="1"/>
        <c:smooth val="0"/>
        <c:axId val="126819712"/>
        <c:axId val="126846080"/>
      </c:lineChart>
      <c:catAx>
        <c:axId val="126819712"/>
        <c:scaling>
          <c:orientation val="minMax"/>
        </c:scaling>
        <c:delete val="0"/>
        <c:axPos val="b"/>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126846080"/>
        <c:crosses val="autoZero"/>
        <c:auto val="1"/>
        <c:lblAlgn val="ctr"/>
        <c:lblOffset val="100"/>
        <c:noMultiLvlLbl val="0"/>
      </c:catAx>
      <c:valAx>
        <c:axId val="126846080"/>
        <c:scaling>
          <c:orientation val="minMax"/>
          <c:min val="0"/>
        </c:scaling>
        <c:delete val="0"/>
        <c:axPos val="l"/>
        <c:majorGridlines/>
        <c:numFmt formatCode="0%" sourceLinked="0"/>
        <c:majorTickMark val="none"/>
        <c:minorTickMark val="none"/>
        <c:tickLblPos val="nextTo"/>
        <c:spPr>
          <a:ln w="9525">
            <a:noFill/>
          </a:ln>
        </c:spPr>
        <c:txPr>
          <a:bodyPr rot="0" vert="horz"/>
          <a:lstStyle/>
          <a:p>
            <a:pPr>
              <a:defRPr sz="1400" b="1" i="0" u="none" strike="noStrike" baseline="0">
                <a:solidFill>
                  <a:sysClr val="windowText" lastClr="000000"/>
                </a:solidFill>
                <a:latin typeface="Calibri"/>
                <a:ea typeface="Calibri"/>
                <a:cs typeface="Calibri"/>
              </a:defRPr>
            </a:pPr>
            <a:endParaRPr lang="en-US"/>
          </a:p>
        </c:txPr>
        <c:crossAx val="126819712"/>
        <c:crosses val="autoZero"/>
        <c:crossBetween val="midCat"/>
      </c:valAx>
      <c:spPr>
        <a:ln>
          <a:solidFill>
            <a:schemeClr val="bg1">
              <a:lumMod val="50000"/>
            </a:schemeClr>
          </a:solidFill>
        </a:ln>
      </c:spPr>
    </c:plotArea>
    <c:plotVisOnly val="1"/>
    <c:dispBlanksAs val="gap"/>
    <c:showDLblsOverMax val="0"/>
  </c:chart>
  <c:spPr>
    <a:solidFill>
      <a:schemeClr val="bg1"/>
    </a:solidFill>
    <a:ln w="952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Analysis'!$AT$42</c:f>
          <c:strCache>
            <c:ptCount val="1"/>
            <c:pt idx="0">
              <c:v>LV poles - movement in risk (2025)</c:v>
            </c:pt>
          </c:strCache>
        </c:strRef>
      </c:tx>
      <c:overlay val="0"/>
    </c:title>
    <c:autoTitleDeleted val="0"/>
    <c:plotArea>
      <c:layout/>
      <c:barChart>
        <c:barDir val="col"/>
        <c:grouping val="stacked"/>
        <c:varyColors val="0"/>
        <c:ser>
          <c:idx val="2"/>
          <c:order val="0"/>
          <c:tx>
            <c:strRef>
              <c:f>'NARM8 - Variance Analysis'!$AW$27</c:f>
              <c:strCache>
                <c:ptCount val="1"/>
                <c:pt idx="0">
                  <c:v>Risk Increases</c:v>
                </c:pt>
              </c:strCache>
            </c:strRef>
          </c:tx>
          <c:spPr>
            <a:solidFill>
              <a:srgbClr val="FF000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Analysis'!$AV$45:$AV$56</c:f>
              <c:numCache>
                <c:formatCode>0.0%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6C9-4648-B09B-1EF7B9D7B4DC}"/>
            </c:ext>
          </c:extLst>
        </c:ser>
        <c:ser>
          <c:idx val="4"/>
          <c:order val="1"/>
          <c:tx>
            <c:strRef>
              <c:f>'NARM8 - Variance Analysis'!$AX$27</c:f>
              <c:strCache>
                <c:ptCount val="1"/>
                <c:pt idx="0">
                  <c:v>Risk Decreases</c:v>
                </c:pt>
              </c:strCache>
            </c:strRef>
          </c:tx>
          <c:spPr>
            <a:solidFill>
              <a:srgbClr val="00B05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Analysis'!$AW$45:$AW$56</c:f>
              <c:numCache>
                <c:formatCode>0.0%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6C9-4648-B09B-1EF7B9D7B4DC}"/>
            </c:ext>
          </c:extLst>
        </c:ser>
        <c:dLbls>
          <c:showLegendKey val="0"/>
          <c:showVal val="0"/>
          <c:showCatName val="0"/>
          <c:showSerName val="0"/>
          <c:showPercent val="0"/>
          <c:showBubbleSize val="0"/>
        </c:dLbls>
        <c:gapWidth val="0"/>
        <c:overlap val="100"/>
        <c:axId val="121789824"/>
        <c:axId val="121799808"/>
      </c:barChart>
      <c:catAx>
        <c:axId val="121789824"/>
        <c:scaling>
          <c:orientation val="minMax"/>
        </c:scaling>
        <c:delete val="0"/>
        <c:axPos val="t"/>
        <c:majorGridlines/>
        <c:numFmt formatCode="General" sourceLinked="0"/>
        <c:majorTickMark val="none"/>
        <c:minorTickMark val="none"/>
        <c:tickLblPos val="low"/>
        <c:txPr>
          <a:bodyPr rot="-2700000" vert="horz"/>
          <a:lstStyle/>
          <a:p>
            <a:pPr>
              <a:defRPr b="1"/>
            </a:pPr>
            <a:endParaRPr lang="en-US"/>
          </a:p>
        </c:txPr>
        <c:crossAx val="121799808"/>
        <c:crosses val="max"/>
        <c:auto val="1"/>
        <c:lblAlgn val="ctr"/>
        <c:lblOffset val="100"/>
        <c:noMultiLvlLbl val="0"/>
      </c:catAx>
      <c:valAx>
        <c:axId val="121799808"/>
        <c:scaling>
          <c:orientation val="minMax"/>
        </c:scaling>
        <c:delete val="0"/>
        <c:axPos val="l"/>
        <c:majorGridlines/>
        <c:numFmt formatCode="0.0%" sourceLinked="1"/>
        <c:majorTickMark val="out"/>
        <c:minorTickMark val="none"/>
        <c:tickLblPos val="nextTo"/>
        <c:crossAx val="121789824"/>
        <c:crosses val="autoZero"/>
        <c:crossBetween val="between"/>
      </c:valAx>
      <c:spPr>
        <a:ln>
          <a:solidFill>
            <a:schemeClr val="bg1">
              <a:lumMod val="50000"/>
            </a:schemeClr>
          </a:solidFill>
        </a:ln>
      </c:spPr>
    </c:plotArea>
    <c:legend>
      <c:legendPos val="r"/>
      <c:layout>
        <c:manualLayout>
          <c:xMode val="edge"/>
          <c:yMode val="edge"/>
          <c:x val="0.81738298611111115"/>
          <c:y val="0.85233227007321632"/>
          <c:w val="0.16938784722222222"/>
          <c:h val="0.11437936247723586"/>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Network Risk Output </a:t>
            </a:r>
            <a:r>
              <a:rPr lang="en-US"/>
              <a:t>by work type</a:t>
            </a:r>
          </a:p>
        </c:rich>
      </c:tx>
      <c:overlay val="0"/>
    </c:title>
    <c:autoTitleDeleted val="0"/>
    <c:plotArea>
      <c:layout>
        <c:manualLayout>
          <c:layoutTarget val="inner"/>
          <c:xMode val="edge"/>
          <c:yMode val="edge"/>
          <c:x val="0.13380991849702997"/>
          <c:y val="0.15944937101663761"/>
          <c:w val="0.82759359027489987"/>
          <c:h val="0.5861498341011625"/>
        </c:manualLayout>
      </c:layout>
      <c:barChart>
        <c:barDir val="col"/>
        <c:grouping val="percentStacked"/>
        <c:varyColors val="0"/>
        <c:ser>
          <c:idx val="0"/>
          <c:order val="0"/>
          <c:tx>
            <c:strRef>
              <c:f>'NARM7 - Dashboard'!$AN$3</c:f>
              <c:strCache>
                <c:ptCount val="1"/>
                <c:pt idx="0">
                  <c:v>Asset Replacement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Dashboard'!$AN$4,'NARM7 - Dashboard'!$AR$4)</c:f>
              <c:numCache>
                <c:formatCode>#,##0_);[Red]\(#,##0\);\-</c:formatCode>
                <c:ptCount val="2"/>
                <c:pt idx="0">
                  <c:v>0</c:v>
                </c:pt>
                <c:pt idx="1">
                  <c:v>0</c:v>
                </c:pt>
              </c:numCache>
            </c:numRef>
          </c:val>
          <c:extLst>
            <c:ext xmlns:c16="http://schemas.microsoft.com/office/drawing/2014/chart" uri="{C3380CC4-5D6E-409C-BE32-E72D297353CC}">
              <c16:uniqueId val="{00000000-C254-47DD-95A4-1152CCF635A0}"/>
            </c:ext>
          </c:extLst>
        </c:ser>
        <c:ser>
          <c:idx val="1"/>
          <c:order val="1"/>
          <c:tx>
            <c:strRef>
              <c:f>'NARM7 - Dashboard'!$AO$3</c:f>
              <c:strCache>
                <c:ptCount val="1"/>
                <c:pt idx="0">
                  <c:v>Asset Refurbishment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Dashboard'!$AO$4,'NARM7 - Dashboard'!$AS$4)</c:f>
              <c:numCache>
                <c:formatCode>#,##0_);[Red]\(#,##0\);\-</c:formatCode>
                <c:ptCount val="2"/>
                <c:pt idx="0">
                  <c:v>0</c:v>
                </c:pt>
                <c:pt idx="1">
                  <c:v>0</c:v>
                </c:pt>
              </c:numCache>
            </c:numRef>
          </c:val>
          <c:extLst>
            <c:ext xmlns:c16="http://schemas.microsoft.com/office/drawing/2014/chart" uri="{C3380CC4-5D6E-409C-BE32-E72D297353CC}">
              <c16:uniqueId val="{00000001-C254-47DD-95A4-1152CCF635A0}"/>
            </c:ext>
          </c:extLst>
        </c:ser>
        <c:ser>
          <c:idx val="2"/>
          <c:order val="2"/>
          <c:tx>
            <c:strRef>
              <c:f>'NARM7 - Dashboard'!$AP$3</c:f>
              <c:strCache>
                <c:ptCount val="1"/>
                <c:pt idx="0">
                  <c:v>HVP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Dashboard'!$AP$4,'NARM7 - Dashboard'!$AT$4)</c:f>
              <c:numCache>
                <c:formatCode>#,##0_);[Red]\(#,##0\);\-</c:formatCode>
                <c:ptCount val="2"/>
                <c:pt idx="0">
                  <c:v>0</c:v>
                </c:pt>
                <c:pt idx="1">
                  <c:v>0</c:v>
                </c:pt>
              </c:numCache>
            </c:numRef>
          </c:val>
          <c:extLst>
            <c:ext xmlns:c16="http://schemas.microsoft.com/office/drawing/2014/chart" uri="{C3380CC4-5D6E-409C-BE32-E72D297353CC}">
              <c16:uniqueId val="{00000002-C254-47DD-95A4-1152CCF635A0}"/>
            </c:ext>
          </c:extLst>
        </c:ser>
        <c:dLbls>
          <c:showLegendKey val="0"/>
          <c:showVal val="0"/>
          <c:showCatName val="0"/>
          <c:showSerName val="0"/>
          <c:showPercent val="0"/>
          <c:showBubbleSize val="0"/>
        </c:dLbls>
        <c:gapWidth val="75"/>
        <c:overlap val="100"/>
        <c:axId val="126754176"/>
        <c:axId val="126764160"/>
      </c:barChart>
      <c:catAx>
        <c:axId val="126754176"/>
        <c:scaling>
          <c:orientation val="minMax"/>
        </c:scaling>
        <c:delete val="1"/>
        <c:axPos val="b"/>
        <c:numFmt formatCode="General" sourceLinked="0"/>
        <c:majorTickMark val="none"/>
        <c:minorTickMark val="none"/>
        <c:tickLblPos val="nextTo"/>
        <c:crossAx val="126764160"/>
        <c:crossesAt val="0"/>
        <c:auto val="1"/>
        <c:lblAlgn val="ctr"/>
        <c:lblOffset val="100"/>
        <c:noMultiLvlLbl val="0"/>
      </c:catAx>
      <c:valAx>
        <c:axId val="126764160"/>
        <c:scaling>
          <c:orientation val="minMax"/>
        </c:scaling>
        <c:delete val="0"/>
        <c:axPos val="l"/>
        <c:majorGridlines/>
        <c:numFmt formatCode="0%" sourceLinked="1"/>
        <c:majorTickMark val="none"/>
        <c:minorTickMark val="none"/>
        <c:tickLblPos val="nextTo"/>
        <c:spPr>
          <a:ln w="9525">
            <a:noFill/>
          </a:ln>
        </c:spPr>
        <c:crossAx val="126754176"/>
        <c:crosses val="autoZero"/>
        <c:crossBetween val="between"/>
      </c:valAx>
    </c:plotArea>
    <c:legend>
      <c:legendPos val="b"/>
      <c:layout>
        <c:manualLayout>
          <c:xMode val="edge"/>
          <c:yMode val="edge"/>
          <c:x val="0.18265782566652852"/>
          <c:y val="0.84810917098321914"/>
          <c:w val="0.68731592761431137"/>
          <c:h val="0.11778608598095147"/>
        </c:manualLayout>
      </c:layout>
      <c:overlay val="0"/>
      <c:txPr>
        <a:bodyPr/>
        <a:lstStyle/>
        <a:p>
          <a:pPr>
            <a:defRPr sz="1000"/>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Network Risk Output </a:t>
            </a:r>
            <a:r>
              <a:rPr lang="en-US"/>
              <a:t>by voltage</a:t>
            </a:r>
          </a:p>
        </c:rich>
      </c:tx>
      <c:overlay val="0"/>
    </c:title>
    <c:autoTitleDeleted val="0"/>
    <c:plotArea>
      <c:layout/>
      <c:barChart>
        <c:barDir val="col"/>
        <c:grouping val="percentStacked"/>
        <c:varyColors val="0"/>
        <c:ser>
          <c:idx val="0"/>
          <c:order val="0"/>
          <c:tx>
            <c:strRef>
              <c:f>'NARM7 - Dashboard'!$AM$5</c:f>
              <c:strCache>
                <c:ptCount val="1"/>
                <c:pt idx="0">
                  <c:v>LV Network</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Dashboard'!$AQ$5,'NARM7 - Dashboard'!$AU$5)</c:f>
              <c:numCache>
                <c:formatCode>#,##0_);[Red]\(#,##0\);\-</c:formatCode>
                <c:ptCount val="2"/>
                <c:pt idx="0">
                  <c:v>0</c:v>
                </c:pt>
                <c:pt idx="1">
                  <c:v>0</c:v>
                </c:pt>
              </c:numCache>
            </c:numRef>
          </c:val>
          <c:extLst>
            <c:ext xmlns:c16="http://schemas.microsoft.com/office/drawing/2014/chart" uri="{C3380CC4-5D6E-409C-BE32-E72D297353CC}">
              <c16:uniqueId val="{00000000-F1B4-4561-8626-AC88FC88815C}"/>
            </c:ext>
          </c:extLst>
        </c:ser>
        <c:ser>
          <c:idx val="1"/>
          <c:order val="1"/>
          <c:tx>
            <c:strRef>
              <c:f>'NARM7 - Dashboard'!$AM$6</c:f>
              <c:strCache>
                <c:ptCount val="1"/>
                <c:pt idx="0">
                  <c:v>HV Network</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Dashboard'!$AQ$6,'NARM7 - Dashboard'!$AU$6)</c:f>
              <c:numCache>
                <c:formatCode>#,##0_);[Red]\(#,##0\);\-</c:formatCode>
                <c:ptCount val="2"/>
                <c:pt idx="0">
                  <c:v>0</c:v>
                </c:pt>
                <c:pt idx="1">
                  <c:v>0</c:v>
                </c:pt>
              </c:numCache>
            </c:numRef>
          </c:val>
          <c:extLst>
            <c:ext xmlns:c16="http://schemas.microsoft.com/office/drawing/2014/chart" uri="{C3380CC4-5D6E-409C-BE32-E72D297353CC}">
              <c16:uniqueId val="{00000001-F1B4-4561-8626-AC88FC88815C}"/>
            </c:ext>
          </c:extLst>
        </c:ser>
        <c:ser>
          <c:idx val="2"/>
          <c:order val="2"/>
          <c:tx>
            <c:strRef>
              <c:f>'NARM7 - Dashboard'!$AM$7</c:f>
              <c:strCache>
                <c:ptCount val="1"/>
                <c:pt idx="0">
                  <c:v>EHV Network</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Dashboard'!$AN$2,'NARM7 - Dashboard'!$AR$2)</c:f>
              <c:strCache>
                <c:ptCount val="2"/>
                <c:pt idx="0">
                  <c:v>BASELINE NETWORK RISK OUTPUT</c:v>
                </c:pt>
                <c:pt idx="1">
                  <c:v>NETWORK RISK OUTPUT TO DATE</c:v>
                </c:pt>
              </c:strCache>
            </c:strRef>
          </c:cat>
          <c:val>
            <c:numRef>
              <c:f>('NARM7 - Dashboard'!$AQ$7,'NARM7 - Dashboard'!$AU$7)</c:f>
              <c:numCache>
                <c:formatCode>#,##0_);[Red]\(#,##0\);\-</c:formatCode>
                <c:ptCount val="2"/>
                <c:pt idx="0">
                  <c:v>0</c:v>
                </c:pt>
                <c:pt idx="1">
                  <c:v>0</c:v>
                </c:pt>
              </c:numCache>
            </c:numRef>
          </c:val>
          <c:extLst>
            <c:ext xmlns:c16="http://schemas.microsoft.com/office/drawing/2014/chart" uri="{C3380CC4-5D6E-409C-BE32-E72D297353CC}">
              <c16:uniqueId val="{00000002-F1B4-4561-8626-AC88FC88815C}"/>
            </c:ext>
          </c:extLst>
        </c:ser>
        <c:ser>
          <c:idx val="3"/>
          <c:order val="3"/>
          <c:tx>
            <c:strRef>
              <c:f>'NARM7 - Dashboard'!$AM$8</c:f>
              <c:strCache>
                <c:ptCount val="1"/>
                <c:pt idx="0">
                  <c:v>132kV Network</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('NARM7 - Dashboard'!$AQ$8,'NARM7 - Dashboard'!$AU$8)</c:f>
              <c:numCache>
                <c:formatCode>#,##0_);[Red]\(#,##0\);\-</c:formatCode>
                <c:ptCount val="2"/>
                <c:pt idx="0">
                  <c:v>0</c:v>
                </c:pt>
                <c:pt idx="1">
                  <c:v>0</c:v>
                </c:pt>
              </c:numCache>
            </c:numRef>
          </c:val>
          <c:extLst>
            <c:ext xmlns:c16="http://schemas.microsoft.com/office/drawing/2014/chart" uri="{C3380CC4-5D6E-409C-BE32-E72D297353CC}">
              <c16:uniqueId val="{00000003-F1B4-4561-8626-AC88FC88815C}"/>
            </c:ext>
          </c:extLst>
        </c:ser>
        <c:dLbls>
          <c:showLegendKey val="0"/>
          <c:showVal val="0"/>
          <c:showCatName val="0"/>
          <c:showSerName val="0"/>
          <c:showPercent val="0"/>
          <c:showBubbleSize val="0"/>
        </c:dLbls>
        <c:gapWidth val="75"/>
        <c:overlap val="100"/>
        <c:axId val="127472768"/>
        <c:axId val="127474304"/>
      </c:barChart>
      <c:catAx>
        <c:axId val="127472768"/>
        <c:scaling>
          <c:orientation val="minMax"/>
        </c:scaling>
        <c:delete val="0"/>
        <c:axPos val="b"/>
        <c:numFmt formatCode="General" sourceLinked="0"/>
        <c:majorTickMark val="none"/>
        <c:minorTickMark val="none"/>
        <c:tickLblPos val="nextTo"/>
        <c:crossAx val="127474304"/>
        <c:crosses val="autoZero"/>
        <c:auto val="1"/>
        <c:lblAlgn val="ctr"/>
        <c:lblOffset val="100"/>
        <c:noMultiLvlLbl val="0"/>
      </c:catAx>
      <c:valAx>
        <c:axId val="127474304"/>
        <c:scaling>
          <c:orientation val="minMax"/>
        </c:scaling>
        <c:delete val="0"/>
        <c:axPos val="l"/>
        <c:majorGridlines/>
        <c:numFmt formatCode="0%" sourceLinked="1"/>
        <c:majorTickMark val="none"/>
        <c:minorTickMark val="none"/>
        <c:tickLblPos val="nextTo"/>
        <c:spPr>
          <a:ln w="9525">
            <a:noFill/>
          </a:ln>
        </c:spPr>
        <c:crossAx val="127472768"/>
        <c:crosses val="autoZero"/>
        <c:crossBetween val="between"/>
      </c:valAx>
    </c:plotArea>
    <c:legend>
      <c:legendPos val="b"/>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Network Risk Output</a:t>
            </a:r>
            <a:r>
              <a:rPr lang="en-US"/>
              <a:t> by asset grouping</a:t>
            </a:r>
          </a:p>
        </c:rich>
      </c:tx>
      <c:overlay val="0"/>
    </c:title>
    <c:autoTitleDeleted val="0"/>
    <c:plotArea>
      <c:layout/>
      <c:barChart>
        <c:barDir val="col"/>
        <c:grouping val="percentStacked"/>
        <c:varyColors val="0"/>
        <c:ser>
          <c:idx val="0"/>
          <c:order val="0"/>
          <c:tx>
            <c:strRef>
              <c:f>'NARM7 - Dashboard'!$AM$17</c:f>
              <c:strCache>
                <c:ptCount val="1"/>
                <c:pt idx="0">
                  <c:v>Overhead Lines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Dashboard'!$AN$14,'NARM7 - Dashboard'!$AR$14)</c:f>
              <c:strCache>
                <c:ptCount val="2"/>
                <c:pt idx="0">
                  <c:v>BASELINE NETWORK RISK OUTPUT</c:v>
                </c:pt>
                <c:pt idx="1">
                  <c:v>NETWORK RISK OUTPUT TO DATE</c:v>
                </c:pt>
              </c:strCache>
            </c:strRef>
          </c:cat>
          <c:val>
            <c:numRef>
              <c:f>('NARM7 - Dashboard'!$AQ$17,'NARM7 - Dashboard'!$AU$17)</c:f>
              <c:numCache>
                <c:formatCode>#,##0_);[Red]\(#,##0\);\-</c:formatCode>
                <c:ptCount val="2"/>
                <c:pt idx="0">
                  <c:v>0</c:v>
                </c:pt>
                <c:pt idx="1">
                  <c:v>0</c:v>
                </c:pt>
              </c:numCache>
            </c:numRef>
          </c:val>
          <c:extLst>
            <c:ext xmlns:c16="http://schemas.microsoft.com/office/drawing/2014/chart" uri="{C3380CC4-5D6E-409C-BE32-E72D297353CC}">
              <c16:uniqueId val="{00000000-4694-487C-9190-1E98815A9B89}"/>
            </c:ext>
          </c:extLst>
        </c:ser>
        <c:ser>
          <c:idx val="1"/>
          <c:order val="1"/>
          <c:tx>
            <c:strRef>
              <c:f>'NARM7 - Dashboard'!$AM$18</c:f>
              <c:strCache>
                <c:ptCount val="1"/>
                <c:pt idx="0">
                  <c:v>Cables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Dashboard'!$AN$14,'NARM7 - Dashboard'!$AR$14)</c:f>
              <c:strCache>
                <c:ptCount val="2"/>
                <c:pt idx="0">
                  <c:v>BASELINE NETWORK RISK OUTPUT</c:v>
                </c:pt>
                <c:pt idx="1">
                  <c:v>NETWORK RISK OUTPUT TO DATE</c:v>
                </c:pt>
              </c:strCache>
            </c:strRef>
          </c:cat>
          <c:val>
            <c:numRef>
              <c:f>('NARM7 - Dashboard'!$AQ$18,'NARM7 - Dashboard'!$AU$18)</c:f>
              <c:numCache>
                <c:formatCode>#,##0_);[Red]\(#,##0\);\-</c:formatCode>
                <c:ptCount val="2"/>
                <c:pt idx="0">
                  <c:v>0</c:v>
                </c:pt>
                <c:pt idx="1">
                  <c:v>0</c:v>
                </c:pt>
              </c:numCache>
            </c:numRef>
          </c:val>
          <c:extLst>
            <c:ext xmlns:c16="http://schemas.microsoft.com/office/drawing/2014/chart" uri="{C3380CC4-5D6E-409C-BE32-E72D297353CC}">
              <c16:uniqueId val="{00000001-4694-487C-9190-1E98815A9B89}"/>
            </c:ext>
          </c:extLst>
        </c:ser>
        <c:ser>
          <c:idx val="2"/>
          <c:order val="2"/>
          <c:tx>
            <c:strRef>
              <c:f>'NARM7 - Dashboard'!$AM$19</c:f>
              <c:strCache>
                <c:ptCount val="1"/>
                <c:pt idx="0">
                  <c:v>Distribution Plant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Dashboard'!$AN$14,'NARM7 - Dashboard'!$AR$14)</c:f>
              <c:strCache>
                <c:ptCount val="2"/>
                <c:pt idx="0">
                  <c:v>BASELINE NETWORK RISK OUTPUT</c:v>
                </c:pt>
                <c:pt idx="1">
                  <c:v>NETWORK RISK OUTPUT TO DATE</c:v>
                </c:pt>
              </c:strCache>
            </c:strRef>
          </c:cat>
          <c:val>
            <c:numRef>
              <c:f>('NARM7 - Dashboard'!$AQ$19,'NARM7 - Dashboard'!$AU$19)</c:f>
              <c:numCache>
                <c:formatCode>#,##0_);[Red]\(#,##0\);\-</c:formatCode>
                <c:ptCount val="2"/>
                <c:pt idx="0">
                  <c:v>0</c:v>
                </c:pt>
                <c:pt idx="1">
                  <c:v>0</c:v>
                </c:pt>
              </c:numCache>
            </c:numRef>
          </c:val>
          <c:extLst>
            <c:ext xmlns:c16="http://schemas.microsoft.com/office/drawing/2014/chart" uri="{C3380CC4-5D6E-409C-BE32-E72D297353CC}">
              <c16:uniqueId val="{00000002-4694-487C-9190-1E98815A9B89}"/>
            </c:ext>
          </c:extLst>
        </c:ser>
        <c:ser>
          <c:idx val="3"/>
          <c:order val="3"/>
          <c:tx>
            <c:strRef>
              <c:f>'NARM7 - Dashboard'!$AM$20</c:f>
              <c:strCache>
                <c:ptCount val="1"/>
                <c:pt idx="0">
                  <c:v>Primary Plant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('NARM7 - Dashboard'!$AN$14,'NARM7 - Dashboard'!$AR$14)</c:f>
              <c:strCache>
                <c:ptCount val="2"/>
                <c:pt idx="0">
                  <c:v>BASELINE NETWORK RISK OUTPUT</c:v>
                </c:pt>
                <c:pt idx="1">
                  <c:v>NETWORK RISK OUTPUT TO DATE</c:v>
                </c:pt>
              </c:strCache>
            </c:strRef>
          </c:cat>
          <c:val>
            <c:numRef>
              <c:f>('NARM7 - Dashboard'!$AQ$20,'NARM7 - Dashboard'!$AU$20)</c:f>
              <c:numCache>
                <c:formatCode>#,##0_);[Red]\(#,##0\);\-</c:formatCode>
                <c:ptCount val="2"/>
                <c:pt idx="0">
                  <c:v>0</c:v>
                </c:pt>
                <c:pt idx="1">
                  <c:v>0</c:v>
                </c:pt>
              </c:numCache>
            </c:numRef>
          </c:val>
          <c:extLst>
            <c:ext xmlns:c16="http://schemas.microsoft.com/office/drawing/2014/chart" uri="{C3380CC4-5D6E-409C-BE32-E72D297353CC}">
              <c16:uniqueId val="{00000003-4694-487C-9190-1E98815A9B89}"/>
            </c:ext>
          </c:extLst>
        </c:ser>
        <c:dLbls>
          <c:showLegendKey val="0"/>
          <c:showVal val="0"/>
          <c:showCatName val="0"/>
          <c:showSerName val="0"/>
          <c:showPercent val="0"/>
          <c:showBubbleSize val="0"/>
        </c:dLbls>
        <c:gapWidth val="75"/>
        <c:overlap val="100"/>
        <c:axId val="127502976"/>
        <c:axId val="127521152"/>
      </c:barChart>
      <c:catAx>
        <c:axId val="127502976"/>
        <c:scaling>
          <c:orientation val="minMax"/>
        </c:scaling>
        <c:delete val="0"/>
        <c:axPos val="b"/>
        <c:numFmt formatCode="General" sourceLinked="0"/>
        <c:majorTickMark val="none"/>
        <c:minorTickMark val="none"/>
        <c:tickLblPos val="nextTo"/>
        <c:crossAx val="127521152"/>
        <c:crosses val="autoZero"/>
        <c:auto val="1"/>
        <c:lblAlgn val="ctr"/>
        <c:lblOffset val="100"/>
        <c:noMultiLvlLbl val="0"/>
      </c:catAx>
      <c:valAx>
        <c:axId val="127521152"/>
        <c:scaling>
          <c:orientation val="minMax"/>
        </c:scaling>
        <c:delete val="0"/>
        <c:axPos val="l"/>
        <c:majorGridlines/>
        <c:numFmt formatCode="0%" sourceLinked="1"/>
        <c:majorTickMark val="none"/>
        <c:minorTickMark val="none"/>
        <c:tickLblPos val="nextTo"/>
        <c:spPr>
          <a:ln w="9525">
            <a:noFill/>
          </a:ln>
        </c:spPr>
        <c:crossAx val="127502976"/>
        <c:crosses val="autoZero"/>
        <c:crossBetween val="between"/>
      </c:valAx>
    </c:plotArea>
    <c:legend>
      <c:legendPos val="b"/>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Analysis'!$AP$26</c:f>
          <c:strCache>
            <c:ptCount val="1"/>
            <c:pt idx="0">
              <c:v>LV poles - Long-term Monetised Risk (ED2)</c:v>
            </c:pt>
          </c:strCache>
        </c:strRef>
      </c:tx>
      <c:overlay val="0"/>
    </c:title>
    <c:autoTitleDeleted val="0"/>
    <c:plotArea>
      <c:layout/>
      <c:barChart>
        <c:barDir val="col"/>
        <c:grouping val="stacked"/>
        <c:varyColors val="0"/>
        <c:ser>
          <c:idx val="0"/>
          <c:order val="0"/>
          <c:tx>
            <c:strRef>
              <c:f>'NARM8 - Variance Analysis'!$AP$27</c:f>
              <c:strCache>
                <c:ptCount val="1"/>
                <c:pt idx="0">
                  <c:v>Blanks</c:v>
                </c:pt>
              </c:strCache>
            </c:strRef>
          </c:tx>
          <c:spPr>
            <a:noFill/>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Analysis'!$AP$28:$AP$39</c:f>
              <c:numCache>
                <c:formatCode>#,##0_);[Red]\(#,##0\);\-</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440-4548-865D-2689C34F6B23}"/>
            </c:ext>
          </c:extLst>
        </c:ser>
        <c:ser>
          <c:idx val="1"/>
          <c:order val="1"/>
          <c:tx>
            <c:strRef>
              <c:f>'NARM8 - Variance Analysis'!$AQ$27</c:f>
              <c:strCache>
                <c:ptCount val="1"/>
              </c:strCache>
            </c:strRef>
          </c:tx>
          <c:spPr>
            <a:solidFill>
              <a:schemeClr val="tx1"/>
            </a:solidFill>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Analysis'!$AQ$28:$AQ$39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440-4548-865D-2689C34F6B23}"/>
            </c:ext>
          </c:extLst>
        </c:ser>
        <c:ser>
          <c:idx val="2"/>
          <c:order val="2"/>
          <c:tx>
            <c:strRef>
              <c:f>'NARM8 - Variance Analysis'!$AR$27</c:f>
              <c:strCache>
                <c:ptCount val="1"/>
                <c:pt idx="0">
                  <c:v>Risk Increases</c:v>
                </c:pt>
              </c:strCache>
            </c:strRef>
          </c:tx>
          <c:spPr>
            <a:solidFill>
              <a:srgbClr val="FF0000"/>
            </a:solidFill>
            <a:ln>
              <a:solidFill>
                <a:schemeClr val="tx1"/>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Analysis'!$AR$28:$AR$39</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440-4548-865D-2689C34F6B23}"/>
            </c:ext>
          </c:extLst>
        </c:ser>
        <c:ser>
          <c:idx val="4"/>
          <c:order val="3"/>
          <c:tx>
            <c:strRef>
              <c:f>'NARM8 - Variance Analysis'!$AS$27</c:f>
              <c:strCache>
                <c:ptCount val="1"/>
                <c:pt idx="0">
                  <c:v>Risk Decreases</c:v>
                </c:pt>
              </c:strCache>
            </c:strRef>
          </c:tx>
          <c:spPr>
            <a:solidFill>
              <a:srgbClr val="00B050"/>
            </a:solidFill>
            <a:ln>
              <a:solidFill>
                <a:schemeClr val="tx1"/>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Analysis'!$AS$28:$AS$39</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E440-4548-865D-2689C34F6B23}"/>
            </c:ext>
          </c:extLst>
        </c:ser>
        <c:dLbls>
          <c:showLegendKey val="0"/>
          <c:showVal val="0"/>
          <c:showCatName val="0"/>
          <c:showSerName val="0"/>
          <c:showPercent val="0"/>
          <c:showBubbleSize val="0"/>
        </c:dLbls>
        <c:gapWidth val="0"/>
        <c:overlap val="100"/>
        <c:axId val="126903424"/>
        <c:axId val="126904960"/>
      </c:barChart>
      <c:catAx>
        <c:axId val="126903424"/>
        <c:scaling>
          <c:orientation val="minMax"/>
        </c:scaling>
        <c:delete val="0"/>
        <c:axPos val="b"/>
        <c:majorGridlines/>
        <c:numFmt formatCode="General" sourceLinked="0"/>
        <c:majorTickMark val="none"/>
        <c:minorTickMark val="none"/>
        <c:tickLblPos val="nextTo"/>
        <c:spPr>
          <a:ln>
            <a:solidFill>
              <a:schemeClr val="bg1">
                <a:lumMod val="50000"/>
              </a:schemeClr>
            </a:solidFill>
          </a:ln>
        </c:spPr>
        <c:txPr>
          <a:bodyPr/>
          <a:lstStyle/>
          <a:p>
            <a:pPr>
              <a:defRPr b="1"/>
            </a:pPr>
            <a:endParaRPr lang="en-US"/>
          </a:p>
        </c:txPr>
        <c:crossAx val="126904960"/>
        <c:crosses val="autoZero"/>
        <c:auto val="1"/>
        <c:lblAlgn val="ctr"/>
        <c:lblOffset val="100"/>
        <c:noMultiLvlLbl val="0"/>
      </c:catAx>
      <c:valAx>
        <c:axId val="126904960"/>
        <c:scaling>
          <c:orientation val="minMax"/>
        </c:scaling>
        <c:delete val="0"/>
        <c:axPos val="l"/>
        <c:majorGridlines/>
        <c:numFmt formatCode="#,##0_);[Red]\(#,##0\);\-" sourceLinked="1"/>
        <c:majorTickMark val="out"/>
        <c:minorTickMark val="none"/>
        <c:tickLblPos val="nextTo"/>
        <c:crossAx val="126903424"/>
        <c:crosses val="autoZero"/>
        <c:crossBetween val="between"/>
      </c:valAx>
      <c:spPr>
        <a:ln>
          <a:solidFill>
            <a:schemeClr val="bg1">
              <a:lumMod val="50000"/>
            </a:schemeClr>
          </a:solidFill>
        </a:ln>
      </c:spPr>
    </c:plotArea>
    <c:legend>
      <c:legendPos val="r"/>
      <c:layout>
        <c:manualLayout>
          <c:xMode val="edge"/>
          <c:yMode val="edge"/>
          <c:x val="0.81738298611111115"/>
          <c:y val="0.89440678770309012"/>
          <c:w val="0.16938784722222222"/>
          <c:h val="7.9091531080681399E-2"/>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Analysis'!$AU$26</c:f>
          <c:strCache>
            <c:ptCount val="1"/>
            <c:pt idx="0">
              <c:v>LV poles - Long-term Monetised Risk (2025)</c:v>
            </c:pt>
          </c:strCache>
        </c:strRef>
      </c:tx>
      <c:layout>
        <c:manualLayout>
          <c:xMode val="edge"/>
          <c:yMode val="edge"/>
          <c:x val="0.15081819272396774"/>
          <c:y val="2.1181463431835478E-2"/>
        </c:manualLayout>
      </c:layout>
      <c:overlay val="0"/>
    </c:title>
    <c:autoTitleDeleted val="0"/>
    <c:plotArea>
      <c:layout/>
      <c:barChart>
        <c:barDir val="col"/>
        <c:grouping val="stacked"/>
        <c:varyColors val="0"/>
        <c:ser>
          <c:idx val="0"/>
          <c:order val="0"/>
          <c:tx>
            <c:strRef>
              <c:f>'NARM8 - Variance Analysis'!$AU$27</c:f>
              <c:strCache>
                <c:ptCount val="1"/>
                <c:pt idx="0">
                  <c:v>Blanks</c:v>
                </c:pt>
              </c:strCache>
            </c:strRef>
          </c:tx>
          <c:spPr>
            <a:noFill/>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Analysis'!$AU$28:$AU$39</c:f>
              <c:numCache>
                <c:formatCode>#,##0_);[Red]\(#,##0\);\-</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6B2-4318-839C-643AE256D24B}"/>
            </c:ext>
          </c:extLst>
        </c:ser>
        <c:ser>
          <c:idx val="1"/>
          <c:order val="1"/>
          <c:tx>
            <c:strRef>
              <c:f>'NARM8 - Variance Analysis'!$AV$27</c:f>
              <c:strCache>
                <c:ptCount val="1"/>
              </c:strCache>
            </c:strRef>
          </c:tx>
          <c:spPr>
            <a:solidFill>
              <a:schemeClr val="tx1"/>
            </a:solidFill>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Analysis'!$AV$28:$AV$39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6B2-4318-839C-643AE256D24B}"/>
            </c:ext>
          </c:extLst>
        </c:ser>
        <c:ser>
          <c:idx val="2"/>
          <c:order val="2"/>
          <c:tx>
            <c:strRef>
              <c:f>'NARM8 - Variance Analysis'!$AW$27</c:f>
              <c:strCache>
                <c:ptCount val="1"/>
                <c:pt idx="0">
                  <c:v>Risk Increases</c:v>
                </c:pt>
              </c:strCache>
            </c:strRef>
          </c:tx>
          <c:spPr>
            <a:solidFill>
              <a:srgbClr val="FF000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Analysis'!$AW$28:$AW$39</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46B2-4318-839C-643AE256D24B}"/>
            </c:ext>
          </c:extLst>
        </c:ser>
        <c:ser>
          <c:idx val="4"/>
          <c:order val="3"/>
          <c:tx>
            <c:strRef>
              <c:f>'NARM8 - Variance Analysis'!$AX$27</c:f>
              <c:strCache>
                <c:ptCount val="1"/>
                <c:pt idx="0">
                  <c:v>Risk Decreases</c:v>
                </c:pt>
              </c:strCache>
            </c:strRef>
          </c:tx>
          <c:spPr>
            <a:solidFill>
              <a:srgbClr val="00B05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Analysis'!$AX$28:$AX$39</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46B2-4318-839C-643AE256D24B}"/>
            </c:ext>
          </c:extLst>
        </c:ser>
        <c:dLbls>
          <c:showLegendKey val="0"/>
          <c:showVal val="0"/>
          <c:showCatName val="0"/>
          <c:showSerName val="0"/>
          <c:showPercent val="0"/>
          <c:showBubbleSize val="0"/>
        </c:dLbls>
        <c:gapWidth val="0"/>
        <c:overlap val="100"/>
        <c:axId val="126934016"/>
        <c:axId val="126948096"/>
      </c:barChart>
      <c:catAx>
        <c:axId val="126934016"/>
        <c:scaling>
          <c:orientation val="minMax"/>
        </c:scaling>
        <c:delete val="0"/>
        <c:axPos val="b"/>
        <c:majorGridlines/>
        <c:numFmt formatCode="General" sourceLinked="0"/>
        <c:majorTickMark val="none"/>
        <c:minorTickMark val="none"/>
        <c:tickLblPos val="nextTo"/>
        <c:txPr>
          <a:bodyPr/>
          <a:lstStyle/>
          <a:p>
            <a:pPr>
              <a:defRPr b="1"/>
            </a:pPr>
            <a:endParaRPr lang="en-US"/>
          </a:p>
        </c:txPr>
        <c:crossAx val="126948096"/>
        <c:crosses val="autoZero"/>
        <c:auto val="1"/>
        <c:lblAlgn val="ctr"/>
        <c:lblOffset val="100"/>
        <c:noMultiLvlLbl val="0"/>
      </c:catAx>
      <c:valAx>
        <c:axId val="126948096"/>
        <c:scaling>
          <c:orientation val="minMax"/>
        </c:scaling>
        <c:delete val="0"/>
        <c:axPos val="l"/>
        <c:majorGridlines/>
        <c:numFmt formatCode="#,##0_);[Red]\(#,##0\);\-" sourceLinked="1"/>
        <c:majorTickMark val="out"/>
        <c:minorTickMark val="none"/>
        <c:tickLblPos val="nextTo"/>
        <c:crossAx val="126934016"/>
        <c:crosses val="autoZero"/>
        <c:crossBetween val="between"/>
      </c:valAx>
      <c:spPr>
        <a:ln>
          <a:solidFill>
            <a:schemeClr val="bg1">
              <a:lumMod val="50000"/>
            </a:schemeClr>
          </a:solidFill>
        </a:ln>
      </c:spPr>
    </c:plotArea>
    <c:legend>
      <c:legendPos val="r"/>
      <c:layout>
        <c:manualLayout>
          <c:xMode val="edge"/>
          <c:yMode val="edge"/>
          <c:x val="0.81738298611111115"/>
          <c:y val="0.88685904627335588"/>
          <c:w val="0.16938784722222222"/>
          <c:h val="7.3789538247605535E-2"/>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Analysis'!$AP$42</c:f>
          <c:strCache>
            <c:ptCount val="1"/>
            <c:pt idx="0">
              <c:v>LV poles - movement in risk (ED2)</c:v>
            </c:pt>
          </c:strCache>
        </c:strRef>
      </c:tx>
      <c:layout>
        <c:manualLayout>
          <c:xMode val="edge"/>
          <c:yMode val="edge"/>
          <c:x val="0.15580515596027733"/>
          <c:y val="1.8175191674331095E-2"/>
        </c:manualLayout>
      </c:layout>
      <c:overlay val="0"/>
    </c:title>
    <c:autoTitleDeleted val="0"/>
    <c:plotArea>
      <c:layout/>
      <c:barChart>
        <c:barDir val="col"/>
        <c:grouping val="stacked"/>
        <c:varyColors val="0"/>
        <c:ser>
          <c:idx val="2"/>
          <c:order val="0"/>
          <c:tx>
            <c:strRef>
              <c:f>'NARM8 - Variance Analysis'!$AW$27</c:f>
              <c:strCache>
                <c:ptCount val="1"/>
                <c:pt idx="0">
                  <c:v>Risk Increases</c:v>
                </c:pt>
              </c:strCache>
            </c:strRef>
          </c:tx>
          <c:spPr>
            <a:solidFill>
              <a:srgbClr val="FF0000"/>
            </a:solidFill>
            <a:ln>
              <a:solidFill>
                <a:sysClr val="windowText" lastClr="000000"/>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Analysis'!$AP$45:$AP$56</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803-4B4A-9009-B5B466EF821F}"/>
            </c:ext>
          </c:extLst>
        </c:ser>
        <c:ser>
          <c:idx val="4"/>
          <c:order val="1"/>
          <c:tx>
            <c:strRef>
              <c:f>'NARM8 - Variance Analysis'!$AX$27</c:f>
              <c:strCache>
                <c:ptCount val="1"/>
                <c:pt idx="0">
                  <c:v>Risk Decreases</c:v>
                </c:pt>
              </c:strCache>
            </c:strRef>
          </c:tx>
          <c:spPr>
            <a:solidFill>
              <a:srgbClr val="00B050"/>
            </a:solidFill>
            <a:ln>
              <a:solidFill>
                <a:schemeClr val="tx1"/>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Analysis'!$AQ$45:$AQ$56</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A803-4B4A-9009-B5B466EF821F}"/>
            </c:ext>
          </c:extLst>
        </c:ser>
        <c:dLbls>
          <c:showLegendKey val="0"/>
          <c:showVal val="0"/>
          <c:showCatName val="0"/>
          <c:showSerName val="0"/>
          <c:showPercent val="0"/>
          <c:showBubbleSize val="0"/>
        </c:dLbls>
        <c:gapWidth val="0"/>
        <c:overlap val="100"/>
        <c:axId val="126990976"/>
        <c:axId val="126992768"/>
      </c:barChart>
      <c:catAx>
        <c:axId val="126990976"/>
        <c:scaling>
          <c:orientation val="minMax"/>
        </c:scaling>
        <c:delete val="0"/>
        <c:axPos val="t"/>
        <c:majorGridlines/>
        <c:numFmt formatCode="General" sourceLinked="0"/>
        <c:majorTickMark val="none"/>
        <c:minorTickMark val="none"/>
        <c:tickLblPos val="low"/>
        <c:txPr>
          <a:bodyPr/>
          <a:lstStyle/>
          <a:p>
            <a:pPr>
              <a:defRPr b="1"/>
            </a:pPr>
            <a:endParaRPr lang="en-US"/>
          </a:p>
        </c:txPr>
        <c:crossAx val="126992768"/>
        <c:crosses val="max"/>
        <c:auto val="1"/>
        <c:lblAlgn val="ctr"/>
        <c:lblOffset val="100"/>
        <c:noMultiLvlLbl val="0"/>
      </c:catAx>
      <c:valAx>
        <c:axId val="126992768"/>
        <c:scaling>
          <c:orientation val="minMax"/>
        </c:scaling>
        <c:delete val="0"/>
        <c:axPos val="l"/>
        <c:majorGridlines/>
        <c:numFmt formatCode="#,##0_);[Red]\(#,##0\);\-" sourceLinked="1"/>
        <c:majorTickMark val="out"/>
        <c:minorTickMark val="none"/>
        <c:tickLblPos val="nextTo"/>
        <c:crossAx val="126990976"/>
        <c:crosses val="autoZero"/>
        <c:crossBetween val="between"/>
      </c:valAx>
      <c:spPr>
        <a:ln>
          <a:solidFill>
            <a:schemeClr val="bg1">
              <a:lumMod val="50000"/>
            </a:schemeClr>
          </a:solidFill>
        </a:ln>
      </c:spPr>
    </c:plotArea>
    <c:legend>
      <c:legendPos val="r"/>
      <c:layout>
        <c:manualLayout>
          <c:xMode val="edge"/>
          <c:yMode val="edge"/>
          <c:x val="0.81738298611111115"/>
          <c:y val="0.86968773409125943"/>
          <c:w val="0.16938784722222222"/>
          <c:h val="0.11291843255627225"/>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Analysis'!$AP$42</c:f>
          <c:strCache>
            <c:ptCount val="1"/>
            <c:pt idx="0">
              <c:v>LV poles - movement in risk (ED2)</c:v>
            </c:pt>
          </c:strCache>
        </c:strRef>
      </c:tx>
      <c:overlay val="0"/>
    </c:title>
    <c:autoTitleDeleted val="0"/>
    <c:plotArea>
      <c:layout/>
      <c:barChart>
        <c:barDir val="col"/>
        <c:grouping val="stacked"/>
        <c:varyColors val="0"/>
        <c:ser>
          <c:idx val="2"/>
          <c:order val="0"/>
          <c:tx>
            <c:strRef>
              <c:f>'NARM8 - Variance Analysis'!$AW$27</c:f>
              <c:strCache>
                <c:ptCount val="1"/>
                <c:pt idx="0">
                  <c:v>Risk Increases</c:v>
                </c:pt>
              </c:strCache>
            </c:strRef>
          </c:tx>
          <c:spPr>
            <a:solidFill>
              <a:srgbClr val="FF0000"/>
            </a:solidFill>
            <a:ln>
              <a:solidFill>
                <a:schemeClr val="tx1"/>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Analysis'!$AR$45:$AR$56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2F-4756-97BA-6FAB7B9B432E}"/>
            </c:ext>
          </c:extLst>
        </c:ser>
        <c:ser>
          <c:idx val="4"/>
          <c:order val="1"/>
          <c:tx>
            <c:strRef>
              <c:f>'NARM8 - Variance Analysis'!$AX$27</c:f>
              <c:strCache>
                <c:ptCount val="1"/>
                <c:pt idx="0">
                  <c:v>Risk Decreases</c:v>
                </c:pt>
              </c:strCache>
            </c:strRef>
          </c:tx>
          <c:spPr>
            <a:solidFill>
              <a:srgbClr val="00B050"/>
            </a:solidFill>
            <a:ln>
              <a:solidFill>
                <a:schemeClr val="tx1"/>
              </a:solidFill>
            </a:ln>
          </c:spPr>
          <c:invertIfNegative val="0"/>
          <c:cat>
            <c:strRef>
              <c:f>'NARM8 - Variance Analysis'!$AO$28:$AO$39</c:f>
              <c:strCache>
                <c:ptCount val="12"/>
                <c:pt idx="0">
                  <c:v>Start of period</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period</c:v>
                </c:pt>
              </c:strCache>
            </c:strRef>
          </c:cat>
          <c:val>
            <c:numRef>
              <c:f>'NARM8 - Variance Analysis'!$AS$45:$AS$56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52F-4756-97BA-6FAB7B9B432E}"/>
            </c:ext>
          </c:extLst>
        </c:ser>
        <c:dLbls>
          <c:showLegendKey val="0"/>
          <c:showVal val="0"/>
          <c:showCatName val="0"/>
          <c:showSerName val="0"/>
          <c:showPercent val="0"/>
          <c:showBubbleSize val="0"/>
        </c:dLbls>
        <c:gapWidth val="0"/>
        <c:overlap val="100"/>
        <c:axId val="121714176"/>
        <c:axId val="121715712"/>
      </c:barChart>
      <c:catAx>
        <c:axId val="121714176"/>
        <c:scaling>
          <c:orientation val="minMax"/>
        </c:scaling>
        <c:delete val="0"/>
        <c:axPos val="t"/>
        <c:majorGridlines/>
        <c:numFmt formatCode="General" sourceLinked="0"/>
        <c:majorTickMark val="none"/>
        <c:minorTickMark val="none"/>
        <c:tickLblPos val="low"/>
        <c:txPr>
          <a:bodyPr rot="-2700000" vert="horz"/>
          <a:lstStyle/>
          <a:p>
            <a:pPr>
              <a:defRPr b="1"/>
            </a:pPr>
            <a:endParaRPr lang="en-US"/>
          </a:p>
        </c:txPr>
        <c:crossAx val="121715712"/>
        <c:crosses val="max"/>
        <c:auto val="1"/>
        <c:lblAlgn val="ctr"/>
        <c:lblOffset val="100"/>
        <c:noMultiLvlLbl val="0"/>
      </c:catAx>
      <c:valAx>
        <c:axId val="121715712"/>
        <c:scaling>
          <c:orientation val="minMax"/>
        </c:scaling>
        <c:delete val="0"/>
        <c:axPos val="l"/>
        <c:majorGridlines>
          <c:spPr>
            <a:ln>
              <a:solidFill>
                <a:schemeClr val="bg1">
                  <a:lumMod val="50000"/>
                </a:schemeClr>
              </a:solidFill>
            </a:ln>
          </c:spPr>
        </c:majorGridlines>
        <c:numFmt formatCode="0.0%" sourceLinked="1"/>
        <c:majorTickMark val="out"/>
        <c:minorTickMark val="none"/>
        <c:tickLblPos val="nextTo"/>
        <c:crossAx val="121714176"/>
        <c:crosses val="autoZero"/>
        <c:crossBetween val="between"/>
      </c:valAx>
      <c:spPr>
        <a:ln>
          <a:solidFill>
            <a:schemeClr val="bg1">
              <a:lumMod val="50000"/>
            </a:schemeClr>
          </a:solidFill>
        </a:ln>
      </c:spPr>
    </c:plotArea>
    <c:legend>
      <c:legendPos val="r"/>
      <c:layout>
        <c:manualLayout>
          <c:xMode val="edge"/>
          <c:yMode val="edge"/>
          <c:x val="0.81738298611111115"/>
          <c:y val="0.87280997524087356"/>
          <c:w val="0.16938784722222222"/>
          <c:h val="0.11291843255627225"/>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'NARM8 - Variance Analysis'!$AT$42</c:f>
          <c:strCache>
            <c:ptCount val="1"/>
            <c:pt idx="0">
              <c:v>LV poles - movement in risk (2025)</c:v>
            </c:pt>
          </c:strCache>
        </c:strRef>
      </c:tx>
      <c:overlay val="0"/>
    </c:title>
    <c:autoTitleDeleted val="0"/>
    <c:plotArea>
      <c:layout/>
      <c:barChart>
        <c:barDir val="col"/>
        <c:grouping val="stacked"/>
        <c:varyColors val="0"/>
        <c:ser>
          <c:idx val="2"/>
          <c:order val="0"/>
          <c:tx>
            <c:strRef>
              <c:f>'NARM8 - Variance Analysis'!$AW$27</c:f>
              <c:strCache>
                <c:ptCount val="1"/>
                <c:pt idx="0">
                  <c:v>Risk Increases</c:v>
                </c:pt>
              </c:strCache>
            </c:strRef>
          </c:tx>
          <c:spPr>
            <a:solidFill>
              <a:srgbClr val="FF000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Analysis'!$AT$45:$AT$56</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8A6-4709-99C8-2F0281722E7E}"/>
            </c:ext>
          </c:extLst>
        </c:ser>
        <c:ser>
          <c:idx val="4"/>
          <c:order val="1"/>
          <c:tx>
            <c:strRef>
              <c:f>'NARM8 - Variance Analysis'!$AX$27</c:f>
              <c:strCache>
                <c:ptCount val="1"/>
                <c:pt idx="0">
                  <c:v>Risk Decreases</c:v>
                </c:pt>
              </c:strCache>
            </c:strRef>
          </c:tx>
          <c:spPr>
            <a:solidFill>
              <a:srgbClr val="00B050"/>
            </a:solidFill>
            <a:ln>
              <a:solidFill>
                <a:schemeClr val="tx1"/>
              </a:solidFill>
            </a:ln>
          </c:spPr>
          <c:invertIfNegative val="0"/>
          <c:cat>
            <c:strRef>
              <c:f>'NARM8 - Variance Analysis'!$AO$45:$AO$56</c:f>
              <c:strCache>
                <c:ptCount val="12"/>
                <c:pt idx="0">
                  <c:v>Start of year</c:v>
                </c:pt>
                <c:pt idx="1">
                  <c:v>Data cleanse</c:v>
                </c:pt>
                <c:pt idx="2">
                  <c:v>Deterioration</c:v>
                </c:pt>
                <c:pt idx="3">
                  <c:v>Other Non-Intervention Risk Changes</c:v>
                </c:pt>
                <c:pt idx="4">
                  <c:v>Asset Replacement</c:v>
                </c:pt>
                <c:pt idx="5">
                  <c:v>Refurbishment</c:v>
                </c:pt>
                <c:pt idx="6">
                  <c:v>General Reinforcement</c:v>
                </c:pt>
                <c:pt idx="7">
                  <c:v>Fault activity</c:v>
                </c:pt>
                <c:pt idx="8">
                  <c:v>HVP (Replacement &amp; Refurb)</c:v>
                </c:pt>
                <c:pt idx="9">
                  <c:v>HVP (Other)</c:v>
                </c:pt>
                <c:pt idx="10">
                  <c:v>"All other" activity</c:v>
                </c:pt>
                <c:pt idx="11">
                  <c:v>End of year</c:v>
                </c:pt>
              </c:strCache>
            </c:strRef>
          </c:cat>
          <c:val>
            <c:numRef>
              <c:f>'NARM8 - Variance Analysis'!$AU$45:$AU$56</c:f>
              <c:numCache>
                <c:formatCode>#,##0_);[Red]\(#,##0\);\-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8A6-4709-99C8-2F0281722E7E}"/>
            </c:ext>
          </c:extLst>
        </c:ser>
        <c:dLbls>
          <c:showLegendKey val="0"/>
          <c:showVal val="0"/>
          <c:showCatName val="0"/>
          <c:showSerName val="0"/>
          <c:showPercent val="0"/>
          <c:showBubbleSize val="0"/>
        </c:dLbls>
        <c:gapWidth val="0"/>
        <c:overlap val="100"/>
        <c:axId val="121766272"/>
        <c:axId val="121767808"/>
      </c:barChart>
      <c:catAx>
        <c:axId val="121766272"/>
        <c:scaling>
          <c:orientation val="minMax"/>
        </c:scaling>
        <c:delete val="0"/>
        <c:axPos val="t"/>
        <c:majorGridlines/>
        <c:numFmt formatCode="General" sourceLinked="0"/>
        <c:majorTickMark val="none"/>
        <c:minorTickMark val="none"/>
        <c:tickLblPos val="low"/>
        <c:txPr>
          <a:bodyPr/>
          <a:lstStyle/>
          <a:p>
            <a:pPr>
              <a:defRPr b="1"/>
            </a:pPr>
            <a:endParaRPr lang="en-US"/>
          </a:p>
        </c:txPr>
        <c:crossAx val="121767808"/>
        <c:crosses val="max"/>
        <c:auto val="1"/>
        <c:lblAlgn val="ctr"/>
        <c:lblOffset val="100"/>
        <c:noMultiLvlLbl val="0"/>
      </c:catAx>
      <c:valAx>
        <c:axId val="121767808"/>
        <c:scaling>
          <c:orientation val="minMax"/>
        </c:scaling>
        <c:delete val="0"/>
        <c:axPos val="l"/>
        <c:majorGridlines/>
        <c:numFmt formatCode="#,##0_);[Red]\(#,##0\);\-" sourceLinked="1"/>
        <c:majorTickMark val="out"/>
        <c:minorTickMark val="none"/>
        <c:tickLblPos val="nextTo"/>
        <c:crossAx val="121766272"/>
        <c:crosses val="autoZero"/>
        <c:crossBetween val="between"/>
      </c:valAx>
      <c:spPr>
        <a:ln>
          <a:solidFill>
            <a:schemeClr val="bg1">
              <a:lumMod val="50000"/>
            </a:schemeClr>
          </a:solidFill>
        </a:ln>
      </c:spPr>
    </c:plotArea>
    <c:legend>
      <c:legendPos val="r"/>
      <c:layout>
        <c:manualLayout>
          <c:xMode val="edge"/>
          <c:yMode val="edge"/>
          <c:x val="0.81698995933976259"/>
          <c:y val="0.85549490653662175"/>
          <c:w val="0.16975240229451097"/>
          <c:h val="0.11437936247723586"/>
        </c:manualLayout>
      </c:layout>
      <c:overlay val="1"/>
      <c:spPr>
        <a:ln>
          <a:solidFill>
            <a:schemeClr val="tx1"/>
          </a:solidFill>
        </a:ln>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Drop" dropLines="100" dropStyle="combo" dx="22" fmlaLink="$AN$26" fmlaRange="$C$64:$C$129" noThreeD="1" sel="1" val="0"/>
</file>

<file path=xl/ctrlProps/ctrlProp2.xml><?xml version="1.0" encoding="utf-8"?>
<formControlPr xmlns="http://schemas.microsoft.com/office/spreadsheetml/2009/9/main" objectType="Spin" dx="16" fmlaLink="$AN$26" max="66" min="1" page="10"/>
</file>

<file path=xl/ctrlProps/ctrlProp3.xml><?xml version="1.0" encoding="utf-8"?>
<formControlPr xmlns="http://schemas.microsoft.com/office/spreadsheetml/2009/9/main" objectType="Drop" dropLines="5" dropStyle="combo" dx="22" fmlaLink="$AY$8" fmlaRange="$AY$9:$AY$13" noThreeD="1" sel="2" val="0"/>
</file>

<file path=xl/ctrlProps/ctrlProp4.xml><?xml version="1.0" encoding="utf-8"?>
<formControlPr xmlns="http://schemas.microsoft.com/office/spreadsheetml/2009/9/main" objectType="Spin" dx="16" fmlaLink="$AY$8" max="5" min="1" page="10" val="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744505</xdr:colOff>
      <xdr:row>0</xdr:row>
      <xdr:rowOff>797719</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26694" cy="797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666752</xdr:colOff>
      <xdr:row>22</xdr:row>
      <xdr:rowOff>153989</xdr:rowOff>
    </xdr:from>
    <xdr:to>
      <xdr:col>42</xdr:col>
      <xdr:colOff>197759</xdr:colOff>
      <xdr:row>43</xdr:row>
      <xdr:rowOff>19504</xdr:rowOff>
    </xdr:to>
    <xdr:graphicFrame macro="">
      <xdr:nvGraphicFramePr>
        <xdr:cNvPr id="2" name="Chart 1" descr="Network Risk Output To Date">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680356</xdr:colOff>
      <xdr:row>43</xdr:row>
      <xdr:rowOff>131989</xdr:rowOff>
    </xdr:from>
    <xdr:to>
      <xdr:col>42</xdr:col>
      <xdr:colOff>217714</xdr:colOff>
      <xdr:row>64</xdr:row>
      <xdr:rowOff>13608</xdr:rowOff>
    </xdr:to>
    <xdr:graphicFrame macro="">
      <xdr:nvGraphicFramePr>
        <xdr:cNvPr id="3" name="Chart 2" descr="Network Risk Output By Work Type">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312962</xdr:colOff>
      <xdr:row>43</xdr:row>
      <xdr:rowOff>131989</xdr:rowOff>
    </xdr:from>
    <xdr:to>
      <xdr:col>46</xdr:col>
      <xdr:colOff>870857</xdr:colOff>
      <xdr:row>64</xdr:row>
      <xdr:rowOff>13608</xdr:rowOff>
    </xdr:to>
    <xdr:graphicFrame macro="">
      <xdr:nvGraphicFramePr>
        <xdr:cNvPr id="4" name="Chart 3" descr="Network Risk Output By Voltage">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312962</xdr:colOff>
      <xdr:row>23</xdr:row>
      <xdr:rowOff>10762</xdr:rowOff>
    </xdr:from>
    <xdr:to>
      <xdr:col>46</xdr:col>
      <xdr:colOff>870857</xdr:colOff>
      <xdr:row>43</xdr:row>
      <xdr:rowOff>65563</xdr:rowOff>
    </xdr:to>
    <xdr:graphicFrame macro="">
      <xdr:nvGraphicFramePr>
        <xdr:cNvPr id="5" name="Chart 4" descr="Network Risk Output By Asset Grouping">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139784</xdr:colOff>
      <xdr:row>6</xdr:row>
      <xdr:rowOff>17131</xdr:rowOff>
    </xdr:from>
    <xdr:to>
      <xdr:col>12</xdr:col>
      <xdr:colOff>762000</xdr:colOff>
      <xdr:row>29</xdr:row>
      <xdr:rowOff>32267</xdr:rowOff>
    </xdr:to>
    <xdr:graphicFrame macro="">
      <xdr:nvGraphicFramePr>
        <xdr:cNvPr id="2" name="Chart 1" descr="LV Poles - Long Term Monetised Risk Risk (ED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139784</xdr:colOff>
      <xdr:row>29</xdr:row>
      <xdr:rowOff>9707</xdr:rowOff>
    </xdr:from>
    <xdr:to>
      <xdr:col>12</xdr:col>
      <xdr:colOff>762000</xdr:colOff>
      <xdr:row>52</xdr:row>
      <xdr:rowOff>24844</xdr:rowOff>
    </xdr:to>
    <xdr:graphicFrame macro="">
      <xdr:nvGraphicFramePr>
        <xdr:cNvPr id="10" name="Chart 2" descr="LV Poles - Long Term Monetised Risk (2025)">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88900</xdr:colOff>
          <xdr:row>2</xdr:row>
          <xdr:rowOff>152400</xdr:rowOff>
        </xdr:from>
        <xdr:to>
          <xdr:col>2</xdr:col>
          <xdr:colOff>2203450</xdr:colOff>
          <xdr:row>4</xdr:row>
          <xdr:rowOff>266700</xdr:rowOff>
        </xdr:to>
        <xdr:sp macro="" textlink="">
          <xdr:nvSpPr>
            <xdr:cNvPr id="5121" name="Drop Down 1" descr="Drop down for select asset category"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xdr:row>
          <xdr:rowOff>146050</xdr:rowOff>
        </xdr:from>
        <xdr:to>
          <xdr:col>3</xdr:col>
          <xdr:colOff>755650</xdr:colOff>
          <xdr:row>4</xdr:row>
          <xdr:rowOff>241300</xdr:rowOff>
        </xdr:to>
        <xdr:sp macro="" textlink="">
          <xdr:nvSpPr>
            <xdr:cNvPr id="5122" name="Spinner 2" descr="Control for dropdown, selecting asset category" hidden="1">
              <a:extLst>
                <a:ext uri="{63B3BB69-23CF-44E3-9099-C40C66FF867C}">
                  <a14:compatExt spid="_x0000_s5122"/>
                </a:ext>
                <a:ext uri="{FF2B5EF4-FFF2-40B4-BE49-F238E27FC236}">
                  <a16:creationId xmlns:a16="http://schemas.microsoft.com/office/drawing/2014/main" id="{00000000-0008-0000-08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687471</xdr:colOff>
      <xdr:row>6</xdr:row>
      <xdr:rowOff>17131</xdr:rowOff>
    </xdr:from>
    <xdr:to>
      <xdr:col>6</xdr:col>
      <xdr:colOff>109016</xdr:colOff>
      <xdr:row>29</xdr:row>
      <xdr:rowOff>32267</xdr:rowOff>
    </xdr:to>
    <xdr:graphicFrame macro="">
      <xdr:nvGraphicFramePr>
        <xdr:cNvPr id="6" name="Chart 5" descr="LV Poles - Movement In Risk (ED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779010</xdr:colOff>
      <xdr:row>6</xdr:row>
      <xdr:rowOff>17131</xdr:rowOff>
    </xdr:from>
    <xdr:to>
      <xdr:col>19</xdr:col>
      <xdr:colOff>612321</xdr:colOff>
      <xdr:row>29</xdr:row>
      <xdr:rowOff>32267</xdr:rowOff>
    </xdr:to>
    <xdr:graphicFrame macro="">
      <xdr:nvGraphicFramePr>
        <xdr:cNvPr id="7" name="Chart 6" descr="LV Poles - Movement In Risk (ED2)">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7114</xdr:colOff>
      <xdr:row>29</xdr:row>
      <xdr:rowOff>9707</xdr:rowOff>
    </xdr:from>
    <xdr:to>
      <xdr:col>6</xdr:col>
      <xdr:colOff>109016</xdr:colOff>
      <xdr:row>52</xdr:row>
      <xdr:rowOff>24844</xdr:rowOff>
    </xdr:to>
    <xdr:graphicFrame macro="">
      <xdr:nvGraphicFramePr>
        <xdr:cNvPr id="8" name="Chart 7" descr="LV Poles - Movement In Risk (2025)">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779010</xdr:colOff>
      <xdr:row>29</xdr:row>
      <xdr:rowOff>9707</xdr:rowOff>
    </xdr:from>
    <xdr:to>
      <xdr:col>19</xdr:col>
      <xdr:colOff>612321</xdr:colOff>
      <xdr:row>52</xdr:row>
      <xdr:rowOff>24844</xdr:rowOff>
    </xdr:to>
    <xdr:graphicFrame macro="">
      <xdr:nvGraphicFramePr>
        <xdr:cNvPr id="9" name="Chart 8" descr="LV Poles - Movement In Risk (2025)">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88900</xdr:colOff>
          <xdr:row>2</xdr:row>
          <xdr:rowOff>152400</xdr:rowOff>
        </xdr:from>
        <xdr:to>
          <xdr:col>8</xdr:col>
          <xdr:colOff>184150</xdr:colOff>
          <xdr:row>4</xdr:row>
          <xdr:rowOff>228600</xdr:rowOff>
        </xdr:to>
        <xdr:sp macro="" textlink="">
          <xdr:nvSpPr>
            <xdr:cNvPr id="5123" name="Drop Down 3" descr="Drop Down for select Comparison Year" hidden="1">
              <a:extLst>
                <a:ext uri="{63B3BB69-23CF-44E3-9099-C40C66FF867C}">
                  <a14:compatExt spid="_x0000_s5123"/>
                </a:ext>
                <a:ext uri="{FF2B5EF4-FFF2-40B4-BE49-F238E27FC236}">
                  <a16:creationId xmlns:a16="http://schemas.microsoft.com/office/drawing/2014/main" id="{00000000-0008-0000-08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641350</xdr:colOff>
          <xdr:row>2</xdr:row>
          <xdr:rowOff>107950</xdr:rowOff>
        </xdr:from>
        <xdr:to>
          <xdr:col>9</xdr:col>
          <xdr:colOff>546100</xdr:colOff>
          <xdr:row>4</xdr:row>
          <xdr:rowOff>203200</xdr:rowOff>
        </xdr:to>
        <xdr:sp macro="" textlink="">
          <xdr:nvSpPr>
            <xdr:cNvPr id="5124" name="Spinner 4" descr="Control for dropdown, selecting comparison year&#10;" hidden="1">
              <a:extLst>
                <a:ext uri="{63B3BB69-23CF-44E3-9099-C40C66FF867C}">
                  <a14:compatExt spid="_x0000_s5124"/>
                </a:ext>
                <a:ext uri="{FF2B5EF4-FFF2-40B4-BE49-F238E27FC236}">
                  <a16:creationId xmlns:a16="http://schemas.microsoft.com/office/drawing/2014/main" id="{00000000-0008-0000-08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Valuation worksheet"/>
      <sheetName val="Inp_DataHub_Costs"/>
      <sheetName val="Inp_DataHub_Volumes"/>
      <sheetName val="Inp_BPDT"/>
      <sheetName val="Inp_BPDT_Repex"/>
      <sheetName val="Inp_BPDT_CapexVolumes"/>
      <sheetName val="Inp_BPDT_CapexVolumes_v2"/>
      <sheetName val="ADMIN"/>
      <sheetName val="Data Lookups"/>
      <sheetName val="FP23 Financ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R126"/>
  <sheetViews>
    <sheetView zoomScale="80" zoomScaleNormal="80" workbookViewId="0">
      <selection activeCell="D22" sqref="D22"/>
    </sheetView>
  </sheetViews>
  <sheetFormatPr defaultColWidth="0" defaultRowHeight="13.5" zeroHeight="1"/>
  <cols>
    <col min="1" max="1" width="8" style="38" customWidth="1"/>
    <col min="2" max="2" width="19.23046875" style="38" customWidth="1"/>
    <col min="3" max="3" width="14.23046875" style="38" customWidth="1"/>
    <col min="4" max="4" width="40.15234375" style="38" customWidth="1"/>
    <col min="5" max="5" width="8" style="38" customWidth="1"/>
    <col min="6" max="6" width="5" style="38" customWidth="1"/>
    <col min="7" max="7" width="5.3828125" style="38" customWidth="1"/>
    <col min="8" max="8" width="6.23046875" style="38" customWidth="1"/>
    <col min="9" max="10" width="8" style="38" customWidth="1"/>
    <col min="11" max="44" width="0" style="38" hidden="1" customWidth="1"/>
    <col min="45" max="16384" width="8" style="38" hidden="1"/>
  </cols>
  <sheetData>
    <row r="1" spans="1:43" s="547" customFormat="1" ht="66" customHeight="1"/>
    <row r="2" spans="1:43" s="31" customFormat="1">
      <c r="A2" s="30" t="str">
        <f ca="1">MID(CELL("filename",A2),FIND("]",CELL("filename",A2))+1,256)</f>
        <v>Cover Sheet</v>
      </c>
      <c r="O2" s="32"/>
      <c r="P2" s="32"/>
      <c r="Q2" s="32"/>
      <c r="R2" s="32"/>
      <c r="AM2" s="32"/>
    </row>
    <row r="3" spans="1:43" s="31" customFormat="1">
      <c r="A3" s="33"/>
    </row>
    <row r="4" spans="1:43" s="31" customFormat="1">
      <c r="A4" s="33"/>
    </row>
    <row r="5" spans="1:43" s="31" customFormat="1">
      <c r="D5" s="34"/>
      <c r="E5" s="34"/>
      <c r="F5" s="34"/>
      <c r="G5" s="34"/>
      <c r="AJ5" s="34"/>
    </row>
    <row r="6" spans="1:43" s="31" customFormat="1">
      <c r="D6" s="35"/>
      <c r="E6" s="35"/>
      <c r="F6" s="36"/>
      <c r="G6" s="36"/>
      <c r="AJ6" s="37"/>
      <c r="AK6" s="37"/>
      <c r="AL6" s="37"/>
      <c r="AM6" s="37"/>
      <c r="AN6" s="37"/>
      <c r="AO6" s="37"/>
      <c r="AP6" s="37"/>
      <c r="AQ6" s="37"/>
    </row>
    <row r="7" spans="1:43" ht="14" thickBot="1"/>
    <row r="8" spans="1:43">
      <c r="B8" s="39"/>
      <c r="C8" s="40"/>
      <c r="D8" s="40"/>
      <c r="E8" s="40"/>
      <c r="F8" s="40"/>
      <c r="G8" s="40"/>
      <c r="H8" s="41"/>
      <c r="I8" s="42"/>
      <c r="AK8" s="43"/>
    </row>
    <row r="9" spans="1:43">
      <c r="B9" s="44" t="s">
        <v>0</v>
      </c>
      <c r="C9" s="45"/>
      <c r="E9" s="45"/>
      <c r="F9" s="45"/>
      <c r="G9" s="45"/>
      <c r="I9" s="46"/>
    </row>
    <row r="10" spans="1:43">
      <c r="B10" s="47"/>
      <c r="C10" s="45"/>
      <c r="E10" s="45"/>
      <c r="F10" s="45"/>
      <c r="G10" s="45"/>
      <c r="I10" s="46"/>
    </row>
    <row r="11" spans="1:43">
      <c r="B11" s="47"/>
      <c r="C11" s="68" t="s">
        <v>1</v>
      </c>
      <c r="D11" s="529">
        <v>1.1000000000000001</v>
      </c>
      <c r="E11" s="45"/>
      <c r="F11" s="45"/>
      <c r="G11" s="45"/>
      <c r="I11" s="46"/>
    </row>
    <row r="12" spans="1:43">
      <c r="B12" s="47"/>
      <c r="C12" s="45"/>
      <c r="D12" s="45"/>
      <c r="E12" s="45"/>
      <c r="F12" s="45"/>
      <c r="G12" s="45"/>
      <c r="I12" s="46"/>
    </row>
    <row r="13" spans="1:43">
      <c r="B13" s="47"/>
      <c r="C13" s="49" t="s">
        <v>2</v>
      </c>
      <c r="D13" s="50"/>
      <c r="E13" s="45"/>
      <c r="F13" s="45"/>
      <c r="G13" s="45"/>
      <c r="I13" s="46"/>
    </row>
    <row r="14" spans="1:43">
      <c r="B14" s="47"/>
      <c r="C14" s="49"/>
      <c r="D14" s="48"/>
      <c r="E14" s="45"/>
      <c r="F14" s="45"/>
      <c r="G14" s="45"/>
      <c r="I14" s="46"/>
    </row>
    <row r="15" spans="1:43">
      <c r="B15" s="47"/>
      <c r="C15" s="49" t="s">
        <v>3</v>
      </c>
      <c r="D15" s="50">
        <v>2025</v>
      </c>
      <c r="E15" s="45"/>
      <c r="F15" s="45"/>
      <c r="G15" s="45"/>
      <c r="I15" s="46"/>
    </row>
    <row r="16" spans="1:43" ht="14" thickBot="1">
      <c r="B16" s="51"/>
      <c r="C16" s="488"/>
      <c r="D16" s="488"/>
      <c r="E16" s="488"/>
      <c r="F16" s="488"/>
      <c r="G16" s="488"/>
      <c r="H16" s="489"/>
      <c r="I16" s="52"/>
    </row>
    <row r="17" spans="2:22" ht="3" customHeight="1"/>
    <row r="18" spans="2:22" ht="3" customHeight="1" thickBot="1">
      <c r="C18" s="53"/>
    </row>
    <row r="19" spans="2:22">
      <c r="B19" s="54"/>
      <c r="C19" s="55"/>
      <c r="D19" s="41"/>
      <c r="E19" s="41"/>
      <c r="F19" s="41"/>
      <c r="G19" s="41"/>
      <c r="H19" s="41"/>
      <c r="I19" s="42"/>
    </row>
    <row r="20" spans="2:22">
      <c r="B20" s="44" t="s">
        <v>4</v>
      </c>
      <c r="C20" s="53"/>
      <c r="I20" s="46"/>
      <c r="Q20" s="118"/>
      <c r="R20" s="118"/>
      <c r="S20" s="118"/>
      <c r="T20" s="118"/>
      <c r="U20" s="118"/>
      <c r="V20" s="118"/>
    </row>
    <row r="21" spans="2:22">
      <c r="B21" s="56"/>
      <c r="D21" s="57" t="s">
        <v>5</v>
      </c>
      <c r="I21" s="46"/>
    </row>
    <row r="22" spans="2:22">
      <c r="B22" s="56"/>
      <c r="D22" s="57" t="s">
        <v>6</v>
      </c>
      <c r="I22" s="46"/>
    </row>
    <row r="23" spans="2:22">
      <c r="B23" s="56"/>
      <c r="D23" s="57" t="s">
        <v>7</v>
      </c>
      <c r="I23" s="46"/>
    </row>
    <row r="24" spans="2:22">
      <c r="B24" s="56"/>
      <c r="D24" s="57" t="s">
        <v>8</v>
      </c>
      <c r="I24" s="46"/>
    </row>
    <row r="25" spans="2:22">
      <c r="B25" s="56"/>
      <c r="D25" s="57" t="s">
        <v>9</v>
      </c>
      <c r="I25" s="46"/>
    </row>
    <row r="26" spans="2:22">
      <c r="B26" s="56"/>
      <c r="D26" s="57" t="s">
        <v>10</v>
      </c>
      <c r="I26" s="46"/>
    </row>
    <row r="27" spans="2:22">
      <c r="B27" s="56"/>
      <c r="D27" s="57" t="s">
        <v>11</v>
      </c>
      <c r="I27" s="46"/>
    </row>
    <row r="28" spans="2:22">
      <c r="B28" s="56"/>
      <c r="D28" s="57" t="s">
        <v>12</v>
      </c>
      <c r="I28" s="46"/>
    </row>
    <row r="29" spans="2:22">
      <c r="B29" s="56"/>
      <c r="D29" s="57" t="s">
        <v>13</v>
      </c>
      <c r="I29" s="46"/>
    </row>
    <row r="30" spans="2:22">
      <c r="B30" s="56"/>
      <c r="D30" s="57" t="s">
        <v>14</v>
      </c>
      <c r="I30" s="46"/>
    </row>
    <row r="31" spans="2:22">
      <c r="B31" s="56"/>
      <c r="D31" s="57" t="s">
        <v>15</v>
      </c>
      <c r="I31" s="46"/>
    </row>
    <row r="32" spans="2:22">
      <c r="B32" s="56"/>
      <c r="D32" s="57" t="s">
        <v>16</v>
      </c>
      <c r="I32" s="46"/>
    </row>
    <row r="33" spans="2:9">
      <c r="B33" s="56"/>
      <c r="D33" s="57" t="s">
        <v>17</v>
      </c>
      <c r="I33" s="46"/>
    </row>
    <row r="34" spans="2:9">
      <c r="B34" s="56"/>
      <c r="D34" s="57" t="s">
        <v>18</v>
      </c>
      <c r="I34" s="46"/>
    </row>
    <row r="35" spans="2:9" ht="14" thickBot="1">
      <c r="B35" s="58"/>
      <c r="C35" s="489"/>
      <c r="D35" s="490"/>
      <c r="E35" s="489"/>
      <c r="F35" s="489"/>
      <c r="G35" s="489"/>
      <c r="H35" s="489"/>
      <c r="I35" s="52"/>
    </row>
    <row r="36" spans="2:9" ht="3" customHeight="1" thickBot="1">
      <c r="C36" s="53"/>
    </row>
    <row r="37" spans="2:9" ht="12.75" customHeight="1">
      <c r="B37" s="54"/>
      <c r="C37" s="55"/>
      <c r="D37" s="41"/>
      <c r="E37" s="41"/>
      <c r="F37" s="41"/>
      <c r="G37" s="41"/>
      <c r="H37" s="41"/>
      <c r="I37" s="42"/>
    </row>
    <row r="38" spans="2:9" ht="12.75" customHeight="1">
      <c r="B38" s="44" t="s">
        <v>19</v>
      </c>
      <c r="C38" s="53"/>
      <c r="I38" s="46"/>
    </row>
    <row r="39" spans="2:9" ht="12.75" customHeight="1">
      <c r="B39" s="56"/>
      <c r="C39" s="53"/>
      <c r="D39" s="59">
        <v>2024</v>
      </c>
      <c r="I39" s="46"/>
    </row>
    <row r="40" spans="2:9" ht="12.75" customHeight="1">
      <c r="B40" s="56"/>
      <c r="C40" s="53"/>
      <c r="D40" s="59">
        <v>2025</v>
      </c>
      <c r="I40" s="46"/>
    </row>
    <row r="41" spans="2:9" ht="12.75" customHeight="1">
      <c r="B41" s="56"/>
      <c r="C41" s="53"/>
      <c r="D41" s="59">
        <v>2026</v>
      </c>
      <c r="I41" s="46"/>
    </row>
    <row r="42" spans="2:9" ht="12.75" customHeight="1">
      <c r="B42" s="56"/>
      <c r="C42" s="53"/>
      <c r="D42" s="59">
        <v>2027</v>
      </c>
      <c r="I42" s="46"/>
    </row>
    <row r="43" spans="2:9" ht="12.75" customHeight="1">
      <c r="B43" s="56"/>
      <c r="C43" s="53"/>
      <c r="D43" s="59">
        <v>2028</v>
      </c>
      <c r="I43" s="46"/>
    </row>
    <row r="44" spans="2:9" ht="12.75" customHeight="1" thickBot="1">
      <c r="B44" s="58"/>
      <c r="C44" s="491"/>
      <c r="D44" s="489"/>
      <c r="E44" s="489"/>
      <c r="F44" s="489"/>
      <c r="G44" s="489"/>
      <c r="H44" s="489"/>
      <c r="I44" s="52"/>
    </row>
    <row r="45" spans="2:9" ht="3" customHeight="1" thickBot="1">
      <c r="C45" s="53"/>
    </row>
    <row r="46" spans="2:9">
      <c r="B46" s="54"/>
      <c r="C46" s="41"/>
      <c r="D46" s="60"/>
      <c r="E46" s="41"/>
      <c r="F46" s="41"/>
      <c r="G46" s="41"/>
      <c r="H46" s="41"/>
      <c r="I46" s="42"/>
    </row>
    <row r="47" spans="2:9">
      <c r="B47" s="44" t="s">
        <v>20</v>
      </c>
      <c r="I47" s="46"/>
    </row>
    <row r="48" spans="2:9">
      <c r="B48" s="56"/>
      <c r="I48" s="46"/>
    </row>
    <row r="49" spans="2:9">
      <c r="B49" s="56"/>
      <c r="C49" s="69"/>
      <c r="D49" t="s">
        <v>21</v>
      </c>
      <c r="I49" s="46"/>
    </row>
    <row r="50" spans="2:9">
      <c r="B50" s="56"/>
      <c r="C50" s="70"/>
      <c r="D50" t="s">
        <v>22</v>
      </c>
      <c r="I50" s="46"/>
    </row>
    <row r="51" spans="2:9">
      <c r="B51" s="56"/>
      <c r="C51" s="71"/>
      <c r="D51" t="s">
        <v>23</v>
      </c>
      <c r="I51" s="46"/>
    </row>
    <row r="52" spans="2:9">
      <c r="B52" s="56"/>
      <c r="C52" s="72"/>
      <c r="D52" t="s">
        <v>24</v>
      </c>
      <c r="I52" s="46"/>
    </row>
    <row r="53" spans="2:9">
      <c r="B53" s="56"/>
      <c r="C53" s="73"/>
      <c r="D53" t="s">
        <v>25</v>
      </c>
      <c r="I53" s="46"/>
    </row>
    <row r="54" spans="2:9">
      <c r="B54" s="56"/>
      <c r="C54" s="74"/>
      <c r="D54" t="s">
        <v>26</v>
      </c>
      <c r="I54" s="46"/>
    </row>
    <row r="55" spans="2:9">
      <c r="B55" s="56"/>
      <c r="C55" s="75"/>
      <c r="D55" t="s">
        <v>27</v>
      </c>
      <c r="I55" s="46"/>
    </row>
    <row r="56" spans="2:9" ht="14">
      <c r="B56" s="56"/>
      <c r="C56" s="76"/>
      <c r="D56" t="s">
        <v>28</v>
      </c>
      <c r="I56" s="46"/>
    </row>
    <row r="57" spans="2:9" ht="14">
      <c r="B57" s="56"/>
      <c r="C57" s="77"/>
      <c r="D57" t="s">
        <v>29</v>
      </c>
      <c r="I57" s="46"/>
    </row>
    <row r="58" spans="2:9" ht="14" thickBot="1">
      <c r="B58" s="58"/>
      <c r="C58" s="489"/>
      <c r="D58" s="489"/>
      <c r="E58" s="489"/>
      <c r="F58" s="489"/>
      <c r="G58" s="489"/>
      <c r="H58" s="489"/>
      <c r="I58" s="52"/>
    </row>
    <row r="59" spans="2:9"/>
    <row r="60" spans="2:9"/>
    <row r="61" spans="2:9"/>
    <row r="62" spans="2:9"/>
    <row r="63" spans="2:9"/>
    <row r="64" spans="2:9"/>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3"/>
    <row r="115"/>
    <row r="116"/>
    <row r="117"/>
    <row r="118"/>
    <row r="119"/>
    <row r="120"/>
    <row r="121"/>
    <row r="122"/>
    <row r="123"/>
    <row r="124"/>
    <row r="125"/>
    <row r="126"/>
  </sheetData>
  <mergeCells count="1">
    <mergeCell ref="A1:XFD1"/>
  </mergeCells>
  <dataValidations count="2">
    <dataValidation type="list" allowBlank="1" showInputMessage="1" showErrorMessage="1" promptTitle="Select year from list" sqref="D13" xr:uid="{00000000-0002-0000-0000-000000000000}">
      <formula1>$D$20:$D$34</formula1>
    </dataValidation>
    <dataValidation type="list" allowBlank="1" showInputMessage="1" showErrorMessage="1" sqref="D15" xr:uid="{00000000-0002-0000-0000-000001000000}">
      <formula1>$D$39:$D$43</formula1>
    </dataValidation>
  </dataValidations>
  <pageMargins left="0.70866141732283472" right="0.70866141732283472" top="0.74803149606299213" bottom="0.74803149606299213" header="0.31496062992125984" footer="0.31496062992125984"/>
  <pageSetup paperSize="8" scale="98" orientation="portrait" r:id="rId1"/>
  <headerFooter>
    <oddFooter>&amp;C_x000D_&amp;1#&amp;"Calibri"&amp;10&amp;K000000 OFFICIAL-InternalOnly</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1F30-6F10-4ECF-9F37-22044D1947D0}">
  <sheetPr codeName="Sheet2"/>
  <dimension ref="A1:V66"/>
  <sheetViews>
    <sheetView zoomScale="70" zoomScaleNormal="70" workbookViewId="0">
      <pane xSplit="2" ySplit="5" topLeftCell="C6" activePane="bottomRight" state="frozen"/>
      <selection pane="topRight" activeCell="C1" sqref="C1"/>
      <selection pane="bottomLeft" activeCell="A4" sqref="A4"/>
      <selection pane="bottomRight"/>
    </sheetView>
  </sheetViews>
  <sheetFormatPr defaultColWidth="12.61328125" defaultRowHeight="13.5"/>
  <cols>
    <col min="1" max="1" width="5.23046875" style="483" customWidth="1"/>
    <col min="2" max="2" width="45.15234375" customWidth="1"/>
    <col min="3" max="22" width="8.61328125" customWidth="1"/>
  </cols>
  <sheetData>
    <row r="1" spans="1:22">
      <c r="A1" s="484" t="s">
        <v>250</v>
      </c>
    </row>
    <row r="2" spans="1:22">
      <c r="A2" s="480"/>
    </row>
    <row r="3" spans="1:22" ht="14.5" thickBot="1">
      <c r="A3" s="481"/>
      <c r="C3" s="12"/>
      <c r="D3" s="12"/>
      <c r="E3" s="12"/>
      <c r="F3" s="12"/>
      <c r="G3" s="12"/>
      <c r="H3" s="12"/>
      <c r="I3" s="12"/>
      <c r="J3" s="12"/>
      <c r="K3" s="12"/>
      <c r="L3" s="12"/>
      <c r="M3" s="12"/>
      <c r="N3" s="12"/>
      <c r="O3" s="12"/>
      <c r="P3" s="12"/>
      <c r="Q3" s="12"/>
      <c r="R3" s="12"/>
      <c r="S3" s="12"/>
      <c r="T3" s="12"/>
      <c r="U3" s="12"/>
      <c r="V3" s="12"/>
    </row>
    <row r="4" spans="1:22" ht="35.25" customHeight="1" thickBot="1">
      <c r="A4" s="482"/>
      <c r="B4" s="553" t="s">
        <v>251</v>
      </c>
      <c r="C4" s="548" t="s">
        <v>252</v>
      </c>
      <c r="D4" s="651"/>
      <c r="E4" s="651"/>
      <c r="F4" s="651"/>
      <c r="G4" s="549"/>
      <c r="H4" s="548" t="s">
        <v>253</v>
      </c>
      <c r="I4" s="651"/>
      <c r="J4" s="651"/>
      <c r="K4" s="651"/>
      <c r="L4" s="549"/>
      <c r="M4" s="548" t="s">
        <v>254</v>
      </c>
      <c r="N4" s="651"/>
      <c r="O4" s="651"/>
      <c r="P4" s="651"/>
      <c r="Q4" s="549"/>
      <c r="R4" s="548" t="s">
        <v>255</v>
      </c>
      <c r="S4" s="651"/>
      <c r="T4" s="651"/>
      <c r="U4" s="651"/>
      <c r="V4" s="549"/>
    </row>
    <row r="5" spans="1:22" ht="61.5" customHeight="1" thickBot="1">
      <c r="A5" s="482"/>
      <c r="B5" s="554"/>
      <c r="C5" s="475">
        <v>2024</v>
      </c>
      <c r="D5" s="474">
        <v>2025</v>
      </c>
      <c r="E5" s="474">
        <v>2026</v>
      </c>
      <c r="F5" s="474">
        <v>2027</v>
      </c>
      <c r="G5" s="473">
        <v>2028</v>
      </c>
      <c r="H5" s="475">
        <v>2024</v>
      </c>
      <c r="I5" s="474">
        <v>2025</v>
      </c>
      <c r="J5" s="474">
        <v>2026</v>
      </c>
      <c r="K5" s="474">
        <v>2027</v>
      </c>
      <c r="L5" s="473">
        <v>2028</v>
      </c>
      <c r="M5" s="475">
        <v>2024</v>
      </c>
      <c r="N5" s="474">
        <v>2025</v>
      </c>
      <c r="O5" s="474">
        <v>2026</v>
      </c>
      <c r="P5" s="474">
        <v>2027</v>
      </c>
      <c r="Q5" s="473">
        <v>2028</v>
      </c>
      <c r="R5" s="475">
        <v>2024</v>
      </c>
      <c r="S5" s="474">
        <v>2025</v>
      </c>
      <c r="T5" s="474">
        <v>2026</v>
      </c>
      <c r="U5" s="474">
        <v>2027</v>
      </c>
      <c r="V5" s="473">
        <v>2028</v>
      </c>
    </row>
    <row r="6" spans="1:22">
      <c r="A6" s="483">
        <v>1</v>
      </c>
      <c r="B6" s="476" t="s">
        <v>53</v>
      </c>
      <c r="C6" s="477" t="str">
        <f>IF((COUNTIF(End_Of_Year_Yr1_1,"&lt;0")=0),"OK","ERR")</f>
        <v>OK</v>
      </c>
      <c r="D6" s="478" t="str">
        <f>IF((COUNTIF(End_Of_Year_Yr2_1,"&lt;0")=0),"OK","ERR")</f>
        <v>OK</v>
      </c>
      <c r="E6" s="478" t="str">
        <f>IF((COUNTIF(End_Of_Year_Yr3_1,"&lt;0")=0),"OK","ERR")</f>
        <v>OK</v>
      </c>
      <c r="F6" s="478" t="str">
        <f>IF((COUNTIF(End_Of_Year_Yr4_1,"&lt;0")=0),"OK","ERR")</f>
        <v>OK</v>
      </c>
      <c r="G6" s="479" t="str">
        <f>IF((COUNTIF(End_Of_Year_Yr5_1,"&lt;0")=0),"OK","ERR")</f>
        <v>OK</v>
      </c>
      <c r="H6" s="477" t="str">
        <f>IF((COUNTIF(Deterioration_yr1_1,"&lt;&gt;0")=0),"OK","ERR")</f>
        <v>OK</v>
      </c>
      <c r="I6" s="478" t="str">
        <f>IF((COUNTIF(Deterioration_yr2_1,"&lt;&gt;0")=0),"OK","ERR")</f>
        <v>OK</v>
      </c>
      <c r="J6" s="478" t="str">
        <f>IF((COUNTIF(Deterioration_yr3_1,"&lt;&gt;0")=0),"OK","ERR")</f>
        <v>OK</v>
      </c>
      <c r="K6" s="478" t="str">
        <f>IF((COUNTIF(Deterioration_yr4_1,"&lt;&gt;0")=0),"OK","ERR")</f>
        <v>OK</v>
      </c>
      <c r="L6" s="479" t="str">
        <f>IF((COUNTIF(Deterioration_yr5_1,"&lt;&gt;0")=0),"OK","ERR")</f>
        <v>OK</v>
      </c>
      <c r="M6" s="477" t="str" cm="1">
        <f t="array" ref="M6">IF(AND(INDEX('NARM5 – ED2 actuals'!$Y:$Y,MATCH($B6,'NARM5 – ED2 actuals'!$C:$C,0)+5)=0,INDEX('NARM5 – ED2 actuals'!$CX:$CX,MATCH($B6,'NARM5 – ED2 actuals'!$C:$C,0)+5)=0,INDEX('NARM5 – ED2 actuals'!$AT:$AT,MATCH($B6,'NARM5 – ED2 actuals'!$C:$C,0)+5)=0)=TRUE,"OK","ERR")</f>
        <v>OK</v>
      </c>
      <c r="N6" s="478" t="str" cm="1">
        <f t="array" ref="N6">IF(AND(INDEX('NARM5 – ED2 actuals'!$Y:$Y,MATCH($B6,'NARM5 – ED2 actuals'!$C:$C,0)+5)=0,INDEX('NARM5 – ED2 actuals'!$CX:$CX,MATCH($B6,'NARM5 – ED2 actuals'!$C:$C,0)+5)=0,INDEX('NARM5 – ED2 actuals'!$AT:$AT,MATCH($B6,'NARM5 – ED2 actuals'!$C:$C,0)+5)=0)=TRUE,"OK","ERR")</f>
        <v>OK</v>
      </c>
      <c r="O6" s="478" t="str" cm="1">
        <f t="array" ref="O6">IF(AND(INDEX('NARM5 – ED2 actuals'!$Y:$Y,MATCH($B6,'NARM5 – ED2 actuals'!$C:$C,0)+5)=0,INDEX('NARM5 – ED2 actuals'!$CX:$CX,MATCH($B6,'NARM5 – ED2 actuals'!$C:$C,0)+5)=0,INDEX('NARM5 – ED2 actuals'!$AT:$AT,MATCH($B6,'NARM5 – ED2 actuals'!$C:$C,0)+5)=0)=TRUE,"OK","ERR")</f>
        <v>OK</v>
      </c>
      <c r="P6" s="478" t="str" cm="1">
        <f t="array" ref="P6">IF(AND(INDEX('NARM5 – ED2 actuals'!$Y:$Y,MATCH($B6,'NARM5 – ED2 actuals'!$C:$C,0)+5)=0,INDEX('NARM5 – ED2 actuals'!$CX:$CX,MATCH($B6,'NARM5 – ED2 actuals'!$C:$C,0)+5)=0,INDEX('NARM5 – ED2 actuals'!$AT:$AT,MATCH($B6,'NARM5 – ED2 actuals'!$C:$C,0)+5)=0)=TRUE,"OK","ERR")</f>
        <v>OK</v>
      </c>
      <c r="Q6" s="479" t="str" cm="1">
        <f t="array" ref="Q6">IF(AND(INDEX('NARM5 – ED2 actuals'!$Y:$Y,MATCH($B6,'NARM5 – ED2 actuals'!$C:$C,0)+5)=0,INDEX('NARM5 – ED2 actuals'!$CX:$CX,MATCH($B6,'NARM5 – ED2 actuals'!$C:$C,0)+5)=0,INDEX('NARM5 – ED2 actuals'!$AT:$AT,MATCH($B6,'NARM5 – ED2 actuals'!$C:$C,0)+5)=0)=TRUE,"OK","ERR")</f>
        <v>OK</v>
      </c>
      <c r="R6" s="477" t="str">
        <f>IF((SUM(AssetReplacement_CurrentYear_yr1_1)=SUM(AssetReplacement_FutureYear_yr1_1))=TRUE,"OK","ERR")</f>
        <v>OK</v>
      </c>
      <c r="S6" s="478" t="str">
        <f>IF((SUM(AssetReplacement_CurrentYear_yr2_1)=SUM(AssetReplacement_FutureYear_yr2_1))=TRUE,"OK","ERR")</f>
        <v>OK</v>
      </c>
      <c r="T6" s="478" t="str">
        <f>IF((SUM(AssetReplacement_CurrentYear_yr3_1)=SUM(AssetReplacement_FutureYear_yr3_1))=TRUE,"OK","ERR")</f>
        <v>OK</v>
      </c>
      <c r="U6" s="478" t="str">
        <f>IF((SUM(AssetReplacement_CurrentYear_yr4_1)=SUM(AssetReplacement_FutureYear_yr4_1))=TRUE,"OK","ERR")</f>
        <v>OK</v>
      </c>
      <c r="V6" s="479" t="str">
        <f>IF((SUM(AssetReplacement_CurrentYear_yr5_1)=SUM(AssetReplacement_FutureYear_yr5_1))=TRUE,"OK","ERR")</f>
        <v>OK</v>
      </c>
    </row>
    <row r="7" spans="1:22">
      <c r="A7" s="483">
        <v>2</v>
      </c>
      <c r="B7" s="472" t="s">
        <v>63</v>
      </c>
      <c r="C7" s="471" t="str">
        <f>IF((COUNTIF(End_Of_Year_Yr1_2,"&lt;0")=0),"OK","ERR")</f>
        <v>OK</v>
      </c>
      <c r="D7" s="470" t="str">
        <f>IF((COUNTIF(End_Of_Year_Yr2_2,"&lt;0")=0),"OK","ERR")</f>
        <v>OK</v>
      </c>
      <c r="E7" s="470" t="str">
        <f>IF((COUNTIF(End_Of_Year_Yr3_2,"&lt;0")=0),"OK","ERR")</f>
        <v>OK</v>
      </c>
      <c r="F7" s="470" t="str">
        <f>IF((COUNTIF(End_Of_Year_Yr4_2,"&lt;0")=0),"OK","ERR")</f>
        <v>OK</v>
      </c>
      <c r="G7" s="469" t="str">
        <f>IF((COUNTIF(End_Of_Year_Yr5_2,"&lt;0")=0),"OK","ERR")</f>
        <v>OK</v>
      </c>
      <c r="H7" s="471" t="str">
        <f>IF((COUNTIF(Deterioration_yr1_2,"&lt;&gt;0")=0),"OK","ERR")</f>
        <v>OK</v>
      </c>
      <c r="I7" s="470" t="str">
        <f>IF((COUNTIF(Deterioration_yr2_2,"&lt;&gt;0")=0),"OK","ERR")</f>
        <v>OK</v>
      </c>
      <c r="J7" s="470" t="str">
        <f>IF((COUNTIF(Deterioration_yr3_2,"&lt;&gt;0")=0),"OK","ERR")</f>
        <v>OK</v>
      </c>
      <c r="K7" s="470" t="str">
        <f>IF((COUNTIF(Deterioration_yr4_2,"&lt;&gt;0")=0),"OK","ERR")</f>
        <v>OK</v>
      </c>
      <c r="L7" s="469" t="str">
        <f>IF((COUNTIF(Deterioration_yr5_2,"&lt;&gt;0")=0),"OK","ERR")</f>
        <v>OK</v>
      </c>
      <c r="M7" s="471" t="str" cm="1">
        <f t="array" ref="M7">IF(AND(INDEX('NARM5 – ED2 actuals'!$Y:$Y,MATCH($B7,'NARM5 – ED2 actuals'!$C:$C,0)+5)=0,INDEX('NARM5 – ED2 actuals'!$CX:$CX,MATCH($B7,'NARM5 – ED2 actuals'!$C:$C,0)+5)=0,INDEX('NARM5 – ED2 actuals'!$AT:$AT,MATCH($B7,'NARM5 – ED2 actuals'!$C:$C,0)+5)=0)=TRUE,"OK","ERR")</f>
        <v>OK</v>
      </c>
      <c r="N7" s="470" t="str" cm="1">
        <f t="array" ref="N7">IF(AND(INDEX('NARM5 – ED2 actuals'!$Y:$Y,MATCH($B7,'NARM5 – ED2 actuals'!$C:$C,0)+5)=0,INDEX('NARM5 – ED2 actuals'!$CX:$CX,MATCH($B7,'NARM5 – ED2 actuals'!$C:$C,0)+5)=0,INDEX('NARM5 – ED2 actuals'!$AT:$AT,MATCH($B7,'NARM5 – ED2 actuals'!$C:$C,0)+5)=0)=TRUE,"OK","ERR")</f>
        <v>OK</v>
      </c>
      <c r="O7" s="470" t="str" cm="1">
        <f t="array" ref="O7">IF(AND(INDEX('NARM5 – ED2 actuals'!$Y:$Y,MATCH($B7,'NARM5 – ED2 actuals'!$C:$C,0)+5)=0,INDEX('NARM5 – ED2 actuals'!$CX:$CX,MATCH($B7,'NARM5 – ED2 actuals'!$C:$C,0)+5)=0,INDEX('NARM5 – ED2 actuals'!$AT:$AT,MATCH($B7,'NARM5 – ED2 actuals'!$C:$C,0)+5)=0)=TRUE,"OK","ERR")</f>
        <v>OK</v>
      </c>
      <c r="P7" s="470" t="str" cm="1">
        <f t="array" ref="P7">IF(AND(INDEX('NARM5 – ED2 actuals'!$Y:$Y,MATCH($B7,'NARM5 – ED2 actuals'!$C:$C,0)+5)=0,INDEX('NARM5 – ED2 actuals'!$CX:$CX,MATCH($B7,'NARM5 – ED2 actuals'!$C:$C,0)+5)=0,INDEX('NARM5 – ED2 actuals'!$AT:$AT,MATCH($B7,'NARM5 – ED2 actuals'!$C:$C,0)+5)=0)=TRUE,"OK","ERR")</f>
        <v>OK</v>
      </c>
      <c r="Q7" s="469" t="str" cm="1">
        <f t="array" ref="Q7">IF(AND(INDEX('NARM5 – ED2 actuals'!$Y:$Y,MATCH($B7,'NARM5 – ED2 actuals'!$C:$C,0)+5)=0,INDEX('NARM5 – ED2 actuals'!$CX:$CX,MATCH($B7,'NARM5 – ED2 actuals'!$C:$C,0)+5)=0,INDEX('NARM5 – ED2 actuals'!$AT:$AT,MATCH($B7,'NARM5 – ED2 actuals'!$C:$C,0)+5)=0)=TRUE,"OK","ERR")</f>
        <v>OK</v>
      </c>
      <c r="R7" s="471" t="str">
        <f>IF((SUM(AssetReplacement_CurrentYear_yr1_2)=SUM(AssetReplacement_FutureYear_yr1_2))=TRUE,"OK","ERR")</f>
        <v>OK</v>
      </c>
      <c r="S7" s="470" t="str">
        <f>IF((SUM(AssetReplacement_CurrentYear_yr2_2)=SUM(AssetReplacement_FutureYear_yr2_2))=TRUE,"OK","ERR")</f>
        <v>OK</v>
      </c>
      <c r="T7" s="470" t="str">
        <f>IF((SUM(AssetReplacement_CurrentYear_yr3_2)=SUM(AssetReplacement_FutureYear_yr3_2))=TRUE,"OK","ERR")</f>
        <v>OK</v>
      </c>
      <c r="U7" s="470" t="str">
        <f>IF((SUM(AssetReplacement_CurrentYear_yr4_2)=SUM(AssetReplacement_FutureYear_yr4_2))=TRUE,"OK","ERR")</f>
        <v>OK</v>
      </c>
      <c r="V7" s="469" t="str">
        <f>IF((SUM(AssetReplacement_CurrentYear_yr5_2)=SUM(AssetReplacement_FutureYear_yr5_2))=TRUE,"OK","ERR")</f>
        <v>OK</v>
      </c>
    </row>
    <row r="8" spans="1:22">
      <c r="A8" s="483">
        <v>3</v>
      </c>
      <c r="B8" s="472" t="s">
        <v>64</v>
      </c>
      <c r="C8" s="471" t="str">
        <f>IF((COUNTIF(End_Of_Year_Yr1_3,"&lt;0")=0),"OK","ERR")</f>
        <v>OK</v>
      </c>
      <c r="D8" s="470" t="str">
        <f>IF((COUNTIF(End_Of_Year_Yr2_3,"&lt;0")=0),"OK","ERR")</f>
        <v>OK</v>
      </c>
      <c r="E8" s="470" t="str">
        <f>IF((COUNTIF(End_Of_Year_Yr3_3,"&lt;0")=0),"OK","ERR")</f>
        <v>OK</v>
      </c>
      <c r="F8" s="470" t="str">
        <f>IF((COUNTIF(End_Of_Year_Yr4_3,"&lt;0")=0),"OK","ERR")</f>
        <v>OK</v>
      </c>
      <c r="G8" s="469" t="str">
        <f>IF((COUNTIF(End_Of_Year_Yr5_3,"&lt;0")=0),"OK","ERR")</f>
        <v>OK</v>
      </c>
      <c r="H8" s="471" t="str">
        <f>IF((COUNTIF(Deterioration_yr1_3,"&lt;&gt;0")=0),"OK","ERR")</f>
        <v>OK</v>
      </c>
      <c r="I8" s="470" t="str">
        <f>IF((COUNTIF(Deterioration_yr2_3,"&lt;&gt;0")=0),"OK","ERR")</f>
        <v>OK</v>
      </c>
      <c r="J8" s="470" t="str">
        <f>IF((COUNTIF(Deterioration_yr3_3,"&lt;&gt;0")=0),"OK","ERR")</f>
        <v>OK</v>
      </c>
      <c r="K8" s="470" t="str">
        <f>IF((COUNTIF(Deterioration_yr4_3,"&lt;&gt;0")=0),"OK","ERR")</f>
        <v>OK</v>
      </c>
      <c r="L8" s="469" t="str">
        <f>IF((COUNTIF(Deterioration_yr5_3,"&lt;&gt;0")=0),"OK","ERR")</f>
        <v>OK</v>
      </c>
      <c r="M8" s="471" t="str" cm="1">
        <f t="array" ref="M8">IF(AND(INDEX('NARM5 – ED2 actuals'!$Y:$Y,MATCH($B8,'NARM5 – ED2 actuals'!$C:$C,0)+5)=0,INDEX('NARM5 – ED2 actuals'!$CX:$CX,MATCH($B8,'NARM5 – ED2 actuals'!$C:$C,0)+5)=0,INDEX('NARM5 – ED2 actuals'!$AT:$AT,MATCH($B8,'NARM5 – ED2 actuals'!$C:$C,0)+5)=0)=TRUE,"OK","ERR")</f>
        <v>OK</v>
      </c>
      <c r="N8" s="470" t="str" cm="1">
        <f t="array" ref="N8">IF(AND(INDEX('NARM5 – ED2 actuals'!$Y:$Y,MATCH($B8,'NARM5 – ED2 actuals'!$C:$C,0)+5)=0,INDEX('NARM5 – ED2 actuals'!$CX:$CX,MATCH($B8,'NARM5 – ED2 actuals'!$C:$C,0)+5)=0,INDEX('NARM5 – ED2 actuals'!$AT:$AT,MATCH($B8,'NARM5 – ED2 actuals'!$C:$C,0)+5)=0)=TRUE,"OK","ERR")</f>
        <v>OK</v>
      </c>
      <c r="O8" s="470" t="str" cm="1">
        <f t="array" ref="O8">IF(AND(INDEX('NARM5 – ED2 actuals'!$Y:$Y,MATCH($B8,'NARM5 – ED2 actuals'!$C:$C,0)+5)=0,INDEX('NARM5 – ED2 actuals'!$CX:$CX,MATCH($B8,'NARM5 – ED2 actuals'!$C:$C,0)+5)=0,INDEX('NARM5 – ED2 actuals'!$AT:$AT,MATCH($B8,'NARM5 – ED2 actuals'!$C:$C,0)+5)=0)=TRUE,"OK","ERR")</f>
        <v>OK</v>
      </c>
      <c r="P8" s="470" t="str" cm="1">
        <f t="array" ref="P8">IF(AND(INDEX('NARM5 – ED2 actuals'!$Y:$Y,MATCH($B8,'NARM5 – ED2 actuals'!$C:$C,0)+5)=0,INDEX('NARM5 – ED2 actuals'!$CX:$CX,MATCH($B8,'NARM5 – ED2 actuals'!$C:$C,0)+5)=0,INDEX('NARM5 – ED2 actuals'!$AT:$AT,MATCH($B8,'NARM5 – ED2 actuals'!$C:$C,0)+5)=0)=TRUE,"OK","ERR")</f>
        <v>OK</v>
      </c>
      <c r="Q8" s="469" t="str" cm="1">
        <f t="array" ref="Q8">IF(AND(INDEX('NARM5 – ED2 actuals'!$Y:$Y,MATCH($B8,'NARM5 – ED2 actuals'!$C:$C,0)+5)=0,INDEX('NARM5 – ED2 actuals'!$CX:$CX,MATCH($B8,'NARM5 – ED2 actuals'!$C:$C,0)+5)=0,INDEX('NARM5 – ED2 actuals'!$AT:$AT,MATCH($B8,'NARM5 – ED2 actuals'!$C:$C,0)+5)=0)=TRUE,"OK","ERR")</f>
        <v>OK</v>
      </c>
      <c r="R8" s="471" t="str">
        <f>IF((SUM(AssetReplacement_CurrentYear_yr1_3)=SUM(AssetReplacement_FutureYear_yr1_3))=TRUE,"OK","ERR")</f>
        <v>OK</v>
      </c>
      <c r="S8" s="470" t="str">
        <f>IF((SUM(AssetReplacement_CurrentYear_yr2_3)=SUM(AssetReplacement_FutureYear_yr2_3))=TRUE,"OK","ERR")</f>
        <v>OK</v>
      </c>
      <c r="T8" s="470" t="str">
        <f>IF((SUM(AssetReplacement_CurrentYear_yr3_3)=SUM(AssetReplacement_FutureYear_yr3_3))=TRUE,"OK","ERR")</f>
        <v>OK</v>
      </c>
      <c r="U8" s="470" t="str">
        <f>IF((SUM(AssetReplacement_CurrentYear_yr4_3)=SUM(AssetReplacement_FutureYear_yr4_3))=TRUE,"OK","ERR")</f>
        <v>OK</v>
      </c>
      <c r="V8" s="469" t="str">
        <f>IF((SUM(AssetReplacement_CurrentYear_yr5_3)=SUM(AssetReplacement_FutureYear_yr5_3))=TRUE,"OK","ERR")</f>
        <v>OK</v>
      </c>
    </row>
    <row r="9" spans="1:22">
      <c r="A9" s="483">
        <v>4</v>
      </c>
      <c r="B9" s="472" t="s">
        <v>65</v>
      </c>
      <c r="C9" s="471" t="str">
        <f>IF((COUNTIF(End_Of_Year_Yr1_4,"&lt;0")=0),"OK","ERR")</f>
        <v>OK</v>
      </c>
      <c r="D9" s="470" t="str">
        <f>IF((COUNTIF(End_Of_Year_Yr2_4,"&lt;0")=0),"OK","ERR")</f>
        <v>OK</v>
      </c>
      <c r="E9" s="470" t="str">
        <f>IF((COUNTIF(End_Of_Year_Yr3_4,"&lt;0")=0),"OK","ERR")</f>
        <v>OK</v>
      </c>
      <c r="F9" s="470" t="str">
        <f>IF((COUNTIF(End_Of_Year_Yr4_4,"&lt;0")=0),"OK","ERR")</f>
        <v>OK</v>
      </c>
      <c r="G9" s="469" t="str">
        <f>IF((COUNTIF(End_Of_Year_Yr5_4,"&lt;0")=0),"OK","ERR")</f>
        <v>OK</v>
      </c>
      <c r="H9" s="471" t="str">
        <f>IF((COUNTIF(Deterioration_yr1_4,"&lt;&gt;0")=0),"OK","ERR")</f>
        <v>OK</v>
      </c>
      <c r="I9" s="470" t="str">
        <f>IF((COUNTIF(Deterioration_yr2_4,"&lt;&gt;0")=0),"OK","ERR")</f>
        <v>OK</v>
      </c>
      <c r="J9" s="470" t="str">
        <f>IF((COUNTIF(Deterioration_yr3_4,"&lt;&gt;0")=0),"OK","ERR")</f>
        <v>OK</v>
      </c>
      <c r="K9" s="470" t="str">
        <f>IF((COUNTIF(Deterioration_yr4_4,"&lt;&gt;0")=0),"OK","ERR")</f>
        <v>OK</v>
      </c>
      <c r="L9" s="469" t="str">
        <f>IF((COUNTIF(Deterioration_yr5_4,"&lt;&gt;0")=0),"OK","ERR")</f>
        <v>OK</v>
      </c>
      <c r="M9" s="471" t="str" cm="1">
        <f t="array" ref="M9">IF(AND(INDEX('NARM5 – ED2 actuals'!$Y:$Y,MATCH($B9,'NARM5 – ED2 actuals'!$C:$C,0)+5)=0,INDEX('NARM5 – ED2 actuals'!$CX:$CX,MATCH($B9,'NARM5 – ED2 actuals'!$C:$C,0)+5)=0,INDEX('NARM5 – ED2 actuals'!$AT:$AT,MATCH($B9,'NARM5 – ED2 actuals'!$C:$C,0)+5)=0)=TRUE,"OK","ERR")</f>
        <v>OK</v>
      </c>
      <c r="N9" s="470" t="str" cm="1">
        <f t="array" ref="N9">IF(AND(INDEX('NARM5 – ED2 actuals'!$Y:$Y,MATCH($B9,'NARM5 – ED2 actuals'!$C:$C,0)+5)=0,INDEX('NARM5 – ED2 actuals'!$CX:$CX,MATCH($B9,'NARM5 – ED2 actuals'!$C:$C,0)+5)=0,INDEX('NARM5 – ED2 actuals'!$AT:$AT,MATCH($B9,'NARM5 – ED2 actuals'!$C:$C,0)+5)=0)=TRUE,"OK","ERR")</f>
        <v>OK</v>
      </c>
      <c r="O9" s="470" t="str" cm="1">
        <f t="array" ref="O9">IF(AND(INDEX('NARM5 – ED2 actuals'!$Y:$Y,MATCH($B9,'NARM5 – ED2 actuals'!$C:$C,0)+5)=0,INDEX('NARM5 – ED2 actuals'!$CX:$CX,MATCH($B9,'NARM5 – ED2 actuals'!$C:$C,0)+5)=0,INDEX('NARM5 – ED2 actuals'!$AT:$AT,MATCH($B9,'NARM5 – ED2 actuals'!$C:$C,0)+5)=0)=TRUE,"OK","ERR")</f>
        <v>OK</v>
      </c>
      <c r="P9" s="470" t="str" cm="1">
        <f t="array" ref="P9">IF(AND(INDEX('NARM5 – ED2 actuals'!$Y:$Y,MATCH($B9,'NARM5 – ED2 actuals'!$C:$C,0)+5)=0,INDEX('NARM5 – ED2 actuals'!$CX:$CX,MATCH($B9,'NARM5 – ED2 actuals'!$C:$C,0)+5)=0,INDEX('NARM5 – ED2 actuals'!$AT:$AT,MATCH($B9,'NARM5 – ED2 actuals'!$C:$C,0)+5)=0)=TRUE,"OK","ERR")</f>
        <v>OK</v>
      </c>
      <c r="Q9" s="469" t="str" cm="1">
        <f t="array" ref="Q9">IF(AND(INDEX('NARM5 – ED2 actuals'!$Y:$Y,MATCH($B9,'NARM5 – ED2 actuals'!$C:$C,0)+5)=0,INDEX('NARM5 – ED2 actuals'!$CX:$CX,MATCH($B9,'NARM5 – ED2 actuals'!$C:$C,0)+5)=0,INDEX('NARM5 – ED2 actuals'!$AT:$AT,MATCH($B9,'NARM5 – ED2 actuals'!$C:$C,0)+5)=0)=TRUE,"OK","ERR")</f>
        <v>OK</v>
      </c>
      <c r="R9" s="471" t="str">
        <f>IF((SUM(AssetReplacement_CurrentYear_yr1_4)=SUM(AssetReplacement_FutureYear_yr1_4))=TRUE,"OK","ERR")</f>
        <v>OK</v>
      </c>
      <c r="S9" s="470" t="str">
        <f>IF((SUM(AssetReplacement_CurrentYear_yr2_4)=SUM(AssetReplacement_FutureYear_yr2_4))=TRUE,"OK","ERR")</f>
        <v>OK</v>
      </c>
      <c r="T9" s="470" t="str">
        <f>IF((SUM(AssetReplacement_CurrentYear_yr3_4)=SUM(AssetReplacement_FutureYear_yr3_4))=TRUE,"OK","ERR")</f>
        <v>OK</v>
      </c>
      <c r="U9" s="470" t="str">
        <f>IF((SUM(AssetReplacement_CurrentYear_yr4_4)=SUM(AssetReplacement_FutureYear_yr4_4))=TRUE,"OK","ERR")</f>
        <v>OK</v>
      </c>
      <c r="V9" s="469" t="str">
        <f>IF((SUM(AssetReplacement_CurrentYear_yr5_4)=SUM(AssetReplacement_FutureYear_yr5_4))=TRUE,"OK","ERR")</f>
        <v>OK</v>
      </c>
    </row>
    <row r="10" spans="1:22">
      <c r="A10" s="483">
        <v>5</v>
      </c>
      <c r="B10" s="472" t="s">
        <v>173</v>
      </c>
      <c r="C10" s="471" t="str">
        <f>IF((COUNTIF(End_Of_Year_Yr1_5,"&lt;0")=0),"OK","ERR")</f>
        <v>OK</v>
      </c>
      <c r="D10" s="470" t="str">
        <f>IF((COUNTIF(End_Of_Year_Yr2_5,"&lt;0")=0),"OK","ERR")</f>
        <v>OK</v>
      </c>
      <c r="E10" s="470" t="str">
        <f>IF((COUNTIF(End_Of_Year_Yr3_5,"&lt;0")=0),"OK","ERR")</f>
        <v>OK</v>
      </c>
      <c r="F10" s="470" t="str">
        <f>IF((COUNTIF(End_Of_Year_Yr4_5,"&lt;0")=0),"OK","ERR")</f>
        <v>OK</v>
      </c>
      <c r="G10" s="469" t="str">
        <f>IF((COUNTIF(End_Of_Year_Yr5_5,"&lt;0")=0),"OK","ERR")</f>
        <v>OK</v>
      </c>
      <c r="H10" s="471" t="str">
        <f>IF((COUNTIF(Deterioration_yr1_5,"&lt;&gt;0")=0),"OK","ERR")</f>
        <v>OK</v>
      </c>
      <c r="I10" s="470" t="str">
        <f>IF((COUNTIF(Deterioration_yr2_5,"&lt;&gt;0")=0),"OK","ERR")</f>
        <v>OK</v>
      </c>
      <c r="J10" s="470" t="str">
        <f>IF((COUNTIF(Deterioration_yr3_5,"&lt;&gt;0")=0),"OK","ERR")</f>
        <v>OK</v>
      </c>
      <c r="K10" s="470" t="str">
        <f>IF((COUNTIF(Deterioration_yr4_5,"&lt;&gt;0")=0),"OK","ERR")</f>
        <v>OK</v>
      </c>
      <c r="L10" s="469" t="str">
        <f>IF((COUNTIF(Deterioration_yr5_5,"&lt;&gt;0")=0),"OK","ERR")</f>
        <v>OK</v>
      </c>
      <c r="M10" s="471" t="str" cm="1">
        <f t="array" ref="M10">IF(AND(INDEX('NARM5 – ED2 actuals'!$Y:$Y,MATCH($B10,'NARM5 – ED2 actuals'!$C:$C,0)+5)=0,INDEX('NARM5 – ED2 actuals'!$CX:$CX,MATCH($B10,'NARM5 – ED2 actuals'!$C:$C,0)+5)=0,INDEX('NARM5 – ED2 actuals'!$AT:$AT,MATCH($B10,'NARM5 – ED2 actuals'!$C:$C,0)+5)=0)=TRUE,"OK","ERR")</f>
        <v>OK</v>
      </c>
      <c r="N10" s="470" t="str" cm="1">
        <f t="array" ref="N10">IF(AND(INDEX('NARM5 – ED2 actuals'!$Y:$Y,MATCH($B10,'NARM5 – ED2 actuals'!$C:$C,0)+5)=0,INDEX('NARM5 – ED2 actuals'!$CX:$CX,MATCH($B10,'NARM5 – ED2 actuals'!$C:$C,0)+5)=0,INDEX('NARM5 – ED2 actuals'!$AT:$AT,MATCH($B10,'NARM5 – ED2 actuals'!$C:$C,0)+5)=0)=TRUE,"OK","ERR")</f>
        <v>OK</v>
      </c>
      <c r="O10" s="470" t="str" cm="1">
        <f t="array" ref="O10">IF(AND(INDEX('NARM5 – ED2 actuals'!$Y:$Y,MATCH($B10,'NARM5 – ED2 actuals'!$C:$C,0)+5)=0,INDEX('NARM5 – ED2 actuals'!$CX:$CX,MATCH($B10,'NARM5 – ED2 actuals'!$C:$C,0)+5)=0,INDEX('NARM5 – ED2 actuals'!$AT:$AT,MATCH($B10,'NARM5 – ED2 actuals'!$C:$C,0)+5)=0)=TRUE,"OK","ERR")</f>
        <v>OK</v>
      </c>
      <c r="P10" s="470" t="str" cm="1">
        <f t="array" ref="P10">IF(AND(INDEX('NARM5 – ED2 actuals'!$Y:$Y,MATCH($B10,'NARM5 – ED2 actuals'!$C:$C,0)+5)=0,INDEX('NARM5 – ED2 actuals'!$CX:$CX,MATCH($B10,'NARM5 – ED2 actuals'!$C:$C,0)+5)=0,INDEX('NARM5 – ED2 actuals'!$AT:$AT,MATCH($B10,'NARM5 – ED2 actuals'!$C:$C,0)+5)=0)=TRUE,"OK","ERR")</f>
        <v>OK</v>
      </c>
      <c r="Q10" s="469" t="str" cm="1">
        <f t="array" ref="Q10">IF(AND(INDEX('NARM5 – ED2 actuals'!$Y:$Y,MATCH($B10,'NARM5 – ED2 actuals'!$C:$C,0)+5)=0,INDEX('NARM5 – ED2 actuals'!$CX:$CX,MATCH($B10,'NARM5 – ED2 actuals'!$C:$C,0)+5)=0,INDEX('NARM5 – ED2 actuals'!$AT:$AT,MATCH($B10,'NARM5 – ED2 actuals'!$C:$C,0)+5)=0)=TRUE,"OK","ERR")</f>
        <v>OK</v>
      </c>
      <c r="R10" s="471" t="str">
        <f>IF((SUM(AssetReplacement_CurrentYear_yr1_5)=SUM(AssetReplacement_FutureYear_yr1_5))=TRUE,"OK","ERR")</f>
        <v>OK</v>
      </c>
      <c r="S10" s="470" t="str">
        <f>IF((SUM(AssetReplacement_CurrentYear_yr2_5)=SUM(AssetReplacement_FutureYear_yr2_5))=TRUE,"OK","ERR")</f>
        <v>OK</v>
      </c>
      <c r="T10" s="470" t="str">
        <f>IF((SUM(AssetReplacement_CurrentYear_yr3_5)=SUM(AssetReplacement_FutureYear_yr3_5))=TRUE,"OK","ERR")</f>
        <v>OK</v>
      </c>
      <c r="U10" s="470" t="str">
        <f>IF((SUM(AssetReplacement_CurrentYear_yr4_5)=SUM(AssetReplacement_FutureYear_yr4_5))=TRUE,"OK","ERR")</f>
        <v>OK</v>
      </c>
      <c r="V10" s="469" t="str">
        <f>IF((SUM(AssetReplacement_CurrentYear_yr5_5)=SUM(AssetReplacement_FutureYear_yr5_5))=TRUE,"OK","ERR")</f>
        <v>OK</v>
      </c>
    </row>
    <row r="11" spans="1:22">
      <c r="A11" s="483">
        <v>6</v>
      </c>
      <c r="B11" s="472" t="s">
        <v>67</v>
      </c>
      <c r="C11" s="471" t="str">
        <f>IF((COUNTIF(End_Of_Year_Yr1_6,"&lt;0")=0),"OK","ERR")</f>
        <v>OK</v>
      </c>
      <c r="D11" s="470" t="str">
        <f>IF((COUNTIF(End_Of_Year_Yr2_6,"&lt;0")=0),"OK","ERR")</f>
        <v>OK</v>
      </c>
      <c r="E11" s="470" t="str">
        <f>IF((COUNTIF(End_Of_Year_Yr3_6,"&lt;0")=0),"OK","ERR")</f>
        <v>OK</v>
      </c>
      <c r="F11" s="470" t="str">
        <f>IF((COUNTIF(End_Of_Year_Yr4_6,"&lt;0")=0),"OK","ERR")</f>
        <v>OK</v>
      </c>
      <c r="G11" s="469" t="str">
        <f>IF((COUNTIF(End_Of_Year_Yr5_6,"&lt;0")=0),"OK","ERR")</f>
        <v>OK</v>
      </c>
      <c r="H11" s="471" t="str">
        <f>IF((COUNTIF(Deterioration_yr1_6,"&lt;&gt;0")=0),"OK","ERR")</f>
        <v>OK</v>
      </c>
      <c r="I11" s="470" t="str">
        <f>IF((COUNTIF(Deterioration_yr2_6,"&lt;&gt;0")=0),"OK","ERR")</f>
        <v>OK</v>
      </c>
      <c r="J11" s="470" t="str">
        <f>IF((COUNTIF(Deterioration_yr3_6,"&lt;&gt;0")=0),"OK","ERR")</f>
        <v>OK</v>
      </c>
      <c r="K11" s="470" t="str">
        <f>IF((COUNTIF(Deterioration_yr4_6,"&lt;&gt;0")=0),"OK","ERR")</f>
        <v>OK</v>
      </c>
      <c r="L11" s="469" t="str">
        <f>IF((COUNTIF(Deterioration_yr5_6,"&lt;&gt;0")=0),"OK","ERR")</f>
        <v>OK</v>
      </c>
      <c r="M11" s="471" t="str" cm="1">
        <f t="array" ref="M11">IF(AND(INDEX('NARM5 – ED2 actuals'!$Y:$Y,MATCH($B11,'NARM5 – ED2 actuals'!$C:$C,0)+5)=0,INDEX('NARM5 – ED2 actuals'!$CX:$CX,MATCH($B11,'NARM5 – ED2 actuals'!$C:$C,0)+5)=0,INDEX('NARM5 – ED2 actuals'!$AT:$AT,MATCH($B11,'NARM5 – ED2 actuals'!$C:$C,0)+5)=0)=TRUE,"OK","ERR")</f>
        <v>OK</v>
      </c>
      <c r="N11" s="470" t="str" cm="1">
        <f t="array" ref="N11">IF(AND(INDEX('NARM5 – ED2 actuals'!$Y:$Y,MATCH($B11,'NARM5 – ED2 actuals'!$C:$C,0)+5)=0,INDEX('NARM5 – ED2 actuals'!$CX:$CX,MATCH($B11,'NARM5 – ED2 actuals'!$C:$C,0)+5)=0,INDEX('NARM5 – ED2 actuals'!$AT:$AT,MATCH($B11,'NARM5 – ED2 actuals'!$C:$C,0)+5)=0)=TRUE,"OK","ERR")</f>
        <v>OK</v>
      </c>
      <c r="O11" s="470" t="str" cm="1">
        <f t="array" ref="O11">IF(AND(INDEX('NARM5 – ED2 actuals'!$Y:$Y,MATCH($B11,'NARM5 – ED2 actuals'!$C:$C,0)+5)=0,INDEX('NARM5 – ED2 actuals'!$CX:$CX,MATCH($B11,'NARM5 – ED2 actuals'!$C:$C,0)+5)=0,INDEX('NARM5 – ED2 actuals'!$AT:$AT,MATCH($B11,'NARM5 – ED2 actuals'!$C:$C,0)+5)=0)=TRUE,"OK","ERR")</f>
        <v>OK</v>
      </c>
      <c r="P11" s="470" t="str" cm="1">
        <f t="array" ref="P11">IF(AND(INDEX('NARM5 – ED2 actuals'!$Y:$Y,MATCH($B11,'NARM5 – ED2 actuals'!$C:$C,0)+5)=0,INDEX('NARM5 – ED2 actuals'!$CX:$CX,MATCH($B11,'NARM5 – ED2 actuals'!$C:$C,0)+5)=0,INDEX('NARM5 – ED2 actuals'!$AT:$AT,MATCH($B11,'NARM5 – ED2 actuals'!$C:$C,0)+5)=0)=TRUE,"OK","ERR")</f>
        <v>OK</v>
      </c>
      <c r="Q11" s="469" t="str" cm="1">
        <f t="array" ref="Q11">IF(AND(INDEX('NARM5 – ED2 actuals'!$Y:$Y,MATCH($B11,'NARM5 – ED2 actuals'!$C:$C,0)+5)=0,INDEX('NARM5 – ED2 actuals'!$CX:$CX,MATCH($B11,'NARM5 – ED2 actuals'!$C:$C,0)+5)=0,INDEX('NARM5 – ED2 actuals'!$AT:$AT,MATCH($B11,'NARM5 – ED2 actuals'!$C:$C,0)+5)=0)=TRUE,"OK","ERR")</f>
        <v>OK</v>
      </c>
      <c r="R11" s="471" t="str">
        <f>IF((SUM(AssetReplacement_CurrentYear_yr1_6)=SUM(AssetReplacement_FutureYear_yr1_6))=TRUE,"OK","ERR")</f>
        <v>OK</v>
      </c>
      <c r="S11" s="470" t="str">
        <f>IF((SUM(AssetReplacement_CurrentYear_yr2_6)=SUM(AssetReplacement_FutureYear_yr2_6))=TRUE,"OK","ERR")</f>
        <v>OK</v>
      </c>
      <c r="T11" s="470" t="str">
        <f>IF((SUM(AssetReplacement_CurrentYear_yr3_6)=SUM(AssetReplacement_FutureYear_yr3_6))=TRUE,"OK","ERR")</f>
        <v>OK</v>
      </c>
      <c r="U11" s="470" t="str">
        <f>IF((SUM(AssetReplacement_CurrentYear_yr4_6)=SUM(AssetReplacement_FutureYear_yr4_6))=TRUE,"OK","ERR")</f>
        <v>OK</v>
      </c>
      <c r="V11" s="469" t="str">
        <f>IF((SUM(AssetReplacement_CurrentYear_yr5_6)=SUM(AssetReplacement_FutureYear_yr5_6))=TRUE,"OK","ERR")</f>
        <v>OK</v>
      </c>
    </row>
    <row r="12" spans="1:22">
      <c r="A12" s="483">
        <v>7</v>
      </c>
      <c r="B12" s="472" t="s">
        <v>68</v>
      </c>
      <c r="C12" s="471" t="str">
        <f>IF((COUNTIF(End_Of_Year_Yr1_7,"&lt;0")=0),"OK","ERR")</f>
        <v>OK</v>
      </c>
      <c r="D12" s="470" t="str">
        <f>IF((COUNTIF(End_Of_Year_Yr2_7,"&lt;0")=0),"OK","ERR")</f>
        <v>OK</v>
      </c>
      <c r="E12" s="470" t="str">
        <f>IF((COUNTIF(End_Of_Year_Yr3_7,"&lt;0")=0),"OK","ERR")</f>
        <v>OK</v>
      </c>
      <c r="F12" s="470" t="str">
        <f>IF((COUNTIF(End_Of_Year_Yr4_7,"&lt;0")=0),"OK","ERR")</f>
        <v>OK</v>
      </c>
      <c r="G12" s="469" t="str">
        <f>IF((COUNTIF(End_Of_Year_Yr5_7,"&lt;0")=0),"OK","ERR")</f>
        <v>OK</v>
      </c>
      <c r="H12" s="471" t="str">
        <f>IF((COUNTIF(Deterioration_yr1_7,"&lt;&gt;0")=0),"OK","ERR")</f>
        <v>OK</v>
      </c>
      <c r="I12" s="470" t="str">
        <f>IF((COUNTIF(Deterioration_yr2_7,"&lt;&gt;0")=0),"OK","ERR")</f>
        <v>OK</v>
      </c>
      <c r="J12" s="470" t="str">
        <f>IF((COUNTIF(Deterioration_yr3_7,"&lt;&gt;0")=0),"OK","ERR")</f>
        <v>OK</v>
      </c>
      <c r="K12" s="470" t="str">
        <f>IF((COUNTIF(Deterioration_yr4_7,"&lt;&gt;0")=0),"OK","ERR")</f>
        <v>OK</v>
      </c>
      <c r="L12" s="469" t="str">
        <f>IF((COUNTIF(Deterioration_yr5_7,"&lt;&gt;0")=0),"OK","ERR")</f>
        <v>OK</v>
      </c>
      <c r="M12" s="471" t="str" cm="1">
        <f t="array" ref="M12">IF(AND(INDEX('NARM5 – ED2 actuals'!$Y:$Y,MATCH($B12,'NARM5 – ED2 actuals'!$C:$C,0)+5)=0,INDEX('NARM5 – ED2 actuals'!$CX:$CX,MATCH($B12,'NARM5 – ED2 actuals'!$C:$C,0)+5)=0,INDEX('NARM5 – ED2 actuals'!$AT:$AT,MATCH($B12,'NARM5 – ED2 actuals'!$C:$C,0)+5)=0)=TRUE,"OK","ERR")</f>
        <v>OK</v>
      </c>
      <c r="N12" s="470" t="str" cm="1">
        <f t="array" ref="N12">IF(AND(INDEX('NARM5 – ED2 actuals'!$Y:$Y,MATCH($B12,'NARM5 – ED2 actuals'!$C:$C,0)+5)=0,INDEX('NARM5 – ED2 actuals'!$CX:$CX,MATCH($B12,'NARM5 – ED2 actuals'!$C:$C,0)+5)=0,INDEX('NARM5 – ED2 actuals'!$AT:$AT,MATCH($B12,'NARM5 – ED2 actuals'!$C:$C,0)+5)=0)=TRUE,"OK","ERR")</f>
        <v>OK</v>
      </c>
      <c r="O12" s="470" t="str" cm="1">
        <f t="array" ref="O12">IF(AND(INDEX('NARM5 – ED2 actuals'!$Y:$Y,MATCH($B12,'NARM5 – ED2 actuals'!$C:$C,0)+5)=0,INDEX('NARM5 – ED2 actuals'!$CX:$CX,MATCH($B12,'NARM5 – ED2 actuals'!$C:$C,0)+5)=0,INDEX('NARM5 – ED2 actuals'!$AT:$AT,MATCH($B12,'NARM5 – ED2 actuals'!$C:$C,0)+5)=0)=TRUE,"OK","ERR")</f>
        <v>OK</v>
      </c>
      <c r="P12" s="470" t="str" cm="1">
        <f t="array" ref="P12">IF(AND(INDEX('NARM5 – ED2 actuals'!$Y:$Y,MATCH($B12,'NARM5 – ED2 actuals'!$C:$C,0)+5)=0,INDEX('NARM5 – ED2 actuals'!$CX:$CX,MATCH($B12,'NARM5 – ED2 actuals'!$C:$C,0)+5)=0,INDEX('NARM5 – ED2 actuals'!$AT:$AT,MATCH($B12,'NARM5 – ED2 actuals'!$C:$C,0)+5)=0)=TRUE,"OK","ERR")</f>
        <v>OK</v>
      </c>
      <c r="Q12" s="469" t="str" cm="1">
        <f t="array" ref="Q12">IF(AND(INDEX('NARM5 – ED2 actuals'!$Y:$Y,MATCH($B12,'NARM5 – ED2 actuals'!$C:$C,0)+5)=0,INDEX('NARM5 – ED2 actuals'!$CX:$CX,MATCH($B12,'NARM5 – ED2 actuals'!$C:$C,0)+5)=0,INDEX('NARM5 – ED2 actuals'!$AT:$AT,MATCH($B12,'NARM5 – ED2 actuals'!$C:$C,0)+5)=0)=TRUE,"OK","ERR")</f>
        <v>OK</v>
      </c>
      <c r="R12" s="471" t="str">
        <f>IF((SUM(AssetReplacement_CurrentYear_yr1_7)=SUM(AssetReplacement_FutureYear_yr1_7))=TRUE,"OK","ERR")</f>
        <v>OK</v>
      </c>
      <c r="S12" s="470" t="str">
        <f>IF((SUM(AssetReplacement_CurrentYear_yr2_7)=SUM(AssetReplacement_FutureYear_yr2_7))=TRUE,"OK","ERR")</f>
        <v>OK</v>
      </c>
      <c r="T12" s="470" t="str">
        <f>IF((SUM(AssetReplacement_CurrentYear_yr3_7)=SUM(AssetReplacement_FutureYear_yr3_7))=TRUE,"OK","ERR")</f>
        <v>OK</v>
      </c>
      <c r="U12" s="470" t="str">
        <f>IF((SUM(AssetReplacement_CurrentYear_yr4_7)=SUM(AssetReplacement_FutureYear_yr4_7))=TRUE,"OK","ERR")</f>
        <v>OK</v>
      </c>
      <c r="V12" s="469" t="str">
        <f>IF((SUM(AssetReplacement_CurrentYear_yr5_7)=SUM(AssetReplacement_FutureYear_yr5_7))=TRUE,"OK","ERR")</f>
        <v>OK</v>
      </c>
    </row>
    <row r="13" spans="1:22">
      <c r="A13" s="483">
        <v>8</v>
      </c>
      <c r="B13" s="472" t="s">
        <v>69</v>
      </c>
      <c r="C13" s="471" t="str">
        <f>IF((COUNTIF(End_Of_Year_Yr1_8,"&lt;0")=0),"OK","ERR")</f>
        <v>OK</v>
      </c>
      <c r="D13" s="470" t="str">
        <f>IF((COUNTIF(End_Of_Year_Yr2_8,"&lt;0")=0),"OK","ERR")</f>
        <v>OK</v>
      </c>
      <c r="E13" s="470" t="str">
        <f>IF((COUNTIF(End_Of_Year_Yr3_8,"&lt;0")=0),"OK","ERR")</f>
        <v>OK</v>
      </c>
      <c r="F13" s="470" t="str">
        <f>IF((COUNTIF(End_Of_Year_Yr4_8,"&lt;0")=0),"OK","ERR")</f>
        <v>OK</v>
      </c>
      <c r="G13" s="469" t="str">
        <f>IF((COUNTIF(End_Of_Year_Yr5_8,"&lt;0")=0),"OK","ERR")</f>
        <v>OK</v>
      </c>
      <c r="H13" s="471" t="str">
        <f>IF((COUNTIF(Deterioration_yr1_8,"&lt;&gt;0")=0),"OK","ERR")</f>
        <v>OK</v>
      </c>
      <c r="I13" s="470" t="str">
        <f>IF((COUNTIF(Deterioration_yr2_8,"&lt;&gt;0")=0),"OK","ERR")</f>
        <v>OK</v>
      </c>
      <c r="J13" s="470" t="str">
        <f>IF((COUNTIF(Deterioration_yr3_8,"&lt;&gt;0")=0),"OK","ERR")</f>
        <v>OK</v>
      </c>
      <c r="K13" s="470" t="str">
        <f>IF((COUNTIF(Deterioration_yr4_8,"&lt;&gt;0")=0),"OK","ERR")</f>
        <v>OK</v>
      </c>
      <c r="L13" s="469" t="str">
        <f>IF((COUNTIF(Deterioration_yr5_8,"&lt;&gt;0")=0),"OK","ERR")</f>
        <v>OK</v>
      </c>
      <c r="M13" s="471" t="str" cm="1">
        <f t="array" ref="M13">IF(AND(INDEX('NARM5 – ED2 actuals'!$Y:$Y,MATCH($B13,'NARM5 – ED2 actuals'!$C:$C,0)+5)=0,INDEX('NARM5 – ED2 actuals'!$CX:$CX,MATCH($B13,'NARM5 – ED2 actuals'!$C:$C,0)+5)=0,INDEX('NARM5 – ED2 actuals'!$AT:$AT,MATCH($B13,'NARM5 – ED2 actuals'!$C:$C,0)+5)=0)=TRUE,"OK","ERR")</f>
        <v>OK</v>
      </c>
      <c r="N13" s="470" t="str" cm="1">
        <f t="array" ref="N13">IF(AND(INDEX('NARM5 – ED2 actuals'!$Y:$Y,MATCH($B13,'NARM5 – ED2 actuals'!$C:$C,0)+5)=0,INDEX('NARM5 – ED2 actuals'!$CX:$CX,MATCH($B13,'NARM5 – ED2 actuals'!$C:$C,0)+5)=0,INDEX('NARM5 – ED2 actuals'!$AT:$AT,MATCH($B13,'NARM5 – ED2 actuals'!$C:$C,0)+5)=0)=TRUE,"OK","ERR")</f>
        <v>OK</v>
      </c>
      <c r="O13" s="470" t="str" cm="1">
        <f t="array" ref="O13">IF(AND(INDEX('NARM5 – ED2 actuals'!$Y:$Y,MATCH($B13,'NARM5 – ED2 actuals'!$C:$C,0)+5)=0,INDEX('NARM5 – ED2 actuals'!$CX:$CX,MATCH($B13,'NARM5 – ED2 actuals'!$C:$C,0)+5)=0,INDEX('NARM5 – ED2 actuals'!$AT:$AT,MATCH($B13,'NARM5 – ED2 actuals'!$C:$C,0)+5)=0)=TRUE,"OK","ERR")</f>
        <v>OK</v>
      </c>
      <c r="P13" s="470" t="str" cm="1">
        <f t="array" ref="P13">IF(AND(INDEX('NARM5 – ED2 actuals'!$Y:$Y,MATCH($B13,'NARM5 – ED2 actuals'!$C:$C,0)+5)=0,INDEX('NARM5 – ED2 actuals'!$CX:$CX,MATCH($B13,'NARM5 – ED2 actuals'!$C:$C,0)+5)=0,INDEX('NARM5 – ED2 actuals'!$AT:$AT,MATCH($B13,'NARM5 – ED2 actuals'!$C:$C,0)+5)=0)=TRUE,"OK","ERR")</f>
        <v>OK</v>
      </c>
      <c r="Q13" s="469" t="str" cm="1">
        <f t="array" ref="Q13">IF(AND(INDEX('NARM5 – ED2 actuals'!$Y:$Y,MATCH($B13,'NARM5 – ED2 actuals'!$C:$C,0)+5)=0,INDEX('NARM5 – ED2 actuals'!$CX:$CX,MATCH($B13,'NARM5 – ED2 actuals'!$C:$C,0)+5)=0,INDEX('NARM5 – ED2 actuals'!$AT:$AT,MATCH($B13,'NARM5 – ED2 actuals'!$C:$C,0)+5)=0)=TRUE,"OK","ERR")</f>
        <v>OK</v>
      </c>
      <c r="R13" s="471" t="str">
        <f>IF((SUM(AssetReplacement_CurrentYear_yr1_8)=SUM(AssetReplacement_FutureYear_yr1_8))=TRUE,"OK","ERR")</f>
        <v>OK</v>
      </c>
      <c r="S13" s="470" t="str">
        <f>IF((SUM(AssetReplacement_CurrentYear_yr2_8)=SUM(AssetReplacement_FutureYear_yr2_8))=TRUE,"OK","ERR")</f>
        <v>OK</v>
      </c>
      <c r="T13" s="470" t="str">
        <f>IF((SUM(AssetReplacement_CurrentYear_yr3_8)=SUM(AssetReplacement_FutureYear_yr3_8))=TRUE,"OK","ERR")</f>
        <v>OK</v>
      </c>
      <c r="U13" s="470" t="str">
        <f>IF((SUM(AssetReplacement_CurrentYear_yr4_8)=SUM(AssetReplacement_FutureYear_yr4_8))=TRUE,"OK","ERR")</f>
        <v>OK</v>
      </c>
      <c r="V13" s="469" t="str">
        <f>IF((SUM(AssetReplacement_CurrentYear_yr5_8)=SUM(AssetReplacement_FutureYear_yr5_8))=TRUE,"OK","ERR")</f>
        <v>OK</v>
      </c>
    </row>
    <row r="14" spans="1:22">
      <c r="A14" s="483">
        <v>9</v>
      </c>
      <c r="B14" s="472" t="s">
        <v>70</v>
      </c>
      <c r="C14" s="471" t="str">
        <f>IF((COUNTIF(End_Of_Year_Yr1_9,"&lt;0")=0),"OK","ERR")</f>
        <v>OK</v>
      </c>
      <c r="D14" s="470" t="str">
        <f>IF((COUNTIF(End_Of_Year_Yr2_9,"&lt;0")=0),"OK","ERR")</f>
        <v>OK</v>
      </c>
      <c r="E14" s="470" t="str">
        <f>IF((COUNTIF(End_Of_Year_Yr3_9,"&lt;0")=0),"OK","ERR")</f>
        <v>OK</v>
      </c>
      <c r="F14" s="470" t="str">
        <f>IF((COUNTIF(End_Of_Year_Yr4_9,"&lt;0")=0),"OK","ERR")</f>
        <v>OK</v>
      </c>
      <c r="G14" s="469" t="str">
        <f>IF((COUNTIF(End_Of_Year_Yr5_9,"&lt;0")=0),"OK","ERR")</f>
        <v>OK</v>
      </c>
      <c r="H14" s="471" t="str">
        <f>IF((COUNTIF(Deterioration_yr1_9,"&lt;&gt;0")=0),"OK","ERR")</f>
        <v>OK</v>
      </c>
      <c r="I14" s="470" t="str">
        <f>IF((COUNTIF(Deterioration_yr2_9,"&lt;&gt;0")=0),"OK","ERR")</f>
        <v>OK</v>
      </c>
      <c r="J14" s="470" t="str">
        <f>IF((COUNTIF(Deterioration_yr3_9,"&lt;&gt;0")=0),"OK","ERR")</f>
        <v>OK</v>
      </c>
      <c r="K14" s="470" t="str">
        <f>IF((COUNTIF(Deterioration_yr4_9,"&lt;&gt;0")=0),"OK","ERR")</f>
        <v>OK</v>
      </c>
      <c r="L14" s="469" t="str">
        <f>IF((COUNTIF(Deterioration_yr5_9,"&lt;&gt;0")=0),"OK","ERR")</f>
        <v>OK</v>
      </c>
      <c r="M14" s="471" t="str" cm="1">
        <f t="array" ref="M14">IF(AND(INDEX('NARM5 – ED2 actuals'!$Y:$Y,MATCH($B14,'NARM5 – ED2 actuals'!$C:$C,0)+5)=0,INDEX('NARM5 – ED2 actuals'!$CX:$CX,MATCH($B14,'NARM5 – ED2 actuals'!$C:$C,0)+5)=0,INDEX('NARM5 – ED2 actuals'!$AT:$AT,MATCH($B14,'NARM5 – ED2 actuals'!$C:$C,0)+5)=0)=TRUE,"OK","ERR")</f>
        <v>OK</v>
      </c>
      <c r="N14" s="470" t="str" cm="1">
        <f t="array" ref="N14">IF(AND(INDEX('NARM5 – ED2 actuals'!$Y:$Y,MATCH($B14,'NARM5 – ED2 actuals'!$C:$C,0)+5)=0,INDEX('NARM5 – ED2 actuals'!$CX:$CX,MATCH($B14,'NARM5 – ED2 actuals'!$C:$C,0)+5)=0,INDEX('NARM5 – ED2 actuals'!$AT:$AT,MATCH($B14,'NARM5 – ED2 actuals'!$C:$C,0)+5)=0)=TRUE,"OK","ERR")</f>
        <v>OK</v>
      </c>
      <c r="O14" s="470" t="str" cm="1">
        <f t="array" ref="O14">IF(AND(INDEX('NARM5 – ED2 actuals'!$Y:$Y,MATCH($B14,'NARM5 – ED2 actuals'!$C:$C,0)+5)=0,INDEX('NARM5 – ED2 actuals'!$CX:$CX,MATCH($B14,'NARM5 – ED2 actuals'!$C:$C,0)+5)=0,INDEX('NARM5 – ED2 actuals'!$AT:$AT,MATCH($B14,'NARM5 – ED2 actuals'!$C:$C,0)+5)=0)=TRUE,"OK","ERR")</f>
        <v>OK</v>
      </c>
      <c r="P14" s="470" t="str" cm="1">
        <f t="array" ref="P14">IF(AND(INDEX('NARM5 – ED2 actuals'!$Y:$Y,MATCH($B14,'NARM5 – ED2 actuals'!$C:$C,0)+5)=0,INDEX('NARM5 – ED2 actuals'!$CX:$CX,MATCH($B14,'NARM5 – ED2 actuals'!$C:$C,0)+5)=0,INDEX('NARM5 – ED2 actuals'!$AT:$AT,MATCH($B14,'NARM5 – ED2 actuals'!$C:$C,0)+5)=0)=TRUE,"OK","ERR")</f>
        <v>OK</v>
      </c>
      <c r="Q14" s="469" t="str" cm="1">
        <f t="array" ref="Q14">IF(AND(INDEX('NARM5 – ED2 actuals'!$Y:$Y,MATCH($B14,'NARM5 – ED2 actuals'!$C:$C,0)+5)=0,INDEX('NARM5 – ED2 actuals'!$CX:$CX,MATCH($B14,'NARM5 – ED2 actuals'!$C:$C,0)+5)=0,INDEX('NARM5 – ED2 actuals'!$AT:$AT,MATCH($B14,'NARM5 – ED2 actuals'!$C:$C,0)+5)=0)=TRUE,"OK","ERR")</f>
        <v>OK</v>
      </c>
      <c r="R14" s="471" t="str">
        <f>IF((SUM(AssetReplacement_CurrentYear_yr1_9)=SUM(AssetReplacement_FutureYear_yr1_9))=TRUE,"OK","ERR")</f>
        <v>OK</v>
      </c>
      <c r="S14" s="470" t="str">
        <f>IF((SUM(AssetReplacement_CurrentYear_yr2_9)=SUM(AssetReplacement_FutureYear_yr2_9))=TRUE,"OK","ERR")</f>
        <v>OK</v>
      </c>
      <c r="T14" s="470" t="str">
        <f>IF((SUM(AssetReplacement_CurrentYear_yr3_9)=SUM(AssetReplacement_FutureYear_yr3_9))=TRUE,"OK","ERR")</f>
        <v>OK</v>
      </c>
      <c r="U14" s="470" t="str">
        <f>IF((SUM(AssetReplacement_CurrentYear_yr4_9)=SUM(AssetReplacement_FutureYear_yr4_9))=TRUE,"OK","ERR")</f>
        <v>OK</v>
      </c>
      <c r="V14" s="469" t="str">
        <f>IF((SUM(AssetReplacement_CurrentYear_yr5_9)=SUM(AssetReplacement_FutureYear_yr5_9))=TRUE,"OK","ERR")</f>
        <v>OK</v>
      </c>
    </row>
    <row r="15" spans="1:22">
      <c r="A15" s="483">
        <v>10</v>
      </c>
      <c r="B15" s="472" t="s">
        <v>71</v>
      </c>
      <c r="C15" s="471" t="str">
        <f>IF((COUNTIF(End_Of_Year_Yr1_10,"&lt;0")=0),"OK","ERR")</f>
        <v>OK</v>
      </c>
      <c r="D15" s="470" t="str">
        <f>IF((COUNTIF(End_Of_Year_Yr2_10,"&lt;0")=0),"OK","ERR")</f>
        <v>OK</v>
      </c>
      <c r="E15" s="470" t="str">
        <f>IF((COUNTIF(End_Of_Year_Yr3_10,"&lt;0")=0),"OK","ERR")</f>
        <v>OK</v>
      </c>
      <c r="F15" s="470" t="str">
        <f>IF((COUNTIF(End_Of_Year_Yr4_10,"&lt;0")=0),"OK","ERR")</f>
        <v>OK</v>
      </c>
      <c r="G15" s="469" t="str">
        <f>IF((COUNTIF(End_Of_Year_Yr5_10,"&lt;0")=0),"OK","ERR")</f>
        <v>OK</v>
      </c>
      <c r="H15" s="471" t="str">
        <f>IF((COUNTIF(Deterioration_yr1_10,"&lt;&gt;0")=0),"OK","ERR")</f>
        <v>OK</v>
      </c>
      <c r="I15" s="470" t="str">
        <f>IF((COUNTIF(Deterioration_yr2_10,"&lt;&gt;0")=0),"OK","ERR")</f>
        <v>OK</v>
      </c>
      <c r="J15" s="470" t="str">
        <f>IF((COUNTIF(Deterioration_yr3_10,"&lt;&gt;0")=0),"OK","ERR")</f>
        <v>OK</v>
      </c>
      <c r="K15" s="470" t="str">
        <f>IF((COUNTIF(Deterioration_yr4_10,"&lt;&gt;0")=0),"OK","ERR")</f>
        <v>OK</v>
      </c>
      <c r="L15" s="469" t="str">
        <f>IF((COUNTIF(Deterioration_yr5_10,"&lt;&gt;0")=0),"OK","ERR")</f>
        <v>OK</v>
      </c>
      <c r="M15" s="471" t="str" cm="1">
        <f t="array" ref="M15">IF(AND(INDEX('NARM5 – ED2 actuals'!$Y:$Y,MATCH($B15,'NARM5 – ED2 actuals'!$C:$C,0)+5)=0,INDEX('NARM5 – ED2 actuals'!$CX:$CX,MATCH($B15,'NARM5 – ED2 actuals'!$C:$C,0)+5)=0,INDEX('NARM5 – ED2 actuals'!$AT:$AT,MATCH($B15,'NARM5 – ED2 actuals'!$C:$C,0)+5)=0)=TRUE,"OK","ERR")</f>
        <v>OK</v>
      </c>
      <c r="N15" s="470" t="str" cm="1">
        <f t="array" ref="N15">IF(AND(INDEX('NARM5 – ED2 actuals'!$Y:$Y,MATCH($B15,'NARM5 – ED2 actuals'!$C:$C,0)+5)=0,INDEX('NARM5 – ED2 actuals'!$CX:$CX,MATCH($B15,'NARM5 – ED2 actuals'!$C:$C,0)+5)=0,INDEX('NARM5 – ED2 actuals'!$AT:$AT,MATCH($B15,'NARM5 – ED2 actuals'!$C:$C,0)+5)=0)=TRUE,"OK","ERR")</f>
        <v>OK</v>
      </c>
      <c r="O15" s="470" t="str" cm="1">
        <f t="array" ref="O15">IF(AND(INDEX('NARM5 – ED2 actuals'!$Y:$Y,MATCH($B15,'NARM5 – ED2 actuals'!$C:$C,0)+5)=0,INDEX('NARM5 – ED2 actuals'!$CX:$CX,MATCH($B15,'NARM5 – ED2 actuals'!$C:$C,0)+5)=0,INDEX('NARM5 – ED2 actuals'!$AT:$AT,MATCH($B15,'NARM5 – ED2 actuals'!$C:$C,0)+5)=0)=TRUE,"OK","ERR")</f>
        <v>OK</v>
      </c>
      <c r="P15" s="470" t="str" cm="1">
        <f t="array" ref="P15">IF(AND(INDEX('NARM5 – ED2 actuals'!$Y:$Y,MATCH($B15,'NARM5 – ED2 actuals'!$C:$C,0)+5)=0,INDEX('NARM5 – ED2 actuals'!$CX:$CX,MATCH($B15,'NARM5 – ED2 actuals'!$C:$C,0)+5)=0,INDEX('NARM5 – ED2 actuals'!$AT:$AT,MATCH($B15,'NARM5 – ED2 actuals'!$C:$C,0)+5)=0)=TRUE,"OK","ERR")</f>
        <v>OK</v>
      </c>
      <c r="Q15" s="469" t="str" cm="1">
        <f t="array" ref="Q15">IF(AND(INDEX('NARM5 – ED2 actuals'!$Y:$Y,MATCH($B15,'NARM5 – ED2 actuals'!$C:$C,0)+5)=0,INDEX('NARM5 – ED2 actuals'!$CX:$CX,MATCH($B15,'NARM5 – ED2 actuals'!$C:$C,0)+5)=0,INDEX('NARM5 – ED2 actuals'!$AT:$AT,MATCH($B15,'NARM5 – ED2 actuals'!$C:$C,0)+5)=0)=TRUE,"OK","ERR")</f>
        <v>OK</v>
      </c>
      <c r="R15" s="471" t="str">
        <f>IF((SUM(AssetReplacement_CurrentYear_yr1_10)=SUM(AssetReplacement_FutureYear_yr1_10))=TRUE,"OK","ERR")</f>
        <v>OK</v>
      </c>
      <c r="S15" s="470" t="str">
        <f>IF((SUM(AssetReplacement_CurrentYear_yr2_10)=SUM(AssetReplacement_FutureYear_yr2_10))=TRUE,"OK","ERR")</f>
        <v>OK</v>
      </c>
      <c r="T15" s="470" t="str">
        <f>IF((SUM(AssetReplacement_CurrentYear_yr3_10)=SUM(AssetReplacement_FutureYear_yr3_10))=TRUE,"OK","ERR")</f>
        <v>OK</v>
      </c>
      <c r="U15" s="470" t="str">
        <f>IF((SUM(AssetReplacement_CurrentYear_yr4_10)=SUM(AssetReplacement_FutureYear_yr4_10))=TRUE,"OK","ERR")</f>
        <v>OK</v>
      </c>
      <c r="V15" s="469" t="str">
        <f>IF((SUM(AssetReplacement_CurrentYear_yr5_10)=SUM(AssetReplacement_FutureYear_yr5_10))=TRUE,"OK","ERR")</f>
        <v>OK</v>
      </c>
    </row>
    <row r="16" spans="1:22">
      <c r="A16" s="483">
        <v>11</v>
      </c>
      <c r="B16" s="472" t="s">
        <v>72</v>
      </c>
      <c r="C16" s="471" t="str">
        <f>IF((COUNTIF(End_Of_Year_Yr1_11,"&lt;0")=0),"OK","ERR")</f>
        <v>OK</v>
      </c>
      <c r="D16" s="470" t="str">
        <f>IF((COUNTIF(End_Of_Year_Yr2_11,"&lt;0")=0),"OK","ERR")</f>
        <v>OK</v>
      </c>
      <c r="E16" s="470" t="str">
        <f>IF((COUNTIF(End_Of_Year_Yr3_11,"&lt;0")=0),"OK","ERR")</f>
        <v>OK</v>
      </c>
      <c r="F16" s="470" t="str">
        <f>IF((COUNTIF(End_Of_Year_Yr4_11,"&lt;0")=0),"OK","ERR")</f>
        <v>OK</v>
      </c>
      <c r="G16" s="469" t="str">
        <f>IF((COUNTIF(End_Of_Year_Yr5_11,"&lt;0")=0),"OK","ERR")</f>
        <v>OK</v>
      </c>
      <c r="H16" s="471" t="str">
        <f>IF((COUNTIF(Deterioration_yr1_11,"&lt;&gt;0")=0),"OK","ERR")</f>
        <v>OK</v>
      </c>
      <c r="I16" s="470" t="str">
        <f>IF((COUNTIF(Deterioration_yr2_11,"&lt;&gt;0")=0),"OK","ERR")</f>
        <v>OK</v>
      </c>
      <c r="J16" s="470" t="str">
        <f>IF((COUNTIF(Deterioration_yr3_11,"&lt;&gt;0")=0),"OK","ERR")</f>
        <v>OK</v>
      </c>
      <c r="K16" s="470" t="str">
        <f>IF((COUNTIF(Deterioration_yr4_11,"&lt;&gt;0")=0),"OK","ERR")</f>
        <v>OK</v>
      </c>
      <c r="L16" s="469" t="str">
        <f>IF((COUNTIF(Deterioration_yr5_11,"&lt;&gt;0")=0),"OK","ERR")</f>
        <v>OK</v>
      </c>
      <c r="M16" s="471" t="str" cm="1">
        <f t="array" ref="M16">IF(AND(INDEX('NARM5 – ED2 actuals'!$Y:$Y,MATCH($B16,'NARM5 – ED2 actuals'!$C:$C,0)+5)=0,INDEX('NARM5 – ED2 actuals'!$CX:$CX,MATCH($B16,'NARM5 – ED2 actuals'!$C:$C,0)+5)=0,INDEX('NARM5 – ED2 actuals'!$AT:$AT,MATCH($B16,'NARM5 – ED2 actuals'!$C:$C,0)+5)=0)=TRUE,"OK","ERR")</f>
        <v>OK</v>
      </c>
      <c r="N16" s="470" t="str" cm="1">
        <f t="array" ref="N16">IF(AND(INDEX('NARM5 – ED2 actuals'!$Y:$Y,MATCH($B16,'NARM5 – ED2 actuals'!$C:$C,0)+5)=0,INDEX('NARM5 – ED2 actuals'!$CX:$CX,MATCH($B16,'NARM5 – ED2 actuals'!$C:$C,0)+5)=0,INDEX('NARM5 – ED2 actuals'!$AT:$AT,MATCH($B16,'NARM5 – ED2 actuals'!$C:$C,0)+5)=0)=TRUE,"OK","ERR")</f>
        <v>OK</v>
      </c>
      <c r="O16" s="470" t="str" cm="1">
        <f t="array" ref="O16">IF(AND(INDEX('NARM5 – ED2 actuals'!$Y:$Y,MATCH($B16,'NARM5 – ED2 actuals'!$C:$C,0)+5)=0,INDEX('NARM5 – ED2 actuals'!$CX:$CX,MATCH($B16,'NARM5 – ED2 actuals'!$C:$C,0)+5)=0,INDEX('NARM5 – ED2 actuals'!$AT:$AT,MATCH($B16,'NARM5 – ED2 actuals'!$C:$C,0)+5)=0)=TRUE,"OK","ERR")</f>
        <v>OK</v>
      </c>
      <c r="P16" s="470" t="str" cm="1">
        <f t="array" ref="P16">IF(AND(INDEX('NARM5 – ED2 actuals'!$Y:$Y,MATCH($B16,'NARM5 – ED2 actuals'!$C:$C,0)+5)=0,INDEX('NARM5 – ED2 actuals'!$CX:$CX,MATCH($B16,'NARM5 – ED2 actuals'!$C:$C,0)+5)=0,INDEX('NARM5 – ED2 actuals'!$AT:$AT,MATCH($B16,'NARM5 – ED2 actuals'!$C:$C,0)+5)=0)=TRUE,"OK","ERR")</f>
        <v>OK</v>
      </c>
      <c r="Q16" s="469" t="str" cm="1">
        <f t="array" ref="Q16">IF(AND(INDEX('NARM5 – ED2 actuals'!$Y:$Y,MATCH($B16,'NARM5 – ED2 actuals'!$C:$C,0)+5)=0,INDEX('NARM5 – ED2 actuals'!$CX:$CX,MATCH($B16,'NARM5 – ED2 actuals'!$C:$C,0)+5)=0,INDEX('NARM5 – ED2 actuals'!$AT:$AT,MATCH($B16,'NARM5 – ED2 actuals'!$C:$C,0)+5)=0)=TRUE,"OK","ERR")</f>
        <v>OK</v>
      </c>
      <c r="R16" s="471" t="str">
        <f>IF((SUM(AssetReplacement_CurrentYear_yr1_11)=SUM(AssetReplacement_FutureYear_yr1_11))=TRUE,"OK","ERR")</f>
        <v>OK</v>
      </c>
      <c r="S16" s="470" t="str">
        <f>IF((SUM(AssetReplacement_CurrentYear_yr2_11)=SUM(AssetReplacement_FutureYear_yr2_11))=TRUE,"OK","ERR")</f>
        <v>OK</v>
      </c>
      <c r="T16" s="470" t="str">
        <f>IF((SUM(AssetReplacement_CurrentYear_yr3_11)=SUM(AssetReplacement_FutureYear_yr3_11))=TRUE,"OK","ERR")</f>
        <v>OK</v>
      </c>
      <c r="U16" s="470" t="str">
        <f>IF((SUM(AssetReplacement_CurrentYear_yr4_11)=SUM(AssetReplacement_FutureYear_yr4_11))=TRUE,"OK","ERR")</f>
        <v>OK</v>
      </c>
      <c r="V16" s="469" t="str">
        <f>IF((SUM(AssetReplacement_CurrentYear_yr5_11)=SUM(AssetReplacement_FutureYear_yr5_11))=TRUE,"OK","ERR")</f>
        <v>OK</v>
      </c>
    </row>
    <row r="17" spans="1:22">
      <c r="A17" s="483">
        <v>12</v>
      </c>
      <c r="B17" s="472" t="s">
        <v>73</v>
      </c>
      <c r="C17" s="471" t="str">
        <f>IF((COUNTIF(End_Of_Year_Yr1_12,"&lt;0")=0),"OK","ERR")</f>
        <v>OK</v>
      </c>
      <c r="D17" s="470" t="str">
        <f>IF((COUNTIF(End_Of_Year_Yr2_12,"&lt;0")=0),"OK","ERR")</f>
        <v>OK</v>
      </c>
      <c r="E17" s="470" t="str">
        <f>IF((COUNTIF(End_Of_Year_Yr3_12,"&lt;0")=0),"OK","ERR")</f>
        <v>OK</v>
      </c>
      <c r="F17" s="470" t="str">
        <f>IF((COUNTIF(End_Of_Year_Yr4_12,"&lt;0")=0),"OK","ERR")</f>
        <v>OK</v>
      </c>
      <c r="G17" s="469" t="str">
        <f>IF((COUNTIF(End_Of_Year_Yr5_12,"&lt;0")=0),"OK","ERR")</f>
        <v>OK</v>
      </c>
      <c r="H17" s="471" t="str">
        <f>IF((COUNTIF(Deterioration_yr1_12,"&lt;&gt;0")=0),"OK","ERR")</f>
        <v>OK</v>
      </c>
      <c r="I17" s="470" t="str">
        <f>IF((COUNTIF(Deterioration_yr2_12,"&lt;&gt;0")=0),"OK","ERR")</f>
        <v>OK</v>
      </c>
      <c r="J17" s="470" t="str">
        <f>IF((COUNTIF(Deterioration_yr3_12,"&lt;&gt;0")=0),"OK","ERR")</f>
        <v>OK</v>
      </c>
      <c r="K17" s="470" t="str">
        <f>IF((COUNTIF(Deterioration_yr4_12,"&lt;&gt;0")=0),"OK","ERR")</f>
        <v>OK</v>
      </c>
      <c r="L17" s="469" t="str">
        <f>IF((COUNTIF(Deterioration_yr5_12,"&lt;&gt;0")=0),"OK","ERR")</f>
        <v>OK</v>
      </c>
      <c r="M17" s="471" t="str" cm="1">
        <f t="array" ref="M17">IF(AND(INDEX('NARM5 – ED2 actuals'!$Y:$Y,MATCH($B17,'NARM5 – ED2 actuals'!$C:$C,0)+5)=0,INDEX('NARM5 – ED2 actuals'!$CX:$CX,MATCH($B17,'NARM5 – ED2 actuals'!$C:$C,0)+5)=0,INDEX('NARM5 – ED2 actuals'!$AT:$AT,MATCH($B17,'NARM5 – ED2 actuals'!$C:$C,0)+5)=0)=TRUE,"OK","ERR")</f>
        <v>OK</v>
      </c>
      <c r="N17" s="470" t="str" cm="1">
        <f t="array" ref="N17">IF(AND(INDEX('NARM5 – ED2 actuals'!$Y:$Y,MATCH($B17,'NARM5 – ED2 actuals'!$C:$C,0)+5)=0,INDEX('NARM5 – ED2 actuals'!$CX:$CX,MATCH($B17,'NARM5 – ED2 actuals'!$C:$C,0)+5)=0,INDEX('NARM5 – ED2 actuals'!$AT:$AT,MATCH($B17,'NARM5 – ED2 actuals'!$C:$C,0)+5)=0)=TRUE,"OK","ERR")</f>
        <v>OK</v>
      </c>
      <c r="O17" s="470" t="str" cm="1">
        <f t="array" ref="O17">IF(AND(INDEX('NARM5 – ED2 actuals'!$Y:$Y,MATCH($B17,'NARM5 – ED2 actuals'!$C:$C,0)+5)=0,INDEX('NARM5 – ED2 actuals'!$CX:$CX,MATCH($B17,'NARM5 – ED2 actuals'!$C:$C,0)+5)=0,INDEX('NARM5 – ED2 actuals'!$AT:$AT,MATCH($B17,'NARM5 – ED2 actuals'!$C:$C,0)+5)=0)=TRUE,"OK","ERR")</f>
        <v>OK</v>
      </c>
      <c r="P17" s="470" t="str" cm="1">
        <f t="array" ref="P17">IF(AND(INDEX('NARM5 – ED2 actuals'!$Y:$Y,MATCH($B17,'NARM5 – ED2 actuals'!$C:$C,0)+5)=0,INDEX('NARM5 – ED2 actuals'!$CX:$CX,MATCH($B17,'NARM5 – ED2 actuals'!$C:$C,0)+5)=0,INDEX('NARM5 – ED2 actuals'!$AT:$AT,MATCH($B17,'NARM5 – ED2 actuals'!$C:$C,0)+5)=0)=TRUE,"OK","ERR")</f>
        <v>OK</v>
      </c>
      <c r="Q17" s="469" t="str" cm="1">
        <f t="array" ref="Q17">IF(AND(INDEX('NARM5 – ED2 actuals'!$Y:$Y,MATCH($B17,'NARM5 – ED2 actuals'!$C:$C,0)+5)=0,INDEX('NARM5 – ED2 actuals'!$CX:$CX,MATCH($B17,'NARM5 – ED2 actuals'!$C:$C,0)+5)=0,INDEX('NARM5 – ED2 actuals'!$AT:$AT,MATCH($B17,'NARM5 – ED2 actuals'!$C:$C,0)+5)=0)=TRUE,"OK","ERR")</f>
        <v>OK</v>
      </c>
      <c r="R17" s="471" t="str">
        <f>IF((SUM(AssetReplacement_CurrentYear_yr1_12)=SUM(AssetReplacement_FutureYear_yr1_12))=TRUE,"OK","ERR")</f>
        <v>OK</v>
      </c>
      <c r="S17" s="470" t="str">
        <f>IF((SUM(AssetReplacement_CurrentYear_yr2_12)=SUM(AssetReplacement_FutureYear_yr2_12))=TRUE,"OK","ERR")</f>
        <v>OK</v>
      </c>
      <c r="T17" s="470" t="str">
        <f>IF((SUM(AssetReplacement_CurrentYear_yr3_12)=SUM(AssetReplacement_FutureYear_yr3_12))=TRUE,"OK","ERR")</f>
        <v>OK</v>
      </c>
      <c r="U17" s="470" t="str">
        <f>IF((SUM(AssetReplacement_CurrentYear_yr4_12)=SUM(AssetReplacement_FutureYear_yr4_12))=TRUE,"OK","ERR")</f>
        <v>OK</v>
      </c>
      <c r="V17" s="469" t="str">
        <f>IF((SUM(AssetReplacement_CurrentYear_yr5_12)=SUM(AssetReplacement_FutureYear_yr5_12))=TRUE,"OK","ERR")</f>
        <v>OK</v>
      </c>
    </row>
    <row r="18" spans="1:22">
      <c r="A18" s="483">
        <v>13</v>
      </c>
      <c r="B18" s="472" t="s">
        <v>74</v>
      </c>
      <c r="C18" s="471" t="str">
        <f>IF((COUNTIF(End_Of_Year_Yr1_13,"&lt;0")=0),"OK","ERR")</f>
        <v>OK</v>
      </c>
      <c r="D18" s="470" t="str">
        <f>IF((COUNTIF(End_Of_Year_Yr2_13,"&lt;0")=0),"OK","ERR")</f>
        <v>OK</v>
      </c>
      <c r="E18" s="470" t="str">
        <f>IF((COUNTIF(End_Of_Year_Yr3_13,"&lt;0")=0),"OK","ERR")</f>
        <v>OK</v>
      </c>
      <c r="F18" s="470" t="str">
        <f>IF((COUNTIF(End_Of_Year_Yr4_13,"&lt;0")=0),"OK","ERR")</f>
        <v>OK</v>
      </c>
      <c r="G18" s="469" t="str">
        <f>IF((COUNTIF(End_Of_Year_Yr5_13,"&lt;0")=0),"OK","ERR")</f>
        <v>OK</v>
      </c>
      <c r="H18" s="471" t="str">
        <f>IF((COUNTIF(Deterioration_yr1_13,"&lt;&gt;0")=0),"OK","ERR")</f>
        <v>OK</v>
      </c>
      <c r="I18" s="470" t="str">
        <f>IF((COUNTIF(Deterioration_yr2_13,"&lt;&gt;0")=0),"OK","ERR")</f>
        <v>OK</v>
      </c>
      <c r="J18" s="470" t="str">
        <f>IF((COUNTIF(Deterioration_yr3_13,"&lt;&gt;0")=0),"OK","ERR")</f>
        <v>OK</v>
      </c>
      <c r="K18" s="470" t="str">
        <f>IF((COUNTIF(Deterioration_yr4_13,"&lt;&gt;0")=0),"OK","ERR")</f>
        <v>OK</v>
      </c>
      <c r="L18" s="469" t="str">
        <f>IF((COUNTIF(Deterioration_yr5_13,"&lt;&gt;0")=0),"OK","ERR")</f>
        <v>OK</v>
      </c>
      <c r="M18" s="471" t="str" cm="1">
        <f t="array" ref="M18">IF(AND(INDEX('NARM5 – ED2 actuals'!$Y:$Y,MATCH($B18,'NARM5 – ED2 actuals'!$C:$C,0)+5)=0,INDEX('NARM5 – ED2 actuals'!$CX:$CX,MATCH($B18,'NARM5 – ED2 actuals'!$C:$C,0)+5)=0,INDEX('NARM5 – ED2 actuals'!$AT:$AT,MATCH($B18,'NARM5 – ED2 actuals'!$C:$C,0)+5)=0)=TRUE,"OK","ERR")</f>
        <v>OK</v>
      </c>
      <c r="N18" s="470" t="str" cm="1">
        <f t="array" ref="N18">IF(AND(INDEX('NARM5 – ED2 actuals'!$Y:$Y,MATCH($B18,'NARM5 – ED2 actuals'!$C:$C,0)+5)=0,INDEX('NARM5 – ED2 actuals'!$CX:$CX,MATCH($B18,'NARM5 – ED2 actuals'!$C:$C,0)+5)=0,INDEX('NARM5 – ED2 actuals'!$AT:$AT,MATCH($B18,'NARM5 – ED2 actuals'!$C:$C,0)+5)=0)=TRUE,"OK","ERR")</f>
        <v>OK</v>
      </c>
      <c r="O18" s="470" t="str" cm="1">
        <f t="array" ref="O18">IF(AND(INDEX('NARM5 – ED2 actuals'!$Y:$Y,MATCH($B18,'NARM5 – ED2 actuals'!$C:$C,0)+5)=0,INDEX('NARM5 – ED2 actuals'!$CX:$CX,MATCH($B18,'NARM5 – ED2 actuals'!$C:$C,0)+5)=0,INDEX('NARM5 – ED2 actuals'!$AT:$AT,MATCH($B18,'NARM5 – ED2 actuals'!$C:$C,0)+5)=0)=TRUE,"OK","ERR")</f>
        <v>OK</v>
      </c>
      <c r="P18" s="470" t="str" cm="1">
        <f t="array" ref="P18">IF(AND(INDEX('NARM5 – ED2 actuals'!$Y:$Y,MATCH($B18,'NARM5 – ED2 actuals'!$C:$C,0)+5)=0,INDEX('NARM5 – ED2 actuals'!$CX:$CX,MATCH($B18,'NARM5 – ED2 actuals'!$C:$C,0)+5)=0,INDEX('NARM5 – ED2 actuals'!$AT:$AT,MATCH($B18,'NARM5 – ED2 actuals'!$C:$C,0)+5)=0)=TRUE,"OK","ERR")</f>
        <v>OK</v>
      </c>
      <c r="Q18" s="469" t="str" cm="1">
        <f t="array" ref="Q18">IF(AND(INDEX('NARM5 – ED2 actuals'!$Y:$Y,MATCH($B18,'NARM5 – ED2 actuals'!$C:$C,0)+5)=0,INDEX('NARM5 – ED2 actuals'!$CX:$CX,MATCH($B18,'NARM5 – ED2 actuals'!$C:$C,0)+5)=0,INDEX('NARM5 – ED2 actuals'!$AT:$AT,MATCH($B18,'NARM5 – ED2 actuals'!$C:$C,0)+5)=0)=TRUE,"OK","ERR")</f>
        <v>OK</v>
      </c>
      <c r="R18" s="471" t="str">
        <f>IF((SUM(AssetReplacement_CurrentYear_yr1_13)=SUM(AssetReplacement_FutureYear_yr1_13))=TRUE,"OK","ERR")</f>
        <v>OK</v>
      </c>
      <c r="S18" s="470" t="str">
        <f>IF((SUM(AssetReplacement_CurrentYear_yr2_13)=SUM(AssetReplacement_FutureYear_yr2_13))=TRUE,"OK","ERR")</f>
        <v>OK</v>
      </c>
      <c r="T18" s="470" t="str">
        <f>IF((SUM(AssetReplacement_CurrentYear_yr3_13)=SUM(AssetReplacement_FutureYear_yr3_13))=TRUE,"OK","ERR")</f>
        <v>OK</v>
      </c>
      <c r="U18" s="470" t="str">
        <f>IF((SUM(AssetReplacement_CurrentYear_yr4_13)=SUM(AssetReplacement_FutureYear_yr4_13))=TRUE,"OK","ERR")</f>
        <v>OK</v>
      </c>
      <c r="V18" s="469" t="str">
        <f>IF((SUM(AssetReplacement_CurrentYear_yr5_13)=SUM(AssetReplacement_FutureYear_yr5_13))=TRUE,"OK","ERR")</f>
        <v>OK</v>
      </c>
    </row>
    <row r="19" spans="1:22">
      <c r="A19" s="483">
        <v>14</v>
      </c>
      <c r="B19" s="472" t="s">
        <v>75</v>
      </c>
      <c r="C19" s="471" t="str">
        <f>IF((COUNTIF(End_Of_Year_Yr1_14,"&lt;0")=0),"OK","ERR")</f>
        <v>OK</v>
      </c>
      <c r="D19" s="470" t="str">
        <f>IF((COUNTIF(End_Of_Year_Yr2_14,"&lt;0")=0),"OK","ERR")</f>
        <v>OK</v>
      </c>
      <c r="E19" s="470" t="str">
        <f>IF((COUNTIF(End_Of_Year_Yr3_14,"&lt;0")=0),"OK","ERR")</f>
        <v>OK</v>
      </c>
      <c r="F19" s="470" t="str">
        <f>IF((COUNTIF(End_Of_Year_Yr4_14,"&lt;0")=0),"OK","ERR")</f>
        <v>OK</v>
      </c>
      <c r="G19" s="469" t="str">
        <f>IF((COUNTIF(End_Of_Year_Yr5_14,"&lt;0")=0),"OK","ERR")</f>
        <v>OK</v>
      </c>
      <c r="H19" s="471" t="str">
        <f>IF((COUNTIF(Deterioration_yr1_14,"&lt;&gt;0")=0),"OK","ERR")</f>
        <v>OK</v>
      </c>
      <c r="I19" s="470" t="str">
        <f>IF((COUNTIF(Deterioration_yr2_14,"&lt;&gt;0")=0),"OK","ERR")</f>
        <v>OK</v>
      </c>
      <c r="J19" s="470" t="str">
        <f>IF((COUNTIF(Deterioration_yr3_14,"&lt;&gt;0")=0),"OK","ERR")</f>
        <v>OK</v>
      </c>
      <c r="K19" s="470" t="str">
        <f>IF((COUNTIF(Deterioration_yr4_14,"&lt;&gt;0")=0),"OK","ERR")</f>
        <v>OK</v>
      </c>
      <c r="L19" s="469" t="str">
        <f>IF((COUNTIF(Deterioration_yr5_14,"&lt;&gt;0")=0),"OK","ERR")</f>
        <v>OK</v>
      </c>
      <c r="M19" s="471" t="str" cm="1">
        <f t="array" ref="M19">IF(AND(INDEX('NARM5 – ED2 actuals'!$Y:$Y,MATCH($B19,'NARM5 – ED2 actuals'!$C:$C,0)+5)=0,INDEX('NARM5 – ED2 actuals'!$CX:$CX,MATCH($B19,'NARM5 – ED2 actuals'!$C:$C,0)+5)=0,INDEX('NARM5 – ED2 actuals'!$AT:$AT,MATCH($B19,'NARM5 – ED2 actuals'!$C:$C,0)+5)=0)=TRUE,"OK","ERR")</f>
        <v>OK</v>
      </c>
      <c r="N19" s="470" t="str" cm="1">
        <f t="array" ref="N19">IF(AND(INDEX('NARM5 – ED2 actuals'!$Y:$Y,MATCH($B19,'NARM5 – ED2 actuals'!$C:$C,0)+5)=0,INDEX('NARM5 – ED2 actuals'!$CX:$CX,MATCH($B19,'NARM5 – ED2 actuals'!$C:$C,0)+5)=0,INDEX('NARM5 – ED2 actuals'!$AT:$AT,MATCH($B19,'NARM5 – ED2 actuals'!$C:$C,0)+5)=0)=TRUE,"OK","ERR")</f>
        <v>OK</v>
      </c>
      <c r="O19" s="470" t="str" cm="1">
        <f t="array" ref="O19">IF(AND(INDEX('NARM5 – ED2 actuals'!$Y:$Y,MATCH($B19,'NARM5 – ED2 actuals'!$C:$C,0)+5)=0,INDEX('NARM5 – ED2 actuals'!$CX:$CX,MATCH($B19,'NARM5 – ED2 actuals'!$C:$C,0)+5)=0,INDEX('NARM5 – ED2 actuals'!$AT:$AT,MATCH($B19,'NARM5 – ED2 actuals'!$C:$C,0)+5)=0)=TRUE,"OK","ERR")</f>
        <v>OK</v>
      </c>
      <c r="P19" s="470" t="str" cm="1">
        <f t="array" ref="P19">IF(AND(INDEX('NARM5 – ED2 actuals'!$Y:$Y,MATCH($B19,'NARM5 – ED2 actuals'!$C:$C,0)+5)=0,INDEX('NARM5 – ED2 actuals'!$CX:$CX,MATCH($B19,'NARM5 – ED2 actuals'!$C:$C,0)+5)=0,INDEX('NARM5 – ED2 actuals'!$AT:$AT,MATCH($B19,'NARM5 – ED2 actuals'!$C:$C,0)+5)=0)=TRUE,"OK","ERR")</f>
        <v>OK</v>
      </c>
      <c r="Q19" s="469" t="str" cm="1">
        <f t="array" ref="Q19">IF(AND(INDEX('NARM5 – ED2 actuals'!$Y:$Y,MATCH($B19,'NARM5 – ED2 actuals'!$C:$C,0)+5)=0,INDEX('NARM5 – ED2 actuals'!$CX:$CX,MATCH($B19,'NARM5 – ED2 actuals'!$C:$C,0)+5)=0,INDEX('NARM5 – ED2 actuals'!$AT:$AT,MATCH($B19,'NARM5 – ED2 actuals'!$C:$C,0)+5)=0)=TRUE,"OK","ERR")</f>
        <v>OK</v>
      </c>
      <c r="R19" s="471" t="str">
        <f>IF((SUM(AssetReplacement_CurrentYear_yr1_14)=SUM(AssetReplacement_FutureYear_yr1_14))=TRUE,"OK","ERR")</f>
        <v>OK</v>
      </c>
      <c r="S19" s="470" t="str">
        <f>IF((SUM(AssetReplacement_CurrentYear_yr2_14)=SUM(AssetReplacement_FutureYear_yr2_14))=TRUE,"OK","ERR")</f>
        <v>OK</v>
      </c>
      <c r="T19" s="470" t="str">
        <f>IF((SUM(AssetReplacement_CurrentYear_yr3_14)=SUM(AssetReplacement_FutureYear_yr3_14))=TRUE,"OK","ERR")</f>
        <v>OK</v>
      </c>
      <c r="U19" s="470" t="str">
        <f>IF((SUM(AssetReplacement_CurrentYear_yr4_14)=SUM(AssetReplacement_FutureYear_yr4_14))=TRUE,"OK","ERR")</f>
        <v>OK</v>
      </c>
      <c r="V19" s="469" t="str">
        <f>IF((SUM(AssetReplacement_CurrentYear_yr5_14)=SUM(AssetReplacement_FutureYear_yr5_14))=TRUE,"OK","ERR")</f>
        <v>OK</v>
      </c>
    </row>
    <row r="20" spans="1:22">
      <c r="A20" s="483">
        <v>15</v>
      </c>
      <c r="B20" s="472" t="s">
        <v>76</v>
      </c>
      <c r="C20" s="471" t="str">
        <f>IF((COUNTIF(End_Of_Year_Yr1_15,"&lt;0")=0),"OK","ERR")</f>
        <v>OK</v>
      </c>
      <c r="D20" s="470" t="str">
        <f>IF((COUNTIF(End_Of_Year_Yr2_15,"&lt;0")=0),"OK","ERR")</f>
        <v>OK</v>
      </c>
      <c r="E20" s="470" t="str">
        <f>IF((COUNTIF(End_Of_Year_Yr3_15,"&lt;0")=0),"OK","ERR")</f>
        <v>OK</v>
      </c>
      <c r="F20" s="470" t="str">
        <f>IF((COUNTIF(End_Of_Year_Yr4_15,"&lt;0")=0),"OK","ERR")</f>
        <v>OK</v>
      </c>
      <c r="G20" s="469" t="str">
        <f>IF((COUNTIF(End_Of_Year_Yr5_15,"&lt;0")=0),"OK","ERR")</f>
        <v>OK</v>
      </c>
      <c r="H20" s="471" t="str">
        <f>IF((COUNTIF(Deterioration_yr1_15,"&lt;&gt;0")=0),"OK","ERR")</f>
        <v>OK</v>
      </c>
      <c r="I20" s="470" t="str">
        <f>IF((COUNTIF(Deterioration_yr2_15,"&lt;&gt;0")=0),"OK","ERR")</f>
        <v>OK</v>
      </c>
      <c r="J20" s="470" t="str">
        <f>IF((COUNTIF(Deterioration_yr3_15,"&lt;&gt;0")=0),"OK","ERR")</f>
        <v>OK</v>
      </c>
      <c r="K20" s="470" t="str">
        <f>IF((COUNTIF(Deterioration_yr4_15,"&lt;&gt;0")=0),"OK","ERR")</f>
        <v>OK</v>
      </c>
      <c r="L20" s="469" t="str">
        <f>IF((COUNTIF(Deterioration_yr5_15,"&lt;&gt;0")=0),"OK","ERR")</f>
        <v>OK</v>
      </c>
      <c r="M20" s="471" t="str" cm="1">
        <f t="array" ref="M20">IF(AND(INDEX('NARM5 – ED2 actuals'!$Y:$Y,MATCH($B20,'NARM5 – ED2 actuals'!$C:$C,0)+5)=0,INDEX('NARM5 – ED2 actuals'!$CX:$CX,MATCH($B20,'NARM5 – ED2 actuals'!$C:$C,0)+5)=0,INDEX('NARM5 – ED2 actuals'!$AT:$AT,MATCH($B20,'NARM5 – ED2 actuals'!$C:$C,0)+5)=0)=TRUE,"OK","ERR")</f>
        <v>OK</v>
      </c>
      <c r="N20" s="470" t="str" cm="1">
        <f t="array" ref="N20">IF(AND(INDEX('NARM5 – ED2 actuals'!$Y:$Y,MATCH($B20,'NARM5 – ED2 actuals'!$C:$C,0)+5)=0,INDEX('NARM5 – ED2 actuals'!$CX:$CX,MATCH($B20,'NARM5 – ED2 actuals'!$C:$C,0)+5)=0,INDEX('NARM5 – ED2 actuals'!$AT:$AT,MATCH($B20,'NARM5 – ED2 actuals'!$C:$C,0)+5)=0)=TRUE,"OK","ERR")</f>
        <v>OK</v>
      </c>
      <c r="O20" s="470" t="str" cm="1">
        <f t="array" ref="O20">IF(AND(INDEX('NARM5 – ED2 actuals'!$Y:$Y,MATCH($B20,'NARM5 – ED2 actuals'!$C:$C,0)+5)=0,INDEX('NARM5 – ED2 actuals'!$CX:$CX,MATCH($B20,'NARM5 – ED2 actuals'!$C:$C,0)+5)=0,INDEX('NARM5 – ED2 actuals'!$AT:$AT,MATCH($B20,'NARM5 – ED2 actuals'!$C:$C,0)+5)=0)=TRUE,"OK","ERR")</f>
        <v>OK</v>
      </c>
      <c r="P20" s="470" t="str" cm="1">
        <f t="array" ref="P20">IF(AND(INDEX('NARM5 – ED2 actuals'!$Y:$Y,MATCH($B20,'NARM5 – ED2 actuals'!$C:$C,0)+5)=0,INDEX('NARM5 – ED2 actuals'!$CX:$CX,MATCH($B20,'NARM5 – ED2 actuals'!$C:$C,0)+5)=0,INDEX('NARM5 – ED2 actuals'!$AT:$AT,MATCH($B20,'NARM5 – ED2 actuals'!$C:$C,0)+5)=0)=TRUE,"OK","ERR")</f>
        <v>OK</v>
      </c>
      <c r="Q20" s="469" t="str" cm="1">
        <f t="array" ref="Q20">IF(AND(INDEX('NARM5 – ED2 actuals'!$Y:$Y,MATCH($B20,'NARM5 – ED2 actuals'!$C:$C,0)+5)=0,INDEX('NARM5 – ED2 actuals'!$CX:$CX,MATCH($B20,'NARM5 – ED2 actuals'!$C:$C,0)+5)=0,INDEX('NARM5 – ED2 actuals'!$AT:$AT,MATCH($B20,'NARM5 – ED2 actuals'!$C:$C,0)+5)=0)=TRUE,"OK","ERR")</f>
        <v>OK</v>
      </c>
      <c r="R20" s="471" t="str">
        <f>IF((SUM(AssetReplacement_CurrentYear_yr1_15)=SUM(AssetReplacement_FutureYear_yr1_15))=TRUE,"OK","ERR")</f>
        <v>OK</v>
      </c>
      <c r="S20" s="470" t="str">
        <f>IF((SUM(AssetReplacement_CurrentYear_yr2_15)=SUM(AssetReplacement_FutureYear_yr2_15))=TRUE,"OK","ERR")</f>
        <v>OK</v>
      </c>
      <c r="T20" s="470" t="str">
        <f>IF((SUM(AssetReplacement_CurrentYear_yr3_15)=SUM(AssetReplacement_FutureYear_yr3_15))=TRUE,"OK","ERR")</f>
        <v>OK</v>
      </c>
      <c r="U20" s="470" t="str">
        <f>IF((SUM(AssetReplacement_CurrentYear_yr4_15)=SUM(AssetReplacement_FutureYear_yr4_15))=TRUE,"OK","ERR")</f>
        <v>OK</v>
      </c>
      <c r="V20" s="469" t="str">
        <f>IF((SUM(AssetReplacement_CurrentYear_yr5_15)=SUM(AssetReplacement_FutureYear_yr5_15))=TRUE,"OK","ERR")</f>
        <v>OK</v>
      </c>
    </row>
    <row r="21" spans="1:22">
      <c r="A21" s="483">
        <v>16</v>
      </c>
      <c r="B21" s="472" t="s">
        <v>174</v>
      </c>
      <c r="C21" s="471" t="str">
        <f>IF((COUNTIF(End_Of_Year_Yr1_16,"&lt;0")=0),"OK","ERR")</f>
        <v>OK</v>
      </c>
      <c r="D21" s="470" t="str">
        <f>IF((COUNTIF(End_Of_Year_Yr2_16,"&lt;0")=0),"OK","ERR")</f>
        <v>OK</v>
      </c>
      <c r="E21" s="470" t="str">
        <f>IF((COUNTIF(End_Of_Year_Yr3_16,"&lt;0")=0),"OK","ERR")</f>
        <v>OK</v>
      </c>
      <c r="F21" s="470" t="str">
        <f>IF((COUNTIF(End_Of_Year_Yr4_16,"&lt;0")=0),"OK","ERR")</f>
        <v>OK</v>
      </c>
      <c r="G21" s="469" t="str">
        <f>IF((COUNTIF(End_Of_Year_Yr5_16,"&lt;0")=0),"OK","ERR")</f>
        <v>OK</v>
      </c>
      <c r="H21" s="471" t="str">
        <f>IF((COUNTIF(Deterioration_yr1_16,"&lt;&gt;0")=0),"OK","ERR")</f>
        <v>OK</v>
      </c>
      <c r="I21" s="470" t="str">
        <f>IF((COUNTIF(Deterioration_yr2_16,"&lt;&gt;0")=0),"OK","ERR")</f>
        <v>OK</v>
      </c>
      <c r="J21" s="470" t="str">
        <f>IF((COUNTIF(Deterioration_yr3_16,"&lt;&gt;0")=0),"OK","ERR")</f>
        <v>OK</v>
      </c>
      <c r="K21" s="470" t="str">
        <f>IF((COUNTIF(Deterioration_yr4_16,"&lt;&gt;0")=0),"OK","ERR")</f>
        <v>OK</v>
      </c>
      <c r="L21" s="469" t="str">
        <f>IF((COUNTIF(Deterioration_yr5_16,"&lt;&gt;0")=0),"OK","ERR")</f>
        <v>OK</v>
      </c>
      <c r="M21" s="471" t="str" cm="1">
        <f t="array" ref="M21">IF(AND(INDEX('NARM5 – ED2 actuals'!$Y:$Y,MATCH($B21,'NARM5 – ED2 actuals'!$C:$C,0)+5)=0,INDEX('NARM5 – ED2 actuals'!$CX:$CX,MATCH($B21,'NARM5 – ED2 actuals'!$C:$C,0)+5)=0,INDEX('NARM5 – ED2 actuals'!$AT:$AT,MATCH($B21,'NARM5 – ED2 actuals'!$C:$C,0)+5)=0)=TRUE,"OK","ERR")</f>
        <v>OK</v>
      </c>
      <c r="N21" s="470" t="str" cm="1">
        <f t="array" ref="N21">IF(AND(INDEX('NARM5 – ED2 actuals'!$Y:$Y,MATCH($B21,'NARM5 – ED2 actuals'!$C:$C,0)+5)=0,INDEX('NARM5 – ED2 actuals'!$CX:$CX,MATCH($B21,'NARM5 – ED2 actuals'!$C:$C,0)+5)=0,INDEX('NARM5 – ED2 actuals'!$AT:$AT,MATCH($B21,'NARM5 – ED2 actuals'!$C:$C,0)+5)=0)=TRUE,"OK","ERR")</f>
        <v>OK</v>
      </c>
      <c r="O21" s="470" t="str" cm="1">
        <f t="array" ref="O21">IF(AND(INDEX('NARM5 – ED2 actuals'!$Y:$Y,MATCH($B21,'NARM5 – ED2 actuals'!$C:$C,0)+5)=0,INDEX('NARM5 – ED2 actuals'!$CX:$CX,MATCH($B21,'NARM5 – ED2 actuals'!$C:$C,0)+5)=0,INDEX('NARM5 – ED2 actuals'!$AT:$AT,MATCH($B21,'NARM5 – ED2 actuals'!$C:$C,0)+5)=0)=TRUE,"OK","ERR")</f>
        <v>OK</v>
      </c>
      <c r="P21" s="470" t="str" cm="1">
        <f t="array" ref="P21">IF(AND(INDEX('NARM5 – ED2 actuals'!$Y:$Y,MATCH($B21,'NARM5 – ED2 actuals'!$C:$C,0)+5)=0,INDEX('NARM5 – ED2 actuals'!$CX:$CX,MATCH($B21,'NARM5 – ED2 actuals'!$C:$C,0)+5)=0,INDEX('NARM5 – ED2 actuals'!$AT:$AT,MATCH($B21,'NARM5 – ED2 actuals'!$C:$C,0)+5)=0)=TRUE,"OK","ERR")</f>
        <v>OK</v>
      </c>
      <c r="Q21" s="469" t="str" cm="1">
        <f t="array" ref="Q21">IF(AND(INDEX('NARM5 – ED2 actuals'!$Y:$Y,MATCH($B21,'NARM5 – ED2 actuals'!$C:$C,0)+5)=0,INDEX('NARM5 – ED2 actuals'!$CX:$CX,MATCH($B21,'NARM5 – ED2 actuals'!$C:$C,0)+5)=0,INDEX('NARM5 – ED2 actuals'!$AT:$AT,MATCH($B21,'NARM5 – ED2 actuals'!$C:$C,0)+5)=0)=TRUE,"OK","ERR")</f>
        <v>OK</v>
      </c>
      <c r="R21" s="471" t="str">
        <f>IF((SUM(AssetReplacement_CurrentYear_yr1_16)=SUM(AssetReplacement_FutureYear_yr1_16))=TRUE,"OK","ERR")</f>
        <v>OK</v>
      </c>
      <c r="S21" s="470" t="str">
        <f>IF((SUM(AssetReplacement_CurrentYear_yr2_16)=SUM(AssetReplacement_FutureYear_yr2_16))=TRUE,"OK","ERR")</f>
        <v>OK</v>
      </c>
      <c r="T21" s="470" t="str">
        <f>IF((SUM(AssetReplacement_CurrentYear_yr3_16)=SUM(AssetReplacement_FutureYear_yr3_16))=TRUE,"OK","ERR")</f>
        <v>OK</v>
      </c>
      <c r="U21" s="470" t="str">
        <f>IF((SUM(AssetReplacement_CurrentYear_yr4_16)=SUM(AssetReplacement_FutureYear_yr4_16))=TRUE,"OK","ERR")</f>
        <v>OK</v>
      </c>
      <c r="V21" s="469" t="str">
        <f>IF((SUM(AssetReplacement_CurrentYear_yr5_16)=SUM(AssetReplacement_FutureYear_yr5_16))=TRUE,"OK","ERR")</f>
        <v>OK</v>
      </c>
    </row>
    <row r="22" spans="1:22">
      <c r="A22" s="483">
        <v>17</v>
      </c>
      <c r="B22" s="472" t="s">
        <v>78</v>
      </c>
      <c r="C22" s="471" t="str">
        <f>IF((COUNTIF(End_Of_Year_Yr1_17,"&lt;0")=0),"OK","ERR")</f>
        <v>OK</v>
      </c>
      <c r="D22" s="470" t="str">
        <f>IF((COUNTIF(End_Of_Year_Yr2_17,"&lt;0")=0),"OK","ERR")</f>
        <v>OK</v>
      </c>
      <c r="E22" s="470" t="str">
        <f>IF((COUNTIF(End_Of_Year_Yr3_17,"&lt;0")=0),"OK","ERR")</f>
        <v>OK</v>
      </c>
      <c r="F22" s="470" t="str">
        <f>IF((COUNTIF(End_Of_Year_Yr4_17,"&lt;0")=0),"OK","ERR")</f>
        <v>OK</v>
      </c>
      <c r="G22" s="469" t="str">
        <f>IF((COUNTIF(End_Of_Year_Yr5_17,"&lt;0")=0),"OK","ERR")</f>
        <v>OK</v>
      </c>
      <c r="H22" s="471" t="str">
        <f>IF((COUNTIF(Deterioration_yr1_17,"&lt;&gt;0")=0),"OK","ERR")</f>
        <v>OK</v>
      </c>
      <c r="I22" s="470" t="str">
        <f>IF((COUNTIF(Deterioration_yr2_17,"&lt;&gt;0")=0),"OK","ERR")</f>
        <v>OK</v>
      </c>
      <c r="J22" s="470" t="str">
        <f>IF((COUNTIF(Deterioration_yr3_17,"&lt;&gt;0")=0),"OK","ERR")</f>
        <v>OK</v>
      </c>
      <c r="K22" s="470" t="str">
        <f>IF((COUNTIF(Deterioration_yr4_17,"&lt;&gt;0")=0),"OK","ERR")</f>
        <v>OK</v>
      </c>
      <c r="L22" s="469" t="str">
        <f>IF((COUNTIF(Deterioration_yr5_17,"&lt;&gt;0")=0),"OK","ERR")</f>
        <v>OK</v>
      </c>
      <c r="M22" s="471" t="str" cm="1">
        <f t="array" ref="M22">IF(AND(INDEX('NARM5 – ED2 actuals'!$Y:$Y,MATCH($B22,'NARM5 – ED2 actuals'!$C:$C,0)+5)=0,INDEX('NARM5 – ED2 actuals'!$CX:$CX,MATCH($B22,'NARM5 – ED2 actuals'!$C:$C,0)+5)=0,INDEX('NARM5 – ED2 actuals'!$AT:$AT,MATCH($B22,'NARM5 – ED2 actuals'!$C:$C,0)+5)=0)=TRUE,"OK","ERR")</f>
        <v>OK</v>
      </c>
      <c r="N22" s="470" t="str" cm="1">
        <f t="array" ref="N22">IF(AND(INDEX('NARM5 – ED2 actuals'!$Y:$Y,MATCH($B22,'NARM5 – ED2 actuals'!$C:$C,0)+5)=0,INDEX('NARM5 – ED2 actuals'!$CX:$CX,MATCH($B22,'NARM5 – ED2 actuals'!$C:$C,0)+5)=0,INDEX('NARM5 – ED2 actuals'!$AT:$AT,MATCH($B22,'NARM5 – ED2 actuals'!$C:$C,0)+5)=0)=TRUE,"OK","ERR")</f>
        <v>OK</v>
      </c>
      <c r="O22" s="470" t="str" cm="1">
        <f t="array" ref="O22">IF(AND(INDEX('NARM5 – ED2 actuals'!$Y:$Y,MATCH($B22,'NARM5 – ED2 actuals'!$C:$C,0)+5)=0,INDEX('NARM5 – ED2 actuals'!$CX:$CX,MATCH($B22,'NARM5 – ED2 actuals'!$C:$C,0)+5)=0,INDEX('NARM5 – ED2 actuals'!$AT:$AT,MATCH($B22,'NARM5 – ED2 actuals'!$C:$C,0)+5)=0)=TRUE,"OK","ERR")</f>
        <v>OK</v>
      </c>
      <c r="P22" s="470" t="str" cm="1">
        <f t="array" ref="P22">IF(AND(INDEX('NARM5 – ED2 actuals'!$Y:$Y,MATCH($B22,'NARM5 – ED2 actuals'!$C:$C,0)+5)=0,INDEX('NARM5 – ED2 actuals'!$CX:$CX,MATCH($B22,'NARM5 – ED2 actuals'!$C:$C,0)+5)=0,INDEX('NARM5 – ED2 actuals'!$AT:$AT,MATCH($B22,'NARM5 – ED2 actuals'!$C:$C,0)+5)=0)=TRUE,"OK","ERR")</f>
        <v>OK</v>
      </c>
      <c r="Q22" s="469" t="str" cm="1">
        <f t="array" ref="Q22">IF(AND(INDEX('NARM5 – ED2 actuals'!$Y:$Y,MATCH($B22,'NARM5 – ED2 actuals'!$C:$C,0)+5)=0,INDEX('NARM5 – ED2 actuals'!$CX:$CX,MATCH($B22,'NARM5 – ED2 actuals'!$C:$C,0)+5)=0,INDEX('NARM5 – ED2 actuals'!$AT:$AT,MATCH($B22,'NARM5 – ED2 actuals'!$C:$C,0)+5)=0)=TRUE,"OK","ERR")</f>
        <v>OK</v>
      </c>
      <c r="R22" s="471" t="str">
        <f>IF((SUM(AssetReplacement_CurrentYear_yr1_17)=SUM(AssetReplacement_FutureYear_yr1_17))=TRUE,"OK","ERR")</f>
        <v>OK</v>
      </c>
      <c r="S22" s="470" t="str">
        <f>IF((SUM(AssetReplacement_CurrentYear_yr2_17)=SUM(AssetReplacement_FutureYear_yr2_17))=TRUE,"OK","ERR")</f>
        <v>OK</v>
      </c>
      <c r="T22" s="470" t="str">
        <f>IF((SUM(AssetReplacement_CurrentYear_yr3_17)=SUM(AssetReplacement_FutureYear_yr3_17))=TRUE,"OK","ERR")</f>
        <v>OK</v>
      </c>
      <c r="U22" s="470" t="str">
        <f>IF((SUM(AssetReplacement_CurrentYear_yr4_17)=SUM(AssetReplacement_FutureYear_yr4_17))=TRUE,"OK","ERR")</f>
        <v>OK</v>
      </c>
      <c r="V22" s="469" t="str">
        <f>IF((SUM(AssetReplacement_CurrentYear_yr5_17)=SUM(AssetReplacement_FutureYear_yr5_17))=TRUE,"OK","ERR")</f>
        <v>OK</v>
      </c>
    </row>
    <row r="23" spans="1:22">
      <c r="A23" s="483">
        <v>18</v>
      </c>
      <c r="B23" s="472" t="s">
        <v>79</v>
      </c>
      <c r="C23" s="471" t="str">
        <f>IF((COUNTIF(End_Of_Year_Yr1_18,"&lt;0")=0),"OK","ERR")</f>
        <v>OK</v>
      </c>
      <c r="D23" s="470" t="str">
        <f>IF((COUNTIF(End_Of_Year_Yr2_18,"&lt;0")=0),"OK","ERR")</f>
        <v>OK</v>
      </c>
      <c r="E23" s="470" t="str">
        <f>IF((COUNTIF(End_Of_Year_Yr3_18,"&lt;0")=0),"OK","ERR")</f>
        <v>OK</v>
      </c>
      <c r="F23" s="470" t="str">
        <f>IF((COUNTIF(End_Of_Year_Yr4_18,"&lt;0")=0),"OK","ERR")</f>
        <v>OK</v>
      </c>
      <c r="G23" s="469" t="str">
        <f>IF((COUNTIF(End_Of_Year_Yr5_18,"&lt;0")=0),"OK","ERR")</f>
        <v>OK</v>
      </c>
      <c r="H23" s="471" t="str">
        <f>IF((COUNTIF(Deterioration_yr1_18,"&lt;&gt;0")=0),"OK","ERR")</f>
        <v>OK</v>
      </c>
      <c r="I23" s="470" t="str">
        <f>IF((COUNTIF(Deterioration_yr2_18,"&lt;&gt;0")=0),"OK","ERR")</f>
        <v>OK</v>
      </c>
      <c r="J23" s="470" t="str">
        <f>IF((COUNTIF(Deterioration_yr3_18,"&lt;&gt;0")=0),"OK","ERR")</f>
        <v>OK</v>
      </c>
      <c r="K23" s="470" t="str">
        <f>IF((COUNTIF(Deterioration_yr4_18,"&lt;&gt;0")=0),"OK","ERR")</f>
        <v>OK</v>
      </c>
      <c r="L23" s="469" t="str">
        <f>IF((COUNTIF(Deterioration_yr5_18,"&lt;&gt;0")=0),"OK","ERR")</f>
        <v>OK</v>
      </c>
      <c r="M23" s="471" t="str" cm="1">
        <f t="array" ref="M23">IF(AND(INDEX('NARM5 – ED2 actuals'!$Y:$Y,MATCH($B23,'NARM5 – ED2 actuals'!$C:$C,0)+5)=0,INDEX('NARM5 – ED2 actuals'!$CX:$CX,MATCH($B23,'NARM5 – ED2 actuals'!$C:$C,0)+5)=0,INDEX('NARM5 – ED2 actuals'!$AT:$AT,MATCH($B23,'NARM5 – ED2 actuals'!$C:$C,0)+5)=0)=TRUE,"OK","ERR")</f>
        <v>OK</v>
      </c>
      <c r="N23" s="470" t="str" cm="1">
        <f t="array" ref="N23">IF(AND(INDEX('NARM5 – ED2 actuals'!$Y:$Y,MATCH($B23,'NARM5 – ED2 actuals'!$C:$C,0)+5)=0,INDEX('NARM5 – ED2 actuals'!$CX:$CX,MATCH($B23,'NARM5 – ED2 actuals'!$C:$C,0)+5)=0,INDEX('NARM5 – ED2 actuals'!$AT:$AT,MATCH($B23,'NARM5 – ED2 actuals'!$C:$C,0)+5)=0)=TRUE,"OK","ERR")</f>
        <v>OK</v>
      </c>
      <c r="O23" s="470" t="str" cm="1">
        <f t="array" ref="O23">IF(AND(INDEX('NARM5 – ED2 actuals'!$Y:$Y,MATCH($B23,'NARM5 – ED2 actuals'!$C:$C,0)+5)=0,INDEX('NARM5 – ED2 actuals'!$CX:$CX,MATCH($B23,'NARM5 – ED2 actuals'!$C:$C,0)+5)=0,INDEX('NARM5 – ED2 actuals'!$AT:$AT,MATCH($B23,'NARM5 – ED2 actuals'!$C:$C,0)+5)=0)=TRUE,"OK","ERR")</f>
        <v>OK</v>
      </c>
      <c r="P23" s="470" t="str" cm="1">
        <f t="array" ref="P23">IF(AND(INDEX('NARM5 – ED2 actuals'!$Y:$Y,MATCH($B23,'NARM5 – ED2 actuals'!$C:$C,0)+5)=0,INDEX('NARM5 – ED2 actuals'!$CX:$CX,MATCH($B23,'NARM5 – ED2 actuals'!$C:$C,0)+5)=0,INDEX('NARM5 – ED2 actuals'!$AT:$AT,MATCH($B23,'NARM5 – ED2 actuals'!$C:$C,0)+5)=0)=TRUE,"OK","ERR")</f>
        <v>OK</v>
      </c>
      <c r="Q23" s="469" t="str" cm="1">
        <f t="array" ref="Q23">IF(AND(INDEX('NARM5 – ED2 actuals'!$Y:$Y,MATCH($B23,'NARM5 – ED2 actuals'!$C:$C,0)+5)=0,INDEX('NARM5 – ED2 actuals'!$CX:$CX,MATCH($B23,'NARM5 – ED2 actuals'!$C:$C,0)+5)=0,INDEX('NARM5 – ED2 actuals'!$AT:$AT,MATCH($B23,'NARM5 – ED2 actuals'!$C:$C,0)+5)=0)=TRUE,"OK","ERR")</f>
        <v>OK</v>
      </c>
      <c r="R23" s="471" t="str">
        <f>IF((SUM(AssetReplacement_CurrentYear_yr1_18)=SUM(AssetReplacement_FutureYear_yr1_18))=TRUE,"OK","ERR")</f>
        <v>OK</v>
      </c>
      <c r="S23" s="470" t="str">
        <f>IF((SUM(AssetReplacement_CurrentYear_yr2_18)=SUM(AssetReplacement_FutureYear_yr2_18))=TRUE,"OK","ERR")</f>
        <v>OK</v>
      </c>
      <c r="T23" s="470" t="str">
        <f>IF((SUM(AssetReplacement_CurrentYear_yr3_18)=SUM(AssetReplacement_FutureYear_yr3_18))=TRUE,"OK","ERR")</f>
        <v>OK</v>
      </c>
      <c r="U23" s="470" t="str">
        <f>IF((SUM(AssetReplacement_CurrentYear_yr4_18)=SUM(AssetReplacement_FutureYear_yr4_18))=TRUE,"OK","ERR")</f>
        <v>OK</v>
      </c>
      <c r="V23" s="469" t="str">
        <f>IF((SUM(AssetReplacement_CurrentYear_yr5_18)=SUM(AssetReplacement_FutureYear_yr5_18))=TRUE,"OK","ERR")</f>
        <v>OK</v>
      </c>
    </row>
    <row r="24" spans="1:22">
      <c r="A24" s="483">
        <v>19</v>
      </c>
      <c r="B24" s="472" t="s">
        <v>80</v>
      </c>
      <c r="C24" s="471" t="str">
        <f>IF((COUNTIF(End_Of_Year_Yr1_19,"&lt;0")=0),"OK","ERR")</f>
        <v>OK</v>
      </c>
      <c r="D24" s="470" t="str">
        <f>IF((COUNTIF(End_Of_Year_Yr2_19,"&lt;0")=0),"OK","ERR")</f>
        <v>OK</v>
      </c>
      <c r="E24" s="470" t="str">
        <f>IF((COUNTIF(End_Of_Year_Yr3_19,"&lt;0")=0),"OK","ERR")</f>
        <v>OK</v>
      </c>
      <c r="F24" s="470" t="str">
        <f>IF((COUNTIF(End_Of_Year_Yr4_19,"&lt;0")=0),"OK","ERR")</f>
        <v>OK</v>
      </c>
      <c r="G24" s="469" t="str">
        <f>IF((COUNTIF(End_Of_Year_Yr5_19,"&lt;0")=0),"OK","ERR")</f>
        <v>OK</v>
      </c>
      <c r="H24" s="471" t="str">
        <f>IF((COUNTIF(Deterioration_yr1_19,"&lt;&gt;0")=0),"OK","ERR")</f>
        <v>OK</v>
      </c>
      <c r="I24" s="470" t="str">
        <f>IF((COUNTIF(Deterioration_yr2_19,"&lt;&gt;0")=0),"OK","ERR")</f>
        <v>OK</v>
      </c>
      <c r="J24" s="470" t="str">
        <f>IF((COUNTIF(Deterioration_yr3_19,"&lt;&gt;0")=0),"OK","ERR")</f>
        <v>OK</v>
      </c>
      <c r="K24" s="470" t="str">
        <f>IF((COUNTIF(Deterioration_yr4_19,"&lt;&gt;0")=0),"OK","ERR")</f>
        <v>OK</v>
      </c>
      <c r="L24" s="469" t="str">
        <f>IF((COUNTIF(Deterioration_yr5_19,"&lt;&gt;0")=0),"OK","ERR")</f>
        <v>OK</v>
      </c>
      <c r="M24" s="471" t="str" cm="1">
        <f t="array" ref="M24">IF(AND(INDEX('NARM5 – ED2 actuals'!$Y:$Y,MATCH($B24,'NARM5 – ED2 actuals'!$C:$C,0)+5)=0,INDEX('NARM5 – ED2 actuals'!$CX:$CX,MATCH($B24,'NARM5 – ED2 actuals'!$C:$C,0)+5)=0,INDEX('NARM5 – ED2 actuals'!$AT:$AT,MATCH($B24,'NARM5 – ED2 actuals'!$C:$C,0)+5)=0)=TRUE,"OK","ERR")</f>
        <v>OK</v>
      </c>
      <c r="N24" s="470" t="str" cm="1">
        <f t="array" ref="N24">IF(AND(INDEX('NARM5 – ED2 actuals'!$Y:$Y,MATCH($B24,'NARM5 – ED2 actuals'!$C:$C,0)+5)=0,INDEX('NARM5 – ED2 actuals'!$CX:$CX,MATCH($B24,'NARM5 – ED2 actuals'!$C:$C,0)+5)=0,INDEX('NARM5 – ED2 actuals'!$AT:$AT,MATCH($B24,'NARM5 – ED2 actuals'!$C:$C,0)+5)=0)=TRUE,"OK","ERR")</f>
        <v>OK</v>
      </c>
      <c r="O24" s="470" t="str" cm="1">
        <f t="array" ref="O24">IF(AND(INDEX('NARM5 – ED2 actuals'!$Y:$Y,MATCH($B24,'NARM5 – ED2 actuals'!$C:$C,0)+5)=0,INDEX('NARM5 – ED2 actuals'!$CX:$CX,MATCH($B24,'NARM5 – ED2 actuals'!$C:$C,0)+5)=0,INDEX('NARM5 – ED2 actuals'!$AT:$AT,MATCH($B24,'NARM5 – ED2 actuals'!$C:$C,0)+5)=0)=TRUE,"OK","ERR")</f>
        <v>OK</v>
      </c>
      <c r="P24" s="470" t="str" cm="1">
        <f t="array" ref="P24">IF(AND(INDEX('NARM5 – ED2 actuals'!$Y:$Y,MATCH($B24,'NARM5 – ED2 actuals'!$C:$C,0)+5)=0,INDEX('NARM5 – ED2 actuals'!$CX:$CX,MATCH($B24,'NARM5 – ED2 actuals'!$C:$C,0)+5)=0,INDEX('NARM5 – ED2 actuals'!$AT:$AT,MATCH($B24,'NARM5 – ED2 actuals'!$C:$C,0)+5)=0)=TRUE,"OK","ERR")</f>
        <v>OK</v>
      </c>
      <c r="Q24" s="469" t="str" cm="1">
        <f t="array" ref="Q24">IF(AND(INDEX('NARM5 – ED2 actuals'!$Y:$Y,MATCH($B24,'NARM5 – ED2 actuals'!$C:$C,0)+5)=0,INDEX('NARM5 – ED2 actuals'!$CX:$CX,MATCH($B24,'NARM5 – ED2 actuals'!$C:$C,0)+5)=0,INDEX('NARM5 – ED2 actuals'!$AT:$AT,MATCH($B24,'NARM5 – ED2 actuals'!$C:$C,0)+5)=0)=TRUE,"OK","ERR")</f>
        <v>OK</v>
      </c>
      <c r="R24" s="471" t="str">
        <f>IF((SUM(AssetReplacement_CurrentYear_yr1_19)=SUM(AssetReplacement_FutureYear_yr1_19))=TRUE,"OK","ERR")</f>
        <v>OK</v>
      </c>
      <c r="S24" s="470" t="str">
        <f>IF((SUM(AssetReplacement_CurrentYear_yr2_19)=SUM(AssetReplacement_FutureYear_yr2_19))=TRUE,"OK","ERR")</f>
        <v>OK</v>
      </c>
      <c r="T24" s="470" t="str">
        <f>IF((SUM(AssetReplacement_CurrentYear_yr3_19)=SUM(AssetReplacement_FutureYear_yr3_19))=TRUE,"OK","ERR")</f>
        <v>OK</v>
      </c>
      <c r="U24" s="470" t="str">
        <f>IF((SUM(AssetReplacement_CurrentYear_yr4_19)=SUM(AssetReplacement_FutureYear_yr4_19))=TRUE,"OK","ERR")</f>
        <v>OK</v>
      </c>
      <c r="V24" s="469" t="str">
        <f>IF((SUM(AssetReplacement_CurrentYear_yr5_19)=SUM(AssetReplacement_FutureYear_yr5_19))=TRUE,"OK","ERR")</f>
        <v>OK</v>
      </c>
    </row>
    <row r="25" spans="1:22">
      <c r="A25" s="483">
        <v>20</v>
      </c>
      <c r="B25" s="472" t="s">
        <v>81</v>
      </c>
      <c r="C25" s="471" t="str">
        <f>IF((COUNTIF(End_Of_Year_Yr1_20,"&lt;0")=0),"OK","ERR")</f>
        <v>OK</v>
      </c>
      <c r="D25" s="470" t="str">
        <f>IF((COUNTIF(End_Of_Year_Yr2_20,"&lt;0")=0),"OK","ERR")</f>
        <v>OK</v>
      </c>
      <c r="E25" s="470" t="str">
        <f>IF((COUNTIF(End_Of_Year_Yr3_20,"&lt;0")=0),"OK","ERR")</f>
        <v>OK</v>
      </c>
      <c r="F25" s="470" t="str">
        <f>IF((COUNTIF(End_Of_Year_Yr4_20,"&lt;0")=0),"OK","ERR")</f>
        <v>OK</v>
      </c>
      <c r="G25" s="469" t="str">
        <f>IF((COUNTIF(End_Of_Year_Yr5_20,"&lt;0")=0),"OK","ERR")</f>
        <v>OK</v>
      </c>
      <c r="H25" s="471" t="str">
        <f>IF((COUNTIF(Deterioration_yr1_20,"&lt;&gt;0")=0),"OK","ERR")</f>
        <v>OK</v>
      </c>
      <c r="I25" s="470" t="str">
        <f>IF((COUNTIF(Deterioration_yr2_20,"&lt;&gt;0")=0),"OK","ERR")</f>
        <v>OK</v>
      </c>
      <c r="J25" s="470" t="str">
        <f>IF((COUNTIF(Deterioration_yr3_20,"&lt;&gt;0")=0),"OK","ERR")</f>
        <v>OK</v>
      </c>
      <c r="K25" s="470" t="str">
        <f>IF((COUNTIF(Deterioration_yr4_20,"&lt;&gt;0")=0),"OK","ERR")</f>
        <v>OK</v>
      </c>
      <c r="L25" s="469" t="str">
        <f>IF((COUNTIF(Deterioration_yr5_20,"&lt;&gt;0")=0),"OK","ERR")</f>
        <v>OK</v>
      </c>
      <c r="M25" s="471" t="str" cm="1">
        <f t="array" ref="M25">IF(AND(INDEX('NARM5 – ED2 actuals'!$Y:$Y,MATCH($B25,'NARM5 – ED2 actuals'!$C:$C,0)+5)=0,INDEX('NARM5 – ED2 actuals'!$CX:$CX,MATCH($B25,'NARM5 – ED2 actuals'!$C:$C,0)+5)=0,INDEX('NARM5 – ED2 actuals'!$AT:$AT,MATCH($B25,'NARM5 – ED2 actuals'!$C:$C,0)+5)=0)=TRUE,"OK","ERR")</f>
        <v>OK</v>
      </c>
      <c r="N25" s="470" t="str" cm="1">
        <f t="array" ref="N25">IF(AND(INDEX('NARM5 – ED2 actuals'!$Y:$Y,MATCH($B25,'NARM5 – ED2 actuals'!$C:$C,0)+5)=0,INDEX('NARM5 – ED2 actuals'!$CX:$CX,MATCH($B25,'NARM5 – ED2 actuals'!$C:$C,0)+5)=0,INDEX('NARM5 – ED2 actuals'!$AT:$AT,MATCH($B25,'NARM5 – ED2 actuals'!$C:$C,0)+5)=0)=TRUE,"OK","ERR")</f>
        <v>OK</v>
      </c>
      <c r="O25" s="470" t="str" cm="1">
        <f t="array" ref="O25">IF(AND(INDEX('NARM5 – ED2 actuals'!$Y:$Y,MATCH($B25,'NARM5 – ED2 actuals'!$C:$C,0)+5)=0,INDEX('NARM5 – ED2 actuals'!$CX:$CX,MATCH($B25,'NARM5 – ED2 actuals'!$C:$C,0)+5)=0,INDEX('NARM5 – ED2 actuals'!$AT:$AT,MATCH($B25,'NARM5 – ED2 actuals'!$C:$C,0)+5)=0)=TRUE,"OK","ERR")</f>
        <v>OK</v>
      </c>
      <c r="P25" s="470" t="str" cm="1">
        <f t="array" ref="P25">IF(AND(INDEX('NARM5 – ED2 actuals'!$Y:$Y,MATCH($B25,'NARM5 – ED2 actuals'!$C:$C,0)+5)=0,INDEX('NARM5 – ED2 actuals'!$CX:$CX,MATCH($B25,'NARM5 – ED2 actuals'!$C:$C,0)+5)=0,INDEX('NARM5 – ED2 actuals'!$AT:$AT,MATCH($B25,'NARM5 – ED2 actuals'!$C:$C,0)+5)=0)=TRUE,"OK","ERR")</f>
        <v>OK</v>
      </c>
      <c r="Q25" s="469" t="str" cm="1">
        <f t="array" ref="Q25">IF(AND(INDEX('NARM5 – ED2 actuals'!$Y:$Y,MATCH($B25,'NARM5 – ED2 actuals'!$C:$C,0)+5)=0,INDEX('NARM5 – ED2 actuals'!$CX:$CX,MATCH($B25,'NARM5 – ED2 actuals'!$C:$C,0)+5)=0,INDEX('NARM5 – ED2 actuals'!$AT:$AT,MATCH($B25,'NARM5 – ED2 actuals'!$C:$C,0)+5)=0)=TRUE,"OK","ERR")</f>
        <v>OK</v>
      </c>
      <c r="R25" s="471" t="str">
        <f>IF((SUM(AssetReplacement_CurrentYear_yr1_20)=SUM(AssetReplacement_FutureYear_yr1_20))=TRUE,"OK","ERR")</f>
        <v>OK</v>
      </c>
      <c r="S25" s="470" t="str">
        <f>IF((SUM(AssetReplacement_CurrentYear_yr2_20)=SUM(AssetReplacement_FutureYear_yr2_20))=TRUE,"OK","ERR")</f>
        <v>OK</v>
      </c>
      <c r="T25" s="470" t="str">
        <f>IF((SUM(AssetReplacement_CurrentYear_yr3_20)=SUM(AssetReplacement_FutureYear_yr3_20))=TRUE,"OK","ERR")</f>
        <v>OK</v>
      </c>
      <c r="U25" s="470" t="str">
        <f>IF((SUM(AssetReplacement_CurrentYear_yr4_20)=SUM(AssetReplacement_FutureYear_yr4_20))=TRUE,"OK","ERR")</f>
        <v>OK</v>
      </c>
      <c r="V25" s="469" t="str">
        <f>IF((SUM(AssetReplacement_CurrentYear_yr5_20)=SUM(AssetReplacement_FutureYear_yr5_20))=TRUE,"OK","ERR")</f>
        <v>OK</v>
      </c>
    </row>
    <row r="26" spans="1:22">
      <c r="A26" s="483">
        <v>21</v>
      </c>
      <c r="B26" s="472" t="s">
        <v>82</v>
      </c>
      <c r="C26" s="471" t="str">
        <f>IF((COUNTIF(End_Of_Year_Yr1_21,"&lt;0")=0),"OK","ERR")</f>
        <v>OK</v>
      </c>
      <c r="D26" s="470" t="str">
        <f>IF((COUNTIF(End_Of_Year_Yr2_21,"&lt;0")=0),"OK","ERR")</f>
        <v>OK</v>
      </c>
      <c r="E26" s="470" t="str">
        <f>IF((COUNTIF(End_Of_Year_Yr3_21,"&lt;0")=0),"OK","ERR")</f>
        <v>OK</v>
      </c>
      <c r="F26" s="470" t="str">
        <f>IF((COUNTIF(End_Of_Year_Yr4_21,"&lt;0")=0),"OK","ERR")</f>
        <v>OK</v>
      </c>
      <c r="G26" s="469" t="str">
        <f>IF((COUNTIF(End_Of_Year_Yr5_21,"&lt;0")=0),"OK","ERR")</f>
        <v>OK</v>
      </c>
      <c r="H26" s="471" t="str">
        <f>IF((COUNTIF(Deterioration_yr1_21,"&lt;&gt;0")=0),"OK","ERR")</f>
        <v>OK</v>
      </c>
      <c r="I26" s="470" t="str">
        <f>IF((COUNTIF(Deterioration_yr2_21,"&lt;&gt;0")=0),"OK","ERR")</f>
        <v>OK</v>
      </c>
      <c r="J26" s="470" t="str">
        <f>IF((COUNTIF(Deterioration_yr3_21,"&lt;&gt;0")=0),"OK","ERR")</f>
        <v>OK</v>
      </c>
      <c r="K26" s="470" t="str">
        <f>IF((COUNTIF(Deterioration_yr4_21,"&lt;&gt;0")=0),"OK","ERR")</f>
        <v>OK</v>
      </c>
      <c r="L26" s="469" t="str">
        <f>IF((COUNTIF(Deterioration_yr5_21,"&lt;&gt;0")=0),"OK","ERR")</f>
        <v>OK</v>
      </c>
      <c r="M26" s="471" t="str" cm="1">
        <f t="array" ref="M26">IF(AND(INDEX('NARM5 – ED2 actuals'!$Y:$Y,MATCH($B26,'NARM5 – ED2 actuals'!$C:$C,0)+5)=0,INDEX('NARM5 – ED2 actuals'!$CX:$CX,MATCH($B26,'NARM5 – ED2 actuals'!$C:$C,0)+5)=0,INDEX('NARM5 – ED2 actuals'!$AT:$AT,MATCH($B26,'NARM5 – ED2 actuals'!$C:$C,0)+5)=0)=TRUE,"OK","ERR")</f>
        <v>OK</v>
      </c>
      <c r="N26" s="470" t="str" cm="1">
        <f t="array" ref="N26">IF(AND(INDEX('NARM5 – ED2 actuals'!$Y:$Y,MATCH($B26,'NARM5 – ED2 actuals'!$C:$C,0)+5)=0,INDEX('NARM5 – ED2 actuals'!$CX:$CX,MATCH($B26,'NARM5 – ED2 actuals'!$C:$C,0)+5)=0,INDEX('NARM5 – ED2 actuals'!$AT:$AT,MATCH($B26,'NARM5 – ED2 actuals'!$C:$C,0)+5)=0)=TRUE,"OK","ERR")</f>
        <v>OK</v>
      </c>
      <c r="O26" s="470" t="str" cm="1">
        <f t="array" ref="O26">IF(AND(INDEX('NARM5 – ED2 actuals'!$Y:$Y,MATCH($B26,'NARM5 – ED2 actuals'!$C:$C,0)+5)=0,INDEX('NARM5 – ED2 actuals'!$CX:$CX,MATCH($B26,'NARM5 – ED2 actuals'!$C:$C,0)+5)=0,INDEX('NARM5 – ED2 actuals'!$AT:$AT,MATCH($B26,'NARM5 – ED2 actuals'!$C:$C,0)+5)=0)=TRUE,"OK","ERR")</f>
        <v>OK</v>
      </c>
      <c r="P26" s="470" t="str" cm="1">
        <f t="array" ref="P26">IF(AND(INDEX('NARM5 – ED2 actuals'!$Y:$Y,MATCH($B26,'NARM5 – ED2 actuals'!$C:$C,0)+5)=0,INDEX('NARM5 – ED2 actuals'!$CX:$CX,MATCH($B26,'NARM5 – ED2 actuals'!$C:$C,0)+5)=0,INDEX('NARM5 – ED2 actuals'!$AT:$AT,MATCH($B26,'NARM5 – ED2 actuals'!$C:$C,0)+5)=0)=TRUE,"OK","ERR")</f>
        <v>OK</v>
      </c>
      <c r="Q26" s="469" t="str" cm="1">
        <f t="array" ref="Q26">IF(AND(INDEX('NARM5 – ED2 actuals'!$Y:$Y,MATCH($B26,'NARM5 – ED2 actuals'!$C:$C,0)+5)=0,INDEX('NARM5 – ED2 actuals'!$CX:$CX,MATCH($B26,'NARM5 – ED2 actuals'!$C:$C,0)+5)=0,INDEX('NARM5 – ED2 actuals'!$AT:$AT,MATCH($B26,'NARM5 – ED2 actuals'!$C:$C,0)+5)=0)=TRUE,"OK","ERR")</f>
        <v>OK</v>
      </c>
      <c r="R26" s="471" t="str">
        <f>IF((SUM(AssetReplacement_CurrentYear_yr1_21)=SUM(AssetReplacement_FutureYear_yr1_21))=TRUE,"OK","ERR")</f>
        <v>OK</v>
      </c>
      <c r="S26" s="470" t="str">
        <f>IF((SUM(AssetReplacement_CurrentYear_yr2_21)=SUM(AssetReplacement_FutureYear_yr2_21))=TRUE,"OK","ERR")</f>
        <v>OK</v>
      </c>
      <c r="T26" s="470" t="str">
        <f>IF((SUM(AssetReplacement_CurrentYear_yr3_21)=SUM(AssetReplacement_FutureYear_yr3_21))=TRUE,"OK","ERR")</f>
        <v>OK</v>
      </c>
      <c r="U26" s="470" t="str">
        <f>IF((SUM(AssetReplacement_CurrentYear_yr4_21)=SUM(AssetReplacement_FutureYear_yr4_21))=TRUE,"OK","ERR")</f>
        <v>OK</v>
      </c>
      <c r="V26" s="469" t="str">
        <f>IF((SUM(AssetReplacement_CurrentYear_yr5_21)=SUM(AssetReplacement_FutureYear_yr5_21))=TRUE,"OK","ERR")</f>
        <v>OK</v>
      </c>
    </row>
    <row r="27" spans="1:22">
      <c r="A27" s="483">
        <v>22</v>
      </c>
      <c r="B27" s="472" t="s">
        <v>83</v>
      </c>
      <c r="C27" s="471" t="str">
        <f>IF((COUNTIF(End_Of_Year_Yr1_22,"&lt;0")=0),"OK","ERR")</f>
        <v>OK</v>
      </c>
      <c r="D27" s="470" t="str">
        <f>IF((COUNTIF(End_Of_Year_Yr2_22,"&lt;0")=0),"OK","ERR")</f>
        <v>OK</v>
      </c>
      <c r="E27" s="470" t="str">
        <f>IF((COUNTIF(End_Of_Year_Yr3_22,"&lt;0")=0),"OK","ERR")</f>
        <v>OK</v>
      </c>
      <c r="F27" s="470" t="str">
        <f>IF((COUNTIF(End_Of_Year_Yr4_22,"&lt;0")=0),"OK","ERR")</f>
        <v>OK</v>
      </c>
      <c r="G27" s="469" t="str">
        <f>IF((COUNTIF(End_Of_Year_Yr5_22,"&lt;0")=0),"OK","ERR")</f>
        <v>OK</v>
      </c>
      <c r="H27" s="471" t="str">
        <f>IF((COUNTIF(Deterioration_yr1_22,"&lt;&gt;0")=0),"OK","ERR")</f>
        <v>OK</v>
      </c>
      <c r="I27" s="470" t="str">
        <f>IF((COUNTIF(Deterioration_yr2_22,"&lt;&gt;0")=0),"OK","ERR")</f>
        <v>OK</v>
      </c>
      <c r="J27" s="470" t="str">
        <f>IF((COUNTIF(Deterioration_yr3_22,"&lt;&gt;0")=0),"OK","ERR")</f>
        <v>OK</v>
      </c>
      <c r="K27" s="470" t="str">
        <f>IF((COUNTIF(Deterioration_yr4_22,"&lt;&gt;0")=0),"OK","ERR")</f>
        <v>OK</v>
      </c>
      <c r="L27" s="469" t="str">
        <f>IF((COUNTIF(Deterioration_yr5_22,"&lt;&gt;0")=0),"OK","ERR")</f>
        <v>OK</v>
      </c>
      <c r="M27" s="471" t="str" cm="1">
        <f t="array" ref="M27">IF(AND(INDEX('NARM5 – ED2 actuals'!$Y:$Y,MATCH($B27,'NARM5 – ED2 actuals'!$C:$C,0)+5)=0,INDEX('NARM5 – ED2 actuals'!$CX:$CX,MATCH($B27,'NARM5 – ED2 actuals'!$C:$C,0)+5)=0,INDEX('NARM5 – ED2 actuals'!$AT:$AT,MATCH($B27,'NARM5 – ED2 actuals'!$C:$C,0)+5)=0)=TRUE,"OK","ERR")</f>
        <v>OK</v>
      </c>
      <c r="N27" s="470" t="str" cm="1">
        <f t="array" ref="N27">IF(AND(INDEX('NARM5 – ED2 actuals'!$Y:$Y,MATCH($B27,'NARM5 – ED2 actuals'!$C:$C,0)+5)=0,INDEX('NARM5 – ED2 actuals'!$CX:$CX,MATCH($B27,'NARM5 – ED2 actuals'!$C:$C,0)+5)=0,INDEX('NARM5 – ED2 actuals'!$AT:$AT,MATCH($B27,'NARM5 – ED2 actuals'!$C:$C,0)+5)=0)=TRUE,"OK","ERR")</f>
        <v>OK</v>
      </c>
      <c r="O27" s="470" t="str" cm="1">
        <f t="array" ref="O27">IF(AND(INDEX('NARM5 – ED2 actuals'!$Y:$Y,MATCH($B27,'NARM5 – ED2 actuals'!$C:$C,0)+5)=0,INDEX('NARM5 – ED2 actuals'!$CX:$CX,MATCH($B27,'NARM5 – ED2 actuals'!$C:$C,0)+5)=0,INDEX('NARM5 – ED2 actuals'!$AT:$AT,MATCH($B27,'NARM5 – ED2 actuals'!$C:$C,0)+5)=0)=TRUE,"OK","ERR")</f>
        <v>OK</v>
      </c>
      <c r="P27" s="470" t="str" cm="1">
        <f t="array" ref="P27">IF(AND(INDEX('NARM5 – ED2 actuals'!$Y:$Y,MATCH($B27,'NARM5 – ED2 actuals'!$C:$C,0)+5)=0,INDEX('NARM5 – ED2 actuals'!$CX:$CX,MATCH($B27,'NARM5 – ED2 actuals'!$C:$C,0)+5)=0,INDEX('NARM5 – ED2 actuals'!$AT:$AT,MATCH($B27,'NARM5 – ED2 actuals'!$C:$C,0)+5)=0)=TRUE,"OK","ERR")</f>
        <v>OK</v>
      </c>
      <c r="Q27" s="469" t="str" cm="1">
        <f t="array" ref="Q27">IF(AND(INDEX('NARM5 – ED2 actuals'!$Y:$Y,MATCH($B27,'NARM5 – ED2 actuals'!$C:$C,0)+5)=0,INDEX('NARM5 – ED2 actuals'!$CX:$CX,MATCH($B27,'NARM5 – ED2 actuals'!$C:$C,0)+5)=0,INDEX('NARM5 – ED2 actuals'!$AT:$AT,MATCH($B27,'NARM5 – ED2 actuals'!$C:$C,0)+5)=0)=TRUE,"OK","ERR")</f>
        <v>OK</v>
      </c>
      <c r="R27" s="471" t="str">
        <f>IF((SUM(AssetReplacement_CurrentYear_yr1_22)=SUM(AssetReplacement_FutureYear_yr1_22))=TRUE,"OK","ERR")</f>
        <v>OK</v>
      </c>
      <c r="S27" s="470" t="str">
        <f>IF((SUM(AssetReplacement_CurrentYear_yr2_22)=SUM(AssetReplacement_FutureYear_yr2_22))=TRUE,"OK","ERR")</f>
        <v>OK</v>
      </c>
      <c r="T27" s="470" t="str">
        <f>IF((SUM(AssetReplacement_CurrentYear_yr3_22)=SUM(AssetReplacement_FutureYear_yr3_22))=TRUE,"OK","ERR")</f>
        <v>OK</v>
      </c>
      <c r="U27" s="470" t="str">
        <f>IF((SUM(AssetReplacement_CurrentYear_yr4_22)=SUM(AssetReplacement_FutureYear_yr4_22))=TRUE,"OK","ERR")</f>
        <v>OK</v>
      </c>
      <c r="V27" s="469" t="str">
        <f>IF((SUM(AssetReplacement_CurrentYear_yr5_22)=SUM(AssetReplacement_FutureYear_yr5_22))=TRUE,"OK","ERR")</f>
        <v>OK</v>
      </c>
    </row>
    <row r="28" spans="1:22">
      <c r="A28" s="483">
        <v>23</v>
      </c>
      <c r="B28" s="472" t="s">
        <v>175</v>
      </c>
      <c r="C28" s="471" t="str">
        <f>IF((COUNTIF(End_Of_Year_Yr1_23,"&lt;0")=0),"OK","ERR")</f>
        <v>OK</v>
      </c>
      <c r="D28" s="470" t="str">
        <f>IF((COUNTIF(End_Of_Year_Yr2_23,"&lt;0")=0),"OK","ERR")</f>
        <v>OK</v>
      </c>
      <c r="E28" s="470" t="str">
        <f>IF((COUNTIF(End_Of_Year_Yr3_23,"&lt;0")=0),"OK","ERR")</f>
        <v>OK</v>
      </c>
      <c r="F28" s="470" t="str">
        <f>IF((COUNTIF(End_Of_Year_Yr4_23,"&lt;0")=0),"OK","ERR")</f>
        <v>OK</v>
      </c>
      <c r="G28" s="469" t="str">
        <f>IF((COUNTIF(End_Of_Year_Yr5_23,"&lt;0")=0),"OK","ERR")</f>
        <v>OK</v>
      </c>
      <c r="H28" s="471" t="str">
        <f>IF((COUNTIF(Deterioration_yr1_23,"&lt;&gt;0")=0),"OK","ERR")</f>
        <v>OK</v>
      </c>
      <c r="I28" s="470" t="str">
        <f>IF((COUNTIF(Deterioration_yr2_23,"&lt;&gt;0")=0),"OK","ERR")</f>
        <v>OK</v>
      </c>
      <c r="J28" s="470" t="str">
        <f>IF((COUNTIF(Deterioration_yr3_23,"&lt;&gt;0")=0),"OK","ERR")</f>
        <v>OK</v>
      </c>
      <c r="K28" s="470" t="str">
        <f>IF((COUNTIF(Deterioration_yr4_23,"&lt;&gt;0")=0),"OK","ERR")</f>
        <v>OK</v>
      </c>
      <c r="L28" s="469" t="str">
        <f>IF((COUNTIF(Deterioration_yr5_23,"&lt;&gt;0")=0),"OK","ERR")</f>
        <v>OK</v>
      </c>
      <c r="M28" s="471" t="str" cm="1">
        <f t="array" ref="M28">IF(AND(INDEX('NARM5 – ED2 actuals'!$Y:$Y,MATCH($B28,'NARM5 – ED2 actuals'!$C:$C,0)+5)=0,INDEX('NARM5 – ED2 actuals'!$CX:$CX,MATCH($B28,'NARM5 – ED2 actuals'!$C:$C,0)+5)=0,INDEX('NARM5 – ED2 actuals'!$AT:$AT,MATCH($B28,'NARM5 – ED2 actuals'!$C:$C,0)+5)=0)=TRUE,"OK","ERR")</f>
        <v>OK</v>
      </c>
      <c r="N28" s="470" t="str" cm="1">
        <f t="array" ref="N28">IF(AND(INDEX('NARM5 – ED2 actuals'!$Y:$Y,MATCH($B28,'NARM5 – ED2 actuals'!$C:$C,0)+5)=0,INDEX('NARM5 – ED2 actuals'!$CX:$CX,MATCH($B28,'NARM5 – ED2 actuals'!$C:$C,0)+5)=0,INDEX('NARM5 – ED2 actuals'!$AT:$AT,MATCH($B28,'NARM5 – ED2 actuals'!$C:$C,0)+5)=0)=TRUE,"OK","ERR")</f>
        <v>OK</v>
      </c>
      <c r="O28" s="470" t="str" cm="1">
        <f t="array" ref="O28">IF(AND(INDEX('NARM5 – ED2 actuals'!$Y:$Y,MATCH($B28,'NARM5 – ED2 actuals'!$C:$C,0)+5)=0,INDEX('NARM5 – ED2 actuals'!$CX:$CX,MATCH($B28,'NARM5 – ED2 actuals'!$C:$C,0)+5)=0,INDEX('NARM5 – ED2 actuals'!$AT:$AT,MATCH($B28,'NARM5 – ED2 actuals'!$C:$C,0)+5)=0)=TRUE,"OK","ERR")</f>
        <v>OK</v>
      </c>
      <c r="P28" s="470" t="str" cm="1">
        <f t="array" ref="P28">IF(AND(INDEX('NARM5 – ED2 actuals'!$Y:$Y,MATCH($B28,'NARM5 – ED2 actuals'!$C:$C,0)+5)=0,INDEX('NARM5 – ED2 actuals'!$CX:$CX,MATCH($B28,'NARM5 – ED2 actuals'!$C:$C,0)+5)=0,INDEX('NARM5 – ED2 actuals'!$AT:$AT,MATCH($B28,'NARM5 – ED2 actuals'!$C:$C,0)+5)=0)=TRUE,"OK","ERR")</f>
        <v>OK</v>
      </c>
      <c r="Q28" s="469" t="str" cm="1">
        <f t="array" ref="Q28">IF(AND(INDEX('NARM5 – ED2 actuals'!$Y:$Y,MATCH($B28,'NARM5 – ED2 actuals'!$C:$C,0)+5)=0,INDEX('NARM5 – ED2 actuals'!$CX:$CX,MATCH($B28,'NARM5 – ED2 actuals'!$C:$C,0)+5)=0,INDEX('NARM5 – ED2 actuals'!$AT:$AT,MATCH($B28,'NARM5 – ED2 actuals'!$C:$C,0)+5)=0)=TRUE,"OK","ERR")</f>
        <v>OK</v>
      </c>
      <c r="R28" s="471" t="str">
        <f>IF((SUM(AssetReplacement_CurrentYear_yr1_23)=SUM(AssetReplacement_FutureYear_yr1_23))=TRUE,"OK","ERR")</f>
        <v>OK</v>
      </c>
      <c r="S28" s="470" t="str">
        <f>IF((SUM(AssetReplacement_CurrentYear_yr2_23)=SUM(AssetReplacement_FutureYear_yr2_23))=TRUE,"OK","ERR")</f>
        <v>OK</v>
      </c>
      <c r="T28" s="470" t="str">
        <f>IF((SUM(AssetReplacement_CurrentYear_yr3_23)=SUM(AssetReplacement_FutureYear_yr3_23))=TRUE,"OK","ERR")</f>
        <v>OK</v>
      </c>
      <c r="U28" s="470" t="str">
        <f>IF((SUM(AssetReplacement_CurrentYear_yr4_23)=SUM(AssetReplacement_FutureYear_yr4_23))=TRUE,"OK","ERR")</f>
        <v>OK</v>
      </c>
      <c r="V28" s="469" t="str">
        <f>IF((SUM(AssetReplacement_CurrentYear_yr5_23)=SUM(AssetReplacement_FutureYear_yr5_23))=TRUE,"OK","ERR")</f>
        <v>OK</v>
      </c>
    </row>
    <row r="29" spans="1:22">
      <c r="A29" s="483">
        <v>24</v>
      </c>
      <c r="B29" s="472" t="s">
        <v>176</v>
      </c>
      <c r="C29" s="471" t="str">
        <f>IF((COUNTIF(End_Of_Year_Yr1_24,"&lt;0")=0),"OK","ERR")</f>
        <v>OK</v>
      </c>
      <c r="D29" s="470" t="str">
        <f>IF((COUNTIF(End_Of_Year_Yr2_24,"&lt;0")=0),"OK","ERR")</f>
        <v>OK</v>
      </c>
      <c r="E29" s="470" t="str">
        <f>IF((COUNTIF(End_Of_Year_Yr3_24,"&lt;0")=0),"OK","ERR")</f>
        <v>OK</v>
      </c>
      <c r="F29" s="470" t="str">
        <f>IF((COUNTIF(End_Of_Year_Yr4_24,"&lt;0")=0),"OK","ERR")</f>
        <v>OK</v>
      </c>
      <c r="G29" s="469" t="str">
        <f>IF((COUNTIF(End_Of_Year_Yr5_24,"&lt;0")=0),"OK","ERR")</f>
        <v>OK</v>
      </c>
      <c r="H29" s="471" t="str">
        <f>IF((COUNTIF(Deterioration_yr1_24,"&lt;&gt;0")=0),"OK","ERR")</f>
        <v>OK</v>
      </c>
      <c r="I29" s="470" t="str">
        <f>IF((COUNTIF(Deterioration_yr2_24,"&lt;&gt;0")=0),"OK","ERR")</f>
        <v>OK</v>
      </c>
      <c r="J29" s="470" t="str">
        <f>IF((COUNTIF(Deterioration_yr3_24,"&lt;&gt;0")=0),"OK","ERR")</f>
        <v>OK</v>
      </c>
      <c r="K29" s="470" t="str">
        <f>IF((COUNTIF(Deterioration_yr4_24,"&lt;&gt;0")=0),"OK","ERR")</f>
        <v>OK</v>
      </c>
      <c r="L29" s="469" t="str">
        <f>IF((COUNTIF(Deterioration_yr5_24,"&lt;&gt;0")=0),"OK","ERR")</f>
        <v>OK</v>
      </c>
      <c r="M29" s="471" t="str" cm="1">
        <f t="array" ref="M29">IF(AND(INDEX('NARM5 – ED2 actuals'!$Y:$Y,MATCH($B29,'NARM5 – ED2 actuals'!$C:$C,0)+5)=0,INDEX('NARM5 – ED2 actuals'!$CX:$CX,MATCH($B29,'NARM5 – ED2 actuals'!$C:$C,0)+5)=0,INDEX('NARM5 – ED2 actuals'!$AT:$AT,MATCH($B29,'NARM5 – ED2 actuals'!$C:$C,0)+5)=0)=TRUE,"OK","ERR")</f>
        <v>OK</v>
      </c>
      <c r="N29" s="470" t="str" cm="1">
        <f t="array" ref="N29">IF(AND(INDEX('NARM5 – ED2 actuals'!$Y:$Y,MATCH($B29,'NARM5 – ED2 actuals'!$C:$C,0)+5)=0,INDEX('NARM5 – ED2 actuals'!$CX:$CX,MATCH($B29,'NARM5 – ED2 actuals'!$C:$C,0)+5)=0,INDEX('NARM5 – ED2 actuals'!$AT:$AT,MATCH($B29,'NARM5 – ED2 actuals'!$C:$C,0)+5)=0)=TRUE,"OK","ERR")</f>
        <v>OK</v>
      </c>
      <c r="O29" s="470" t="str" cm="1">
        <f t="array" ref="O29">IF(AND(INDEX('NARM5 – ED2 actuals'!$Y:$Y,MATCH($B29,'NARM5 – ED2 actuals'!$C:$C,0)+5)=0,INDEX('NARM5 – ED2 actuals'!$CX:$CX,MATCH($B29,'NARM5 – ED2 actuals'!$C:$C,0)+5)=0,INDEX('NARM5 – ED2 actuals'!$AT:$AT,MATCH($B29,'NARM5 – ED2 actuals'!$C:$C,0)+5)=0)=TRUE,"OK","ERR")</f>
        <v>OK</v>
      </c>
      <c r="P29" s="470" t="str" cm="1">
        <f t="array" ref="P29">IF(AND(INDEX('NARM5 – ED2 actuals'!$Y:$Y,MATCH($B29,'NARM5 – ED2 actuals'!$C:$C,0)+5)=0,INDEX('NARM5 – ED2 actuals'!$CX:$CX,MATCH($B29,'NARM5 – ED2 actuals'!$C:$C,0)+5)=0,INDEX('NARM5 – ED2 actuals'!$AT:$AT,MATCH($B29,'NARM5 – ED2 actuals'!$C:$C,0)+5)=0)=TRUE,"OK","ERR")</f>
        <v>OK</v>
      </c>
      <c r="Q29" s="469" t="str" cm="1">
        <f t="array" ref="Q29">IF(AND(INDEX('NARM5 – ED2 actuals'!$Y:$Y,MATCH($B29,'NARM5 – ED2 actuals'!$C:$C,0)+5)=0,INDEX('NARM5 – ED2 actuals'!$CX:$CX,MATCH($B29,'NARM5 – ED2 actuals'!$C:$C,0)+5)=0,INDEX('NARM5 – ED2 actuals'!$AT:$AT,MATCH($B29,'NARM5 – ED2 actuals'!$C:$C,0)+5)=0)=TRUE,"OK","ERR")</f>
        <v>OK</v>
      </c>
      <c r="R29" s="471" t="str">
        <f>IF((SUM(AssetReplacement_CurrentYear_yr1_24)=SUM(AssetReplacement_FutureYear_yr1_24))=TRUE,"OK","ERR")</f>
        <v>OK</v>
      </c>
      <c r="S29" s="470" t="str">
        <f>IF((SUM(AssetReplacement_CurrentYear_yr2_24)=SUM(AssetReplacement_FutureYear_yr2_24))=TRUE,"OK","ERR")</f>
        <v>OK</v>
      </c>
      <c r="T29" s="470" t="str">
        <f>IF((SUM(AssetReplacement_CurrentYear_yr3_24)=SUM(AssetReplacement_FutureYear_yr3_24))=TRUE,"OK","ERR")</f>
        <v>OK</v>
      </c>
      <c r="U29" s="470" t="str">
        <f>IF((SUM(AssetReplacement_CurrentYear_yr4_24)=SUM(AssetReplacement_FutureYear_yr4_24))=TRUE,"OK","ERR")</f>
        <v>OK</v>
      </c>
      <c r="V29" s="469" t="str">
        <f>IF((SUM(AssetReplacement_CurrentYear_yr5_24)=SUM(AssetReplacement_FutureYear_yr5_24))=TRUE,"OK","ERR")</f>
        <v>OK</v>
      </c>
    </row>
    <row r="30" spans="1:22">
      <c r="A30" s="483">
        <v>25</v>
      </c>
      <c r="B30" s="472" t="s">
        <v>86</v>
      </c>
      <c r="C30" s="471" t="str">
        <f>IF((COUNTIF(End_Of_Year_Yr1_25,"&lt;0")=0),"OK","ERR")</f>
        <v>OK</v>
      </c>
      <c r="D30" s="470" t="str">
        <f>IF((COUNTIF(End_Of_Year_Yr2_25,"&lt;0")=0),"OK","ERR")</f>
        <v>OK</v>
      </c>
      <c r="E30" s="470" t="str">
        <f>IF((COUNTIF(End_Of_Year_Yr3_25,"&lt;0")=0),"OK","ERR")</f>
        <v>OK</v>
      </c>
      <c r="F30" s="470" t="str">
        <f>IF((COUNTIF(End_Of_Year_Yr4_25,"&lt;0")=0),"OK","ERR")</f>
        <v>OK</v>
      </c>
      <c r="G30" s="469" t="str">
        <f>IF((COUNTIF(End_Of_Year_Yr5_25,"&lt;0")=0),"OK","ERR")</f>
        <v>OK</v>
      </c>
      <c r="H30" s="471" t="str">
        <f>IF((COUNTIF(Deterioration_yr1_25,"&lt;&gt;0")=0),"OK","ERR")</f>
        <v>OK</v>
      </c>
      <c r="I30" s="470" t="str">
        <f>IF((COUNTIF(Deterioration_yr2_25,"&lt;&gt;0")=0),"OK","ERR")</f>
        <v>OK</v>
      </c>
      <c r="J30" s="470" t="str">
        <f>IF((COUNTIF(Deterioration_yr3_25,"&lt;&gt;0")=0),"OK","ERR")</f>
        <v>OK</v>
      </c>
      <c r="K30" s="470" t="str">
        <f>IF((COUNTIF(Deterioration_yr4_25,"&lt;&gt;0")=0),"OK","ERR")</f>
        <v>OK</v>
      </c>
      <c r="L30" s="469" t="str">
        <f>IF((COUNTIF(Deterioration_yr5_25,"&lt;&gt;0")=0),"OK","ERR")</f>
        <v>OK</v>
      </c>
      <c r="M30" s="471" t="str" cm="1">
        <f t="array" ref="M30">IF(AND(INDEX('NARM5 – ED2 actuals'!$Y:$Y,MATCH($B30,'NARM5 – ED2 actuals'!$C:$C,0)+5)=0,INDEX('NARM5 – ED2 actuals'!$CX:$CX,MATCH($B30,'NARM5 – ED2 actuals'!$C:$C,0)+5)=0,INDEX('NARM5 – ED2 actuals'!$AT:$AT,MATCH($B30,'NARM5 – ED2 actuals'!$C:$C,0)+5)=0)=TRUE,"OK","ERR")</f>
        <v>OK</v>
      </c>
      <c r="N30" s="470" t="str" cm="1">
        <f t="array" ref="N30">IF(AND(INDEX('NARM5 – ED2 actuals'!$Y:$Y,MATCH($B30,'NARM5 – ED2 actuals'!$C:$C,0)+5)=0,INDEX('NARM5 – ED2 actuals'!$CX:$CX,MATCH($B30,'NARM5 – ED2 actuals'!$C:$C,0)+5)=0,INDEX('NARM5 – ED2 actuals'!$AT:$AT,MATCH($B30,'NARM5 – ED2 actuals'!$C:$C,0)+5)=0)=TRUE,"OK","ERR")</f>
        <v>OK</v>
      </c>
      <c r="O30" s="470" t="str" cm="1">
        <f t="array" ref="O30">IF(AND(INDEX('NARM5 – ED2 actuals'!$Y:$Y,MATCH($B30,'NARM5 – ED2 actuals'!$C:$C,0)+5)=0,INDEX('NARM5 – ED2 actuals'!$CX:$CX,MATCH($B30,'NARM5 – ED2 actuals'!$C:$C,0)+5)=0,INDEX('NARM5 – ED2 actuals'!$AT:$AT,MATCH($B30,'NARM5 – ED2 actuals'!$C:$C,0)+5)=0)=TRUE,"OK","ERR")</f>
        <v>OK</v>
      </c>
      <c r="P30" s="470" t="str" cm="1">
        <f t="array" ref="P30">IF(AND(INDEX('NARM5 – ED2 actuals'!$Y:$Y,MATCH($B30,'NARM5 – ED2 actuals'!$C:$C,0)+5)=0,INDEX('NARM5 – ED2 actuals'!$CX:$CX,MATCH($B30,'NARM5 – ED2 actuals'!$C:$C,0)+5)=0,INDEX('NARM5 – ED2 actuals'!$AT:$AT,MATCH($B30,'NARM5 – ED2 actuals'!$C:$C,0)+5)=0)=TRUE,"OK","ERR")</f>
        <v>OK</v>
      </c>
      <c r="Q30" s="469" t="str" cm="1">
        <f t="array" ref="Q30">IF(AND(INDEX('NARM5 – ED2 actuals'!$Y:$Y,MATCH($B30,'NARM5 – ED2 actuals'!$C:$C,0)+5)=0,INDEX('NARM5 – ED2 actuals'!$CX:$CX,MATCH($B30,'NARM5 – ED2 actuals'!$C:$C,0)+5)=0,INDEX('NARM5 – ED2 actuals'!$AT:$AT,MATCH($B30,'NARM5 – ED2 actuals'!$C:$C,0)+5)=0)=TRUE,"OK","ERR")</f>
        <v>OK</v>
      </c>
      <c r="R30" s="471" t="str">
        <f>IF((SUM(AssetReplacement_CurrentYear_yr1_25)=SUM(AssetReplacement_FutureYear_yr1_25))=TRUE,"OK","ERR")</f>
        <v>OK</v>
      </c>
      <c r="S30" s="470" t="str">
        <f>IF((SUM(AssetReplacement_CurrentYear_yr2_25)=SUM(AssetReplacement_FutureYear_yr2_25))=TRUE,"OK","ERR")</f>
        <v>OK</v>
      </c>
      <c r="T30" s="470" t="str">
        <f>IF((SUM(AssetReplacement_CurrentYear_yr3_25)=SUM(AssetReplacement_FutureYear_yr3_25))=TRUE,"OK","ERR")</f>
        <v>OK</v>
      </c>
      <c r="U30" s="470" t="str">
        <f>IF((SUM(AssetReplacement_CurrentYear_yr4_25)=SUM(AssetReplacement_FutureYear_yr4_25))=TRUE,"OK","ERR")</f>
        <v>OK</v>
      </c>
      <c r="V30" s="469" t="str">
        <f>IF((SUM(AssetReplacement_CurrentYear_yr5_25)=SUM(AssetReplacement_FutureYear_yr5_25))=TRUE,"OK","ERR")</f>
        <v>OK</v>
      </c>
    </row>
    <row r="31" spans="1:22">
      <c r="A31" s="483">
        <v>26</v>
      </c>
      <c r="B31" s="472" t="s">
        <v>87</v>
      </c>
      <c r="C31" s="471" t="str">
        <f>IF((COUNTIF(End_Of_Year_Yr1_26,"&lt;0")=0),"OK","ERR")</f>
        <v>OK</v>
      </c>
      <c r="D31" s="470" t="str">
        <f>IF((COUNTIF(End_Of_Year_Yr2_26,"&lt;0")=0),"OK","ERR")</f>
        <v>OK</v>
      </c>
      <c r="E31" s="470" t="str">
        <f>IF((COUNTIF(End_Of_Year_Yr3_26,"&lt;0")=0),"OK","ERR")</f>
        <v>OK</v>
      </c>
      <c r="F31" s="470" t="str">
        <f>IF((COUNTIF(End_Of_Year_Yr4_26,"&lt;0")=0),"OK","ERR")</f>
        <v>OK</v>
      </c>
      <c r="G31" s="469" t="str">
        <f>IF((COUNTIF(End_Of_Year_Yr5_26,"&lt;0")=0),"OK","ERR")</f>
        <v>OK</v>
      </c>
      <c r="H31" s="471" t="str">
        <f>IF((COUNTIF(Deterioration_yr1_26,"&lt;&gt;0")=0),"OK","ERR")</f>
        <v>OK</v>
      </c>
      <c r="I31" s="470" t="str">
        <f>IF((COUNTIF(Deterioration_yr2_26,"&lt;&gt;0")=0),"OK","ERR")</f>
        <v>OK</v>
      </c>
      <c r="J31" s="470" t="str">
        <f>IF((COUNTIF(Deterioration_yr3_26,"&lt;&gt;0")=0),"OK","ERR")</f>
        <v>OK</v>
      </c>
      <c r="K31" s="470" t="str">
        <f>IF((COUNTIF(Deterioration_yr4_26,"&lt;&gt;0")=0),"OK","ERR")</f>
        <v>OK</v>
      </c>
      <c r="L31" s="469" t="str">
        <f>IF((COUNTIF(Deterioration_yr5_26,"&lt;&gt;0")=0),"OK","ERR")</f>
        <v>OK</v>
      </c>
      <c r="M31" s="471" t="str" cm="1">
        <f t="array" ref="M31">IF(AND(INDEX('NARM5 – ED2 actuals'!$Y:$Y,MATCH($B31,'NARM5 – ED2 actuals'!$C:$C,0)+5)=0,INDEX('NARM5 – ED2 actuals'!$CX:$CX,MATCH($B31,'NARM5 – ED2 actuals'!$C:$C,0)+5)=0,INDEX('NARM5 – ED2 actuals'!$AT:$AT,MATCH($B31,'NARM5 – ED2 actuals'!$C:$C,0)+5)=0)=TRUE,"OK","ERR")</f>
        <v>OK</v>
      </c>
      <c r="N31" s="470" t="str" cm="1">
        <f t="array" ref="N31">IF(AND(INDEX('NARM5 – ED2 actuals'!$Y:$Y,MATCH($B31,'NARM5 – ED2 actuals'!$C:$C,0)+5)=0,INDEX('NARM5 – ED2 actuals'!$CX:$CX,MATCH($B31,'NARM5 – ED2 actuals'!$C:$C,0)+5)=0,INDEX('NARM5 – ED2 actuals'!$AT:$AT,MATCH($B31,'NARM5 – ED2 actuals'!$C:$C,0)+5)=0)=TRUE,"OK","ERR")</f>
        <v>OK</v>
      </c>
      <c r="O31" s="470" t="str" cm="1">
        <f t="array" ref="O31">IF(AND(INDEX('NARM5 – ED2 actuals'!$Y:$Y,MATCH($B31,'NARM5 – ED2 actuals'!$C:$C,0)+5)=0,INDEX('NARM5 – ED2 actuals'!$CX:$CX,MATCH($B31,'NARM5 – ED2 actuals'!$C:$C,0)+5)=0,INDEX('NARM5 – ED2 actuals'!$AT:$AT,MATCH($B31,'NARM5 – ED2 actuals'!$C:$C,0)+5)=0)=TRUE,"OK","ERR")</f>
        <v>OK</v>
      </c>
      <c r="P31" s="470" t="str" cm="1">
        <f t="array" ref="P31">IF(AND(INDEX('NARM5 – ED2 actuals'!$Y:$Y,MATCH($B31,'NARM5 – ED2 actuals'!$C:$C,0)+5)=0,INDEX('NARM5 – ED2 actuals'!$CX:$CX,MATCH($B31,'NARM5 – ED2 actuals'!$C:$C,0)+5)=0,INDEX('NARM5 – ED2 actuals'!$AT:$AT,MATCH($B31,'NARM5 – ED2 actuals'!$C:$C,0)+5)=0)=TRUE,"OK","ERR")</f>
        <v>OK</v>
      </c>
      <c r="Q31" s="469" t="str" cm="1">
        <f t="array" ref="Q31">IF(AND(INDEX('NARM5 – ED2 actuals'!$Y:$Y,MATCH($B31,'NARM5 – ED2 actuals'!$C:$C,0)+5)=0,INDEX('NARM5 – ED2 actuals'!$CX:$CX,MATCH($B31,'NARM5 – ED2 actuals'!$C:$C,0)+5)=0,INDEX('NARM5 – ED2 actuals'!$AT:$AT,MATCH($B31,'NARM5 – ED2 actuals'!$C:$C,0)+5)=0)=TRUE,"OK","ERR")</f>
        <v>OK</v>
      </c>
      <c r="R31" s="471" t="str">
        <f>IF((SUM(AssetReplacement_CurrentYear_yr1_26)=SUM(AssetReplacement_FutureYear_yr1_26))=TRUE,"OK","ERR")</f>
        <v>OK</v>
      </c>
      <c r="S31" s="470" t="str">
        <f>IF((SUM(AssetReplacement_CurrentYear_yr2_26)=SUM(AssetReplacement_FutureYear_yr2_26))=TRUE,"OK","ERR")</f>
        <v>OK</v>
      </c>
      <c r="T31" s="470" t="str">
        <f>IF((SUM(AssetReplacement_CurrentYear_yr3_26)=SUM(AssetReplacement_FutureYear_yr3_26))=TRUE,"OK","ERR")</f>
        <v>OK</v>
      </c>
      <c r="U31" s="470" t="str">
        <f>IF((SUM(AssetReplacement_CurrentYear_yr4_26)=SUM(AssetReplacement_FutureYear_yr4_26))=TRUE,"OK","ERR")</f>
        <v>OK</v>
      </c>
      <c r="V31" s="469" t="str">
        <f>IF((SUM(AssetReplacement_CurrentYear_yr5_26)=SUM(AssetReplacement_FutureYear_yr5_26))=TRUE,"OK","ERR")</f>
        <v>OK</v>
      </c>
    </row>
    <row r="32" spans="1:22">
      <c r="A32" s="483">
        <v>27</v>
      </c>
      <c r="B32" s="472" t="s">
        <v>88</v>
      </c>
      <c r="C32" s="471" t="str">
        <f>IF((COUNTIF(End_Of_Year_Yr1_27,"&lt;0")=0),"OK","ERR")</f>
        <v>OK</v>
      </c>
      <c r="D32" s="470" t="str">
        <f>IF((COUNTIF(End_Of_Year_Yr2_27,"&lt;0")=0),"OK","ERR")</f>
        <v>OK</v>
      </c>
      <c r="E32" s="470" t="str">
        <f>IF((COUNTIF(End_Of_Year_Yr3_27,"&lt;0")=0),"OK","ERR")</f>
        <v>OK</v>
      </c>
      <c r="F32" s="470" t="str">
        <f>IF((COUNTIF(End_Of_Year_Yr4_27,"&lt;0")=0),"OK","ERR")</f>
        <v>OK</v>
      </c>
      <c r="G32" s="469" t="str">
        <f>IF((COUNTIF(End_Of_Year_Yr5_27,"&lt;0")=0),"OK","ERR")</f>
        <v>OK</v>
      </c>
      <c r="H32" s="471" t="str">
        <f>IF((COUNTIF(Deterioration_yr1_27,"&lt;&gt;0")=0),"OK","ERR")</f>
        <v>OK</v>
      </c>
      <c r="I32" s="470" t="str">
        <f>IF((COUNTIF(Deterioration_yr2_27,"&lt;&gt;0")=0),"OK","ERR")</f>
        <v>OK</v>
      </c>
      <c r="J32" s="470" t="str">
        <f>IF((COUNTIF(Deterioration_yr3_27,"&lt;&gt;0")=0),"OK","ERR")</f>
        <v>OK</v>
      </c>
      <c r="K32" s="470" t="str">
        <f>IF((COUNTIF(Deterioration_yr4_27,"&lt;&gt;0")=0),"OK","ERR")</f>
        <v>OK</v>
      </c>
      <c r="L32" s="469" t="str">
        <f>IF((COUNTIF(Deterioration_yr5_27,"&lt;&gt;0")=0),"OK","ERR")</f>
        <v>OK</v>
      </c>
      <c r="M32" s="471" t="str" cm="1">
        <f t="array" ref="M32">IF(AND(INDEX('NARM5 – ED2 actuals'!$Y:$Y,MATCH($B32,'NARM5 – ED2 actuals'!$C:$C,0)+5)=0,INDEX('NARM5 – ED2 actuals'!$CX:$CX,MATCH($B32,'NARM5 – ED2 actuals'!$C:$C,0)+5)=0,INDEX('NARM5 – ED2 actuals'!$AT:$AT,MATCH($B32,'NARM5 – ED2 actuals'!$C:$C,0)+5)=0)=TRUE,"OK","ERR")</f>
        <v>OK</v>
      </c>
      <c r="N32" s="470" t="str" cm="1">
        <f t="array" ref="N32">IF(AND(INDEX('NARM5 – ED2 actuals'!$Y:$Y,MATCH($B32,'NARM5 – ED2 actuals'!$C:$C,0)+5)=0,INDEX('NARM5 – ED2 actuals'!$CX:$CX,MATCH($B32,'NARM5 – ED2 actuals'!$C:$C,0)+5)=0,INDEX('NARM5 – ED2 actuals'!$AT:$AT,MATCH($B32,'NARM5 – ED2 actuals'!$C:$C,0)+5)=0)=TRUE,"OK","ERR")</f>
        <v>OK</v>
      </c>
      <c r="O32" s="470" t="str" cm="1">
        <f t="array" ref="O32">IF(AND(INDEX('NARM5 – ED2 actuals'!$Y:$Y,MATCH($B32,'NARM5 – ED2 actuals'!$C:$C,0)+5)=0,INDEX('NARM5 – ED2 actuals'!$CX:$CX,MATCH($B32,'NARM5 – ED2 actuals'!$C:$C,0)+5)=0,INDEX('NARM5 – ED2 actuals'!$AT:$AT,MATCH($B32,'NARM5 – ED2 actuals'!$C:$C,0)+5)=0)=TRUE,"OK","ERR")</f>
        <v>OK</v>
      </c>
      <c r="P32" s="470" t="str" cm="1">
        <f t="array" ref="P32">IF(AND(INDEX('NARM5 – ED2 actuals'!$Y:$Y,MATCH($B32,'NARM5 – ED2 actuals'!$C:$C,0)+5)=0,INDEX('NARM5 – ED2 actuals'!$CX:$CX,MATCH($B32,'NARM5 – ED2 actuals'!$C:$C,0)+5)=0,INDEX('NARM5 – ED2 actuals'!$AT:$AT,MATCH($B32,'NARM5 – ED2 actuals'!$C:$C,0)+5)=0)=TRUE,"OK","ERR")</f>
        <v>OK</v>
      </c>
      <c r="Q32" s="469" t="str" cm="1">
        <f t="array" ref="Q32">IF(AND(INDEX('NARM5 – ED2 actuals'!$Y:$Y,MATCH($B32,'NARM5 – ED2 actuals'!$C:$C,0)+5)=0,INDEX('NARM5 – ED2 actuals'!$CX:$CX,MATCH($B32,'NARM5 – ED2 actuals'!$C:$C,0)+5)=0,INDEX('NARM5 – ED2 actuals'!$AT:$AT,MATCH($B32,'NARM5 – ED2 actuals'!$C:$C,0)+5)=0)=TRUE,"OK","ERR")</f>
        <v>OK</v>
      </c>
      <c r="R32" s="471" t="str">
        <f>IF((SUM(AssetReplacement_CurrentYear_yr1_27)=SUM(AssetReplacement_FutureYear_yr1_27))=TRUE,"OK","ERR")</f>
        <v>OK</v>
      </c>
      <c r="S32" s="470" t="str">
        <f>IF((SUM(AssetReplacement_CurrentYear_yr2_27)=SUM(AssetReplacement_FutureYear_yr2_27))=TRUE,"OK","ERR")</f>
        <v>OK</v>
      </c>
      <c r="T32" s="470" t="str">
        <f>IF((SUM(AssetReplacement_CurrentYear_yr3_27)=SUM(AssetReplacement_FutureYear_yr3_27))=TRUE,"OK","ERR")</f>
        <v>OK</v>
      </c>
      <c r="U32" s="470" t="str">
        <f>IF((SUM(AssetReplacement_CurrentYear_yr4_27)=SUM(AssetReplacement_FutureYear_yr4_27))=TRUE,"OK","ERR")</f>
        <v>OK</v>
      </c>
      <c r="V32" s="469" t="str">
        <f>IF((SUM(AssetReplacement_CurrentYear_yr5_27)=SUM(AssetReplacement_FutureYear_yr5_27))=TRUE,"OK","ERR")</f>
        <v>OK</v>
      </c>
    </row>
    <row r="33" spans="1:22">
      <c r="A33" s="483">
        <v>28</v>
      </c>
      <c r="B33" s="472" t="s">
        <v>89</v>
      </c>
      <c r="C33" s="471" t="str">
        <f>IF((COUNTIF(End_Of_Year_Yr1_28,"&lt;0")=0),"OK","ERR")</f>
        <v>OK</v>
      </c>
      <c r="D33" s="470" t="str">
        <f>IF((COUNTIF(End_Of_Year_Yr2_28,"&lt;0")=0),"OK","ERR")</f>
        <v>OK</v>
      </c>
      <c r="E33" s="470" t="str">
        <f>IF((COUNTIF(End_Of_Year_Yr3_28,"&lt;0")=0),"OK","ERR")</f>
        <v>OK</v>
      </c>
      <c r="F33" s="470" t="str">
        <f>IF((COUNTIF(End_Of_Year_Yr4_28,"&lt;0")=0),"OK","ERR")</f>
        <v>OK</v>
      </c>
      <c r="G33" s="469" t="str">
        <f>IF((COUNTIF(End_Of_Year_Yr5_28,"&lt;0")=0),"OK","ERR")</f>
        <v>OK</v>
      </c>
      <c r="H33" s="471" t="str">
        <f>IF((COUNTIF(Deterioration_yr1_28,"&lt;&gt;0")=0),"OK","ERR")</f>
        <v>OK</v>
      </c>
      <c r="I33" s="470" t="str">
        <f>IF((COUNTIF(Deterioration_yr2_28,"&lt;&gt;0")=0),"OK","ERR")</f>
        <v>OK</v>
      </c>
      <c r="J33" s="470" t="str">
        <f>IF((COUNTIF(Deterioration_yr3_28,"&lt;&gt;0")=0),"OK","ERR")</f>
        <v>OK</v>
      </c>
      <c r="K33" s="470" t="str">
        <f>IF((COUNTIF(Deterioration_yr4_28,"&lt;&gt;0")=0),"OK","ERR")</f>
        <v>OK</v>
      </c>
      <c r="L33" s="469" t="str">
        <f>IF((COUNTIF(Deterioration_yr5_28,"&lt;&gt;0")=0),"OK","ERR")</f>
        <v>OK</v>
      </c>
      <c r="M33" s="471" t="str" cm="1">
        <f t="array" ref="M33">IF(AND(INDEX('NARM5 – ED2 actuals'!$Y:$Y,MATCH($B33,'NARM5 – ED2 actuals'!$C:$C,0)+5)=0,INDEX('NARM5 – ED2 actuals'!$CX:$CX,MATCH($B33,'NARM5 – ED2 actuals'!$C:$C,0)+5)=0,INDEX('NARM5 – ED2 actuals'!$AT:$AT,MATCH($B33,'NARM5 – ED2 actuals'!$C:$C,0)+5)=0)=TRUE,"OK","ERR")</f>
        <v>OK</v>
      </c>
      <c r="N33" s="470" t="str" cm="1">
        <f t="array" ref="N33">IF(AND(INDEX('NARM5 – ED2 actuals'!$Y:$Y,MATCH($B33,'NARM5 – ED2 actuals'!$C:$C,0)+5)=0,INDEX('NARM5 – ED2 actuals'!$CX:$CX,MATCH($B33,'NARM5 – ED2 actuals'!$C:$C,0)+5)=0,INDEX('NARM5 – ED2 actuals'!$AT:$AT,MATCH($B33,'NARM5 – ED2 actuals'!$C:$C,0)+5)=0)=TRUE,"OK","ERR")</f>
        <v>OK</v>
      </c>
      <c r="O33" s="470" t="str" cm="1">
        <f t="array" ref="O33">IF(AND(INDEX('NARM5 – ED2 actuals'!$Y:$Y,MATCH($B33,'NARM5 – ED2 actuals'!$C:$C,0)+5)=0,INDEX('NARM5 – ED2 actuals'!$CX:$CX,MATCH($B33,'NARM5 – ED2 actuals'!$C:$C,0)+5)=0,INDEX('NARM5 – ED2 actuals'!$AT:$AT,MATCH($B33,'NARM5 – ED2 actuals'!$C:$C,0)+5)=0)=TRUE,"OK","ERR")</f>
        <v>OK</v>
      </c>
      <c r="P33" s="470" t="str" cm="1">
        <f t="array" ref="P33">IF(AND(INDEX('NARM5 – ED2 actuals'!$Y:$Y,MATCH($B33,'NARM5 – ED2 actuals'!$C:$C,0)+5)=0,INDEX('NARM5 – ED2 actuals'!$CX:$CX,MATCH($B33,'NARM5 – ED2 actuals'!$C:$C,0)+5)=0,INDEX('NARM5 – ED2 actuals'!$AT:$AT,MATCH($B33,'NARM5 – ED2 actuals'!$C:$C,0)+5)=0)=TRUE,"OK","ERR")</f>
        <v>OK</v>
      </c>
      <c r="Q33" s="469" t="str" cm="1">
        <f t="array" ref="Q33">IF(AND(INDEX('NARM5 – ED2 actuals'!$Y:$Y,MATCH($B33,'NARM5 – ED2 actuals'!$C:$C,0)+5)=0,INDEX('NARM5 – ED2 actuals'!$CX:$CX,MATCH($B33,'NARM5 – ED2 actuals'!$C:$C,0)+5)=0,INDEX('NARM5 – ED2 actuals'!$AT:$AT,MATCH($B33,'NARM5 – ED2 actuals'!$C:$C,0)+5)=0)=TRUE,"OK","ERR")</f>
        <v>OK</v>
      </c>
      <c r="R33" s="471" t="str">
        <f>IF((SUM(AssetReplacement_CurrentYear_yr1_28)=SUM(AssetReplacement_FutureYear_yr1_28))=TRUE,"OK","ERR")</f>
        <v>OK</v>
      </c>
      <c r="S33" s="470" t="str">
        <f>IF((SUM(AssetReplacement_CurrentYear_yr2_28)=SUM(AssetReplacement_FutureYear_yr2_28))=TRUE,"OK","ERR")</f>
        <v>OK</v>
      </c>
      <c r="T33" s="470" t="str">
        <f>IF((SUM(AssetReplacement_CurrentYear_yr3_28)=SUM(AssetReplacement_FutureYear_yr3_28))=TRUE,"OK","ERR")</f>
        <v>OK</v>
      </c>
      <c r="U33" s="470" t="str">
        <f>IF((SUM(AssetReplacement_CurrentYear_yr4_28)=SUM(AssetReplacement_FutureYear_yr4_28))=TRUE,"OK","ERR")</f>
        <v>OK</v>
      </c>
      <c r="V33" s="469" t="str">
        <f>IF((SUM(AssetReplacement_CurrentYear_yr5_28)=SUM(AssetReplacement_FutureYear_yr5_28))=TRUE,"OK","ERR")</f>
        <v>OK</v>
      </c>
    </row>
    <row r="34" spans="1:22">
      <c r="A34" s="483">
        <v>29</v>
      </c>
      <c r="B34" s="472" t="s">
        <v>90</v>
      </c>
      <c r="C34" s="471" t="str">
        <f>IF((COUNTIF(End_Of_Year_Yr1_29,"&lt;0")=0),"OK","ERR")</f>
        <v>OK</v>
      </c>
      <c r="D34" s="470" t="str">
        <f>IF((COUNTIF(End_Of_Year_Yr2_29,"&lt;0")=0),"OK","ERR")</f>
        <v>OK</v>
      </c>
      <c r="E34" s="470" t="str">
        <f>IF((COUNTIF(End_Of_Year_Yr3_29,"&lt;0")=0),"OK","ERR")</f>
        <v>OK</v>
      </c>
      <c r="F34" s="470" t="str">
        <f>IF((COUNTIF(End_Of_Year_Yr4_29,"&lt;0")=0),"OK","ERR")</f>
        <v>OK</v>
      </c>
      <c r="G34" s="469" t="str">
        <f>IF((COUNTIF(End_Of_Year_Yr5_29,"&lt;0")=0),"OK","ERR")</f>
        <v>OK</v>
      </c>
      <c r="H34" s="471" t="str">
        <f>IF((COUNTIF(Deterioration_yr1_29,"&lt;&gt;0")=0),"OK","ERR")</f>
        <v>OK</v>
      </c>
      <c r="I34" s="470" t="str">
        <f>IF((COUNTIF(Deterioration_yr2_29,"&lt;&gt;0")=0),"OK","ERR")</f>
        <v>OK</v>
      </c>
      <c r="J34" s="470" t="str">
        <f>IF((COUNTIF(Deterioration_yr3_29,"&lt;&gt;0")=0),"OK","ERR")</f>
        <v>OK</v>
      </c>
      <c r="K34" s="470" t="str">
        <f>IF((COUNTIF(Deterioration_yr4_29,"&lt;&gt;0")=0),"OK","ERR")</f>
        <v>OK</v>
      </c>
      <c r="L34" s="469" t="str">
        <f>IF((COUNTIF(Deterioration_yr5_29,"&lt;&gt;0")=0),"OK","ERR")</f>
        <v>OK</v>
      </c>
      <c r="M34" s="471" t="str" cm="1">
        <f t="array" ref="M34">IF(AND(INDEX('NARM5 – ED2 actuals'!$Y:$Y,MATCH($B34,'NARM5 – ED2 actuals'!$C:$C,0)+5)=0,INDEX('NARM5 – ED2 actuals'!$CX:$CX,MATCH($B34,'NARM5 – ED2 actuals'!$C:$C,0)+5)=0,INDEX('NARM5 – ED2 actuals'!$AT:$AT,MATCH($B34,'NARM5 – ED2 actuals'!$C:$C,0)+5)=0)=TRUE,"OK","ERR")</f>
        <v>OK</v>
      </c>
      <c r="N34" s="470" t="str" cm="1">
        <f t="array" ref="N34">IF(AND(INDEX('NARM5 – ED2 actuals'!$Y:$Y,MATCH($B34,'NARM5 – ED2 actuals'!$C:$C,0)+5)=0,INDEX('NARM5 – ED2 actuals'!$CX:$CX,MATCH($B34,'NARM5 – ED2 actuals'!$C:$C,0)+5)=0,INDEX('NARM5 – ED2 actuals'!$AT:$AT,MATCH($B34,'NARM5 – ED2 actuals'!$C:$C,0)+5)=0)=TRUE,"OK","ERR")</f>
        <v>OK</v>
      </c>
      <c r="O34" s="470" t="str" cm="1">
        <f t="array" ref="O34">IF(AND(INDEX('NARM5 – ED2 actuals'!$Y:$Y,MATCH($B34,'NARM5 – ED2 actuals'!$C:$C,0)+5)=0,INDEX('NARM5 – ED2 actuals'!$CX:$CX,MATCH($B34,'NARM5 – ED2 actuals'!$C:$C,0)+5)=0,INDEX('NARM5 – ED2 actuals'!$AT:$AT,MATCH($B34,'NARM5 – ED2 actuals'!$C:$C,0)+5)=0)=TRUE,"OK","ERR")</f>
        <v>OK</v>
      </c>
      <c r="P34" s="470" t="str" cm="1">
        <f t="array" ref="P34">IF(AND(INDEX('NARM5 – ED2 actuals'!$Y:$Y,MATCH($B34,'NARM5 – ED2 actuals'!$C:$C,0)+5)=0,INDEX('NARM5 – ED2 actuals'!$CX:$CX,MATCH($B34,'NARM5 – ED2 actuals'!$C:$C,0)+5)=0,INDEX('NARM5 – ED2 actuals'!$AT:$AT,MATCH($B34,'NARM5 – ED2 actuals'!$C:$C,0)+5)=0)=TRUE,"OK","ERR")</f>
        <v>OK</v>
      </c>
      <c r="Q34" s="469" t="str" cm="1">
        <f t="array" ref="Q34">IF(AND(INDEX('NARM5 – ED2 actuals'!$Y:$Y,MATCH($B34,'NARM5 – ED2 actuals'!$C:$C,0)+5)=0,INDEX('NARM5 – ED2 actuals'!$CX:$CX,MATCH($B34,'NARM5 – ED2 actuals'!$C:$C,0)+5)=0,INDEX('NARM5 – ED2 actuals'!$AT:$AT,MATCH($B34,'NARM5 – ED2 actuals'!$C:$C,0)+5)=0)=TRUE,"OK","ERR")</f>
        <v>OK</v>
      </c>
      <c r="R34" s="471" t="str">
        <f>IF((SUM(AssetReplacement_CurrentYear_yr1_29)=SUM(AssetReplacement_FutureYear_yr1_29))=TRUE,"OK","ERR")</f>
        <v>OK</v>
      </c>
      <c r="S34" s="470" t="str">
        <f>IF((SUM(AssetReplacement_CurrentYear_yr2_29)=SUM(AssetReplacement_FutureYear_yr2_29))=TRUE,"OK","ERR")</f>
        <v>OK</v>
      </c>
      <c r="T34" s="470" t="str">
        <f>IF((SUM(AssetReplacement_CurrentYear_yr3_29)=SUM(AssetReplacement_FutureYear_yr3_29))=TRUE,"OK","ERR")</f>
        <v>OK</v>
      </c>
      <c r="U34" s="470" t="str">
        <f>IF((SUM(AssetReplacement_CurrentYear_yr4_29)=SUM(AssetReplacement_FutureYear_yr4_29))=TRUE,"OK","ERR")</f>
        <v>OK</v>
      </c>
      <c r="V34" s="469" t="str">
        <f>IF((SUM(AssetReplacement_CurrentYear_yr5_29)=SUM(AssetReplacement_FutureYear_yr5_29))=TRUE,"OK","ERR")</f>
        <v>OK</v>
      </c>
    </row>
    <row r="35" spans="1:22">
      <c r="A35" s="483">
        <v>30</v>
      </c>
      <c r="B35" s="472" t="s">
        <v>91</v>
      </c>
      <c r="C35" s="471" t="str">
        <f>IF((COUNTIF(End_Of_Year_Yr1_30,"&lt;0")=0),"OK","ERR")</f>
        <v>OK</v>
      </c>
      <c r="D35" s="470" t="str">
        <f>IF((COUNTIF(End_Of_Year_Yr2_30,"&lt;0")=0),"OK","ERR")</f>
        <v>OK</v>
      </c>
      <c r="E35" s="470" t="str">
        <f>IF((COUNTIF(End_Of_Year_Yr3_30,"&lt;0")=0),"OK","ERR")</f>
        <v>OK</v>
      </c>
      <c r="F35" s="470" t="str">
        <f>IF((COUNTIF(End_Of_Year_Yr4_30,"&lt;0")=0),"OK","ERR")</f>
        <v>OK</v>
      </c>
      <c r="G35" s="469" t="str">
        <f>IF((COUNTIF(End_Of_Year_Yr5_30,"&lt;0")=0),"OK","ERR")</f>
        <v>OK</v>
      </c>
      <c r="H35" s="471" t="str">
        <f>IF((COUNTIF(Deterioration_yr1_30,"&lt;&gt;0")=0),"OK","ERR")</f>
        <v>OK</v>
      </c>
      <c r="I35" s="470" t="str">
        <f>IF((COUNTIF(Deterioration_yr2_30,"&lt;&gt;0")=0),"OK","ERR")</f>
        <v>OK</v>
      </c>
      <c r="J35" s="470" t="str">
        <f>IF((COUNTIF(Deterioration_yr3_30,"&lt;&gt;0")=0),"OK","ERR")</f>
        <v>OK</v>
      </c>
      <c r="K35" s="470" t="str">
        <f>IF((COUNTIF(Deterioration_yr4_30,"&lt;&gt;0")=0),"OK","ERR")</f>
        <v>OK</v>
      </c>
      <c r="L35" s="469" t="str">
        <f>IF((COUNTIF(Deterioration_yr5_30,"&lt;&gt;0")=0),"OK","ERR")</f>
        <v>OK</v>
      </c>
      <c r="M35" s="471" t="str" cm="1">
        <f t="array" ref="M35">IF(AND(INDEX('NARM5 – ED2 actuals'!$Y:$Y,MATCH($B35,'NARM5 – ED2 actuals'!$C:$C,0)+5)=0,INDEX('NARM5 – ED2 actuals'!$CX:$CX,MATCH($B35,'NARM5 – ED2 actuals'!$C:$C,0)+5)=0,INDEX('NARM5 – ED2 actuals'!$AT:$AT,MATCH($B35,'NARM5 – ED2 actuals'!$C:$C,0)+5)=0)=TRUE,"OK","ERR")</f>
        <v>OK</v>
      </c>
      <c r="N35" s="470" t="str" cm="1">
        <f t="array" ref="N35">IF(AND(INDEX('NARM5 – ED2 actuals'!$Y:$Y,MATCH($B35,'NARM5 – ED2 actuals'!$C:$C,0)+5)=0,INDEX('NARM5 – ED2 actuals'!$CX:$CX,MATCH($B35,'NARM5 – ED2 actuals'!$C:$C,0)+5)=0,INDEX('NARM5 – ED2 actuals'!$AT:$AT,MATCH($B35,'NARM5 – ED2 actuals'!$C:$C,0)+5)=0)=TRUE,"OK","ERR")</f>
        <v>OK</v>
      </c>
      <c r="O35" s="470" t="str" cm="1">
        <f t="array" ref="O35">IF(AND(INDEX('NARM5 – ED2 actuals'!$Y:$Y,MATCH($B35,'NARM5 – ED2 actuals'!$C:$C,0)+5)=0,INDEX('NARM5 – ED2 actuals'!$CX:$CX,MATCH($B35,'NARM5 – ED2 actuals'!$C:$C,0)+5)=0,INDEX('NARM5 – ED2 actuals'!$AT:$AT,MATCH($B35,'NARM5 – ED2 actuals'!$C:$C,0)+5)=0)=TRUE,"OK","ERR")</f>
        <v>OK</v>
      </c>
      <c r="P35" s="470" t="str" cm="1">
        <f t="array" ref="P35">IF(AND(INDEX('NARM5 – ED2 actuals'!$Y:$Y,MATCH($B35,'NARM5 – ED2 actuals'!$C:$C,0)+5)=0,INDEX('NARM5 – ED2 actuals'!$CX:$CX,MATCH($B35,'NARM5 – ED2 actuals'!$C:$C,0)+5)=0,INDEX('NARM5 – ED2 actuals'!$AT:$AT,MATCH($B35,'NARM5 – ED2 actuals'!$C:$C,0)+5)=0)=TRUE,"OK","ERR")</f>
        <v>OK</v>
      </c>
      <c r="Q35" s="469" t="str" cm="1">
        <f t="array" ref="Q35">IF(AND(INDEX('NARM5 – ED2 actuals'!$Y:$Y,MATCH($B35,'NARM5 – ED2 actuals'!$C:$C,0)+5)=0,INDEX('NARM5 – ED2 actuals'!$CX:$CX,MATCH($B35,'NARM5 – ED2 actuals'!$C:$C,0)+5)=0,INDEX('NARM5 – ED2 actuals'!$AT:$AT,MATCH($B35,'NARM5 – ED2 actuals'!$C:$C,0)+5)=0)=TRUE,"OK","ERR")</f>
        <v>OK</v>
      </c>
      <c r="R35" s="471" t="str">
        <f>IF((SUM(AssetReplacement_CurrentYear_yr1_30)=SUM(AssetReplacement_FutureYear_yr1_30))=TRUE,"OK","ERR")</f>
        <v>OK</v>
      </c>
      <c r="S35" s="470" t="str">
        <f>IF((SUM(AssetReplacement_CurrentYear_yr2_30)=SUM(AssetReplacement_FutureYear_yr2_30))=TRUE,"OK","ERR")</f>
        <v>OK</v>
      </c>
      <c r="T35" s="470" t="str">
        <f>IF((SUM(AssetReplacement_CurrentYear_yr3_30)=SUM(AssetReplacement_FutureYear_yr3_30))=TRUE,"OK","ERR")</f>
        <v>OK</v>
      </c>
      <c r="U35" s="470" t="str">
        <f>IF((SUM(AssetReplacement_CurrentYear_yr4_30)=SUM(AssetReplacement_FutureYear_yr4_30))=TRUE,"OK","ERR")</f>
        <v>OK</v>
      </c>
      <c r="V35" s="469" t="str">
        <f>IF((SUM(AssetReplacement_CurrentYear_yr5_30)=SUM(AssetReplacement_FutureYear_yr5_30))=TRUE,"OK","ERR")</f>
        <v>OK</v>
      </c>
    </row>
    <row r="36" spans="1:22">
      <c r="A36" s="483">
        <v>31</v>
      </c>
      <c r="B36" s="472" t="s">
        <v>92</v>
      </c>
      <c r="C36" s="471" t="str">
        <f>IF((COUNTIF(End_Of_Year_Yr1_31,"&lt;0")=0),"OK","ERR")</f>
        <v>OK</v>
      </c>
      <c r="D36" s="470" t="str">
        <f>IF((COUNTIF(End_Of_Year_Yr2_31,"&lt;0")=0),"OK","ERR")</f>
        <v>OK</v>
      </c>
      <c r="E36" s="470" t="str">
        <f>IF((COUNTIF(End_Of_Year_Yr3_31,"&lt;0")=0),"OK","ERR")</f>
        <v>OK</v>
      </c>
      <c r="F36" s="470" t="str">
        <f>IF((COUNTIF(End_Of_Year_Yr4_31,"&lt;0")=0),"OK","ERR")</f>
        <v>OK</v>
      </c>
      <c r="G36" s="469" t="str">
        <f>IF((COUNTIF(End_Of_Year_Yr5_31,"&lt;0")=0),"OK","ERR")</f>
        <v>OK</v>
      </c>
      <c r="H36" s="471" t="str">
        <f>IF((COUNTIF(Deterioration_yr1_31,"&lt;&gt;0")=0),"OK","ERR")</f>
        <v>OK</v>
      </c>
      <c r="I36" s="470" t="str">
        <f>IF((COUNTIF(Deterioration_yr2_31,"&lt;&gt;0")=0),"OK","ERR")</f>
        <v>OK</v>
      </c>
      <c r="J36" s="470" t="str">
        <f>IF((COUNTIF(Deterioration_yr3_31,"&lt;&gt;0")=0),"OK","ERR")</f>
        <v>OK</v>
      </c>
      <c r="K36" s="470" t="str">
        <f>IF((COUNTIF(Deterioration_yr4_31,"&lt;&gt;0")=0),"OK","ERR")</f>
        <v>OK</v>
      </c>
      <c r="L36" s="469" t="str">
        <f>IF((COUNTIF(Deterioration_yr5_31,"&lt;&gt;0")=0),"OK","ERR")</f>
        <v>OK</v>
      </c>
      <c r="M36" s="471" t="str" cm="1">
        <f t="array" ref="M36">IF(AND(INDEX('NARM5 – ED2 actuals'!$Y:$Y,MATCH($B36,'NARM5 – ED2 actuals'!$C:$C,0)+5)=0,INDEX('NARM5 – ED2 actuals'!$CX:$CX,MATCH($B36,'NARM5 – ED2 actuals'!$C:$C,0)+5)=0,INDEX('NARM5 – ED2 actuals'!$AT:$AT,MATCH($B36,'NARM5 – ED2 actuals'!$C:$C,0)+5)=0)=TRUE,"OK","ERR")</f>
        <v>OK</v>
      </c>
      <c r="N36" s="470" t="str" cm="1">
        <f t="array" ref="N36">IF(AND(INDEX('NARM5 – ED2 actuals'!$Y:$Y,MATCH($B36,'NARM5 – ED2 actuals'!$C:$C,0)+5)=0,INDEX('NARM5 – ED2 actuals'!$CX:$CX,MATCH($B36,'NARM5 – ED2 actuals'!$C:$C,0)+5)=0,INDEX('NARM5 – ED2 actuals'!$AT:$AT,MATCH($B36,'NARM5 – ED2 actuals'!$C:$C,0)+5)=0)=TRUE,"OK","ERR")</f>
        <v>OK</v>
      </c>
      <c r="O36" s="470" t="str" cm="1">
        <f t="array" ref="O36">IF(AND(INDEX('NARM5 – ED2 actuals'!$Y:$Y,MATCH($B36,'NARM5 – ED2 actuals'!$C:$C,0)+5)=0,INDEX('NARM5 – ED2 actuals'!$CX:$CX,MATCH($B36,'NARM5 – ED2 actuals'!$C:$C,0)+5)=0,INDEX('NARM5 – ED2 actuals'!$AT:$AT,MATCH($B36,'NARM5 – ED2 actuals'!$C:$C,0)+5)=0)=TRUE,"OK","ERR")</f>
        <v>OK</v>
      </c>
      <c r="P36" s="470" t="str" cm="1">
        <f t="array" ref="P36">IF(AND(INDEX('NARM5 – ED2 actuals'!$Y:$Y,MATCH($B36,'NARM5 – ED2 actuals'!$C:$C,0)+5)=0,INDEX('NARM5 – ED2 actuals'!$CX:$CX,MATCH($B36,'NARM5 – ED2 actuals'!$C:$C,0)+5)=0,INDEX('NARM5 – ED2 actuals'!$AT:$AT,MATCH($B36,'NARM5 – ED2 actuals'!$C:$C,0)+5)=0)=TRUE,"OK","ERR")</f>
        <v>OK</v>
      </c>
      <c r="Q36" s="469" t="str" cm="1">
        <f t="array" ref="Q36">IF(AND(INDEX('NARM5 – ED2 actuals'!$Y:$Y,MATCH($B36,'NARM5 – ED2 actuals'!$C:$C,0)+5)=0,INDEX('NARM5 – ED2 actuals'!$CX:$CX,MATCH($B36,'NARM5 – ED2 actuals'!$C:$C,0)+5)=0,INDEX('NARM5 – ED2 actuals'!$AT:$AT,MATCH($B36,'NARM5 – ED2 actuals'!$C:$C,0)+5)=0)=TRUE,"OK","ERR")</f>
        <v>OK</v>
      </c>
      <c r="R36" s="471" t="str">
        <f>IF((SUM(AssetReplacement_CurrentYear_yr1_31)=SUM(AssetReplacement_FutureYear_yr1_31))=TRUE,"OK","ERR")</f>
        <v>OK</v>
      </c>
      <c r="S36" s="470" t="str">
        <f>IF((SUM(AssetReplacement_CurrentYear_yr2_31)=SUM(AssetReplacement_FutureYear_yr2_31))=TRUE,"OK","ERR")</f>
        <v>OK</v>
      </c>
      <c r="T36" s="470" t="str">
        <f>IF((SUM(AssetReplacement_CurrentYear_yr3_31)=SUM(AssetReplacement_FutureYear_yr3_31))=TRUE,"OK","ERR")</f>
        <v>OK</v>
      </c>
      <c r="U36" s="470" t="str">
        <f>IF((SUM(AssetReplacement_CurrentYear_yr4_31)=SUM(AssetReplacement_FutureYear_yr4_31))=TRUE,"OK","ERR")</f>
        <v>OK</v>
      </c>
      <c r="V36" s="469" t="str">
        <f>IF((SUM(AssetReplacement_CurrentYear_yr5_31)=SUM(AssetReplacement_FutureYear_yr5_31))=TRUE,"OK","ERR")</f>
        <v>OK</v>
      </c>
    </row>
    <row r="37" spans="1:22">
      <c r="A37" s="483">
        <v>32</v>
      </c>
      <c r="B37" s="472" t="s">
        <v>93</v>
      </c>
      <c r="C37" s="471" t="str">
        <f>IF((COUNTIF(End_Of_Year_Yr1_32,"&lt;0")=0),"OK","ERR")</f>
        <v>OK</v>
      </c>
      <c r="D37" s="470" t="str">
        <f>IF((COUNTIF(End_Of_Year_Yr2_32,"&lt;0")=0),"OK","ERR")</f>
        <v>OK</v>
      </c>
      <c r="E37" s="470" t="str">
        <f>IF((COUNTIF(End_Of_Year_Yr3_32,"&lt;0")=0),"OK","ERR")</f>
        <v>OK</v>
      </c>
      <c r="F37" s="470" t="str">
        <f>IF((COUNTIF(End_Of_Year_Yr4_32,"&lt;0")=0),"OK","ERR")</f>
        <v>OK</v>
      </c>
      <c r="G37" s="469" t="str">
        <f>IF((COUNTIF(End_Of_Year_Yr5_32,"&lt;0")=0),"OK","ERR")</f>
        <v>OK</v>
      </c>
      <c r="H37" s="471" t="str">
        <f>IF((COUNTIF(Deterioration_yr1_32,"&lt;&gt;0")=0),"OK","ERR")</f>
        <v>OK</v>
      </c>
      <c r="I37" s="470" t="str">
        <f>IF((COUNTIF(Deterioration_yr2_32,"&lt;&gt;0")=0),"OK","ERR")</f>
        <v>OK</v>
      </c>
      <c r="J37" s="470" t="str">
        <f>IF((COUNTIF(Deterioration_yr3_32,"&lt;&gt;0")=0),"OK","ERR")</f>
        <v>OK</v>
      </c>
      <c r="K37" s="470" t="str">
        <f>IF((COUNTIF(Deterioration_yr4_32,"&lt;&gt;0")=0),"OK","ERR")</f>
        <v>OK</v>
      </c>
      <c r="L37" s="469" t="str">
        <f>IF((COUNTIF(Deterioration_yr5_32,"&lt;&gt;0")=0),"OK","ERR")</f>
        <v>OK</v>
      </c>
      <c r="M37" s="471" t="str" cm="1">
        <f t="array" ref="M37">IF(AND(INDEX('NARM5 – ED2 actuals'!$Y:$Y,MATCH($B37,'NARM5 – ED2 actuals'!$C:$C,0)+5)=0,INDEX('NARM5 – ED2 actuals'!$CX:$CX,MATCH($B37,'NARM5 – ED2 actuals'!$C:$C,0)+5)=0,INDEX('NARM5 – ED2 actuals'!$AT:$AT,MATCH($B37,'NARM5 – ED2 actuals'!$C:$C,0)+5)=0)=TRUE,"OK","ERR")</f>
        <v>OK</v>
      </c>
      <c r="N37" s="470" t="str" cm="1">
        <f t="array" ref="N37">IF(AND(INDEX('NARM5 – ED2 actuals'!$Y:$Y,MATCH($B37,'NARM5 – ED2 actuals'!$C:$C,0)+5)=0,INDEX('NARM5 – ED2 actuals'!$CX:$CX,MATCH($B37,'NARM5 – ED2 actuals'!$C:$C,0)+5)=0,INDEX('NARM5 – ED2 actuals'!$AT:$AT,MATCH($B37,'NARM5 – ED2 actuals'!$C:$C,0)+5)=0)=TRUE,"OK","ERR")</f>
        <v>OK</v>
      </c>
      <c r="O37" s="470" t="str" cm="1">
        <f t="array" ref="O37">IF(AND(INDEX('NARM5 – ED2 actuals'!$Y:$Y,MATCH($B37,'NARM5 – ED2 actuals'!$C:$C,0)+5)=0,INDEX('NARM5 – ED2 actuals'!$CX:$CX,MATCH($B37,'NARM5 – ED2 actuals'!$C:$C,0)+5)=0,INDEX('NARM5 – ED2 actuals'!$AT:$AT,MATCH($B37,'NARM5 – ED2 actuals'!$C:$C,0)+5)=0)=TRUE,"OK","ERR")</f>
        <v>OK</v>
      </c>
      <c r="P37" s="470" t="str" cm="1">
        <f t="array" ref="P37">IF(AND(INDEX('NARM5 – ED2 actuals'!$Y:$Y,MATCH($B37,'NARM5 – ED2 actuals'!$C:$C,0)+5)=0,INDEX('NARM5 – ED2 actuals'!$CX:$CX,MATCH($B37,'NARM5 – ED2 actuals'!$C:$C,0)+5)=0,INDEX('NARM5 – ED2 actuals'!$AT:$AT,MATCH($B37,'NARM5 – ED2 actuals'!$C:$C,0)+5)=0)=TRUE,"OK","ERR")</f>
        <v>OK</v>
      </c>
      <c r="Q37" s="469" t="str" cm="1">
        <f t="array" ref="Q37">IF(AND(INDEX('NARM5 – ED2 actuals'!$Y:$Y,MATCH($B37,'NARM5 – ED2 actuals'!$C:$C,0)+5)=0,INDEX('NARM5 – ED2 actuals'!$CX:$CX,MATCH($B37,'NARM5 – ED2 actuals'!$C:$C,0)+5)=0,INDEX('NARM5 – ED2 actuals'!$AT:$AT,MATCH($B37,'NARM5 – ED2 actuals'!$C:$C,0)+5)=0)=TRUE,"OK","ERR")</f>
        <v>OK</v>
      </c>
      <c r="R37" s="471" t="str">
        <f>IF((SUM(AssetReplacement_CurrentYear_yr1_32)=SUM(AssetReplacement_FutureYear_yr1_32))=TRUE,"OK","ERR")</f>
        <v>OK</v>
      </c>
      <c r="S37" s="470" t="str">
        <f>IF((SUM(AssetReplacement_CurrentYear_yr2_32)=SUM(AssetReplacement_FutureYear_yr2_32))=TRUE,"OK","ERR")</f>
        <v>OK</v>
      </c>
      <c r="T37" s="470" t="str">
        <f>IF((SUM(AssetReplacement_CurrentYear_yr3_32)=SUM(AssetReplacement_FutureYear_yr3_32))=TRUE,"OK","ERR")</f>
        <v>OK</v>
      </c>
      <c r="U37" s="470" t="str">
        <f>IF((SUM(AssetReplacement_CurrentYear_yr4_32)=SUM(AssetReplacement_FutureYear_yr4_32))=TRUE,"OK","ERR")</f>
        <v>OK</v>
      </c>
      <c r="V37" s="469" t="str">
        <f>IF((SUM(AssetReplacement_CurrentYear_yr5_32)=SUM(AssetReplacement_FutureYear_yr5_32))=TRUE,"OK","ERR")</f>
        <v>OK</v>
      </c>
    </row>
    <row r="38" spans="1:22">
      <c r="A38" s="483">
        <v>33</v>
      </c>
      <c r="B38" s="472" t="s">
        <v>94</v>
      </c>
      <c r="C38" s="471" t="str">
        <f>IF((COUNTIF(End_Of_Year_Yr1_33,"&lt;0")=0),"OK","ERR")</f>
        <v>OK</v>
      </c>
      <c r="D38" s="470" t="str">
        <f>IF((COUNTIF(End_Of_Year_Yr2_33,"&lt;0")=0),"OK","ERR")</f>
        <v>OK</v>
      </c>
      <c r="E38" s="470" t="str">
        <f>IF((COUNTIF(End_Of_Year_Yr3_33,"&lt;0")=0),"OK","ERR")</f>
        <v>OK</v>
      </c>
      <c r="F38" s="470" t="str">
        <f>IF((COUNTIF(End_Of_Year_Yr4_33,"&lt;0")=0),"OK","ERR")</f>
        <v>OK</v>
      </c>
      <c r="G38" s="469" t="str">
        <f>IF((COUNTIF(End_Of_Year_Yr5_33,"&lt;0")=0),"OK","ERR")</f>
        <v>OK</v>
      </c>
      <c r="H38" s="471" t="str">
        <f>IF((COUNTIF(Deterioration_yr1_33,"&lt;&gt;0")=0),"OK","ERR")</f>
        <v>OK</v>
      </c>
      <c r="I38" s="470" t="str">
        <f>IF((COUNTIF(Deterioration_yr2_33,"&lt;&gt;0")=0),"OK","ERR")</f>
        <v>OK</v>
      </c>
      <c r="J38" s="470" t="str">
        <f>IF((COUNTIF(Deterioration_yr3_33,"&lt;&gt;0")=0),"OK","ERR")</f>
        <v>OK</v>
      </c>
      <c r="K38" s="470" t="str">
        <f>IF((COUNTIF(Deterioration_yr4_33,"&lt;&gt;0")=0),"OK","ERR")</f>
        <v>OK</v>
      </c>
      <c r="L38" s="469" t="str">
        <f>IF((COUNTIF(Deterioration_yr5_33,"&lt;&gt;0")=0),"OK","ERR")</f>
        <v>OK</v>
      </c>
      <c r="M38" s="471" t="str" cm="1">
        <f t="array" ref="M38">IF(AND(INDEX('NARM5 – ED2 actuals'!$Y:$Y,MATCH($B38,'NARM5 – ED2 actuals'!$C:$C,0)+5)=0,INDEX('NARM5 – ED2 actuals'!$CX:$CX,MATCH($B38,'NARM5 – ED2 actuals'!$C:$C,0)+5)=0,INDEX('NARM5 – ED2 actuals'!$AT:$AT,MATCH($B38,'NARM5 – ED2 actuals'!$C:$C,0)+5)=0)=TRUE,"OK","ERR")</f>
        <v>OK</v>
      </c>
      <c r="N38" s="470" t="str" cm="1">
        <f t="array" ref="N38">IF(AND(INDEX('NARM5 – ED2 actuals'!$Y:$Y,MATCH($B38,'NARM5 – ED2 actuals'!$C:$C,0)+5)=0,INDEX('NARM5 – ED2 actuals'!$CX:$CX,MATCH($B38,'NARM5 – ED2 actuals'!$C:$C,0)+5)=0,INDEX('NARM5 – ED2 actuals'!$AT:$AT,MATCH($B38,'NARM5 – ED2 actuals'!$C:$C,0)+5)=0)=TRUE,"OK","ERR")</f>
        <v>OK</v>
      </c>
      <c r="O38" s="470" t="str" cm="1">
        <f t="array" ref="O38">IF(AND(INDEX('NARM5 – ED2 actuals'!$Y:$Y,MATCH($B38,'NARM5 – ED2 actuals'!$C:$C,0)+5)=0,INDEX('NARM5 – ED2 actuals'!$CX:$CX,MATCH($B38,'NARM5 – ED2 actuals'!$C:$C,0)+5)=0,INDEX('NARM5 – ED2 actuals'!$AT:$AT,MATCH($B38,'NARM5 – ED2 actuals'!$C:$C,0)+5)=0)=TRUE,"OK","ERR")</f>
        <v>OK</v>
      </c>
      <c r="P38" s="470" t="str" cm="1">
        <f t="array" ref="P38">IF(AND(INDEX('NARM5 – ED2 actuals'!$Y:$Y,MATCH($B38,'NARM5 – ED2 actuals'!$C:$C,0)+5)=0,INDEX('NARM5 – ED2 actuals'!$CX:$CX,MATCH($B38,'NARM5 – ED2 actuals'!$C:$C,0)+5)=0,INDEX('NARM5 – ED2 actuals'!$AT:$AT,MATCH($B38,'NARM5 – ED2 actuals'!$C:$C,0)+5)=0)=TRUE,"OK","ERR")</f>
        <v>OK</v>
      </c>
      <c r="Q38" s="469" t="str" cm="1">
        <f t="array" ref="Q38">IF(AND(INDEX('NARM5 – ED2 actuals'!$Y:$Y,MATCH($B38,'NARM5 – ED2 actuals'!$C:$C,0)+5)=0,INDEX('NARM5 – ED2 actuals'!$CX:$CX,MATCH($B38,'NARM5 – ED2 actuals'!$C:$C,0)+5)=0,INDEX('NARM5 – ED2 actuals'!$AT:$AT,MATCH($B38,'NARM5 – ED2 actuals'!$C:$C,0)+5)=0)=TRUE,"OK","ERR")</f>
        <v>OK</v>
      </c>
      <c r="R38" s="471" t="str">
        <f>IF((SUM(AssetReplacement_CurrentYear_yr1_33)=SUM(AssetReplacement_FutureYear_yr1_33))=TRUE,"OK","ERR")</f>
        <v>OK</v>
      </c>
      <c r="S38" s="470" t="str">
        <f>IF((SUM(AssetReplacement_CurrentYear_yr2_33)=SUM(AssetReplacement_FutureYear_yr2_33))=TRUE,"OK","ERR")</f>
        <v>OK</v>
      </c>
      <c r="T38" s="470" t="str">
        <f>IF((SUM(AssetReplacement_CurrentYear_yr3_33)=SUM(AssetReplacement_FutureYear_yr3_33))=TRUE,"OK","ERR")</f>
        <v>OK</v>
      </c>
      <c r="U38" s="470" t="str">
        <f>IF((SUM(AssetReplacement_CurrentYear_yr4_33)=SUM(AssetReplacement_FutureYear_yr4_33))=TRUE,"OK","ERR")</f>
        <v>OK</v>
      </c>
      <c r="V38" s="469" t="str">
        <f>IF((SUM(AssetReplacement_CurrentYear_yr5_33)=SUM(AssetReplacement_FutureYear_yr5_33))=TRUE,"OK","ERR")</f>
        <v>OK</v>
      </c>
    </row>
    <row r="39" spans="1:22">
      <c r="A39" s="483">
        <v>34</v>
      </c>
      <c r="B39" s="472" t="s">
        <v>95</v>
      </c>
      <c r="C39" s="471" t="str">
        <f>IF((COUNTIF(End_Of_Year_Yr1_34,"&lt;0")=0),"OK","ERR")</f>
        <v>OK</v>
      </c>
      <c r="D39" s="470" t="str">
        <f>IF((COUNTIF(End_Of_Year_Yr2_34,"&lt;0")=0),"OK","ERR")</f>
        <v>OK</v>
      </c>
      <c r="E39" s="470" t="str">
        <f>IF((COUNTIF(End_Of_Year_Yr3_34,"&lt;0")=0),"OK","ERR")</f>
        <v>OK</v>
      </c>
      <c r="F39" s="470" t="str">
        <f>IF((COUNTIF(End_Of_Year_Yr4_34,"&lt;0")=0),"OK","ERR")</f>
        <v>OK</v>
      </c>
      <c r="G39" s="469" t="str">
        <f>IF((COUNTIF(End_Of_Year_Yr5_34,"&lt;0")=0),"OK","ERR")</f>
        <v>OK</v>
      </c>
      <c r="H39" s="471" t="str">
        <f>IF((COUNTIF(Deterioration_yr1_34,"&lt;&gt;0")=0),"OK","ERR")</f>
        <v>OK</v>
      </c>
      <c r="I39" s="470" t="str">
        <f>IF((COUNTIF(Deterioration_yr2_34,"&lt;&gt;0")=0),"OK","ERR")</f>
        <v>OK</v>
      </c>
      <c r="J39" s="470" t="str">
        <f>IF((COUNTIF(Deterioration_yr3_34,"&lt;&gt;0")=0),"OK","ERR")</f>
        <v>OK</v>
      </c>
      <c r="K39" s="470" t="str">
        <f>IF((COUNTIF(Deterioration_yr4_34,"&lt;&gt;0")=0),"OK","ERR")</f>
        <v>OK</v>
      </c>
      <c r="L39" s="469" t="str">
        <f>IF((COUNTIF(Deterioration_yr5_34,"&lt;&gt;0")=0),"OK","ERR")</f>
        <v>OK</v>
      </c>
      <c r="M39" s="471" t="str" cm="1">
        <f t="array" ref="M39">IF(AND(INDEX('NARM5 – ED2 actuals'!$Y:$Y,MATCH($B39,'NARM5 – ED2 actuals'!$C:$C,0)+5)=0,INDEX('NARM5 – ED2 actuals'!$CX:$CX,MATCH($B39,'NARM5 – ED2 actuals'!$C:$C,0)+5)=0,INDEX('NARM5 – ED2 actuals'!$AT:$AT,MATCH($B39,'NARM5 – ED2 actuals'!$C:$C,0)+5)=0)=TRUE,"OK","ERR")</f>
        <v>OK</v>
      </c>
      <c r="N39" s="470" t="str" cm="1">
        <f t="array" ref="N39">IF(AND(INDEX('NARM5 – ED2 actuals'!$Y:$Y,MATCH($B39,'NARM5 – ED2 actuals'!$C:$C,0)+5)=0,INDEX('NARM5 – ED2 actuals'!$CX:$CX,MATCH($B39,'NARM5 – ED2 actuals'!$C:$C,0)+5)=0,INDEX('NARM5 – ED2 actuals'!$AT:$AT,MATCH($B39,'NARM5 – ED2 actuals'!$C:$C,0)+5)=0)=TRUE,"OK","ERR")</f>
        <v>OK</v>
      </c>
      <c r="O39" s="470" t="str" cm="1">
        <f t="array" ref="O39">IF(AND(INDEX('NARM5 – ED2 actuals'!$Y:$Y,MATCH($B39,'NARM5 – ED2 actuals'!$C:$C,0)+5)=0,INDEX('NARM5 – ED2 actuals'!$CX:$CX,MATCH($B39,'NARM5 – ED2 actuals'!$C:$C,0)+5)=0,INDEX('NARM5 – ED2 actuals'!$AT:$AT,MATCH($B39,'NARM5 – ED2 actuals'!$C:$C,0)+5)=0)=TRUE,"OK","ERR")</f>
        <v>OK</v>
      </c>
      <c r="P39" s="470" t="str" cm="1">
        <f t="array" ref="P39">IF(AND(INDEX('NARM5 – ED2 actuals'!$Y:$Y,MATCH($B39,'NARM5 – ED2 actuals'!$C:$C,0)+5)=0,INDEX('NARM5 – ED2 actuals'!$CX:$CX,MATCH($B39,'NARM5 – ED2 actuals'!$C:$C,0)+5)=0,INDEX('NARM5 – ED2 actuals'!$AT:$AT,MATCH($B39,'NARM5 – ED2 actuals'!$C:$C,0)+5)=0)=TRUE,"OK","ERR")</f>
        <v>OK</v>
      </c>
      <c r="Q39" s="469" t="str" cm="1">
        <f t="array" ref="Q39">IF(AND(INDEX('NARM5 – ED2 actuals'!$Y:$Y,MATCH($B39,'NARM5 – ED2 actuals'!$C:$C,0)+5)=0,INDEX('NARM5 – ED2 actuals'!$CX:$CX,MATCH($B39,'NARM5 – ED2 actuals'!$C:$C,0)+5)=0,INDEX('NARM5 – ED2 actuals'!$AT:$AT,MATCH($B39,'NARM5 – ED2 actuals'!$C:$C,0)+5)=0)=TRUE,"OK","ERR")</f>
        <v>OK</v>
      </c>
      <c r="R39" s="471" t="str">
        <f>IF((SUM(AssetReplacement_CurrentYear_yr1_34)=SUM(AssetReplacement_FutureYear_yr1_34))=TRUE,"OK","ERR")</f>
        <v>OK</v>
      </c>
      <c r="S39" s="470" t="str">
        <f>IF((SUM(AssetReplacement_CurrentYear_yr2_34)=SUM(AssetReplacement_FutureYear_yr2_34))=TRUE,"OK","ERR")</f>
        <v>OK</v>
      </c>
      <c r="T39" s="470" t="str">
        <f>IF((SUM(AssetReplacement_CurrentYear_yr3_34)=SUM(AssetReplacement_FutureYear_yr3_34))=TRUE,"OK","ERR")</f>
        <v>OK</v>
      </c>
      <c r="U39" s="470" t="str">
        <f>IF((SUM(AssetReplacement_CurrentYear_yr4_34)=SUM(AssetReplacement_FutureYear_yr4_34))=TRUE,"OK","ERR")</f>
        <v>OK</v>
      </c>
      <c r="V39" s="469" t="str">
        <f>IF((SUM(AssetReplacement_CurrentYear_yr5_34)=SUM(AssetReplacement_FutureYear_yr5_34))=TRUE,"OK","ERR")</f>
        <v>OK</v>
      </c>
    </row>
    <row r="40" spans="1:22">
      <c r="A40" s="483">
        <v>35</v>
      </c>
      <c r="B40" s="472" t="s">
        <v>96</v>
      </c>
      <c r="C40" s="471" t="str">
        <f>IF((COUNTIF(End_Of_Year_Yr1_35,"&lt;0")=0),"OK","ERR")</f>
        <v>OK</v>
      </c>
      <c r="D40" s="470" t="str">
        <f>IF((COUNTIF(End_Of_Year_Yr2_35,"&lt;0")=0),"OK","ERR")</f>
        <v>OK</v>
      </c>
      <c r="E40" s="470" t="str">
        <f>IF((COUNTIF(End_Of_Year_Yr3_35,"&lt;0")=0),"OK","ERR")</f>
        <v>OK</v>
      </c>
      <c r="F40" s="470" t="str">
        <f>IF((COUNTIF(End_Of_Year_Yr4_35,"&lt;0")=0),"OK","ERR")</f>
        <v>OK</v>
      </c>
      <c r="G40" s="469" t="str">
        <f>IF((COUNTIF(End_Of_Year_Yr5_35,"&lt;0")=0),"OK","ERR")</f>
        <v>OK</v>
      </c>
      <c r="H40" s="471" t="str">
        <f>IF((COUNTIF(Deterioration_yr1_35,"&lt;&gt;0")=0),"OK","ERR")</f>
        <v>OK</v>
      </c>
      <c r="I40" s="470" t="str">
        <f>IF((COUNTIF(Deterioration_yr2_35,"&lt;&gt;0")=0),"OK","ERR")</f>
        <v>OK</v>
      </c>
      <c r="J40" s="470" t="str">
        <f>IF((COUNTIF(Deterioration_yr3_35,"&lt;&gt;0")=0),"OK","ERR")</f>
        <v>OK</v>
      </c>
      <c r="K40" s="470" t="str">
        <f>IF((COUNTIF(Deterioration_yr4_35,"&lt;&gt;0")=0),"OK","ERR")</f>
        <v>OK</v>
      </c>
      <c r="L40" s="469" t="str">
        <f>IF((COUNTIF(Deterioration_yr5_35,"&lt;&gt;0")=0),"OK","ERR")</f>
        <v>OK</v>
      </c>
      <c r="M40" s="471" t="str" cm="1">
        <f t="array" ref="M40">IF(AND(INDEX('NARM5 – ED2 actuals'!$Y:$Y,MATCH($B40,'NARM5 – ED2 actuals'!$C:$C,0)+5)=0,INDEX('NARM5 – ED2 actuals'!$CX:$CX,MATCH($B40,'NARM5 – ED2 actuals'!$C:$C,0)+5)=0,INDEX('NARM5 – ED2 actuals'!$AT:$AT,MATCH($B40,'NARM5 – ED2 actuals'!$C:$C,0)+5)=0)=TRUE,"OK","ERR")</f>
        <v>OK</v>
      </c>
      <c r="N40" s="470" t="str" cm="1">
        <f t="array" ref="N40">IF(AND(INDEX('NARM5 – ED2 actuals'!$Y:$Y,MATCH($B40,'NARM5 – ED2 actuals'!$C:$C,0)+5)=0,INDEX('NARM5 – ED2 actuals'!$CX:$CX,MATCH($B40,'NARM5 – ED2 actuals'!$C:$C,0)+5)=0,INDEX('NARM5 – ED2 actuals'!$AT:$AT,MATCH($B40,'NARM5 – ED2 actuals'!$C:$C,0)+5)=0)=TRUE,"OK","ERR")</f>
        <v>OK</v>
      </c>
      <c r="O40" s="470" t="str" cm="1">
        <f t="array" ref="O40">IF(AND(INDEX('NARM5 – ED2 actuals'!$Y:$Y,MATCH($B40,'NARM5 – ED2 actuals'!$C:$C,0)+5)=0,INDEX('NARM5 – ED2 actuals'!$CX:$CX,MATCH($B40,'NARM5 – ED2 actuals'!$C:$C,0)+5)=0,INDEX('NARM5 – ED2 actuals'!$AT:$AT,MATCH($B40,'NARM5 – ED2 actuals'!$C:$C,0)+5)=0)=TRUE,"OK","ERR")</f>
        <v>OK</v>
      </c>
      <c r="P40" s="470" t="str" cm="1">
        <f t="array" ref="P40">IF(AND(INDEX('NARM5 – ED2 actuals'!$Y:$Y,MATCH($B40,'NARM5 – ED2 actuals'!$C:$C,0)+5)=0,INDEX('NARM5 – ED2 actuals'!$CX:$CX,MATCH($B40,'NARM5 – ED2 actuals'!$C:$C,0)+5)=0,INDEX('NARM5 – ED2 actuals'!$AT:$AT,MATCH($B40,'NARM5 – ED2 actuals'!$C:$C,0)+5)=0)=TRUE,"OK","ERR")</f>
        <v>OK</v>
      </c>
      <c r="Q40" s="469" t="str" cm="1">
        <f t="array" ref="Q40">IF(AND(INDEX('NARM5 – ED2 actuals'!$Y:$Y,MATCH($B40,'NARM5 – ED2 actuals'!$C:$C,0)+5)=0,INDEX('NARM5 – ED2 actuals'!$CX:$CX,MATCH($B40,'NARM5 – ED2 actuals'!$C:$C,0)+5)=0,INDEX('NARM5 – ED2 actuals'!$AT:$AT,MATCH($B40,'NARM5 – ED2 actuals'!$C:$C,0)+5)=0)=TRUE,"OK","ERR")</f>
        <v>OK</v>
      </c>
      <c r="R40" s="471" t="str">
        <f>IF((SUM(AssetReplacement_CurrentYear_yr1_35)=SUM(AssetReplacement_FutureYear_yr1_35))=TRUE,"OK","ERR")</f>
        <v>OK</v>
      </c>
      <c r="S40" s="470" t="str">
        <f>IF((SUM(AssetReplacement_CurrentYear_yr2_35)=SUM(AssetReplacement_FutureYear_yr2_35))=TRUE,"OK","ERR")</f>
        <v>OK</v>
      </c>
      <c r="T40" s="470" t="str">
        <f>IF((SUM(AssetReplacement_CurrentYear_yr3_35)=SUM(AssetReplacement_FutureYear_yr3_35))=TRUE,"OK","ERR")</f>
        <v>OK</v>
      </c>
      <c r="U40" s="470" t="str">
        <f>IF((SUM(AssetReplacement_CurrentYear_yr4_35)=SUM(AssetReplacement_FutureYear_yr4_35))=TRUE,"OK","ERR")</f>
        <v>OK</v>
      </c>
      <c r="V40" s="469" t="str">
        <f>IF((SUM(AssetReplacement_CurrentYear_yr5_35)=SUM(AssetReplacement_FutureYear_yr5_35))=TRUE,"OK","ERR")</f>
        <v>OK</v>
      </c>
    </row>
    <row r="41" spans="1:22">
      <c r="A41" s="483">
        <v>36</v>
      </c>
      <c r="B41" s="472" t="s">
        <v>97</v>
      </c>
      <c r="C41" s="471" t="str">
        <f>IF((COUNTIF(End_Of_Year_Yr1_36,"&lt;0")=0),"OK","ERR")</f>
        <v>OK</v>
      </c>
      <c r="D41" s="470" t="str">
        <f>IF((COUNTIF(End_Of_Year_Yr2_36,"&lt;0")=0),"OK","ERR")</f>
        <v>OK</v>
      </c>
      <c r="E41" s="470" t="str">
        <f>IF((COUNTIF(End_Of_Year_Yr3_36,"&lt;0")=0),"OK","ERR")</f>
        <v>OK</v>
      </c>
      <c r="F41" s="470" t="str">
        <f>IF((COUNTIF(End_Of_Year_Yr4_36,"&lt;0")=0),"OK","ERR")</f>
        <v>OK</v>
      </c>
      <c r="G41" s="469" t="str">
        <f>IF((COUNTIF(End_Of_Year_Yr5_36,"&lt;0")=0),"OK","ERR")</f>
        <v>OK</v>
      </c>
      <c r="H41" s="471" t="str">
        <f>IF((COUNTIF(Deterioration_yr1_36,"&lt;&gt;0")=0),"OK","ERR")</f>
        <v>OK</v>
      </c>
      <c r="I41" s="470" t="str">
        <f>IF((COUNTIF(Deterioration_yr2_36,"&lt;&gt;0")=0),"OK","ERR")</f>
        <v>OK</v>
      </c>
      <c r="J41" s="470" t="str">
        <f>IF((COUNTIF(Deterioration_yr3_36,"&lt;&gt;0")=0),"OK","ERR")</f>
        <v>OK</v>
      </c>
      <c r="K41" s="470" t="str">
        <f>IF((COUNTIF(Deterioration_yr4_36,"&lt;&gt;0")=0),"OK","ERR")</f>
        <v>OK</v>
      </c>
      <c r="L41" s="469" t="str">
        <f>IF((COUNTIF(Deterioration_yr5_36,"&lt;&gt;0")=0),"OK","ERR")</f>
        <v>OK</v>
      </c>
      <c r="M41" s="471" t="str" cm="1">
        <f t="array" ref="M41">IF(AND(INDEX('NARM5 – ED2 actuals'!$Y:$Y,MATCH($B41,'NARM5 – ED2 actuals'!$C:$C,0)+5)=0,INDEX('NARM5 – ED2 actuals'!$CX:$CX,MATCH($B41,'NARM5 – ED2 actuals'!$C:$C,0)+5)=0,INDEX('NARM5 – ED2 actuals'!$AT:$AT,MATCH($B41,'NARM5 – ED2 actuals'!$C:$C,0)+5)=0)=TRUE,"OK","ERR")</f>
        <v>OK</v>
      </c>
      <c r="N41" s="470" t="str" cm="1">
        <f t="array" ref="N41">IF(AND(INDEX('NARM5 – ED2 actuals'!$Y:$Y,MATCH($B41,'NARM5 – ED2 actuals'!$C:$C,0)+5)=0,INDEX('NARM5 – ED2 actuals'!$CX:$CX,MATCH($B41,'NARM5 – ED2 actuals'!$C:$C,0)+5)=0,INDEX('NARM5 – ED2 actuals'!$AT:$AT,MATCH($B41,'NARM5 – ED2 actuals'!$C:$C,0)+5)=0)=TRUE,"OK","ERR")</f>
        <v>OK</v>
      </c>
      <c r="O41" s="470" t="str" cm="1">
        <f t="array" ref="O41">IF(AND(INDEX('NARM5 – ED2 actuals'!$Y:$Y,MATCH($B41,'NARM5 – ED2 actuals'!$C:$C,0)+5)=0,INDEX('NARM5 – ED2 actuals'!$CX:$CX,MATCH($B41,'NARM5 – ED2 actuals'!$C:$C,0)+5)=0,INDEX('NARM5 – ED2 actuals'!$AT:$AT,MATCH($B41,'NARM5 – ED2 actuals'!$C:$C,0)+5)=0)=TRUE,"OK","ERR")</f>
        <v>OK</v>
      </c>
      <c r="P41" s="470" t="str" cm="1">
        <f t="array" ref="P41">IF(AND(INDEX('NARM5 – ED2 actuals'!$Y:$Y,MATCH($B41,'NARM5 – ED2 actuals'!$C:$C,0)+5)=0,INDEX('NARM5 – ED2 actuals'!$CX:$CX,MATCH($B41,'NARM5 – ED2 actuals'!$C:$C,0)+5)=0,INDEX('NARM5 – ED2 actuals'!$AT:$AT,MATCH($B41,'NARM5 – ED2 actuals'!$C:$C,0)+5)=0)=TRUE,"OK","ERR")</f>
        <v>OK</v>
      </c>
      <c r="Q41" s="469" t="str" cm="1">
        <f t="array" ref="Q41">IF(AND(INDEX('NARM5 – ED2 actuals'!$Y:$Y,MATCH($B41,'NARM5 – ED2 actuals'!$C:$C,0)+5)=0,INDEX('NARM5 – ED2 actuals'!$CX:$CX,MATCH($B41,'NARM5 – ED2 actuals'!$C:$C,0)+5)=0,INDEX('NARM5 – ED2 actuals'!$AT:$AT,MATCH($B41,'NARM5 – ED2 actuals'!$C:$C,0)+5)=0)=TRUE,"OK","ERR")</f>
        <v>OK</v>
      </c>
      <c r="R41" s="471" t="str">
        <f>IF((SUM(AssetReplacement_CurrentYear_yr1_36)=SUM(AssetReplacement_FutureYear_yr1_36))=TRUE,"OK","ERR")</f>
        <v>OK</v>
      </c>
      <c r="S41" s="470" t="str">
        <f>IF((SUM(AssetReplacement_CurrentYear_yr2_36)=SUM(AssetReplacement_FutureYear_yr2_36))=TRUE,"OK","ERR")</f>
        <v>OK</v>
      </c>
      <c r="T41" s="470" t="str">
        <f>IF((SUM(AssetReplacement_CurrentYear_yr3_36)=SUM(AssetReplacement_FutureYear_yr3_36))=TRUE,"OK","ERR")</f>
        <v>OK</v>
      </c>
      <c r="U41" s="470" t="str">
        <f>IF((SUM(AssetReplacement_CurrentYear_yr4_36)=SUM(AssetReplacement_FutureYear_yr4_36))=TRUE,"OK","ERR")</f>
        <v>OK</v>
      </c>
      <c r="V41" s="469" t="str">
        <f>IF((SUM(AssetReplacement_CurrentYear_yr5_36)=SUM(AssetReplacement_FutureYear_yr5_36))=TRUE,"OK","ERR")</f>
        <v>OK</v>
      </c>
    </row>
    <row r="42" spans="1:22">
      <c r="A42" s="483">
        <v>37</v>
      </c>
      <c r="B42" s="472" t="s">
        <v>98</v>
      </c>
      <c r="C42" s="471" t="str">
        <f>IF((COUNTIF(End_Of_Year_Yr1_37,"&lt;0")=0),"OK","ERR")</f>
        <v>OK</v>
      </c>
      <c r="D42" s="470" t="str">
        <f>IF((COUNTIF(End_Of_Year_Yr2_37,"&lt;0")=0),"OK","ERR")</f>
        <v>OK</v>
      </c>
      <c r="E42" s="470" t="str">
        <f>IF((COUNTIF(End_Of_Year_Yr3_37,"&lt;0")=0),"OK","ERR")</f>
        <v>OK</v>
      </c>
      <c r="F42" s="470" t="str">
        <f>IF((COUNTIF(End_Of_Year_Yr4_37,"&lt;0")=0),"OK","ERR")</f>
        <v>OK</v>
      </c>
      <c r="G42" s="469" t="str">
        <f>IF((COUNTIF(End_Of_Year_Yr5_37,"&lt;0")=0),"OK","ERR")</f>
        <v>OK</v>
      </c>
      <c r="H42" s="471" t="str">
        <f>IF((COUNTIF(Deterioration_yr1_37,"&lt;&gt;0")=0),"OK","ERR")</f>
        <v>OK</v>
      </c>
      <c r="I42" s="470" t="str">
        <f>IF((COUNTIF(Deterioration_yr2_37,"&lt;&gt;0")=0),"OK","ERR")</f>
        <v>OK</v>
      </c>
      <c r="J42" s="470" t="str">
        <f>IF((COUNTIF(Deterioration_yr3_37,"&lt;&gt;0")=0),"OK","ERR")</f>
        <v>OK</v>
      </c>
      <c r="K42" s="470" t="str">
        <f>IF((COUNTIF(Deterioration_yr4_37,"&lt;&gt;0")=0),"OK","ERR")</f>
        <v>OK</v>
      </c>
      <c r="L42" s="469" t="str">
        <f>IF((COUNTIF(Deterioration_yr5_37,"&lt;&gt;0")=0),"OK","ERR")</f>
        <v>OK</v>
      </c>
      <c r="M42" s="471" t="str" cm="1">
        <f t="array" ref="M42">IF(AND(INDEX('NARM5 – ED2 actuals'!$Y:$Y,MATCH($B42,'NARM5 – ED2 actuals'!$C:$C,0)+5)=0,INDEX('NARM5 – ED2 actuals'!$CX:$CX,MATCH($B42,'NARM5 – ED2 actuals'!$C:$C,0)+5)=0,INDEX('NARM5 – ED2 actuals'!$AT:$AT,MATCH($B42,'NARM5 – ED2 actuals'!$C:$C,0)+5)=0)=TRUE,"OK","ERR")</f>
        <v>OK</v>
      </c>
      <c r="N42" s="470" t="str" cm="1">
        <f t="array" ref="N42">IF(AND(INDEX('NARM5 – ED2 actuals'!$Y:$Y,MATCH($B42,'NARM5 – ED2 actuals'!$C:$C,0)+5)=0,INDEX('NARM5 – ED2 actuals'!$CX:$CX,MATCH($B42,'NARM5 – ED2 actuals'!$C:$C,0)+5)=0,INDEX('NARM5 – ED2 actuals'!$AT:$AT,MATCH($B42,'NARM5 – ED2 actuals'!$C:$C,0)+5)=0)=TRUE,"OK","ERR")</f>
        <v>OK</v>
      </c>
      <c r="O42" s="470" t="str" cm="1">
        <f t="array" ref="O42">IF(AND(INDEX('NARM5 – ED2 actuals'!$Y:$Y,MATCH($B42,'NARM5 – ED2 actuals'!$C:$C,0)+5)=0,INDEX('NARM5 – ED2 actuals'!$CX:$CX,MATCH($B42,'NARM5 – ED2 actuals'!$C:$C,0)+5)=0,INDEX('NARM5 – ED2 actuals'!$AT:$AT,MATCH($B42,'NARM5 – ED2 actuals'!$C:$C,0)+5)=0)=TRUE,"OK","ERR")</f>
        <v>OK</v>
      </c>
      <c r="P42" s="470" t="str" cm="1">
        <f t="array" ref="P42">IF(AND(INDEX('NARM5 – ED2 actuals'!$Y:$Y,MATCH($B42,'NARM5 – ED2 actuals'!$C:$C,0)+5)=0,INDEX('NARM5 – ED2 actuals'!$CX:$CX,MATCH($B42,'NARM5 – ED2 actuals'!$C:$C,0)+5)=0,INDEX('NARM5 – ED2 actuals'!$AT:$AT,MATCH($B42,'NARM5 – ED2 actuals'!$C:$C,0)+5)=0)=TRUE,"OK","ERR")</f>
        <v>OK</v>
      </c>
      <c r="Q42" s="469" t="str" cm="1">
        <f t="array" ref="Q42">IF(AND(INDEX('NARM5 – ED2 actuals'!$Y:$Y,MATCH($B42,'NARM5 – ED2 actuals'!$C:$C,0)+5)=0,INDEX('NARM5 – ED2 actuals'!$CX:$CX,MATCH($B42,'NARM5 – ED2 actuals'!$C:$C,0)+5)=0,INDEX('NARM5 – ED2 actuals'!$AT:$AT,MATCH($B42,'NARM5 – ED2 actuals'!$C:$C,0)+5)=0)=TRUE,"OK","ERR")</f>
        <v>OK</v>
      </c>
      <c r="R42" s="471" t="str">
        <f>IF((SUM(AssetReplacement_CurrentYear_yr1_37)=SUM(AssetReplacement_FutureYear_yr1_37))=TRUE,"OK","ERR")</f>
        <v>OK</v>
      </c>
      <c r="S42" s="470" t="str">
        <f>IF((SUM(AssetReplacement_CurrentYear_yr2_37)=SUM(AssetReplacement_FutureYear_yr2_37))=TRUE,"OK","ERR")</f>
        <v>OK</v>
      </c>
      <c r="T42" s="470" t="str">
        <f>IF((SUM(AssetReplacement_CurrentYear_yr3_37)=SUM(AssetReplacement_FutureYear_yr3_37))=TRUE,"OK","ERR")</f>
        <v>OK</v>
      </c>
      <c r="U42" s="470" t="str">
        <f>IF((SUM(AssetReplacement_CurrentYear_yr4_37)=SUM(AssetReplacement_FutureYear_yr4_37))=TRUE,"OK","ERR")</f>
        <v>OK</v>
      </c>
      <c r="V42" s="469" t="str">
        <f>IF((SUM(AssetReplacement_CurrentYear_yr5_37)=SUM(AssetReplacement_FutureYear_yr5_37))=TRUE,"OK","ERR")</f>
        <v>OK</v>
      </c>
    </row>
    <row r="43" spans="1:22">
      <c r="A43" s="483">
        <v>38</v>
      </c>
      <c r="B43" s="472" t="s">
        <v>99</v>
      </c>
      <c r="C43" s="471" t="str">
        <f>IF((COUNTIF(End_Of_Year_Yr1_38,"&lt;0")=0),"OK","ERR")</f>
        <v>OK</v>
      </c>
      <c r="D43" s="470" t="str">
        <f>IF((COUNTIF(End_Of_Year_Yr2_38,"&lt;0")=0),"OK","ERR")</f>
        <v>OK</v>
      </c>
      <c r="E43" s="470" t="str">
        <f>IF((COUNTIF(End_Of_Year_Yr3_38,"&lt;0")=0),"OK","ERR")</f>
        <v>OK</v>
      </c>
      <c r="F43" s="470" t="str">
        <f>IF((COUNTIF(End_Of_Year_Yr4_38,"&lt;0")=0),"OK","ERR")</f>
        <v>OK</v>
      </c>
      <c r="G43" s="469" t="str">
        <f>IF((COUNTIF(End_Of_Year_Yr5_38,"&lt;0")=0),"OK","ERR")</f>
        <v>OK</v>
      </c>
      <c r="H43" s="471" t="str">
        <f>IF((COUNTIF(Deterioration_yr1_38,"&lt;&gt;0")=0),"OK","ERR")</f>
        <v>OK</v>
      </c>
      <c r="I43" s="470" t="str">
        <f>IF((COUNTIF(Deterioration_yr2_38,"&lt;&gt;0")=0),"OK","ERR")</f>
        <v>OK</v>
      </c>
      <c r="J43" s="470" t="str">
        <f>IF((COUNTIF(Deterioration_yr3_38,"&lt;&gt;0")=0),"OK","ERR")</f>
        <v>OK</v>
      </c>
      <c r="K43" s="470" t="str">
        <f>IF((COUNTIF(Deterioration_yr4_38,"&lt;&gt;0")=0),"OK","ERR")</f>
        <v>OK</v>
      </c>
      <c r="L43" s="469" t="str">
        <f>IF((COUNTIF(Deterioration_yr5_38,"&lt;&gt;0")=0),"OK","ERR")</f>
        <v>OK</v>
      </c>
      <c r="M43" s="471" t="str" cm="1">
        <f t="array" ref="M43">IF(AND(INDEX('NARM5 – ED2 actuals'!$Y:$Y,MATCH($B43,'NARM5 – ED2 actuals'!$C:$C,0)+5)=0,INDEX('NARM5 – ED2 actuals'!$CX:$CX,MATCH($B43,'NARM5 – ED2 actuals'!$C:$C,0)+5)=0,INDEX('NARM5 – ED2 actuals'!$AT:$AT,MATCH($B43,'NARM5 – ED2 actuals'!$C:$C,0)+5)=0)=TRUE,"OK","ERR")</f>
        <v>OK</v>
      </c>
      <c r="N43" s="470" t="str" cm="1">
        <f t="array" ref="N43">IF(AND(INDEX('NARM5 – ED2 actuals'!$Y:$Y,MATCH($B43,'NARM5 – ED2 actuals'!$C:$C,0)+5)=0,INDEX('NARM5 – ED2 actuals'!$CX:$CX,MATCH($B43,'NARM5 – ED2 actuals'!$C:$C,0)+5)=0,INDEX('NARM5 – ED2 actuals'!$AT:$AT,MATCH($B43,'NARM5 – ED2 actuals'!$C:$C,0)+5)=0)=TRUE,"OK","ERR")</f>
        <v>OK</v>
      </c>
      <c r="O43" s="470" t="str" cm="1">
        <f t="array" ref="O43">IF(AND(INDEX('NARM5 – ED2 actuals'!$Y:$Y,MATCH($B43,'NARM5 – ED2 actuals'!$C:$C,0)+5)=0,INDEX('NARM5 – ED2 actuals'!$CX:$CX,MATCH($B43,'NARM5 – ED2 actuals'!$C:$C,0)+5)=0,INDEX('NARM5 – ED2 actuals'!$AT:$AT,MATCH($B43,'NARM5 – ED2 actuals'!$C:$C,0)+5)=0)=TRUE,"OK","ERR")</f>
        <v>OK</v>
      </c>
      <c r="P43" s="470" t="str" cm="1">
        <f t="array" ref="P43">IF(AND(INDEX('NARM5 – ED2 actuals'!$Y:$Y,MATCH($B43,'NARM5 – ED2 actuals'!$C:$C,0)+5)=0,INDEX('NARM5 – ED2 actuals'!$CX:$CX,MATCH($B43,'NARM5 – ED2 actuals'!$C:$C,0)+5)=0,INDEX('NARM5 – ED2 actuals'!$AT:$AT,MATCH($B43,'NARM5 – ED2 actuals'!$C:$C,0)+5)=0)=TRUE,"OK","ERR")</f>
        <v>OK</v>
      </c>
      <c r="Q43" s="469" t="str" cm="1">
        <f t="array" ref="Q43">IF(AND(INDEX('NARM5 – ED2 actuals'!$Y:$Y,MATCH($B43,'NARM5 – ED2 actuals'!$C:$C,0)+5)=0,INDEX('NARM5 – ED2 actuals'!$CX:$CX,MATCH($B43,'NARM5 – ED2 actuals'!$C:$C,0)+5)=0,INDEX('NARM5 – ED2 actuals'!$AT:$AT,MATCH($B43,'NARM5 – ED2 actuals'!$C:$C,0)+5)=0)=TRUE,"OK","ERR")</f>
        <v>OK</v>
      </c>
      <c r="R43" s="471" t="str">
        <f>IF((SUM(AssetReplacement_CurrentYear_yr1_38)=SUM(AssetReplacement_FutureYear_yr1_38))=TRUE,"OK","ERR")</f>
        <v>OK</v>
      </c>
      <c r="S43" s="470" t="str">
        <f>IF((SUM(AssetReplacement_CurrentYear_yr2_38)=SUM(AssetReplacement_FutureYear_yr2_38))=TRUE,"OK","ERR")</f>
        <v>OK</v>
      </c>
      <c r="T43" s="470" t="str">
        <f>IF((SUM(AssetReplacement_CurrentYear_yr3_38)=SUM(AssetReplacement_FutureYear_yr3_38))=TRUE,"OK","ERR")</f>
        <v>OK</v>
      </c>
      <c r="U43" s="470" t="str">
        <f>IF((SUM(AssetReplacement_CurrentYear_yr4_38)=SUM(AssetReplacement_FutureYear_yr4_38))=TRUE,"OK","ERR")</f>
        <v>OK</v>
      </c>
      <c r="V43" s="469" t="str">
        <f>IF((SUM(AssetReplacement_CurrentYear_yr5_38)=SUM(AssetReplacement_FutureYear_yr5_38))=TRUE,"OK","ERR")</f>
        <v>OK</v>
      </c>
    </row>
    <row r="44" spans="1:22">
      <c r="A44" s="483">
        <v>39</v>
      </c>
      <c r="B44" s="472" t="s">
        <v>100</v>
      </c>
      <c r="C44" s="471" t="str">
        <f>IF((COUNTIF(End_Of_Year_Yr1_39,"&lt;0")=0),"OK","ERR")</f>
        <v>OK</v>
      </c>
      <c r="D44" s="470" t="str">
        <f>IF((COUNTIF(End_Of_Year_Yr2_39,"&lt;0")=0),"OK","ERR")</f>
        <v>OK</v>
      </c>
      <c r="E44" s="470" t="str">
        <f>IF((COUNTIF(End_Of_Year_Yr3_39,"&lt;0")=0),"OK","ERR")</f>
        <v>OK</v>
      </c>
      <c r="F44" s="470" t="str">
        <f>IF((COUNTIF(End_Of_Year_Yr4_39,"&lt;0")=0),"OK","ERR")</f>
        <v>OK</v>
      </c>
      <c r="G44" s="469" t="str">
        <f>IF((COUNTIF(End_Of_Year_Yr5_39,"&lt;0")=0),"OK","ERR")</f>
        <v>OK</v>
      </c>
      <c r="H44" s="471" t="str">
        <f>IF((COUNTIF(Deterioration_yr1_39,"&lt;&gt;0")=0),"OK","ERR")</f>
        <v>OK</v>
      </c>
      <c r="I44" s="470" t="str">
        <f>IF((COUNTIF(Deterioration_yr2_39,"&lt;&gt;0")=0),"OK","ERR")</f>
        <v>OK</v>
      </c>
      <c r="J44" s="470" t="str">
        <f>IF((COUNTIF(Deterioration_yr3_39,"&lt;&gt;0")=0),"OK","ERR")</f>
        <v>OK</v>
      </c>
      <c r="K44" s="470" t="str">
        <f>IF((COUNTIF(Deterioration_yr4_39,"&lt;&gt;0")=0),"OK","ERR")</f>
        <v>OK</v>
      </c>
      <c r="L44" s="469" t="str">
        <f>IF((COUNTIF(Deterioration_yr5_39,"&lt;&gt;0")=0),"OK","ERR")</f>
        <v>OK</v>
      </c>
      <c r="M44" s="471" t="str" cm="1">
        <f t="array" ref="M44">IF(AND(INDEX('NARM5 – ED2 actuals'!$Y:$Y,MATCH($B44,'NARM5 – ED2 actuals'!$C:$C,0)+5)=0,INDEX('NARM5 – ED2 actuals'!$CX:$CX,MATCH($B44,'NARM5 – ED2 actuals'!$C:$C,0)+5)=0,INDEX('NARM5 – ED2 actuals'!$AT:$AT,MATCH($B44,'NARM5 – ED2 actuals'!$C:$C,0)+5)=0)=TRUE,"OK","ERR")</f>
        <v>OK</v>
      </c>
      <c r="N44" s="470" t="str" cm="1">
        <f t="array" ref="N44">IF(AND(INDEX('NARM5 – ED2 actuals'!$Y:$Y,MATCH($B44,'NARM5 – ED2 actuals'!$C:$C,0)+5)=0,INDEX('NARM5 – ED2 actuals'!$CX:$CX,MATCH($B44,'NARM5 – ED2 actuals'!$C:$C,0)+5)=0,INDEX('NARM5 – ED2 actuals'!$AT:$AT,MATCH($B44,'NARM5 – ED2 actuals'!$C:$C,0)+5)=0)=TRUE,"OK","ERR")</f>
        <v>OK</v>
      </c>
      <c r="O44" s="470" t="str" cm="1">
        <f t="array" ref="O44">IF(AND(INDEX('NARM5 – ED2 actuals'!$Y:$Y,MATCH($B44,'NARM5 – ED2 actuals'!$C:$C,0)+5)=0,INDEX('NARM5 – ED2 actuals'!$CX:$CX,MATCH($B44,'NARM5 – ED2 actuals'!$C:$C,0)+5)=0,INDEX('NARM5 – ED2 actuals'!$AT:$AT,MATCH($B44,'NARM5 – ED2 actuals'!$C:$C,0)+5)=0)=TRUE,"OK","ERR")</f>
        <v>OK</v>
      </c>
      <c r="P44" s="470" t="str" cm="1">
        <f t="array" ref="P44">IF(AND(INDEX('NARM5 – ED2 actuals'!$Y:$Y,MATCH($B44,'NARM5 – ED2 actuals'!$C:$C,0)+5)=0,INDEX('NARM5 – ED2 actuals'!$CX:$CX,MATCH($B44,'NARM5 – ED2 actuals'!$C:$C,0)+5)=0,INDEX('NARM5 – ED2 actuals'!$AT:$AT,MATCH($B44,'NARM5 – ED2 actuals'!$C:$C,0)+5)=0)=TRUE,"OK","ERR")</f>
        <v>OK</v>
      </c>
      <c r="Q44" s="469" t="str" cm="1">
        <f t="array" ref="Q44">IF(AND(INDEX('NARM5 – ED2 actuals'!$Y:$Y,MATCH($B44,'NARM5 – ED2 actuals'!$C:$C,0)+5)=0,INDEX('NARM5 – ED2 actuals'!$CX:$CX,MATCH($B44,'NARM5 – ED2 actuals'!$C:$C,0)+5)=0,INDEX('NARM5 – ED2 actuals'!$AT:$AT,MATCH($B44,'NARM5 – ED2 actuals'!$C:$C,0)+5)=0)=TRUE,"OK","ERR")</f>
        <v>OK</v>
      </c>
      <c r="R44" s="471" t="str">
        <f>IF((SUM(AssetReplacement_CurrentYear_yr1_39)=SUM(AssetReplacement_FutureYear_yr1_39))=TRUE,"OK","ERR")</f>
        <v>OK</v>
      </c>
      <c r="S44" s="470" t="str">
        <f>IF((SUM(AssetReplacement_CurrentYear_yr2_39)=SUM(AssetReplacement_FutureYear_yr2_39))=TRUE,"OK","ERR")</f>
        <v>OK</v>
      </c>
      <c r="T44" s="470" t="str">
        <f>IF((SUM(AssetReplacement_CurrentYear_yr3_39)=SUM(AssetReplacement_FutureYear_yr3_39))=TRUE,"OK","ERR")</f>
        <v>OK</v>
      </c>
      <c r="U44" s="470" t="str">
        <f>IF((SUM(AssetReplacement_CurrentYear_yr4_39)=SUM(AssetReplacement_FutureYear_yr4_39))=TRUE,"OK","ERR")</f>
        <v>OK</v>
      </c>
      <c r="V44" s="469" t="str">
        <f>IF((SUM(AssetReplacement_CurrentYear_yr5_39)=SUM(AssetReplacement_FutureYear_yr5_39))=TRUE,"OK","ERR")</f>
        <v>OK</v>
      </c>
    </row>
    <row r="45" spans="1:22">
      <c r="A45" s="483">
        <v>40</v>
      </c>
      <c r="B45" s="472" t="s">
        <v>101</v>
      </c>
      <c r="C45" s="471" t="str">
        <f>IF((COUNTIF(End_Of_Year_Yr1_40,"&lt;0")=0),"OK","ERR")</f>
        <v>OK</v>
      </c>
      <c r="D45" s="470" t="str">
        <f>IF((COUNTIF(End_Of_Year_Yr2_40,"&lt;0")=0),"OK","ERR")</f>
        <v>OK</v>
      </c>
      <c r="E45" s="470" t="str">
        <f>IF((COUNTIF(End_Of_Year_Yr3_40,"&lt;0")=0),"OK","ERR")</f>
        <v>OK</v>
      </c>
      <c r="F45" s="470" t="str">
        <f>IF((COUNTIF(End_Of_Year_Yr4_40,"&lt;0")=0),"OK","ERR")</f>
        <v>OK</v>
      </c>
      <c r="G45" s="469" t="str">
        <f>IF((COUNTIF(End_Of_Year_Yr5_40,"&lt;0")=0),"OK","ERR")</f>
        <v>OK</v>
      </c>
      <c r="H45" s="471" t="str">
        <f>IF((COUNTIF(Deterioration_yr1_40,"&lt;&gt;0")=0),"OK","ERR")</f>
        <v>OK</v>
      </c>
      <c r="I45" s="470" t="str">
        <f>IF((COUNTIF(Deterioration_yr2_40,"&lt;&gt;0")=0),"OK","ERR")</f>
        <v>OK</v>
      </c>
      <c r="J45" s="470" t="str">
        <f>IF((COUNTIF(Deterioration_yr3_40,"&lt;&gt;0")=0),"OK","ERR")</f>
        <v>OK</v>
      </c>
      <c r="K45" s="470" t="str">
        <f>IF((COUNTIF(Deterioration_yr4_40,"&lt;&gt;0")=0),"OK","ERR")</f>
        <v>OK</v>
      </c>
      <c r="L45" s="469" t="str">
        <f>IF((COUNTIF(Deterioration_yr5_40,"&lt;&gt;0")=0),"OK","ERR")</f>
        <v>OK</v>
      </c>
      <c r="M45" s="471" t="str" cm="1">
        <f t="array" ref="M45">IF(AND(INDEX('NARM5 – ED2 actuals'!$Y:$Y,MATCH($B45,'NARM5 – ED2 actuals'!$C:$C,0)+5)=0,INDEX('NARM5 – ED2 actuals'!$CX:$CX,MATCH($B45,'NARM5 – ED2 actuals'!$C:$C,0)+5)=0,INDEX('NARM5 – ED2 actuals'!$AT:$AT,MATCH($B45,'NARM5 – ED2 actuals'!$C:$C,0)+5)=0)=TRUE,"OK","ERR")</f>
        <v>OK</v>
      </c>
      <c r="N45" s="470" t="str" cm="1">
        <f t="array" ref="N45">IF(AND(INDEX('NARM5 – ED2 actuals'!$Y:$Y,MATCH($B45,'NARM5 – ED2 actuals'!$C:$C,0)+5)=0,INDEX('NARM5 – ED2 actuals'!$CX:$CX,MATCH($B45,'NARM5 – ED2 actuals'!$C:$C,0)+5)=0,INDEX('NARM5 – ED2 actuals'!$AT:$AT,MATCH($B45,'NARM5 – ED2 actuals'!$C:$C,0)+5)=0)=TRUE,"OK","ERR")</f>
        <v>OK</v>
      </c>
      <c r="O45" s="470" t="str" cm="1">
        <f t="array" ref="O45">IF(AND(INDEX('NARM5 – ED2 actuals'!$Y:$Y,MATCH($B45,'NARM5 – ED2 actuals'!$C:$C,0)+5)=0,INDEX('NARM5 – ED2 actuals'!$CX:$CX,MATCH($B45,'NARM5 – ED2 actuals'!$C:$C,0)+5)=0,INDEX('NARM5 – ED2 actuals'!$AT:$AT,MATCH($B45,'NARM5 – ED2 actuals'!$C:$C,0)+5)=0)=TRUE,"OK","ERR")</f>
        <v>OK</v>
      </c>
      <c r="P45" s="470" t="str" cm="1">
        <f t="array" ref="P45">IF(AND(INDEX('NARM5 – ED2 actuals'!$Y:$Y,MATCH($B45,'NARM5 – ED2 actuals'!$C:$C,0)+5)=0,INDEX('NARM5 – ED2 actuals'!$CX:$CX,MATCH($B45,'NARM5 – ED2 actuals'!$C:$C,0)+5)=0,INDEX('NARM5 – ED2 actuals'!$AT:$AT,MATCH($B45,'NARM5 – ED2 actuals'!$C:$C,0)+5)=0)=TRUE,"OK","ERR")</f>
        <v>OK</v>
      </c>
      <c r="Q45" s="469" t="str" cm="1">
        <f t="array" ref="Q45">IF(AND(INDEX('NARM5 – ED2 actuals'!$Y:$Y,MATCH($B45,'NARM5 – ED2 actuals'!$C:$C,0)+5)=0,INDEX('NARM5 – ED2 actuals'!$CX:$CX,MATCH($B45,'NARM5 – ED2 actuals'!$C:$C,0)+5)=0,INDEX('NARM5 – ED2 actuals'!$AT:$AT,MATCH($B45,'NARM5 – ED2 actuals'!$C:$C,0)+5)=0)=TRUE,"OK","ERR")</f>
        <v>OK</v>
      </c>
      <c r="R45" s="471" t="str">
        <f>IF((SUM(AssetReplacement_CurrentYear_yr1_40)=SUM(AssetReplacement_FutureYear_yr1_40))=TRUE,"OK","ERR")</f>
        <v>OK</v>
      </c>
      <c r="S45" s="470" t="str">
        <f>IF((SUM(AssetReplacement_CurrentYear_yr2_40)=SUM(AssetReplacement_FutureYear_yr2_40))=TRUE,"OK","ERR")</f>
        <v>OK</v>
      </c>
      <c r="T45" s="470" t="str">
        <f>IF((SUM(AssetReplacement_CurrentYear_yr3_40)=SUM(AssetReplacement_FutureYear_yr3_40))=TRUE,"OK","ERR")</f>
        <v>OK</v>
      </c>
      <c r="U45" s="470" t="str">
        <f>IF((SUM(AssetReplacement_CurrentYear_yr4_40)=SUM(AssetReplacement_FutureYear_yr4_40))=TRUE,"OK","ERR")</f>
        <v>OK</v>
      </c>
      <c r="V45" s="469" t="str">
        <f>IF((SUM(AssetReplacement_CurrentYear_yr5_40)=SUM(AssetReplacement_FutureYear_yr5_40))=TRUE,"OK","ERR")</f>
        <v>OK</v>
      </c>
    </row>
    <row r="46" spans="1:22">
      <c r="A46" s="483">
        <v>41</v>
      </c>
      <c r="B46" s="472" t="s">
        <v>102</v>
      </c>
      <c r="C46" s="471" t="str">
        <f>IF((COUNTIF(End_Of_Year_Yr1_41,"&lt;0")=0),"OK","ERR")</f>
        <v>OK</v>
      </c>
      <c r="D46" s="470" t="str">
        <f>IF((COUNTIF(End_Of_Year_Yr2_41,"&lt;0")=0),"OK","ERR")</f>
        <v>OK</v>
      </c>
      <c r="E46" s="470" t="str">
        <f>IF((COUNTIF(End_Of_Year_Yr3_41,"&lt;0")=0),"OK","ERR")</f>
        <v>OK</v>
      </c>
      <c r="F46" s="470" t="str">
        <f>IF((COUNTIF(End_Of_Year_Yr4_41,"&lt;0")=0),"OK","ERR")</f>
        <v>OK</v>
      </c>
      <c r="G46" s="469" t="str">
        <f>IF((COUNTIF(End_Of_Year_Yr5_41,"&lt;0")=0),"OK","ERR")</f>
        <v>OK</v>
      </c>
      <c r="H46" s="471" t="str">
        <f>IF((COUNTIF(Deterioration_yr1_41,"&lt;&gt;0")=0),"OK","ERR")</f>
        <v>OK</v>
      </c>
      <c r="I46" s="470" t="str">
        <f>IF((COUNTIF(Deterioration_yr2_41,"&lt;&gt;0")=0),"OK","ERR")</f>
        <v>OK</v>
      </c>
      <c r="J46" s="470" t="str">
        <f>IF((COUNTIF(Deterioration_yr3_41,"&lt;&gt;0")=0),"OK","ERR")</f>
        <v>OK</v>
      </c>
      <c r="K46" s="470" t="str">
        <f>IF((COUNTIF(Deterioration_yr4_41,"&lt;&gt;0")=0),"OK","ERR")</f>
        <v>OK</v>
      </c>
      <c r="L46" s="469" t="str">
        <f>IF((COUNTIF(Deterioration_yr5_41,"&lt;&gt;0")=0),"OK","ERR")</f>
        <v>OK</v>
      </c>
      <c r="M46" s="471" t="str" cm="1">
        <f t="array" ref="M46">IF(AND(INDEX('NARM5 – ED2 actuals'!$Y:$Y,MATCH($B46,'NARM5 – ED2 actuals'!$C:$C,0)+5)=0,INDEX('NARM5 – ED2 actuals'!$CX:$CX,MATCH($B46,'NARM5 – ED2 actuals'!$C:$C,0)+5)=0,INDEX('NARM5 – ED2 actuals'!$AT:$AT,MATCH($B46,'NARM5 – ED2 actuals'!$C:$C,0)+5)=0)=TRUE,"OK","ERR")</f>
        <v>OK</v>
      </c>
      <c r="N46" s="470" t="str" cm="1">
        <f t="array" ref="N46">IF(AND(INDEX('NARM5 – ED2 actuals'!$Y:$Y,MATCH($B46,'NARM5 – ED2 actuals'!$C:$C,0)+5)=0,INDEX('NARM5 – ED2 actuals'!$CX:$CX,MATCH($B46,'NARM5 – ED2 actuals'!$C:$C,0)+5)=0,INDEX('NARM5 – ED2 actuals'!$AT:$AT,MATCH($B46,'NARM5 – ED2 actuals'!$C:$C,0)+5)=0)=TRUE,"OK","ERR")</f>
        <v>OK</v>
      </c>
      <c r="O46" s="470" t="str" cm="1">
        <f t="array" ref="O46">IF(AND(INDEX('NARM5 – ED2 actuals'!$Y:$Y,MATCH($B46,'NARM5 – ED2 actuals'!$C:$C,0)+5)=0,INDEX('NARM5 – ED2 actuals'!$CX:$CX,MATCH($B46,'NARM5 – ED2 actuals'!$C:$C,0)+5)=0,INDEX('NARM5 – ED2 actuals'!$AT:$AT,MATCH($B46,'NARM5 – ED2 actuals'!$C:$C,0)+5)=0)=TRUE,"OK","ERR")</f>
        <v>OK</v>
      </c>
      <c r="P46" s="470" t="str" cm="1">
        <f t="array" ref="P46">IF(AND(INDEX('NARM5 – ED2 actuals'!$Y:$Y,MATCH($B46,'NARM5 – ED2 actuals'!$C:$C,0)+5)=0,INDEX('NARM5 – ED2 actuals'!$CX:$CX,MATCH($B46,'NARM5 – ED2 actuals'!$C:$C,0)+5)=0,INDEX('NARM5 – ED2 actuals'!$AT:$AT,MATCH($B46,'NARM5 – ED2 actuals'!$C:$C,0)+5)=0)=TRUE,"OK","ERR")</f>
        <v>OK</v>
      </c>
      <c r="Q46" s="469" t="str" cm="1">
        <f t="array" ref="Q46">IF(AND(INDEX('NARM5 – ED2 actuals'!$Y:$Y,MATCH($B46,'NARM5 – ED2 actuals'!$C:$C,0)+5)=0,INDEX('NARM5 – ED2 actuals'!$CX:$CX,MATCH($B46,'NARM5 – ED2 actuals'!$C:$C,0)+5)=0,INDEX('NARM5 – ED2 actuals'!$AT:$AT,MATCH($B46,'NARM5 – ED2 actuals'!$C:$C,0)+5)=0)=TRUE,"OK","ERR")</f>
        <v>OK</v>
      </c>
      <c r="R46" s="471" t="str">
        <f>IF((SUM(AssetReplacement_CurrentYear_yr1_41)=SUM(AssetReplacement_FutureYear_yr1_41))=TRUE,"OK","ERR")</f>
        <v>OK</v>
      </c>
      <c r="S46" s="470" t="str">
        <f>IF((SUM(AssetReplacement_CurrentYear_yr2_41)=SUM(AssetReplacement_FutureYear_yr2_41))=TRUE,"OK","ERR")</f>
        <v>OK</v>
      </c>
      <c r="T46" s="470" t="str">
        <f>IF((SUM(AssetReplacement_CurrentYear_yr3_41)=SUM(AssetReplacement_FutureYear_yr3_41))=TRUE,"OK","ERR")</f>
        <v>OK</v>
      </c>
      <c r="U46" s="470" t="str">
        <f>IF((SUM(AssetReplacement_CurrentYear_yr4_41)=SUM(AssetReplacement_FutureYear_yr4_41))=TRUE,"OK","ERR")</f>
        <v>OK</v>
      </c>
      <c r="V46" s="469" t="str">
        <f>IF((SUM(AssetReplacement_CurrentYear_yr5_41)=SUM(AssetReplacement_FutureYear_yr5_41))=TRUE,"OK","ERR")</f>
        <v>OK</v>
      </c>
    </row>
    <row r="47" spans="1:22">
      <c r="A47" s="483">
        <v>42</v>
      </c>
      <c r="B47" s="472" t="s">
        <v>103</v>
      </c>
      <c r="C47" s="471" t="str">
        <f>IF((COUNTIF(End_Of_Year_Yr1_42,"&lt;0")=0),"OK","ERR")</f>
        <v>OK</v>
      </c>
      <c r="D47" s="470" t="str">
        <f>IF((COUNTIF(End_Of_Year_Yr2_42,"&lt;0")=0),"OK","ERR")</f>
        <v>OK</v>
      </c>
      <c r="E47" s="470" t="str">
        <f>IF((COUNTIF(End_Of_Year_Yr3_42,"&lt;0")=0),"OK","ERR")</f>
        <v>OK</v>
      </c>
      <c r="F47" s="470" t="str">
        <f>IF((COUNTIF(End_Of_Year_Yr4_42,"&lt;0")=0),"OK","ERR")</f>
        <v>OK</v>
      </c>
      <c r="G47" s="469" t="str">
        <f>IF((COUNTIF(End_Of_Year_Yr5_42,"&lt;0")=0),"OK","ERR")</f>
        <v>OK</v>
      </c>
      <c r="H47" s="471" t="str">
        <f>IF((COUNTIF(Deterioration_yr1_42,"&lt;&gt;0")=0),"OK","ERR")</f>
        <v>OK</v>
      </c>
      <c r="I47" s="470" t="str">
        <f>IF((COUNTIF(Deterioration_yr2_42,"&lt;&gt;0")=0),"OK","ERR")</f>
        <v>OK</v>
      </c>
      <c r="J47" s="470" t="str">
        <f>IF((COUNTIF(Deterioration_yr3_42,"&lt;&gt;0")=0),"OK","ERR")</f>
        <v>OK</v>
      </c>
      <c r="K47" s="470" t="str">
        <f>IF((COUNTIF(Deterioration_yr4_42,"&lt;&gt;0")=0),"OK","ERR")</f>
        <v>OK</v>
      </c>
      <c r="L47" s="469" t="str">
        <f>IF((COUNTIF(Deterioration_yr5_42,"&lt;&gt;0")=0),"OK","ERR")</f>
        <v>OK</v>
      </c>
      <c r="M47" s="471" t="str" cm="1">
        <f t="array" ref="M47">IF(AND(INDEX('NARM5 – ED2 actuals'!$Y:$Y,MATCH($B47,'NARM5 – ED2 actuals'!$C:$C,0)+5)=0,INDEX('NARM5 – ED2 actuals'!$CX:$CX,MATCH($B47,'NARM5 – ED2 actuals'!$C:$C,0)+5)=0,INDEX('NARM5 – ED2 actuals'!$AT:$AT,MATCH($B47,'NARM5 – ED2 actuals'!$C:$C,0)+5)=0)=TRUE,"OK","ERR")</f>
        <v>OK</v>
      </c>
      <c r="N47" s="470" t="str" cm="1">
        <f t="array" ref="N47">IF(AND(INDEX('NARM5 – ED2 actuals'!$Y:$Y,MATCH($B47,'NARM5 – ED2 actuals'!$C:$C,0)+5)=0,INDEX('NARM5 – ED2 actuals'!$CX:$CX,MATCH($B47,'NARM5 – ED2 actuals'!$C:$C,0)+5)=0,INDEX('NARM5 – ED2 actuals'!$AT:$AT,MATCH($B47,'NARM5 – ED2 actuals'!$C:$C,0)+5)=0)=TRUE,"OK","ERR")</f>
        <v>OK</v>
      </c>
      <c r="O47" s="470" t="str" cm="1">
        <f t="array" ref="O47">IF(AND(INDEX('NARM5 – ED2 actuals'!$Y:$Y,MATCH($B47,'NARM5 – ED2 actuals'!$C:$C,0)+5)=0,INDEX('NARM5 – ED2 actuals'!$CX:$CX,MATCH($B47,'NARM5 – ED2 actuals'!$C:$C,0)+5)=0,INDEX('NARM5 – ED2 actuals'!$AT:$AT,MATCH($B47,'NARM5 – ED2 actuals'!$C:$C,0)+5)=0)=TRUE,"OK","ERR")</f>
        <v>OK</v>
      </c>
      <c r="P47" s="470" t="str" cm="1">
        <f t="array" ref="P47">IF(AND(INDEX('NARM5 – ED2 actuals'!$Y:$Y,MATCH($B47,'NARM5 – ED2 actuals'!$C:$C,0)+5)=0,INDEX('NARM5 – ED2 actuals'!$CX:$CX,MATCH($B47,'NARM5 – ED2 actuals'!$C:$C,0)+5)=0,INDEX('NARM5 – ED2 actuals'!$AT:$AT,MATCH($B47,'NARM5 – ED2 actuals'!$C:$C,0)+5)=0)=TRUE,"OK","ERR")</f>
        <v>OK</v>
      </c>
      <c r="Q47" s="469" t="str" cm="1">
        <f t="array" ref="Q47">IF(AND(INDEX('NARM5 – ED2 actuals'!$Y:$Y,MATCH($B47,'NARM5 – ED2 actuals'!$C:$C,0)+5)=0,INDEX('NARM5 – ED2 actuals'!$CX:$CX,MATCH($B47,'NARM5 – ED2 actuals'!$C:$C,0)+5)=0,INDEX('NARM5 – ED2 actuals'!$AT:$AT,MATCH($B47,'NARM5 – ED2 actuals'!$C:$C,0)+5)=0)=TRUE,"OK","ERR")</f>
        <v>OK</v>
      </c>
      <c r="R47" s="471" t="str">
        <f>IF((SUM(AssetReplacement_CurrentYear_yr1_42)=SUM(AssetReplacement_FutureYear_yr1_42))=TRUE,"OK","ERR")</f>
        <v>OK</v>
      </c>
      <c r="S47" s="470" t="str">
        <f>IF((SUM(AssetReplacement_CurrentYear_yr2_42)=SUM(AssetReplacement_FutureYear_yr2_42))=TRUE,"OK","ERR")</f>
        <v>OK</v>
      </c>
      <c r="T47" s="470" t="str">
        <f>IF((SUM(AssetReplacement_CurrentYear_yr3_42)=SUM(AssetReplacement_FutureYear_yr3_42))=TRUE,"OK","ERR")</f>
        <v>OK</v>
      </c>
      <c r="U47" s="470" t="str">
        <f>IF((SUM(AssetReplacement_CurrentYear_yr4_42)=SUM(AssetReplacement_FutureYear_yr4_42))=TRUE,"OK","ERR")</f>
        <v>OK</v>
      </c>
      <c r="V47" s="469" t="str">
        <f>IF((SUM(AssetReplacement_CurrentYear_yr5_42)=SUM(AssetReplacement_FutureYear_yr5_42))=TRUE,"OK","ERR")</f>
        <v>OK</v>
      </c>
    </row>
    <row r="48" spans="1:22">
      <c r="A48" s="483">
        <v>43</v>
      </c>
      <c r="B48" s="472" t="s">
        <v>104</v>
      </c>
      <c r="C48" s="471" t="str">
        <f>IF((COUNTIF(End_Of_Year_Yr1_43,"&lt;0")=0),"OK","ERR")</f>
        <v>OK</v>
      </c>
      <c r="D48" s="470" t="str">
        <f>IF((COUNTIF(End_Of_Year_Yr2_43,"&lt;0")=0),"OK","ERR")</f>
        <v>OK</v>
      </c>
      <c r="E48" s="470" t="str">
        <f>IF((COUNTIF(End_Of_Year_Yr3_43,"&lt;0")=0),"OK","ERR")</f>
        <v>OK</v>
      </c>
      <c r="F48" s="470" t="str">
        <f>IF((COUNTIF(End_Of_Year_Yr4_43,"&lt;0")=0),"OK","ERR")</f>
        <v>OK</v>
      </c>
      <c r="G48" s="469" t="str">
        <f>IF((COUNTIF(End_Of_Year_Yr5_43,"&lt;0")=0),"OK","ERR")</f>
        <v>OK</v>
      </c>
      <c r="H48" s="471" t="str">
        <f>IF((COUNTIF(Deterioration_yr1_43,"&lt;&gt;0")=0),"OK","ERR")</f>
        <v>OK</v>
      </c>
      <c r="I48" s="470" t="str">
        <f>IF((COUNTIF(Deterioration_yr2_43,"&lt;&gt;0")=0),"OK","ERR")</f>
        <v>OK</v>
      </c>
      <c r="J48" s="470" t="str">
        <f>IF((COUNTIF(Deterioration_yr3_43,"&lt;&gt;0")=0),"OK","ERR")</f>
        <v>OK</v>
      </c>
      <c r="K48" s="470" t="str">
        <f>IF((COUNTIF(Deterioration_yr4_43,"&lt;&gt;0")=0),"OK","ERR")</f>
        <v>OK</v>
      </c>
      <c r="L48" s="469" t="str">
        <f>IF((COUNTIF(Deterioration_yr5_43,"&lt;&gt;0")=0),"OK","ERR")</f>
        <v>OK</v>
      </c>
      <c r="M48" s="471" t="str" cm="1">
        <f t="array" ref="M48">IF(AND(INDEX('NARM5 – ED2 actuals'!$Y:$Y,MATCH($B48,'NARM5 – ED2 actuals'!$C:$C,0)+5)=0,INDEX('NARM5 – ED2 actuals'!$CX:$CX,MATCH($B48,'NARM5 – ED2 actuals'!$C:$C,0)+5)=0,INDEX('NARM5 – ED2 actuals'!$AT:$AT,MATCH($B48,'NARM5 – ED2 actuals'!$C:$C,0)+5)=0)=TRUE,"OK","ERR")</f>
        <v>OK</v>
      </c>
      <c r="N48" s="470" t="str" cm="1">
        <f t="array" ref="N48">IF(AND(INDEX('NARM5 – ED2 actuals'!$Y:$Y,MATCH($B48,'NARM5 – ED2 actuals'!$C:$C,0)+5)=0,INDEX('NARM5 – ED2 actuals'!$CX:$CX,MATCH($B48,'NARM5 – ED2 actuals'!$C:$C,0)+5)=0,INDEX('NARM5 – ED2 actuals'!$AT:$AT,MATCH($B48,'NARM5 – ED2 actuals'!$C:$C,0)+5)=0)=TRUE,"OK","ERR")</f>
        <v>OK</v>
      </c>
      <c r="O48" s="470" t="str" cm="1">
        <f t="array" ref="O48">IF(AND(INDEX('NARM5 – ED2 actuals'!$Y:$Y,MATCH($B48,'NARM5 – ED2 actuals'!$C:$C,0)+5)=0,INDEX('NARM5 – ED2 actuals'!$CX:$CX,MATCH($B48,'NARM5 – ED2 actuals'!$C:$C,0)+5)=0,INDEX('NARM5 – ED2 actuals'!$AT:$AT,MATCH($B48,'NARM5 – ED2 actuals'!$C:$C,0)+5)=0)=TRUE,"OK","ERR")</f>
        <v>OK</v>
      </c>
      <c r="P48" s="470" t="str" cm="1">
        <f t="array" ref="P48">IF(AND(INDEX('NARM5 – ED2 actuals'!$Y:$Y,MATCH($B48,'NARM5 – ED2 actuals'!$C:$C,0)+5)=0,INDEX('NARM5 – ED2 actuals'!$CX:$CX,MATCH($B48,'NARM5 – ED2 actuals'!$C:$C,0)+5)=0,INDEX('NARM5 – ED2 actuals'!$AT:$AT,MATCH($B48,'NARM5 – ED2 actuals'!$C:$C,0)+5)=0)=TRUE,"OK","ERR")</f>
        <v>OK</v>
      </c>
      <c r="Q48" s="469" t="str" cm="1">
        <f t="array" ref="Q48">IF(AND(INDEX('NARM5 – ED2 actuals'!$Y:$Y,MATCH($B48,'NARM5 – ED2 actuals'!$C:$C,0)+5)=0,INDEX('NARM5 – ED2 actuals'!$CX:$CX,MATCH($B48,'NARM5 – ED2 actuals'!$C:$C,0)+5)=0,INDEX('NARM5 – ED2 actuals'!$AT:$AT,MATCH($B48,'NARM5 – ED2 actuals'!$C:$C,0)+5)=0)=TRUE,"OK","ERR")</f>
        <v>OK</v>
      </c>
      <c r="R48" s="471" t="str">
        <f>IF((SUM(AssetReplacement_CurrentYear_yr1_43)=SUM(AssetReplacement_FutureYear_yr1_43))=TRUE,"OK","ERR")</f>
        <v>OK</v>
      </c>
      <c r="S48" s="470" t="str">
        <f>IF((SUM(AssetReplacement_CurrentYear_yr2_43)=SUM(AssetReplacement_FutureYear_yr2_43))=TRUE,"OK","ERR")</f>
        <v>OK</v>
      </c>
      <c r="T48" s="470" t="str">
        <f>IF((SUM(AssetReplacement_CurrentYear_yr3_43)=SUM(AssetReplacement_FutureYear_yr3_43))=TRUE,"OK","ERR")</f>
        <v>OK</v>
      </c>
      <c r="U48" s="470" t="str">
        <f>IF((SUM(AssetReplacement_CurrentYear_yr4_43)=SUM(AssetReplacement_FutureYear_yr4_43))=TRUE,"OK","ERR")</f>
        <v>OK</v>
      </c>
      <c r="V48" s="469" t="str">
        <f>IF((SUM(AssetReplacement_CurrentYear_yr5_43)=SUM(AssetReplacement_FutureYear_yr5_43))=TRUE,"OK","ERR")</f>
        <v>OK</v>
      </c>
    </row>
    <row r="49" spans="1:22">
      <c r="A49" s="483">
        <v>44</v>
      </c>
      <c r="B49" s="472" t="s">
        <v>105</v>
      </c>
      <c r="C49" s="471" t="str">
        <f>IF((COUNTIF(End_Of_Year_Yr1_44,"&lt;0")=0),"OK","ERR")</f>
        <v>OK</v>
      </c>
      <c r="D49" s="470" t="str">
        <f>IF((COUNTIF(End_Of_Year_Yr2_44,"&lt;0")=0),"OK","ERR")</f>
        <v>OK</v>
      </c>
      <c r="E49" s="470" t="str">
        <f>IF((COUNTIF(End_Of_Year_Yr3_44,"&lt;0")=0),"OK","ERR")</f>
        <v>OK</v>
      </c>
      <c r="F49" s="470" t="str">
        <f>IF((COUNTIF(End_Of_Year_Yr4_44,"&lt;0")=0),"OK","ERR")</f>
        <v>OK</v>
      </c>
      <c r="G49" s="469" t="str">
        <f>IF((COUNTIF(End_Of_Year_Yr5_44,"&lt;0")=0),"OK","ERR")</f>
        <v>OK</v>
      </c>
      <c r="H49" s="471" t="str">
        <f>IF((COUNTIF(Deterioration_yr1_44,"&lt;&gt;0")=0),"OK","ERR")</f>
        <v>OK</v>
      </c>
      <c r="I49" s="470" t="str">
        <f>IF((COUNTIF(Deterioration_yr2_44,"&lt;&gt;0")=0),"OK","ERR")</f>
        <v>OK</v>
      </c>
      <c r="J49" s="470" t="str">
        <f>IF((COUNTIF(Deterioration_yr3_44,"&lt;&gt;0")=0),"OK","ERR")</f>
        <v>OK</v>
      </c>
      <c r="K49" s="470" t="str">
        <f>IF((COUNTIF(Deterioration_yr4_44,"&lt;&gt;0")=0),"OK","ERR")</f>
        <v>OK</v>
      </c>
      <c r="L49" s="469" t="str">
        <f>IF((COUNTIF(Deterioration_yr5_44,"&lt;&gt;0")=0),"OK","ERR")</f>
        <v>OK</v>
      </c>
      <c r="M49" s="471" t="str" cm="1">
        <f t="array" ref="M49">IF(AND(INDEX('NARM5 – ED2 actuals'!$Y:$Y,MATCH($B49,'NARM5 – ED2 actuals'!$C:$C,0)+5)=0,INDEX('NARM5 – ED2 actuals'!$CX:$CX,MATCH($B49,'NARM5 – ED2 actuals'!$C:$C,0)+5)=0,INDEX('NARM5 – ED2 actuals'!$AT:$AT,MATCH($B49,'NARM5 – ED2 actuals'!$C:$C,0)+5)=0)=TRUE,"OK","ERR")</f>
        <v>OK</v>
      </c>
      <c r="N49" s="470" t="str" cm="1">
        <f t="array" ref="N49">IF(AND(INDEX('NARM5 – ED2 actuals'!$Y:$Y,MATCH($B49,'NARM5 – ED2 actuals'!$C:$C,0)+5)=0,INDEX('NARM5 – ED2 actuals'!$CX:$CX,MATCH($B49,'NARM5 – ED2 actuals'!$C:$C,0)+5)=0,INDEX('NARM5 – ED2 actuals'!$AT:$AT,MATCH($B49,'NARM5 – ED2 actuals'!$C:$C,0)+5)=0)=TRUE,"OK","ERR")</f>
        <v>OK</v>
      </c>
      <c r="O49" s="470" t="str" cm="1">
        <f t="array" ref="O49">IF(AND(INDEX('NARM5 – ED2 actuals'!$Y:$Y,MATCH($B49,'NARM5 – ED2 actuals'!$C:$C,0)+5)=0,INDEX('NARM5 – ED2 actuals'!$CX:$CX,MATCH($B49,'NARM5 – ED2 actuals'!$C:$C,0)+5)=0,INDEX('NARM5 – ED2 actuals'!$AT:$AT,MATCH($B49,'NARM5 – ED2 actuals'!$C:$C,0)+5)=0)=TRUE,"OK","ERR")</f>
        <v>OK</v>
      </c>
      <c r="P49" s="470" t="str" cm="1">
        <f t="array" ref="P49">IF(AND(INDEX('NARM5 – ED2 actuals'!$Y:$Y,MATCH($B49,'NARM5 – ED2 actuals'!$C:$C,0)+5)=0,INDEX('NARM5 – ED2 actuals'!$CX:$CX,MATCH($B49,'NARM5 – ED2 actuals'!$C:$C,0)+5)=0,INDEX('NARM5 – ED2 actuals'!$AT:$AT,MATCH($B49,'NARM5 – ED2 actuals'!$C:$C,0)+5)=0)=TRUE,"OK","ERR")</f>
        <v>OK</v>
      </c>
      <c r="Q49" s="469" t="str" cm="1">
        <f t="array" ref="Q49">IF(AND(INDEX('NARM5 – ED2 actuals'!$Y:$Y,MATCH($B49,'NARM5 – ED2 actuals'!$C:$C,0)+5)=0,INDEX('NARM5 – ED2 actuals'!$CX:$CX,MATCH($B49,'NARM5 – ED2 actuals'!$C:$C,0)+5)=0,INDEX('NARM5 – ED2 actuals'!$AT:$AT,MATCH($B49,'NARM5 – ED2 actuals'!$C:$C,0)+5)=0)=TRUE,"OK","ERR")</f>
        <v>OK</v>
      </c>
      <c r="R49" s="471" t="str">
        <f>IF((SUM(AssetReplacement_CurrentYear_yr1_44)=SUM(AssetReplacement_FutureYear_yr1_44))=TRUE,"OK","ERR")</f>
        <v>OK</v>
      </c>
      <c r="S49" s="470" t="str">
        <f>IF((SUM(AssetReplacement_CurrentYear_yr2_44)=SUM(AssetReplacement_FutureYear_yr2_44))=TRUE,"OK","ERR")</f>
        <v>OK</v>
      </c>
      <c r="T49" s="470" t="str">
        <f>IF((SUM(AssetReplacement_CurrentYear_yr3_44)=SUM(AssetReplacement_FutureYear_yr3_44))=TRUE,"OK","ERR")</f>
        <v>OK</v>
      </c>
      <c r="U49" s="470" t="str">
        <f>IF((SUM(AssetReplacement_CurrentYear_yr4_44)=SUM(AssetReplacement_FutureYear_yr4_44))=TRUE,"OK","ERR")</f>
        <v>OK</v>
      </c>
      <c r="V49" s="469" t="str">
        <f>IF((SUM(AssetReplacement_CurrentYear_yr5_44)=SUM(AssetReplacement_FutureYear_yr5_44))=TRUE,"OK","ERR")</f>
        <v>OK</v>
      </c>
    </row>
    <row r="50" spans="1:22">
      <c r="A50" s="483">
        <v>45</v>
      </c>
      <c r="B50" s="472" t="s">
        <v>106</v>
      </c>
      <c r="C50" s="471" t="str">
        <f>IF((COUNTIF(End_Of_Year_Yr1_45,"&lt;0")=0),"OK","ERR")</f>
        <v>OK</v>
      </c>
      <c r="D50" s="470" t="str">
        <f>IF((COUNTIF(End_Of_Year_Yr2_45,"&lt;0")=0),"OK","ERR")</f>
        <v>OK</v>
      </c>
      <c r="E50" s="470" t="str">
        <f>IF((COUNTIF(End_Of_Year_Yr3_45,"&lt;0")=0),"OK","ERR")</f>
        <v>OK</v>
      </c>
      <c r="F50" s="470" t="str">
        <f>IF((COUNTIF(End_Of_Year_Yr4_45,"&lt;0")=0),"OK","ERR")</f>
        <v>OK</v>
      </c>
      <c r="G50" s="469" t="str">
        <f>IF((COUNTIF(End_Of_Year_Yr5_45,"&lt;0")=0),"OK","ERR")</f>
        <v>OK</v>
      </c>
      <c r="H50" s="471" t="str">
        <f>IF((COUNTIF(Deterioration_yr1_45,"&lt;&gt;0")=0),"OK","ERR")</f>
        <v>OK</v>
      </c>
      <c r="I50" s="470" t="str">
        <f>IF((COUNTIF(Deterioration_yr2_45,"&lt;&gt;0")=0),"OK","ERR")</f>
        <v>OK</v>
      </c>
      <c r="J50" s="470" t="str">
        <f>IF((COUNTIF(Deterioration_yr3_45,"&lt;&gt;0")=0),"OK","ERR")</f>
        <v>OK</v>
      </c>
      <c r="K50" s="470" t="str">
        <f>IF((COUNTIF(Deterioration_yr4_45,"&lt;&gt;0")=0),"OK","ERR")</f>
        <v>OK</v>
      </c>
      <c r="L50" s="469" t="str">
        <f>IF((COUNTIF(Deterioration_yr5_45,"&lt;&gt;0")=0),"OK","ERR")</f>
        <v>OK</v>
      </c>
      <c r="M50" s="471" t="str" cm="1">
        <f t="array" ref="M50">IF(AND(INDEX('NARM5 – ED2 actuals'!$Y:$Y,MATCH($B50,'NARM5 – ED2 actuals'!$C:$C,0)+5)=0,INDEX('NARM5 – ED2 actuals'!$CX:$CX,MATCH($B50,'NARM5 – ED2 actuals'!$C:$C,0)+5)=0,INDEX('NARM5 – ED2 actuals'!$AT:$AT,MATCH($B50,'NARM5 – ED2 actuals'!$C:$C,0)+5)=0)=TRUE,"OK","ERR")</f>
        <v>OK</v>
      </c>
      <c r="N50" s="470" t="str" cm="1">
        <f t="array" ref="N50">IF(AND(INDEX('NARM5 – ED2 actuals'!$Y:$Y,MATCH($B50,'NARM5 – ED2 actuals'!$C:$C,0)+5)=0,INDEX('NARM5 – ED2 actuals'!$CX:$CX,MATCH($B50,'NARM5 – ED2 actuals'!$C:$C,0)+5)=0,INDEX('NARM5 – ED2 actuals'!$AT:$AT,MATCH($B50,'NARM5 – ED2 actuals'!$C:$C,0)+5)=0)=TRUE,"OK","ERR")</f>
        <v>OK</v>
      </c>
      <c r="O50" s="470" t="str" cm="1">
        <f t="array" ref="O50">IF(AND(INDEX('NARM5 – ED2 actuals'!$Y:$Y,MATCH($B50,'NARM5 – ED2 actuals'!$C:$C,0)+5)=0,INDEX('NARM5 – ED2 actuals'!$CX:$CX,MATCH($B50,'NARM5 – ED2 actuals'!$C:$C,0)+5)=0,INDEX('NARM5 – ED2 actuals'!$AT:$AT,MATCH($B50,'NARM5 – ED2 actuals'!$C:$C,0)+5)=0)=TRUE,"OK","ERR")</f>
        <v>OK</v>
      </c>
      <c r="P50" s="470" t="str" cm="1">
        <f t="array" ref="P50">IF(AND(INDEX('NARM5 – ED2 actuals'!$Y:$Y,MATCH($B50,'NARM5 – ED2 actuals'!$C:$C,0)+5)=0,INDEX('NARM5 – ED2 actuals'!$CX:$CX,MATCH($B50,'NARM5 – ED2 actuals'!$C:$C,0)+5)=0,INDEX('NARM5 – ED2 actuals'!$AT:$AT,MATCH($B50,'NARM5 – ED2 actuals'!$C:$C,0)+5)=0)=TRUE,"OK","ERR")</f>
        <v>OK</v>
      </c>
      <c r="Q50" s="469" t="str" cm="1">
        <f t="array" ref="Q50">IF(AND(INDEX('NARM5 – ED2 actuals'!$Y:$Y,MATCH($B50,'NARM5 – ED2 actuals'!$C:$C,0)+5)=0,INDEX('NARM5 – ED2 actuals'!$CX:$CX,MATCH($B50,'NARM5 – ED2 actuals'!$C:$C,0)+5)=0,INDEX('NARM5 – ED2 actuals'!$AT:$AT,MATCH($B50,'NARM5 – ED2 actuals'!$C:$C,0)+5)=0)=TRUE,"OK","ERR")</f>
        <v>OK</v>
      </c>
      <c r="R50" s="471" t="str">
        <f>IF((SUM(AssetReplacement_CurrentYear_yr1_45)=SUM(AssetReplacement_FutureYear_yr1_45))=TRUE,"OK","ERR")</f>
        <v>OK</v>
      </c>
      <c r="S50" s="470" t="str">
        <f>IF((SUM(AssetReplacement_CurrentYear_yr2_45)=SUM(AssetReplacement_FutureYear_yr2_45))=TRUE,"OK","ERR")</f>
        <v>OK</v>
      </c>
      <c r="T50" s="470" t="str">
        <f>IF((SUM(AssetReplacement_CurrentYear_yr3_45)=SUM(AssetReplacement_FutureYear_yr3_45))=TRUE,"OK","ERR")</f>
        <v>OK</v>
      </c>
      <c r="U50" s="470" t="str">
        <f>IF((SUM(AssetReplacement_CurrentYear_yr4_45)=SUM(AssetReplacement_FutureYear_yr4_45))=TRUE,"OK","ERR")</f>
        <v>OK</v>
      </c>
      <c r="V50" s="469" t="str">
        <f>IF((SUM(AssetReplacement_CurrentYear_yr5_45)=SUM(AssetReplacement_FutureYear_yr5_45))=TRUE,"OK","ERR")</f>
        <v>OK</v>
      </c>
    </row>
    <row r="51" spans="1:22">
      <c r="A51" s="483">
        <v>46</v>
      </c>
      <c r="B51" s="472" t="s">
        <v>107</v>
      </c>
      <c r="C51" s="471" t="str">
        <f>IF((COUNTIF(End_Of_Year_Yr1_46,"&lt;0")=0),"OK","ERR")</f>
        <v>OK</v>
      </c>
      <c r="D51" s="470" t="str">
        <f>IF((COUNTIF(End_Of_Year_Yr2_46,"&lt;0")=0),"OK","ERR")</f>
        <v>OK</v>
      </c>
      <c r="E51" s="470" t="str">
        <f>IF((COUNTIF(End_Of_Year_Yr3_46,"&lt;0")=0),"OK","ERR")</f>
        <v>OK</v>
      </c>
      <c r="F51" s="470" t="str">
        <f>IF((COUNTIF(End_Of_Year_Yr4_46,"&lt;0")=0),"OK","ERR")</f>
        <v>OK</v>
      </c>
      <c r="G51" s="469" t="str">
        <f>IF((COUNTIF(End_Of_Year_Yr5_46,"&lt;0")=0),"OK","ERR")</f>
        <v>OK</v>
      </c>
      <c r="H51" s="471" t="str">
        <f>IF((COUNTIF(Deterioration_yr1_46,"&lt;&gt;0")=0),"OK","ERR")</f>
        <v>OK</v>
      </c>
      <c r="I51" s="470" t="str">
        <f>IF((COUNTIF(Deterioration_yr2_46,"&lt;&gt;0")=0),"OK","ERR")</f>
        <v>OK</v>
      </c>
      <c r="J51" s="470" t="str">
        <f>IF((COUNTIF(Deterioration_yr3_46,"&lt;&gt;0")=0),"OK","ERR")</f>
        <v>OK</v>
      </c>
      <c r="K51" s="470" t="str">
        <f>IF((COUNTIF(Deterioration_yr4_46,"&lt;&gt;0")=0),"OK","ERR")</f>
        <v>OK</v>
      </c>
      <c r="L51" s="469" t="str">
        <f>IF((COUNTIF(Deterioration_yr5_46,"&lt;&gt;0")=0),"OK","ERR")</f>
        <v>OK</v>
      </c>
      <c r="M51" s="471" t="str" cm="1">
        <f t="array" ref="M51">IF(AND(INDEX('NARM5 – ED2 actuals'!$Y:$Y,MATCH($B51,'NARM5 – ED2 actuals'!$C:$C,0)+5)=0,INDEX('NARM5 – ED2 actuals'!$CX:$CX,MATCH($B51,'NARM5 – ED2 actuals'!$C:$C,0)+5)=0,INDEX('NARM5 – ED2 actuals'!$AT:$AT,MATCH($B51,'NARM5 – ED2 actuals'!$C:$C,0)+5)=0)=TRUE,"OK","ERR")</f>
        <v>OK</v>
      </c>
      <c r="N51" s="470" t="str" cm="1">
        <f t="array" ref="N51">IF(AND(INDEX('NARM5 – ED2 actuals'!$Y:$Y,MATCH($B51,'NARM5 – ED2 actuals'!$C:$C,0)+5)=0,INDEX('NARM5 – ED2 actuals'!$CX:$CX,MATCH($B51,'NARM5 – ED2 actuals'!$C:$C,0)+5)=0,INDEX('NARM5 – ED2 actuals'!$AT:$AT,MATCH($B51,'NARM5 – ED2 actuals'!$C:$C,0)+5)=0)=TRUE,"OK","ERR")</f>
        <v>OK</v>
      </c>
      <c r="O51" s="470" t="str" cm="1">
        <f t="array" ref="O51">IF(AND(INDEX('NARM5 – ED2 actuals'!$Y:$Y,MATCH($B51,'NARM5 – ED2 actuals'!$C:$C,0)+5)=0,INDEX('NARM5 – ED2 actuals'!$CX:$CX,MATCH($B51,'NARM5 – ED2 actuals'!$C:$C,0)+5)=0,INDEX('NARM5 – ED2 actuals'!$AT:$AT,MATCH($B51,'NARM5 – ED2 actuals'!$C:$C,0)+5)=0)=TRUE,"OK","ERR")</f>
        <v>OK</v>
      </c>
      <c r="P51" s="470" t="str" cm="1">
        <f t="array" ref="P51">IF(AND(INDEX('NARM5 – ED2 actuals'!$Y:$Y,MATCH($B51,'NARM5 – ED2 actuals'!$C:$C,0)+5)=0,INDEX('NARM5 – ED2 actuals'!$CX:$CX,MATCH($B51,'NARM5 – ED2 actuals'!$C:$C,0)+5)=0,INDEX('NARM5 – ED2 actuals'!$AT:$AT,MATCH($B51,'NARM5 – ED2 actuals'!$C:$C,0)+5)=0)=TRUE,"OK","ERR")</f>
        <v>OK</v>
      </c>
      <c r="Q51" s="469" t="str" cm="1">
        <f t="array" ref="Q51">IF(AND(INDEX('NARM5 – ED2 actuals'!$Y:$Y,MATCH($B51,'NARM5 – ED2 actuals'!$C:$C,0)+5)=0,INDEX('NARM5 – ED2 actuals'!$CX:$CX,MATCH($B51,'NARM5 – ED2 actuals'!$C:$C,0)+5)=0,INDEX('NARM5 – ED2 actuals'!$AT:$AT,MATCH($B51,'NARM5 – ED2 actuals'!$C:$C,0)+5)=0)=TRUE,"OK","ERR")</f>
        <v>OK</v>
      </c>
      <c r="R51" s="471" t="str">
        <f>IF((SUM(AssetReplacement_CurrentYear_yr1_46)=SUM(AssetReplacement_FutureYear_yr1_46))=TRUE,"OK","ERR")</f>
        <v>OK</v>
      </c>
      <c r="S51" s="470" t="str">
        <f>IF((SUM(AssetReplacement_CurrentYear_yr2_46)=SUM(AssetReplacement_FutureYear_yr2_46))=TRUE,"OK","ERR")</f>
        <v>OK</v>
      </c>
      <c r="T51" s="470" t="str">
        <f>IF((SUM(AssetReplacement_CurrentYear_yr3_46)=SUM(AssetReplacement_FutureYear_yr3_46))=TRUE,"OK","ERR")</f>
        <v>OK</v>
      </c>
      <c r="U51" s="470" t="str">
        <f>IF((SUM(AssetReplacement_CurrentYear_yr4_46)=SUM(AssetReplacement_FutureYear_yr4_46))=TRUE,"OK","ERR")</f>
        <v>OK</v>
      </c>
      <c r="V51" s="469" t="str">
        <f>IF((SUM(AssetReplacement_CurrentYear_yr5_46)=SUM(AssetReplacement_FutureYear_yr5_46))=TRUE,"OK","ERR")</f>
        <v>OK</v>
      </c>
    </row>
    <row r="52" spans="1:22">
      <c r="A52" s="483">
        <v>47</v>
      </c>
      <c r="B52" s="472" t="s">
        <v>108</v>
      </c>
      <c r="C52" s="471" t="str">
        <f>IF((COUNTIF(End_Of_Year_Yr1_47,"&lt;0")=0),"OK","ERR")</f>
        <v>OK</v>
      </c>
      <c r="D52" s="470" t="str">
        <f>IF((COUNTIF(End_Of_Year_Yr2_47,"&lt;0")=0),"OK","ERR")</f>
        <v>OK</v>
      </c>
      <c r="E52" s="470" t="str">
        <f>IF((COUNTIF(End_Of_Year_Yr3_47,"&lt;0")=0),"OK","ERR")</f>
        <v>OK</v>
      </c>
      <c r="F52" s="470" t="str">
        <f>IF((COUNTIF(End_Of_Year_Yr4_47,"&lt;0")=0),"OK","ERR")</f>
        <v>OK</v>
      </c>
      <c r="G52" s="469" t="str">
        <f>IF((COUNTIF(End_Of_Year_Yr5_47,"&lt;0")=0),"OK","ERR")</f>
        <v>OK</v>
      </c>
      <c r="H52" s="471" t="str">
        <f>IF((COUNTIF(Deterioration_yr1_47,"&lt;&gt;0")=0),"OK","ERR")</f>
        <v>OK</v>
      </c>
      <c r="I52" s="470" t="str">
        <f>IF((COUNTIF(Deterioration_yr2_47,"&lt;&gt;0")=0),"OK","ERR")</f>
        <v>OK</v>
      </c>
      <c r="J52" s="470" t="str">
        <f>IF((COUNTIF(Deterioration_yr3_47,"&lt;&gt;0")=0),"OK","ERR")</f>
        <v>OK</v>
      </c>
      <c r="K52" s="470" t="str">
        <f>IF((COUNTIF(Deterioration_yr4_47,"&lt;&gt;0")=0),"OK","ERR")</f>
        <v>OK</v>
      </c>
      <c r="L52" s="469" t="str">
        <f>IF((COUNTIF(Deterioration_yr5_47,"&lt;&gt;0")=0),"OK","ERR")</f>
        <v>OK</v>
      </c>
      <c r="M52" s="471" t="str" cm="1">
        <f t="array" ref="M52">IF(AND(INDEX('NARM5 – ED2 actuals'!$Y:$Y,MATCH($B52,'NARM5 – ED2 actuals'!$C:$C,0)+5)=0,INDEX('NARM5 – ED2 actuals'!$CX:$CX,MATCH($B52,'NARM5 – ED2 actuals'!$C:$C,0)+5)=0,INDEX('NARM5 – ED2 actuals'!$AT:$AT,MATCH($B52,'NARM5 – ED2 actuals'!$C:$C,0)+5)=0)=TRUE,"OK","ERR")</f>
        <v>OK</v>
      </c>
      <c r="N52" s="470" t="str" cm="1">
        <f t="array" ref="N52">IF(AND(INDEX('NARM5 – ED2 actuals'!$Y:$Y,MATCH($B52,'NARM5 – ED2 actuals'!$C:$C,0)+5)=0,INDEX('NARM5 – ED2 actuals'!$CX:$CX,MATCH($B52,'NARM5 – ED2 actuals'!$C:$C,0)+5)=0,INDEX('NARM5 – ED2 actuals'!$AT:$AT,MATCH($B52,'NARM5 – ED2 actuals'!$C:$C,0)+5)=0)=TRUE,"OK","ERR")</f>
        <v>OK</v>
      </c>
      <c r="O52" s="470" t="str" cm="1">
        <f t="array" ref="O52">IF(AND(INDEX('NARM5 – ED2 actuals'!$Y:$Y,MATCH($B52,'NARM5 – ED2 actuals'!$C:$C,0)+5)=0,INDEX('NARM5 – ED2 actuals'!$CX:$CX,MATCH($B52,'NARM5 – ED2 actuals'!$C:$C,0)+5)=0,INDEX('NARM5 – ED2 actuals'!$AT:$AT,MATCH($B52,'NARM5 – ED2 actuals'!$C:$C,0)+5)=0)=TRUE,"OK","ERR")</f>
        <v>OK</v>
      </c>
      <c r="P52" s="470" t="str" cm="1">
        <f t="array" ref="P52">IF(AND(INDEX('NARM5 – ED2 actuals'!$Y:$Y,MATCH($B52,'NARM5 – ED2 actuals'!$C:$C,0)+5)=0,INDEX('NARM5 – ED2 actuals'!$CX:$CX,MATCH($B52,'NARM5 – ED2 actuals'!$C:$C,0)+5)=0,INDEX('NARM5 – ED2 actuals'!$AT:$AT,MATCH($B52,'NARM5 – ED2 actuals'!$C:$C,0)+5)=0)=TRUE,"OK","ERR")</f>
        <v>OK</v>
      </c>
      <c r="Q52" s="469" t="str" cm="1">
        <f t="array" ref="Q52">IF(AND(INDEX('NARM5 – ED2 actuals'!$Y:$Y,MATCH($B52,'NARM5 – ED2 actuals'!$C:$C,0)+5)=0,INDEX('NARM5 – ED2 actuals'!$CX:$CX,MATCH($B52,'NARM5 – ED2 actuals'!$C:$C,0)+5)=0,INDEX('NARM5 – ED2 actuals'!$AT:$AT,MATCH($B52,'NARM5 – ED2 actuals'!$C:$C,0)+5)=0)=TRUE,"OK","ERR")</f>
        <v>OK</v>
      </c>
      <c r="R52" s="471" t="str">
        <f>IF((SUM(AssetReplacement_CurrentYear_yr1_47)=SUM(AssetReplacement_FutureYear_yr1_47))=TRUE,"OK","ERR")</f>
        <v>OK</v>
      </c>
      <c r="S52" s="470" t="str">
        <f>IF((SUM(AssetReplacement_CurrentYear_yr2_47)=SUM(AssetReplacement_FutureYear_yr2_47))=TRUE,"OK","ERR")</f>
        <v>OK</v>
      </c>
      <c r="T52" s="470" t="str">
        <f>IF((SUM(AssetReplacement_CurrentYear_yr3_47)=SUM(AssetReplacement_FutureYear_yr3_47))=TRUE,"OK","ERR")</f>
        <v>OK</v>
      </c>
      <c r="U52" s="470" t="str">
        <f>IF((SUM(AssetReplacement_CurrentYear_yr4_47)=SUM(AssetReplacement_FutureYear_yr4_47))=TRUE,"OK","ERR")</f>
        <v>OK</v>
      </c>
      <c r="V52" s="469" t="str">
        <f>IF((SUM(AssetReplacement_CurrentYear_yr5_47)=SUM(AssetReplacement_FutureYear_yr5_47))=TRUE,"OK","ERR")</f>
        <v>OK</v>
      </c>
    </row>
    <row r="53" spans="1:22">
      <c r="A53" s="483">
        <v>48</v>
      </c>
      <c r="B53" s="472" t="s">
        <v>177</v>
      </c>
      <c r="C53" s="471" t="str">
        <f>IF((COUNTIF(End_Of_Year_Yr1_48,"&lt;0")=0),"OK","ERR")</f>
        <v>OK</v>
      </c>
      <c r="D53" s="470" t="str">
        <f>IF((COUNTIF(End_Of_Year_Yr2_48,"&lt;0")=0),"OK","ERR")</f>
        <v>OK</v>
      </c>
      <c r="E53" s="470" t="str">
        <f>IF((COUNTIF(End_Of_Year_Yr3_48,"&lt;0")=0),"OK","ERR")</f>
        <v>OK</v>
      </c>
      <c r="F53" s="470" t="str">
        <f>IF((COUNTIF(End_Of_Year_Yr4_48,"&lt;0")=0),"OK","ERR")</f>
        <v>OK</v>
      </c>
      <c r="G53" s="469" t="str">
        <f>IF((COUNTIF(End_Of_Year_Yr5_48,"&lt;0")=0),"OK","ERR")</f>
        <v>OK</v>
      </c>
      <c r="H53" s="471" t="str">
        <f>IF((COUNTIF(Deterioration_yr1_48,"&lt;&gt;0")=0),"OK","ERR")</f>
        <v>OK</v>
      </c>
      <c r="I53" s="470" t="str">
        <f>IF((COUNTIF(Deterioration_yr2_48,"&lt;&gt;0")=0),"OK","ERR")</f>
        <v>OK</v>
      </c>
      <c r="J53" s="470" t="str">
        <f>IF((COUNTIF(Deterioration_yr3_48,"&lt;&gt;0")=0),"OK","ERR")</f>
        <v>OK</v>
      </c>
      <c r="K53" s="470" t="str">
        <f>IF((COUNTIF(Deterioration_yr4_48,"&lt;&gt;0")=0),"OK","ERR")</f>
        <v>OK</v>
      </c>
      <c r="L53" s="469" t="str">
        <f>IF((COUNTIF(Deterioration_yr5_48,"&lt;&gt;0")=0),"OK","ERR")</f>
        <v>OK</v>
      </c>
      <c r="M53" s="471" t="str" cm="1">
        <f t="array" ref="M53">IF(AND(INDEX('NARM5 – ED2 actuals'!$Y:$Y,MATCH($B53,'NARM5 – ED2 actuals'!$C:$C,0)+5)=0,INDEX('NARM5 – ED2 actuals'!$CX:$CX,MATCH($B53,'NARM5 – ED2 actuals'!$C:$C,0)+5)=0,INDEX('NARM5 – ED2 actuals'!$AT:$AT,MATCH($B53,'NARM5 – ED2 actuals'!$C:$C,0)+5)=0)=TRUE,"OK","ERR")</f>
        <v>OK</v>
      </c>
      <c r="N53" s="470" t="str" cm="1">
        <f t="array" ref="N53">IF(AND(INDEX('NARM5 – ED2 actuals'!$Y:$Y,MATCH($B53,'NARM5 – ED2 actuals'!$C:$C,0)+5)=0,INDEX('NARM5 – ED2 actuals'!$CX:$CX,MATCH($B53,'NARM5 – ED2 actuals'!$C:$C,0)+5)=0,INDEX('NARM5 – ED2 actuals'!$AT:$AT,MATCH($B53,'NARM5 – ED2 actuals'!$C:$C,0)+5)=0)=TRUE,"OK","ERR")</f>
        <v>OK</v>
      </c>
      <c r="O53" s="470" t="str" cm="1">
        <f t="array" ref="O53">IF(AND(INDEX('NARM5 – ED2 actuals'!$Y:$Y,MATCH($B53,'NARM5 – ED2 actuals'!$C:$C,0)+5)=0,INDEX('NARM5 – ED2 actuals'!$CX:$CX,MATCH($B53,'NARM5 – ED2 actuals'!$C:$C,0)+5)=0,INDEX('NARM5 – ED2 actuals'!$AT:$AT,MATCH($B53,'NARM5 – ED2 actuals'!$C:$C,0)+5)=0)=TRUE,"OK","ERR")</f>
        <v>OK</v>
      </c>
      <c r="P53" s="470" t="str" cm="1">
        <f t="array" ref="P53">IF(AND(INDEX('NARM5 – ED2 actuals'!$Y:$Y,MATCH($B53,'NARM5 – ED2 actuals'!$C:$C,0)+5)=0,INDEX('NARM5 – ED2 actuals'!$CX:$CX,MATCH($B53,'NARM5 – ED2 actuals'!$C:$C,0)+5)=0,INDEX('NARM5 – ED2 actuals'!$AT:$AT,MATCH($B53,'NARM5 – ED2 actuals'!$C:$C,0)+5)=0)=TRUE,"OK","ERR")</f>
        <v>OK</v>
      </c>
      <c r="Q53" s="469" t="str" cm="1">
        <f t="array" ref="Q53">IF(AND(INDEX('NARM5 – ED2 actuals'!$Y:$Y,MATCH($B53,'NARM5 – ED2 actuals'!$C:$C,0)+5)=0,INDEX('NARM5 – ED2 actuals'!$CX:$CX,MATCH($B53,'NARM5 – ED2 actuals'!$C:$C,0)+5)=0,INDEX('NARM5 – ED2 actuals'!$AT:$AT,MATCH($B53,'NARM5 – ED2 actuals'!$C:$C,0)+5)=0)=TRUE,"OK","ERR")</f>
        <v>OK</v>
      </c>
      <c r="R53" s="471" t="str">
        <f>IF((SUM(AssetReplacement_CurrentYear_yr1_48)=SUM(AssetReplacement_FutureYear_yr1_48))=TRUE,"OK","ERR")</f>
        <v>OK</v>
      </c>
      <c r="S53" s="470" t="str">
        <f>IF((SUM(AssetReplacement_CurrentYear_yr2_48)=SUM(AssetReplacement_FutureYear_yr2_48))=TRUE,"OK","ERR")</f>
        <v>OK</v>
      </c>
      <c r="T53" s="470" t="str">
        <f>IF((SUM(AssetReplacement_CurrentYear_yr3_48)=SUM(AssetReplacement_FutureYear_yr3_48))=TRUE,"OK","ERR")</f>
        <v>OK</v>
      </c>
      <c r="U53" s="470" t="str">
        <f>IF((SUM(AssetReplacement_CurrentYear_yr4_48)=SUM(AssetReplacement_FutureYear_yr4_48))=TRUE,"OK","ERR")</f>
        <v>OK</v>
      </c>
      <c r="V53" s="469" t="str">
        <f>IF((SUM(AssetReplacement_CurrentYear_yr5_48)=SUM(AssetReplacement_FutureYear_yr5_48))=TRUE,"OK","ERR")</f>
        <v>OK</v>
      </c>
    </row>
    <row r="54" spans="1:22">
      <c r="A54" s="483">
        <v>49</v>
      </c>
      <c r="B54" s="472" t="s">
        <v>178</v>
      </c>
      <c r="C54" s="471" t="str">
        <f>IF((COUNTIF(End_Of_Year_Yr1_49,"&lt;0")=0),"OK","ERR")</f>
        <v>OK</v>
      </c>
      <c r="D54" s="470" t="str">
        <f>IF((COUNTIF(End_Of_Year_Yr2_49,"&lt;0")=0),"OK","ERR")</f>
        <v>OK</v>
      </c>
      <c r="E54" s="470" t="str">
        <f>IF((COUNTIF(End_Of_Year_Yr3_49,"&lt;0")=0),"OK","ERR")</f>
        <v>OK</v>
      </c>
      <c r="F54" s="470" t="str">
        <f>IF((COUNTIF(End_Of_Year_Yr4_49,"&lt;0")=0),"OK","ERR")</f>
        <v>OK</v>
      </c>
      <c r="G54" s="469" t="str">
        <f>IF((COUNTIF(End_Of_Year_Yr5_49,"&lt;0")=0),"OK","ERR")</f>
        <v>OK</v>
      </c>
      <c r="H54" s="471" t="str">
        <f>IF((COUNTIF(Deterioration_yr1_49,"&lt;&gt;0")=0),"OK","ERR")</f>
        <v>OK</v>
      </c>
      <c r="I54" s="470" t="str">
        <f>IF((COUNTIF(Deterioration_yr2_49,"&lt;&gt;0")=0),"OK","ERR")</f>
        <v>OK</v>
      </c>
      <c r="J54" s="470" t="str">
        <f>IF((COUNTIF(Deterioration_yr3_49,"&lt;&gt;0")=0),"OK","ERR")</f>
        <v>OK</v>
      </c>
      <c r="K54" s="470" t="str">
        <f>IF((COUNTIF(Deterioration_yr4_49,"&lt;&gt;0")=0),"OK","ERR")</f>
        <v>OK</v>
      </c>
      <c r="L54" s="469" t="str">
        <f>IF((COUNTIF(Deterioration_yr5_49,"&lt;&gt;0")=0),"OK","ERR")</f>
        <v>OK</v>
      </c>
      <c r="M54" s="471" t="str" cm="1">
        <f t="array" ref="M54">IF(AND(INDEX('NARM5 – ED2 actuals'!$Y:$Y,MATCH($B54,'NARM5 – ED2 actuals'!$C:$C,0)+5)=0,INDEX('NARM5 – ED2 actuals'!$CX:$CX,MATCH($B54,'NARM5 – ED2 actuals'!$C:$C,0)+5)=0,INDEX('NARM5 – ED2 actuals'!$AT:$AT,MATCH($B54,'NARM5 – ED2 actuals'!$C:$C,0)+5)=0)=TRUE,"OK","ERR")</f>
        <v>OK</v>
      </c>
      <c r="N54" s="470" t="str" cm="1">
        <f t="array" ref="N54">IF(AND(INDEX('NARM5 – ED2 actuals'!$Y:$Y,MATCH($B54,'NARM5 – ED2 actuals'!$C:$C,0)+5)=0,INDEX('NARM5 – ED2 actuals'!$CX:$CX,MATCH($B54,'NARM5 – ED2 actuals'!$C:$C,0)+5)=0,INDEX('NARM5 – ED2 actuals'!$AT:$AT,MATCH($B54,'NARM5 – ED2 actuals'!$C:$C,0)+5)=0)=TRUE,"OK","ERR")</f>
        <v>OK</v>
      </c>
      <c r="O54" s="470" t="str" cm="1">
        <f t="array" ref="O54">IF(AND(INDEX('NARM5 – ED2 actuals'!$Y:$Y,MATCH($B54,'NARM5 – ED2 actuals'!$C:$C,0)+5)=0,INDEX('NARM5 – ED2 actuals'!$CX:$CX,MATCH($B54,'NARM5 – ED2 actuals'!$C:$C,0)+5)=0,INDEX('NARM5 – ED2 actuals'!$AT:$AT,MATCH($B54,'NARM5 – ED2 actuals'!$C:$C,0)+5)=0)=TRUE,"OK","ERR")</f>
        <v>OK</v>
      </c>
      <c r="P54" s="470" t="str" cm="1">
        <f t="array" ref="P54">IF(AND(INDEX('NARM5 – ED2 actuals'!$Y:$Y,MATCH($B54,'NARM5 – ED2 actuals'!$C:$C,0)+5)=0,INDEX('NARM5 – ED2 actuals'!$CX:$CX,MATCH($B54,'NARM5 – ED2 actuals'!$C:$C,0)+5)=0,INDEX('NARM5 – ED2 actuals'!$AT:$AT,MATCH($B54,'NARM5 – ED2 actuals'!$C:$C,0)+5)=0)=TRUE,"OK","ERR")</f>
        <v>OK</v>
      </c>
      <c r="Q54" s="469" t="str" cm="1">
        <f t="array" ref="Q54">IF(AND(INDEX('NARM5 – ED2 actuals'!$Y:$Y,MATCH($B54,'NARM5 – ED2 actuals'!$C:$C,0)+5)=0,INDEX('NARM5 – ED2 actuals'!$CX:$CX,MATCH($B54,'NARM5 – ED2 actuals'!$C:$C,0)+5)=0,INDEX('NARM5 – ED2 actuals'!$AT:$AT,MATCH($B54,'NARM5 – ED2 actuals'!$C:$C,0)+5)=0)=TRUE,"OK","ERR")</f>
        <v>OK</v>
      </c>
      <c r="R54" s="471" t="str">
        <f>IF((SUM(AssetReplacement_CurrentYear_yr1_49)=SUM(AssetReplacement_FutureYear_yr1_49))=TRUE,"OK","ERR")</f>
        <v>OK</v>
      </c>
      <c r="S54" s="470" t="str">
        <f>IF((SUM(AssetReplacement_CurrentYear_yr2_49)=SUM(AssetReplacement_FutureYear_yr2_49))=TRUE,"OK","ERR")</f>
        <v>OK</v>
      </c>
      <c r="T54" s="470" t="str">
        <f>IF((SUM(AssetReplacement_CurrentYear_yr3_49)=SUM(AssetReplacement_FutureYear_yr3_49))=TRUE,"OK","ERR")</f>
        <v>OK</v>
      </c>
      <c r="U54" s="470" t="str">
        <f>IF((SUM(AssetReplacement_CurrentYear_yr4_49)=SUM(AssetReplacement_FutureYear_yr4_49))=TRUE,"OK","ERR")</f>
        <v>OK</v>
      </c>
      <c r="V54" s="469" t="str">
        <f>IF((SUM(AssetReplacement_CurrentYear_yr5_49)=SUM(AssetReplacement_FutureYear_yr5_49))=TRUE,"OK","ERR")</f>
        <v>OK</v>
      </c>
    </row>
    <row r="55" spans="1:22">
      <c r="A55" s="483">
        <v>50</v>
      </c>
      <c r="B55" s="472" t="s">
        <v>111</v>
      </c>
      <c r="C55" s="471" t="str">
        <f>IF((COUNTIF(End_Of_Year_Yr1_50,"&lt;0")=0),"OK","ERR")</f>
        <v>OK</v>
      </c>
      <c r="D55" s="470" t="str">
        <f>IF((COUNTIF(End_Of_Year_Yr2_50,"&lt;0")=0),"OK","ERR")</f>
        <v>OK</v>
      </c>
      <c r="E55" s="470" t="str">
        <f>IF((COUNTIF(End_Of_Year_Yr3_50,"&lt;0")=0),"OK","ERR")</f>
        <v>OK</v>
      </c>
      <c r="F55" s="470" t="str">
        <f>IF((COUNTIF(End_Of_Year_Yr4_50,"&lt;0")=0),"OK","ERR")</f>
        <v>OK</v>
      </c>
      <c r="G55" s="469" t="str">
        <f>IF((COUNTIF(End_Of_Year_Yr5_50,"&lt;0")=0),"OK","ERR")</f>
        <v>OK</v>
      </c>
      <c r="H55" s="471" t="str">
        <f>IF((COUNTIF(Deterioration_yr1_50,"&lt;&gt;0")=0),"OK","ERR")</f>
        <v>OK</v>
      </c>
      <c r="I55" s="470" t="str">
        <f>IF((COUNTIF(Deterioration_yr2_50,"&lt;&gt;0")=0),"OK","ERR")</f>
        <v>OK</v>
      </c>
      <c r="J55" s="470" t="str">
        <f>IF((COUNTIF(Deterioration_yr3_50,"&lt;&gt;0")=0),"OK","ERR")</f>
        <v>OK</v>
      </c>
      <c r="K55" s="470" t="str">
        <f>IF((COUNTIF(Deterioration_yr4_50,"&lt;&gt;0")=0),"OK","ERR")</f>
        <v>OK</v>
      </c>
      <c r="L55" s="469" t="str">
        <f>IF((COUNTIF(Deterioration_yr5_50,"&lt;&gt;0")=0),"OK","ERR")</f>
        <v>OK</v>
      </c>
      <c r="M55" s="471" t="str" cm="1">
        <f t="array" ref="M55">IF(AND(INDEX('NARM5 – ED2 actuals'!$Y:$Y,MATCH($B55,'NARM5 – ED2 actuals'!$C:$C,0)+5)=0,INDEX('NARM5 – ED2 actuals'!$CX:$CX,MATCH($B55,'NARM5 – ED2 actuals'!$C:$C,0)+5)=0,INDEX('NARM5 – ED2 actuals'!$AT:$AT,MATCH($B55,'NARM5 – ED2 actuals'!$C:$C,0)+5)=0)=TRUE,"OK","ERR")</f>
        <v>OK</v>
      </c>
      <c r="N55" s="470" t="str" cm="1">
        <f t="array" ref="N55">IF(AND(INDEX('NARM5 – ED2 actuals'!$Y:$Y,MATCH($B55,'NARM5 – ED2 actuals'!$C:$C,0)+5)=0,INDEX('NARM5 – ED2 actuals'!$CX:$CX,MATCH($B55,'NARM5 – ED2 actuals'!$C:$C,0)+5)=0,INDEX('NARM5 – ED2 actuals'!$AT:$AT,MATCH($B55,'NARM5 – ED2 actuals'!$C:$C,0)+5)=0)=TRUE,"OK","ERR")</f>
        <v>OK</v>
      </c>
      <c r="O55" s="470" t="str" cm="1">
        <f t="array" ref="O55">IF(AND(INDEX('NARM5 – ED2 actuals'!$Y:$Y,MATCH($B55,'NARM5 – ED2 actuals'!$C:$C,0)+5)=0,INDEX('NARM5 – ED2 actuals'!$CX:$CX,MATCH($B55,'NARM5 – ED2 actuals'!$C:$C,0)+5)=0,INDEX('NARM5 – ED2 actuals'!$AT:$AT,MATCH($B55,'NARM5 – ED2 actuals'!$C:$C,0)+5)=0)=TRUE,"OK","ERR")</f>
        <v>OK</v>
      </c>
      <c r="P55" s="470" t="str" cm="1">
        <f t="array" ref="P55">IF(AND(INDEX('NARM5 – ED2 actuals'!$Y:$Y,MATCH($B55,'NARM5 – ED2 actuals'!$C:$C,0)+5)=0,INDEX('NARM5 – ED2 actuals'!$CX:$CX,MATCH($B55,'NARM5 – ED2 actuals'!$C:$C,0)+5)=0,INDEX('NARM5 – ED2 actuals'!$AT:$AT,MATCH($B55,'NARM5 – ED2 actuals'!$C:$C,0)+5)=0)=TRUE,"OK","ERR")</f>
        <v>OK</v>
      </c>
      <c r="Q55" s="469" t="str" cm="1">
        <f t="array" ref="Q55">IF(AND(INDEX('NARM5 – ED2 actuals'!$Y:$Y,MATCH($B55,'NARM5 – ED2 actuals'!$C:$C,0)+5)=0,INDEX('NARM5 – ED2 actuals'!$CX:$CX,MATCH($B55,'NARM5 – ED2 actuals'!$C:$C,0)+5)=0,INDEX('NARM5 – ED2 actuals'!$AT:$AT,MATCH($B55,'NARM5 – ED2 actuals'!$C:$C,0)+5)=0)=TRUE,"OK","ERR")</f>
        <v>OK</v>
      </c>
      <c r="R55" s="471" t="str">
        <f>IF((SUM(AssetReplacement_CurrentYear_yr1_50)=SUM(AssetReplacement_FutureYear_yr1_50))=TRUE,"OK","ERR")</f>
        <v>OK</v>
      </c>
      <c r="S55" s="470" t="str">
        <f>IF((SUM(AssetReplacement_CurrentYear_yr2_50)=SUM(AssetReplacement_FutureYear_yr2_50))=TRUE,"OK","ERR")</f>
        <v>OK</v>
      </c>
      <c r="T55" s="470" t="str">
        <f>IF((SUM(AssetReplacement_CurrentYear_yr3_50)=SUM(AssetReplacement_FutureYear_yr3_50))=TRUE,"OK","ERR")</f>
        <v>OK</v>
      </c>
      <c r="U55" s="470" t="str">
        <f>IF((SUM(AssetReplacement_CurrentYear_yr4_50)=SUM(AssetReplacement_FutureYear_yr4_50))=TRUE,"OK","ERR")</f>
        <v>OK</v>
      </c>
      <c r="V55" s="469" t="str">
        <f>IF((SUM(AssetReplacement_CurrentYear_yr5_50)=SUM(AssetReplacement_FutureYear_yr5_50))=TRUE,"OK","ERR")</f>
        <v>OK</v>
      </c>
    </row>
    <row r="56" spans="1:22">
      <c r="A56" s="483">
        <v>51</v>
      </c>
      <c r="B56" s="472" t="s">
        <v>112</v>
      </c>
      <c r="C56" s="471" t="str">
        <f>IF((COUNTIF(End_Of_Year_Yr1_51,"&lt;0")=0),"OK","ERR")</f>
        <v>OK</v>
      </c>
      <c r="D56" s="470" t="str">
        <f>IF((COUNTIF(End_Of_Year_Yr2_51,"&lt;0")=0),"OK","ERR")</f>
        <v>OK</v>
      </c>
      <c r="E56" s="470" t="str">
        <f>IF((COUNTIF(End_Of_Year_Yr3_51,"&lt;0")=0),"OK","ERR")</f>
        <v>OK</v>
      </c>
      <c r="F56" s="470" t="str">
        <f>IF((COUNTIF(End_Of_Year_Yr4_51,"&lt;0")=0),"OK","ERR")</f>
        <v>OK</v>
      </c>
      <c r="G56" s="469" t="str">
        <f>IF((COUNTIF(End_Of_Year_Yr5_51,"&lt;0")=0),"OK","ERR")</f>
        <v>OK</v>
      </c>
      <c r="H56" s="471" t="str">
        <f>IF((COUNTIF(Deterioration_yr1_51,"&lt;&gt;0")=0),"OK","ERR")</f>
        <v>OK</v>
      </c>
      <c r="I56" s="470" t="str">
        <f>IF((COUNTIF(Deterioration_yr2_51,"&lt;&gt;0")=0),"OK","ERR")</f>
        <v>OK</v>
      </c>
      <c r="J56" s="470" t="str">
        <f>IF((COUNTIF(Deterioration_yr3_51,"&lt;&gt;0")=0),"OK","ERR")</f>
        <v>OK</v>
      </c>
      <c r="K56" s="470" t="str">
        <f>IF((COUNTIF(Deterioration_yr4_51,"&lt;&gt;0")=0),"OK","ERR")</f>
        <v>OK</v>
      </c>
      <c r="L56" s="469" t="str">
        <f>IF((COUNTIF(Deterioration_yr5_51,"&lt;&gt;0")=0),"OK","ERR")</f>
        <v>OK</v>
      </c>
      <c r="M56" s="471" t="str" cm="1">
        <f t="array" ref="M56">IF(AND(INDEX('NARM5 – ED2 actuals'!$Y:$Y,MATCH($B56,'NARM5 – ED2 actuals'!$C:$C,0)+5)=0,INDEX('NARM5 – ED2 actuals'!$CX:$CX,MATCH($B56,'NARM5 – ED2 actuals'!$C:$C,0)+5)=0,INDEX('NARM5 – ED2 actuals'!$AT:$AT,MATCH($B56,'NARM5 – ED2 actuals'!$C:$C,0)+5)=0)=TRUE,"OK","ERR")</f>
        <v>OK</v>
      </c>
      <c r="N56" s="470" t="str" cm="1">
        <f t="array" ref="N56">IF(AND(INDEX('NARM5 – ED2 actuals'!$Y:$Y,MATCH($B56,'NARM5 – ED2 actuals'!$C:$C,0)+5)=0,INDEX('NARM5 – ED2 actuals'!$CX:$CX,MATCH($B56,'NARM5 – ED2 actuals'!$C:$C,0)+5)=0,INDEX('NARM5 – ED2 actuals'!$AT:$AT,MATCH($B56,'NARM5 – ED2 actuals'!$C:$C,0)+5)=0)=TRUE,"OK","ERR")</f>
        <v>OK</v>
      </c>
      <c r="O56" s="470" t="str" cm="1">
        <f t="array" ref="O56">IF(AND(INDEX('NARM5 – ED2 actuals'!$Y:$Y,MATCH($B56,'NARM5 – ED2 actuals'!$C:$C,0)+5)=0,INDEX('NARM5 – ED2 actuals'!$CX:$CX,MATCH($B56,'NARM5 – ED2 actuals'!$C:$C,0)+5)=0,INDEX('NARM5 – ED2 actuals'!$AT:$AT,MATCH($B56,'NARM5 – ED2 actuals'!$C:$C,0)+5)=0)=TRUE,"OK","ERR")</f>
        <v>OK</v>
      </c>
      <c r="P56" s="470" t="str" cm="1">
        <f t="array" ref="P56">IF(AND(INDEX('NARM5 – ED2 actuals'!$Y:$Y,MATCH($B56,'NARM5 – ED2 actuals'!$C:$C,0)+5)=0,INDEX('NARM5 – ED2 actuals'!$CX:$CX,MATCH($B56,'NARM5 – ED2 actuals'!$C:$C,0)+5)=0,INDEX('NARM5 – ED2 actuals'!$AT:$AT,MATCH($B56,'NARM5 – ED2 actuals'!$C:$C,0)+5)=0)=TRUE,"OK","ERR")</f>
        <v>OK</v>
      </c>
      <c r="Q56" s="469" t="str" cm="1">
        <f t="array" ref="Q56">IF(AND(INDEX('NARM5 – ED2 actuals'!$Y:$Y,MATCH($B56,'NARM5 – ED2 actuals'!$C:$C,0)+5)=0,INDEX('NARM5 – ED2 actuals'!$CX:$CX,MATCH($B56,'NARM5 – ED2 actuals'!$C:$C,0)+5)=0,INDEX('NARM5 – ED2 actuals'!$AT:$AT,MATCH($B56,'NARM5 – ED2 actuals'!$C:$C,0)+5)=0)=TRUE,"OK","ERR")</f>
        <v>OK</v>
      </c>
      <c r="R56" s="471" t="str">
        <f>IF((SUM(AssetReplacement_CurrentYear_yr1_51)=SUM(AssetReplacement_FutureYear_yr1_51))=TRUE,"OK","ERR")</f>
        <v>OK</v>
      </c>
      <c r="S56" s="470" t="str">
        <f>IF((SUM(AssetReplacement_CurrentYear_yr2_51)=SUM(AssetReplacement_FutureYear_yr2_51))=TRUE,"OK","ERR")</f>
        <v>OK</v>
      </c>
      <c r="T56" s="470" t="str">
        <f>IF((SUM(AssetReplacement_CurrentYear_yr3_51)=SUM(AssetReplacement_FutureYear_yr3_51))=TRUE,"OK","ERR")</f>
        <v>OK</v>
      </c>
      <c r="U56" s="470" t="str">
        <f>IF((SUM(AssetReplacement_CurrentYear_yr4_51)=SUM(AssetReplacement_FutureYear_yr4_51))=TRUE,"OK","ERR")</f>
        <v>OK</v>
      </c>
      <c r="V56" s="469" t="str">
        <f>IF((SUM(AssetReplacement_CurrentYear_yr5_51)=SUM(AssetReplacement_FutureYear_yr5_51))=TRUE,"OK","ERR")</f>
        <v>OK</v>
      </c>
    </row>
    <row r="57" spans="1:22">
      <c r="A57" s="483">
        <v>52</v>
      </c>
      <c r="B57" s="472" t="s">
        <v>113</v>
      </c>
      <c r="C57" s="471" t="str">
        <f>IF((COUNTIF(End_Of_Year_Yr1_52,"&lt;0")=0),"OK","ERR")</f>
        <v>OK</v>
      </c>
      <c r="D57" s="470" t="str">
        <f>IF((COUNTIF(End_Of_Year_Yr2_52,"&lt;0")=0),"OK","ERR")</f>
        <v>OK</v>
      </c>
      <c r="E57" s="470" t="str">
        <f>IF((COUNTIF(End_Of_Year_Yr3_52,"&lt;0")=0),"OK","ERR")</f>
        <v>OK</v>
      </c>
      <c r="F57" s="470" t="str">
        <f>IF((COUNTIF(End_Of_Year_Yr4_52,"&lt;0")=0),"OK","ERR")</f>
        <v>OK</v>
      </c>
      <c r="G57" s="469" t="str">
        <f>IF((COUNTIF(End_Of_Year_Yr5_52,"&lt;0")=0),"OK","ERR")</f>
        <v>OK</v>
      </c>
      <c r="H57" s="471" t="str">
        <f>IF((COUNTIF(Deterioration_yr1_52,"&lt;&gt;0")=0),"OK","ERR")</f>
        <v>OK</v>
      </c>
      <c r="I57" s="470" t="str">
        <f>IF((COUNTIF(Deterioration_yr2_52,"&lt;&gt;0")=0),"OK","ERR")</f>
        <v>OK</v>
      </c>
      <c r="J57" s="470" t="str">
        <f>IF((COUNTIF(Deterioration_yr3_52,"&lt;&gt;0")=0),"OK","ERR")</f>
        <v>OK</v>
      </c>
      <c r="K57" s="470" t="str">
        <f>IF((COUNTIF(Deterioration_yr4_52,"&lt;&gt;0")=0),"OK","ERR")</f>
        <v>OK</v>
      </c>
      <c r="L57" s="469" t="str">
        <f>IF((COUNTIF(Deterioration_yr5_52,"&lt;&gt;0")=0),"OK","ERR")</f>
        <v>OK</v>
      </c>
      <c r="M57" s="471" t="str" cm="1">
        <f t="array" ref="M57">IF(AND(INDEX('NARM5 – ED2 actuals'!$Y:$Y,MATCH($B57,'NARM5 – ED2 actuals'!$C:$C,0)+5)=0,INDEX('NARM5 – ED2 actuals'!$CX:$CX,MATCH($B57,'NARM5 – ED2 actuals'!$C:$C,0)+5)=0,INDEX('NARM5 – ED2 actuals'!$AT:$AT,MATCH($B57,'NARM5 – ED2 actuals'!$C:$C,0)+5)=0)=TRUE,"OK","ERR")</f>
        <v>OK</v>
      </c>
      <c r="N57" s="470" t="str" cm="1">
        <f t="array" ref="N57">IF(AND(INDEX('NARM5 – ED2 actuals'!$Y:$Y,MATCH($B57,'NARM5 – ED2 actuals'!$C:$C,0)+5)=0,INDEX('NARM5 – ED2 actuals'!$CX:$CX,MATCH($B57,'NARM5 – ED2 actuals'!$C:$C,0)+5)=0,INDEX('NARM5 – ED2 actuals'!$AT:$AT,MATCH($B57,'NARM5 – ED2 actuals'!$C:$C,0)+5)=0)=TRUE,"OK","ERR")</f>
        <v>OK</v>
      </c>
      <c r="O57" s="470" t="str" cm="1">
        <f t="array" ref="O57">IF(AND(INDEX('NARM5 – ED2 actuals'!$Y:$Y,MATCH($B57,'NARM5 – ED2 actuals'!$C:$C,0)+5)=0,INDEX('NARM5 – ED2 actuals'!$CX:$CX,MATCH($B57,'NARM5 – ED2 actuals'!$C:$C,0)+5)=0,INDEX('NARM5 – ED2 actuals'!$AT:$AT,MATCH($B57,'NARM5 – ED2 actuals'!$C:$C,0)+5)=0)=TRUE,"OK","ERR")</f>
        <v>OK</v>
      </c>
      <c r="P57" s="470" t="str" cm="1">
        <f t="array" ref="P57">IF(AND(INDEX('NARM5 – ED2 actuals'!$Y:$Y,MATCH($B57,'NARM5 – ED2 actuals'!$C:$C,0)+5)=0,INDEX('NARM5 – ED2 actuals'!$CX:$CX,MATCH($B57,'NARM5 – ED2 actuals'!$C:$C,0)+5)=0,INDEX('NARM5 – ED2 actuals'!$AT:$AT,MATCH($B57,'NARM5 – ED2 actuals'!$C:$C,0)+5)=0)=TRUE,"OK","ERR")</f>
        <v>OK</v>
      </c>
      <c r="Q57" s="469" t="str" cm="1">
        <f t="array" ref="Q57">IF(AND(INDEX('NARM5 – ED2 actuals'!$Y:$Y,MATCH($B57,'NARM5 – ED2 actuals'!$C:$C,0)+5)=0,INDEX('NARM5 – ED2 actuals'!$CX:$CX,MATCH($B57,'NARM5 – ED2 actuals'!$C:$C,0)+5)=0,INDEX('NARM5 – ED2 actuals'!$AT:$AT,MATCH($B57,'NARM5 – ED2 actuals'!$C:$C,0)+5)=0)=TRUE,"OK","ERR")</f>
        <v>OK</v>
      </c>
      <c r="R57" s="471" t="str">
        <f>IF((SUM(AssetReplacement_CurrentYear_yr1_52)=SUM(AssetReplacement_FutureYear_yr1_52))=TRUE,"OK","ERR")</f>
        <v>OK</v>
      </c>
      <c r="S57" s="470" t="str">
        <f>IF((SUM(AssetReplacement_CurrentYear_yr2_52)=SUM(AssetReplacement_FutureYear_yr2_52))=TRUE,"OK","ERR")</f>
        <v>OK</v>
      </c>
      <c r="T57" s="470" t="str">
        <f>IF((SUM(AssetReplacement_CurrentYear_yr3_52)=SUM(AssetReplacement_FutureYear_yr3_52))=TRUE,"OK","ERR")</f>
        <v>OK</v>
      </c>
      <c r="U57" s="470" t="str">
        <f>IF((SUM(AssetReplacement_CurrentYear_yr4_52)=SUM(AssetReplacement_FutureYear_yr4_52))=TRUE,"OK","ERR")</f>
        <v>OK</v>
      </c>
      <c r="V57" s="469" t="str">
        <f>IF((SUM(AssetReplacement_CurrentYear_yr5_52)=SUM(AssetReplacement_FutureYear_yr5_52))=TRUE,"OK","ERR")</f>
        <v>OK</v>
      </c>
    </row>
    <row r="58" spans="1:22">
      <c r="A58" s="483">
        <v>53</v>
      </c>
      <c r="B58" s="472" t="s">
        <v>114</v>
      </c>
      <c r="C58" s="471" t="str">
        <f>IF((COUNTIF(End_Of_Year_Yr1_53,"&lt;0")=0),"OK","ERR")</f>
        <v>OK</v>
      </c>
      <c r="D58" s="470" t="str">
        <f>IF((COUNTIF(End_Of_Year_Yr2_53,"&lt;0")=0),"OK","ERR")</f>
        <v>OK</v>
      </c>
      <c r="E58" s="470" t="str">
        <f>IF((COUNTIF(End_Of_Year_Yr3_53,"&lt;0")=0),"OK","ERR")</f>
        <v>OK</v>
      </c>
      <c r="F58" s="470" t="str">
        <f>IF((COUNTIF(End_Of_Year_Yr4_53,"&lt;0")=0),"OK","ERR")</f>
        <v>OK</v>
      </c>
      <c r="G58" s="469" t="str">
        <f>IF((COUNTIF(End_Of_Year_Yr5_53,"&lt;0")=0),"OK","ERR")</f>
        <v>OK</v>
      </c>
      <c r="H58" s="471" t="str">
        <f>IF((COUNTIF(Deterioration_yr1_53,"&lt;&gt;0")=0),"OK","ERR")</f>
        <v>OK</v>
      </c>
      <c r="I58" s="470" t="str">
        <f>IF((COUNTIF(Deterioration_yr2_53,"&lt;&gt;0")=0),"OK","ERR")</f>
        <v>OK</v>
      </c>
      <c r="J58" s="470" t="str">
        <f>IF((COUNTIF(Deterioration_yr3_53,"&lt;&gt;0")=0),"OK","ERR")</f>
        <v>OK</v>
      </c>
      <c r="K58" s="470" t="str">
        <f>IF((COUNTIF(Deterioration_yr4_53,"&lt;&gt;0")=0),"OK","ERR")</f>
        <v>OK</v>
      </c>
      <c r="L58" s="469" t="str">
        <f>IF((COUNTIF(Deterioration_yr5_53,"&lt;&gt;0")=0),"OK","ERR")</f>
        <v>OK</v>
      </c>
      <c r="M58" s="471" t="str" cm="1">
        <f t="array" ref="M58">IF(AND(INDEX('NARM5 – ED2 actuals'!$Y:$Y,MATCH($B58,'NARM5 – ED2 actuals'!$C:$C,0)+5)=0,INDEX('NARM5 – ED2 actuals'!$CX:$CX,MATCH($B58,'NARM5 – ED2 actuals'!$C:$C,0)+5)=0,INDEX('NARM5 – ED2 actuals'!$AT:$AT,MATCH($B58,'NARM5 – ED2 actuals'!$C:$C,0)+5)=0)=TRUE,"OK","ERR")</f>
        <v>OK</v>
      </c>
      <c r="N58" s="470" t="str" cm="1">
        <f t="array" ref="N58">IF(AND(INDEX('NARM5 – ED2 actuals'!$Y:$Y,MATCH($B58,'NARM5 – ED2 actuals'!$C:$C,0)+5)=0,INDEX('NARM5 – ED2 actuals'!$CX:$CX,MATCH($B58,'NARM5 – ED2 actuals'!$C:$C,0)+5)=0,INDEX('NARM5 – ED2 actuals'!$AT:$AT,MATCH($B58,'NARM5 – ED2 actuals'!$C:$C,0)+5)=0)=TRUE,"OK","ERR")</f>
        <v>OK</v>
      </c>
      <c r="O58" s="470" t="str" cm="1">
        <f t="array" ref="O58">IF(AND(INDEX('NARM5 – ED2 actuals'!$Y:$Y,MATCH($B58,'NARM5 – ED2 actuals'!$C:$C,0)+5)=0,INDEX('NARM5 – ED2 actuals'!$CX:$CX,MATCH($B58,'NARM5 – ED2 actuals'!$C:$C,0)+5)=0,INDEX('NARM5 – ED2 actuals'!$AT:$AT,MATCH($B58,'NARM5 – ED2 actuals'!$C:$C,0)+5)=0)=TRUE,"OK","ERR")</f>
        <v>OK</v>
      </c>
      <c r="P58" s="470" t="str" cm="1">
        <f t="array" ref="P58">IF(AND(INDEX('NARM5 – ED2 actuals'!$Y:$Y,MATCH($B58,'NARM5 – ED2 actuals'!$C:$C,0)+5)=0,INDEX('NARM5 – ED2 actuals'!$CX:$CX,MATCH($B58,'NARM5 – ED2 actuals'!$C:$C,0)+5)=0,INDEX('NARM5 – ED2 actuals'!$AT:$AT,MATCH($B58,'NARM5 – ED2 actuals'!$C:$C,0)+5)=0)=TRUE,"OK","ERR")</f>
        <v>OK</v>
      </c>
      <c r="Q58" s="469" t="str" cm="1">
        <f t="array" ref="Q58">IF(AND(INDEX('NARM5 – ED2 actuals'!$Y:$Y,MATCH($B58,'NARM5 – ED2 actuals'!$C:$C,0)+5)=0,INDEX('NARM5 – ED2 actuals'!$CX:$CX,MATCH($B58,'NARM5 – ED2 actuals'!$C:$C,0)+5)=0,INDEX('NARM5 – ED2 actuals'!$AT:$AT,MATCH($B58,'NARM5 – ED2 actuals'!$C:$C,0)+5)=0)=TRUE,"OK","ERR")</f>
        <v>OK</v>
      </c>
      <c r="R58" s="471" t="str">
        <f>IF((SUM(AssetReplacement_CurrentYear_yr1_53)=SUM(AssetReplacement_FutureYear_yr1_53))=TRUE,"OK","ERR")</f>
        <v>OK</v>
      </c>
      <c r="S58" s="470" t="str">
        <f>IF((SUM(AssetReplacement_CurrentYear_yr2_53)=SUM(AssetReplacement_FutureYear_yr2_53))=TRUE,"OK","ERR")</f>
        <v>OK</v>
      </c>
      <c r="T58" s="470" t="str">
        <f>IF((SUM(AssetReplacement_CurrentYear_yr3_53)=SUM(AssetReplacement_FutureYear_yr3_53))=TRUE,"OK","ERR")</f>
        <v>OK</v>
      </c>
      <c r="U58" s="470" t="str">
        <f>IF((SUM(AssetReplacement_CurrentYear_yr4_53)=SUM(AssetReplacement_FutureYear_yr4_53))=TRUE,"OK","ERR")</f>
        <v>OK</v>
      </c>
      <c r="V58" s="469" t="str">
        <f>IF((SUM(AssetReplacement_CurrentYear_yr5_53)=SUM(AssetReplacement_FutureYear_yr5_53))=TRUE,"OK","ERR")</f>
        <v>OK</v>
      </c>
    </row>
    <row r="59" spans="1:22">
      <c r="A59" s="483">
        <v>54</v>
      </c>
      <c r="B59" s="472" t="s">
        <v>115</v>
      </c>
      <c r="C59" s="471" t="str">
        <f>IF((COUNTIF(End_Of_Year_Yr1_54,"&lt;0")=0),"OK","ERR")</f>
        <v>OK</v>
      </c>
      <c r="D59" s="470" t="str">
        <f>IF((COUNTIF(End_Of_Year_Yr2_54,"&lt;0")=0),"OK","ERR")</f>
        <v>OK</v>
      </c>
      <c r="E59" s="470" t="str">
        <f>IF((COUNTIF(End_Of_Year_Yr3_54,"&lt;0")=0),"OK","ERR")</f>
        <v>OK</v>
      </c>
      <c r="F59" s="470" t="str">
        <f>IF((COUNTIF(End_Of_Year_Yr4_54,"&lt;0")=0),"OK","ERR")</f>
        <v>OK</v>
      </c>
      <c r="G59" s="469" t="str">
        <f>IF((COUNTIF(End_Of_Year_Yr5_54,"&lt;0")=0),"OK","ERR")</f>
        <v>OK</v>
      </c>
      <c r="H59" s="471" t="str">
        <f>IF((COUNTIF(Deterioration_yr1_54,"&lt;&gt;0")=0),"OK","ERR")</f>
        <v>OK</v>
      </c>
      <c r="I59" s="470" t="str">
        <f>IF((COUNTIF(Deterioration_yr2_54,"&lt;&gt;0")=0),"OK","ERR")</f>
        <v>OK</v>
      </c>
      <c r="J59" s="470" t="str">
        <f>IF((COUNTIF(Deterioration_yr3_54,"&lt;&gt;0")=0),"OK","ERR")</f>
        <v>OK</v>
      </c>
      <c r="K59" s="470" t="str">
        <f>IF((COUNTIF(Deterioration_yr4_54,"&lt;&gt;0")=0),"OK","ERR")</f>
        <v>OK</v>
      </c>
      <c r="L59" s="469" t="str">
        <f>IF((COUNTIF(Deterioration_yr5_54,"&lt;&gt;0")=0),"OK","ERR")</f>
        <v>OK</v>
      </c>
      <c r="M59" s="471" t="str" cm="1">
        <f t="array" ref="M59">IF(AND(INDEX('NARM5 – ED2 actuals'!$Y:$Y,MATCH($B59,'NARM5 – ED2 actuals'!$C:$C,0)+5)=0,INDEX('NARM5 – ED2 actuals'!$CX:$CX,MATCH($B59,'NARM5 – ED2 actuals'!$C:$C,0)+5)=0,INDEX('NARM5 – ED2 actuals'!$AT:$AT,MATCH($B59,'NARM5 – ED2 actuals'!$C:$C,0)+5)=0)=TRUE,"OK","ERR")</f>
        <v>OK</v>
      </c>
      <c r="N59" s="470" t="str" cm="1">
        <f t="array" ref="N59">IF(AND(INDEX('NARM5 – ED2 actuals'!$Y:$Y,MATCH($B59,'NARM5 – ED2 actuals'!$C:$C,0)+5)=0,INDEX('NARM5 – ED2 actuals'!$CX:$CX,MATCH($B59,'NARM5 – ED2 actuals'!$C:$C,0)+5)=0,INDEX('NARM5 – ED2 actuals'!$AT:$AT,MATCH($B59,'NARM5 – ED2 actuals'!$C:$C,0)+5)=0)=TRUE,"OK","ERR")</f>
        <v>OK</v>
      </c>
      <c r="O59" s="470" t="str" cm="1">
        <f t="array" ref="O59">IF(AND(INDEX('NARM5 – ED2 actuals'!$Y:$Y,MATCH($B59,'NARM5 – ED2 actuals'!$C:$C,0)+5)=0,INDEX('NARM5 – ED2 actuals'!$CX:$CX,MATCH($B59,'NARM5 – ED2 actuals'!$C:$C,0)+5)=0,INDEX('NARM5 – ED2 actuals'!$AT:$AT,MATCH($B59,'NARM5 – ED2 actuals'!$C:$C,0)+5)=0)=TRUE,"OK","ERR")</f>
        <v>OK</v>
      </c>
      <c r="P59" s="470" t="str" cm="1">
        <f t="array" ref="P59">IF(AND(INDEX('NARM5 – ED2 actuals'!$Y:$Y,MATCH($B59,'NARM5 – ED2 actuals'!$C:$C,0)+5)=0,INDEX('NARM5 – ED2 actuals'!$CX:$CX,MATCH($B59,'NARM5 – ED2 actuals'!$C:$C,0)+5)=0,INDEX('NARM5 – ED2 actuals'!$AT:$AT,MATCH($B59,'NARM5 – ED2 actuals'!$C:$C,0)+5)=0)=TRUE,"OK","ERR")</f>
        <v>OK</v>
      </c>
      <c r="Q59" s="469" t="str" cm="1">
        <f t="array" ref="Q59">IF(AND(INDEX('NARM5 – ED2 actuals'!$Y:$Y,MATCH($B59,'NARM5 – ED2 actuals'!$C:$C,0)+5)=0,INDEX('NARM5 – ED2 actuals'!$CX:$CX,MATCH($B59,'NARM5 – ED2 actuals'!$C:$C,0)+5)=0,INDEX('NARM5 – ED2 actuals'!$AT:$AT,MATCH($B59,'NARM5 – ED2 actuals'!$C:$C,0)+5)=0)=TRUE,"OK","ERR")</f>
        <v>OK</v>
      </c>
      <c r="R59" s="471" t="str">
        <f>IF((SUM(AssetReplacement_CurrentYear_yr1_54)=SUM(AssetReplacement_FutureYear_yr1_54))=TRUE,"OK","ERR")</f>
        <v>OK</v>
      </c>
      <c r="S59" s="470" t="str">
        <f>IF((SUM(AssetReplacement_CurrentYear_yr2_54)=SUM(AssetReplacement_FutureYear_yr2_54))=TRUE,"OK","ERR")</f>
        <v>OK</v>
      </c>
      <c r="T59" s="470" t="str">
        <f>IF((SUM(AssetReplacement_CurrentYear_yr3_54)=SUM(AssetReplacement_FutureYear_yr3_54))=TRUE,"OK","ERR")</f>
        <v>OK</v>
      </c>
      <c r="U59" s="470" t="str">
        <f>IF((SUM(AssetReplacement_CurrentYear_yr4_54)=SUM(AssetReplacement_FutureYear_yr4_54))=TRUE,"OK","ERR")</f>
        <v>OK</v>
      </c>
      <c r="V59" s="469" t="str">
        <f>IF((SUM(AssetReplacement_CurrentYear_yr5_54)=SUM(AssetReplacement_FutureYear_yr5_54))=TRUE,"OK","ERR")</f>
        <v>OK</v>
      </c>
    </row>
    <row r="60" spans="1:22">
      <c r="A60" s="483">
        <v>55</v>
      </c>
      <c r="B60" s="472" t="s">
        <v>116</v>
      </c>
      <c r="C60" s="471" t="str">
        <f>IF((COUNTIF(End_Of_Year_Yr1_55,"&lt;0")=0),"OK","ERR")</f>
        <v>OK</v>
      </c>
      <c r="D60" s="470" t="str">
        <f>IF((COUNTIF(End_Of_Year_Yr2_55,"&lt;0")=0),"OK","ERR")</f>
        <v>OK</v>
      </c>
      <c r="E60" s="470" t="str">
        <f>IF((COUNTIF(End_Of_Year_Yr3_55,"&lt;0")=0),"OK","ERR")</f>
        <v>OK</v>
      </c>
      <c r="F60" s="470" t="str">
        <f>IF((COUNTIF(End_Of_Year_Yr4_55,"&lt;0")=0),"OK","ERR")</f>
        <v>OK</v>
      </c>
      <c r="G60" s="469" t="str">
        <f>IF((COUNTIF(End_Of_Year_Yr5_55,"&lt;0")=0),"OK","ERR")</f>
        <v>OK</v>
      </c>
      <c r="H60" s="471" t="str">
        <f>IF((COUNTIF(Deterioration_yr1_55,"&lt;&gt;0")=0),"OK","ERR")</f>
        <v>OK</v>
      </c>
      <c r="I60" s="470" t="str">
        <f>IF((COUNTIF(Deterioration_yr2_55,"&lt;&gt;0")=0),"OK","ERR")</f>
        <v>OK</v>
      </c>
      <c r="J60" s="470" t="str">
        <f>IF((COUNTIF(Deterioration_yr3_55,"&lt;&gt;0")=0),"OK","ERR")</f>
        <v>OK</v>
      </c>
      <c r="K60" s="470" t="str">
        <f>IF((COUNTIF(Deterioration_yr4_55,"&lt;&gt;0")=0),"OK","ERR")</f>
        <v>OK</v>
      </c>
      <c r="L60" s="469" t="str">
        <f>IF((COUNTIF(Deterioration_yr5_55,"&lt;&gt;0")=0),"OK","ERR")</f>
        <v>OK</v>
      </c>
      <c r="M60" s="471" t="str" cm="1">
        <f t="array" ref="M60">IF(AND(INDEX('NARM5 – ED2 actuals'!$Y:$Y,MATCH($B60,'NARM5 – ED2 actuals'!$C:$C,0)+5)=0,INDEX('NARM5 – ED2 actuals'!$CX:$CX,MATCH($B60,'NARM5 – ED2 actuals'!$C:$C,0)+5)=0,INDEX('NARM5 – ED2 actuals'!$AT:$AT,MATCH($B60,'NARM5 – ED2 actuals'!$C:$C,0)+5)=0)=TRUE,"OK","ERR")</f>
        <v>OK</v>
      </c>
      <c r="N60" s="470" t="str" cm="1">
        <f t="array" ref="N60">IF(AND(INDEX('NARM5 – ED2 actuals'!$Y:$Y,MATCH($B60,'NARM5 – ED2 actuals'!$C:$C,0)+5)=0,INDEX('NARM5 – ED2 actuals'!$CX:$CX,MATCH($B60,'NARM5 – ED2 actuals'!$C:$C,0)+5)=0,INDEX('NARM5 – ED2 actuals'!$AT:$AT,MATCH($B60,'NARM5 – ED2 actuals'!$C:$C,0)+5)=0)=TRUE,"OK","ERR")</f>
        <v>OK</v>
      </c>
      <c r="O60" s="470" t="str" cm="1">
        <f t="array" ref="O60">IF(AND(INDEX('NARM5 – ED2 actuals'!$Y:$Y,MATCH($B60,'NARM5 – ED2 actuals'!$C:$C,0)+5)=0,INDEX('NARM5 – ED2 actuals'!$CX:$CX,MATCH($B60,'NARM5 – ED2 actuals'!$C:$C,0)+5)=0,INDEX('NARM5 – ED2 actuals'!$AT:$AT,MATCH($B60,'NARM5 – ED2 actuals'!$C:$C,0)+5)=0)=TRUE,"OK","ERR")</f>
        <v>OK</v>
      </c>
      <c r="P60" s="470" t="str" cm="1">
        <f t="array" ref="P60">IF(AND(INDEX('NARM5 – ED2 actuals'!$Y:$Y,MATCH($B60,'NARM5 – ED2 actuals'!$C:$C,0)+5)=0,INDEX('NARM5 – ED2 actuals'!$CX:$CX,MATCH($B60,'NARM5 – ED2 actuals'!$C:$C,0)+5)=0,INDEX('NARM5 – ED2 actuals'!$AT:$AT,MATCH($B60,'NARM5 – ED2 actuals'!$C:$C,0)+5)=0)=TRUE,"OK","ERR")</f>
        <v>OK</v>
      </c>
      <c r="Q60" s="469" t="str" cm="1">
        <f t="array" ref="Q60">IF(AND(INDEX('NARM5 – ED2 actuals'!$Y:$Y,MATCH($B60,'NARM5 – ED2 actuals'!$C:$C,0)+5)=0,INDEX('NARM5 – ED2 actuals'!$CX:$CX,MATCH($B60,'NARM5 – ED2 actuals'!$C:$C,0)+5)=0,INDEX('NARM5 – ED2 actuals'!$AT:$AT,MATCH($B60,'NARM5 – ED2 actuals'!$C:$C,0)+5)=0)=TRUE,"OK","ERR")</f>
        <v>OK</v>
      </c>
      <c r="R60" s="471" t="str">
        <f>IF((SUM(AssetReplacement_CurrentYear_yr1_55)=SUM(AssetReplacement_FutureYear_yr1_55))=TRUE,"OK","ERR")</f>
        <v>OK</v>
      </c>
      <c r="S60" s="470" t="str">
        <f>IF((SUM(AssetReplacement_CurrentYear_yr2_55)=SUM(AssetReplacement_FutureYear_yr2_55))=TRUE,"OK","ERR")</f>
        <v>OK</v>
      </c>
      <c r="T60" s="470" t="str">
        <f>IF((SUM(AssetReplacement_CurrentYear_yr3_55)=SUM(AssetReplacement_FutureYear_yr3_55))=TRUE,"OK","ERR")</f>
        <v>OK</v>
      </c>
      <c r="U60" s="470" t="str">
        <f>IF((SUM(AssetReplacement_CurrentYear_yr4_55)=SUM(AssetReplacement_FutureYear_yr4_55))=TRUE,"OK","ERR")</f>
        <v>OK</v>
      </c>
      <c r="V60" s="469" t="str">
        <f>IF((SUM(AssetReplacement_CurrentYear_yr5_55)=SUM(AssetReplacement_FutureYear_yr5_55))=TRUE,"OK","ERR")</f>
        <v>OK</v>
      </c>
    </row>
    <row r="61" spans="1:22">
      <c r="A61" s="483">
        <v>56</v>
      </c>
      <c r="B61" s="472" t="s">
        <v>117</v>
      </c>
      <c r="C61" s="471" t="str">
        <f>IF((COUNTIF(End_Of_Year_Yr1_56,"&lt;0")=0),"OK","ERR")</f>
        <v>OK</v>
      </c>
      <c r="D61" s="470" t="str">
        <f>IF((COUNTIF(End_Of_Year_Yr2_56,"&lt;0")=0),"OK","ERR")</f>
        <v>OK</v>
      </c>
      <c r="E61" s="470" t="str">
        <f>IF((COUNTIF(End_Of_Year_Yr3_56,"&lt;0")=0),"OK","ERR")</f>
        <v>OK</v>
      </c>
      <c r="F61" s="470" t="str">
        <f>IF((COUNTIF(End_Of_Year_Yr4_56,"&lt;0")=0),"OK","ERR")</f>
        <v>OK</v>
      </c>
      <c r="G61" s="469" t="str">
        <f>IF((COUNTIF(End_Of_Year_Yr5_56,"&lt;0")=0),"OK","ERR")</f>
        <v>OK</v>
      </c>
      <c r="H61" s="471" t="str">
        <f>IF((COUNTIF(Deterioration_yr1_56,"&lt;&gt;0")=0),"OK","ERR")</f>
        <v>OK</v>
      </c>
      <c r="I61" s="470" t="str">
        <f>IF((COUNTIF(Deterioration_yr2_56,"&lt;&gt;0")=0),"OK","ERR")</f>
        <v>OK</v>
      </c>
      <c r="J61" s="470" t="str">
        <f>IF((COUNTIF(Deterioration_yr3_56,"&lt;&gt;0")=0),"OK","ERR")</f>
        <v>OK</v>
      </c>
      <c r="K61" s="470" t="str">
        <f>IF((COUNTIF(Deterioration_yr4_56,"&lt;&gt;0")=0),"OK","ERR")</f>
        <v>OK</v>
      </c>
      <c r="L61" s="469" t="str">
        <f>IF((COUNTIF(Deterioration_yr5_56,"&lt;&gt;0")=0),"OK","ERR")</f>
        <v>OK</v>
      </c>
      <c r="M61" s="471" t="str" cm="1">
        <f t="array" ref="M61">IF(AND(INDEX('NARM5 – ED2 actuals'!$Y:$Y,MATCH($B61,'NARM5 – ED2 actuals'!$C:$C,0)+5)=0,INDEX('NARM5 – ED2 actuals'!$CX:$CX,MATCH($B61,'NARM5 – ED2 actuals'!$C:$C,0)+5)=0,INDEX('NARM5 – ED2 actuals'!$AT:$AT,MATCH($B61,'NARM5 – ED2 actuals'!$C:$C,0)+5)=0)=TRUE,"OK","ERR")</f>
        <v>OK</v>
      </c>
      <c r="N61" s="470" t="str" cm="1">
        <f t="array" ref="N61">IF(AND(INDEX('NARM5 – ED2 actuals'!$Y:$Y,MATCH($B61,'NARM5 – ED2 actuals'!$C:$C,0)+5)=0,INDEX('NARM5 – ED2 actuals'!$CX:$CX,MATCH($B61,'NARM5 – ED2 actuals'!$C:$C,0)+5)=0,INDEX('NARM5 – ED2 actuals'!$AT:$AT,MATCH($B61,'NARM5 – ED2 actuals'!$C:$C,0)+5)=0)=TRUE,"OK","ERR")</f>
        <v>OK</v>
      </c>
      <c r="O61" s="470" t="str" cm="1">
        <f t="array" ref="O61">IF(AND(INDEX('NARM5 – ED2 actuals'!$Y:$Y,MATCH($B61,'NARM5 – ED2 actuals'!$C:$C,0)+5)=0,INDEX('NARM5 – ED2 actuals'!$CX:$CX,MATCH($B61,'NARM5 – ED2 actuals'!$C:$C,0)+5)=0,INDEX('NARM5 – ED2 actuals'!$AT:$AT,MATCH($B61,'NARM5 – ED2 actuals'!$C:$C,0)+5)=0)=TRUE,"OK","ERR")</f>
        <v>OK</v>
      </c>
      <c r="P61" s="470" t="str" cm="1">
        <f t="array" ref="P61">IF(AND(INDEX('NARM5 – ED2 actuals'!$Y:$Y,MATCH($B61,'NARM5 – ED2 actuals'!$C:$C,0)+5)=0,INDEX('NARM5 – ED2 actuals'!$CX:$CX,MATCH($B61,'NARM5 – ED2 actuals'!$C:$C,0)+5)=0,INDEX('NARM5 – ED2 actuals'!$AT:$AT,MATCH($B61,'NARM5 – ED2 actuals'!$C:$C,0)+5)=0)=TRUE,"OK","ERR")</f>
        <v>OK</v>
      </c>
      <c r="Q61" s="469" t="str" cm="1">
        <f t="array" ref="Q61">IF(AND(INDEX('NARM5 – ED2 actuals'!$Y:$Y,MATCH($B61,'NARM5 – ED2 actuals'!$C:$C,0)+5)=0,INDEX('NARM5 – ED2 actuals'!$CX:$CX,MATCH($B61,'NARM5 – ED2 actuals'!$C:$C,0)+5)=0,INDEX('NARM5 – ED2 actuals'!$AT:$AT,MATCH($B61,'NARM5 – ED2 actuals'!$C:$C,0)+5)=0)=TRUE,"OK","ERR")</f>
        <v>OK</v>
      </c>
      <c r="R61" s="471" t="str">
        <f>IF((SUM(AssetReplacement_CurrentYear_yr1_56)=SUM(AssetReplacement_FutureYear_yr1_56))=TRUE,"OK","ERR")</f>
        <v>OK</v>
      </c>
      <c r="S61" s="470" t="str">
        <f>IF((SUM(AssetReplacement_CurrentYear_yr2_56)=SUM(AssetReplacement_FutureYear_yr2_56))=TRUE,"OK","ERR")</f>
        <v>OK</v>
      </c>
      <c r="T61" s="470" t="str">
        <f>IF((SUM(AssetReplacement_CurrentYear_yr3_56)=SUM(AssetReplacement_FutureYear_yr3_56))=TRUE,"OK","ERR")</f>
        <v>OK</v>
      </c>
      <c r="U61" s="470" t="str">
        <f>IF((SUM(AssetReplacement_CurrentYear_yr4_56)=SUM(AssetReplacement_FutureYear_yr4_56))=TRUE,"OK","ERR")</f>
        <v>OK</v>
      </c>
      <c r="V61" s="469" t="str">
        <f>IF((SUM(AssetReplacement_CurrentYear_yr5_56)=SUM(AssetReplacement_FutureYear_yr5_56))=TRUE,"OK","ERR")</f>
        <v>OK</v>
      </c>
    </row>
    <row r="62" spans="1:22">
      <c r="A62" s="483">
        <v>57</v>
      </c>
      <c r="B62" s="472" t="s">
        <v>118</v>
      </c>
      <c r="C62" s="471" t="str">
        <f>IF((COUNTIF(End_Of_Year_Yr1_57,"&lt;0")=0),"OK","ERR")</f>
        <v>OK</v>
      </c>
      <c r="D62" s="470" t="str">
        <f>IF((COUNTIF(End_Of_Year_Yr2_57,"&lt;0")=0),"OK","ERR")</f>
        <v>OK</v>
      </c>
      <c r="E62" s="470" t="str">
        <f>IF((COUNTIF(End_Of_Year_Yr3_57,"&lt;0")=0),"OK","ERR")</f>
        <v>OK</v>
      </c>
      <c r="F62" s="470" t="str">
        <f>IF((COUNTIF(End_Of_Year_Yr4_57,"&lt;0")=0),"OK","ERR")</f>
        <v>OK</v>
      </c>
      <c r="G62" s="469" t="str">
        <f>IF((COUNTIF(End_Of_Year_Yr5_57,"&lt;0")=0),"OK","ERR")</f>
        <v>OK</v>
      </c>
      <c r="H62" s="471" t="str">
        <f>IF((COUNTIF(Deterioration_yr1_57,"&lt;&gt;0")=0),"OK","ERR")</f>
        <v>OK</v>
      </c>
      <c r="I62" s="470" t="str">
        <f>IF((COUNTIF(Deterioration_yr2_57,"&lt;&gt;0")=0),"OK","ERR")</f>
        <v>OK</v>
      </c>
      <c r="J62" s="470" t="str">
        <f>IF((COUNTIF(Deterioration_yr3_57,"&lt;&gt;0")=0),"OK","ERR")</f>
        <v>OK</v>
      </c>
      <c r="K62" s="470" t="str">
        <f>IF((COUNTIF(Deterioration_yr4_57,"&lt;&gt;0")=0),"OK","ERR")</f>
        <v>OK</v>
      </c>
      <c r="L62" s="469" t="str">
        <f>IF((COUNTIF(Deterioration_yr5_57,"&lt;&gt;0")=0),"OK","ERR")</f>
        <v>OK</v>
      </c>
      <c r="M62" s="471" t="str" cm="1">
        <f t="array" ref="M62">IF(AND(INDEX('NARM5 – ED2 actuals'!$Y:$Y,MATCH($B62,'NARM5 – ED2 actuals'!$C:$C,0)+5)=0,INDEX('NARM5 – ED2 actuals'!$CX:$CX,MATCH($B62,'NARM5 – ED2 actuals'!$C:$C,0)+5)=0,INDEX('NARM5 – ED2 actuals'!$AT:$AT,MATCH($B62,'NARM5 – ED2 actuals'!$C:$C,0)+5)=0)=TRUE,"OK","ERR")</f>
        <v>OK</v>
      </c>
      <c r="N62" s="470" t="str" cm="1">
        <f t="array" ref="N62">IF(AND(INDEX('NARM5 – ED2 actuals'!$Y:$Y,MATCH($B62,'NARM5 – ED2 actuals'!$C:$C,0)+5)=0,INDEX('NARM5 – ED2 actuals'!$CX:$CX,MATCH($B62,'NARM5 – ED2 actuals'!$C:$C,0)+5)=0,INDEX('NARM5 – ED2 actuals'!$AT:$AT,MATCH($B62,'NARM5 – ED2 actuals'!$C:$C,0)+5)=0)=TRUE,"OK","ERR")</f>
        <v>OK</v>
      </c>
      <c r="O62" s="470" t="str" cm="1">
        <f t="array" ref="O62">IF(AND(INDEX('NARM5 – ED2 actuals'!$Y:$Y,MATCH($B62,'NARM5 – ED2 actuals'!$C:$C,0)+5)=0,INDEX('NARM5 – ED2 actuals'!$CX:$CX,MATCH($B62,'NARM5 – ED2 actuals'!$C:$C,0)+5)=0,INDEX('NARM5 – ED2 actuals'!$AT:$AT,MATCH($B62,'NARM5 – ED2 actuals'!$C:$C,0)+5)=0)=TRUE,"OK","ERR")</f>
        <v>OK</v>
      </c>
      <c r="P62" s="470" t="str" cm="1">
        <f t="array" ref="P62">IF(AND(INDEX('NARM5 – ED2 actuals'!$Y:$Y,MATCH($B62,'NARM5 – ED2 actuals'!$C:$C,0)+5)=0,INDEX('NARM5 – ED2 actuals'!$CX:$CX,MATCH($B62,'NARM5 – ED2 actuals'!$C:$C,0)+5)=0,INDEX('NARM5 – ED2 actuals'!$AT:$AT,MATCH($B62,'NARM5 – ED2 actuals'!$C:$C,0)+5)=0)=TRUE,"OK","ERR")</f>
        <v>OK</v>
      </c>
      <c r="Q62" s="469" t="str" cm="1">
        <f t="array" ref="Q62">IF(AND(INDEX('NARM5 – ED2 actuals'!$Y:$Y,MATCH($B62,'NARM5 – ED2 actuals'!$C:$C,0)+5)=0,INDEX('NARM5 – ED2 actuals'!$CX:$CX,MATCH($B62,'NARM5 – ED2 actuals'!$C:$C,0)+5)=0,INDEX('NARM5 – ED2 actuals'!$AT:$AT,MATCH($B62,'NARM5 – ED2 actuals'!$C:$C,0)+5)=0)=TRUE,"OK","ERR")</f>
        <v>OK</v>
      </c>
      <c r="R62" s="471" t="str">
        <f>IF((SUM(AssetReplacement_CurrentYear_yr1_57)=SUM(AssetReplacement_FutureYear_yr1_57))=TRUE,"OK","ERR")</f>
        <v>OK</v>
      </c>
      <c r="S62" s="470" t="str">
        <f>IF((SUM(AssetReplacement_CurrentYear_yr2_57)=SUM(AssetReplacement_FutureYear_yr2_57))=TRUE,"OK","ERR")</f>
        <v>OK</v>
      </c>
      <c r="T62" s="470" t="str">
        <f>IF((SUM(AssetReplacement_CurrentYear_yr3_57)=SUM(AssetReplacement_FutureYear_yr3_57))=TRUE,"OK","ERR")</f>
        <v>OK</v>
      </c>
      <c r="U62" s="470" t="str">
        <f>IF((SUM(AssetReplacement_CurrentYear_yr4_57)=SUM(AssetReplacement_FutureYear_yr4_57))=TRUE,"OK","ERR")</f>
        <v>OK</v>
      </c>
      <c r="V62" s="469" t="str">
        <f>IF((SUM(AssetReplacement_CurrentYear_yr5_57)=SUM(AssetReplacement_FutureYear_yr5_57))=TRUE,"OK","ERR")</f>
        <v>OK</v>
      </c>
    </row>
    <row r="63" spans="1:22">
      <c r="A63" s="483">
        <v>58</v>
      </c>
      <c r="B63" s="472" t="s">
        <v>119</v>
      </c>
      <c r="C63" s="471" t="str">
        <f>IF((COUNTIF(End_Of_Year_Yr1_58,"&lt;0")=0),"OK","ERR")</f>
        <v>OK</v>
      </c>
      <c r="D63" s="470" t="str">
        <f>IF((COUNTIF(End_Of_Year_Yr2_58,"&lt;0")=0),"OK","ERR")</f>
        <v>OK</v>
      </c>
      <c r="E63" s="470" t="str">
        <f>IF((COUNTIF(End_Of_Year_Yr3_58,"&lt;0")=0),"OK","ERR")</f>
        <v>OK</v>
      </c>
      <c r="F63" s="470" t="str">
        <f>IF((COUNTIF(End_Of_Year_Yr4_58,"&lt;0")=0),"OK","ERR")</f>
        <v>OK</v>
      </c>
      <c r="G63" s="469" t="str">
        <f>IF((COUNTIF(End_Of_Year_Yr5_58,"&lt;0")=0),"OK","ERR")</f>
        <v>OK</v>
      </c>
      <c r="H63" s="471" t="str">
        <f>IF((COUNTIF(Deterioration_yr1_58,"&lt;&gt;0")=0),"OK","ERR")</f>
        <v>OK</v>
      </c>
      <c r="I63" s="470" t="str">
        <f>IF((COUNTIF(Deterioration_yr2_58,"&lt;&gt;0")=0),"OK","ERR")</f>
        <v>OK</v>
      </c>
      <c r="J63" s="470" t="str">
        <f>IF((COUNTIF(Deterioration_yr3_58,"&lt;&gt;0")=0),"OK","ERR")</f>
        <v>OK</v>
      </c>
      <c r="K63" s="470" t="str">
        <f>IF((COUNTIF(Deterioration_yr4_58,"&lt;&gt;0")=0),"OK","ERR")</f>
        <v>OK</v>
      </c>
      <c r="L63" s="469" t="str">
        <f>IF((COUNTIF(Deterioration_yr5_58,"&lt;&gt;0")=0),"OK","ERR")</f>
        <v>OK</v>
      </c>
      <c r="M63" s="471" t="str" cm="1">
        <f t="array" ref="M63">IF(AND(INDEX('NARM5 – ED2 actuals'!$Y:$Y,MATCH($B63,'NARM5 – ED2 actuals'!$C:$C,0)+5)=0,INDEX('NARM5 – ED2 actuals'!$CX:$CX,MATCH($B63,'NARM5 – ED2 actuals'!$C:$C,0)+5)=0,INDEX('NARM5 – ED2 actuals'!$AT:$AT,MATCH($B63,'NARM5 – ED2 actuals'!$C:$C,0)+5)=0)=TRUE,"OK","ERR")</f>
        <v>OK</v>
      </c>
      <c r="N63" s="470" t="str" cm="1">
        <f t="array" ref="N63">IF(AND(INDEX('NARM5 – ED2 actuals'!$Y:$Y,MATCH($B63,'NARM5 – ED2 actuals'!$C:$C,0)+5)=0,INDEX('NARM5 – ED2 actuals'!$CX:$CX,MATCH($B63,'NARM5 – ED2 actuals'!$C:$C,0)+5)=0,INDEX('NARM5 – ED2 actuals'!$AT:$AT,MATCH($B63,'NARM5 – ED2 actuals'!$C:$C,0)+5)=0)=TRUE,"OK","ERR")</f>
        <v>OK</v>
      </c>
      <c r="O63" s="470" t="str" cm="1">
        <f t="array" ref="O63">IF(AND(INDEX('NARM5 – ED2 actuals'!$Y:$Y,MATCH($B63,'NARM5 – ED2 actuals'!$C:$C,0)+5)=0,INDEX('NARM5 – ED2 actuals'!$CX:$CX,MATCH($B63,'NARM5 – ED2 actuals'!$C:$C,0)+5)=0,INDEX('NARM5 – ED2 actuals'!$AT:$AT,MATCH($B63,'NARM5 – ED2 actuals'!$C:$C,0)+5)=0)=TRUE,"OK","ERR")</f>
        <v>OK</v>
      </c>
      <c r="P63" s="470" t="str" cm="1">
        <f t="array" ref="P63">IF(AND(INDEX('NARM5 – ED2 actuals'!$Y:$Y,MATCH($B63,'NARM5 – ED2 actuals'!$C:$C,0)+5)=0,INDEX('NARM5 – ED2 actuals'!$CX:$CX,MATCH($B63,'NARM5 – ED2 actuals'!$C:$C,0)+5)=0,INDEX('NARM5 – ED2 actuals'!$AT:$AT,MATCH($B63,'NARM5 – ED2 actuals'!$C:$C,0)+5)=0)=TRUE,"OK","ERR")</f>
        <v>OK</v>
      </c>
      <c r="Q63" s="469" t="str" cm="1">
        <f t="array" ref="Q63">IF(AND(INDEX('NARM5 – ED2 actuals'!$Y:$Y,MATCH($B63,'NARM5 – ED2 actuals'!$C:$C,0)+5)=0,INDEX('NARM5 – ED2 actuals'!$CX:$CX,MATCH($B63,'NARM5 – ED2 actuals'!$C:$C,0)+5)=0,INDEX('NARM5 – ED2 actuals'!$AT:$AT,MATCH($B63,'NARM5 – ED2 actuals'!$C:$C,0)+5)=0)=TRUE,"OK","ERR")</f>
        <v>OK</v>
      </c>
      <c r="R63" s="471" t="str">
        <f>IF((SUM(AssetReplacement_CurrentYear_yr1_58)=SUM(AssetReplacement_FutureYear_yr1_58))=TRUE,"OK","ERR")</f>
        <v>OK</v>
      </c>
      <c r="S63" s="470" t="str">
        <f>IF((SUM(AssetReplacement_CurrentYear_yr2_58)=SUM(AssetReplacement_FutureYear_yr2_58))=TRUE,"OK","ERR")</f>
        <v>OK</v>
      </c>
      <c r="T63" s="470" t="str">
        <f>IF((SUM(AssetReplacement_CurrentYear_yr3_58)=SUM(AssetReplacement_FutureYear_yr3_58))=TRUE,"OK","ERR")</f>
        <v>OK</v>
      </c>
      <c r="U63" s="470" t="str">
        <f>IF((SUM(AssetReplacement_CurrentYear_yr4_58)=SUM(AssetReplacement_FutureYear_yr4_58))=TRUE,"OK","ERR")</f>
        <v>OK</v>
      </c>
      <c r="V63" s="469" t="str">
        <f>IF((SUM(AssetReplacement_CurrentYear_yr5_58)=SUM(AssetReplacement_FutureYear_yr5_58))=TRUE,"OK","ERR")</f>
        <v>OK</v>
      </c>
    </row>
    <row r="64" spans="1:22">
      <c r="A64" s="483">
        <v>59</v>
      </c>
      <c r="B64" s="472" t="s">
        <v>120</v>
      </c>
      <c r="C64" s="471" t="str">
        <f>IF((COUNTIF(End_Of_Year_Yr1_59,"&lt;0")=0),"OK","ERR")</f>
        <v>OK</v>
      </c>
      <c r="D64" s="470" t="str">
        <f>IF((COUNTIF(End_Of_Year_Yr2_59,"&lt;0")=0),"OK","ERR")</f>
        <v>OK</v>
      </c>
      <c r="E64" s="470" t="str">
        <f>IF((COUNTIF(End_Of_Year_Yr3_59,"&lt;0")=0),"OK","ERR")</f>
        <v>OK</v>
      </c>
      <c r="F64" s="470" t="str">
        <f>IF((COUNTIF(End_Of_Year_Yr4_59,"&lt;0")=0),"OK","ERR")</f>
        <v>OK</v>
      </c>
      <c r="G64" s="469" t="str">
        <f>IF((COUNTIF(End_Of_Year_Yr5_59,"&lt;0")=0),"OK","ERR")</f>
        <v>OK</v>
      </c>
      <c r="H64" s="471" t="str">
        <f>IF((COUNTIF(Deterioration_yr1_59,"&lt;&gt;0")=0),"OK","ERR")</f>
        <v>OK</v>
      </c>
      <c r="I64" s="470" t="str">
        <f>IF((COUNTIF(Deterioration_yr2_59,"&lt;&gt;0")=0),"OK","ERR")</f>
        <v>OK</v>
      </c>
      <c r="J64" s="470" t="str">
        <f>IF((COUNTIF(Deterioration_yr3_59,"&lt;&gt;0")=0),"OK","ERR")</f>
        <v>OK</v>
      </c>
      <c r="K64" s="470" t="str">
        <f>IF((COUNTIF(Deterioration_yr4_59,"&lt;&gt;0")=0),"OK","ERR")</f>
        <v>OK</v>
      </c>
      <c r="L64" s="469" t="str">
        <f>IF((COUNTIF(Deterioration_yr5_59,"&lt;&gt;0")=0),"OK","ERR")</f>
        <v>OK</v>
      </c>
      <c r="M64" s="471" t="str" cm="1">
        <f t="array" ref="M64">IF(AND(INDEX('NARM5 – ED2 actuals'!$Y:$Y,MATCH($B64,'NARM5 – ED2 actuals'!$C:$C,0)+5)=0,INDEX('NARM5 – ED2 actuals'!$CX:$CX,MATCH($B64,'NARM5 – ED2 actuals'!$C:$C,0)+5)=0,INDEX('NARM5 – ED2 actuals'!$AT:$AT,MATCH($B64,'NARM5 – ED2 actuals'!$C:$C,0)+5)=0)=TRUE,"OK","ERR")</f>
        <v>OK</v>
      </c>
      <c r="N64" s="470" t="str" cm="1">
        <f t="array" ref="N64">IF(AND(INDEX('NARM5 – ED2 actuals'!$Y:$Y,MATCH($B64,'NARM5 – ED2 actuals'!$C:$C,0)+5)=0,INDEX('NARM5 – ED2 actuals'!$CX:$CX,MATCH($B64,'NARM5 – ED2 actuals'!$C:$C,0)+5)=0,INDEX('NARM5 – ED2 actuals'!$AT:$AT,MATCH($B64,'NARM5 – ED2 actuals'!$C:$C,0)+5)=0)=TRUE,"OK","ERR")</f>
        <v>OK</v>
      </c>
      <c r="O64" s="470" t="str" cm="1">
        <f t="array" ref="O64">IF(AND(INDEX('NARM5 – ED2 actuals'!$Y:$Y,MATCH($B64,'NARM5 – ED2 actuals'!$C:$C,0)+5)=0,INDEX('NARM5 – ED2 actuals'!$CX:$CX,MATCH($B64,'NARM5 – ED2 actuals'!$C:$C,0)+5)=0,INDEX('NARM5 – ED2 actuals'!$AT:$AT,MATCH($B64,'NARM5 – ED2 actuals'!$C:$C,0)+5)=0)=TRUE,"OK","ERR")</f>
        <v>OK</v>
      </c>
      <c r="P64" s="470" t="str" cm="1">
        <f t="array" ref="P64">IF(AND(INDEX('NARM5 – ED2 actuals'!$Y:$Y,MATCH($B64,'NARM5 – ED2 actuals'!$C:$C,0)+5)=0,INDEX('NARM5 – ED2 actuals'!$CX:$CX,MATCH($B64,'NARM5 – ED2 actuals'!$C:$C,0)+5)=0,INDEX('NARM5 – ED2 actuals'!$AT:$AT,MATCH($B64,'NARM5 – ED2 actuals'!$C:$C,0)+5)=0)=TRUE,"OK","ERR")</f>
        <v>OK</v>
      </c>
      <c r="Q64" s="469" t="str" cm="1">
        <f t="array" ref="Q64">IF(AND(INDEX('NARM5 – ED2 actuals'!$Y:$Y,MATCH($B64,'NARM5 – ED2 actuals'!$C:$C,0)+5)=0,INDEX('NARM5 – ED2 actuals'!$CX:$CX,MATCH($B64,'NARM5 – ED2 actuals'!$C:$C,0)+5)=0,INDEX('NARM5 – ED2 actuals'!$AT:$AT,MATCH($B64,'NARM5 – ED2 actuals'!$C:$C,0)+5)=0)=TRUE,"OK","ERR")</f>
        <v>OK</v>
      </c>
      <c r="R64" s="471" t="str">
        <f>IF((SUM(AssetReplacement_CurrentYear_yr1_59)=SUM(AssetReplacement_FutureYear_yr1_59))=TRUE,"OK","ERR")</f>
        <v>OK</v>
      </c>
      <c r="S64" s="470" t="str">
        <f>IF((SUM(AssetReplacement_CurrentYear_yr2_59)=SUM(AssetReplacement_FutureYear_yr2_59))=TRUE,"OK","ERR")</f>
        <v>OK</v>
      </c>
      <c r="T64" s="470" t="str">
        <f>IF((SUM(AssetReplacement_CurrentYear_yr3_59)=SUM(AssetReplacement_FutureYear_yr3_59))=TRUE,"OK","ERR")</f>
        <v>OK</v>
      </c>
      <c r="U64" s="470" t="str">
        <f>IF((SUM(AssetReplacement_CurrentYear_yr4_59)=SUM(AssetReplacement_FutureYear_yr4_59))=TRUE,"OK","ERR")</f>
        <v>OK</v>
      </c>
      <c r="V64" s="469" t="str">
        <f>IF((SUM(AssetReplacement_CurrentYear_yr5_59)=SUM(AssetReplacement_FutureYear_yr5_59))=TRUE,"OK","ERR")</f>
        <v>OK</v>
      </c>
    </row>
    <row r="65" spans="1:22">
      <c r="A65" s="483">
        <v>60</v>
      </c>
      <c r="B65" s="472" t="s">
        <v>121</v>
      </c>
      <c r="C65" s="471" t="str">
        <f>IF((COUNTIF(End_Of_Year_Yr1_60,"&lt;0")=0),"OK","ERR")</f>
        <v>OK</v>
      </c>
      <c r="D65" s="470" t="str">
        <f>IF((COUNTIF(End_Of_Year_Yr2_60,"&lt;0")=0),"OK","ERR")</f>
        <v>OK</v>
      </c>
      <c r="E65" s="470" t="str">
        <f>IF((COUNTIF(End_Of_Year_Yr3_60,"&lt;0")=0),"OK","ERR")</f>
        <v>OK</v>
      </c>
      <c r="F65" s="470" t="str">
        <f>IF((COUNTIF(End_Of_Year_Yr4_60,"&lt;0")=0),"OK","ERR")</f>
        <v>OK</v>
      </c>
      <c r="G65" s="469" t="str">
        <f>IF((COUNTIF(End_Of_Year_Yr5_60,"&lt;0")=0),"OK","ERR")</f>
        <v>OK</v>
      </c>
      <c r="H65" s="471" t="str">
        <f>IF((COUNTIF(Deterioration_yr1_60,"&lt;&gt;0")=0),"OK","ERR")</f>
        <v>OK</v>
      </c>
      <c r="I65" s="470" t="str">
        <f>IF((COUNTIF(Deterioration_yr2_60,"&lt;&gt;0")=0),"OK","ERR")</f>
        <v>OK</v>
      </c>
      <c r="J65" s="470" t="str">
        <f>IF((COUNTIF(Deterioration_yr3_60,"&lt;&gt;0")=0),"OK","ERR")</f>
        <v>OK</v>
      </c>
      <c r="K65" s="470" t="str">
        <f>IF((COUNTIF(Deterioration_yr4_60,"&lt;&gt;0")=0),"OK","ERR")</f>
        <v>OK</v>
      </c>
      <c r="L65" s="469" t="str">
        <f>IF((COUNTIF(Deterioration_yr5_60,"&lt;&gt;0")=0),"OK","ERR")</f>
        <v>OK</v>
      </c>
      <c r="M65" s="471" t="str" cm="1">
        <f t="array" ref="M65">IF(AND(INDEX('NARM5 – ED2 actuals'!$Y:$Y,MATCH($B65,'NARM5 – ED2 actuals'!$C:$C,0)+5)=0,INDEX('NARM5 – ED2 actuals'!$CX:$CX,MATCH($B65,'NARM5 – ED2 actuals'!$C:$C,0)+5)=0,INDEX('NARM5 – ED2 actuals'!$AT:$AT,MATCH($B65,'NARM5 – ED2 actuals'!$C:$C,0)+5)=0)=TRUE,"OK","ERR")</f>
        <v>OK</v>
      </c>
      <c r="N65" s="470" t="str" cm="1">
        <f t="array" ref="N65">IF(AND(INDEX('NARM5 – ED2 actuals'!$Y:$Y,MATCH($B65,'NARM5 – ED2 actuals'!$C:$C,0)+5)=0,INDEX('NARM5 – ED2 actuals'!$CX:$CX,MATCH($B65,'NARM5 – ED2 actuals'!$C:$C,0)+5)=0,INDEX('NARM5 – ED2 actuals'!$AT:$AT,MATCH($B65,'NARM5 – ED2 actuals'!$C:$C,0)+5)=0)=TRUE,"OK","ERR")</f>
        <v>OK</v>
      </c>
      <c r="O65" s="470" t="str" cm="1">
        <f t="array" ref="O65">IF(AND(INDEX('NARM5 – ED2 actuals'!$Y:$Y,MATCH($B65,'NARM5 – ED2 actuals'!$C:$C,0)+5)=0,INDEX('NARM5 – ED2 actuals'!$CX:$CX,MATCH($B65,'NARM5 – ED2 actuals'!$C:$C,0)+5)=0,INDEX('NARM5 – ED2 actuals'!$AT:$AT,MATCH($B65,'NARM5 – ED2 actuals'!$C:$C,0)+5)=0)=TRUE,"OK","ERR")</f>
        <v>OK</v>
      </c>
      <c r="P65" s="470" t="str" cm="1">
        <f t="array" ref="P65">IF(AND(INDEX('NARM5 – ED2 actuals'!$Y:$Y,MATCH($B65,'NARM5 – ED2 actuals'!$C:$C,0)+5)=0,INDEX('NARM5 – ED2 actuals'!$CX:$CX,MATCH($B65,'NARM5 – ED2 actuals'!$C:$C,0)+5)=0,INDEX('NARM5 – ED2 actuals'!$AT:$AT,MATCH($B65,'NARM5 – ED2 actuals'!$C:$C,0)+5)=0)=TRUE,"OK","ERR")</f>
        <v>OK</v>
      </c>
      <c r="Q65" s="469" t="str" cm="1">
        <f t="array" ref="Q65">IF(AND(INDEX('NARM5 – ED2 actuals'!$Y:$Y,MATCH($B65,'NARM5 – ED2 actuals'!$C:$C,0)+5)=0,INDEX('NARM5 – ED2 actuals'!$CX:$CX,MATCH($B65,'NARM5 – ED2 actuals'!$C:$C,0)+5)=0,INDEX('NARM5 – ED2 actuals'!$AT:$AT,MATCH($B65,'NARM5 – ED2 actuals'!$C:$C,0)+5)=0)=TRUE,"OK","ERR")</f>
        <v>OK</v>
      </c>
      <c r="R65" s="471" t="str">
        <f>IF((SUM(AssetReplacement_CurrentYear_yr1_60)=SUM(AssetReplacement_FutureYear_yr1_60))=TRUE,"OK","ERR")</f>
        <v>OK</v>
      </c>
      <c r="S65" s="470" t="str">
        <f>IF((SUM(AssetReplacement_CurrentYear_yr2_60)=SUM(AssetReplacement_FutureYear_yr2_60))=TRUE,"OK","ERR")</f>
        <v>OK</v>
      </c>
      <c r="T65" s="470" t="str">
        <f>IF((SUM(AssetReplacement_CurrentYear_yr3_60)=SUM(AssetReplacement_FutureYear_yr3_60))=TRUE,"OK","ERR")</f>
        <v>OK</v>
      </c>
      <c r="U65" s="470" t="str">
        <f>IF((SUM(AssetReplacement_CurrentYear_yr4_60)=SUM(AssetReplacement_FutureYear_yr4_60))=TRUE,"OK","ERR")</f>
        <v>OK</v>
      </c>
      <c r="V65" s="469" t="str">
        <f>IF((SUM(AssetReplacement_CurrentYear_yr5_60)=SUM(AssetReplacement_FutureYear_yr5_60))=TRUE,"OK","ERR")</f>
        <v>OK</v>
      </c>
    </row>
    <row r="66" spans="1:22" ht="14" thickBot="1">
      <c r="A66" s="483">
        <v>61</v>
      </c>
      <c r="B66" s="468" t="s">
        <v>122</v>
      </c>
      <c r="C66" s="467" t="str">
        <f>IF((COUNTIF(End_Of_Year_Yr1_61,"&lt;0")=0),"OK","ERR")</f>
        <v>OK</v>
      </c>
      <c r="D66" s="466" t="str">
        <f>IF((COUNTIF(End_Of_Year_Yr2_61,"&lt;0")=0),"OK","ERR")</f>
        <v>OK</v>
      </c>
      <c r="E66" s="466" t="str">
        <f>IF((COUNTIF(End_Of_Year_Yr3_61,"&lt;0")=0),"OK","ERR")</f>
        <v>OK</v>
      </c>
      <c r="F66" s="466" t="str">
        <f>IF((COUNTIF(End_Of_Year_Yr4_61,"&lt;0")=0),"OK","ERR")</f>
        <v>OK</v>
      </c>
      <c r="G66" s="465" t="str">
        <f>IF((COUNTIF(End_Of_Year_Yr5_61,"&lt;0")=0),"OK","ERR")</f>
        <v>OK</v>
      </c>
      <c r="H66" s="467" t="str">
        <f>IF((COUNTIF(Deterioration_yr1_61,"&lt;&gt;0")=0),"OK","ERR")</f>
        <v>OK</v>
      </c>
      <c r="I66" s="466" t="str">
        <f>IF((COUNTIF(Deterioration_yr2_61,"&lt;&gt;0")=0),"OK","ERR")</f>
        <v>OK</v>
      </c>
      <c r="J66" s="466" t="str">
        <f>IF((COUNTIF(Deterioration_yr3_61,"&lt;&gt;0")=0),"OK","ERR")</f>
        <v>OK</v>
      </c>
      <c r="K66" s="466" t="str">
        <f>IF((COUNTIF(Deterioration_yr4_61,"&lt;&gt;0")=0),"OK","ERR")</f>
        <v>OK</v>
      </c>
      <c r="L66" s="465" t="str">
        <f>IF((COUNTIF(Deterioration_yr5_61,"&lt;&gt;0")=0),"OK","ERR")</f>
        <v>OK</v>
      </c>
      <c r="M66" s="467" t="str" cm="1">
        <f t="array" ref="M66">IF(AND(INDEX('NARM5 – ED2 actuals'!$Y:$Y,MATCH($B66,'NARM5 – ED2 actuals'!$C:$C,0)+5)=0,INDEX('NARM5 – ED2 actuals'!$CX:$CX,MATCH($B66,'NARM5 – ED2 actuals'!$C:$C,0)+5)=0,INDEX('NARM5 – ED2 actuals'!$AT:$AT,MATCH($B66,'NARM5 – ED2 actuals'!$C:$C,0)+5)=0)=TRUE,"OK","ERR")</f>
        <v>OK</v>
      </c>
      <c r="N66" s="466" t="str" cm="1">
        <f t="array" ref="N66">IF(AND(INDEX('NARM5 – ED2 actuals'!$Y:$Y,MATCH($B66,'NARM5 – ED2 actuals'!$C:$C,0)+5)=0,INDEX('NARM5 – ED2 actuals'!$CX:$CX,MATCH($B66,'NARM5 – ED2 actuals'!$C:$C,0)+5)=0,INDEX('NARM5 – ED2 actuals'!$AT:$AT,MATCH($B66,'NARM5 – ED2 actuals'!$C:$C,0)+5)=0)=TRUE,"OK","ERR")</f>
        <v>OK</v>
      </c>
      <c r="O66" s="466" t="str" cm="1">
        <f t="array" ref="O66">IF(AND(INDEX('NARM5 – ED2 actuals'!$Y:$Y,MATCH($B66,'NARM5 – ED2 actuals'!$C:$C,0)+5)=0,INDEX('NARM5 – ED2 actuals'!$CX:$CX,MATCH($B66,'NARM5 – ED2 actuals'!$C:$C,0)+5)=0,INDEX('NARM5 – ED2 actuals'!$AT:$AT,MATCH($B66,'NARM5 – ED2 actuals'!$C:$C,0)+5)=0)=TRUE,"OK","ERR")</f>
        <v>OK</v>
      </c>
      <c r="P66" s="466" t="str" cm="1">
        <f t="array" ref="P66">IF(AND(INDEX('NARM5 – ED2 actuals'!$Y:$Y,MATCH($B66,'NARM5 – ED2 actuals'!$C:$C,0)+5)=0,INDEX('NARM5 – ED2 actuals'!$CX:$CX,MATCH($B66,'NARM5 – ED2 actuals'!$C:$C,0)+5)=0,INDEX('NARM5 – ED2 actuals'!$AT:$AT,MATCH($B66,'NARM5 – ED2 actuals'!$C:$C,0)+5)=0)=TRUE,"OK","ERR")</f>
        <v>OK</v>
      </c>
      <c r="Q66" s="465" t="str" cm="1">
        <f t="array" ref="Q66">IF(AND(INDEX('NARM5 – ED2 actuals'!$Y:$Y,MATCH($B66,'NARM5 – ED2 actuals'!$C:$C,0)+5)=0,INDEX('NARM5 – ED2 actuals'!$CX:$CX,MATCH($B66,'NARM5 – ED2 actuals'!$C:$C,0)+5)=0,INDEX('NARM5 – ED2 actuals'!$AT:$AT,MATCH($B66,'NARM5 – ED2 actuals'!$C:$C,0)+5)=0)=TRUE,"OK","ERR")</f>
        <v>OK</v>
      </c>
      <c r="R66" s="467" t="str">
        <f>IF((SUM(AssetReplacement_CurrentYear_yr1_61)=SUM(AssetReplacement_FutureYear_yr1_61))=TRUE,"OK","ERR")</f>
        <v>OK</v>
      </c>
      <c r="S66" s="466" t="str">
        <f>IF((SUM(AssetReplacement_CurrentYear_yr2_61)=SUM(AssetReplacement_FutureYear_yr2_61))=TRUE,"OK","ERR")</f>
        <v>OK</v>
      </c>
      <c r="T66" s="466" t="str">
        <f>IF((SUM(AssetReplacement_CurrentYear_yr3_61)=SUM(AssetReplacement_FutureYear_yr3_61))=TRUE,"OK","ERR")</f>
        <v>OK</v>
      </c>
      <c r="U66" s="466" t="str">
        <f>IF((SUM(AssetReplacement_CurrentYear_yr4_61)=SUM(AssetReplacement_FutureYear_yr4_61))=TRUE,"OK","ERR")</f>
        <v>OK</v>
      </c>
      <c r="V66" s="465" t="str">
        <f>IF((SUM(AssetReplacement_CurrentYear_yr5_61)=SUM(AssetReplacement_FutureYear_yr5_61))=TRUE,"OK","ERR")</f>
        <v>OK</v>
      </c>
    </row>
  </sheetData>
  <mergeCells count="5">
    <mergeCell ref="R4:V4"/>
    <mergeCell ref="M4:Q4"/>
    <mergeCell ref="B4:B5"/>
    <mergeCell ref="C4:G4"/>
    <mergeCell ref="H4:L4"/>
  </mergeCells>
  <conditionalFormatting sqref="C6:V66">
    <cfRule type="cellIs" dxfId="1" priority="1" operator="equal">
      <formula>"ERR"</formula>
    </cfRule>
    <cfRule type="cellIs" dxfId="0" priority="2" operator="equal">
      <formula>"OK"</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566DB-2EFB-49B4-9687-31248E3F30A2}">
  <sheetPr codeName="Sheet3">
    <pageSetUpPr fitToPage="1"/>
  </sheetPr>
  <dimension ref="A1:AR131"/>
  <sheetViews>
    <sheetView workbookViewId="0">
      <selection activeCell="A2" sqref="A2"/>
    </sheetView>
  </sheetViews>
  <sheetFormatPr defaultColWidth="0" defaultRowHeight="12.65" customHeight="1" zeroHeight="1"/>
  <cols>
    <col min="1" max="1" width="6" style="511" customWidth="1"/>
    <col min="2" max="3" width="2" style="511" customWidth="1"/>
    <col min="4" max="4" width="34.23046875" style="511" bestFit="1" customWidth="1"/>
    <col min="5" max="5" width="74" style="511" bestFit="1" customWidth="1"/>
    <col min="6" max="6" width="10.4609375" style="511" customWidth="1"/>
    <col min="7" max="7" width="8" style="511" customWidth="1"/>
    <col min="8" max="44" width="0" style="511" hidden="1" customWidth="1"/>
    <col min="45" max="16384" width="8" style="511" hidden="1"/>
  </cols>
  <sheetData>
    <row r="1" spans="1:34" s="31" customFormat="1" ht="13.5">
      <c r="A1" s="30" t="str">
        <f ca="1">MID(CELL("filename",A1),FIND("]",CELL("filename",A1))+1,256)</f>
        <v>Navigation</v>
      </c>
      <c r="J1" s="32"/>
      <c r="K1" s="32"/>
      <c r="L1" s="32"/>
      <c r="M1" s="32"/>
      <c r="AH1" s="32"/>
    </row>
    <row r="2" spans="1:34" s="31" customFormat="1" ht="13.5">
      <c r="A2" s="510">
        <f>'Cover Sheet'!$D$13</f>
        <v>0</v>
      </c>
    </row>
    <row r="3" spans="1:34" s="31" customFormat="1" ht="13.5">
      <c r="A3" s="509">
        <f>'Cover Sheet'!$D$15</f>
        <v>2025</v>
      </c>
    </row>
    <row r="4" spans="1:34" s="31" customFormat="1" ht="13.5">
      <c r="D4" s="34"/>
      <c r="AE4" s="34"/>
    </row>
    <row r="5" spans="1:34" s="31" customFormat="1" ht="13.5">
      <c r="D5" s="32" t="s">
        <v>30</v>
      </c>
      <c r="E5" s="32" t="s">
        <v>31</v>
      </c>
      <c r="F5" s="32"/>
      <c r="J5" s="32"/>
      <c r="K5" s="32"/>
      <c r="L5" s="32"/>
      <c r="M5" s="32"/>
      <c r="AH5" s="32"/>
    </row>
    <row r="6" spans="1:34" ht="13.5">
      <c r="D6" s="512"/>
    </row>
    <row r="7" spans="1:34" ht="13.5">
      <c r="D7" s="512"/>
    </row>
    <row r="8" spans="1:34" ht="13.5">
      <c r="D8" s="513" t="s">
        <v>32</v>
      </c>
      <c r="E8" s="511" t="s">
        <v>32</v>
      </c>
    </row>
    <row r="9" spans="1:34" ht="13.5">
      <c r="D9" s="513" t="s">
        <v>33</v>
      </c>
      <c r="E9" s="514" t="s">
        <v>33</v>
      </c>
    </row>
    <row r="10" spans="1:34" ht="13.5">
      <c r="D10" s="513" t="s">
        <v>34</v>
      </c>
      <c r="E10" s="514" t="s">
        <v>34</v>
      </c>
    </row>
    <row r="11" spans="1:34" ht="13.5">
      <c r="D11" s="513" t="s">
        <v>35</v>
      </c>
      <c r="E11" s="514" t="s">
        <v>35</v>
      </c>
    </row>
    <row r="12" spans="1:34" ht="13.5">
      <c r="D12" s="513" t="s">
        <v>36</v>
      </c>
      <c r="E12" s="514" t="s">
        <v>36</v>
      </c>
    </row>
    <row r="13" spans="1:34" ht="13.5">
      <c r="D13" s="513" t="s">
        <v>37</v>
      </c>
      <c r="E13" s="514" t="s">
        <v>37</v>
      </c>
    </row>
    <row r="14" spans="1:34" ht="13.5">
      <c r="D14" s="513" t="s">
        <v>38</v>
      </c>
      <c r="E14" s="514" t="s">
        <v>38</v>
      </c>
    </row>
    <row r="15" spans="1:34" ht="13.5">
      <c r="D15" s="513" t="s">
        <v>39</v>
      </c>
      <c r="E15" s="514" t="s">
        <v>39</v>
      </c>
    </row>
    <row r="16" spans="1:34" ht="13.5">
      <c r="D16" s="513" t="s">
        <v>40</v>
      </c>
      <c r="E16" s="514" t="s">
        <v>40</v>
      </c>
    </row>
    <row r="17" ht="13.5"/>
    <row r="18" ht="13.5"/>
    <row r="19" ht="13.5"/>
    <row r="20" ht="13.5"/>
    <row r="21" ht="13.5"/>
    <row r="22" ht="13.5"/>
    <row r="23" ht="13.5"/>
    <row r="24" ht="13.5"/>
    <row r="25" ht="13.5"/>
    <row r="26" ht="13.5"/>
    <row r="27" ht="13.5"/>
    <row r="28" ht="13.5"/>
    <row r="29" ht="13.5"/>
    <row r="30" ht="13.5"/>
    <row r="31" ht="13.5" hidden="1"/>
    <row r="32" ht="13.5" hidden="1"/>
    <row r="33" ht="13.5" hidden="1"/>
    <row r="34" ht="13.5" hidden="1"/>
    <row r="35" ht="13.5" hidden="1"/>
    <row r="36" ht="13.5" hidden="1"/>
    <row r="37" ht="13.5" hidden="1"/>
    <row r="38" ht="13.5" hidden="1"/>
    <row r="39" ht="13.5" hidden="1"/>
    <row r="40" ht="13.5" hidden="1"/>
    <row r="41" ht="13.5" hidden="1"/>
    <row r="42" ht="13.5" hidden="1"/>
    <row r="43" ht="13.5" hidden="1"/>
    <row r="44" ht="13.5" hidden="1"/>
    <row r="45" ht="13.5" hidden="1"/>
    <row r="46" ht="13.5" hidden="1"/>
    <row r="47" ht="13.5" hidden="1"/>
    <row r="48"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sheetData>
  <hyperlinks>
    <hyperlink ref="D8" location="'Cover Sheet'!A1" display="Cover Sheet" xr:uid="{6808DC08-20F5-4D6F-9C28-3D0A42305DAF}"/>
    <hyperlink ref="D10" location="'NARM1 - Risk Index Weightings'!A1" display="NARM1 - Risk Index Weightings" xr:uid="{B77C602C-D224-4D60-9045-37973BF16832}"/>
    <hyperlink ref="D12" location="'NARM5 – ED2 actuals'!A1" display="NARM5 - ED2 Actuals" xr:uid="{5EBB436C-84A3-4E36-86A3-F57DA75D9EEC}"/>
    <hyperlink ref="D13" location="'NARM6 - Risk Summary'!A1" display="NARM6 - Risk Summary" xr:uid="{2CE56F72-F374-4673-884C-5DB390C15AE0}"/>
    <hyperlink ref="D14" location="'NARM7 - Dashboard'!A1" display="NARM7 - Dashboard" xr:uid="{9F6D0441-2B49-4437-9A76-7A4B1CED83C7}"/>
    <hyperlink ref="D15" location="'NARM8 - Variance Analysis'!A1" display="NARM8 - Variance Analysis" xr:uid="{C6401A20-FA4B-47AB-B9D0-BD25DD6915DD}"/>
    <hyperlink ref="D16" location="'Data assurance'!A1" display="Data Assurance" xr:uid="{776E9251-0BFE-4BB8-9481-4D2ED397A3D9}"/>
    <hyperlink ref="D9" location="'Changes Log'!A1" display="Changes Log" xr:uid="{9830A5F0-ED24-4B78-A4BF-44CC68E9AF07}"/>
    <hyperlink ref="D11" location="'NARM4 - ED2 NARW Risk Movements'!A1" display="NARM4 - ED2 NARM Risk Movements" xr:uid="{0FFFDE69-2B05-4ACF-8511-19D002AF26C6}"/>
  </hyperlinks>
  <printOptions gridLines="1"/>
  <pageMargins left="0.70866141732283472" right="0.70866141732283472" top="0.74803149606299213" bottom="0.74803149606299213" header="0.31496062992125984" footer="0.31496062992125984"/>
  <pageSetup paperSize="8" scale="84" orientation="portrait" r:id="rId1"/>
  <headerFooter>
    <oddFooter>&amp;C_x000D_&amp;1#&amp;"Calibri"&amp;10&amp;K000000 OFFICIAL-InternalOnly</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C27-964D-418F-9BA1-9DD9D18D5140}">
  <sheetPr codeName="Sheet10"/>
  <dimension ref="A1:AR96"/>
  <sheetViews>
    <sheetView zoomScale="85" zoomScaleNormal="85" workbookViewId="0">
      <selection activeCell="D13" sqref="D13"/>
    </sheetView>
  </sheetViews>
  <sheetFormatPr defaultColWidth="0" defaultRowHeight="14.5"/>
  <cols>
    <col min="1" max="1" width="6.765625" style="499" customWidth="1"/>
    <col min="2" max="3" width="16.23046875" style="499" customWidth="1"/>
    <col min="4" max="4" width="49.765625" style="499" customWidth="1"/>
    <col min="5" max="5" width="8" style="499" customWidth="1"/>
    <col min="6" max="44" width="0" style="499" hidden="1" customWidth="1"/>
    <col min="45" max="16384" width="8" style="499" hidden="1"/>
  </cols>
  <sheetData>
    <row r="1" spans="1:37" s="31" customFormat="1" ht="13.5">
      <c r="A1" s="30" t="str">
        <f ca="1">MID(CELL("filename",A1),FIND("]",CELL("filename",A1))+1,256)</f>
        <v>Changes Log</v>
      </c>
      <c r="I1" s="32"/>
      <c r="J1" s="32"/>
      <c r="K1" s="32"/>
      <c r="L1" s="32"/>
      <c r="AG1" s="32"/>
    </row>
    <row r="2" spans="1:37" s="31" customFormat="1" ht="13.5">
      <c r="A2" s="510">
        <f>'Cover Sheet'!$D$13</f>
        <v>0</v>
      </c>
    </row>
    <row r="3" spans="1:37" s="31" customFormat="1" ht="13.5">
      <c r="A3" s="509">
        <f>'Cover Sheet'!$D$15</f>
        <v>2025</v>
      </c>
    </row>
    <row r="4" spans="1:37" s="31" customFormat="1" ht="13.5">
      <c r="D4" s="34"/>
      <c r="AD4" s="34"/>
    </row>
    <row r="5" spans="1:37" s="31" customFormat="1" ht="13.5">
      <c r="D5" s="35"/>
      <c r="AD5" s="37"/>
      <c r="AE5" s="37"/>
      <c r="AF5" s="37"/>
      <c r="AG5" s="37"/>
      <c r="AH5" s="37"/>
      <c r="AI5" s="37"/>
      <c r="AJ5" s="37"/>
      <c r="AK5" s="37"/>
    </row>
    <row r="7" spans="1:37" ht="27.5">
      <c r="B7" s="508" t="s">
        <v>41</v>
      </c>
      <c r="C7" s="507" t="s">
        <v>42</v>
      </c>
      <c r="D7" s="506" t="s">
        <v>43</v>
      </c>
    </row>
    <row r="8" spans="1:37" ht="54">
      <c r="B8" s="542" t="s">
        <v>44</v>
      </c>
      <c r="C8" s="543" t="s">
        <v>45</v>
      </c>
      <c r="D8" s="544" t="s">
        <v>46</v>
      </c>
    </row>
    <row r="9" spans="1:37" ht="51" customHeight="1">
      <c r="B9" s="542" t="s">
        <v>44</v>
      </c>
      <c r="C9" s="543" t="s">
        <v>45</v>
      </c>
      <c r="D9" s="544" t="s">
        <v>47</v>
      </c>
    </row>
    <row r="10" spans="1:37" ht="54">
      <c r="B10" s="542" t="s">
        <v>44</v>
      </c>
      <c r="C10" s="543" t="s">
        <v>45</v>
      </c>
      <c r="D10" s="545" t="s">
        <v>48</v>
      </c>
    </row>
    <row r="11" spans="1:37" ht="40.5">
      <c r="B11" s="542" t="s">
        <v>44</v>
      </c>
      <c r="C11" s="543" t="s">
        <v>45</v>
      </c>
      <c r="D11" s="546" t="s">
        <v>49</v>
      </c>
    </row>
    <row r="12" spans="1:37">
      <c r="B12" s="504"/>
      <c r="C12" s="501"/>
      <c r="D12" s="505"/>
    </row>
    <row r="13" spans="1:37">
      <c r="B13" s="504"/>
      <c r="C13" s="501"/>
      <c r="D13" s="505"/>
    </row>
    <row r="14" spans="1:37">
      <c r="B14" s="504"/>
      <c r="C14" s="501"/>
      <c r="D14" s="505"/>
    </row>
    <row r="15" spans="1:37">
      <c r="B15" s="504"/>
      <c r="C15" s="501"/>
      <c r="D15" s="505"/>
    </row>
    <row r="16" spans="1:37">
      <c r="B16" s="504"/>
      <c r="C16" s="501"/>
      <c r="D16" s="505"/>
    </row>
    <row r="17" spans="2:4">
      <c r="B17" s="504"/>
      <c r="C17" s="501"/>
      <c r="D17" s="502"/>
    </row>
    <row r="18" spans="2:4">
      <c r="B18" s="504"/>
      <c r="C18" s="501"/>
      <c r="D18" s="505"/>
    </row>
    <row r="19" spans="2:4">
      <c r="B19" s="504"/>
      <c r="C19" s="503"/>
      <c r="D19" s="505"/>
    </row>
    <row r="20" spans="2:4">
      <c r="B20" s="504"/>
      <c r="C20" s="501"/>
      <c r="D20" s="502"/>
    </row>
    <row r="21" spans="2:4">
      <c r="B21" s="504"/>
      <c r="C21" s="501"/>
      <c r="D21" s="505"/>
    </row>
    <row r="22" spans="2:4">
      <c r="B22" s="504"/>
      <c r="C22" s="501"/>
      <c r="D22" s="502"/>
    </row>
    <row r="23" spans="2:4">
      <c r="B23" s="504"/>
      <c r="C23" s="501"/>
      <c r="D23" s="505"/>
    </row>
    <row r="24" spans="2:4">
      <c r="B24" s="504"/>
      <c r="C24" s="503"/>
      <c r="D24" s="505"/>
    </row>
    <row r="25" spans="2:4">
      <c r="B25" s="504"/>
      <c r="C25" s="503"/>
      <c r="D25" s="505"/>
    </row>
    <row r="26" spans="2:4">
      <c r="B26" s="504"/>
      <c r="C26" s="503"/>
      <c r="D26" s="505"/>
    </row>
    <row r="27" spans="2:4">
      <c r="B27" s="504"/>
      <c r="C27" s="503"/>
      <c r="D27" s="505"/>
    </row>
    <row r="28" spans="2:4">
      <c r="B28" s="504"/>
      <c r="C28" s="503"/>
      <c r="D28" s="505"/>
    </row>
    <row r="29" spans="2:4">
      <c r="B29" s="504"/>
      <c r="C29" s="503"/>
      <c r="D29" s="505"/>
    </row>
    <row r="30" spans="2:4">
      <c r="B30" s="504"/>
      <c r="C30" s="503"/>
      <c r="D30" s="505"/>
    </row>
    <row r="31" spans="2:4">
      <c r="B31" s="504"/>
      <c r="C31" s="503"/>
      <c r="D31" s="505"/>
    </row>
    <row r="32" spans="2:4">
      <c r="B32" s="504"/>
      <c r="C32" s="503"/>
      <c r="D32" s="505"/>
    </row>
    <row r="33" spans="2:4">
      <c r="B33" s="504"/>
      <c r="C33" s="503"/>
      <c r="D33" s="502"/>
    </row>
    <row r="34" spans="2:4">
      <c r="B34" s="504"/>
      <c r="C34" s="503"/>
      <c r="D34" s="502"/>
    </row>
    <row r="35" spans="2:4">
      <c r="B35" s="500"/>
      <c r="C35" s="501"/>
      <c r="D35" s="500"/>
    </row>
    <row r="36" spans="2:4">
      <c r="B36" s="500"/>
      <c r="C36" s="501"/>
      <c r="D36" s="500"/>
    </row>
    <row r="37" spans="2:4">
      <c r="B37" s="500"/>
      <c r="C37" s="501"/>
      <c r="D37" s="500"/>
    </row>
    <row r="38" spans="2:4">
      <c r="B38" s="500"/>
      <c r="C38" s="501"/>
      <c r="D38" s="500"/>
    </row>
    <row r="39" spans="2:4">
      <c r="B39" s="500"/>
      <c r="C39" s="501"/>
      <c r="D39" s="500"/>
    </row>
    <row r="40" spans="2:4">
      <c r="B40" s="500"/>
      <c r="C40" s="501"/>
      <c r="D40" s="500"/>
    </row>
    <row r="41" spans="2:4">
      <c r="B41" s="500"/>
      <c r="C41" s="501"/>
      <c r="D41" s="500"/>
    </row>
    <row r="42" spans="2:4">
      <c r="B42" s="500"/>
      <c r="C42" s="501"/>
      <c r="D42" s="500"/>
    </row>
    <row r="43" spans="2:4">
      <c r="B43" s="500"/>
      <c r="C43" s="501"/>
      <c r="D43" s="500"/>
    </row>
    <row r="44" spans="2:4">
      <c r="B44" s="500"/>
      <c r="C44" s="501"/>
      <c r="D44" s="500"/>
    </row>
    <row r="45" spans="2:4">
      <c r="B45" s="500"/>
      <c r="C45" s="501"/>
      <c r="D45" s="500"/>
    </row>
    <row r="46" spans="2:4">
      <c r="B46" s="500"/>
      <c r="C46" s="501"/>
      <c r="D46" s="500"/>
    </row>
    <row r="47" spans="2:4">
      <c r="B47" s="500"/>
      <c r="C47" s="501"/>
      <c r="D47" s="500"/>
    </row>
    <row r="48" spans="2:4">
      <c r="B48" s="500"/>
      <c r="C48" s="501"/>
      <c r="D48" s="500"/>
    </row>
    <row r="49" spans="2:4">
      <c r="B49" s="500"/>
      <c r="C49" s="501"/>
      <c r="D49" s="500"/>
    </row>
    <row r="50" spans="2:4">
      <c r="B50" s="500"/>
      <c r="C50" s="501"/>
      <c r="D50" s="500"/>
    </row>
    <row r="51" spans="2:4">
      <c r="B51" s="500"/>
      <c r="C51" s="501"/>
      <c r="D51" s="500"/>
    </row>
    <row r="52" spans="2:4">
      <c r="B52" s="500"/>
      <c r="C52" s="501"/>
      <c r="D52" s="500"/>
    </row>
    <row r="53" spans="2:4">
      <c r="B53" s="500"/>
      <c r="C53" s="501"/>
      <c r="D53" s="500"/>
    </row>
    <row r="54" spans="2:4">
      <c r="B54" s="500"/>
      <c r="C54" s="501"/>
      <c r="D54" s="500"/>
    </row>
    <row r="55" spans="2:4">
      <c r="B55" s="500"/>
      <c r="C55" s="501"/>
      <c r="D55" s="500"/>
    </row>
    <row r="56" spans="2:4">
      <c r="B56" s="500"/>
      <c r="C56" s="501"/>
      <c r="D56" s="500"/>
    </row>
    <row r="57" spans="2:4">
      <c r="B57" s="500"/>
      <c r="C57" s="501"/>
      <c r="D57" s="500"/>
    </row>
    <row r="58" spans="2:4">
      <c r="B58" s="500"/>
      <c r="C58" s="501"/>
      <c r="D58" s="500"/>
    </row>
    <row r="59" spans="2:4">
      <c r="B59" s="500"/>
      <c r="C59" s="501"/>
      <c r="D59" s="500"/>
    </row>
    <row r="60" spans="2:4">
      <c r="B60" s="500"/>
      <c r="C60" s="501"/>
      <c r="D60" s="500"/>
    </row>
    <row r="61" spans="2:4">
      <c r="B61" s="500"/>
      <c r="C61" s="501"/>
      <c r="D61" s="500"/>
    </row>
    <row r="62" spans="2:4">
      <c r="B62" s="500"/>
      <c r="C62" s="501"/>
      <c r="D62" s="500"/>
    </row>
    <row r="63" spans="2:4">
      <c r="B63" s="500"/>
      <c r="C63" s="501"/>
      <c r="D63" s="500"/>
    </row>
    <row r="64" spans="2:4">
      <c r="B64" s="500"/>
      <c r="C64" s="501"/>
      <c r="D64" s="500"/>
    </row>
    <row r="65" spans="2:4">
      <c r="B65" s="500"/>
      <c r="C65" s="501"/>
      <c r="D65" s="500"/>
    </row>
    <row r="66" spans="2:4">
      <c r="B66" s="500"/>
      <c r="C66" s="501"/>
      <c r="D66" s="500"/>
    </row>
    <row r="67" spans="2:4">
      <c r="B67" s="500"/>
      <c r="C67" s="501"/>
      <c r="D67" s="500"/>
    </row>
    <row r="68" spans="2:4">
      <c r="B68" s="500"/>
      <c r="C68" s="501"/>
      <c r="D68" s="500"/>
    </row>
    <row r="69" spans="2:4">
      <c r="B69" s="500"/>
      <c r="C69" s="501"/>
      <c r="D69" s="500"/>
    </row>
    <row r="70" spans="2:4">
      <c r="B70" s="500"/>
      <c r="C70" s="501"/>
      <c r="D70" s="500"/>
    </row>
    <row r="71" spans="2:4">
      <c r="B71" s="500"/>
      <c r="C71" s="501"/>
      <c r="D71" s="500"/>
    </row>
    <row r="72" spans="2:4">
      <c r="B72" s="500"/>
      <c r="C72" s="501"/>
      <c r="D72" s="500"/>
    </row>
    <row r="73" spans="2:4">
      <c r="B73" s="500"/>
      <c r="C73" s="501"/>
      <c r="D73" s="500"/>
    </row>
    <row r="74" spans="2:4">
      <c r="B74" s="500"/>
      <c r="C74" s="501"/>
      <c r="D74" s="500"/>
    </row>
    <row r="75" spans="2:4">
      <c r="B75" s="500"/>
      <c r="C75" s="501"/>
      <c r="D75" s="500"/>
    </row>
    <row r="76" spans="2:4">
      <c r="B76" s="500"/>
      <c r="C76" s="501"/>
      <c r="D76" s="500"/>
    </row>
    <row r="77" spans="2:4">
      <c r="B77" s="500"/>
      <c r="C77" s="501"/>
      <c r="D77" s="500"/>
    </row>
    <row r="78" spans="2:4">
      <c r="B78" s="500"/>
      <c r="C78" s="501"/>
      <c r="D78" s="500"/>
    </row>
    <row r="79" spans="2:4">
      <c r="B79" s="500"/>
      <c r="C79" s="501"/>
      <c r="D79" s="500"/>
    </row>
    <row r="80" spans="2:4">
      <c r="B80" s="500"/>
      <c r="C80" s="501"/>
      <c r="D80" s="500"/>
    </row>
    <row r="81" spans="2:4">
      <c r="B81" s="500"/>
      <c r="C81" s="501"/>
      <c r="D81" s="500"/>
    </row>
    <row r="82" spans="2:4">
      <c r="B82" s="500"/>
      <c r="C82" s="501"/>
      <c r="D82" s="500"/>
    </row>
    <row r="83" spans="2:4">
      <c r="B83" s="500"/>
      <c r="C83" s="501"/>
      <c r="D83" s="500"/>
    </row>
    <row r="84" spans="2:4">
      <c r="B84" s="500"/>
      <c r="C84" s="501"/>
      <c r="D84" s="500"/>
    </row>
    <row r="85" spans="2:4">
      <c r="B85" s="500"/>
      <c r="C85" s="501"/>
      <c r="D85" s="500"/>
    </row>
    <row r="86" spans="2:4">
      <c r="B86" s="500"/>
      <c r="C86" s="501"/>
      <c r="D86" s="500"/>
    </row>
    <row r="87" spans="2:4">
      <c r="B87" s="500"/>
      <c r="C87" s="501"/>
      <c r="D87" s="500"/>
    </row>
    <row r="88" spans="2:4">
      <c r="B88" s="500"/>
      <c r="C88" s="501"/>
      <c r="D88" s="500"/>
    </row>
    <row r="89" spans="2:4">
      <c r="B89" s="500"/>
      <c r="C89" s="501"/>
      <c r="D89" s="500"/>
    </row>
    <row r="90" spans="2:4">
      <c r="B90" s="500"/>
      <c r="C90" s="501"/>
      <c r="D90" s="500"/>
    </row>
    <row r="91" spans="2:4">
      <c r="B91" s="500"/>
      <c r="C91" s="501"/>
      <c r="D91" s="500"/>
    </row>
    <row r="92" spans="2:4">
      <c r="B92" s="500"/>
      <c r="C92" s="501"/>
      <c r="D92" s="500"/>
    </row>
    <row r="93" spans="2:4">
      <c r="B93" s="500"/>
      <c r="C93" s="501"/>
      <c r="D93" s="500"/>
    </row>
    <row r="94" spans="2:4">
      <c r="B94" s="500"/>
      <c r="C94" s="501"/>
      <c r="D94" s="500"/>
    </row>
    <row r="95" spans="2:4">
      <c r="B95" s="500"/>
      <c r="C95" s="501"/>
      <c r="D95" s="500"/>
    </row>
    <row r="96" spans="2:4">
      <c r="B96" s="500"/>
      <c r="C96" s="501"/>
      <c r="D96" s="500"/>
    </row>
  </sheetData>
  <dataValidations count="1">
    <dataValidation type="list" allowBlank="1" showInputMessage="1" showErrorMessage="1" sqref="C8:C96" xr:uid="{00000000-0002-0000-0200-000000000000}">
      <formula1>"DNO, Ofgem"</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A57A6-A140-4F0D-ACF9-15E7740B2BA8}">
  <sheetPr codeName="Sheet8">
    <pageSetUpPr autoPageBreaks="0"/>
  </sheetPr>
  <dimension ref="A1:K371"/>
  <sheetViews>
    <sheetView zoomScale="70" zoomScaleNormal="70" workbookViewId="0"/>
  </sheetViews>
  <sheetFormatPr defaultColWidth="0" defaultRowHeight="13.5"/>
  <cols>
    <col min="1" max="1" width="1.4609375" customWidth="1"/>
    <col min="2" max="2" width="4" style="385" customWidth="1"/>
    <col min="3" max="3" width="46" style="386" customWidth="1"/>
    <col min="4" max="4" width="3" customWidth="1"/>
    <col min="5" max="11" width="9" customWidth="1"/>
    <col min="12" max="16384" width="9" hidden="1"/>
  </cols>
  <sheetData>
    <row r="1" spans="1:10" s="382" customFormat="1" ht="19.5">
      <c r="A1" s="381" t="s">
        <v>50</v>
      </c>
    </row>
    <row r="2" spans="1:10" s="382" customFormat="1" ht="15">
      <c r="A2" s="383"/>
    </row>
    <row r="3" spans="1:10" s="382" customFormat="1" ht="15">
      <c r="A3" s="536" t="s">
        <v>34</v>
      </c>
    </row>
    <row r="4" spans="1:10" ht="14" thickBot="1">
      <c r="A4" s="384"/>
    </row>
    <row r="5" spans="1:10" ht="14" thickBot="1">
      <c r="B5" s="548" t="s">
        <v>51</v>
      </c>
      <c r="C5" s="549"/>
      <c r="E5" s="550" t="s">
        <v>52</v>
      </c>
      <c r="F5" s="551"/>
      <c r="G5" s="551"/>
      <c r="H5" s="551"/>
      <c r="I5" s="551"/>
      <c r="J5" s="552"/>
    </row>
    <row r="6" spans="1:10" ht="14" thickBot="1">
      <c r="A6" s="387"/>
      <c r="B6" s="388">
        <v>1</v>
      </c>
      <c r="C6" s="389" t="s">
        <v>53</v>
      </c>
      <c r="E6" s="90"/>
      <c r="F6" s="390" t="s">
        <v>54</v>
      </c>
      <c r="G6" s="391" t="s">
        <v>55</v>
      </c>
      <c r="H6" s="391" t="s">
        <v>56</v>
      </c>
      <c r="I6" s="391" t="s">
        <v>57</v>
      </c>
      <c r="J6" s="392" t="s">
        <v>58</v>
      </c>
    </row>
    <row r="7" spans="1:10">
      <c r="A7" s="387"/>
      <c r="B7" s="393">
        <v>1</v>
      </c>
      <c r="C7" s="394" t="s">
        <v>53</v>
      </c>
      <c r="E7" s="395" t="s">
        <v>59</v>
      </c>
      <c r="F7" s="519">
        <v>287</v>
      </c>
      <c r="G7" s="519">
        <v>1174</v>
      </c>
      <c r="H7" s="519">
        <v>2408</v>
      </c>
      <c r="I7" s="519">
        <v>3800</v>
      </c>
      <c r="J7" s="520">
        <v>5547</v>
      </c>
    </row>
    <row r="8" spans="1:10">
      <c r="A8" s="387"/>
      <c r="B8" s="393">
        <v>1</v>
      </c>
      <c r="C8" s="394" t="s">
        <v>53</v>
      </c>
      <c r="E8" s="396" t="s">
        <v>60</v>
      </c>
      <c r="F8" s="519">
        <v>410</v>
      </c>
      <c r="G8" s="519">
        <v>1677</v>
      </c>
      <c r="H8" s="519">
        <v>3441</v>
      </c>
      <c r="I8" s="519">
        <v>5429</v>
      </c>
      <c r="J8" s="520">
        <v>7924</v>
      </c>
    </row>
    <row r="9" spans="1:10">
      <c r="A9" s="387"/>
      <c r="B9" s="393">
        <v>1</v>
      </c>
      <c r="C9" s="394" t="s">
        <v>53</v>
      </c>
      <c r="E9" s="396" t="s">
        <v>61</v>
      </c>
      <c r="F9" s="519">
        <v>615</v>
      </c>
      <c r="G9" s="519">
        <v>2515</v>
      </c>
      <c r="H9" s="519">
        <v>5161</v>
      </c>
      <c r="I9" s="519">
        <v>8143</v>
      </c>
      <c r="J9" s="520">
        <v>11887</v>
      </c>
    </row>
    <row r="10" spans="1:10" ht="14" thickBot="1">
      <c r="A10" s="387"/>
      <c r="B10" s="397">
        <v>1</v>
      </c>
      <c r="C10" s="398" t="s">
        <v>53</v>
      </c>
      <c r="E10" s="399" t="s">
        <v>62</v>
      </c>
      <c r="F10" s="521">
        <v>1025</v>
      </c>
      <c r="G10" s="521">
        <v>4192</v>
      </c>
      <c r="H10" s="521">
        <v>8601</v>
      </c>
      <c r="I10" s="521">
        <v>13572</v>
      </c>
      <c r="J10" s="522">
        <v>19811</v>
      </c>
    </row>
    <row r="11" spans="1:10" ht="14" thickBot="1">
      <c r="A11" s="387"/>
      <c r="F11" s="515"/>
      <c r="G11" s="515"/>
      <c r="H11" s="515"/>
      <c r="I11" s="515"/>
      <c r="J11" s="515"/>
    </row>
    <row r="12" spans="1:10" ht="14" thickBot="1">
      <c r="A12" s="387"/>
      <c r="B12" s="388">
        <v>2</v>
      </c>
      <c r="C12" s="389" t="s">
        <v>63</v>
      </c>
      <c r="E12" s="90"/>
      <c r="F12" s="516" t="s">
        <v>54</v>
      </c>
      <c r="G12" s="517" t="s">
        <v>55</v>
      </c>
      <c r="H12" s="517" t="s">
        <v>56</v>
      </c>
      <c r="I12" s="517" t="s">
        <v>57</v>
      </c>
      <c r="J12" s="518" t="s">
        <v>58</v>
      </c>
    </row>
    <row r="13" spans="1:10">
      <c r="A13" s="387"/>
      <c r="B13" s="393">
        <v>2</v>
      </c>
      <c r="C13" s="394" t="s">
        <v>63</v>
      </c>
      <c r="E13" s="400" t="s">
        <v>59</v>
      </c>
      <c r="F13" s="523">
        <v>386</v>
      </c>
      <c r="G13" s="524">
        <v>1394</v>
      </c>
      <c r="H13" s="524">
        <v>2904</v>
      </c>
      <c r="I13" s="524">
        <v>4762</v>
      </c>
      <c r="J13" s="525">
        <v>7257</v>
      </c>
    </row>
    <row r="14" spans="1:10">
      <c r="A14" s="387"/>
      <c r="B14" s="393">
        <v>2</v>
      </c>
      <c r="C14" s="394" t="s">
        <v>63</v>
      </c>
      <c r="E14" s="396" t="s">
        <v>60</v>
      </c>
      <c r="F14" s="526">
        <v>551</v>
      </c>
      <c r="G14" s="519">
        <v>1991</v>
      </c>
      <c r="H14" s="519">
        <v>4148</v>
      </c>
      <c r="I14" s="519">
        <v>6802</v>
      </c>
      <c r="J14" s="520">
        <v>10367</v>
      </c>
    </row>
    <row r="15" spans="1:10">
      <c r="A15" s="387"/>
      <c r="B15" s="393">
        <v>2</v>
      </c>
      <c r="C15" s="394" t="s">
        <v>63</v>
      </c>
      <c r="E15" s="396" t="s">
        <v>61</v>
      </c>
      <c r="F15" s="526">
        <v>827</v>
      </c>
      <c r="G15" s="519">
        <v>2987</v>
      </c>
      <c r="H15" s="519">
        <v>6222</v>
      </c>
      <c r="I15" s="519">
        <v>10203</v>
      </c>
      <c r="J15" s="520">
        <v>15551</v>
      </c>
    </row>
    <row r="16" spans="1:10" ht="14" thickBot="1">
      <c r="A16" s="387"/>
      <c r="B16" s="397">
        <v>2</v>
      </c>
      <c r="C16" s="398" t="s">
        <v>63</v>
      </c>
      <c r="E16" s="399" t="s">
        <v>62</v>
      </c>
      <c r="F16" s="527">
        <v>1378</v>
      </c>
      <c r="G16" s="521">
        <v>4978</v>
      </c>
      <c r="H16" s="521">
        <v>10370</v>
      </c>
      <c r="I16" s="521">
        <v>17006</v>
      </c>
      <c r="J16" s="522">
        <v>25918</v>
      </c>
    </row>
    <row r="17" spans="1:10" ht="14" thickBot="1">
      <c r="A17" s="387"/>
      <c r="F17" s="515"/>
      <c r="G17" s="515"/>
      <c r="H17" s="515"/>
      <c r="I17" s="515"/>
      <c r="J17" s="515"/>
    </row>
    <row r="18" spans="1:10" ht="14" thickBot="1">
      <c r="A18" s="387"/>
      <c r="B18" s="388">
        <v>3</v>
      </c>
      <c r="C18" s="389" t="s">
        <v>64</v>
      </c>
      <c r="E18" s="90"/>
      <c r="F18" s="516" t="s">
        <v>54</v>
      </c>
      <c r="G18" s="517" t="s">
        <v>55</v>
      </c>
      <c r="H18" s="517" t="s">
        <v>56</v>
      </c>
      <c r="I18" s="517" t="s">
        <v>57</v>
      </c>
      <c r="J18" s="518" t="s">
        <v>58</v>
      </c>
    </row>
    <row r="19" spans="1:10">
      <c r="A19" s="387"/>
      <c r="B19" s="393">
        <v>3</v>
      </c>
      <c r="C19" s="394" t="s">
        <v>64</v>
      </c>
      <c r="E19" s="400" t="s">
        <v>59</v>
      </c>
      <c r="F19" s="523">
        <v>410</v>
      </c>
      <c r="G19" s="524">
        <v>1482</v>
      </c>
      <c r="H19" s="524">
        <v>3090</v>
      </c>
      <c r="I19" s="524">
        <v>5069</v>
      </c>
      <c r="J19" s="525">
        <v>7726</v>
      </c>
    </row>
    <row r="20" spans="1:10">
      <c r="A20" s="387"/>
      <c r="B20" s="393">
        <v>3</v>
      </c>
      <c r="C20" s="394" t="s">
        <v>64</v>
      </c>
      <c r="E20" s="396" t="s">
        <v>60</v>
      </c>
      <c r="F20" s="526">
        <v>585</v>
      </c>
      <c r="G20" s="519">
        <v>2118</v>
      </c>
      <c r="H20" s="519">
        <v>4415</v>
      </c>
      <c r="I20" s="519">
        <v>7242</v>
      </c>
      <c r="J20" s="520">
        <v>11037</v>
      </c>
    </row>
    <row r="21" spans="1:10">
      <c r="A21" s="387"/>
      <c r="B21" s="393">
        <v>3</v>
      </c>
      <c r="C21" s="394" t="s">
        <v>64</v>
      </c>
      <c r="E21" s="396" t="s">
        <v>61</v>
      </c>
      <c r="F21" s="526">
        <v>878</v>
      </c>
      <c r="G21" s="519">
        <v>3176</v>
      </c>
      <c r="H21" s="519">
        <v>6622</v>
      </c>
      <c r="I21" s="519">
        <v>10863</v>
      </c>
      <c r="J21" s="520">
        <v>16556</v>
      </c>
    </row>
    <row r="22" spans="1:10" ht="14" thickBot="1">
      <c r="A22" s="387"/>
      <c r="B22" s="397">
        <v>3</v>
      </c>
      <c r="C22" s="398" t="s">
        <v>64</v>
      </c>
      <c r="E22" s="399" t="s">
        <v>62</v>
      </c>
      <c r="F22" s="527">
        <v>1463</v>
      </c>
      <c r="G22" s="521">
        <v>5294</v>
      </c>
      <c r="H22" s="521">
        <v>11037</v>
      </c>
      <c r="I22" s="521">
        <v>18105</v>
      </c>
      <c r="J22" s="522">
        <v>27593</v>
      </c>
    </row>
    <row r="23" spans="1:10" ht="14" thickBot="1">
      <c r="A23" s="387"/>
      <c r="F23" s="515"/>
      <c r="G23" s="515"/>
      <c r="H23" s="515"/>
      <c r="I23" s="515"/>
      <c r="J23" s="515"/>
    </row>
    <row r="24" spans="1:10" ht="14" thickBot="1">
      <c r="A24" s="387"/>
      <c r="B24" s="388">
        <v>4</v>
      </c>
      <c r="C24" s="389" t="s">
        <v>65</v>
      </c>
      <c r="E24" s="90"/>
      <c r="F24" s="516" t="s">
        <v>54</v>
      </c>
      <c r="G24" s="517" t="s">
        <v>55</v>
      </c>
      <c r="H24" s="517" t="s">
        <v>56</v>
      </c>
      <c r="I24" s="517" t="s">
        <v>57</v>
      </c>
      <c r="J24" s="518" t="s">
        <v>58</v>
      </c>
    </row>
    <row r="25" spans="1:10">
      <c r="A25" s="387"/>
      <c r="B25" s="393">
        <v>4</v>
      </c>
      <c r="C25" s="394" t="s">
        <v>65</v>
      </c>
      <c r="E25" s="400" t="s">
        <v>59</v>
      </c>
      <c r="F25" s="523">
        <v>419</v>
      </c>
      <c r="G25" s="524">
        <v>1515</v>
      </c>
      <c r="H25" s="524">
        <v>3158</v>
      </c>
      <c r="I25" s="524">
        <v>5180</v>
      </c>
      <c r="J25" s="525">
        <v>7894</v>
      </c>
    </row>
    <row r="26" spans="1:10">
      <c r="A26" s="387"/>
      <c r="B26" s="393">
        <v>4</v>
      </c>
      <c r="C26" s="394" t="s">
        <v>65</v>
      </c>
      <c r="E26" s="396" t="s">
        <v>60</v>
      </c>
      <c r="F26" s="526">
        <v>598</v>
      </c>
      <c r="G26" s="519">
        <v>2164</v>
      </c>
      <c r="H26" s="519">
        <v>4511</v>
      </c>
      <c r="I26" s="519">
        <v>7400</v>
      </c>
      <c r="J26" s="520">
        <v>11277</v>
      </c>
    </row>
    <row r="27" spans="1:10">
      <c r="A27" s="387"/>
      <c r="B27" s="393">
        <v>4</v>
      </c>
      <c r="C27" s="394" t="s">
        <v>65</v>
      </c>
      <c r="E27" s="396" t="s">
        <v>61</v>
      </c>
      <c r="F27" s="526">
        <v>897</v>
      </c>
      <c r="G27" s="519">
        <v>3245</v>
      </c>
      <c r="H27" s="519">
        <v>6766</v>
      </c>
      <c r="I27" s="519">
        <v>11100</v>
      </c>
      <c r="J27" s="520">
        <v>16916</v>
      </c>
    </row>
    <row r="28" spans="1:10" ht="14" thickBot="1">
      <c r="A28" s="387"/>
      <c r="B28" s="397">
        <v>4</v>
      </c>
      <c r="C28" s="398" t="s">
        <v>65</v>
      </c>
      <c r="E28" s="399" t="s">
        <v>62</v>
      </c>
      <c r="F28" s="527">
        <v>1495</v>
      </c>
      <c r="G28" s="521">
        <v>5409</v>
      </c>
      <c r="H28" s="521">
        <v>11277</v>
      </c>
      <c r="I28" s="521">
        <v>18499</v>
      </c>
      <c r="J28" s="522">
        <v>28193</v>
      </c>
    </row>
    <row r="29" spans="1:10" ht="14" thickBot="1">
      <c r="A29" s="387"/>
      <c r="F29" s="515"/>
      <c r="G29" s="515"/>
      <c r="H29" s="515"/>
      <c r="I29" s="515"/>
      <c r="J29" s="515"/>
    </row>
    <row r="30" spans="1:10" ht="14" thickBot="1">
      <c r="A30" s="387"/>
      <c r="B30" s="388">
        <v>5</v>
      </c>
      <c r="C30" s="389" t="s">
        <v>66</v>
      </c>
      <c r="E30" s="90"/>
      <c r="F30" s="516" t="s">
        <v>54</v>
      </c>
      <c r="G30" s="517" t="s">
        <v>55</v>
      </c>
      <c r="H30" s="517" t="s">
        <v>56</v>
      </c>
      <c r="I30" s="517" t="s">
        <v>57</v>
      </c>
      <c r="J30" s="518" t="s">
        <v>58</v>
      </c>
    </row>
    <row r="31" spans="1:10">
      <c r="A31" s="387"/>
      <c r="B31" s="393">
        <v>5</v>
      </c>
      <c r="C31" s="394" t="s">
        <v>66</v>
      </c>
      <c r="E31" s="400" t="s">
        <v>59</v>
      </c>
      <c r="F31" s="523">
        <v>379</v>
      </c>
      <c r="G31" s="524">
        <v>1371</v>
      </c>
      <c r="H31" s="524">
        <v>2859</v>
      </c>
      <c r="I31" s="524">
        <v>4690</v>
      </c>
      <c r="J31" s="525">
        <v>7147</v>
      </c>
    </row>
    <row r="32" spans="1:10">
      <c r="A32" s="387"/>
      <c r="B32" s="393">
        <v>5</v>
      </c>
      <c r="C32" s="394" t="s">
        <v>66</v>
      </c>
      <c r="E32" s="396" t="s">
        <v>60</v>
      </c>
      <c r="F32" s="526">
        <v>541</v>
      </c>
      <c r="G32" s="519">
        <v>1959</v>
      </c>
      <c r="H32" s="519">
        <v>4084</v>
      </c>
      <c r="I32" s="519">
        <v>6700</v>
      </c>
      <c r="J32" s="520">
        <v>10210</v>
      </c>
    </row>
    <row r="33" spans="1:10">
      <c r="A33" s="387"/>
      <c r="B33" s="393">
        <v>5</v>
      </c>
      <c r="C33" s="394" t="s">
        <v>66</v>
      </c>
      <c r="E33" s="396" t="s">
        <v>61</v>
      </c>
      <c r="F33" s="526">
        <v>812</v>
      </c>
      <c r="G33" s="519">
        <v>2938</v>
      </c>
      <c r="H33" s="519">
        <v>6126</v>
      </c>
      <c r="I33" s="519">
        <v>10049</v>
      </c>
      <c r="J33" s="520">
        <v>15315</v>
      </c>
    </row>
    <row r="34" spans="1:10" ht="14" thickBot="1">
      <c r="A34" s="387"/>
      <c r="B34" s="397">
        <v>5</v>
      </c>
      <c r="C34" s="398" t="s">
        <v>66</v>
      </c>
      <c r="E34" s="399" t="s">
        <v>62</v>
      </c>
      <c r="F34" s="527">
        <v>1354</v>
      </c>
      <c r="G34" s="521">
        <v>4897</v>
      </c>
      <c r="H34" s="521">
        <v>10210</v>
      </c>
      <c r="I34" s="521">
        <v>16749</v>
      </c>
      <c r="J34" s="522">
        <v>25526</v>
      </c>
    </row>
    <row r="35" spans="1:10" ht="14" thickBot="1">
      <c r="A35" s="387"/>
      <c r="F35" s="515"/>
      <c r="G35" s="515"/>
      <c r="H35" s="515"/>
      <c r="I35" s="515"/>
      <c r="J35" s="515"/>
    </row>
    <row r="36" spans="1:10" ht="14" thickBot="1">
      <c r="A36" s="387"/>
      <c r="B36" s="388">
        <v>6</v>
      </c>
      <c r="C36" s="389" t="s">
        <v>67</v>
      </c>
      <c r="E36" s="90"/>
      <c r="F36" s="516" t="s">
        <v>54</v>
      </c>
      <c r="G36" s="517" t="s">
        <v>55</v>
      </c>
      <c r="H36" s="517" t="s">
        <v>56</v>
      </c>
      <c r="I36" s="517" t="s">
        <v>57</v>
      </c>
      <c r="J36" s="518" t="s">
        <v>58</v>
      </c>
    </row>
    <row r="37" spans="1:10">
      <c r="A37" s="387"/>
      <c r="B37" s="393">
        <v>6</v>
      </c>
      <c r="C37" s="394" t="s">
        <v>67</v>
      </c>
      <c r="E37" s="400" t="s">
        <v>59</v>
      </c>
      <c r="F37" s="523">
        <v>674</v>
      </c>
      <c r="G37" s="524">
        <v>2433</v>
      </c>
      <c r="H37" s="524">
        <v>5073</v>
      </c>
      <c r="I37" s="524">
        <v>8319</v>
      </c>
      <c r="J37" s="525">
        <v>12676</v>
      </c>
    </row>
    <row r="38" spans="1:10">
      <c r="A38" s="387"/>
      <c r="B38" s="393">
        <v>6</v>
      </c>
      <c r="C38" s="394" t="s">
        <v>67</v>
      </c>
      <c r="E38" s="396" t="s">
        <v>60</v>
      </c>
      <c r="F38" s="526">
        <v>963</v>
      </c>
      <c r="G38" s="519">
        <v>3476</v>
      </c>
      <c r="H38" s="519">
        <v>7247</v>
      </c>
      <c r="I38" s="519">
        <v>11885</v>
      </c>
      <c r="J38" s="520">
        <v>18108</v>
      </c>
    </row>
    <row r="39" spans="1:10">
      <c r="A39" s="387"/>
      <c r="B39" s="393">
        <v>6</v>
      </c>
      <c r="C39" s="394" t="s">
        <v>67</v>
      </c>
      <c r="E39" s="396" t="s">
        <v>61</v>
      </c>
      <c r="F39" s="526">
        <v>1444</v>
      </c>
      <c r="G39" s="519">
        <v>5214</v>
      </c>
      <c r="H39" s="519">
        <v>10870</v>
      </c>
      <c r="I39" s="519">
        <v>17827</v>
      </c>
      <c r="J39" s="520">
        <v>27162</v>
      </c>
    </row>
    <row r="40" spans="1:10" ht="14" thickBot="1">
      <c r="A40" s="387"/>
      <c r="B40" s="397">
        <v>6</v>
      </c>
      <c r="C40" s="398" t="s">
        <v>67</v>
      </c>
      <c r="E40" s="399" t="s">
        <v>62</v>
      </c>
      <c r="F40" s="527">
        <v>2407</v>
      </c>
      <c r="G40" s="521">
        <v>8690</v>
      </c>
      <c r="H40" s="521">
        <v>18117</v>
      </c>
      <c r="I40" s="521">
        <v>29712</v>
      </c>
      <c r="J40" s="522">
        <v>45271</v>
      </c>
    </row>
    <row r="41" spans="1:10" ht="14" thickBot="1">
      <c r="A41" s="387"/>
      <c r="F41" s="515"/>
      <c r="G41" s="515"/>
      <c r="H41" s="515"/>
      <c r="I41" s="515"/>
      <c r="J41" s="515"/>
    </row>
    <row r="42" spans="1:10" ht="14" thickBot="1">
      <c r="A42" s="387"/>
      <c r="B42" s="388">
        <v>7</v>
      </c>
      <c r="C42" s="389" t="s">
        <v>68</v>
      </c>
      <c r="E42" s="90"/>
      <c r="F42" s="516" t="s">
        <v>54</v>
      </c>
      <c r="G42" s="517" t="s">
        <v>55</v>
      </c>
      <c r="H42" s="517" t="s">
        <v>56</v>
      </c>
      <c r="I42" s="517" t="s">
        <v>57</v>
      </c>
      <c r="J42" s="518" t="s">
        <v>58</v>
      </c>
    </row>
    <row r="43" spans="1:10">
      <c r="A43" s="387"/>
      <c r="B43" s="393">
        <v>7</v>
      </c>
      <c r="C43" s="394" t="s">
        <v>68</v>
      </c>
      <c r="E43" s="400" t="s">
        <v>59</v>
      </c>
      <c r="F43" s="523">
        <v>712</v>
      </c>
      <c r="G43" s="524">
        <v>2569</v>
      </c>
      <c r="H43" s="524">
        <v>5357</v>
      </c>
      <c r="I43" s="524">
        <v>8785</v>
      </c>
      <c r="J43" s="525">
        <v>13385</v>
      </c>
    </row>
    <row r="44" spans="1:10">
      <c r="A44" s="387"/>
      <c r="B44" s="393">
        <v>7</v>
      </c>
      <c r="C44" s="394" t="s">
        <v>68</v>
      </c>
      <c r="E44" s="396" t="s">
        <v>60</v>
      </c>
      <c r="F44" s="526">
        <v>1017</v>
      </c>
      <c r="G44" s="519">
        <v>3671</v>
      </c>
      <c r="H44" s="519">
        <v>7652</v>
      </c>
      <c r="I44" s="519">
        <v>12550</v>
      </c>
      <c r="J44" s="520">
        <v>19122</v>
      </c>
    </row>
    <row r="45" spans="1:10">
      <c r="A45" s="387"/>
      <c r="B45" s="393">
        <v>7</v>
      </c>
      <c r="C45" s="394" t="s">
        <v>68</v>
      </c>
      <c r="E45" s="396" t="s">
        <v>61</v>
      </c>
      <c r="F45" s="526">
        <v>1525</v>
      </c>
      <c r="G45" s="519">
        <v>5506</v>
      </c>
      <c r="H45" s="519">
        <v>11479</v>
      </c>
      <c r="I45" s="519">
        <v>18825</v>
      </c>
      <c r="J45" s="520">
        <v>28683</v>
      </c>
    </row>
    <row r="46" spans="1:10" ht="14" thickBot="1">
      <c r="A46" s="387"/>
      <c r="B46" s="397">
        <v>7</v>
      </c>
      <c r="C46" s="398" t="s">
        <v>68</v>
      </c>
      <c r="E46" s="399" t="s">
        <v>62</v>
      </c>
      <c r="F46" s="527">
        <v>2542</v>
      </c>
      <c r="G46" s="521">
        <v>9176</v>
      </c>
      <c r="H46" s="521">
        <v>19131</v>
      </c>
      <c r="I46" s="521">
        <v>31375</v>
      </c>
      <c r="J46" s="522">
        <v>47804</v>
      </c>
    </row>
    <row r="47" spans="1:10" ht="14" thickBot="1">
      <c r="A47" s="387"/>
      <c r="F47" s="515"/>
      <c r="G47" s="515"/>
      <c r="H47" s="515"/>
      <c r="I47" s="515"/>
      <c r="J47" s="515"/>
    </row>
    <row r="48" spans="1:10" ht="14" thickBot="1">
      <c r="A48" s="387"/>
      <c r="B48" s="388">
        <v>8</v>
      </c>
      <c r="C48" s="389" t="s">
        <v>69</v>
      </c>
      <c r="E48" s="90"/>
      <c r="F48" s="516" t="s">
        <v>54</v>
      </c>
      <c r="G48" s="517" t="s">
        <v>55</v>
      </c>
      <c r="H48" s="517" t="s">
        <v>56</v>
      </c>
      <c r="I48" s="517" t="s">
        <v>57</v>
      </c>
      <c r="J48" s="518" t="s">
        <v>58</v>
      </c>
    </row>
    <row r="49" spans="1:10">
      <c r="A49" s="387"/>
      <c r="B49" s="393">
        <v>8</v>
      </c>
      <c r="C49" s="394" t="s">
        <v>69</v>
      </c>
      <c r="E49" s="400" t="s">
        <v>59</v>
      </c>
      <c r="F49" s="523">
        <v>479</v>
      </c>
      <c r="G49" s="524">
        <v>1960</v>
      </c>
      <c r="H49" s="524">
        <v>4022</v>
      </c>
      <c r="I49" s="524">
        <v>6346</v>
      </c>
      <c r="J49" s="525">
        <v>9264</v>
      </c>
    </row>
    <row r="50" spans="1:10">
      <c r="A50" s="387"/>
      <c r="B50" s="393">
        <v>8</v>
      </c>
      <c r="C50" s="394" t="s">
        <v>69</v>
      </c>
      <c r="E50" s="396" t="s">
        <v>60</v>
      </c>
      <c r="F50" s="526">
        <v>685</v>
      </c>
      <c r="G50" s="519">
        <v>2800</v>
      </c>
      <c r="H50" s="519">
        <v>5745</v>
      </c>
      <c r="I50" s="519">
        <v>9066</v>
      </c>
      <c r="J50" s="520">
        <v>13234</v>
      </c>
    </row>
    <row r="51" spans="1:10">
      <c r="A51" s="387"/>
      <c r="B51" s="393">
        <v>8</v>
      </c>
      <c r="C51" s="394" t="s">
        <v>69</v>
      </c>
      <c r="E51" s="396" t="s">
        <v>61</v>
      </c>
      <c r="F51" s="526">
        <v>1027</v>
      </c>
      <c r="G51" s="519">
        <v>4200</v>
      </c>
      <c r="H51" s="519">
        <v>8618</v>
      </c>
      <c r="I51" s="519">
        <v>13599</v>
      </c>
      <c r="J51" s="520">
        <v>19851</v>
      </c>
    </row>
    <row r="52" spans="1:10" ht="14" thickBot="1">
      <c r="A52" s="387"/>
      <c r="B52" s="397">
        <v>8</v>
      </c>
      <c r="C52" s="398" t="s">
        <v>69</v>
      </c>
      <c r="E52" s="399" t="s">
        <v>62</v>
      </c>
      <c r="F52" s="527">
        <v>1711</v>
      </c>
      <c r="G52" s="521">
        <v>7001</v>
      </c>
      <c r="H52" s="521">
        <v>14363</v>
      </c>
      <c r="I52" s="521">
        <v>22666</v>
      </c>
      <c r="J52" s="522">
        <v>33085</v>
      </c>
    </row>
    <row r="53" spans="1:10" ht="14" thickBot="1">
      <c r="A53" s="387"/>
      <c r="F53" s="515"/>
      <c r="G53" s="515"/>
      <c r="H53" s="515"/>
      <c r="I53" s="515"/>
      <c r="J53" s="515"/>
    </row>
    <row r="54" spans="1:10" ht="14" thickBot="1">
      <c r="A54" s="387"/>
      <c r="B54" s="388">
        <v>9</v>
      </c>
      <c r="C54" s="389" t="s">
        <v>70</v>
      </c>
      <c r="E54" s="90"/>
      <c r="F54" s="516" t="s">
        <v>54</v>
      </c>
      <c r="G54" s="517" t="s">
        <v>55</v>
      </c>
      <c r="H54" s="517" t="s">
        <v>56</v>
      </c>
      <c r="I54" s="517" t="s">
        <v>57</v>
      </c>
      <c r="J54" s="518" t="s">
        <v>58</v>
      </c>
    </row>
    <row r="55" spans="1:10">
      <c r="A55" s="387"/>
      <c r="B55" s="393">
        <v>9</v>
      </c>
      <c r="C55" s="394" t="s">
        <v>70</v>
      </c>
      <c r="E55" s="400" t="s">
        <v>59</v>
      </c>
      <c r="F55" s="523">
        <v>461</v>
      </c>
      <c r="G55" s="524">
        <v>1888</v>
      </c>
      <c r="H55" s="524">
        <v>3874</v>
      </c>
      <c r="I55" s="524">
        <v>6112</v>
      </c>
      <c r="J55" s="525">
        <v>8922</v>
      </c>
    </row>
    <row r="56" spans="1:10">
      <c r="A56" s="387"/>
      <c r="B56" s="393">
        <v>9</v>
      </c>
      <c r="C56" s="394" t="s">
        <v>70</v>
      </c>
      <c r="E56" s="396" t="s">
        <v>60</v>
      </c>
      <c r="F56" s="526">
        <v>659</v>
      </c>
      <c r="G56" s="519">
        <v>2697</v>
      </c>
      <c r="H56" s="519">
        <v>5534</v>
      </c>
      <c r="I56" s="519">
        <v>8732</v>
      </c>
      <c r="J56" s="520">
        <v>12746</v>
      </c>
    </row>
    <row r="57" spans="1:10">
      <c r="A57" s="387"/>
      <c r="B57" s="393">
        <v>9</v>
      </c>
      <c r="C57" s="394" t="s">
        <v>70</v>
      </c>
      <c r="E57" s="396" t="s">
        <v>61</v>
      </c>
      <c r="F57" s="526">
        <v>989</v>
      </c>
      <c r="G57" s="519">
        <v>4046</v>
      </c>
      <c r="H57" s="519">
        <v>8301</v>
      </c>
      <c r="I57" s="519">
        <v>13098</v>
      </c>
      <c r="J57" s="520">
        <v>19119</v>
      </c>
    </row>
    <row r="58" spans="1:10" ht="14" thickBot="1">
      <c r="A58" s="387"/>
      <c r="B58" s="397">
        <v>9</v>
      </c>
      <c r="C58" s="398" t="s">
        <v>70</v>
      </c>
      <c r="E58" s="399" t="s">
        <v>62</v>
      </c>
      <c r="F58" s="527">
        <v>1648</v>
      </c>
      <c r="G58" s="521">
        <v>6743</v>
      </c>
      <c r="H58" s="521">
        <v>13835</v>
      </c>
      <c r="I58" s="521">
        <v>21830</v>
      </c>
      <c r="J58" s="522">
        <v>31865</v>
      </c>
    </row>
    <row r="59" spans="1:10" ht="14" thickBot="1">
      <c r="A59" s="387"/>
      <c r="F59" s="515"/>
      <c r="G59" s="515"/>
      <c r="H59" s="515"/>
      <c r="I59" s="515"/>
      <c r="J59" s="515"/>
    </row>
    <row r="60" spans="1:10" ht="14" thickBot="1">
      <c r="A60" s="387"/>
      <c r="B60" s="388">
        <v>10</v>
      </c>
      <c r="C60" s="389" t="s">
        <v>71</v>
      </c>
      <c r="E60" s="90"/>
      <c r="F60" s="516" t="s">
        <v>54</v>
      </c>
      <c r="G60" s="517" t="s">
        <v>55</v>
      </c>
      <c r="H60" s="517" t="s">
        <v>56</v>
      </c>
      <c r="I60" s="517" t="s">
        <v>57</v>
      </c>
      <c r="J60" s="518" t="s">
        <v>58</v>
      </c>
    </row>
    <row r="61" spans="1:10">
      <c r="A61" s="387"/>
      <c r="B61" s="393">
        <v>10</v>
      </c>
      <c r="C61" s="394" t="s">
        <v>71</v>
      </c>
      <c r="E61" s="400" t="s">
        <v>59</v>
      </c>
      <c r="F61" s="519">
        <v>504</v>
      </c>
      <c r="G61" s="519">
        <v>2063</v>
      </c>
      <c r="H61" s="519">
        <v>4232</v>
      </c>
      <c r="I61" s="519">
        <v>6678</v>
      </c>
      <c r="J61" s="520">
        <v>9747</v>
      </c>
    </row>
    <row r="62" spans="1:10">
      <c r="A62" s="387"/>
      <c r="B62" s="393">
        <v>10</v>
      </c>
      <c r="C62" s="394" t="s">
        <v>71</v>
      </c>
      <c r="E62" s="396" t="s">
        <v>60</v>
      </c>
      <c r="F62" s="519">
        <v>720</v>
      </c>
      <c r="G62" s="519">
        <v>2947</v>
      </c>
      <c r="H62" s="519">
        <v>6046</v>
      </c>
      <c r="I62" s="519">
        <v>9539</v>
      </c>
      <c r="J62" s="520">
        <v>13925</v>
      </c>
    </row>
    <row r="63" spans="1:10">
      <c r="A63" s="387"/>
      <c r="B63" s="393">
        <v>10</v>
      </c>
      <c r="C63" s="394" t="s">
        <v>71</v>
      </c>
      <c r="E63" s="396" t="s">
        <v>61</v>
      </c>
      <c r="F63" s="519">
        <v>1080</v>
      </c>
      <c r="G63" s="519">
        <v>4420</v>
      </c>
      <c r="H63" s="519">
        <v>9069</v>
      </c>
      <c r="I63" s="519">
        <v>14309</v>
      </c>
      <c r="J63" s="520">
        <v>20887</v>
      </c>
    </row>
    <row r="64" spans="1:10" ht="14" thickBot="1">
      <c r="A64" s="387"/>
      <c r="B64" s="397">
        <v>10</v>
      </c>
      <c r="C64" s="398" t="s">
        <v>71</v>
      </c>
      <c r="E64" s="399" t="s">
        <v>62</v>
      </c>
      <c r="F64" s="521">
        <v>1801</v>
      </c>
      <c r="G64" s="521">
        <v>7367</v>
      </c>
      <c r="H64" s="521">
        <v>15114</v>
      </c>
      <c r="I64" s="521">
        <v>23848</v>
      </c>
      <c r="J64" s="522">
        <v>34812</v>
      </c>
    </row>
    <row r="65" spans="1:10" ht="14" thickBot="1">
      <c r="A65" s="387"/>
      <c r="F65" s="515"/>
      <c r="G65" s="515"/>
      <c r="H65" s="515"/>
      <c r="I65" s="515"/>
      <c r="J65" s="515"/>
    </row>
    <row r="66" spans="1:10" ht="14" thickBot="1">
      <c r="A66" s="387"/>
      <c r="B66" s="388">
        <v>11</v>
      </c>
      <c r="C66" s="389" t="s">
        <v>72</v>
      </c>
      <c r="E66" s="90"/>
      <c r="F66" s="516" t="s">
        <v>54</v>
      </c>
      <c r="G66" s="517" t="s">
        <v>55</v>
      </c>
      <c r="H66" s="517" t="s">
        <v>56</v>
      </c>
      <c r="I66" s="517" t="s">
        <v>57</v>
      </c>
      <c r="J66" s="518" t="s">
        <v>58</v>
      </c>
    </row>
    <row r="67" spans="1:10">
      <c r="A67" s="387"/>
      <c r="B67" s="393">
        <v>11</v>
      </c>
      <c r="C67" s="394" t="s">
        <v>72</v>
      </c>
      <c r="E67" s="400" t="s">
        <v>59</v>
      </c>
      <c r="F67" s="523">
        <v>29395</v>
      </c>
      <c r="G67" s="524">
        <v>106264</v>
      </c>
      <c r="H67" s="524">
        <v>221475</v>
      </c>
      <c r="I67" s="524">
        <v>363212</v>
      </c>
      <c r="J67" s="525">
        <v>553476</v>
      </c>
    </row>
    <row r="68" spans="1:10">
      <c r="A68" s="387"/>
      <c r="B68" s="393">
        <v>11</v>
      </c>
      <c r="C68" s="394" t="s">
        <v>72</v>
      </c>
      <c r="E68" s="396" t="s">
        <v>60</v>
      </c>
      <c r="F68" s="526">
        <v>41993</v>
      </c>
      <c r="G68" s="519">
        <v>151805</v>
      </c>
      <c r="H68" s="519">
        <v>316393</v>
      </c>
      <c r="I68" s="519">
        <v>518875</v>
      </c>
      <c r="J68" s="520">
        <v>790681</v>
      </c>
    </row>
    <row r="69" spans="1:10">
      <c r="A69" s="387"/>
      <c r="B69" s="393">
        <v>11</v>
      </c>
      <c r="C69" s="394" t="s">
        <v>72</v>
      </c>
      <c r="E69" s="396" t="s">
        <v>61</v>
      </c>
      <c r="F69" s="526">
        <v>62989</v>
      </c>
      <c r="G69" s="519">
        <v>227708</v>
      </c>
      <c r="H69" s="519">
        <v>474589</v>
      </c>
      <c r="I69" s="519">
        <v>778312</v>
      </c>
      <c r="J69" s="520">
        <v>1186021</v>
      </c>
    </row>
    <row r="70" spans="1:10" ht="14" thickBot="1">
      <c r="A70" s="387"/>
      <c r="B70" s="397">
        <v>11</v>
      </c>
      <c r="C70" s="398" t="s">
        <v>72</v>
      </c>
      <c r="E70" s="399" t="s">
        <v>62</v>
      </c>
      <c r="F70" s="527">
        <v>104982</v>
      </c>
      <c r="G70" s="521">
        <v>379513</v>
      </c>
      <c r="H70" s="521">
        <v>790981</v>
      </c>
      <c r="I70" s="521">
        <v>1297187</v>
      </c>
      <c r="J70" s="522">
        <v>1976702</v>
      </c>
    </row>
    <row r="71" spans="1:10" ht="14" thickBot="1">
      <c r="A71" s="387"/>
      <c r="F71" s="515"/>
      <c r="G71" s="515"/>
      <c r="H71" s="515"/>
      <c r="I71" s="515"/>
      <c r="J71" s="515"/>
    </row>
    <row r="72" spans="1:10" ht="14" thickBot="1">
      <c r="A72" s="387"/>
      <c r="B72" s="388">
        <v>12</v>
      </c>
      <c r="C72" s="389" t="s">
        <v>73</v>
      </c>
      <c r="E72" s="90"/>
      <c r="F72" s="516" t="s">
        <v>54</v>
      </c>
      <c r="G72" s="517" t="s">
        <v>55</v>
      </c>
      <c r="H72" s="517" t="s">
        <v>56</v>
      </c>
      <c r="I72" s="517" t="s">
        <v>57</v>
      </c>
      <c r="J72" s="518" t="s">
        <v>58</v>
      </c>
    </row>
    <row r="73" spans="1:10">
      <c r="A73" s="387"/>
      <c r="B73" s="393">
        <v>12</v>
      </c>
      <c r="C73" s="394" t="s">
        <v>73</v>
      </c>
      <c r="E73" s="400" t="s">
        <v>59</v>
      </c>
      <c r="F73" s="523">
        <v>1490</v>
      </c>
      <c r="G73" s="524">
        <v>6100</v>
      </c>
      <c r="H73" s="524">
        <v>12512</v>
      </c>
      <c r="I73" s="524">
        <v>19743</v>
      </c>
      <c r="J73" s="525">
        <v>28819</v>
      </c>
    </row>
    <row r="74" spans="1:10">
      <c r="A74" s="387"/>
      <c r="B74" s="393">
        <v>12</v>
      </c>
      <c r="C74" s="394" t="s">
        <v>73</v>
      </c>
      <c r="E74" s="396" t="s">
        <v>60</v>
      </c>
      <c r="F74" s="526">
        <v>2129</v>
      </c>
      <c r="G74" s="519">
        <v>8714</v>
      </c>
      <c r="H74" s="519">
        <v>17874</v>
      </c>
      <c r="I74" s="519">
        <v>28205</v>
      </c>
      <c r="J74" s="520">
        <v>41170</v>
      </c>
    </row>
    <row r="75" spans="1:10">
      <c r="A75" s="387"/>
      <c r="B75" s="393">
        <v>12</v>
      </c>
      <c r="C75" s="394" t="s">
        <v>73</v>
      </c>
      <c r="E75" s="396" t="s">
        <v>61</v>
      </c>
      <c r="F75" s="526">
        <v>3194</v>
      </c>
      <c r="G75" s="519">
        <v>13071</v>
      </c>
      <c r="H75" s="519">
        <v>26811</v>
      </c>
      <c r="I75" s="519">
        <v>42307</v>
      </c>
      <c r="J75" s="520">
        <v>61755</v>
      </c>
    </row>
    <row r="76" spans="1:10" ht="14" thickBot="1">
      <c r="A76" s="387"/>
      <c r="B76" s="397">
        <v>12</v>
      </c>
      <c r="C76" s="398" t="s">
        <v>73</v>
      </c>
      <c r="E76" s="399" t="s">
        <v>62</v>
      </c>
      <c r="F76" s="527">
        <v>5323</v>
      </c>
      <c r="G76" s="521">
        <v>21785</v>
      </c>
      <c r="H76" s="521">
        <v>44685</v>
      </c>
      <c r="I76" s="521">
        <v>70512</v>
      </c>
      <c r="J76" s="522">
        <v>102924</v>
      </c>
    </row>
    <row r="77" spans="1:10" ht="14" thickBot="1">
      <c r="A77" s="387"/>
      <c r="F77" s="515"/>
      <c r="G77" s="515"/>
      <c r="H77" s="515"/>
      <c r="I77" s="515"/>
      <c r="J77" s="515"/>
    </row>
    <row r="78" spans="1:10" ht="14" thickBot="1">
      <c r="A78" s="387"/>
      <c r="B78" s="388">
        <v>13</v>
      </c>
      <c r="C78" s="389" t="s">
        <v>74</v>
      </c>
      <c r="E78" s="90"/>
      <c r="F78" s="516" t="s">
        <v>54</v>
      </c>
      <c r="G78" s="517" t="s">
        <v>55</v>
      </c>
      <c r="H78" s="517" t="s">
        <v>56</v>
      </c>
      <c r="I78" s="517" t="s">
        <v>57</v>
      </c>
      <c r="J78" s="518" t="s">
        <v>58</v>
      </c>
    </row>
    <row r="79" spans="1:10">
      <c r="A79" s="387"/>
      <c r="B79" s="393">
        <v>13</v>
      </c>
      <c r="C79" s="394" t="s">
        <v>74</v>
      </c>
      <c r="E79" s="400" t="s">
        <v>59</v>
      </c>
      <c r="F79" s="523">
        <v>652</v>
      </c>
      <c r="G79" s="524">
        <v>2668</v>
      </c>
      <c r="H79" s="524">
        <v>5475</v>
      </c>
      <c r="I79" s="524">
        <v>8638</v>
      </c>
      <c r="J79" s="525">
        <v>12610</v>
      </c>
    </row>
    <row r="80" spans="1:10">
      <c r="A80" s="387"/>
      <c r="B80" s="393">
        <v>13</v>
      </c>
      <c r="C80" s="394" t="s">
        <v>74</v>
      </c>
      <c r="E80" s="396" t="s">
        <v>60</v>
      </c>
      <c r="F80" s="526">
        <v>932</v>
      </c>
      <c r="G80" s="519">
        <v>3812</v>
      </c>
      <c r="H80" s="519">
        <v>7822</v>
      </c>
      <c r="I80" s="519">
        <v>12339</v>
      </c>
      <c r="J80" s="520">
        <v>18015</v>
      </c>
    </row>
    <row r="81" spans="1:10">
      <c r="A81" s="387"/>
      <c r="B81" s="393">
        <v>13</v>
      </c>
      <c r="C81" s="394" t="s">
        <v>74</v>
      </c>
      <c r="E81" s="396" t="s">
        <v>61</v>
      </c>
      <c r="F81" s="526">
        <v>1398</v>
      </c>
      <c r="G81" s="519">
        <v>5717</v>
      </c>
      <c r="H81" s="519">
        <v>11733</v>
      </c>
      <c r="I81" s="519">
        <v>18509</v>
      </c>
      <c r="J81" s="520">
        <v>27022</v>
      </c>
    </row>
    <row r="82" spans="1:10" ht="14" thickBot="1">
      <c r="A82" s="387"/>
      <c r="B82" s="397">
        <v>13</v>
      </c>
      <c r="C82" s="398" t="s">
        <v>74</v>
      </c>
      <c r="E82" s="399" t="s">
        <v>62</v>
      </c>
      <c r="F82" s="527">
        <v>2329</v>
      </c>
      <c r="G82" s="521">
        <v>9529</v>
      </c>
      <c r="H82" s="521">
        <v>19555</v>
      </c>
      <c r="I82" s="521">
        <v>30849</v>
      </c>
      <c r="J82" s="522">
        <v>45037</v>
      </c>
    </row>
    <row r="83" spans="1:10" ht="14" thickBot="1">
      <c r="A83" s="387"/>
      <c r="F83" s="515"/>
      <c r="G83" s="515"/>
      <c r="H83" s="515"/>
      <c r="I83" s="515"/>
      <c r="J83" s="515"/>
    </row>
    <row r="84" spans="1:10" ht="14" thickBot="1">
      <c r="A84" s="387"/>
      <c r="B84" s="388">
        <v>14</v>
      </c>
      <c r="C84" s="389" t="s">
        <v>75</v>
      </c>
      <c r="E84" s="90"/>
      <c r="F84" s="516" t="s">
        <v>54</v>
      </c>
      <c r="G84" s="517" t="s">
        <v>55</v>
      </c>
      <c r="H84" s="517" t="s">
        <v>56</v>
      </c>
      <c r="I84" s="517" t="s">
        <v>57</v>
      </c>
      <c r="J84" s="518" t="s">
        <v>58</v>
      </c>
    </row>
    <row r="85" spans="1:10">
      <c r="A85" s="387"/>
      <c r="B85" s="393">
        <v>14</v>
      </c>
      <c r="C85" s="394" t="s">
        <v>75</v>
      </c>
      <c r="E85" s="400" t="s">
        <v>59</v>
      </c>
      <c r="F85" s="523">
        <v>608</v>
      </c>
      <c r="G85" s="524">
        <v>2486</v>
      </c>
      <c r="H85" s="524">
        <v>5103</v>
      </c>
      <c r="I85" s="524">
        <v>8049</v>
      </c>
      <c r="J85" s="525">
        <v>11752</v>
      </c>
    </row>
    <row r="86" spans="1:10">
      <c r="A86" s="387"/>
      <c r="B86" s="393">
        <v>14</v>
      </c>
      <c r="C86" s="394" t="s">
        <v>75</v>
      </c>
      <c r="E86" s="396" t="s">
        <v>60</v>
      </c>
      <c r="F86" s="526">
        <v>868</v>
      </c>
      <c r="G86" s="519">
        <v>3552</v>
      </c>
      <c r="H86" s="519">
        <v>7289</v>
      </c>
      <c r="I86" s="519">
        <v>11499</v>
      </c>
      <c r="J86" s="520">
        <v>16788</v>
      </c>
    </row>
    <row r="87" spans="1:10">
      <c r="A87" s="387"/>
      <c r="B87" s="393">
        <v>14</v>
      </c>
      <c r="C87" s="394" t="s">
        <v>75</v>
      </c>
      <c r="E87" s="396" t="s">
        <v>61</v>
      </c>
      <c r="F87" s="526">
        <v>1303</v>
      </c>
      <c r="G87" s="519">
        <v>5328</v>
      </c>
      <c r="H87" s="519">
        <v>10934</v>
      </c>
      <c r="I87" s="519">
        <v>17249</v>
      </c>
      <c r="J87" s="520">
        <v>25182</v>
      </c>
    </row>
    <row r="88" spans="1:10" ht="14" thickBot="1">
      <c r="A88" s="387"/>
      <c r="B88" s="397">
        <v>14</v>
      </c>
      <c r="C88" s="398" t="s">
        <v>75</v>
      </c>
      <c r="E88" s="399" t="s">
        <v>62</v>
      </c>
      <c r="F88" s="527">
        <v>2171</v>
      </c>
      <c r="G88" s="521">
        <v>8880</v>
      </c>
      <c r="H88" s="521">
        <v>18224</v>
      </c>
      <c r="I88" s="521">
        <v>28748</v>
      </c>
      <c r="J88" s="522">
        <v>41970</v>
      </c>
    </row>
    <row r="89" spans="1:10" ht="14" thickBot="1">
      <c r="A89" s="387"/>
      <c r="F89" s="515"/>
      <c r="G89" s="515"/>
      <c r="H89" s="515"/>
      <c r="I89" s="515"/>
      <c r="J89" s="515"/>
    </row>
    <row r="90" spans="1:10" ht="14" thickBot="1">
      <c r="A90" s="387"/>
      <c r="B90" s="388">
        <v>15</v>
      </c>
      <c r="C90" s="389" t="s">
        <v>76</v>
      </c>
      <c r="E90" s="90"/>
      <c r="F90" s="516" t="s">
        <v>54</v>
      </c>
      <c r="G90" s="517" t="s">
        <v>55</v>
      </c>
      <c r="H90" s="517" t="s">
        <v>56</v>
      </c>
      <c r="I90" s="517" t="s">
        <v>57</v>
      </c>
      <c r="J90" s="518" t="s">
        <v>58</v>
      </c>
    </row>
    <row r="91" spans="1:10">
      <c r="A91" s="387"/>
      <c r="B91" s="393">
        <v>15</v>
      </c>
      <c r="C91" s="394" t="s">
        <v>76</v>
      </c>
      <c r="E91" s="400" t="s">
        <v>59</v>
      </c>
      <c r="F91" s="523">
        <v>728</v>
      </c>
      <c r="G91" s="524">
        <v>2977</v>
      </c>
      <c r="H91" s="524">
        <v>6110</v>
      </c>
      <c r="I91" s="524">
        <v>9639</v>
      </c>
      <c r="J91" s="525">
        <v>14072</v>
      </c>
    </row>
    <row r="92" spans="1:10">
      <c r="A92" s="387"/>
      <c r="B92" s="393">
        <v>15</v>
      </c>
      <c r="C92" s="394" t="s">
        <v>76</v>
      </c>
      <c r="E92" s="396" t="s">
        <v>60</v>
      </c>
      <c r="F92" s="526">
        <v>1040</v>
      </c>
      <c r="G92" s="519">
        <v>4253</v>
      </c>
      <c r="H92" s="519">
        <v>8729</v>
      </c>
      <c r="I92" s="519">
        <v>13770</v>
      </c>
      <c r="J92" s="520">
        <v>20103</v>
      </c>
    </row>
    <row r="93" spans="1:10">
      <c r="A93" s="387"/>
      <c r="B93" s="393">
        <v>15</v>
      </c>
      <c r="C93" s="394" t="s">
        <v>76</v>
      </c>
      <c r="E93" s="396" t="s">
        <v>61</v>
      </c>
      <c r="F93" s="526">
        <v>1560</v>
      </c>
      <c r="G93" s="519">
        <v>6380</v>
      </c>
      <c r="H93" s="519">
        <v>13093</v>
      </c>
      <c r="I93" s="519">
        <v>20655</v>
      </c>
      <c r="J93" s="520">
        <v>30154</v>
      </c>
    </row>
    <row r="94" spans="1:10" ht="14" thickBot="1">
      <c r="A94" s="387"/>
      <c r="B94" s="397">
        <v>15</v>
      </c>
      <c r="C94" s="398" t="s">
        <v>76</v>
      </c>
      <c r="E94" s="399" t="s">
        <v>62</v>
      </c>
      <c r="F94" s="527">
        <v>2599</v>
      </c>
      <c r="G94" s="521">
        <v>10634</v>
      </c>
      <c r="H94" s="521">
        <v>21822</v>
      </c>
      <c r="I94" s="521">
        <v>34424</v>
      </c>
      <c r="J94" s="522">
        <v>50257</v>
      </c>
    </row>
    <row r="95" spans="1:10" ht="14" thickBot="1">
      <c r="A95" s="387"/>
      <c r="F95" s="515"/>
      <c r="G95" s="515"/>
      <c r="H95" s="515"/>
      <c r="I95" s="515"/>
      <c r="J95" s="515"/>
    </row>
    <row r="96" spans="1:10" ht="14" thickBot="1">
      <c r="A96" s="387"/>
      <c r="B96" s="388">
        <v>16</v>
      </c>
      <c r="C96" s="389" t="s">
        <v>77</v>
      </c>
      <c r="E96" s="90"/>
      <c r="F96" s="516" t="s">
        <v>54</v>
      </c>
      <c r="G96" s="517" t="s">
        <v>55</v>
      </c>
      <c r="H96" s="517" t="s">
        <v>56</v>
      </c>
      <c r="I96" s="517" t="s">
        <v>57</v>
      </c>
      <c r="J96" s="518" t="s">
        <v>58</v>
      </c>
    </row>
    <row r="97" spans="1:10">
      <c r="A97" s="387"/>
      <c r="B97" s="393">
        <v>16</v>
      </c>
      <c r="C97" s="394" t="s">
        <v>77</v>
      </c>
      <c r="E97" s="400" t="s">
        <v>59</v>
      </c>
      <c r="F97" s="523">
        <v>819</v>
      </c>
      <c r="G97" s="524">
        <v>3351</v>
      </c>
      <c r="H97" s="524">
        <v>6876</v>
      </c>
      <c r="I97" s="524">
        <v>10847</v>
      </c>
      <c r="J97" s="525">
        <v>15836</v>
      </c>
    </row>
    <row r="98" spans="1:10">
      <c r="A98" s="387"/>
      <c r="B98" s="393">
        <v>16</v>
      </c>
      <c r="C98" s="394" t="s">
        <v>77</v>
      </c>
      <c r="E98" s="396" t="s">
        <v>60</v>
      </c>
      <c r="F98" s="526">
        <v>1170</v>
      </c>
      <c r="G98" s="519">
        <v>4787</v>
      </c>
      <c r="H98" s="519">
        <v>9823</v>
      </c>
      <c r="I98" s="519">
        <v>15496</v>
      </c>
      <c r="J98" s="520">
        <v>22622</v>
      </c>
    </row>
    <row r="99" spans="1:10">
      <c r="A99" s="387"/>
      <c r="B99" s="393">
        <v>16</v>
      </c>
      <c r="C99" s="394" t="s">
        <v>77</v>
      </c>
      <c r="E99" s="396" t="s">
        <v>61</v>
      </c>
      <c r="F99" s="526">
        <v>1755</v>
      </c>
      <c r="G99" s="519">
        <v>7180</v>
      </c>
      <c r="H99" s="519">
        <v>14734</v>
      </c>
      <c r="I99" s="519">
        <v>23243</v>
      </c>
      <c r="J99" s="520">
        <v>33934</v>
      </c>
    </row>
    <row r="100" spans="1:10" ht="14" thickBot="1">
      <c r="A100" s="387"/>
      <c r="B100" s="397">
        <v>16</v>
      </c>
      <c r="C100" s="398" t="s">
        <v>77</v>
      </c>
      <c r="E100" s="399" t="s">
        <v>62</v>
      </c>
      <c r="F100" s="527">
        <v>2925</v>
      </c>
      <c r="G100" s="521">
        <v>11966</v>
      </c>
      <c r="H100" s="521">
        <v>24557</v>
      </c>
      <c r="I100" s="521">
        <v>38739</v>
      </c>
      <c r="J100" s="522">
        <v>56556</v>
      </c>
    </row>
    <row r="101" spans="1:10" ht="14" thickBot="1">
      <c r="A101" s="387"/>
      <c r="F101" s="515"/>
      <c r="G101" s="515"/>
      <c r="H101" s="515"/>
      <c r="I101" s="515"/>
      <c r="J101" s="515"/>
    </row>
    <row r="102" spans="1:10" ht="14" thickBot="1">
      <c r="A102" s="387"/>
      <c r="B102" s="388">
        <v>17</v>
      </c>
      <c r="C102" s="389" t="s">
        <v>78</v>
      </c>
      <c r="E102" s="90"/>
      <c r="F102" s="516" t="s">
        <v>54</v>
      </c>
      <c r="G102" s="517" t="s">
        <v>55</v>
      </c>
      <c r="H102" s="517" t="s">
        <v>56</v>
      </c>
      <c r="I102" s="517" t="s">
        <v>57</v>
      </c>
      <c r="J102" s="518" t="s">
        <v>58</v>
      </c>
    </row>
    <row r="103" spans="1:10">
      <c r="A103" s="387"/>
      <c r="B103" s="393">
        <v>17</v>
      </c>
      <c r="C103" s="394" t="s">
        <v>78</v>
      </c>
      <c r="E103" s="400" t="s">
        <v>59</v>
      </c>
      <c r="F103" s="523">
        <v>1529</v>
      </c>
      <c r="G103" s="524">
        <v>6260</v>
      </c>
      <c r="H103" s="524">
        <v>12840</v>
      </c>
      <c r="I103" s="524">
        <v>20261</v>
      </c>
      <c r="J103" s="525">
        <v>29574</v>
      </c>
    </row>
    <row r="104" spans="1:10">
      <c r="A104" s="387"/>
      <c r="B104" s="393">
        <v>17</v>
      </c>
      <c r="C104" s="394" t="s">
        <v>78</v>
      </c>
      <c r="E104" s="396" t="s">
        <v>60</v>
      </c>
      <c r="F104" s="526">
        <v>2185</v>
      </c>
      <c r="G104" s="519">
        <v>8942</v>
      </c>
      <c r="H104" s="519">
        <v>18343</v>
      </c>
      <c r="I104" s="519">
        <v>28944</v>
      </c>
      <c r="J104" s="520">
        <v>42249</v>
      </c>
    </row>
    <row r="105" spans="1:10">
      <c r="A105" s="387"/>
      <c r="B105" s="393">
        <v>17</v>
      </c>
      <c r="C105" s="394" t="s">
        <v>78</v>
      </c>
      <c r="E105" s="396" t="s">
        <v>61</v>
      </c>
      <c r="F105" s="526">
        <v>3277</v>
      </c>
      <c r="G105" s="519">
        <v>13413</v>
      </c>
      <c r="H105" s="519">
        <v>27514</v>
      </c>
      <c r="I105" s="519">
        <v>43416</v>
      </c>
      <c r="J105" s="520">
        <v>63373</v>
      </c>
    </row>
    <row r="106" spans="1:10" ht="14" thickBot="1">
      <c r="A106" s="387"/>
      <c r="B106" s="397">
        <v>17</v>
      </c>
      <c r="C106" s="398" t="s">
        <v>78</v>
      </c>
      <c r="E106" s="399" t="s">
        <v>62</v>
      </c>
      <c r="F106" s="527">
        <v>5462</v>
      </c>
      <c r="G106" s="521">
        <v>22356</v>
      </c>
      <c r="H106" s="521">
        <v>45857</v>
      </c>
      <c r="I106" s="521">
        <v>72361</v>
      </c>
      <c r="J106" s="522">
        <v>105622</v>
      </c>
    </row>
    <row r="107" spans="1:10" ht="14" thickBot="1">
      <c r="A107" s="387"/>
      <c r="F107" s="515"/>
      <c r="G107" s="515"/>
      <c r="H107" s="515"/>
      <c r="I107" s="515"/>
      <c r="J107" s="515"/>
    </row>
    <row r="108" spans="1:10" ht="14" thickBot="1">
      <c r="A108" s="387"/>
      <c r="B108" s="388">
        <v>18</v>
      </c>
      <c r="C108" s="389" t="s">
        <v>79</v>
      </c>
      <c r="E108" s="90"/>
      <c r="F108" s="516" t="s">
        <v>54</v>
      </c>
      <c r="G108" s="517" t="s">
        <v>55</v>
      </c>
      <c r="H108" s="517" t="s">
        <v>56</v>
      </c>
      <c r="I108" s="517" t="s">
        <v>57</v>
      </c>
      <c r="J108" s="518" t="s">
        <v>58</v>
      </c>
    </row>
    <row r="109" spans="1:10">
      <c r="A109" s="387"/>
      <c r="B109" s="393">
        <v>18</v>
      </c>
      <c r="C109" s="394" t="s">
        <v>79</v>
      </c>
      <c r="E109" s="400" t="s">
        <v>59</v>
      </c>
      <c r="F109" s="523">
        <v>659</v>
      </c>
      <c r="G109" s="524">
        <v>2696</v>
      </c>
      <c r="H109" s="524">
        <v>5532</v>
      </c>
      <c r="I109" s="524">
        <v>8726</v>
      </c>
      <c r="J109" s="525">
        <v>12740</v>
      </c>
    </row>
    <row r="110" spans="1:10">
      <c r="A110" s="387"/>
      <c r="B110" s="393">
        <v>18</v>
      </c>
      <c r="C110" s="394" t="s">
        <v>79</v>
      </c>
      <c r="E110" s="396" t="s">
        <v>60</v>
      </c>
      <c r="F110" s="526">
        <v>941</v>
      </c>
      <c r="G110" s="519">
        <v>3851</v>
      </c>
      <c r="H110" s="519">
        <v>7902</v>
      </c>
      <c r="I110" s="519">
        <v>12466</v>
      </c>
      <c r="J110" s="520">
        <v>18199</v>
      </c>
    </row>
    <row r="111" spans="1:10">
      <c r="A111" s="387"/>
      <c r="B111" s="393">
        <v>18</v>
      </c>
      <c r="C111" s="394" t="s">
        <v>79</v>
      </c>
      <c r="E111" s="396" t="s">
        <v>61</v>
      </c>
      <c r="F111" s="526">
        <v>1412</v>
      </c>
      <c r="G111" s="519">
        <v>5776</v>
      </c>
      <c r="H111" s="519">
        <v>11854</v>
      </c>
      <c r="I111" s="519">
        <v>18699</v>
      </c>
      <c r="J111" s="520">
        <v>27299</v>
      </c>
    </row>
    <row r="112" spans="1:10" ht="14" thickBot="1">
      <c r="A112" s="387"/>
      <c r="B112" s="397">
        <v>18</v>
      </c>
      <c r="C112" s="398" t="s">
        <v>79</v>
      </c>
      <c r="E112" s="399" t="s">
        <v>62</v>
      </c>
      <c r="F112" s="527">
        <v>2353</v>
      </c>
      <c r="G112" s="521">
        <v>9627</v>
      </c>
      <c r="H112" s="521">
        <v>19756</v>
      </c>
      <c r="I112" s="521">
        <v>31165</v>
      </c>
      <c r="J112" s="522">
        <v>45499</v>
      </c>
    </row>
    <row r="113" spans="1:10" ht="14" thickBot="1">
      <c r="A113" s="387"/>
      <c r="F113" s="515"/>
      <c r="G113" s="515"/>
      <c r="H113" s="515"/>
      <c r="I113" s="515"/>
      <c r="J113" s="515"/>
    </row>
    <row r="114" spans="1:10" ht="14" thickBot="1">
      <c r="A114" s="387"/>
      <c r="B114" s="388">
        <v>19</v>
      </c>
      <c r="C114" s="389" t="s">
        <v>80</v>
      </c>
      <c r="E114" s="90"/>
      <c r="F114" s="516" t="s">
        <v>54</v>
      </c>
      <c r="G114" s="517" t="s">
        <v>55</v>
      </c>
      <c r="H114" s="517" t="s">
        <v>56</v>
      </c>
      <c r="I114" s="517" t="s">
        <v>57</v>
      </c>
      <c r="J114" s="518" t="s">
        <v>58</v>
      </c>
    </row>
    <row r="115" spans="1:10">
      <c r="A115" s="387"/>
      <c r="B115" s="393">
        <v>19</v>
      </c>
      <c r="C115" s="394" t="s">
        <v>80</v>
      </c>
      <c r="E115" s="400" t="s">
        <v>59</v>
      </c>
      <c r="F115" s="519">
        <v>630</v>
      </c>
      <c r="G115" s="519">
        <v>2576</v>
      </c>
      <c r="H115" s="519">
        <v>5287</v>
      </c>
      <c r="I115" s="519">
        <v>8341</v>
      </c>
      <c r="J115" s="520">
        <v>12177</v>
      </c>
    </row>
    <row r="116" spans="1:10">
      <c r="A116" s="387"/>
      <c r="B116" s="393">
        <v>19</v>
      </c>
      <c r="C116" s="394" t="s">
        <v>80</v>
      </c>
      <c r="E116" s="396" t="s">
        <v>60</v>
      </c>
      <c r="F116" s="519">
        <v>900</v>
      </c>
      <c r="G116" s="519">
        <v>3681</v>
      </c>
      <c r="H116" s="519">
        <v>7553</v>
      </c>
      <c r="I116" s="519">
        <v>11915</v>
      </c>
      <c r="J116" s="520">
        <v>17395</v>
      </c>
    </row>
    <row r="117" spans="1:10">
      <c r="A117" s="387"/>
      <c r="B117" s="393">
        <v>19</v>
      </c>
      <c r="C117" s="394" t="s">
        <v>80</v>
      </c>
      <c r="E117" s="396" t="s">
        <v>61</v>
      </c>
      <c r="F117" s="519">
        <v>1350</v>
      </c>
      <c r="G117" s="519">
        <v>5521</v>
      </c>
      <c r="H117" s="519">
        <v>11330</v>
      </c>
      <c r="I117" s="519">
        <v>17873</v>
      </c>
      <c r="J117" s="520">
        <v>26093</v>
      </c>
    </row>
    <row r="118" spans="1:10" ht="14" thickBot="1">
      <c r="A118" s="387"/>
      <c r="B118" s="397">
        <v>19</v>
      </c>
      <c r="C118" s="398" t="s">
        <v>80</v>
      </c>
      <c r="E118" s="399" t="s">
        <v>62</v>
      </c>
      <c r="F118" s="521">
        <v>2249</v>
      </c>
      <c r="G118" s="521">
        <v>9201</v>
      </c>
      <c r="H118" s="521">
        <v>18883</v>
      </c>
      <c r="I118" s="521">
        <v>29788</v>
      </c>
      <c r="J118" s="522">
        <v>43488</v>
      </c>
    </row>
    <row r="119" spans="1:10" ht="14" thickBot="1">
      <c r="A119" s="387"/>
      <c r="F119" s="515"/>
      <c r="G119" s="515"/>
      <c r="H119" s="515"/>
      <c r="I119" s="515"/>
      <c r="J119" s="515"/>
    </row>
    <row r="120" spans="1:10" ht="14" thickBot="1">
      <c r="A120" s="387"/>
      <c r="B120" s="388">
        <v>20</v>
      </c>
      <c r="C120" s="389" t="s">
        <v>81</v>
      </c>
      <c r="E120" s="90"/>
      <c r="F120" s="516" t="s">
        <v>54</v>
      </c>
      <c r="G120" s="517" t="s">
        <v>55</v>
      </c>
      <c r="H120" s="517" t="s">
        <v>56</v>
      </c>
      <c r="I120" s="517" t="s">
        <v>57</v>
      </c>
      <c r="J120" s="518" t="s">
        <v>58</v>
      </c>
    </row>
    <row r="121" spans="1:10">
      <c r="A121" s="387"/>
      <c r="B121" s="393">
        <v>20</v>
      </c>
      <c r="C121" s="394" t="s">
        <v>81</v>
      </c>
      <c r="E121" s="400" t="s">
        <v>59</v>
      </c>
      <c r="F121" s="523">
        <v>733</v>
      </c>
      <c r="G121" s="524">
        <v>2997</v>
      </c>
      <c r="H121" s="524">
        <v>6151</v>
      </c>
      <c r="I121" s="524">
        <v>9703</v>
      </c>
      <c r="J121" s="525">
        <v>14166</v>
      </c>
    </row>
    <row r="122" spans="1:10">
      <c r="A122" s="387"/>
      <c r="B122" s="393">
        <v>20</v>
      </c>
      <c r="C122" s="394" t="s">
        <v>81</v>
      </c>
      <c r="E122" s="396" t="s">
        <v>60</v>
      </c>
      <c r="F122" s="526">
        <v>1047</v>
      </c>
      <c r="G122" s="519">
        <v>4282</v>
      </c>
      <c r="H122" s="519">
        <v>8787</v>
      </c>
      <c r="I122" s="519">
        <v>13861</v>
      </c>
      <c r="J122" s="520">
        <v>20237</v>
      </c>
    </row>
    <row r="123" spans="1:10">
      <c r="A123" s="387"/>
      <c r="B123" s="393">
        <v>20</v>
      </c>
      <c r="C123" s="394" t="s">
        <v>81</v>
      </c>
      <c r="E123" s="396" t="s">
        <v>61</v>
      </c>
      <c r="F123" s="526">
        <v>1570</v>
      </c>
      <c r="G123" s="519">
        <v>6423</v>
      </c>
      <c r="H123" s="519">
        <v>13180</v>
      </c>
      <c r="I123" s="519">
        <v>20792</v>
      </c>
      <c r="J123" s="520">
        <v>30355</v>
      </c>
    </row>
    <row r="124" spans="1:10" ht="14" thickBot="1">
      <c r="A124" s="387"/>
      <c r="B124" s="397">
        <v>20</v>
      </c>
      <c r="C124" s="398" t="s">
        <v>81</v>
      </c>
      <c r="E124" s="399" t="s">
        <v>62</v>
      </c>
      <c r="F124" s="527">
        <v>2617</v>
      </c>
      <c r="G124" s="521">
        <v>10704</v>
      </c>
      <c r="H124" s="521">
        <v>21967</v>
      </c>
      <c r="I124" s="521">
        <v>34653</v>
      </c>
      <c r="J124" s="522">
        <v>50591</v>
      </c>
    </row>
    <row r="125" spans="1:10" ht="14" thickBot="1">
      <c r="A125" s="387"/>
      <c r="F125" s="515"/>
      <c r="G125" s="515"/>
      <c r="H125" s="515"/>
      <c r="I125" s="515"/>
      <c r="J125" s="515"/>
    </row>
    <row r="126" spans="1:10" ht="14" thickBot="1">
      <c r="A126" s="387"/>
      <c r="B126" s="388">
        <v>21</v>
      </c>
      <c r="C126" s="389" t="s">
        <v>82</v>
      </c>
      <c r="E126" s="90"/>
      <c r="F126" s="516" t="s">
        <v>54</v>
      </c>
      <c r="G126" s="517" t="s">
        <v>55</v>
      </c>
      <c r="H126" s="517" t="s">
        <v>56</v>
      </c>
      <c r="I126" s="517" t="s">
        <v>57</v>
      </c>
      <c r="J126" s="518" t="s">
        <v>58</v>
      </c>
    </row>
    <row r="127" spans="1:10">
      <c r="A127" s="387"/>
      <c r="B127" s="393">
        <v>21</v>
      </c>
      <c r="C127" s="394" t="s">
        <v>82</v>
      </c>
      <c r="E127" s="400" t="s">
        <v>59</v>
      </c>
      <c r="F127" s="523">
        <v>672</v>
      </c>
      <c r="G127" s="524">
        <v>2430</v>
      </c>
      <c r="H127" s="524">
        <v>5067</v>
      </c>
      <c r="I127" s="524">
        <v>8309</v>
      </c>
      <c r="J127" s="525">
        <v>12661</v>
      </c>
    </row>
    <row r="128" spans="1:10">
      <c r="A128" s="387"/>
      <c r="B128" s="393">
        <v>21</v>
      </c>
      <c r="C128" s="394" t="s">
        <v>82</v>
      </c>
      <c r="E128" s="396" t="s">
        <v>60</v>
      </c>
      <c r="F128" s="526">
        <v>960</v>
      </c>
      <c r="G128" s="519">
        <v>3472</v>
      </c>
      <c r="H128" s="519">
        <v>7238</v>
      </c>
      <c r="I128" s="519">
        <v>11871</v>
      </c>
      <c r="J128" s="520">
        <v>18087</v>
      </c>
    </row>
    <row r="129" spans="1:10">
      <c r="A129" s="387"/>
      <c r="B129" s="393">
        <v>21</v>
      </c>
      <c r="C129" s="394" t="s">
        <v>82</v>
      </c>
      <c r="E129" s="396" t="s">
        <v>61</v>
      </c>
      <c r="F129" s="526">
        <v>1440</v>
      </c>
      <c r="G129" s="519">
        <v>5208</v>
      </c>
      <c r="H129" s="519">
        <v>10857</v>
      </c>
      <c r="I129" s="519">
        <v>17806</v>
      </c>
      <c r="J129" s="520">
        <v>27130</v>
      </c>
    </row>
    <row r="130" spans="1:10" ht="14" thickBot="1">
      <c r="A130" s="387"/>
      <c r="B130" s="397">
        <v>21</v>
      </c>
      <c r="C130" s="398" t="s">
        <v>82</v>
      </c>
      <c r="E130" s="399" t="s">
        <v>62</v>
      </c>
      <c r="F130" s="527">
        <v>2400</v>
      </c>
      <c r="G130" s="521">
        <v>8680</v>
      </c>
      <c r="H130" s="521">
        <v>18095</v>
      </c>
      <c r="I130" s="521">
        <v>29677</v>
      </c>
      <c r="J130" s="522">
        <v>45216</v>
      </c>
    </row>
    <row r="131" spans="1:10" ht="14" thickBot="1">
      <c r="A131" s="387"/>
      <c r="F131" s="515"/>
      <c r="G131" s="515"/>
      <c r="H131" s="515"/>
      <c r="I131" s="515"/>
      <c r="J131" s="515"/>
    </row>
    <row r="132" spans="1:10" ht="14" thickBot="1">
      <c r="A132" s="387"/>
      <c r="B132" s="388">
        <v>22</v>
      </c>
      <c r="C132" s="389" t="s">
        <v>83</v>
      </c>
      <c r="E132" s="90"/>
      <c r="F132" s="516" t="s">
        <v>54</v>
      </c>
      <c r="G132" s="517" t="s">
        <v>55</v>
      </c>
      <c r="H132" s="517" t="s">
        <v>56</v>
      </c>
      <c r="I132" s="517" t="s">
        <v>57</v>
      </c>
      <c r="J132" s="518" t="s">
        <v>58</v>
      </c>
    </row>
    <row r="133" spans="1:10">
      <c r="A133" s="387"/>
      <c r="B133" s="393">
        <v>22</v>
      </c>
      <c r="C133" s="394" t="s">
        <v>83</v>
      </c>
      <c r="E133" s="400" t="s">
        <v>59</v>
      </c>
      <c r="F133" s="523">
        <v>711</v>
      </c>
      <c r="G133" s="524">
        <v>2571</v>
      </c>
      <c r="H133" s="524">
        <v>5360</v>
      </c>
      <c r="I133" s="524">
        <v>8790</v>
      </c>
      <c r="J133" s="525">
        <v>13393</v>
      </c>
    </row>
    <row r="134" spans="1:10">
      <c r="A134" s="387"/>
      <c r="B134" s="393">
        <v>22</v>
      </c>
      <c r="C134" s="394" t="s">
        <v>83</v>
      </c>
      <c r="E134" s="396" t="s">
        <v>60</v>
      </c>
      <c r="F134" s="526">
        <v>1015</v>
      </c>
      <c r="G134" s="519">
        <v>3673</v>
      </c>
      <c r="H134" s="519">
        <v>7657</v>
      </c>
      <c r="I134" s="519">
        <v>12557</v>
      </c>
      <c r="J134" s="520">
        <v>19133</v>
      </c>
    </row>
    <row r="135" spans="1:10">
      <c r="A135" s="387"/>
      <c r="B135" s="393">
        <v>22</v>
      </c>
      <c r="C135" s="394" t="s">
        <v>83</v>
      </c>
      <c r="E135" s="396" t="s">
        <v>61</v>
      </c>
      <c r="F135" s="526">
        <v>1523</v>
      </c>
      <c r="G135" s="519">
        <v>5509</v>
      </c>
      <c r="H135" s="519">
        <v>11485</v>
      </c>
      <c r="I135" s="519">
        <v>18836</v>
      </c>
      <c r="J135" s="520">
        <v>28699</v>
      </c>
    </row>
    <row r="136" spans="1:10" ht="14" thickBot="1">
      <c r="A136" s="387"/>
      <c r="B136" s="397">
        <v>22</v>
      </c>
      <c r="C136" s="398" t="s">
        <v>83</v>
      </c>
      <c r="E136" s="399" t="s">
        <v>62</v>
      </c>
      <c r="F136" s="527">
        <v>2539</v>
      </c>
      <c r="G136" s="521">
        <v>9182</v>
      </c>
      <c r="H136" s="521">
        <v>19142</v>
      </c>
      <c r="I136" s="521">
        <v>31394</v>
      </c>
      <c r="J136" s="522">
        <v>47832</v>
      </c>
    </row>
    <row r="137" spans="1:10" ht="14" thickBot="1">
      <c r="A137" s="387"/>
      <c r="F137" s="515"/>
      <c r="G137" s="515"/>
      <c r="H137" s="515"/>
      <c r="I137" s="515"/>
      <c r="J137" s="515"/>
    </row>
    <row r="138" spans="1:10" ht="14" thickBot="1">
      <c r="A138" s="387"/>
      <c r="B138" s="388">
        <v>23</v>
      </c>
      <c r="C138" s="389" t="s">
        <v>84</v>
      </c>
      <c r="E138" s="90"/>
      <c r="F138" s="516" t="s">
        <v>54</v>
      </c>
      <c r="G138" s="517" t="s">
        <v>55</v>
      </c>
      <c r="H138" s="517" t="s">
        <v>56</v>
      </c>
      <c r="I138" s="517" t="s">
        <v>57</v>
      </c>
      <c r="J138" s="518" t="s">
        <v>58</v>
      </c>
    </row>
    <row r="139" spans="1:10">
      <c r="A139" s="387"/>
      <c r="B139" s="393">
        <v>23</v>
      </c>
      <c r="C139" s="394" t="s">
        <v>84</v>
      </c>
      <c r="E139" s="400" t="s">
        <v>59</v>
      </c>
      <c r="F139" s="523">
        <v>318</v>
      </c>
      <c r="G139" s="524">
        <v>1301</v>
      </c>
      <c r="H139" s="524">
        <v>2669</v>
      </c>
      <c r="I139" s="524">
        <v>4211</v>
      </c>
      <c r="J139" s="525">
        <v>6146</v>
      </c>
    </row>
    <row r="140" spans="1:10">
      <c r="A140" s="387"/>
      <c r="B140" s="393">
        <v>23</v>
      </c>
      <c r="C140" s="394" t="s">
        <v>84</v>
      </c>
      <c r="E140" s="396" t="s">
        <v>60</v>
      </c>
      <c r="F140" s="526">
        <v>454</v>
      </c>
      <c r="G140" s="519">
        <v>1858</v>
      </c>
      <c r="H140" s="519">
        <v>3812</v>
      </c>
      <c r="I140" s="519">
        <v>6015</v>
      </c>
      <c r="J140" s="520">
        <v>8781</v>
      </c>
    </row>
    <row r="141" spans="1:10">
      <c r="A141" s="387"/>
      <c r="B141" s="393">
        <v>23</v>
      </c>
      <c r="C141" s="394" t="s">
        <v>84</v>
      </c>
      <c r="E141" s="396" t="s">
        <v>61</v>
      </c>
      <c r="F141" s="526">
        <v>681</v>
      </c>
      <c r="G141" s="519">
        <v>2787</v>
      </c>
      <c r="H141" s="519">
        <v>5718</v>
      </c>
      <c r="I141" s="519">
        <v>9023</v>
      </c>
      <c r="J141" s="520">
        <v>13171</v>
      </c>
    </row>
    <row r="142" spans="1:10" ht="14" thickBot="1">
      <c r="A142" s="387"/>
      <c r="B142" s="397">
        <v>23</v>
      </c>
      <c r="C142" s="398" t="s">
        <v>84</v>
      </c>
      <c r="E142" s="399" t="s">
        <v>62</v>
      </c>
      <c r="F142" s="527">
        <v>1135</v>
      </c>
      <c r="G142" s="521">
        <v>4645</v>
      </c>
      <c r="H142" s="521">
        <v>9531</v>
      </c>
      <c r="I142" s="521">
        <v>15038</v>
      </c>
      <c r="J142" s="522">
        <v>21952</v>
      </c>
    </row>
    <row r="143" spans="1:10" ht="14" thickBot="1">
      <c r="A143" s="387"/>
      <c r="F143" s="515"/>
      <c r="G143" s="515"/>
      <c r="H143" s="515"/>
      <c r="I143" s="515"/>
      <c r="J143" s="515"/>
    </row>
    <row r="144" spans="1:10" ht="14" thickBot="1">
      <c r="A144" s="387"/>
      <c r="B144" s="388">
        <v>24</v>
      </c>
      <c r="C144" s="389" t="s">
        <v>85</v>
      </c>
      <c r="E144" s="90"/>
      <c r="F144" s="516" t="s">
        <v>54</v>
      </c>
      <c r="G144" s="517" t="s">
        <v>55</v>
      </c>
      <c r="H144" s="517" t="s">
        <v>56</v>
      </c>
      <c r="I144" s="517" t="s">
        <v>57</v>
      </c>
      <c r="J144" s="518" t="s">
        <v>58</v>
      </c>
    </row>
    <row r="145" spans="1:10">
      <c r="A145" s="387"/>
      <c r="B145" s="393">
        <v>24</v>
      </c>
      <c r="C145" s="394" t="s">
        <v>85</v>
      </c>
      <c r="E145" s="400" t="s">
        <v>59</v>
      </c>
      <c r="F145" s="523">
        <v>468</v>
      </c>
      <c r="G145" s="524">
        <v>1915</v>
      </c>
      <c r="H145" s="524">
        <v>3928</v>
      </c>
      <c r="I145" s="524">
        <v>6198</v>
      </c>
      <c r="J145" s="525">
        <v>9047</v>
      </c>
    </row>
    <row r="146" spans="1:10">
      <c r="A146" s="387"/>
      <c r="B146" s="393">
        <v>24</v>
      </c>
      <c r="C146" s="394" t="s">
        <v>85</v>
      </c>
      <c r="E146" s="396" t="s">
        <v>60</v>
      </c>
      <c r="F146" s="526">
        <v>668</v>
      </c>
      <c r="G146" s="519">
        <v>2735</v>
      </c>
      <c r="H146" s="519">
        <v>5611</v>
      </c>
      <c r="I146" s="519">
        <v>8854</v>
      </c>
      <c r="J146" s="520">
        <v>12924</v>
      </c>
    </row>
    <row r="147" spans="1:10">
      <c r="A147" s="387"/>
      <c r="B147" s="393">
        <v>24</v>
      </c>
      <c r="C147" s="394" t="s">
        <v>85</v>
      </c>
      <c r="E147" s="396" t="s">
        <v>61</v>
      </c>
      <c r="F147" s="526">
        <v>1003</v>
      </c>
      <c r="G147" s="519">
        <v>4103</v>
      </c>
      <c r="H147" s="519">
        <v>8417</v>
      </c>
      <c r="I147" s="519">
        <v>13281</v>
      </c>
      <c r="J147" s="520">
        <v>19387</v>
      </c>
    </row>
    <row r="148" spans="1:10" ht="14" thickBot="1">
      <c r="A148" s="387"/>
      <c r="B148" s="397">
        <v>24</v>
      </c>
      <c r="C148" s="398" t="s">
        <v>85</v>
      </c>
      <c r="E148" s="399" t="s">
        <v>62</v>
      </c>
      <c r="F148" s="527">
        <v>1671</v>
      </c>
      <c r="G148" s="521">
        <v>6838</v>
      </c>
      <c r="H148" s="521">
        <v>14029</v>
      </c>
      <c r="I148" s="521">
        <v>22135</v>
      </c>
      <c r="J148" s="522">
        <v>32311</v>
      </c>
    </row>
    <row r="149" spans="1:10" ht="14" thickBot="1">
      <c r="A149" s="387"/>
      <c r="F149" s="515"/>
      <c r="G149" s="515"/>
      <c r="H149" s="515"/>
      <c r="I149" s="515"/>
      <c r="J149" s="515"/>
    </row>
    <row r="150" spans="1:10" ht="14" thickBot="1">
      <c r="A150" s="387"/>
      <c r="B150" s="388">
        <v>25</v>
      </c>
      <c r="C150" s="389" t="s">
        <v>86</v>
      </c>
      <c r="E150" s="90"/>
      <c r="F150" s="516" t="s">
        <v>54</v>
      </c>
      <c r="G150" s="517" t="s">
        <v>55</v>
      </c>
      <c r="H150" s="517" t="s">
        <v>56</v>
      </c>
      <c r="I150" s="517" t="s">
        <v>57</v>
      </c>
      <c r="J150" s="518" t="s">
        <v>58</v>
      </c>
    </row>
    <row r="151" spans="1:10">
      <c r="A151" s="387"/>
      <c r="B151" s="393">
        <v>25</v>
      </c>
      <c r="C151" s="394" t="s">
        <v>86</v>
      </c>
      <c r="E151" s="400" t="s">
        <v>59</v>
      </c>
      <c r="F151" s="523">
        <v>650</v>
      </c>
      <c r="G151" s="524">
        <v>2659</v>
      </c>
      <c r="H151" s="524">
        <v>5453</v>
      </c>
      <c r="I151" s="524">
        <v>8605</v>
      </c>
      <c r="J151" s="525">
        <v>12561</v>
      </c>
    </row>
    <row r="152" spans="1:10">
      <c r="A152" s="387"/>
      <c r="B152" s="393">
        <v>25</v>
      </c>
      <c r="C152" s="394" t="s">
        <v>86</v>
      </c>
      <c r="E152" s="396" t="s">
        <v>60</v>
      </c>
      <c r="F152" s="526">
        <v>929</v>
      </c>
      <c r="G152" s="519">
        <v>3798</v>
      </c>
      <c r="H152" s="519">
        <v>7791</v>
      </c>
      <c r="I152" s="519">
        <v>12293</v>
      </c>
      <c r="J152" s="520">
        <v>17945</v>
      </c>
    </row>
    <row r="153" spans="1:10">
      <c r="A153" s="387"/>
      <c r="B153" s="393">
        <v>25</v>
      </c>
      <c r="C153" s="394" t="s">
        <v>86</v>
      </c>
      <c r="E153" s="396" t="s">
        <v>61</v>
      </c>
      <c r="F153" s="526">
        <v>1393</v>
      </c>
      <c r="G153" s="519">
        <v>5697</v>
      </c>
      <c r="H153" s="519">
        <v>11686</v>
      </c>
      <c r="I153" s="519">
        <v>18440</v>
      </c>
      <c r="J153" s="520">
        <v>26917</v>
      </c>
    </row>
    <row r="154" spans="1:10" ht="14" thickBot="1">
      <c r="A154" s="387"/>
      <c r="B154" s="397">
        <v>25</v>
      </c>
      <c r="C154" s="398" t="s">
        <v>86</v>
      </c>
      <c r="E154" s="399" t="s">
        <v>62</v>
      </c>
      <c r="F154" s="527">
        <v>2322</v>
      </c>
      <c r="G154" s="521">
        <v>9495</v>
      </c>
      <c r="H154" s="521">
        <v>19477</v>
      </c>
      <c r="I154" s="521">
        <v>30733</v>
      </c>
      <c r="J154" s="522">
        <v>44861</v>
      </c>
    </row>
    <row r="155" spans="1:10" ht="14" thickBot="1">
      <c r="A155" s="387"/>
      <c r="F155" s="515"/>
      <c r="G155" s="515"/>
      <c r="H155" s="515"/>
      <c r="I155" s="515"/>
      <c r="J155" s="515"/>
    </row>
    <row r="156" spans="1:10" ht="14" thickBot="1">
      <c r="A156" s="387"/>
      <c r="B156" s="388">
        <v>26</v>
      </c>
      <c r="C156" s="389" t="s">
        <v>87</v>
      </c>
      <c r="E156" s="90"/>
      <c r="F156" s="516" t="s">
        <v>54</v>
      </c>
      <c r="G156" s="517" t="s">
        <v>55</v>
      </c>
      <c r="H156" s="517" t="s">
        <v>56</v>
      </c>
      <c r="I156" s="517" t="s">
        <v>57</v>
      </c>
      <c r="J156" s="518" t="s">
        <v>58</v>
      </c>
    </row>
    <row r="157" spans="1:10">
      <c r="A157" s="387"/>
      <c r="B157" s="393">
        <v>26</v>
      </c>
      <c r="C157" s="394" t="s">
        <v>87</v>
      </c>
      <c r="E157" s="400" t="s">
        <v>59</v>
      </c>
      <c r="F157" s="523">
        <v>1664</v>
      </c>
      <c r="G157" s="524">
        <v>4259</v>
      </c>
      <c r="H157" s="524">
        <v>9212</v>
      </c>
      <c r="I157" s="524">
        <v>15275</v>
      </c>
      <c r="J157" s="525">
        <v>26860</v>
      </c>
    </row>
    <row r="158" spans="1:10">
      <c r="A158" s="387"/>
      <c r="B158" s="393">
        <v>26</v>
      </c>
      <c r="C158" s="394" t="s">
        <v>87</v>
      </c>
      <c r="E158" s="396" t="s">
        <v>60</v>
      </c>
      <c r="F158" s="526">
        <v>2377</v>
      </c>
      <c r="G158" s="519">
        <v>6085</v>
      </c>
      <c r="H158" s="519">
        <v>13160</v>
      </c>
      <c r="I158" s="519">
        <v>21822</v>
      </c>
      <c r="J158" s="520">
        <v>38372</v>
      </c>
    </row>
    <row r="159" spans="1:10">
      <c r="A159" s="387"/>
      <c r="B159" s="393">
        <v>26</v>
      </c>
      <c r="C159" s="394" t="s">
        <v>87</v>
      </c>
      <c r="E159" s="396" t="s">
        <v>61</v>
      </c>
      <c r="F159" s="526">
        <v>3566</v>
      </c>
      <c r="G159" s="519">
        <v>9127</v>
      </c>
      <c r="H159" s="519">
        <v>19740</v>
      </c>
      <c r="I159" s="519">
        <v>32732</v>
      </c>
      <c r="J159" s="520">
        <v>57557</v>
      </c>
    </row>
    <row r="160" spans="1:10" ht="14" thickBot="1">
      <c r="A160" s="387"/>
      <c r="B160" s="397">
        <v>26</v>
      </c>
      <c r="C160" s="398" t="s">
        <v>87</v>
      </c>
      <c r="E160" s="399" t="s">
        <v>62</v>
      </c>
      <c r="F160" s="527">
        <v>5943</v>
      </c>
      <c r="G160" s="521">
        <v>15212</v>
      </c>
      <c r="H160" s="521">
        <v>32900</v>
      </c>
      <c r="I160" s="521">
        <v>54554</v>
      </c>
      <c r="J160" s="522">
        <v>95929</v>
      </c>
    </row>
    <row r="161" spans="1:10" ht="14" thickBot="1">
      <c r="A161" s="387"/>
      <c r="F161" s="515"/>
      <c r="G161" s="515"/>
      <c r="H161" s="515"/>
      <c r="I161" s="515"/>
      <c r="J161" s="515"/>
    </row>
    <row r="162" spans="1:10" ht="14" thickBot="1">
      <c r="A162" s="387"/>
      <c r="B162" s="388">
        <v>27</v>
      </c>
      <c r="C162" s="389" t="s">
        <v>88</v>
      </c>
      <c r="E162" s="90"/>
      <c r="F162" s="516" t="s">
        <v>54</v>
      </c>
      <c r="G162" s="517" t="s">
        <v>55</v>
      </c>
      <c r="H162" s="517" t="s">
        <v>56</v>
      </c>
      <c r="I162" s="517" t="s">
        <v>57</v>
      </c>
      <c r="J162" s="518" t="s">
        <v>58</v>
      </c>
    </row>
    <row r="163" spans="1:10">
      <c r="A163" s="387"/>
      <c r="B163" s="393">
        <v>27</v>
      </c>
      <c r="C163" s="394" t="s">
        <v>88</v>
      </c>
      <c r="E163" s="400" t="s">
        <v>59</v>
      </c>
      <c r="F163" s="523">
        <v>102</v>
      </c>
      <c r="G163" s="524">
        <v>611</v>
      </c>
      <c r="H163" s="524">
        <v>990</v>
      </c>
      <c r="I163" s="524">
        <v>1319</v>
      </c>
      <c r="J163" s="525">
        <v>1714</v>
      </c>
    </row>
    <row r="164" spans="1:10">
      <c r="A164" s="387"/>
      <c r="B164" s="393">
        <v>27</v>
      </c>
      <c r="C164" s="394" t="s">
        <v>88</v>
      </c>
      <c r="E164" s="396" t="s">
        <v>60</v>
      </c>
      <c r="F164" s="526">
        <v>146</v>
      </c>
      <c r="G164" s="519">
        <v>873</v>
      </c>
      <c r="H164" s="519">
        <v>1414</v>
      </c>
      <c r="I164" s="519">
        <v>1884</v>
      </c>
      <c r="J164" s="520">
        <v>2448</v>
      </c>
    </row>
    <row r="165" spans="1:10">
      <c r="A165" s="387"/>
      <c r="B165" s="393">
        <v>27</v>
      </c>
      <c r="C165" s="394" t="s">
        <v>88</v>
      </c>
      <c r="E165" s="396" t="s">
        <v>61</v>
      </c>
      <c r="F165" s="526">
        <v>218</v>
      </c>
      <c r="G165" s="519">
        <v>1310</v>
      </c>
      <c r="H165" s="519">
        <v>2121</v>
      </c>
      <c r="I165" s="519">
        <v>2826</v>
      </c>
      <c r="J165" s="520">
        <v>3672</v>
      </c>
    </row>
    <row r="166" spans="1:10" ht="14" thickBot="1">
      <c r="A166" s="387"/>
      <c r="B166" s="397">
        <v>27</v>
      </c>
      <c r="C166" s="398" t="s">
        <v>88</v>
      </c>
      <c r="E166" s="399" t="s">
        <v>62</v>
      </c>
      <c r="F166" s="527">
        <v>364</v>
      </c>
      <c r="G166" s="521">
        <v>2183</v>
      </c>
      <c r="H166" s="521">
        <v>3534</v>
      </c>
      <c r="I166" s="521">
        <v>4710</v>
      </c>
      <c r="J166" s="522">
        <v>6121</v>
      </c>
    </row>
    <row r="167" spans="1:10" ht="14" thickBot="1">
      <c r="A167" s="387"/>
      <c r="F167" s="515"/>
      <c r="G167" s="515"/>
      <c r="H167" s="515"/>
      <c r="I167" s="515"/>
      <c r="J167" s="515"/>
    </row>
    <row r="168" spans="1:10" ht="14" thickBot="1">
      <c r="A168" s="387"/>
      <c r="B168" s="388">
        <v>28</v>
      </c>
      <c r="C168" s="389" t="s">
        <v>89</v>
      </c>
      <c r="E168" s="90"/>
      <c r="F168" s="516" t="s">
        <v>54</v>
      </c>
      <c r="G168" s="517" t="s">
        <v>55</v>
      </c>
      <c r="H168" s="517" t="s">
        <v>56</v>
      </c>
      <c r="I168" s="517" t="s">
        <v>57</v>
      </c>
      <c r="J168" s="518" t="s">
        <v>58</v>
      </c>
    </row>
    <row r="169" spans="1:10">
      <c r="A169" s="387"/>
      <c r="B169" s="393">
        <v>28</v>
      </c>
      <c r="C169" s="394" t="s">
        <v>89</v>
      </c>
      <c r="E169" s="400" t="s">
        <v>59</v>
      </c>
      <c r="F169" s="519">
        <v>874</v>
      </c>
      <c r="G169" s="519">
        <v>3574</v>
      </c>
      <c r="H169" s="519">
        <v>7332</v>
      </c>
      <c r="I169" s="519">
        <v>11569</v>
      </c>
      <c r="J169" s="520">
        <v>16888</v>
      </c>
    </row>
    <row r="170" spans="1:10">
      <c r="A170" s="387"/>
      <c r="B170" s="393">
        <v>28</v>
      </c>
      <c r="C170" s="394" t="s">
        <v>89</v>
      </c>
      <c r="E170" s="396" t="s">
        <v>60</v>
      </c>
      <c r="F170" s="519">
        <v>1249</v>
      </c>
      <c r="G170" s="519">
        <v>5106</v>
      </c>
      <c r="H170" s="519">
        <v>10474</v>
      </c>
      <c r="I170" s="519">
        <v>16528</v>
      </c>
      <c r="J170" s="520">
        <v>24125</v>
      </c>
    </row>
    <row r="171" spans="1:10">
      <c r="A171" s="387"/>
      <c r="B171" s="393">
        <v>28</v>
      </c>
      <c r="C171" s="394" t="s">
        <v>89</v>
      </c>
      <c r="E171" s="396" t="s">
        <v>61</v>
      </c>
      <c r="F171" s="519">
        <v>1873</v>
      </c>
      <c r="G171" s="519">
        <v>7659</v>
      </c>
      <c r="H171" s="519">
        <v>15711</v>
      </c>
      <c r="I171" s="519">
        <v>24792</v>
      </c>
      <c r="J171" s="520">
        <v>36188</v>
      </c>
    </row>
    <row r="172" spans="1:10" ht="14" thickBot="1">
      <c r="A172" s="387"/>
      <c r="B172" s="397">
        <v>28</v>
      </c>
      <c r="C172" s="398" t="s">
        <v>89</v>
      </c>
      <c r="E172" s="399" t="s">
        <v>62</v>
      </c>
      <c r="F172" s="521">
        <v>3122</v>
      </c>
      <c r="G172" s="521">
        <v>12765</v>
      </c>
      <c r="H172" s="521">
        <v>26185</v>
      </c>
      <c r="I172" s="521">
        <v>41319</v>
      </c>
      <c r="J172" s="522">
        <v>60314</v>
      </c>
    </row>
    <row r="173" spans="1:10" ht="14" thickBot="1">
      <c r="A173" s="387"/>
      <c r="F173" s="515"/>
      <c r="G173" s="515"/>
      <c r="H173" s="515"/>
      <c r="I173" s="515"/>
      <c r="J173" s="515"/>
    </row>
    <row r="174" spans="1:10" ht="14" thickBot="1">
      <c r="A174" s="387"/>
      <c r="B174" s="388">
        <v>29</v>
      </c>
      <c r="C174" s="389" t="s">
        <v>90</v>
      </c>
      <c r="E174" s="90"/>
      <c r="F174" s="516" t="s">
        <v>54</v>
      </c>
      <c r="G174" s="517" t="s">
        <v>55</v>
      </c>
      <c r="H174" s="517" t="s">
        <v>56</v>
      </c>
      <c r="I174" s="517" t="s">
        <v>57</v>
      </c>
      <c r="J174" s="518" t="s">
        <v>58</v>
      </c>
    </row>
    <row r="175" spans="1:10">
      <c r="A175" s="387"/>
      <c r="B175" s="393">
        <v>29</v>
      </c>
      <c r="C175" s="394" t="s">
        <v>90</v>
      </c>
      <c r="E175" s="400" t="s">
        <v>59</v>
      </c>
      <c r="F175" s="523">
        <v>3136</v>
      </c>
      <c r="G175" s="524">
        <v>8026</v>
      </c>
      <c r="H175" s="524">
        <v>17358</v>
      </c>
      <c r="I175" s="524">
        <v>28783</v>
      </c>
      <c r="J175" s="525">
        <v>50612</v>
      </c>
    </row>
    <row r="176" spans="1:10">
      <c r="A176" s="387"/>
      <c r="B176" s="393">
        <v>29</v>
      </c>
      <c r="C176" s="394" t="s">
        <v>90</v>
      </c>
      <c r="E176" s="396" t="s">
        <v>60</v>
      </c>
      <c r="F176" s="526">
        <v>4480</v>
      </c>
      <c r="G176" s="519">
        <v>11465</v>
      </c>
      <c r="H176" s="519">
        <v>24797</v>
      </c>
      <c r="I176" s="519">
        <v>41118</v>
      </c>
      <c r="J176" s="520">
        <v>72303</v>
      </c>
    </row>
    <row r="177" spans="1:10">
      <c r="A177" s="387"/>
      <c r="B177" s="393">
        <v>29</v>
      </c>
      <c r="C177" s="394" t="s">
        <v>90</v>
      </c>
      <c r="E177" s="396" t="s">
        <v>61</v>
      </c>
      <c r="F177" s="526">
        <v>6719</v>
      </c>
      <c r="G177" s="519">
        <v>17198</v>
      </c>
      <c r="H177" s="519">
        <v>37195</v>
      </c>
      <c r="I177" s="519">
        <v>61677</v>
      </c>
      <c r="J177" s="520">
        <v>108454</v>
      </c>
    </row>
    <row r="178" spans="1:10" ht="14" thickBot="1">
      <c r="A178" s="387"/>
      <c r="B178" s="397">
        <v>29</v>
      </c>
      <c r="C178" s="398" t="s">
        <v>90</v>
      </c>
      <c r="E178" s="399" t="s">
        <v>62</v>
      </c>
      <c r="F178" s="527">
        <v>11199</v>
      </c>
      <c r="G178" s="521">
        <v>28663</v>
      </c>
      <c r="H178" s="521">
        <v>61992</v>
      </c>
      <c r="I178" s="521">
        <v>102795</v>
      </c>
      <c r="J178" s="522">
        <v>180757</v>
      </c>
    </row>
    <row r="179" spans="1:10" ht="14" thickBot="1">
      <c r="A179" s="387"/>
      <c r="F179" s="515"/>
      <c r="G179" s="515"/>
      <c r="H179" s="515"/>
      <c r="I179" s="515"/>
      <c r="J179" s="515"/>
    </row>
    <row r="180" spans="1:10" ht="14" thickBot="1">
      <c r="A180" s="387"/>
      <c r="B180" s="388">
        <v>30</v>
      </c>
      <c r="C180" s="389" t="s">
        <v>91</v>
      </c>
      <c r="E180" s="90"/>
      <c r="F180" s="516" t="s">
        <v>54</v>
      </c>
      <c r="G180" s="517" t="s">
        <v>55</v>
      </c>
      <c r="H180" s="517" t="s">
        <v>56</v>
      </c>
      <c r="I180" s="517" t="s">
        <v>57</v>
      </c>
      <c r="J180" s="518" t="s">
        <v>58</v>
      </c>
    </row>
    <row r="181" spans="1:10">
      <c r="A181" s="387"/>
      <c r="B181" s="393">
        <v>30</v>
      </c>
      <c r="C181" s="394" t="s">
        <v>91</v>
      </c>
      <c r="E181" s="400" t="s">
        <v>59</v>
      </c>
      <c r="F181" s="523">
        <v>118</v>
      </c>
      <c r="G181" s="524">
        <v>708</v>
      </c>
      <c r="H181" s="524">
        <v>1146</v>
      </c>
      <c r="I181" s="524">
        <v>1527</v>
      </c>
      <c r="J181" s="525">
        <v>1984</v>
      </c>
    </row>
    <row r="182" spans="1:10">
      <c r="A182" s="387"/>
      <c r="B182" s="393">
        <v>30</v>
      </c>
      <c r="C182" s="394" t="s">
        <v>91</v>
      </c>
      <c r="E182" s="396" t="s">
        <v>60</v>
      </c>
      <c r="F182" s="526">
        <v>169</v>
      </c>
      <c r="G182" s="519">
        <v>1011</v>
      </c>
      <c r="H182" s="519">
        <v>1637</v>
      </c>
      <c r="I182" s="519">
        <v>2181</v>
      </c>
      <c r="J182" s="520">
        <v>2834</v>
      </c>
    </row>
    <row r="183" spans="1:10">
      <c r="A183" s="387"/>
      <c r="B183" s="393">
        <v>30</v>
      </c>
      <c r="C183" s="394" t="s">
        <v>91</v>
      </c>
      <c r="E183" s="396" t="s">
        <v>61</v>
      </c>
      <c r="F183" s="526">
        <v>253</v>
      </c>
      <c r="G183" s="519">
        <v>1517</v>
      </c>
      <c r="H183" s="519">
        <v>2455</v>
      </c>
      <c r="I183" s="519">
        <v>3272</v>
      </c>
      <c r="J183" s="520">
        <v>4252</v>
      </c>
    </row>
    <row r="184" spans="1:10" ht="14" thickBot="1">
      <c r="A184" s="387"/>
      <c r="B184" s="397">
        <v>30</v>
      </c>
      <c r="C184" s="398" t="s">
        <v>91</v>
      </c>
      <c r="E184" s="399" t="s">
        <v>62</v>
      </c>
      <c r="F184" s="527">
        <v>422</v>
      </c>
      <c r="G184" s="521">
        <v>2528</v>
      </c>
      <c r="H184" s="521">
        <v>4092</v>
      </c>
      <c r="I184" s="521">
        <v>5454</v>
      </c>
      <c r="J184" s="522">
        <v>7086</v>
      </c>
    </row>
    <row r="185" spans="1:10" ht="14" thickBot="1">
      <c r="A185" s="387"/>
      <c r="F185" s="515"/>
      <c r="G185" s="515"/>
      <c r="H185" s="515"/>
      <c r="I185" s="515"/>
      <c r="J185" s="515"/>
    </row>
    <row r="186" spans="1:10" ht="14" thickBot="1">
      <c r="A186" s="387"/>
      <c r="B186" s="388">
        <v>31</v>
      </c>
      <c r="C186" s="389" t="s">
        <v>92</v>
      </c>
      <c r="E186" s="90"/>
      <c r="F186" s="516" t="s">
        <v>54</v>
      </c>
      <c r="G186" s="517" t="s">
        <v>55</v>
      </c>
      <c r="H186" s="517" t="s">
        <v>56</v>
      </c>
      <c r="I186" s="517" t="s">
        <v>57</v>
      </c>
      <c r="J186" s="518" t="s">
        <v>58</v>
      </c>
    </row>
    <row r="187" spans="1:10">
      <c r="A187" s="387"/>
      <c r="B187" s="393">
        <v>31</v>
      </c>
      <c r="C187" s="394" t="s">
        <v>92</v>
      </c>
      <c r="E187" s="400" t="s">
        <v>59</v>
      </c>
      <c r="F187" s="523">
        <v>9140</v>
      </c>
      <c r="G187" s="524">
        <v>19386</v>
      </c>
      <c r="H187" s="524">
        <v>42667</v>
      </c>
      <c r="I187" s="524">
        <v>70404</v>
      </c>
      <c r="J187" s="525">
        <v>126592</v>
      </c>
    </row>
    <row r="188" spans="1:10">
      <c r="A188" s="387"/>
      <c r="B188" s="393">
        <v>31</v>
      </c>
      <c r="C188" s="394" t="s">
        <v>92</v>
      </c>
      <c r="E188" s="396" t="s">
        <v>60</v>
      </c>
      <c r="F188" s="526">
        <v>13057</v>
      </c>
      <c r="G188" s="519">
        <v>27694</v>
      </c>
      <c r="H188" s="519">
        <v>60953</v>
      </c>
      <c r="I188" s="519">
        <v>100578</v>
      </c>
      <c r="J188" s="520">
        <v>180846</v>
      </c>
    </row>
    <row r="189" spans="1:10">
      <c r="A189" s="387"/>
      <c r="B189" s="393">
        <v>31</v>
      </c>
      <c r="C189" s="394" t="s">
        <v>92</v>
      </c>
      <c r="E189" s="396" t="s">
        <v>61</v>
      </c>
      <c r="F189" s="526">
        <v>19586</v>
      </c>
      <c r="G189" s="519">
        <v>41542</v>
      </c>
      <c r="H189" s="519">
        <v>91430</v>
      </c>
      <c r="I189" s="519">
        <v>150867</v>
      </c>
      <c r="J189" s="520">
        <v>271269</v>
      </c>
    </row>
    <row r="190" spans="1:10" ht="14" thickBot="1">
      <c r="A190" s="387"/>
      <c r="B190" s="397">
        <v>31</v>
      </c>
      <c r="C190" s="398" t="s">
        <v>92</v>
      </c>
      <c r="E190" s="399" t="s">
        <v>62</v>
      </c>
      <c r="F190" s="527">
        <v>32643</v>
      </c>
      <c r="G190" s="521">
        <v>69236</v>
      </c>
      <c r="H190" s="521">
        <v>152384</v>
      </c>
      <c r="I190" s="521">
        <v>251444</v>
      </c>
      <c r="J190" s="522">
        <v>452115</v>
      </c>
    </row>
    <row r="191" spans="1:10" ht="14" thickBot="1">
      <c r="A191" s="387"/>
      <c r="F191" s="515"/>
      <c r="G191" s="515"/>
      <c r="H191" s="515"/>
      <c r="I191" s="515"/>
      <c r="J191" s="515"/>
    </row>
    <row r="192" spans="1:10" ht="14" thickBot="1">
      <c r="A192" s="387"/>
      <c r="B192" s="388">
        <v>32</v>
      </c>
      <c r="C192" s="389" t="s">
        <v>93</v>
      </c>
      <c r="E192" s="90"/>
      <c r="F192" s="516" t="s">
        <v>54</v>
      </c>
      <c r="G192" s="517" t="s">
        <v>55</v>
      </c>
      <c r="H192" s="517" t="s">
        <v>56</v>
      </c>
      <c r="I192" s="517" t="s">
        <v>57</v>
      </c>
      <c r="J192" s="518" t="s">
        <v>58</v>
      </c>
    </row>
    <row r="193" spans="1:10">
      <c r="A193" s="387"/>
      <c r="B193" s="393">
        <v>32</v>
      </c>
      <c r="C193" s="394" t="s">
        <v>93</v>
      </c>
      <c r="E193" s="400" t="s">
        <v>59</v>
      </c>
      <c r="F193" s="523">
        <v>48772</v>
      </c>
      <c r="G193" s="524">
        <v>133329</v>
      </c>
      <c r="H193" s="524">
        <v>286441</v>
      </c>
      <c r="I193" s="524">
        <v>475762</v>
      </c>
      <c r="J193" s="525">
        <v>818377</v>
      </c>
    </row>
    <row r="194" spans="1:10">
      <c r="A194" s="387"/>
      <c r="B194" s="393">
        <v>32</v>
      </c>
      <c r="C194" s="394" t="s">
        <v>93</v>
      </c>
      <c r="E194" s="396" t="s">
        <v>60</v>
      </c>
      <c r="F194" s="526">
        <v>69674</v>
      </c>
      <c r="G194" s="519">
        <v>190469</v>
      </c>
      <c r="H194" s="519">
        <v>409200</v>
      </c>
      <c r="I194" s="519">
        <v>679660</v>
      </c>
      <c r="J194" s="520">
        <v>1169109</v>
      </c>
    </row>
    <row r="195" spans="1:10">
      <c r="A195" s="387"/>
      <c r="B195" s="393">
        <v>32</v>
      </c>
      <c r="C195" s="394" t="s">
        <v>93</v>
      </c>
      <c r="E195" s="396" t="s">
        <v>61</v>
      </c>
      <c r="F195" s="526">
        <v>104511</v>
      </c>
      <c r="G195" s="519">
        <v>285704</v>
      </c>
      <c r="H195" s="519">
        <v>613801</v>
      </c>
      <c r="I195" s="519">
        <v>1019490</v>
      </c>
      <c r="J195" s="520">
        <v>1753664</v>
      </c>
    </row>
    <row r="196" spans="1:10" ht="14" thickBot="1">
      <c r="A196" s="387"/>
      <c r="B196" s="397">
        <v>32</v>
      </c>
      <c r="C196" s="398" t="s">
        <v>93</v>
      </c>
      <c r="E196" s="399" t="s">
        <v>62</v>
      </c>
      <c r="F196" s="527">
        <v>174185</v>
      </c>
      <c r="G196" s="521">
        <v>476174</v>
      </c>
      <c r="H196" s="521">
        <v>1023002</v>
      </c>
      <c r="I196" s="521">
        <v>1699151</v>
      </c>
      <c r="J196" s="522">
        <v>2922774</v>
      </c>
    </row>
    <row r="197" spans="1:10" ht="14" thickBot="1">
      <c r="A197" s="387"/>
      <c r="F197" s="515"/>
      <c r="G197" s="515"/>
      <c r="H197" s="515"/>
      <c r="I197" s="515"/>
      <c r="J197" s="515"/>
    </row>
    <row r="198" spans="1:10" ht="14" thickBot="1">
      <c r="A198" s="387"/>
      <c r="B198" s="388">
        <v>33</v>
      </c>
      <c r="C198" s="389" t="s">
        <v>94</v>
      </c>
      <c r="E198" s="90"/>
      <c r="F198" s="516" t="s">
        <v>54</v>
      </c>
      <c r="G198" s="517" t="s">
        <v>55</v>
      </c>
      <c r="H198" s="517" t="s">
        <v>56</v>
      </c>
      <c r="I198" s="517" t="s">
        <v>57</v>
      </c>
      <c r="J198" s="518" t="s">
        <v>58</v>
      </c>
    </row>
    <row r="199" spans="1:10">
      <c r="A199" s="387"/>
      <c r="B199" s="393">
        <v>33</v>
      </c>
      <c r="C199" s="394" t="s">
        <v>94</v>
      </c>
      <c r="E199" s="400" t="s">
        <v>59</v>
      </c>
      <c r="F199" s="523">
        <v>7097</v>
      </c>
      <c r="G199" s="524">
        <v>20960</v>
      </c>
      <c r="H199" s="524">
        <v>44670</v>
      </c>
      <c r="I199" s="524">
        <v>74333</v>
      </c>
      <c r="J199" s="525">
        <v>123741</v>
      </c>
    </row>
    <row r="200" spans="1:10">
      <c r="A200" s="387"/>
      <c r="B200" s="393">
        <v>33</v>
      </c>
      <c r="C200" s="394" t="s">
        <v>94</v>
      </c>
      <c r="E200" s="396" t="s">
        <v>60</v>
      </c>
      <c r="F200" s="526">
        <v>10138</v>
      </c>
      <c r="G200" s="519">
        <v>29942</v>
      </c>
      <c r="H200" s="519">
        <v>63813</v>
      </c>
      <c r="I200" s="519">
        <v>106189</v>
      </c>
      <c r="J200" s="520">
        <v>176771</v>
      </c>
    </row>
    <row r="201" spans="1:10">
      <c r="A201" s="387"/>
      <c r="B201" s="393">
        <v>33</v>
      </c>
      <c r="C201" s="394" t="s">
        <v>94</v>
      </c>
      <c r="E201" s="396" t="s">
        <v>61</v>
      </c>
      <c r="F201" s="526">
        <v>15207</v>
      </c>
      <c r="G201" s="519">
        <v>44913</v>
      </c>
      <c r="H201" s="519">
        <v>95720</v>
      </c>
      <c r="I201" s="519">
        <v>159285</v>
      </c>
      <c r="J201" s="520">
        <v>265159</v>
      </c>
    </row>
    <row r="202" spans="1:10" ht="14" thickBot="1">
      <c r="A202" s="387"/>
      <c r="B202" s="397">
        <v>33</v>
      </c>
      <c r="C202" s="398" t="s">
        <v>94</v>
      </c>
      <c r="E202" s="399" t="s">
        <v>62</v>
      </c>
      <c r="F202" s="527">
        <v>25346</v>
      </c>
      <c r="G202" s="521">
        <v>74855</v>
      </c>
      <c r="H202" s="521">
        <v>159533</v>
      </c>
      <c r="I202" s="521">
        <v>265473</v>
      </c>
      <c r="J202" s="522">
        <v>441930</v>
      </c>
    </row>
    <row r="203" spans="1:10" ht="14" thickBot="1">
      <c r="A203" s="387"/>
      <c r="F203" s="515"/>
      <c r="G203" s="515"/>
      <c r="H203" s="515"/>
      <c r="I203" s="515"/>
      <c r="J203" s="515"/>
    </row>
    <row r="204" spans="1:10" ht="14" thickBot="1">
      <c r="A204" s="387"/>
      <c r="B204" s="388">
        <v>34</v>
      </c>
      <c r="C204" s="389" t="s">
        <v>95</v>
      </c>
      <c r="E204" s="90"/>
      <c r="F204" s="516" t="s">
        <v>54</v>
      </c>
      <c r="G204" s="517" t="s">
        <v>55</v>
      </c>
      <c r="H204" s="517" t="s">
        <v>56</v>
      </c>
      <c r="I204" s="517" t="s">
        <v>57</v>
      </c>
      <c r="J204" s="518" t="s">
        <v>58</v>
      </c>
    </row>
    <row r="205" spans="1:10">
      <c r="A205" s="387"/>
      <c r="B205" s="393">
        <v>34</v>
      </c>
      <c r="C205" s="394" t="s">
        <v>95</v>
      </c>
      <c r="E205" s="400" t="s">
        <v>59</v>
      </c>
      <c r="F205" s="523">
        <v>18282</v>
      </c>
      <c r="G205" s="524">
        <v>38775</v>
      </c>
      <c r="H205" s="524">
        <v>85341</v>
      </c>
      <c r="I205" s="524">
        <v>140819</v>
      </c>
      <c r="J205" s="525">
        <v>253203</v>
      </c>
    </row>
    <row r="206" spans="1:10">
      <c r="A206" s="387"/>
      <c r="B206" s="393">
        <v>34</v>
      </c>
      <c r="C206" s="394" t="s">
        <v>95</v>
      </c>
      <c r="E206" s="396" t="s">
        <v>60</v>
      </c>
      <c r="F206" s="526">
        <v>26117</v>
      </c>
      <c r="G206" s="519">
        <v>55393</v>
      </c>
      <c r="H206" s="519">
        <v>121916</v>
      </c>
      <c r="I206" s="519">
        <v>201170</v>
      </c>
      <c r="J206" s="520">
        <v>361719</v>
      </c>
    </row>
    <row r="207" spans="1:10">
      <c r="A207" s="387"/>
      <c r="B207" s="393">
        <v>34</v>
      </c>
      <c r="C207" s="394" t="s">
        <v>95</v>
      </c>
      <c r="E207" s="396" t="s">
        <v>61</v>
      </c>
      <c r="F207" s="526">
        <v>39175</v>
      </c>
      <c r="G207" s="519">
        <v>83089</v>
      </c>
      <c r="H207" s="519">
        <v>182874</v>
      </c>
      <c r="I207" s="519">
        <v>301755</v>
      </c>
      <c r="J207" s="520">
        <v>542578</v>
      </c>
    </row>
    <row r="208" spans="1:10" ht="14" thickBot="1">
      <c r="A208" s="387"/>
      <c r="B208" s="397">
        <v>34</v>
      </c>
      <c r="C208" s="398" t="s">
        <v>95</v>
      </c>
      <c r="E208" s="399" t="s">
        <v>62</v>
      </c>
      <c r="F208" s="527">
        <v>65291</v>
      </c>
      <c r="G208" s="521">
        <v>138482</v>
      </c>
      <c r="H208" s="521">
        <v>304789</v>
      </c>
      <c r="I208" s="521">
        <v>502926</v>
      </c>
      <c r="J208" s="522">
        <v>904297</v>
      </c>
    </row>
    <row r="209" spans="1:10" ht="14" thickBot="1">
      <c r="A209" s="387"/>
      <c r="F209" s="515"/>
      <c r="G209" s="515"/>
      <c r="H209" s="515"/>
      <c r="I209" s="515"/>
      <c r="J209" s="515"/>
    </row>
    <row r="210" spans="1:10" ht="14" thickBot="1">
      <c r="A210" s="387"/>
      <c r="B210" s="388">
        <v>35</v>
      </c>
      <c r="C210" s="389" t="s">
        <v>96</v>
      </c>
      <c r="E210" s="90"/>
      <c r="F210" s="516" t="s">
        <v>54</v>
      </c>
      <c r="G210" s="517" t="s">
        <v>55</v>
      </c>
      <c r="H210" s="517" t="s">
        <v>56</v>
      </c>
      <c r="I210" s="517" t="s">
        <v>57</v>
      </c>
      <c r="J210" s="518" t="s">
        <v>58</v>
      </c>
    </row>
    <row r="211" spans="1:10">
      <c r="A211" s="387"/>
      <c r="B211" s="393">
        <v>35</v>
      </c>
      <c r="C211" s="394" t="s">
        <v>96</v>
      </c>
      <c r="E211" s="400" t="s">
        <v>59</v>
      </c>
      <c r="F211" s="523">
        <v>48886</v>
      </c>
      <c r="G211" s="524">
        <v>133640</v>
      </c>
      <c r="H211" s="524">
        <v>287109</v>
      </c>
      <c r="I211" s="524">
        <v>476872</v>
      </c>
      <c r="J211" s="525">
        <v>820286</v>
      </c>
    </row>
    <row r="212" spans="1:10">
      <c r="A212" s="387"/>
      <c r="B212" s="393">
        <v>35</v>
      </c>
      <c r="C212" s="394" t="s">
        <v>96</v>
      </c>
      <c r="E212" s="396" t="s">
        <v>60</v>
      </c>
      <c r="F212" s="526">
        <v>69837</v>
      </c>
      <c r="G212" s="519">
        <v>190914</v>
      </c>
      <c r="H212" s="519">
        <v>410156</v>
      </c>
      <c r="I212" s="519">
        <v>681247</v>
      </c>
      <c r="J212" s="520">
        <v>1171839</v>
      </c>
    </row>
    <row r="213" spans="1:10">
      <c r="A213" s="387"/>
      <c r="B213" s="393">
        <v>35</v>
      </c>
      <c r="C213" s="394" t="s">
        <v>96</v>
      </c>
      <c r="E213" s="396" t="s">
        <v>61</v>
      </c>
      <c r="F213" s="526">
        <v>104755</v>
      </c>
      <c r="G213" s="519">
        <v>286371</v>
      </c>
      <c r="H213" s="519">
        <v>615234</v>
      </c>
      <c r="I213" s="519">
        <v>1021870</v>
      </c>
      <c r="J213" s="520">
        <v>1757758</v>
      </c>
    </row>
    <row r="214" spans="1:10" ht="14" thickBot="1">
      <c r="A214" s="387"/>
      <c r="B214" s="397">
        <v>35</v>
      </c>
      <c r="C214" s="398" t="s">
        <v>96</v>
      </c>
      <c r="E214" s="399" t="s">
        <v>62</v>
      </c>
      <c r="F214" s="527">
        <v>174592</v>
      </c>
      <c r="G214" s="521">
        <v>477286</v>
      </c>
      <c r="H214" s="521">
        <v>1025390</v>
      </c>
      <c r="I214" s="521">
        <v>1703117</v>
      </c>
      <c r="J214" s="522">
        <v>2929598</v>
      </c>
    </row>
    <row r="215" spans="1:10" ht="14" thickBot="1">
      <c r="A215" s="387"/>
      <c r="F215" s="515"/>
      <c r="G215" s="515"/>
      <c r="H215" s="515"/>
      <c r="I215" s="515"/>
      <c r="J215" s="515"/>
    </row>
    <row r="216" spans="1:10" ht="14" thickBot="1">
      <c r="A216" s="387"/>
      <c r="B216" s="388">
        <v>36</v>
      </c>
      <c r="C216" s="389" t="s">
        <v>97</v>
      </c>
      <c r="E216" s="90"/>
      <c r="F216" s="516" t="s">
        <v>54</v>
      </c>
      <c r="G216" s="517" t="s">
        <v>55</v>
      </c>
      <c r="H216" s="517" t="s">
        <v>56</v>
      </c>
      <c r="I216" s="517" t="s">
        <v>57</v>
      </c>
      <c r="J216" s="518" t="s">
        <v>58</v>
      </c>
    </row>
    <row r="217" spans="1:10">
      <c r="A217" s="387"/>
      <c r="B217" s="393">
        <v>36</v>
      </c>
      <c r="C217" s="394" t="s">
        <v>97</v>
      </c>
      <c r="E217" s="400" t="s">
        <v>59</v>
      </c>
      <c r="F217" s="523">
        <v>11238</v>
      </c>
      <c r="G217" s="524">
        <v>33189</v>
      </c>
      <c r="H217" s="524">
        <v>70733</v>
      </c>
      <c r="I217" s="524">
        <v>117704</v>
      </c>
      <c r="J217" s="525">
        <v>195941</v>
      </c>
    </row>
    <row r="218" spans="1:10">
      <c r="A218" s="387"/>
      <c r="B218" s="393">
        <v>36</v>
      </c>
      <c r="C218" s="394" t="s">
        <v>97</v>
      </c>
      <c r="E218" s="396" t="s">
        <v>60</v>
      </c>
      <c r="F218" s="526">
        <v>16054</v>
      </c>
      <c r="G218" s="519">
        <v>47413</v>
      </c>
      <c r="H218" s="519">
        <v>101047</v>
      </c>
      <c r="I218" s="519">
        <v>168149</v>
      </c>
      <c r="J218" s="520">
        <v>279915</v>
      </c>
    </row>
    <row r="219" spans="1:10">
      <c r="A219" s="387"/>
      <c r="B219" s="393">
        <v>36</v>
      </c>
      <c r="C219" s="394" t="s">
        <v>97</v>
      </c>
      <c r="E219" s="396" t="s">
        <v>61</v>
      </c>
      <c r="F219" s="526">
        <v>24080</v>
      </c>
      <c r="G219" s="519">
        <v>71119</v>
      </c>
      <c r="H219" s="519">
        <v>151570</v>
      </c>
      <c r="I219" s="519">
        <v>252222</v>
      </c>
      <c r="J219" s="520">
        <v>419870</v>
      </c>
    </row>
    <row r="220" spans="1:10" ht="14" thickBot="1">
      <c r="A220" s="387"/>
      <c r="B220" s="397">
        <v>36</v>
      </c>
      <c r="C220" s="398" t="s">
        <v>97</v>
      </c>
      <c r="E220" s="399" t="s">
        <v>62</v>
      </c>
      <c r="F220" s="527">
        <v>40134</v>
      </c>
      <c r="G220" s="521">
        <v>118532</v>
      </c>
      <c r="H220" s="521">
        <v>252617</v>
      </c>
      <c r="I220" s="521">
        <v>420370</v>
      </c>
      <c r="J220" s="522">
        <v>699785</v>
      </c>
    </row>
    <row r="221" spans="1:10" ht="14" thickBot="1">
      <c r="A221" s="387"/>
      <c r="F221" s="515"/>
      <c r="G221" s="515"/>
      <c r="H221" s="515"/>
      <c r="I221" s="515"/>
      <c r="J221" s="515"/>
    </row>
    <row r="222" spans="1:10" ht="14" thickBot="1">
      <c r="A222" s="387"/>
      <c r="B222" s="388">
        <v>37</v>
      </c>
      <c r="C222" s="389" t="s">
        <v>98</v>
      </c>
      <c r="E222" s="90"/>
      <c r="F222" s="516" t="s">
        <v>54</v>
      </c>
      <c r="G222" s="517" t="s">
        <v>55</v>
      </c>
      <c r="H222" s="517" t="s">
        <v>56</v>
      </c>
      <c r="I222" s="517" t="s">
        <v>57</v>
      </c>
      <c r="J222" s="518" t="s">
        <v>58</v>
      </c>
    </row>
    <row r="223" spans="1:10">
      <c r="A223" s="387"/>
      <c r="B223" s="393">
        <v>37</v>
      </c>
      <c r="C223" s="394" t="s">
        <v>98</v>
      </c>
      <c r="E223" s="400" t="s">
        <v>59</v>
      </c>
      <c r="F223" s="523">
        <v>22867</v>
      </c>
      <c r="G223" s="524">
        <v>82665</v>
      </c>
      <c r="H223" s="524">
        <v>172290</v>
      </c>
      <c r="I223" s="524">
        <v>282551</v>
      </c>
      <c r="J223" s="525">
        <v>430562</v>
      </c>
    </row>
    <row r="224" spans="1:10">
      <c r="A224" s="387"/>
      <c r="B224" s="393">
        <v>37</v>
      </c>
      <c r="C224" s="394" t="s">
        <v>98</v>
      </c>
      <c r="E224" s="396" t="s">
        <v>60</v>
      </c>
      <c r="F224" s="526">
        <v>32667</v>
      </c>
      <c r="G224" s="519">
        <v>118093</v>
      </c>
      <c r="H224" s="519">
        <v>246129</v>
      </c>
      <c r="I224" s="519">
        <v>403644</v>
      </c>
      <c r="J224" s="520">
        <v>615088</v>
      </c>
    </row>
    <row r="225" spans="1:10">
      <c r="A225" s="387"/>
      <c r="B225" s="393">
        <v>37</v>
      </c>
      <c r="C225" s="394" t="s">
        <v>98</v>
      </c>
      <c r="E225" s="396" t="s">
        <v>61</v>
      </c>
      <c r="F225" s="526">
        <v>49001</v>
      </c>
      <c r="G225" s="519">
        <v>177139</v>
      </c>
      <c r="H225" s="519">
        <v>369193</v>
      </c>
      <c r="I225" s="519">
        <v>605466</v>
      </c>
      <c r="J225" s="520">
        <v>922632</v>
      </c>
    </row>
    <row r="226" spans="1:10" ht="14" thickBot="1">
      <c r="A226" s="387"/>
      <c r="B226" s="397">
        <v>37</v>
      </c>
      <c r="C226" s="398" t="s">
        <v>98</v>
      </c>
      <c r="E226" s="399" t="s">
        <v>62</v>
      </c>
      <c r="F226" s="527">
        <v>81668</v>
      </c>
      <c r="G226" s="521">
        <v>295232</v>
      </c>
      <c r="H226" s="521">
        <v>615322</v>
      </c>
      <c r="I226" s="521">
        <v>1009110</v>
      </c>
      <c r="J226" s="522">
        <v>1537720</v>
      </c>
    </row>
    <row r="227" spans="1:10" ht="14" thickBot="1">
      <c r="A227" s="387"/>
      <c r="F227" s="515"/>
      <c r="G227" s="515"/>
      <c r="H227" s="515"/>
      <c r="I227" s="515"/>
      <c r="J227" s="515"/>
    </row>
    <row r="228" spans="1:10" ht="14" thickBot="1">
      <c r="A228" s="387"/>
      <c r="B228" s="388">
        <v>38</v>
      </c>
      <c r="C228" s="389" t="s">
        <v>99</v>
      </c>
      <c r="E228" s="90"/>
      <c r="F228" s="516" t="s">
        <v>54</v>
      </c>
      <c r="G228" s="517" t="s">
        <v>55</v>
      </c>
      <c r="H228" s="517" t="s">
        <v>56</v>
      </c>
      <c r="I228" s="517" t="s">
        <v>57</v>
      </c>
      <c r="J228" s="518" t="s">
        <v>58</v>
      </c>
    </row>
    <row r="229" spans="1:10">
      <c r="A229" s="387"/>
      <c r="B229" s="393">
        <v>38</v>
      </c>
      <c r="C229" s="394" t="s">
        <v>99</v>
      </c>
      <c r="E229" s="400" t="s">
        <v>59</v>
      </c>
      <c r="F229" s="523">
        <v>6175</v>
      </c>
      <c r="G229" s="524">
        <v>22304</v>
      </c>
      <c r="H229" s="524">
        <v>46495</v>
      </c>
      <c r="I229" s="524">
        <v>76251</v>
      </c>
      <c r="J229" s="525">
        <v>116196</v>
      </c>
    </row>
    <row r="230" spans="1:10">
      <c r="A230" s="387"/>
      <c r="B230" s="393">
        <v>38</v>
      </c>
      <c r="C230" s="394" t="s">
        <v>99</v>
      </c>
      <c r="E230" s="396" t="s">
        <v>60</v>
      </c>
      <c r="F230" s="526">
        <v>8822</v>
      </c>
      <c r="G230" s="519">
        <v>31863</v>
      </c>
      <c r="H230" s="519">
        <v>66422</v>
      </c>
      <c r="I230" s="519">
        <v>108930</v>
      </c>
      <c r="J230" s="520">
        <v>165994</v>
      </c>
    </row>
    <row r="231" spans="1:10">
      <c r="A231" s="387"/>
      <c r="B231" s="393">
        <v>38</v>
      </c>
      <c r="C231" s="394" t="s">
        <v>99</v>
      </c>
      <c r="E231" s="396" t="s">
        <v>61</v>
      </c>
      <c r="F231" s="526">
        <v>13233</v>
      </c>
      <c r="G231" s="519">
        <v>47795</v>
      </c>
      <c r="H231" s="519">
        <v>99633</v>
      </c>
      <c r="I231" s="519">
        <v>163395</v>
      </c>
      <c r="J231" s="520">
        <v>248990</v>
      </c>
    </row>
    <row r="232" spans="1:10" ht="14" thickBot="1">
      <c r="A232" s="387"/>
      <c r="B232" s="397">
        <v>38</v>
      </c>
      <c r="C232" s="398" t="s">
        <v>99</v>
      </c>
      <c r="E232" s="399" t="s">
        <v>62</v>
      </c>
      <c r="F232" s="527">
        <v>22055</v>
      </c>
      <c r="G232" s="521">
        <v>79658</v>
      </c>
      <c r="H232" s="521">
        <v>166054</v>
      </c>
      <c r="I232" s="521">
        <v>272325</v>
      </c>
      <c r="J232" s="522">
        <v>414984</v>
      </c>
    </row>
    <row r="233" spans="1:10" ht="14" thickBot="1">
      <c r="A233" s="387"/>
      <c r="F233" s="515"/>
      <c r="G233" s="515"/>
      <c r="H233" s="515"/>
      <c r="I233" s="515"/>
      <c r="J233" s="515"/>
    </row>
    <row r="234" spans="1:10" ht="14" thickBot="1">
      <c r="A234" s="387"/>
      <c r="B234" s="388">
        <v>39</v>
      </c>
      <c r="C234" s="389" t="s">
        <v>100</v>
      </c>
      <c r="E234" s="90"/>
      <c r="F234" s="516" t="s">
        <v>54</v>
      </c>
      <c r="G234" s="517" t="s">
        <v>55</v>
      </c>
      <c r="H234" s="517" t="s">
        <v>56</v>
      </c>
      <c r="I234" s="517" t="s">
        <v>57</v>
      </c>
      <c r="J234" s="518" t="s">
        <v>58</v>
      </c>
    </row>
    <row r="235" spans="1:10">
      <c r="A235" s="387"/>
      <c r="B235" s="393">
        <v>39</v>
      </c>
      <c r="C235" s="394" t="s">
        <v>100</v>
      </c>
      <c r="E235" s="400" t="s">
        <v>59</v>
      </c>
      <c r="F235" s="523">
        <v>5464</v>
      </c>
      <c r="G235" s="524">
        <v>25616</v>
      </c>
      <c r="H235" s="524">
        <v>51021</v>
      </c>
      <c r="I235" s="524">
        <v>75706</v>
      </c>
      <c r="J235" s="525">
        <v>106202</v>
      </c>
    </row>
    <row r="236" spans="1:10">
      <c r="A236" s="387"/>
      <c r="B236" s="393">
        <v>39</v>
      </c>
      <c r="C236" s="394" t="s">
        <v>100</v>
      </c>
      <c r="E236" s="396" t="s">
        <v>60</v>
      </c>
      <c r="F236" s="526">
        <v>7806</v>
      </c>
      <c r="G236" s="519">
        <v>36594</v>
      </c>
      <c r="H236" s="519">
        <v>72887</v>
      </c>
      <c r="I236" s="519">
        <v>108151</v>
      </c>
      <c r="J236" s="520">
        <v>151717</v>
      </c>
    </row>
    <row r="237" spans="1:10">
      <c r="A237" s="387"/>
      <c r="B237" s="393">
        <v>39</v>
      </c>
      <c r="C237" s="394" t="s">
        <v>100</v>
      </c>
      <c r="E237" s="396" t="s">
        <v>61</v>
      </c>
      <c r="F237" s="526">
        <v>11709</v>
      </c>
      <c r="G237" s="519">
        <v>54892</v>
      </c>
      <c r="H237" s="519">
        <v>109330</v>
      </c>
      <c r="I237" s="519">
        <v>162226</v>
      </c>
      <c r="J237" s="520">
        <v>227576</v>
      </c>
    </row>
    <row r="238" spans="1:10" ht="14" thickBot="1">
      <c r="A238" s="387"/>
      <c r="B238" s="397">
        <v>39</v>
      </c>
      <c r="C238" s="398" t="s">
        <v>100</v>
      </c>
      <c r="E238" s="399" t="s">
        <v>62</v>
      </c>
      <c r="F238" s="527">
        <v>19516</v>
      </c>
      <c r="G238" s="521">
        <v>91486</v>
      </c>
      <c r="H238" s="521">
        <v>182217</v>
      </c>
      <c r="I238" s="521">
        <v>270377</v>
      </c>
      <c r="J238" s="522">
        <v>379293</v>
      </c>
    </row>
    <row r="239" spans="1:10" ht="14" thickBot="1">
      <c r="A239" s="387"/>
      <c r="F239" s="515"/>
      <c r="G239" s="515"/>
      <c r="H239" s="515"/>
      <c r="I239" s="515"/>
      <c r="J239" s="515"/>
    </row>
    <row r="240" spans="1:10" ht="14" thickBot="1">
      <c r="A240" s="387"/>
      <c r="B240" s="388">
        <v>40</v>
      </c>
      <c r="C240" s="389" t="s">
        <v>101</v>
      </c>
      <c r="E240" s="90"/>
      <c r="F240" s="516" t="s">
        <v>54</v>
      </c>
      <c r="G240" s="517" t="s">
        <v>55</v>
      </c>
      <c r="H240" s="517" t="s">
        <v>56</v>
      </c>
      <c r="I240" s="517" t="s">
        <v>57</v>
      </c>
      <c r="J240" s="518" t="s">
        <v>58</v>
      </c>
    </row>
    <row r="241" spans="1:10">
      <c r="A241" s="387"/>
      <c r="B241" s="393">
        <v>40</v>
      </c>
      <c r="C241" s="394" t="s">
        <v>101</v>
      </c>
      <c r="E241" s="400" t="s">
        <v>59</v>
      </c>
      <c r="F241" s="519">
        <v>6821</v>
      </c>
      <c r="G241" s="519">
        <v>24635</v>
      </c>
      <c r="H241" s="519">
        <v>51354</v>
      </c>
      <c r="I241" s="519">
        <v>84219</v>
      </c>
      <c r="J241" s="520">
        <v>128337</v>
      </c>
    </row>
    <row r="242" spans="1:10">
      <c r="A242" s="387"/>
      <c r="B242" s="393">
        <v>40</v>
      </c>
      <c r="C242" s="394" t="s">
        <v>101</v>
      </c>
      <c r="E242" s="396" t="s">
        <v>60</v>
      </c>
      <c r="F242" s="519">
        <v>9744</v>
      </c>
      <c r="G242" s="519">
        <v>35193</v>
      </c>
      <c r="H242" s="519">
        <v>73362</v>
      </c>
      <c r="I242" s="519">
        <v>120313</v>
      </c>
      <c r="J242" s="520">
        <v>183339</v>
      </c>
    </row>
    <row r="243" spans="1:10">
      <c r="A243" s="387"/>
      <c r="B243" s="393">
        <v>40</v>
      </c>
      <c r="C243" s="394" t="s">
        <v>101</v>
      </c>
      <c r="E243" s="396" t="s">
        <v>61</v>
      </c>
      <c r="F243" s="519">
        <v>14616</v>
      </c>
      <c r="G243" s="519">
        <v>52789</v>
      </c>
      <c r="H243" s="519">
        <v>110044</v>
      </c>
      <c r="I243" s="519">
        <v>180469</v>
      </c>
      <c r="J243" s="520">
        <v>275009</v>
      </c>
    </row>
    <row r="244" spans="1:10" ht="14" thickBot="1">
      <c r="A244" s="387"/>
      <c r="B244" s="397">
        <v>40</v>
      </c>
      <c r="C244" s="398" t="s">
        <v>101</v>
      </c>
      <c r="E244" s="399" t="s">
        <v>62</v>
      </c>
      <c r="F244" s="521">
        <v>24359</v>
      </c>
      <c r="G244" s="521">
        <v>87982</v>
      </c>
      <c r="H244" s="521">
        <v>183406</v>
      </c>
      <c r="I244" s="521">
        <v>300781</v>
      </c>
      <c r="J244" s="522">
        <v>458347</v>
      </c>
    </row>
    <row r="245" spans="1:10" ht="14" thickBot="1">
      <c r="A245" s="387"/>
      <c r="F245" s="515"/>
      <c r="G245" s="515"/>
      <c r="H245" s="515"/>
      <c r="I245" s="515"/>
      <c r="J245" s="515"/>
    </row>
    <row r="246" spans="1:10" ht="14" thickBot="1">
      <c r="A246" s="387"/>
      <c r="B246" s="388">
        <v>41</v>
      </c>
      <c r="C246" s="389" t="s">
        <v>102</v>
      </c>
      <c r="E246" s="90"/>
      <c r="F246" s="516" t="s">
        <v>54</v>
      </c>
      <c r="G246" s="517" t="s">
        <v>55</v>
      </c>
      <c r="H246" s="517" t="s">
        <v>56</v>
      </c>
      <c r="I246" s="517" t="s">
        <v>57</v>
      </c>
      <c r="J246" s="518" t="s">
        <v>58</v>
      </c>
    </row>
    <row r="247" spans="1:10">
      <c r="A247" s="387"/>
      <c r="B247" s="393">
        <v>41</v>
      </c>
      <c r="C247" s="394" t="s">
        <v>102</v>
      </c>
      <c r="E247" s="400" t="s">
        <v>59</v>
      </c>
      <c r="F247" s="523">
        <v>5836</v>
      </c>
      <c r="G247" s="524">
        <v>27359</v>
      </c>
      <c r="H247" s="524">
        <v>54492</v>
      </c>
      <c r="I247" s="524">
        <v>80856</v>
      </c>
      <c r="J247" s="525">
        <v>113428</v>
      </c>
    </row>
    <row r="248" spans="1:10">
      <c r="A248" s="387"/>
      <c r="B248" s="393">
        <v>41</v>
      </c>
      <c r="C248" s="394" t="s">
        <v>102</v>
      </c>
      <c r="E248" s="396" t="s">
        <v>60</v>
      </c>
      <c r="F248" s="526">
        <v>8337</v>
      </c>
      <c r="G248" s="519">
        <v>39084</v>
      </c>
      <c r="H248" s="519">
        <v>77846</v>
      </c>
      <c r="I248" s="519">
        <v>115509</v>
      </c>
      <c r="J248" s="520">
        <v>162039</v>
      </c>
    </row>
    <row r="249" spans="1:10">
      <c r="A249" s="387"/>
      <c r="B249" s="393">
        <v>41</v>
      </c>
      <c r="C249" s="394" t="s">
        <v>102</v>
      </c>
      <c r="E249" s="396" t="s">
        <v>61</v>
      </c>
      <c r="F249" s="526">
        <v>12506</v>
      </c>
      <c r="G249" s="519">
        <v>58626</v>
      </c>
      <c r="H249" s="519">
        <v>116768</v>
      </c>
      <c r="I249" s="519">
        <v>173264</v>
      </c>
      <c r="J249" s="520">
        <v>243059</v>
      </c>
    </row>
    <row r="250" spans="1:10" ht="14" thickBot="1">
      <c r="A250" s="387"/>
      <c r="B250" s="397">
        <v>41</v>
      </c>
      <c r="C250" s="398" t="s">
        <v>102</v>
      </c>
      <c r="E250" s="399" t="s">
        <v>62</v>
      </c>
      <c r="F250" s="527">
        <v>20843</v>
      </c>
      <c r="G250" s="521">
        <v>97711</v>
      </c>
      <c r="H250" s="521">
        <v>194614</v>
      </c>
      <c r="I250" s="521">
        <v>288773</v>
      </c>
      <c r="J250" s="522">
        <v>405098</v>
      </c>
    </row>
    <row r="251" spans="1:10" ht="14" thickBot="1">
      <c r="A251" s="387"/>
      <c r="F251" s="515"/>
      <c r="G251" s="515"/>
      <c r="H251" s="515"/>
      <c r="I251" s="515"/>
      <c r="J251" s="515"/>
    </row>
    <row r="252" spans="1:10" ht="14" thickBot="1">
      <c r="A252" s="387"/>
      <c r="B252" s="388">
        <v>42</v>
      </c>
      <c r="C252" s="389" t="s">
        <v>103</v>
      </c>
      <c r="E252" s="90"/>
      <c r="F252" s="516" t="s">
        <v>54</v>
      </c>
      <c r="G252" s="517" t="s">
        <v>55</v>
      </c>
      <c r="H252" s="517" t="s">
        <v>56</v>
      </c>
      <c r="I252" s="517" t="s">
        <v>57</v>
      </c>
      <c r="J252" s="518" t="s">
        <v>58</v>
      </c>
    </row>
    <row r="253" spans="1:10">
      <c r="A253" s="387"/>
      <c r="B253" s="393">
        <v>42</v>
      </c>
      <c r="C253" s="394" t="s">
        <v>103</v>
      </c>
      <c r="E253" s="400" t="s">
        <v>59</v>
      </c>
      <c r="F253" s="523">
        <v>4617</v>
      </c>
      <c r="G253" s="524">
        <v>18891</v>
      </c>
      <c r="H253" s="524">
        <v>38759</v>
      </c>
      <c r="I253" s="524">
        <v>61157</v>
      </c>
      <c r="J253" s="525">
        <v>89272</v>
      </c>
    </row>
    <row r="254" spans="1:10">
      <c r="A254" s="387"/>
      <c r="B254" s="393">
        <v>42</v>
      </c>
      <c r="C254" s="394" t="s">
        <v>103</v>
      </c>
      <c r="E254" s="396" t="s">
        <v>60</v>
      </c>
      <c r="F254" s="526">
        <v>6596</v>
      </c>
      <c r="G254" s="519">
        <v>26987</v>
      </c>
      <c r="H254" s="519">
        <v>55370</v>
      </c>
      <c r="I254" s="519">
        <v>87368</v>
      </c>
      <c r="J254" s="520">
        <v>127532</v>
      </c>
    </row>
    <row r="255" spans="1:10">
      <c r="A255" s="387"/>
      <c r="B255" s="393">
        <v>42</v>
      </c>
      <c r="C255" s="394" t="s">
        <v>103</v>
      </c>
      <c r="E255" s="396" t="s">
        <v>61</v>
      </c>
      <c r="F255" s="526">
        <v>9894</v>
      </c>
      <c r="G255" s="519">
        <v>40481</v>
      </c>
      <c r="H255" s="519">
        <v>83055</v>
      </c>
      <c r="I255" s="519">
        <v>131052</v>
      </c>
      <c r="J255" s="520">
        <v>191297</v>
      </c>
    </row>
    <row r="256" spans="1:10" ht="14" thickBot="1">
      <c r="A256" s="387"/>
      <c r="B256" s="397">
        <v>42</v>
      </c>
      <c r="C256" s="398" t="s">
        <v>103</v>
      </c>
      <c r="E256" s="399" t="s">
        <v>62</v>
      </c>
      <c r="F256" s="527">
        <v>16490</v>
      </c>
      <c r="G256" s="521">
        <v>67468</v>
      </c>
      <c r="H256" s="521">
        <v>138425</v>
      </c>
      <c r="I256" s="521">
        <v>218420</v>
      </c>
      <c r="J256" s="522">
        <v>318829</v>
      </c>
    </row>
    <row r="257" spans="1:10" ht="14" thickBot="1">
      <c r="A257" s="387"/>
      <c r="F257" s="515"/>
      <c r="G257" s="515"/>
      <c r="H257" s="515"/>
      <c r="I257" s="515"/>
      <c r="J257" s="515"/>
    </row>
    <row r="258" spans="1:10" ht="14" thickBot="1">
      <c r="A258" s="387"/>
      <c r="B258" s="388">
        <v>43</v>
      </c>
      <c r="C258" s="389" t="s">
        <v>104</v>
      </c>
      <c r="E258" s="90"/>
      <c r="F258" s="516" t="s">
        <v>54</v>
      </c>
      <c r="G258" s="517" t="s">
        <v>55</v>
      </c>
      <c r="H258" s="517" t="s">
        <v>56</v>
      </c>
      <c r="I258" s="517" t="s">
        <v>57</v>
      </c>
      <c r="J258" s="518" t="s">
        <v>58</v>
      </c>
    </row>
    <row r="259" spans="1:10">
      <c r="A259" s="387"/>
      <c r="B259" s="393">
        <v>43</v>
      </c>
      <c r="C259" s="394" t="s">
        <v>104</v>
      </c>
      <c r="E259" s="400" t="s">
        <v>59</v>
      </c>
      <c r="F259" s="523">
        <v>5936</v>
      </c>
      <c r="G259" s="524">
        <v>24285</v>
      </c>
      <c r="H259" s="524">
        <v>49825</v>
      </c>
      <c r="I259" s="524">
        <v>78618</v>
      </c>
      <c r="J259" s="525">
        <v>114760</v>
      </c>
    </row>
    <row r="260" spans="1:10">
      <c r="A260" s="387"/>
      <c r="B260" s="393">
        <v>43</v>
      </c>
      <c r="C260" s="394" t="s">
        <v>104</v>
      </c>
      <c r="E260" s="396" t="s">
        <v>60</v>
      </c>
      <c r="F260" s="526">
        <v>8479</v>
      </c>
      <c r="G260" s="519">
        <v>34692</v>
      </c>
      <c r="H260" s="519">
        <v>71178</v>
      </c>
      <c r="I260" s="519">
        <v>112312</v>
      </c>
      <c r="J260" s="520">
        <v>163943</v>
      </c>
    </row>
    <row r="261" spans="1:10">
      <c r="A261" s="387"/>
      <c r="B261" s="393">
        <v>43</v>
      </c>
      <c r="C261" s="394" t="s">
        <v>104</v>
      </c>
      <c r="E261" s="396" t="s">
        <v>61</v>
      </c>
      <c r="F261" s="526">
        <v>12719</v>
      </c>
      <c r="G261" s="519">
        <v>52039</v>
      </c>
      <c r="H261" s="519">
        <v>106768</v>
      </c>
      <c r="I261" s="519">
        <v>168468</v>
      </c>
      <c r="J261" s="520">
        <v>245914</v>
      </c>
    </row>
    <row r="262" spans="1:10" ht="14" thickBot="1">
      <c r="A262" s="387"/>
      <c r="B262" s="397">
        <v>43</v>
      </c>
      <c r="C262" s="398" t="s">
        <v>104</v>
      </c>
      <c r="E262" s="399" t="s">
        <v>62</v>
      </c>
      <c r="F262" s="527">
        <v>21199</v>
      </c>
      <c r="G262" s="521">
        <v>86731</v>
      </c>
      <c r="H262" s="521">
        <v>177946</v>
      </c>
      <c r="I262" s="521">
        <v>280780</v>
      </c>
      <c r="J262" s="522">
        <v>409857</v>
      </c>
    </row>
    <row r="263" spans="1:10" ht="14" thickBot="1">
      <c r="A263" s="387"/>
      <c r="F263" s="515"/>
      <c r="G263" s="515"/>
      <c r="H263" s="515"/>
      <c r="I263" s="515"/>
      <c r="J263" s="515"/>
    </row>
    <row r="264" spans="1:10" ht="14" thickBot="1">
      <c r="A264" s="387"/>
      <c r="B264" s="388">
        <v>44</v>
      </c>
      <c r="C264" s="389" t="s">
        <v>105</v>
      </c>
      <c r="E264" s="90"/>
      <c r="F264" s="516" t="s">
        <v>54</v>
      </c>
      <c r="G264" s="517" t="s">
        <v>55</v>
      </c>
      <c r="H264" s="517" t="s">
        <v>56</v>
      </c>
      <c r="I264" s="517" t="s">
        <v>57</v>
      </c>
      <c r="J264" s="518" t="s">
        <v>58</v>
      </c>
    </row>
    <row r="265" spans="1:10">
      <c r="A265" s="387"/>
      <c r="B265" s="393">
        <v>44</v>
      </c>
      <c r="C265" s="394" t="s">
        <v>105</v>
      </c>
      <c r="E265" s="400" t="s">
        <v>59</v>
      </c>
      <c r="F265" s="523">
        <v>17818</v>
      </c>
      <c r="G265" s="524">
        <v>83564</v>
      </c>
      <c r="H265" s="524">
        <v>166430</v>
      </c>
      <c r="I265" s="524">
        <v>246950</v>
      </c>
      <c r="J265" s="525">
        <v>346432</v>
      </c>
    </row>
    <row r="266" spans="1:10">
      <c r="A266" s="387"/>
      <c r="B266" s="393">
        <v>44</v>
      </c>
      <c r="C266" s="394" t="s">
        <v>105</v>
      </c>
      <c r="E266" s="396" t="s">
        <v>60</v>
      </c>
      <c r="F266" s="526">
        <v>25454</v>
      </c>
      <c r="G266" s="519">
        <v>119377</v>
      </c>
      <c r="H266" s="519">
        <v>237757</v>
      </c>
      <c r="I266" s="519">
        <v>352786</v>
      </c>
      <c r="J266" s="520">
        <v>494903</v>
      </c>
    </row>
    <row r="267" spans="1:10">
      <c r="A267" s="387"/>
      <c r="B267" s="393">
        <v>44</v>
      </c>
      <c r="C267" s="394" t="s">
        <v>105</v>
      </c>
      <c r="E267" s="396" t="s">
        <v>61</v>
      </c>
      <c r="F267" s="526">
        <v>38181</v>
      </c>
      <c r="G267" s="519">
        <v>179065</v>
      </c>
      <c r="H267" s="519">
        <v>356635</v>
      </c>
      <c r="I267" s="519">
        <v>529180</v>
      </c>
      <c r="J267" s="520">
        <v>742354</v>
      </c>
    </row>
    <row r="268" spans="1:10" ht="14" thickBot="1">
      <c r="A268" s="387"/>
      <c r="B268" s="397">
        <v>44</v>
      </c>
      <c r="C268" s="398" t="s">
        <v>105</v>
      </c>
      <c r="E268" s="399" t="s">
        <v>62</v>
      </c>
      <c r="F268" s="527">
        <v>63636</v>
      </c>
      <c r="G268" s="521">
        <v>298441</v>
      </c>
      <c r="H268" s="521">
        <v>594392</v>
      </c>
      <c r="I268" s="521">
        <v>881966</v>
      </c>
      <c r="J268" s="522">
        <v>1237256</v>
      </c>
    </row>
    <row r="269" spans="1:10" ht="14" thickBot="1">
      <c r="A269" s="387"/>
      <c r="F269" s="515"/>
      <c r="G269" s="515"/>
      <c r="H269" s="515"/>
      <c r="I269" s="515"/>
      <c r="J269" s="515"/>
    </row>
    <row r="270" spans="1:10" ht="14" thickBot="1">
      <c r="A270" s="387"/>
      <c r="B270" s="388">
        <v>45</v>
      </c>
      <c r="C270" s="389" t="s">
        <v>106</v>
      </c>
      <c r="E270" s="90"/>
      <c r="F270" s="516" t="s">
        <v>54</v>
      </c>
      <c r="G270" s="517" t="s">
        <v>55</v>
      </c>
      <c r="H270" s="517" t="s">
        <v>56</v>
      </c>
      <c r="I270" s="517" t="s">
        <v>57</v>
      </c>
      <c r="J270" s="518" t="s">
        <v>58</v>
      </c>
    </row>
    <row r="271" spans="1:10">
      <c r="A271" s="387"/>
      <c r="B271" s="393">
        <v>45</v>
      </c>
      <c r="C271" s="394" t="s">
        <v>106</v>
      </c>
      <c r="E271" s="400" t="s">
        <v>59</v>
      </c>
      <c r="F271" s="523">
        <v>17819</v>
      </c>
      <c r="G271" s="524">
        <v>72911</v>
      </c>
      <c r="H271" s="524">
        <v>149596</v>
      </c>
      <c r="I271" s="524">
        <v>236047</v>
      </c>
      <c r="J271" s="525">
        <v>344558</v>
      </c>
    </row>
    <row r="272" spans="1:10">
      <c r="A272" s="387"/>
      <c r="B272" s="393">
        <v>45</v>
      </c>
      <c r="C272" s="394" t="s">
        <v>106</v>
      </c>
      <c r="E272" s="396" t="s">
        <v>60</v>
      </c>
      <c r="F272" s="526">
        <v>25455</v>
      </c>
      <c r="G272" s="519">
        <v>104158</v>
      </c>
      <c r="H272" s="519">
        <v>213709</v>
      </c>
      <c r="I272" s="519">
        <v>337210</v>
      </c>
      <c r="J272" s="520">
        <v>492225</v>
      </c>
    </row>
    <row r="273" spans="1:10">
      <c r="A273" s="387"/>
      <c r="B273" s="393">
        <v>45</v>
      </c>
      <c r="C273" s="394" t="s">
        <v>106</v>
      </c>
      <c r="E273" s="396" t="s">
        <v>61</v>
      </c>
      <c r="F273" s="526">
        <v>38183</v>
      </c>
      <c r="G273" s="519">
        <v>156237</v>
      </c>
      <c r="H273" s="519">
        <v>320564</v>
      </c>
      <c r="I273" s="519">
        <v>505815</v>
      </c>
      <c r="J273" s="520">
        <v>738338</v>
      </c>
    </row>
    <row r="274" spans="1:10" ht="14" thickBot="1">
      <c r="A274" s="387"/>
      <c r="B274" s="397">
        <v>45</v>
      </c>
      <c r="C274" s="398" t="s">
        <v>106</v>
      </c>
      <c r="E274" s="399" t="s">
        <v>62</v>
      </c>
      <c r="F274" s="527">
        <v>63638</v>
      </c>
      <c r="G274" s="521">
        <v>260395</v>
      </c>
      <c r="H274" s="521">
        <v>534273</v>
      </c>
      <c r="I274" s="521">
        <v>843024</v>
      </c>
      <c r="J274" s="522">
        <v>1230563</v>
      </c>
    </row>
    <row r="275" spans="1:10" ht="14" thickBot="1">
      <c r="A275" s="387"/>
      <c r="F275" s="515"/>
      <c r="G275" s="515"/>
      <c r="H275" s="515"/>
      <c r="I275" s="515"/>
      <c r="J275" s="515"/>
    </row>
    <row r="276" spans="1:10" ht="14" thickBot="1">
      <c r="A276" s="387"/>
      <c r="B276" s="388">
        <v>46</v>
      </c>
      <c r="C276" s="389" t="s">
        <v>107</v>
      </c>
      <c r="E276" s="90"/>
      <c r="F276" s="516" t="s">
        <v>54</v>
      </c>
      <c r="G276" s="517" t="s">
        <v>55</v>
      </c>
      <c r="H276" s="517" t="s">
        <v>56</v>
      </c>
      <c r="I276" s="517" t="s">
        <v>57</v>
      </c>
      <c r="J276" s="518" t="s">
        <v>58</v>
      </c>
    </row>
    <row r="277" spans="1:10">
      <c r="A277" s="387"/>
      <c r="B277" s="393">
        <v>46</v>
      </c>
      <c r="C277" s="394" t="s">
        <v>107</v>
      </c>
      <c r="E277" s="400" t="s">
        <v>59</v>
      </c>
      <c r="F277" s="523">
        <v>21891</v>
      </c>
      <c r="G277" s="524">
        <v>89572</v>
      </c>
      <c r="H277" s="524">
        <v>183782</v>
      </c>
      <c r="I277" s="524">
        <v>289988</v>
      </c>
      <c r="J277" s="525">
        <v>423296</v>
      </c>
    </row>
    <row r="278" spans="1:10">
      <c r="A278" s="387"/>
      <c r="B278" s="393">
        <v>46</v>
      </c>
      <c r="C278" s="394" t="s">
        <v>107</v>
      </c>
      <c r="E278" s="396" t="s">
        <v>60</v>
      </c>
      <c r="F278" s="526">
        <v>31272</v>
      </c>
      <c r="G278" s="519">
        <v>127960</v>
      </c>
      <c r="H278" s="519">
        <v>262546</v>
      </c>
      <c r="I278" s="519">
        <v>414269</v>
      </c>
      <c r="J278" s="520">
        <v>604708</v>
      </c>
    </row>
    <row r="279" spans="1:10">
      <c r="A279" s="387"/>
      <c r="B279" s="393">
        <v>46</v>
      </c>
      <c r="C279" s="394" t="s">
        <v>107</v>
      </c>
      <c r="E279" s="396" t="s">
        <v>61</v>
      </c>
      <c r="F279" s="526">
        <v>46909</v>
      </c>
      <c r="G279" s="519">
        <v>191940</v>
      </c>
      <c r="H279" s="519">
        <v>393819</v>
      </c>
      <c r="I279" s="519">
        <v>621403</v>
      </c>
      <c r="J279" s="520">
        <v>907062</v>
      </c>
    </row>
    <row r="280" spans="1:10" ht="14" thickBot="1">
      <c r="A280" s="387"/>
      <c r="B280" s="397">
        <v>46</v>
      </c>
      <c r="C280" s="398" t="s">
        <v>107</v>
      </c>
      <c r="E280" s="399" t="s">
        <v>62</v>
      </c>
      <c r="F280" s="527">
        <v>78181</v>
      </c>
      <c r="G280" s="521">
        <v>319900</v>
      </c>
      <c r="H280" s="521">
        <v>656365</v>
      </c>
      <c r="I280" s="521">
        <v>1035672</v>
      </c>
      <c r="J280" s="522">
        <v>1511770</v>
      </c>
    </row>
    <row r="281" spans="1:10" ht="14" thickBot="1">
      <c r="A281" s="387"/>
      <c r="F281" s="515"/>
      <c r="G281" s="515"/>
      <c r="H281" s="515"/>
      <c r="I281" s="515"/>
      <c r="J281" s="515"/>
    </row>
    <row r="282" spans="1:10" ht="14" thickBot="1">
      <c r="A282" s="387"/>
      <c r="B282" s="388">
        <v>47</v>
      </c>
      <c r="C282" s="389" t="s">
        <v>108</v>
      </c>
      <c r="E282" s="90"/>
      <c r="F282" s="516" t="s">
        <v>54</v>
      </c>
      <c r="G282" s="517" t="s">
        <v>55</v>
      </c>
      <c r="H282" s="517" t="s">
        <v>56</v>
      </c>
      <c r="I282" s="517" t="s">
        <v>57</v>
      </c>
      <c r="J282" s="518" t="s">
        <v>58</v>
      </c>
    </row>
    <row r="283" spans="1:10">
      <c r="A283" s="387"/>
      <c r="B283" s="393">
        <v>47</v>
      </c>
      <c r="C283" s="394" t="s">
        <v>108</v>
      </c>
      <c r="E283" s="400" t="s">
        <v>59</v>
      </c>
      <c r="F283" s="523">
        <v>19657</v>
      </c>
      <c r="G283" s="524">
        <v>92188</v>
      </c>
      <c r="H283" s="524">
        <v>183606</v>
      </c>
      <c r="I283" s="524">
        <v>272436</v>
      </c>
      <c r="J283" s="525">
        <v>382184</v>
      </c>
    </row>
    <row r="284" spans="1:10">
      <c r="A284" s="387"/>
      <c r="B284" s="393">
        <v>47</v>
      </c>
      <c r="C284" s="394" t="s">
        <v>108</v>
      </c>
      <c r="E284" s="396" t="s">
        <v>60</v>
      </c>
      <c r="F284" s="526">
        <v>28081</v>
      </c>
      <c r="G284" s="519">
        <v>131697</v>
      </c>
      <c r="H284" s="519">
        <v>262294</v>
      </c>
      <c r="I284" s="519">
        <v>389195</v>
      </c>
      <c r="J284" s="520">
        <v>545978</v>
      </c>
    </row>
    <row r="285" spans="1:10">
      <c r="A285" s="387"/>
      <c r="B285" s="393">
        <v>47</v>
      </c>
      <c r="C285" s="394" t="s">
        <v>108</v>
      </c>
      <c r="E285" s="396" t="s">
        <v>61</v>
      </c>
      <c r="F285" s="526">
        <v>42122</v>
      </c>
      <c r="G285" s="519">
        <v>197545</v>
      </c>
      <c r="H285" s="519">
        <v>393441</v>
      </c>
      <c r="I285" s="519">
        <v>583792</v>
      </c>
      <c r="J285" s="520">
        <v>818967</v>
      </c>
    </row>
    <row r="286" spans="1:10" ht="14" thickBot="1">
      <c r="A286" s="387"/>
      <c r="B286" s="397">
        <v>47</v>
      </c>
      <c r="C286" s="398" t="s">
        <v>108</v>
      </c>
      <c r="E286" s="399" t="s">
        <v>62</v>
      </c>
      <c r="F286" s="527">
        <v>70203</v>
      </c>
      <c r="G286" s="521">
        <v>329241</v>
      </c>
      <c r="H286" s="521">
        <v>655734</v>
      </c>
      <c r="I286" s="521">
        <v>972987</v>
      </c>
      <c r="J286" s="522">
        <v>1364944</v>
      </c>
    </row>
    <row r="287" spans="1:10" ht="14" thickBot="1">
      <c r="A287" s="387"/>
      <c r="F287" s="515"/>
      <c r="G287" s="515"/>
      <c r="H287" s="515"/>
      <c r="I287" s="515"/>
      <c r="J287" s="515"/>
    </row>
    <row r="288" spans="1:10" ht="14" thickBot="1">
      <c r="A288" s="387"/>
      <c r="B288" s="388">
        <v>48</v>
      </c>
      <c r="C288" s="389" t="s">
        <v>109</v>
      </c>
      <c r="E288" s="90"/>
      <c r="F288" s="516" t="s">
        <v>54</v>
      </c>
      <c r="G288" s="517" t="s">
        <v>55</v>
      </c>
      <c r="H288" s="517" t="s">
        <v>56</v>
      </c>
      <c r="I288" s="517" t="s">
        <v>57</v>
      </c>
      <c r="J288" s="518" t="s">
        <v>58</v>
      </c>
    </row>
    <row r="289" spans="1:10">
      <c r="A289" s="387"/>
      <c r="B289" s="393">
        <v>48</v>
      </c>
      <c r="C289" s="394" t="s">
        <v>109</v>
      </c>
      <c r="E289" s="400" t="s">
        <v>59</v>
      </c>
      <c r="F289" s="523">
        <v>27629</v>
      </c>
      <c r="G289" s="524">
        <v>99853</v>
      </c>
      <c r="H289" s="524">
        <v>208124</v>
      </c>
      <c r="I289" s="524">
        <v>341328</v>
      </c>
      <c r="J289" s="525">
        <v>520129</v>
      </c>
    </row>
    <row r="290" spans="1:10">
      <c r="A290" s="387"/>
      <c r="B290" s="393">
        <v>48</v>
      </c>
      <c r="C290" s="394" t="s">
        <v>109</v>
      </c>
      <c r="E290" s="396" t="s">
        <v>60</v>
      </c>
      <c r="F290" s="526">
        <v>39470</v>
      </c>
      <c r="G290" s="519">
        <v>142648</v>
      </c>
      <c r="H290" s="519">
        <v>297320</v>
      </c>
      <c r="I290" s="519">
        <v>487612</v>
      </c>
      <c r="J290" s="520">
        <v>743041</v>
      </c>
    </row>
    <row r="291" spans="1:10">
      <c r="A291" s="387"/>
      <c r="B291" s="393">
        <v>48</v>
      </c>
      <c r="C291" s="394" t="s">
        <v>109</v>
      </c>
      <c r="E291" s="396" t="s">
        <v>61</v>
      </c>
      <c r="F291" s="526">
        <v>59205</v>
      </c>
      <c r="G291" s="519">
        <v>213972</v>
      </c>
      <c r="H291" s="519">
        <v>445980</v>
      </c>
      <c r="I291" s="519">
        <v>731417</v>
      </c>
      <c r="J291" s="520">
        <v>1114562</v>
      </c>
    </row>
    <row r="292" spans="1:10" ht="14" thickBot="1">
      <c r="A292" s="387"/>
      <c r="B292" s="397">
        <v>48</v>
      </c>
      <c r="C292" s="398" t="s">
        <v>109</v>
      </c>
      <c r="E292" s="399" t="s">
        <v>62</v>
      </c>
      <c r="F292" s="527">
        <v>98674</v>
      </c>
      <c r="G292" s="521">
        <v>356619</v>
      </c>
      <c r="H292" s="521">
        <v>743301</v>
      </c>
      <c r="I292" s="521">
        <v>1219029</v>
      </c>
      <c r="J292" s="522">
        <v>1857603</v>
      </c>
    </row>
    <row r="293" spans="1:10" ht="14" thickBot="1">
      <c r="A293" s="387"/>
      <c r="F293" s="515"/>
      <c r="G293" s="515"/>
      <c r="H293" s="515"/>
      <c r="I293" s="515"/>
      <c r="J293" s="515"/>
    </row>
    <row r="294" spans="1:10" ht="14" thickBot="1">
      <c r="A294" s="387"/>
      <c r="B294" s="388">
        <v>49</v>
      </c>
      <c r="C294" s="389" t="s">
        <v>110</v>
      </c>
      <c r="E294" s="90"/>
      <c r="F294" s="516" t="s">
        <v>54</v>
      </c>
      <c r="G294" s="517" t="s">
        <v>55</v>
      </c>
      <c r="H294" s="517" t="s">
        <v>56</v>
      </c>
      <c r="I294" s="517" t="s">
        <v>57</v>
      </c>
      <c r="J294" s="518" t="s">
        <v>58</v>
      </c>
    </row>
    <row r="295" spans="1:10">
      <c r="A295" s="387"/>
      <c r="B295" s="393">
        <v>49</v>
      </c>
      <c r="C295" s="394" t="s">
        <v>110</v>
      </c>
      <c r="E295" s="400" t="s">
        <v>59</v>
      </c>
      <c r="F295" s="519">
        <v>35907</v>
      </c>
      <c r="G295" s="519">
        <v>129772</v>
      </c>
      <c r="H295" s="519">
        <v>270484</v>
      </c>
      <c r="I295" s="519">
        <v>443599</v>
      </c>
      <c r="J295" s="520">
        <v>675974</v>
      </c>
    </row>
    <row r="296" spans="1:10">
      <c r="A296" s="387"/>
      <c r="B296" s="393">
        <v>49</v>
      </c>
      <c r="C296" s="394" t="s">
        <v>110</v>
      </c>
      <c r="E296" s="396" t="s">
        <v>60</v>
      </c>
      <c r="F296" s="519">
        <v>51296</v>
      </c>
      <c r="G296" s="519">
        <v>185389</v>
      </c>
      <c r="H296" s="519">
        <v>386405</v>
      </c>
      <c r="I296" s="519">
        <v>633713</v>
      </c>
      <c r="J296" s="520">
        <v>965677</v>
      </c>
    </row>
    <row r="297" spans="1:10">
      <c r="A297" s="387"/>
      <c r="B297" s="393">
        <v>49</v>
      </c>
      <c r="C297" s="394" t="s">
        <v>110</v>
      </c>
      <c r="E297" s="396" t="s">
        <v>61</v>
      </c>
      <c r="F297" s="519">
        <v>76944</v>
      </c>
      <c r="G297" s="519">
        <v>278083</v>
      </c>
      <c r="H297" s="519">
        <v>579608</v>
      </c>
      <c r="I297" s="519">
        <v>950570</v>
      </c>
      <c r="J297" s="520">
        <v>1448515</v>
      </c>
    </row>
    <row r="298" spans="1:10" ht="14" thickBot="1">
      <c r="A298" s="387"/>
      <c r="B298" s="397">
        <v>49</v>
      </c>
      <c r="C298" s="398" t="s">
        <v>110</v>
      </c>
      <c r="E298" s="399" t="s">
        <v>62</v>
      </c>
      <c r="F298" s="521">
        <v>128240</v>
      </c>
      <c r="G298" s="521">
        <v>463472</v>
      </c>
      <c r="H298" s="521">
        <v>966014</v>
      </c>
      <c r="I298" s="521">
        <v>1584283</v>
      </c>
      <c r="J298" s="522">
        <v>2414192</v>
      </c>
    </row>
    <row r="299" spans="1:10" ht="14" thickBot="1">
      <c r="A299" s="387"/>
      <c r="F299" s="515"/>
      <c r="G299" s="515"/>
      <c r="H299" s="515"/>
      <c r="I299" s="515"/>
      <c r="J299" s="515"/>
    </row>
    <row r="300" spans="1:10" ht="14" thickBot="1">
      <c r="A300" s="387"/>
      <c r="B300" s="388">
        <v>50</v>
      </c>
      <c r="C300" s="389" t="s">
        <v>111</v>
      </c>
      <c r="E300" s="90"/>
      <c r="F300" s="516" t="s">
        <v>54</v>
      </c>
      <c r="G300" s="517" t="s">
        <v>55</v>
      </c>
      <c r="H300" s="517" t="s">
        <v>56</v>
      </c>
      <c r="I300" s="517" t="s">
        <v>57</v>
      </c>
      <c r="J300" s="518" t="s">
        <v>58</v>
      </c>
    </row>
    <row r="301" spans="1:10">
      <c r="A301" s="387"/>
      <c r="B301" s="393">
        <v>50</v>
      </c>
      <c r="C301" s="394" t="s">
        <v>111</v>
      </c>
      <c r="E301" s="400" t="s">
        <v>59</v>
      </c>
      <c r="F301" s="523">
        <v>899</v>
      </c>
      <c r="G301" s="524">
        <v>3678</v>
      </c>
      <c r="H301" s="524">
        <v>7544</v>
      </c>
      <c r="I301" s="524">
        <v>11905</v>
      </c>
      <c r="J301" s="525">
        <v>17378</v>
      </c>
    </row>
    <row r="302" spans="1:10">
      <c r="A302" s="387"/>
      <c r="B302" s="393">
        <v>50</v>
      </c>
      <c r="C302" s="394" t="s">
        <v>111</v>
      </c>
      <c r="E302" s="396" t="s">
        <v>60</v>
      </c>
      <c r="F302" s="526">
        <v>1285</v>
      </c>
      <c r="G302" s="519">
        <v>5254</v>
      </c>
      <c r="H302" s="519">
        <v>10778</v>
      </c>
      <c r="I302" s="519">
        <v>17007</v>
      </c>
      <c r="J302" s="520">
        <v>24825</v>
      </c>
    </row>
    <row r="303" spans="1:10">
      <c r="A303" s="387"/>
      <c r="B303" s="393">
        <v>50</v>
      </c>
      <c r="C303" s="394" t="s">
        <v>111</v>
      </c>
      <c r="E303" s="396" t="s">
        <v>61</v>
      </c>
      <c r="F303" s="526">
        <v>1927</v>
      </c>
      <c r="G303" s="519">
        <v>7881</v>
      </c>
      <c r="H303" s="519">
        <v>16167</v>
      </c>
      <c r="I303" s="519">
        <v>25510</v>
      </c>
      <c r="J303" s="520">
        <v>37238</v>
      </c>
    </row>
    <row r="304" spans="1:10" ht="14" thickBot="1">
      <c r="A304" s="387"/>
      <c r="B304" s="397">
        <v>50</v>
      </c>
      <c r="C304" s="398" t="s">
        <v>111</v>
      </c>
      <c r="E304" s="399" t="s">
        <v>62</v>
      </c>
      <c r="F304" s="527">
        <v>3212</v>
      </c>
      <c r="G304" s="521">
        <v>13135</v>
      </c>
      <c r="H304" s="521">
        <v>26944</v>
      </c>
      <c r="I304" s="521">
        <v>42517</v>
      </c>
      <c r="J304" s="522">
        <v>62063</v>
      </c>
    </row>
    <row r="305" spans="1:10" ht="14" thickBot="1">
      <c r="A305" s="387"/>
      <c r="F305" s="515"/>
      <c r="G305" s="515"/>
      <c r="H305" s="515"/>
      <c r="I305" s="515"/>
      <c r="J305" s="515"/>
    </row>
    <row r="306" spans="1:10" ht="14" thickBot="1">
      <c r="A306" s="387"/>
      <c r="B306" s="388">
        <v>51</v>
      </c>
      <c r="C306" s="389" t="s">
        <v>112</v>
      </c>
      <c r="E306" s="90"/>
      <c r="F306" s="516" t="s">
        <v>54</v>
      </c>
      <c r="G306" s="517" t="s">
        <v>55</v>
      </c>
      <c r="H306" s="517" t="s">
        <v>56</v>
      </c>
      <c r="I306" s="517" t="s">
        <v>57</v>
      </c>
      <c r="J306" s="518" t="s">
        <v>58</v>
      </c>
    </row>
    <row r="307" spans="1:10">
      <c r="A307" s="387"/>
      <c r="B307" s="393">
        <v>51</v>
      </c>
      <c r="C307" s="394" t="s">
        <v>112</v>
      </c>
      <c r="E307" s="400" t="s">
        <v>59</v>
      </c>
      <c r="F307" s="523">
        <v>4078</v>
      </c>
      <c r="G307" s="524">
        <v>10438</v>
      </c>
      <c r="H307" s="524">
        <v>22576</v>
      </c>
      <c r="I307" s="524">
        <v>37435</v>
      </c>
      <c r="J307" s="525">
        <v>65826</v>
      </c>
    </row>
    <row r="308" spans="1:10">
      <c r="A308" s="387"/>
      <c r="B308" s="393">
        <v>51</v>
      </c>
      <c r="C308" s="394" t="s">
        <v>112</v>
      </c>
      <c r="E308" s="396" t="s">
        <v>60</v>
      </c>
      <c r="F308" s="526">
        <v>5826</v>
      </c>
      <c r="G308" s="519">
        <v>14912</v>
      </c>
      <c r="H308" s="519">
        <v>32251</v>
      </c>
      <c r="I308" s="519">
        <v>53478</v>
      </c>
      <c r="J308" s="520">
        <v>94038</v>
      </c>
    </row>
    <row r="309" spans="1:10">
      <c r="A309" s="387"/>
      <c r="B309" s="393">
        <v>51</v>
      </c>
      <c r="C309" s="394" t="s">
        <v>112</v>
      </c>
      <c r="E309" s="396" t="s">
        <v>61</v>
      </c>
      <c r="F309" s="526">
        <v>8739</v>
      </c>
      <c r="G309" s="519">
        <v>22368</v>
      </c>
      <c r="H309" s="519">
        <v>48377</v>
      </c>
      <c r="I309" s="519">
        <v>80218</v>
      </c>
      <c r="J309" s="520">
        <v>141056</v>
      </c>
    </row>
    <row r="310" spans="1:10" ht="14" thickBot="1">
      <c r="A310" s="387"/>
      <c r="B310" s="397">
        <v>51</v>
      </c>
      <c r="C310" s="398" t="s">
        <v>112</v>
      </c>
      <c r="E310" s="399" t="s">
        <v>62</v>
      </c>
      <c r="F310" s="527">
        <v>14566</v>
      </c>
      <c r="G310" s="521">
        <v>37279</v>
      </c>
      <c r="H310" s="521">
        <v>80628</v>
      </c>
      <c r="I310" s="521">
        <v>133696</v>
      </c>
      <c r="J310" s="522">
        <v>235094</v>
      </c>
    </row>
    <row r="311" spans="1:10" ht="14" thickBot="1">
      <c r="A311" s="387"/>
      <c r="F311" s="515"/>
      <c r="G311" s="515"/>
      <c r="H311" s="515"/>
      <c r="I311" s="515"/>
      <c r="J311" s="515"/>
    </row>
    <row r="312" spans="1:10" ht="14" thickBot="1">
      <c r="A312" s="387"/>
      <c r="B312" s="388">
        <v>52</v>
      </c>
      <c r="C312" s="389" t="s">
        <v>113</v>
      </c>
      <c r="E312" s="90"/>
      <c r="F312" s="516" t="s">
        <v>54</v>
      </c>
      <c r="G312" s="517" t="s">
        <v>55</v>
      </c>
      <c r="H312" s="517" t="s">
        <v>56</v>
      </c>
      <c r="I312" s="517" t="s">
        <v>57</v>
      </c>
      <c r="J312" s="518" t="s">
        <v>58</v>
      </c>
    </row>
    <row r="313" spans="1:10">
      <c r="A313" s="387"/>
      <c r="B313" s="393">
        <v>52</v>
      </c>
      <c r="C313" s="394" t="s">
        <v>113</v>
      </c>
      <c r="E313" s="400" t="s">
        <v>59</v>
      </c>
      <c r="F313" s="523">
        <v>166</v>
      </c>
      <c r="G313" s="524">
        <v>997</v>
      </c>
      <c r="H313" s="524">
        <v>1614</v>
      </c>
      <c r="I313" s="524">
        <v>2152</v>
      </c>
      <c r="J313" s="525">
        <v>2796</v>
      </c>
    </row>
    <row r="314" spans="1:10">
      <c r="A314" s="387"/>
      <c r="B314" s="393">
        <v>52</v>
      </c>
      <c r="C314" s="394" t="s">
        <v>113</v>
      </c>
      <c r="E314" s="396" t="s">
        <v>60</v>
      </c>
      <c r="F314" s="526">
        <v>238</v>
      </c>
      <c r="G314" s="519">
        <v>1425</v>
      </c>
      <c r="H314" s="519">
        <v>2306</v>
      </c>
      <c r="I314" s="519">
        <v>3074</v>
      </c>
      <c r="J314" s="520">
        <v>3994</v>
      </c>
    </row>
    <row r="315" spans="1:10">
      <c r="A315" s="387"/>
      <c r="B315" s="393">
        <v>52</v>
      </c>
      <c r="C315" s="394" t="s">
        <v>113</v>
      </c>
      <c r="E315" s="396" t="s">
        <v>61</v>
      </c>
      <c r="F315" s="526">
        <v>356</v>
      </c>
      <c r="G315" s="519">
        <v>2137</v>
      </c>
      <c r="H315" s="519">
        <v>3459</v>
      </c>
      <c r="I315" s="519">
        <v>4611</v>
      </c>
      <c r="J315" s="520">
        <v>5991</v>
      </c>
    </row>
    <row r="316" spans="1:10" ht="14" thickBot="1">
      <c r="A316" s="387"/>
      <c r="B316" s="397">
        <v>52</v>
      </c>
      <c r="C316" s="398" t="s">
        <v>113</v>
      </c>
      <c r="E316" s="399" t="s">
        <v>62</v>
      </c>
      <c r="F316" s="527">
        <v>594</v>
      </c>
      <c r="G316" s="521">
        <v>3562</v>
      </c>
      <c r="H316" s="521">
        <v>5766</v>
      </c>
      <c r="I316" s="521">
        <v>7684</v>
      </c>
      <c r="J316" s="522">
        <v>9985</v>
      </c>
    </row>
    <row r="317" spans="1:10" ht="14" thickBot="1">
      <c r="A317" s="387"/>
      <c r="F317" s="515"/>
      <c r="G317" s="515"/>
      <c r="H317" s="515"/>
      <c r="I317" s="515"/>
      <c r="J317" s="515"/>
    </row>
    <row r="318" spans="1:10" ht="14" thickBot="1">
      <c r="A318" s="387"/>
      <c r="B318" s="388">
        <v>53</v>
      </c>
      <c r="C318" s="389" t="s">
        <v>114</v>
      </c>
      <c r="E318" s="90"/>
      <c r="F318" s="516" t="s">
        <v>54</v>
      </c>
      <c r="G318" s="517" t="s">
        <v>55</v>
      </c>
      <c r="H318" s="517" t="s">
        <v>56</v>
      </c>
      <c r="I318" s="517" t="s">
        <v>57</v>
      </c>
      <c r="J318" s="518" t="s">
        <v>58</v>
      </c>
    </row>
    <row r="319" spans="1:10">
      <c r="A319" s="387"/>
      <c r="B319" s="393">
        <v>53</v>
      </c>
      <c r="C319" s="394" t="s">
        <v>114</v>
      </c>
      <c r="E319" s="400" t="s">
        <v>59</v>
      </c>
      <c r="F319" s="523">
        <v>32582</v>
      </c>
      <c r="G319" s="524">
        <v>69107</v>
      </c>
      <c r="H319" s="524">
        <v>152099</v>
      </c>
      <c r="I319" s="524">
        <v>250975</v>
      </c>
      <c r="J319" s="525">
        <v>451272</v>
      </c>
    </row>
    <row r="320" spans="1:10">
      <c r="A320" s="387"/>
      <c r="B320" s="393">
        <v>53</v>
      </c>
      <c r="C320" s="394" t="s">
        <v>114</v>
      </c>
      <c r="E320" s="396" t="s">
        <v>60</v>
      </c>
      <c r="F320" s="526">
        <v>46546</v>
      </c>
      <c r="G320" s="519">
        <v>98724</v>
      </c>
      <c r="H320" s="519">
        <v>217284</v>
      </c>
      <c r="I320" s="519">
        <v>358536</v>
      </c>
      <c r="J320" s="520">
        <v>644674</v>
      </c>
    </row>
    <row r="321" spans="1:10">
      <c r="A321" s="387"/>
      <c r="B321" s="393">
        <v>53</v>
      </c>
      <c r="C321" s="394" t="s">
        <v>114</v>
      </c>
      <c r="E321" s="396" t="s">
        <v>61</v>
      </c>
      <c r="F321" s="526">
        <v>69820</v>
      </c>
      <c r="G321" s="519">
        <v>148086</v>
      </c>
      <c r="H321" s="519">
        <v>325927</v>
      </c>
      <c r="I321" s="519">
        <v>537804</v>
      </c>
      <c r="J321" s="520">
        <v>967011</v>
      </c>
    </row>
    <row r="322" spans="1:10" ht="14" thickBot="1">
      <c r="A322" s="387"/>
      <c r="B322" s="397">
        <v>53</v>
      </c>
      <c r="C322" s="398" t="s">
        <v>114</v>
      </c>
      <c r="E322" s="399" t="s">
        <v>62</v>
      </c>
      <c r="F322" s="527">
        <v>116366</v>
      </c>
      <c r="G322" s="521">
        <v>246809</v>
      </c>
      <c r="H322" s="521">
        <v>543211</v>
      </c>
      <c r="I322" s="521">
        <v>896340</v>
      </c>
      <c r="J322" s="522">
        <v>1611684</v>
      </c>
    </row>
    <row r="323" spans="1:10" ht="14" thickBot="1">
      <c r="A323" s="387"/>
      <c r="F323" s="515"/>
      <c r="G323" s="515"/>
      <c r="H323" s="515"/>
      <c r="I323" s="515"/>
      <c r="J323" s="515"/>
    </row>
    <row r="324" spans="1:10" ht="14" thickBot="1">
      <c r="A324" s="387"/>
      <c r="B324" s="388">
        <v>54</v>
      </c>
      <c r="C324" s="389" t="s">
        <v>115</v>
      </c>
      <c r="E324" s="90"/>
      <c r="F324" s="516" t="s">
        <v>54</v>
      </c>
      <c r="G324" s="517" t="s">
        <v>55</v>
      </c>
      <c r="H324" s="517" t="s">
        <v>56</v>
      </c>
      <c r="I324" s="517" t="s">
        <v>57</v>
      </c>
      <c r="J324" s="518" t="s">
        <v>58</v>
      </c>
    </row>
    <row r="325" spans="1:10">
      <c r="A325" s="387"/>
      <c r="B325" s="393">
        <v>54</v>
      </c>
      <c r="C325" s="394" t="s">
        <v>115</v>
      </c>
      <c r="E325" s="400" t="s">
        <v>59</v>
      </c>
      <c r="F325" s="523">
        <v>61446</v>
      </c>
      <c r="G325" s="524">
        <v>167976</v>
      </c>
      <c r="H325" s="524">
        <v>360876</v>
      </c>
      <c r="I325" s="524">
        <v>599395</v>
      </c>
      <c r="J325" s="525">
        <v>1031043</v>
      </c>
    </row>
    <row r="326" spans="1:10">
      <c r="A326" s="387"/>
      <c r="B326" s="393">
        <v>54</v>
      </c>
      <c r="C326" s="394" t="s">
        <v>115</v>
      </c>
      <c r="E326" s="396" t="s">
        <v>60</v>
      </c>
      <c r="F326" s="526">
        <v>87780</v>
      </c>
      <c r="G326" s="519">
        <v>239966</v>
      </c>
      <c r="H326" s="519">
        <v>515538</v>
      </c>
      <c r="I326" s="519">
        <v>856280</v>
      </c>
      <c r="J326" s="520">
        <v>1472920</v>
      </c>
    </row>
    <row r="327" spans="1:10">
      <c r="A327" s="387"/>
      <c r="B327" s="393">
        <v>54</v>
      </c>
      <c r="C327" s="394" t="s">
        <v>115</v>
      </c>
      <c r="E327" s="396" t="s">
        <v>61</v>
      </c>
      <c r="F327" s="526">
        <v>131670</v>
      </c>
      <c r="G327" s="519">
        <v>359949</v>
      </c>
      <c r="H327" s="519">
        <v>773306</v>
      </c>
      <c r="I327" s="519">
        <v>1284420</v>
      </c>
      <c r="J327" s="520">
        <v>2209379</v>
      </c>
    </row>
    <row r="328" spans="1:10" ht="14" thickBot="1">
      <c r="A328" s="387"/>
      <c r="B328" s="397">
        <v>54</v>
      </c>
      <c r="C328" s="398" t="s">
        <v>115</v>
      </c>
      <c r="E328" s="399" t="s">
        <v>62</v>
      </c>
      <c r="F328" s="527">
        <v>219450</v>
      </c>
      <c r="G328" s="521">
        <v>599914</v>
      </c>
      <c r="H328" s="521">
        <v>1288843</v>
      </c>
      <c r="I328" s="521">
        <v>2140698</v>
      </c>
      <c r="J328" s="522">
        <v>3682297</v>
      </c>
    </row>
    <row r="329" spans="1:10" ht="14" thickBot="1">
      <c r="A329" s="387"/>
      <c r="F329" s="515"/>
      <c r="G329" s="515"/>
      <c r="H329" s="515"/>
      <c r="I329" s="515"/>
      <c r="J329" s="515"/>
    </row>
    <row r="330" spans="1:10" ht="14" thickBot="1">
      <c r="A330" s="387"/>
      <c r="B330" s="388">
        <v>55</v>
      </c>
      <c r="C330" s="389" t="s">
        <v>116</v>
      </c>
      <c r="E330" s="90"/>
      <c r="F330" s="516" t="s">
        <v>54</v>
      </c>
      <c r="G330" s="517" t="s">
        <v>55</v>
      </c>
      <c r="H330" s="517" t="s">
        <v>56</v>
      </c>
      <c r="I330" s="517" t="s">
        <v>57</v>
      </c>
      <c r="J330" s="518" t="s">
        <v>58</v>
      </c>
    </row>
    <row r="331" spans="1:10">
      <c r="A331" s="387"/>
      <c r="B331" s="393">
        <v>55</v>
      </c>
      <c r="C331" s="394" t="s">
        <v>116</v>
      </c>
      <c r="E331" s="400" t="s">
        <v>59</v>
      </c>
      <c r="F331" s="523">
        <v>18474</v>
      </c>
      <c r="G331" s="524">
        <v>54562</v>
      </c>
      <c r="H331" s="524">
        <v>116283</v>
      </c>
      <c r="I331" s="524">
        <v>193502</v>
      </c>
      <c r="J331" s="525">
        <v>322121</v>
      </c>
    </row>
    <row r="332" spans="1:10">
      <c r="A332" s="387"/>
      <c r="B332" s="393">
        <v>55</v>
      </c>
      <c r="C332" s="394" t="s">
        <v>116</v>
      </c>
      <c r="E332" s="396" t="s">
        <v>60</v>
      </c>
      <c r="F332" s="526">
        <v>26392</v>
      </c>
      <c r="G332" s="519">
        <v>77945</v>
      </c>
      <c r="H332" s="519">
        <v>166118</v>
      </c>
      <c r="I332" s="519">
        <v>276431</v>
      </c>
      <c r="J332" s="520">
        <v>460171</v>
      </c>
    </row>
    <row r="333" spans="1:10">
      <c r="A333" s="387"/>
      <c r="B333" s="393">
        <v>55</v>
      </c>
      <c r="C333" s="394" t="s">
        <v>116</v>
      </c>
      <c r="E333" s="396" t="s">
        <v>61</v>
      </c>
      <c r="F333" s="526">
        <v>39588</v>
      </c>
      <c r="G333" s="519">
        <v>116918</v>
      </c>
      <c r="H333" s="519">
        <v>249178</v>
      </c>
      <c r="I333" s="519">
        <v>414648</v>
      </c>
      <c r="J333" s="520">
        <v>690259</v>
      </c>
    </row>
    <row r="334" spans="1:10" ht="14" thickBot="1">
      <c r="A334" s="387"/>
      <c r="B334" s="397">
        <v>55</v>
      </c>
      <c r="C334" s="398" t="s">
        <v>116</v>
      </c>
      <c r="E334" s="399" t="s">
        <v>62</v>
      </c>
      <c r="F334" s="527">
        <v>65980</v>
      </c>
      <c r="G334" s="521">
        <v>194863</v>
      </c>
      <c r="H334" s="521">
        <v>415296</v>
      </c>
      <c r="I334" s="521">
        <v>691078</v>
      </c>
      <c r="J334" s="522">
        <v>1150430</v>
      </c>
    </row>
    <row r="335" spans="1:10" ht="14" thickBot="1">
      <c r="A335" s="387"/>
      <c r="F335" s="515"/>
      <c r="G335" s="515"/>
      <c r="H335" s="515"/>
      <c r="I335" s="515"/>
      <c r="J335" s="515"/>
    </row>
    <row r="336" spans="1:10" ht="14" thickBot="1">
      <c r="A336" s="387"/>
      <c r="B336" s="388">
        <v>56</v>
      </c>
      <c r="C336" s="389" t="s">
        <v>117</v>
      </c>
      <c r="E336" s="90"/>
      <c r="F336" s="516" t="s">
        <v>54</v>
      </c>
      <c r="G336" s="517" t="s">
        <v>55</v>
      </c>
      <c r="H336" s="517" t="s">
        <v>56</v>
      </c>
      <c r="I336" s="517" t="s">
        <v>57</v>
      </c>
      <c r="J336" s="518" t="s">
        <v>58</v>
      </c>
    </row>
    <row r="337" spans="1:10">
      <c r="A337" s="387"/>
      <c r="B337" s="393">
        <v>56</v>
      </c>
      <c r="C337" s="394" t="s">
        <v>117</v>
      </c>
      <c r="E337" s="400" t="s">
        <v>59</v>
      </c>
      <c r="F337" s="523">
        <v>48877</v>
      </c>
      <c r="G337" s="524">
        <v>176625</v>
      </c>
      <c r="H337" s="524">
        <v>368154</v>
      </c>
      <c r="I337" s="524">
        <v>603784</v>
      </c>
      <c r="J337" s="525">
        <v>920048</v>
      </c>
    </row>
    <row r="338" spans="1:10">
      <c r="A338" s="387"/>
      <c r="B338" s="393">
        <v>56</v>
      </c>
      <c r="C338" s="394" t="s">
        <v>117</v>
      </c>
      <c r="E338" s="396" t="s">
        <v>60</v>
      </c>
      <c r="F338" s="526">
        <v>69824</v>
      </c>
      <c r="G338" s="519">
        <v>252321</v>
      </c>
      <c r="H338" s="519">
        <v>525935</v>
      </c>
      <c r="I338" s="519">
        <v>862548</v>
      </c>
      <c r="J338" s="520">
        <v>1314354</v>
      </c>
    </row>
    <row r="339" spans="1:10">
      <c r="A339" s="387"/>
      <c r="B339" s="393">
        <v>56</v>
      </c>
      <c r="C339" s="394" t="s">
        <v>117</v>
      </c>
      <c r="E339" s="396" t="s">
        <v>61</v>
      </c>
      <c r="F339" s="526">
        <v>104736</v>
      </c>
      <c r="G339" s="519">
        <v>378482</v>
      </c>
      <c r="H339" s="519">
        <v>788902</v>
      </c>
      <c r="I339" s="519">
        <v>1293823</v>
      </c>
      <c r="J339" s="520">
        <v>1971531</v>
      </c>
    </row>
    <row r="340" spans="1:10" ht="14" thickBot="1">
      <c r="A340" s="387"/>
      <c r="B340" s="397">
        <v>56</v>
      </c>
      <c r="C340" s="398" t="s">
        <v>117</v>
      </c>
      <c r="E340" s="399" t="s">
        <v>62</v>
      </c>
      <c r="F340" s="527">
        <v>174560</v>
      </c>
      <c r="G340" s="521">
        <v>630803</v>
      </c>
      <c r="H340" s="521">
        <v>1314837</v>
      </c>
      <c r="I340" s="521">
        <v>2156371</v>
      </c>
      <c r="J340" s="522">
        <v>3285885</v>
      </c>
    </row>
    <row r="341" spans="1:10" ht="14" thickBot="1">
      <c r="A341" s="387"/>
      <c r="F341" s="515"/>
      <c r="G341" s="515"/>
      <c r="H341" s="515"/>
      <c r="I341" s="515"/>
      <c r="J341" s="515"/>
    </row>
    <row r="342" spans="1:10" ht="14" thickBot="1">
      <c r="A342" s="387"/>
      <c r="B342" s="388">
        <v>57</v>
      </c>
      <c r="C342" s="389" t="s">
        <v>118</v>
      </c>
      <c r="E342" s="90"/>
      <c r="F342" s="516" t="s">
        <v>54</v>
      </c>
      <c r="G342" s="517" t="s">
        <v>55</v>
      </c>
      <c r="H342" s="517" t="s">
        <v>56</v>
      </c>
      <c r="I342" s="517" t="s">
        <v>57</v>
      </c>
      <c r="J342" s="518" t="s">
        <v>58</v>
      </c>
    </row>
    <row r="343" spans="1:10">
      <c r="A343" s="387"/>
      <c r="B343" s="393">
        <v>57</v>
      </c>
      <c r="C343" s="394" t="s">
        <v>118</v>
      </c>
      <c r="E343" s="400" t="s">
        <v>59</v>
      </c>
      <c r="F343" s="523">
        <v>23566</v>
      </c>
      <c r="G343" s="524">
        <v>110482</v>
      </c>
      <c r="H343" s="524">
        <v>220049</v>
      </c>
      <c r="I343" s="524">
        <v>326517</v>
      </c>
      <c r="J343" s="525">
        <v>458053</v>
      </c>
    </row>
    <row r="344" spans="1:10">
      <c r="A344" s="387"/>
      <c r="B344" s="393">
        <v>57</v>
      </c>
      <c r="C344" s="394" t="s">
        <v>118</v>
      </c>
      <c r="E344" s="396" t="s">
        <v>60</v>
      </c>
      <c r="F344" s="526">
        <v>33666</v>
      </c>
      <c r="G344" s="519">
        <v>157832</v>
      </c>
      <c r="H344" s="519">
        <v>314355</v>
      </c>
      <c r="I344" s="519">
        <v>466452</v>
      </c>
      <c r="J344" s="520">
        <v>654361</v>
      </c>
    </row>
    <row r="345" spans="1:10">
      <c r="A345" s="387"/>
      <c r="B345" s="393">
        <v>57</v>
      </c>
      <c r="C345" s="394" t="s">
        <v>118</v>
      </c>
      <c r="E345" s="396" t="s">
        <v>61</v>
      </c>
      <c r="F345" s="526">
        <v>50499</v>
      </c>
      <c r="G345" s="519">
        <v>236748</v>
      </c>
      <c r="H345" s="519">
        <v>471533</v>
      </c>
      <c r="I345" s="519">
        <v>699679</v>
      </c>
      <c r="J345" s="520">
        <v>981542</v>
      </c>
    </row>
    <row r="346" spans="1:10" ht="14" thickBot="1">
      <c r="A346" s="387"/>
      <c r="B346" s="397">
        <v>57</v>
      </c>
      <c r="C346" s="398" t="s">
        <v>118</v>
      </c>
      <c r="E346" s="399" t="s">
        <v>62</v>
      </c>
      <c r="F346" s="527">
        <v>84165</v>
      </c>
      <c r="G346" s="521">
        <v>394580</v>
      </c>
      <c r="H346" s="521">
        <v>785888</v>
      </c>
      <c r="I346" s="521">
        <v>1166131</v>
      </c>
      <c r="J346" s="522">
        <v>1635903</v>
      </c>
    </row>
    <row r="347" spans="1:10" ht="14" thickBot="1">
      <c r="A347" s="387"/>
      <c r="F347" s="515"/>
      <c r="G347" s="515"/>
      <c r="H347" s="515"/>
      <c r="I347" s="515"/>
      <c r="J347" s="515"/>
    </row>
    <row r="348" spans="1:10" ht="14" thickBot="1">
      <c r="A348" s="387"/>
      <c r="B348" s="388">
        <v>58</v>
      </c>
      <c r="C348" s="389" t="s">
        <v>119</v>
      </c>
      <c r="E348" s="90"/>
      <c r="F348" s="516" t="s">
        <v>54</v>
      </c>
      <c r="G348" s="517" t="s">
        <v>55</v>
      </c>
      <c r="H348" s="517" t="s">
        <v>56</v>
      </c>
      <c r="I348" s="517" t="s">
        <v>57</v>
      </c>
      <c r="J348" s="518" t="s">
        <v>58</v>
      </c>
    </row>
    <row r="349" spans="1:10">
      <c r="A349" s="387"/>
      <c r="B349" s="393">
        <v>58</v>
      </c>
      <c r="C349" s="394" t="s">
        <v>119</v>
      </c>
      <c r="E349" s="400" t="s">
        <v>59</v>
      </c>
      <c r="F349" s="519">
        <v>63529</v>
      </c>
      <c r="G349" s="519">
        <v>229573</v>
      </c>
      <c r="H349" s="519">
        <v>478518</v>
      </c>
      <c r="I349" s="519">
        <v>784784</v>
      </c>
      <c r="J349" s="520">
        <v>1195856</v>
      </c>
    </row>
    <row r="350" spans="1:10">
      <c r="A350" s="387"/>
      <c r="B350" s="393">
        <v>58</v>
      </c>
      <c r="C350" s="394" t="s">
        <v>119</v>
      </c>
      <c r="E350" s="396" t="s">
        <v>60</v>
      </c>
      <c r="F350" s="519">
        <v>90755</v>
      </c>
      <c r="G350" s="519">
        <v>327961</v>
      </c>
      <c r="H350" s="519">
        <v>683597</v>
      </c>
      <c r="I350" s="519">
        <v>1121120</v>
      </c>
      <c r="J350" s="520">
        <v>1708366</v>
      </c>
    </row>
    <row r="351" spans="1:10">
      <c r="A351" s="387"/>
      <c r="B351" s="393">
        <v>58</v>
      </c>
      <c r="C351" s="394" t="s">
        <v>119</v>
      </c>
      <c r="E351" s="396" t="s">
        <v>61</v>
      </c>
      <c r="F351" s="519">
        <v>136133</v>
      </c>
      <c r="G351" s="519">
        <v>491941</v>
      </c>
      <c r="H351" s="519">
        <v>1025396</v>
      </c>
      <c r="I351" s="519">
        <v>1681679</v>
      </c>
      <c r="J351" s="520">
        <v>2562548</v>
      </c>
    </row>
    <row r="352" spans="1:10" ht="14" thickBot="1">
      <c r="A352" s="387"/>
      <c r="B352" s="397">
        <v>58</v>
      </c>
      <c r="C352" s="398" t="s">
        <v>119</v>
      </c>
      <c r="E352" s="399" t="s">
        <v>62</v>
      </c>
      <c r="F352" s="521">
        <v>226889</v>
      </c>
      <c r="G352" s="521">
        <v>819902</v>
      </c>
      <c r="H352" s="521">
        <v>1708994</v>
      </c>
      <c r="I352" s="521">
        <v>2802799</v>
      </c>
      <c r="J352" s="522">
        <v>4270914</v>
      </c>
    </row>
    <row r="353" spans="1:10" ht="14" thickBot="1">
      <c r="A353" s="387"/>
      <c r="F353" s="515"/>
      <c r="G353" s="515"/>
      <c r="H353" s="515"/>
      <c r="I353" s="515"/>
      <c r="J353" s="515"/>
    </row>
    <row r="354" spans="1:10" ht="14" thickBot="1">
      <c r="A354" s="387"/>
      <c r="B354" s="388">
        <v>59</v>
      </c>
      <c r="C354" s="389" t="s">
        <v>120</v>
      </c>
      <c r="E354" s="90"/>
      <c r="F354" s="516" t="s">
        <v>54</v>
      </c>
      <c r="G354" s="517" t="s">
        <v>55</v>
      </c>
      <c r="H354" s="517" t="s">
        <v>56</v>
      </c>
      <c r="I354" s="517" t="s">
        <v>57</v>
      </c>
      <c r="J354" s="518" t="s">
        <v>58</v>
      </c>
    </row>
    <row r="355" spans="1:10">
      <c r="A355" s="387"/>
      <c r="B355" s="393">
        <v>59</v>
      </c>
      <c r="C355" s="394" t="s">
        <v>120</v>
      </c>
      <c r="E355" s="400" t="s">
        <v>59</v>
      </c>
      <c r="F355" s="523">
        <v>44852</v>
      </c>
      <c r="G355" s="524">
        <v>183516</v>
      </c>
      <c r="H355" s="524">
        <v>376515</v>
      </c>
      <c r="I355" s="524">
        <v>594078</v>
      </c>
      <c r="J355" s="525">
        <v>867204</v>
      </c>
    </row>
    <row r="356" spans="1:10">
      <c r="A356" s="387"/>
      <c r="B356" s="393">
        <v>59</v>
      </c>
      <c r="C356" s="394" t="s">
        <v>120</v>
      </c>
      <c r="E356" s="396" t="s">
        <v>60</v>
      </c>
      <c r="F356" s="526">
        <v>64074</v>
      </c>
      <c r="G356" s="519">
        <v>262165</v>
      </c>
      <c r="H356" s="519">
        <v>537878</v>
      </c>
      <c r="I356" s="519">
        <v>848683</v>
      </c>
      <c r="J356" s="520">
        <v>1238863</v>
      </c>
    </row>
    <row r="357" spans="1:10">
      <c r="A357" s="387"/>
      <c r="B357" s="393">
        <v>59</v>
      </c>
      <c r="C357" s="394" t="s">
        <v>120</v>
      </c>
      <c r="E357" s="396" t="s">
        <v>61</v>
      </c>
      <c r="F357" s="526">
        <v>96110</v>
      </c>
      <c r="G357" s="519">
        <v>393248</v>
      </c>
      <c r="H357" s="519">
        <v>806817</v>
      </c>
      <c r="I357" s="519">
        <v>1273025</v>
      </c>
      <c r="J357" s="520">
        <v>1858294</v>
      </c>
    </row>
    <row r="358" spans="1:10" ht="14" thickBot="1">
      <c r="A358" s="387"/>
      <c r="B358" s="397">
        <v>59</v>
      </c>
      <c r="C358" s="398" t="s">
        <v>120</v>
      </c>
      <c r="E358" s="399" t="s">
        <v>62</v>
      </c>
      <c r="F358" s="527">
        <v>160184</v>
      </c>
      <c r="G358" s="521">
        <v>655413</v>
      </c>
      <c r="H358" s="521">
        <v>1344696</v>
      </c>
      <c r="I358" s="521">
        <v>2121708</v>
      </c>
      <c r="J358" s="522">
        <v>3097157</v>
      </c>
    </row>
    <row r="359" spans="1:10" ht="14" thickBot="1">
      <c r="A359" s="387"/>
      <c r="F359" s="515"/>
      <c r="G359" s="515"/>
      <c r="H359" s="515"/>
      <c r="I359" s="515"/>
      <c r="J359" s="515"/>
    </row>
    <row r="360" spans="1:10" ht="14" thickBot="1">
      <c r="A360" s="387"/>
      <c r="B360" s="388">
        <v>60</v>
      </c>
      <c r="C360" s="389" t="s">
        <v>121</v>
      </c>
      <c r="E360" s="90"/>
      <c r="F360" s="516" t="s">
        <v>54</v>
      </c>
      <c r="G360" s="517" t="s">
        <v>55</v>
      </c>
      <c r="H360" s="517" t="s">
        <v>56</v>
      </c>
      <c r="I360" s="517" t="s">
        <v>57</v>
      </c>
      <c r="J360" s="518" t="s">
        <v>58</v>
      </c>
    </row>
    <row r="361" spans="1:10">
      <c r="A361" s="387"/>
      <c r="B361" s="393">
        <v>60</v>
      </c>
      <c r="C361" s="394" t="s">
        <v>121</v>
      </c>
      <c r="E361" s="400" t="s">
        <v>59</v>
      </c>
      <c r="F361" s="523">
        <v>99261</v>
      </c>
      <c r="G361" s="524">
        <v>358739</v>
      </c>
      <c r="H361" s="524">
        <v>747719</v>
      </c>
      <c r="I361" s="524">
        <v>1226276</v>
      </c>
      <c r="J361" s="525">
        <v>1868646</v>
      </c>
    </row>
    <row r="362" spans="1:10">
      <c r="A362" s="387"/>
      <c r="B362" s="393">
        <v>60</v>
      </c>
      <c r="C362" s="394" t="s">
        <v>121</v>
      </c>
      <c r="E362" s="396" t="s">
        <v>60</v>
      </c>
      <c r="F362" s="526">
        <v>141802</v>
      </c>
      <c r="G362" s="519">
        <v>512485</v>
      </c>
      <c r="H362" s="519">
        <v>1068171</v>
      </c>
      <c r="I362" s="519">
        <v>1751822</v>
      </c>
      <c r="J362" s="520">
        <v>2669495</v>
      </c>
    </row>
    <row r="363" spans="1:10">
      <c r="A363" s="387"/>
      <c r="B363" s="393">
        <v>60</v>
      </c>
      <c r="C363" s="394" t="s">
        <v>121</v>
      </c>
      <c r="E363" s="396" t="s">
        <v>61</v>
      </c>
      <c r="F363" s="526">
        <v>212702</v>
      </c>
      <c r="G363" s="519">
        <v>768727</v>
      </c>
      <c r="H363" s="519">
        <v>1602256</v>
      </c>
      <c r="I363" s="519">
        <v>2627734</v>
      </c>
      <c r="J363" s="520">
        <v>4004242</v>
      </c>
    </row>
    <row r="364" spans="1:10" ht="14" thickBot="1">
      <c r="A364" s="387"/>
      <c r="B364" s="397">
        <v>60</v>
      </c>
      <c r="C364" s="398" t="s">
        <v>121</v>
      </c>
      <c r="E364" s="399" t="s">
        <v>62</v>
      </c>
      <c r="F364" s="527">
        <v>354504</v>
      </c>
      <c r="G364" s="521">
        <v>1281212</v>
      </c>
      <c r="H364" s="521">
        <v>2670427</v>
      </c>
      <c r="I364" s="521">
        <v>4379556</v>
      </c>
      <c r="J364" s="522">
        <v>6673737</v>
      </c>
    </row>
    <row r="365" spans="1:10" ht="14" thickBot="1">
      <c r="A365" s="387"/>
      <c r="F365" s="515"/>
      <c r="G365" s="515"/>
      <c r="H365" s="515"/>
      <c r="I365" s="515"/>
      <c r="J365" s="515"/>
    </row>
    <row r="366" spans="1:10" ht="14" thickBot="1">
      <c r="A366" s="387"/>
      <c r="B366" s="388">
        <v>61</v>
      </c>
      <c r="C366" s="389" t="s">
        <v>122</v>
      </c>
      <c r="E366" s="90"/>
      <c r="F366" s="516" t="s">
        <v>54</v>
      </c>
      <c r="G366" s="517" t="s">
        <v>55</v>
      </c>
      <c r="H366" s="517" t="s">
        <v>56</v>
      </c>
      <c r="I366" s="517" t="s">
        <v>57</v>
      </c>
      <c r="J366" s="518" t="s">
        <v>58</v>
      </c>
    </row>
    <row r="367" spans="1:10">
      <c r="A367" s="387"/>
      <c r="B367" s="393">
        <v>61</v>
      </c>
      <c r="C367" s="394" t="s">
        <v>122</v>
      </c>
      <c r="E367" s="400" t="s">
        <v>59</v>
      </c>
      <c r="F367" s="523">
        <v>39235</v>
      </c>
      <c r="G367" s="524">
        <v>141837</v>
      </c>
      <c r="H367" s="524">
        <v>295616</v>
      </c>
      <c r="I367" s="524">
        <v>484801</v>
      </c>
      <c r="J367" s="525">
        <v>738758</v>
      </c>
    </row>
    <row r="368" spans="1:10">
      <c r="A368" s="387"/>
      <c r="B368" s="393">
        <v>61</v>
      </c>
      <c r="C368" s="394" t="s">
        <v>122</v>
      </c>
      <c r="E368" s="396" t="s">
        <v>60</v>
      </c>
      <c r="F368" s="526">
        <v>56050</v>
      </c>
      <c r="G368" s="519">
        <v>202624</v>
      </c>
      <c r="H368" s="519">
        <v>422308</v>
      </c>
      <c r="I368" s="519">
        <v>692573</v>
      </c>
      <c r="J368" s="520">
        <v>1055369</v>
      </c>
    </row>
    <row r="369" spans="1:10">
      <c r="A369" s="387"/>
      <c r="B369" s="393">
        <v>61</v>
      </c>
      <c r="C369" s="394" t="s">
        <v>122</v>
      </c>
      <c r="E369" s="396" t="s">
        <v>61</v>
      </c>
      <c r="F369" s="526">
        <v>84075</v>
      </c>
      <c r="G369" s="519">
        <v>303935</v>
      </c>
      <c r="H369" s="519">
        <v>633462</v>
      </c>
      <c r="I369" s="519">
        <v>1038860</v>
      </c>
      <c r="J369" s="520">
        <v>1583053</v>
      </c>
    </row>
    <row r="370" spans="1:10" ht="14" thickBot="1">
      <c r="A370" s="387"/>
      <c r="B370" s="397">
        <v>61</v>
      </c>
      <c r="C370" s="398" t="s">
        <v>122</v>
      </c>
      <c r="E370" s="399" t="s">
        <v>62</v>
      </c>
      <c r="F370" s="527">
        <v>140125</v>
      </c>
      <c r="G370" s="521">
        <v>506559</v>
      </c>
      <c r="H370" s="521">
        <v>1055770</v>
      </c>
      <c r="I370" s="521">
        <v>1731433</v>
      </c>
      <c r="J370" s="522">
        <v>2638422</v>
      </c>
    </row>
    <row r="371" spans="1:10">
      <c r="F371" s="528"/>
      <c r="G371" s="528"/>
      <c r="H371" s="528"/>
      <c r="I371" s="528"/>
      <c r="J371" s="528"/>
    </row>
  </sheetData>
  <mergeCells count="2">
    <mergeCell ref="B5:C5"/>
    <mergeCell ref="E5:J5"/>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DEF67-F4E0-45C6-A387-E0DDEDBEB980}">
  <sheetPr codeName="Sheet9">
    <pageSetUpPr autoPageBreaks="0"/>
  </sheetPr>
  <dimension ref="A1:J1041"/>
  <sheetViews>
    <sheetView zoomScale="70" zoomScaleNormal="70" workbookViewId="0">
      <pane ySplit="6" topLeftCell="A7" activePane="bottomLeft" state="frozen"/>
      <selection pane="bottomLeft" activeCell="A2" sqref="A2"/>
    </sheetView>
  </sheetViews>
  <sheetFormatPr defaultColWidth="0" defaultRowHeight="13.5"/>
  <cols>
    <col min="1" max="1" width="12" customWidth="1"/>
    <col min="2" max="2" width="48.4609375" bestFit="1" customWidth="1"/>
    <col min="3" max="4" width="19" customWidth="1"/>
    <col min="5" max="9" width="21" customWidth="1"/>
    <col min="10" max="10" width="9.23046875" customWidth="1"/>
    <col min="11" max="16384" width="9.23046875" hidden="1"/>
  </cols>
  <sheetData>
    <row r="1" spans="1:9" s="382" customFormat="1" ht="19.5">
      <c r="A1" s="381" t="s">
        <v>50</v>
      </c>
    </row>
    <row r="2" spans="1:9" s="382" customFormat="1" ht="15">
      <c r="A2" s="536">
        <f>'Cover Sheet'!D13</f>
        <v>0</v>
      </c>
    </row>
    <row r="3" spans="1:9" s="382" customFormat="1" ht="15">
      <c r="A3" s="536" t="s">
        <v>35</v>
      </c>
    </row>
    <row r="4" spans="1:9" ht="14" thickBot="1"/>
    <row r="5" spans="1:9" ht="14" thickBot="1">
      <c r="B5" s="553" t="s">
        <v>51</v>
      </c>
      <c r="C5" s="555" t="s">
        <v>123</v>
      </c>
      <c r="D5" s="556"/>
      <c r="E5" s="556"/>
      <c r="F5" s="556"/>
      <c r="G5" s="556"/>
      <c r="H5" s="556"/>
      <c r="I5" s="557"/>
    </row>
    <row r="6" spans="1:9" ht="70.5" customHeight="1" thickBot="1">
      <c r="B6" s="554"/>
      <c r="C6" s="452" t="s">
        <v>124</v>
      </c>
      <c r="D6" s="452" t="s">
        <v>125</v>
      </c>
      <c r="E6" s="451" t="s">
        <v>126</v>
      </c>
      <c r="F6" s="450" t="s">
        <v>127</v>
      </c>
      <c r="G6" s="449" t="s">
        <v>128</v>
      </c>
      <c r="H6" s="448" t="s">
        <v>129</v>
      </c>
      <c r="I6" s="447" t="s">
        <v>130</v>
      </c>
    </row>
    <row r="7" spans="1:9">
      <c r="B7" s="446" t="s">
        <v>53</v>
      </c>
      <c r="C7" s="445" t="str">
        <f ca="1">IFERROR(OFFSET(C110,MATCH($A$2,$B:$B,0)-106,0),"")</f>
        <v/>
      </c>
      <c r="D7" s="444" t="str">
        <f t="shared" ref="D7:G7" ca="1" si="0">IFERROR(OFFSET(D110,MATCH($A$2,$B:$B,0)-106,0),"")</f>
        <v/>
      </c>
      <c r="E7" s="443" t="str">
        <f t="shared" ca="1" si="0"/>
        <v/>
      </c>
      <c r="F7" s="442" t="str">
        <f t="shared" ca="1" si="0"/>
        <v/>
      </c>
      <c r="G7" s="441" t="str">
        <f t="shared" ca="1" si="0"/>
        <v/>
      </c>
      <c r="H7" s="416">
        <f t="shared" ref="H7:H38" ca="1" si="1">SUM(D7:G7)</f>
        <v>0</v>
      </c>
      <c r="I7" s="416">
        <f t="shared" ref="I7:I38" ca="1" si="2">SUM(E7:G7)</f>
        <v>0</v>
      </c>
    </row>
    <row r="8" spans="1:9">
      <c r="B8" s="440" t="s">
        <v>63</v>
      </c>
      <c r="C8" s="439" t="str">
        <f t="shared" ref="C8:G8" ca="1" si="3">IFERROR(OFFSET(C111,MATCH($A$2,$B:$B,0)-106,0),"")</f>
        <v/>
      </c>
      <c r="D8" s="438" t="str">
        <f t="shared" ca="1" si="3"/>
        <v/>
      </c>
      <c r="E8" s="437" t="str">
        <f t="shared" ca="1" si="3"/>
        <v/>
      </c>
      <c r="F8" s="436" t="str">
        <f t="shared" ca="1" si="3"/>
        <v/>
      </c>
      <c r="G8" s="435" t="str">
        <f t="shared" ca="1" si="3"/>
        <v/>
      </c>
      <c r="H8" s="407">
        <f t="shared" ca="1" si="1"/>
        <v>0</v>
      </c>
      <c r="I8" s="407">
        <f t="shared" ca="1" si="2"/>
        <v>0</v>
      </c>
    </row>
    <row r="9" spans="1:9">
      <c r="B9" s="440" t="s">
        <v>64</v>
      </c>
      <c r="C9" s="439" t="str">
        <f t="shared" ref="C9:G9" ca="1" si="4">IFERROR(OFFSET(C112,MATCH($A$2,$B:$B,0)-106,0),"")</f>
        <v/>
      </c>
      <c r="D9" s="438" t="str">
        <f t="shared" ca="1" si="4"/>
        <v/>
      </c>
      <c r="E9" s="437" t="str">
        <f t="shared" ca="1" si="4"/>
        <v/>
      </c>
      <c r="F9" s="436" t="str">
        <f t="shared" ca="1" si="4"/>
        <v/>
      </c>
      <c r="G9" s="435" t="str">
        <f t="shared" ca="1" si="4"/>
        <v/>
      </c>
      <c r="H9" s="407">
        <f t="shared" ca="1" si="1"/>
        <v>0</v>
      </c>
      <c r="I9" s="407">
        <f t="shared" ca="1" si="2"/>
        <v>0</v>
      </c>
    </row>
    <row r="10" spans="1:9">
      <c r="B10" s="440" t="s">
        <v>65</v>
      </c>
      <c r="C10" s="439" t="str">
        <f t="shared" ref="C10:G10" ca="1" si="5">IFERROR(OFFSET(C113,MATCH($A$2,$B:$B,0)-106,0),"")</f>
        <v/>
      </c>
      <c r="D10" s="438" t="str">
        <f t="shared" ca="1" si="5"/>
        <v/>
      </c>
      <c r="E10" s="437" t="str">
        <f t="shared" ca="1" si="5"/>
        <v/>
      </c>
      <c r="F10" s="436" t="str">
        <f t="shared" ca="1" si="5"/>
        <v/>
      </c>
      <c r="G10" s="435" t="str">
        <f t="shared" ca="1" si="5"/>
        <v/>
      </c>
      <c r="H10" s="407">
        <f t="shared" ca="1" si="1"/>
        <v>0</v>
      </c>
      <c r="I10" s="407">
        <f t="shared" ca="1" si="2"/>
        <v>0</v>
      </c>
    </row>
    <row r="11" spans="1:9">
      <c r="B11" s="440" t="s">
        <v>66</v>
      </c>
      <c r="C11" s="439" t="str">
        <f t="shared" ref="C11:G11" ca="1" si="6">IFERROR(OFFSET(C114,MATCH($A$2,$B:$B,0)-106,0),"")</f>
        <v/>
      </c>
      <c r="D11" s="438" t="str">
        <f t="shared" ca="1" si="6"/>
        <v/>
      </c>
      <c r="E11" s="437" t="str">
        <f t="shared" ca="1" si="6"/>
        <v/>
      </c>
      <c r="F11" s="436" t="str">
        <f t="shared" ca="1" si="6"/>
        <v/>
      </c>
      <c r="G11" s="435" t="str">
        <f t="shared" ca="1" si="6"/>
        <v/>
      </c>
      <c r="H11" s="407">
        <f t="shared" ca="1" si="1"/>
        <v>0</v>
      </c>
      <c r="I11" s="407">
        <f t="shared" ca="1" si="2"/>
        <v>0</v>
      </c>
    </row>
    <row r="12" spans="1:9">
      <c r="B12" s="440" t="s">
        <v>67</v>
      </c>
      <c r="C12" s="439" t="str">
        <f t="shared" ref="C12:G12" ca="1" si="7">IFERROR(OFFSET(C115,MATCH($A$2,$B:$B,0)-106,0),"")</f>
        <v/>
      </c>
      <c r="D12" s="438" t="str">
        <f t="shared" ca="1" si="7"/>
        <v/>
      </c>
      <c r="E12" s="437" t="str">
        <f t="shared" ca="1" si="7"/>
        <v/>
      </c>
      <c r="F12" s="436" t="str">
        <f t="shared" ca="1" si="7"/>
        <v/>
      </c>
      <c r="G12" s="435" t="str">
        <f t="shared" ca="1" si="7"/>
        <v/>
      </c>
      <c r="H12" s="407">
        <f t="shared" ca="1" si="1"/>
        <v>0</v>
      </c>
      <c r="I12" s="407">
        <f t="shared" ca="1" si="2"/>
        <v>0</v>
      </c>
    </row>
    <row r="13" spans="1:9">
      <c r="B13" s="440" t="s">
        <v>68</v>
      </c>
      <c r="C13" s="439" t="str">
        <f t="shared" ref="C13:G13" ca="1" si="8">IFERROR(OFFSET(C116,MATCH($A$2,$B:$B,0)-106,0),"")</f>
        <v/>
      </c>
      <c r="D13" s="438" t="str">
        <f t="shared" ca="1" si="8"/>
        <v/>
      </c>
      <c r="E13" s="437" t="str">
        <f t="shared" ca="1" si="8"/>
        <v/>
      </c>
      <c r="F13" s="436" t="str">
        <f t="shared" ca="1" si="8"/>
        <v/>
      </c>
      <c r="G13" s="435" t="str">
        <f t="shared" ca="1" si="8"/>
        <v/>
      </c>
      <c r="H13" s="407">
        <f t="shared" ca="1" si="1"/>
        <v>0</v>
      </c>
      <c r="I13" s="407">
        <f t="shared" ca="1" si="2"/>
        <v>0</v>
      </c>
    </row>
    <row r="14" spans="1:9">
      <c r="B14" s="440" t="s">
        <v>69</v>
      </c>
      <c r="C14" s="439" t="str">
        <f t="shared" ref="C14:G14" ca="1" si="9">IFERROR(OFFSET(C117,MATCH($A$2,$B:$B,0)-106,0),"")</f>
        <v/>
      </c>
      <c r="D14" s="438" t="str">
        <f t="shared" ca="1" si="9"/>
        <v/>
      </c>
      <c r="E14" s="437" t="str">
        <f t="shared" ca="1" si="9"/>
        <v/>
      </c>
      <c r="F14" s="436" t="str">
        <f t="shared" ca="1" si="9"/>
        <v/>
      </c>
      <c r="G14" s="435" t="str">
        <f t="shared" ca="1" si="9"/>
        <v/>
      </c>
      <c r="H14" s="407">
        <f t="shared" ca="1" si="1"/>
        <v>0</v>
      </c>
      <c r="I14" s="407">
        <f t="shared" ca="1" si="2"/>
        <v>0</v>
      </c>
    </row>
    <row r="15" spans="1:9">
      <c r="B15" s="440" t="s">
        <v>70</v>
      </c>
      <c r="C15" s="439" t="str">
        <f t="shared" ref="C15:G15" ca="1" si="10">IFERROR(OFFSET(C118,MATCH($A$2,$B:$B,0)-106,0),"")</f>
        <v/>
      </c>
      <c r="D15" s="438" t="str">
        <f t="shared" ca="1" si="10"/>
        <v/>
      </c>
      <c r="E15" s="437" t="str">
        <f t="shared" ca="1" si="10"/>
        <v/>
      </c>
      <c r="F15" s="436" t="str">
        <f t="shared" ca="1" si="10"/>
        <v/>
      </c>
      <c r="G15" s="435" t="str">
        <f t="shared" ca="1" si="10"/>
        <v/>
      </c>
      <c r="H15" s="407">
        <f t="shared" ca="1" si="1"/>
        <v>0</v>
      </c>
      <c r="I15" s="407">
        <f t="shared" ca="1" si="2"/>
        <v>0</v>
      </c>
    </row>
    <row r="16" spans="1:9">
      <c r="B16" s="440" t="s">
        <v>71</v>
      </c>
      <c r="C16" s="439" t="str">
        <f t="shared" ref="C16:G16" ca="1" si="11">IFERROR(OFFSET(C119,MATCH($A$2,$B:$B,0)-106,0),"")</f>
        <v/>
      </c>
      <c r="D16" s="438" t="str">
        <f t="shared" ca="1" si="11"/>
        <v/>
      </c>
      <c r="E16" s="437" t="str">
        <f t="shared" ca="1" si="11"/>
        <v/>
      </c>
      <c r="F16" s="436" t="str">
        <f t="shared" ca="1" si="11"/>
        <v/>
      </c>
      <c r="G16" s="435" t="str">
        <f t="shared" ca="1" si="11"/>
        <v/>
      </c>
      <c r="H16" s="407">
        <f t="shared" ca="1" si="1"/>
        <v>0</v>
      </c>
      <c r="I16" s="407">
        <f t="shared" ca="1" si="2"/>
        <v>0</v>
      </c>
    </row>
    <row r="17" spans="2:9">
      <c r="B17" s="440" t="s">
        <v>72</v>
      </c>
      <c r="C17" s="439" t="str">
        <f t="shared" ref="C17:G17" ca="1" si="12">IFERROR(OFFSET(C120,MATCH($A$2,$B:$B,0)-106,0),"")</f>
        <v/>
      </c>
      <c r="D17" s="438" t="str">
        <f t="shared" ca="1" si="12"/>
        <v/>
      </c>
      <c r="E17" s="437" t="str">
        <f t="shared" ca="1" si="12"/>
        <v/>
      </c>
      <c r="F17" s="436" t="str">
        <f t="shared" ca="1" si="12"/>
        <v/>
      </c>
      <c r="G17" s="435" t="str">
        <f t="shared" ca="1" si="12"/>
        <v/>
      </c>
      <c r="H17" s="407">
        <f t="shared" ca="1" si="1"/>
        <v>0</v>
      </c>
      <c r="I17" s="407">
        <f t="shared" ca="1" si="2"/>
        <v>0</v>
      </c>
    </row>
    <row r="18" spans="2:9">
      <c r="B18" s="440" t="s">
        <v>73</v>
      </c>
      <c r="C18" s="439" t="str">
        <f t="shared" ref="C18:G18" ca="1" si="13">IFERROR(OFFSET(C121,MATCH($A$2,$B:$B,0)-106,0),"")</f>
        <v/>
      </c>
      <c r="D18" s="438" t="str">
        <f t="shared" ca="1" si="13"/>
        <v/>
      </c>
      <c r="E18" s="437" t="str">
        <f t="shared" ca="1" si="13"/>
        <v/>
      </c>
      <c r="F18" s="436" t="str">
        <f t="shared" ca="1" si="13"/>
        <v/>
      </c>
      <c r="G18" s="435" t="str">
        <f t="shared" ca="1" si="13"/>
        <v/>
      </c>
      <c r="H18" s="407">
        <f t="shared" ca="1" si="1"/>
        <v>0</v>
      </c>
      <c r="I18" s="407">
        <f t="shared" ca="1" si="2"/>
        <v>0</v>
      </c>
    </row>
    <row r="19" spans="2:9">
      <c r="B19" s="440" t="s">
        <v>74</v>
      </c>
      <c r="C19" s="439" t="str">
        <f t="shared" ref="C19:G19" ca="1" si="14">IFERROR(OFFSET(C122,MATCH($A$2,$B:$B,0)-106,0),"")</f>
        <v/>
      </c>
      <c r="D19" s="438" t="str">
        <f t="shared" ca="1" si="14"/>
        <v/>
      </c>
      <c r="E19" s="437" t="str">
        <f t="shared" ca="1" si="14"/>
        <v/>
      </c>
      <c r="F19" s="436" t="str">
        <f t="shared" ca="1" si="14"/>
        <v/>
      </c>
      <c r="G19" s="435" t="str">
        <f t="shared" ca="1" si="14"/>
        <v/>
      </c>
      <c r="H19" s="407">
        <f t="shared" ca="1" si="1"/>
        <v>0</v>
      </c>
      <c r="I19" s="407">
        <f t="shared" ca="1" si="2"/>
        <v>0</v>
      </c>
    </row>
    <row r="20" spans="2:9">
      <c r="B20" s="440" t="s">
        <v>75</v>
      </c>
      <c r="C20" s="439" t="str">
        <f t="shared" ref="C20:G20" ca="1" si="15">IFERROR(OFFSET(C123,MATCH($A$2,$B:$B,0)-106,0),"")</f>
        <v/>
      </c>
      <c r="D20" s="438" t="str">
        <f t="shared" ca="1" si="15"/>
        <v/>
      </c>
      <c r="E20" s="437" t="str">
        <f t="shared" ca="1" si="15"/>
        <v/>
      </c>
      <c r="F20" s="436" t="str">
        <f t="shared" ca="1" si="15"/>
        <v/>
      </c>
      <c r="G20" s="435" t="str">
        <f t="shared" ca="1" si="15"/>
        <v/>
      </c>
      <c r="H20" s="407">
        <f t="shared" ca="1" si="1"/>
        <v>0</v>
      </c>
      <c r="I20" s="407">
        <f t="shared" ca="1" si="2"/>
        <v>0</v>
      </c>
    </row>
    <row r="21" spans="2:9">
      <c r="B21" s="440" t="s">
        <v>76</v>
      </c>
      <c r="C21" s="439" t="str">
        <f t="shared" ref="C21:G21" ca="1" si="16">IFERROR(OFFSET(C124,MATCH($A$2,$B:$B,0)-106,0),"")</f>
        <v/>
      </c>
      <c r="D21" s="438" t="str">
        <f t="shared" ca="1" si="16"/>
        <v/>
      </c>
      <c r="E21" s="437" t="str">
        <f t="shared" ca="1" si="16"/>
        <v/>
      </c>
      <c r="F21" s="436" t="str">
        <f t="shared" ca="1" si="16"/>
        <v/>
      </c>
      <c r="G21" s="435" t="str">
        <f t="shared" ca="1" si="16"/>
        <v/>
      </c>
      <c r="H21" s="407">
        <f t="shared" ca="1" si="1"/>
        <v>0</v>
      </c>
      <c r="I21" s="407">
        <f t="shared" ca="1" si="2"/>
        <v>0</v>
      </c>
    </row>
    <row r="22" spans="2:9">
      <c r="B22" s="440" t="s">
        <v>77</v>
      </c>
      <c r="C22" s="439" t="str">
        <f t="shared" ref="C22:G22" ca="1" si="17">IFERROR(OFFSET(C125,MATCH($A$2,$B:$B,0)-106,0),"")</f>
        <v/>
      </c>
      <c r="D22" s="438" t="str">
        <f t="shared" ca="1" si="17"/>
        <v/>
      </c>
      <c r="E22" s="437" t="str">
        <f t="shared" ca="1" si="17"/>
        <v/>
      </c>
      <c r="F22" s="436" t="str">
        <f t="shared" ca="1" si="17"/>
        <v/>
      </c>
      <c r="G22" s="435" t="str">
        <f t="shared" ca="1" si="17"/>
        <v/>
      </c>
      <c r="H22" s="407">
        <f t="shared" ca="1" si="1"/>
        <v>0</v>
      </c>
      <c r="I22" s="407">
        <f t="shared" ca="1" si="2"/>
        <v>0</v>
      </c>
    </row>
    <row r="23" spans="2:9">
      <c r="B23" s="440" t="s">
        <v>78</v>
      </c>
      <c r="C23" s="439" t="str">
        <f t="shared" ref="C23:G23" ca="1" si="18">IFERROR(OFFSET(C126,MATCH($A$2,$B:$B,0)-106,0),"")</f>
        <v/>
      </c>
      <c r="D23" s="438" t="str">
        <f t="shared" ca="1" si="18"/>
        <v/>
      </c>
      <c r="E23" s="437" t="str">
        <f t="shared" ca="1" si="18"/>
        <v/>
      </c>
      <c r="F23" s="436" t="str">
        <f t="shared" ca="1" si="18"/>
        <v/>
      </c>
      <c r="G23" s="435" t="str">
        <f t="shared" ca="1" si="18"/>
        <v/>
      </c>
      <c r="H23" s="407">
        <f t="shared" ca="1" si="1"/>
        <v>0</v>
      </c>
      <c r="I23" s="407">
        <f t="shared" ca="1" si="2"/>
        <v>0</v>
      </c>
    </row>
    <row r="24" spans="2:9">
      <c r="B24" s="440" t="s">
        <v>79</v>
      </c>
      <c r="C24" s="439" t="str">
        <f t="shared" ref="C24:G24" ca="1" si="19">IFERROR(OFFSET(C127,MATCH($A$2,$B:$B,0)-106,0),"")</f>
        <v/>
      </c>
      <c r="D24" s="438" t="str">
        <f t="shared" ca="1" si="19"/>
        <v/>
      </c>
      <c r="E24" s="437" t="str">
        <f t="shared" ca="1" si="19"/>
        <v/>
      </c>
      <c r="F24" s="436" t="str">
        <f t="shared" ca="1" si="19"/>
        <v/>
      </c>
      <c r="G24" s="435" t="str">
        <f t="shared" ca="1" si="19"/>
        <v/>
      </c>
      <c r="H24" s="407">
        <f t="shared" ca="1" si="1"/>
        <v>0</v>
      </c>
      <c r="I24" s="407">
        <f t="shared" ca="1" si="2"/>
        <v>0</v>
      </c>
    </row>
    <row r="25" spans="2:9">
      <c r="B25" s="440" t="s">
        <v>80</v>
      </c>
      <c r="C25" s="439" t="str">
        <f t="shared" ref="C25:G25" ca="1" si="20">IFERROR(OFFSET(C128,MATCH($A$2,$B:$B,0)-106,0),"")</f>
        <v/>
      </c>
      <c r="D25" s="438" t="str">
        <f t="shared" ca="1" si="20"/>
        <v/>
      </c>
      <c r="E25" s="437" t="str">
        <f t="shared" ca="1" si="20"/>
        <v/>
      </c>
      <c r="F25" s="436" t="str">
        <f t="shared" ca="1" si="20"/>
        <v/>
      </c>
      <c r="G25" s="435" t="str">
        <f t="shared" ca="1" si="20"/>
        <v/>
      </c>
      <c r="H25" s="407">
        <f t="shared" ca="1" si="1"/>
        <v>0</v>
      </c>
      <c r="I25" s="407">
        <f t="shared" ca="1" si="2"/>
        <v>0</v>
      </c>
    </row>
    <row r="26" spans="2:9">
      <c r="B26" s="440" t="s">
        <v>81</v>
      </c>
      <c r="C26" s="439" t="str">
        <f t="shared" ref="C26:G26" ca="1" si="21">IFERROR(OFFSET(C129,MATCH($A$2,$B:$B,0)-106,0),"")</f>
        <v/>
      </c>
      <c r="D26" s="438" t="str">
        <f t="shared" ca="1" si="21"/>
        <v/>
      </c>
      <c r="E26" s="437" t="str">
        <f t="shared" ca="1" si="21"/>
        <v/>
      </c>
      <c r="F26" s="436" t="str">
        <f t="shared" ca="1" si="21"/>
        <v/>
      </c>
      <c r="G26" s="435" t="str">
        <f t="shared" ca="1" si="21"/>
        <v/>
      </c>
      <c r="H26" s="407">
        <f t="shared" ca="1" si="1"/>
        <v>0</v>
      </c>
      <c r="I26" s="407">
        <f t="shared" ca="1" si="2"/>
        <v>0</v>
      </c>
    </row>
    <row r="27" spans="2:9">
      <c r="B27" s="440" t="s">
        <v>82</v>
      </c>
      <c r="C27" s="439" t="str">
        <f t="shared" ref="C27:G27" ca="1" si="22">IFERROR(OFFSET(C130,MATCH($A$2,$B:$B,0)-106,0),"")</f>
        <v/>
      </c>
      <c r="D27" s="438" t="str">
        <f t="shared" ca="1" si="22"/>
        <v/>
      </c>
      <c r="E27" s="437" t="str">
        <f t="shared" ca="1" si="22"/>
        <v/>
      </c>
      <c r="F27" s="436" t="str">
        <f t="shared" ca="1" si="22"/>
        <v/>
      </c>
      <c r="G27" s="435" t="str">
        <f t="shared" ca="1" si="22"/>
        <v/>
      </c>
      <c r="H27" s="407">
        <f t="shared" ca="1" si="1"/>
        <v>0</v>
      </c>
      <c r="I27" s="407">
        <f t="shared" ca="1" si="2"/>
        <v>0</v>
      </c>
    </row>
    <row r="28" spans="2:9">
      <c r="B28" s="440" t="s">
        <v>83</v>
      </c>
      <c r="C28" s="439" t="str">
        <f t="shared" ref="C28:G28" ca="1" si="23">IFERROR(OFFSET(C131,MATCH($A$2,$B:$B,0)-106,0),"")</f>
        <v/>
      </c>
      <c r="D28" s="438" t="str">
        <f t="shared" ca="1" si="23"/>
        <v/>
      </c>
      <c r="E28" s="437" t="str">
        <f t="shared" ca="1" si="23"/>
        <v/>
      </c>
      <c r="F28" s="436" t="str">
        <f t="shared" ca="1" si="23"/>
        <v/>
      </c>
      <c r="G28" s="435" t="str">
        <f t="shared" ca="1" si="23"/>
        <v/>
      </c>
      <c r="H28" s="407">
        <f t="shared" ca="1" si="1"/>
        <v>0</v>
      </c>
      <c r="I28" s="407">
        <f t="shared" ca="1" si="2"/>
        <v>0</v>
      </c>
    </row>
    <row r="29" spans="2:9">
      <c r="B29" s="440" t="s">
        <v>84</v>
      </c>
      <c r="C29" s="439" t="str">
        <f t="shared" ref="C29:G29" ca="1" si="24">IFERROR(OFFSET(C132,MATCH($A$2,$B:$B,0)-106,0),"")</f>
        <v/>
      </c>
      <c r="D29" s="438" t="str">
        <f t="shared" ca="1" si="24"/>
        <v/>
      </c>
      <c r="E29" s="437" t="str">
        <f t="shared" ca="1" si="24"/>
        <v/>
      </c>
      <c r="F29" s="436" t="str">
        <f t="shared" ca="1" si="24"/>
        <v/>
      </c>
      <c r="G29" s="435" t="str">
        <f t="shared" ca="1" si="24"/>
        <v/>
      </c>
      <c r="H29" s="407">
        <f t="shared" ca="1" si="1"/>
        <v>0</v>
      </c>
      <c r="I29" s="407">
        <f t="shared" ca="1" si="2"/>
        <v>0</v>
      </c>
    </row>
    <row r="30" spans="2:9">
      <c r="B30" s="440" t="s">
        <v>85</v>
      </c>
      <c r="C30" s="439" t="str">
        <f t="shared" ref="C30:G30" ca="1" si="25">IFERROR(OFFSET(C133,MATCH($A$2,$B:$B,0)-106,0),"")</f>
        <v/>
      </c>
      <c r="D30" s="438" t="str">
        <f t="shared" ca="1" si="25"/>
        <v/>
      </c>
      <c r="E30" s="437" t="str">
        <f t="shared" ca="1" si="25"/>
        <v/>
      </c>
      <c r="F30" s="436" t="str">
        <f t="shared" ca="1" si="25"/>
        <v/>
      </c>
      <c r="G30" s="435" t="str">
        <f t="shared" ca="1" si="25"/>
        <v/>
      </c>
      <c r="H30" s="407">
        <f t="shared" ca="1" si="1"/>
        <v>0</v>
      </c>
      <c r="I30" s="407">
        <f t="shared" ca="1" si="2"/>
        <v>0</v>
      </c>
    </row>
    <row r="31" spans="2:9">
      <c r="B31" s="440" t="s">
        <v>86</v>
      </c>
      <c r="C31" s="439" t="str">
        <f t="shared" ref="C31:G31" ca="1" si="26">IFERROR(OFFSET(C134,MATCH($A$2,$B:$B,0)-106,0),"")</f>
        <v/>
      </c>
      <c r="D31" s="438" t="str">
        <f t="shared" ca="1" si="26"/>
        <v/>
      </c>
      <c r="E31" s="437" t="str">
        <f t="shared" ca="1" si="26"/>
        <v/>
      </c>
      <c r="F31" s="436" t="str">
        <f t="shared" ca="1" si="26"/>
        <v/>
      </c>
      <c r="G31" s="435" t="str">
        <f t="shared" ca="1" si="26"/>
        <v/>
      </c>
      <c r="H31" s="407">
        <f t="shared" ca="1" si="1"/>
        <v>0</v>
      </c>
      <c r="I31" s="407">
        <f t="shared" ca="1" si="2"/>
        <v>0</v>
      </c>
    </row>
    <row r="32" spans="2:9">
      <c r="B32" s="440" t="s">
        <v>87</v>
      </c>
      <c r="C32" s="439" t="str">
        <f t="shared" ref="C32:G32" ca="1" si="27">IFERROR(OFFSET(C135,MATCH($A$2,$B:$B,0)-106,0),"")</f>
        <v/>
      </c>
      <c r="D32" s="438" t="str">
        <f t="shared" ca="1" si="27"/>
        <v/>
      </c>
      <c r="E32" s="437" t="str">
        <f t="shared" ca="1" si="27"/>
        <v/>
      </c>
      <c r="F32" s="436" t="str">
        <f t="shared" ca="1" si="27"/>
        <v/>
      </c>
      <c r="G32" s="435" t="str">
        <f t="shared" ca="1" si="27"/>
        <v/>
      </c>
      <c r="H32" s="407">
        <f t="shared" ca="1" si="1"/>
        <v>0</v>
      </c>
      <c r="I32" s="407">
        <f t="shared" ca="1" si="2"/>
        <v>0</v>
      </c>
    </row>
    <row r="33" spans="2:9">
      <c r="B33" s="440" t="s">
        <v>88</v>
      </c>
      <c r="C33" s="439" t="str">
        <f t="shared" ref="C33:G33" ca="1" si="28">IFERROR(OFFSET(C136,MATCH($A$2,$B:$B,0)-106,0),"")</f>
        <v/>
      </c>
      <c r="D33" s="438" t="str">
        <f t="shared" ca="1" si="28"/>
        <v/>
      </c>
      <c r="E33" s="437" t="str">
        <f t="shared" ca="1" si="28"/>
        <v/>
      </c>
      <c r="F33" s="436" t="str">
        <f t="shared" ca="1" si="28"/>
        <v/>
      </c>
      <c r="G33" s="435" t="str">
        <f t="shared" ca="1" si="28"/>
        <v/>
      </c>
      <c r="H33" s="407">
        <f t="shared" ca="1" si="1"/>
        <v>0</v>
      </c>
      <c r="I33" s="407">
        <f t="shared" ca="1" si="2"/>
        <v>0</v>
      </c>
    </row>
    <row r="34" spans="2:9">
      <c r="B34" s="440" t="s">
        <v>89</v>
      </c>
      <c r="C34" s="439" t="str">
        <f t="shared" ref="C34:G34" ca="1" si="29">IFERROR(OFFSET(C137,MATCH($A$2,$B:$B,0)-106,0),"")</f>
        <v/>
      </c>
      <c r="D34" s="438" t="str">
        <f t="shared" ca="1" si="29"/>
        <v/>
      </c>
      <c r="E34" s="437" t="str">
        <f t="shared" ca="1" si="29"/>
        <v/>
      </c>
      <c r="F34" s="436" t="str">
        <f t="shared" ca="1" si="29"/>
        <v/>
      </c>
      <c r="G34" s="435" t="str">
        <f t="shared" ca="1" si="29"/>
        <v/>
      </c>
      <c r="H34" s="407">
        <f t="shared" ca="1" si="1"/>
        <v>0</v>
      </c>
      <c r="I34" s="407">
        <f t="shared" ca="1" si="2"/>
        <v>0</v>
      </c>
    </row>
    <row r="35" spans="2:9">
      <c r="B35" s="440" t="s">
        <v>90</v>
      </c>
      <c r="C35" s="439" t="str">
        <f t="shared" ref="C35:G35" ca="1" si="30">IFERROR(OFFSET(C138,MATCH($A$2,$B:$B,0)-106,0),"")</f>
        <v/>
      </c>
      <c r="D35" s="438" t="str">
        <f t="shared" ca="1" si="30"/>
        <v/>
      </c>
      <c r="E35" s="437" t="str">
        <f t="shared" ca="1" si="30"/>
        <v/>
      </c>
      <c r="F35" s="436" t="str">
        <f t="shared" ca="1" si="30"/>
        <v/>
      </c>
      <c r="G35" s="435" t="str">
        <f t="shared" ca="1" si="30"/>
        <v/>
      </c>
      <c r="H35" s="407">
        <f t="shared" ca="1" si="1"/>
        <v>0</v>
      </c>
      <c r="I35" s="407">
        <f t="shared" ca="1" si="2"/>
        <v>0</v>
      </c>
    </row>
    <row r="36" spans="2:9">
      <c r="B36" s="440" t="s">
        <v>91</v>
      </c>
      <c r="C36" s="439" t="str">
        <f t="shared" ref="C36:G36" ca="1" si="31">IFERROR(OFFSET(C139,MATCH($A$2,$B:$B,0)-106,0),"")</f>
        <v/>
      </c>
      <c r="D36" s="438" t="str">
        <f t="shared" ca="1" si="31"/>
        <v/>
      </c>
      <c r="E36" s="437" t="str">
        <f t="shared" ca="1" si="31"/>
        <v/>
      </c>
      <c r="F36" s="436" t="str">
        <f t="shared" ca="1" si="31"/>
        <v/>
      </c>
      <c r="G36" s="435" t="str">
        <f t="shared" ca="1" si="31"/>
        <v/>
      </c>
      <c r="H36" s="407">
        <f t="shared" ca="1" si="1"/>
        <v>0</v>
      </c>
      <c r="I36" s="407">
        <f t="shared" ca="1" si="2"/>
        <v>0</v>
      </c>
    </row>
    <row r="37" spans="2:9">
      <c r="B37" s="440" t="s">
        <v>92</v>
      </c>
      <c r="C37" s="439" t="str">
        <f t="shared" ref="C37:G37" ca="1" si="32">IFERROR(OFFSET(C140,MATCH($A$2,$B:$B,0)-106,0),"")</f>
        <v/>
      </c>
      <c r="D37" s="438" t="str">
        <f t="shared" ca="1" si="32"/>
        <v/>
      </c>
      <c r="E37" s="437" t="str">
        <f t="shared" ca="1" si="32"/>
        <v/>
      </c>
      <c r="F37" s="436" t="str">
        <f t="shared" ca="1" si="32"/>
        <v/>
      </c>
      <c r="G37" s="435" t="str">
        <f t="shared" ca="1" si="32"/>
        <v/>
      </c>
      <c r="H37" s="407">
        <f t="shared" ca="1" si="1"/>
        <v>0</v>
      </c>
      <c r="I37" s="407">
        <f t="shared" ca="1" si="2"/>
        <v>0</v>
      </c>
    </row>
    <row r="38" spans="2:9">
      <c r="B38" s="440" t="s">
        <v>93</v>
      </c>
      <c r="C38" s="439" t="str">
        <f t="shared" ref="C38:G38" ca="1" si="33">IFERROR(OFFSET(C141,MATCH($A$2,$B:$B,0)-106,0),"")</f>
        <v/>
      </c>
      <c r="D38" s="438" t="str">
        <f t="shared" ca="1" si="33"/>
        <v/>
      </c>
      <c r="E38" s="437" t="str">
        <f t="shared" ca="1" si="33"/>
        <v/>
      </c>
      <c r="F38" s="436" t="str">
        <f t="shared" ca="1" si="33"/>
        <v/>
      </c>
      <c r="G38" s="435" t="str">
        <f t="shared" ca="1" si="33"/>
        <v/>
      </c>
      <c r="H38" s="407">
        <f t="shared" ca="1" si="1"/>
        <v>0</v>
      </c>
      <c r="I38" s="407">
        <f t="shared" ca="1" si="2"/>
        <v>0</v>
      </c>
    </row>
    <row r="39" spans="2:9">
      <c r="B39" s="440" t="s">
        <v>94</v>
      </c>
      <c r="C39" s="439" t="str">
        <f t="shared" ref="C39:G39" ca="1" si="34">IFERROR(OFFSET(C142,MATCH($A$2,$B:$B,0)-106,0),"")</f>
        <v/>
      </c>
      <c r="D39" s="438" t="str">
        <f t="shared" ca="1" si="34"/>
        <v/>
      </c>
      <c r="E39" s="437" t="str">
        <f t="shared" ca="1" si="34"/>
        <v/>
      </c>
      <c r="F39" s="436" t="str">
        <f t="shared" ca="1" si="34"/>
        <v/>
      </c>
      <c r="G39" s="435" t="str">
        <f t="shared" ca="1" si="34"/>
        <v/>
      </c>
      <c r="H39" s="407">
        <f t="shared" ref="H39:H67" ca="1" si="35">SUM(D39:G39)</f>
        <v>0</v>
      </c>
      <c r="I39" s="407">
        <f t="shared" ref="I39:I67" ca="1" si="36">SUM(E39:G39)</f>
        <v>0</v>
      </c>
    </row>
    <row r="40" spans="2:9">
      <c r="B40" s="440" t="s">
        <v>95</v>
      </c>
      <c r="C40" s="439" t="str">
        <f t="shared" ref="C40:G40" ca="1" si="37">IFERROR(OFFSET(C143,MATCH($A$2,$B:$B,0)-106,0),"")</f>
        <v/>
      </c>
      <c r="D40" s="438" t="str">
        <f t="shared" ca="1" si="37"/>
        <v/>
      </c>
      <c r="E40" s="437" t="str">
        <f t="shared" ca="1" si="37"/>
        <v/>
      </c>
      <c r="F40" s="436" t="str">
        <f t="shared" ca="1" si="37"/>
        <v/>
      </c>
      <c r="G40" s="435" t="str">
        <f t="shared" ca="1" si="37"/>
        <v/>
      </c>
      <c r="H40" s="407">
        <f t="shared" ca="1" si="35"/>
        <v>0</v>
      </c>
      <c r="I40" s="407">
        <f t="shared" ca="1" si="36"/>
        <v>0</v>
      </c>
    </row>
    <row r="41" spans="2:9">
      <c r="B41" s="440" t="s">
        <v>96</v>
      </c>
      <c r="C41" s="439" t="str">
        <f t="shared" ref="C41:G41" ca="1" si="38">IFERROR(OFFSET(C144,MATCH($A$2,$B:$B,0)-106,0),"")</f>
        <v/>
      </c>
      <c r="D41" s="438" t="str">
        <f t="shared" ca="1" si="38"/>
        <v/>
      </c>
      <c r="E41" s="437" t="str">
        <f t="shared" ca="1" si="38"/>
        <v/>
      </c>
      <c r="F41" s="436" t="str">
        <f t="shared" ca="1" si="38"/>
        <v/>
      </c>
      <c r="G41" s="435" t="str">
        <f t="shared" ca="1" si="38"/>
        <v/>
      </c>
      <c r="H41" s="407">
        <f t="shared" ca="1" si="35"/>
        <v>0</v>
      </c>
      <c r="I41" s="407">
        <f t="shared" ca="1" si="36"/>
        <v>0</v>
      </c>
    </row>
    <row r="42" spans="2:9">
      <c r="B42" s="440" t="s">
        <v>97</v>
      </c>
      <c r="C42" s="439" t="str">
        <f t="shared" ref="C42:G42" ca="1" si="39">IFERROR(OFFSET(C145,MATCH($A$2,$B:$B,0)-106,0),"")</f>
        <v/>
      </c>
      <c r="D42" s="438" t="str">
        <f t="shared" ca="1" si="39"/>
        <v/>
      </c>
      <c r="E42" s="437" t="str">
        <f t="shared" ca="1" si="39"/>
        <v/>
      </c>
      <c r="F42" s="436" t="str">
        <f t="shared" ca="1" si="39"/>
        <v/>
      </c>
      <c r="G42" s="435" t="str">
        <f t="shared" ca="1" si="39"/>
        <v/>
      </c>
      <c r="H42" s="407">
        <f t="shared" ca="1" si="35"/>
        <v>0</v>
      </c>
      <c r="I42" s="407">
        <f t="shared" ca="1" si="36"/>
        <v>0</v>
      </c>
    </row>
    <row r="43" spans="2:9">
      <c r="B43" s="440" t="s">
        <v>98</v>
      </c>
      <c r="C43" s="439" t="str">
        <f t="shared" ref="C43:G43" ca="1" si="40">IFERROR(OFFSET(C146,MATCH($A$2,$B:$B,0)-106,0),"")</f>
        <v/>
      </c>
      <c r="D43" s="438" t="str">
        <f t="shared" ca="1" si="40"/>
        <v/>
      </c>
      <c r="E43" s="437" t="str">
        <f t="shared" ca="1" si="40"/>
        <v/>
      </c>
      <c r="F43" s="436" t="str">
        <f t="shared" ca="1" si="40"/>
        <v/>
      </c>
      <c r="G43" s="435" t="str">
        <f t="shared" ca="1" si="40"/>
        <v/>
      </c>
      <c r="H43" s="407">
        <f t="shared" ca="1" si="35"/>
        <v>0</v>
      </c>
      <c r="I43" s="407">
        <f t="shared" ca="1" si="36"/>
        <v>0</v>
      </c>
    </row>
    <row r="44" spans="2:9">
      <c r="B44" s="440" t="s">
        <v>99</v>
      </c>
      <c r="C44" s="439" t="str">
        <f t="shared" ref="C44:G44" ca="1" si="41">IFERROR(OFFSET(C147,MATCH($A$2,$B:$B,0)-106,0),"")</f>
        <v/>
      </c>
      <c r="D44" s="438" t="str">
        <f t="shared" ca="1" si="41"/>
        <v/>
      </c>
      <c r="E44" s="437" t="str">
        <f t="shared" ca="1" si="41"/>
        <v/>
      </c>
      <c r="F44" s="436" t="str">
        <f t="shared" ca="1" si="41"/>
        <v/>
      </c>
      <c r="G44" s="435" t="str">
        <f t="shared" ca="1" si="41"/>
        <v/>
      </c>
      <c r="H44" s="407">
        <f t="shared" ca="1" si="35"/>
        <v>0</v>
      </c>
      <c r="I44" s="407">
        <f t="shared" ca="1" si="36"/>
        <v>0</v>
      </c>
    </row>
    <row r="45" spans="2:9">
      <c r="B45" s="440" t="s">
        <v>100</v>
      </c>
      <c r="C45" s="439" t="str">
        <f t="shared" ref="C45:G45" ca="1" si="42">IFERROR(OFFSET(C148,MATCH($A$2,$B:$B,0)-106,0),"")</f>
        <v/>
      </c>
      <c r="D45" s="438" t="str">
        <f t="shared" ca="1" si="42"/>
        <v/>
      </c>
      <c r="E45" s="437" t="str">
        <f t="shared" ca="1" si="42"/>
        <v/>
      </c>
      <c r="F45" s="436" t="str">
        <f t="shared" ca="1" si="42"/>
        <v/>
      </c>
      <c r="G45" s="435" t="str">
        <f t="shared" ca="1" si="42"/>
        <v/>
      </c>
      <c r="H45" s="407">
        <f t="shared" ca="1" si="35"/>
        <v>0</v>
      </c>
      <c r="I45" s="407">
        <f t="shared" ca="1" si="36"/>
        <v>0</v>
      </c>
    </row>
    <row r="46" spans="2:9">
      <c r="B46" s="440" t="s">
        <v>101</v>
      </c>
      <c r="C46" s="439" t="str">
        <f t="shared" ref="C46:G46" ca="1" si="43">IFERROR(OFFSET(C149,MATCH($A$2,$B:$B,0)-106,0),"")</f>
        <v/>
      </c>
      <c r="D46" s="438" t="str">
        <f t="shared" ca="1" si="43"/>
        <v/>
      </c>
      <c r="E46" s="437" t="str">
        <f t="shared" ca="1" si="43"/>
        <v/>
      </c>
      <c r="F46" s="436" t="str">
        <f t="shared" ca="1" si="43"/>
        <v/>
      </c>
      <c r="G46" s="435" t="str">
        <f t="shared" ca="1" si="43"/>
        <v/>
      </c>
      <c r="H46" s="407">
        <f t="shared" ca="1" si="35"/>
        <v>0</v>
      </c>
      <c r="I46" s="407">
        <f t="shared" ca="1" si="36"/>
        <v>0</v>
      </c>
    </row>
    <row r="47" spans="2:9">
      <c r="B47" s="440" t="s">
        <v>102</v>
      </c>
      <c r="C47" s="439" t="str">
        <f t="shared" ref="C47:G47" ca="1" si="44">IFERROR(OFFSET(C150,MATCH($A$2,$B:$B,0)-106,0),"")</f>
        <v/>
      </c>
      <c r="D47" s="438" t="str">
        <f t="shared" ca="1" si="44"/>
        <v/>
      </c>
      <c r="E47" s="437" t="str">
        <f t="shared" ca="1" si="44"/>
        <v/>
      </c>
      <c r="F47" s="436" t="str">
        <f t="shared" ca="1" si="44"/>
        <v/>
      </c>
      <c r="G47" s="435" t="str">
        <f t="shared" ca="1" si="44"/>
        <v/>
      </c>
      <c r="H47" s="407">
        <f t="shared" ca="1" si="35"/>
        <v>0</v>
      </c>
      <c r="I47" s="407">
        <f t="shared" ca="1" si="36"/>
        <v>0</v>
      </c>
    </row>
    <row r="48" spans="2:9">
      <c r="B48" s="440" t="s">
        <v>103</v>
      </c>
      <c r="C48" s="439" t="str">
        <f t="shared" ref="C48:G48" ca="1" si="45">IFERROR(OFFSET(C151,MATCH($A$2,$B:$B,0)-106,0),"")</f>
        <v/>
      </c>
      <c r="D48" s="438" t="str">
        <f t="shared" ca="1" si="45"/>
        <v/>
      </c>
      <c r="E48" s="437" t="str">
        <f t="shared" ca="1" si="45"/>
        <v/>
      </c>
      <c r="F48" s="436" t="str">
        <f t="shared" ca="1" si="45"/>
        <v/>
      </c>
      <c r="G48" s="435" t="str">
        <f t="shared" ca="1" si="45"/>
        <v/>
      </c>
      <c r="H48" s="407">
        <f t="shared" ca="1" si="35"/>
        <v>0</v>
      </c>
      <c r="I48" s="407">
        <f t="shared" ca="1" si="36"/>
        <v>0</v>
      </c>
    </row>
    <row r="49" spans="2:9">
      <c r="B49" s="440" t="s">
        <v>104</v>
      </c>
      <c r="C49" s="439" t="str">
        <f t="shared" ref="C49:G49" ca="1" si="46">IFERROR(OFFSET(C152,MATCH($A$2,$B:$B,0)-106,0),"")</f>
        <v/>
      </c>
      <c r="D49" s="438" t="str">
        <f t="shared" ca="1" si="46"/>
        <v/>
      </c>
      <c r="E49" s="437" t="str">
        <f t="shared" ca="1" si="46"/>
        <v/>
      </c>
      <c r="F49" s="436" t="str">
        <f t="shared" ca="1" si="46"/>
        <v/>
      </c>
      <c r="G49" s="435" t="str">
        <f t="shared" ca="1" si="46"/>
        <v/>
      </c>
      <c r="H49" s="407">
        <f t="shared" ca="1" si="35"/>
        <v>0</v>
      </c>
      <c r="I49" s="407">
        <f t="shared" ca="1" si="36"/>
        <v>0</v>
      </c>
    </row>
    <row r="50" spans="2:9">
      <c r="B50" s="440" t="s">
        <v>105</v>
      </c>
      <c r="C50" s="439" t="str">
        <f t="shared" ref="C50:G50" ca="1" si="47">IFERROR(OFFSET(C153,MATCH($A$2,$B:$B,0)-106,0),"")</f>
        <v/>
      </c>
      <c r="D50" s="438" t="str">
        <f t="shared" ca="1" si="47"/>
        <v/>
      </c>
      <c r="E50" s="437" t="str">
        <f t="shared" ca="1" si="47"/>
        <v/>
      </c>
      <c r="F50" s="436" t="str">
        <f t="shared" ca="1" si="47"/>
        <v/>
      </c>
      <c r="G50" s="435" t="str">
        <f t="shared" ca="1" si="47"/>
        <v/>
      </c>
      <c r="H50" s="407">
        <f t="shared" ca="1" si="35"/>
        <v>0</v>
      </c>
      <c r="I50" s="407">
        <f t="shared" ca="1" si="36"/>
        <v>0</v>
      </c>
    </row>
    <row r="51" spans="2:9">
      <c r="B51" s="440" t="s">
        <v>106</v>
      </c>
      <c r="C51" s="439" t="str">
        <f t="shared" ref="C51:G51" ca="1" si="48">IFERROR(OFFSET(C154,MATCH($A$2,$B:$B,0)-106,0),"")</f>
        <v/>
      </c>
      <c r="D51" s="438" t="str">
        <f t="shared" ca="1" si="48"/>
        <v/>
      </c>
      <c r="E51" s="437" t="str">
        <f t="shared" ca="1" si="48"/>
        <v/>
      </c>
      <c r="F51" s="436" t="str">
        <f t="shared" ca="1" si="48"/>
        <v/>
      </c>
      <c r="G51" s="435" t="str">
        <f t="shared" ca="1" si="48"/>
        <v/>
      </c>
      <c r="H51" s="407">
        <f t="shared" ca="1" si="35"/>
        <v>0</v>
      </c>
      <c r="I51" s="407">
        <f t="shared" ca="1" si="36"/>
        <v>0</v>
      </c>
    </row>
    <row r="52" spans="2:9">
      <c r="B52" s="440" t="s">
        <v>107</v>
      </c>
      <c r="C52" s="439" t="str">
        <f t="shared" ref="C52:G52" ca="1" si="49">IFERROR(OFFSET(C155,MATCH($A$2,$B:$B,0)-106,0),"")</f>
        <v/>
      </c>
      <c r="D52" s="438" t="str">
        <f t="shared" ca="1" si="49"/>
        <v/>
      </c>
      <c r="E52" s="437" t="str">
        <f t="shared" ca="1" si="49"/>
        <v/>
      </c>
      <c r="F52" s="436" t="str">
        <f t="shared" ca="1" si="49"/>
        <v/>
      </c>
      <c r="G52" s="435" t="str">
        <f t="shared" ca="1" si="49"/>
        <v/>
      </c>
      <c r="H52" s="407">
        <f t="shared" ca="1" si="35"/>
        <v>0</v>
      </c>
      <c r="I52" s="407">
        <f t="shared" ca="1" si="36"/>
        <v>0</v>
      </c>
    </row>
    <row r="53" spans="2:9">
      <c r="B53" s="440" t="s">
        <v>108</v>
      </c>
      <c r="C53" s="439" t="str">
        <f t="shared" ref="C53:G53" ca="1" si="50">IFERROR(OFFSET(C156,MATCH($A$2,$B:$B,0)-106,0),"")</f>
        <v/>
      </c>
      <c r="D53" s="438" t="str">
        <f t="shared" ca="1" si="50"/>
        <v/>
      </c>
      <c r="E53" s="437" t="str">
        <f t="shared" ca="1" si="50"/>
        <v/>
      </c>
      <c r="F53" s="436" t="str">
        <f t="shared" ca="1" si="50"/>
        <v/>
      </c>
      <c r="G53" s="435" t="str">
        <f t="shared" ca="1" si="50"/>
        <v/>
      </c>
      <c r="H53" s="407">
        <f t="shared" ca="1" si="35"/>
        <v>0</v>
      </c>
      <c r="I53" s="407">
        <f t="shared" ca="1" si="36"/>
        <v>0</v>
      </c>
    </row>
    <row r="54" spans="2:9">
      <c r="B54" s="440" t="s">
        <v>109</v>
      </c>
      <c r="C54" s="439" t="str">
        <f t="shared" ref="C54:G54" ca="1" si="51">IFERROR(OFFSET(C157,MATCH($A$2,$B:$B,0)-106,0),"")</f>
        <v/>
      </c>
      <c r="D54" s="438" t="str">
        <f t="shared" ca="1" si="51"/>
        <v/>
      </c>
      <c r="E54" s="437" t="str">
        <f t="shared" ca="1" si="51"/>
        <v/>
      </c>
      <c r="F54" s="436" t="str">
        <f t="shared" ca="1" si="51"/>
        <v/>
      </c>
      <c r="G54" s="435" t="str">
        <f t="shared" ca="1" si="51"/>
        <v/>
      </c>
      <c r="H54" s="407">
        <f t="shared" ca="1" si="35"/>
        <v>0</v>
      </c>
      <c r="I54" s="407">
        <f t="shared" ca="1" si="36"/>
        <v>0</v>
      </c>
    </row>
    <row r="55" spans="2:9">
      <c r="B55" s="440" t="s">
        <v>110</v>
      </c>
      <c r="C55" s="439" t="str">
        <f t="shared" ref="C55:G55" ca="1" si="52">IFERROR(OFFSET(C158,MATCH($A$2,$B:$B,0)-106,0),"")</f>
        <v/>
      </c>
      <c r="D55" s="438" t="str">
        <f t="shared" ca="1" si="52"/>
        <v/>
      </c>
      <c r="E55" s="437" t="str">
        <f t="shared" ca="1" si="52"/>
        <v/>
      </c>
      <c r="F55" s="436" t="str">
        <f t="shared" ca="1" si="52"/>
        <v/>
      </c>
      <c r="G55" s="435" t="str">
        <f t="shared" ca="1" si="52"/>
        <v/>
      </c>
      <c r="H55" s="407">
        <f t="shared" ca="1" si="35"/>
        <v>0</v>
      </c>
      <c r="I55" s="407">
        <f t="shared" ca="1" si="36"/>
        <v>0</v>
      </c>
    </row>
    <row r="56" spans="2:9">
      <c r="B56" s="440" t="s">
        <v>111</v>
      </c>
      <c r="C56" s="439" t="str">
        <f t="shared" ref="C56:G56" ca="1" si="53">IFERROR(OFFSET(C159,MATCH($A$2,$B:$B,0)-106,0),"")</f>
        <v/>
      </c>
      <c r="D56" s="438" t="str">
        <f t="shared" ca="1" si="53"/>
        <v/>
      </c>
      <c r="E56" s="437" t="str">
        <f t="shared" ca="1" si="53"/>
        <v/>
      </c>
      <c r="F56" s="436" t="str">
        <f t="shared" ca="1" si="53"/>
        <v/>
      </c>
      <c r="G56" s="435" t="str">
        <f t="shared" ca="1" si="53"/>
        <v/>
      </c>
      <c r="H56" s="407">
        <f t="shared" ca="1" si="35"/>
        <v>0</v>
      </c>
      <c r="I56" s="407">
        <f t="shared" ca="1" si="36"/>
        <v>0</v>
      </c>
    </row>
    <row r="57" spans="2:9">
      <c r="B57" s="440" t="s">
        <v>112</v>
      </c>
      <c r="C57" s="439" t="str">
        <f t="shared" ref="C57:G57" ca="1" si="54">IFERROR(OFFSET(C160,MATCH($A$2,$B:$B,0)-106,0),"")</f>
        <v/>
      </c>
      <c r="D57" s="438" t="str">
        <f t="shared" ca="1" si="54"/>
        <v/>
      </c>
      <c r="E57" s="437" t="str">
        <f t="shared" ca="1" si="54"/>
        <v/>
      </c>
      <c r="F57" s="436" t="str">
        <f t="shared" ca="1" si="54"/>
        <v/>
      </c>
      <c r="G57" s="435" t="str">
        <f t="shared" ca="1" si="54"/>
        <v/>
      </c>
      <c r="H57" s="407">
        <f t="shared" ca="1" si="35"/>
        <v>0</v>
      </c>
      <c r="I57" s="407">
        <f t="shared" ca="1" si="36"/>
        <v>0</v>
      </c>
    </row>
    <row r="58" spans="2:9">
      <c r="B58" s="440" t="s">
        <v>113</v>
      </c>
      <c r="C58" s="439" t="str">
        <f t="shared" ref="C58:G58" ca="1" si="55">IFERROR(OFFSET(C161,MATCH($A$2,$B:$B,0)-106,0),"")</f>
        <v/>
      </c>
      <c r="D58" s="438" t="str">
        <f t="shared" ca="1" si="55"/>
        <v/>
      </c>
      <c r="E58" s="437" t="str">
        <f t="shared" ca="1" si="55"/>
        <v/>
      </c>
      <c r="F58" s="436" t="str">
        <f t="shared" ca="1" si="55"/>
        <v/>
      </c>
      <c r="G58" s="435" t="str">
        <f t="shared" ca="1" si="55"/>
        <v/>
      </c>
      <c r="H58" s="407">
        <f t="shared" ca="1" si="35"/>
        <v>0</v>
      </c>
      <c r="I58" s="407">
        <f t="shared" ca="1" si="36"/>
        <v>0</v>
      </c>
    </row>
    <row r="59" spans="2:9">
      <c r="B59" s="440" t="s">
        <v>114</v>
      </c>
      <c r="C59" s="439" t="str">
        <f t="shared" ref="C59:G59" ca="1" si="56">IFERROR(OFFSET(C162,MATCH($A$2,$B:$B,0)-106,0),"")</f>
        <v/>
      </c>
      <c r="D59" s="438" t="str">
        <f t="shared" ca="1" si="56"/>
        <v/>
      </c>
      <c r="E59" s="437" t="str">
        <f t="shared" ca="1" si="56"/>
        <v/>
      </c>
      <c r="F59" s="436" t="str">
        <f t="shared" ca="1" si="56"/>
        <v/>
      </c>
      <c r="G59" s="435" t="str">
        <f t="shared" ca="1" si="56"/>
        <v/>
      </c>
      <c r="H59" s="407">
        <f t="shared" ca="1" si="35"/>
        <v>0</v>
      </c>
      <c r="I59" s="407">
        <f t="shared" ca="1" si="36"/>
        <v>0</v>
      </c>
    </row>
    <row r="60" spans="2:9">
      <c r="B60" s="440" t="s">
        <v>115</v>
      </c>
      <c r="C60" s="439" t="str">
        <f t="shared" ref="C60:G60" ca="1" si="57">IFERROR(OFFSET(C163,MATCH($A$2,$B:$B,0)-106,0),"")</f>
        <v/>
      </c>
      <c r="D60" s="438" t="str">
        <f t="shared" ca="1" si="57"/>
        <v/>
      </c>
      <c r="E60" s="437" t="str">
        <f t="shared" ca="1" si="57"/>
        <v/>
      </c>
      <c r="F60" s="436" t="str">
        <f t="shared" ca="1" si="57"/>
        <v/>
      </c>
      <c r="G60" s="435" t="str">
        <f t="shared" ca="1" si="57"/>
        <v/>
      </c>
      <c r="H60" s="407">
        <f t="shared" ca="1" si="35"/>
        <v>0</v>
      </c>
      <c r="I60" s="407">
        <f t="shared" ca="1" si="36"/>
        <v>0</v>
      </c>
    </row>
    <row r="61" spans="2:9">
      <c r="B61" s="440" t="s">
        <v>116</v>
      </c>
      <c r="C61" s="439" t="str">
        <f t="shared" ref="C61:G61" ca="1" si="58">IFERROR(OFFSET(C164,MATCH($A$2,$B:$B,0)-106,0),"")</f>
        <v/>
      </c>
      <c r="D61" s="438" t="str">
        <f t="shared" ca="1" si="58"/>
        <v/>
      </c>
      <c r="E61" s="437" t="str">
        <f t="shared" ca="1" si="58"/>
        <v/>
      </c>
      <c r="F61" s="436" t="str">
        <f t="shared" ca="1" si="58"/>
        <v/>
      </c>
      <c r="G61" s="435" t="str">
        <f t="shared" ca="1" si="58"/>
        <v/>
      </c>
      <c r="H61" s="407">
        <f t="shared" ca="1" si="35"/>
        <v>0</v>
      </c>
      <c r="I61" s="407">
        <f t="shared" ca="1" si="36"/>
        <v>0</v>
      </c>
    </row>
    <row r="62" spans="2:9">
      <c r="B62" s="440" t="s">
        <v>117</v>
      </c>
      <c r="C62" s="439" t="str">
        <f t="shared" ref="C62:G62" ca="1" si="59">IFERROR(OFFSET(C165,MATCH($A$2,$B:$B,0)-106,0),"")</f>
        <v/>
      </c>
      <c r="D62" s="438" t="str">
        <f t="shared" ca="1" si="59"/>
        <v/>
      </c>
      <c r="E62" s="437" t="str">
        <f t="shared" ca="1" si="59"/>
        <v/>
      </c>
      <c r="F62" s="436" t="str">
        <f t="shared" ca="1" si="59"/>
        <v/>
      </c>
      <c r="G62" s="435" t="str">
        <f t="shared" ca="1" si="59"/>
        <v/>
      </c>
      <c r="H62" s="407">
        <f t="shared" ca="1" si="35"/>
        <v>0</v>
      </c>
      <c r="I62" s="407">
        <f t="shared" ca="1" si="36"/>
        <v>0</v>
      </c>
    </row>
    <row r="63" spans="2:9">
      <c r="B63" s="440" t="s">
        <v>118</v>
      </c>
      <c r="C63" s="439" t="str">
        <f t="shared" ref="C63:G63" ca="1" si="60">IFERROR(OFFSET(C166,MATCH($A$2,$B:$B,0)-106,0),"")</f>
        <v/>
      </c>
      <c r="D63" s="438" t="str">
        <f t="shared" ca="1" si="60"/>
        <v/>
      </c>
      <c r="E63" s="437" t="str">
        <f t="shared" ca="1" si="60"/>
        <v/>
      </c>
      <c r="F63" s="436" t="str">
        <f t="shared" ca="1" si="60"/>
        <v/>
      </c>
      <c r="G63" s="435" t="str">
        <f t="shared" ca="1" si="60"/>
        <v/>
      </c>
      <c r="H63" s="407">
        <f t="shared" ca="1" si="35"/>
        <v>0</v>
      </c>
      <c r="I63" s="407">
        <f t="shared" ca="1" si="36"/>
        <v>0</v>
      </c>
    </row>
    <row r="64" spans="2:9">
      <c r="B64" s="440" t="s">
        <v>119</v>
      </c>
      <c r="C64" s="439" t="str">
        <f t="shared" ref="C64:G64" ca="1" si="61">IFERROR(OFFSET(C167,MATCH($A$2,$B:$B,0)-106,0),"")</f>
        <v/>
      </c>
      <c r="D64" s="438" t="str">
        <f t="shared" ca="1" si="61"/>
        <v/>
      </c>
      <c r="E64" s="437" t="str">
        <f t="shared" ca="1" si="61"/>
        <v/>
      </c>
      <c r="F64" s="436" t="str">
        <f t="shared" ca="1" si="61"/>
        <v/>
      </c>
      <c r="G64" s="435" t="str">
        <f t="shared" ca="1" si="61"/>
        <v/>
      </c>
      <c r="H64" s="407">
        <f t="shared" ca="1" si="35"/>
        <v>0</v>
      </c>
      <c r="I64" s="407">
        <f t="shared" ca="1" si="36"/>
        <v>0</v>
      </c>
    </row>
    <row r="65" spans="2:9">
      <c r="B65" s="440" t="s">
        <v>120</v>
      </c>
      <c r="C65" s="439" t="str">
        <f t="shared" ref="C65:G65" ca="1" si="62">IFERROR(OFFSET(C168,MATCH($A$2,$B:$B,0)-106,0),"")</f>
        <v/>
      </c>
      <c r="D65" s="438" t="str">
        <f t="shared" ca="1" si="62"/>
        <v/>
      </c>
      <c r="E65" s="437" t="str">
        <f t="shared" ca="1" si="62"/>
        <v/>
      </c>
      <c r="F65" s="436" t="str">
        <f t="shared" ca="1" si="62"/>
        <v/>
      </c>
      <c r="G65" s="435" t="str">
        <f t="shared" ca="1" si="62"/>
        <v/>
      </c>
      <c r="H65" s="407">
        <f t="shared" ca="1" si="35"/>
        <v>0</v>
      </c>
      <c r="I65" s="407">
        <f t="shared" ca="1" si="36"/>
        <v>0</v>
      </c>
    </row>
    <row r="66" spans="2:9">
      <c r="B66" s="440" t="s">
        <v>121</v>
      </c>
      <c r="C66" s="439" t="str">
        <f t="shared" ref="C66:G66" ca="1" si="63">IFERROR(OFFSET(C169,MATCH($A$2,$B:$B,0)-106,0),"")</f>
        <v/>
      </c>
      <c r="D66" s="438" t="str">
        <f t="shared" ca="1" si="63"/>
        <v/>
      </c>
      <c r="E66" s="437" t="str">
        <f t="shared" ca="1" si="63"/>
        <v/>
      </c>
      <c r="F66" s="436" t="str">
        <f t="shared" ca="1" si="63"/>
        <v/>
      </c>
      <c r="G66" s="435" t="str">
        <f t="shared" ca="1" si="63"/>
        <v/>
      </c>
      <c r="H66" s="407">
        <f t="shared" ca="1" si="35"/>
        <v>0</v>
      </c>
      <c r="I66" s="407">
        <f t="shared" ca="1" si="36"/>
        <v>0</v>
      </c>
    </row>
    <row r="67" spans="2:9" ht="14" thickBot="1">
      <c r="B67" s="434" t="s">
        <v>122</v>
      </c>
      <c r="C67" s="433" t="str">
        <f t="shared" ref="C67:G67" ca="1" si="64">IFERROR(OFFSET(C170,MATCH($A$2,$B:$B,0)-106,0),"")</f>
        <v/>
      </c>
      <c r="D67" s="432" t="str">
        <f t="shared" ca="1" si="64"/>
        <v/>
      </c>
      <c r="E67" s="431" t="str">
        <f t="shared" ca="1" si="64"/>
        <v/>
      </c>
      <c r="F67" s="430" t="str">
        <f t="shared" ca="1" si="64"/>
        <v/>
      </c>
      <c r="G67" s="429" t="str">
        <f t="shared" ca="1" si="64"/>
        <v/>
      </c>
      <c r="H67" s="421">
        <f t="shared" ca="1" si="35"/>
        <v>0</v>
      </c>
      <c r="I67" s="421">
        <f t="shared" ca="1" si="36"/>
        <v>0</v>
      </c>
    </row>
    <row r="68" spans="2:9">
      <c r="B68" s="425" t="s">
        <v>131</v>
      </c>
      <c r="C68" s="416" t="e">
        <f t="shared" ref="C68:I68" ca="1" si="65">SUM(C69,C70,C71,C72)</f>
        <v>#VALUE!</v>
      </c>
      <c r="D68" s="416" t="e">
        <f t="shared" ca="1" si="65"/>
        <v>#VALUE!</v>
      </c>
      <c r="E68" s="415" t="e">
        <f t="shared" ca="1" si="65"/>
        <v>#VALUE!</v>
      </c>
      <c r="F68" s="414" t="e">
        <f t="shared" ca="1" si="65"/>
        <v>#VALUE!</v>
      </c>
      <c r="G68" s="413" t="e">
        <f t="shared" ca="1" si="65"/>
        <v>#VALUE!</v>
      </c>
      <c r="H68" s="416">
        <f t="shared" ca="1" si="65"/>
        <v>0</v>
      </c>
      <c r="I68" s="416">
        <f t="shared" ca="1" si="65"/>
        <v>0</v>
      </c>
    </row>
    <row r="69" spans="2:9">
      <c r="B69" s="411" t="s">
        <v>132</v>
      </c>
      <c r="C69" s="407" t="e">
        <f t="shared" ref="C69:I69" ca="1" si="66">C7+C8+C9+C10+C11+C12+C13+C14</f>
        <v>#VALUE!</v>
      </c>
      <c r="D69" s="407" t="e">
        <f t="shared" ca="1" si="66"/>
        <v>#VALUE!</v>
      </c>
      <c r="E69" s="410" t="e">
        <f t="shared" ca="1" si="66"/>
        <v>#VALUE!</v>
      </c>
      <c r="F69" s="409" t="e">
        <f t="shared" ca="1" si="66"/>
        <v>#VALUE!</v>
      </c>
      <c r="G69" s="408" t="e">
        <f t="shared" ca="1" si="66"/>
        <v>#VALUE!</v>
      </c>
      <c r="H69" s="407">
        <f t="shared" ca="1" si="66"/>
        <v>0</v>
      </c>
      <c r="I69" s="407">
        <f t="shared" ca="1" si="66"/>
        <v>0</v>
      </c>
    </row>
    <row r="70" spans="2:9">
      <c r="B70" s="411" t="s">
        <v>133</v>
      </c>
      <c r="C70" s="407" t="e">
        <f t="shared" ref="C70:I70" ca="1" si="67">C15+C16+C17+C18+C19+C20+C21+C22+C23+C24+C25+C26+C27+C28</f>
        <v>#VALUE!</v>
      </c>
      <c r="D70" s="407" t="e">
        <f t="shared" ca="1" si="67"/>
        <v>#VALUE!</v>
      </c>
      <c r="E70" s="410" t="e">
        <f t="shared" ca="1" si="67"/>
        <v>#VALUE!</v>
      </c>
      <c r="F70" s="409" t="e">
        <f t="shared" ca="1" si="67"/>
        <v>#VALUE!</v>
      </c>
      <c r="G70" s="408" t="e">
        <f t="shared" ca="1" si="67"/>
        <v>#VALUE!</v>
      </c>
      <c r="H70" s="407">
        <f t="shared" ca="1" si="67"/>
        <v>0</v>
      </c>
      <c r="I70" s="407">
        <f t="shared" ca="1" si="67"/>
        <v>0</v>
      </c>
    </row>
    <row r="71" spans="2:9">
      <c r="B71" s="411" t="s">
        <v>134</v>
      </c>
      <c r="C71" s="407" t="e">
        <f t="shared" ref="C71:I71" ca="1" si="68">C29+C30+C31+C32+C33+C34+C35+C36+C37+C38+C39+C40+C41+C42+C43+C44+C45+C46+C47+C48+C49+C50+C51+C52+C53+C54+C55</f>
        <v>#VALUE!</v>
      </c>
      <c r="D71" s="407" t="e">
        <f t="shared" ca="1" si="68"/>
        <v>#VALUE!</v>
      </c>
      <c r="E71" s="410" t="e">
        <f t="shared" ca="1" si="68"/>
        <v>#VALUE!</v>
      </c>
      <c r="F71" s="409" t="e">
        <f t="shared" ca="1" si="68"/>
        <v>#VALUE!</v>
      </c>
      <c r="G71" s="408" t="e">
        <f t="shared" ca="1" si="68"/>
        <v>#VALUE!</v>
      </c>
      <c r="H71" s="407">
        <f t="shared" ca="1" si="68"/>
        <v>0</v>
      </c>
      <c r="I71" s="407">
        <f t="shared" ca="1" si="68"/>
        <v>0</v>
      </c>
    </row>
    <row r="72" spans="2:9" ht="14" thickBot="1">
      <c r="B72" s="428" t="s">
        <v>135</v>
      </c>
      <c r="C72" s="421" t="e">
        <f t="shared" ref="C72:I72" ca="1" si="69">C56+C57+C58+C59+C60+C61+C62+C63+C64+C65+C66+C67</f>
        <v>#VALUE!</v>
      </c>
      <c r="D72" s="421" t="e">
        <f t="shared" ca="1" si="69"/>
        <v>#VALUE!</v>
      </c>
      <c r="E72" s="420" t="e">
        <f t="shared" ca="1" si="69"/>
        <v>#VALUE!</v>
      </c>
      <c r="F72" s="419" t="e">
        <f t="shared" ca="1" si="69"/>
        <v>#VALUE!</v>
      </c>
      <c r="G72" s="418" t="e">
        <f t="shared" ca="1" si="69"/>
        <v>#VALUE!</v>
      </c>
      <c r="H72" s="421">
        <f t="shared" ca="1" si="69"/>
        <v>0</v>
      </c>
      <c r="I72" s="421">
        <f t="shared" ca="1" si="69"/>
        <v>0</v>
      </c>
    </row>
    <row r="73" spans="2:9">
      <c r="B73" s="425" t="s">
        <v>136</v>
      </c>
      <c r="C73" s="416" t="e">
        <f t="shared" ref="C73:I73" ca="1" si="70">C37+C38+C39+C40+C41+C42</f>
        <v>#VALUE!</v>
      </c>
      <c r="D73" s="416" t="e">
        <f t="shared" ca="1" si="70"/>
        <v>#VALUE!</v>
      </c>
      <c r="E73" s="415" t="e">
        <f t="shared" ca="1" si="70"/>
        <v>#VALUE!</v>
      </c>
      <c r="F73" s="414" t="e">
        <f t="shared" ca="1" si="70"/>
        <v>#VALUE!</v>
      </c>
      <c r="G73" s="413" t="e">
        <f t="shared" ca="1" si="70"/>
        <v>#VALUE!</v>
      </c>
      <c r="H73" s="416">
        <f t="shared" ca="1" si="70"/>
        <v>0</v>
      </c>
      <c r="I73" s="416">
        <f t="shared" ca="1" si="70"/>
        <v>0</v>
      </c>
    </row>
    <row r="74" spans="2:9">
      <c r="B74" s="427" t="s">
        <v>137</v>
      </c>
      <c r="C74" s="421" t="e">
        <f t="shared" ref="C74:I74" ca="1" si="71">C59+C60+C61</f>
        <v>#VALUE!</v>
      </c>
      <c r="D74" s="421" t="e">
        <f t="shared" ca="1" si="71"/>
        <v>#VALUE!</v>
      </c>
      <c r="E74" s="420" t="e">
        <f t="shared" ca="1" si="71"/>
        <v>#VALUE!</v>
      </c>
      <c r="F74" s="419" t="e">
        <f t="shared" ca="1" si="71"/>
        <v>#VALUE!</v>
      </c>
      <c r="G74" s="418" t="e">
        <f t="shared" ca="1" si="71"/>
        <v>#VALUE!</v>
      </c>
      <c r="H74" s="421">
        <f t="shared" ca="1" si="71"/>
        <v>0</v>
      </c>
      <c r="I74" s="421">
        <f t="shared" ca="1" si="71"/>
        <v>0</v>
      </c>
    </row>
    <row r="75" spans="2:9" ht="14" thickBot="1">
      <c r="B75" s="406" t="s">
        <v>138</v>
      </c>
      <c r="C75" s="402" t="e">
        <f t="shared" ref="C75:I75" ca="1" si="72">C17+C43+C67</f>
        <v>#VALUE!</v>
      </c>
      <c r="D75" s="402" t="e">
        <f t="shared" ca="1" si="72"/>
        <v>#VALUE!</v>
      </c>
      <c r="E75" s="405" t="e">
        <f t="shared" ca="1" si="72"/>
        <v>#VALUE!</v>
      </c>
      <c r="F75" s="404" t="e">
        <f t="shared" ca="1" si="72"/>
        <v>#VALUE!</v>
      </c>
      <c r="G75" s="403" t="e">
        <f t="shared" ca="1" si="72"/>
        <v>#VALUE!</v>
      </c>
      <c r="H75" s="402">
        <f t="shared" ca="1" si="72"/>
        <v>0</v>
      </c>
      <c r="I75" s="402">
        <f t="shared" ca="1" si="72"/>
        <v>0</v>
      </c>
    </row>
    <row r="76" spans="2:9">
      <c r="B76" s="417" t="s">
        <v>139</v>
      </c>
      <c r="C76" s="412" t="str">
        <f t="shared" ref="C76:I76" ca="1" si="73">C7</f>
        <v/>
      </c>
      <c r="D76" s="412" t="str">
        <f t="shared" ca="1" si="73"/>
        <v/>
      </c>
      <c r="E76" s="424" t="str">
        <f t="shared" ca="1" si="73"/>
        <v/>
      </c>
      <c r="F76" s="423" t="str">
        <f t="shared" ca="1" si="73"/>
        <v/>
      </c>
      <c r="G76" s="422" t="str">
        <f t="shared" ca="1" si="73"/>
        <v/>
      </c>
      <c r="H76" s="412">
        <f t="shared" ca="1" si="73"/>
        <v>0</v>
      </c>
      <c r="I76" s="412">
        <f t="shared" ca="1" si="73"/>
        <v>0</v>
      </c>
    </row>
    <row r="77" spans="2:9">
      <c r="B77" s="417" t="s">
        <v>140</v>
      </c>
      <c r="C77" s="407" t="e">
        <f t="shared" ref="C77:I77" ca="1" si="74">C15+C16</f>
        <v>#VALUE!</v>
      </c>
      <c r="D77" s="407" t="e">
        <f t="shared" ca="1" si="74"/>
        <v>#VALUE!</v>
      </c>
      <c r="E77" s="410" t="e">
        <f t="shared" ca="1" si="74"/>
        <v>#VALUE!</v>
      </c>
      <c r="F77" s="409" t="e">
        <f t="shared" ca="1" si="74"/>
        <v>#VALUE!</v>
      </c>
      <c r="G77" s="408" t="e">
        <f t="shared" ca="1" si="74"/>
        <v>#VALUE!</v>
      </c>
      <c r="H77" s="407">
        <f t="shared" ca="1" si="74"/>
        <v>0</v>
      </c>
      <c r="I77" s="407">
        <f t="shared" ca="1" si="74"/>
        <v>0</v>
      </c>
    </row>
    <row r="78" spans="2:9" ht="14" thickBot="1">
      <c r="B78" s="426" t="s">
        <v>141</v>
      </c>
      <c r="C78" s="421" t="e">
        <f t="shared" ref="C78:I78" ca="1" si="75">C29+C30</f>
        <v>#VALUE!</v>
      </c>
      <c r="D78" s="421" t="e">
        <f t="shared" ca="1" si="75"/>
        <v>#VALUE!</v>
      </c>
      <c r="E78" s="420" t="e">
        <f t="shared" ca="1" si="75"/>
        <v>#VALUE!</v>
      </c>
      <c r="F78" s="419" t="e">
        <f t="shared" ca="1" si="75"/>
        <v>#VALUE!</v>
      </c>
      <c r="G78" s="418" t="e">
        <f t="shared" ca="1" si="75"/>
        <v>#VALUE!</v>
      </c>
      <c r="H78" s="402">
        <f t="shared" ca="1" si="75"/>
        <v>0</v>
      </c>
      <c r="I78" s="402">
        <f t="shared" ca="1" si="75"/>
        <v>0</v>
      </c>
    </row>
    <row r="79" spans="2:9">
      <c r="B79" s="425" t="s">
        <v>142</v>
      </c>
      <c r="C79" s="416" t="e">
        <f t="shared" ref="C79:I79" ca="1" si="76">C31+C32+C33+C34+C35+C36</f>
        <v>#VALUE!</v>
      </c>
      <c r="D79" s="416" t="e">
        <f t="shared" ca="1" si="76"/>
        <v>#VALUE!</v>
      </c>
      <c r="E79" s="415" t="e">
        <f t="shared" ca="1" si="76"/>
        <v>#VALUE!</v>
      </c>
      <c r="F79" s="414" t="e">
        <f t="shared" ca="1" si="76"/>
        <v>#VALUE!</v>
      </c>
      <c r="G79" s="413" t="e">
        <f t="shared" ca="1" si="76"/>
        <v>#VALUE!</v>
      </c>
      <c r="H79" s="416">
        <f t="shared" ca="1" si="76"/>
        <v>0</v>
      </c>
      <c r="I79" s="416">
        <f t="shared" ca="1" si="76"/>
        <v>0</v>
      </c>
    </row>
    <row r="80" spans="2:9" ht="14" thickBot="1">
      <c r="B80" s="426" t="s">
        <v>143</v>
      </c>
      <c r="C80" s="402" t="e">
        <f t="shared" ref="C80:I80" ca="1" si="77">C56+C57+C58</f>
        <v>#VALUE!</v>
      </c>
      <c r="D80" s="402" t="e">
        <f t="shared" ca="1" si="77"/>
        <v>#VALUE!</v>
      </c>
      <c r="E80" s="405" t="e">
        <f t="shared" ca="1" si="77"/>
        <v>#VALUE!</v>
      </c>
      <c r="F80" s="404" t="e">
        <f t="shared" ca="1" si="77"/>
        <v>#VALUE!</v>
      </c>
      <c r="G80" s="403" t="e">
        <f t="shared" ca="1" si="77"/>
        <v>#VALUE!</v>
      </c>
      <c r="H80" s="402">
        <f t="shared" ca="1" si="77"/>
        <v>0</v>
      </c>
      <c r="I80" s="402">
        <f t="shared" ca="1" si="77"/>
        <v>0</v>
      </c>
    </row>
    <row r="81" spans="2:9">
      <c r="B81" s="425" t="s">
        <v>144</v>
      </c>
      <c r="C81" s="412" t="e">
        <f t="shared" ref="C81:I81" ca="1" si="78">C8+C9+C10+C11+C12+C13+C14</f>
        <v>#VALUE!</v>
      </c>
      <c r="D81" s="412" t="e">
        <f t="shared" ca="1" si="78"/>
        <v>#VALUE!</v>
      </c>
      <c r="E81" s="424" t="e">
        <f t="shared" ca="1" si="78"/>
        <v>#VALUE!</v>
      </c>
      <c r="F81" s="423" t="e">
        <f t="shared" ca="1" si="78"/>
        <v>#VALUE!</v>
      </c>
      <c r="G81" s="422" t="e">
        <f t="shared" ca="1" si="78"/>
        <v>#VALUE!</v>
      </c>
      <c r="H81" s="416">
        <f t="shared" ca="1" si="78"/>
        <v>0</v>
      </c>
      <c r="I81" s="416">
        <f t="shared" ca="1" si="78"/>
        <v>0</v>
      </c>
    </row>
    <row r="82" spans="2:9">
      <c r="B82" s="411" t="s">
        <v>145</v>
      </c>
      <c r="C82" s="407" t="e">
        <f t="shared" ref="C82:I82" ca="1" si="79">C19+C20+C21+C22+C24+C25+C26</f>
        <v>#VALUE!</v>
      </c>
      <c r="D82" s="407" t="e">
        <f t="shared" ca="1" si="79"/>
        <v>#VALUE!</v>
      </c>
      <c r="E82" s="410" t="e">
        <f t="shared" ca="1" si="79"/>
        <v>#VALUE!</v>
      </c>
      <c r="F82" s="409" t="e">
        <f t="shared" ca="1" si="79"/>
        <v>#VALUE!</v>
      </c>
      <c r="G82" s="408" t="e">
        <f t="shared" ca="1" si="79"/>
        <v>#VALUE!</v>
      </c>
      <c r="H82" s="407">
        <f t="shared" ca="1" si="79"/>
        <v>0</v>
      </c>
      <c r="I82" s="407">
        <f t="shared" ca="1" si="79"/>
        <v>0</v>
      </c>
    </row>
    <row r="83" spans="2:9">
      <c r="B83" s="411" t="s">
        <v>146</v>
      </c>
      <c r="C83" s="407" t="e">
        <f t="shared" ref="C83:I83" ca="1" si="80">C18+C23</f>
        <v>#VALUE!</v>
      </c>
      <c r="D83" s="407" t="e">
        <f t="shared" ca="1" si="80"/>
        <v>#VALUE!</v>
      </c>
      <c r="E83" s="410" t="e">
        <f t="shared" ca="1" si="80"/>
        <v>#VALUE!</v>
      </c>
      <c r="F83" s="409" t="e">
        <f t="shared" ca="1" si="80"/>
        <v>#VALUE!</v>
      </c>
      <c r="G83" s="408" t="e">
        <f t="shared" ca="1" si="80"/>
        <v>#VALUE!</v>
      </c>
      <c r="H83" s="407">
        <f t="shared" ca="1" si="80"/>
        <v>0</v>
      </c>
      <c r="I83" s="407">
        <f t="shared" ca="1" si="80"/>
        <v>0</v>
      </c>
    </row>
    <row r="84" spans="2:9">
      <c r="B84" s="411" t="s">
        <v>147</v>
      </c>
      <c r="C84" s="407" t="e">
        <f t="shared" ref="C84:I84" ca="1" si="81">C44+C45+C46+C47+C48+C49+C50+C51+C52+C53</f>
        <v>#VALUE!</v>
      </c>
      <c r="D84" s="407" t="e">
        <f t="shared" ca="1" si="81"/>
        <v>#VALUE!</v>
      </c>
      <c r="E84" s="410" t="e">
        <f t="shared" ca="1" si="81"/>
        <v>#VALUE!</v>
      </c>
      <c r="F84" s="409" t="e">
        <f t="shared" ca="1" si="81"/>
        <v>#VALUE!</v>
      </c>
      <c r="G84" s="408" t="e">
        <f t="shared" ca="1" si="81"/>
        <v>#VALUE!</v>
      </c>
      <c r="H84" s="407">
        <f t="shared" ca="1" si="81"/>
        <v>0</v>
      </c>
      <c r="I84" s="407">
        <f t="shared" ca="1" si="81"/>
        <v>0</v>
      </c>
    </row>
    <row r="85" spans="2:9" ht="14" thickBot="1">
      <c r="B85" s="406" t="s">
        <v>148</v>
      </c>
      <c r="C85" s="421" t="e">
        <f t="shared" ref="C85:I85" ca="1" si="82">C62+C63+C64+C65</f>
        <v>#VALUE!</v>
      </c>
      <c r="D85" s="421" t="e">
        <f t="shared" ca="1" si="82"/>
        <v>#VALUE!</v>
      </c>
      <c r="E85" s="420" t="e">
        <f t="shared" ca="1" si="82"/>
        <v>#VALUE!</v>
      </c>
      <c r="F85" s="419" t="e">
        <f t="shared" ca="1" si="82"/>
        <v>#VALUE!</v>
      </c>
      <c r="G85" s="418" t="e">
        <f t="shared" ca="1" si="82"/>
        <v>#VALUE!</v>
      </c>
      <c r="H85" s="402">
        <f t="shared" ca="1" si="82"/>
        <v>0</v>
      </c>
      <c r="I85" s="402">
        <f t="shared" ca="1" si="82"/>
        <v>0</v>
      </c>
    </row>
    <row r="86" spans="2:9">
      <c r="B86" s="417" t="s">
        <v>149</v>
      </c>
      <c r="C86" s="416" t="e">
        <f t="shared" ref="C86:I86" ca="1" si="83">C27+C28</f>
        <v>#VALUE!</v>
      </c>
      <c r="D86" s="416" t="e">
        <f t="shared" ca="1" si="83"/>
        <v>#VALUE!</v>
      </c>
      <c r="E86" s="415" t="e">
        <f t="shared" ca="1" si="83"/>
        <v>#VALUE!</v>
      </c>
      <c r="F86" s="414" t="e">
        <f t="shared" ca="1" si="83"/>
        <v>#VALUE!</v>
      </c>
      <c r="G86" s="413" t="e">
        <f t="shared" ca="1" si="83"/>
        <v>#VALUE!</v>
      </c>
      <c r="H86" s="412">
        <f t="shared" ca="1" si="83"/>
        <v>0</v>
      </c>
      <c r="I86" s="412">
        <f t="shared" ca="1" si="83"/>
        <v>0</v>
      </c>
    </row>
    <row r="87" spans="2:9">
      <c r="B87" s="411" t="s">
        <v>150</v>
      </c>
      <c r="C87" s="407" t="e">
        <f t="shared" ref="C87:I87" ca="1" si="84">C54+C55</f>
        <v>#VALUE!</v>
      </c>
      <c r="D87" s="407" t="e">
        <f t="shared" ca="1" si="84"/>
        <v>#VALUE!</v>
      </c>
      <c r="E87" s="410" t="e">
        <f t="shared" ca="1" si="84"/>
        <v>#VALUE!</v>
      </c>
      <c r="F87" s="409" t="e">
        <f t="shared" ca="1" si="84"/>
        <v>#VALUE!</v>
      </c>
      <c r="G87" s="408" t="e">
        <f t="shared" ca="1" si="84"/>
        <v>#VALUE!</v>
      </c>
      <c r="H87" s="407">
        <f t="shared" ca="1" si="84"/>
        <v>0</v>
      </c>
      <c r="I87" s="407">
        <f t="shared" ca="1" si="84"/>
        <v>0</v>
      </c>
    </row>
    <row r="88" spans="2:9" ht="14" thickBot="1">
      <c r="B88" s="406" t="s">
        <v>151</v>
      </c>
      <c r="C88" s="402" t="str">
        <f t="shared" ref="C88:I88" ca="1" si="85">C66</f>
        <v/>
      </c>
      <c r="D88" s="402" t="str">
        <f t="shared" ca="1" si="85"/>
        <v/>
      </c>
      <c r="E88" s="405" t="str">
        <f t="shared" ca="1" si="85"/>
        <v/>
      </c>
      <c r="F88" s="404" t="str">
        <f t="shared" ca="1" si="85"/>
        <v/>
      </c>
      <c r="G88" s="403" t="str">
        <f t="shared" ca="1" si="85"/>
        <v/>
      </c>
      <c r="H88" s="402">
        <f t="shared" ca="1" si="85"/>
        <v>0</v>
      </c>
      <c r="I88" s="402">
        <f t="shared" ca="1" si="85"/>
        <v>0</v>
      </c>
    </row>
    <row r="90" spans="2:9">
      <c r="B90" t="s">
        <v>152</v>
      </c>
      <c r="C90" s="401" t="e">
        <f t="shared" ref="C90:I90" ca="1" si="86">IF(SUM(C7:C67)=C$68,"OK","ERROR")</f>
        <v>#VALUE!</v>
      </c>
      <c r="D90" s="401" t="e">
        <f t="shared" ca="1" si="86"/>
        <v>#VALUE!</v>
      </c>
      <c r="E90" s="401" t="e">
        <f t="shared" ca="1" si="86"/>
        <v>#VALUE!</v>
      </c>
      <c r="F90" s="401" t="e">
        <f t="shared" ca="1" si="86"/>
        <v>#VALUE!</v>
      </c>
      <c r="G90" s="401" t="e">
        <f t="shared" ca="1" si="86"/>
        <v>#VALUE!</v>
      </c>
      <c r="H90" s="401" t="str">
        <f t="shared" ca="1" si="86"/>
        <v>OK</v>
      </c>
      <c r="I90" s="401" t="str">
        <f t="shared" ca="1" si="86"/>
        <v>OK</v>
      </c>
    </row>
    <row r="91" spans="2:9">
      <c r="B91" t="s">
        <v>153</v>
      </c>
      <c r="C91" s="401" t="e">
        <f t="shared" ref="C91:I91" ca="1" si="87">IF(SUM(C69:C72)=C$68,"OK","ERROR")</f>
        <v>#VALUE!</v>
      </c>
      <c r="D91" s="401" t="e">
        <f t="shared" ca="1" si="87"/>
        <v>#VALUE!</v>
      </c>
      <c r="E91" s="401" t="e">
        <f t="shared" ca="1" si="87"/>
        <v>#VALUE!</v>
      </c>
      <c r="F91" s="401" t="e">
        <f t="shared" ca="1" si="87"/>
        <v>#VALUE!</v>
      </c>
      <c r="G91" s="401" t="e">
        <f t="shared" ca="1" si="87"/>
        <v>#VALUE!</v>
      </c>
      <c r="H91" s="401" t="str">
        <f t="shared" ca="1" si="87"/>
        <v>OK</v>
      </c>
      <c r="I91" s="401" t="str">
        <f t="shared" ca="1" si="87"/>
        <v>OK</v>
      </c>
    </row>
    <row r="92" spans="2:9">
      <c r="B92" t="s">
        <v>154</v>
      </c>
      <c r="C92" s="401" t="e">
        <f t="shared" ref="C92:I92" ca="1" si="88">IF(SUM(C73:C88)=C$68,"OK","ERROR")</f>
        <v>#VALUE!</v>
      </c>
      <c r="D92" s="401" t="e">
        <f t="shared" ca="1" si="88"/>
        <v>#VALUE!</v>
      </c>
      <c r="E92" s="401" t="e">
        <f t="shared" ca="1" si="88"/>
        <v>#VALUE!</v>
      </c>
      <c r="F92" s="401" t="e">
        <f t="shared" ca="1" si="88"/>
        <v>#VALUE!</v>
      </c>
      <c r="G92" s="401" t="e">
        <f t="shared" ca="1" si="88"/>
        <v>#VALUE!</v>
      </c>
      <c r="H92" s="401" t="str">
        <f t="shared" ca="1" si="88"/>
        <v>OK</v>
      </c>
      <c r="I92" s="401" t="str">
        <f t="shared" ca="1" si="88"/>
        <v>OK</v>
      </c>
    </row>
    <row r="104" spans="2:7">
      <c r="B104" s="457" t="s">
        <v>155</v>
      </c>
    </row>
    <row r="106" spans="2:7">
      <c r="B106" s="12" t="s">
        <v>5</v>
      </c>
    </row>
    <row r="107" spans="2:7" ht="14" thickBot="1"/>
    <row r="108" spans="2:7" ht="14" thickBot="1">
      <c r="B108" s="553" t="s">
        <v>51</v>
      </c>
      <c r="C108" s="555" t="s">
        <v>123</v>
      </c>
      <c r="D108" s="556"/>
      <c r="E108" s="556"/>
      <c r="F108" s="556"/>
      <c r="G108" s="557"/>
    </row>
    <row r="109" spans="2:7" ht="54.5" thickBot="1">
      <c r="B109" s="554"/>
      <c r="C109" s="452" t="s">
        <v>124</v>
      </c>
      <c r="D109" s="452" t="s">
        <v>125</v>
      </c>
      <c r="E109" s="451" t="s">
        <v>126</v>
      </c>
      <c r="F109" s="450" t="s">
        <v>127</v>
      </c>
      <c r="G109" s="449" t="s">
        <v>128</v>
      </c>
    </row>
    <row r="110" spans="2:7">
      <c r="B110" s="446" t="s">
        <v>53</v>
      </c>
      <c r="C110" s="445">
        <v>154707584</v>
      </c>
      <c r="D110" s="444">
        <v>205352975</v>
      </c>
      <c r="E110" s="443">
        <v>-49191430</v>
      </c>
      <c r="F110" s="442">
        <v>0</v>
      </c>
      <c r="G110" s="441">
        <v>0</v>
      </c>
    </row>
    <row r="111" spans="2:7">
      <c r="B111" s="440" t="s">
        <v>63</v>
      </c>
      <c r="C111" s="439">
        <v>474056</v>
      </c>
      <c r="D111" s="438">
        <v>474056</v>
      </c>
      <c r="E111" s="437">
        <v>0</v>
      </c>
      <c r="F111" s="436">
        <v>0</v>
      </c>
      <c r="G111" s="435">
        <v>0</v>
      </c>
    </row>
    <row r="112" spans="2:7">
      <c r="B112" s="440" t="s">
        <v>64</v>
      </c>
      <c r="C112" s="439">
        <v>3375054</v>
      </c>
      <c r="D112" s="438">
        <v>3574035</v>
      </c>
      <c r="E112" s="437">
        <v>-367028.76</v>
      </c>
      <c r="F112" s="436">
        <v>0</v>
      </c>
      <c r="G112" s="435">
        <v>0</v>
      </c>
    </row>
    <row r="113" spans="2:7">
      <c r="B113" s="440" t="s">
        <v>65</v>
      </c>
      <c r="C113" s="439">
        <v>10032059</v>
      </c>
      <c r="D113" s="438">
        <v>12858109</v>
      </c>
      <c r="E113" s="437">
        <v>-1723722</v>
      </c>
      <c r="F113" s="436">
        <v>0</v>
      </c>
      <c r="G113" s="435">
        <v>0</v>
      </c>
    </row>
    <row r="114" spans="2:7">
      <c r="B114" s="440" t="s">
        <v>66</v>
      </c>
      <c r="C114" s="439">
        <v>1449196</v>
      </c>
      <c r="D114" s="438">
        <v>1862196</v>
      </c>
      <c r="E114" s="437">
        <v>-1503991</v>
      </c>
      <c r="F114" s="436">
        <v>0</v>
      </c>
      <c r="G114" s="435">
        <v>0</v>
      </c>
    </row>
    <row r="115" spans="2:7">
      <c r="B115" s="440" t="s">
        <v>67</v>
      </c>
      <c r="C115" s="439">
        <v>23435593</v>
      </c>
      <c r="D115" s="438">
        <v>30150930</v>
      </c>
      <c r="E115" s="437">
        <v>-993785</v>
      </c>
      <c r="F115" s="436">
        <v>0</v>
      </c>
      <c r="G115" s="435">
        <v>0</v>
      </c>
    </row>
    <row r="116" spans="2:7">
      <c r="B116" s="440" t="s">
        <v>68</v>
      </c>
      <c r="C116" s="439">
        <v>0</v>
      </c>
      <c r="D116" s="438">
        <v>0</v>
      </c>
      <c r="E116" s="437">
        <v>0</v>
      </c>
      <c r="F116" s="436">
        <v>0</v>
      </c>
      <c r="G116" s="435">
        <v>0</v>
      </c>
    </row>
    <row r="117" spans="2:7">
      <c r="B117" s="440" t="s">
        <v>69</v>
      </c>
      <c r="C117" s="439">
        <v>81017367</v>
      </c>
      <c r="D117" s="438">
        <v>99069804</v>
      </c>
      <c r="E117" s="437">
        <v>-13784026</v>
      </c>
      <c r="F117" s="436">
        <v>0</v>
      </c>
      <c r="G117" s="435">
        <v>0</v>
      </c>
    </row>
    <row r="118" spans="2:7">
      <c r="B118" s="440" t="s">
        <v>70</v>
      </c>
      <c r="C118" s="439">
        <v>298189710</v>
      </c>
      <c r="D118" s="438">
        <v>413241106</v>
      </c>
      <c r="E118" s="437">
        <v>-43868895</v>
      </c>
      <c r="F118" s="436">
        <v>0</v>
      </c>
      <c r="G118" s="435">
        <v>0</v>
      </c>
    </row>
    <row r="119" spans="2:7">
      <c r="B119" s="440" t="s">
        <v>71</v>
      </c>
      <c r="C119" s="439">
        <v>0</v>
      </c>
      <c r="D119" s="438">
        <v>0</v>
      </c>
      <c r="E119" s="437">
        <v>0</v>
      </c>
      <c r="F119" s="436">
        <v>0</v>
      </c>
      <c r="G119" s="435">
        <v>0</v>
      </c>
    </row>
    <row r="120" spans="2:7">
      <c r="B120" s="440" t="s">
        <v>72</v>
      </c>
      <c r="C120" s="439">
        <v>839860</v>
      </c>
      <c r="D120" s="438">
        <v>839860</v>
      </c>
      <c r="E120" s="437">
        <v>0</v>
      </c>
      <c r="F120" s="436">
        <v>0</v>
      </c>
      <c r="G120" s="435">
        <v>0</v>
      </c>
    </row>
    <row r="121" spans="2:7">
      <c r="B121" s="440" t="s">
        <v>73</v>
      </c>
      <c r="C121" s="439">
        <v>63851173</v>
      </c>
      <c r="D121" s="438">
        <v>77023261</v>
      </c>
      <c r="E121" s="437">
        <v>-10602783</v>
      </c>
      <c r="F121" s="436">
        <v>-4330570</v>
      </c>
      <c r="G121" s="435">
        <v>0</v>
      </c>
    </row>
    <row r="122" spans="2:7">
      <c r="B122" s="440" t="s">
        <v>74</v>
      </c>
      <c r="C122" s="439">
        <v>36323101</v>
      </c>
      <c r="D122" s="438">
        <v>43325445</v>
      </c>
      <c r="E122" s="437">
        <v>-7667587</v>
      </c>
      <c r="F122" s="436">
        <v>-59156</v>
      </c>
      <c r="G122" s="435">
        <v>0</v>
      </c>
    </row>
    <row r="123" spans="2:7">
      <c r="B123" s="440" t="s">
        <v>75</v>
      </c>
      <c r="C123" s="439">
        <v>102608306</v>
      </c>
      <c r="D123" s="438">
        <v>126894021</v>
      </c>
      <c r="E123" s="437">
        <v>-15399337</v>
      </c>
      <c r="F123" s="436">
        <v>-1080792</v>
      </c>
      <c r="G123" s="435">
        <v>0</v>
      </c>
    </row>
    <row r="124" spans="2:7">
      <c r="B124" s="440" t="s">
        <v>76</v>
      </c>
      <c r="C124" s="439">
        <v>102380897</v>
      </c>
      <c r="D124" s="438">
        <v>116982107</v>
      </c>
      <c r="E124" s="437">
        <v>-1931036.08</v>
      </c>
      <c r="F124" s="436">
        <v>-45537050</v>
      </c>
      <c r="G124" s="435">
        <v>0</v>
      </c>
    </row>
    <row r="125" spans="2:7">
      <c r="B125" s="440" t="s">
        <v>77</v>
      </c>
      <c r="C125" s="439">
        <v>0</v>
      </c>
      <c r="D125" s="438">
        <v>0</v>
      </c>
      <c r="E125" s="437">
        <v>0</v>
      </c>
      <c r="F125" s="436">
        <v>0</v>
      </c>
      <c r="G125" s="435">
        <v>0</v>
      </c>
    </row>
    <row r="126" spans="2:7">
      <c r="B126" s="440" t="s">
        <v>78</v>
      </c>
      <c r="C126" s="439">
        <v>0</v>
      </c>
      <c r="D126" s="438">
        <v>0</v>
      </c>
      <c r="E126" s="437">
        <v>0</v>
      </c>
      <c r="F126" s="436">
        <v>0</v>
      </c>
      <c r="G126" s="435">
        <v>0</v>
      </c>
    </row>
    <row r="127" spans="2:7">
      <c r="B127" s="440" t="s">
        <v>79</v>
      </c>
      <c r="C127" s="439">
        <v>0</v>
      </c>
      <c r="D127" s="438">
        <v>0</v>
      </c>
      <c r="E127" s="437">
        <v>0</v>
      </c>
      <c r="F127" s="436">
        <v>0</v>
      </c>
      <c r="G127" s="435">
        <v>0</v>
      </c>
    </row>
    <row r="128" spans="2:7">
      <c r="B128" s="440" t="s">
        <v>80</v>
      </c>
      <c r="C128" s="439">
        <v>0</v>
      </c>
      <c r="D128" s="438">
        <v>0</v>
      </c>
      <c r="E128" s="437">
        <v>0</v>
      </c>
      <c r="F128" s="436">
        <v>0</v>
      </c>
      <c r="G128" s="435">
        <v>0</v>
      </c>
    </row>
    <row r="129" spans="2:7">
      <c r="B129" s="440" t="s">
        <v>81</v>
      </c>
      <c r="C129" s="439">
        <v>0</v>
      </c>
      <c r="D129" s="438">
        <v>0</v>
      </c>
      <c r="E129" s="437">
        <v>0</v>
      </c>
      <c r="F129" s="436">
        <v>0</v>
      </c>
      <c r="G129" s="435">
        <v>0</v>
      </c>
    </row>
    <row r="130" spans="2:7">
      <c r="B130" s="440" t="s">
        <v>82</v>
      </c>
      <c r="C130" s="439">
        <v>56101098</v>
      </c>
      <c r="D130" s="438">
        <v>64006244</v>
      </c>
      <c r="E130" s="437">
        <v>-6519684</v>
      </c>
      <c r="F130" s="436">
        <v>0</v>
      </c>
      <c r="G130" s="435">
        <v>0</v>
      </c>
    </row>
    <row r="131" spans="2:7">
      <c r="B131" s="440" t="s">
        <v>83</v>
      </c>
      <c r="C131" s="439">
        <v>0</v>
      </c>
      <c r="D131" s="438">
        <v>0</v>
      </c>
      <c r="E131" s="437">
        <v>0</v>
      </c>
      <c r="F131" s="436">
        <v>0</v>
      </c>
      <c r="G131" s="435">
        <v>0</v>
      </c>
    </row>
    <row r="132" spans="2:7">
      <c r="B132" s="440" t="s">
        <v>84</v>
      </c>
      <c r="C132" s="439">
        <v>31064281</v>
      </c>
      <c r="D132" s="438">
        <v>45495521</v>
      </c>
      <c r="E132" s="437">
        <v>-2790270</v>
      </c>
      <c r="F132" s="436">
        <v>0</v>
      </c>
      <c r="G132" s="435">
        <v>0</v>
      </c>
    </row>
    <row r="133" spans="2:7">
      <c r="B133" s="440" t="s">
        <v>85</v>
      </c>
      <c r="C133" s="439">
        <v>0</v>
      </c>
      <c r="D133" s="438">
        <v>0</v>
      </c>
      <c r="E133" s="437">
        <v>0</v>
      </c>
      <c r="F133" s="436">
        <v>0</v>
      </c>
      <c r="G133" s="435">
        <v>0</v>
      </c>
    </row>
    <row r="134" spans="2:7">
      <c r="B134" s="440" t="s">
        <v>86</v>
      </c>
      <c r="C134" s="439">
        <v>1693230.5581563639</v>
      </c>
      <c r="D134" s="438">
        <v>1827104.742070405</v>
      </c>
      <c r="E134" s="437">
        <v>-181824</v>
      </c>
      <c r="F134" s="436">
        <v>0</v>
      </c>
      <c r="G134" s="435">
        <v>0</v>
      </c>
    </row>
    <row r="135" spans="2:7">
      <c r="B135" s="440" t="s">
        <v>87</v>
      </c>
      <c r="C135" s="439">
        <v>6432477</v>
      </c>
      <c r="D135" s="438">
        <v>7485651</v>
      </c>
      <c r="E135" s="437">
        <v>-157503</v>
      </c>
      <c r="F135" s="436">
        <v>-2846712</v>
      </c>
      <c r="G135" s="435">
        <v>0</v>
      </c>
    </row>
    <row r="136" spans="2:7">
      <c r="B136" s="440" t="s">
        <v>88</v>
      </c>
      <c r="C136" s="439">
        <v>2185448</v>
      </c>
      <c r="D136" s="438">
        <v>2798455</v>
      </c>
      <c r="E136" s="437">
        <v>-905899.2</v>
      </c>
      <c r="F136" s="436">
        <v>0</v>
      </c>
      <c r="G136" s="435">
        <v>0</v>
      </c>
    </row>
    <row r="137" spans="2:7">
      <c r="B137" s="440" t="s">
        <v>89</v>
      </c>
      <c r="C137" s="439">
        <v>0</v>
      </c>
      <c r="D137" s="438">
        <v>0</v>
      </c>
      <c r="E137" s="437">
        <v>0</v>
      </c>
      <c r="F137" s="436">
        <v>0</v>
      </c>
      <c r="G137" s="435">
        <v>0</v>
      </c>
    </row>
    <row r="138" spans="2:7">
      <c r="B138" s="440" t="s">
        <v>90</v>
      </c>
      <c r="C138" s="439">
        <v>0</v>
      </c>
      <c r="D138" s="438">
        <v>0</v>
      </c>
      <c r="E138" s="437">
        <v>0</v>
      </c>
      <c r="F138" s="436">
        <v>0</v>
      </c>
      <c r="G138" s="435">
        <v>0</v>
      </c>
    </row>
    <row r="139" spans="2:7">
      <c r="B139" s="440" t="s">
        <v>91</v>
      </c>
      <c r="C139" s="439">
        <v>0</v>
      </c>
      <c r="D139" s="438">
        <v>0</v>
      </c>
      <c r="E139" s="437">
        <v>0</v>
      </c>
      <c r="F139" s="436">
        <v>0</v>
      </c>
      <c r="G139" s="435">
        <v>0</v>
      </c>
    </row>
    <row r="140" spans="2:7">
      <c r="B140" s="440" t="s">
        <v>92</v>
      </c>
      <c r="C140" s="439">
        <v>33558586.99804116</v>
      </c>
      <c r="D140" s="438">
        <v>35893029.35716968</v>
      </c>
      <c r="E140" s="437">
        <v>2186622.9</v>
      </c>
      <c r="F140" s="436">
        <v>0</v>
      </c>
      <c r="G140" s="435">
        <v>0</v>
      </c>
    </row>
    <row r="141" spans="2:7">
      <c r="B141" s="440" t="s">
        <v>93</v>
      </c>
      <c r="C141" s="439">
        <v>126375278.9512974</v>
      </c>
      <c r="D141" s="438">
        <v>156114253.22910494</v>
      </c>
      <c r="E141" s="437">
        <v>-50087169.341800004</v>
      </c>
      <c r="F141" s="436">
        <v>0</v>
      </c>
      <c r="G141" s="435">
        <v>0</v>
      </c>
    </row>
    <row r="142" spans="2:7">
      <c r="B142" s="440" t="s">
        <v>94</v>
      </c>
      <c r="C142" s="439">
        <v>2041701.6503525148</v>
      </c>
      <c r="D142" s="438">
        <v>4459657.1500147572</v>
      </c>
      <c r="E142" s="437">
        <v>-41918.799999999996</v>
      </c>
      <c r="F142" s="436">
        <v>0</v>
      </c>
      <c r="G142" s="435">
        <v>0</v>
      </c>
    </row>
    <row r="143" spans="2:7">
      <c r="B143" s="440" t="s">
        <v>95</v>
      </c>
      <c r="C143" s="439">
        <v>0</v>
      </c>
      <c r="D143" s="438">
        <v>0</v>
      </c>
      <c r="E143" s="437">
        <v>0</v>
      </c>
      <c r="F143" s="436">
        <v>0</v>
      </c>
      <c r="G143" s="435">
        <v>0</v>
      </c>
    </row>
    <row r="144" spans="2:7">
      <c r="B144" s="440" t="s">
        <v>96</v>
      </c>
      <c r="C144" s="439">
        <v>0</v>
      </c>
      <c r="D144" s="438">
        <v>0</v>
      </c>
      <c r="E144" s="437">
        <v>0</v>
      </c>
      <c r="F144" s="436">
        <v>0</v>
      </c>
      <c r="G144" s="435">
        <v>0</v>
      </c>
    </row>
    <row r="145" spans="2:7">
      <c r="B145" s="440" t="s">
        <v>97</v>
      </c>
      <c r="C145" s="439">
        <v>0</v>
      </c>
      <c r="D145" s="438">
        <v>0</v>
      </c>
      <c r="E145" s="437">
        <v>0</v>
      </c>
      <c r="F145" s="436">
        <v>0</v>
      </c>
      <c r="G145" s="435">
        <v>0</v>
      </c>
    </row>
    <row r="146" spans="2:7">
      <c r="B146" s="440" t="s">
        <v>98</v>
      </c>
      <c r="C146" s="439">
        <v>98001</v>
      </c>
      <c r="D146" s="438">
        <v>98001</v>
      </c>
      <c r="E146" s="437">
        <v>0</v>
      </c>
      <c r="F146" s="436">
        <v>0</v>
      </c>
      <c r="G146" s="435">
        <v>0</v>
      </c>
    </row>
    <row r="147" spans="2:7">
      <c r="B147" s="440" t="s">
        <v>99</v>
      </c>
      <c r="C147" s="439">
        <v>79914820</v>
      </c>
      <c r="D147" s="438">
        <v>107775160</v>
      </c>
      <c r="E147" s="437">
        <v>-17333339</v>
      </c>
      <c r="F147" s="436">
        <v>0</v>
      </c>
      <c r="G147" s="435">
        <v>0</v>
      </c>
    </row>
    <row r="148" spans="2:7">
      <c r="B148" s="440" t="s">
        <v>100</v>
      </c>
      <c r="C148" s="439">
        <v>9173853</v>
      </c>
      <c r="D148" s="438">
        <v>10825849</v>
      </c>
      <c r="E148" s="437">
        <v>0</v>
      </c>
      <c r="F148" s="436">
        <v>0</v>
      </c>
      <c r="G148" s="435">
        <v>0</v>
      </c>
    </row>
    <row r="149" spans="2:7">
      <c r="B149" s="440" t="s">
        <v>101</v>
      </c>
      <c r="C149" s="439">
        <v>5002797</v>
      </c>
      <c r="D149" s="438">
        <v>5117317</v>
      </c>
      <c r="E149" s="437">
        <v>1042604</v>
      </c>
      <c r="F149" s="436">
        <v>0</v>
      </c>
      <c r="G149" s="435">
        <v>0</v>
      </c>
    </row>
    <row r="150" spans="2:7">
      <c r="B150" s="440" t="s">
        <v>102</v>
      </c>
      <c r="C150" s="439">
        <v>237105</v>
      </c>
      <c r="D150" s="438">
        <v>453647</v>
      </c>
      <c r="E150" s="437">
        <v>0</v>
      </c>
      <c r="F150" s="436">
        <v>0</v>
      </c>
      <c r="G150" s="435">
        <v>0</v>
      </c>
    </row>
    <row r="151" spans="2:7">
      <c r="B151" s="440" t="s">
        <v>103</v>
      </c>
      <c r="C151" s="439">
        <v>1862737</v>
      </c>
      <c r="D151" s="438">
        <v>2615673</v>
      </c>
      <c r="E151" s="437">
        <v>0</v>
      </c>
      <c r="F151" s="436">
        <v>0</v>
      </c>
      <c r="G151" s="435">
        <v>0</v>
      </c>
    </row>
    <row r="152" spans="2:7">
      <c r="B152" s="440" t="s">
        <v>104</v>
      </c>
      <c r="C152" s="439">
        <v>93269</v>
      </c>
      <c r="D152" s="438">
        <v>93269</v>
      </c>
      <c r="E152" s="437">
        <v>0</v>
      </c>
      <c r="F152" s="436">
        <v>0</v>
      </c>
      <c r="G152" s="435">
        <v>0</v>
      </c>
    </row>
    <row r="153" spans="2:7">
      <c r="B153" s="440" t="s">
        <v>105</v>
      </c>
      <c r="C153" s="439">
        <v>0</v>
      </c>
      <c r="D153" s="438">
        <v>0</v>
      </c>
      <c r="E153" s="437">
        <v>0</v>
      </c>
      <c r="F153" s="436">
        <v>0</v>
      </c>
      <c r="G153" s="435">
        <v>0</v>
      </c>
    </row>
    <row r="154" spans="2:7">
      <c r="B154" s="440" t="s">
        <v>106</v>
      </c>
      <c r="C154" s="439">
        <v>0</v>
      </c>
      <c r="D154" s="438">
        <v>0</v>
      </c>
      <c r="E154" s="437">
        <v>0</v>
      </c>
      <c r="F154" s="436">
        <v>0</v>
      </c>
      <c r="G154" s="435">
        <v>0</v>
      </c>
    </row>
    <row r="155" spans="2:7">
      <c r="B155" s="440" t="s">
        <v>107</v>
      </c>
      <c r="C155" s="439">
        <v>0</v>
      </c>
      <c r="D155" s="438">
        <v>0</v>
      </c>
      <c r="E155" s="437">
        <v>0</v>
      </c>
      <c r="F155" s="436">
        <v>0</v>
      </c>
      <c r="G155" s="435">
        <v>0</v>
      </c>
    </row>
    <row r="156" spans="2:7">
      <c r="B156" s="440" t="s">
        <v>108</v>
      </c>
      <c r="C156" s="439">
        <v>0</v>
      </c>
      <c r="D156" s="438">
        <v>0</v>
      </c>
      <c r="E156" s="437">
        <v>0</v>
      </c>
      <c r="F156" s="436">
        <v>0</v>
      </c>
      <c r="G156" s="435">
        <v>0</v>
      </c>
    </row>
    <row r="157" spans="2:7">
      <c r="B157" s="440" t="s">
        <v>109</v>
      </c>
      <c r="C157" s="439">
        <v>174585997</v>
      </c>
      <c r="D157" s="438">
        <v>230765952</v>
      </c>
      <c r="E157" s="437">
        <v>-27498477</v>
      </c>
      <c r="F157" s="436">
        <v>-19270106</v>
      </c>
      <c r="G157" s="435">
        <v>0</v>
      </c>
    </row>
    <row r="158" spans="2:7">
      <c r="B158" s="440" t="s">
        <v>110</v>
      </c>
      <c r="C158" s="439">
        <v>0</v>
      </c>
      <c r="D158" s="438">
        <v>0</v>
      </c>
      <c r="E158" s="437">
        <v>0</v>
      </c>
      <c r="F158" s="436">
        <v>0</v>
      </c>
      <c r="G158" s="435">
        <v>0</v>
      </c>
    </row>
    <row r="159" spans="2:7">
      <c r="B159" s="440" t="s">
        <v>111</v>
      </c>
      <c r="C159" s="439">
        <v>13353757.176250346</v>
      </c>
      <c r="D159" s="438">
        <v>17717793.9859103</v>
      </c>
      <c r="E159" s="437">
        <v>-1815891</v>
      </c>
      <c r="F159" s="436">
        <v>0</v>
      </c>
      <c r="G159" s="435">
        <v>0</v>
      </c>
    </row>
    <row r="160" spans="2:7">
      <c r="B160" s="440" t="s">
        <v>112</v>
      </c>
      <c r="C160" s="439">
        <v>57124659</v>
      </c>
      <c r="D160" s="438">
        <v>71788285</v>
      </c>
      <c r="E160" s="437">
        <v>-2333932</v>
      </c>
      <c r="F160" s="436">
        <v>-15052315</v>
      </c>
      <c r="G160" s="435">
        <v>0</v>
      </c>
    </row>
    <row r="161" spans="2:7">
      <c r="B161" s="440" t="s">
        <v>113</v>
      </c>
      <c r="C161" s="439">
        <v>17595013</v>
      </c>
      <c r="D161" s="438">
        <v>21162168</v>
      </c>
      <c r="E161" s="437">
        <v>-1868800</v>
      </c>
      <c r="F161" s="436">
        <v>0</v>
      </c>
      <c r="G161" s="435">
        <v>0</v>
      </c>
    </row>
    <row r="162" spans="2:7">
      <c r="B162" s="440" t="s">
        <v>114</v>
      </c>
      <c r="C162" s="439">
        <v>6562986</v>
      </c>
      <c r="D162" s="438">
        <v>6562986</v>
      </c>
      <c r="E162" s="437">
        <v>1158995.3999999999</v>
      </c>
      <c r="F162" s="436">
        <v>0</v>
      </c>
      <c r="G162" s="435">
        <v>0</v>
      </c>
    </row>
    <row r="163" spans="2:7">
      <c r="B163" s="440" t="s">
        <v>115</v>
      </c>
      <c r="C163" s="439">
        <v>132115046.11049739</v>
      </c>
      <c r="D163" s="438">
        <v>159788566.19650292</v>
      </c>
      <c r="E163" s="437">
        <v>-31252650.432500001</v>
      </c>
      <c r="F163" s="436">
        <v>0</v>
      </c>
      <c r="G163" s="435">
        <v>0</v>
      </c>
    </row>
    <row r="164" spans="2:7">
      <c r="B164" s="440" t="s">
        <v>116</v>
      </c>
      <c r="C164" s="439">
        <v>0</v>
      </c>
      <c r="D164" s="438">
        <v>0</v>
      </c>
      <c r="E164" s="437">
        <v>0</v>
      </c>
      <c r="F164" s="436">
        <v>0</v>
      </c>
      <c r="G164" s="435">
        <v>0</v>
      </c>
    </row>
    <row r="165" spans="2:7">
      <c r="B165" s="440" t="s">
        <v>117</v>
      </c>
      <c r="C165" s="439">
        <v>0</v>
      </c>
      <c r="D165" s="438">
        <v>0</v>
      </c>
      <c r="E165" s="437">
        <v>0</v>
      </c>
      <c r="F165" s="436">
        <v>0</v>
      </c>
      <c r="G165" s="435">
        <v>0</v>
      </c>
    </row>
    <row r="166" spans="2:7">
      <c r="B166" s="440" t="s">
        <v>118</v>
      </c>
      <c r="C166" s="439">
        <v>7224228</v>
      </c>
      <c r="D166" s="438">
        <v>9394203</v>
      </c>
      <c r="E166" s="437">
        <v>-220049</v>
      </c>
      <c r="F166" s="436">
        <v>0</v>
      </c>
      <c r="G166" s="435">
        <v>0</v>
      </c>
    </row>
    <row r="167" spans="2:7">
      <c r="B167" s="440" t="s">
        <v>119</v>
      </c>
      <c r="C167" s="439">
        <v>13341034</v>
      </c>
      <c r="D167" s="438">
        <v>13341034</v>
      </c>
      <c r="E167" s="437">
        <v>1089064</v>
      </c>
      <c r="F167" s="436">
        <v>0</v>
      </c>
      <c r="G167" s="435">
        <v>0</v>
      </c>
    </row>
    <row r="168" spans="2:7">
      <c r="B168" s="440" t="s">
        <v>120</v>
      </c>
      <c r="C168" s="439">
        <v>64074</v>
      </c>
      <c r="D168" s="438">
        <v>64074</v>
      </c>
      <c r="E168" s="437">
        <v>0</v>
      </c>
      <c r="F168" s="436">
        <v>0</v>
      </c>
      <c r="G168" s="435">
        <v>0</v>
      </c>
    </row>
    <row r="169" spans="2:7">
      <c r="B169" s="440" t="s">
        <v>121</v>
      </c>
      <c r="C169" s="439">
        <v>161278264</v>
      </c>
      <c r="D169" s="438">
        <v>181440290</v>
      </c>
      <c r="E169" s="437">
        <v>-32634683</v>
      </c>
      <c r="F169" s="436">
        <v>-11270140</v>
      </c>
      <c r="G169" s="435">
        <v>0</v>
      </c>
    </row>
    <row r="170" spans="2:7" ht="14" thickBot="1">
      <c r="B170" s="455" t="s">
        <v>122</v>
      </c>
      <c r="C170" s="433">
        <v>0</v>
      </c>
      <c r="D170" s="432">
        <v>0</v>
      </c>
      <c r="E170" s="431">
        <v>0</v>
      </c>
      <c r="F170" s="430">
        <v>0</v>
      </c>
      <c r="G170" s="429">
        <v>0</v>
      </c>
    </row>
    <row r="173" spans="2:7">
      <c r="B173" s="12" t="s">
        <v>156</v>
      </c>
    </row>
    <row r="174" spans="2:7" ht="14" thickBot="1"/>
    <row r="175" spans="2:7" ht="14" thickBot="1">
      <c r="B175" s="553" t="s">
        <v>51</v>
      </c>
      <c r="C175" s="555" t="s">
        <v>123</v>
      </c>
      <c r="D175" s="556"/>
      <c r="E175" s="556"/>
      <c r="F175" s="556"/>
      <c r="G175" s="557"/>
    </row>
    <row r="176" spans="2:7" ht="54.5" thickBot="1">
      <c r="B176" s="554"/>
      <c r="C176" s="452" t="s">
        <v>124</v>
      </c>
      <c r="D176" s="452" t="s">
        <v>125</v>
      </c>
      <c r="E176" s="451" t="s">
        <v>126</v>
      </c>
      <c r="F176" s="450" t="s">
        <v>127</v>
      </c>
      <c r="G176" s="449" t="s">
        <v>128</v>
      </c>
    </row>
    <row r="177" spans="2:7">
      <c r="B177" s="446" t="s">
        <v>53</v>
      </c>
      <c r="C177" s="445">
        <v>326933017</v>
      </c>
      <c r="D177" s="444">
        <v>394952021</v>
      </c>
      <c r="E177" s="443">
        <v>-112773278</v>
      </c>
      <c r="F177" s="442">
        <v>0</v>
      </c>
      <c r="G177" s="453">
        <v>0</v>
      </c>
    </row>
    <row r="178" spans="2:7">
      <c r="B178" s="440" t="s">
        <v>63</v>
      </c>
      <c r="C178" s="439">
        <v>340879</v>
      </c>
      <c r="D178" s="438">
        <v>365671</v>
      </c>
      <c r="E178" s="437">
        <v>-69973</v>
      </c>
      <c r="F178" s="436">
        <v>0</v>
      </c>
      <c r="G178" s="454">
        <v>0</v>
      </c>
    </row>
    <row r="179" spans="2:7">
      <c r="B179" s="440" t="s">
        <v>64</v>
      </c>
      <c r="C179" s="439">
        <v>4715029</v>
      </c>
      <c r="D179" s="438">
        <v>4957914</v>
      </c>
      <c r="E179" s="437">
        <v>-2492386</v>
      </c>
      <c r="F179" s="436">
        <v>0</v>
      </c>
      <c r="G179" s="454">
        <v>0</v>
      </c>
    </row>
    <row r="180" spans="2:7">
      <c r="B180" s="440" t="s">
        <v>65</v>
      </c>
      <c r="C180" s="439">
        <v>3796813</v>
      </c>
      <c r="D180" s="438">
        <v>5552705</v>
      </c>
      <c r="E180" s="437">
        <v>-1380620</v>
      </c>
      <c r="F180" s="436">
        <v>0</v>
      </c>
      <c r="G180" s="454">
        <v>0</v>
      </c>
    </row>
    <row r="181" spans="2:7">
      <c r="B181" s="440" t="s">
        <v>66</v>
      </c>
      <c r="C181" s="439">
        <v>246374</v>
      </c>
      <c r="D181" s="438">
        <v>337912</v>
      </c>
      <c r="E181" s="437">
        <v>-186943</v>
      </c>
      <c r="F181" s="436">
        <v>0</v>
      </c>
      <c r="G181" s="454">
        <v>0</v>
      </c>
    </row>
    <row r="182" spans="2:7">
      <c r="B182" s="440" t="s">
        <v>67</v>
      </c>
      <c r="C182" s="439">
        <v>21548530</v>
      </c>
      <c r="D182" s="438">
        <v>24380146</v>
      </c>
      <c r="E182" s="437">
        <v>-4066734</v>
      </c>
      <c r="F182" s="436">
        <v>0</v>
      </c>
      <c r="G182" s="454">
        <v>0</v>
      </c>
    </row>
    <row r="183" spans="2:7">
      <c r="B183" s="440" t="s">
        <v>68</v>
      </c>
      <c r="C183" s="439">
        <v>0</v>
      </c>
      <c r="D183" s="438">
        <v>0</v>
      </c>
      <c r="E183" s="437">
        <v>0</v>
      </c>
      <c r="F183" s="436">
        <v>0</v>
      </c>
      <c r="G183" s="454">
        <v>0</v>
      </c>
    </row>
    <row r="184" spans="2:7">
      <c r="B184" s="440" t="s">
        <v>69</v>
      </c>
      <c r="C184" s="439">
        <v>24372029</v>
      </c>
      <c r="D184" s="438">
        <v>32940176</v>
      </c>
      <c r="E184" s="437">
        <v>-7949300</v>
      </c>
      <c r="F184" s="436">
        <v>0</v>
      </c>
      <c r="G184" s="454">
        <v>0</v>
      </c>
    </row>
    <row r="185" spans="2:7">
      <c r="B185" s="440" t="s">
        <v>70</v>
      </c>
      <c r="C185" s="439">
        <v>310198634</v>
      </c>
      <c r="D185" s="438">
        <v>373175027</v>
      </c>
      <c r="E185" s="437">
        <v>-57860637</v>
      </c>
      <c r="F185" s="436">
        <v>0</v>
      </c>
      <c r="G185" s="454">
        <v>0</v>
      </c>
    </row>
    <row r="186" spans="2:7">
      <c r="B186" s="440" t="s">
        <v>71</v>
      </c>
      <c r="C186" s="439">
        <v>332036124</v>
      </c>
      <c r="D186" s="438">
        <v>412505605</v>
      </c>
      <c r="E186" s="437">
        <v>-67138375</v>
      </c>
      <c r="F186" s="436">
        <v>0</v>
      </c>
      <c r="G186" s="454">
        <v>0</v>
      </c>
    </row>
    <row r="187" spans="2:7">
      <c r="B187" s="440" t="s">
        <v>72</v>
      </c>
      <c r="C187" s="439">
        <v>0</v>
      </c>
      <c r="D187" s="438">
        <v>0</v>
      </c>
      <c r="E187" s="437">
        <v>0</v>
      </c>
      <c r="F187" s="436">
        <v>0</v>
      </c>
      <c r="G187" s="454">
        <v>0</v>
      </c>
    </row>
    <row r="188" spans="2:7">
      <c r="B188" s="440" t="s">
        <v>73</v>
      </c>
      <c r="C188" s="439">
        <v>46629842</v>
      </c>
      <c r="D188" s="438">
        <v>63615487</v>
      </c>
      <c r="E188" s="437">
        <v>-2393123</v>
      </c>
      <c r="F188" s="436">
        <v>0</v>
      </c>
      <c r="G188" s="454">
        <v>0</v>
      </c>
    </row>
    <row r="189" spans="2:7">
      <c r="B189" s="440" t="s">
        <v>74</v>
      </c>
      <c r="C189" s="439">
        <v>11322774</v>
      </c>
      <c r="D189" s="438">
        <v>15078313</v>
      </c>
      <c r="E189" s="437">
        <v>-6711772</v>
      </c>
      <c r="F189" s="436">
        <v>0</v>
      </c>
      <c r="G189" s="454">
        <v>0</v>
      </c>
    </row>
    <row r="190" spans="2:7">
      <c r="B190" s="440" t="s">
        <v>75</v>
      </c>
      <c r="C190" s="439">
        <v>11000443</v>
      </c>
      <c r="D190" s="438">
        <v>15752454</v>
      </c>
      <c r="E190" s="437">
        <v>-8638723</v>
      </c>
      <c r="F190" s="436">
        <v>0</v>
      </c>
      <c r="G190" s="454">
        <v>0</v>
      </c>
    </row>
    <row r="191" spans="2:7">
      <c r="B191" s="440" t="s">
        <v>76</v>
      </c>
      <c r="C191" s="439">
        <v>7563452</v>
      </c>
      <c r="D191" s="438">
        <v>9216251</v>
      </c>
      <c r="E191" s="437">
        <v>-343238</v>
      </c>
      <c r="F191" s="436">
        <v>0</v>
      </c>
      <c r="G191" s="454">
        <v>0</v>
      </c>
    </row>
    <row r="192" spans="2:7">
      <c r="B192" s="440" t="s">
        <v>77</v>
      </c>
      <c r="C192" s="439">
        <v>0</v>
      </c>
      <c r="D192" s="438">
        <v>0</v>
      </c>
      <c r="E192" s="437">
        <v>0</v>
      </c>
      <c r="F192" s="436">
        <v>0</v>
      </c>
      <c r="G192" s="454">
        <v>0</v>
      </c>
    </row>
    <row r="193" spans="2:7">
      <c r="B193" s="440" t="s">
        <v>78</v>
      </c>
      <c r="C193" s="439">
        <v>14753797</v>
      </c>
      <c r="D193" s="438">
        <v>21560462</v>
      </c>
      <c r="E193" s="437">
        <v>-9824867</v>
      </c>
      <c r="F193" s="436">
        <v>0</v>
      </c>
      <c r="G193" s="454">
        <v>0</v>
      </c>
    </row>
    <row r="194" spans="2:7">
      <c r="B194" s="440" t="s">
        <v>79</v>
      </c>
      <c r="C194" s="439">
        <v>2814898</v>
      </c>
      <c r="D194" s="438">
        <v>3360000</v>
      </c>
      <c r="E194" s="437">
        <v>-1268520</v>
      </c>
      <c r="F194" s="436">
        <v>0</v>
      </c>
      <c r="G194" s="454">
        <v>0</v>
      </c>
    </row>
    <row r="195" spans="2:7">
      <c r="B195" s="440" t="s">
        <v>80</v>
      </c>
      <c r="C195" s="439">
        <v>580276</v>
      </c>
      <c r="D195" s="438">
        <v>727466</v>
      </c>
      <c r="E195" s="437">
        <v>-633925</v>
      </c>
      <c r="F195" s="436">
        <v>0</v>
      </c>
      <c r="G195" s="454">
        <v>0</v>
      </c>
    </row>
    <row r="196" spans="2:7">
      <c r="B196" s="440" t="s">
        <v>81</v>
      </c>
      <c r="C196" s="439">
        <v>1742685</v>
      </c>
      <c r="D196" s="438">
        <v>2231093</v>
      </c>
      <c r="E196" s="437">
        <v>-59818</v>
      </c>
      <c r="F196" s="436">
        <v>0</v>
      </c>
      <c r="G196" s="454">
        <v>0</v>
      </c>
    </row>
    <row r="197" spans="2:7">
      <c r="B197" s="440" t="s">
        <v>82</v>
      </c>
      <c r="C197" s="439">
        <v>20476199</v>
      </c>
      <c r="D197" s="438">
        <v>25510588</v>
      </c>
      <c r="E197" s="437">
        <v>-6390210</v>
      </c>
      <c r="F197" s="436">
        <v>0</v>
      </c>
      <c r="G197" s="454">
        <v>0</v>
      </c>
    </row>
    <row r="198" spans="2:7">
      <c r="B198" s="440" t="s">
        <v>83</v>
      </c>
      <c r="C198" s="439">
        <v>3451344</v>
      </c>
      <c r="D198" s="438">
        <v>4358320</v>
      </c>
      <c r="E198" s="437">
        <v>-1129679</v>
      </c>
      <c r="F198" s="436">
        <v>0</v>
      </c>
      <c r="G198" s="454">
        <v>0</v>
      </c>
    </row>
    <row r="199" spans="2:7">
      <c r="B199" s="440" t="s">
        <v>84</v>
      </c>
      <c r="C199" s="439">
        <v>10863612</v>
      </c>
      <c r="D199" s="438">
        <v>14230191</v>
      </c>
      <c r="E199" s="437">
        <v>-5371498</v>
      </c>
      <c r="F199" s="436">
        <v>0</v>
      </c>
      <c r="G199" s="454">
        <v>0</v>
      </c>
    </row>
    <row r="200" spans="2:7">
      <c r="B200" s="440" t="s">
        <v>85</v>
      </c>
      <c r="C200" s="439">
        <v>24275630</v>
      </c>
      <c r="D200" s="438">
        <v>34015053</v>
      </c>
      <c r="E200" s="437">
        <v>-12884162</v>
      </c>
      <c r="F200" s="436">
        <v>0</v>
      </c>
      <c r="G200" s="454">
        <v>0</v>
      </c>
    </row>
    <row r="201" spans="2:7">
      <c r="B201" s="440" t="s">
        <v>86</v>
      </c>
      <c r="C201" s="439">
        <v>0</v>
      </c>
      <c r="D201" s="438">
        <v>0</v>
      </c>
      <c r="E201" s="437">
        <v>0</v>
      </c>
      <c r="F201" s="436">
        <v>0</v>
      </c>
      <c r="G201" s="454">
        <v>0</v>
      </c>
    </row>
    <row r="202" spans="2:7">
      <c r="B202" s="440" t="s">
        <v>87</v>
      </c>
      <c r="C202" s="439">
        <v>0</v>
      </c>
      <c r="D202" s="438">
        <v>0</v>
      </c>
      <c r="E202" s="437">
        <v>0</v>
      </c>
      <c r="F202" s="436">
        <v>0</v>
      </c>
      <c r="G202" s="454">
        <v>0</v>
      </c>
    </row>
    <row r="203" spans="2:7">
      <c r="B203" s="440" t="s">
        <v>88</v>
      </c>
      <c r="C203" s="439">
        <v>0</v>
      </c>
      <c r="D203" s="438">
        <v>0</v>
      </c>
      <c r="E203" s="437">
        <v>0</v>
      </c>
      <c r="F203" s="436">
        <v>0</v>
      </c>
      <c r="G203" s="454">
        <v>0</v>
      </c>
    </row>
    <row r="204" spans="2:7">
      <c r="B204" s="440" t="s">
        <v>89</v>
      </c>
      <c r="C204" s="439">
        <v>3407232.4789999998</v>
      </c>
      <c r="D204" s="438">
        <v>5873423.8709999993</v>
      </c>
      <c r="E204" s="437">
        <v>-605153.6</v>
      </c>
      <c r="F204" s="436">
        <v>0</v>
      </c>
      <c r="G204" s="454">
        <v>0</v>
      </c>
    </row>
    <row r="205" spans="2:7">
      <c r="B205" s="440" t="s">
        <v>90</v>
      </c>
      <c r="C205" s="439">
        <v>23409419</v>
      </c>
      <c r="D205" s="438">
        <v>27718942</v>
      </c>
      <c r="E205" s="437">
        <v>0</v>
      </c>
      <c r="F205" s="436">
        <v>-2493084</v>
      </c>
      <c r="G205" s="454">
        <v>0</v>
      </c>
    </row>
    <row r="206" spans="2:7">
      <c r="B206" s="440" t="s">
        <v>91</v>
      </c>
      <c r="C206" s="439">
        <v>2984933</v>
      </c>
      <c r="D206" s="438">
        <v>3332623</v>
      </c>
      <c r="E206" s="437">
        <v>-1805056</v>
      </c>
      <c r="F206" s="436">
        <v>0</v>
      </c>
      <c r="G206" s="454">
        <v>0</v>
      </c>
    </row>
    <row r="207" spans="2:7">
      <c r="B207" s="440" t="s">
        <v>92</v>
      </c>
      <c r="C207" s="439">
        <v>6328071.2680000002</v>
      </c>
      <c r="D207" s="438">
        <v>6785730.8920000019</v>
      </c>
      <c r="E207" s="437">
        <v>223940.60699999999</v>
      </c>
      <c r="F207" s="436">
        <v>0</v>
      </c>
      <c r="G207" s="454">
        <v>0</v>
      </c>
    </row>
    <row r="208" spans="2:7">
      <c r="B208" s="440" t="s">
        <v>93</v>
      </c>
      <c r="C208" s="439">
        <v>40437882.110999994</v>
      </c>
      <c r="D208" s="438">
        <v>53021502.618499994</v>
      </c>
      <c r="E208" s="437">
        <v>-8866332.6699999981</v>
      </c>
      <c r="F208" s="436">
        <v>0</v>
      </c>
      <c r="G208" s="454">
        <v>0</v>
      </c>
    </row>
    <row r="209" spans="2:7">
      <c r="B209" s="440" t="s">
        <v>94</v>
      </c>
      <c r="C209" s="439">
        <v>3325891.345435414</v>
      </c>
      <c r="D209" s="438">
        <v>5537844.8278354146</v>
      </c>
      <c r="E209" s="437">
        <v>-943383.07600000047</v>
      </c>
      <c r="F209" s="436">
        <v>0</v>
      </c>
      <c r="G209" s="454">
        <v>0</v>
      </c>
    </row>
    <row r="210" spans="2:7">
      <c r="B210" s="440" t="s">
        <v>95</v>
      </c>
      <c r="C210" s="439">
        <v>7011707.9890000019</v>
      </c>
      <c r="D210" s="438">
        <v>7186804.1030000011</v>
      </c>
      <c r="E210" s="437">
        <v>258140.42800000001</v>
      </c>
      <c r="F210" s="436">
        <v>0</v>
      </c>
      <c r="G210" s="454">
        <v>0</v>
      </c>
    </row>
    <row r="211" spans="2:7">
      <c r="B211" s="440" t="s">
        <v>96</v>
      </c>
      <c r="C211" s="439">
        <v>99492247.440758198</v>
      </c>
      <c r="D211" s="438">
        <v>125848168.0515582</v>
      </c>
      <c r="E211" s="437">
        <v>-17701458.682999998</v>
      </c>
      <c r="F211" s="436">
        <v>0</v>
      </c>
      <c r="G211" s="454">
        <v>0</v>
      </c>
    </row>
    <row r="212" spans="2:7">
      <c r="B212" s="440" t="s">
        <v>97</v>
      </c>
      <c r="C212" s="439">
        <v>0</v>
      </c>
      <c r="D212" s="438">
        <v>0</v>
      </c>
      <c r="E212" s="437">
        <v>0</v>
      </c>
      <c r="F212" s="436">
        <v>0</v>
      </c>
      <c r="G212" s="454">
        <v>0</v>
      </c>
    </row>
    <row r="213" spans="2:7">
      <c r="B213" s="440" t="s">
        <v>98</v>
      </c>
      <c r="C213" s="439">
        <v>0</v>
      </c>
      <c r="D213" s="438">
        <v>0</v>
      </c>
      <c r="E213" s="437">
        <v>0</v>
      </c>
      <c r="F213" s="436">
        <v>0</v>
      </c>
      <c r="G213" s="454">
        <v>0</v>
      </c>
    </row>
    <row r="214" spans="2:7">
      <c r="B214" s="440" t="s">
        <v>99</v>
      </c>
      <c r="C214" s="439">
        <v>0</v>
      </c>
      <c r="D214" s="438">
        <v>0</v>
      </c>
      <c r="E214" s="437">
        <v>0</v>
      </c>
      <c r="F214" s="436">
        <v>0</v>
      </c>
      <c r="G214" s="454">
        <v>0</v>
      </c>
    </row>
    <row r="215" spans="2:7">
      <c r="B215" s="440" t="s">
        <v>100</v>
      </c>
      <c r="C215" s="439">
        <v>11670383</v>
      </c>
      <c r="D215" s="438">
        <v>17099591</v>
      </c>
      <c r="E215" s="437">
        <v>0</v>
      </c>
      <c r="F215" s="436">
        <v>0</v>
      </c>
      <c r="G215" s="454">
        <v>0</v>
      </c>
    </row>
    <row r="216" spans="2:7">
      <c r="B216" s="440" t="s">
        <v>101</v>
      </c>
      <c r="C216" s="439">
        <v>2797114</v>
      </c>
      <c r="D216" s="438">
        <v>3749185</v>
      </c>
      <c r="E216" s="437">
        <v>0</v>
      </c>
      <c r="F216" s="436">
        <v>0</v>
      </c>
      <c r="G216" s="454">
        <v>0</v>
      </c>
    </row>
    <row r="217" spans="2:7">
      <c r="B217" s="440" t="s">
        <v>102</v>
      </c>
      <c r="C217" s="439">
        <v>0</v>
      </c>
      <c r="D217" s="438">
        <v>0</v>
      </c>
      <c r="E217" s="437">
        <v>0</v>
      </c>
      <c r="F217" s="436">
        <v>0</v>
      </c>
      <c r="G217" s="454">
        <v>0</v>
      </c>
    </row>
    <row r="218" spans="2:7">
      <c r="B218" s="440" t="s">
        <v>103</v>
      </c>
      <c r="C218" s="439">
        <v>806382</v>
      </c>
      <c r="D218" s="438">
        <v>1058244</v>
      </c>
      <c r="E218" s="437">
        <v>0</v>
      </c>
      <c r="F218" s="436">
        <v>0</v>
      </c>
      <c r="G218" s="454">
        <v>0</v>
      </c>
    </row>
    <row r="219" spans="2:7">
      <c r="B219" s="440" t="s">
        <v>104</v>
      </c>
      <c r="C219" s="439">
        <v>0</v>
      </c>
      <c r="D219" s="438">
        <v>0</v>
      </c>
      <c r="E219" s="437">
        <v>0</v>
      </c>
      <c r="F219" s="436">
        <v>0</v>
      </c>
      <c r="G219" s="454">
        <v>0</v>
      </c>
    </row>
    <row r="220" spans="2:7">
      <c r="B220" s="440" t="s">
        <v>105</v>
      </c>
      <c r="C220" s="439">
        <v>152724</v>
      </c>
      <c r="D220" s="438">
        <v>152724</v>
      </c>
      <c r="E220" s="437">
        <v>0</v>
      </c>
      <c r="F220" s="436">
        <v>0</v>
      </c>
      <c r="G220" s="454">
        <v>0</v>
      </c>
    </row>
    <row r="221" spans="2:7">
      <c r="B221" s="440" t="s">
        <v>106</v>
      </c>
      <c r="C221" s="439">
        <v>60592718</v>
      </c>
      <c r="D221" s="438">
        <v>73951689</v>
      </c>
      <c r="E221" s="437">
        <v>-15636795</v>
      </c>
      <c r="F221" s="436">
        <v>0</v>
      </c>
      <c r="G221" s="454">
        <v>0</v>
      </c>
    </row>
    <row r="222" spans="2:7">
      <c r="B222" s="440" t="s">
        <v>107</v>
      </c>
      <c r="C222" s="439">
        <v>1746155</v>
      </c>
      <c r="D222" s="438">
        <v>1746155</v>
      </c>
      <c r="E222" s="437">
        <v>0</v>
      </c>
      <c r="F222" s="436">
        <v>0</v>
      </c>
      <c r="G222" s="454">
        <v>0</v>
      </c>
    </row>
    <row r="223" spans="2:7">
      <c r="B223" s="440" t="s">
        <v>108</v>
      </c>
      <c r="C223" s="439">
        <v>0</v>
      </c>
      <c r="D223" s="438">
        <v>0</v>
      </c>
      <c r="E223" s="437">
        <v>0</v>
      </c>
      <c r="F223" s="436">
        <v>0</v>
      </c>
      <c r="G223" s="454">
        <v>0</v>
      </c>
    </row>
    <row r="224" spans="2:7">
      <c r="B224" s="440" t="s">
        <v>109</v>
      </c>
      <c r="C224" s="439">
        <v>25157293</v>
      </c>
      <c r="D224" s="438">
        <v>41113179</v>
      </c>
      <c r="E224" s="437">
        <v>-1407142</v>
      </c>
      <c r="F224" s="436">
        <v>-5470717</v>
      </c>
      <c r="G224" s="454">
        <v>0</v>
      </c>
    </row>
    <row r="225" spans="2:7">
      <c r="B225" s="440" t="s">
        <v>110</v>
      </c>
      <c r="C225" s="439">
        <v>58067857</v>
      </c>
      <c r="D225" s="438">
        <v>83187202</v>
      </c>
      <c r="E225" s="437">
        <v>-4828648</v>
      </c>
      <c r="F225" s="436">
        <v>-4721229</v>
      </c>
      <c r="G225" s="454">
        <v>0</v>
      </c>
    </row>
    <row r="226" spans="2:7">
      <c r="B226" s="440" t="s">
        <v>111</v>
      </c>
      <c r="C226" s="439">
        <v>3581938.1750000007</v>
      </c>
      <c r="D226" s="438">
        <v>6251221.9319999991</v>
      </c>
      <c r="E226" s="437">
        <v>0</v>
      </c>
      <c r="F226" s="436">
        <v>0</v>
      </c>
      <c r="G226" s="454">
        <v>0</v>
      </c>
    </row>
    <row r="227" spans="2:7">
      <c r="B227" s="440" t="s">
        <v>112</v>
      </c>
      <c r="C227" s="439">
        <v>19969835</v>
      </c>
      <c r="D227" s="438">
        <v>23193385</v>
      </c>
      <c r="E227" s="437">
        <v>0</v>
      </c>
      <c r="F227" s="436">
        <v>-3518254</v>
      </c>
      <c r="G227" s="454">
        <v>0</v>
      </c>
    </row>
    <row r="228" spans="2:7">
      <c r="B228" s="440" t="s">
        <v>113</v>
      </c>
      <c r="C228" s="439">
        <v>2913369</v>
      </c>
      <c r="D228" s="438">
        <v>3212571</v>
      </c>
      <c r="E228" s="437">
        <v>-671714</v>
      </c>
      <c r="F228" s="436">
        <v>0</v>
      </c>
      <c r="G228" s="454">
        <v>0</v>
      </c>
    </row>
    <row r="229" spans="2:7">
      <c r="B229" s="440" t="s">
        <v>114</v>
      </c>
      <c r="C229" s="439">
        <v>3109412.4380000001</v>
      </c>
      <c r="D229" s="438">
        <v>3109412.4380000001</v>
      </c>
      <c r="E229" s="437">
        <v>169892.9</v>
      </c>
      <c r="F229" s="436">
        <v>0</v>
      </c>
      <c r="G229" s="454">
        <v>0</v>
      </c>
    </row>
    <row r="230" spans="2:7">
      <c r="B230" s="440" t="s">
        <v>115</v>
      </c>
      <c r="C230" s="439">
        <v>18868509.989</v>
      </c>
      <c r="D230" s="438">
        <v>23688235.439999998</v>
      </c>
      <c r="E230" s="437">
        <v>-2600337.44</v>
      </c>
      <c r="F230" s="436">
        <v>0</v>
      </c>
      <c r="G230" s="454">
        <v>0</v>
      </c>
    </row>
    <row r="231" spans="2:7">
      <c r="B231" s="440" t="s">
        <v>116</v>
      </c>
      <c r="C231" s="439">
        <v>0</v>
      </c>
      <c r="D231" s="438">
        <v>0</v>
      </c>
      <c r="E231" s="437">
        <v>0</v>
      </c>
      <c r="F231" s="436">
        <v>0</v>
      </c>
      <c r="G231" s="454">
        <v>0</v>
      </c>
    </row>
    <row r="232" spans="2:7">
      <c r="B232" s="440" t="s">
        <v>117</v>
      </c>
      <c r="C232" s="439">
        <v>0</v>
      </c>
      <c r="D232" s="438">
        <v>0</v>
      </c>
      <c r="E232" s="437">
        <v>0</v>
      </c>
      <c r="F232" s="436">
        <v>0</v>
      </c>
      <c r="G232" s="454">
        <v>0</v>
      </c>
    </row>
    <row r="233" spans="2:7">
      <c r="B233" s="440" t="s">
        <v>118</v>
      </c>
      <c r="C233" s="439">
        <v>7634388</v>
      </c>
      <c r="D233" s="438">
        <v>8108542</v>
      </c>
      <c r="E233" s="437">
        <v>-5234888</v>
      </c>
      <c r="F233" s="436">
        <v>0</v>
      </c>
      <c r="G233" s="454">
        <v>0</v>
      </c>
    </row>
    <row r="234" spans="2:7">
      <c r="B234" s="440" t="s">
        <v>119</v>
      </c>
      <c r="C234" s="439">
        <v>2114601</v>
      </c>
      <c r="D234" s="438">
        <v>2114601</v>
      </c>
      <c r="E234" s="437">
        <v>816795</v>
      </c>
      <c r="F234" s="436">
        <v>0</v>
      </c>
      <c r="G234" s="454">
        <v>0</v>
      </c>
    </row>
    <row r="235" spans="2:7">
      <c r="B235" s="440" t="s">
        <v>120</v>
      </c>
      <c r="C235" s="439">
        <v>192222</v>
      </c>
      <c r="D235" s="438">
        <v>192222</v>
      </c>
      <c r="E235" s="437">
        <v>0</v>
      </c>
      <c r="F235" s="436">
        <v>0</v>
      </c>
      <c r="G235" s="454">
        <v>0</v>
      </c>
    </row>
    <row r="236" spans="2:7">
      <c r="B236" s="440" t="s">
        <v>121</v>
      </c>
      <c r="C236" s="439">
        <v>37799568</v>
      </c>
      <c r="D236" s="438">
        <v>64682214</v>
      </c>
      <c r="E236" s="437">
        <v>-2527693</v>
      </c>
      <c r="F236" s="436">
        <v>-3960729</v>
      </c>
      <c r="G236" s="454">
        <v>0</v>
      </c>
    </row>
    <row r="237" spans="2:7" ht="14" thickBot="1">
      <c r="B237" s="455" t="s">
        <v>122</v>
      </c>
      <c r="C237" s="433">
        <v>0</v>
      </c>
      <c r="D237" s="432">
        <v>0</v>
      </c>
      <c r="E237" s="431">
        <v>0</v>
      </c>
      <c r="F237" s="430">
        <v>0</v>
      </c>
      <c r="G237" s="456">
        <v>0</v>
      </c>
    </row>
    <row r="240" spans="2:7">
      <c r="B240" s="12" t="s">
        <v>157</v>
      </c>
    </row>
    <row r="241" spans="2:7" ht="14" thickBot="1"/>
    <row r="242" spans="2:7" ht="14" thickBot="1">
      <c r="B242" s="553" t="s">
        <v>51</v>
      </c>
      <c r="C242" s="555" t="s">
        <v>123</v>
      </c>
      <c r="D242" s="556"/>
      <c r="E242" s="556"/>
      <c r="F242" s="556"/>
      <c r="G242" s="557"/>
    </row>
    <row r="243" spans="2:7" ht="54.5" thickBot="1">
      <c r="B243" s="554"/>
      <c r="C243" s="452" t="s">
        <v>124</v>
      </c>
      <c r="D243" s="452" t="s">
        <v>125</v>
      </c>
      <c r="E243" s="451" t="s">
        <v>126</v>
      </c>
      <c r="F243" s="450" t="s">
        <v>127</v>
      </c>
      <c r="G243" s="449" t="s">
        <v>128</v>
      </c>
    </row>
    <row r="244" spans="2:7">
      <c r="B244" s="446" t="s">
        <v>53</v>
      </c>
      <c r="C244" s="445">
        <v>196430197</v>
      </c>
      <c r="D244" s="444">
        <v>234145865</v>
      </c>
      <c r="E244" s="443">
        <v>-67990048</v>
      </c>
      <c r="F244" s="442">
        <v>0</v>
      </c>
      <c r="G244" s="453">
        <v>0</v>
      </c>
    </row>
    <row r="245" spans="2:7">
      <c r="B245" s="440" t="s">
        <v>63</v>
      </c>
      <c r="C245" s="439">
        <v>682072</v>
      </c>
      <c r="D245" s="438">
        <v>701913</v>
      </c>
      <c r="E245" s="437">
        <v>-51588</v>
      </c>
      <c r="F245" s="436">
        <v>0</v>
      </c>
      <c r="G245" s="454">
        <v>0</v>
      </c>
    </row>
    <row r="246" spans="2:7">
      <c r="B246" s="440" t="s">
        <v>64</v>
      </c>
      <c r="C246" s="439">
        <v>5990013</v>
      </c>
      <c r="D246" s="438">
        <v>7044336</v>
      </c>
      <c r="E246" s="437">
        <v>-1096670</v>
      </c>
      <c r="F246" s="436">
        <v>0</v>
      </c>
      <c r="G246" s="454">
        <v>0</v>
      </c>
    </row>
    <row r="247" spans="2:7">
      <c r="B247" s="440" t="s">
        <v>65</v>
      </c>
      <c r="C247" s="439">
        <v>3160716</v>
      </c>
      <c r="D247" s="438">
        <v>4697063</v>
      </c>
      <c r="E247" s="437">
        <v>-1218141</v>
      </c>
      <c r="F247" s="436">
        <v>0</v>
      </c>
      <c r="G247" s="454">
        <v>0</v>
      </c>
    </row>
    <row r="248" spans="2:7">
      <c r="B248" s="440" t="s">
        <v>66</v>
      </c>
      <c r="C248" s="439">
        <v>114616</v>
      </c>
      <c r="D248" s="438">
        <v>158707</v>
      </c>
      <c r="E248" s="437">
        <v>10292</v>
      </c>
      <c r="F248" s="436">
        <v>0</v>
      </c>
      <c r="G248" s="454">
        <v>0</v>
      </c>
    </row>
    <row r="249" spans="2:7">
      <c r="B249" s="440" t="s">
        <v>67</v>
      </c>
      <c r="C249" s="439">
        <v>18886882</v>
      </c>
      <c r="D249" s="438">
        <v>22098033</v>
      </c>
      <c r="E249" s="437">
        <v>-2747236</v>
      </c>
      <c r="F249" s="436">
        <v>0</v>
      </c>
      <c r="G249" s="454">
        <v>0</v>
      </c>
    </row>
    <row r="250" spans="2:7">
      <c r="B250" s="440" t="s">
        <v>68</v>
      </c>
      <c r="C250" s="439">
        <v>0</v>
      </c>
      <c r="D250" s="438">
        <v>0</v>
      </c>
      <c r="E250" s="437">
        <v>0</v>
      </c>
      <c r="F250" s="436">
        <v>0</v>
      </c>
      <c r="G250" s="454">
        <v>0</v>
      </c>
    </row>
    <row r="251" spans="2:7">
      <c r="B251" s="440" t="s">
        <v>69</v>
      </c>
      <c r="C251" s="439">
        <v>47637447</v>
      </c>
      <c r="D251" s="438">
        <v>64347571</v>
      </c>
      <c r="E251" s="437">
        <v>-12403100</v>
      </c>
      <c r="F251" s="436">
        <v>0</v>
      </c>
      <c r="G251" s="454">
        <v>0</v>
      </c>
    </row>
    <row r="252" spans="2:7">
      <c r="B252" s="440" t="s">
        <v>70</v>
      </c>
      <c r="C252" s="439">
        <v>399507621</v>
      </c>
      <c r="D252" s="438">
        <v>506068984</v>
      </c>
      <c r="E252" s="437">
        <v>-82334250</v>
      </c>
      <c r="F252" s="436">
        <v>0</v>
      </c>
      <c r="G252" s="454">
        <v>0</v>
      </c>
    </row>
    <row r="253" spans="2:7">
      <c r="B253" s="440" t="s">
        <v>71</v>
      </c>
      <c r="C253" s="439">
        <v>0</v>
      </c>
      <c r="D253" s="438">
        <v>0</v>
      </c>
      <c r="E253" s="437">
        <v>0</v>
      </c>
      <c r="F253" s="436">
        <v>0</v>
      </c>
      <c r="G253" s="454">
        <v>0</v>
      </c>
    </row>
    <row r="254" spans="2:7">
      <c r="B254" s="440" t="s">
        <v>72</v>
      </c>
      <c r="C254" s="439">
        <v>0</v>
      </c>
      <c r="D254" s="438">
        <v>0</v>
      </c>
      <c r="E254" s="437">
        <v>0</v>
      </c>
      <c r="F254" s="436">
        <v>0</v>
      </c>
      <c r="G254" s="454">
        <v>0</v>
      </c>
    </row>
    <row r="255" spans="2:7">
      <c r="B255" s="440" t="s">
        <v>73</v>
      </c>
      <c r="C255" s="439">
        <v>90423145</v>
      </c>
      <c r="D255" s="438">
        <v>114961165</v>
      </c>
      <c r="E255" s="437">
        <v>-15697758</v>
      </c>
      <c r="F255" s="436">
        <v>-433902</v>
      </c>
      <c r="G255" s="454">
        <v>0</v>
      </c>
    </row>
    <row r="256" spans="2:7">
      <c r="B256" s="440" t="s">
        <v>74</v>
      </c>
      <c r="C256" s="439">
        <v>32029984</v>
      </c>
      <c r="D256" s="438">
        <v>46548187</v>
      </c>
      <c r="E256" s="437">
        <v>-12094309</v>
      </c>
      <c r="F256" s="436">
        <v>0</v>
      </c>
      <c r="G256" s="454">
        <v>0</v>
      </c>
    </row>
    <row r="257" spans="2:7">
      <c r="B257" s="440" t="s">
        <v>75</v>
      </c>
      <c r="C257" s="439">
        <v>33201876</v>
      </c>
      <c r="D257" s="438">
        <v>52002893</v>
      </c>
      <c r="E257" s="437">
        <v>-16684720</v>
      </c>
      <c r="F257" s="436">
        <v>0</v>
      </c>
      <c r="G257" s="454">
        <v>0</v>
      </c>
    </row>
    <row r="258" spans="2:7">
      <c r="B258" s="440" t="s">
        <v>76</v>
      </c>
      <c r="C258" s="439">
        <v>17992353</v>
      </c>
      <c r="D258" s="438">
        <v>22016352</v>
      </c>
      <c r="E258" s="437">
        <v>-464701</v>
      </c>
      <c r="F258" s="436">
        <v>0</v>
      </c>
      <c r="G258" s="454">
        <v>0</v>
      </c>
    </row>
    <row r="259" spans="2:7">
      <c r="B259" s="440" t="s">
        <v>77</v>
      </c>
      <c r="C259" s="439">
        <v>0</v>
      </c>
      <c r="D259" s="438">
        <v>0</v>
      </c>
      <c r="E259" s="437">
        <v>0</v>
      </c>
      <c r="F259" s="436">
        <v>0</v>
      </c>
      <c r="G259" s="454">
        <v>0</v>
      </c>
    </row>
    <row r="260" spans="2:7">
      <c r="B260" s="440" t="s">
        <v>78</v>
      </c>
      <c r="C260" s="439">
        <v>0</v>
      </c>
      <c r="D260" s="438">
        <v>0</v>
      </c>
      <c r="E260" s="437">
        <v>0</v>
      </c>
      <c r="F260" s="436">
        <v>0</v>
      </c>
      <c r="G260" s="454">
        <v>0</v>
      </c>
    </row>
    <row r="261" spans="2:7">
      <c r="B261" s="440" t="s">
        <v>79</v>
      </c>
      <c r="C261" s="439">
        <v>0</v>
      </c>
      <c r="D261" s="438">
        <v>0</v>
      </c>
      <c r="E261" s="437">
        <v>0</v>
      </c>
      <c r="F261" s="436">
        <v>0</v>
      </c>
      <c r="G261" s="454">
        <v>0</v>
      </c>
    </row>
    <row r="262" spans="2:7">
      <c r="B262" s="440" t="s">
        <v>80</v>
      </c>
      <c r="C262" s="439">
        <v>0</v>
      </c>
      <c r="D262" s="438">
        <v>0</v>
      </c>
      <c r="E262" s="437">
        <v>0</v>
      </c>
      <c r="F262" s="436">
        <v>0</v>
      </c>
      <c r="G262" s="454">
        <v>0</v>
      </c>
    </row>
    <row r="263" spans="2:7">
      <c r="B263" s="440" t="s">
        <v>81</v>
      </c>
      <c r="C263" s="439">
        <v>0</v>
      </c>
      <c r="D263" s="438">
        <v>0</v>
      </c>
      <c r="E263" s="437">
        <v>0</v>
      </c>
      <c r="F263" s="436">
        <v>0</v>
      </c>
      <c r="G263" s="454">
        <v>0</v>
      </c>
    </row>
    <row r="264" spans="2:7">
      <c r="B264" s="440" t="s">
        <v>82</v>
      </c>
      <c r="C264" s="439">
        <v>35518304</v>
      </c>
      <c r="D264" s="438">
        <v>43832018</v>
      </c>
      <c r="E264" s="437">
        <v>-7911373</v>
      </c>
      <c r="F264" s="436">
        <v>0</v>
      </c>
      <c r="G264" s="454">
        <v>0</v>
      </c>
    </row>
    <row r="265" spans="2:7">
      <c r="B265" s="440" t="s">
        <v>83</v>
      </c>
      <c r="C265" s="439">
        <v>0</v>
      </c>
      <c r="D265" s="438">
        <v>0</v>
      </c>
      <c r="E265" s="437">
        <v>0</v>
      </c>
      <c r="F265" s="436">
        <v>0</v>
      </c>
      <c r="G265" s="454">
        <v>0</v>
      </c>
    </row>
    <row r="266" spans="2:7">
      <c r="B266" s="440" t="s">
        <v>84</v>
      </c>
      <c r="C266" s="439">
        <v>42000530</v>
      </c>
      <c r="D266" s="438">
        <v>54731734</v>
      </c>
      <c r="E266" s="437">
        <v>-15171538</v>
      </c>
      <c r="F266" s="436">
        <v>0</v>
      </c>
      <c r="G266" s="454">
        <v>0</v>
      </c>
    </row>
    <row r="267" spans="2:7">
      <c r="B267" s="440" t="s">
        <v>85</v>
      </c>
      <c r="C267" s="439">
        <v>36260302</v>
      </c>
      <c r="D267" s="438">
        <v>45717090</v>
      </c>
      <c r="E267" s="437">
        <v>-24570386</v>
      </c>
      <c r="F267" s="436">
        <v>0</v>
      </c>
      <c r="G267" s="454">
        <v>0</v>
      </c>
    </row>
    <row r="268" spans="2:7">
      <c r="B268" s="440" t="s">
        <v>86</v>
      </c>
      <c r="C268" s="439">
        <v>160812.912847</v>
      </c>
      <c r="D268" s="438">
        <v>189503.98181499995</v>
      </c>
      <c r="E268" s="437">
        <v>-42920.999999999993</v>
      </c>
      <c r="F268" s="436">
        <v>0</v>
      </c>
      <c r="G268" s="454">
        <v>0</v>
      </c>
    </row>
    <row r="269" spans="2:7">
      <c r="B269" s="440" t="s">
        <v>87</v>
      </c>
      <c r="C269" s="439">
        <v>797639</v>
      </c>
      <c r="D269" s="438">
        <v>797639</v>
      </c>
      <c r="E269" s="437">
        <v>0</v>
      </c>
      <c r="F269" s="436">
        <v>-106125</v>
      </c>
      <c r="G269" s="454">
        <v>0</v>
      </c>
    </row>
    <row r="270" spans="2:7">
      <c r="B270" s="440" t="s">
        <v>88</v>
      </c>
      <c r="C270" s="439">
        <v>245145</v>
      </c>
      <c r="D270" s="438">
        <v>264795</v>
      </c>
      <c r="E270" s="437">
        <v>-73672</v>
      </c>
      <c r="F270" s="436">
        <v>0</v>
      </c>
      <c r="G270" s="454">
        <v>0</v>
      </c>
    </row>
    <row r="271" spans="2:7">
      <c r="B271" s="440" t="s">
        <v>89</v>
      </c>
      <c r="C271" s="439">
        <v>69822.055091000002</v>
      </c>
      <c r="D271" s="438">
        <v>132795.44219230002</v>
      </c>
      <c r="E271" s="437">
        <v>-24878.800000000003</v>
      </c>
      <c r="F271" s="436">
        <v>0</v>
      </c>
      <c r="G271" s="454">
        <v>0</v>
      </c>
    </row>
    <row r="272" spans="2:7">
      <c r="B272" s="440" t="s">
        <v>90</v>
      </c>
      <c r="C272" s="439">
        <v>1947758</v>
      </c>
      <c r="D272" s="438">
        <v>2078930</v>
      </c>
      <c r="E272" s="437">
        <v>0</v>
      </c>
      <c r="F272" s="436">
        <v>-199980</v>
      </c>
      <c r="G272" s="454">
        <v>0</v>
      </c>
    </row>
    <row r="273" spans="2:7">
      <c r="B273" s="440" t="s">
        <v>91</v>
      </c>
      <c r="C273" s="439">
        <v>30997</v>
      </c>
      <c r="D273" s="438">
        <v>33337</v>
      </c>
      <c r="E273" s="437">
        <v>-2264</v>
      </c>
      <c r="F273" s="436">
        <v>0</v>
      </c>
      <c r="G273" s="454">
        <v>0</v>
      </c>
    </row>
    <row r="274" spans="2:7">
      <c r="B274" s="440" t="s">
        <v>92</v>
      </c>
      <c r="C274" s="439">
        <v>24247582.94047185</v>
      </c>
      <c r="D274" s="438">
        <v>26417365.06347185</v>
      </c>
      <c r="E274" s="437">
        <v>-627412.92337999982</v>
      </c>
      <c r="F274" s="436">
        <v>0</v>
      </c>
      <c r="G274" s="454">
        <v>0</v>
      </c>
    </row>
    <row r="275" spans="2:7">
      <c r="B275" s="440" t="s">
        <v>93</v>
      </c>
      <c r="C275" s="439">
        <v>111345358.15925831</v>
      </c>
      <c r="D275" s="438">
        <v>140051081.39582837</v>
      </c>
      <c r="E275" s="437">
        <v>-27000324.160539992</v>
      </c>
      <c r="F275" s="436">
        <v>0</v>
      </c>
      <c r="G275" s="454">
        <v>0</v>
      </c>
    </row>
    <row r="276" spans="2:7">
      <c r="B276" s="440" t="s">
        <v>94</v>
      </c>
      <c r="C276" s="439">
        <v>5773673.5001182798</v>
      </c>
      <c r="D276" s="438">
        <v>9324193.1643499602</v>
      </c>
      <c r="E276" s="437">
        <v>-541170.95899999992</v>
      </c>
      <c r="F276" s="436">
        <v>0</v>
      </c>
      <c r="G276" s="454">
        <v>0</v>
      </c>
    </row>
    <row r="277" spans="2:7">
      <c r="B277" s="440" t="s">
        <v>95</v>
      </c>
      <c r="C277" s="439">
        <v>5844749.8041066648</v>
      </c>
      <c r="D277" s="438">
        <v>6224545.0121066654</v>
      </c>
      <c r="E277" s="437">
        <v>0</v>
      </c>
      <c r="F277" s="436">
        <v>0</v>
      </c>
      <c r="G277" s="454">
        <v>0</v>
      </c>
    </row>
    <row r="278" spans="2:7">
      <c r="B278" s="440" t="s">
        <v>96</v>
      </c>
      <c r="C278" s="439">
        <v>1318772.8790771</v>
      </c>
      <c r="D278" s="438">
        <v>1756668.6776580999</v>
      </c>
      <c r="E278" s="437">
        <v>0</v>
      </c>
      <c r="F278" s="436">
        <v>0</v>
      </c>
      <c r="G278" s="454">
        <v>0</v>
      </c>
    </row>
    <row r="279" spans="2:7">
      <c r="B279" s="440" t="s">
        <v>97</v>
      </c>
      <c r="C279" s="439">
        <v>5769.5400333333337</v>
      </c>
      <c r="D279" s="438">
        <v>12667.121421933332</v>
      </c>
      <c r="E279" s="437">
        <v>0</v>
      </c>
      <c r="F279" s="436">
        <v>0</v>
      </c>
      <c r="G279" s="454">
        <v>0</v>
      </c>
    </row>
    <row r="280" spans="2:7">
      <c r="B280" s="440" t="s">
        <v>98</v>
      </c>
      <c r="C280" s="439">
        <v>0</v>
      </c>
      <c r="D280" s="438">
        <v>0</v>
      </c>
      <c r="E280" s="437">
        <v>0</v>
      </c>
      <c r="F280" s="436">
        <v>0</v>
      </c>
      <c r="G280" s="454">
        <v>0</v>
      </c>
    </row>
    <row r="281" spans="2:7">
      <c r="B281" s="440" t="s">
        <v>99</v>
      </c>
      <c r="C281" s="439">
        <v>38229808</v>
      </c>
      <c r="D281" s="438">
        <v>50974611</v>
      </c>
      <c r="E281" s="437">
        <v>-4914075</v>
      </c>
      <c r="F281" s="436">
        <v>0</v>
      </c>
      <c r="G281" s="454">
        <v>0</v>
      </c>
    </row>
    <row r="282" spans="2:7">
      <c r="B282" s="440" t="s">
        <v>100</v>
      </c>
      <c r="C282" s="439">
        <v>291378</v>
      </c>
      <c r="D282" s="438">
        <v>311279</v>
      </c>
      <c r="E282" s="437">
        <v>0</v>
      </c>
      <c r="F282" s="436">
        <v>0</v>
      </c>
      <c r="G282" s="454">
        <v>0</v>
      </c>
    </row>
    <row r="283" spans="2:7">
      <c r="B283" s="440" t="s">
        <v>101</v>
      </c>
      <c r="C283" s="439">
        <v>16562000</v>
      </c>
      <c r="D283" s="438">
        <v>20055305</v>
      </c>
      <c r="E283" s="437">
        <v>-416627</v>
      </c>
      <c r="F283" s="436">
        <v>0</v>
      </c>
      <c r="G283" s="454">
        <v>0</v>
      </c>
    </row>
    <row r="284" spans="2:7">
      <c r="B284" s="440" t="s">
        <v>102</v>
      </c>
      <c r="C284" s="439">
        <v>0</v>
      </c>
      <c r="D284" s="438">
        <v>0</v>
      </c>
      <c r="E284" s="437">
        <v>0</v>
      </c>
      <c r="F284" s="436">
        <v>0</v>
      </c>
      <c r="G284" s="454">
        <v>0</v>
      </c>
    </row>
    <row r="285" spans="2:7">
      <c r="B285" s="440" t="s">
        <v>103</v>
      </c>
      <c r="C285" s="439">
        <v>4012962</v>
      </c>
      <c r="D285" s="438">
        <v>5218352</v>
      </c>
      <c r="E285" s="437">
        <v>-120936</v>
      </c>
      <c r="F285" s="436">
        <v>0</v>
      </c>
      <c r="G285" s="454">
        <v>0</v>
      </c>
    </row>
    <row r="286" spans="2:7">
      <c r="B286" s="440" t="s">
        <v>104</v>
      </c>
      <c r="C286" s="439">
        <v>0</v>
      </c>
      <c r="D286" s="438">
        <v>0</v>
      </c>
      <c r="E286" s="437">
        <v>0</v>
      </c>
      <c r="F286" s="436">
        <v>0</v>
      </c>
      <c r="G286" s="454">
        <v>0</v>
      </c>
    </row>
    <row r="287" spans="2:7">
      <c r="B287" s="440" t="s">
        <v>105</v>
      </c>
      <c r="C287" s="439">
        <v>0</v>
      </c>
      <c r="D287" s="438">
        <v>0</v>
      </c>
      <c r="E287" s="437">
        <v>0</v>
      </c>
      <c r="F287" s="436">
        <v>0</v>
      </c>
      <c r="G287" s="454">
        <v>0</v>
      </c>
    </row>
    <row r="288" spans="2:7">
      <c r="B288" s="440" t="s">
        <v>106</v>
      </c>
      <c r="C288" s="439">
        <v>32533559</v>
      </c>
      <c r="D288" s="438">
        <v>40073220</v>
      </c>
      <c r="E288" s="437">
        <v>-10183853</v>
      </c>
      <c r="F288" s="436">
        <v>0</v>
      </c>
      <c r="G288" s="454">
        <v>0</v>
      </c>
    </row>
    <row r="289" spans="2:7">
      <c r="B289" s="440" t="s">
        <v>107</v>
      </c>
      <c r="C289" s="439">
        <v>0</v>
      </c>
      <c r="D289" s="438">
        <v>0</v>
      </c>
      <c r="E289" s="437">
        <v>0</v>
      </c>
      <c r="F289" s="436">
        <v>0</v>
      </c>
      <c r="G289" s="454">
        <v>0</v>
      </c>
    </row>
    <row r="290" spans="2:7">
      <c r="B290" s="440" t="s">
        <v>108</v>
      </c>
      <c r="C290" s="439">
        <v>0</v>
      </c>
      <c r="D290" s="438">
        <v>0</v>
      </c>
      <c r="E290" s="437">
        <v>0</v>
      </c>
      <c r="F290" s="436">
        <v>0</v>
      </c>
      <c r="G290" s="454">
        <v>0</v>
      </c>
    </row>
    <row r="291" spans="2:7">
      <c r="B291" s="440" t="s">
        <v>109</v>
      </c>
      <c r="C291" s="439">
        <v>109346074</v>
      </c>
      <c r="D291" s="438">
        <v>154144613</v>
      </c>
      <c r="E291" s="437">
        <v>-9610789</v>
      </c>
      <c r="F291" s="436">
        <v>-27854682</v>
      </c>
      <c r="G291" s="454">
        <v>0</v>
      </c>
    </row>
    <row r="292" spans="2:7">
      <c r="B292" s="440" t="s">
        <v>110</v>
      </c>
      <c r="C292" s="439">
        <v>35801442</v>
      </c>
      <c r="D292" s="438">
        <v>50715240</v>
      </c>
      <c r="E292" s="437">
        <v>-4828648</v>
      </c>
      <c r="F292" s="436">
        <v>-4582847</v>
      </c>
      <c r="G292" s="454">
        <v>0</v>
      </c>
    </row>
    <row r="293" spans="2:7">
      <c r="B293" s="440" t="s">
        <v>111</v>
      </c>
      <c r="C293" s="439">
        <v>6862673.7968670083</v>
      </c>
      <c r="D293" s="438">
        <v>10886451.548162397</v>
      </c>
      <c r="E293" s="437">
        <v>-929180.9</v>
      </c>
      <c r="F293" s="436">
        <v>0</v>
      </c>
      <c r="G293" s="454">
        <v>0</v>
      </c>
    </row>
    <row r="294" spans="2:7">
      <c r="B294" s="440" t="s">
        <v>112</v>
      </c>
      <c r="C294" s="439">
        <v>37002241</v>
      </c>
      <c r="D294" s="438">
        <v>46636951</v>
      </c>
      <c r="E294" s="437">
        <v>0</v>
      </c>
      <c r="F294" s="436">
        <v>-6939795</v>
      </c>
      <c r="G294" s="454">
        <v>0</v>
      </c>
    </row>
    <row r="295" spans="2:7">
      <c r="B295" s="440" t="s">
        <v>113</v>
      </c>
      <c r="C295" s="439">
        <v>6271162</v>
      </c>
      <c r="D295" s="438">
        <v>7735146</v>
      </c>
      <c r="E295" s="437">
        <v>-925032</v>
      </c>
      <c r="F295" s="436">
        <v>0</v>
      </c>
      <c r="G295" s="454">
        <v>0</v>
      </c>
    </row>
    <row r="296" spans="2:7">
      <c r="B296" s="440" t="s">
        <v>114</v>
      </c>
      <c r="C296" s="439">
        <v>10799521.105414448</v>
      </c>
      <c r="D296" s="438">
        <v>10799521.105414448</v>
      </c>
      <c r="E296" s="437">
        <v>54654.457492599999</v>
      </c>
      <c r="F296" s="436">
        <v>0</v>
      </c>
      <c r="G296" s="454">
        <v>0</v>
      </c>
    </row>
    <row r="297" spans="2:7">
      <c r="B297" s="440" t="s">
        <v>115</v>
      </c>
      <c r="C297" s="439">
        <v>25356303.404588468</v>
      </c>
      <c r="D297" s="438">
        <v>29251628.581799231</v>
      </c>
      <c r="E297" s="437">
        <v>-3651392.2147007002</v>
      </c>
      <c r="F297" s="436">
        <v>0</v>
      </c>
      <c r="G297" s="454">
        <v>0</v>
      </c>
    </row>
    <row r="298" spans="2:7">
      <c r="B298" s="440" t="s">
        <v>116</v>
      </c>
      <c r="C298" s="439">
        <v>13322.211121519862</v>
      </c>
      <c r="D298" s="438">
        <v>13322.211121519862</v>
      </c>
      <c r="E298" s="437">
        <v>0</v>
      </c>
      <c r="F298" s="436">
        <v>0</v>
      </c>
      <c r="G298" s="454">
        <v>0</v>
      </c>
    </row>
    <row r="299" spans="2:7">
      <c r="B299" s="440" t="s">
        <v>117</v>
      </c>
      <c r="C299" s="439">
        <v>0</v>
      </c>
      <c r="D299" s="438">
        <v>0</v>
      </c>
      <c r="E299" s="437">
        <v>0</v>
      </c>
      <c r="F299" s="436">
        <v>0</v>
      </c>
      <c r="G299" s="454">
        <v>0</v>
      </c>
    </row>
    <row r="300" spans="2:7">
      <c r="B300" s="440" t="s">
        <v>118</v>
      </c>
      <c r="C300" s="439">
        <v>15556457</v>
      </c>
      <c r="D300" s="438">
        <v>19925823</v>
      </c>
      <c r="E300" s="437">
        <v>-1862085</v>
      </c>
      <c r="F300" s="436">
        <v>0</v>
      </c>
      <c r="G300" s="454">
        <v>0</v>
      </c>
    </row>
    <row r="301" spans="2:7">
      <c r="B301" s="440" t="s">
        <v>119</v>
      </c>
      <c r="C301" s="439">
        <v>4964299</v>
      </c>
      <c r="D301" s="438">
        <v>5201505</v>
      </c>
      <c r="E301" s="437">
        <v>0</v>
      </c>
      <c r="F301" s="436">
        <v>0</v>
      </c>
      <c r="G301" s="454">
        <v>0</v>
      </c>
    </row>
    <row r="302" spans="2:7">
      <c r="B302" s="440" t="s">
        <v>120</v>
      </c>
      <c r="C302" s="439">
        <v>0</v>
      </c>
      <c r="D302" s="438">
        <v>0</v>
      </c>
      <c r="E302" s="437">
        <v>0</v>
      </c>
      <c r="F302" s="436">
        <v>0</v>
      </c>
      <c r="G302" s="454">
        <v>0</v>
      </c>
    </row>
    <row r="303" spans="2:7">
      <c r="B303" s="440" t="s">
        <v>121</v>
      </c>
      <c r="C303" s="439">
        <v>124309937</v>
      </c>
      <c r="D303" s="438">
        <v>170005368</v>
      </c>
      <c r="E303" s="437">
        <v>-16869582</v>
      </c>
      <c r="F303" s="436">
        <v>-10534366</v>
      </c>
      <c r="G303" s="454">
        <v>0</v>
      </c>
    </row>
    <row r="304" spans="2:7" ht="14" thickBot="1">
      <c r="B304" s="455" t="s">
        <v>122</v>
      </c>
      <c r="C304" s="433">
        <v>0</v>
      </c>
      <c r="D304" s="432">
        <v>0</v>
      </c>
      <c r="E304" s="431">
        <v>0</v>
      </c>
      <c r="F304" s="430">
        <v>0</v>
      </c>
      <c r="G304" s="456">
        <v>0</v>
      </c>
    </row>
    <row r="307" spans="2:7">
      <c r="B307" s="12" t="s">
        <v>8</v>
      </c>
    </row>
    <row r="308" spans="2:7" ht="14" thickBot="1"/>
    <row r="309" spans="2:7" ht="14" thickBot="1">
      <c r="B309" s="553" t="s">
        <v>51</v>
      </c>
      <c r="C309" s="555" t="s">
        <v>123</v>
      </c>
      <c r="D309" s="556"/>
      <c r="E309" s="556"/>
      <c r="F309" s="556"/>
      <c r="G309" s="557"/>
    </row>
    <row r="310" spans="2:7" ht="54.5" thickBot="1">
      <c r="B310" s="554"/>
      <c r="C310" s="452" t="s">
        <v>124</v>
      </c>
      <c r="D310" s="452" t="s">
        <v>125</v>
      </c>
      <c r="E310" s="451" t="s">
        <v>126</v>
      </c>
      <c r="F310" s="450" t="s">
        <v>127</v>
      </c>
      <c r="G310" s="449" t="s">
        <v>128</v>
      </c>
    </row>
    <row r="311" spans="2:7">
      <c r="B311" s="446" t="s">
        <v>53</v>
      </c>
      <c r="C311" s="445">
        <v>349861253</v>
      </c>
      <c r="D311" s="444">
        <v>430558949</v>
      </c>
      <c r="E311" s="443">
        <v>-67657918</v>
      </c>
      <c r="F311" s="442">
        <v>0</v>
      </c>
      <c r="G311" s="453">
        <v>0</v>
      </c>
    </row>
    <row r="312" spans="2:7">
      <c r="B312" s="440" t="s">
        <v>63</v>
      </c>
      <c r="C312" s="439">
        <v>136332</v>
      </c>
      <c r="D312" s="438">
        <v>136332</v>
      </c>
      <c r="E312" s="437">
        <v>0</v>
      </c>
      <c r="F312" s="436">
        <v>0</v>
      </c>
      <c r="G312" s="454">
        <v>0</v>
      </c>
    </row>
    <row r="313" spans="2:7">
      <c r="B313" s="440" t="s">
        <v>64</v>
      </c>
      <c r="C313" s="439">
        <v>2917249</v>
      </c>
      <c r="D313" s="438">
        <v>3009468</v>
      </c>
      <c r="E313" s="437">
        <v>174296</v>
      </c>
      <c r="F313" s="436">
        <v>0</v>
      </c>
      <c r="G313" s="454">
        <v>0</v>
      </c>
    </row>
    <row r="314" spans="2:7">
      <c r="B314" s="440" t="s">
        <v>65</v>
      </c>
      <c r="C314" s="439">
        <v>12998034</v>
      </c>
      <c r="D314" s="438">
        <v>16068057</v>
      </c>
      <c r="E314" s="437">
        <v>-2585613</v>
      </c>
      <c r="F314" s="436">
        <v>0</v>
      </c>
      <c r="G314" s="454">
        <v>0</v>
      </c>
    </row>
    <row r="315" spans="2:7">
      <c r="B315" s="440" t="s">
        <v>66</v>
      </c>
      <c r="C315" s="439">
        <v>156032</v>
      </c>
      <c r="D315" s="438">
        <v>193913</v>
      </c>
      <c r="E315" s="437">
        <v>-48510</v>
      </c>
      <c r="F315" s="436">
        <v>0</v>
      </c>
      <c r="G315" s="454">
        <v>0</v>
      </c>
    </row>
    <row r="316" spans="2:7">
      <c r="B316" s="440" t="s">
        <v>67</v>
      </c>
      <c r="C316" s="439">
        <v>7663750</v>
      </c>
      <c r="D316" s="438">
        <v>8944956</v>
      </c>
      <c r="E316" s="437">
        <v>-1369217</v>
      </c>
      <c r="F316" s="436">
        <v>0</v>
      </c>
      <c r="G316" s="454">
        <v>0</v>
      </c>
    </row>
    <row r="317" spans="2:7">
      <c r="B317" s="440" t="s">
        <v>68</v>
      </c>
      <c r="C317" s="439">
        <v>0</v>
      </c>
      <c r="D317" s="438">
        <v>0</v>
      </c>
      <c r="E317" s="437">
        <v>0</v>
      </c>
      <c r="F317" s="436">
        <v>0</v>
      </c>
      <c r="G317" s="454">
        <v>0</v>
      </c>
    </row>
    <row r="318" spans="2:7">
      <c r="B318" s="440" t="s">
        <v>69</v>
      </c>
      <c r="C318" s="439">
        <v>56452478</v>
      </c>
      <c r="D318" s="438">
        <v>81105238</v>
      </c>
      <c r="E318" s="437">
        <v>-15925028</v>
      </c>
      <c r="F318" s="436">
        <v>0</v>
      </c>
      <c r="G318" s="454">
        <v>0</v>
      </c>
    </row>
    <row r="319" spans="2:7">
      <c r="B319" s="440" t="s">
        <v>70</v>
      </c>
      <c r="C319" s="439">
        <v>735486652</v>
      </c>
      <c r="D319" s="438">
        <v>992910086</v>
      </c>
      <c r="E319" s="437">
        <v>-125589787</v>
      </c>
      <c r="F319" s="436">
        <v>0</v>
      </c>
      <c r="G319" s="454">
        <v>0</v>
      </c>
    </row>
    <row r="320" spans="2:7">
      <c r="B320" s="440" t="s">
        <v>71</v>
      </c>
      <c r="C320" s="439">
        <v>0</v>
      </c>
      <c r="D320" s="438">
        <v>0</v>
      </c>
      <c r="E320" s="437">
        <v>0</v>
      </c>
      <c r="F320" s="436">
        <v>0</v>
      </c>
      <c r="G320" s="454">
        <v>0</v>
      </c>
    </row>
    <row r="321" spans="2:7">
      <c r="B321" s="440" t="s">
        <v>72</v>
      </c>
      <c r="C321" s="439">
        <v>16749.206200299999</v>
      </c>
      <c r="D321" s="438">
        <v>16749.206200299999</v>
      </c>
      <c r="E321" s="437">
        <v>0</v>
      </c>
      <c r="F321" s="436">
        <v>0</v>
      </c>
      <c r="G321" s="454">
        <v>0</v>
      </c>
    </row>
    <row r="322" spans="2:7">
      <c r="B322" s="440" t="s">
        <v>73</v>
      </c>
      <c r="C322" s="439">
        <v>23783110</v>
      </c>
      <c r="D322" s="438">
        <v>29362206</v>
      </c>
      <c r="E322" s="437">
        <v>-7136212</v>
      </c>
      <c r="F322" s="436">
        <v>0</v>
      </c>
      <c r="G322" s="454">
        <v>0</v>
      </c>
    </row>
    <row r="323" spans="2:7">
      <c r="B323" s="440" t="s">
        <v>74</v>
      </c>
      <c r="C323" s="439">
        <v>20492454</v>
      </c>
      <c r="D323" s="438">
        <v>28391238</v>
      </c>
      <c r="E323" s="437">
        <v>-9333637</v>
      </c>
      <c r="F323" s="436">
        <v>0</v>
      </c>
      <c r="G323" s="454">
        <v>0</v>
      </c>
    </row>
    <row r="324" spans="2:7">
      <c r="B324" s="440" t="s">
        <v>75</v>
      </c>
      <c r="C324" s="439">
        <v>23906684</v>
      </c>
      <c r="D324" s="438">
        <v>32999205</v>
      </c>
      <c r="E324" s="437">
        <v>-14405122</v>
      </c>
      <c r="F324" s="436">
        <v>0</v>
      </c>
      <c r="G324" s="454">
        <v>0</v>
      </c>
    </row>
    <row r="325" spans="2:7">
      <c r="B325" s="440" t="s">
        <v>76</v>
      </c>
      <c r="C325" s="439">
        <v>27277936</v>
      </c>
      <c r="D325" s="438">
        <v>31272554</v>
      </c>
      <c r="E325" s="437">
        <v>-476433</v>
      </c>
      <c r="F325" s="436">
        <v>0</v>
      </c>
      <c r="G325" s="454">
        <v>0</v>
      </c>
    </row>
    <row r="326" spans="2:7">
      <c r="B326" s="440" t="s">
        <v>77</v>
      </c>
      <c r="C326" s="439">
        <v>0</v>
      </c>
      <c r="D326" s="438">
        <v>0</v>
      </c>
      <c r="E326" s="437">
        <v>0</v>
      </c>
      <c r="F326" s="436">
        <v>0</v>
      </c>
      <c r="G326" s="454">
        <v>0</v>
      </c>
    </row>
    <row r="327" spans="2:7">
      <c r="B327" s="440" t="s">
        <v>78</v>
      </c>
      <c r="C327" s="439">
        <v>0</v>
      </c>
      <c r="D327" s="438">
        <v>0</v>
      </c>
      <c r="E327" s="437">
        <v>0</v>
      </c>
      <c r="F327" s="436">
        <v>0</v>
      </c>
      <c r="G327" s="454">
        <v>0</v>
      </c>
    </row>
    <row r="328" spans="2:7">
      <c r="B328" s="440" t="s">
        <v>79</v>
      </c>
      <c r="C328" s="439">
        <v>0</v>
      </c>
      <c r="D328" s="438">
        <v>0</v>
      </c>
      <c r="E328" s="437">
        <v>0</v>
      </c>
      <c r="F328" s="436">
        <v>0</v>
      </c>
      <c r="G328" s="454">
        <v>0</v>
      </c>
    </row>
    <row r="329" spans="2:7">
      <c r="B329" s="440" t="s">
        <v>80</v>
      </c>
      <c r="C329" s="439">
        <v>0</v>
      </c>
      <c r="D329" s="438">
        <v>0</v>
      </c>
      <c r="E329" s="437">
        <v>0</v>
      </c>
      <c r="F329" s="436">
        <v>0</v>
      </c>
      <c r="G329" s="454">
        <v>0</v>
      </c>
    </row>
    <row r="330" spans="2:7">
      <c r="B330" s="440" t="s">
        <v>81</v>
      </c>
      <c r="C330" s="439">
        <v>0</v>
      </c>
      <c r="D330" s="438">
        <v>0</v>
      </c>
      <c r="E330" s="437">
        <v>0</v>
      </c>
      <c r="F330" s="436">
        <v>0</v>
      </c>
      <c r="G330" s="454">
        <v>0</v>
      </c>
    </row>
    <row r="331" spans="2:7">
      <c r="B331" s="440" t="s">
        <v>82</v>
      </c>
      <c r="C331" s="439">
        <v>34153159</v>
      </c>
      <c r="D331" s="438">
        <v>40012773</v>
      </c>
      <c r="E331" s="437">
        <v>-6038393</v>
      </c>
      <c r="F331" s="436">
        <v>0</v>
      </c>
      <c r="G331" s="454">
        <v>0</v>
      </c>
    </row>
    <row r="332" spans="2:7">
      <c r="B332" s="440" t="s">
        <v>83</v>
      </c>
      <c r="C332" s="439">
        <v>0</v>
      </c>
      <c r="D332" s="438">
        <v>0</v>
      </c>
      <c r="E332" s="437">
        <v>0</v>
      </c>
      <c r="F332" s="436">
        <v>0</v>
      </c>
      <c r="G332" s="454">
        <v>0</v>
      </c>
    </row>
    <row r="333" spans="2:7">
      <c r="B333" s="440" t="s">
        <v>84</v>
      </c>
      <c r="C333" s="439">
        <v>22734223</v>
      </c>
      <c r="D333" s="438">
        <v>31997659</v>
      </c>
      <c r="E333" s="437">
        <v>-4319220</v>
      </c>
      <c r="F333" s="436">
        <v>0</v>
      </c>
      <c r="G333" s="454">
        <v>0</v>
      </c>
    </row>
    <row r="334" spans="2:7">
      <c r="B334" s="440" t="s">
        <v>85</v>
      </c>
      <c r="C334" s="439">
        <v>22852083</v>
      </c>
      <c r="D334" s="438">
        <v>30149152</v>
      </c>
      <c r="E334" s="437">
        <v>-6283645</v>
      </c>
      <c r="F334" s="436">
        <v>0</v>
      </c>
      <c r="G334" s="454">
        <v>0</v>
      </c>
    </row>
    <row r="335" spans="2:7">
      <c r="B335" s="440" t="s">
        <v>86</v>
      </c>
      <c r="C335" s="439">
        <v>1721886.6096886001</v>
      </c>
      <c r="D335" s="438">
        <v>1736430.7583724</v>
      </c>
      <c r="E335" s="437">
        <v>-885325.92752939998</v>
      </c>
      <c r="F335" s="436">
        <v>0</v>
      </c>
      <c r="G335" s="454">
        <v>0</v>
      </c>
    </row>
    <row r="336" spans="2:7">
      <c r="B336" s="440" t="s">
        <v>87</v>
      </c>
      <c r="C336" s="439">
        <v>6715012</v>
      </c>
      <c r="D336" s="438">
        <v>7885925</v>
      </c>
      <c r="E336" s="437">
        <v>0</v>
      </c>
      <c r="F336" s="436">
        <v>-2486099</v>
      </c>
      <c r="G336" s="454">
        <v>0</v>
      </c>
    </row>
    <row r="337" spans="2:7">
      <c r="B337" s="440" t="s">
        <v>88</v>
      </c>
      <c r="C337" s="439">
        <v>1356140</v>
      </c>
      <c r="D337" s="438">
        <v>1425183</v>
      </c>
      <c r="E337" s="437">
        <v>-555862</v>
      </c>
      <c r="F337" s="436">
        <v>0</v>
      </c>
      <c r="G337" s="454">
        <v>0</v>
      </c>
    </row>
    <row r="338" spans="2:7">
      <c r="B338" s="440" t="s">
        <v>89</v>
      </c>
      <c r="C338" s="439">
        <v>2140757.1201829021</v>
      </c>
      <c r="D338" s="438">
        <v>2331514.2143891007</v>
      </c>
      <c r="E338" s="437">
        <v>-258956.31999999995</v>
      </c>
      <c r="F338" s="436">
        <v>0</v>
      </c>
      <c r="G338" s="454">
        <v>0</v>
      </c>
    </row>
    <row r="339" spans="2:7">
      <c r="B339" s="440" t="s">
        <v>90</v>
      </c>
      <c r="C339" s="439">
        <v>24871909</v>
      </c>
      <c r="D339" s="438">
        <v>25991797</v>
      </c>
      <c r="E339" s="437">
        <v>0</v>
      </c>
      <c r="F339" s="436">
        <v>-8954830</v>
      </c>
      <c r="G339" s="454">
        <v>0</v>
      </c>
    </row>
    <row r="340" spans="2:7">
      <c r="B340" s="440" t="s">
        <v>91</v>
      </c>
      <c r="C340" s="439">
        <v>1428209</v>
      </c>
      <c r="D340" s="438">
        <v>1606207</v>
      </c>
      <c r="E340" s="437">
        <v>-284092</v>
      </c>
      <c r="F340" s="436">
        <v>0</v>
      </c>
      <c r="G340" s="454">
        <v>0</v>
      </c>
    </row>
    <row r="341" spans="2:7">
      <c r="B341" s="440" t="s">
        <v>92</v>
      </c>
      <c r="C341" s="439">
        <v>7821557.8885050006</v>
      </c>
      <c r="D341" s="438">
        <v>9246821.4965035021</v>
      </c>
      <c r="E341" s="437">
        <v>-220954.46050370001</v>
      </c>
      <c r="F341" s="436">
        <v>0</v>
      </c>
      <c r="G341" s="454">
        <v>0</v>
      </c>
    </row>
    <row r="342" spans="2:7">
      <c r="B342" s="440" t="s">
        <v>93</v>
      </c>
      <c r="C342" s="439">
        <v>31541220.899700202</v>
      </c>
      <c r="D342" s="438">
        <v>43027101.781817809</v>
      </c>
      <c r="E342" s="437">
        <v>-13630950.139302498</v>
      </c>
      <c r="F342" s="436">
        <v>0</v>
      </c>
      <c r="G342" s="454">
        <v>0</v>
      </c>
    </row>
    <row r="343" spans="2:7">
      <c r="B343" s="440" t="s">
        <v>94</v>
      </c>
      <c r="C343" s="439">
        <v>321452.40682799998</v>
      </c>
      <c r="D343" s="438">
        <v>321452.40682799998</v>
      </c>
      <c r="E343" s="437">
        <v>-321452.40682799998</v>
      </c>
      <c r="F343" s="436">
        <v>0</v>
      </c>
      <c r="G343" s="454">
        <v>0</v>
      </c>
    </row>
    <row r="344" spans="2:7">
      <c r="B344" s="440" t="s">
        <v>95</v>
      </c>
      <c r="C344" s="439">
        <v>3122173.2960665002</v>
      </c>
      <c r="D344" s="438">
        <v>3122173.2960665002</v>
      </c>
      <c r="E344" s="437">
        <v>14565.0904854</v>
      </c>
      <c r="F344" s="436">
        <v>0</v>
      </c>
      <c r="G344" s="454">
        <v>0</v>
      </c>
    </row>
    <row r="345" spans="2:7">
      <c r="B345" s="440" t="s">
        <v>96</v>
      </c>
      <c r="C345" s="439">
        <v>1192731.0722499001</v>
      </c>
      <c r="D345" s="438">
        <v>2020908.6197924002</v>
      </c>
      <c r="E345" s="437">
        <v>-639443.35444179992</v>
      </c>
      <c r="F345" s="436">
        <v>0</v>
      </c>
      <c r="G345" s="454">
        <v>0</v>
      </c>
    </row>
    <row r="346" spans="2:7">
      <c r="B346" s="440" t="s">
        <v>97</v>
      </c>
      <c r="C346" s="439">
        <v>0</v>
      </c>
      <c r="D346" s="438">
        <v>0</v>
      </c>
      <c r="E346" s="437">
        <v>0</v>
      </c>
      <c r="F346" s="436">
        <v>0</v>
      </c>
      <c r="G346" s="454">
        <v>0</v>
      </c>
    </row>
    <row r="347" spans="2:7">
      <c r="B347" s="440" t="s">
        <v>98</v>
      </c>
      <c r="C347" s="439">
        <v>0</v>
      </c>
      <c r="D347" s="438">
        <v>0</v>
      </c>
      <c r="E347" s="437">
        <v>0</v>
      </c>
      <c r="F347" s="436">
        <v>0</v>
      </c>
      <c r="G347" s="454">
        <v>0</v>
      </c>
    </row>
    <row r="348" spans="2:7">
      <c r="B348" s="440" t="s">
        <v>99</v>
      </c>
      <c r="C348" s="439">
        <v>3488424</v>
      </c>
      <c r="D348" s="438">
        <v>3823302</v>
      </c>
      <c r="E348" s="437">
        <v>-703529</v>
      </c>
      <c r="F348" s="436">
        <v>0</v>
      </c>
      <c r="G348" s="454">
        <v>0</v>
      </c>
    </row>
    <row r="349" spans="2:7">
      <c r="B349" s="440" t="s">
        <v>100</v>
      </c>
      <c r="C349" s="439">
        <v>4617877</v>
      </c>
      <c r="D349" s="438">
        <v>6632398</v>
      </c>
      <c r="E349" s="437">
        <v>-2482199</v>
      </c>
      <c r="F349" s="436">
        <v>0</v>
      </c>
      <c r="G349" s="454">
        <v>0</v>
      </c>
    </row>
    <row r="350" spans="2:7">
      <c r="B350" s="440" t="s">
        <v>101</v>
      </c>
      <c r="C350" s="439">
        <v>271859</v>
      </c>
      <c r="D350" s="438">
        <v>271859</v>
      </c>
      <c r="E350" s="437">
        <v>0</v>
      </c>
      <c r="F350" s="436">
        <v>0</v>
      </c>
      <c r="G350" s="454">
        <v>0</v>
      </c>
    </row>
    <row r="351" spans="2:7">
      <c r="B351" s="440" t="s">
        <v>102</v>
      </c>
      <c r="C351" s="439">
        <v>0</v>
      </c>
      <c r="D351" s="438">
        <v>0</v>
      </c>
      <c r="E351" s="437">
        <v>0</v>
      </c>
      <c r="F351" s="436">
        <v>0</v>
      </c>
      <c r="G351" s="454">
        <v>0</v>
      </c>
    </row>
    <row r="352" spans="2:7">
      <c r="B352" s="440" t="s">
        <v>103</v>
      </c>
      <c r="C352" s="439">
        <v>4617</v>
      </c>
      <c r="D352" s="438">
        <v>4617</v>
      </c>
      <c r="E352" s="437">
        <v>0</v>
      </c>
      <c r="F352" s="436">
        <v>0</v>
      </c>
      <c r="G352" s="454">
        <v>0</v>
      </c>
    </row>
    <row r="353" spans="2:7">
      <c r="B353" s="440" t="s">
        <v>104</v>
      </c>
      <c r="C353" s="439">
        <v>0</v>
      </c>
      <c r="D353" s="438">
        <v>0</v>
      </c>
      <c r="E353" s="437">
        <v>0</v>
      </c>
      <c r="F353" s="436">
        <v>0</v>
      </c>
      <c r="G353" s="454">
        <v>0</v>
      </c>
    </row>
    <row r="354" spans="2:7">
      <c r="B354" s="440" t="s">
        <v>105</v>
      </c>
      <c r="C354" s="439">
        <v>25454</v>
      </c>
      <c r="D354" s="438">
        <v>25454</v>
      </c>
      <c r="E354" s="437">
        <v>0</v>
      </c>
      <c r="F354" s="436">
        <v>0</v>
      </c>
      <c r="G354" s="454">
        <v>0</v>
      </c>
    </row>
    <row r="355" spans="2:7">
      <c r="B355" s="440" t="s">
        <v>106</v>
      </c>
      <c r="C355" s="439">
        <v>5411113</v>
      </c>
      <c r="D355" s="438">
        <v>6419906</v>
      </c>
      <c r="E355" s="437">
        <v>0</v>
      </c>
      <c r="F355" s="436">
        <v>0</v>
      </c>
      <c r="G355" s="454">
        <v>0</v>
      </c>
    </row>
    <row r="356" spans="2:7">
      <c r="B356" s="440" t="s">
        <v>107</v>
      </c>
      <c r="C356" s="439">
        <v>0</v>
      </c>
      <c r="D356" s="438">
        <v>0</v>
      </c>
      <c r="E356" s="437">
        <v>0</v>
      </c>
      <c r="F356" s="436">
        <v>0</v>
      </c>
      <c r="G356" s="454">
        <v>0</v>
      </c>
    </row>
    <row r="357" spans="2:7">
      <c r="B357" s="440" t="s">
        <v>108</v>
      </c>
      <c r="C357" s="439">
        <v>0</v>
      </c>
      <c r="D357" s="438">
        <v>0</v>
      </c>
      <c r="E357" s="437">
        <v>0</v>
      </c>
      <c r="F357" s="436">
        <v>0</v>
      </c>
      <c r="G357" s="454">
        <v>0</v>
      </c>
    </row>
    <row r="358" spans="2:7">
      <c r="B358" s="440" t="s">
        <v>109</v>
      </c>
      <c r="C358" s="439">
        <v>50420035</v>
      </c>
      <c r="D358" s="438">
        <v>64850440</v>
      </c>
      <c r="E358" s="437">
        <v>-17815630</v>
      </c>
      <c r="F358" s="436">
        <v>-2195406</v>
      </c>
      <c r="G358" s="454">
        <v>0</v>
      </c>
    </row>
    <row r="359" spans="2:7">
      <c r="B359" s="440" t="s">
        <v>110</v>
      </c>
      <c r="C359" s="439">
        <v>21929458</v>
      </c>
      <c r="D359" s="438">
        <v>33571715</v>
      </c>
      <c r="E359" s="437">
        <v>-10064111</v>
      </c>
      <c r="F359" s="436">
        <v>0</v>
      </c>
      <c r="G359" s="454">
        <v>0</v>
      </c>
    </row>
    <row r="360" spans="2:7">
      <c r="B360" s="440" t="s">
        <v>111</v>
      </c>
      <c r="C360" s="439">
        <v>11875205.155628197</v>
      </c>
      <c r="D360" s="438">
        <v>12947319.807659199</v>
      </c>
      <c r="E360" s="437">
        <v>-1347822.1153796006</v>
      </c>
      <c r="F360" s="436">
        <v>0</v>
      </c>
      <c r="G360" s="454">
        <v>0</v>
      </c>
    </row>
    <row r="361" spans="2:7">
      <c r="B361" s="440" t="s">
        <v>112</v>
      </c>
      <c r="C361" s="439">
        <v>58109982</v>
      </c>
      <c r="D361" s="438">
        <v>65741626</v>
      </c>
      <c r="E361" s="437">
        <v>0</v>
      </c>
      <c r="F361" s="436">
        <v>-24879310</v>
      </c>
      <c r="G361" s="454">
        <v>0</v>
      </c>
    </row>
    <row r="362" spans="2:7">
      <c r="B362" s="440" t="s">
        <v>113</v>
      </c>
      <c r="C362" s="439">
        <v>11024249</v>
      </c>
      <c r="D362" s="438">
        <v>13748769</v>
      </c>
      <c r="E362" s="437">
        <v>-2138027</v>
      </c>
      <c r="F362" s="436">
        <v>0</v>
      </c>
      <c r="G362" s="454">
        <v>0</v>
      </c>
    </row>
    <row r="363" spans="2:7">
      <c r="B363" s="440" t="s">
        <v>114</v>
      </c>
      <c r="C363" s="439">
        <v>7760014.4960965998</v>
      </c>
      <c r="D363" s="438">
        <v>7805987.6500884015</v>
      </c>
      <c r="E363" s="437">
        <v>1738980.7624420002</v>
      </c>
      <c r="F363" s="436">
        <v>0</v>
      </c>
      <c r="G363" s="454">
        <v>0</v>
      </c>
    </row>
    <row r="364" spans="2:7">
      <c r="B364" s="440" t="s">
        <v>115</v>
      </c>
      <c r="C364" s="439">
        <v>213393816.72706568</v>
      </c>
      <c r="D364" s="438">
        <v>253556643.29863334</v>
      </c>
      <c r="E364" s="437">
        <v>-87905419.727411076</v>
      </c>
      <c r="F364" s="436">
        <v>0</v>
      </c>
      <c r="G364" s="454">
        <v>0</v>
      </c>
    </row>
    <row r="365" spans="2:7">
      <c r="B365" s="440" t="s">
        <v>116</v>
      </c>
      <c r="C365" s="439">
        <v>646265.05536160001</v>
      </c>
      <c r="D365" s="438">
        <v>654429.7926684001</v>
      </c>
      <c r="E365" s="437">
        <v>0</v>
      </c>
      <c r="F365" s="436">
        <v>0</v>
      </c>
      <c r="G365" s="454">
        <v>0</v>
      </c>
    </row>
    <row r="366" spans="2:7">
      <c r="B366" s="440" t="s">
        <v>117</v>
      </c>
      <c r="C366" s="439">
        <v>5062852</v>
      </c>
      <c r="D366" s="438">
        <v>6005372</v>
      </c>
      <c r="E366" s="437">
        <v>-5146536</v>
      </c>
      <c r="F366" s="436">
        <v>0</v>
      </c>
      <c r="G366" s="454">
        <v>0</v>
      </c>
    </row>
    <row r="367" spans="2:7">
      <c r="B367" s="440" t="s">
        <v>118</v>
      </c>
      <c r="C367" s="439">
        <v>31098287</v>
      </c>
      <c r="D367" s="438">
        <v>34641188</v>
      </c>
      <c r="E367" s="437">
        <v>-20913372</v>
      </c>
      <c r="F367" s="436">
        <v>0</v>
      </c>
      <c r="G367" s="454">
        <v>0</v>
      </c>
    </row>
    <row r="368" spans="2:7">
      <c r="B368" s="440" t="s">
        <v>119</v>
      </c>
      <c r="C368" s="439">
        <v>1733422</v>
      </c>
      <c r="D368" s="438">
        <v>1733422</v>
      </c>
      <c r="E368" s="437">
        <v>907550</v>
      </c>
      <c r="F368" s="436">
        <v>0</v>
      </c>
      <c r="G368" s="454">
        <v>0</v>
      </c>
    </row>
    <row r="369" spans="2:7">
      <c r="B369" s="440" t="s">
        <v>120</v>
      </c>
      <c r="C369" s="439">
        <v>64074</v>
      </c>
      <c r="D369" s="438">
        <v>64074</v>
      </c>
      <c r="E369" s="437">
        <v>0</v>
      </c>
      <c r="F369" s="436">
        <v>0</v>
      </c>
      <c r="G369" s="454">
        <v>0</v>
      </c>
    </row>
    <row r="370" spans="2:7">
      <c r="B370" s="440" t="s">
        <v>121</v>
      </c>
      <c r="C370" s="439">
        <v>176294362</v>
      </c>
      <c r="D370" s="438">
        <v>265857360</v>
      </c>
      <c r="E370" s="437">
        <v>-45186294</v>
      </c>
      <c r="F370" s="436">
        <v>-12438595</v>
      </c>
      <c r="G370" s="454">
        <v>0</v>
      </c>
    </row>
    <row r="371" spans="2:7" ht="14" thickBot="1">
      <c r="B371" s="455" t="s">
        <v>122</v>
      </c>
      <c r="C371" s="433">
        <v>0</v>
      </c>
      <c r="D371" s="432">
        <v>0</v>
      </c>
      <c r="E371" s="431">
        <v>0</v>
      </c>
      <c r="F371" s="430">
        <v>0</v>
      </c>
      <c r="G371" s="456">
        <v>0</v>
      </c>
    </row>
    <row r="374" spans="2:7">
      <c r="B374" s="12" t="s">
        <v>9</v>
      </c>
    </row>
    <row r="375" spans="2:7" ht="14" thickBot="1"/>
    <row r="376" spans="2:7" ht="14" thickBot="1">
      <c r="B376" s="553" t="s">
        <v>51</v>
      </c>
      <c r="C376" s="555" t="s">
        <v>123</v>
      </c>
      <c r="D376" s="556"/>
      <c r="E376" s="556"/>
      <c r="F376" s="556"/>
      <c r="G376" s="557"/>
    </row>
    <row r="377" spans="2:7" ht="54.5" thickBot="1">
      <c r="B377" s="554"/>
      <c r="C377" s="452" t="s">
        <v>124</v>
      </c>
      <c r="D377" s="452" t="s">
        <v>125</v>
      </c>
      <c r="E377" s="451" t="s">
        <v>126</v>
      </c>
      <c r="F377" s="450" t="s">
        <v>127</v>
      </c>
      <c r="G377" s="449" t="s">
        <v>128</v>
      </c>
    </row>
    <row r="378" spans="2:7">
      <c r="B378" s="446" t="s">
        <v>53</v>
      </c>
      <c r="C378" s="445">
        <v>208649878</v>
      </c>
      <c r="D378" s="444">
        <v>271363218</v>
      </c>
      <c r="E378" s="443">
        <v>-39054368</v>
      </c>
      <c r="F378" s="442">
        <v>0</v>
      </c>
      <c r="G378" s="441">
        <v>0</v>
      </c>
    </row>
    <row r="379" spans="2:7">
      <c r="B379" s="440" t="s">
        <v>63</v>
      </c>
      <c r="C379" s="439">
        <v>216128</v>
      </c>
      <c r="D379" s="438">
        <v>216128</v>
      </c>
      <c r="E379" s="437">
        <v>0</v>
      </c>
      <c r="F379" s="436">
        <v>0</v>
      </c>
      <c r="G379" s="435">
        <v>0</v>
      </c>
    </row>
    <row r="380" spans="2:7">
      <c r="B380" s="440" t="s">
        <v>64</v>
      </c>
      <c r="C380" s="439">
        <v>8321506</v>
      </c>
      <c r="D380" s="438">
        <v>8838396</v>
      </c>
      <c r="E380" s="437">
        <v>-98294</v>
      </c>
      <c r="F380" s="436">
        <v>0</v>
      </c>
      <c r="G380" s="435">
        <v>0</v>
      </c>
    </row>
    <row r="381" spans="2:7">
      <c r="B381" s="440" t="s">
        <v>65</v>
      </c>
      <c r="C381" s="439">
        <v>6951344</v>
      </c>
      <c r="D381" s="438">
        <v>8651519</v>
      </c>
      <c r="E381" s="437">
        <v>-2425085</v>
      </c>
      <c r="F381" s="436">
        <v>0</v>
      </c>
      <c r="G381" s="435">
        <v>0</v>
      </c>
    </row>
    <row r="382" spans="2:7">
      <c r="B382" s="440" t="s">
        <v>66</v>
      </c>
      <c r="C382" s="439">
        <v>1710096</v>
      </c>
      <c r="D382" s="438">
        <v>2325102</v>
      </c>
      <c r="E382" s="437">
        <v>-325839</v>
      </c>
      <c r="F382" s="436">
        <v>0</v>
      </c>
      <c r="G382" s="435">
        <v>0</v>
      </c>
    </row>
    <row r="383" spans="2:7">
      <c r="B383" s="440" t="s">
        <v>67</v>
      </c>
      <c r="C383" s="439">
        <v>4040272</v>
      </c>
      <c r="D383" s="438">
        <v>4722049</v>
      </c>
      <c r="E383" s="437">
        <v>-1147118</v>
      </c>
      <c r="F383" s="436">
        <v>0</v>
      </c>
      <c r="G383" s="435">
        <v>0</v>
      </c>
    </row>
    <row r="384" spans="2:7">
      <c r="B384" s="440" t="s">
        <v>68</v>
      </c>
      <c r="C384" s="439">
        <v>0</v>
      </c>
      <c r="D384" s="438">
        <v>0</v>
      </c>
      <c r="E384" s="437">
        <v>0</v>
      </c>
      <c r="F384" s="436">
        <v>0</v>
      </c>
      <c r="G384" s="435">
        <v>0</v>
      </c>
    </row>
    <row r="385" spans="2:7">
      <c r="B385" s="440" t="s">
        <v>69</v>
      </c>
      <c r="C385" s="439">
        <v>95013770</v>
      </c>
      <c r="D385" s="438">
        <v>137784172</v>
      </c>
      <c r="E385" s="437">
        <v>-22118540</v>
      </c>
      <c r="F385" s="436">
        <v>0</v>
      </c>
      <c r="G385" s="435">
        <v>0</v>
      </c>
    </row>
    <row r="386" spans="2:7">
      <c r="B386" s="440" t="s">
        <v>70</v>
      </c>
      <c r="C386" s="439">
        <v>386973170</v>
      </c>
      <c r="D386" s="438">
        <v>529311124</v>
      </c>
      <c r="E386" s="437">
        <v>-68606427</v>
      </c>
      <c r="F386" s="436">
        <v>0</v>
      </c>
      <c r="G386" s="435">
        <v>0</v>
      </c>
    </row>
    <row r="387" spans="2:7">
      <c r="B387" s="440" t="s">
        <v>71</v>
      </c>
      <c r="C387" s="439">
        <v>0</v>
      </c>
      <c r="D387" s="438">
        <v>0</v>
      </c>
      <c r="E387" s="437">
        <v>0</v>
      </c>
      <c r="F387" s="436">
        <v>0</v>
      </c>
      <c r="G387" s="435">
        <v>0</v>
      </c>
    </row>
    <row r="388" spans="2:7">
      <c r="B388" s="440" t="s">
        <v>72</v>
      </c>
      <c r="C388" s="439">
        <v>0</v>
      </c>
      <c r="D388" s="438">
        <v>0</v>
      </c>
      <c r="E388" s="437">
        <v>0</v>
      </c>
      <c r="F388" s="436">
        <v>0</v>
      </c>
      <c r="G388" s="435">
        <v>0</v>
      </c>
    </row>
    <row r="389" spans="2:7">
      <c r="B389" s="440" t="s">
        <v>73</v>
      </c>
      <c r="C389" s="439">
        <v>26138300</v>
      </c>
      <c r="D389" s="438">
        <v>34617544</v>
      </c>
      <c r="E389" s="437">
        <v>-14141278</v>
      </c>
      <c r="F389" s="436">
        <v>0</v>
      </c>
      <c r="G389" s="435">
        <v>0</v>
      </c>
    </row>
    <row r="390" spans="2:7">
      <c r="B390" s="440" t="s">
        <v>74</v>
      </c>
      <c r="C390" s="439">
        <v>4299522</v>
      </c>
      <c r="D390" s="438">
        <v>6018648</v>
      </c>
      <c r="E390" s="437">
        <v>-759310</v>
      </c>
      <c r="F390" s="436">
        <v>0</v>
      </c>
      <c r="G390" s="435">
        <v>0</v>
      </c>
    </row>
    <row r="391" spans="2:7">
      <c r="B391" s="440" t="s">
        <v>75</v>
      </c>
      <c r="C391" s="439">
        <v>18440411</v>
      </c>
      <c r="D391" s="438">
        <v>25781577</v>
      </c>
      <c r="E391" s="437">
        <v>-13194746</v>
      </c>
      <c r="F391" s="436">
        <v>0</v>
      </c>
      <c r="G391" s="435">
        <v>0</v>
      </c>
    </row>
    <row r="392" spans="2:7">
      <c r="B392" s="440" t="s">
        <v>76</v>
      </c>
      <c r="C392" s="439">
        <v>34596056</v>
      </c>
      <c r="D392" s="438">
        <v>39039527</v>
      </c>
      <c r="E392" s="437">
        <v>-1001866</v>
      </c>
      <c r="F392" s="436">
        <v>0</v>
      </c>
      <c r="G392" s="435">
        <v>0</v>
      </c>
    </row>
    <row r="393" spans="2:7">
      <c r="B393" s="440" t="s">
        <v>77</v>
      </c>
      <c r="C393" s="439">
        <v>0</v>
      </c>
      <c r="D393" s="438">
        <v>0</v>
      </c>
      <c r="E393" s="437">
        <v>0</v>
      </c>
      <c r="F393" s="436">
        <v>0</v>
      </c>
      <c r="G393" s="435">
        <v>0</v>
      </c>
    </row>
    <row r="394" spans="2:7">
      <c r="B394" s="440" t="s">
        <v>78</v>
      </c>
      <c r="C394" s="439">
        <v>0</v>
      </c>
      <c r="D394" s="438">
        <v>0</v>
      </c>
      <c r="E394" s="437">
        <v>0</v>
      </c>
      <c r="F394" s="436">
        <v>0</v>
      </c>
      <c r="G394" s="435">
        <v>0</v>
      </c>
    </row>
    <row r="395" spans="2:7">
      <c r="B395" s="440" t="s">
        <v>79</v>
      </c>
      <c r="C395" s="439">
        <v>0</v>
      </c>
      <c r="D395" s="438">
        <v>0</v>
      </c>
      <c r="E395" s="437">
        <v>0</v>
      </c>
      <c r="F395" s="436">
        <v>0</v>
      </c>
      <c r="G395" s="435">
        <v>0</v>
      </c>
    </row>
    <row r="396" spans="2:7">
      <c r="B396" s="440" t="s">
        <v>80</v>
      </c>
      <c r="C396" s="439">
        <v>0</v>
      </c>
      <c r="D396" s="438">
        <v>0</v>
      </c>
      <c r="E396" s="437">
        <v>0</v>
      </c>
      <c r="F396" s="436">
        <v>0</v>
      </c>
      <c r="G396" s="435">
        <v>0</v>
      </c>
    </row>
    <row r="397" spans="2:7">
      <c r="B397" s="440" t="s">
        <v>81</v>
      </c>
      <c r="C397" s="439">
        <v>0</v>
      </c>
      <c r="D397" s="438">
        <v>0</v>
      </c>
      <c r="E397" s="437">
        <v>0</v>
      </c>
      <c r="F397" s="436">
        <v>0</v>
      </c>
      <c r="G397" s="435">
        <v>0</v>
      </c>
    </row>
    <row r="398" spans="2:7">
      <c r="B398" s="440" t="s">
        <v>82</v>
      </c>
      <c r="C398" s="439">
        <v>37083867</v>
      </c>
      <c r="D398" s="438">
        <v>44202960</v>
      </c>
      <c r="E398" s="437">
        <v>-10837525</v>
      </c>
      <c r="F398" s="436">
        <v>0</v>
      </c>
      <c r="G398" s="435">
        <v>0</v>
      </c>
    </row>
    <row r="399" spans="2:7">
      <c r="B399" s="440" t="s">
        <v>83</v>
      </c>
      <c r="C399" s="439">
        <v>0</v>
      </c>
      <c r="D399" s="438">
        <v>0</v>
      </c>
      <c r="E399" s="437">
        <v>0</v>
      </c>
      <c r="F399" s="436">
        <v>0</v>
      </c>
      <c r="G399" s="435">
        <v>0</v>
      </c>
    </row>
    <row r="400" spans="2:7">
      <c r="B400" s="440" t="s">
        <v>84</v>
      </c>
      <c r="C400" s="439">
        <v>45780716</v>
      </c>
      <c r="D400" s="438">
        <v>65071278</v>
      </c>
      <c r="E400" s="437">
        <v>-10199797</v>
      </c>
      <c r="F400" s="436">
        <v>0</v>
      </c>
      <c r="G400" s="435">
        <v>0</v>
      </c>
    </row>
    <row r="401" spans="2:7">
      <c r="B401" s="440" t="s">
        <v>85</v>
      </c>
      <c r="C401" s="439">
        <v>0</v>
      </c>
      <c r="D401" s="438">
        <v>0</v>
      </c>
      <c r="E401" s="437">
        <v>0</v>
      </c>
      <c r="F401" s="436">
        <v>0</v>
      </c>
      <c r="G401" s="435">
        <v>0</v>
      </c>
    </row>
    <row r="402" spans="2:7">
      <c r="B402" s="440" t="s">
        <v>86</v>
      </c>
      <c r="C402" s="439">
        <v>1463929.1997074017</v>
      </c>
      <c r="D402" s="438">
        <v>1471898.073305602</v>
      </c>
      <c r="E402" s="437">
        <v>-189125.67359820002</v>
      </c>
      <c r="F402" s="436">
        <v>0</v>
      </c>
      <c r="G402" s="435">
        <v>0</v>
      </c>
    </row>
    <row r="403" spans="2:7">
      <c r="B403" s="440" t="s">
        <v>87</v>
      </c>
      <c r="C403" s="439">
        <v>11700382</v>
      </c>
      <c r="D403" s="438">
        <v>12602445</v>
      </c>
      <c r="E403" s="437">
        <v>0</v>
      </c>
      <c r="F403" s="436">
        <v>-6639781</v>
      </c>
      <c r="G403" s="435">
        <v>0</v>
      </c>
    </row>
    <row r="404" spans="2:7">
      <c r="B404" s="440" t="s">
        <v>88</v>
      </c>
      <c r="C404" s="439">
        <v>1900417</v>
      </c>
      <c r="D404" s="438">
        <v>2078030</v>
      </c>
      <c r="E404" s="437">
        <v>-255383</v>
      </c>
      <c r="F404" s="436">
        <v>0</v>
      </c>
      <c r="G404" s="435">
        <v>0</v>
      </c>
    </row>
    <row r="405" spans="2:7">
      <c r="B405" s="440" t="s">
        <v>89</v>
      </c>
      <c r="C405" s="439">
        <v>0</v>
      </c>
      <c r="D405" s="438">
        <v>0</v>
      </c>
      <c r="E405" s="437">
        <v>0</v>
      </c>
      <c r="F405" s="436">
        <v>0</v>
      </c>
      <c r="G405" s="435">
        <v>0</v>
      </c>
    </row>
    <row r="406" spans="2:7">
      <c r="B406" s="440" t="s">
        <v>90</v>
      </c>
      <c r="C406" s="439">
        <v>0</v>
      </c>
      <c r="D406" s="438">
        <v>0</v>
      </c>
      <c r="E406" s="437">
        <v>0</v>
      </c>
      <c r="F406" s="436">
        <v>0</v>
      </c>
      <c r="G406" s="435">
        <v>0</v>
      </c>
    </row>
    <row r="407" spans="2:7">
      <c r="B407" s="440" t="s">
        <v>91</v>
      </c>
      <c r="C407" s="439">
        <v>0</v>
      </c>
      <c r="D407" s="438">
        <v>0</v>
      </c>
      <c r="E407" s="437">
        <v>0</v>
      </c>
      <c r="F407" s="436">
        <v>0</v>
      </c>
      <c r="G407" s="435">
        <v>0</v>
      </c>
    </row>
    <row r="408" spans="2:7">
      <c r="B408" s="440" t="s">
        <v>92</v>
      </c>
      <c r="C408" s="439">
        <v>75416713.849854693</v>
      </c>
      <c r="D408" s="438">
        <v>94239632.515894264</v>
      </c>
      <c r="E408" s="437">
        <v>-2458120.2562183989</v>
      </c>
      <c r="F408" s="436">
        <v>0</v>
      </c>
      <c r="G408" s="435">
        <v>0</v>
      </c>
    </row>
    <row r="409" spans="2:7">
      <c r="B409" s="440" t="s">
        <v>93</v>
      </c>
      <c r="C409" s="439">
        <v>83843319.000719085</v>
      </c>
      <c r="D409" s="438">
        <v>109313766.57647997</v>
      </c>
      <c r="E409" s="437">
        <v>-24958369.010660801</v>
      </c>
      <c r="F409" s="436">
        <v>0</v>
      </c>
      <c r="G409" s="435">
        <v>0</v>
      </c>
    </row>
    <row r="410" spans="2:7">
      <c r="B410" s="440" t="s">
        <v>94</v>
      </c>
      <c r="C410" s="439">
        <v>0</v>
      </c>
      <c r="D410" s="438">
        <v>0</v>
      </c>
      <c r="E410" s="437">
        <v>0</v>
      </c>
      <c r="F410" s="436">
        <v>0</v>
      </c>
      <c r="G410" s="435">
        <v>0</v>
      </c>
    </row>
    <row r="411" spans="2:7">
      <c r="B411" s="440" t="s">
        <v>95</v>
      </c>
      <c r="C411" s="439">
        <v>0</v>
      </c>
      <c r="D411" s="438">
        <v>0</v>
      </c>
      <c r="E411" s="437">
        <v>0</v>
      </c>
      <c r="F411" s="436">
        <v>0</v>
      </c>
      <c r="G411" s="435">
        <v>0</v>
      </c>
    </row>
    <row r="412" spans="2:7">
      <c r="B412" s="440" t="s">
        <v>96</v>
      </c>
      <c r="C412" s="439">
        <v>0</v>
      </c>
      <c r="D412" s="438">
        <v>0</v>
      </c>
      <c r="E412" s="437">
        <v>0</v>
      </c>
      <c r="F412" s="436">
        <v>0</v>
      </c>
      <c r="G412" s="435">
        <v>0</v>
      </c>
    </row>
    <row r="413" spans="2:7">
      <c r="B413" s="440" t="s">
        <v>97</v>
      </c>
      <c r="C413" s="439">
        <v>0</v>
      </c>
      <c r="D413" s="438">
        <v>0</v>
      </c>
      <c r="E413" s="437">
        <v>0</v>
      </c>
      <c r="F413" s="436">
        <v>0</v>
      </c>
      <c r="G413" s="435">
        <v>0</v>
      </c>
    </row>
    <row r="414" spans="2:7">
      <c r="B414" s="440" t="s">
        <v>98</v>
      </c>
      <c r="C414" s="439">
        <v>0</v>
      </c>
      <c r="D414" s="438">
        <v>0</v>
      </c>
      <c r="E414" s="437">
        <v>0</v>
      </c>
      <c r="F414" s="436">
        <v>0</v>
      </c>
      <c r="G414" s="435">
        <v>0</v>
      </c>
    </row>
    <row r="415" spans="2:7">
      <c r="B415" s="440" t="s">
        <v>99</v>
      </c>
      <c r="C415" s="439">
        <v>11445367</v>
      </c>
      <c r="D415" s="438">
        <v>13404745</v>
      </c>
      <c r="E415" s="437">
        <v>-2518566</v>
      </c>
      <c r="F415" s="436">
        <v>0</v>
      </c>
      <c r="G415" s="435">
        <v>0</v>
      </c>
    </row>
    <row r="416" spans="2:7">
      <c r="B416" s="440" t="s">
        <v>100</v>
      </c>
      <c r="C416" s="439">
        <v>2824362</v>
      </c>
      <c r="D416" s="438">
        <v>3893605</v>
      </c>
      <c r="E416" s="437">
        <v>-1862005</v>
      </c>
      <c r="F416" s="436">
        <v>0</v>
      </c>
      <c r="G416" s="435">
        <v>0</v>
      </c>
    </row>
    <row r="417" spans="2:7">
      <c r="B417" s="440" t="s">
        <v>101</v>
      </c>
      <c r="C417" s="439">
        <v>3024488</v>
      </c>
      <c r="D417" s="438">
        <v>3024488</v>
      </c>
      <c r="E417" s="437">
        <v>0</v>
      </c>
      <c r="F417" s="436">
        <v>0</v>
      </c>
      <c r="G417" s="435">
        <v>0</v>
      </c>
    </row>
    <row r="418" spans="2:7">
      <c r="B418" s="440" t="s">
        <v>102</v>
      </c>
      <c r="C418" s="439">
        <v>25011</v>
      </c>
      <c r="D418" s="438">
        <v>25011</v>
      </c>
      <c r="E418" s="437">
        <v>0</v>
      </c>
      <c r="F418" s="436">
        <v>0</v>
      </c>
      <c r="G418" s="435">
        <v>0</v>
      </c>
    </row>
    <row r="419" spans="2:7">
      <c r="B419" s="440" t="s">
        <v>103</v>
      </c>
      <c r="C419" s="439">
        <v>309603</v>
      </c>
      <c r="D419" s="438">
        <v>349339</v>
      </c>
      <c r="E419" s="437">
        <v>0</v>
      </c>
      <c r="F419" s="436">
        <v>0</v>
      </c>
      <c r="G419" s="435">
        <v>0</v>
      </c>
    </row>
    <row r="420" spans="2:7">
      <c r="B420" s="440" t="s">
        <v>104</v>
      </c>
      <c r="C420" s="439">
        <v>1811399</v>
      </c>
      <c r="D420" s="438">
        <v>1889019</v>
      </c>
      <c r="E420" s="437">
        <v>-1587799</v>
      </c>
      <c r="F420" s="436">
        <v>0</v>
      </c>
      <c r="G420" s="435">
        <v>0</v>
      </c>
    </row>
    <row r="421" spans="2:7">
      <c r="B421" s="440" t="s">
        <v>105</v>
      </c>
      <c r="C421" s="439">
        <v>0</v>
      </c>
      <c r="D421" s="438">
        <v>0</v>
      </c>
      <c r="E421" s="437">
        <v>0</v>
      </c>
      <c r="F421" s="436">
        <v>0</v>
      </c>
      <c r="G421" s="435">
        <v>0</v>
      </c>
    </row>
    <row r="422" spans="2:7">
      <c r="B422" s="440" t="s">
        <v>106</v>
      </c>
      <c r="C422" s="439">
        <v>0</v>
      </c>
      <c r="D422" s="438">
        <v>0</v>
      </c>
      <c r="E422" s="437">
        <v>0</v>
      </c>
      <c r="F422" s="436">
        <v>0</v>
      </c>
      <c r="G422" s="435">
        <v>0</v>
      </c>
    </row>
    <row r="423" spans="2:7">
      <c r="B423" s="440" t="s">
        <v>107</v>
      </c>
      <c r="C423" s="439">
        <v>0</v>
      </c>
      <c r="D423" s="438">
        <v>0</v>
      </c>
      <c r="E423" s="437">
        <v>0</v>
      </c>
      <c r="F423" s="436">
        <v>0</v>
      </c>
      <c r="G423" s="435">
        <v>0</v>
      </c>
    </row>
    <row r="424" spans="2:7">
      <c r="B424" s="440" t="s">
        <v>108</v>
      </c>
      <c r="C424" s="439">
        <v>0</v>
      </c>
      <c r="D424" s="438">
        <v>0</v>
      </c>
      <c r="E424" s="437">
        <v>0</v>
      </c>
      <c r="F424" s="436">
        <v>0</v>
      </c>
      <c r="G424" s="435">
        <v>0</v>
      </c>
    </row>
    <row r="425" spans="2:7">
      <c r="B425" s="440" t="s">
        <v>109</v>
      </c>
      <c r="C425" s="439">
        <v>139507966</v>
      </c>
      <c r="D425" s="438">
        <v>203073989</v>
      </c>
      <c r="E425" s="437">
        <v>-45206670</v>
      </c>
      <c r="F425" s="436">
        <v>-16215393</v>
      </c>
      <c r="G425" s="435">
        <v>0</v>
      </c>
    </row>
    <row r="426" spans="2:7">
      <c r="B426" s="440" t="s">
        <v>110</v>
      </c>
      <c r="C426" s="439">
        <v>0</v>
      </c>
      <c r="D426" s="438">
        <v>0</v>
      </c>
      <c r="E426" s="437">
        <v>0</v>
      </c>
      <c r="F426" s="436">
        <v>0</v>
      </c>
      <c r="G426" s="435">
        <v>0</v>
      </c>
    </row>
    <row r="427" spans="2:7">
      <c r="B427" s="440" t="s">
        <v>111</v>
      </c>
      <c r="C427" s="439">
        <v>15232052.720266482</v>
      </c>
      <c r="D427" s="438">
        <v>19624340.544678502</v>
      </c>
      <c r="E427" s="437">
        <v>-2149260.4410413001</v>
      </c>
      <c r="F427" s="436">
        <v>0</v>
      </c>
      <c r="G427" s="435">
        <v>0</v>
      </c>
    </row>
    <row r="428" spans="2:7">
      <c r="B428" s="440" t="s">
        <v>112</v>
      </c>
      <c r="C428" s="439">
        <v>68385231</v>
      </c>
      <c r="D428" s="438">
        <v>98465703</v>
      </c>
      <c r="E428" s="437">
        <v>0</v>
      </c>
      <c r="F428" s="436">
        <v>-33230031</v>
      </c>
      <c r="G428" s="435">
        <v>0</v>
      </c>
    </row>
    <row r="429" spans="2:7">
      <c r="B429" s="440" t="s">
        <v>113</v>
      </c>
      <c r="C429" s="439">
        <v>26139096</v>
      </c>
      <c r="D429" s="438">
        <v>31575189</v>
      </c>
      <c r="E429" s="437">
        <v>-5709752</v>
      </c>
      <c r="F429" s="436">
        <v>0</v>
      </c>
      <c r="G429" s="435">
        <v>0</v>
      </c>
    </row>
    <row r="430" spans="2:7">
      <c r="B430" s="440" t="s">
        <v>114</v>
      </c>
      <c r="C430" s="439">
        <v>8891685.1860924028</v>
      </c>
      <c r="D430" s="438">
        <v>9831631.8592584021</v>
      </c>
      <c r="E430" s="437">
        <v>738220.30939059996</v>
      </c>
      <c r="F430" s="436">
        <v>0</v>
      </c>
      <c r="G430" s="435">
        <v>0</v>
      </c>
    </row>
    <row r="431" spans="2:7">
      <c r="B431" s="440" t="s">
        <v>115</v>
      </c>
      <c r="C431" s="439">
        <v>57082467.812788785</v>
      </c>
      <c r="D431" s="438">
        <v>76749572.119294181</v>
      </c>
      <c r="E431" s="437">
        <v>-16046727.879363298</v>
      </c>
      <c r="F431" s="436">
        <v>0</v>
      </c>
      <c r="G431" s="435">
        <v>0</v>
      </c>
    </row>
    <row r="432" spans="2:7">
      <c r="B432" s="440" t="s">
        <v>116</v>
      </c>
      <c r="C432" s="439">
        <v>0</v>
      </c>
      <c r="D432" s="438">
        <v>0</v>
      </c>
      <c r="E432" s="437">
        <v>0</v>
      </c>
      <c r="F432" s="436">
        <v>0</v>
      </c>
      <c r="G432" s="435">
        <v>0</v>
      </c>
    </row>
    <row r="433" spans="2:7">
      <c r="B433" s="440" t="s">
        <v>117</v>
      </c>
      <c r="C433" s="439">
        <v>628416</v>
      </c>
      <c r="D433" s="438">
        <v>628416</v>
      </c>
      <c r="E433" s="437">
        <v>0</v>
      </c>
      <c r="F433" s="436">
        <v>0</v>
      </c>
      <c r="G433" s="435">
        <v>0</v>
      </c>
    </row>
    <row r="434" spans="2:7">
      <c r="B434" s="440" t="s">
        <v>118</v>
      </c>
      <c r="C434" s="439">
        <v>25424670</v>
      </c>
      <c r="D434" s="438">
        <v>34423159</v>
      </c>
      <c r="E434" s="437">
        <v>-9421041</v>
      </c>
      <c r="F434" s="436">
        <v>0</v>
      </c>
      <c r="G434" s="435">
        <v>0</v>
      </c>
    </row>
    <row r="435" spans="2:7">
      <c r="B435" s="440" t="s">
        <v>119</v>
      </c>
      <c r="C435" s="439">
        <v>635285</v>
      </c>
      <c r="D435" s="438">
        <v>635285</v>
      </c>
      <c r="E435" s="437">
        <v>0</v>
      </c>
      <c r="F435" s="436">
        <v>0</v>
      </c>
      <c r="G435" s="435">
        <v>0</v>
      </c>
    </row>
    <row r="436" spans="2:7">
      <c r="B436" s="440" t="s">
        <v>120</v>
      </c>
      <c r="C436" s="439">
        <v>64074</v>
      </c>
      <c r="D436" s="438">
        <v>64074</v>
      </c>
      <c r="E436" s="437">
        <v>0</v>
      </c>
      <c r="F436" s="436">
        <v>0</v>
      </c>
      <c r="G436" s="435">
        <v>0</v>
      </c>
    </row>
    <row r="437" spans="2:7">
      <c r="B437" s="440" t="s">
        <v>121</v>
      </c>
      <c r="C437" s="439">
        <v>154274895</v>
      </c>
      <c r="D437" s="438">
        <v>212162335</v>
      </c>
      <c r="E437" s="437">
        <v>-48905324</v>
      </c>
      <c r="F437" s="436">
        <v>-4129017</v>
      </c>
      <c r="G437" s="435">
        <v>0</v>
      </c>
    </row>
    <row r="438" spans="2:7" ht="14" thickBot="1">
      <c r="B438" s="455" t="s">
        <v>122</v>
      </c>
      <c r="C438" s="433">
        <v>0</v>
      </c>
      <c r="D438" s="432">
        <v>0</v>
      </c>
      <c r="E438" s="431">
        <v>0</v>
      </c>
      <c r="F438" s="430">
        <v>0</v>
      </c>
      <c r="G438" s="429">
        <v>0</v>
      </c>
    </row>
    <row r="441" spans="2:7">
      <c r="B441" s="12" t="s">
        <v>10</v>
      </c>
    </row>
    <row r="442" spans="2:7" ht="14" thickBot="1"/>
    <row r="443" spans="2:7" ht="14" thickBot="1">
      <c r="B443" s="553" t="s">
        <v>51</v>
      </c>
      <c r="C443" s="555" t="s">
        <v>123</v>
      </c>
      <c r="D443" s="556"/>
      <c r="E443" s="556"/>
      <c r="F443" s="556"/>
      <c r="G443" s="557"/>
    </row>
    <row r="444" spans="2:7" ht="54.5" thickBot="1">
      <c r="B444" s="554"/>
      <c r="C444" s="452" t="s">
        <v>124</v>
      </c>
      <c r="D444" s="452" t="s">
        <v>125</v>
      </c>
      <c r="E444" s="451" t="s">
        <v>126</v>
      </c>
      <c r="F444" s="450" t="s">
        <v>127</v>
      </c>
      <c r="G444" s="449" t="s">
        <v>128</v>
      </c>
    </row>
    <row r="445" spans="2:7">
      <c r="B445" s="446" t="s">
        <v>53</v>
      </c>
      <c r="C445" s="445">
        <v>196672836</v>
      </c>
      <c r="D445" s="444">
        <v>259702260</v>
      </c>
      <c r="E445" s="443">
        <v>-50308309</v>
      </c>
      <c r="F445" s="442">
        <v>0</v>
      </c>
      <c r="G445" s="453">
        <v>0</v>
      </c>
    </row>
    <row r="446" spans="2:7">
      <c r="B446" s="440" t="s">
        <v>63</v>
      </c>
      <c r="C446" s="439">
        <v>142643</v>
      </c>
      <c r="D446" s="438">
        <v>142643</v>
      </c>
      <c r="E446" s="437">
        <v>0</v>
      </c>
      <c r="F446" s="436">
        <v>0</v>
      </c>
      <c r="G446" s="454">
        <v>0</v>
      </c>
    </row>
    <row r="447" spans="2:7">
      <c r="B447" s="440" t="s">
        <v>64</v>
      </c>
      <c r="C447" s="439">
        <v>3763459</v>
      </c>
      <c r="D447" s="438">
        <v>4221933</v>
      </c>
      <c r="E447" s="437">
        <v>-429663</v>
      </c>
      <c r="F447" s="436">
        <v>0</v>
      </c>
      <c r="G447" s="454">
        <v>0</v>
      </c>
    </row>
    <row r="448" spans="2:7">
      <c r="B448" s="440" t="s">
        <v>65</v>
      </c>
      <c r="C448" s="439">
        <v>5797852</v>
      </c>
      <c r="D448" s="438">
        <v>8767692</v>
      </c>
      <c r="E448" s="437">
        <v>-2707588</v>
      </c>
      <c r="F448" s="436">
        <v>0</v>
      </c>
      <c r="G448" s="454">
        <v>0</v>
      </c>
    </row>
    <row r="449" spans="2:7">
      <c r="B449" s="440" t="s">
        <v>66</v>
      </c>
      <c r="C449" s="439">
        <v>689639</v>
      </c>
      <c r="D449" s="438">
        <v>1038278</v>
      </c>
      <c r="E449" s="437">
        <v>-108093</v>
      </c>
      <c r="F449" s="436">
        <v>0</v>
      </c>
      <c r="G449" s="454">
        <v>0</v>
      </c>
    </row>
    <row r="450" spans="2:7">
      <c r="B450" s="440" t="s">
        <v>67</v>
      </c>
      <c r="C450" s="439">
        <v>465217</v>
      </c>
      <c r="D450" s="438">
        <v>644109</v>
      </c>
      <c r="E450" s="437">
        <v>-164235</v>
      </c>
      <c r="F450" s="436">
        <v>0</v>
      </c>
      <c r="G450" s="454">
        <v>0</v>
      </c>
    </row>
    <row r="451" spans="2:7">
      <c r="B451" s="440" t="s">
        <v>68</v>
      </c>
      <c r="C451" s="439">
        <v>0</v>
      </c>
      <c r="D451" s="438">
        <v>0</v>
      </c>
      <c r="E451" s="437">
        <v>0</v>
      </c>
      <c r="F451" s="436">
        <v>0</v>
      </c>
      <c r="G451" s="454">
        <v>0</v>
      </c>
    </row>
    <row r="452" spans="2:7">
      <c r="B452" s="440" t="s">
        <v>69</v>
      </c>
      <c r="C452" s="439">
        <v>8978290</v>
      </c>
      <c r="D452" s="438">
        <v>9427791</v>
      </c>
      <c r="E452" s="437">
        <v>-2975119</v>
      </c>
      <c r="F452" s="436">
        <v>0</v>
      </c>
      <c r="G452" s="454">
        <v>0</v>
      </c>
    </row>
    <row r="453" spans="2:7">
      <c r="B453" s="440" t="s">
        <v>70</v>
      </c>
      <c r="C453" s="439">
        <v>392677557</v>
      </c>
      <c r="D453" s="438">
        <v>539156229</v>
      </c>
      <c r="E453" s="437">
        <v>-140894774</v>
      </c>
      <c r="F453" s="436">
        <v>0</v>
      </c>
      <c r="G453" s="454">
        <v>0</v>
      </c>
    </row>
    <row r="454" spans="2:7">
      <c r="B454" s="440" t="s">
        <v>71</v>
      </c>
      <c r="C454" s="439">
        <v>0</v>
      </c>
      <c r="D454" s="438">
        <v>0</v>
      </c>
      <c r="E454" s="437">
        <v>0</v>
      </c>
      <c r="F454" s="436">
        <v>0</v>
      </c>
      <c r="G454" s="454">
        <v>0</v>
      </c>
    </row>
    <row r="455" spans="2:7">
      <c r="B455" s="440" t="s">
        <v>72</v>
      </c>
      <c r="C455" s="439">
        <v>1313213.9962227</v>
      </c>
      <c r="D455" s="438">
        <v>1810318.4224845001</v>
      </c>
      <c r="E455" s="437">
        <v>0</v>
      </c>
      <c r="F455" s="436">
        <v>0</v>
      </c>
      <c r="G455" s="454">
        <v>0</v>
      </c>
    </row>
    <row r="456" spans="2:7">
      <c r="B456" s="440" t="s">
        <v>73</v>
      </c>
      <c r="C456" s="439">
        <v>10893105</v>
      </c>
      <c r="D456" s="438">
        <v>13663338</v>
      </c>
      <c r="E456" s="437">
        <v>-5752402</v>
      </c>
      <c r="F456" s="436">
        <v>0</v>
      </c>
      <c r="G456" s="454">
        <v>0</v>
      </c>
    </row>
    <row r="457" spans="2:7">
      <c r="B457" s="440" t="s">
        <v>74</v>
      </c>
      <c r="C457" s="439">
        <v>1385086</v>
      </c>
      <c r="D457" s="438">
        <v>1684407</v>
      </c>
      <c r="E457" s="437">
        <v>-311221</v>
      </c>
      <c r="F457" s="436">
        <v>0</v>
      </c>
      <c r="G457" s="454">
        <v>0</v>
      </c>
    </row>
    <row r="458" spans="2:7">
      <c r="B458" s="440" t="s">
        <v>75</v>
      </c>
      <c r="C458" s="439">
        <v>2620716</v>
      </c>
      <c r="D458" s="438">
        <v>3228807</v>
      </c>
      <c r="E458" s="437">
        <v>-1337521</v>
      </c>
      <c r="F458" s="436">
        <v>0</v>
      </c>
      <c r="G458" s="454">
        <v>0</v>
      </c>
    </row>
    <row r="459" spans="2:7">
      <c r="B459" s="440" t="s">
        <v>76</v>
      </c>
      <c r="C459" s="439">
        <v>13770511</v>
      </c>
      <c r="D459" s="438">
        <v>15796318</v>
      </c>
      <c r="E459" s="437">
        <v>-501665</v>
      </c>
      <c r="F459" s="436">
        <v>0</v>
      </c>
      <c r="G459" s="454">
        <v>0</v>
      </c>
    </row>
    <row r="460" spans="2:7">
      <c r="B460" s="440" t="s">
        <v>77</v>
      </c>
      <c r="C460" s="439">
        <v>0</v>
      </c>
      <c r="D460" s="438">
        <v>0</v>
      </c>
      <c r="E460" s="437">
        <v>0</v>
      </c>
      <c r="F460" s="436">
        <v>0</v>
      </c>
      <c r="G460" s="454">
        <v>0</v>
      </c>
    </row>
    <row r="461" spans="2:7">
      <c r="B461" s="440" t="s">
        <v>78</v>
      </c>
      <c r="C461" s="439">
        <v>0</v>
      </c>
      <c r="D461" s="438">
        <v>0</v>
      </c>
      <c r="E461" s="437">
        <v>0</v>
      </c>
      <c r="F461" s="436">
        <v>0</v>
      </c>
      <c r="G461" s="454">
        <v>0</v>
      </c>
    </row>
    <row r="462" spans="2:7">
      <c r="B462" s="440" t="s">
        <v>79</v>
      </c>
      <c r="C462" s="439">
        <v>0</v>
      </c>
      <c r="D462" s="438">
        <v>0</v>
      </c>
      <c r="E462" s="437">
        <v>0</v>
      </c>
      <c r="F462" s="436">
        <v>0</v>
      </c>
      <c r="G462" s="454">
        <v>0</v>
      </c>
    </row>
    <row r="463" spans="2:7">
      <c r="B463" s="440" t="s">
        <v>80</v>
      </c>
      <c r="C463" s="439">
        <v>0</v>
      </c>
      <c r="D463" s="438">
        <v>0</v>
      </c>
      <c r="E463" s="437">
        <v>0</v>
      </c>
      <c r="F463" s="436">
        <v>0</v>
      </c>
      <c r="G463" s="454">
        <v>0</v>
      </c>
    </row>
    <row r="464" spans="2:7">
      <c r="B464" s="440" t="s">
        <v>81</v>
      </c>
      <c r="C464" s="439">
        <v>0</v>
      </c>
      <c r="D464" s="438">
        <v>0</v>
      </c>
      <c r="E464" s="437">
        <v>0</v>
      </c>
      <c r="F464" s="436">
        <v>0</v>
      </c>
      <c r="G464" s="454">
        <v>0</v>
      </c>
    </row>
    <row r="465" spans="2:7">
      <c r="B465" s="440" t="s">
        <v>82</v>
      </c>
      <c r="C465" s="439">
        <v>18257476</v>
      </c>
      <c r="D465" s="438">
        <v>23104188</v>
      </c>
      <c r="E465" s="437">
        <v>-6125379</v>
      </c>
      <c r="F465" s="436">
        <v>0</v>
      </c>
      <c r="G465" s="454">
        <v>0</v>
      </c>
    </row>
    <row r="466" spans="2:7">
      <c r="B466" s="440" t="s">
        <v>83</v>
      </c>
      <c r="C466" s="439">
        <v>0</v>
      </c>
      <c r="D466" s="438">
        <v>0</v>
      </c>
      <c r="E466" s="437">
        <v>0</v>
      </c>
      <c r="F466" s="436">
        <v>0</v>
      </c>
      <c r="G466" s="454">
        <v>0</v>
      </c>
    </row>
    <row r="467" spans="2:7">
      <c r="B467" s="440" t="s">
        <v>84</v>
      </c>
      <c r="C467" s="439">
        <v>26375199</v>
      </c>
      <c r="D467" s="438">
        <v>35791649</v>
      </c>
      <c r="E467" s="437">
        <v>-10666335</v>
      </c>
      <c r="F467" s="436">
        <v>0</v>
      </c>
      <c r="G467" s="454">
        <v>0</v>
      </c>
    </row>
    <row r="468" spans="2:7">
      <c r="B468" s="440" t="s">
        <v>85</v>
      </c>
      <c r="C468" s="439">
        <v>9977628</v>
      </c>
      <c r="D468" s="438">
        <v>13065669</v>
      </c>
      <c r="E468" s="437">
        <v>-6655869</v>
      </c>
      <c r="F468" s="436">
        <v>0</v>
      </c>
      <c r="G468" s="454">
        <v>0</v>
      </c>
    </row>
    <row r="469" spans="2:7">
      <c r="B469" s="440" t="s">
        <v>86</v>
      </c>
      <c r="C469" s="439">
        <v>495071.1287634999</v>
      </c>
      <c r="D469" s="438">
        <v>763235.09329360013</v>
      </c>
      <c r="E469" s="437">
        <v>0</v>
      </c>
      <c r="F469" s="436">
        <v>0</v>
      </c>
      <c r="G469" s="454">
        <v>0</v>
      </c>
    </row>
    <row r="470" spans="2:7">
      <c r="B470" s="440" t="s">
        <v>87</v>
      </c>
      <c r="C470" s="439">
        <v>1601139</v>
      </c>
      <c r="D470" s="438">
        <v>1850988</v>
      </c>
      <c r="E470" s="437">
        <v>0</v>
      </c>
      <c r="F470" s="436">
        <v>-405046</v>
      </c>
      <c r="G470" s="454">
        <v>0</v>
      </c>
    </row>
    <row r="471" spans="2:7">
      <c r="B471" s="440" t="s">
        <v>88</v>
      </c>
      <c r="C471" s="439">
        <v>433745</v>
      </c>
      <c r="D471" s="438">
        <v>630331</v>
      </c>
      <c r="E471" s="437">
        <v>-101073</v>
      </c>
      <c r="F471" s="436">
        <v>0</v>
      </c>
      <c r="G471" s="454">
        <v>0</v>
      </c>
    </row>
    <row r="472" spans="2:7">
      <c r="B472" s="440" t="s">
        <v>89</v>
      </c>
      <c r="C472" s="439">
        <v>370424.91572610004</v>
      </c>
      <c r="D472" s="438">
        <v>576689.10882359999</v>
      </c>
      <c r="E472" s="437">
        <v>-103929.6296</v>
      </c>
      <c r="F472" s="436">
        <v>0</v>
      </c>
      <c r="G472" s="454">
        <v>0</v>
      </c>
    </row>
    <row r="473" spans="2:7">
      <c r="B473" s="440" t="s">
        <v>90</v>
      </c>
      <c r="C473" s="439">
        <v>1830695</v>
      </c>
      <c r="D473" s="438">
        <v>2071325</v>
      </c>
      <c r="E473" s="437">
        <v>0</v>
      </c>
      <c r="F473" s="436">
        <v>-547245</v>
      </c>
      <c r="G473" s="454">
        <v>0</v>
      </c>
    </row>
    <row r="474" spans="2:7">
      <c r="B474" s="440" t="s">
        <v>91</v>
      </c>
      <c r="C474" s="439">
        <v>258204</v>
      </c>
      <c r="D474" s="438">
        <v>397704</v>
      </c>
      <c r="E474" s="437">
        <v>-13325</v>
      </c>
      <c r="F474" s="436">
        <v>0</v>
      </c>
      <c r="G474" s="454">
        <v>0</v>
      </c>
    </row>
    <row r="475" spans="2:7">
      <c r="B475" s="440" t="s">
        <v>92</v>
      </c>
      <c r="C475" s="439">
        <v>21417390.023898609</v>
      </c>
      <c r="D475" s="438">
        <v>24997523.129012711</v>
      </c>
      <c r="E475" s="437">
        <v>-750016.83000000019</v>
      </c>
      <c r="F475" s="436">
        <v>0</v>
      </c>
      <c r="G475" s="454">
        <v>0</v>
      </c>
    </row>
    <row r="476" spans="2:7">
      <c r="B476" s="440" t="s">
        <v>93</v>
      </c>
      <c r="C476" s="439">
        <v>0</v>
      </c>
      <c r="D476" s="438">
        <v>0</v>
      </c>
      <c r="E476" s="437">
        <v>0</v>
      </c>
      <c r="F476" s="436">
        <v>0</v>
      </c>
      <c r="G476" s="454">
        <v>0</v>
      </c>
    </row>
    <row r="477" spans="2:7">
      <c r="B477" s="440" t="s">
        <v>94</v>
      </c>
      <c r="C477" s="439">
        <v>0.10606260002267542</v>
      </c>
      <c r="D477" s="438">
        <v>0.10606260002267542</v>
      </c>
      <c r="E477" s="437">
        <v>0</v>
      </c>
      <c r="F477" s="436">
        <v>0</v>
      </c>
      <c r="G477" s="454">
        <v>0</v>
      </c>
    </row>
    <row r="478" spans="2:7">
      <c r="B478" s="440" t="s">
        <v>95</v>
      </c>
      <c r="C478" s="439">
        <v>556877.87296959991</v>
      </c>
      <c r="D478" s="438">
        <v>556877.87296959991</v>
      </c>
      <c r="E478" s="437">
        <v>0</v>
      </c>
      <c r="F478" s="436">
        <v>0</v>
      </c>
      <c r="G478" s="454">
        <v>0</v>
      </c>
    </row>
    <row r="479" spans="2:7">
      <c r="B479" s="440" t="s">
        <v>96</v>
      </c>
      <c r="C479" s="439">
        <v>125071.26898479999</v>
      </c>
      <c r="D479" s="438">
        <v>125071.26898479999</v>
      </c>
      <c r="E479" s="437">
        <v>0</v>
      </c>
      <c r="F479" s="436">
        <v>0</v>
      </c>
      <c r="G479" s="454">
        <v>0</v>
      </c>
    </row>
    <row r="480" spans="2:7">
      <c r="B480" s="440" t="s">
        <v>97</v>
      </c>
      <c r="C480" s="439">
        <v>0</v>
      </c>
      <c r="D480" s="438">
        <v>0</v>
      </c>
      <c r="E480" s="437">
        <v>0</v>
      </c>
      <c r="F480" s="436">
        <v>0</v>
      </c>
      <c r="G480" s="454">
        <v>0</v>
      </c>
    </row>
    <row r="481" spans="2:7">
      <c r="B481" s="440" t="s">
        <v>98</v>
      </c>
      <c r="C481" s="439">
        <v>151318.10602140002</v>
      </c>
      <c r="D481" s="438">
        <v>151318.10602140002</v>
      </c>
      <c r="E481" s="437">
        <v>0</v>
      </c>
      <c r="F481" s="436">
        <v>0</v>
      </c>
      <c r="G481" s="454">
        <v>0</v>
      </c>
    </row>
    <row r="482" spans="2:7">
      <c r="B482" s="440" t="s">
        <v>99</v>
      </c>
      <c r="C482" s="439">
        <v>4053270</v>
      </c>
      <c r="D482" s="438">
        <v>4402326</v>
      </c>
      <c r="E482" s="437">
        <v>-653787</v>
      </c>
      <c r="F482" s="436">
        <v>0</v>
      </c>
      <c r="G482" s="454">
        <v>0</v>
      </c>
    </row>
    <row r="483" spans="2:7">
      <c r="B483" s="440" t="s">
        <v>100</v>
      </c>
      <c r="C483" s="439">
        <v>5854017</v>
      </c>
      <c r="D483" s="438">
        <v>9097350</v>
      </c>
      <c r="E483" s="437">
        <v>-964204</v>
      </c>
      <c r="F483" s="436">
        <v>0</v>
      </c>
      <c r="G483" s="454">
        <v>0</v>
      </c>
    </row>
    <row r="484" spans="2:7">
      <c r="B484" s="440" t="s">
        <v>101</v>
      </c>
      <c r="C484" s="439">
        <v>1619802</v>
      </c>
      <c r="D484" s="438">
        <v>1619802</v>
      </c>
      <c r="E484" s="437">
        <v>0</v>
      </c>
      <c r="F484" s="436">
        <v>0</v>
      </c>
      <c r="G484" s="454">
        <v>0</v>
      </c>
    </row>
    <row r="485" spans="2:7">
      <c r="B485" s="440" t="s">
        <v>102</v>
      </c>
      <c r="C485" s="439">
        <v>0</v>
      </c>
      <c r="D485" s="438">
        <v>0</v>
      </c>
      <c r="E485" s="437">
        <v>0</v>
      </c>
      <c r="F485" s="436">
        <v>0</v>
      </c>
      <c r="G485" s="454">
        <v>0</v>
      </c>
    </row>
    <row r="486" spans="2:7">
      <c r="B486" s="440" t="s">
        <v>103</v>
      </c>
      <c r="C486" s="439">
        <v>150933</v>
      </c>
      <c r="D486" s="438">
        <v>150933</v>
      </c>
      <c r="E486" s="437">
        <v>0</v>
      </c>
      <c r="F486" s="436">
        <v>0</v>
      </c>
      <c r="G486" s="454">
        <v>0</v>
      </c>
    </row>
    <row r="487" spans="2:7">
      <c r="B487" s="440" t="s">
        <v>104</v>
      </c>
      <c r="C487" s="439">
        <v>0</v>
      </c>
      <c r="D487" s="438">
        <v>0</v>
      </c>
      <c r="E487" s="437">
        <v>0</v>
      </c>
      <c r="F487" s="436">
        <v>0</v>
      </c>
      <c r="G487" s="454">
        <v>0</v>
      </c>
    </row>
    <row r="488" spans="2:7">
      <c r="B488" s="440" t="s">
        <v>105</v>
      </c>
      <c r="C488" s="439">
        <v>0</v>
      </c>
      <c r="D488" s="438">
        <v>0</v>
      </c>
      <c r="E488" s="437">
        <v>0</v>
      </c>
      <c r="F488" s="436">
        <v>0</v>
      </c>
      <c r="G488" s="454">
        <v>0</v>
      </c>
    </row>
    <row r="489" spans="2:7">
      <c r="B489" s="440" t="s">
        <v>106</v>
      </c>
      <c r="C489" s="439">
        <v>6618624</v>
      </c>
      <c r="D489" s="438">
        <v>6947277</v>
      </c>
      <c r="E489" s="437">
        <v>-2187340</v>
      </c>
      <c r="F489" s="436">
        <v>0</v>
      </c>
      <c r="G489" s="454">
        <v>0</v>
      </c>
    </row>
    <row r="490" spans="2:7">
      <c r="B490" s="440" t="s">
        <v>107</v>
      </c>
      <c r="C490" s="439">
        <v>0</v>
      </c>
      <c r="D490" s="438">
        <v>0</v>
      </c>
      <c r="E490" s="437">
        <v>0</v>
      </c>
      <c r="F490" s="436">
        <v>0</v>
      </c>
      <c r="G490" s="454">
        <v>0</v>
      </c>
    </row>
    <row r="491" spans="2:7">
      <c r="B491" s="440" t="s">
        <v>108</v>
      </c>
      <c r="C491" s="439">
        <v>0</v>
      </c>
      <c r="D491" s="438">
        <v>0</v>
      </c>
      <c r="E491" s="437">
        <v>0</v>
      </c>
      <c r="F491" s="436">
        <v>0</v>
      </c>
      <c r="G491" s="454">
        <v>0</v>
      </c>
    </row>
    <row r="492" spans="2:7">
      <c r="B492" s="440" t="s">
        <v>109</v>
      </c>
      <c r="C492" s="439">
        <v>73844937</v>
      </c>
      <c r="D492" s="438">
        <v>104009562</v>
      </c>
      <c r="E492" s="437">
        <v>-20174130</v>
      </c>
      <c r="F492" s="436">
        <v>-1196071</v>
      </c>
      <c r="G492" s="454">
        <v>0</v>
      </c>
    </row>
    <row r="493" spans="2:7">
      <c r="B493" s="440" t="s">
        <v>110</v>
      </c>
      <c r="C493" s="439">
        <v>12100919</v>
      </c>
      <c r="D493" s="438">
        <v>13265753</v>
      </c>
      <c r="E493" s="437">
        <v>-8479882</v>
      </c>
      <c r="F493" s="436">
        <v>0</v>
      </c>
      <c r="G493" s="454">
        <v>0</v>
      </c>
    </row>
    <row r="494" spans="2:7">
      <c r="B494" s="440" t="s">
        <v>111</v>
      </c>
      <c r="C494" s="439">
        <v>9522642.0290316995</v>
      </c>
      <c r="D494" s="438">
        <v>12918956.685901199</v>
      </c>
      <c r="E494" s="437">
        <v>-469331.99206100003</v>
      </c>
      <c r="F494" s="436">
        <v>0</v>
      </c>
      <c r="G494" s="454">
        <v>0</v>
      </c>
    </row>
    <row r="495" spans="2:7">
      <c r="B495" s="440" t="s">
        <v>112</v>
      </c>
      <c r="C495" s="439">
        <v>76157273</v>
      </c>
      <c r="D495" s="438">
        <v>85656412</v>
      </c>
      <c r="E495" s="437">
        <v>-1058540</v>
      </c>
      <c r="F495" s="436">
        <v>-32668634</v>
      </c>
      <c r="G495" s="454">
        <v>0</v>
      </c>
    </row>
    <row r="496" spans="2:7">
      <c r="B496" s="440" t="s">
        <v>113</v>
      </c>
      <c r="C496" s="439">
        <v>12553574</v>
      </c>
      <c r="D496" s="438">
        <v>15194851</v>
      </c>
      <c r="E496" s="437">
        <v>-1880127</v>
      </c>
      <c r="F496" s="436">
        <v>0</v>
      </c>
      <c r="G496" s="454">
        <v>0</v>
      </c>
    </row>
    <row r="497" spans="2:7">
      <c r="B497" s="440" t="s">
        <v>114</v>
      </c>
      <c r="C497" s="439">
        <v>3061391.0146333994</v>
      </c>
      <c r="D497" s="438">
        <v>3061391.0146333994</v>
      </c>
      <c r="E497" s="437">
        <v>332134.46146419999</v>
      </c>
      <c r="F497" s="436">
        <v>0</v>
      </c>
      <c r="G497" s="454">
        <v>0</v>
      </c>
    </row>
    <row r="498" spans="2:7">
      <c r="B498" s="440" t="s">
        <v>115</v>
      </c>
      <c r="C498" s="439">
        <v>30950390.224975102</v>
      </c>
      <c r="D498" s="438">
        <v>42195787.072605506</v>
      </c>
      <c r="E498" s="437">
        <v>-11365139.501665402</v>
      </c>
      <c r="F498" s="436">
        <v>0</v>
      </c>
      <c r="G498" s="454">
        <v>0</v>
      </c>
    </row>
    <row r="499" spans="2:7">
      <c r="B499" s="440" t="s">
        <v>116</v>
      </c>
      <c r="C499" s="439">
        <v>0</v>
      </c>
      <c r="D499" s="438">
        <v>0</v>
      </c>
      <c r="E499" s="437">
        <v>0</v>
      </c>
      <c r="F499" s="436">
        <v>0</v>
      </c>
      <c r="G499" s="454">
        <v>0</v>
      </c>
    </row>
    <row r="500" spans="2:7">
      <c r="B500" s="440" t="s">
        <v>117</v>
      </c>
      <c r="C500" s="439">
        <v>1239385</v>
      </c>
      <c r="D500" s="438">
        <v>1841334</v>
      </c>
      <c r="E500" s="437">
        <v>0</v>
      </c>
      <c r="F500" s="436">
        <v>0</v>
      </c>
      <c r="G500" s="454">
        <v>0</v>
      </c>
    </row>
    <row r="501" spans="2:7">
      <c r="B501" s="440" t="s">
        <v>118</v>
      </c>
      <c r="C501" s="439">
        <v>25827486</v>
      </c>
      <c r="D501" s="438">
        <v>29460316</v>
      </c>
      <c r="E501" s="437">
        <v>-9551310</v>
      </c>
      <c r="F501" s="436">
        <v>0</v>
      </c>
      <c r="G501" s="454">
        <v>0</v>
      </c>
    </row>
    <row r="502" spans="2:7">
      <c r="B502" s="440" t="s">
        <v>119</v>
      </c>
      <c r="C502" s="439">
        <v>1256148</v>
      </c>
      <c r="D502" s="438">
        <v>1256148</v>
      </c>
      <c r="E502" s="437">
        <v>0</v>
      </c>
      <c r="F502" s="436">
        <v>0</v>
      </c>
      <c r="G502" s="454">
        <v>0</v>
      </c>
    </row>
    <row r="503" spans="2:7">
      <c r="B503" s="440" t="s">
        <v>120</v>
      </c>
      <c r="C503" s="439">
        <v>0</v>
      </c>
      <c r="D503" s="438">
        <v>0</v>
      </c>
      <c r="E503" s="437">
        <v>0</v>
      </c>
      <c r="F503" s="436">
        <v>0</v>
      </c>
      <c r="G503" s="454">
        <v>0</v>
      </c>
    </row>
    <row r="504" spans="2:7">
      <c r="B504" s="440" t="s">
        <v>121</v>
      </c>
      <c r="C504" s="439">
        <v>85098915</v>
      </c>
      <c r="D504" s="438">
        <v>123494909</v>
      </c>
      <c r="E504" s="437">
        <v>-34882163</v>
      </c>
      <c r="F504" s="436">
        <v>-6654249</v>
      </c>
      <c r="G504" s="454">
        <v>0</v>
      </c>
    </row>
    <row r="505" spans="2:7" ht="14" thickBot="1">
      <c r="B505" s="455" t="s">
        <v>122</v>
      </c>
      <c r="C505" s="433">
        <v>0</v>
      </c>
      <c r="D505" s="432">
        <v>0</v>
      </c>
      <c r="E505" s="431">
        <v>0</v>
      </c>
      <c r="F505" s="430">
        <v>0</v>
      </c>
      <c r="G505" s="456">
        <v>0</v>
      </c>
    </row>
    <row r="508" spans="2:7">
      <c r="B508" s="12" t="s">
        <v>11</v>
      </c>
    </row>
    <row r="509" spans="2:7" ht="14" thickBot="1"/>
    <row r="510" spans="2:7" ht="14" thickBot="1">
      <c r="B510" s="553" t="s">
        <v>51</v>
      </c>
      <c r="C510" s="555" t="s">
        <v>123</v>
      </c>
      <c r="D510" s="556"/>
      <c r="E510" s="556"/>
      <c r="F510" s="556"/>
      <c r="G510" s="557"/>
    </row>
    <row r="511" spans="2:7" ht="54.5" thickBot="1">
      <c r="B511" s="554"/>
      <c r="C511" s="452" t="s">
        <v>124</v>
      </c>
      <c r="D511" s="452" t="s">
        <v>125</v>
      </c>
      <c r="E511" s="451" t="s">
        <v>126</v>
      </c>
      <c r="F511" s="450" t="s">
        <v>127</v>
      </c>
      <c r="G511" s="449" t="s">
        <v>128</v>
      </c>
    </row>
    <row r="512" spans="2:7">
      <c r="B512" s="446" t="s">
        <v>53</v>
      </c>
      <c r="C512" s="445">
        <v>433062689</v>
      </c>
      <c r="D512" s="444">
        <v>549990885</v>
      </c>
      <c r="E512" s="443">
        <v>-135868023</v>
      </c>
      <c r="F512" s="442">
        <v>0</v>
      </c>
      <c r="G512" s="453">
        <v>0</v>
      </c>
    </row>
    <row r="513" spans="2:7">
      <c r="B513" s="440" t="s">
        <v>63</v>
      </c>
      <c r="C513" s="439">
        <v>422878</v>
      </c>
      <c r="D513" s="438">
        <v>498681</v>
      </c>
      <c r="E513" s="437">
        <v>0</v>
      </c>
      <c r="F513" s="436">
        <v>0</v>
      </c>
      <c r="G513" s="454">
        <v>0</v>
      </c>
    </row>
    <row r="514" spans="2:7">
      <c r="B514" s="440" t="s">
        <v>64</v>
      </c>
      <c r="C514" s="439">
        <v>6709328</v>
      </c>
      <c r="D514" s="438">
        <v>7682536</v>
      </c>
      <c r="E514" s="437">
        <v>-1228221</v>
      </c>
      <c r="F514" s="436">
        <v>0</v>
      </c>
      <c r="G514" s="454">
        <v>0</v>
      </c>
    </row>
    <row r="515" spans="2:7">
      <c r="B515" s="440" t="s">
        <v>65</v>
      </c>
      <c r="C515" s="439">
        <v>6085195</v>
      </c>
      <c r="D515" s="438">
        <v>8918143</v>
      </c>
      <c r="E515" s="437">
        <v>-3823805</v>
      </c>
      <c r="F515" s="436">
        <v>0</v>
      </c>
      <c r="G515" s="454">
        <v>0</v>
      </c>
    </row>
    <row r="516" spans="2:7">
      <c r="B516" s="440" t="s">
        <v>66</v>
      </c>
      <c r="C516" s="439">
        <v>422895</v>
      </c>
      <c r="D516" s="438">
        <v>552787</v>
      </c>
      <c r="E516" s="437">
        <v>-33066</v>
      </c>
      <c r="F516" s="436">
        <v>0</v>
      </c>
      <c r="G516" s="454">
        <v>0</v>
      </c>
    </row>
    <row r="517" spans="2:7">
      <c r="B517" s="440" t="s">
        <v>67</v>
      </c>
      <c r="C517" s="439">
        <v>4136594</v>
      </c>
      <c r="D517" s="438">
        <v>5377317</v>
      </c>
      <c r="E517" s="437">
        <v>-2632116</v>
      </c>
      <c r="F517" s="436">
        <v>0</v>
      </c>
      <c r="G517" s="454">
        <v>0</v>
      </c>
    </row>
    <row r="518" spans="2:7">
      <c r="B518" s="440" t="s">
        <v>68</v>
      </c>
      <c r="C518" s="439">
        <v>0</v>
      </c>
      <c r="D518" s="438">
        <v>0</v>
      </c>
      <c r="E518" s="437">
        <v>0</v>
      </c>
      <c r="F518" s="436">
        <v>0</v>
      </c>
      <c r="G518" s="454">
        <v>0</v>
      </c>
    </row>
    <row r="519" spans="2:7">
      <c r="B519" s="440" t="s">
        <v>69</v>
      </c>
      <c r="C519" s="439">
        <v>38619142</v>
      </c>
      <c r="D519" s="438">
        <v>55084549</v>
      </c>
      <c r="E519" s="437">
        <v>-11183506</v>
      </c>
      <c r="F519" s="436">
        <v>0</v>
      </c>
      <c r="G519" s="454">
        <v>0</v>
      </c>
    </row>
    <row r="520" spans="2:7">
      <c r="B520" s="440" t="s">
        <v>70</v>
      </c>
      <c r="C520" s="439">
        <v>750816911</v>
      </c>
      <c r="D520" s="438">
        <v>986147619</v>
      </c>
      <c r="E520" s="437">
        <v>-245935966</v>
      </c>
      <c r="F520" s="436">
        <v>0</v>
      </c>
      <c r="G520" s="454">
        <v>0</v>
      </c>
    </row>
    <row r="521" spans="2:7">
      <c r="B521" s="440" t="s">
        <v>71</v>
      </c>
      <c r="C521" s="439">
        <v>0</v>
      </c>
      <c r="D521" s="438">
        <v>0</v>
      </c>
      <c r="E521" s="437">
        <v>0</v>
      </c>
      <c r="F521" s="436">
        <v>0</v>
      </c>
      <c r="G521" s="454">
        <v>0</v>
      </c>
    </row>
    <row r="522" spans="2:7">
      <c r="B522" s="440" t="s">
        <v>72</v>
      </c>
      <c r="C522" s="439">
        <v>3671949.0469089998</v>
      </c>
      <c r="D522" s="438">
        <v>4481997.6046917997</v>
      </c>
      <c r="E522" s="437">
        <v>0</v>
      </c>
      <c r="F522" s="436">
        <v>0</v>
      </c>
      <c r="G522" s="454">
        <v>0</v>
      </c>
    </row>
    <row r="523" spans="2:7">
      <c r="B523" s="440" t="s">
        <v>73</v>
      </c>
      <c r="C523" s="439">
        <v>17070287</v>
      </c>
      <c r="D523" s="438">
        <v>24260321</v>
      </c>
      <c r="E523" s="437">
        <v>-11004284</v>
      </c>
      <c r="F523" s="436">
        <v>0</v>
      </c>
      <c r="G523" s="454">
        <v>0</v>
      </c>
    </row>
    <row r="524" spans="2:7">
      <c r="B524" s="440" t="s">
        <v>74</v>
      </c>
      <c r="C524" s="439">
        <v>2925012</v>
      </c>
      <c r="D524" s="438">
        <v>3341472</v>
      </c>
      <c r="E524" s="437">
        <v>-96280</v>
      </c>
      <c r="F524" s="436">
        <v>0</v>
      </c>
      <c r="G524" s="454">
        <v>0</v>
      </c>
    </row>
    <row r="525" spans="2:7">
      <c r="B525" s="440" t="s">
        <v>75</v>
      </c>
      <c r="C525" s="439">
        <v>19056311</v>
      </c>
      <c r="D525" s="438">
        <v>26771464</v>
      </c>
      <c r="E525" s="437">
        <v>-15999367</v>
      </c>
      <c r="F525" s="436">
        <v>0</v>
      </c>
      <c r="G525" s="454">
        <v>0</v>
      </c>
    </row>
    <row r="526" spans="2:7">
      <c r="B526" s="440" t="s">
        <v>76</v>
      </c>
      <c r="C526" s="439">
        <v>21167105</v>
      </c>
      <c r="D526" s="438">
        <v>27222693</v>
      </c>
      <c r="E526" s="437">
        <v>-5992867</v>
      </c>
      <c r="F526" s="436">
        <v>0</v>
      </c>
      <c r="G526" s="454">
        <v>0</v>
      </c>
    </row>
    <row r="527" spans="2:7">
      <c r="B527" s="440" t="s">
        <v>77</v>
      </c>
      <c r="C527" s="439">
        <v>0</v>
      </c>
      <c r="D527" s="438">
        <v>0</v>
      </c>
      <c r="E527" s="437">
        <v>0</v>
      </c>
      <c r="F527" s="436">
        <v>0</v>
      </c>
      <c r="G527" s="454">
        <v>0</v>
      </c>
    </row>
    <row r="528" spans="2:7">
      <c r="B528" s="440" t="s">
        <v>78</v>
      </c>
      <c r="C528" s="439">
        <v>0</v>
      </c>
      <c r="D528" s="438">
        <v>0</v>
      </c>
      <c r="E528" s="437">
        <v>0</v>
      </c>
      <c r="F528" s="436">
        <v>0</v>
      </c>
      <c r="G528" s="454">
        <v>0</v>
      </c>
    </row>
    <row r="529" spans="2:7">
      <c r="B529" s="440" t="s">
        <v>79</v>
      </c>
      <c r="C529" s="439">
        <v>0</v>
      </c>
      <c r="D529" s="438">
        <v>0</v>
      </c>
      <c r="E529" s="437">
        <v>0</v>
      </c>
      <c r="F529" s="436">
        <v>0</v>
      </c>
      <c r="G529" s="454">
        <v>0</v>
      </c>
    </row>
    <row r="530" spans="2:7">
      <c r="B530" s="440" t="s">
        <v>80</v>
      </c>
      <c r="C530" s="439">
        <v>0</v>
      </c>
      <c r="D530" s="438">
        <v>0</v>
      </c>
      <c r="E530" s="437">
        <v>0</v>
      </c>
      <c r="F530" s="436">
        <v>0</v>
      </c>
      <c r="G530" s="454">
        <v>0</v>
      </c>
    </row>
    <row r="531" spans="2:7">
      <c r="B531" s="440" t="s">
        <v>81</v>
      </c>
      <c r="C531" s="439">
        <v>0</v>
      </c>
      <c r="D531" s="438">
        <v>0</v>
      </c>
      <c r="E531" s="437">
        <v>0</v>
      </c>
      <c r="F531" s="436">
        <v>0</v>
      </c>
      <c r="G531" s="454">
        <v>0</v>
      </c>
    </row>
    <row r="532" spans="2:7">
      <c r="B532" s="440" t="s">
        <v>82</v>
      </c>
      <c r="C532" s="439">
        <v>33132190</v>
      </c>
      <c r="D532" s="438">
        <v>42463909</v>
      </c>
      <c r="E532" s="437">
        <v>-13795123</v>
      </c>
      <c r="F532" s="436">
        <v>0</v>
      </c>
      <c r="G532" s="454">
        <v>0</v>
      </c>
    </row>
    <row r="533" spans="2:7">
      <c r="B533" s="440" t="s">
        <v>83</v>
      </c>
      <c r="C533" s="439">
        <v>0</v>
      </c>
      <c r="D533" s="438">
        <v>0</v>
      </c>
      <c r="E533" s="437">
        <v>0</v>
      </c>
      <c r="F533" s="436">
        <v>0</v>
      </c>
      <c r="G533" s="454">
        <v>0</v>
      </c>
    </row>
    <row r="534" spans="2:7">
      <c r="B534" s="440" t="s">
        <v>84</v>
      </c>
      <c r="C534" s="439">
        <v>72881035</v>
      </c>
      <c r="D534" s="438">
        <v>94217028</v>
      </c>
      <c r="E534" s="437">
        <v>-16251880</v>
      </c>
      <c r="F534" s="436">
        <v>0</v>
      </c>
      <c r="G534" s="454">
        <v>0</v>
      </c>
    </row>
    <row r="535" spans="2:7">
      <c r="B535" s="440" t="s">
        <v>85</v>
      </c>
      <c r="C535" s="439">
        <v>0</v>
      </c>
      <c r="D535" s="438">
        <v>0</v>
      </c>
      <c r="E535" s="437">
        <v>0</v>
      </c>
      <c r="F535" s="436">
        <v>0</v>
      </c>
      <c r="G535" s="454">
        <v>0</v>
      </c>
    </row>
    <row r="536" spans="2:7">
      <c r="B536" s="440" t="s">
        <v>86</v>
      </c>
      <c r="C536" s="439">
        <v>712944.76724860002</v>
      </c>
      <c r="D536" s="438">
        <v>1192484.1538143998</v>
      </c>
      <c r="E536" s="437">
        <v>-46708.497657</v>
      </c>
      <c r="F536" s="436">
        <v>0</v>
      </c>
      <c r="G536" s="454">
        <v>0</v>
      </c>
    </row>
    <row r="537" spans="2:7">
      <c r="B537" s="440" t="s">
        <v>87</v>
      </c>
      <c r="C537" s="439">
        <v>8272497</v>
      </c>
      <c r="D537" s="438">
        <v>8927025</v>
      </c>
      <c r="E537" s="437">
        <v>0</v>
      </c>
      <c r="F537" s="436">
        <v>-2605361</v>
      </c>
      <c r="G537" s="454">
        <v>0</v>
      </c>
    </row>
    <row r="538" spans="2:7">
      <c r="B538" s="440" t="s">
        <v>88</v>
      </c>
      <c r="C538" s="439">
        <v>1334879</v>
      </c>
      <c r="D538" s="438">
        <v>1888408</v>
      </c>
      <c r="E538" s="437">
        <v>-47452</v>
      </c>
      <c r="F538" s="436">
        <v>0</v>
      </c>
      <c r="G538" s="454">
        <v>0</v>
      </c>
    </row>
    <row r="539" spans="2:7">
      <c r="B539" s="440" t="s">
        <v>89</v>
      </c>
      <c r="C539" s="439">
        <v>0</v>
      </c>
      <c r="D539" s="438">
        <v>0</v>
      </c>
      <c r="E539" s="437">
        <v>0</v>
      </c>
      <c r="F539" s="436">
        <v>0</v>
      </c>
      <c r="G539" s="454">
        <v>0</v>
      </c>
    </row>
    <row r="540" spans="2:7">
      <c r="B540" s="440" t="s">
        <v>90</v>
      </c>
      <c r="C540" s="439">
        <v>0</v>
      </c>
      <c r="D540" s="438">
        <v>0</v>
      </c>
      <c r="E540" s="437">
        <v>0</v>
      </c>
      <c r="F540" s="436">
        <v>0</v>
      </c>
      <c r="G540" s="454">
        <v>0</v>
      </c>
    </row>
    <row r="541" spans="2:7">
      <c r="B541" s="440" t="s">
        <v>91</v>
      </c>
      <c r="C541" s="439">
        <v>0</v>
      </c>
      <c r="D541" s="438">
        <v>0</v>
      </c>
      <c r="E541" s="437">
        <v>0</v>
      </c>
      <c r="F541" s="436">
        <v>0</v>
      </c>
      <c r="G541" s="454">
        <v>0</v>
      </c>
    </row>
    <row r="542" spans="2:7">
      <c r="B542" s="440" t="s">
        <v>92</v>
      </c>
      <c r="C542" s="439">
        <v>48100580.568888471</v>
      </c>
      <c r="D542" s="438">
        <v>56879168.686440565</v>
      </c>
      <c r="E542" s="437">
        <v>-2886222.9446402011</v>
      </c>
      <c r="F542" s="436">
        <v>0</v>
      </c>
      <c r="G542" s="454">
        <v>0</v>
      </c>
    </row>
    <row r="543" spans="2:7">
      <c r="B543" s="440" t="s">
        <v>93</v>
      </c>
      <c r="C543" s="439">
        <v>22316207.846319798</v>
      </c>
      <c r="D543" s="438">
        <v>29074112.008826107</v>
      </c>
      <c r="E543" s="437">
        <v>-14481061.1392399</v>
      </c>
      <c r="F543" s="436">
        <v>0</v>
      </c>
      <c r="G543" s="454">
        <v>0</v>
      </c>
    </row>
    <row r="544" spans="2:7">
      <c r="B544" s="440" t="s">
        <v>94</v>
      </c>
      <c r="C544" s="439">
        <v>0</v>
      </c>
      <c r="D544" s="438">
        <v>0</v>
      </c>
      <c r="E544" s="437">
        <v>0</v>
      </c>
      <c r="F544" s="436">
        <v>0</v>
      </c>
      <c r="G544" s="454">
        <v>0</v>
      </c>
    </row>
    <row r="545" spans="2:7">
      <c r="B545" s="440" t="s">
        <v>95</v>
      </c>
      <c r="C545" s="439">
        <v>0</v>
      </c>
      <c r="D545" s="438">
        <v>0</v>
      </c>
      <c r="E545" s="437">
        <v>0</v>
      </c>
      <c r="F545" s="436">
        <v>0</v>
      </c>
      <c r="G545" s="454">
        <v>0</v>
      </c>
    </row>
    <row r="546" spans="2:7">
      <c r="B546" s="440" t="s">
        <v>96</v>
      </c>
      <c r="C546" s="439">
        <v>0</v>
      </c>
      <c r="D546" s="438">
        <v>0</v>
      </c>
      <c r="E546" s="437">
        <v>0</v>
      </c>
      <c r="F546" s="436">
        <v>0</v>
      </c>
      <c r="G546" s="454">
        <v>0</v>
      </c>
    </row>
    <row r="547" spans="2:7">
      <c r="B547" s="440" t="s">
        <v>97</v>
      </c>
      <c r="C547" s="439">
        <v>0</v>
      </c>
      <c r="D547" s="438">
        <v>0</v>
      </c>
      <c r="E547" s="437">
        <v>0</v>
      </c>
      <c r="F547" s="436">
        <v>0</v>
      </c>
      <c r="G547" s="454">
        <v>0</v>
      </c>
    </row>
    <row r="548" spans="2:7">
      <c r="B548" s="440" t="s">
        <v>98</v>
      </c>
      <c r="C548" s="439">
        <v>8180503.5047916044</v>
      </c>
      <c r="D548" s="438">
        <v>24536728.481696714</v>
      </c>
      <c r="E548" s="437">
        <v>0</v>
      </c>
      <c r="F548" s="436">
        <v>0</v>
      </c>
      <c r="G548" s="454">
        <v>0</v>
      </c>
    </row>
    <row r="549" spans="2:7">
      <c r="B549" s="440" t="s">
        <v>99</v>
      </c>
      <c r="C549" s="439">
        <v>6054151</v>
      </c>
      <c r="D549" s="438">
        <v>7339301</v>
      </c>
      <c r="E549" s="437">
        <v>-1676412</v>
      </c>
      <c r="F549" s="436">
        <v>0</v>
      </c>
      <c r="G549" s="454">
        <v>0</v>
      </c>
    </row>
    <row r="550" spans="2:7">
      <c r="B550" s="440" t="s">
        <v>100</v>
      </c>
      <c r="C550" s="439">
        <v>22507872</v>
      </c>
      <c r="D550" s="438">
        <v>32098730</v>
      </c>
      <c r="E550" s="437">
        <v>-14391100</v>
      </c>
      <c r="F550" s="436">
        <v>0</v>
      </c>
      <c r="G550" s="454">
        <v>0</v>
      </c>
    </row>
    <row r="551" spans="2:7">
      <c r="B551" s="440" t="s">
        <v>101</v>
      </c>
      <c r="C551" s="439">
        <v>1448961</v>
      </c>
      <c r="D551" s="438">
        <v>1448961</v>
      </c>
      <c r="E551" s="437">
        <v>0</v>
      </c>
      <c r="F551" s="436">
        <v>0</v>
      </c>
      <c r="G551" s="454">
        <v>0</v>
      </c>
    </row>
    <row r="552" spans="2:7">
      <c r="B552" s="440" t="s">
        <v>102</v>
      </c>
      <c r="C552" s="439">
        <v>0</v>
      </c>
      <c r="D552" s="438">
        <v>0</v>
      </c>
      <c r="E552" s="437">
        <v>0</v>
      </c>
      <c r="F552" s="436">
        <v>0</v>
      </c>
      <c r="G552" s="454">
        <v>0</v>
      </c>
    </row>
    <row r="553" spans="2:7">
      <c r="B553" s="440" t="s">
        <v>103</v>
      </c>
      <c r="C553" s="439">
        <v>62661</v>
      </c>
      <c r="D553" s="438">
        <v>62661</v>
      </c>
      <c r="E553" s="437">
        <v>0</v>
      </c>
      <c r="F553" s="436">
        <v>0</v>
      </c>
      <c r="G553" s="454">
        <v>0</v>
      </c>
    </row>
    <row r="554" spans="2:7">
      <c r="B554" s="440" t="s">
        <v>104</v>
      </c>
      <c r="C554" s="439">
        <v>23744</v>
      </c>
      <c r="D554" s="438">
        <v>23744</v>
      </c>
      <c r="E554" s="437">
        <v>0</v>
      </c>
      <c r="F554" s="436">
        <v>0</v>
      </c>
      <c r="G554" s="454">
        <v>0</v>
      </c>
    </row>
    <row r="555" spans="2:7">
      <c r="B555" s="440" t="s">
        <v>105</v>
      </c>
      <c r="C555" s="439">
        <v>0</v>
      </c>
      <c r="D555" s="438">
        <v>0</v>
      </c>
      <c r="E555" s="437">
        <v>0</v>
      </c>
      <c r="F555" s="436">
        <v>0</v>
      </c>
      <c r="G555" s="454">
        <v>0</v>
      </c>
    </row>
    <row r="556" spans="2:7">
      <c r="B556" s="440" t="s">
        <v>106</v>
      </c>
      <c r="C556" s="439">
        <v>0</v>
      </c>
      <c r="D556" s="438">
        <v>0</v>
      </c>
      <c r="E556" s="437">
        <v>0</v>
      </c>
      <c r="F556" s="436">
        <v>0</v>
      </c>
      <c r="G556" s="454">
        <v>0</v>
      </c>
    </row>
    <row r="557" spans="2:7">
      <c r="B557" s="440" t="s">
        <v>107</v>
      </c>
      <c r="C557" s="439">
        <v>0</v>
      </c>
      <c r="D557" s="438">
        <v>0</v>
      </c>
      <c r="E557" s="437">
        <v>0</v>
      </c>
      <c r="F557" s="436">
        <v>0</v>
      </c>
      <c r="G557" s="454">
        <v>0</v>
      </c>
    </row>
    <row r="558" spans="2:7">
      <c r="B558" s="440" t="s">
        <v>108</v>
      </c>
      <c r="C558" s="439">
        <v>0</v>
      </c>
      <c r="D558" s="438">
        <v>0</v>
      </c>
      <c r="E558" s="437">
        <v>0</v>
      </c>
      <c r="F558" s="436">
        <v>0</v>
      </c>
      <c r="G558" s="454">
        <v>0</v>
      </c>
    </row>
    <row r="559" spans="2:7">
      <c r="B559" s="440" t="s">
        <v>109</v>
      </c>
      <c r="C559" s="439">
        <v>156638280</v>
      </c>
      <c r="D559" s="438">
        <v>218172975</v>
      </c>
      <c r="E559" s="437">
        <v>-52126182</v>
      </c>
      <c r="F559" s="436">
        <v>-6025467</v>
      </c>
      <c r="G559" s="454">
        <v>0</v>
      </c>
    </row>
    <row r="560" spans="2:7">
      <c r="B560" s="440" t="s">
        <v>110</v>
      </c>
      <c r="C560" s="439">
        <v>0</v>
      </c>
      <c r="D560" s="438">
        <v>0</v>
      </c>
      <c r="E560" s="437">
        <v>0</v>
      </c>
      <c r="F560" s="436">
        <v>0</v>
      </c>
      <c r="G560" s="454">
        <v>0</v>
      </c>
    </row>
    <row r="561" spans="2:7">
      <c r="B561" s="440" t="s">
        <v>111</v>
      </c>
      <c r="C561" s="439">
        <v>9437441.9323547948</v>
      </c>
      <c r="D561" s="438">
        <v>14291131.294439089</v>
      </c>
      <c r="E561" s="437">
        <v>-1910138.8562800984</v>
      </c>
      <c r="F561" s="436">
        <v>0</v>
      </c>
      <c r="G561" s="454">
        <v>0</v>
      </c>
    </row>
    <row r="562" spans="2:7">
      <c r="B562" s="440" t="s">
        <v>112</v>
      </c>
      <c r="C562" s="439">
        <v>82299065</v>
      </c>
      <c r="D562" s="438">
        <v>97977932</v>
      </c>
      <c r="E562" s="437">
        <v>-7736256</v>
      </c>
      <c r="F562" s="436">
        <v>-21914512</v>
      </c>
      <c r="G562" s="454">
        <v>0</v>
      </c>
    </row>
    <row r="563" spans="2:7">
      <c r="B563" s="440" t="s">
        <v>113</v>
      </c>
      <c r="C563" s="439">
        <v>10178962</v>
      </c>
      <c r="D563" s="438">
        <v>14508053</v>
      </c>
      <c r="E563" s="437">
        <v>-2600970</v>
      </c>
      <c r="F563" s="436">
        <v>0</v>
      </c>
      <c r="G563" s="454">
        <v>0</v>
      </c>
    </row>
    <row r="564" spans="2:7">
      <c r="B564" s="440" t="s">
        <v>114</v>
      </c>
      <c r="C564" s="439">
        <v>3940326.2950495975</v>
      </c>
      <c r="D564" s="438">
        <v>3940326.2950495975</v>
      </c>
      <c r="E564" s="437">
        <v>121722.61682019998</v>
      </c>
      <c r="F564" s="436">
        <v>0</v>
      </c>
      <c r="G564" s="454">
        <v>0</v>
      </c>
    </row>
    <row r="565" spans="2:7">
      <c r="B565" s="440" t="s">
        <v>115</v>
      </c>
      <c r="C565" s="439">
        <v>23608701.854540203</v>
      </c>
      <c r="D565" s="438">
        <v>37098112.198702894</v>
      </c>
      <c r="E565" s="437">
        <v>-6311495.0093037002</v>
      </c>
      <c r="F565" s="436">
        <v>0</v>
      </c>
      <c r="G565" s="454">
        <v>0</v>
      </c>
    </row>
    <row r="566" spans="2:7">
      <c r="B566" s="440" t="s">
        <v>116</v>
      </c>
      <c r="C566" s="439">
        <v>0</v>
      </c>
      <c r="D566" s="438">
        <v>0</v>
      </c>
      <c r="E566" s="437">
        <v>0</v>
      </c>
      <c r="F566" s="436">
        <v>0</v>
      </c>
      <c r="G566" s="454">
        <v>0</v>
      </c>
    </row>
    <row r="567" spans="2:7">
      <c r="B567" s="440" t="s">
        <v>117</v>
      </c>
      <c r="C567" s="439">
        <v>735407</v>
      </c>
      <c r="D567" s="438">
        <v>1523826</v>
      </c>
      <c r="E567" s="437">
        <v>0</v>
      </c>
      <c r="F567" s="436">
        <v>0</v>
      </c>
      <c r="G567" s="454">
        <v>0</v>
      </c>
    </row>
    <row r="568" spans="2:7">
      <c r="B568" s="440" t="s">
        <v>118</v>
      </c>
      <c r="C568" s="439">
        <v>10610216</v>
      </c>
      <c r="D568" s="438">
        <v>15669586</v>
      </c>
      <c r="E568" s="437">
        <v>0</v>
      </c>
      <c r="F568" s="436">
        <v>0</v>
      </c>
      <c r="G568" s="454">
        <v>0</v>
      </c>
    </row>
    <row r="569" spans="2:7">
      <c r="B569" s="440" t="s">
        <v>119</v>
      </c>
      <c r="C569" s="439">
        <v>907550</v>
      </c>
      <c r="D569" s="438">
        <v>907550</v>
      </c>
      <c r="E569" s="437">
        <v>0</v>
      </c>
      <c r="F569" s="436">
        <v>0</v>
      </c>
      <c r="G569" s="454">
        <v>0</v>
      </c>
    </row>
    <row r="570" spans="2:7">
      <c r="B570" s="440" t="s">
        <v>120</v>
      </c>
      <c r="C570" s="439">
        <v>0</v>
      </c>
      <c r="D570" s="438">
        <v>0</v>
      </c>
      <c r="E570" s="437">
        <v>0</v>
      </c>
      <c r="F570" s="436">
        <v>0</v>
      </c>
      <c r="G570" s="454">
        <v>0</v>
      </c>
    </row>
    <row r="571" spans="2:7">
      <c r="B571" s="440" t="s">
        <v>121</v>
      </c>
      <c r="C571" s="439">
        <v>67798011</v>
      </c>
      <c r="D571" s="438">
        <v>105381623</v>
      </c>
      <c r="E571" s="437">
        <v>-21485391</v>
      </c>
      <c r="F571" s="436">
        <v>-7203700</v>
      </c>
      <c r="G571" s="454">
        <v>0</v>
      </c>
    </row>
    <row r="572" spans="2:7" ht="14" thickBot="1">
      <c r="B572" s="455" t="s">
        <v>122</v>
      </c>
      <c r="C572" s="433">
        <v>0</v>
      </c>
      <c r="D572" s="432">
        <v>0</v>
      </c>
      <c r="E572" s="431">
        <v>0</v>
      </c>
      <c r="F572" s="430">
        <v>0</v>
      </c>
      <c r="G572" s="456">
        <v>0</v>
      </c>
    </row>
    <row r="575" spans="2:7">
      <c r="B575" s="12" t="s">
        <v>12</v>
      </c>
    </row>
    <row r="576" spans="2:7" ht="14" thickBot="1"/>
    <row r="577" spans="2:7" ht="14" thickBot="1">
      <c r="B577" s="553" t="s">
        <v>51</v>
      </c>
      <c r="C577" s="555" t="s">
        <v>123</v>
      </c>
      <c r="D577" s="556"/>
      <c r="E577" s="556"/>
      <c r="F577" s="556"/>
      <c r="G577" s="557"/>
    </row>
    <row r="578" spans="2:7" ht="54.5" thickBot="1">
      <c r="B578" s="554"/>
      <c r="C578" s="452" t="s">
        <v>124</v>
      </c>
      <c r="D578" s="452" t="s">
        <v>125</v>
      </c>
      <c r="E578" s="451" t="s">
        <v>126</v>
      </c>
      <c r="F578" s="450" t="s">
        <v>127</v>
      </c>
      <c r="G578" s="449" t="s">
        <v>128</v>
      </c>
    </row>
    <row r="579" spans="2:7">
      <c r="B579" s="446" t="s">
        <v>53</v>
      </c>
      <c r="C579" s="445">
        <v>0</v>
      </c>
      <c r="D579" s="444">
        <v>0</v>
      </c>
      <c r="E579" s="443">
        <v>0</v>
      </c>
      <c r="F579" s="442">
        <v>0</v>
      </c>
      <c r="G579" s="453">
        <v>0</v>
      </c>
    </row>
    <row r="580" spans="2:7">
      <c r="B580" s="440" t="s">
        <v>63</v>
      </c>
      <c r="C580" s="439">
        <v>7373468</v>
      </c>
      <c r="D580" s="438">
        <v>8097414</v>
      </c>
      <c r="E580" s="437">
        <v>-539880</v>
      </c>
      <c r="F580" s="436">
        <v>0</v>
      </c>
      <c r="G580" s="454">
        <v>0</v>
      </c>
    </row>
    <row r="581" spans="2:7">
      <c r="B581" s="440" t="s">
        <v>64</v>
      </c>
      <c r="C581" s="439">
        <v>6708821</v>
      </c>
      <c r="D581" s="438">
        <v>8462144</v>
      </c>
      <c r="E581" s="437">
        <v>0</v>
      </c>
      <c r="F581" s="436">
        <v>0</v>
      </c>
      <c r="G581" s="454">
        <v>0</v>
      </c>
    </row>
    <row r="582" spans="2:7">
      <c r="B582" s="440" t="s">
        <v>65</v>
      </c>
      <c r="C582" s="439">
        <v>451059</v>
      </c>
      <c r="D582" s="438">
        <v>593056</v>
      </c>
      <c r="E582" s="437">
        <v>0</v>
      </c>
      <c r="F582" s="436">
        <v>0</v>
      </c>
      <c r="G582" s="454">
        <v>0</v>
      </c>
    </row>
    <row r="583" spans="2:7">
      <c r="B583" s="440" t="s">
        <v>66</v>
      </c>
      <c r="C583" s="439">
        <v>3330</v>
      </c>
      <c r="D583" s="438">
        <v>4818</v>
      </c>
      <c r="E583" s="437">
        <v>0</v>
      </c>
      <c r="F583" s="436">
        <v>0</v>
      </c>
      <c r="G583" s="454">
        <v>0</v>
      </c>
    </row>
    <row r="584" spans="2:7">
      <c r="B584" s="440" t="s">
        <v>67</v>
      </c>
      <c r="C584" s="439">
        <v>49837522</v>
      </c>
      <c r="D584" s="438">
        <v>53359340</v>
      </c>
      <c r="E584" s="437">
        <v>-4620682</v>
      </c>
      <c r="F584" s="436">
        <v>0</v>
      </c>
      <c r="G584" s="454">
        <v>0</v>
      </c>
    </row>
    <row r="585" spans="2:7">
      <c r="B585" s="440" t="s">
        <v>68</v>
      </c>
      <c r="C585" s="439">
        <v>0</v>
      </c>
      <c r="D585" s="438">
        <v>0</v>
      </c>
      <c r="E585" s="437">
        <v>0</v>
      </c>
      <c r="F585" s="436">
        <v>0</v>
      </c>
      <c r="G585" s="454">
        <v>0</v>
      </c>
    </row>
    <row r="586" spans="2:7">
      <c r="B586" s="440" t="s">
        <v>69</v>
      </c>
      <c r="C586" s="439">
        <v>169912311</v>
      </c>
      <c r="D586" s="438">
        <v>237513438</v>
      </c>
      <c r="E586" s="437">
        <v>-39769668</v>
      </c>
      <c r="F586" s="436">
        <v>0</v>
      </c>
      <c r="G586" s="454">
        <v>0</v>
      </c>
    </row>
    <row r="587" spans="2:7">
      <c r="B587" s="440" t="s">
        <v>70</v>
      </c>
      <c r="C587" s="439">
        <v>0</v>
      </c>
      <c r="D587" s="438">
        <v>0</v>
      </c>
      <c r="E587" s="437">
        <v>0</v>
      </c>
      <c r="F587" s="436">
        <v>0</v>
      </c>
      <c r="G587" s="454">
        <v>0</v>
      </c>
    </row>
    <row r="588" spans="2:7">
      <c r="B588" s="440" t="s">
        <v>71</v>
      </c>
      <c r="C588" s="439">
        <v>0</v>
      </c>
      <c r="D588" s="438">
        <v>0</v>
      </c>
      <c r="E588" s="437">
        <v>0</v>
      </c>
      <c r="F588" s="436">
        <v>0</v>
      </c>
      <c r="G588" s="454">
        <v>0</v>
      </c>
    </row>
    <row r="589" spans="2:7">
      <c r="B589" s="440" t="s">
        <v>72</v>
      </c>
      <c r="C589" s="439">
        <v>0</v>
      </c>
      <c r="D589" s="438">
        <v>0</v>
      </c>
      <c r="E589" s="437">
        <v>0</v>
      </c>
      <c r="F589" s="436">
        <v>0</v>
      </c>
      <c r="G589" s="454">
        <v>0</v>
      </c>
    </row>
    <row r="590" spans="2:7">
      <c r="B590" s="440" t="s">
        <v>73</v>
      </c>
      <c r="C590" s="439">
        <v>55814917</v>
      </c>
      <c r="D590" s="438">
        <v>69016420</v>
      </c>
      <c r="E590" s="437">
        <v>-2928030</v>
      </c>
      <c r="F590" s="436">
        <v>-3440408</v>
      </c>
      <c r="G590" s="454">
        <v>0</v>
      </c>
    </row>
    <row r="591" spans="2:7">
      <c r="B591" s="440" t="s">
        <v>74</v>
      </c>
      <c r="C591" s="439">
        <v>4738650</v>
      </c>
      <c r="D591" s="438">
        <v>6107145</v>
      </c>
      <c r="E591" s="437">
        <v>-167412</v>
      </c>
      <c r="F591" s="436">
        <v>0</v>
      </c>
      <c r="G591" s="454">
        <v>0</v>
      </c>
    </row>
    <row r="592" spans="2:7">
      <c r="B592" s="440" t="s">
        <v>75</v>
      </c>
      <c r="C592" s="439">
        <v>1314005</v>
      </c>
      <c r="D592" s="438">
        <v>1439582</v>
      </c>
      <c r="E592" s="437">
        <v>-281784</v>
      </c>
      <c r="F592" s="436">
        <v>0</v>
      </c>
      <c r="G592" s="454">
        <v>0</v>
      </c>
    </row>
    <row r="593" spans="2:7">
      <c r="B593" s="440" t="s">
        <v>76</v>
      </c>
      <c r="C593" s="439">
        <v>18446026</v>
      </c>
      <c r="D593" s="438">
        <v>20412116</v>
      </c>
      <c r="E593" s="437">
        <v>-1784330</v>
      </c>
      <c r="F593" s="436">
        <v>0</v>
      </c>
      <c r="G593" s="454">
        <v>0</v>
      </c>
    </row>
    <row r="594" spans="2:7">
      <c r="B594" s="440" t="s">
        <v>77</v>
      </c>
      <c r="C594" s="439">
        <v>0</v>
      </c>
      <c r="D594" s="438">
        <v>0</v>
      </c>
      <c r="E594" s="437">
        <v>0</v>
      </c>
      <c r="F594" s="436">
        <v>0</v>
      </c>
      <c r="G594" s="454">
        <v>0</v>
      </c>
    </row>
    <row r="595" spans="2:7">
      <c r="B595" s="440" t="s">
        <v>78</v>
      </c>
      <c r="C595" s="439">
        <v>65550</v>
      </c>
      <c r="D595" s="438">
        <v>65550</v>
      </c>
      <c r="E595" s="437">
        <v>0</v>
      </c>
      <c r="F595" s="436">
        <v>0</v>
      </c>
      <c r="G595" s="454">
        <v>0</v>
      </c>
    </row>
    <row r="596" spans="2:7">
      <c r="B596" s="440" t="s">
        <v>79</v>
      </c>
      <c r="C596" s="439">
        <v>18823</v>
      </c>
      <c r="D596" s="438">
        <v>18823</v>
      </c>
      <c r="E596" s="437">
        <v>0</v>
      </c>
      <c r="F596" s="436">
        <v>0</v>
      </c>
      <c r="G596" s="454">
        <v>0</v>
      </c>
    </row>
    <row r="597" spans="2:7">
      <c r="B597" s="440" t="s">
        <v>80</v>
      </c>
      <c r="C597" s="439">
        <v>0</v>
      </c>
      <c r="D597" s="438">
        <v>0</v>
      </c>
      <c r="E597" s="437">
        <v>0</v>
      </c>
      <c r="F597" s="436">
        <v>0</v>
      </c>
      <c r="G597" s="454">
        <v>0</v>
      </c>
    </row>
    <row r="598" spans="2:7">
      <c r="B598" s="440" t="s">
        <v>81</v>
      </c>
      <c r="C598" s="439">
        <v>34899</v>
      </c>
      <c r="D598" s="438">
        <v>34899</v>
      </c>
      <c r="E598" s="437">
        <v>0</v>
      </c>
      <c r="F598" s="436">
        <v>0</v>
      </c>
      <c r="G598" s="454">
        <v>0</v>
      </c>
    </row>
    <row r="599" spans="2:7">
      <c r="B599" s="440" t="s">
        <v>82</v>
      </c>
      <c r="C599" s="439">
        <v>59029184</v>
      </c>
      <c r="D599" s="438">
        <v>81774078</v>
      </c>
      <c r="E599" s="437">
        <v>-11911733</v>
      </c>
      <c r="F599" s="436">
        <v>0</v>
      </c>
      <c r="G599" s="454">
        <v>0</v>
      </c>
    </row>
    <row r="600" spans="2:7">
      <c r="B600" s="440" t="s">
        <v>83</v>
      </c>
      <c r="C600" s="439">
        <v>20300</v>
      </c>
      <c r="D600" s="438">
        <v>20300</v>
      </c>
      <c r="E600" s="437">
        <v>0</v>
      </c>
      <c r="F600" s="436">
        <v>0</v>
      </c>
      <c r="G600" s="454">
        <v>0</v>
      </c>
    </row>
    <row r="601" spans="2:7">
      <c r="B601" s="440" t="s">
        <v>84</v>
      </c>
      <c r="C601" s="439">
        <v>0</v>
      </c>
      <c r="D601" s="438">
        <v>0</v>
      </c>
      <c r="E601" s="437">
        <v>0</v>
      </c>
      <c r="F601" s="436">
        <v>0</v>
      </c>
      <c r="G601" s="454">
        <v>0</v>
      </c>
    </row>
    <row r="602" spans="2:7">
      <c r="B602" s="440" t="s">
        <v>85</v>
      </c>
      <c r="C602" s="439">
        <v>0</v>
      </c>
      <c r="D602" s="438">
        <v>0</v>
      </c>
      <c r="E602" s="437">
        <v>0</v>
      </c>
      <c r="F602" s="436">
        <v>0</v>
      </c>
      <c r="G602" s="454">
        <v>0</v>
      </c>
    </row>
    <row r="603" spans="2:7">
      <c r="B603" s="440" t="s">
        <v>86</v>
      </c>
      <c r="C603" s="439">
        <v>0</v>
      </c>
      <c r="D603" s="438">
        <v>0</v>
      </c>
      <c r="E603" s="437">
        <v>0</v>
      </c>
      <c r="F603" s="436">
        <v>0</v>
      </c>
      <c r="G603" s="454">
        <v>0</v>
      </c>
    </row>
    <row r="604" spans="2:7">
      <c r="B604" s="440" t="s">
        <v>87</v>
      </c>
      <c r="C604" s="439">
        <v>0</v>
      </c>
      <c r="D604" s="438">
        <v>0</v>
      </c>
      <c r="E604" s="437">
        <v>0</v>
      </c>
      <c r="F604" s="436">
        <v>0</v>
      </c>
      <c r="G604" s="454">
        <v>0</v>
      </c>
    </row>
    <row r="605" spans="2:7">
      <c r="B605" s="440" t="s">
        <v>88</v>
      </c>
      <c r="C605" s="439">
        <v>0</v>
      </c>
      <c r="D605" s="438">
        <v>0</v>
      </c>
      <c r="E605" s="437">
        <v>0</v>
      </c>
      <c r="F605" s="436">
        <v>0</v>
      </c>
      <c r="G605" s="454">
        <v>0</v>
      </c>
    </row>
    <row r="606" spans="2:7">
      <c r="B606" s="440" t="s">
        <v>89</v>
      </c>
      <c r="C606" s="439">
        <v>88261.346500000014</v>
      </c>
      <c r="D606" s="438">
        <v>88261.346500000014</v>
      </c>
      <c r="E606" s="437">
        <v>0</v>
      </c>
      <c r="F606" s="436">
        <v>0</v>
      </c>
      <c r="G606" s="454">
        <v>0</v>
      </c>
    </row>
    <row r="607" spans="2:7">
      <c r="B607" s="440" t="s">
        <v>90</v>
      </c>
      <c r="C607" s="439">
        <v>959609</v>
      </c>
      <c r="D607" s="438">
        <v>959609</v>
      </c>
      <c r="E607" s="437">
        <v>0</v>
      </c>
      <c r="F607" s="436">
        <v>0</v>
      </c>
      <c r="G607" s="454">
        <v>0</v>
      </c>
    </row>
    <row r="608" spans="2:7">
      <c r="B608" s="440" t="s">
        <v>91</v>
      </c>
      <c r="C608" s="439">
        <v>99252</v>
      </c>
      <c r="D608" s="438">
        <v>121454</v>
      </c>
      <c r="E608" s="437">
        <v>-28990</v>
      </c>
      <c r="F608" s="436">
        <v>0</v>
      </c>
      <c r="G608" s="454">
        <v>0</v>
      </c>
    </row>
    <row r="609" spans="2:7">
      <c r="B609" s="440" t="s">
        <v>92</v>
      </c>
      <c r="C609" s="439">
        <v>21526953.989</v>
      </c>
      <c r="D609" s="438">
        <v>21647884.882999998</v>
      </c>
      <c r="E609" s="437">
        <v>-1279124.635</v>
      </c>
      <c r="F609" s="436">
        <v>0</v>
      </c>
      <c r="G609" s="454">
        <v>0</v>
      </c>
    </row>
    <row r="610" spans="2:7">
      <c r="B610" s="440" t="s">
        <v>93</v>
      </c>
      <c r="C610" s="439">
        <v>134675505.04899999</v>
      </c>
      <c r="D610" s="438">
        <v>150241892.92199999</v>
      </c>
      <c r="E610" s="437">
        <v>-29977127.965</v>
      </c>
      <c r="F610" s="436">
        <v>0</v>
      </c>
      <c r="G610" s="454">
        <v>0</v>
      </c>
    </row>
    <row r="611" spans="2:7">
      <c r="B611" s="440" t="s">
        <v>94</v>
      </c>
      <c r="C611" s="439">
        <v>0</v>
      </c>
      <c r="D611" s="438">
        <v>0</v>
      </c>
      <c r="E611" s="437">
        <v>0</v>
      </c>
      <c r="F611" s="436">
        <v>0</v>
      </c>
      <c r="G611" s="454">
        <v>0</v>
      </c>
    </row>
    <row r="612" spans="2:7">
      <c r="B612" s="440" t="s">
        <v>95</v>
      </c>
      <c r="C612" s="439">
        <v>6047430.4790000003</v>
      </c>
      <c r="D612" s="438">
        <v>6126651.3350000009</v>
      </c>
      <c r="E612" s="437">
        <v>335812.386</v>
      </c>
      <c r="F612" s="436">
        <v>0</v>
      </c>
      <c r="G612" s="454">
        <v>0</v>
      </c>
    </row>
    <row r="613" spans="2:7">
      <c r="B613" s="440" t="s">
        <v>96</v>
      </c>
      <c r="C613" s="439">
        <v>137822842.206</v>
      </c>
      <c r="D613" s="438">
        <v>148051551.27300003</v>
      </c>
      <c r="E613" s="437">
        <v>-15067505.862</v>
      </c>
      <c r="F613" s="436">
        <v>0</v>
      </c>
      <c r="G613" s="454">
        <v>0</v>
      </c>
    </row>
    <row r="614" spans="2:7">
      <c r="B614" s="440" t="s">
        <v>97</v>
      </c>
      <c r="C614" s="439">
        <v>0</v>
      </c>
      <c r="D614" s="438">
        <v>0</v>
      </c>
      <c r="E614" s="437">
        <v>0</v>
      </c>
      <c r="F614" s="436">
        <v>0</v>
      </c>
      <c r="G614" s="454">
        <v>0</v>
      </c>
    </row>
    <row r="615" spans="2:7">
      <c r="B615" s="440" t="s">
        <v>98</v>
      </c>
      <c r="C615" s="439">
        <v>0</v>
      </c>
      <c r="D615" s="438">
        <v>0</v>
      </c>
      <c r="E615" s="437">
        <v>0</v>
      </c>
      <c r="F615" s="436">
        <v>0</v>
      </c>
      <c r="G615" s="454">
        <v>0</v>
      </c>
    </row>
    <row r="616" spans="2:7">
      <c r="B616" s="440" t="s">
        <v>99</v>
      </c>
      <c r="C616" s="439">
        <v>22003918</v>
      </c>
      <c r="D616" s="438">
        <v>25592792</v>
      </c>
      <c r="E616" s="437">
        <v>0</v>
      </c>
      <c r="F616" s="436">
        <v>0</v>
      </c>
      <c r="G616" s="454">
        <v>0</v>
      </c>
    </row>
    <row r="617" spans="2:7">
      <c r="B617" s="440" t="s">
        <v>100</v>
      </c>
      <c r="C617" s="439">
        <v>31224</v>
      </c>
      <c r="D617" s="438">
        <v>31224</v>
      </c>
      <c r="E617" s="437">
        <v>0</v>
      </c>
      <c r="F617" s="436">
        <v>0</v>
      </c>
      <c r="G617" s="454">
        <v>0</v>
      </c>
    </row>
    <row r="618" spans="2:7">
      <c r="B618" s="440" t="s">
        <v>101</v>
      </c>
      <c r="C618" s="439">
        <v>4748606</v>
      </c>
      <c r="D618" s="438">
        <v>5358969</v>
      </c>
      <c r="E618" s="437">
        <v>0</v>
      </c>
      <c r="F618" s="436">
        <v>0</v>
      </c>
      <c r="G618" s="454">
        <v>0</v>
      </c>
    </row>
    <row r="619" spans="2:7">
      <c r="B619" s="440" t="s">
        <v>102</v>
      </c>
      <c r="C619" s="439">
        <v>0</v>
      </c>
      <c r="D619" s="438">
        <v>0</v>
      </c>
      <c r="E619" s="437">
        <v>0</v>
      </c>
      <c r="F619" s="436">
        <v>0</v>
      </c>
      <c r="G619" s="454">
        <v>0</v>
      </c>
    </row>
    <row r="620" spans="2:7">
      <c r="B620" s="440" t="s">
        <v>103</v>
      </c>
      <c r="C620" s="439">
        <v>0</v>
      </c>
      <c r="D620" s="438">
        <v>0</v>
      </c>
      <c r="E620" s="437">
        <v>0</v>
      </c>
      <c r="F620" s="436">
        <v>0</v>
      </c>
      <c r="G620" s="454">
        <v>0</v>
      </c>
    </row>
    <row r="621" spans="2:7">
      <c r="B621" s="440" t="s">
        <v>104</v>
      </c>
      <c r="C621" s="439">
        <v>0</v>
      </c>
      <c r="D621" s="438">
        <v>0</v>
      </c>
      <c r="E621" s="437">
        <v>0</v>
      </c>
      <c r="F621" s="436">
        <v>0</v>
      </c>
      <c r="G621" s="454">
        <v>0</v>
      </c>
    </row>
    <row r="622" spans="2:7">
      <c r="B622" s="440" t="s">
        <v>105</v>
      </c>
      <c r="C622" s="439">
        <v>20668239</v>
      </c>
      <c r="D622" s="438">
        <v>28875610</v>
      </c>
      <c r="E622" s="437">
        <v>0</v>
      </c>
      <c r="F622" s="436">
        <v>0</v>
      </c>
      <c r="G622" s="454">
        <v>0</v>
      </c>
    </row>
    <row r="623" spans="2:7">
      <c r="B623" s="440" t="s">
        <v>106</v>
      </c>
      <c r="C623" s="439">
        <v>14207869</v>
      </c>
      <c r="D623" s="438">
        <v>16028886</v>
      </c>
      <c r="E623" s="437">
        <v>-9559052</v>
      </c>
      <c r="F623" s="436">
        <v>0</v>
      </c>
      <c r="G623" s="454">
        <v>0</v>
      </c>
    </row>
    <row r="624" spans="2:7">
      <c r="B624" s="440" t="s">
        <v>107</v>
      </c>
      <c r="C624" s="439">
        <v>1641801</v>
      </c>
      <c r="D624" s="438">
        <v>1641801</v>
      </c>
      <c r="E624" s="437">
        <v>938180</v>
      </c>
      <c r="F624" s="436">
        <v>0</v>
      </c>
      <c r="G624" s="454">
        <v>0</v>
      </c>
    </row>
    <row r="625" spans="2:7">
      <c r="B625" s="440" t="s">
        <v>108</v>
      </c>
      <c r="C625" s="439">
        <v>0</v>
      </c>
      <c r="D625" s="438">
        <v>0</v>
      </c>
      <c r="E625" s="437">
        <v>0</v>
      </c>
      <c r="F625" s="436">
        <v>0</v>
      </c>
      <c r="G625" s="454">
        <v>0</v>
      </c>
    </row>
    <row r="626" spans="2:7">
      <c r="B626" s="440" t="s">
        <v>109</v>
      </c>
      <c r="C626" s="439">
        <v>95993000</v>
      </c>
      <c r="D626" s="438">
        <v>117014816</v>
      </c>
      <c r="E626" s="437">
        <v>-4964467</v>
      </c>
      <c r="F626" s="436">
        <v>0</v>
      </c>
      <c r="G626" s="454">
        <v>0</v>
      </c>
    </row>
    <row r="627" spans="2:7">
      <c r="B627" s="440" t="s">
        <v>110</v>
      </c>
      <c r="C627" s="439">
        <v>73222845</v>
      </c>
      <c r="D627" s="438">
        <v>95699639</v>
      </c>
      <c r="E627" s="437">
        <v>-8003069</v>
      </c>
      <c r="F627" s="436">
        <v>0</v>
      </c>
      <c r="G627" s="454">
        <v>0</v>
      </c>
    </row>
    <row r="628" spans="2:7">
      <c r="B628" s="440" t="s">
        <v>111</v>
      </c>
      <c r="C628" s="439">
        <v>119560.85573000001</v>
      </c>
      <c r="D628" s="438">
        <v>119560.85573000001</v>
      </c>
      <c r="E628" s="437">
        <v>-76817.314800000007</v>
      </c>
      <c r="F628" s="436">
        <v>0</v>
      </c>
      <c r="G628" s="454">
        <v>0</v>
      </c>
    </row>
    <row r="629" spans="2:7">
      <c r="B629" s="440" t="s">
        <v>112</v>
      </c>
      <c r="C629" s="439">
        <v>873323</v>
      </c>
      <c r="D629" s="438">
        <v>873323</v>
      </c>
      <c r="E629" s="437">
        <v>0</v>
      </c>
      <c r="F629" s="436">
        <v>-183161</v>
      </c>
      <c r="G629" s="454">
        <v>0</v>
      </c>
    </row>
    <row r="630" spans="2:7">
      <c r="B630" s="440" t="s">
        <v>113</v>
      </c>
      <c r="C630" s="439">
        <v>64712</v>
      </c>
      <c r="D630" s="438">
        <v>64712</v>
      </c>
      <c r="E630" s="437">
        <v>-32652</v>
      </c>
      <c r="F630" s="436">
        <v>0</v>
      </c>
      <c r="G630" s="454">
        <v>0</v>
      </c>
    </row>
    <row r="631" spans="2:7">
      <c r="B631" s="440" t="s">
        <v>114</v>
      </c>
      <c r="C631" s="439">
        <v>21917193.798</v>
      </c>
      <c r="D631" s="438">
        <v>21917193.798</v>
      </c>
      <c r="E631" s="437">
        <v>1181384.0260000001</v>
      </c>
      <c r="F631" s="436">
        <v>0</v>
      </c>
      <c r="G631" s="454">
        <v>0</v>
      </c>
    </row>
    <row r="632" spans="2:7">
      <c r="B632" s="440" t="s">
        <v>115</v>
      </c>
      <c r="C632" s="439">
        <v>146434204.40400001</v>
      </c>
      <c r="D632" s="438">
        <v>156373765.82799998</v>
      </c>
      <c r="E632" s="437">
        <v>-37384182.520000003</v>
      </c>
      <c r="F632" s="436">
        <v>0</v>
      </c>
      <c r="G632" s="454">
        <v>0</v>
      </c>
    </row>
    <row r="633" spans="2:7">
      <c r="B633" s="440" t="s">
        <v>116</v>
      </c>
      <c r="C633" s="439">
        <v>0</v>
      </c>
      <c r="D633" s="438">
        <v>0</v>
      </c>
      <c r="E633" s="437">
        <v>0</v>
      </c>
      <c r="F633" s="436">
        <v>0</v>
      </c>
      <c r="G633" s="454">
        <v>0</v>
      </c>
    </row>
    <row r="634" spans="2:7">
      <c r="B634" s="440" t="s">
        <v>117</v>
      </c>
      <c r="C634" s="439">
        <v>12840063</v>
      </c>
      <c r="D634" s="438">
        <v>15659892</v>
      </c>
      <c r="E634" s="437">
        <v>0</v>
      </c>
      <c r="F634" s="436">
        <v>0</v>
      </c>
      <c r="G634" s="454">
        <v>0</v>
      </c>
    </row>
    <row r="635" spans="2:7">
      <c r="B635" s="440" t="s">
        <v>118</v>
      </c>
      <c r="C635" s="439">
        <v>15887606</v>
      </c>
      <c r="D635" s="438">
        <v>20870757</v>
      </c>
      <c r="E635" s="437">
        <v>0</v>
      </c>
      <c r="F635" s="436">
        <v>0</v>
      </c>
      <c r="G635" s="454">
        <v>0</v>
      </c>
    </row>
    <row r="636" spans="2:7">
      <c r="B636" s="440" t="s">
        <v>119</v>
      </c>
      <c r="C636" s="439">
        <v>54880287</v>
      </c>
      <c r="D636" s="438">
        <v>54880287</v>
      </c>
      <c r="E636" s="437">
        <v>0</v>
      </c>
      <c r="F636" s="436">
        <v>0</v>
      </c>
      <c r="G636" s="454">
        <v>0</v>
      </c>
    </row>
    <row r="637" spans="2:7">
      <c r="B637" s="440" t="s">
        <v>120</v>
      </c>
      <c r="C637" s="439">
        <v>0</v>
      </c>
      <c r="D637" s="438">
        <v>0</v>
      </c>
      <c r="E637" s="437">
        <v>0</v>
      </c>
      <c r="F637" s="436">
        <v>0</v>
      </c>
      <c r="G637" s="454">
        <v>0</v>
      </c>
    </row>
    <row r="638" spans="2:7">
      <c r="B638" s="440" t="s">
        <v>121</v>
      </c>
      <c r="C638" s="439">
        <v>249771155</v>
      </c>
      <c r="D638" s="438">
        <v>347668344</v>
      </c>
      <c r="E638" s="437">
        <v>-27512692</v>
      </c>
      <c r="F638" s="436">
        <v>0</v>
      </c>
      <c r="G638" s="454">
        <v>0</v>
      </c>
    </row>
    <row r="639" spans="2:7" ht="14" thickBot="1">
      <c r="B639" s="455" t="s">
        <v>122</v>
      </c>
      <c r="C639" s="433">
        <v>0</v>
      </c>
      <c r="D639" s="432">
        <v>0</v>
      </c>
      <c r="E639" s="431">
        <v>0</v>
      </c>
      <c r="F639" s="430">
        <v>0</v>
      </c>
      <c r="G639" s="456">
        <v>0</v>
      </c>
    </row>
    <row r="642" spans="2:7">
      <c r="B642" s="12" t="s">
        <v>13</v>
      </c>
    </row>
    <row r="643" spans="2:7" ht="14" thickBot="1"/>
    <row r="644" spans="2:7" ht="14" thickBot="1">
      <c r="B644" s="553" t="s">
        <v>51</v>
      </c>
      <c r="C644" s="555" t="s">
        <v>123</v>
      </c>
      <c r="D644" s="556"/>
      <c r="E644" s="556"/>
      <c r="F644" s="556"/>
      <c r="G644" s="557"/>
    </row>
    <row r="645" spans="2:7" ht="54.5" thickBot="1">
      <c r="B645" s="554"/>
      <c r="C645" s="452" t="s">
        <v>124</v>
      </c>
      <c r="D645" s="452" t="s">
        <v>125</v>
      </c>
      <c r="E645" s="451" t="s">
        <v>126</v>
      </c>
      <c r="F645" s="450" t="s">
        <v>127</v>
      </c>
      <c r="G645" s="449" t="s">
        <v>128</v>
      </c>
    </row>
    <row r="646" spans="2:7">
      <c r="B646" s="446" t="s">
        <v>53</v>
      </c>
      <c r="C646" s="445">
        <v>389335555</v>
      </c>
      <c r="D646" s="444">
        <v>516738671</v>
      </c>
      <c r="E646" s="443">
        <v>-100613426</v>
      </c>
      <c r="F646" s="442">
        <v>0</v>
      </c>
      <c r="G646" s="453">
        <v>0</v>
      </c>
    </row>
    <row r="647" spans="2:7">
      <c r="B647" s="440" t="s">
        <v>63</v>
      </c>
      <c r="C647" s="439">
        <v>89813</v>
      </c>
      <c r="D647" s="438">
        <v>89813</v>
      </c>
      <c r="E647" s="437">
        <v>0</v>
      </c>
      <c r="F647" s="436">
        <v>0</v>
      </c>
      <c r="G647" s="454">
        <v>0</v>
      </c>
    </row>
    <row r="648" spans="2:7">
      <c r="B648" s="440" t="s">
        <v>64</v>
      </c>
      <c r="C648" s="439">
        <v>3194516</v>
      </c>
      <c r="D648" s="438">
        <v>3658834</v>
      </c>
      <c r="E648" s="437">
        <v>0</v>
      </c>
      <c r="F648" s="436">
        <v>0</v>
      </c>
      <c r="G648" s="454">
        <v>0</v>
      </c>
    </row>
    <row r="649" spans="2:7">
      <c r="B649" s="440" t="s">
        <v>65</v>
      </c>
      <c r="C649" s="439">
        <v>24412195</v>
      </c>
      <c r="D649" s="438">
        <v>32970646</v>
      </c>
      <c r="E649" s="437">
        <v>-7950152</v>
      </c>
      <c r="F649" s="436">
        <v>0</v>
      </c>
      <c r="G649" s="454">
        <v>0</v>
      </c>
    </row>
    <row r="650" spans="2:7">
      <c r="B650" s="440" t="s">
        <v>66</v>
      </c>
      <c r="C650" s="439">
        <v>2185605</v>
      </c>
      <c r="D650" s="438">
        <v>2976385</v>
      </c>
      <c r="E650" s="437">
        <v>-1779730</v>
      </c>
      <c r="F650" s="436">
        <v>0</v>
      </c>
      <c r="G650" s="454">
        <v>0</v>
      </c>
    </row>
    <row r="651" spans="2:7">
      <c r="B651" s="440" t="s">
        <v>67</v>
      </c>
      <c r="C651" s="439">
        <v>1109794</v>
      </c>
      <c r="D651" s="438">
        <v>1293342</v>
      </c>
      <c r="E651" s="437">
        <v>0</v>
      </c>
      <c r="F651" s="436">
        <v>0</v>
      </c>
      <c r="G651" s="454">
        <v>0</v>
      </c>
    </row>
    <row r="652" spans="2:7">
      <c r="B652" s="440" t="s">
        <v>68</v>
      </c>
      <c r="C652" s="439">
        <v>0</v>
      </c>
      <c r="D652" s="438">
        <v>0</v>
      </c>
      <c r="E652" s="437">
        <v>0</v>
      </c>
      <c r="F652" s="436">
        <v>0</v>
      </c>
      <c r="G652" s="454">
        <v>0</v>
      </c>
    </row>
    <row r="653" spans="2:7">
      <c r="B653" s="440" t="s">
        <v>69</v>
      </c>
      <c r="C653" s="439">
        <v>83533657</v>
      </c>
      <c r="D653" s="438">
        <v>120722295</v>
      </c>
      <c r="E653" s="437">
        <v>-26524596</v>
      </c>
      <c r="F653" s="436">
        <v>0</v>
      </c>
      <c r="G653" s="454">
        <v>0</v>
      </c>
    </row>
    <row r="654" spans="2:7">
      <c r="B654" s="440" t="s">
        <v>70</v>
      </c>
      <c r="C654" s="439">
        <v>324922704</v>
      </c>
      <c r="D654" s="438">
        <v>431823372</v>
      </c>
      <c r="E654" s="437">
        <v>-73278500</v>
      </c>
      <c r="F654" s="436">
        <v>0</v>
      </c>
      <c r="G654" s="454">
        <v>0</v>
      </c>
    </row>
    <row r="655" spans="2:7">
      <c r="B655" s="440" t="s">
        <v>71</v>
      </c>
      <c r="C655" s="439">
        <v>0</v>
      </c>
      <c r="D655" s="438">
        <v>0</v>
      </c>
      <c r="E655" s="437">
        <v>0</v>
      </c>
      <c r="F655" s="436">
        <v>0</v>
      </c>
      <c r="G655" s="454">
        <v>0</v>
      </c>
    </row>
    <row r="656" spans="2:7">
      <c r="B656" s="440" t="s">
        <v>72</v>
      </c>
      <c r="C656" s="439">
        <v>0</v>
      </c>
      <c r="D656" s="438">
        <v>0</v>
      </c>
      <c r="E656" s="437">
        <v>0</v>
      </c>
      <c r="F656" s="436">
        <v>0</v>
      </c>
      <c r="G656" s="454">
        <v>0</v>
      </c>
    </row>
    <row r="657" spans="2:7">
      <c r="B657" s="440" t="s">
        <v>73</v>
      </c>
      <c r="C657" s="439">
        <v>40875352</v>
      </c>
      <c r="D657" s="438">
        <v>54366074</v>
      </c>
      <c r="E657" s="437">
        <v>-5463552</v>
      </c>
      <c r="F657" s="436">
        <v>-1975761</v>
      </c>
      <c r="G657" s="454">
        <v>0</v>
      </c>
    </row>
    <row r="658" spans="2:7">
      <c r="B658" s="440" t="s">
        <v>74</v>
      </c>
      <c r="C658" s="439">
        <v>3098196</v>
      </c>
      <c r="D658" s="438">
        <v>3727815</v>
      </c>
      <c r="E658" s="437">
        <v>-1109282</v>
      </c>
      <c r="F658" s="436">
        <v>0</v>
      </c>
      <c r="G658" s="454">
        <v>0</v>
      </c>
    </row>
    <row r="659" spans="2:7">
      <c r="B659" s="440" t="s">
        <v>75</v>
      </c>
      <c r="C659" s="439">
        <v>40037244</v>
      </c>
      <c r="D659" s="438">
        <v>55742718</v>
      </c>
      <c r="E659" s="437">
        <v>-7848344</v>
      </c>
      <c r="F659" s="436">
        <v>0</v>
      </c>
      <c r="G659" s="454">
        <v>0</v>
      </c>
    </row>
    <row r="660" spans="2:7">
      <c r="B660" s="440" t="s">
        <v>76</v>
      </c>
      <c r="C660" s="439">
        <v>17823135</v>
      </c>
      <c r="D660" s="438">
        <v>21786725</v>
      </c>
      <c r="E660" s="437">
        <v>-2956532</v>
      </c>
      <c r="F660" s="436">
        <v>0</v>
      </c>
      <c r="G660" s="454">
        <v>0</v>
      </c>
    </row>
    <row r="661" spans="2:7">
      <c r="B661" s="440" t="s">
        <v>77</v>
      </c>
      <c r="C661" s="439">
        <v>0</v>
      </c>
      <c r="D661" s="438">
        <v>0</v>
      </c>
      <c r="E661" s="437">
        <v>0</v>
      </c>
      <c r="F661" s="436">
        <v>0</v>
      </c>
      <c r="G661" s="454">
        <v>0</v>
      </c>
    </row>
    <row r="662" spans="2:7">
      <c r="B662" s="440" t="s">
        <v>78</v>
      </c>
      <c r="C662" s="439">
        <v>0</v>
      </c>
      <c r="D662" s="438">
        <v>0</v>
      </c>
      <c r="E662" s="437">
        <v>0</v>
      </c>
      <c r="F662" s="436">
        <v>0</v>
      </c>
      <c r="G662" s="454">
        <v>0</v>
      </c>
    </row>
    <row r="663" spans="2:7">
      <c r="B663" s="440" t="s">
        <v>79</v>
      </c>
      <c r="C663" s="439">
        <v>0</v>
      </c>
      <c r="D663" s="438">
        <v>0</v>
      </c>
      <c r="E663" s="437">
        <v>0</v>
      </c>
      <c r="F663" s="436">
        <v>0</v>
      </c>
      <c r="G663" s="454">
        <v>0</v>
      </c>
    </row>
    <row r="664" spans="2:7">
      <c r="B664" s="440" t="s">
        <v>80</v>
      </c>
      <c r="C664" s="439">
        <v>0</v>
      </c>
      <c r="D664" s="438">
        <v>0</v>
      </c>
      <c r="E664" s="437">
        <v>0</v>
      </c>
      <c r="F664" s="436">
        <v>0</v>
      </c>
      <c r="G664" s="454">
        <v>0</v>
      </c>
    </row>
    <row r="665" spans="2:7">
      <c r="B665" s="440" t="s">
        <v>81</v>
      </c>
      <c r="C665" s="439">
        <v>0</v>
      </c>
      <c r="D665" s="438">
        <v>0</v>
      </c>
      <c r="E665" s="437">
        <v>0</v>
      </c>
      <c r="F665" s="436">
        <v>0</v>
      </c>
      <c r="G665" s="454">
        <v>0</v>
      </c>
    </row>
    <row r="666" spans="2:7">
      <c r="B666" s="440" t="s">
        <v>82</v>
      </c>
      <c r="C666" s="439">
        <v>80993700</v>
      </c>
      <c r="D666" s="438">
        <v>108860759</v>
      </c>
      <c r="E666" s="437">
        <v>-8931709</v>
      </c>
      <c r="F666" s="436">
        <v>0</v>
      </c>
      <c r="G666" s="454">
        <v>0</v>
      </c>
    </row>
    <row r="667" spans="2:7">
      <c r="B667" s="440" t="s">
        <v>83</v>
      </c>
      <c r="C667" s="439">
        <v>0</v>
      </c>
      <c r="D667" s="438">
        <v>0</v>
      </c>
      <c r="E667" s="437">
        <v>0</v>
      </c>
      <c r="F667" s="436">
        <v>0</v>
      </c>
      <c r="G667" s="454">
        <v>0</v>
      </c>
    </row>
    <row r="668" spans="2:7">
      <c r="B668" s="440" t="s">
        <v>84</v>
      </c>
      <c r="C668" s="439">
        <v>38258412</v>
      </c>
      <c r="D668" s="438">
        <v>50349961</v>
      </c>
      <c r="E668" s="437">
        <v>-14090222</v>
      </c>
      <c r="F668" s="436">
        <v>0</v>
      </c>
      <c r="G668" s="454">
        <v>0</v>
      </c>
    </row>
    <row r="669" spans="2:7">
      <c r="B669" s="440" t="s">
        <v>85</v>
      </c>
      <c r="C669" s="439">
        <v>0</v>
      </c>
      <c r="D669" s="438">
        <v>0</v>
      </c>
      <c r="E669" s="437">
        <v>0</v>
      </c>
      <c r="F669" s="436">
        <v>0</v>
      </c>
      <c r="G669" s="454">
        <v>0</v>
      </c>
    </row>
    <row r="670" spans="2:7">
      <c r="B670" s="440" t="s">
        <v>86</v>
      </c>
      <c r="C670" s="439">
        <v>1336182.39885</v>
      </c>
      <c r="D670" s="438">
        <v>1934990.9638100001</v>
      </c>
      <c r="E670" s="437">
        <v>0</v>
      </c>
      <c r="F670" s="436">
        <v>0</v>
      </c>
      <c r="G670" s="454">
        <v>0</v>
      </c>
    </row>
    <row r="671" spans="2:7">
      <c r="B671" s="440" t="s">
        <v>87</v>
      </c>
      <c r="C671" s="439">
        <v>7659288</v>
      </c>
      <c r="D671" s="438">
        <v>7668557</v>
      </c>
      <c r="E671" s="437">
        <v>0</v>
      </c>
      <c r="F671" s="436">
        <v>-3295508</v>
      </c>
      <c r="G671" s="454">
        <v>0</v>
      </c>
    </row>
    <row r="672" spans="2:7">
      <c r="B672" s="440" t="s">
        <v>88</v>
      </c>
      <c r="C672" s="439">
        <v>1465627</v>
      </c>
      <c r="D672" s="438">
        <v>1997410</v>
      </c>
      <c r="E672" s="437">
        <v>-502122</v>
      </c>
      <c r="F672" s="436">
        <v>0</v>
      </c>
      <c r="G672" s="454">
        <v>0</v>
      </c>
    </row>
    <row r="673" spans="2:7">
      <c r="B673" s="440" t="s">
        <v>89</v>
      </c>
      <c r="C673" s="439">
        <v>0</v>
      </c>
      <c r="D673" s="438">
        <v>0</v>
      </c>
      <c r="E673" s="437">
        <v>0</v>
      </c>
      <c r="F673" s="436">
        <v>0</v>
      </c>
      <c r="G673" s="454">
        <v>0</v>
      </c>
    </row>
    <row r="674" spans="2:7">
      <c r="B674" s="440" t="s">
        <v>90</v>
      </c>
      <c r="C674" s="439">
        <v>0</v>
      </c>
      <c r="D674" s="438">
        <v>0</v>
      </c>
      <c r="E674" s="437">
        <v>0</v>
      </c>
      <c r="F674" s="436">
        <v>0</v>
      </c>
      <c r="G674" s="454">
        <v>0</v>
      </c>
    </row>
    <row r="675" spans="2:7">
      <c r="B675" s="440" t="s">
        <v>91</v>
      </c>
      <c r="C675" s="439">
        <v>0</v>
      </c>
      <c r="D675" s="438">
        <v>0</v>
      </c>
      <c r="E675" s="437">
        <v>0</v>
      </c>
      <c r="F675" s="436">
        <v>0</v>
      </c>
      <c r="G675" s="454">
        <v>0</v>
      </c>
    </row>
    <row r="676" spans="2:7">
      <c r="B676" s="440" t="s">
        <v>92</v>
      </c>
      <c r="C676" s="439">
        <v>48031247.577999994</v>
      </c>
      <c r="D676" s="438">
        <v>48790488.659999996</v>
      </c>
      <c r="E676" s="437">
        <v>141361.54600000009</v>
      </c>
      <c r="F676" s="436">
        <v>0</v>
      </c>
      <c r="G676" s="454">
        <v>0</v>
      </c>
    </row>
    <row r="677" spans="2:7">
      <c r="B677" s="440" t="s">
        <v>93</v>
      </c>
      <c r="C677" s="439">
        <v>316403648.37199998</v>
      </c>
      <c r="D677" s="438">
        <v>329602159.19700003</v>
      </c>
      <c r="E677" s="437">
        <v>-73603604.467000008</v>
      </c>
      <c r="F677" s="436">
        <v>0</v>
      </c>
      <c r="G677" s="454">
        <v>0</v>
      </c>
    </row>
    <row r="678" spans="2:7">
      <c r="B678" s="440" t="s">
        <v>94</v>
      </c>
      <c r="C678" s="439">
        <v>0</v>
      </c>
      <c r="D678" s="438">
        <v>0</v>
      </c>
      <c r="E678" s="437">
        <v>0</v>
      </c>
      <c r="F678" s="436">
        <v>0</v>
      </c>
      <c r="G678" s="454">
        <v>0</v>
      </c>
    </row>
    <row r="679" spans="2:7">
      <c r="B679" s="440" t="s">
        <v>95</v>
      </c>
      <c r="C679" s="439">
        <v>0</v>
      </c>
      <c r="D679" s="438">
        <v>0</v>
      </c>
      <c r="E679" s="437">
        <v>0</v>
      </c>
      <c r="F679" s="436">
        <v>0</v>
      </c>
      <c r="G679" s="454">
        <v>0</v>
      </c>
    </row>
    <row r="680" spans="2:7">
      <c r="B680" s="440" t="s">
        <v>96</v>
      </c>
      <c r="C680" s="439">
        <v>0</v>
      </c>
      <c r="D680" s="438">
        <v>0</v>
      </c>
      <c r="E680" s="437">
        <v>0</v>
      </c>
      <c r="F680" s="436">
        <v>0</v>
      </c>
      <c r="G680" s="454">
        <v>0</v>
      </c>
    </row>
    <row r="681" spans="2:7">
      <c r="B681" s="440" t="s">
        <v>97</v>
      </c>
      <c r="C681" s="439">
        <v>0</v>
      </c>
      <c r="D681" s="438">
        <v>0</v>
      </c>
      <c r="E681" s="437">
        <v>0</v>
      </c>
      <c r="F681" s="436">
        <v>0</v>
      </c>
      <c r="G681" s="454">
        <v>0</v>
      </c>
    </row>
    <row r="682" spans="2:7">
      <c r="B682" s="440" t="s">
        <v>98</v>
      </c>
      <c r="C682" s="439">
        <v>0</v>
      </c>
      <c r="D682" s="438">
        <v>0</v>
      </c>
      <c r="E682" s="437">
        <v>0</v>
      </c>
      <c r="F682" s="436">
        <v>0</v>
      </c>
      <c r="G682" s="454">
        <v>0</v>
      </c>
    </row>
    <row r="683" spans="2:7">
      <c r="B683" s="440" t="s">
        <v>99</v>
      </c>
      <c r="C683" s="439">
        <v>35247527</v>
      </c>
      <c r="D683" s="438">
        <v>44071273</v>
      </c>
      <c r="E683" s="437">
        <v>0</v>
      </c>
      <c r="F683" s="436">
        <v>0</v>
      </c>
      <c r="G683" s="454">
        <v>0</v>
      </c>
    </row>
    <row r="684" spans="2:7">
      <c r="B684" s="440" t="s">
        <v>100</v>
      </c>
      <c r="C684" s="439">
        <v>793298</v>
      </c>
      <c r="D684" s="438">
        <v>915955</v>
      </c>
      <c r="E684" s="437">
        <v>0</v>
      </c>
      <c r="F684" s="436">
        <v>0</v>
      </c>
      <c r="G684" s="454">
        <v>0</v>
      </c>
    </row>
    <row r="685" spans="2:7">
      <c r="B685" s="440" t="s">
        <v>101</v>
      </c>
      <c r="C685" s="439">
        <v>4964457</v>
      </c>
      <c r="D685" s="438">
        <v>4964457</v>
      </c>
      <c r="E685" s="437">
        <v>0</v>
      </c>
      <c r="F685" s="436">
        <v>0</v>
      </c>
      <c r="G685" s="454">
        <v>0</v>
      </c>
    </row>
    <row r="686" spans="2:7">
      <c r="B686" s="440" t="s">
        <v>102</v>
      </c>
      <c r="C686" s="439">
        <v>0</v>
      </c>
      <c r="D686" s="438">
        <v>0</v>
      </c>
      <c r="E686" s="437">
        <v>0</v>
      </c>
      <c r="F686" s="436">
        <v>0</v>
      </c>
      <c r="G686" s="454">
        <v>0</v>
      </c>
    </row>
    <row r="687" spans="2:7">
      <c r="B687" s="440" t="s">
        <v>103</v>
      </c>
      <c r="C687" s="439">
        <v>40235</v>
      </c>
      <c r="D687" s="438">
        <v>40235</v>
      </c>
      <c r="E687" s="437">
        <v>0</v>
      </c>
      <c r="F687" s="436">
        <v>0</v>
      </c>
      <c r="G687" s="454">
        <v>0</v>
      </c>
    </row>
    <row r="688" spans="2:7">
      <c r="B688" s="440" t="s">
        <v>104</v>
      </c>
      <c r="C688" s="439">
        <v>58507</v>
      </c>
      <c r="D688" s="438">
        <v>58507</v>
      </c>
      <c r="E688" s="437">
        <v>0</v>
      </c>
      <c r="F688" s="436">
        <v>0</v>
      </c>
      <c r="G688" s="454">
        <v>0</v>
      </c>
    </row>
    <row r="689" spans="2:7">
      <c r="B689" s="440" t="s">
        <v>105</v>
      </c>
      <c r="C689" s="439">
        <v>0</v>
      </c>
      <c r="D689" s="438">
        <v>0</v>
      </c>
      <c r="E689" s="437">
        <v>0</v>
      </c>
      <c r="F689" s="436">
        <v>0</v>
      </c>
      <c r="G689" s="454">
        <v>0</v>
      </c>
    </row>
    <row r="690" spans="2:7">
      <c r="B690" s="440" t="s">
        <v>106</v>
      </c>
      <c r="C690" s="439">
        <v>0</v>
      </c>
      <c r="D690" s="438">
        <v>0</v>
      </c>
      <c r="E690" s="437">
        <v>0</v>
      </c>
      <c r="F690" s="436">
        <v>0</v>
      </c>
      <c r="G690" s="454">
        <v>0</v>
      </c>
    </row>
    <row r="691" spans="2:7">
      <c r="B691" s="440" t="s">
        <v>107</v>
      </c>
      <c r="C691" s="439">
        <v>0</v>
      </c>
      <c r="D691" s="438">
        <v>0</v>
      </c>
      <c r="E691" s="437">
        <v>0</v>
      </c>
      <c r="F691" s="436">
        <v>0</v>
      </c>
      <c r="G691" s="454">
        <v>0</v>
      </c>
    </row>
    <row r="692" spans="2:7">
      <c r="B692" s="440" t="s">
        <v>108</v>
      </c>
      <c r="C692" s="439">
        <v>0</v>
      </c>
      <c r="D692" s="438">
        <v>0</v>
      </c>
      <c r="E692" s="437">
        <v>0</v>
      </c>
      <c r="F692" s="436">
        <v>0</v>
      </c>
      <c r="G692" s="454">
        <v>0</v>
      </c>
    </row>
    <row r="693" spans="2:7">
      <c r="B693" s="440" t="s">
        <v>109</v>
      </c>
      <c r="C693" s="439">
        <v>209395757</v>
      </c>
      <c r="D693" s="438">
        <v>264594744</v>
      </c>
      <c r="E693" s="437">
        <v>-16885704</v>
      </c>
      <c r="F693" s="436">
        <v>-689928</v>
      </c>
      <c r="G693" s="454">
        <v>0</v>
      </c>
    </row>
    <row r="694" spans="2:7">
      <c r="B694" s="440" t="s">
        <v>110</v>
      </c>
      <c r="C694" s="439">
        <v>0</v>
      </c>
      <c r="D694" s="438">
        <v>0</v>
      </c>
      <c r="E694" s="437">
        <v>0</v>
      </c>
      <c r="F694" s="436">
        <v>0</v>
      </c>
      <c r="G694" s="454">
        <v>0</v>
      </c>
    </row>
    <row r="695" spans="2:7">
      <c r="B695" s="440" t="s">
        <v>111</v>
      </c>
      <c r="C695" s="439">
        <v>9604354.59406</v>
      </c>
      <c r="D695" s="438">
        <v>16759097.344970003</v>
      </c>
      <c r="E695" s="437">
        <v>-332820.04551000003</v>
      </c>
      <c r="F695" s="436">
        <v>0</v>
      </c>
      <c r="G695" s="454">
        <v>0</v>
      </c>
    </row>
    <row r="696" spans="2:7">
      <c r="B696" s="440" t="s">
        <v>112</v>
      </c>
      <c r="C696" s="439">
        <v>98526109</v>
      </c>
      <c r="D696" s="438">
        <v>105103472</v>
      </c>
      <c r="E696" s="437">
        <v>0</v>
      </c>
      <c r="F696" s="436">
        <v>-24828182</v>
      </c>
      <c r="G696" s="454">
        <v>0</v>
      </c>
    </row>
    <row r="697" spans="2:7">
      <c r="B697" s="440" t="s">
        <v>113</v>
      </c>
      <c r="C697" s="439">
        <v>11739683</v>
      </c>
      <c r="D697" s="438">
        <v>16274088</v>
      </c>
      <c r="E697" s="437">
        <v>-8290773</v>
      </c>
      <c r="F697" s="436">
        <v>0</v>
      </c>
      <c r="G697" s="454">
        <v>0</v>
      </c>
    </row>
    <row r="698" spans="2:7">
      <c r="B698" s="440" t="s">
        <v>114</v>
      </c>
      <c r="C698" s="439">
        <v>6176213.4919999996</v>
      </c>
      <c r="D698" s="438">
        <v>6632092.6779999994</v>
      </c>
      <c r="E698" s="437">
        <v>1763907.216</v>
      </c>
      <c r="F698" s="436">
        <v>0</v>
      </c>
      <c r="G698" s="454">
        <v>0</v>
      </c>
    </row>
    <row r="699" spans="2:7">
      <c r="B699" s="440" t="s">
        <v>115</v>
      </c>
      <c r="C699" s="439">
        <v>121680479.76120001</v>
      </c>
      <c r="D699" s="438">
        <v>133937246.97320001</v>
      </c>
      <c r="E699" s="437">
        <v>-74952480.040000007</v>
      </c>
      <c r="F699" s="436">
        <v>0</v>
      </c>
      <c r="G699" s="454">
        <v>0</v>
      </c>
    </row>
    <row r="700" spans="2:7">
      <c r="B700" s="440" t="s">
        <v>116</v>
      </c>
      <c r="C700" s="439">
        <v>0</v>
      </c>
      <c r="D700" s="438">
        <v>0</v>
      </c>
      <c r="E700" s="437">
        <v>0</v>
      </c>
      <c r="F700" s="436">
        <v>0</v>
      </c>
      <c r="G700" s="454">
        <v>0</v>
      </c>
    </row>
    <row r="701" spans="2:7">
      <c r="B701" s="440" t="s">
        <v>117</v>
      </c>
      <c r="C701" s="439">
        <v>6002335</v>
      </c>
      <c r="D701" s="438">
        <v>6745758</v>
      </c>
      <c r="E701" s="437">
        <v>0</v>
      </c>
      <c r="F701" s="436">
        <v>0</v>
      </c>
      <c r="G701" s="454">
        <v>0</v>
      </c>
    </row>
    <row r="702" spans="2:7">
      <c r="B702" s="440" t="s">
        <v>118</v>
      </c>
      <c r="C702" s="439">
        <v>32855669</v>
      </c>
      <c r="D702" s="438">
        <v>37751195</v>
      </c>
      <c r="E702" s="437">
        <v>-3008346</v>
      </c>
      <c r="F702" s="436">
        <v>0</v>
      </c>
      <c r="G702" s="454">
        <v>0</v>
      </c>
    </row>
    <row r="703" spans="2:7">
      <c r="B703" s="440" t="s">
        <v>119</v>
      </c>
      <c r="C703" s="439">
        <v>14570360</v>
      </c>
      <c r="D703" s="438">
        <v>14570360</v>
      </c>
      <c r="E703" s="437">
        <v>0</v>
      </c>
      <c r="F703" s="436">
        <v>0</v>
      </c>
      <c r="G703" s="454">
        <v>0</v>
      </c>
    </row>
    <row r="704" spans="2:7">
      <c r="B704" s="440" t="s">
        <v>120</v>
      </c>
      <c r="C704" s="439"/>
      <c r="D704" s="438"/>
      <c r="E704" s="437"/>
      <c r="F704" s="436"/>
      <c r="G704" s="454"/>
    </row>
    <row r="705" spans="2:7">
      <c r="B705" s="440" t="s">
        <v>121</v>
      </c>
      <c r="C705" s="439"/>
      <c r="D705" s="438"/>
      <c r="E705" s="437"/>
      <c r="F705" s="436"/>
      <c r="G705" s="454"/>
    </row>
    <row r="706" spans="2:7" ht="14" thickBot="1">
      <c r="B706" s="455" t="s">
        <v>122</v>
      </c>
      <c r="C706" s="433"/>
      <c r="D706" s="432"/>
      <c r="E706" s="431"/>
      <c r="F706" s="430"/>
      <c r="G706" s="456"/>
    </row>
    <row r="709" spans="2:7">
      <c r="B709" s="12" t="s">
        <v>14</v>
      </c>
    </row>
    <row r="710" spans="2:7" ht="14" thickBot="1"/>
    <row r="711" spans="2:7" ht="14" thickBot="1">
      <c r="B711" s="553" t="s">
        <v>51</v>
      </c>
      <c r="C711" s="555" t="s">
        <v>123</v>
      </c>
      <c r="D711" s="556"/>
      <c r="E711" s="556"/>
      <c r="F711" s="556"/>
      <c r="G711" s="557"/>
    </row>
    <row r="712" spans="2:7" ht="54.5" thickBot="1">
      <c r="B712" s="554"/>
      <c r="C712" s="452" t="s">
        <v>124</v>
      </c>
      <c r="D712" s="452" t="s">
        <v>125</v>
      </c>
      <c r="E712" s="451" t="s">
        <v>126</v>
      </c>
      <c r="F712" s="450" t="s">
        <v>127</v>
      </c>
      <c r="G712" s="449" t="s">
        <v>128</v>
      </c>
    </row>
    <row r="713" spans="2:7">
      <c r="B713" s="446" t="s">
        <v>53</v>
      </c>
      <c r="C713" s="445">
        <v>645567046</v>
      </c>
      <c r="D713" s="444">
        <v>916183526</v>
      </c>
      <c r="E713" s="443">
        <v>-306529646</v>
      </c>
      <c r="F713" s="442">
        <v>0</v>
      </c>
      <c r="G713" s="453">
        <v>0</v>
      </c>
    </row>
    <row r="714" spans="2:7">
      <c r="B714" s="440" t="s">
        <v>63</v>
      </c>
      <c r="C714" s="439">
        <v>457598</v>
      </c>
      <c r="D714" s="438">
        <v>491423</v>
      </c>
      <c r="E714" s="437">
        <v>0</v>
      </c>
      <c r="F714" s="436">
        <v>0</v>
      </c>
      <c r="G714" s="454">
        <v>0</v>
      </c>
    </row>
    <row r="715" spans="2:7">
      <c r="B715" s="440" t="s">
        <v>64</v>
      </c>
      <c r="C715" s="439">
        <v>8457633</v>
      </c>
      <c r="D715" s="438">
        <v>9754093</v>
      </c>
      <c r="E715" s="437">
        <v>-706696</v>
      </c>
      <c r="F715" s="436">
        <v>0</v>
      </c>
      <c r="G715" s="454">
        <v>0</v>
      </c>
    </row>
    <row r="716" spans="2:7">
      <c r="B716" s="440" t="s">
        <v>65</v>
      </c>
      <c r="C716" s="439">
        <v>40498094</v>
      </c>
      <c r="D716" s="438">
        <v>52739097</v>
      </c>
      <c r="E716" s="437">
        <v>-8740819</v>
      </c>
      <c r="F716" s="436">
        <v>0</v>
      </c>
      <c r="G716" s="454">
        <v>0</v>
      </c>
    </row>
    <row r="717" spans="2:7">
      <c r="B717" s="440" t="s">
        <v>66</v>
      </c>
      <c r="C717" s="439">
        <v>9927081</v>
      </c>
      <c r="D717" s="438">
        <v>13201110</v>
      </c>
      <c r="E717" s="437">
        <v>-1327300</v>
      </c>
      <c r="F717" s="436">
        <v>0</v>
      </c>
      <c r="G717" s="454">
        <v>0</v>
      </c>
    </row>
    <row r="718" spans="2:7">
      <c r="B718" s="440" t="s">
        <v>67</v>
      </c>
      <c r="C718" s="439">
        <v>12717962</v>
      </c>
      <c r="D718" s="438">
        <v>13401013</v>
      </c>
      <c r="E718" s="437">
        <v>-3634812</v>
      </c>
      <c r="F718" s="436">
        <v>0</v>
      </c>
      <c r="G718" s="454">
        <v>0</v>
      </c>
    </row>
    <row r="719" spans="2:7">
      <c r="B719" s="440" t="s">
        <v>68</v>
      </c>
      <c r="C719" s="439">
        <v>0</v>
      </c>
      <c r="D719" s="438">
        <v>0</v>
      </c>
      <c r="E719" s="437">
        <v>0</v>
      </c>
      <c r="F719" s="436">
        <v>0</v>
      </c>
      <c r="G719" s="454">
        <v>0</v>
      </c>
    </row>
    <row r="720" spans="2:7">
      <c r="B720" s="440" t="s">
        <v>69</v>
      </c>
      <c r="C720" s="439">
        <v>88784244</v>
      </c>
      <c r="D720" s="438">
        <v>134648611</v>
      </c>
      <c r="E720" s="437">
        <v>-20495077</v>
      </c>
      <c r="F720" s="436">
        <v>0</v>
      </c>
      <c r="G720" s="454">
        <v>0</v>
      </c>
    </row>
    <row r="721" spans="2:7">
      <c r="B721" s="440" t="s">
        <v>70</v>
      </c>
      <c r="C721" s="439">
        <v>953744987</v>
      </c>
      <c r="D721" s="438">
        <v>1335064315</v>
      </c>
      <c r="E721" s="437">
        <v>-377191603</v>
      </c>
      <c r="F721" s="436">
        <v>0</v>
      </c>
      <c r="G721" s="454">
        <v>0</v>
      </c>
    </row>
    <row r="722" spans="2:7">
      <c r="B722" s="440" t="s">
        <v>71</v>
      </c>
      <c r="C722" s="439">
        <v>0</v>
      </c>
      <c r="D722" s="438">
        <v>0</v>
      </c>
      <c r="E722" s="437">
        <v>0</v>
      </c>
      <c r="F722" s="436">
        <v>0</v>
      </c>
      <c r="G722" s="454">
        <v>0</v>
      </c>
    </row>
    <row r="723" spans="2:7">
      <c r="B723" s="440" t="s">
        <v>72</v>
      </c>
      <c r="C723" s="439">
        <v>0</v>
      </c>
      <c r="D723" s="438">
        <v>0</v>
      </c>
      <c r="E723" s="437">
        <v>0</v>
      </c>
      <c r="F723" s="436">
        <v>0</v>
      </c>
      <c r="G723" s="454">
        <v>0</v>
      </c>
    </row>
    <row r="724" spans="2:7">
      <c r="B724" s="440" t="s">
        <v>73</v>
      </c>
      <c r="C724" s="439">
        <v>51838899</v>
      </c>
      <c r="D724" s="438">
        <v>64691659</v>
      </c>
      <c r="E724" s="437">
        <v>-5230840</v>
      </c>
      <c r="F724" s="436">
        <v>-564026</v>
      </c>
      <c r="G724" s="454">
        <v>0</v>
      </c>
    </row>
    <row r="725" spans="2:7">
      <c r="B725" s="440" t="s">
        <v>74</v>
      </c>
      <c r="C725" s="439">
        <v>5792580</v>
      </c>
      <c r="D725" s="438">
        <v>7045640</v>
      </c>
      <c r="E725" s="437">
        <v>-1755534</v>
      </c>
      <c r="F725" s="436">
        <v>0</v>
      </c>
      <c r="G725" s="454">
        <v>0</v>
      </c>
    </row>
    <row r="726" spans="2:7">
      <c r="B726" s="440" t="s">
        <v>75</v>
      </c>
      <c r="C726" s="439">
        <v>14008631</v>
      </c>
      <c r="D726" s="438">
        <v>19069149</v>
      </c>
      <c r="E726" s="437">
        <v>-1943832</v>
      </c>
      <c r="F726" s="436">
        <v>0</v>
      </c>
      <c r="G726" s="454">
        <v>0</v>
      </c>
    </row>
    <row r="727" spans="2:7">
      <c r="B727" s="440" t="s">
        <v>76</v>
      </c>
      <c r="C727" s="439">
        <v>38435448</v>
      </c>
      <c r="D727" s="438">
        <v>49474189</v>
      </c>
      <c r="E727" s="437">
        <v>-3639115</v>
      </c>
      <c r="F727" s="436">
        <v>0</v>
      </c>
      <c r="G727" s="454">
        <v>0</v>
      </c>
    </row>
    <row r="728" spans="2:7">
      <c r="B728" s="440" t="s">
        <v>77</v>
      </c>
      <c r="C728" s="439">
        <v>0</v>
      </c>
      <c r="D728" s="438">
        <v>0</v>
      </c>
      <c r="E728" s="437">
        <v>0</v>
      </c>
      <c r="F728" s="436">
        <v>0</v>
      </c>
      <c r="G728" s="454">
        <v>0</v>
      </c>
    </row>
    <row r="729" spans="2:7">
      <c r="B729" s="440" t="s">
        <v>78</v>
      </c>
      <c r="C729" s="439">
        <v>0</v>
      </c>
      <c r="D729" s="438">
        <v>0</v>
      </c>
      <c r="E729" s="437">
        <v>0</v>
      </c>
      <c r="F729" s="436">
        <v>0</v>
      </c>
      <c r="G729" s="454">
        <v>0</v>
      </c>
    </row>
    <row r="730" spans="2:7">
      <c r="B730" s="440" t="s">
        <v>79</v>
      </c>
      <c r="C730" s="439">
        <v>0</v>
      </c>
      <c r="D730" s="438">
        <v>0</v>
      </c>
      <c r="E730" s="437">
        <v>0</v>
      </c>
      <c r="F730" s="436">
        <v>0</v>
      </c>
      <c r="G730" s="454">
        <v>0</v>
      </c>
    </row>
    <row r="731" spans="2:7">
      <c r="B731" s="440" t="s">
        <v>80</v>
      </c>
      <c r="C731" s="439">
        <v>0</v>
      </c>
      <c r="D731" s="438">
        <v>0</v>
      </c>
      <c r="E731" s="437">
        <v>0</v>
      </c>
      <c r="F731" s="436">
        <v>0</v>
      </c>
      <c r="G731" s="454">
        <v>0</v>
      </c>
    </row>
    <row r="732" spans="2:7">
      <c r="B732" s="440" t="s">
        <v>81</v>
      </c>
      <c r="C732" s="439">
        <v>0</v>
      </c>
      <c r="D732" s="438">
        <v>0</v>
      </c>
      <c r="E732" s="437">
        <v>0</v>
      </c>
      <c r="F732" s="436">
        <v>0</v>
      </c>
      <c r="G732" s="454">
        <v>0</v>
      </c>
    </row>
    <row r="733" spans="2:7">
      <c r="B733" s="440" t="s">
        <v>82</v>
      </c>
      <c r="C733" s="439">
        <v>112424995</v>
      </c>
      <c r="D733" s="438">
        <v>153479654</v>
      </c>
      <c r="E733" s="437">
        <v>-17692158</v>
      </c>
      <c r="F733" s="436">
        <v>0</v>
      </c>
      <c r="G733" s="454">
        <v>0</v>
      </c>
    </row>
    <row r="734" spans="2:7">
      <c r="B734" s="440" t="s">
        <v>83</v>
      </c>
      <c r="C734" s="439">
        <v>0</v>
      </c>
      <c r="D734" s="438">
        <v>0</v>
      </c>
      <c r="E734" s="437">
        <v>0</v>
      </c>
      <c r="F734" s="436">
        <v>0</v>
      </c>
      <c r="G734" s="454">
        <v>0</v>
      </c>
    </row>
    <row r="735" spans="2:7">
      <c r="B735" s="440" t="s">
        <v>84</v>
      </c>
      <c r="C735" s="439">
        <v>101061702</v>
      </c>
      <c r="D735" s="438">
        <v>139832744</v>
      </c>
      <c r="E735" s="437">
        <v>-28390112</v>
      </c>
      <c r="F735" s="436">
        <v>0</v>
      </c>
      <c r="G735" s="454">
        <v>0</v>
      </c>
    </row>
    <row r="736" spans="2:7">
      <c r="B736" s="440" t="s">
        <v>85</v>
      </c>
      <c r="C736" s="439">
        <v>0</v>
      </c>
      <c r="D736" s="438">
        <v>0</v>
      </c>
      <c r="E736" s="437">
        <v>0</v>
      </c>
      <c r="F736" s="436">
        <v>0</v>
      </c>
      <c r="G736" s="454">
        <v>0</v>
      </c>
    </row>
    <row r="737" spans="2:7">
      <c r="B737" s="440" t="s">
        <v>86</v>
      </c>
      <c r="C737" s="439">
        <v>2582434.5134100001</v>
      </c>
      <c r="D737" s="438">
        <v>3507735.0407599993</v>
      </c>
      <c r="E737" s="437">
        <v>-387902.33154999989</v>
      </c>
      <c r="F737" s="436">
        <v>0</v>
      </c>
      <c r="G737" s="454">
        <v>0</v>
      </c>
    </row>
    <row r="738" spans="2:7">
      <c r="B738" s="440" t="s">
        <v>87</v>
      </c>
      <c r="C738" s="439">
        <v>11549801</v>
      </c>
      <c r="D738" s="438">
        <v>12165331</v>
      </c>
      <c r="E738" s="437">
        <v>0</v>
      </c>
      <c r="F738" s="436">
        <v>-1512030</v>
      </c>
      <c r="G738" s="454">
        <v>0</v>
      </c>
    </row>
    <row r="739" spans="2:7">
      <c r="B739" s="440" t="s">
        <v>88</v>
      </c>
      <c r="C739" s="439">
        <v>2521112</v>
      </c>
      <c r="D739" s="438">
        <v>2659614</v>
      </c>
      <c r="E739" s="437">
        <v>-828472</v>
      </c>
      <c r="F739" s="436">
        <v>0</v>
      </c>
      <c r="G739" s="454">
        <v>0</v>
      </c>
    </row>
    <row r="740" spans="2:7">
      <c r="B740" s="440" t="s">
        <v>89</v>
      </c>
      <c r="C740" s="439">
        <v>0</v>
      </c>
      <c r="D740" s="438">
        <v>0</v>
      </c>
      <c r="E740" s="437">
        <v>0</v>
      </c>
      <c r="F740" s="436">
        <v>0</v>
      </c>
      <c r="G740" s="454">
        <v>0</v>
      </c>
    </row>
    <row r="741" spans="2:7">
      <c r="B741" s="440" t="s">
        <v>90</v>
      </c>
      <c r="C741" s="439">
        <v>0</v>
      </c>
      <c r="D741" s="438">
        <v>0</v>
      </c>
      <c r="E741" s="437">
        <v>0</v>
      </c>
      <c r="F741" s="436">
        <v>0</v>
      </c>
      <c r="G741" s="454">
        <v>0</v>
      </c>
    </row>
    <row r="742" spans="2:7">
      <c r="B742" s="440" t="s">
        <v>91</v>
      </c>
      <c r="C742" s="439">
        <v>0</v>
      </c>
      <c r="D742" s="438">
        <v>0</v>
      </c>
      <c r="E742" s="437">
        <v>0</v>
      </c>
      <c r="F742" s="436">
        <v>0</v>
      </c>
      <c r="G742" s="454">
        <v>0</v>
      </c>
    </row>
    <row r="743" spans="2:7">
      <c r="B743" s="440" t="s">
        <v>92</v>
      </c>
      <c r="C743" s="439">
        <v>106747835.464</v>
      </c>
      <c r="D743" s="438">
        <v>108454664.875</v>
      </c>
      <c r="E743" s="437">
        <v>-3465419.6805999996</v>
      </c>
      <c r="F743" s="436">
        <v>0</v>
      </c>
      <c r="G743" s="454">
        <v>0</v>
      </c>
    </row>
    <row r="744" spans="2:7">
      <c r="B744" s="440" t="s">
        <v>93</v>
      </c>
      <c r="C744" s="439">
        <v>286072916.6523999</v>
      </c>
      <c r="D744" s="438">
        <v>312119573.06800008</v>
      </c>
      <c r="E744" s="437">
        <v>-21317185.162800003</v>
      </c>
      <c r="F744" s="436">
        <v>0</v>
      </c>
      <c r="G744" s="454">
        <v>0</v>
      </c>
    </row>
    <row r="745" spans="2:7">
      <c r="B745" s="440" t="s">
        <v>94</v>
      </c>
      <c r="C745" s="439">
        <v>0</v>
      </c>
      <c r="D745" s="438">
        <v>0</v>
      </c>
      <c r="E745" s="437">
        <v>0</v>
      </c>
      <c r="F745" s="436">
        <v>0</v>
      </c>
      <c r="G745" s="454">
        <v>0</v>
      </c>
    </row>
    <row r="746" spans="2:7">
      <c r="B746" s="440" t="s">
        <v>95</v>
      </c>
      <c r="C746" s="439">
        <v>0</v>
      </c>
      <c r="D746" s="438">
        <v>0</v>
      </c>
      <c r="E746" s="437">
        <v>0</v>
      </c>
      <c r="F746" s="436">
        <v>0</v>
      </c>
      <c r="G746" s="454">
        <v>0</v>
      </c>
    </row>
    <row r="747" spans="2:7">
      <c r="B747" s="440" t="s">
        <v>96</v>
      </c>
      <c r="C747" s="439">
        <v>0</v>
      </c>
      <c r="D747" s="438">
        <v>0</v>
      </c>
      <c r="E747" s="437">
        <v>0</v>
      </c>
      <c r="F747" s="436">
        <v>0</v>
      </c>
      <c r="G747" s="454">
        <v>0</v>
      </c>
    </row>
    <row r="748" spans="2:7">
      <c r="B748" s="440" t="s">
        <v>97</v>
      </c>
      <c r="C748" s="439">
        <v>0</v>
      </c>
      <c r="D748" s="438">
        <v>0</v>
      </c>
      <c r="E748" s="437">
        <v>0</v>
      </c>
      <c r="F748" s="436">
        <v>0</v>
      </c>
      <c r="G748" s="454">
        <v>0</v>
      </c>
    </row>
    <row r="749" spans="2:7">
      <c r="B749" s="440" t="s">
        <v>98</v>
      </c>
      <c r="C749" s="439">
        <v>0</v>
      </c>
      <c r="D749" s="438">
        <v>0</v>
      </c>
      <c r="E749" s="437">
        <v>0</v>
      </c>
      <c r="F749" s="436">
        <v>0</v>
      </c>
      <c r="G749" s="454">
        <v>0</v>
      </c>
    </row>
    <row r="750" spans="2:7">
      <c r="B750" s="440" t="s">
        <v>99</v>
      </c>
      <c r="C750" s="439">
        <v>15160613</v>
      </c>
      <c r="D750" s="438">
        <v>19864083</v>
      </c>
      <c r="E750" s="437">
        <v>-6187726</v>
      </c>
      <c r="F750" s="436">
        <v>0</v>
      </c>
      <c r="G750" s="454">
        <v>0</v>
      </c>
    </row>
    <row r="751" spans="2:7">
      <c r="B751" s="440" t="s">
        <v>100</v>
      </c>
      <c r="C751" s="439">
        <v>38633946</v>
      </c>
      <c r="D751" s="438">
        <v>45255070</v>
      </c>
      <c r="E751" s="437">
        <v>-4687067</v>
      </c>
      <c r="F751" s="436">
        <v>0</v>
      </c>
      <c r="G751" s="454">
        <v>0</v>
      </c>
    </row>
    <row r="752" spans="2:7">
      <c r="B752" s="440" t="s">
        <v>101</v>
      </c>
      <c r="C752" s="439">
        <v>11875878</v>
      </c>
      <c r="D752" s="438">
        <v>11875878</v>
      </c>
      <c r="E752" s="437">
        <v>0</v>
      </c>
      <c r="F752" s="436">
        <v>0</v>
      </c>
      <c r="G752" s="454">
        <v>0</v>
      </c>
    </row>
    <row r="753" spans="2:7">
      <c r="B753" s="440" t="s">
        <v>102</v>
      </c>
      <c r="C753" s="439">
        <v>0</v>
      </c>
      <c r="D753" s="438">
        <v>0</v>
      </c>
      <c r="E753" s="437">
        <v>0</v>
      </c>
      <c r="F753" s="436">
        <v>0</v>
      </c>
      <c r="G753" s="454">
        <v>0</v>
      </c>
    </row>
    <row r="754" spans="2:7">
      <c r="B754" s="440" t="s">
        <v>103</v>
      </c>
      <c r="C754" s="439">
        <v>571469</v>
      </c>
      <c r="D754" s="438">
        <v>571469</v>
      </c>
      <c r="E754" s="437">
        <v>0</v>
      </c>
      <c r="F754" s="436">
        <v>0</v>
      </c>
      <c r="G754" s="454">
        <v>0</v>
      </c>
    </row>
    <row r="755" spans="2:7">
      <c r="B755" s="440" t="s">
        <v>104</v>
      </c>
      <c r="C755" s="439">
        <v>221304</v>
      </c>
      <c r="D755" s="438">
        <v>221304</v>
      </c>
      <c r="E755" s="437">
        <v>0</v>
      </c>
      <c r="F755" s="436">
        <v>0</v>
      </c>
      <c r="G755" s="454">
        <v>0</v>
      </c>
    </row>
    <row r="756" spans="2:7">
      <c r="B756" s="440" t="s">
        <v>105</v>
      </c>
      <c r="C756" s="439">
        <v>0</v>
      </c>
      <c r="D756" s="438">
        <v>0</v>
      </c>
      <c r="E756" s="437">
        <v>0</v>
      </c>
      <c r="F756" s="436">
        <v>0</v>
      </c>
      <c r="G756" s="454">
        <v>0</v>
      </c>
    </row>
    <row r="757" spans="2:7">
      <c r="B757" s="440" t="s">
        <v>106</v>
      </c>
      <c r="C757" s="439">
        <v>0</v>
      </c>
      <c r="D757" s="438">
        <v>0</v>
      </c>
      <c r="E757" s="437">
        <v>0</v>
      </c>
      <c r="F757" s="436">
        <v>0</v>
      </c>
      <c r="G757" s="454">
        <v>0</v>
      </c>
    </row>
    <row r="758" spans="2:7">
      <c r="B758" s="440" t="s">
        <v>107</v>
      </c>
      <c r="C758" s="439">
        <v>0</v>
      </c>
      <c r="D758" s="438">
        <v>0</v>
      </c>
      <c r="E758" s="437">
        <v>0</v>
      </c>
      <c r="F758" s="436">
        <v>0</v>
      </c>
      <c r="G758" s="454">
        <v>0</v>
      </c>
    </row>
    <row r="759" spans="2:7">
      <c r="B759" s="440" t="s">
        <v>108</v>
      </c>
      <c r="C759" s="439">
        <v>0</v>
      </c>
      <c r="D759" s="438">
        <v>0</v>
      </c>
      <c r="E759" s="437">
        <v>0</v>
      </c>
      <c r="F759" s="436">
        <v>0</v>
      </c>
      <c r="G759" s="454">
        <v>0</v>
      </c>
    </row>
    <row r="760" spans="2:7">
      <c r="B760" s="440" t="s">
        <v>109</v>
      </c>
      <c r="C760" s="439">
        <v>341903556</v>
      </c>
      <c r="D760" s="438">
        <v>440073407</v>
      </c>
      <c r="E760" s="437">
        <v>-23515163</v>
      </c>
      <c r="F760" s="436">
        <v>-510858</v>
      </c>
      <c r="G760" s="454">
        <v>0</v>
      </c>
    </row>
    <row r="761" spans="2:7">
      <c r="B761" s="440" t="s">
        <v>110</v>
      </c>
      <c r="C761" s="439">
        <v>0</v>
      </c>
      <c r="D761" s="438">
        <v>0</v>
      </c>
      <c r="E761" s="437">
        <v>0</v>
      </c>
      <c r="F761" s="436">
        <v>0</v>
      </c>
      <c r="G761" s="454">
        <v>0</v>
      </c>
    </row>
    <row r="762" spans="2:7">
      <c r="B762" s="440" t="s">
        <v>111</v>
      </c>
      <c r="C762" s="439">
        <v>29540452.913040001</v>
      </c>
      <c r="D762" s="438">
        <v>33418171.817580011</v>
      </c>
      <c r="E762" s="437">
        <v>0</v>
      </c>
      <c r="F762" s="436">
        <v>0</v>
      </c>
      <c r="G762" s="454">
        <v>0</v>
      </c>
    </row>
    <row r="763" spans="2:7">
      <c r="B763" s="440" t="s">
        <v>112</v>
      </c>
      <c r="C763" s="439">
        <v>187546654</v>
      </c>
      <c r="D763" s="438">
        <v>188504197</v>
      </c>
      <c r="E763" s="437">
        <v>0</v>
      </c>
      <c r="F763" s="436">
        <v>-9824209</v>
      </c>
      <c r="G763" s="454">
        <v>0</v>
      </c>
    </row>
    <row r="764" spans="2:7">
      <c r="B764" s="440" t="s">
        <v>113</v>
      </c>
      <c r="C764" s="439">
        <v>18265218</v>
      </c>
      <c r="D764" s="438">
        <v>22456866</v>
      </c>
      <c r="E764" s="437">
        <v>-8447140</v>
      </c>
      <c r="F764" s="436">
        <v>0</v>
      </c>
      <c r="G764" s="454">
        <v>0</v>
      </c>
    </row>
    <row r="765" spans="2:7">
      <c r="B765" s="440" t="s">
        <v>114</v>
      </c>
      <c r="C765" s="439">
        <v>18700582.624000002</v>
      </c>
      <c r="D765" s="438">
        <v>18768100.956</v>
      </c>
      <c r="E765" s="437">
        <v>449680.90600000008</v>
      </c>
      <c r="F765" s="436">
        <v>0</v>
      </c>
      <c r="G765" s="454">
        <v>0</v>
      </c>
    </row>
    <row r="766" spans="2:7">
      <c r="B766" s="440" t="s">
        <v>115</v>
      </c>
      <c r="C766" s="439">
        <v>124448720.49160001</v>
      </c>
      <c r="D766" s="438">
        <v>136831023.28660002</v>
      </c>
      <c r="E766" s="437">
        <v>-14229880.120000003</v>
      </c>
      <c r="F766" s="436">
        <v>0</v>
      </c>
      <c r="G766" s="454">
        <v>0</v>
      </c>
    </row>
    <row r="767" spans="2:7">
      <c r="B767" s="440" t="s">
        <v>116</v>
      </c>
      <c r="C767" s="439">
        <v>0</v>
      </c>
      <c r="D767" s="438">
        <v>0</v>
      </c>
      <c r="E767" s="437">
        <v>0</v>
      </c>
      <c r="F767" s="436">
        <v>0</v>
      </c>
      <c r="G767" s="454">
        <v>0</v>
      </c>
    </row>
    <row r="768" spans="2:7">
      <c r="B768" s="440" t="s">
        <v>117</v>
      </c>
      <c r="C768" s="439">
        <v>14986915</v>
      </c>
      <c r="D768" s="438">
        <v>14986915</v>
      </c>
      <c r="E768" s="437">
        <v>0</v>
      </c>
      <c r="F768" s="436">
        <v>0</v>
      </c>
      <c r="G768" s="454">
        <v>0</v>
      </c>
    </row>
    <row r="769" spans="2:7">
      <c r="B769" s="440" t="s">
        <v>118</v>
      </c>
      <c r="C769" s="439">
        <v>61023010</v>
      </c>
      <c r="D769" s="438">
        <v>65676213</v>
      </c>
      <c r="E769" s="437">
        <v>-6213532</v>
      </c>
      <c r="F769" s="436">
        <v>0</v>
      </c>
      <c r="G769" s="454">
        <v>0</v>
      </c>
    </row>
    <row r="770" spans="2:7">
      <c r="B770" s="440" t="s">
        <v>119</v>
      </c>
      <c r="C770" s="439">
        <v>16977477</v>
      </c>
      <c r="D770" s="438">
        <v>16977477</v>
      </c>
      <c r="E770" s="437">
        <v>0</v>
      </c>
      <c r="F770" s="436">
        <v>0</v>
      </c>
      <c r="G770" s="454">
        <v>0</v>
      </c>
    </row>
    <row r="771" spans="2:7">
      <c r="B771" s="440" t="s">
        <v>120</v>
      </c>
      <c r="C771" s="439">
        <v>1313516</v>
      </c>
      <c r="D771" s="438">
        <v>1313516</v>
      </c>
      <c r="E771" s="437">
        <v>0</v>
      </c>
      <c r="F771" s="436">
        <v>0</v>
      </c>
      <c r="G771" s="454">
        <v>0</v>
      </c>
    </row>
    <row r="772" spans="2:7">
      <c r="B772" s="440" t="s">
        <v>121</v>
      </c>
      <c r="C772" s="439">
        <v>288403371</v>
      </c>
      <c r="D772" s="438">
        <v>365589373</v>
      </c>
      <c r="E772" s="437">
        <v>-21973366</v>
      </c>
      <c r="F772" s="436">
        <v>0</v>
      </c>
      <c r="G772" s="454">
        <v>0</v>
      </c>
    </row>
    <row r="773" spans="2:7" ht="14" thickBot="1">
      <c r="B773" s="455" t="s">
        <v>122</v>
      </c>
      <c r="C773" s="433">
        <v>0</v>
      </c>
      <c r="D773" s="432">
        <v>0</v>
      </c>
      <c r="E773" s="431">
        <v>0</v>
      </c>
      <c r="F773" s="430">
        <v>0</v>
      </c>
      <c r="G773" s="456">
        <v>0</v>
      </c>
    </row>
    <row r="776" spans="2:7">
      <c r="B776" s="12" t="s">
        <v>15</v>
      </c>
    </row>
    <row r="777" spans="2:7" ht="14" thickBot="1"/>
    <row r="778" spans="2:7" ht="14" thickBot="1">
      <c r="B778" s="553" t="s">
        <v>51</v>
      </c>
      <c r="C778" s="555" t="s">
        <v>123</v>
      </c>
      <c r="D778" s="556"/>
      <c r="E778" s="556"/>
      <c r="F778" s="556"/>
      <c r="G778" s="557"/>
    </row>
    <row r="779" spans="2:7" ht="54.5" thickBot="1">
      <c r="B779" s="554"/>
      <c r="C779" s="452" t="s">
        <v>124</v>
      </c>
      <c r="D779" s="452" t="s">
        <v>125</v>
      </c>
      <c r="E779" s="451" t="s">
        <v>126</v>
      </c>
      <c r="F779" s="450" t="s">
        <v>127</v>
      </c>
      <c r="G779" s="449" t="s">
        <v>128</v>
      </c>
    </row>
    <row r="780" spans="2:7">
      <c r="B780" s="446" t="s">
        <v>53</v>
      </c>
      <c r="C780" s="445">
        <v>94445376</v>
      </c>
      <c r="D780" s="444">
        <v>119184418</v>
      </c>
      <c r="E780" s="443">
        <v>-21857561</v>
      </c>
      <c r="F780" s="442">
        <v>0</v>
      </c>
      <c r="G780" s="453">
        <v>0</v>
      </c>
    </row>
    <row r="781" spans="2:7">
      <c r="B781" s="440" t="s">
        <v>63</v>
      </c>
      <c r="C781" s="439">
        <v>1450739</v>
      </c>
      <c r="D781" s="438">
        <v>2028836</v>
      </c>
      <c r="E781" s="437">
        <v>0</v>
      </c>
      <c r="F781" s="436">
        <v>0</v>
      </c>
      <c r="G781" s="454">
        <v>0</v>
      </c>
    </row>
    <row r="782" spans="2:7">
      <c r="B782" s="440" t="s">
        <v>64</v>
      </c>
      <c r="C782" s="439">
        <v>2254892</v>
      </c>
      <c r="D782" s="438">
        <v>2684216</v>
      </c>
      <c r="E782" s="437">
        <v>-160818</v>
      </c>
      <c r="F782" s="436">
        <v>0</v>
      </c>
      <c r="G782" s="454">
        <v>0</v>
      </c>
    </row>
    <row r="783" spans="2:7">
      <c r="B783" s="440" t="s">
        <v>65</v>
      </c>
      <c r="C783" s="439">
        <v>41897507</v>
      </c>
      <c r="D783" s="438">
        <v>59485213</v>
      </c>
      <c r="E783" s="437">
        <v>-4702842</v>
      </c>
      <c r="F783" s="436">
        <v>0</v>
      </c>
      <c r="G783" s="454">
        <v>0</v>
      </c>
    </row>
    <row r="784" spans="2:7">
      <c r="B784" s="440" t="s">
        <v>66</v>
      </c>
      <c r="C784" s="439">
        <v>63067167</v>
      </c>
      <c r="D784" s="438">
        <v>73453622</v>
      </c>
      <c r="E784" s="437">
        <v>-22891841</v>
      </c>
      <c r="F784" s="436">
        <v>0</v>
      </c>
      <c r="G784" s="454">
        <v>0</v>
      </c>
    </row>
    <row r="785" spans="2:7">
      <c r="B785" s="440" t="s">
        <v>67</v>
      </c>
      <c r="C785" s="439">
        <v>0</v>
      </c>
      <c r="D785" s="438">
        <v>0</v>
      </c>
      <c r="E785" s="437">
        <v>0</v>
      </c>
      <c r="F785" s="436">
        <v>0</v>
      </c>
      <c r="G785" s="454">
        <v>0</v>
      </c>
    </row>
    <row r="786" spans="2:7">
      <c r="B786" s="440" t="s">
        <v>68</v>
      </c>
      <c r="C786" s="439">
        <v>0</v>
      </c>
      <c r="D786" s="438">
        <v>0</v>
      </c>
      <c r="E786" s="437">
        <v>0</v>
      </c>
      <c r="F786" s="436">
        <v>0</v>
      </c>
      <c r="G786" s="454">
        <v>0</v>
      </c>
    </row>
    <row r="787" spans="2:7">
      <c r="B787" s="440" t="s">
        <v>69</v>
      </c>
      <c r="C787" s="439">
        <v>45714553</v>
      </c>
      <c r="D787" s="438">
        <v>49876092</v>
      </c>
      <c r="E787" s="437">
        <v>182962</v>
      </c>
      <c r="F787" s="436">
        <v>0</v>
      </c>
      <c r="G787" s="454">
        <v>0</v>
      </c>
    </row>
    <row r="788" spans="2:7">
      <c r="B788" s="440" t="s">
        <v>70</v>
      </c>
      <c r="C788" s="439">
        <v>731514614</v>
      </c>
      <c r="D788" s="438">
        <v>923949844</v>
      </c>
      <c r="E788" s="437">
        <v>-164173696</v>
      </c>
      <c r="F788" s="436">
        <v>0</v>
      </c>
      <c r="G788" s="454">
        <v>0</v>
      </c>
    </row>
    <row r="789" spans="2:7">
      <c r="B789" s="440" t="s">
        <v>71</v>
      </c>
      <c r="C789" s="439">
        <v>0</v>
      </c>
      <c r="D789" s="438">
        <v>0</v>
      </c>
      <c r="E789" s="437">
        <v>0</v>
      </c>
      <c r="F789" s="436">
        <v>0</v>
      </c>
      <c r="G789" s="454">
        <v>0</v>
      </c>
    </row>
    <row r="790" spans="2:7">
      <c r="B790" s="440" t="s">
        <v>72</v>
      </c>
      <c r="C790" s="439">
        <v>1064106.6671051579</v>
      </c>
      <c r="D790" s="438">
        <v>1588364.9823678699</v>
      </c>
      <c r="E790" s="437">
        <v>0</v>
      </c>
      <c r="F790" s="436">
        <v>0</v>
      </c>
      <c r="G790" s="454">
        <v>0</v>
      </c>
    </row>
    <row r="791" spans="2:7">
      <c r="B791" s="440" t="s">
        <v>73</v>
      </c>
      <c r="C791" s="439">
        <v>122299297</v>
      </c>
      <c r="D791" s="438">
        <v>157518177</v>
      </c>
      <c r="E791" s="437">
        <v>-21815272</v>
      </c>
      <c r="F791" s="436">
        <v>-4618663</v>
      </c>
      <c r="G791" s="454">
        <v>0</v>
      </c>
    </row>
    <row r="792" spans="2:7">
      <c r="B792" s="440" t="s">
        <v>74</v>
      </c>
      <c r="C792" s="439">
        <v>28708429</v>
      </c>
      <c r="D792" s="438">
        <v>31491975</v>
      </c>
      <c r="E792" s="437">
        <v>-3500047</v>
      </c>
      <c r="F792" s="436">
        <v>0</v>
      </c>
      <c r="G792" s="454">
        <v>0</v>
      </c>
    </row>
    <row r="793" spans="2:7">
      <c r="B793" s="440" t="s">
        <v>75</v>
      </c>
      <c r="C793" s="439">
        <v>24906659</v>
      </c>
      <c r="D793" s="438">
        <v>30946339</v>
      </c>
      <c r="E793" s="437">
        <v>-4411986</v>
      </c>
      <c r="F793" s="436">
        <v>0</v>
      </c>
      <c r="G793" s="454">
        <v>0</v>
      </c>
    </row>
    <row r="794" spans="2:7">
      <c r="B794" s="440" t="s">
        <v>76</v>
      </c>
      <c r="C794" s="439">
        <v>37884318</v>
      </c>
      <c r="D794" s="438">
        <v>54205913</v>
      </c>
      <c r="E794" s="437">
        <v>-6649574</v>
      </c>
      <c r="F794" s="436">
        <v>-1491414</v>
      </c>
      <c r="G794" s="454">
        <v>0</v>
      </c>
    </row>
    <row r="795" spans="2:7">
      <c r="B795" s="440" t="s">
        <v>77</v>
      </c>
      <c r="C795" s="439">
        <v>0</v>
      </c>
      <c r="D795" s="438">
        <v>0</v>
      </c>
      <c r="E795" s="437">
        <v>0</v>
      </c>
      <c r="F795" s="436">
        <v>0</v>
      </c>
      <c r="G795" s="454">
        <v>0</v>
      </c>
    </row>
    <row r="796" spans="2:7">
      <c r="B796" s="440" t="s">
        <v>78</v>
      </c>
      <c r="C796" s="439">
        <v>0</v>
      </c>
      <c r="D796" s="438">
        <v>0</v>
      </c>
      <c r="E796" s="437">
        <v>0</v>
      </c>
      <c r="F796" s="436">
        <v>0</v>
      </c>
      <c r="G796" s="454">
        <v>0</v>
      </c>
    </row>
    <row r="797" spans="2:7">
      <c r="B797" s="440" t="s">
        <v>79</v>
      </c>
      <c r="C797" s="439">
        <v>0</v>
      </c>
      <c r="D797" s="438">
        <v>0</v>
      </c>
      <c r="E797" s="437">
        <v>0</v>
      </c>
      <c r="F797" s="436">
        <v>0</v>
      </c>
      <c r="G797" s="454">
        <v>0</v>
      </c>
    </row>
    <row r="798" spans="2:7">
      <c r="B798" s="440" t="s">
        <v>80</v>
      </c>
      <c r="C798" s="439">
        <v>0</v>
      </c>
      <c r="D798" s="438">
        <v>0</v>
      </c>
      <c r="E798" s="437">
        <v>0</v>
      </c>
      <c r="F798" s="436">
        <v>0</v>
      </c>
      <c r="G798" s="454">
        <v>0</v>
      </c>
    </row>
    <row r="799" spans="2:7">
      <c r="B799" s="440" t="s">
        <v>81</v>
      </c>
      <c r="C799" s="439">
        <v>0</v>
      </c>
      <c r="D799" s="438">
        <v>0</v>
      </c>
      <c r="E799" s="437">
        <v>0</v>
      </c>
      <c r="F799" s="436">
        <v>0</v>
      </c>
      <c r="G799" s="454">
        <v>0</v>
      </c>
    </row>
    <row r="800" spans="2:7">
      <c r="B800" s="440" t="s">
        <v>82</v>
      </c>
      <c r="C800" s="439">
        <v>91223877</v>
      </c>
      <c r="D800" s="438">
        <v>124283513</v>
      </c>
      <c r="E800" s="437">
        <v>-4817756</v>
      </c>
      <c r="F800" s="436">
        <v>0</v>
      </c>
      <c r="G800" s="454">
        <v>0</v>
      </c>
    </row>
    <row r="801" spans="2:7">
      <c r="B801" s="440" t="s">
        <v>83</v>
      </c>
      <c r="C801" s="439">
        <v>0</v>
      </c>
      <c r="D801" s="438">
        <v>0</v>
      </c>
      <c r="E801" s="437">
        <v>0</v>
      </c>
      <c r="F801" s="436">
        <v>0</v>
      </c>
      <c r="G801" s="454">
        <v>0</v>
      </c>
    </row>
    <row r="802" spans="2:7">
      <c r="B802" s="440" t="s">
        <v>84</v>
      </c>
      <c r="C802" s="439">
        <v>110627389</v>
      </c>
      <c r="D802" s="438">
        <v>150709770</v>
      </c>
      <c r="E802" s="437">
        <v>-20100421</v>
      </c>
      <c r="F802" s="436">
        <v>0</v>
      </c>
      <c r="G802" s="454">
        <v>0</v>
      </c>
    </row>
    <row r="803" spans="2:7">
      <c r="B803" s="440" t="s">
        <v>85</v>
      </c>
      <c r="C803" s="439">
        <v>0</v>
      </c>
      <c r="D803" s="438">
        <v>0</v>
      </c>
      <c r="E803" s="437">
        <v>0</v>
      </c>
      <c r="F803" s="436">
        <v>0</v>
      </c>
      <c r="G803" s="454">
        <v>0</v>
      </c>
    </row>
    <row r="804" spans="2:7">
      <c r="B804" s="440" t="s">
        <v>86</v>
      </c>
      <c r="C804" s="439">
        <v>1003777.6300949494</v>
      </c>
      <c r="D804" s="438">
        <v>1003777.6300949494</v>
      </c>
      <c r="E804" s="437">
        <v>-193521.78090000004</v>
      </c>
      <c r="F804" s="436">
        <v>0</v>
      </c>
      <c r="G804" s="454">
        <v>0</v>
      </c>
    </row>
    <row r="805" spans="2:7">
      <c r="B805" s="440" t="s">
        <v>87</v>
      </c>
      <c r="C805" s="439">
        <v>6283176</v>
      </c>
      <c r="D805" s="438">
        <v>6757596</v>
      </c>
      <c r="E805" s="437">
        <v>0</v>
      </c>
      <c r="F805" s="436">
        <v>-281350</v>
      </c>
      <c r="G805" s="454">
        <v>0</v>
      </c>
    </row>
    <row r="806" spans="2:7">
      <c r="B806" s="440" t="s">
        <v>88</v>
      </c>
      <c r="C806" s="439">
        <v>313664</v>
      </c>
      <c r="D806" s="438">
        <v>324353</v>
      </c>
      <c r="E806" s="437">
        <v>-229041</v>
      </c>
      <c r="F806" s="436">
        <v>0</v>
      </c>
      <c r="G806" s="454">
        <v>0</v>
      </c>
    </row>
    <row r="807" spans="2:7">
      <c r="B807" s="440" t="s">
        <v>89</v>
      </c>
      <c r="C807" s="439">
        <v>0</v>
      </c>
      <c r="D807" s="438">
        <v>0</v>
      </c>
      <c r="E807" s="437">
        <v>0</v>
      </c>
      <c r="F807" s="436">
        <v>0</v>
      </c>
      <c r="G807" s="454">
        <v>0</v>
      </c>
    </row>
    <row r="808" spans="2:7">
      <c r="B808" s="440" t="s">
        <v>90</v>
      </c>
      <c r="C808" s="439">
        <v>0</v>
      </c>
      <c r="D808" s="438">
        <v>0</v>
      </c>
      <c r="E808" s="437">
        <v>0</v>
      </c>
      <c r="F808" s="436">
        <v>0</v>
      </c>
      <c r="G808" s="454">
        <v>0</v>
      </c>
    </row>
    <row r="809" spans="2:7">
      <c r="B809" s="440" t="s">
        <v>91</v>
      </c>
      <c r="C809" s="439">
        <v>0</v>
      </c>
      <c r="D809" s="438">
        <v>0</v>
      </c>
      <c r="E809" s="437">
        <v>0</v>
      </c>
      <c r="F809" s="436">
        <v>0</v>
      </c>
      <c r="G809" s="454">
        <v>0</v>
      </c>
    </row>
    <row r="810" spans="2:7">
      <c r="B810" s="440" t="s">
        <v>92</v>
      </c>
      <c r="C810" s="439">
        <v>112282022.83347107</v>
      </c>
      <c r="D810" s="438">
        <v>129251993.57511528</v>
      </c>
      <c r="E810" s="437">
        <v>-4166329.3</v>
      </c>
      <c r="F810" s="436">
        <v>0</v>
      </c>
      <c r="G810" s="454">
        <v>0</v>
      </c>
    </row>
    <row r="811" spans="2:7">
      <c r="B811" s="440" t="s">
        <v>93</v>
      </c>
      <c r="C811" s="439">
        <v>3782499.5387841007</v>
      </c>
      <c r="D811" s="438">
        <v>3782499.5387841007</v>
      </c>
      <c r="E811" s="437">
        <v>0</v>
      </c>
      <c r="F811" s="436">
        <v>0</v>
      </c>
      <c r="G811" s="454">
        <v>0</v>
      </c>
    </row>
    <row r="812" spans="2:7">
      <c r="B812" s="440" t="s">
        <v>94</v>
      </c>
      <c r="C812" s="439">
        <v>735889.77</v>
      </c>
      <c r="D812" s="438">
        <v>1225023.03</v>
      </c>
      <c r="E812" s="437">
        <v>-1225023.03</v>
      </c>
      <c r="F812" s="436">
        <v>0</v>
      </c>
      <c r="G812" s="454">
        <v>0</v>
      </c>
    </row>
    <row r="813" spans="2:7">
      <c r="B813" s="440" t="s">
        <v>95</v>
      </c>
      <c r="C813" s="439">
        <v>0</v>
      </c>
      <c r="D813" s="438">
        <v>0</v>
      </c>
      <c r="E813" s="437">
        <v>0</v>
      </c>
      <c r="F813" s="436">
        <v>0</v>
      </c>
      <c r="G813" s="454">
        <v>0</v>
      </c>
    </row>
    <row r="814" spans="2:7">
      <c r="B814" s="440" t="s">
        <v>96</v>
      </c>
      <c r="C814" s="439">
        <v>0</v>
      </c>
      <c r="D814" s="438">
        <v>0</v>
      </c>
      <c r="E814" s="437">
        <v>0</v>
      </c>
      <c r="F814" s="436">
        <v>0</v>
      </c>
      <c r="G814" s="454">
        <v>0</v>
      </c>
    </row>
    <row r="815" spans="2:7">
      <c r="B815" s="440" t="s">
        <v>97</v>
      </c>
      <c r="C815" s="439">
        <v>0</v>
      </c>
      <c r="D815" s="438">
        <v>0</v>
      </c>
      <c r="E815" s="437">
        <v>0</v>
      </c>
      <c r="F815" s="436">
        <v>0</v>
      </c>
      <c r="G815" s="454">
        <v>0</v>
      </c>
    </row>
    <row r="816" spans="2:7">
      <c r="B816" s="440" t="s">
        <v>98</v>
      </c>
      <c r="C816" s="439">
        <v>556704.14151280804</v>
      </c>
      <c r="D816" s="438">
        <v>652441.88037044799</v>
      </c>
      <c r="E816" s="437">
        <v>0</v>
      </c>
      <c r="F816" s="436">
        <v>0</v>
      </c>
      <c r="G816" s="454">
        <v>0</v>
      </c>
    </row>
    <row r="817" spans="2:7">
      <c r="B817" s="440" t="s">
        <v>99</v>
      </c>
      <c r="C817" s="439">
        <v>32931372</v>
      </c>
      <c r="D817" s="438">
        <v>42872253</v>
      </c>
      <c r="E817" s="437">
        <v>-9122493</v>
      </c>
      <c r="F817" s="436">
        <v>-760298</v>
      </c>
      <c r="G817" s="454">
        <v>0</v>
      </c>
    </row>
    <row r="818" spans="2:7">
      <c r="B818" s="440" t="s">
        <v>100</v>
      </c>
      <c r="C818" s="439">
        <v>25023757</v>
      </c>
      <c r="D818" s="438">
        <v>27835240</v>
      </c>
      <c r="E818" s="437">
        <v>-10325143</v>
      </c>
      <c r="F818" s="436">
        <v>-332922</v>
      </c>
      <c r="G818" s="454">
        <v>0</v>
      </c>
    </row>
    <row r="819" spans="2:7">
      <c r="B819" s="440" t="s">
        <v>101</v>
      </c>
      <c r="C819" s="439">
        <v>2413589</v>
      </c>
      <c r="D819" s="438">
        <v>2413589</v>
      </c>
      <c r="E819" s="437">
        <v>1032864</v>
      </c>
      <c r="F819" s="436">
        <v>0</v>
      </c>
      <c r="G819" s="454">
        <v>0</v>
      </c>
    </row>
    <row r="820" spans="2:7">
      <c r="B820" s="440" t="s">
        <v>102</v>
      </c>
      <c r="C820" s="439">
        <v>20843</v>
      </c>
      <c r="D820" s="438">
        <v>20843</v>
      </c>
      <c r="E820" s="437">
        <v>0</v>
      </c>
      <c r="F820" s="436">
        <v>0</v>
      </c>
      <c r="G820" s="454">
        <v>0</v>
      </c>
    </row>
    <row r="821" spans="2:7">
      <c r="B821" s="440" t="s">
        <v>103</v>
      </c>
      <c r="C821" s="439">
        <v>721413</v>
      </c>
      <c r="D821" s="438">
        <v>1147158</v>
      </c>
      <c r="E821" s="437">
        <v>0</v>
      </c>
      <c r="F821" s="436">
        <v>0</v>
      </c>
      <c r="G821" s="454">
        <v>0</v>
      </c>
    </row>
    <row r="822" spans="2:7">
      <c r="B822" s="440" t="s">
        <v>104</v>
      </c>
      <c r="C822" s="439">
        <v>0</v>
      </c>
      <c r="D822" s="438">
        <v>0</v>
      </c>
      <c r="E822" s="437">
        <v>0</v>
      </c>
      <c r="F822" s="436">
        <v>0</v>
      </c>
      <c r="G822" s="454">
        <v>0</v>
      </c>
    </row>
    <row r="823" spans="2:7">
      <c r="B823" s="440" t="s">
        <v>105</v>
      </c>
      <c r="C823" s="439">
        <v>0</v>
      </c>
      <c r="D823" s="438">
        <v>0</v>
      </c>
      <c r="E823" s="437">
        <v>0</v>
      </c>
      <c r="F823" s="436">
        <v>0</v>
      </c>
      <c r="G823" s="454">
        <v>0</v>
      </c>
    </row>
    <row r="824" spans="2:7">
      <c r="B824" s="440" t="s">
        <v>106</v>
      </c>
      <c r="C824" s="439">
        <v>0</v>
      </c>
      <c r="D824" s="438">
        <v>0</v>
      </c>
      <c r="E824" s="437">
        <v>0</v>
      </c>
      <c r="F824" s="436">
        <v>0</v>
      </c>
      <c r="G824" s="454">
        <v>0</v>
      </c>
    </row>
    <row r="825" spans="2:7">
      <c r="B825" s="440" t="s">
        <v>107</v>
      </c>
      <c r="C825" s="439">
        <v>0</v>
      </c>
      <c r="D825" s="438">
        <v>0</v>
      </c>
      <c r="E825" s="437">
        <v>0</v>
      </c>
      <c r="F825" s="436">
        <v>0</v>
      </c>
      <c r="G825" s="454">
        <v>0</v>
      </c>
    </row>
    <row r="826" spans="2:7">
      <c r="B826" s="440" t="s">
        <v>108</v>
      </c>
      <c r="C826" s="439">
        <v>0</v>
      </c>
      <c r="D826" s="438">
        <v>0</v>
      </c>
      <c r="E826" s="437">
        <v>0</v>
      </c>
      <c r="F826" s="436">
        <v>0</v>
      </c>
      <c r="G826" s="454">
        <v>0</v>
      </c>
    </row>
    <row r="827" spans="2:7">
      <c r="B827" s="440" t="s">
        <v>109</v>
      </c>
      <c r="C827" s="439">
        <v>187615272</v>
      </c>
      <c r="D827" s="438">
        <v>241928532</v>
      </c>
      <c r="E827" s="437">
        <v>-38397628</v>
      </c>
      <c r="F827" s="436">
        <v>-14523659</v>
      </c>
      <c r="G827" s="454">
        <v>0</v>
      </c>
    </row>
    <row r="828" spans="2:7">
      <c r="B828" s="440" t="s">
        <v>110</v>
      </c>
      <c r="C828" s="439">
        <v>0</v>
      </c>
      <c r="D828" s="438">
        <v>0</v>
      </c>
      <c r="E828" s="437">
        <v>0</v>
      </c>
      <c r="F828" s="436">
        <v>0</v>
      </c>
      <c r="G828" s="454">
        <v>0</v>
      </c>
    </row>
    <row r="829" spans="2:7">
      <c r="B829" s="440" t="s">
        <v>111</v>
      </c>
      <c r="C829" s="439">
        <v>0</v>
      </c>
      <c r="D829" s="438">
        <v>0</v>
      </c>
      <c r="E829" s="437">
        <v>0</v>
      </c>
      <c r="F829" s="436">
        <v>0</v>
      </c>
      <c r="G829" s="454">
        <v>0</v>
      </c>
    </row>
    <row r="830" spans="2:7">
      <c r="B830" s="440" t="s">
        <v>112</v>
      </c>
      <c r="C830" s="439">
        <v>0</v>
      </c>
      <c r="D830" s="438">
        <v>0</v>
      </c>
      <c r="E830" s="437">
        <v>0</v>
      </c>
      <c r="F830" s="436">
        <v>0</v>
      </c>
      <c r="G830" s="454">
        <v>0</v>
      </c>
    </row>
    <row r="831" spans="2:7">
      <c r="B831" s="440" t="s">
        <v>113</v>
      </c>
      <c r="C831" s="439">
        <v>0</v>
      </c>
      <c r="D831" s="438">
        <v>0</v>
      </c>
      <c r="E831" s="437">
        <v>0</v>
      </c>
      <c r="F831" s="436">
        <v>0</v>
      </c>
      <c r="G831" s="454">
        <v>0</v>
      </c>
    </row>
    <row r="832" spans="2:7">
      <c r="B832" s="440" t="s">
        <v>114</v>
      </c>
      <c r="C832" s="439">
        <v>0</v>
      </c>
      <c r="D832" s="438">
        <v>0</v>
      </c>
      <c r="E832" s="437">
        <v>0</v>
      </c>
      <c r="F832" s="436">
        <v>0</v>
      </c>
      <c r="G832" s="454">
        <v>0</v>
      </c>
    </row>
    <row r="833" spans="2:7">
      <c r="B833" s="440" t="s">
        <v>115</v>
      </c>
      <c r="C833" s="439">
        <v>0</v>
      </c>
      <c r="D833" s="438">
        <v>0</v>
      </c>
      <c r="E833" s="437">
        <v>0</v>
      </c>
      <c r="F833" s="436">
        <v>0</v>
      </c>
      <c r="G833" s="454">
        <v>0</v>
      </c>
    </row>
    <row r="834" spans="2:7">
      <c r="B834" s="440" t="s">
        <v>116</v>
      </c>
      <c r="C834" s="439">
        <v>0</v>
      </c>
      <c r="D834" s="438">
        <v>0</v>
      </c>
      <c r="E834" s="437">
        <v>0</v>
      </c>
      <c r="F834" s="436">
        <v>0</v>
      </c>
      <c r="G834" s="454">
        <v>0</v>
      </c>
    </row>
    <row r="835" spans="2:7">
      <c r="B835" s="440" t="s">
        <v>117</v>
      </c>
      <c r="C835" s="439">
        <v>0</v>
      </c>
      <c r="D835" s="438">
        <v>0</v>
      </c>
      <c r="E835" s="437">
        <v>0</v>
      </c>
      <c r="F835" s="436">
        <v>0</v>
      </c>
      <c r="G835" s="454">
        <v>0</v>
      </c>
    </row>
    <row r="836" spans="2:7">
      <c r="B836" s="440" t="s">
        <v>118</v>
      </c>
      <c r="C836" s="439">
        <v>0</v>
      </c>
      <c r="D836" s="438">
        <v>0</v>
      </c>
      <c r="E836" s="437">
        <v>0</v>
      </c>
      <c r="F836" s="436">
        <v>0</v>
      </c>
      <c r="G836" s="454">
        <v>0</v>
      </c>
    </row>
    <row r="837" spans="2:7">
      <c r="B837" s="440" t="s">
        <v>119</v>
      </c>
      <c r="C837" s="439">
        <v>0</v>
      </c>
      <c r="D837" s="438">
        <v>0</v>
      </c>
      <c r="E837" s="437">
        <v>0</v>
      </c>
      <c r="F837" s="436">
        <v>0</v>
      </c>
      <c r="G837" s="454">
        <v>0</v>
      </c>
    </row>
    <row r="838" spans="2:7">
      <c r="B838" s="440" t="s">
        <v>120</v>
      </c>
      <c r="C838" s="439">
        <v>0</v>
      </c>
      <c r="D838" s="438">
        <v>0</v>
      </c>
      <c r="E838" s="437">
        <v>0</v>
      </c>
      <c r="F838" s="436">
        <v>0</v>
      </c>
      <c r="G838" s="454">
        <v>0</v>
      </c>
    </row>
    <row r="839" spans="2:7">
      <c r="B839" s="440" t="s">
        <v>121</v>
      </c>
      <c r="C839" s="439">
        <v>0</v>
      </c>
      <c r="D839" s="438">
        <v>0</v>
      </c>
      <c r="E839" s="437">
        <v>0</v>
      </c>
      <c r="F839" s="436">
        <v>0</v>
      </c>
      <c r="G839" s="454">
        <v>0</v>
      </c>
    </row>
    <row r="840" spans="2:7" ht="14" thickBot="1">
      <c r="B840" s="455" t="s">
        <v>122</v>
      </c>
      <c r="C840" s="433">
        <v>0</v>
      </c>
      <c r="D840" s="432">
        <v>0</v>
      </c>
      <c r="E840" s="431">
        <v>0</v>
      </c>
      <c r="F840" s="430">
        <v>0</v>
      </c>
      <c r="G840" s="456">
        <v>0</v>
      </c>
    </row>
    <row r="843" spans="2:7">
      <c r="B843" s="12" t="s">
        <v>16</v>
      </c>
    </row>
    <row r="844" spans="2:7" ht="14" thickBot="1"/>
    <row r="845" spans="2:7" ht="14" thickBot="1">
      <c r="B845" s="553" t="s">
        <v>51</v>
      </c>
      <c r="C845" s="555" t="s">
        <v>123</v>
      </c>
      <c r="D845" s="556"/>
      <c r="E845" s="556"/>
      <c r="F845" s="556"/>
      <c r="G845" s="557"/>
    </row>
    <row r="846" spans="2:7" ht="54.5" thickBot="1">
      <c r="B846" s="554"/>
      <c r="C846" s="452" t="s">
        <v>124</v>
      </c>
      <c r="D846" s="452" t="s">
        <v>125</v>
      </c>
      <c r="E846" s="451" t="s">
        <v>126</v>
      </c>
      <c r="F846" s="450" t="s">
        <v>127</v>
      </c>
      <c r="G846" s="449" t="s">
        <v>128</v>
      </c>
    </row>
    <row r="847" spans="2:7">
      <c r="B847" s="446" t="s">
        <v>53</v>
      </c>
      <c r="C847" s="445">
        <v>242011751</v>
      </c>
      <c r="D847" s="444">
        <v>302901741</v>
      </c>
      <c r="E847" s="443">
        <v>-51019575</v>
      </c>
      <c r="F847" s="442">
        <v>0</v>
      </c>
      <c r="G847" s="453">
        <v>0</v>
      </c>
    </row>
    <row r="848" spans="2:7">
      <c r="B848" s="440" t="s">
        <v>63</v>
      </c>
      <c r="C848" s="439">
        <v>11402861</v>
      </c>
      <c r="D848" s="438">
        <v>14485262</v>
      </c>
      <c r="E848" s="437">
        <v>-331132</v>
      </c>
      <c r="F848" s="436">
        <v>0</v>
      </c>
      <c r="G848" s="454">
        <v>0</v>
      </c>
    </row>
    <row r="849" spans="2:7">
      <c r="B849" s="440" t="s">
        <v>64</v>
      </c>
      <c r="C849" s="439">
        <v>23609651</v>
      </c>
      <c r="D849" s="438">
        <v>30899888</v>
      </c>
      <c r="E849" s="437">
        <v>-4643863</v>
      </c>
      <c r="F849" s="436">
        <v>0</v>
      </c>
      <c r="G849" s="454">
        <v>0</v>
      </c>
    </row>
    <row r="850" spans="2:7">
      <c r="B850" s="440" t="s">
        <v>65</v>
      </c>
      <c r="C850" s="439">
        <v>3116203</v>
      </c>
      <c r="D850" s="438">
        <v>4241126</v>
      </c>
      <c r="E850" s="437">
        <v>-851120</v>
      </c>
      <c r="F850" s="436">
        <v>0</v>
      </c>
      <c r="G850" s="454">
        <v>0</v>
      </c>
    </row>
    <row r="851" spans="2:7">
      <c r="B851" s="440" t="s">
        <v>66</v>
      </c>
      <c r="C851" s="439">
        <v>1286099</v>
      </c>
      <c r="D851" s="438">
        <v>1553574</v>
      </c>
      <c r="E851" s="437">
        <v>-81680</v>
      </c>
      <c r="F851" s="436">
        <v>0</v>
      </c>
      <c r="G851" s="454">
        <v>0</v>
      </c>
    </row>
    <row r="852" spans="2:7">
      <c r="B852" s="440" t="s">
        <v>67</v>
      </c>
      <c r="C852" s="439">
        <v>0</v>
      </c>
      <c r="D852" s="438">
        <v>0</v>
      </c>
      <c r="E852" s="437">
        <v>0</v>
      </c>
      <c r="F852" s="436">
        <v>0</v>
      </c>
      <c r="G852" s="454">
        <v>0</v>
      </c>
    </row>
    <row r="853" spans="2:7">
      <c r="B853" s="440" t="s">
        <v>68</v>
      </c>
      <c r="C853" s="439">
        <v>0</v>
      </c>
      <c r="D853" s="438">
        <v>0</v>
      </c>
      <c r="E853" s="437">
        <v>0</v>
      </c>
      <c r="F853" s="436">
        <v>0</v>
      </c>
      <c r="G853" s="454">
        <v>0</v>
      </c>
    </row>
    <row r="854" spans="2:7">
      <c r="B854" s="440" t="s">
        <v>69</v>
      </c>
      <c r="C854" s="439">
        <v>66285186</v>
      </c>
      <c r="D854" s="438">
        <v>85085060</v>
      </c>
      <c r="E854" s="437">
        <v>-26141205</v>
      </c>
      <c r="F854" s="436">
        <v>0</v>
      </c>
      <c r="G854" s="454">
        <v>0</v>
      </c>
    </row>
    <row r="855" spans="2:7">
      <c r="B855" s="440" t="s">
        <v>70</v>
      </c>
      <c r="C855" s="439">
        <v>634767126</v>
      </c>
      <c r="D855" s="438">
        <v>824399325</v>
      </c>
      <c r="E855" s="437">
        <v>-138070965</v>
      </c>
      <c r="F855" s="436">
        <v>0</v>
      </c>
      <c r="G855" s="454">
        <v>0</v>
      </c>
    </row>
    <row r="856" spans="2:7">
      <c r="B856" s="440" t="s">
        <v>71</v>
      </c>
      <c r="C856" s="439">
        <v>0</v>
      </c>
      <c r="D856" s="438">
        <v>0</v>
      </c>
      <c r="E856" s="437">
        <v>0</v>
      </c>
      <c r="F856" s="436">
        <v>0</v>
      </c>
      <c r="G856" s="454">
        <v>0</v>
      </c>
    </row>
    <row r="857" spans="2:7">
      <c r="B857" s="440" t="s">
        <v>72</v>
      </c>
      <c r="C857" s="439">
        <v>634067.46601516497</v>
      </c>
      <c r="D857" s="438">
        <v>834150.10110140499</v>
      </c>
      <c r="E857" s="437">
        <v>0</v>
      </c>
      <c r="F857" s="436">
        <v>0</v>
      </c>
      <c r="G857" s="454">
        <v>0</v>
      </c>
    </row>
    <row r="858" spans="2:7">
      <c r="B858" s="440" t="s">
        <v>73</v>
      </c>
      <c r="C858" s="439">
        <v>151362913</v>
      </c>
      <c r="D858" s="438">
        <v>197992844</v>
      </c>
      <c r="E858" s="437">
        <v>-20503717</v>
      </c>
      <c r="F858" s="436">
        <v>-11475978</v>
      </c>
      <c r="G858" s="454">
        <v>0</v>
      </c>
    </row>
    <row r="859" spans="2:7">
      <c r="B859" s="440" t="s">
        <v>74</v>
      </c>
      <c r="C859" s="439">
        <v>16895258</v>
      </c>
      <c r="D859" s="438">
        <v>22597442</v>
      </c>
      <c r="E859" s="437">
        <v>-2176372</v>
      </c>
      <c r="F859" s="436">
        <v>0</v>
      </c>
      <c r="G859" s="454">
        <v>0</v>
      </c>
    </row>
    <row r="860" spans="2:7">
      <c r="B860" s="440" t="s">
        <v>75</v>
      </c>
      <c r="C860" s="439">
        <v>232922</v>
      </c>
      <c r="D860" s="438">
        <v>235539</v>
      </c>
      <c r="E860" s="437">
        <v>-11144</v>
      </c>
      <c r="F860" s="436">
        <v>0</v>
      </c>
      <c r="G860" s="454">
        <v>0</v>
      </c>
    </row>
    <row r="861" spans="2:7">
      <c r="B861" s="440" t="s">
        <v>76</v>
      </c>
      <c r="C861" s="439">
        <v>25154628</v>
      </c>
      <c r="D861" s="438">
        <v>22509384</v>
      </c>
      <c r="E861" s="437">
        <v>-5884311</v>
      </c>
      <c r="F861" s="436">
        <v>0</v>
      </c>
      <c r="G861" s="454">
        <v>0</v>
      </c>
    </row>
    <row r="862" spans="2:7">
      <c r="B862" s="440" t="s">
        <v>77</v>
      </c>
      <c r="C862" s="439">
        <v>21416950</v>
      </c>
      <c r="D862" s="438">
        <v>24095140</v>
      </c>
      <c r="E862" s="437">
        <v>-7805980</v>
      </c>
      <c r="F862" s="436">
        <v>0</v>
      </c>
      <c r="G862" s="454">
        <v>0</v>
      </c>
    </row>
    <row r="863" spans="2:7">
      <c r="B863" s="440" t="s">
        <v>78</v>
      </c>
      <c r="C863" s="439">
        <v>0</v>
      </c>
      <c r="D863" s="438">
        <v>0</v>
      </c>
      <c r="E863" s="437">
        <v>0</v>
      </c>
      <c r="F863" s="436">
        <v>0</v>
      </c>
      <c r="G863" s="454">
        <v>0</v>
      </c>
    </row>
    <row r="864" spans="2:7">
      <c r="B864" s="440" t="s">
        <v>79</v>
      </c>
      <c r="C864" s="439">
        <v>0</v>
      </c>
      <c r="D864" s="438">
        <v>0</v>
      </c>
      <c r="E864" s="437">
        <v>0</v>
      </c>
      <c r="F864" s="436">
        <v>0</v>
      </c>
      <c r="G864" s="454">
        <v>0</v>
      </c>
    </row>
    <row r="865" spans="2:7">
      <c r="B865" s="440" t="s">
        <v>80</v>
      </c>
      <c r="C865" s="439">
        <v>0</v>
      </c>
      <c r="D865" s="438">
        <v>0</v>
      </c>
      <c r="E865" s="437">
        <v>0</v>
      </c>
      <c r="F865" s="436">
        <v>0</v>
      </c>
      <c r="G865" s="454">
        <v>0</v>
      </c>
    </row>
    <row r="866" spans="2:7">
      <c r="B866" s="440" t="s">
        <v>81</v>
      </c>
      <c r="C866" s="439">
        <v>0</v>
      </c>
      <c r="D866" s="438">
        <v>0</v>
      </c>
      <c r="E866" s="437">
        <v>0</v>
      </c>
      <c r="F866" s="436">
        <v>0</v>
      </c>
      <c r="G866" s="454">
        <v>0</v>
      </c>
    </row>
    <row r="867" spans="2:7">
      <c r="B867" s="440" t="s">
        <v>82</v>
      </c>
      <c r="C867" s="439">
        <v>32229404</v>
      </c>
      <c r="D867" s="438">
        <v>43633984</v>
      </c>
      <c r="E867" s="437">
        <v>-3312875</v>
      </c>
      <c r="F867" s="436">
        <v>-3587422</v>
      </c>
      <c r="G867" s="454">
        <v>0</v>
      </c>
    </row>
    <row r="868" spans="2:7">
      <c r="B868" s="440" t="s">
        <v>83</v>
      </c>
      <c r="C868" s="439">
        <v>0</v>
      </c>
      <c r="D868" s="438">
        <v>0</v>
      </c>
      <c r="E868" s="437">
        <v>0</v>
      </c>
      <c r="F868" s="436">
        <v>0</v>
      </c>
      <c r="G868" s="454">
        <v>0</v>
      </c>
    </row>
    <row r="869" spans="2:7">
      <c r="B869" s="440" t="s">
        <v>84</v>
      </c>
      <c r="C869" s="439">
        <v>54824490</v>
      </c>
      <c r="D869" s="438">
        <v>74086433</v>
      </c>
      <c r="E869" s="437">
        <v>-12286722</v>
      </c>
      <c r="F869" s="436">
        <v>0</v>
      </c>
      <c r="G869" s="454">
        <v>0</v>
      </c>
    </row>
    <row r="870" spans="2:7">
      <c r="B870" s="440" t="s">
        <v>85</v>
      </c>
      <c r="C870" s="439">
        <v>0</v>
      </c>
      <c r="D870" s="438">
        <v>0</v>
      </c>
      <c r="E870" s="437">
        <v>0</v>
      </c>
      <c r="F870" s="436">
        <v>0</v>
      </c>
      <c r="G870" s="454">
        <v>0</v>
      </c>
    </row>
    <row r="871" spans="2:7">
      <c r="B871" s="440" t="s">
        <v>86</v>
      </c>
      <c r="C871" s="439">
        <v>809116.42099999997</v>
      </c>
      <c r="D871" s="438">
        <v>814032.60499999998</v>
      </c>
      <c r="E871" s="437">
        <v>-90921.5</v>
      </c>
      <c r="F871" s="436">
        <v>0</v>
      </c>
      <c r="G871" s="454">
        <v>0</v>
      </c>
    </row>
    <row r="872" spans="2:7">
      <c r="B872" s="440" t="s">
        <v>87</v>
      </c>
      <c r="C872" s="439">
        <v>6800351</v>
      </c>
      <c r="D872" s="438">
        <v>7015501</v>
      </c>
      <c r="E872" s="437">
        <v>0</v>
      </c>
      <c r="F872" s="436">
        <v>-651154</v>
      </c>
      <c r="G872" s="454">
        <v>0</v>
      </c>
    </row>
    <row r="873" spans="2:7">
      <c r="B873" s="440" t="s">
        <v>88</v>
      </c>
      <c r="C873" s="439">
        <v>1600016</v>
      </c>
      <c r="D873" s="438">
        <v>1632771</v>
      </c>
      <c r="E873" s="437">
        <v>-475964</v>
      </c>
      <c r="F873" s="436">
        <v>0</v>
      </c>
      <c r="G873" s="454">
        <v>0</v>
      </c>
    </row>
    <row r="874" spans="2:7">
      <c r="B874" s="440" t="s">
        <v>89</v>
      </c>
      <c r="C874" s="439">
        <v>0</v>
      </c>
      <c r="D874" s="438">
        <v>0</v>
      </c>
      <c r="E874" s="437">
        <v>0</v>
      </c>
      <c r="F874" s="436">
        <v>0</v>
      </c>
      <c r="G874" s="454">
        <v>0</v>
      </c>
    </row>
    <row r="875" spans="2:7">
      <c r="B875" s="440" t="s">
        <v>90</v>
      </c>
      <c r="C875" s="439">
        <v>0</v>
      </c>
      <c r="D875" s="438">
        <v>0</v>
      </c>
      <c r="E875" s="437">
        <v>0</v>
      </c>
      <c r="F875" s="436">
        <v>0</v>
      </c>
      <c r="G875" s="454">
        <v>0</v>
      </c>
    </row>
    <row r="876" spans="2:7">
      <c r="B876" s="440" t="s">
        <v>91</v>
      </c>
      <c r="C876" s="439">
        <v>0</v>
      </c>
      <c r="D876" s="438">
        <v>0</v>
      </c>
      <c r="E876" s="437">
        <v>0</v>
      </c>
      <c r="F876" s="436">
        <v>0</v>
      </c>
      <c r="G876" s="454">
        <v>0</v>
      </c>
    </row>
    <row r="877" spans="2:7">
      <c r="B877" s="440" t="s">
        <v>92</v>
      </c>
      <c r="C877" s="439">
        <v>108516936.9537908</v>
      </c>
      <c r="D877" s="438">
        <v>114351029.58173954</v>
      </c>
      <c r="E877" s="437">
        <v>-3943041.5</v>
      </c>
      <c r="F877" s="436">
        <v>0</v>
      </c>
      <c r="G877" s="454">
        <v>0</v>
      </c>
    </row>
    <row r="878" spans="2:7">
      <c r="B878" s="440" t="s">
        <v>93</v>
      </c>
      <c r="C878" s="439">
        <v>23406.823533499999</v>
      </c>
      <c r="D878" s="438">
        <v>23406.823533499999</v>
      </c>
      <c r="E878" s="437">
        <v>0</v>
      </c>
      <c r="F878" s="436">
        <v>0</v>
      </c>
      <c r="G878" s="454">
        <v>0</v>
      </c>
    </row>
    <row r="879" spans="2:7">
      <c r="B879" s="440" t="s">
        <v>94</v>
      </c>
      <c r="C879" s="439">
        <v>5201.1649360000001</v>
      </c>
      <c r="D879" s="438">
        <v>5201.1649360000001</v>
      </c>
      <c r="E879" s="437">
        <v>0</v>
      </c>
      <c r="F879" s="436">
        <v>0</v>
      </c>
      <c r="G879" s="454">
        <v>0</v>
      </c>
    </row>
    <row r="880" spans="2:7">
      <c r="B880" s="440" t="s">
        <v>95</v>
      </c>
      <c r="C880" s="439">
        <v>0</v>
      </c>
      <c r="D880" s="438">
        <v>0</v>
      </c>
      <c r="E880" s="437">
        <v>0</v>
      </c>
      <c r="F880" s="436">
        <v>0</v>
      </c>
      <c r="G880" s="454">
        <v>0</v>
      </c>
    </row>
    <row r="881" spans="2:7">
      <c r="B881" s="440" t="s">
        <v>96</v>
      </c>
      <c r="C881" s="439">
        <v>0</v>
      </c>
      <c r="D881" s="438">
        <v>0</v>
      </c>
      <c r="E881" s="437">
        <v>0</v>
      </c>
      <c r="F881" s="436">
        <v>0</v>
      </c>
      <c r="G881" s="454">
        <v>0</v>
      </c>
    </row>
    <row r="882" spans="2:7">
      <c r="B882" s="440" t="s">
        <v>97</v>
      </c>
      <c r="C882" s="439">
        <v>0</v>
      </c>
      <c r="D882" s="438">
        <v>0</v>
      </c>
      <c r="E882" s="437">
        <v>0</v>
      </c>
      <c r="F882" s="436">
        <v>0</v>
      </c>
      <c r="G882" s="454">
        <v>0</v>
      </c>
    </row>
    <row r="883" spans="2:7">
      <c r="B883" s="440" t="s">
        <v>98</v>
      </c>
      <c r="C883" s="439">
        <v>688987.43664814997</v>
      </c>
      <c r="D883" s="438">
        <v>859799.32124763005</v>
      </c>
      <c r="E883" s="437">
        <v>0</v>
      </c>
      <c r="F883" s="436">
        <v>0</v>
      </c>
      <c r="G883" s="454">
        <v>0</v>
      </c>
    </row>
    <row r="884" spans="2:7">
      <c r="B884" s="440" t="s">
        <v>99</v>
      </c>
      <c r="C884" s="439">
        <v>57129557</v>
      </c>
      <c r="D884" s="438">
        <v>80366075</v>
      </c>
      <c r="E884" s="437">
        <v>-1641747</v>
      </c>
      <c r="F884" s="436">
        <v>-2597759</v>
      </c>
      <c r="G884" s="454">
        <v>0</v>
      </c>
    </row>
    <row r="885" spans="2:7">
      <c r="B885" s="440" t="s">
        <v>100</v>
      </c>
      <c r="C885" s="439">
        <v>18884208</v>
      </c>
      <c r="D885" s="438">
        <v>26577399</v>
      </c>
      <c r="E885" s="437">
        <v>-8555832</v>
      </c>
      <c r="F885" s="436">
        <v>-1379647</v>
      </c>
      <c r="G885" s="454">
        <v>0</v>
      </c>
    </row>
    <row r="886" spans="2:7">
      <c r="B886" s="440" t="s">
        <v>101</v>
      </c>
      <c r="C886" s="439">
        <v>8884846</v>
      </c>
      <c r="D886" s="438">
        <v>9729949</v>
      </c>
      <c r="E886" s="437">
        <v>131544</v>
      </c>
      <c r="F886" s="436">
        <v>0</v>
      </c>
      <c r="G886" s="454">
        <v>0</v>
      </c>
    </row>
    <row r="887" spans="2:7">
      <c r="B887" s="440" t="s">
        <v>102</v>
      </c>
      <c r="C887" s="439">
        <v>75034</v>
      </c>
      <c r="D887" s="438">
        <v>75034</v>
      </c>
      <c r="E887" s="437">
        <v>0</v>
      </c>
      <c r="F887" s="436">
        <v>0</v>
      </c>
      <c r="G887" s="454">
        <v>0</v>
      </c>
    </row>
    <row r="888" spans="2:7">
      <c r="B888" s="440" t="s">
        <v>103</v>
      </c>
      <c r="C888" s="439">
        <v>26987</v>
      </c>
      <c r="D888" s="438">
        <v>55370</v>
      </c>
      <c r="E888" s="437">
        <v>0</v>
      </c>
      <c r="F888" s="436">
        <v>0</v>
      </c>
      <c r="G888" s="454">
        <v>0</v>
      </c>
    </row>
    <row r="889" spans="2:7">
      <c r="B889" s="440" t="s">
        <v>104</v>
      </c>
      <c r="C889" s="439">
        <v>42328685</v>
      </c>
      <c r="D889" s="438">
        <v>47222256</v>
      </c>
      <c r="E889" s="437">
        <v>-4975419</v>
      </c>
      <c r="F889" s="436">
        <v>0</v>
      </c>
      <c r="G889" s="454">
        <v>0</v>
      </c>
    </row>
    <row r="890" spans="2:7">
      <c r="B890" s="440" t="s">
        <v>105</v>
      </c>
      <c r="C890" s="439">
        <v>0</v>
      </c>
      <c r="D890" s="438">
        <v>0</v>
      </c>
      <c r="E890" s="437">
        <v>0</v>
      </c>
      <c r="F890" s="436">
        <v>0</v>
      </c>
      <c r="G890" s="454">
        <v>0</v>
      </c>
    </row>
    <row r="891" spans="2:7">
      <c r="B891" s="440" t="s">
        <v>106</v>
      </c>
      <c r="C891" s="439">
        <v>0</v>
      </c>
      <c r="D891" s="438">
        <v>0</v>
      </c>
      <c r="E891" s="437">
        <v>0</v>
      </c>
      <c r="F891" s="436">
        <v>0</v>
      </c>
      <c r="G891" s="454">
        <v>0</v>
      </c>
    </row>
    <row r="892" spans="2:7">
      <c r="B892" s="440" t="s">
        <v>107</v>
      </c>
      <c r="C892" s="439">
        <v>0</v>
      </c>
      <c r="D892" s="438">
        <v>0</v>
      </c>
      <c r="E892" s="437">
        <v>0</v>
      </c>
      <c r="F892" s="436">
        <v>0</v>
      </c>
      <c r="G892" s="454">
        <v>0</v>
      </c>
    </row>
    <row r="893" spans="2:7">
      <c r="B893" s="440" t="s">
        <v>108</v>
      </c>
      <c r="C893" s="439">
        <v>0</v>
      </c>
      <c r="D893" s="438">
        <v>0</v>
      </c>
      <c r="E893" s="437">
        <v>0</v>
      </c>
      <c r="F893" s="436">
        <v>0</v>
      </c>
      <c r="G893" s="454">
        <v>0</v>
      </c>
    </row>
    <row r="894" spans="2:7">
      <c r="B894" s="440" t="s">
        <v>109</v>
      </c>
      <c r="C894" s="439">
        <v>144673758</v>
      </c>
      <c r="D894" s="438">
        <v>223876600</v>
      </c>
      <c r="E894" s="437">
        <v>-22127158</v>
      </c>
      <c r="F894" s="436">
        <v>-6883873</v>
      </c>
      <c r="G894" s="454">
        <v>0</v>
      </c>
    </row>
    <row r="895" spans="2:7">
      <c r="B895" s="440" t="s">
        <v>110</v>
      </c>
      <c r="C895" s="439">
        <v>0</v>
      </c>
      <c r="D895" s="438">
        <v>0</v>
      </c>
      <c r="E895" s="437">
        <v>0</v>
      </c>
      <c r="F895" s="436">
        <v>0</v>
      </c>
      <c r="G895" s="454">
        <v>0</v>
      </c>
    </row>
    <row r="896" spans="2:7">
      <c r="B896" s="440" t="s">
        <v>111</v>
      </c>
      <c r="C896" s="439">
        <v>8551257.3002976477</v>
      </c>
      <c r="D896" s="438">
        <v>10332518.483265677</v>
      </c>
      <c r="E896" s="437">
        <v>-1571620.2743177</v>
      </c>
      <c r="F896" s="436">
        <v>0</v>
      </c>
      <c r="G896" s="454">
        <v>0</v>
      </c>
    </row>
    <row r="897" spans="2:7">
      <c r="B897" s="440" t="s">
        <v>112</v>
      </c>
      <c r="C897" s="439">
        <v>96731748</v>
      </c>
      <c r="D897" s="438">
        <v>112266836</v>
      </c>
      <c r="E897" s="437">
        <v>0</v>
      </c>
      <c r="F897" s="436">
        <v>-25993242</v>
      </c>
      <c r="G897" s="454">
        <v>0</v>
      </c>
    </row>
    <row r="898" spans="2:7">
      <c r="B898" s="440" t="s">
        <v>113</v>
      </c>
      <c r="C898" s="439">
        <v>5315153</v>
      </c>
      <c r="D898" s="438">
        <v>5315153</v>
      </c>
      <c r="E898" s="437">
        <v>-2605857</v>
      </c>
      <c r="F898" s="436">
        <v>0</v>
      </c>
      <c r="G898" s="454">
        <v>0</v>
      </c>
    </row>
    <row r="899" spans="2:7">
      <c r="B899" s="440" t="s">
        <v>114</v>
      </c>
      <c r="C899" s="439">
        <v>16785564.119322814</v>
      </c>
      <c r="D899" s="438">
        <v>19496330.943393454</v>
      </c>
      <c r="E899" s="437">
        <v>1504223.2260381912</v>
      </c>
      <c r="F899" s="436">
        <v>0</v>
      </c>
      <c r="G899" s="454">
        <v>0</v>
      </c>
    </row>
    <row r="900" spans="2:7">
      <c r="B900" s="440" t="s">
        <v>115</v>
      </c>
      <c r="C900" s="439">
        <v>82434682.939971194</v>
      </c>
      <c r="D900" s="438">
        <v>97857123.785920456</v>
      </c>
      <c r="E900" s="437">
        <v>-31267611.652768821</v>
      </c>
      <c r="F900" s="436">
        <v>0</v>
      </c>
      <c r="G900" s="454">
        <v>0</v>
      </c>
    </row>
    <row r="901" spans="2:7">
      <c r="B901" s="440" t="s">
        <v>116</v>
      </c>
      <c r="C901" s="439">
        <v>196532.42543504</v>
      </c>
      <c r="D901" s="438">
        <v>196532.42543504</v>
      </c>
      <c r="E901" s="437">
        <v>0</v>
      </c>
      <c r="F901" s="436">
        <v>0</v>
      </c>
      <c r="G901" s="454">
        <v>0</v>
      </c>
    </row>
    <row r="902" spans="2:7">
      <c r="B902" s="440" t="s">
        <v>117</v>
      </c>
      <c r="C902" s="439">
        <v>11422544</v>
      </c>
      <c r="D902" s="438">
        <v>11422544</v>
      </c>
      <c r="E902" s="437">
        <v>-9956240</v>
      </c>
      <c r="F902" s="436">
        <v>0</v>
      </c>
      <c r="G902" s="454">
        <v>0</v>
      </c>
    </row>
    <row r="903" spans="2:7">
      <c r="B903" s="440" t="s">
        <v>118</v>
      </c>
      <c r="C903" s="439">
        <v>24777958</v>
      </c>
      <c r="D903" s="438">
        <v>29856106</v>
      </c>
      <c r="E903" s="437">
        <v>-13371256</v>
      </c>
      <c r="F903" s="436">
        <v>0</v>
      </c>
      <c r="G903" s="454">
        <v>0</v>
      </c>
    </row>
    <row r="904" spans="2:7">
      <c r="B904" s="440" t="s">
        <v>119</v>
      </c>
      <c r="C904" s="439">
        <v>10719528</v>
      </c>
      <c r="D904" s="438">
        <v>18899156</v>
      </c>
      <c r="E904" s="437">
        <v>1089060</v>
      </c>
      <c r="F904" s="436">
        <v>0</v>
      </c>
      <c r="G904" s="454">
        <v>0</v>
      </c>
    </row>
    <row r="905" spans="2:7">
      <c r="B905" s="440" t="s">
        <v>120</v>
      </c>
      <c r="C905" s="439">
        <v>0</v>
      </c>
      <c r="D905" s="438">
        <v>0</v>
      </c>
      <c r="E905" s="437">
        <v>0</v>
      </c>
      <c r="F905" s="436">
        <v>0</v>
      </c>
      <c r="G905" s="454">
        <v>0</v>
      </c>
    </row>
    <row r="906" spans="2:7">
      <c r="B906" s="440" t="s">
        <v>121</v>
      </c>
      <c r="C906" s="439">
        <v>90436959</v>
      </c>
      <c r="D906" s="438">
        <v>113760105</v>
      </c>
      <c r="E906" s="437">
        <v>-26288007</v>
      </c>
      <c r="F906" s="436">
        <v>-4679970</v>
      </c>
      <c r="G906" s="454">
        <v>0</v>
      </c>
    </row>
    <row r="907" spans="2:7" ht="14" thickBot="1">
      <c r="B907" s="455" t="s">
        <v>122</v>
      </c>
      <c r="C907" s="433">
        <v>0</v>
      </c>
      <c r="D907" s="432">
        <v>0</v>
      </c>
      <c r="E907" s="431">
        <v>0</v>
      </c>
      <c r="F907" s="430">
        <v>0</v>
      </c>
      <c r="G907" s="456">
        <v>0</v>
      </c>
    </row>
    <row r="910" spans="2:7">
      <c r="B910" s="12" t="s">
        <v>17</v>
      </c>
    </row>
    <row r="911" spans="2:7" ht="14" thickBot="1"/>
    <row r="912" spans="2:7" ht="14" thickBot="1">
      <c r="B912" s="553" t="s">
        <v>51</v>
      </c>
      <c r="C912" s="555" t="s">
        <v>123</v>
      </c>
      <c r="D912" s="556"/>
      <c r="E912" s="556"/>
      <c r="F912" s="556"/>
      <c r="G912" s="557"/>
    </row>
    <row r="913" spans="2:7" ht="54.5" thickBot="1">
      <c r="B913" s="554"/>
      <c r="C913" s="452" t="s">
        <v>124</v>
      </c>
      <c r="D913" s="452" t="s">
        <v>125</v>
      </c>
      <c r="E913" s="451" t="s">
        <v>126</v>
      </c>
      <c r="F913" s="450" t="s">
        <v>127</v>
      </c>
      <c r="G913" s="449" t="s">
        <v>128</v>
      </c>
    </row>
    <row r="914" spans="2:7">
      <c r="B914" s="446" t="s">
        <v>53</v>
      </c>
      <c r="C914" s="445">
        <v>258980347</v>
      </c>
      <c r="D914" s="444">
        <v>340218379</v>
      </c>
      <c r="E914" s="443">
        <v>-20570718</v>
      </c>
      <c r="F914" s="442">
        <v>0</v>
      </c>
      <c r="G914" s="453">
        <v>0</v>
      </c>
    </row>
    <row r="915" spans="2:7">
      <c r="B915" s="440" t="s">
        <v>63</v>
      </c>
      <c r="C915" s="439">
        <v>288033</v>
      </c>
      <c r="D915" s="438">
        <v>316742</v>
      </c>
      <c r="E915" s="437">
        <v>0</v>
      </c>
      <c r="F915" s="436">
        <v>0</v>
      </c>
      <c r="G915" s="454">
        <v>0</v>
      </c>
    </row>
    <row r="916" spans="2:7">
      <c r="B916" s="440" t="s">
        <v>64</v>
      </c>
      <c r="C916" s="439">
        <v>1123060</v>
      </c>
      <c r="D916" s="438">
        <v>1284742</v>
      </c>
      <c r="E916" s="437">
        <v>-28220</v>
      </c>
      <c r="F916" s="436">
        <v>0</v>
      </c>
      <c r="G916" s="454">
        <v>0</v>
      </c>
    </row>
    <row r="917" spans="2:7">
      <c r="B917" s="440" t="s">
        <v>65</v>
      </c>
      <c r="C917" s="439">
        <v>11230828</v>
      </c>
      <c r="D917" s="438">
        <v>16515242</v>
      </c>
      <c r="E917" s="437">
        <v>-1722364</v>
      </c>
      <c r="F917" s="436">
        <v>0</v>
      </c>
      <c r="G917" s="454">
        <v>0</v>
      </c>
    </row>
    <row r="918" spans="2:7">
      <c r="B918" s="440" t="s">
        <v>66</v>
      </c>
      <c r="C918" s="439">
        <v>9023536</v>
      </c>
      <c r="D918" s="438">
        <v>12195307</v>
      </c>
      <c r="E918" s="437">
        <v>165756.79999999999</v>
      </c>
      <c r="F918" s="436">
        <v>0</v>
      </c>
      <c r="G918" s="454">
        <v>0</v>
      </c>
    </row>
    <row r="919" spans="2:7">
      <c r="B919" s="440" t="s">
        <v>67</v>
      </c>
      <c r="C919" s="439">
        <v>3029998</v>
      </c>
      <c r="D919" s="438">
        <v>4307645</v>
      </c>
      <c r="E919" s="437">
        <v>-625672</v>
      </c>
      <c r="F919" s="436">
        <v>0</v>
      </c>
      <c r="G919" s="454">
        <v>0</v>
      </c>
    </row>
    <row r="920" spans="2:7">
      <c r="B920" s="440" t="s">
        <v>68</v>
      </c>
      <c r="C920" s="439">
        <v>0</v>
      </c>
      <c r="D920" s="438">
        <v>0</v>
      </c>
      <c r="E920" s="437">
        <v>0</v>
      </c>
      <c r="F920" s="436">
        <v>0</v>
      </c>
      <c r="G920" s="454">
        <v>0</v>
      </c>
    </row>
    <row r="921" spans="2:7">
      <c r="B921" s="440" t="s">
        <v>69</v>
      </c>
      <c r="C921" s="439">
        <v>21582682</v>
      </c>
      <c r="D921" s="438">
        <v>26939052</v>
      </c>
      <c r="E921" s="437">
        <v>-7168379</v>
      </c>
      <c r="F921" s="436">
        <v>0</v>
      </c>
      <c r="G921" s="454">
        <v>0</v>
      </c>
    </row>
    <row r="922" spans="2:7">
      <c r="B922" s="440" t="s">
        <v>70</v>
      </c>
      <c r="C922" s="439">
        <v>1011240752</v>
      </c>
      <c r="D922" s="438">
        <v>1385313854</v>
      </c>
      <c r="E922" s="437">
        <v>-69356796</v>
      </c>
      <c r="F922" s="436">
        <v>0</v>
      </c>
      <c r="G922" s="454">
        <v>0</v>
      </c>
    </row>
    <row r="923" spans="2:7">
      <c r="B923" s="440" t="s">
        <v>71</v>
      </c>
      <c r="C923" s="439">
        <v>0</v>
      </c>
      <c r="D923" s="438">
        <v>0</v>
      </c>
      <c r="E923" s="437">
        <v>0</v>
      </c>
      <c r="F923" s="436">
        <v>0</v>
      </c>
      <c r="G923" s="454">
        <v>0</v>
      </c>
    </row>
    <row r="924" spans="2:7">
      <c r="B924" s="440" t="s">
        <v>72</v>
      </c>
      <c r="C924" s="439">
        <v>39181448.3094</v>
      </c>
      <c r="D924" s="438">
        <v>71569709.424600005</v>
      </c>
      <c r="E924" s="437">
        <v>-2248665.3599999994</v>
      </c>
      <c r="F924" s="436">
        <v>0</v>
      </c>
      <c r="G924" s="454">
        <v>0</v>
      </c>
    </row>
    <row r="925" spans="2:7">
      <c r="B925" s="440" t="s">
        <v>73</v>
      </c>
      <c r="C925" s="439">
        <v>13085166</v>
      </c>
      <c r="D925" s="438">
        <v>18471848</v>
      </c>
      <c r="E925" s="437">
        <v>-3695496</v>
      </c>
      <c r="F925" s="436">
        <v>0</v>
      </c>
      <c r="G925" s="454">
        <v>0</v>
      </c>
    </row>
    <row r="926" spans="2:7">
      <c r="B926" s="440" t="s">
        <v>74</v>
      </c>
      <c r="C926" s="439">
        <v>1273690</v>
      </c>
      <c r="D926" s="438">
        <v>1946264</v>
      </c>
      <c r="E926" s="437">
        <v>-225495</v>
      </c>
      <c r="F926" s="436">
        <v>0</v>
      </c>
      <c r="G926" s="454">
        <v>0</v>
      </c>
    </row>
    <row r="927" spans="2:7">
      <c r="B927" s="440" t="s">
        <v>75</v>
      </c>
      <c r="C927" s="439">
        <v>14285998</v>
      </c>
      <c r="D927" s="438">
        <v>20823794</v>
      </c>
      <c r="E927" s="437">
        <v>-3088775</v>
      </c>
      <c r="F927" s="436">
        <v>0</v>
      </c>
      <c r="G927" s="454">
        <v>0</v>
      </c>
    </row>
    <row r="928" spans="2:7">
      <c r="B928" s="440" t="s">
        <v>76</v>
      </c>
      <c r="C928" s="439">
        <v>30152955</v>
      </c>
      <c r="D928" s="438">
        <v>43085405</v>
      </c>
      <c r="E928" s="437">
        <v>-5067566</v>
      </c>
      <c r="F928" s="436">
        <v>0</v>
      </c>
      <c r="G928" s="454">
        <v>0</v>
      </c>
    </row>
    <row r="929" spans="2:7">
      <c r="B929" s="440" t="s">
        <v>77</v>
      </c>
      <c r="C929" s="439">
        <v>0</v>
      </c>
      <c r="D929" s="438">
        <v>0</v>
      </c>
      <c r="E929" s="437">
        <v>0</v>
      </c>
      <c r="F929" s="436">
        <v>0</v>
      </c>
      <c r="G929" s="454">
        <v>0</v>
      </c>
    </row>
    <row r="930" spans="2:7">
      <c r="B930" s="440" t="s">
        <v>78</v>
      </c>
      <c r="C930" s="439">
        <v>0</v>
      </c>
      <c r="D930" s="438">
        <v>0</v>
      </c>
      <c r="E930" s="437">
        <v>0</v>
      </c>
      <c r="F930" s="436">
        <v>0</v>
      </c>
      <c r="G930" s="454">
        <v>0</v>
      </c>
    </row>
    <row r="931" spans="2:7">
      <c r="B931" s="440" t="s">
        <v>79</v>
      </c>
      <c r="C931" s="439">
        <v>0</v>
      </c>
      <c r="D931" s="438">
        <v>0</v>
      </c>
      <c r="E931" s="437">
        <v>0</v>
      </c>
      <c r="F931" s="436">
        <v>0</v>
      </c>
      <c r="G931" s="454">
        <v>0</v>
      </c>
    </row>
    <row r="932" spans="2:7">
      <c r="B932" s="440" t="s">
        <v>80</v>
      </c>
      <c r="C932" s="439">
        <v>0</v>
      </c>
      <c r="D932" s="438">
        <v>0</v>
      </c>
      <c r="E932" s="437">
        <v>0</v>
      </c>
      <c r="F932" s="436">
        <v>0</v>
      </c>
      <c r="G932" s="454">
        <v>0</v>
      </c>
    </row>
    <row r="933" spans="2:7">
      <c r="B933" s="440" t="s">
        <v>81</v>
      </c>
      <c r="C933" s="439">
        <v>0</v>
      </c>
      <c r="D933" s="438">
        <v>0</v>
      </c>
      <c r="E933" s="437">
        <v>0</v>
      </c>
      <c r="F933" s="436">
        <v>0</v>
      </c>
      <c r="G933" s="454">
        <v>0</v>
      </c>
    </row>
    <row r="934" spans="2:7">
      <c r="B934" s="440" t="s">
        <v>82</v>
      </c>
      <c r="C934" s="439">
        <v>31120424</v>
      </c>
      <c r="D934" s="438">
        <v>43266047</v>
      </c>
      <c r="E934" s="437">
        <v>-6023833</v>
      </c>
      <c r="F934" s="436">
        <v>0</v>
      </c>
      <c r="G934" s="454">
        <v>0</v>
      </c>
    </row>
    <row r="935" spans="2:7">
      <c r="B935" s="440" t="s">
        <v>83</v>
      </c>
      <c r="C935" s="439">
        <v>0</v>
      </c>
      <c r="D935" s="438">
        <v>0</v>
      </c>
      <c r="E935" s="437">
        <v>0</v>
      </c>
      <c r="F935" s="436">
        <v>0</v>
      </c>
      <c r="G935" s="454">
        <v>0</v>
      </c>
    </row>
    <row r="936" spans="2:7">
      <c r="B936" s="440" t="s">
        <v>84</v>
      </c>
      <c r="C936" s="439">
        <v>195442337</v>
      </c>
      <c r="D936" s="438">
        <v>260866703</v>
      </c>
      <c r="E936" s="437">
        <v>-23971827</v>
      </c>
      <c r="F936" s="436">
        <v>0</v>
      </c>
      <c r="G936" s="454"/>
    </row>
    <row r="937" spans="2:7">
      <c r="B937" s="440" t="s">
        <v>85</v>
      </c>
      <c r="C937" s="439">
        <v>0</v>
      </c>
      <c r="D937" s="438">
        <v>0</v>
      </c>
      <c r="E937" s="437">
        <v>0</v>
      </c>
      <c r="F937" s="436">
        <v>0</v>
      </c>
      <c r="G937" s="454"/>
    </row>
    <row r="938" spans="2:7">
      <c r="B938" s="440" t="s">
        <v>86</v>
      </c>
      <c r="C938" s="439">
        <v>415691.886</v>
      </c>
      <c r="D938" s="438">
        <v>583391.35800000001</v>
      </c>
      <c r="E938" s="437">
        <v>-281578.08999999997</v>
      </c>
      <c r="F938" s="436">
        <v>0</v>
      </c>
      <c r="G938" s="454"/>
    </row>
    <row r="939" spans="2:7">
      <c r="B939" s="440" t="s">
        <v>87</v>
      </c>
      <c r="C939" s="439">
        <v>5913020</v>
      </c>
      <c r="D939" s="438">
        <v>5990978</v>
      </c>
      <c r="E939" s="437">
        <v>-3213684</v>
      </c>
      <c r="F939" s="436">
        <v>-1011872</v>
      </c>
      <c r="G939" s="454"/>
    </row>
    <row r="940" spans="2:7">
      <c r="B940" s="440" t="s">
        <v>88</v>
      </c>
      <c r="C940" s="439">
        <v>712594</v>
      </c>
      <c r="D940" s="438">
        <v>811106</v>
      </c>
      <c r="E940" s="437">
        <v>-720184</v>
      </c>
      <c r="F940" s="436">
        <v>0</v>
      </c>
      <c r="G940" s="454"/>
    </row>
    <row r="941" spans="2:7">
      <c r="B941" s="440" t="s">
        <v>89</v>
      </c>
      <c r="C941" s="439">
        <v>0</v>
      </c>
      <c r="D941" s="438">
        <v>0</v>
      </c>
      <c r="E941" s="437">
        <v>0</v>
      </c>
      <c r="F941" s="436">
        <v>0</v>
      </c>
      <c r="G941" s="454"/>
    </row>
    <row r="942" spans="2:7">
      <c r="B942" s="440" t="s">
        <v>90</v>
      </c>
      <c r="C942" s="439">
        <v>0</v>
      </c>
      <c r="D942" s="438">
        <v>0</v>
      </c>
      <c r="E942" s="437">
        <v>0</v>
      </c>
      <c r="F942" s="436">
        <v>0</v>
      </c>
      <c r="G942" s="454"/>
    </row>
    <row r="943" spans="2:7">
      <c r="B943" s="440" t="s">
        <v>91</v>
      </c>
      <c r="C943" s="439">
        <v>0</v>
      </c>
      <c r="D943" s="438">
        <v>0</v>
      </c>
      <c r="E943" s="437">
        <v>0</v>
      </c>
      <c r="F943" s="436">
        <v>0</v>
      </c>
      <c r="G943" s="454"/>
    </row>
    <row r="944" spans="2:7">
      <c r="B944" s="440" t="s">
        <v>92</v>
      </c>
      <c r="C944" s="439">
        <v>28638567.400999915</v>
      </c>
      <c r="D944" s="438">
        <v>28761523.776000004</v>
      </c>
      <c r="E944" s="437">
        <v>-289766.53300000005</v>
      </c>
      <c r="F944" s="436">
        <v>0</v>
      </c>
      <c r="G944" s="454"/>
    </row>
    <row r="945" spans="2:7">
      <c r="B945" s="440" t="s">
        <v>93</v>
      </c>
      <c r="C945" s="439">
        <v>21943914.023999996</v>
      </c>
      <c r="D945" s="438">
        <v>24822358.345999997</v>
      </c>
      <c r="E945" s="437">
        <v>0</v>
      </c>
      <c r="F945" s="436">
        <v>0</v>
      </c>
      <c r="G945" s="454"/>
    </row>
    <row r="946" spans="2:7">
      <c r="B946" s="440" t="s">
        <v>94</v>
      </c>
      <c r="C946" s="439">
        <v>287634.01400000002</v>
      </c>
      <c r="D946" s="438">
        <v>287634.01400000002</v>
      </c>
      <c r="E946" s="437">
        <v>-46110.68</v>
      </c>
      <c r="F946" s="436">
        <v>0</v>
      </c>
      <c r="G946" s="454"/>
    </row>
    <row r="947" spans="2:7">
      <c r="B947" s="440" t="s">
        <v>95</v>
      </c>
      <c r="C947" s="439">
        <v>0</v>
      </c>
      <c r="D947" s="438">
        <v>0</v>
      </c>
      <c r="E947" s="437">
        <v>0</v>
      </c>
      <c r="F947" s="436">
        <v>0</v>
      </c>
      <c r="G947" s="454"/>
    </row>
    <row r="948" spans="2:7">
      <c r="B948" s="440" t="s">
        <v>96</v>
      </c>
      <c r="C948" s="439">
        <v>0</v>
      </c>
      <c r="D948" s="438">
        <v>0</v>
      </c>
      <c r="E948" s="437">
        <v>0</v>
      </c>
      <c r="F948" s="436">
        <v>0</v>
      </c>
      <c r="G948" s="454"/>
    </row>
    <row r="949" spans="2:7">
      <c r="B949" s="440" t="s">
        <v>97</v>
      </c>
      <c r="C949" s="439">
        <v>0</v>
      </c>
      <c r="D949" s="438">
        <v>0</v>
      </c>
      <c r="E949" s="437">
        <v>0</v>
      </c>
      <c r="F949" s="436">
        <v>0</v>
      </c>
      <c r="G949" s="454"/>
    </row>
    <row r="950" spans="2:7">
      <c r="B950" s="440" t="s">
        <v>98</v>
      </c>
      <c r="C950" s="439">
        <v>87234589.590900004</v>
      </c>
      <c r="D950" s="438">
        <v>132518607.6559</v>
      </c>
      <c r="E950" s="437">
        <v>-6632892.8499999996</v>
      </c>
      <c r="F950" s="436">
        <v>0</v>
      </c>
      <c r="G950" s="454"/>
    </row>
    <row r="951" spans="2:7">
      <c r="B951" s="440" t="s">
        <v>99</v>
      </c>
      <c r="C951" s="439">
        <v>1490372</v>
      </c>
      <c r="D951" s="438">
        <v>1691979</v>
      </c>
      <c r="E951" s="437">
        <v>0</v>
      </c>
      <c r="F951" s="436">
        <v>0</v>
      </c>
      <c r="G951" s="454"/>
    </row>
    <row r="952" spans="2:7">
      <c r="B952" s="440" t="s">
        <v>100</v>
      </c>
      <c r="C952" s="439">
        <v>4151275</v>
      </c>
      <c r="D952" s="438">
        <v>22455574</v>
      </c>
      <c r="E952" s="437">
        <v>-6907740</v>
      </c>
      <c r="F952" s="436">
        <v>-2041697</v>
      </c>
      <c r="G952" s="454"/>
    </row>
    <row r="953" spans="2:7">
      <c r="B953" s="440" t="s">
        <v>101</v>
      </c>
      <c r="C953" s="439">
        <v>7170696</v>
      </c>
      <c r="D953" s="438">
        <v>8303943</v>
      </c>
      <c r="E953" s="437">
        <v>-173595</v>
      </c>
      <c r="F953" s="436">
        <v>0</v>
      </c>
      <c r="G953" s="454"/>
    </row>
    <row r="954" spans="2:7">
      <c r="B954" s="440" t="s">
        <v>102</v>
      </c>
      <c r="C954" s="439">
        <v>37517</v>
      </c>
      <c r="D954" s="438">
        <v>59040</v>
      </c>
      <c r="E954" s="437">
        <v>0</v>
      </c>
      <c r="F954" s="436">
        <v>0</v>
      </c>
      <c r="G954" s="454">
        <v>0</v>
      </c>
    </row>
    <row r="955" spans="2:7">
      <c r="B955" s="440" t="s">
        <v>103</v>
      </c>
      <c r="C955" s="439">
        <v>833510</v>
      </c>
      <c r="D955" s="438">
        <v>1054046</v>
      </c>
      <c r="E955" s="437">
        <v>0</v>
      </c>
      <c r="F955" s="436">
        <v>0</v>
      </c>
      <c r="G955" s="454">
        <v>0</v>
      </c>
    </row>
    <row r="956" spans="2:7">
      <c r="B956" s="440" t="s">
        <v>104</v>
      </c>
      <c r="C956" s="439">
        <v>59353</v>
      </c>
      <c r="D956" s="438">
        <v>59353</v>
      </c>
      <c r="E956" s="437">
        <v>0</v>
      </c>
      <c r="F956" s="436">
        <v>0</v>
      </c>
      <c r="G956" s="454">
        <v>0</v>
      </c>
    </row>
    <row r="957" spans="2:7">
      <c r="B957" s="440" t="s">
        <v>105</v>
      </c>
      <c r="C957" s="439">
        <v>0</v>
      </c>
      <c r="D957" s="438">
        <v>0</v>
      </c>
      <c r="E957" s="437">
        <v>0</v>
      </c>
      <c r="F957" s="436">
        <v>0</v>
      </c>
      <c r="G957" s="454">
        <v>0</v>
      </c>
    </row>
    <row r="958" spans="2:7">
      <c r="B958" s="440" t="s">
        <v>106</v>
      </c>
      <c r="C958" s="439">
        <v>0</v>
      </c>
      <c r="D958" s="438">
        <v>0</v>
      </c>
      <c r="E958" s="437">
        <v>0</v>
      </c>
      <c r="F958" s="436">
        <v>0</v>
      </c>
      <c r="G958" s="454">
        <v>0</v>
      </c>
    </row>
    <row r="959" spans="2:7">
      <c r="B959" s="440" t="s">
        <v>107</v>
      </c>
      <c r="C959" s="439">
        <v>0</v>
      </c>
      <c r="D959" s="438">
        <v>0</v>
      </c>
      <c r="E959" s="437">
        <v>0</v>
      </c>
      <c r="F959" s="436">
        <v>0</v>
      </c>
      <c r="G959" s="454">
        <v>0</v>
      </c>
    </row>
    <row r="960" spans="2:7">
      <c r="B960" s="440" t="s">
        <v>108</v>
      </c>
      <c r="C960" s="439">
        <v>0</v>
      </c>
      <c r="D960" s="438">
        <v>0</v>
      </c>
      <c r="E960" s="437">
        <v>0</v>
      </c>
      <c r="F960" s="436">
        <v>0</v>
      </c>
      <c r="G960" s="454">
        <v>0</v>
      </c>
    </row>
    <row r="961" spans="2:7">
      <c r="B961" s="440" t="s">
        <v>109</v>
      </c>
      <c r="C961" s="439">
        <v>121371025</v>
      </c>
      <c r="D961" s="438">
        <v>173045712</v>
      </c>
      <c r="E961" s="437">
        <v>-23569630</v>
      </c>
      <c r="F961" s="436">
        <v>-2986331</v>
      </c>
      <c r="G961" s="454">
        <v>0</v>
      </c>
    </row>
    <row r="962" spans="2:7">
      <c r="B962" s="440" t="s">
        <v>110</v>
      </c>
      <c r="C962" s="439">
        <v>0</v>
      </c>
      <c r="D962" s="438">
        <v>0</v>
      </c>
      <c r="E962" s="437">
        <v>0</v>
      </c>
      <c r="F962" s="436">
        <v>0</v>
      </c>
      <c r="G962" s="454">
        <v>0</v>
      </c>
    </row>
    <row r="963" spans="2:7">
      <c r="B963" s="440" t="s">
        <v>111</v>
      </c>
      <c r="C963" s="439">
        <v>0</v>
      </c>
      <c r="D963" s="438">
        <v>0</v>
      </c>
      <c r="E963" s="437">
        <v>0</v>
      </c>
      <c r="F963" s="436">
        <v>0</v>
      </c>
      <c r="G963" s="454">
        <v>0</v>
      </c>
    </row>
    <row r="964" spans="2:7">
      <c r="B964" s="440" t="s">
        <v>112</v>
      </c>
      <c r="C964" s="439">
        <v>0</v>
      </c>
      <c r="D964" s="438">
        <v>0</v>
      </c>
      <c r="E964" s="437">
        <v>0</v>
      </c>
      <c r="F964" s="436">
        <v>0</v>
      </c>
      <c r="G964" s="454">
        <v>0</v>
      </c>
    </row>
    <row r="965" spans="2:7">
      <c r="B965" s="440" t="s">
        <v>113</v>
      </c>
      <c r="C965" s="439">
        <v>0</v>
      </c>
      <c r="D965" s="438">
        <v>0</v>
      </c>
      <c r="E965" s="437">
        <v>0</v>
      </c>
      <c r="F965" s="436">
        <v>0</v>
      </c>
      <c r="G965" s="454">
        <v>0</v>
      </c>
    </row>
    <row r="966" spans="2:7">
      <c r="B966" s="440" t="s">
        <v>114</v>
      </c>
      <c r="C966" s="439">
        <v>0</v>
      </c>
      <c r="D966" s="438">
        <v>0</v>
      </c>
      <c r="E966" s="437">
        <v>0</v>
      </c>
      <c r="F966" s="436">
        <v>0</v>
      </c>
      <c r="G966" s="454">
        <v>0</v>
      </c>
    </row>
    <row r="967" spans="2:7">
      <c r="B967" s="440" t="s">
        <v>115</v>
      </c>
      <c r="C967" s="439">
        <v>0</v>
      </c>
      <c r="D967" s="438">
        <v>0</v>
      </c>
      <c r="E967" s="437">
        <v>0</v>
      </c>
      <c r="F967" s="436">
        <v>0</v>
      </c>
      <c r="G967" s="454">
        <v>0</v>
      </c>
    </row>
    <row r="968" spans="2:7">
      <c r="B968" s="440" t="s">
        <v>116</v>
      </c>
      <c r="C968" s="439">
        <v>0</v>
      </c>
      <c r="D968" s="438">
        <v>0</v>
      </c>
      <c r="E968" s="437">
        <v>0</v>
      </c>
      <c r="F968" s="436">
        <v>0</v>
      </c>
      <c r="G968" s="454">
        <v>0</v>
      </c>
    </row>
    <row r="969" spans="2:7">
      <c r="B969" s="440" t="s">
        <v>117</v>
      </c>
      <c r="C969" s="439">
        <v>0</v>
      </c>
      <c r="D969" s="438">
        <v>0</v>
      </c>
      <c r="E969" s="437">
        <v>0</v>
      </c>
      <c r="F969" s="436">
        <v>0</v>
      </c>
      <c r="G969" s="454">
        <v>0</v>
      </c>
    </row>
    <row r="970" spans="2:7">
      <c r="B970" s="440" t="s">
        <v>118</v>
      </c>
      <c r="C970" s="439">
        <v>0</v>
      </c>
      <c r="D970" s="438">
        <v>0</v>
      </c>
      <c r="E970" s="437">
        <v>0</v>
      </c>
      <c r="F970" s="436">
        <v>0</v>
      </c>
      <c r="G970" s="454">
        <v>0</v>
      </c>
    </row>
    <row r="971" spans="2:7">
      <c r="B971" s="440" t="s">
        <v>119</v>
      </c>
      <c r="C971" s="439">
        <v>0</v>
      </c>
      <c r="D971" s="438">
        <v>0</v>
      </c>
      <c r="E971" s="437">
        <v>0</v>
      </c>
      <c r="F971" s="436">
        <v>0</v>
      </c>
      <c r="G971" s="454">
        <v>0</v>
      </c>
    </row>
    <row r="972" spans="2:7">
      <c r="B972" s="440" t="s">
        <v>120</v>
      </c>
      <c r="C972" s="439">
        <v>0</v>
      </c>
      <c r="D972" s="438">
        <v>0</v>
      </c>
      <c r="E972" s="437">
        <v>0</v>
      </c>
      <c r="F972" s="436">
        <v>0</v>
      </c>
      <c r="G972" s="454">
        <v>0</v>
      </c>
    </row>
    <row r="973" spans="2:7">
      <c r="B973" s="440" t="s">
        <v>121</v>
      </c>
      <c r="C973" s="439">
        <v>0</v>
      </c>
      <c r="D973" s="438">
        <v>0</v>
      </c>
      <c r="E973" s="437">
        <v>0</v>
      </c>
      <c r="F973" s="436">
        <v>0</v>
      </c>
      <c r="G973" s="454">
        <v>0</v>
      </c>
    </row>
    <row r="974" spans="2:7" ht="14" thickBot="1">
      <c r="B974" s="455" t="s">
        <v>122</v>
      </c>
      <c r="C974" s="433">
        <v>0</v>
      </c>
      <c r="D974" s="432">
        <v>0</v>
      </c>
      <c r="E974" s="431">
        <v>0</v>
      </c>
      <c r="F974" s="430">
        <v>0</v>
      </c>
      <c r="G974" s="456">
        <v>0</v>
      </c>
    </row>
    <row r="977" spans="2:7">
      <c r="B977" s="12" t="s">
        <v>18</v>
      </c>
    </row>
    <row r="978" spans="2:7" ht="14" thickBot="1"/>
    <row r="979" spans="2:7" ht="14" thickBot="1">
      <c r="B979" s="553" t="s">
        <v>51</v>
      </c>
      <c r="C979" s="555" t="s">
        <v>123</v>
      </c>
      <c r="D979" s="556"/>
      <c r="E979" s="556"/>
      <c r="F979" s="556"/>
      <c r="G979" s="557"/>
    </row>
    <row r="980" spans="2:7" ht="54.5" thickBot="1">
      <c r="B980" s="554"/>
      <c r="C980" s="452" t="s">
        <v>124</v>
      </c>
      <c r="D980" s="452" t="s">
        <v>125</v>
      </c>
      <c r="E980" s="451" t="s">
        <v>126</v>
      </c>
      <c r="F980" s="450" t="s">
        <v>127</v>
      </c>
      <c r="G980" s="449" t="s">
        <v>128</v>
      </c>
    </row>
    <row r="981" spans="2:7">
      <c r="B981" s="446" t="s">
        <v>53</v>
      </c>
      <c r="C981" s="445">
        <v>605726064</v>
      </c>
      <c r="D981" s="444">
        <v>736580829</v>
      </c>
      <c r="E981" s="443">
        <v>-159837614</v>
      </c>
      <c r="F981" s="442">
        <v>0</v>
      </c>
      <c r="G981" s="453">
        <v>0</v>
      </c>
    </row>
    <row r="982" spans="2:7">
      <c r="B982" s="440" t="s">
        <v>63</v>
      </c>
      <c r="C982" s="439">
        <v>328505</v>
      </c>
      <c r="D982" s="438">
        <v>328505</v>
      </c>
      <c r="E982" s="437">
        <v>0</v>
      </c>
      <c r="F982" s="436">
        <v>0</v>
      </c>
      <c r="G982" s="454">
        <v>0</v>
      </c>
    </row>
    <row r="983" spans="2:7">
      <c r="B983" s="440" t="s">
        <v>64</v>
      </c>
      <c r="C983" s="439">
        <v>4477593</v>
      </c>
      <c r="D983" s="438">
        <v>5043058</v>
      </c>
      <c r="E983" s="437">
        <v>-51214</v>
      </c>
      <c r="F983" s="436">
        <v>0</v>
      </c>
      <c r="G983" s="454">
        <v>0</v>
      </c>
    </row>
    <row r="984" spans="2:7">
      <c r="B984" s="440" t="s">
        <v>65</v>
      </c>
      <c r="C984" s="439">
        <v>43309944</v>
      </c>
      <c r="D984" s="438">
        <v>63495120</v>
      </c>
      <c r="E984" s="437">
        <v>-2590474</v>
      </c>
      <c r="F984" s="436">
        <v>0</v>
      </c>
      <c r="G984" s="454">
        <v>0</v>
      </c>
    </row>
    <row r="985" spans="2:7">
      <c r="B985" s="440" t="s">
        <v>66</v>
      </c>
      <c r="C985" s="439">
        <v>4016986</v>
      </c>
      <c r="D985" s="438">
        <v>5598985</v>
      </c>
      <c r="E985" s="437">
        <v>138741.20000000001</v>
      </c>
      <c r="F985" s="436">
        <v>0</v>
      </c>
      <c r="G985" s="454">
        <v>0</v>
      </c>
    </row>
    <row r="986" spans="2:7">
      <c r="B986" s="440" t="s">
        <v>67</v>
      </c>
      <c r="C986" s="439">
        <v>6720008</v>
      </c>
      <c r="D986" s="438">
        <v>9649074</v>
      </c>
      <c r="E986" s="437">
        <v>-660095</v>
      </c>
      <c r="F986" s="436">
        <v>0</v>
      </c>
      <c r="G986" s="454">
        <v>0</v>
      </c>
    </row>
    <row r="987" spans="2:7">
      <c r="B987" s="440" t="s">
        <v>68</v>
      </c>
      <c r="C987" s="439">
        <v>0</v>
      </c>
      <c r="D987" s="438">
        <v>0</v>
      </c>
      <c r="E987" s="437">
        <v>0</v>
      </c>
      <c r="F987" s="436">
        <v>0</v>
      </c>
      <c r="G987" s="454">
        <v>0</v>
      </c>
    </row>
    <row r="988" spans="2:7">
      <c r="B988" s="440" t="s">
        <v>69</v>
      </c>
      <c r="C988" s="439">
        <v>215728676</v>
      </c>
      <c r="D988" s="438">
        <v>252411820</v>
      </c>
      <c r="E988" s="437">
        <v>-65998479</v>
      </c>
      <c r="F988" s="436">
        <v>0</v>
      </c>
      <c r="G988" s="454">
        <v>0</v>
      </c>
    </row>
    <row r="989" spans="2:7">
      <c r="B989" s="440" t="s">
        <v>70</v>
      </c>
      <c r="C989" s="439">
        <v>685415253</v>
      </c>
      <c r="D989" s="438">
        <v>854065000</v>
      </c>
      <c r="E989" s="437">
        <v>-229760504</v>
      </c>
      <c r="F989" s="436">
        <v>0</v>
      </c>
      <c r="G989" s="454">
        <v>0</v>
      </c>
    </row>
    <row r="990" spans="2:7">
      <c r="B990" s="440" t="s">
        <v>71</v>
      </c>
      <c r="C990" s="439">
        <v>0</v>
      </c>
      <c r="D990" s="438">
        <v>0</v>
      </c>
      <c r="E990" s="437">
        <v>0</v>
      </c>
      <c r="F990" s="436">
        <v>0</v>
      </c>
      <c r="G990" s="454">
        <v>0</v>
      </c>
    </row>
    <row r="991" spans="2:7">
      <c r="B991" s="440" t="s">
        <v>72</v>
      </c>
      <c r="C991" s="439">
        <v>632428.87917999993</v>
      </c>
      <c r="D991" s="438">
        <v>1016514.96016</v>
      </c>
      <c r="E991" s="437">
        <v>0</v>
      </c>
      <c r="F991" s="436">
        <v>0</v>
      </c>
      <c r="G991" s="454">
        <v>0</v>
      </c>
    </row>
    <row r="992" spans="2:7">
      <c r="B992" s="440" t="s">
        <v>73</v>
      </c>
      <c r="C992" s="439">
        <v>42492603</v>
      </c>
      <c r="D992" s="438">
        <v>55610059</v>
      </c>
      <c r="E992" s="437">
        <v>-3135126</v>
      </c>
      <c r="F992" s="436">
        <v>-302845</v>
      </c>
      <c r="G992" s="454">
        <v>0</v>
      </c>
    </row>
    <row r="993" spans="2:7">
      <c r="B993" s="440" t="s">
        <v>74</v>
      </c>
      <c r="C993" s="439">
        <v>2360357</v>
      </c>
      <c r="D993" s="438">
        <v>3057607</v>
      </c>
      <c r="E993" s="437">
        <v>-277052</v>
      </c>
      <c r="F993" s="436">
        <v>0</v>
      </c>
      <c r="G993" s="454">
        <v>0</v>
      </c>
    </row>
    <row r="994" spans="2:7">
      <c r="B994" s="440" t="s">
        <v>75</v>
      </c>
      <c r="C994" s="439">
        <v>166622043</v>
      </c>
      <c r="D994" s="438">
        <v>245208474</v>
      </c>
      <c r="E994" s="437">
        <v>-27767605</v>
      </c>
      <c r="F994" s="436">
        <v>0</v>
      </c>
      <c r="G994" s="454">
        <v>0</v>
      </c>
    </row>
    <row r="995" spans="2:7">
      <c r="B995" s="440" t="s">
        <v>76</v>
      </c>
      <c r="C995" s="439">
        <v>34676486</v>
      </c>
      <c r="D995" s="438">
        <v>39777790</v>
      </c>
      <c r="E995" s="437">
        <v>-905449</v>
      </c>
      <c r="F995" s="436">
        <v>0</v>
      </c>
      <c r="G995" s="454">
        <v>0</v>
      </c>
    </row>
    <row r="996" spans="2:7">
      <c r="B996" s="440" t="s">
        <v>77</v>
      </c>
      <c r="C996" s="439">
        <v>2925</v>
      </c>
      <c r="D996" s="438">
        <v>2925</v>
      </c>
      <c r="E996" s="437">
        <v>0</v>
      </c>
      <c r="F996" s="436">
        <v>0</v>
      </c>
      <c r="G996" s="454">
        <v>0</v>
      </c>
    </row>
    <row r="997" spans="2:7">
      <c r="B997" s="440" t="s">
        <v>78</v>
      </c>
      <c r="C997" s="439">
        <v>0</v>
      </c>
      <c r="D997" s="438">
        <v>0</v>
      </c>
      <c r="E997" s="437">
        <v>0</v>
      </c>
      <c r="F997" s="436">
        <v>0</v>
      </c>
      <c r="G997" s="454">
        <v>0</v>
      </c>
    </row>
    <row r="998" spans="2:7">
      <c r="B998" s="440" t="s">
        <v>79</v>
      </c>
      <c r="C998" s="439">
        <v>0</v>
      </c>
      <c r="D998" s="438">
        <v>0</v>
      </c>
      <c r="E998" s="437">
        <v>0</v>
      </c>
      <c r="F998" s="436">
        <v>0</v>
      </c>
      <c r="G998" s="454">
        <v>0</v>
      </c>
    </row>
    <row r="999" spans="2:7">
      <c r="B999" s="440" t="s">
        <v>80</v>
      </c>
      <c r="C999" s="439">
        <v>0</v>
      </c>
      <c r="D999" s="438">
        <v>0</v>
      </c>
      <c r="E999" s="437">
        <v>0</v>
      </c>
      <c r="F999" s="436">
        <v>0</v>
      </c>
      <c r="G999" s="454">
        <v>0</v>
      </c>
    </row>
    <row r="1000" spans="2:7">
      <c r="B1000" s="440" t="s">
        <v>81</v>
      </c>
      <c r="C1000" s="439">
        <v>0</v>
      </c>
      <c r="D1000" s="438">
        <v>0</v>
      </c>
      <c r="E1000" s="437">
        <v>0</v>
      </c>
      <c r="F1000" s="436">
        <v>0</v>
      </c>
      <c r="G1000" s="454">
        <v>0</v>
      </c>
    </row>
    <row r="1001" spans="2:7">
      <c r="B1001" s="440" t="s">
        <v>82</v>
      </c>
      <c r="C1001" s="439">
        <v>99751707</v>
      </c>
      <c r="D1001" s="438">
        <v>133964253</v>
      </c>
      <c r="E1001" s="437">
        <v>-10086234</v>
      </c>
      <c r="F1001" s="436">
        <v>0</v>
      </c>
      <c r="G1001" s="454">
        <v>0</v>
      </c>
    </row>
    <row r="1002" spans="2:7">
      <c r="B1002" s="440" t="s">
        <v>83</v>
      </c>
      <c r="C1002" s="439">
        <v>0</v>
      </c>
      <c r="D1002" s="438">
        <v>0</v>
      </c>
      <c r="E1002" s="437">
        <v>0</v>
      </c>
      <c r="F1002" s="436">
        <v>0</v>
      </c>
      <c r="G1002" s="454">
        <v>0</v>
      </c>
    </row>
    <row r="1003" spans="2:7">
      <c r="B1003" s="440" t="s">
        <v>84</v>
      </c>
      <c r="C1003" s="439">
        <v>116778568</v>
      </c>
      <c r="D1003" s="438">
        <v>146472928</v>
      </c>
      <c r="E1003" s="437">
        <v>-27644573</v>
      </c>
      <c r="F1003" s="436">
        <v>0</v>
      </c>
      <c r="G1003" s="454">
        <v>0</v>
      </c>
    </row>
    <row r="1004" spans="2:7">
      <c r="B1004" s="440" t="s">
        <v>85</v>
      </c>
      <c r="C1004" s="439">
        <v>0</v>
      </c>
      <c r="D1004" s="438">
        <v>0</v>
      </c>
      <c r="E1004" s="437">
        <v>0</v>
      </c>
      <c r="F1004" s="436">
        <v>0</v>
      </c>
      <c r="G1004" s="454">
        <v>0</v>
      </c>
    </row>
    <row r="1005" spans="2:7">
      <c r="B1005" s="440" t="s">
        <v>86</v>
      </c>
      <c r="C1005" s="439">
        <v>610344.19414600299</v>
      </c>
      <c r="D1005" s="438">
        <v>659837.12945500214</v>
      </c>
      <c r="E1005" s="437">
        <v>0</v>
      </c>
      <c r="F1005" s="436">
        <v>0</v>
      </c>
      <c r="G1005" s="454">
        <v>0</v>
      </c>
    </row>
    <row r="1006" spans="2:7">
      <c r="B1006" s="440" t="s">
        <v>87</v>
      </c>
      <c r="C1006" s="439">
        <v>9159321</v>
      </c>
      <c r="D1006" s="438">
        <v>9281685</v>
      </c>
      <c r="E1006" s="437">
        <v>0</v>
      </c>
      <c r="F1006" s="436">
        <v>-617693</v>
      </c>
      <c r="G1006" s="454">
        <v>0</v>
      </c>
    </row>
    <row r="1007" spans="2:7">
      <c r="B1007" s="440" t="s">
        <v>88</v>
      </c>
      <c r="C1007" s="439">
        <v>814385</v>
      </c>
      <c r="D1007" s="438">
        <v>1058370</v>
      </c>
      <c r="E1007" s="437">
        <v>-238130</v>
      </c>
      <c r="F1007" s="436">
        <v>0</v>
      </c>
      <c r="G1007" s="454">
        <v>0</v>
      </c>
    </row>
    <row r="1008" spans="2:7">
      <c r="B1008" s="440" t="s">
        <v>89</v>
      </c>
      <c r="C1008" s="439">
        <v>7425.3099959999981</v>
      </c>
      <c r="D1008" s="438">
        <v>7425.3099959999981</v>
      </c>
      <c r="E1008" s="437">
        <v>0</v>
      </c>
      <c r="F1008" s="436">
        <v>0</v>
      </c>
      <c r="G1008" s="454">
        <v>0</v>
      </c>
    </row>
    <row r="1009" spans="2:7">
      <c r="B1009" s="440" t="s">
        <v>90</v>
      </c>
      <c r="C1009" s="439">
        <v>100150</v>
      </c>
      <c r="D1009" s="438">
        <v>100150</v>
      </c>
      <c r="E1009" s="437">
        <v>0</v>
      </c>
      <c r="F1009" s="436">
        <v>0</v>
      </c>
      <c r="G1009" s="454">
        <v>0</v>
      </c>
    </row>
    <row r="1010" spans="2:7">
      <c r="B1010" s="440" t="s">
        <v>91</v>
      </c>
      <c r="C1010" s="439">
        <v>26286</v>
      </c>
      <c r="D1010" s="438">
        <v>28790</v>
      </c>
      <c r="E1010" s="437">
        <v>0</v>
      </c>
      <c r="F1010" s="436">
        <v>0</v>
      </c>
      <c r="G1010" s="454">
        <v>0</v>
      </c>
    </row>
    <row r="1011" spans="2:7">
      <c r="B1011" s="440" t="s">
        <v>92</v>
      </c>
      <c r="C1011" s="439">
        <v>23682158.694999915</v>
      </c>
      <c r="D1011" s="438">
        <v>24573742.433999892</v>
      </c>
      <c r="E1011" s="437">
        <v>0</v>
      </c>
      <c r="F1011" s="436">
        <v>0</v>
      </c>
      <c r="G1011" s="454">
        <v>0</v>
      </c>
    </row>
    <row r="1012" spans="2:7">
      <c r="B1012" s="440" t="s">
        <v>93</v>
      </c>
      <c r="C1012" s="439">
        <v>117624971.70399994</v>
      </c>
      <c r="D1012" s="438">
        <v>160283633.10000008</v>
      </c>
      <c r="E1012" s="437">
        <v>0</v>
      </c>
      <c r="F1012" s="436">
        <v>0</v>
      </c>
      <c r="G1012" s="454">
        <v>0</v>
      </c>
    </row>
    <row r="1013" spans="2:7">
      <c r="B1013" s="440" t="s">
        <v>94</v>
      </c>
      <c r="C1013" s="439">
        <v>0</v>
      </c>
      <c r="D1013" s="438">
        <v>0</v>
      </c>
      <c r="E1013" s="437">
        <v>0</v>
      </c>
      <c r="F1013" s="436">
        <v>0</v>
      </c>
      <c r="G1013" s="454">
        <v>0</v>
      </c>
    </row>
    <row r="1014" spans="2:7">
      <c r="B1014" s="440" t="s">
        <v>95</v>
      </c>
      <c r="C1014" s="439">
        <v>2123207.6319999998</v>
      </c>
      <c r="D1014" s="438">
        <v>2155850.372</v>
      </c>
      <c r="E1014" s="437">
        <v>435683.79399999994</v>
      </c>
      <c r="F1014" s="436">
        <v>0</v>
      </c>
      <c r="G1014" s="454">
        <v>0</v>
      </c>
    </row>
    <row r="1015" spans="2:7">
      <c r="B1015" s="440" t="s">
        <v>96</v>
      </c>
      <c r="C1015" s="439">
        <v>14646458.196000002</v>
      </c>
      <c r="D1015" s="438">
        <v>16904804.815000001</v>
      </c>
      <c r="E1015" s="437">
        <v>0</v>
      </c>
      <c r="F1015" s="436">
        <v>0</v>
      </c>
      <c r="G1015" s="454">
        <v>0</v>
      </c>
    </row>
    <row r="1016" spans="2:7">
      <c r="B1016" s="440" t="s">
        <v>97</v>
      </c>
      <c r="C1016" s="439">
        <v>4223357.5200000005</v>
      </c>
      <c r="D1016" s="438">
        <v>4669542.03</v>
      </c>
      <c r="E1016" s="437">
        <v>-4669542.03</v>
      </c>
      <c r="F1016" s="436">
        <v>0</v>
      </c>
      <c r="G1016" s="454">
        <v>0</v>
      </c>
    </row>
    <row r="1017" spans="2:7">
      <c r="B1017" s="440" t="s">
        <v>98</v>
      </c>
      <c r="C1017" s="439">
        <v>501236.78591999999</v>
      </c>
      <c r="D1017" s="438">
        <v>822012.93312000006</v>
      </c>
      <c r="E1017" s="437">
        <v>0</v>
      </c>
      <c r="F1017" s="436">
        <v>0</v>
      </c>
      <c r="G1017" s="454">
        <v>0</v>
      </c>
    </row>
    <row r="1018" spans="2:7">
      <c r="B1018" s="440" t="s">
        <v>99</v>
      </c>
      <c r="C1018" s="439">
        <v>1205381</v>
      </c>
      <c r="D1018" s="438">
        <v>1223025</v>
      </c>
      <c r="E1018" s="437">
        <v>0</v>
      </c>
      <c r="F1018" s="436">
        <v>0</v>
      </c>
      <c r="G1018" s="454">
        <v>0</v>
      </c>
    </row>
    <row r="1019" spans="2:7">
      <c r="B1019" s="440" t="s">
        <v>100</v>
      </c>
      <c r="C1019" s="439">
        <v>29460858</v>
      </c>
      <c r="D1019" s="438">
        <v>44422730</v>
      </c>
      <c r="E1019" s="437">
        <v>-5814012</v>
      </c>
      <c r="F1019" s="436">
        <v>0</v>
      </c>
      <c r="G1019" s="454">
        <v>0</v>
      </c>
    </row>
    <row r="1020" spans="2:7">
      <c r="B1020" s="440" t="s">
        <v>101</v>
      </c>
      <c r="C1020" s="439">
        <v>14838662</v>
      </c>
      <c r="D1020" s="438">
        <v>17127514</v>
      </c>
      <c r="E1020" s="437">
        <v>-2660198</v>
      </c>
      <c r="F1020" s="436">
        <v>0</v>
      </c>
      <c r="G1020" s="454">
        <v>0</v>
      </c>
    </row>
    <row r="1021" spans="2:7">
      <c r="B1021" s="440" t="s">
        <v>102</v>
      </c>
      <c r="C1021" s="439">
        <v>14173</v>
      </c>
      <c r="D1021" s="438">
        <v>14173</v>
      </c>
      <c r="E1021" s="437">
        <v>0</v>
      </c>
      <c r="F1021" s="436">
        <v>0</v>
      </c>
      <c r="G1021" s="454">
        <v>0</v>
      </c>
    </row>
    <row r="1022" spans="2:7">
      <c r="B1022" s="440" t="s">
        <v>103</v>
      </c>
      <c r="C1022" s="439">
        <v>1730877</v>
      </c>
      <c r="D1022" s="438">
        <v>2139621</v>
      </c>
      <c r="E1022" s="437">
        <v>0</v>
      </c>
      <c r="F1022" s="436">
        <v>0</v>
      </c>
      <c r="G1022" s="454">
        <v>0</v>
      </c>
    </row>
    <row r="1023" spans="2:7">
      <c r="B1023" s="440" t="s">
        <v>104</v>
      </c>
      <c r="C1023" s="439">
        <v>144143</v>
      </c>
      <c r="D1023" s="438">
        <v>144143</v>
      </c>
      <c r="E1023" s="437">
        <v>0</v>
      </c>
      <c r="F1023" s="436">
        <v>0</v>
      </c>
      <c r="G1023" s="454">
        <v>0</v>
      </c>
    </row>
    <row r="1024" spans="2:7">
      <c r="B1024" s="440" t="s">
        <v>105</v>
      </c>
      <c r="C1024" s="439">
        <v>0</v>
      </c>
      <c r="D1024" s="438">
        <v>0</v>
      </c>
      <c r="E1024" s="437">
        <v>0</v>
      </c>
      <c r="F1024" s="436">
        <v>0</v>
      </c>
      <c r="G1024" s="454">
        <v>0</v>
      </c>
    </row>
    <row r="1025" spans="2:7">
      <c r="B1025" s="440" t="s">
        <v>106</v>
      </c>
      <c r="C1025" s="439">
        <v>2234269</v>
      </c>
      <c r="D1025" s="438">
        <v>4001035</v>
      </c>
      <c r="E1025" s="437">
        <v>0</v>
      </c>
      <c r="F1025" s="436">
        <v>0</v>
      </c>
      <c r="G1025" s="454">
        <v>0</v>
      </c>
    </row>
    <row r="1026" spans="2:7">
      <c r="B1026" s="440" t="s">
        <v>107</v>
      </c>
      <c r="C1026" s="439">
        <v>562896</v>
      </c>
      <c r="D1026" s="438">
        <v>562896</v>
      </c>
      <c r="E1026" s="437">
        <v>0</v>
      </c>
      <c r="F1026" s="436">
        <v>0</v>
      </c>
      <c r="G1026" s="454">
        <v>0</v>
      </c>
    </row>
    <row r="1027" spans="2:7">
      <c r="B1027" s="440" t="s">
        <v>108</v>
      </c>
      <c r="C1027" s="439">
        <v>0</v>
      </c>
      <c r="D1027" s="438">
        <v>0</v>
      </c>
      <c r="E1027" s="437">
        <v>0</v>
      </c>
      <c r="F1027" s="436">
        <v>0</v>
      </c>
      <c r="G1027" s="454">
        <v>0</v>
      </c>
    </row>
    <row r="1028" spans="2:7">
      <c r="B1028" s="440" t="s">
        <v>109</v>
      </c>
      <c r="C1028" s="439">
        <v>163167663</v>
      </c>
      <c r="D1028" s="438">
        <v>224711608</v>
      </c>
      <c r="E1028" s="437">
        <v>-31168197</v>
      </c>
      <c r="F1028" s="436">
        <v>-4769215</v>
      </c>
      <c r="G1028" s="454">
        <v>0</v>
      </c>
    </row>
    <row r="1029" spans="2:7">
      <c r="B1029" s="440" t="s">
        <v>110</v>
      </c>
      <c r="C1029" s="439">
        <v>9780502</v>
      </c>
      <c r="D1029" s="438">
        <v>14166377</v>
      </c>
      <c r="E1029" s="437">
        <v>-1828762</v>
      </c>
      <c r="F1029" s="436">
        <v>0</v>
      </c>
      <c r="G1029" s="454">
        <v>0</v>
      </c>
    </row>
    <row r="1030" spans="2:7">
      <c r="B1030" s="440" t="s">
        <v>111</v>
      </c>
      <c r="C1030" s="439">
        <v>11200221.578723805</v>
      </c>
      <c r="D1030" s="438">
        <v>15194490.447419789</v>
      </c>
      <c r="E1030" s="437">
        <v>-1685788.6636799998</v>
      </c>
      <c r="F1030" s="436">
        <v>0</v>
      </c>
      <c r="G1030" s="454">
        <v>0</v>
      </c>
    </row>
    <row r="1031" spans="2:7">
      <c r="B1031" s="440" t="s">
        <v>112</v>
      </c>
      <c r="C1031" s="439">
        <v>113095596</v>
      </c>
      <c r="D1031" s="438">
        <v>125009058</v>
      </c>
      <c r="E1031" s="437">
        <v>0</v>
      </c>
      <c r="F1031" s="436">
        <v>-16666290</v>
      </c>
      <c r="G1031" s="454">
        <v>0</v>
      </c>
    </row>
    <row r="1032" spans="2:7">
      <c r="B1032" s="440" t="s">
        <v>113</v>
      </c>
      <c r="C1032" s="439">
        <v>11638429</v>
      </c>
      <c r="D1032" s="438">
        <v>14487029</v>
      </c>
      <c r="E1032" s="437">
        <v>-5699626</v>
      </c>
      <c r="F1032" s="436">
        <v>0</v>
      </c>
      <c r="G1032" s="454">
        <v>0</v>
      </c>
    </row>
    <row r="1033" spans="2:7">
      <c r="B1033" s="440" t="s">
        <v>114</v>
      </c>
      <c r="C1033" s="439">
        <v>10598603.855999997</v>
      </c>
      <c r="D1033" s="438">
        <v>10598603.855999997</v>
      </c>
      <c r="E1033" s="437">
        <v>0</v>
      </c>
      <c r="F1033" s="436">
        <v>0</v>
      </c>
      <c r="G1033" s="454">
        <v>0</v>
      </c>
    </row>
    <row r="1034" spans="2:7">
      <c r="B1034" s="440" t="s">
        <v>115</v>
      </c>
      <c r="C1034" s="439">
        <v>47496721.45100002</v>
      </c>
      <c r="D1034" s="438">
        <v>74962718.072000012</v>
      </c>
      <c r="E1034" s="437">
        <v>0</v>
      </c>
      <c r="F1034" s="436">
        <v>0</v>
      </c>
      <c r="G1034" s="454">
        <v>0</v>
      </c>
    </row>
    <row r="1035" spans="2:7">
      <c r="B1035" s="440" t="s">
        <v>116</v>
      </c>
      <c r="C1035" s="439">
        <v>0</v>
      </c>
      <c r="D1035" s="438">
        <v>0</v>
      </c>
      <c r="E1035" s="437">
        <v>0</v>
      </c>
      <c r="F1035" s="436">
        <v>0</v>
      </c>
      <c r="G1035" s="454">
        <v>0</v>
      </c>
    </row>
    <row r="1036" spans="2:7">
      <c r="B1036" s="440" t="s">
        <v>117</v>
      </c>
      <c r="C1036" s="439">
        <v>0</v>
      </c>
      <c r="D1036" s="438">
        <v>0</v>
      </c>
      <c r="E1036" s="437">
        <v>0</v>
      </c>
      <c r="F1036" s="436">
        <v>0</v>
      </c>
      <c r="G1036" s="454">
        <v>0</v>
      </c>
    </row>
    <row r="1037" spans="2:7">
      <c r="B1037" s="440" t="s">
        <v>118</v>
      </c>
      <c r="C1037" s="439">
        <v>26250700</v>
      </c>
      <c r="D1037" s="438">
        <v>41877456</v>
      </c>
      <c r="E1037" s="437">
        <v>-7510416</v>
      </c>
      <c r="F1037" s="436">
        <v>0</v>
      </c>
      <c r="G1037" s="454">
        <v>0</v>
      </c>
    </row>
    <row r="1038" spans="2:7">
      <c r="B1038" s="440" t="s">
        <v>119</v>
      </c>
      <c r="C1038" s="439">
        <v>3539445</v>
      </c>
      <c r="D1038" s="438">
        <v>3539445</v>
      </c>
      <c r="E1038" s="437">
        <v>0</v>
      </c>
      <c r="F1038" s="436">
        <v>0</v>
      </c>
      <c r="G1038" s="454">
        <v>0</v>
      </c>
    </row>
    <row r="1039" spans="2:7">
      <c r="B1039" s="440" t="s">
        <v>120</v>
      </c>
      <c r="C1039" s="439">
        <v>192222</v>
      </c>
      <c r="D1039" s="438">
        <v>192222</v>
      </c>
      <c r="E1039" s="437">
        <v>0</v>
      </c>
      <c r="F1039" s="436">
        <v>0</v>
      </c>
      <c r="G1039" s="454">
        <v>0</v>
      </c>
    </row>
    <row r="1040" spans="2:7">
      <c r="B1040" s="440" t="s">
        <v>121</v>
      </c>
      <c r="C1040" s="439">
        <v>181094407</v>
      </c>
      <c r="D1040" s="438">
        <v>231235560</v>
      </c>
      <c r="E1040" s="437">
        <v>-60411862</v>
      </c>
      <c r="F1040" s="436">
        <v>-13130858</v>
      </c>
      <c r="G1040" s="454">
        <v>0</v>
      </c>
    </row>
    <row r="1041" spans="2:7" ht="14" thickBot="1">
      <c r="B1041" s="455" t="s">
        <v>122</v>
      </c>
      <c r="C1041" s="433">
        <v>887863.45873999991</v>
      </c>
      <c r="D1041" s="432">
        <v>887863.45874000015</v>
      </c>
      <c r="E1041" s="431">
        <v>0</v>
      </c>
      <c r="F1041" s="430">
        <v>0</v>
      </c>
      <c r="G1041" s="456">
        <v>0</v>
      </c>
    </row>
  </sheetData>
  <mergeCells count="30">
    <mergeCell ref="B5:B6"/>
    <mergeCell ref="C5:I5"/>
    <mergeCell ref="B108:B109"/>
    <mergeCell ref="C108:G108"/>
    <mergeCell ref="B175:B176"/>
    <mergeCell ref="C175:G175"/>
    <mergeCell ref="B242:B243"/>
    <mergeCell ref="C242:G242"/>
    <mergeCell ref="B309:B310"/>
    <mergeCell ref="C309:G309"/>
    <mergeCell ref="B376:B377"/>
    <mergeCell ref="C376:G376"/>
    <mergeCell ref="B443:B444"/>
    <mergeCell ref="C443:G443"/>
    <mergeCell ref="B510:B511"/>
    <mergeCell ref="C510:G510"/>
    <mergeCell ref="B577:B578"/>
    <mergeCell ref="C577:G577"/>
    <mergeCell ref="B644:B645"/>
    <mergeCell ref="C644:G644"/>
    <mergeCell ref="B711:B712"/>
    <mergeCell ref="C711:G711"/>
    <mergeCell ref="B778:B779"/>
    <mergeCell ref="C778:G778"/>
    <mergeCell ref="B845:B846"/>
    <mergeCell ref="C845:G845"/>
    <mergeCell ref="B912:B913"/>
    <mergeCell ref="C912:G912"/>
    <mergeCell ref="B979:B980"/>
    <mergeCell ref="C979:G979"/>
  </mergeCells>
  <conditionalFormatting sqref="C75:I88">
    <cfRule type="expression" dxfId="9" priority="2" stopIfTrue="1">
      <formula>NOT(ISERROR(SEARCH("Err",C75)))</formula>
    </cfRule>
  </conditionalFormatting>
  <conditionalFormatting sqref="H7:I74 C68:G74">
    <cfRule type="expression" dxfId="8" priority="3" stopIfTrue="1">
      <formula>NOT(ISERROR(SEARCH("Err",C7)))</formula>
    </cfRule>
  </conditionalFormatting>
  <pageMargins left="0.7" right="0.7" top="0.75" bottom="0.75" header="0.3" footer="0.3"/>
  <pageSetup paperSize="9" orientation="portrait" horizontalDpi="90" verticalDpi="90"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DF1957"/>
  <sheetViews>
    <sheetView zoomScale="70" zoomScaleNormal="70" workbookViewId="0">
      <pane xSplit="5" ySplit="4" topLeftCell="CG7" activePane="bottomRight" state="frozen"/>
      <selection pane="topRight" activeCell="Q19" sqref="Q19"/>
      <selection pane="bottomLeft" activeCell="Q19" sqref="Q19"/>
      <selection pane="bottomRight" activeCell="CQ7" sqref="CQ7"/>
    </sheetView>
  </sheetViews>
  <sheetFormatPr defaultRowHeight="13.5" outlineLevelCol="1"/>
  <cols>
    <col min="1" max="1" width="2.84375" customWidth="1"/>
    <col min="2" max="2" width="5" style="94" customWidth="1"/>
    <col min="3" max="3" width="13.84375" customWidth="1"/>
    <col min="4" max="4" width="3.3828125" customWidth="1"/>
    <col min="5" max="5" width="5.3828125" customWidth="1"/>
    <col min="11" max="11" width="9" customWidth="1"/>
    <col min="12" max="12" width="1.61328125" customWidth="1" outlineLevel="1"/>
    <col min="13" max="18" width="9" customWidth="1" outlineLevel="1"/>
    <col min="19" max="19" width="1.61328125" customWidth="1" outlineLevel="1"/>
    <col min="20" max="25" width="9" customWidth="1" outlineLevel="1"/>
    <col min="26" max="26" width="1.61328125" customWidth="1" outlineLevel="1"/>
    <col min="27" max="32" width="9" customWidth="1" outlineLevel="1"/>
    <col min="33" max="33" width="1.61328125" customWidth="1" outlineLevel="1"/>
    <col min="34" max="39" width="9" customWidth="1" outlineLevel="1"/>
    <col min="40" max="40" width="1.61328125" customWidth="1" outlineLevel="1"/>
    <col min="41" max="46" width="9" customWidth="1" outlineLevel="1"/>
    <col min="47" max="47" width="1.61328125" customWidth="1" outlineLevel="1"/>
    <col min="48" max="53" width="9" customWidth="1" outlineLevel="1"/>
    <col min="54" max="54" width="1.61328125" customWidth="1" outlineLevel="1"/>
    <col min="55" max="60" width="9" customWidth="1" outlineLevel="1"/>
    <col min="61" max="61" width="1.61328125" customWidth="1" outlineLevel="1"/>
    <col min="62" max="67" width="9" customWidth="1" outlineLevel="1"/>
    <col min="68" max="68" width="1.61328125" customWidth="1" outlineLevel="1"/>
    <col min="69" max="74" width="9" customWidth="1" outlineLevel="1"/>
    <col min="75" max="75" width="1.61328125" customWidth="1" outlineLevel="1"/>
    <col min="76" max="81" width="9" customWidth="1" outlineLevel="1"/>
    <col min="82" max="82" width="1.61328125" customWidth="1"/>
    <col min="83" max="83" width="9.4609375" customWidth="1"/>
    <col min="96" max="96" width="1.61328125" customWidth="1"/>
    <col min="103" max="103" width="1.61328125" customWidth="1"/>
  </cols>
  <sheetData>
    <row r="1" spans="2:109" ht="14" thickBot="1"/>
    <row r="2" spans="2:109" ht="27" customHeight="1" thickBot="1">
      <c r="F2" s="564" t="s">
        <v>158</v>
      </c>
      <c r="G2" s="565"/>
      <c r="H2" s="565"/>
      <c r="I2" s="565"/>
      <c r="J2" s="565"/>
      <c r="K2" s="566"/>
      <c r="M2" s="558" t="s">
        <v>159</v>
      </c>
      <c r="N2" s="559"/>
      <c r="O2" s="559"/>
      <c r="P2" s="559"/>
      <c r="Q2" s="559"/>
      <c r="R2" s="560"/>
      <c r="T2" s="558" t="s">
        <v>160</v>
      </c>
      <c r="U2" s="559"/>
      <c r="V2" s="559"/>
      <c r="W2" s="559"/>
      <c r="X2" s="559"/>
      <c r="Y2" s="560"/>
      <c r="AA2" s="558" t="s">
        <v>161</v>
      </c>
      <c r="AB2" s="559"/>
      <c r="AC2" s="559"/>
      <c r="AD2" s="559"/>
      <c r="AE2" s="559"/>
      <c r="AF2" s="560"/>
      <c r="AH2" s="558" t="s">
        <v>162</v>
      </c>
      <c r="AI2" s="559"/>
      <c r="AJ2" s="559"/>
      <c r="AK2" s="559"/>
      <c r="AL2" s="559"/>
      <c r="AM2" s="560"/>
      <c r="AO2" s="558" t="s">
        <v>163</v>
      </c>
      <c r="AP2" s="559"/>
      <c r="AQ2" s="559"/>
      <c r="AR2" s="559"/>
      <c r="AS2" s="559"/>
      <c r="AT2" s="560"/>
      <c r="AV2" s="558" t="s">
        <v>164</v>
      </c>
      <c r="AW2" s="559"/>
      <c r="AX2" s="559"/>
      <c r="AY2" s="559"/>
      <c r="AZ2" s="559"/>
      <c r="BA2" s="560"/>
      <c r="BC2" s="558" t="s">
        <v>165</v>
      </c>
      <c r="BD2" s="559"/>
      <c r="BE2" s="559"/>
      <c r="BF2" s="559"/>
      <c r="BG2" s="559"/>
      <c r="BH2" s="560"/>
      <c r="BJ2" s="558" t="s">
        <v>166</v>
      </c>
      <c r="BK2" s="559"/>
      <c r="BL2" s="559"/>
      <c r="BM2" s="559"/>
      <c r="BN2" s="559"/>
      <c r="BO2" s="560"/>
      <c r="BQ2" s="558" t="s">
        <v>167</v>
      </c>
      <c r="BR2" s="559"/>
      <c r="BS2" s="559"/>
      <c r="BT2" s="559"/>
      <c r="BU2" s="559"/>
      <c r="BV2" s="560"/>
      <c r="BX2" s="558" t="s">
        <v>168</v>
      </c>
      <c r="BY2" s="559"/>
      <c r="BZ2" s="559"/>
      <c r="CA2" s="559"/>
      <c r="CB2" s="559"/>
      <c r="CC2" s="560"/>
      <c r="CE2" s="564" t="s">
        <v>169</v>
      </c>
      <c r="CF2" s="565"/>
      <c r="CG2" s="565"/>
      <c r="CH2" s="565"/>
      <c r="CI2" s="565"/>
      <c r="CJ2" s="566"/>
      <c r="CL2" s="558" t="s">
        <v>170</v>
      </c>
      <c r="CM2" s="559"/>
      <c r="CN2" s="559"/>
      <c r="CO2" s="559"/>
      <c r="CP2" s="559"/>
      <c r="CQ2" s="560"/>
      <c r="CS2" s="558" t="s">
        <v>171</v>
      </c>
      <c r="CT2" s="559"/>
      <c r="CU2" s="559"/>
      <c r="CV2" s="559"/>
      <c r="CW2" s="559"/>
      <c r="CX2" s="560"/>
      <c r="CZ2" s="561" t="s">
        <v>172</v>
      </c>
      <c r="DA2" s="562"/>
      <c r="DB2" s="562"/>
      <c r="DC2" s="562"/>
      <c r="DD2" s="562"/>
      <c r="DE2" s="563"/>
    </row>
    <row r="3" spans="2:109" ht="14" thickBot="1"/>
    <row r="4" spans="2:109" ht="14" thickBot="1">
      <c r="C4" s="12"/>
      <c r="F4" s="18" t="s">
        <v>54</v>
      </c>
      <c r="G4" s="19" t="s">
        <v>55</v>
      </c>
      <c r="H4" s="19" t="s">
        <v>56</v>
      </c>
      <c r="I4" s="19" t="s">
        <v>57</v>
      </c>
      <c r="J4" s="19" t="s">
        <v>58</v>
      </c>
      <c r="K4" s="492"/>
      <c r="M4" s="18" t="s">
        <v>54</v>
      </c>
      <c r="N4" s="19" t="s">
        <v>55</v>
      </c>
      <c r="O4" s="19" t="s">
        <v>56</v>
      </c>
      <c r="P4" s="19" t="s">
        <v>57</v>
      </c>
      <c r="Q4" s="19" t="s">
        <v>58</v>
      </c>
      <c r="R4" s="492"/>
      <c r="T4" s="18" t="s">
        <v>54</v>
      </c>
      <c r="U4" s="19" t="s">
        <v>55</v>
      </c>
      <c r="V4" s="19" t="s">
        <v>56</v>
      </c>
      <c r="W4" s="19" t="s">
        <v>57</v>
      </c>
      <c r="X4" s="19" t="s">
        <v>58</v>
      </c>
      <c r="Y4" s="492"/>
      <c r="AA4" s="18" t="s">
        <v>54</v>
      </c>
      <c r="AB4" s="19" t="s">
        <v>55</v>
      </c>
      <c r="AC4" s="19" t="s">
        <v>56</v>
      </c>
      <c r="AD4" s="19" t="s">
        <v>57</v>
      </c>
      <c r="AE4" s="19" t="s">
        <v>58</v>
      </c>
      <c r="AF4" s="492"/>
      <c r="AH4" s="18" t="s">
        <v>54</v>
      </c>
      <c r="AI4" s="19" t="s">
        <v>55</v>
      </c>
      <c r="AJ4" s="19" t="s">
        <v>56</v>
      </c>
      <c r="AK4" s="19" t="s">
        <v>57</v>
      </c>
      <c r="AL4" s="19" t="s">
        <v>58</v>
      </c>
      <c r="AM4" s="492"/>
      <c r="AO4" s="18" t="s">
        <v>54</v>
      </c>
      <c r="AP4" s="19" t="s">
        <v>55</v>
      </c>
      <c r="AQ4" s="19" t="s">
        <v>56</v>
      </c>
      <c r="AR4" s="19" t="s">
        <v>57</v>
      </c>
      <c r="AS4" s="19" t="s">
        <v>58</v>
      </c>
      <c r="AT4" s="492"/>
      <c r="AV4" s="18" t="s">
        <v>54</v>
      </c>
      <c r="AW4" s="19" t="s">
        <v>55</v>
      </c>
      <c r="AX4" s="19" t="s">
        <v>56</v>
      </c>
      <c r="AY4" s="19" t="s">
        <v>57</v>
      </c>
      <c r="AZ4" s="19" t="s">
        <v>58</v>
      </c>
      <c r="BA4" s="492"/>
      <c r="BC4" s="18" t="s">
        <v>54</v>
      </c>
      <c r="BD4" s="19" t="s">
        <v>55</v>
      </c>
      <c r="BE4" s="19" t="s">
        <v>56</v>
      </c>
      <c r="BF4" s="19" t="s">
        <v>57</v>
      </c>
      <c r="BG4" s="19" t="s">
        <v>58</v>
      </c>
      <c r="BH4" s="492"/>
      <c r="BJ4" s="18" t="s">
        <v>54</v>
      </c>
      <c r="BK4" s="19" t="s">
        <v>55</v>
      </c>
      <c r="BL4" s="19" t="s">
        <v>56</v>
      </c>
      <c r="BM4" s="19" t="s">
        <v>57</v>
      </c>
      <c r="BN4" s="19" t="s">
        <v>58</v>
      </c>
      <c r="BO4" s="492"/>
      <c r="BQ4" s="18" t="s">
        <v>54</v>
      </c>
      <c r="BR4" s="19" t="s">
        <v>55</v>
      </c>
      <c r="BS4" s="19" t="s">
        <v>56</v>
      </c>
      <c r="BT4" s="19" t="s">
        <v>57</v>
      </c>
      <c r="BU4" s="19" t="s">
        <v>58</v>
      </c>
      <c r="BV4" s="492"/>
      <c r="BX4" s="18" t="s">
        <v>54</v>
      </c>
      <c r="BY4" s="19" t="s">
        <v>55</v>
      </c>
      <c r="BZ4" s="19" t="s">
        <v>56</v>
      </c>
      <c r="CA4" s="19" t="s">
        <v>57</v>
      </c>
      <c r="CB4" s="19" t="s">
        <v>58</v>
      </c>
      <c r="CC4" s="492"/>
      <c r="CE4" s="18" t="s">
        <v>54</v>
      </c>
      <c r="CF4" s="19" t="s">
        <v>55</v>
      </c>
      <c r="CG4" s="19" t="s">
        <v>56</v>
      </c>
      <c r="CH4" s="19" t="s">
        <v>57</v>
      </c>
      <c r="CI4" s="19" t="s">
        <v>58</v>
      </c>
      <c r="CJ4" s="492"/>
      <c r="CL4" s="18" t="s">
        <v>54</v>
      </c>
      <c r="CM4" s="19" t="s">
        <v>55</v>
      </c>
      <c r="CN4" s="19" t="s">
        <v>56</v>
      </c>
      <c r="CO4" s="19" t="s">
        <v>57</v>
      </c>
      <c r="CP4" s="19" t="s">
        <v>58</v>
      </c>
      <c r="CQ4" s="492"/>
      <c r="CS4" s="18" t="s">
        <v>54</v>
      </c>
      <c r="CT4" s="19" t="s">
        <v>55</v>
      </c>
      <c r="CU4" s="19" t="s">
        <v>56</v>
      </c>
      <c r="CV4" s="19" t="s">
        <v>57</v>
      </c>
      <c r="CW4" s="19" t="s">
        <v>58</v>
      </c>
      <c r="CX4" s="492"/>
      <c r="CZ4" s="18" t="s">
        <v>54</v>
      </c>
      <c r="DA4" s="19" t="s">
        <v>55</v>
      </c>
      <c r="DB4" s="19" t="s">
        <v>56</v>
      </c>
      <c r="DC4" s="19" t="s">
        <v>57</v>
      </c>
      <c r="DD4" s="19" t="s">
        <v>58</v>
      </c>
      <c r="DE4" s="492"/>
    </row>
    <row r="5" spans="2:109">
      <c r="B5" s="123"/>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L5" s="20"/>
      <c r="CM5" s="20"/>
      <c r="CN5" s="20"/>
      <c r="CO5" s="20"/>
      <c r="CP5" s="20"/>
      <c r="CQ5" s="20"/>
      <c r="CR5" s="20"/>
      <c r="CS5" s="20"/>
      <c r="CT5" s="20"/>
      <c r="CU5" s="20"/>
      <c r="CV5" s="20"/>
      <c r="CW5" s="20"/>
      <c r="CX5" s="20"/>
      <c r="CY5" s="20"/>
      <c r="CZ5" s="20"/>
      <c r="DA5" s="20"/>
      <c r="DB5" s="20"/>
      <c r="DC5" s="20"/>
      <c r="DD5" s="20"/>
      <c r="DE5" s="20"/>
    </row>
    <row r="6" spans="2:109" ht="14" thickBot="1">
      <c r="B6" s="94">
        <v>1</v>
      </c>
      <c r="C6" s="12" t="s">
        <v>53</v>
      </c>
    </row>
    <row r="7" spans="2:109">
      <c r="C7" s="553">
        <v>2024</v>
      </c>
      <c r="E7" s="1" t="s">
        <v>59</v>
      </c>
      <c r="F7" s="2"/>
      <c r="G7" s="3"/>
      <c r="H7" s="3"/>
      <c r="I7" s="3"/>
      <c r="J7" s="3"/>
      <c r="K7" s="15">
        <f>SUM(F7:J7)</f>
        <v>0</v>
      </c>
      <c r="M7" s="2"/>
      <c r="N7" s="3"/>
      <c r="O7" s="3"/>
      <c r="P7" s="3"/>
      <c r="Q7" s="3"/>
      <c r="R7" s="15">
        <f>SUM(M7:Q7)</f>
        <v>0</v>
      </c>
      <c r="T7" s="2"/>
      <c r="U7" s="3"/>
      <c r="V7" s="3"/>
      <c r="W7" s="3"/>
      <c r="X7" s="3"/>
      <c r="Y7" s="15">
        <f>SUM(T7:X7)</f>
        <v>0</v>
      </c>
      <c r="AA7" s="2"/>
      <c r="AB7" s="3"/>
      <c r="AC7" s="3"/>
      <c r="AD7" s="3"/>
      <c r="AE7" s="3"/>
      <c r="AF7" s="15">
        <f>SUM(AA7:AE7)</f>
        <v>0</v>
      </c>
      <c r="AH7" s="2"/>
      <c r="AI7" s="3"/>
      <c r="AJ7" s="3"/>
      <c r="AK7" s="3"/>
      <c r="AL7" s="3"/>
      <c r="AM7" s="15">
        <f>SUM(AH7:AL7)</f>
        <v>0</v>
      </c>
      <c r="AO7" s="2"/>
      <c r="AP7" s="3"/>
      <c r="AQ7" s="3"/>
      <c r="AR7" s="3"/>
      <c r="AS7" s="3"/>
      <c r="AT7" s="15">
        <f>SUM(AO7:AS7)</f>
        <v>0</v>
      </c>
      <c r="AV7" s="2"/>
      <c r="AW7" s="3"/>
      <c r="AX7" s="3"/>
      <c r="AY7" s="3"/>
      <c r="AZ7" s="3"/>
      <c r="BA7" s="15">
        <f>SUM(AV7:AZ7)</f>
        <v>0</v>
      </c>
      <c r="BC7" s="2"/>
      <c r="BD7" s="3"/>
      <c r="BE7" s="3"/>
      <c r="BF7" s="3"/>
      <c r="BG7" s="3"/>
      <c r="BH7" s="15">
        <f>SUM(BC7:BG7)</f>
        <v>0</v>
      </c>
      <c r="BJ7" s="2"/>
      <c r="BK7" s="3"/>
      <c r="BL7" s="3"/>
      <c r="BM7" s="3"/>
      <c r="BN7" s="3"/>
      <c r="BO7" s="15">
        <f>SUM(BJ7:BN7)</f>
        <v>0</v>
      </c>
      <c r="BQ7" s="2"/>
      <c r="BR7" s="3"/>
      <c r="BS7" s="3"/>
      <c r="BT7" s="3"/>
      <c r="BU7" s="3"/>
      <c r="BV7" s="15">
        <f>SUM(BQ7:BU7)</f>
        <v>0</v>
      </c>
      <c r="BX7" s="2"/>
      <c r="BY7" s="3"/>
      <c r="BZ7" s="3"/>
      <c r="CA7" s="3"/>
      <c r="CB7" s="3"/>
      <c r="CC7" s="15">
        <f>SUM(BX7:CB7)</f>
        <v>0</v>
      </c>
      <c r="CE7" s="26">
        <f t="shared" ref="CE7:CE10" si="0">F7+M7+T7+AA7+AH7+AO7+AV7+BC7+BJ7+BQ7+BX7</f>
        <v>0</v>
      </c>
      <c r="CF7" s="27">
        <f t="shared" ref="CF7:CF10" si="1">G7+N7+U7+AB7+AI7+AP7+AW7+BD7+BK7+BR7+BY7</f>
        <v>0</v>
      </c>
      <c r="CG7" s="27">
        <f t="shared" ref="CG7:CG10" si="2">H7+O7+V7+AC7+AJ7+AQ7+AX7+BE7+BL7+BS7+BZ7</f>
        <v>0</v>
      </c>
      <c r="CH7" s="27">
        <f t="shared" ref="CH7:CH10" si="3">I7+P7+W7+AD7+AK7+AR7+AY7+BF7+BM7+BT7+CA7</f>
        <v>0</v>
      </c>
      <c r="CI7" s="27">
        <f t="shared" ref="CI7:CI10" si="4">J7+Q7+X7+AE7+AL7+AS7+AZ7+BG7+BN7+BU7+CB7</f>
        <v>0</v>
      </c>
      <c r="CJ7" s="4">
        <f>SUM(CE7:CI7)</f>
        <v>0</v>
      </c>
      <c r="CL7" s="2"/>
      <c r="CM7" s="3"/>
      <c r="CN7" s="3"/>
      <c r="CO7" s="3"/>
      <c r="CP7" s="3"/>
      <c r="CQ7" s="15">
        <f>SUM(CL7:CP7)</f>
        <v>0</v>
      </c>
      <c r="CS7" s="2"/>
      <c r="CT7" s="3"/>
      <c r="CU7" s="3"/>
      <c r="CV7" s="3"/>
      <c r="CW7" s="3"/>
      <c r="CX7" s="4">
        <f>SUM(CS7:CW7)</f>
        <v>0</v>
      </c>
      <c r="CZ7" s="2"/>
      <c r="DA7" s="3"/>
      <c r="DB7" s="3"/>
      <c r="DC7" s="3"/>
      <c r="DD7" s="3"/>
      <c r="DE7" s="4">
        <f>SUM(CZ7:DD7)</f>
        <v>0</v>
      </c>
    </row>
    <row r="8" spans="2:109">
      <c r="C8" s="567"/>
      <c r="E8" s="5" t="s">
        <v>60</v>
      </c>
      <c r="F8" s="6"/>
      <c r="G8" s="7"/>
      <c r="H8" s="7"/>
      <c r="I8" s="7"/>
      <c r="J8" s="7"/>
      <c r="K8" s="16">
        <f t="shared" ref="K8:K10" si="5">SUM(F8:J8)</f>
        <v>0</v>
      </c>
      <c r="M8" s="6"/>
      <c r="N8" s="7"/>
      <c r="O8" s="7"/>
      <c r="P8" s="7"/>
      <c r="Q8" s="7"/>
      <c r="R8" s="16">
        <f t="shared" ref="R8:R10" si="6">SUM(M8:Q8)</f>
        <v>0</v>
      </c>
      <c r="T8" s="6"/>
      <c r="U8" s="7"/>
      <c r="V8" s="7"/>
      <c r="W8" s="7"/>
      <c r="X8" s="7"/>
      <c r="Y8" s="16">
        <f t="shared" ref="Y8:Y10" si="7">SUM(T8:X8)</f>
        <v>0</v>
      </c>
      <c r="AA8" s="6"/>
      <c r="AB8" s="7"/>
      <c r="AC8" s="7"/>
      <c r="AD8" s="7"/>
      <c r="AE8" s="7"/>
      <c r="AF8" s="16">
        <f t="shared" ref="AF8:AF10" si="8">SUM(AA8:AE8)</f>
        <v>0</v>
      </c>
      <c r="AH8" s="6"/>
      <c r="AI8" s="7"/>
      <c r="AJ8" s="7"/>
      <c r="AK8" s="7"/>
      <c r="AL8" s="7"/>
      <c r="AM8" s="16">
        <f t="shared" ref="AM8:AM10" si="9">SUM(AH8:AL8)</f>
        <v>0</v>
      </c>
      <c r="AO8" s="6"/>
      <c r="AP8" s="7"/>
      <c r="AQ8" s="7"/>
      <c r="AR8" s="7"/>
      <c r="AS8" s="7"/>
      <c r="AT8" s="16">
        <f t="shared" ref="AT8:AT10" si="10">SUM(AO8:AS8)</f>
        <v>0</v>
      </c>
      <c r="AV8" s="6"/>
      <c r="AW8" s="7"/>
      <c r="AX8" s="7"/>
      <c r="AY8" s="7"/>
      <c r="AZ8" s="7"/>
      <c r="BA8" s="16">
        <f t="shared" ref="BA8:BA10" si="11">SUM(AV8:AZ8)</f>
        <v>0</v>
      </c>
      <c r="BC8" s="6"/>
      <c r="BD8" s="7"/>
      <c r="BE8" s="7"/>
      <c r="BF8" s="7"/>
      <c r="BG8" s="7"/>
      <c r="BH8" s="16">
        <f t="shared" ref="BH8:BH10" si="12">SUM(BC8:BG8)</f>
        <v>0</v>
      </c>
      <c r="BJ8" s="6"/>
      <c r="BK8" s="7"/>
      <c r="BL8" s="7"/>
      <c r="BM8" s="7"/>
      <c r="BN8" s="7"/>
      <c r="BO8" s="16">
        <f t="shared" ref="BO8:BO10" si="13">SUM(BJ8:BN8)</f>
        <v>0</v>
      </c>
      <c r="BQ8" s="6"/>
      <c r="BR8" s="7"/>
      <c r="BS8" s="7"/>
      <c r="BT8" s="7"/>
      <c r="BU8" s="7"/>
      <c r="BV8" s="16">
        <f t="shared" ref="BV8:BV10" si="14">SUM(BQ8:BU8)</f>
        <v>0</v>
      </c>
      <c r="BX8" s="6"/>
      <c r="BY8" s="7"/>
      <c r="BZ8" s="7"/>
      <c r="CA8" s="7"/>
      <c r="CB8" s="7"/>
      <c r="CC8" s="16">
        <f t="shared" ref="CC8:CC10" si="15">SUM(BX8:CB8)</f>
        <v>0</v>
      </c>
      <c r="CE8" s="28">
        <f t="shared" si="0"/>
        <v>0</v>
      </c>
      <c r="CF8" s="29">
        <f t="shared" si="1"/>
        <v>0</v>
      </c>
      <c r="CG8" s="29">
        <f t="shared" si="2"/>
        <v>0</v>
      </c>
      <c r="CH8" s="29">
        <f t="shared" si="3"/>
        <v>0</v>
      </c>
      <c r="CI8" s="29">
        <f t="shared" si="4"/>
        <v>0</v>
      </c>
      <c r="CJ8" s="8">
        <f>SUM(CE8:CI8)</f>
        <v>0</v>
      </c>
      <c r="CL8" s="6"/>
      <c r="CM8" s="7"/>
      <c r="CN8" s="7"/>
      <c r="CO8" s="7"/>
      <c r="CP8" s="7"/>
      <c r="CQ8" s="16">
        <f t="shared" ref="CQ8:CQ10" si="16">SUM(CL8:CP8)</f>
        <v>0</v>
      </c>
      <c r="CS8" s="6"/>
      <c r="CT8" s="7"/>
      <c r="CU8" s="7"/>
      <c r="CV8" s="7"/>
      <c r="CW8" s="7"/>
      <c r="CX8" s="8">
        <f t="shared" ref="CX8:CX10" si="17">SUM(CS8:CW8)</f>
        <v>0</v>
      </c>
      <c r="CZ8" s="6"/>
      <c r="DA8" s="7"/>
      <c r="DB8" s="7"/>
      <c r="DC8" s="7"/>
      <c r="DD8" s="7"/>
      <c r="DE8" s="8">
        <f t="shared" ref="DE8:DE10" si="18">SUM(CZ8:DD8)</f>
        <v>0</v>
      </c>
    </row>
    <row r="9" spans="2:109">
      <c r="C9" s="567"/>
      <c r="E9" s="5" t="s">
        <v>61</v>
      </c>
      <c r="F9" s="6"/>
      <c r="G9" s="7"/>
      <c r="H9" s="7"/>
      <c r="I9" s="7"/>
      <c r="J9" s="7"/>
      <c r="K9" s="16">
        <f t="shared" si="5"/>
        <v>0</v>
      </c>
      <c r="M9" s="6"/>
      <c r="N9" s="7"/>
      <c r="O9" s="7"/>
      <c r="P9" s="7"/>
      <c r="Q9" s="7"/>
      <c r="R9" s="16">
        <f t="shared" si="6"/>
        <v>0</v>
      </c>
      <c r="T9" s="6"/>
      <c r="U9" s="7"/>
      <c r="V9" s="7"/>
      <c r="W9" s="7"/>
      <c r="X9" s="7"/>
      <c r="Y9" s="16">
        <f t="shared" si="7"/>
        <v>0</v>
      </c>
      <c r="AA9" s="6"/>
      <c r="AB9" s="7"/>
      <c r="AC9" s="7"/>
      <c r="AD9" s="7"/>
      <c r="AE9" s="7"/>
      <c r="AF9" s="16">
        <f t="shared" si="8"/>
        <v>0</v>
      </c>
      <c r="AH9" s="6"/>
      <c r="AI9" s="7"/>
      <c r="AJ9" s="7"/>
      <c r="AK9" s="7"/>
      <c r="AL9" s="7"/>
      <c r="AM9" s="16">
        <f t="shared" si="9"/>
        <v>0</v>
      </c>
      <c r="AO9" s="6"/>
      <c r="AP9" s="7"/>
      <c r="AQ9" s="7"/>
      <c r="AR9" s="7"/>
      <c r="AS9" s="7"/>
      <c r="AT9" s="16">
        <f t="shared" si="10"/>
        <v>0</v>
      </c>
      <c r="AV9" s="6"/>
      <c r="AW9" s="7"/>
      <c r="AX9" s="7"/>
      <c r="AY9" s="7"/>
      <c r="AZ9" s="7"/>
      <c r="BA9" s="16">
        <f t="shared" si="11"/>
        <v>0</v>
      </c>
      <c r="BC9" s="6"/>
      <c r="BD9" s="7"/>
      <c r="BE9" s="7"/>
      <c r="BF9" s="7"/>
      <c r="BG9" s="7"/>
      <c r="BH9" s="16">
        <f t="shared" si="12"/>
        <v>0</v>
      </c>
      <c r="BJ9" s="6"/>
      <c r="BK9" s="7"/>
      <c r="BL9" s="7"/>
      <c r="BM9" s="7"/>
      <c r="BN9" s="7"/>
      <c r="BO9" s="16">
        <f t="shared" si="13"/>
        <v>0</v>
      </c>
      <c r="BQ9" s="6"/>
      <c r="BR9" s="7"/>
      <c r="BS9" s="7"/>
      <c r="BT9" s="7"/>
      <c r="BU9" s="7"/>
      <c r="BV9" s="16">
        <f t="shared" si="14"/>
        <v>0</v>
      </c>
      <c r="BX9" s="6"/>
      <c r="BY9" s="7"/>
      <c r="BZ9" s="7"/>
      <c r="CA9" s="7"/>
      <c r="CB9" s="7"/>
      <c r="CC9" s="16">
        <f t="shared" si="15"/>
        <v>0</v>
      </c>
      <c r="CE9" s="28">
        <f t="shared" si="0"/>
        <v>0</v>
      </c>
      <c r="CF9" s="29">
        <f t="shared" si="1"/>
        <v>0</v>
      </c>
      <c r="CG9" s="29">
        <f t="shared" si="2"/>
        <v>0</v>
      </c>
      <c r="CH9" s="29">
        <f t="shared" si="3"/>
        <v>0</v>
      </c>
      <c r="CI9" s="29">
        <f t="shared" si="4"/>
        <v>0</v>
      </c>
      <c r="CJ9" s="8">
        <f>SUM(CE9:CI9)</f>
        <v>0</v>
      </c>
      <c r="CL9" s="6"/>
      <c r="CM9" s="7"/>
      <c r="CN9" s="7"/>
      <c r="CO9" s="7"/>
      <c r="CP9" s="7"/>
      <c r="CQ9" s="16">
        <f t="shared" si="16"/>
        <v>0</v>
      </c>
      <c r="CS9" s="6"/>
      <c r="CT9" s="7"/>
      <c r="CU9" s="7"/>
      <c r="CV9" s="7"/>
      <c r="CW9" s="7"/>
      <c r="CX9" s="8">
        <f t="shared" si="17"/>
        <v>0</v>
      </c>
      <c r="CZ9" s="6"/>
      <c r="DA9" s="7"/>
      <c r="DB9" s="7"/>
      <c r="DC9" s="7"/>
      <c r="DD9" s="7"/>
      <c r="DE9" s="8">
        <f t="shared" si="18"/>
        <v>0</v>
      </c>
    </row>
    <row r="10" spans="2:109" ht="14" thickBot="1">
      <c r="C10" s="567"/>
      <c r="E10" s="5" t="s">
        <v>62</v>
      </c>
      <c r="F10" s="6"/>
      <c r="G10" s="7"/>
      <c r="H10" s="7"/>
      <c r="I10" s="7"/>
      <c r="J10" s="7"/>
      <c r="K10" s="16">
        <f t="shared" si="5"/>
        <v>0</v>
      </c>
      <c r="M10" s="6"/>
      <c r="N10" s="7"/>
      <c r="O10" s="7"/>
      <c r="P10" s="7"/>
      <c r="Q10" s="7"/>
      <c r="R10" s="16">
        <f t="shared" si="6"/>
        <v>0</v>
      </c>
      <c r="T10" s="6"/>
      <c r="U10" s="7"/>
      <c r="V10" s="7"/>
      <c r="W10" s="7"/>
      <c r="X10" s="7"/>
      <c r="Y10" s="16">
        <f t="shared" si="7"/>
        <v>0</v>
      </c>
      <c r="AA10" s="6"/>
      <c r="AB10" s="7"/>
      <c r="AC10" s="7"/>
      <c r="AD10" s="7"/>
      <c r="AE10" s="7"/>
      <c r="AF10" s="16">
        <f t="shared" si="8"/>
        <v>0</v>
      </c>
      <c r="AH10" s="6"/>
      <c r="AI10" s="7"/>
      <c r="AJ10" s="7"/>
      <c r="AK10" s="7"/>
      <c r="AL10" s="7"/>
      <c r="AM10" s="16">
        <f t="shared" si="9"/>
        <v>0</v>
      </c>
      <c r="AO10" s="6"/>
      <c r="AP10" s="7"/>
      <c r="AQ10" s="7"/>
      <c r="AR10" s="7"/>
      <c r="AS10" s="7"/>
      <c r="AT10" s="16">
        <f t="shared" si="10"/>
        <v>0</v>
      </c>
      <c r="AV10" s="6"/>
      <c r="AW10" s="7"/>
      <c r="AX10" s="7"/>
      <c r="AY10" s="7"/>
      <c r="AZ10" s="7"/>
      <c r="BA10" s="16">
        <f t="shared" si="11"/>
        <v>0</v>
      </c>
      <c r="BC10" s="6"/>
      <c r="BD10" s="7"/>
      <c r="BE10" s="7"/>
      <c r="BF10" s="7"/>
      <c r="BG10" s="7"/>
      <c r="BH10" s="16">
        <f t="shared" si="12"/>
        <v>0</v>
      </c>
      <c r="BJ10" s="6"/>
      <c r="BK10" s="7"/>
      <c r="BL10" s="7"/>
      <c r="BM10" s="7"/>
      <c r="BN10" s="7"/>
      <c r="BO10" s="16">
        <f t="shared" si="13"/>
        <v>0</v>
      </c>
      <c r="BQ10" s="6"/>
      <c r="BR10" s="7"/>
      <c r="BS10" s="7"/>
      <c r="BT10" s="7"/>
      <c r="BU10" s="7"/>
      <c r="BV10" s="16">
        <f t="shared" si="14"/>
        <v>0</v>
      </c>
      <c r="BX10" s="6"/>
      <c r="BY10" s="7"/>
      <c r="BZ10" s="7"/>
      <c r="CA10" s="7"/>
      <c r="CB10" s="7"/>
      <c r="CC10" s="16">
        <f t="shared" si="15"/>
        <v>0</v>
      </c>
      <c r="CE10" s="493">
        <f t="shared" si="0"/>
        <v>0</v>
      </c>
      <c r="CF10" s="494">
        <f t="shared" si="1"/>
        <v>0</v>
      </c>
      <c r="CG10" s="494">
        <f t="shared" si="2"/>
        <v>0</v>
      </c>
      <c r="CH10" s="494">
        <f t="shared" si="3"/>
        <v>0</v>
      </c>
      <c r="CI10" s="494">
        <f t="shared" si="4"/>
        <v>0</v>
      </c>
      <c r="CJ10" s="495">
        <f>SUM(CE10:CI10)</f>
        <v>0</v>
      </c>
      <c r="CL10" s="6"/>
      <c r="CM10" s="7"/>
      <c r="CN10" s="7"/>
      <c r="CO10" s="7"/>
      <c r="CP10" s="7"/>
      <c r="CQ10" s="16">
        <f t="shared" si="16"/>
        <v>0</v>
      </c>
      <c r="CS10" s="6"/>
      <c r="CT10" s="7"/>
      <c r="CU10" s="7"/>
      <c r="CV10" s="7"/>
      <c r="CW10" s="7"/>
      <c r="CX10" s="8">
        <f t="shared" si="17"/>
        <v>0</v>
      </c>
      <c r="CZ10" s="6"/>
      <c r="DA10" s="7"/>
      <c r="DB10" s="7"/>
      <c r="DC10" s="7"/>
      <c r="DD10" s="7"/>
      <c r="DE10" s="8">
        <f t="shared" si="18"/>
        <v>0</v>
      </c>
    </row>
    <row r="11" spans="2:109" ht="14" thickBot="1">
      <c r="C11" s="554"/>
      <c r="E11" s="9"/>
      <c r="F11" s="10">
        <f>SUM(F7:F10)</f>
        <v>0</v>
      </c>
      <c r="G11" s="11">
        <f t="shared" ref="G11:J11" si="19">SUM(G7:G10)</f>
        <v>0</v>
      </c>
      <c r="H11" s="11">
        <f t="shared" si="19"/>
        <v>0</v>
      </c>
      <c r="I11" s="11">
        <f t="shared" si="19"/>
        <v>0</v>
      </c>
      <c r="J11" s="11">
        <f t="shared" si="19"/>
        <v>0</v>
      </c>
      <c r="K11" s="25">
        <f>SUM(K7:K10)</f>
        <v>0</v>
      </c>
      <c r="M11" s="10">
        <f>SUM(M7:M10)</f>
        <v>0</v>
      </c>
      <c r="N11" s="11">
        <f t="shared" ref="N11:Q11" si="20">SUM(N7:N10)</f>
        <v>0</v>
      </c>
      <c r="O11" s="11">
        <f t="shared" si="20"/>
        <v>0</v>
      </c>
      <c r="P11" s="11">
        <f t="shared" si="20"/>
        <v>0</v>
      </c>
      <c r="Q11" s="11">
        <f t="shared" si="20"/>
        <v>0</v>
      </c>
      <c r="R11" s="25">
        <f>SUM(R7:R10)</f>
        <v>0</v>
      </c>
      <c r="T11" s="10">
        <f>SUM(T7:T10)</f>
        <v>0</v>
      </c>
      <c r="U11" s="11">
        <f t="shared" ref="U11:X11" si="21">SUM(U7:U10)</f>
        <v>0</v>
      </c>
      <c r="V11" s="11">
        <f t="shared" si="21"/>
        <v>0</v>
      </c>
      <c r="W11" s="11">
        <f t="shared" si="21"/>
        <v>0</v>
      </c>
      <c r="X11" s="11">
        <f t="shared" si="21"/>
        <v>0</v>
      </c>
      <c r="Y11" s="25">
        <f>SUM(Y7:Y10)</f>
        <v>0</v>
      </c>
      <c r="AA11" s="10">
        <f>SUM(AA7:AA10)</f>
        <v>0</v>
      </c>
      <c r="AB11" s="11">
        <f t="shared" ref="AB11:AE11" si="22">SUM(AB7:AB10)</f>
        <v>0</v>
      </c>
      <c r="AC11" s="11">
        <f t="shared" si="22"/>
        <v>0</v>
      </c>
      <c r="AD11" s="11">
        <f t="shared" si="22"/>
        <v>0</v>
      </c>
      <c r="AE11" s="11">
        <f t="shared" si="22"/>
        <v>0</v>
      </c>
      <c r="AF11" s="25">
        <f>SUM(AF7:AF10)</f>
        <v>0</v>
      </c>
      <c r="AH11" s="10">
        <f>SUM(AH7:AH10)</f>
        <v>0</v>
      </c>
      <c r="AI11" s="11">
        <f t="shared" ref="AI11:AL11" si="23">SUM(AI7:AI10)</f>
        <v>0</v>
      </c>
      <c r="AJ11" s="11">
        <f t="shared" si="23"/>
        <v>0</v>
      </c>
      <c r="AK11" s="11">
        <f t="shared" si="23"/>
        <v>0</v>
      </c>
      <c r="AL11" s="11">
        <f t="shared" si="23"/>
        <v>0</v>
      </c>
      <c r="AM11" s="25">
        <f>SUM(AM7:AM10)</f>
        <v>0</v>
      </c>
      <c r="AO11" s="10">
        <f>SUM(AO7:AO10)</f>
        <v>0</v>
      </c>
      <c r="AP11" s="11">
        <f t="shared" ref="AP11:AS11" si="24">SUM(AP7:AP10)</f>
        <v>0</v>
      </c>
      <c r="AQ11" s="11">
        <f t="shared" si="24"/>
        <v>0</v>
      </c>
      <c r="AR11" s="11">
        <f t="shared" si="24"/>
        <v>0</v>
      </c>
      <c r="AS11" s="11">
        <f t="shared" si="24"/>
        <v>0</v>
      </c>
      <c r="AT11" s="25">
        <f>SUM(AT7:AT10)</f>
        <v>0</v>
      </c>
      <c r="AV11" s="10">
        <f>SUM(AV7:AV10)</f>
        <v>0</v>
      </c>
      <c r="AW11" s="11">
        <f t="shared" ref="AW11:AZ11" si="25">SUM(AW7:AW10)</f>
        <v>0</v>
      </c>
      <c r="AX11" s="11">
        <f t="shared" si="25"/>
        <v>0</v>
      </c>
      <c r="AY11" s="11">
        <f t="shared" si="25"/>
        <v>0</v>
      </c>
      <c r="AZ11" s="11">
        <f t="shared" si="25"/>
        <v>0</v>
      </c>
      <c r="BA11" s="25">
        <f>SUM(BA7:BA10)</f>
        <v>0</v>
      </c>
      <c r="BC11" s="10">
        <f>SUM(BC7:BC10)</f>
        <v>0</v>
      </c>
      <c r="BD11" s="11">
        <f t="shared" ref="BD11:BG11" si="26">SUM(BD7:BD10)</f>
        <v>0</v>
      </c>
      <c r="BE11" s="11">
        <f t="shared" si="26"/>
        <v>0</v>
      </c>
      <c r="BF11" s="11">
        <f t="shared" si="26"/>
        <v>0</v>
      </c>
      <c r="BG11" s="11">
        <f t="shared" si="26"/>
        <v>0</v>
      </c>
      <c r="BH11" s="25">
        <f>SUM(BH7:BH10)</f>
        <v>0</v>
      </c>
      <c r="BJ11" s="10">
        <f>SUM(BJ7:BJ10)</f>
        <v>0</v>
      </c>
      <c r="BK11" s="11">
        <f t="shared" ref="BK11:BN11" si="27">SUM(BK7:BK10)</f>
        <v>0</v>
      </c>
      <c r="BL11" s="11">
        <f t="shared" si="27"/>
        <v>0</v>
      </c>
      <c r="BM11" s="11">
        <f t="shared" si="27"/>
        <v>0</v>
      </c>
      <c r="BN11" s="11">
        <f t="shared" si="27"/>
        <v>0</v>
      </c>
      <c r="BO11" s="25">
        <f>SUM(BO7:BO10)</f>
        <v>0</v>
      </c>
      <c r="BQ11" s="10">
        <f>SUM(BQ7:BQ10)</f>
        <v>0</v>
      </c>
      <c r="BR11" s="11">
        <f t="shared" ref="BR11:BU11" si="28">SUM(BR7:BR10)</f>
        <v>0</v>
      </c>
      <c r="BS11" s="11">
        <f t="shared" si="28"/>
        <v>0</v>
      </c>
      <c r="BT11" s="11">
        <f t="shared" si="28"/>
        <v>0</v>
      </c>
      <c r="BU11" s="11">
        <f t="shared" si="28"/>
        <v>0</v>
      </c>
      <c r="BV11" s="25">
        <f>SUM(BV7:BV10)</f>
        <v>0</v>
      </c>
      <c r="BX11" s="10">
        <f>SUM(BX7:BX10)</f>
        <v>0</v>
      </c>
      <c r="BY11" s="11">
        <f t="shared" ref="BY11:CB11" si="29">SUM(BY7:BY10)</f>
        <v>0</v>
      </c>
      <c r="BZ11" s="11">
        <f t="shared" si="29"/>
        <v>0</v>
      </c>
      <c r="CA11" s="11">
        <f t="shared" si="29"/>
        <v>0</v>
      </c>
      <c r="CB11" s="11">
        <f t="shared" si="29"/>
        <v>0</v>
      </c>
      <c r="CC11" s="25">
        <f>SUM(CC7:CC10)</f>
        <v>0</v>
      </c>
      <c r="CE11" s="62">
        <f t="shared" ref="CE11:CJ11" si="30">SUM(CE7:CE10)</f>
        <v>0</v>
      </c>
      <c r="CF11" s="63">
        <f t="shared" si="30"/>
        <v>0</v>
      </c>
      <c r="CG11" s="63">
        <f t="shared" si="30"/>
        <v>0</v>
      </c>
      <c r="CH11" s="63">
        <f t="shared" si="30"/>
        <v>0</v>
      </c>
      <c r="CI11" s="63">
        <f t="shared" si="30"/>
        <v>0</v>
      </c>
      <c r="CJ11" s="25">
        <f t="shared" si="30"/>
        <v>0</v>
      </c>
      <c r="CL11" s="10">
        <f>SUM(CL7:CL10)</f>
        <v>0</v>
      </c>
      <c r="CM11" s="11">
        <f t="shared" ref="CM11:CP11" si="31">SUM(CM7:CM10)</f>
        <v>0</v>
      </c>
      <c r="CN11" s="11">
        <f t="shared" si="31"/>
        <v>0</v>
      </c>
      <c r="CO11" s="11">
        <f t="shared" si="31"/>
        <v>0</v>
      </c>
      <c r="CP11" s="11">
        <f t="shared" si="31"/>
        <v>0</v>
      </c>
      <c r="CQ11" s="25">
        <f>SUM(CQ7:CQ10)</f>
        <v>0</v>
      </c>
      <c r="CS11" s="10">
        <f>SUM(CS7:CS10)</f>
        <v>0</v>
      </c>
      <c r="CT11" s="11">
        <f t="shared" ref="CT11:CW11" si="32">SUM(CT7:CT10)</f>
        <v>0</v>
      </c>
      <c r="CU11" s="11">
        <f t="shared" si="32"/>
        <v>0</v>
      </c>
      <c r="CV11" s="11">
        <f t="shared" si="32"/>
        <v>0</v>
      </c>
      <c r="CW11" s="11">
        <f t="shared" si="32"/>
        <v>0</v>
      </c>
      <c r="CX11" s="25">
        <f>SUM(CX7:CX10)</f>
        <v>0</v>
      </c>
      <c r="CZ11" s="10">
        <f>SUM(CZ7:CZ10)</f>
        <v>0</v>
      </c>
      <c r="DA11" s="11">
        <f t="shared" ref="DA11:DD11" si="33">SUM(DA7:DA10)</f>
        <v>0</v>
      </c>
      <c r="DB11" s="11">
        <f t="shared" si="33"/>
        <v>0</v>
      </c>
      <c r="DC11" s="11">
        <f t="shared" si="33"/>
        <v>0</v>
      </c>
      <c r="DD11" s="11">
        <f t="shared" si="33"/>
        <v>0</v>
      </c>
      <c r="DE11" s="25">
        <f>SUM(DE7:DE10)</f>
        <v>0</v>
      </c>
    </row>
    <row r="12" spans="2:109" ht="10.4" customHeight="1" thickBot="1"/>
    <row r="13" spans="2:109">
      <c r="C13" s="553">
        <v>2025</v>
      </c>
      <c r="E13" s="13" t="s">
        <v>59</v>
      </c>
      <c r="F13" s="21">
        <f>CE7</f>
        <v>0</v>
      </c>
      <c r="G13" s="22">
        <f t="shared" ref="G13:G16" si="34">CF7</f>
        <v>0</v>
      </c>
      <c r="H13" s="22">
        <f t="shared" ref="H13:H16" si="35">CG7</f>
        <v>0</v>
      </c>
      <c r="I13" s="22">
        <f t="shared" ref="I13:I16" si="36">CH7</f>
        <v>0</v>
      </c>
      <c r="J13" s="22">
        <f t="shared" ref="J13:J16" si="37">CI7</f>
        <v>0</v>
      </c>
      <c r="K13" s="15">
        <f>SUM(F13:J13)</f>
        <v>0</v>
      </c>
      <c r="M13" s="2"/>
      <c r="N13" s="3"/>
      <c r="O13" s="3"/>
      <c r="P13" s="3"/>
      <c r="Q13" s="3"/>
      <c r="R13" s="15">
        <f>SUM(M13:Q13)</f>
        <v>0</v>
      </c>
      <c r="T13" s="2"/>
      <c r="U13" s="3"/>
      <c r="V13" s="3"/>
      <c r="W13" s="3"/>
      <c r="X13" s="3"/>
      <c r="Y13" s="15">
        <f>SUM(T13:X13)</f>
        <v>0</v>
      </c>
      <c r="AA13" s="2"/>
      <c r="AB13" s="3"/>
      <c r="AC13" s="3"/>
      <c r="AD13" s="3"/>
      <c r="AE13" s="3"/>
      <c r="AF13" s="15">
        <f>SUM(AA13:AE13)</f>
        <v>0</v>
      </c>
      <c r="AH13" s="2"/>
      <c r="AI13" s="3"/>
      <c r="AJ13" s="3"/>
      <c r="AK13" s="3"/>
      <c r="AL13" s="3"/>
      <c r="AM13" s="15">
        <f>SUM(AH13:AL13)</f>
        <v>0</v>
      </c>
      <c r="AO13" s="2"/>
      <c r="AP13" s="3"/>
      <c r="AQ13" s="3"/>
      <c r="AR13" s="3"/>
      <c r="AS13" s="3"/>
      <c r="AT13" s="15">
        <f>SUM(AO13:AS13)</f>
        <v>0</v>
      </c>
      <c r="AV13" s="2"/>
      <c r="AW13" s="3"/>
      <c r="AX13" s="3"/>
      <c r="AY13" s="3"/>
      <c r="AZ13" s="3"/>
      <c r="BA13" s="15">
        <f>SUM(AV13:AZ13)</f>
        <v>0</v>
      </c>
      <c r="BC13" s="2"/>
      <c r="BD13" s="3"/>
      <c r="BE13" s="3"/>
      <c r="BF13" s="3"/>
      <c r="BG13" s="3"/>
      <c r="BH13" s="15">
        <f>SUM(BC13:BG13)</f>
        <v>0</v>
      </c>
      <c r="BJ13" s="2"/>
      <c r="BK13" s="3"/>
      <c r="BL13" s="3"/>
      <c r="BM13" s="3"/>
      <c r="BN13" s="3"/>
      <c r="BO13" s="15">
        <f>SUM(BJ13:BN13)</f>
        <v>0</v>
      </c>
      <c r="BQ13" s="2"/>
      <c r="BR13" s="3"/>
      <c r="BS13" s="3"/>
      <c r="BT13" s="3"/>
      <c r="BU13" s="3"/>
      <c r="BV13" s="15">
        <f>SUM(BQ13:BU13)</f>
        <v>0</v>
      </c>
      <c r="BX13" s="2"/>
      <c r="BY13" s="3"/>
      <c r="BZ13" s="3"/>
      <c r="CA13" s="3"/>
      <c r="CB13" s="3"/>
      <c r="CC13" s="15">
        <f>SUM(BX13:CB13)</f>
        <v>0</v>
      </c>
      <c r="CE13" s="26">
        <f t="shared" ref="CE13:CE16" si="38">F13+M13+T13+AA13+AH13+AO13+AV13+BC13+BJ13+BQ13+BX13</f>
        <v>0</v>
      </c>
      <c r="CF13" s="27">
        <f t="shared" ref="CF13:CF16" si="39">G13+N13+U13+AB13+AI13+AP13+AW13+BD13+BK13+BR13+BY13</f>
        <v>0</v>
      </c>
      <c r="CG13" s="27">
        <f t="shared" ref="CG13:CG16" si="40">H13+O13+V13+AC13+AJ13+AQ13+AX13+BE13+BL13+BS13+BZ13</f>
        <v>0</v>
      </c>
      <c r="CH13" s="27">
        <f t="shared" ref="CH13:CH16" si="41">I13+P13+W13+AD13+AK13+AR13+AY13+BF13+BM13+BT13+CA13</f>
        <v>0</v>
      </c>
      <c r="CI13" s="27">
        <f t="shared" ref="CI13:CI16" si="42">J13+Q13+X13+AE13+AL13+AS13+AZ13+BG13+BN13+BU13+CB13</f>
        <v>0</v>
      </c>
      <c r="CJ13" s="4">
        <f>SUM(CE13:CI13)</f>
        <v>0</v>
      </c>
      <c r="CL13" s="2"/>
      <c r="CM13" s="3"/>
      <c r="CN13" s="3"/>
      <c r="CO13" s="3"/>
      <c r="CP13" s="3"/>
      <c r="CQ13" s="15">
        <f>SUM(CL13:CP13)</f>
        <v>0</v>
      </c>
      <c r="CS13" s="2"/>
      <c r="CT13" s="3"/>
      <c r="CU13" s="3"/>
      <c r="CV13" s="3"/>
      <c r="CW13" s="3"/>
      <c r="CX13" s="15">
        <f>SUM(CS13:CW13)</f>
        <v>0</v>
      </c>
      <c r="CZ13" s="2"/>
      <c r="DA13" s="3"/>
      <c r="DB13" s="3"/>
      <c r="DC13" s="3"/>
      <c r="DD13" s="3"/>
      <c r="DE13" s="15">
        <f>SUM(CZ13:DD13)</f>
        <v>0</v>
      </c>
    </row>
    <row r="14" spans="2:109">
      <c r="C14" s="567"/>
      <c r="E14" s="14" t="s">
        <v>60</v>
      </c>
      <c r="F14" s="23">
        <f t="shared" ref="F14:F16" si="43">CE8</f>
        <v>0</v>
      </c>
      <c r="G14" s="24">
        <f t="shared" si="34"/>
        <v>0</v>
      </c>
      <c r="H14" s="24">
        <f t="shared" si="35"/>
        <v>0</v>
      </c>
      <c r="I14" s="24">
        <f t="shared" si="36"/>
        <v>0</v>
      </c>
      <c r="J14" s="24">
        <f t="shared" si="37"/>
        <v>0</v>
      </c>
      <c r="K14" s="16">
        <f t="shared" ref="K14:K16" si="44">SUM(F14:J14)</f>
        <v>0</v>
      </c>
      <c r="M14" s="6"/>
      <c r="N14" s="7"/>
      <c r="O14" s="7"/>
      <c r="P14" s="7"/>
      <c r="Q14" s="7"/>
      <c r="R14" s="16">
        <f t="shared" ref="R14:R16" si="45">SUM(M14:Q14)</f>
        <v>0</v>
      </c>
      <c r="T14" s="6"/>
      <c r="U14" s="7"/>
      <c r="V14" s="7"/>
      <c r="W14" s="7"/>
      <c r="X14" s="7"/>
      <c r="Y14" s="16">
        <f t="shared" ref="Y14:Y16" si="46">SUM(T14:X14)</f>
        <v>0</v>
      </c>
      <c r="AA14" s="6"/>
      <c r="AB14" s="7"/>
      <c r="AC14" s="7"/>
      <c r="AD14" s="7"/>
      <c r="AE14" s="7"/>
      <c r="AF14" s="16">
        <f t="shared" ref="AF14:AF16" si="47">SUM(AA14:AE14)</f>
        <v>0</v>
      </c>
      <c r="AH14" s="6"/>
      <c r="AI14" s="7"/>
      <c r="AJ14" s="7"/>
      <c r="AK14" s="7"/>
      <c r="AL14" s="7"/>
      <c r="AM14" s="16">
        <f t="shared" ref="AM14:AM16" si="48">SUM(AH14:AL14)</f>
        <v>0</v>
      </c>
      <c r="AO14" s="6"/>
      <c r="AP14" s="7"/>
      <c r="AQ14" s="7"/>
      <c r="AR14" s="7"/>
      <c r="AS14" s="7"/>
      <c r="AT14" s="16">
        <f t="shared" ref="AT14:AT16" si="49">SUM(AO14:AS14)</f>
        <v>0</v>
      </c>
      <c r="AV14" s="6"/>
      <c r="AW14" s="7"/>
      <c r="AX14" s="7"/>
      <c r="AY14" s="7"/>
      <c r="AZ14" s="7"/>
      <c r="BA14" s="16">
        <f t="shared" ref="BA14:BA16" si="50">SUM(AV14:AZ14)</f>
        <v>0</v>
      </c>
      <c r="BC14" s="6"/>
      <c r="BD14" s="7"/>
      <c r="BE14" s="7"/>
      <c r="BF14" s="7"/>
      <c r="BG14" s="7"/>
      <c r="BH14" s="16">
        <f t="shared" ref="BH14:BH16" si="51">SUM(BC14:BG14)</f>
        <v>0</v>
      </c>
      <c r="BJ14" s="6"/>
      <c r="BK14" s="7"/>
      <c r="BL14" s="7"/>
      <c r="BM14" s="7"/>
      <c r="BN14" s="7"/>
      <c r="BO14" s="16">
        <f t="shared" ref="BO14:BO16" si="52">SUM(BJ14:BN14)</f>
        <v>0</v>
      </c>
      <c r="BQ14" s="6"/>
      <c r="BR14" s="7"/>
      <c r="BS14" s="7"/>
      <c r="BT14" s="7"/>
      <c r="BU14" s="7"/>
      <c r="BV14" s="16">
        <f t="shared" ref="BV14:BV16" si="53">SUM(BQ14:BU14)</f>
        <v>0</v>
      </c>
      <c r="BX14" s="6"/>
      <c r="BY14" s="7"/>
      <c r="BZ14" s="7"/>
      <c r="CA14" s="7"/>
      <c r="CB14" s="7"/>
      <c r="CC14" s="16">
        <f t="shared" ref="CC14:CC16" si="54">SUM(BX14:CB14)</f>
        <v>0</v>
      </c>
      <c r="CE14" s="28">
        <f t="shared" si="38"/>
        <v>0</v>
      </c>
      <c r="CF14" s="29">
        <f t="shared" si="39"/>
        <v>0</v>
      </c>
      <c r="CG14" s="29">
        <f t="shared" si="40"/>
        <v>0</v>
      </c>
      <c r="CH14" s="29">
        <f t="shared" si="41"/>
        <v>0</v>
      </c>
      <c r="CI14" s="29">
        <f t="shared" si="42"/>
        <v>0</v>
      </c>
      <c r="CJ14" s="8">
        <f>SUM(CE14:CI14)</f>
        <v>0</v>
      </c>
      <c r="CL14" s="6"/>
      <c r="CM14" s="7"/>
      <c r="CN14" s="7"/>
      <c r="CO14" s="7"/>
      <c r="CP14" s="7"/>
      <c r="CQ14" s="16">
        <f t="shared" ref="CQ14:CQ16" si="55">SUM(CL14:CP14)</f>
        <v>0</v>
      </c>
      <c r="CS14" s="6"/>
      <c r="CT14" s="7"/>
      <c r="CU14" s="7"/>
      <c r="CV14" s="7"/>
      <c r="CW14" s="7"/>
      <c r="CX14" s="16">
        <f t="shared" ref="CX14:CX16" si="56">SUM(CS14:CW14)</f>
        <v>0</v>
      </c>
      <c r="CZ14" s="6"/>
      <c r="DA14" s="7"/>
      <c r="DB14" s="7"/>
      <c r="DC14" s="7"/>
      <c r="DD14" s="7"/>
      <c r="DE14" s="16">
        <f t="shared" ref="DE14:DE16" si="57">SUM(CZ14:DD14)</f>
        <v>0</v>
      </c>
    </row>
    <row r="15" spans="2:109">
      <c r="C15" s="567"/>
      <c r="E15" s="14" t="s">
        <v>61</v>
      </c>
      <c r="F15" s="23">
        <f t="shared" si="43"/>
        <v>0</v>
      </c>
      <c r="G15" s="24">
        <f t="shared" si="34"/>
        <v>0</v>
      </c>
      <c r="H15" s="24">
        <f t="shared" si="35"/>
        <v>0</v>
      </c>
      <c r="I15" s="24">
        <f t="shared" si="36"/>
        <v>0</v>
      </c>
      <c r="J15" s="24">
        <f t="shared" si="37"/>
        <v>0</v>
      </c>
      <c r="K15" s="16">
        <f t="shared" si="44"/>
        <v>0</v>
      </c>
      <c r="M15" s="6"/>
      <c r="N15" s="7"/>
      <c r="O15" s="7"/>
      <c r="P15" s="7"/>
      <c r="Q15" s="7"/>
      <c r="R15" s="16">
        <f t="shared" si="45"/>
        <v>0</v>
      </c>
      <c r="T15" s="6"/>
      <c r="U15" s="7"/>
      <c r="V15" s="7"/>
      <c r="W15" s="7"/>
      <c r="X15" s="7"/>
      <c r="Y15" s="16">
        <f t="shared" si="46"/>
        <v>0</v>
      </c>
      <c r="AA15" s="6"/>
      <c r="AB15" s="7"/>
      <c r="AC15" s="7"/>
      <c r="AD15" s="7"/>
      <c r="AE15" s="7"/>
      <c r="AF15" s="16">
        <f t="shared" si="47"/>
        <v>0</v>
      </c>
      <c r="AH15" s="6"/>
      <c r="AI15" s="7"/>
      <c r="AJ15" s="7"/>
      <c r="AK15" s="7"/>
      <c r="AL15" s="7"/>
      <c r="AM15" s="16">
        <f t="shared" si="48"/>
        <v>0</v>
      </c>
      <c r="AO15" s="6"/>
      <c r="AP15" s="7"/>
      <c r="AQ15" s="7"/>
      <c r="AR15" s="7"/>
      <c r="AS15" s="7"/>
      <c r="AT15" s="16">
        <f t="shared" si="49"/>
        <v>0</v>
      </c>
      <c r="AV15" s="6"/>
      <c r="AW15" s="7"/>
      <c r="AX15" s="7"/>
      <c r="AY15" s="7"/>
      <c r="AZ15" s="7"/>
      <c r="BA15" s="16">
        <f t="shared" si="50"/>
        <v>0</v>
      </c>
      <c r="BC15" s="6"/>
      <c r="BD15" s="7"/>
      <c r="BE15" s="7"/>
      <c r="BF15" s="7"/>
      <c r="BG15" s="7"/>
      <c r="BH15" s="16">
        <f t="shared" si="51"/>
        <v>0</v>
      </c>
      <c r="BJ15" s="6"/>
      <c r="BK15" s="7"/>
      <c r="BL15" s="7"/>
      <c r="BM15" s="7"/>
      <c r="BN15" s="7"/>
      <c r="BO15" s="16">
        <f t="shared" si="52"/>
        <v>0</v>
      </c>
      <c r="BQ15" s="6"/>
      <c r="BR15" s="7"/>
      <c r="BS15" s="7"/>
      <c r="BT15" s="7"/>
      <c r="BU15" s="7"/>
      <c r="BV15" s="16">
        <f t="shared" si="53"/>
        <v>0</v>
      </c>
      <c r="BX15" s="6"/>
      <c r="BY15" s="7"/>
      <c r="BZ15" s="7"/>
      <c r="CA15" s="7"/>
      <c r="CB15" s="7"/>
      <c r="CC15" s="16">
        <f t="shared" si="54"/>
        <v>0</v>
      </c>
      <c r="CE15" s="28">
        <f t="shared" si="38"/>
        <v>0</v>
      </c>
      <c r="CF15" s="29">
        <f t="shared" si="39"/>
        <v>0</v>
      </c>
      <c r="CG15" s="29">
        <f t="shared" si="40"/>
        <v>0</v>
      </c>
      <c r="CH15" s="29">
        <f t="shared" si="41"/>
        <v>0</v>
      </c>
      <c r="CI15" s="29">
        <f t="shared" si="42"/>
        <v>0</v>
      </c>
      <c r="CJ15" s="8">
        <f>SUM(CE15:CI15)</f>
        <v>0</v>
      </c>
      <c r="CL15" s="6"/>
      <c r="CM15" s="7"/>
      <c r="CN15" s="7"/>
      <c r="CO15" s="7"/>
      <c r="CP15" s="7"/>
      <c r="CQ15" s="16">
        <f t="shared" si="55"/>
        <v>0</v>
      </c>
      <c r="CS15" s="6"/>
      <c r="CT15" s="7"/>
      <c r="CU15" s="7"/>
      <c r="CV15" s="7"/>
      <c r="CW15" s="7"/>
      <c r="CX15" s="16">
        <f t="shared" si="56"/>
        <v>0</v>
      </c>
      <c r="CZ15" s="6"/>
      <c r="DA15" s="7"/>
      <c r="DB15" s="7"/>
      <c r="DC15" s="7"/>
      <c r="DD15" s="7"/>
      <c r="DE15" s="16">
        <f t="shared" si="57"/>
        <v>0</v>
      </c>
    </row>
    <row r="16" spans="2:109" ht="14" thickBot="1">
      <c r="C16" s="567"/>
      <c r="E16" s="14" t="s">
        <v>62</v>
      </c>
      <c r="F16" s="23">
        <f t="shared" si="43"/>
        <v>0</v>
      </c>
      <c r="G16" s="24">
        <f t="shared" si="34"/>
        <v>0</v>
      </c>
      <c r="H16" s="24">
        <f t="shared" si="35"/>
        <v>0</v>
      </c>
      <c r="I16" s="24">
        <f t="shared" si="36"/>
        <v>0</v>
      </c>
      <c r="J16" s="24">
        <f t="shared" si="37"/>
        <v>0</v>
      </c>
      <c r="K16" s="16">
        <f t="shared" si="44"/>
        <v>0</v>
      </c>
      <c r="M16" s="6"/>
      <c r="N16" s="7"/>
      <c r="O16" s="7"/>
      <c r="P16" s="7"/>
      <c r="Q16" s="7"/>
      <c r="R16" s="16">
        <f t="shared" si="45"/>
        <v>0</v>
      </c>
      <c r="T16" s="6"/>
      <c r="U16" s="7"/>
      <c r="V16" s="7"/>
      <c r="W16" s="7"/>
      <c r="X16" s="7"/>
      <c r="Y16" s="16">
        <f t="shared" si="46"/>
        <v>0</v>
      </c>
      <c r="AA16" s="6"/>
      <c r="AB16" s="7"/>
      <c r="AC16" s="7"/>
      <c r="AD16" s="7"/>
      <c r="AE16" s="7"/>
      <c r="AF16" s="16">
        <f t="shared" si="47"/>
        <v>0</v>
      </c>
      <c r="AH16" s="6"/>
      <c r="AI16" s="7"/>
      <c r="AJ16" s="7"/>
      <c r="AK16" s="7"/>
      <c r="AL16" s="7"/>
      <c r="AM16" s="16">
        <f t="shared" si="48"/>
        <v>0</v>
      </c>
      <c r="AO16" s="6"/>
      <c r="AP16" s="7"/>
      <c r="AQ16" s="7"/>
      <c r="AR16" s="7"/>
      <c r="AS16" s="7"/>
      <c r="AT16" s="16">
        <f t="shared" si="49"/>
        <v>0</v>
      </c>
      <c r="AV16" s="6"/>
      <c r="AW16" s="7"/>
      <c r="AX16" s="7"/>
      <c r="AY16" s="7"/>
      <c r="AZ16" s="7"/>
      <c r="BA16" s="16">
        <f t="shared" si="50"/>
        <v>0</v>
      </c>
      <c r="BC16" s="6"/>
      <c r="BD16" s="7"/>
      <c r="BE16" s="7"/>
      <c r="BF16" s="7"/>
      <c r="BG16" s="7"/>
      <c r="BH16" s="16">
        <f t="shared" si="51"/>
        <v>0</v>
      </c>
      <c r="BJ16" s="6"/>
      <c r="BK16" s="7"/>
      <c r="BL16" s="7"/>
      <c r="BM16" s="7"/>
      <c r="BN16" s="7"/>
      <c r="BO16" s="16">
        <f t="shared" si="52"/>
        <v>0</v>
      </c>
      <c r="BQ16" s="6"/>
      <c r="BR16" s="7"/>
      <c r="BS16" s="7"/>
      <c r="BT16" s="7"/>
      <c r="BU16" s="7"/>
      <c r="BV16" s="16">
        <f t="shared" si="53"/>
        <v>0</v>
      </c>
      <c r="BX16" s="6"/>
      <c r="BY16" s="7"/>
      <c r="BZ16" s="7"/>
      <c r="CA16" s="7"/>
      <c r="CB16" s="7"/>
      <c r="CC16" s="16">
        <f t="shared" si="54"/>
        <v>0</v>
      </c>
      <c r="CE16" s="493">
        <f t="shared" si="38"/>
        <v>0</v>
      </c>
      <c r="CF16" s="494">
        <f t="shared" si="39"/>
        <v>0</v>
      </c>
      <c r="CG16" s="494">
        <f t="shared" si="40"/>
        <v>0</v>
      </c>
      <c r="CH16" s="494">
        <f t="shared" si="41"/>
        <v>0</v>
      </c>
      <c r="CI16" s="494">
        <f t="shared" si="42"/>
        <v>0</v>
      </c>
      <c r="CJ16" s="495">
        <f>SUM(CE16:CI16)</f>
        <v>0</v>
      </c>
      <c r="CL16" s="6"/>
      <c r="CM16" s="7"/>
      <c r="CN16" s="7"/>
      <c r="CO16" s="7"/>
      <c r="CP16" s="7"/>
      <c r="CQ16" s="16">
        <f t="shared" si="55"/>
        <v>0</v>
      </c>
      <c r="CS16" s="6"/>
      <c r="CT16" s="7"/>
      <c r="CU16" s="7"/>
      <c r="CV16" s="7"/>
      <c r="CW16" s="7"/>
      <c r="CX16" s="16">
        <f t="shared" si="56"/>
        <v>0</v>
      </c>
      <c r="CZ16" s="6"/>
      <c r="DA16" s="7"/>
      <c r="DB16" s="7"/>
      <c r="DC16" s="7"/>
      <c r="DD16" s="7"/>
      <c r="DE16" s="16">
        <f t="shared" si="57"/>
        <v>0</v>
      </c>
    </row>
    <row r="17" spans="3:109" ht="14" thickBot="1">
      <c r="C17" s="554"/>
      <c r="E17" s="9"/>
      <c r="F17" s="10">
        <f>SUM(F13:F16)</f>
        <v>0</v>
      </c>
      <c r="G17" s="11">
        <f t="shared" ref="G17:J17" si="58">SUM(G13:G16)</f>
        <v>0</v>
      </c>
      <c r="H17" s="11">
        <f t="shared" si="58"/>
        <v>0</v>
      </c>
      <c r="I17" s="11">
        <f t="shared" si="58"/>
        <v>0</v>
      </c>
      <c r="J17" s="11">
        <f t="shared" si="58"/>
        <v>0</v>
      </c>
      <c r="K17" s="25">
        <f>SUM(K13:K16)</f>
        <v>0</v>
      </c>
      <c r="M17" s="10">
        <f>SUM(M13:M16)</f>
        <v>0</v>
      </c>
      <c r="N17" s="11">
        <f t="shared" ref="N17:Q17" si="59">SUM(N13:N16)</f>
        <v>0</v>
      </c>
      <c r="O17" s="11">
        <f t="shared" si="59"/>
        <v>0</v>
      </c>
      <c r="P17" s="11">
        <f t="shared" si="59"/>
        <v>0</v>
      </c>
      <c r="Q17" s="11">
        <f t="shared" si="59"/>
        <v>0</v>
      </c>
      <c r="R17" s="25">
        <f>SUM(R13:R16)</f>
        <v>0</v>
      </c>
      <c r="T17" s="10">
        <f>SUM(T13:T16)</f>
        <v>0</v>
      </c>
      <c r="U17" s="11">
        <f t="shared" ref="U17:X17" si="60">SUM(U13:U16)</f>
        <v>0</v>
      </c>
      <c r="V17" s="11">
        <f t="shared" si="60"/>
        <v>0</v>
      </c>
      <c r="W17" s="11">
        <f t="shared" si="60"/>
        <v>0</v>
      </c>
      <c r="X17" s="11">
        <f t="shared" si="60"/>
        <v>0</v>
      </c>
      <c r="Y17" s="25">
        <f>SUM(Y13:Y16)</f>
        <v>0</v>
      </c>
      <c r="AA17" s="10">
        <f>SUM(AA13:AA16)</f>
        <v>0</v>
      </c>
      <c r="AB17" s="11">
        <f t="shared" ref="AB17:AE17" si="61">SUM(AB13:AB16)</f>
        <v>0</v>
      </c>
      <c r="AC17" s="11">
        <f t="shared" si="61"/>
        <v>0</v>
      </c>
      <c r="AD17" s="11">
        <f t="shared" si="61"/>
        <v>0</v>
      </c>
      <c r="AE17" s="11">
        <f t="shared" si="61"/>
        <v>0</v>
      </c>
      <c r="AF17" s="25">
        <f>SUM(AF13:AF16)</f>
        <v>0</v>
      </c>
      <c r="AH17" s="10">
        <f>SUM(AH13:AH16)</f>
        <v>0</v>
      </c>
      <c r="AI17" s="11">
        <f t="shared" ref="AI17:AL17" si="62">SUM(AI13:AI16)</f>
        <v>0</v>
      </c>
      <c r="AJ17" s="11">
        <f t="shared" si="62"/>
        <v>0</v>
      </c>
      <c r="AK17" s="11">
        <f t="shared" si="62"/>
        <v>0</v>
      </c>
      <c r="AL17" s="11">
        <f t="shared" si="62"/>
        <v>0</v>
      </c>
      <c r="AM17" s="25">
        <f>SUM(AM13:AM16)</f>
        <v>0</v>
      </c>
      <c r="AO17" s="10">
        <f>SUM(AO13:AO16)</f>
        <v>0</v>
      </c>
      <c r="AP17" s="11">
        <f t="shared" ref="AP17:AS17" si="63">SUM(AP13:AP16)</f>
        <v>0</v>
      </c>
      <c r="AQ17" s="11">
        <f t="shared" si="63"/>
        <v>0</v>
      </c>
      <c r="AR17" s="11">
        <f t="shared" si="63"/>
        <v>0</v>
      </c>
      <c r="AS17" s="11">
        <f t="shared" si="63"/>
        <v>0</v>
      </c>
      <c r="AT17" s="25">
        <f>SUM(AT13:AT16)</f>
        <v>0</v>
      </c>
      <c r="AV17" s="10">
        <f>SUM(AV13:AV16)</f>
        <v>0</v>
      </c>
      <c r="AW17" s="11">
        <f t="shared" ref="AW17:AZ17" si="64">SUM(AW13:AW16)</f>
        <v>0</v>
      </c>
      <c r="AX17" s="11">
        <f t="shared" si="64"/>
        <v>0</v>
      </c>
      <c r="AY17" s="11">
        <f t="shared" si="64"/>
        <v>0</v>
      </c>
      <c r="AZ17" s="11">
        <f t="shared" si="64"/>
        <v>0</v>
      </c>
      <c r="BA17" s="25">
        <f>SUM(BA13:BA16)</f>
        <v>0</v>
      </c>
      <c r="BC17" s="10">
        <f>SUM(BC13:BC16)</f>
        <v>0</v>
      </c>
      <c r="BD17" s="11">
        <f t="shared" ref="BD17:BG17" si="65">SUM(BD13:BD16)</f>
        <v>0</v>
      </c>
      <c r="BE17" s="11">
        <f t="shared" si="65"/>
        <v>0</v>
      </c>
      <c r="BF17" s="11">
        <f t="shared" si="65"/>
        <v>0</v>
      </c>
      <c r="BG17" s="11">
        <f t="shared" si="65"/>
        <v>0</v>
      </c>
      <c r="BH17" s="25">
        <f>SUM(BH13:BH16)</f>
        <v>0</v>
      </c>
      <c r="BJ17" s="10">
        <f>SUM(BJ13:BJ16)</f>
        <v>0</v>
      </c>
      <c r="BK17" s="11">
        <f t="shared" ref="BK17:BN17" si="66">SUM(BK13:BK16)</f>
        <v>0</v>
      </c>
      <c r="BL17" s="11">
        <f t="shared" si="66"/>
        <v>0</v>
      </c>
      <c r="BM17" s="11">
        <f t="shared" si="66"/>
        <v>0</v>
      </c>
      <c r="BN17" s="11">
        <f t="shared" si="66"/>
        <v>0</v>
      </c>
      <c r="BO17" s="25">
        <f>SUM(BO13:BO16)</f>
        <v>0</v>
      </c>
      <c r="BQ17" s="10">
        <f>SUM(BQ13:BQ16)</f>
        <v>0</v>
      </c>
      <c r="BR17" s="11">
        <f t="shared" ref="BR17:BU17" si="67">SUM(BR13:BR16)</f>
        <v>0</v>
      </c>
      <c r="BS17" s="11">
        <f t="shared" si="67"/>
        <v>0</v>
      </c>
      <c r="BT17" s="11">
        <f t="shared" si="67"/>
        <v>0</v>
      </c>
      <c r="BU17" s="11">
        <f t="shared" si="67"/>
        <v>0</v>
      </c>
      <c r="BV17" s="25">
        <f>SUM(BV13:BV16)</f>
        <v>0</v>
      </c>
      <c r="BX17" s="10">
        <f>SUM(BX13:BX16)</f>
        <v>0</v>
      </c>
      <c r="BY17" s="11">
        <f t="shared" ref="BY17:CB17" si="68">SUM(BY13:BY16)</f>
        <v>0</v>
      </c>
      <c r="BZ17" s="11">
        <f t="shared" si="68"/>
        <v>0</v>
      </c>
      <c r="CA17" s="11">
        <f t="shared" si="68"/>
        <v>0</v>
      </c>
      <c r="CB17" s="11">
        <f t="shared" si="68"/>
        <v>0</v>
      </c>
      <c r="CC17" s="25">
        <f>SUM(CC13:CC16)</f>
        <v>0</v>
      </c>
      <c r="CE17" s="62">
        <f t="shared" ref="CE17:CJ17" si="69">SUM(CE13:CE16)</f>
        <v>0</v>
      </c>
      <c r="CF17" s="63">
        <f t="shared" si="69"/>
        <v>0</v>
      </c>
      <c r="CG17" s="63">
        <f t="shared" si="69"/>
        <v>0</v>
      </c>
      <c r="CH17" s="63">
        <f t="shared" si="69"/>
        <v>0</v>
      </c>
      <c r="CI17" s="63">
        <f t="shared" si="69"/>
        <v>0</v>
      </c>
      <c r="CJ17" s="25">
        <f t="shared" si="69"/>
        <v>0</v>
      </c>
      <c r="CL17" s="10">
        <f>SUM(CL13:CL16)</f>
        <v>0</v>
      </c>
      <c r="CM17" s="11">
        <f t="shared" ref="CM17:CP17" si="70">SUM(CM13:CM16)</f>
        <v>0</v>
      </c>
      <c r="CN17" s="11">
        <f t="shared" si="70"/>
        <v>0</v>
      </c>
      <c r="CO17" s="11">
        <f t="shared" si="70"/>
        <v>0</v>
      </c>
      <c r="CP17" s="11">
        <f t="shared" si="70"/>
        <v>0</v>
      </c>
      <c r="CQ17" s="25">
        <f>SUM(CQ13:CQ16)</f>
        <v>0</v>
      </c>
      <c r="CS17" s="10">
        <f>SUM(CS13:CS16)</f>
        <v>0</v>
      </c>
      <c r="CT17" s="11">
        <f t="shared" ref="CT17:CW17" si="71">SUM(CT13:CT16)</f>
        <v>0</v>
      </c>
      <c r="CU17" s="11">
        <f t="shared" si="71"/>
        <v>0</v>
      </c>
      <c r="CV17" s="11">
        <f t="shared" si="71"/>
        <v>0</v>
      </c>
      <c r="CW17" s="11">
        <f t="shared" si="71"/>
        <v>0</v>
      </c>
      <c r="CX17" s="25">
        <f>SUM(CX13:CX16)</f>
        <v>0</v>
      </c>
      <c r="CZ17" s="10">
        <f>SUM(CZ13:CZ16)</f>
        <v>0</v>
      </c>
      <c r="DA17" s="11">
        <f t="shared" ref="DA17:DD17" si="72">SUM(DA13:DA16)</f>
        <v>0</v>
      </c>
      <c r="DB17" s="11">
        <f t="shared" si="72"/>
        <v>0</v>
      </c>
      <c r="DC17" s="11">
        <f t="shared" si="72"/>
        <v>0</v>
      </c>
      <c r="DD17" s="11">
        <f t="shared" si="72"/>
        <v>0</v>
      </c>
      <c r="DE17" s="25">
        <f>SUM(DE13:DE16)</f>
        <v>0</v>
      </c>
    </row>
    <row r="18" spans="3:109" ht="10.4" customHeight="1" thickBot="1"/>
    <row r="19" spans="3:109">
      <c r="C19" s="553">
        <v>2026</v>
      </c>
      <c r="E19" s="13" t="s">
        <v>59</v>
      </c>
      <c r="F19" s="21">
        <f>CE13</f>
        <v>0</v>
      </c>
      <c r="G19" s="22">
        <f t="shared" ref="G19:G22" si="73">CF13</f>
        <v>0</v>
      </c>
      <c r="H19" s="22">
        <f t="shared" ref="H19:H22" si="74">CG13</f>
        <v>0</v>
      </c>
      <c r="I19" s="22">
        <f t="shared" ref="I19:I22" si="75">CH13</f>
        <v>0</v>
      </c>
      <c r="J19" s="22">
        <f t="shared" ref="J19:J22" si="76">CI13</f>
        <v>0</v>
      </c>
      <c r="K19" s="15">
        <f>SUM(F19:J19)</f>
        <v>0</v>
      </c>
      <c r="M19" s="2"/>
      <c r="N19" s="3"/>
      <c r="O19" s="3"/>
      <c r="P19" s="3"/>
      <c r="Q19" s="3"/>
      <c r="R19" s="15">
        <f>SUM(M19:Q19)</f>
        <v>0</v>
      </c>
      <c r="T19" s="2"/>
      <c r="U19" s="3"/>
      <c r="V19" s="3"/>
      <c r="W19" s="3"/>
      <c r="X19" s="3"/>
      <c r="Y19" s="15">
        <f>SUM(T19:X19)</f>
        <v>0</v>
      </c>
      <c r="AA19" s="2"/>
      <c r="AB19" s="3"/>
      <c r="AC19" s="3"/>
      <c r="AD19" s="3"/>
      <c r="AE19" s="3"/>
      <c r="AF19" s="15">
        <f>SUM(AA19:AE19)</f>
        <v>0</v>
      </c>
      <c r="AH19" s="2"/>
      <c r="AI19" s="3"/>
      <c r="AJ19" s="3"/>
      <c r="AK19" s="3"/>
      <c r="AL19" s="3"/>
      <c r="AM19" s="15">
        <f>SUM(AH19:AL19)</f>
        <v>0</v>
      </c>
      <c r="AO19" s="2"/>
      <c r="AP19" s="3"/>
      <c r="AQ19" s="3"/>
      <c r="AR19" s="3"/>
      <c r="AS19" s="3"/>
      <c r="AT19" s="15">
        <f>SUM(AO19:AS19)</f>
        <v>0</v>
      </c>
      <c r="AV19" s="2"/>
      <c r="AW19" s="3"/>
      <c r="AX19" s="3"/>
      <c r="AY19" s="3"/>
      <c r="AZ19" s="3"/>
      <c r="BA19" s="15">
        <f>SUM(AV19:AZ19)</f>
        <v>0</v>
      </c>
      <c r="BC19" s="2"/>
      <c r="BD19" s="3"/>
      <c r="BE19" s="3"/>
      <c r="BF19" s="3"/>
      <c r="BG19" s="3"/>
      <c r="BH19" s="15">
        <f>SUM(BC19:BG19)</f>
        <v>0</v>
      </c>
      <c r="BJ19" s="2"/>
      <c r="BK19" s="3"/>
      <c r="BL19" s="3"/>
      <c r="BM19" s="3"/>
      <c r="BN19" s="3"/>
      <c r="BO19" s="15">
        <f>SUM(BJ19:BN19)</f>
        <v>0</v>
      </c>
      <c r="BQ19" s="2"/>
      <c r="BR19" s="3"/>
      <c r="BS19" s="3"/>
      <c r="BT19" s="3"/>
      <c r="BU19" s="3"/>
      <c r="BV19" s="15">
        <f>SUM(BQ19:BU19)</f>
        <v>0</v>
      </c>
      <c r="BX19" s="2"/>
      <c r="BY19" s="3"/>
      <c r="BZ19" s="3"/>
      <c r="CA19" s="3"/>
      <c r="CB19" s="3"/>
      <c r="CC19" s="15">
        <f>SUM(BX19:CB19)</f>
        <v>0</v>
      </c>
      <c r="CE19" s="26">
        <f t="shared" ref="CE19:CE22" si="77">F19+M19+T19+AA19+AH19+AO19+AV19+BC19+BJ19+BQ19+BX19</f>
        <v>0</v>
      </c>
      <c r="CF19" s="27">
        <f t="shared" ref="CF19:CF22" si="78">G19+N19+U19+AB19+AI19+AP19+AW19+BD19+BK19+BR19+BY19</f>
        <v>0</v>
      </c>
      <c r="CG19" s="27">
        <f t="shared" ref="CG19:CG22" si="79">H19+O19+V19+AC19+AJ19+AQ19+AX19+BE19+BL19+BS19+BZ19</f>
        <v>0</v>
      </c>
      <c r="CH19" s="27">
        <f t="shared" ref="CH19:CH22" si="80">I19+P19+W19+AD19+AK19+AR19+AY19+BF19+BM19+BT19+CA19</f>
        <v>0</v>
      </c>
      <c r="CI19" s="27">
        <f t="shared" ref="CI19:CI22" si="81">J19+Q19+X19+AE19+AL19+AS19+AZ19+BG19+BN19+BU19+CB19</f>
        <v>0</v>
      </c>
      <c r="CJ19" s="4">
        <f>SUM(CE19:CI19)</f>
        <v>0</v>
      </c>
      <c r="CL19" s="2"/>
      <c r="CM19" s="3"/>
      <c r="CN19" s="3"/>
      <c r="CO19" s="3"/>
      <c r="CP19" s="3"/>
      <c r="CQ19" s="15">
        <f>SUM(CL19:CP19)</f>
        <v>0</v>
      </c>
      <c r="CS19" s="2"/>
      <c r="CT19" s="3"/>
      <c r="CU19" s="3"/>
      <c r="CV19" s="3"/>
      <c r="CW19" s="3"/>
      <c r="CX19" s="4">
        <f>SUM(CS19:CW19)</f>
        <v>0</v>
      </c>
      <c r="CZ19" s="2"/>
      <c r="DA19" s="3"/>
      <c r="DB19" s="3"/>
      <c r="DC19" s="3"/>
      <c r="DD19" s="3"/>
      <c r="DE19" s="4">
        <f>SUM(CZ19:DD19)</f>
        <v>0</v>
      </c>
    </row>
    <row r="20" spans="3:109">
      <c r="C20" s="567"/>
      <c r="E20" s="14" t="s">
        <v>60</v>
      </c>
      <c r="F20" s="23">
        <f t="shared" ref="F20:F22" si="82">CE14</f>
        <v>0</v>
      </c>
      <c r="G20" s="24">
        <f t="shared" si="73"/>
        <v>0</v>
      </c>
      <c r="H20" s="24">
        <f t="shared" si="74"/>
        <v>0</v>
      </c>
      <c r="I20" s="24">
        <f t="shared" si="75"/>
        <v>0</v>
      </c>
      <c r="J20" s="24">
        <f t="shared" si="76"/>
        <v>0</v>
      </c>
      <c r="K20" s="16">
        <f t="shared" ref="K20:K22" si="83">SUM(F20:J20)</f>
        <v>0</v>
      </c>
      <c r="M20" s="6"/>
      <c r="N20" s="7"/>
      <c r="O20" s="7"/>
      <c r="P20" s="7"/>
      <c r="Q20" s="7"/>
      <c r="R20" s="16">
        <f t="shared" ref="R20:R22" si="84">SUM(M20:Q20)</f>
        <v>0</v>
      </c>
      <c r="T20" s="6"/>
      <c r="U20" s="7"/>
      <c r="V20" s="7"/>
      <c r="W20" s="7"/>
      <c r="X20" s="7"/>
      <c r="Y20" s="16">
        <f t="shared" ref="Y20:Y22" si="85">SUM(T20:X20)</f>
        <v>0</v>
      </c>
      <c r="AA20" s="6"/>
      <c r="AB20" s="7"/>
      <c r="AC20" s="7"/>
      <c r="AD20" s="7"/>
      <c r="AE20" s="7"/>
      <c r="AF20" s="16">
        <f t="shared" ref="AF20:AF22" si="86">SUM(AA20:AE20)</f>
        <v>0</v>
      </c>
      <c r="AH20" s="6"/>
      <c r="AI20" s="7"/>
      <c r="AJ20" s="7"/>
      <c r="AK20" s="7"/>
      <c r="AL20" s="7"/>
      <c r="AM20" s="16">
        <f t="shared" ref="AM20:AM22" si="87">SUM(AH20:AL20)</f>
        <v>0</v>
      </c>
      <c r="AO20" s="6"/>
      <c r="AP20" s="7"/>
      <c r="AQ20" s="7"/>
      <c r="AR20" s="7"/>
      <c r="AS20" s="7"/>
      <c r="AT20" s="16">
        <f t="shared" ref="AT20:AT22" si="88">SUM(AO20:AS20)</f>
        <v>0</v>
      </c>
      <c r="AV20" s="6"/>
      <c r="AW20" s="7"/>
      <c r="AX20" s="7"/>
      <c r="AY20" s="7"/>
      <c r="AZ20" s="7"/>
      <c r="BA20" s="16">
        <f t="shared" ref="BA20:BA22" si="89">SUM(AV20:AZ20)</f>
        <v>0</v>
      </c>
      <c r="BC20" s="6"/>
      <c r="BD20" s="7"/>
      <c r="BE20" s="7"/>
      <c r="BF20" s="7"/>
      <c r="BG20" s="7"/>
      <c r="BH20" s="16">
        <f t="shared" ref="BH20:BH22" si="90">SUM(BC20:BG20)</f>
        <v>0</v>
      </c>
      <c r="BJ20" s="6"/>
      <c r="BK20" s="7"/>
      <c r="BL20" s="7"/>
      <c r="BM20" s="7"/>
      <c r="BN20" s="7"/>
      <c r="BO20" s="16">
        <f t="shared" ref="BO20:BO22" si="91">SUM(BJ20:BN20)</f>
        <v>0</v>
      </c>
      <c r="BQ20" s="6"/>
      <c r="BR20" s="7"/>
      <c r="BS20" s="7"/>
      <c r="BT20" s="7"/>
      <c r="BU20" s="7"/>
      <c r="BV20" s="16">
        <f t="shared" ref="BV20:BV22" si="92">SUM(BQ20:BU20)</f>
        <v>0</v>
      </c>
      <c r="BX20" s="6"/>
      <c r="BY20" s="7"/>
      <c r="BZ20" s="7"/>
      <c r="CA20" s="7"/>
      <c r="CB20" s="7"/>
      <c r="CC20" s="16">
        <f t="shared" ref="CC20:CC22" si="93">SUM(BX20:CB20)</f>
        <v>0</v>
      </c>
      <c r="CE20" s="28">
        <f t="shared" si="77"/>
        <v>0</v>
      </c>
      <c r="CF20" s="29">
        <f t="shared" si="78"/>
        <v>0</v>
      </c>
      <c r="CG20" s="29">
        <f t="shared" si="79"/>
        <v>0</v>
      </c>
      <c r="CH20" s="29">
        <f t="shared" si="80"/>
        <v>0</v>
      </c>
      <c r="CI20" s="29">
        <f t="shared" si="81"/>
        <v>0</v>
      </c>
      <c r="CJ20" s="8">
        <f>SUM(CE20:CI20)</f>
        <v>0</v>
      </c>
      <c r="CL20" s="6"/>
      <c r="CM20" s="7"/>
      <c r="CN20" s="7"/>
      <c r="CO20" s="7"/>
      <c r="CP20" s="7"/>
      <c r="CQ20" s="16">
        <f t="shared" ref="CQ20:CQ22" si="94">SUM(CL20:CP20)</f>
        <v>0</v>
      </c>
      <c r="CS20" s="6"/>
      <c r="CT20" s="7"/>
      <c r="CU20" s="7"/>
      <c r="CV20" s="7"/>
      <c r="CW20" s="7"/>
      <c r="CX20" s="8">
        <f t="shared" ref="CX20:CX22" si="95">SUM(CS20:CW20)</f>
        <v>0</v>
      </c>
      <c r="CZ20" s="6"/>
      <c r="DA20" s="7"/>
      <c r="DB20" s="7"/>
      <c r="DC20" s="7"/>
      <c r="DD20" s="7"/>
      <c r="DE20" s="8">
        <f t="shared" ref="DE20:DE22" si="96">SUM(CZ20:DD20)</f>
        <v>0</v>
      </c>
    </row>
    <row r="21" spans="3:109">
      <c r="C21" s="567"/>
      <c r="E21" s="14" t="s">
        <v>61</v>
      </c>
      <c r="F21" s="23">
        <f t="shared" si="82"/>
        <v>0</v>
      </c>
      <c r="G21" s="24">
        <f t="shared" si="73"/>
        <v>0</v>
      </c>
      <c r="H21" s="24">
        <f t="shared" si="74"/>
        <v>0</v>
      </c>
      <c r="I21" s="24">
        <f t="shared" si="75"/>
        <v>0</v>
      </c>
      <c r="J21" s="24">
        <f t="shared" si="76"/>
        <v>0</v>
      </c>
      <c r="K21" s="16">
        <f t="shared" si="83"/>
        <v>0</v>
      </c>
      <c r="M21" s="6"/>
      <c r="N21" s="7"/>
      <c r="O21" s="7"/>
      <c r="P21" s="7"/>
      <c r="Q21" s="7"/>
      <c r="R21" s="16">
        <f t="shared" si="84"/>
        <v>0</v>
      </c>
      <c r="T21" s="6"/>
      <c r="U21" s="7"/>
      <c r="V21" s="7"/>
      <c r="W21" s="7"/>
      <c r="X21" s="7"/>
      <c r="Y21" s="16">
        <f t="shared" si="85"/>
        <v>0</v>
      </c>
      <c r="AA21" s="6"/>
      <c r="AB21" s="7"/>
      <c r="AC21" s="7"/>
      <c r="AD21" s="7"/>
      <c r="AE21" s="7"/>
      <c r="AF21" s="16">
        <f t="shared" si="86"/>
        <v>0</v>
      </c>
      <c r="AH21" s="6"/>
      <c r="AI21" s="7"/>
      <c r="AJ21" s="7"/>
      <c r="AK21" s="7"/>
      <c r="AL21" s="7"/>
      <c r="AM21" s="16">
        <f t="shared" si="87"/>
        <v>0</v>
      </c>
      <c r="AO21" s="6"/>
      <c r="AP21" s="7"/>
      <c r="AQ21" s="7"/>
      <c r="AR21" s="7"/>
      <c r="AS21" s="7"/>
      <c r="AT21" s="16">
        <f t="shared" si="88"/>
        <v>0</v>
      </c>
      <c r="AV21" s="6"/>
      <c r="AW21" s="7"/>
      <c r="AX21" s="7"/>
      <c r="AY21" s="7"/>
      <c r="AZ21" s="7"/>
      <c r="BA21" s="16">
        <f t="shared" si="89"/>
        <v>0</v>
      </c>
      <c r="BC21" s="6"/>
      <c r="BD21" s="7"/>
      <c r="BE21" s="7"/>
      <c r="BF21" s="7"/>
      <c r="BG21" s="7"/>
      <c r="BH21" s="16">
        <f t="shared" si="90"/>
        <v>0</v>
      </c>
      <c r="BJ21" s="6"/>
      <c r="BK21" s="7"/>
      <c r="BL21" s="7"/>
      <c r="BM21" s="7"/>
      <c r="BN21" s="7"/>
      <c r="BO21" s="16">
        <f t="shared" si="91"/>
        <v>0</v>
      </c>
      <c r="BQ21" s="6"/>
      <c r="BR21" s="7"/>
      <c r="BS21" s="7"/>
      <c r="BT21" s="7"/>
      <c r="BU21" s="7"/>
      <c r="BV21" s="16">
        <f t="shared" si="92"/>
        <v>0</v>
      </c>
      <c r="BX21" s="6"/>
      <c r="BY21" s="7"/>
      <c r="BZ21" s="7"/>
      <c r="CA21" s="7"/>
      <c r="CB21" s="7"/>
      <c r="CC21" s="16">
        <f t="shared" si="93"/>
        <v>0</v>
      </c>
      <c r="CE21" s="28">
        <f t="shared" si="77"/>
        <v>0</v>
      </c>
      <c r="CF21" s="29">
        <f t="shared" si="78"/>
        <v>0</v>
      </c>
      <c r="CG21" s="29">
        <f t="shared" si="79"/>
        <v>0</v>
      </c>
      <c r="CH21" s="29">
        <f t="shared" si="80"/>
        <v>0</v>
      </c>
      <c r="CI21" s="29">
        <f t="shared" si="81"/>
        <v>0</v>
      </c>
      <c r="CJ21" s="8">
        <f>SUM(CE21:CI21)</f>
        <v>0</v>
      </c>
      <c r="CL21" s="6"/>
      <c r="CM21" s="7"/>
      <c r="CN21" s="7"/>
      <c r="CO21" s="7"/>
      <c r="CP21" s="7"/>
      <c r="CQ21" s="16">
        <f t="shared" si="94"/>
        <v>0</v>
      </c>
      <c r="CS21" s="6"/>
      <c r="CT21" s="7"/>
      <c r="CU21" s="7"/>
      <c r="CV21" s="7"/>
      <c r="CW21" s="7"/>
      <c r="CX21" s="8">
        <f t="shared" si="95"/>
        <v>0</v>
      </c>
      <c r="CZ21" s="6"/>
      <c r="DA21" s="7"/>
      <c r="DB21" s="7"/>
      <c r="DC21" s="7"/>
      <c r="DD21" s="7"/>
      <c r="DE21" s="8">
        <f t="shared" si="96"/>
        <v>0</v>
      </c>
    </row>
    <row r="22" spans="3:109" ht="14" thickBot="1">
      <c r="C22" s="567"/>
      <c r="E22" s="14" t="s">
        <v>62</v>
      </c>
      <c r="F22" s="23">
        <f t="shared" si="82"/>
        <v>0</v>
      </c>
      <c r="G22" s="24">
        <f t="shared" si="73"/>
        <v>0</v>
      </c>
      <c r="H22" s="24">
        <f t="shared" si="74"/>
        <v>0</v>
      </c>
      <c r="I22" s="24">
        <f t="shared" si="75"/>
        <v>0</v>
      </c>
      <c r="J22" s="24">
        <f t="shared" si="76"/>
        <v>0</v>
      </c>
      <c r="K22" s="16">
        <f t="shared" si="83"/>
        <v>0</v>
      </c>
      <c r="M22" s="6"/>
      <c r="N22" s="7"/>
      <c r="O22" s="7"/>
      <c r="P22" s="7"/>
      <c r="Q22" s="7"/>
      <c r="R22" s="16">
        <f t="shared" si="84"/>
        <v>0</v>
      </c>
      <c r="T22" s="6"/>
      <c r="U22" s="7"/>
      <c r="V22" s="7"/>
      <c r="W22" s="7"/>
      <c r="X22" s="7"/>
      <c r="Y22" s="16">
        <f t="shared" si="85"/>
        <v>0</v>
      </c>
      <c r="AA22" s="6"/>
      <c r="AB22" s="7"/>
      <c r="AC22" s="7"/>
      <c r="AD22" s="7"/>
      <c r="AE22" s="7"/>
      <c r="AF22" s="16">
        <f t="shared" si="86"/>
        <v>0</v>
      </c>
      <c r="AH22" s="6"/>
      <c r="AI22" s="7"/>
      <c r="AJ22" s="7"/>
      <c r="AK22" s="7"/>
      <c r="AL22" s="7"/>
      <c r="AM22" s="16">
        <f t="shared" si="87"/>
        <v>0</v>
      </c>
      <c r="AO22" s="6"/>
      <c r="AP22" s="7"/>
      <c r="AQ22" s="7"/>
      <c r="AR22" s="7"/>
      <c r="AS22" s="7"/>
      <c r="AT22" s="16">
        <f t="shared" si="88"/>
        <v>0</v>
      </c>
      <c r="AV22" s="6"/>
      <c r="AW22" s="7"/>
      <c r="AX22" s="7"/>
      <c r="AY22" s="7"/>
      <c r="AZ22" s="7"/>
      <c r="BA22" s="16">
        <f t="shared" si="89"/>
        <v>0</v>
      </c>
      <c r="BC22" s="6"/>
      <c r="BD22" s="7"/>
      <c r="BE22" s="7"/>
      <c r="BF22" s="7"/>
      <c r="BG22" s="7"/>
      <c r="BH22" s="16">
        <f t="shared" si="90"/>
        <v>0</v>
      </c>
      <c r="BJ22" s="6"/>
      <c r="BK22" s="7"/>
      <c r="BL22" s="7"/>
      <c r="BM22" s="7"/>
      <c r="BN22" s="7"/>
      <c r="BO22" s="16">
        <f t="shared" si="91"/>
        <v>0</v>
      </c>
      <c r="BQ22" s="6"/>
      <c r="BR22" s="7"/>
      <c r="BS22" s="7"/>
      <c r="BT22" s="7"/>
      <c r="BU22" s="7"/>
      <c r="BV22" s="16">
        <f t="shared" si="92"/>
        <v>0</v>
      </c>
      <c r="BX22" s="6"/>
      <c r="BY22" s="7"/>
      <c r="BZ22" s="7"/>
      <c r="CA22" s="7"/>
      <c r="CB22" s="7"/>
      <c r="CC22" s="16">
        <f t="shared" si="93"/>
        <v>0</v>
      </c>
      <c r="CE22" s="493">
        <f t="shared" si="77"/>
        <v>0</v>
      </c>
      <c r="CF22" s="494">
        <f t="shared" si="78"/>
        <v>0</v>
      </c>
      <c r="CG22" s="494">
        <f t="shared" si="79"/>
        <v>0</v>
      </c>
      <c r="CH22" s="494">
        <f t="shared" si="80"/>
        <v>0</v>
      </c>
      <c r="CI22" s="494">
        <f t="shared" si="81"/>
        <v>0</v>
      </c>
      <c r="CJ22" s="495">
        <f>SUM(CE22:CI22)</f>
        <v>0</v>
      </c>
      <c r="CL22" s="6"/>
      <c r="CM22" s="7"/>
      <c r="CN22" s="7"/>
      <c r="CO22" s="7"/>
      <c r="CP22" s="7"/>
      <c r="CQ22" s="16">
        <f t="shared" si="94"/>
        <v>0</v>
      </c>
      <c r="CS22" s="6"/>
      <c r="CT22" s="7"/>
      <c r="CU22" s="7"/>
      <c r="CV22" s="7"/>
      <c r="CW22" s="7"/>
      <c r="CX22" s="8">
        <f t="shared" si="95"/>
        <v>0</v>
      </c>
      <c r="CZ22" s="6"/>
      <c r="DA22" s="7"/>
      <c r="DB22" s="7"/>
      <c r="DC22" s="7"/>
      <c r="DD22" s="7"/>
      <c r="DE22" s="8">
        <f t="shared" si="96"/>
        <v>0</v>
      </c>
    </row>
    <row r="23" spans="3:109" ht="14" thickBot="1">
      <c r="C23" s="554"/>
      <c r="E23" s="9"/>
      <c r="F23" s="10">
        <f>SUM(F19:F22)</f>
        <v>0</v>
      </c>
      <c r="G23" s="11">
        <f t="shared" ref="G23:J23" si="97">SUM(G19:G22)</f>
        <v>0</v>
      </c>
      <c r="H23" s="11">
        <f t="shared" si="97"/>
        <v>0</v>
      </c>
      <c r="I23" s="11">
        <f t="shared" si="97"/>
        <v>0</v>
      </c>
      <c r="J23" s="11">
        <f t="shared" si="97"/>
        <v>0</v>
      </c>
      <c r="K23" s="25">
        <f>SUM(K19:K22)</f>
        <v>0</v>
      </c>
      <c r="M23" s="10">
        <f>SUM(M19:M22)</f>
        <v>0</v>
      </c>
      <c r="N23" s="11">
        <f t="shared" ref="N23:Q23" si="98">SUM(N19:N22)</f>
        <v>0</v>
      </c>
      <c r="O23" s="11">
        <f t="shared" si="98"/>
        <v>0</v>
      </c>
      <c r="P23" s="11">
        <f t="shared" si="98"/>
        <v>0</v>
      </c>
      <c r="Q23" s="11">
        <f t="shared" si="98"/>
        <v>0</v>
      </c>
      <c r="R23" s="25">
        <f>SUM(R19:R22)</f>
        <v>0</v>
      </c>
      <c r="T23" s="10">
        <f>SUM(T19:T22)</f>
        <v>0</v>
      </c>
      <c r="U23" s="11">
        <f t="shared" ref="U23:X23" si="99">SUM(U19:U22)</f>
        <v>0</v>
      </c>
      <c r="V23" s="11">
        <f t="shared" si="99"/>
        <v>0</v>
      </c>
      <c r="W23" s="11">
        <f t="shared" si="99"/>
        <v>0</v>
      </c>
      <c r="X23" s="11">
        <f t="shared" si="99"/>
        <v>0</v>
      </c>
      <c r="Y23" s="25">
        <f>SUM(Y19:Y22)</f>
        <v>0</v>
      </c>
      <c r="AA23" s="10">
        <f>SUM(AA19:AA22)</f>
        <v>0</v>
      </c>
      <c r="AB23" s="11">
        <f t="shared" ref="AB23:AE23" si="100">SUM(AB19:AB22)</f>
        <v>0</v>
      </c>
      <c r="AC23" s="11">
        <f t="shared" si="100"/>
        <v>0</v>
      </c>
      <c r="AD23" s="11">
        <f t="shared" si="100"/>
        <v>0</v>
      </c>
      <c r="AE23" s="11">
        <f t="shared" si="100"/>
        <v>0</v>
      </c>
      <c r="AF23" s="25">
        <f>SUM(AF19:AF22)</f>
        <v>0</v>
      </c>
      <c r="AH23" s="10">
        <f>SUM(AH19:AH22)</f>
        <v>0</v>
      </c>
      <c r="AI23" s="11">
        <f t="shared" ref="AI23:AL23" si="101">SUM(AI19:AI22)</f>
        <v>0</v>
      </c>
      <c r="AJ23" s="11">
        <f t="shared" si="101"/>
        <v>0</v>
      </c>
      <c r="AK23" s="11">
        <f t="shared" si="101"/>
        <v>0</v>
      </c>
      <c r="AL23" s="11">
        <f t="shared" si="101"/>
        <v>0</v>
      </c>
      <c r="AM23" s="25">
        <f>SUM(AM19:AM22)</f>
        <v>0</v>
      </c>
      <c r="AO23" s="10">
        <f>SUM(AO19:AO22)</f>
        <v>0</v>
      </c>
      <c r="AP23" s="11">
        <f t="shared" ref="AP23:AS23" si="102">SUM(AP19:AP22)</f>
        <v>0</v>
      </c>
      <c r="AQ23" s="11">
        <f t="shared" si="102"/>
        <v>0</v>
      </c>
      <c r="AR23" s="11">
        <f t="shared" si="102"/>
        <v>0</v>
      </c>
      <c r="AS23" s="11">
        <f t="shared" si="102"/>
        <v>0</v>
      </c>
      <c r="AT23" s="25">
        <f>SUM(AT19:AT22)</f>
        <v>0</v>
      </c>
      <c r="AV23" s="10">
        <f>SUM(AV19:AV22)</f>
        <v>0</v>
      </c>
      <c r="AW23" s="11">
        <f t="shared" ref="AW23:AZ23" si="103">SUM(AW19:AW22)</f>
        <v>0</v>
      </c>
      <c r="AX23" s="11">
        <f t="shared" si="103"/>
        <v>0</v>
      </c>
      <c r="AY23" s="11">
        <f t="shared" si="103"/>
        <v>0</v>
      </c>
      <c r="AZ23" s="11">
        <f t="shared" si="103"/>
        <v>0</v>
      </c>
      <c r="BA23" s="25">
        <f>SUM(BA19:BA22)</f>
        <v>0</v>
      </c>
      <c r="BC23" s="10">
        <f>SUM(BC19:BC22)</f>
        <v>0</v>
      </c>
      <c r="BD23" s="11">
        <f t="shared" ref="BD23:BG23" si="104">SUM(BD19:BD22)</f>
        <v>0</v>
      </c>
      <c r="BE23" s="11">
        <f t="shared" si="104"/>
        <v>0</v>
      </c>
      <c r="BF23" s="11">
        <f t="shared" si="104"/>
        <v>0</v>
      </c>
      <c r="BG23" s="11">
        <f t="shared" si="104"/>
        <v>0</v>
      </c>
      <c r="BH23" s="25">
        <f>SUM(BH19:BH22)</f>
        <v>0</v>
      </c>
      <c r="BJ23" s="10">
        <f>SUM(BJ19:BJ22)</f>
        <v>0</v>
      </c>
      <c r="BK23" s="11">
        <f t="shared" ref="BK23:BN23" si="105">SUM(BK19:BK22)</f>
        <v>0</v>
      </c>
      <c r="BL23" s="11">
        <f t="shared" si="105"/>
        <v>0</v>
      </c>
      <c r="BM23" s="11">
        <f t="shared" si="105"/>
        <v>0</v>
      </c>
      <c r="BN23" s="11">
        <f t="shared" si="105"/>
        <v>0</v>
      </c>
      <c r="BO23" s="25">
        <f>SUM(BO19:BO22)</f>
        <v>0</v>
      </c>
      <c r="BQ23" s="10">
        <f>SUM(BQ19:BQ22)</f>
        <v>0</v>
      </c>
      <c r="BR23" s="11">
        <f t="shared" ref="BR23:BU23" si="106">SUM(BR19:BR22)</f>
        <v>0</v>
      </c>
      <c r="BS23" s="11">
        <f t="shared" si="106"/>
        <v>0</v>
      </c>
      <c r="BT23" s="11">
        <f t="shared" si="106"/>
        <v>0</v>
      </c>
      <c r="BU23" s="11">
        <f t="shared" si="106"/>
        <v>0</v>
      </c>
      <c r="BV23" s="25">
        <f>SUM(BV19:BV22)</f>
        <v>0</v>
      </c>
      <c r="BX23" s="10">
        <f>SUM(BX19:BX22)</f>
        <v>0</v>
      </c>
      <c r="BY23" s="11">
        <f t="shared" ref="BY23:CB23" si="107">SUM(BY19:BY22)</f>
        <v>0</v>
      </c>
      <c r="BZ23" s="11">
        <f t="shared" si="107"/>
        <v>0</v>
      </c>
      <c r="CA23" s="11">
        <f t="shared" si="107"/>
        <v>0</v>
      </c>
      <c r="CB23" s="11">
        <f t="shared" si="107"/>
        <v>0</v>
      </c>
      <c r="CC23" s="25">
        <f>SUM(CC19:CC22)</f>
        <v>0</v>
      </c>
      <c r="CE23" s="62">
        <f t="shared" ref="CE23:CJ23" si="108">SUM(CE19:CE22)</f>
        <v>0</v>
      </c>
      <c r="CF23" s="63">
        <f t="shared" si="108"/>
        <v>0</v>
      </c>
      <c r="CG23" s="63">
        <f t="shared" si="108"/>
        <v>0</v>
      </c>
      <c r="CH23" s="63">
        <f t="shared" si="108"/>
        <v>0</v>
      </c>
      <c r="CI23" s="63">
        <f t="shared" si="108"/>
        <v>0</v>
      </c>
      <c r="CJ23" s="25">
        <f t="shared" si="108"/>
        <v>0</v>
      </c>
      <c r="CL23" s="10">
        <f>SUM(CL19:CL22)</f>
        <v>0</v>
      </c>
      <c r="CM23" s="11">
        <f t="shared" ref="CM23:CP23" si="109">SUM(CM19:CM22)</f>
        <v>0</v>
      </c>
      <c r="CN23" s="11">
        <f t="shared" si="109"/>
        <v>0</v>
      </c>
      <c r="CO23" s="11">
        <f t="shared" si="109"/>
        <v>0</v>
      </c>
      <c r="CP23" s="11">
        <f t="shared" si="109"/>
        <v>0</v>
      </c>
      <c r="CQ23" s="25">
        <f>SUM(CQ19:CQ22)</f>
        <v>0</v>
      </c>
      <c r="CS23" s="10">
        <f>SUM(CS19:CS22)</f>
        <v>0</v>
      </c>
      <c r="CT23" s="11">
        <f t="shared" ref="CT23:CW23" si="110">SUM(CT19:CT22)</f>
        <v>0</v>
      </c>
      <c r="CU23" s="11">
        <f t="shared" si="110"/>
        <v>0</v>
      </c>
      <c r="CV23" s="11">
        <f t="shared" si="110"/>
        <v>0</v>
      </c>
      <c r="CW23" s="11">
        <f t="shared" si="110"/>
        <v>0</v>
      </c>
      <c r="CX23" s="25">
        <f>SUM(CX19:CX22)</f>
        <v>0</v>
      </c>
      <c r="CZ23" s="10">
        <f>SUM(CZ19:CZ22)</f>
        <v>0</v>
      </c>
      <c r="DA23" s="11">
        <f t="shared" ref="DA23:DD23" si="111">SUM(DA19:DA22)</f>
        <v>0</v>
      </c>
      <c r="DB23" s="11">
        <f t="shared" si="111"/>
        <v>0</v>
      </c>
      <c r="DC23" s="11">
        <f t="shared" si="111"/>
        <v>0</v>
      </c>
      <c r="DD23" s="11">
        <f t="shared" si="111"/>
        <v>0</v>
      </c>
      <c r="DE23" s="25">
        <f>SUM(DE19:DE22)</f>
        <v>0</v>
      </c>
    </row>
    <row r="24" spans="3:109" ht="10.4" customHeight="1" thickBot="1"/>
    <row r="25" spans="3:109">
      <c r="C25" s="553">
        <v>2027</v>
      </c>
      <c r="E25" s="13" t="s">
        <v>59</v>
      </c>
      <c r="F25" s="21">
        <f>CE19</f>
        <v>0</v>
      </c>
      <c r="G25" s="22">
        <f t="shared" ref="G25:G28" si="112">CF19</f>
        <v>0</v>
      </c>
      <c r="H25" s="22">
        <f t="shared" ref="H25:H28" si="113">CG19</f>
        <v>0</v>
      </c>
      <c r="I25" s="22">
        <f t="shared" ref="I25:I28" si="114">CH19</f>
        <v>0</v>
      </c>
      <c r="J25" s="22">
        <f t="shared" ref="J25:J28" si="115">CI19</f>
        <v>0</v>
      </c>
      <c r="K25" s="15">
        <f>SUM(F25:J25)</f>
        <v>0</v>
      </c>
      <c r="M25" s="2"/>
      <c r="N25" s="3"/>
      <c r="O25" s="3"/>
      <c r="P25" s="3"/>
      <c r="Q25" s="3"/>
      <c r="R25" s="15">
        <f>SUM(M25:Q25)</f>
        <v>0</v>
      </c>
      <c r="T25" s="2"/>
      <c r="U25" s="3"/>
      <c r="V25" s="3"/>
      <c r="W25" s="3"/>
      <c r="X25" s="3"/>
      <c r="Y25" s="15">
        <f>SUM(T25:X25)</f>
        <v>0</v>
      </c>
      <c r="AA25" s="2"/>
      <c r="AB25" s="3"/>
      <c r="AC25" s="3"/>
      <c r="AD25" s="3"/>
      <c r="AE25" s="3"/>
      <c r="AF25" s="15">
        <f>SUM(AA25:AE25)</f>
        <v>0</v>
      </c>
      <c r="AH25" s="2"/>
      <c r="AI25" s="3"/>
      <c r="AJ25" s="3"/>
      <c r="AK25" s="3"/>
      <c r="AL25" s="3"/>
      <c r="AM25" s="15">
        <f>SUM(AH25:AL25)</f>
        <v>0</v>
      </c>
      <c r="AO25" s="2"/>
      <c r="AP25" s="3"/>
      <c r="AQ25" s="3"/>
      <c r="AR25" s="3"/>
      <c r="AS25" s="3"/>
      <c r="AT25" s="15">
        <f>SUM(AO25:AS25)</f>
        <v>0</v>
      </c>
      <c r="AV25" s="2"/>
      <c r="AW25" s="3"/>
      <c r="AX25" s="3"/>
      <c r="AY25" s="3"/>
      <c r="AZ25" s="3"/>
      <c r="BA25" s="15">
        <f>SUM(AV25:AZ25)</f>
        <v>0</v>
      </c>
      <c r="BC25" s="2"/>
      <c r="BD25" s="3"/>
      <c r="BE25" s="3"/>
      <c r="BF25" s="3"/>
      <c r="BG25" s="3"/>
      <c r="BH25" s="15">
        <f>SUM(BC25:BG25)</f>
        <v>0</v>
      </c>
      <c r="BJ25" s="2"/>
      <c r="BK25" s="3"/>
      <c r="BL25" s="3"/>
      <c r="BM25" s="3"/>
      <c r="BN25" s="3"/>
      <c r="BO25" s="15">
        <f>SUM(BJ25:BN25)</f>
        <v>0</v>
      </c>
      <c r="BQ25" s="2"/>
      <c r="BR25" s="3"/>
      <c r="BS25" s="3"/>
      <c r="BT25" s="3"/>
      <c r="BU25" s="3"/>
      <c r="BV25" s="15">
        <f>SUM(BQ25:BU25)</f>
        <v>0</v>
      </c>
      <c r="BX25" s="2"/>
      <c r="BY25" s="3"/>
      <c r="BZ25" s="3"/>
      <c r="CA25" s="3"/>
      <c r="CB25" s="3"/>
      <c r="CC25" s="15">
        <f>SUM(BX25:CB25)</f>
        <v>0</v>
      </c>
      <c r="CE25" s="26">
        <f t="shared" ref="CE25:CE28" si="116">F25+M25+T25+AA25+AH25+AO25+AV25+BC25+BJ25+BQ25+BX25</f>
        <v>0</v>
      </c>
      <c r="CF25" s="27">
        <f t="shared" ref="CF25:CF28" si="117">G25+N25+U25+AB25+AI25+AP25+AW25+BD25+BK25+BR25+BY25</f>
        <v>0</v>
      </c>
      <c r="CG25" s="27">
        <f t="shared" ref="CG25:CG28" si="118">H25+O25+V25+AC25+AJ25+AQ25+AX25+BE25+BL25+BS25+BZ25</f>
        <v>0</v>
      </c>
      <c r="CH25" s="27">
        <f t="shared" ref="CH25:CH28" si="119">I25+P25+W25+AD25+AK25+AR25+AY25+BF25+BM25+BT25+CA25</f>
        <v>0</v>
      </c>
      <c r="CI25" s="27">
        <f t="shared" ref="CI25:CI28" si="120">J25+Q25+X25+AE25+AL25+AS25+AZ25+BG25+BN25+BU25+CB25</f>
        <v>0</v>
      </c>
      <c r="CJ25" s="4">
        <f>SUM(CE25:CI25)</f>
        <v>0</v>
      </c>
      <c r="CL25" s="2"/>
      <c r="CM25" s="3"/>
      <c r="CN25" s="3"/>
      <c r="CO25" s="3"/>
      <c r="CP25" s="3"/>
      <c r="CQ25" s="15">
        <f>SUM(CL25:CP25)</f>
        <v>0</v>
      </c>
      <c r="CS25" s="2"/>
      <c r="CT25" s="3"/>
      <c r="CU25" s="3"/>
      <c r="CV25" s="3"/>
      <c r="CW25" s="3"/>
      <c r="CX25" s="4">
        <f>SUM(CS25:CW25)</f>
        <v>0</v>
      </c>
      <c r="CZ25" s="2"/>
      <c r="DA25" s="3"/>
      <c r="DB25" s="3"/>
      <c r="DC25" s="3"/>
      <c r="DD25" s="3"/>
      <c r="DE25" s="4">
        <f>SUM(CZ25:DD25)</f>
        <v>0</v>
      </c>
    </row>
    <row r="26" spans="3:109">
      <c r="C26" s="567"/>
      <c r="E26" s="14" t="s">
        <v>60</v>
      </c>
      <c r="F26" s="23">
        <f t="shared" ref="F26:F28" si="121">CE20</f>
        <v>0</v>
      </c>
      <c r="G26" s="24">
        <f t="shared" si="112"/>
        <v>0</v>
      </c>
      <c r="H26" s="24">
        <f t="shared" si="113"/>
        <v>0</v>
      </c>
      <c r="I26" s="24">
        <f t="shared" si="114"/>
        <v>0</v>
      </c>
      <c r="J26" s="24">
        <f t="shared" si="115"/>
        <v>0</v>
      </c>
      <c r="K26" s="16">
        <f t="shared" ref="K26:K28" si="122">SUM(F26:J26)</f>
        <v>0</v>
      </c>
      <c r="M26" s="6"/>
      <c r="N26" s="7"/>
      <c r="O26" s="7"/>
      <c r="P26" s="7"/>
      <c r="Q26" s="7"/>
      <c r="R26" s="16">
        <f t="shared" ref="R26:R28" si="123">SUM(M26:Q26)</f>
        <v>0</v>
      </c>
      <c r="T26" s="6"/>
      <c r="U26" s="7"/>
      <c r="V26" s="7"/>
      <c r="W26" s="7"/>
      <c r="X26" s="7"/>
      <c r="Y26" s="16">
        <f t="shared" ref="Y26:Y28" si="124">SUM(T26:X26)</f>
        <v>0</v>
      </c>
      <c r="AA26" s="6"/>
      <c r="AB26" s="7"/>
      <c r="AC26" s="7"/>
      <c r="AD26" s="7"/>
      <c r="AE26" s="7"/>
      <c r="AF26" s="16">
        <f t="shared" ref="AF26:AF28" si="125">SUM(AA26:AE26)</f>
        <v>0</v>
      </c>
      <c r="AH26" s="6"/>
      <c r="AI26" s="7"/>
      <c r="AJ26" s="7"/>
      <c r="AK26" s="7"/>
      <c r="AL26" s="7"/>
      <c r="AM26" s="16">
        <f t="shared" ref="AM26:AM28" si="126">SUM(AH26:AL26)</f>
        <v>0</v>
      </c>
      <c r="AO26" s="6"/>
      <c r="AP26" s="7"/>
      <c r="AQ26" s="7"/>
      <c r="AR26" s="7"/>
      <c r="AS26" s="7"/>
      <c r="AT26" s="16">
        <f t="shared" ref="AT26:AT28" si="127">SUM(AO26:AS26)</f>
        <v>0</v>
      </c>
      <c r="AV26" s="6"/>
      <c r="AW26" s="7"/>
      <c r="AX26" s="7"/>
      <c r="AY26" s="7"/>
      <c r="AZ26" s="7"/>
      <c r="BA26" s="16">
        <f t="shared" ref="BA26:BA28" si="128">SUM(AV26:AZ26)</f>
        <v>0</v>
      </c>
      <c r="BC26" s="6"/>
      <c r="BD26" s="7"/>
      <c r="BE26" s="7"/>
      <c r="BF26" s="7"/>
      <c r="BG26" s="7"/>
      <c r="BH26" s="16">
        <f t="shared" ref="BH26:BH28" si="129">SUM(BC26:BG26)</f>
        <v>0</v>
      </c>
      <c r="BJ26" s="6"/>
      <c r="BK26" s="7"/>
      <c r="BL26" s="7"/>
      <c r="BM26" s="7"/>
      <c r="BN26" s="7"/>
      <c r="BO26" s="16">
        <f t="shared" ref="BO26:BO28" si="130">SUM(BJ26:BN26)</f>
        <v>0</v>
      </c>
      <c r="BQ26" s="6"/>
      <c r="BR26" s="7"/>
      <c r="BS26" s="7"/>
      <c r="BT26" s="7"/>
      <c r="BU26" s="7"/>
      <c r="BV26" s="16">
        <f t="shared" ref="BV26:BV28" si="131">SUM(BQ26:BU26)</f>
        <v>0</v>
      </c>
      <c r="BX26" s="6"/>
      <c r="BY26" s="7"/>
      <c r="BZ26" s="7"/>
      <c r="CA26" s="7"/>
      <c r="CB26" s="7"/>
      <c r="CC26" s="16">
        <f t="shared" ref="CC26:CC28" si="132">SUM(BX26:CB26)</f>
        <v>0</v>
      </c>
      <c r="CE26" s="28">
        <f t="shared" si="116"/>
        <v>0</v>
      </c>
      <c r="CF26" s="29">
        <f t="shared" si="117"/>
        <v>0</v>
      </c>
      <c r="CG26" s="29">
        <f t="shared" si="118"/>
        <v>0</v>
      </c>
      <c r="CH26" s="29">
        <f t="shared" si="119"/>
        <v>0</v>
      </c>
      <c r="CI26" s="29">
        <f t="shared" si="120"/>
        <v>0</v>
      </c>
      <c r="CJ26" s="8">
        <f>SUM(CE26:CI26)</f>
        <v>0</v>
      </c>
      <c r="CL26" s="6"/>
      <c r="CM26" s="7"/>
      <c r="CN26" s="7"/>
      <c r="CO26" s="7"/>
      <c r="CP26" s="7"/>
      <c r="CQ26" s="16">
        <f t="shared" ref="CQ26:CQ28" si="133">SUM(CL26:CP26)</f>
        <v>0</v>
      </c>
      <c r="CS26" s="6"/>
      <c r="CT26" s="7"/>
      <c r="CU26" s="7"/>
      <c r="CV26" s="7"/>
      <c r="CW26" s="7"/>
      <c r="CX26" s="8">
        <f t="shared" ref="CX26:CX28" si="134">SUM(CS26:CW26)</f>
        <v>0</v>
      </c>
      <c r="CZ26" s="6"/>
      <c r="DA26" s="7"/>
      <c r="DB26" s="7"/>
      <c r="DC26" s="7"/>
      <c r="DD26" s="7"/>
      <c r="DE26" s="8">
        <f t="shared" ref="DE26:DE28" si="135">SUM(CZ26:DD26)</f>
        <v>0</v>
      </c>
    </row>
    <row r="27" spans="3:109">
      <c r="C27" s="567"/>
      <c r="E27" s="14" t="s">
        <v>61</v>
      </c>
      <c r="F27" s="23">
        <f t="shared" si="121"/>
        <v>0</v>
      </c>
      <c r="G27" s="24">
        <f t="shared" si="112"/>
        <v>0</v>
      </c>
      <c r="H27" s="24">
        <f t="shared" si="113"/>
        <v>0</v>
      </c>
      <c r="I27" s="24">
        <f t="shared" si="114"/>
        <v>0</v>
      </c>
      <c r="J27" s="24">
        <f t="shared" si="115"/>
        <v>0</v>
      </c>
      <c r="K27" s="16">
        <f t="shared" si="122"/>
        <v>0</v>
      </c>
      <c r="M27" s="6"/>
      <c r="N27" s="7"/>
      <c r="O27" s="7"/>
      <c r="P27" s="7"/>
      <c r="Q27" s="7"/>
      <c r="R27" s="16">
        <f t="shared" si="123"/>
        <v>0</v>
      </c>
      <c r="T27" s="6"/>
      <c r="U27" s="7"/>
      <c r="V27" s="7"/>
      <c r="W27" s="7"/>
      <c r="X27" s="7"/>
      <c r="Y27" s="16">
        <f t="shared" si="124"/>
        <v>0</v>
      </c>
      <c r="AA27" s="6"/>
      <c r="AB27" s="7"/>
      <c r="AC27" s="7"/>
      <c r="AD27" s="7"/>
      <c r="AE27" s="7"/>
      <c r="AF27" s="16">
        <f t="shared" si="125"/>
        <v>0</v>
      </c>
      <c r="AH27" s="6"/>
      <c r="AI27" s="7"/>
      <c r="AJ27" s="7"/>
      <c r="AK27" s="7"/>
      <c r="AL27" s="7"/>
      <c r="AM27" s="16">
        <f t="shared" si="126"/>
        <v>0</v>
      </c>
      <c r="AO27" s="6"/>
      <c r="AP27" s="7"/>
      <c r="AQ27" s="7"/>
      <c r="AR27" s="7"/>
      <c r="AS27" s="7"/>
      <c r="AT27" s="16">
        <f t="shared" si="127"/>
        <v>0</v>
      </c>
      <c r="AV27" s="6"/>
      <c r="AW27" s="7"/>
      <c r="AX27" s="7"/>
      <c r="AY27" s="7"/>
      <c r="AZ27" s="7"/>
      <c r="BA27" s="16">
        <f t="shared" si="128"/>
        <v>0</v>
      </c>
      <c r="BC27" s="6"/>
      <c r="BD27" s="7"/>
      <c r="BE27" s="7"/>
      <c r="BF27" s="7"/>
      <c r="BG27" s="7"/>
      <c r="BH27" s="16">
        <f t="shared" si="129"/>
        <v>0</v>
      </c>
      <c r="BJ27" s="6"/>
      <c r="BK27" s="7"/>
      <c r="BL27" s="7"/>
      <c r="BM27" s="7"/>
      <c r="BN27" s="7"/>
      <c r="BO27" s="16">
        <f t="shared" si="130"/>
        <v>0</v>
      </c>
      <c r="BQ27" s="6"/>
      <c r="BR27" s="7"/>
      <c r="BS27" s="7"/>
      <c r="BT27" s="7"/>
      <c r="BU27" s="7"/>
      <c r="BV27" s="16">
        <f t="shared" si="131"/>
        <v>0</v>
      </c>
      <c r="BX27" s="6"/>
      <c r="BY27" s="7"/>
      <c r="BZ27" s="7"/>
      <c r="CA27" s="7"/>
      <c r="CB27" s="7"/>
      <c r="CC27" s="16">
        <f t="shared" si="132"/>
        <v>0</v>
      </c>
      <c r="CE27" s="28">
        <f t="shared" si="116"/>
        <v>0</v>
      </c>
      <c r="CF27" s="29">
        <f t="shared" si="117"/>
        <v>0</v>
      </c>
      <c r="CG27" s="29">
        <f t="shared" si="118"/>
        <v>0</v>
      </c>
      <c r="CH27" s="29">
        <f t="shared" si="119"/>
        <v>0</v>
      </c>
      <c r="CI27" s="29">
        <f t="shared" si="120"/>
        <v>0</v>
      </c>
      <c r="CJ27" s="8">
        <f>SUM(CE27:CI27)</f>
        <v>0</v>
      </c>
      <c r="CL27" s="6"/>
      <c r="CM27" s="7"/>
      <c r="CN27" s="7"/>
      <c r="CO27" s="7"/>
      <c r="CP27" s="7"/>
      <c r="CQ27" s="16">
        <f t="shared" si="133"/>
        <v>0</v>
      </c>
      <c r="CS27" s="6"/>
      <c r="CT27" s="7"/>
      <c r="CU27" s="7"/>
      <c r="CV27" s="7"/>
      <c r="CW27" s="7"/>
      <c r="CX27" s="8">
        <f t="shared" si="134"/>
        <v>0</v>
      </c>
      <c r="CZ27" s="6"/>
      <c r="DA27" s="7"/>
      <c r="DB27" s="7"/>
      <c r="DC27" s="7"/>
      <c r="DD27" s="7"/>
      <c r="DE27" s="8">
        <f t="shared" si="135"/>
        <v>0</v>
      </c>
    </row>
    <row r="28" spans="3:109" ht="14" thickBot="1">
      <c r="C28" s="567"/>
      <c r="E28" s="14" t="s">
        <v>62</v>
      </c>
      <c r="F28" s="23">
        <f t="shared" si="121"/>
        <v>0</v>
      </c>
      <c r="G28" s="24">
        <f t="shared" si="112"/>
        <v>0</v>
      </c>
      <c r="H28" s="24">
        <f t="shared" si="113"/>
        <v>0</v>
      </c>
      <c r="I28" s="24">
        <f t="shared" si="114"/>
        <v>0</v>
      </c>
      <c r="J28" s="24">
        <f t="shared" si="115"/>
        <v>0</v>
      </c>
      <c r="K28" s="16">
        <f t="shared" si="122"/>
        <v>0</v>
      </c>
      <c r="M28" s="6"/>
      <c r="N28" s="7"/>
      <c r="O28" s="7"/>
      <c r="P28" s="7"/>
      <c r="Q28" s="7"/>
      <c r="R28" s="16">
        <f t="shared" si="123"/>
        <v>0</v>
      </c>
      <c r="T28" s="6"/>
      <c r="U28" s="7"/>
      <c r="V28" s="7"/>
      <c r="W28" s="7"/>
      <c r="X28" s="7"/>
      <c r="Y28" s="16">
        <f t="shared" si="124"/>
        <v>0</v>
      </c>
      <c r="AA28" s="6"/>
      <c r="AB28" s="7"/>
      <c r="AC28" s="7"/>
      <c r="AD28" s="7"/>
      <c r="AE28" s="7"/>
      <c r="AF28" s="16">
        <f t="shared" si="125"/>
        <v>0</v>
      </c>
      <c r="AH28" s="6"/>
      <c r="AI28" s="7"/>
      <c r="AJ28" s="7"/>
      <c r="AK28" s="7"/>
      <c r="AL28" s="7"/>
      <c r="AM28" s="16">
        <f t="shared" si="126"/>
        <v>0</v>
      </c>
      <c r="AO28" s="6"/>
      <c r="AP28" s="7"/>
      <c r="AQ28" s="7"/>
      <c r="AR28" s="7"/>
      <c r="AS28" s="7"/>
      <c r="AT28" s="16">
        <f t="shared" si="127"/>
        <v>0</v>
      </c>
      <c r="AV28" s="6"/>
      <c r="AW28" s="7"/>
      <c r="AX28" s="7"/>
      <c r="AY28" s="7"/>
      <c r="AZ28" s="7"/>
      <c r="BA28" s="16">
        <f t="shared" si="128"/>
        <v>0</v>
      </c>
      <c r="BC28" s="6"/>
      <c r="BD28" s="7"/>
      <c r="BE28" s="7"/>
      <c r="BF28" s="7"/>
      <c r="BG28" s="7"/>
      <c r="BH28" s="16">
        <f t="shared" si="129"/>
        <v>0</v>
      </c>
      <c r="BJ28" s="6"/>
      <c r="BK28" s="7"/>
      <c r="BL28" s="7"/>
      <c r="BM28" s="7"/>
      <c r="BN28" s="7"/>
      <c r="BO28" s="16">
        <f t="shared" si="130"/>
        <v>0</v>
      </c>
      <c r="BQ28" s="6"/>
      <c r="BR28" s="7"/>
      <c r="BS28" s="7"/>
      <c r="BT28" s="7"/>
      <c r="BU28" s="7"/>
      <c r="BV28" s="16">
        <f t="shared" si="131"/>
        <v>0</v>
      </c>
      <c r="BX28" s="6"/>
      <c r="BY28" s="7"/>
      <c r="BZ28" s="7"/>
      <c r="CA28" s="7"/>
      <c r="CB28" s="7"/>
      <c r="CC28" s="16">
        <f t="shared" si="132"/>
        <v>0</v>
      </c>
      <c r="CE28" s="493">
        <f t="shared" si="116"/>
        <v>0</v>
      </c>
      <c r="CF28" s="494">
        <f t="shared" si="117"/>
        <v>0</v>
      </c>
      <c r="CG28" s="494">
        <f t="shared" si="118"/>
        <v>0</v>
      </c>
      <c r="CH28" s="494">
        <f t="shared" si="119"/>
        <v>0</v>
      </c>
      <c r="CI28" s="494">
        <f t="shared" si="120"/>
        <v>0</v>
      </c>
      <c r="CJ28" s="495">
        <f>SUM(CE28:CI28)</f>
        <v>0</v>
      </c>
      <c r="CL28" s="6"/>
      <c r="CM28" s="7"/>
      <c r="CN28" s="7"/>
      <c r="CO28" s="7"/>
      <c r="CP28" s="7"/>
      <c r="CQ28" s="16">
        <f t="shared" si="133"/>
        <v>0</v>
      </c>
      <c r="CS28" s="6"/>
      <c r="CT28" s="7"/>
      <c r="CU28" s="7"/>
      <c r="CV28" s="7"/>
      <c r="CW28" s="7"/>
      <c r="CX28" s="8">
        <f t="shared" si="134"/>
        <v>0</v>
      </c>
      <c r="CZ28" s="6"/>
      <c r="DA28" s="7"/>
      <c r="DB28" s="7"/>
      <c r="DC28" s="7"/>
      <c r="DD28" s="7"/>
      <c r="DE28" s="8">
        <f t="shared" si="135"/>
        <v>0</v>
      </c>
    </row>
    <row r="29" spans="3:109" ht="14" thickBot="1">
      <c r="C29" s="554"/>
      <c r="E29" s="9"/>
      <c r="F29" s="10">
        <f>SUM(F25:F28)</f>
        <v>0</v>
      </c>
      <c r="G29" s="11">
        <f t="shared" ref="G29:J29" si="136">SUM(G25:G28)</f>
        <v>0</v>
      </c>
      <c r="H29" s="11">
        <f t="shared" si="136"/>
        <v>0</v>
      </c>
      <c r="I29" s="11">
        <f t="shared" si="136"/>
        <v>0</v>
      </c>
      <c r="J29" s="11">
        <f t="shared" si="136"/>
        <v>0</v>
      </c>
      <c r="K29" s="25">
        <f>SUM(K25:K28)</f>
        <v>0</v>
      </c>
      <c r="M29" s="10">
        <f>SUM(M25:M28)</f>
        <v>0</v>
      </c>
      <c r="N29" s="11">
        <f t="shared" ref="N29:Q29" si="137">SUM(N25:N28)</f>
        <v>0</v>
      </c>
      <c r="O29" s="11">
        <f t="shared" si="137"/>
        <v>0</v>
      </c>
      <c r="P29" s="11">
        <f t="shared" si="137"/>
        <v>0</v>
      </c>
      <c r="Q29" s="11">
        <f t="shared" si="137"/>
        <v>0</v>
      </c>
      <c r="R29" s="25">
        <f>SUM(R25:R28)</f>
        <v>0</v>
      </c>
      <c r="T29" s="10">
        <f>SUM(T25:T28)</f>
        <v>0</v>
      </c>
      <c r="U29" s="11">
        <f t="shared" ref="U29:X29" si="138">SUM(U25:U28)</f>
        <v>0</v>
      </c>
      <c r="V29" s="11">
        <f t="shared" si="138"/>
        <v>0</v>
      </c>
      <c r="W29" s="11">
        <f t="shared" si="138"/>
        <v>0</v>
      </c>
      <c r="X29" s="11">
        <f t="shared" si="138"/>
        <v>0</v>
      </c>
      <c r="Y29" s="25">
        <f>SUM(Y25:Y28)</f>
        <v>0</v>
      </c>
      <c r="AA29" s="10">
        <f>SUM(AA25:AA28)</f>
        <v>0</v>
      </c>
      <c r="AB29" s="11">
        <f t="shared" ref="AB29:AE29" si="139">SUM(AB25:AB28)</f>
        <v>0</v>
      </c>
      <c r="AC29" s="11">
        <f t="shared" si="139"/>
        <v>0</v>
      </c>
      <c r="AD29" s="11">
        <f t="shared" si="139"/>
        <v>0</v>
      </c>
      <c r="AE29" s="11">
        <f t="shared" si="139"/>
        <v>0</v>
      </c>
      <c r="AF29" s="25">
        <f>SUM(AF25:AF28)</f>
        <v>0</v>
      </c>
      <c r="AH29" s="10">
        <f>SUM(AH25:AH28)</f>
        <v>0</v>
      </c>
      <c r="AI29" s="11">
        <f t="shared" ref="AI29:AL29" si="140">SUM(AI25:AI28)</f>
        <v>0</v>
      </c>
      <c r="AJ29" s="11">
        <f t="shared" si="140"/>
        <v>0</v>
      </c>
      <c r="AK29" s="11">
        <f t="shared" si="140"/>
        <v>0</v>
      </c>
      <c r="AL29" s="11">
        <f t="shared" si="140"/>
        <v>0</v>
      </c>
      <c r="AM29" s="25">
        <f>SUM(AM25:AM28)</f>
        <v>0</v>
      </c>
      <c r="AO29" s="10">
        <f>SUM(AO25:AO28)</f>
        <v>0</v>
      </c>
      <c r="AP29" s="11">
        <f t="shared" ref="AP29:AS29" si="141">SUM(AP25:AP28)</f>
        <v>0</v>
      </c>
      <c r="AQ29" s="11">
        <f t="shared" si="141"/>
        <v>0</v>
      </c>
      <c r="AR29" s="11">
        <f t="shared" si="141"/>
        <v>0</v>
      </c>
      <c r="AS29" s="11">
        <f t="shared" si="141"/>
        <v>0</v>
      </c>
      <c r="AT29" s="25">
        <f>SUM(AT25:AT28)</f>
        <v>0</v>
      </c>
      <c r="AV29" s="10">
        <f>SUM(AV25:AV28)</f>
        <v>0</v>
      </c>
      <c r="AW29" s="11">
        <f t="shared" ref="AW29:AZ29" si="142">SUM(AW25:AW28)</f>
        <v>0</v>
      </c>
      <c r="AX29" s="11">
        <f t="shared" si="142"/>
        <v>0</v>
      </c>
      <c r="AY29" s="11">
        <f t="shared" si="142"/>
        <v>0</v>
      </c>
      <c r="AZ29" s="11">
        <f t="shared" si="142"/>
        <v>0</v>
      </c>
      <c r="BA29" s="25">
        <f>SUM(BA25:BA28)</f>
        <v>0</v>
      </c>
      <c r="BC29" s="10">
        <f>SUM(BC25:BC28)</f>
        <v>0</v>
      </c>
      <c r="BD29" s="11">
        <f t="shared" ref="BD29:BG29" si="143">SUM(BD25:BD28)</f>
        <v>0</v>
      </c>
      <c r="BE29" s="11">
        <f t="shared" si="143"/>
        <v>0</v>
      </c>
      <c r="BF29" s="11">
        <f t="shared" si="143"/>
        <v>0</v>
      </c>
      <c r="BG29" s="11">
        <f t="shared" si="143"/>
        <v>0</v>
      </c>
      <c r="BH29" s="25">
        <f>SUM(BH25:BH28)</f>
        <v>0</v>
      </c>
      <c r="BJ29" s="10">
        <f>SUM(BJ25:BJ28)</f>
        <v>0</v>
      </c>
      <c r="BK29" s="11">
        <f t="shared" ref="BK29:BN29" si="144">SUM(BK25:BK28)</f>
        <v>0</v>
      </c>
      <c r="BL29" s="11">
        <f t="shared" si="144"/>
        <v>0</v>
      </c>
      <c r="BM29" s="11">
        <f t="shared" si="144"/>
        <v>0</v>
      </c>
      <c r="BN29" s="11">
        <f t="shared" si="144"/>
        <v>0</v>
      </c>
      <c r="BO29" s="25">
        <f>SUM(BO25:BO28)</f>
        <v>0</v>
      </c>
      <c r="BQ29" s="10">
        <f>SUM(BQ25:BQ28)</f>
        <v>0</v>
      </c>
      <c r="BR29" s="11">
        <f t="shared" ref="BR29:BU29" si="145">SUM(BR25:BR28)</f>
        <v>0</v>
      </c>
      <c r="BS29" s="11">
        <f t="shared" si="145"/>
        <v>0</v>
      </c>
      <c r="BT29" s="11">
        <f t="shared" si="145"/>
        <v>0</v>
      </c>
      <c r="BU29" s="11">
        <f t="shared" si="145"/>
        <v>0</v>
      </c>
      <c r="BV29" s="25">
        <f>SUM(BV25:BV28)</f>
        <v>0</v>
      </c>
      <c r="BX29" s="10">
        <f>SUM(BX25:BX28)</f>
        <v>0</v>
      </c>
      <c r="BY29" s="11">
        <f t="shared" ref="BY29:CB29" si="146">SUM(BY25:BY28)</f>
        <v>0</v>
      </c>
      <c r="BZ29" s="11">
        <f t="shared" si="146"/>
        <v>0</v>
      </c>
      <c r="CA29" s="11">
        <f t="shared" si="146"/>
        <v>0</v>
      </c>
      <c r="CB29" s="11">
        <f t="shared" si="146"/>
        <v>0</v>
      </c>
      <c r="CC29" s="25">
        <f>SUM(CC25:CC28)</f>
        <v>0</v>
      </c>
      <c r="CE29" s="62">
        <f t="shared" ref="CE29:CJ29" si="147">SUM(CE25:CE28)</f>
        <v>0</v>
      </c>
      <c r="CF29" s="63">
        <f t="shared" si="147"/>
        <v>0</v>
      </c>
      <c r="CG29" s="63">
        <f t="shared" si="147"/>
        <v>0</v>
      </c>
      <c r="CH29" s="63">
        <f t="shared" si="147"/>
        <v>0</v>
      </c>
      <c r="CI29" s="63">
        <f t="shared" si="147"/>
        <v>0</v>
      </c>
      <c r="CJ29" s="25">
        <f t="shared" si="147"/>
        <v>0</v>
      </c>
      <c r="CL29" s="10">
        <f>SUM(CL25:CL28)</f>
        <v>0</v>
      </c>
      <c r="CM29" s="11">
        <f t="shared" ref="CM29:CP29" si="148">SUM(CM25:CM28)</f>
        <v>0</v>
      </c>
      <c r="CN29" s="11">
        <f t="shared" si="148"/>
        <v>0</v>
      </c>
      <c r="CO29" s="11">
        <f t="shared" si="148"/>
        <v>0</v>
      </c>
      <c r="CP29" s="11">
        <f t="shared" si="148"/>
        <v>0</v>
      </c>
      <c r="CQ29" s="25">
        <f>SUM(CQ25:CQ28)</f>
        <v>0</v>
      </c>
      <c r="CS29" s="10">
        <f>SUM(CS25:CS28)</f>
        <v>0</v>
      </c>
      <c r="CT29" s="11">
        <f t="shared" ref="CT29:CW29" si="149">SUM(CT25:CT28)</f>
        <v>0</v>
      </c>
      <c r="CU29" s="11">
        <f t="shared" si="149"/>
        <v>0</v>
      </c>
      <c r="CV29" s="11">
        <f t="shared" si="149"/>
        <v>0</v>
      </c>
      <c r="CW29" s="11">
        <f t="shared" si="149"/>
        <v>0</v>
      </c>
      <c r="CX29" s="25">
        <f>SUM(CX25:CX28)</f>
        <v>0</v>
      </c>
      <c r="CZ29" s="10">
        <f>SUM(CZ25:CZ28)</f>
        <v>0</v>
      </c>
      <c r="DA29" s="11">
        <f t="shared" ref="DA29:DD29" si="150">SUM(DA25:DA28)</f>
        <v>0</v>
      </c>
      <c r="DB29" s="11">
        <f t="shared" si="150"/>
        <v>0</v>
      </c>
      <c r="DC29" s="11">
        <f t="shared" si="150"/>
        <v>0</v>
      </c>
      <c r="DD29" s="11">
        <f t="shared" si="150"/>
        <v>0</v>
      </c>
      <c r="DE29" s="25">
        <f>SUM(DE25:DE28)</f>
        <v>0</v>
      </c>
    </row>
    <row r="30" spans="3:109" ht="10.4" customHeight="1" thickBot="1"/>
    <row r="31" spans="3:109">
      <c r="C31" s="553">
        <v>2028</v>
      </c>
      <c r="E31" s="13" t="s">
        <v>59</v>
      </c>
      <c r="F31" s="21">
        <f>CE25</f>
        <v>0</v>
      </c>
      <c r="G31" s="22">
        <f t="shared" ref="G31:G34" si="151">CF25</f>
        <v>0</v>
      </c>
      <c r="H31" s="22">
        <f t="shared" ref="H31:H34" si="152">CG25</f>
        <v>0</v>
      </c>
      <c r="I31" s="22">
        <f t="shared" ref="I31:I34" si="153">CH25</f>
        <v>0</v>
      </c>
      <c r="J31" s="22">
        <f t="shared" ref="J31:J34" si="154">CI25</f>
        <v>0</v>
      </c>
      <c r="K31" s="15">
        <f>SUM(F31:J31)</f>
        <v>0</v>
      </c>
      <c r="M31" s="2"/>
      <c r="N31" s="3"/>
      <c r="O31" s="3"/>
      <c r="P31" s="3"/>
      <c r="Q31" s="3"/>
      <c r="R31" s="15">
        <f>SUM(M31:Q31)</f>
        <v>0</v>
      </c>
      <c r="T31" s="2"/>
      <c r="U31" s="3"/>
      <c r="V31" s="3"/>
      <c r="W31" s="3"/>
      <c r="X31" s="3"/>
      <c r="Y31" s="15">
        <f>SUM(T31:X31)</f>
        <v>0</v>
      </c>
      <c r="AA31" s="2"/>
      <c r="AB31" s="3"/>
      <c r="AC31" s="3"/>
      <c r="AD31" s="3"/>
      <c r="AE31" s="3"/>
      <c r="AF31" s="15">
        <f>SUM(AA31:AE31)</f>
        <v>0</v>
      </c>
      <c r="AH31" s="2"/>
      <c r="AI31" s="3"/>
      <c r="AJ31" s="3"/>
      <c r="AK31" s="3"/>
      <c r="AL31" s="3"/>
      <c r="AM31" s="15">
        <f>SUM(AH31:AL31)</f>
        <v>0</v>
      </c>
      <c r="AO31" s="2"/>
      <c r="AP31" s="3"/>
      <c r="AQ31" s="3"/>
      <c r="AR31" s="3"/>
      <c r="AS31" s="3"/>
      <c r="AT31" s="15">
        <f>SUM(AO31:AS31)</f>
        <v>0</v>
      </c>
      <c r="AV31" s="2"/>
      <c r="AW31" s="3"/>
      <c r="AX31" s="3"/>
      <c r="AY31" s="3"/>
      <c r="AZ31" s="3"/>
      <c r="BA31" s="15">
        <f>SUM(AV31:AZ31)</f>
        <v>0</v>
      </c>
      <c r="BC31" s="2"/>
      <c r="BD31" s="3"/>
      <c r="BE31" s="3"/>
      <c r="BF31" s="3"/>
      <c r="BG31" s="3"/>
      <c r="BH31" s="15">
        <f>SUM(BC31:BG31)</f>
        <v>0</v>
      </c>
      <c r="BJ31" s="2"/>
      <c r="BK31" s="3"/>
      <c r="BL31" s="3"/>
      <c r="BM31" s="3"/>
      <c r="BN31" s="3"/>
      <c r="BO31" s="15">
        <f>SUM(BJ31:BN31)</f>
        <v>0</v>
      </c>
      <c r="BQ31" s="2"/>
      <c r="BR31" s="3"/>
      <c r="BS31" s="3"/>
      <c r="BT31" s="3"/>
      <c r="BU31" s="3"/>
      <c r="BV31" s="15">
        <f>SUM(BQ31:BU31)</f>
        <v>0</v>
      </c>
      <c r="BX31" s="2"/>
      <c r="BY31" s="3"/>
      <c r="BZ31" s="3"/>
      <c r="CA31" s="3"/>
      <c r="CB31" s="3"/>
      <c r="CC31" s="15">
        <f>SUM(BX31:CB31)</f>
        <v>0</v>
      </c>
      <c r="CE31" s="26">
        <f t="shared" ref="CE31:CE34" si="155">F31+M31+T31+AA31+AH31+AO31+AV31+BC31+BJ31+BQ31+BX31</f>
        <v>0</v>
      </c>
      <c r="CF31" s="27">
        <f t="shared" ref="CF31:CF34" si="156">G31+N31+U31+AB31+AI31+AP31+AW31+BD31+BK31+BR31+BY31</f>
        <v>0</v>
      </c>
      <c r="CG31" s="27">
        <f t="shared" ref="CG31:CG34" si="157">H31+O31+V31+AC31+AJ31+AQ31+AX31+BE31+BL31+BS31+BZ31</f>
        <v>0</v>
      </c>
      <c r="CH31" s="27">
        <f t="shared" ref="CH31:CH34" si="158">I31+P31+W31+AD31+AK31+AR31+AY31+BF31+BM31+BT31+CA31</f>
        <v>0</v>
      </c>
      <c r="CI31" s="27">
        <f t="shared" ref="CI31:CI34" si="159">J31+Q31+X31+AE31+AL31+AS31+AZ31+BG31+BN31+BU31+CB31</f>
        <v>0</v>
      </c>
      <c r="CJ31" s="4">
        <f>SUM(CE31:CI31)</f>
        <v>0</v>
      </c>
      <c r="CL31" s="2"/>
      <c r="CM31" s="3"/>
      <c r="CN31" s="3"/>
      <c r="CO31" s="3"/>
      <c r="CP31" s="3"/>
      <c r="CQ31" s="15">
        <f>SUM(CL31:CP31)</f>
        <v>0</v>
      </c>
      <c r="CS31" s="2"/>
      <c r="CT31" s="3"/>
      <c r="CU31" s="3"/>
      <c r="CV31" s="3"/>
      <c r="CW31" s="3"/>
      <c r="CX31" s="4">
        <f>SUM(CS31:CW31)</f>
        <v>0</v>
      </c>
      <c r="CZ31" s="2"/>
      <c r="DA31" s="3"/>
      <c r="DB31" s="3"/>
      <c r="DC31" s="3"/>
      <c r="DD31" s="3"/>
      <c r="DE31" s="4">
        <f>SUM(CZ31:DD31)</f>
        <v>0</v>
      </c>
    </row>
    <row r="32" spans="3:109">
      <c r="C32" s="567"/>
      <c r="E32" s="14" t="s">
        <v>60</v>
      </c>
      <c r="F32" s="23">
        <f t="shared" ref="F32:F34" si="160">CE26</f>
        <v>0</v>
      </c>
      <c r="G32" s="24">
        <f t="shared" si="151"/>
        <v>0</v>
      </c>
      <c r="H32" s="24">
        <f t="shared" si="152"/>
        <v>0</v>
      </c>
      <c r="I32" s="24">
        <f t="shared" si="153"/>
        <v>0</v>
      </c>
      <c r="J32" s="24">
        <f t="shared" si="154"/>
        <v>0</v>
      </c>
      <c r="K32" s="16">
        <f t="shared" ref="K32:K34" si="161">SUM(F32:J32)</f>
        <v>0</v>
      </c>
      <c r="M32" s="6"/>
      <c r="N32" s="7"/>
      <c r="O32" s="7"/>
      <c r="P32" s="7"/>
      <c r="Q32" s="7"/>
      <c r="R32" s="16">
        <f t="shared" ref="R32:R34" si="162">SUM(M32:Q32)</f>
        <v>0</v>
      </c>
      <c r="T32" s="6"/>
      <c r="U32" s="7"/>
      <c r="V32" s="7"/>
      <c r="W32" s="7"/>
      <c r="X32" s="7"/>
      <c r="Y32" s="16">
        <f t="shared" ref="Y32:Y34" si="163">SUM(T32:X32)</f>
        <v>0</v>
      </c>
      <c r="AA32" s="6"/>
      <c r="AB32" s="7"/>
      <c r="AC32" s="7"/>
      <c r="AD32" s="7"/>
      <c r="AE32" s="7"/>
      <c r="AF32" s="16">
        <f t="shared" ref="AF32:AF34" si="164">SUM(AA32:AE32)</f>
        <v>0</v>
      </c>
      <c r="AH32" s="6"/>
      <c r="AI32" s="7"/>
      <c r="AJ32" s="7"/>
      <c r="AK32" s="7"/>
      <c r="AL32" s="7"/>
      <c r="AM32" s="16">
        <f t="shared" ref="AM32:AM34" si="165">SUM(AH32:AL32)</f>
        <v>0</v>
      </c>
      <c r="AO32" s="6"/>
      <c r="AP32" s="7"/>
      <c r="AQ32" s="7"/>
      <c r="AR32" s="7"/>
      <c r="AS32" s="7"/>
      <c r="AT32" s="16">
        <f t="shared" ref="AT32:AT34" si="166">SUM(AO32:AS32)</f>
        <v>0</v>
      </c>
      <c r="AV32" s="6"/>
      <c r="AW32" s="7"/>
      <c r="AX32" s="7"/>
      <c r="AY32" s="7"/>
      <c r="AZ32" s="7"/>
      <c r="BA32" s="16">
        <f t="shared" ref="BA32:BA34" si="167">SUM(AV32:AZ32)</f>
        <v>0</v>
      </c>
      <c r="BC32" s="6"/>
      <c r="BD32" s="7"/>
      <c r="BE32" s="7"/>
      <c r="BF32" s="7"/>
      <c r="BG32" s="7"/>
      <c r="BH32" s="16">
        <f t="shared" ref="BH32:BH34" si="168">SUM(BC32:BG32)</f>
        <v>0</v>
      </c>
      <c r="BJ32" s="6"/>
      <c r="BK32" s="7"/>
      <c r="BL32" s="7"/>
      <c r="BM32" s="7"/>
      <c r="BN32" s="7"/>
      <c r="BO32" s="16">
        <f t="shared" ref="BO32:BO34" si="169">SUM(BJ32:BN32)</f>
        <v>0</v>
      </c>
      <c r="BQ32" s="6"/>
      <c r="BR32" s="7"/>
      <c r="BS32" s="7"/>
      <c r="BT32" s="7"/>
      <c r="BU32" s="7"/>
      <c r="BV32" s="16">
        <f t="shared" ref="BV32:BV34" si="170">SUM(BQ32:BU32)</f>
        <v>0</v>
      </c>
      <c r="BX32" s="6"/>
      <c r="BY32" s="7"/>
      <c r="BZ32" s="7"/>
      <c r="CA32" s="7"/>
      <c r="CB32" s="7"/>
      <c r="CC32" s="16">
        <f t="shared" ref="CC32:CC34" si="171">SUM(BX32:CB32)</f>
        <v>0</v>
      </c>
      <c r="CE32" s="28">
        <f t="shared" si="155"/>
        <v>0</v>
      </c>
      <c r="CF32" s="29">
        <f t="shared" si="156"/>
        <v>0</v>
      </c>
      <c r="CG32" s="29">
        <f t="shared" si="157"/>
        <v>0</v>
      </c>
      <c r="CH32" s="29">
        <f t="shared" si="158"/>
        <v>0</v>
      </c>
      <c r="CI32" s="29">
        <f t="shared" si="159"/>
        <v>0</v>
      </c>
      <c r="CJ32" s="8">
        <f>SUM(CE32:CI32)</f>
        <v>0</v>
      </c>
      <c r="CL32" s="6"/>
      <c r="CM32" s="7"/>
      <c r="CN32" s="7"/>
      <c r="CO32" s="7"/>
      <c r="CP32" s="7"/>
      <c r="CQ32" s="16">
        <f t="shared" ref="CQ32:CQ34" si="172">SUM(CL32:CP32)</f>
        <v>0</v>
      </c>
      <c r="CS32" s="6"/>
      <c r="CT32" s="7"/>
      <c r="CU32" s="7"/>
      <c r="CV32" s="7"/>
      <c r="CW32" s="7"/>
      <c r="CX32" s="8">
        <f t="shared" ref="CX32:CX34" si="173">SUM(CS32:CW32)</f>
        <v>0</v>
      </c>
      <c r="CZ32" s="6"/>
      <c r="DA32" s="7"/>
      <c r="DB32" s="7"/>
      <c r="DC32" s="7"/>
      <c r="DD32" s="7"/>
      <c r="DE32" s="8">
        <f t="shared" ref="DE32:DE34" si="174">SUM(CZ32:DD32)</f>
        <v>0</v>
      </c>
    </row>
    <row r="33" spans="2:109">
      <c r="C33" s="567"/>
      <c r="E33" s="14" t="s">
        <v>61</v>
      </c>
      <c r="F33" s="23">
        <f t="shared" si="160"/>
        <v>0</v>
      </c>
      <c r="G33" s="24">
        <f t="shared" si="151"/>
        <v>0</v>
      </c>
      <c r="H33" s="24">
        <f t="shared" si="152"/>
        <v>0</v>
      </c>
      <c r="I33" s="24">
        <f t="shared" si="153"/>
        <v>0</v>
      </c>
      <c r="J33" s="24">
        <f t="shared" si="154"/>
        <v>0</v>
      </c>
      <c r="K33" s="16">
        <f t="shared" si="161"/>
        <v>0</v>
      </c>
      <c r="M33" s="6"/>
      <c r="N33" s="7"/>
      <c r="O33" s="7"/>
      <c r="P33" s="7"/>
      <c r="Q33" s="7"/>
      <c r="R33" s="16">
        <f t="shared" si="162"/>
        <v>0</v>
      </c>
      <c r="T33" s="6"/>
      <c r="U33" s="7"/>
      <c r="V33" s="7"/>
      <c r="W33" s="7"/>
      <c r="X33" s="7"/>
      <c r="Y33" s="16">
        <f t="shared" si="163"/>
        <v>0</v>
      </c>
      <c r="AA33" s="6"/>
      <c r="AB33" s="7"/>
      <c r="AC33" s="7"/>
      <c r="AD33" s="7"/>
      <c r="AE33" s="7"/>
      <c r="AF33" s="16">
        <f t="shared" si="164"/>
        <v>0</v>
      </c>
      <c r="AH33" s="6"/>
      <c r="AI33" s="7"/>
      <c r="AJ33" s="7"/>
      <c r="AK33" s="7"/>
      <c r="AL33" s="7"/>
      <c r="AM33" s="16">
        <f t="shared" si="165"/>
        <v>0</v>
      </c>
      <c r="AO33" s="6"/>
      <c r="AP33" s="7"/>
      <c r="AQ33" s="7"/>
      <c r="AR33" s="7"/>
      <c r="AS33" s="7"/>
      <c r="AT33" s="16">
        <f t="shared" si="166"/>
        <v>0</v>
      </c>
      <c r="AV33" s="6"/>
      <c r="AW33" s="7"/>
      <c r="AX33" s="7"/>
      <c r="AY33" s="7"/>
      <c r="AZ33" s="7"/>
      <c r="BA33" s="16">
        <f t="shared" si="167"/>
        <v>0</v>
      </c>
      <c r="BC33" s="6"/>
      <c r="BD33" s="7"/>
      <c r="BE33" s="7"/>
      <c r="BF33" s="7"/>
      <c r="BG33" s="7"/>
      <c r="BH33" s="16">
        <f t="shared" si="168"/>
        <v>0</v>
      </c>
      <c r="BJ33" s="6"/>
      <c r="BK33" s="7"/>
      <c r="BL33" s="7"/>
      <c r="BM33" s="7"/>
      <c r="BN33" s="7"/>
      <c r="BO33" s="16">
        <f t="shared" si="169"/>
        <v>0</v>
      </c>
      <c r="BQ33" s="6"/>
      <c r="BR33" s="7"/>
      <c r="BS33" s="7"/>
      <c r="BT33" s="7"/>
      <c r="BU33" s="7"/>
      <c r="BV33" s="16">
        <f t="shared" si="170"/>
        <v>0</v>
      </c>
      <c r="BX33" s="6"/>
      <c r="BY33" s="7"/>
      <c r="BZ33" s="7"/>
      <c r="CA33" s="7"/>
      <c r="CB33" s="7"/>
      <c r="CC33" s="16">
        <f t="shared" si="171"/>
        <v>0</v>
      </c>
      <c r="CE33" s="28">
        <f t="shared" si="155"/>
        <v>0</v>
      </c>
      <c r="CF33" s="29">
        <f t="shared" si="156"/>
        <v>0</v>
      </c>
      <c r="CG33" s="29">
        <f t="shared" si="157"/>
        <v>0</v>
      </c>
      <c r="CH33" s="29">
        <f t="shared" si="158"/>
        <v>0</v>
      </c>
      <c r="CI33" s="29">
        <f t="shared" si="159"/>
        <v>0</v>
      </c>
      <c r="CJ33" s="8">
        <f>SUM(CE33:CI33)</f>
        <v>0</v>
      </c>
      <c r="CL33" s="6"/>
      <c r="CM33" s="7"/>
      <c r="CN33" s="7"/>
      <c r="CO33" s="7"/>
      <c r="CP33" s="7"/>
      <c r="CQ33" s="16">
        <f t="shared" si="172"/>
        <v>0</v>
      </c>
      <c r="CS33" s="6"/>
      <c r="CT33" s="7"/>
      <c r="CU33" s="7"/>
      <c r="CV33" s="7"/>
      <c r="CW33" s="7"/>
      <c r="CX33" s="8">
        <f t="shared" si="173"/>
        <v>0</v>
      </c>
      <c r="CZ33" s="6"/>
      <c r="DA33" s="7"/>
      <c r="DB33" s="7"/>
      <c r="DC33" s="7"/>
      <c r="DD33" s="7"/>
      <c r="DE33" s="8">
        <f t="shared" si="174"/>
        <v>0</v>
      </c>
    </row>
    <row r="34" spans="2:109" ht="14" thickBot="1">
      <c r="C34" s="567"/>
      <c r="E34" s="14" t="s">
        <v>62</v>
      </c>
      <c r="F34" s="23">
        <f t="shared" si="160"/>
        <v>0</v>
      </c>
      <c r="G34" s="24">
        <f t="shared" si="151"/>
        <v>0</v>
      </c>
      <c r="H34" s="24">
        <f t="shared" si="152"/>
        <v>0</v>
      </c>
      <c r="I34" s="24">
        <f t="shared" si="153"/>
        <v>0</v>
      </c>
      <c r="J34" s="24">
        <f t="shared" si="154"/>
        <v>0</v>
      </c>
      <c r="K34" s="16">
        <f t="shared" si="161"/>
        <v>0</v>
      </c>
      <c r="M34" s="6"/>
      <c r="N34" s="7"/>
      <c r="O34" s="7"/>
      <c r="P34" s="7"/>
      <c r="Q34" s="7"/>
      <c r="R34" s="16">
        <f t="shared" si="162"/>
        <v>0</v>
      </c>
      <c r="T34" s="6"/>
      <c r="U34" s="7"/>
      <c r="V34" s="7"/>
      <c r="W34" s="7"/>
      <c r="X34" s="7"/>
      <c r="Y34" s="16">
        <f t="shared" si="163"/>
        <v>0</v>
      </c>
      <c r="AA34" s="6"/>
      <c r="AB34" s="7"/>
      <c r="AC34" s="7"/>
      <c r="AD34" s="7"/>
      <c r="AE34" s="7"/>
      <c r="AF34" s="16">
        <f t="shared" si="164"/>
        <v>0</v>
      </c>
      <c r="AH34" s="6"/>
      <c r="AI34" s="7"/>
      <c r="AJ34" s="7"/>
      <c r="AK34" s="7"/>
      <c r="AL34" s="7"/>
      <c r="AM34" s="16">
        <f t="shared" si="165"/>
        <v>0</v>
      </c>
      <c r="AO34" s="6"/>
      <c r="AP34" s="7"/>
      <c r="AQ34" s="7"/>
      <c r="AR34" s="7"/>
      <c r="AS34" s="7"/>
      <c r="AT34" s="16">
        <f t="shared" si="166"/>
        <v>0</v>
      </c>
      <c r="AV34" s="6"/>
      <c r="AW34" s="7"/>
      <c r="AX34" s="7"/>
      <c r="AY34" s="7"/>
      <c r="AZ34" s="7"/>
      <c r="BA34" s="16">
        <f t="shared" si="167"/>
        <v>0</v>
      </c>
      <c r="BC34" s="6"/>
      <c r="BD34" s="7"/>
      <c r="BE34" s="7"/>
      <c r="BF34" s="7"/>
      <c r="BG34" s="7"/>
      <c r="BH34" s="16">
        <f t="shared" si="168"/>
        <v>0</v>
      </c>
      <c r="BJ34" s="6"/>
      <c r="BK34" s="7"/>
      <c r="BL34" s="7"/>
      <c r="BM34" s="7"/>
      <c r="BN34" s="7"/>
      <c r="BO34" s="16">
        <f t="shared" si="169"/>
        <v>0</v>
      </c>
      <c r="BQ34" s="6"/>
      <c r="BR34" s="7"/>
      <c r="BS34" s="7"/>
      <c r="BT34" s="7"/>
      <c r="BU34" s="7"/>
      <c r="BV34" s="16">
        <f t="shared" si="170"/>
        <v>0</v>
      </c>
      <c r="BX34" s="6"/>
      <c r="BY34" s="7"/>
      <c r="BZ34" s="7"/>
      <c r="CA34" s="7"/>
      <c r="CB34" s="7"/>
      <c r="CC34" s="16">
        <f t="shared" si="171"/>
        <v>0</v>
      </c>
      <c r="CE34" s="493">
        <f t="shared" si="155"/>
        <v>0</v>
      </c>
      <c r="CF34" s="494">
        <f t="shared" si="156"/>
        <v>0</v>
      </c>
      <c r="CG34" s="494">
        <f t="shared" si="157"/>
        <v>0</v>
      </c>
      <c r="CH34" s="494">
        <f t="shared" si="158"/>
        <v>0</v>
      </c>
      <c r="CI34" s="494">
        <f t="shared" si="159"/>
        <v>0</v>
      </c>
      <c r="CJ34" s="495">
        <f>SUM(CE34:CI34)</f>
        <v>0</v>
      </c>
      <c r="CL34" s="6"/>
      <c r="CM34" s="7"/>
      <c r="CN34" s="7"/>
      <c r="CO34" s="7"/>
      <c r="CP34" s="7"/>
      <c r="CQ34" s="16">
        <f t="shared" si="172"/>
        <v>0</v>
      </c>
      <c r="CS34" s="6"/>
      <c r="CT34" s="7"/>
      <c r="CU34" s="7"/>
      <c r="CV34" s="7"/>
      <c r="CW34" s="7"/>
      <c r="CX34" s="8">
        <f t="shared" si="173"/>
        <v>0</v>
      </c>
      <c r="CZ34" s="6"/>
      <c r="DA34" s="7"/>
      <c r="DB34" s="7"/>
      <c r="DC34" s="7"/>
      <c r="DD34" s="7"/>
      <c r="DE34" s="8">
        <f t="shared" si="174"/>
        <v>0</v>
      </c>
    </row>
    <row r="35" spans="2:109" ht="14" thickBot="1">
      <c r="C35" s="554"/>
      <c r="E35" s="9"/>
      <c r="F35" s="10">
        <f>SUM(F31:F34)</f>
        <v>0</v>
      </c>
      <c r="G35" s="11">
        <f t="shared" ref="G35:J35" si="175">SUM(G31:G34)</f>
        <v>0</v>
      </c>
      <c r="H35" s="11">
        <f t="shared" si="175"/>
        <v>0</v>
      </c>
      <c r="I35" s="11">
        <f t="shared" si="175"/>
        <v>0</v>
      </c>
      <c r="J35" s="11">
        <f t="shared" si="175"/>
        <v>0</v>
      </c>
      <c r="K35" s="25">
        <f>SUM(K31:K34)</f>
        <v>0</v>
      </c>
      <c r="M35" s="10">
        <f>SUM(M31:M34)</f>
        <v>0</v>
      </c>
      <c r="N35" s="11">
        <f t="shared" ref="N35:Q35" si="176">SUM(N31:N34)</f>
        <v>0</v>
      </c>
      <c r="O35" s="11">
        <f t="shared" si="176"/>
        <v>0</v>
      </c>
      <c r="P35" s="11">
        <f t="shared" si="176"/>
        <v>0</v>
      </c>
      <c r="Q35" s="11">
        <f t="shared" si="176"/>
        <v>0</v>
      </c>
      <c r="R35" s="25">
        <f>SUM(R31:R34)</f>
        <v>0</v>
      </c>
      <c r="T35" s="10">
        <f>SUM(T31:T34)</f>
        <v>0</v>
      </c>
      <c r="U35" s="11">
        <f t="shared" ref="U35:X35" si="177">SUM(U31:U34)</f>
        <v>0</v>
      </c>
      <c r="V35" s="11">
        <f t="shared" si="177"/>
        <v>0</v>
      </c>
      <c r="W35" s="11">
        <f t="shared" si="177"/>
        <v>0</v>
      </c>
      <c r="X35" s="11">
        <f t="shared" si="177"/>
        <v>0</v>
      </c>
      <c r="Y35" s="25">
        <f>SUM(Y31:Y34)</f>
        <v>0</v>
      </c>
      <c r="AA35" s="10">
        <f>SUM(AA31:AA34)</f>
        <v>0</v>
      </c>
      <c r="AB35" s="11">
        <f t="shared" ref="AB35:AE35" si="178">SUM(AB31:AB34)</f>
        <v>0</v>
      </c>
      <c r="AC35" s="11">
        <f t="shared" si="178"/>
        <v>0</v>
      </c>
      <c r="AD35" s="11">
        <f t="shared" si="178"/>
        <v>0</v>
      </c>
      <c r="AE35" s="11">
        <f t="shared" si="178"/>
        <v>0</v>
      </c>
      <c r="AF35" s="25">
        <f>SUM(AF31:AF34)</f>
        <v>0</v>
      </c>
      <c r="AH35" s="10">
        <f>SUM(AH31:AH34)</f>
        <v>0</v>
      </c>
      <c r="AI35" s="11">
        <f t="shared" ref="AI35:AL35" si="179">SUM(AI31:AI34)</f>
        <v>0</v>
      </c>
      <c r="AJ35" s="11">
        <f t="shared" si="179"/>
        <v>0</v>
      </c>
      <c r="AK35" s="11">
        <f t="shared" si="179"/>
        <v>0</v>
      </c>
      <c r="AL35" s="11">
        <f t="shared" si="179"/>
        <v>0</v>
      </c>
      <c r="AM35" s="25">
        <f>SUM(AM31:AM34)</f>
        <v>0</v>
      </c>
      <c r="AO35" s="10">
        <f>SUM(AO31:AO34)</f>
        <v>0</v>
      </c>
      <c r="AP35" s="11">
        <f t="shared" ref="AP35:AS35" si="180">SUM(AP31:AP34)</f>
        <v>0</v>
      </c>
      <c r="AQ35" s="11">
        <f t="shared" si="180"/>
        <v>0</v>
      </c>
      <c r="AR35" s="11">
        <f t="shared" si="180"/>
        <v>0</v>
      </c>
      <c r="AS35" s="11">
        <f t="shared" si="180"/>
        <v>0</v>
      </c>
      <c r="AT35" s="25">
        <f>SUM(AT31:AT34)</f>
        <v>0</v>
      </c>
      <c r="AV35" s="10">
        <f>SUM(AV31:AV34)</f>
        <v>0</v>
      </c>
      <c r="AW35" s="11">
        <f t="shared" ref="AW35:AZ35" si="181">SUM(AW31:AW34)</f>
        <v>0</v>
      </c>
      <c r="AX35" s="11">
        <f t="shared" si="181"/>
        <v>0</v>
      </c>
      <c r="AY35" s="11">
        <f t="shared" si="181"/>
        <v>0</v>
      </c>
      <c r="AZ35" s="11">
        <f t="shared" si="181"/>
        <v>0</v>
      </c>
      <c r="BA35" s="25">
        <f>SUM(BA31:BA34)</f>
        <v>0</v>
      </c>
      <c r="BC35" s="10">
        <f>SUM(BC31:BC34)</f>
        <v>0</v>
      </c>
      <c r="BD35" s="11">
        <f t="shared" ref="BD35:BG35" si="182">SUM(BD31:BD34)</f>
        <v>0</v>
      </c>
      <c r="BE35" s="11">
        <f t="shared" si="182"/>
        <v>0</v>
      </c>
      <c r="BF35" s="11">
        <f t="shared" si="182"/>
        <v>0</v>
      </c>
      <c r="BG35" s="11">
        <f t="shared" si="182"/>
        <v>0</v>
      </c>
      <c r="BH35" s="25">
        <f>SUM(BH31:BH34)</f>
        <v>0</v>
      </c>
      <c r="BJ35" s="10">
        <f>SUM(BJ31:BJ34)</f>
        <v>0</v>
      </c>
      <c r="BK35" s="11">
        <f t="shared" ref="BK35:BN35" si="183">SUM(BK31:BK34)</f>
        <v>0</v>
      </c>
      <c r="BL35" s="11">
        <f t="shared" si="183"/>
        <v>0</v>
      </c>
      <c r="BM35" s="11">
        <f t="shared" si="183"/>
        <v>0</v>
      </c>
      <c r="BN35" s="11">
        <f t="shared" si="183"/>
        <v>0</v>
      </c>
      <c r="BO35" s="25">
        <f>SUM(BO31:BO34)</f>
        <v>0</v>
      </c>
      <c r="BQ35" s="10">
        <f>SUM(BQ31:BQ34)</f>
        <v>0</v>
      </c>
      <c r="BR35" s="11">
        <f t="shared" ref="BR35:BU35" si="184">SUM(BR31:BR34)</f>
        <v>0</v>
      </c>
      <c r="BS35" s="11">
        <f t="shared" si="184"/>
        <v>0</v>
      </c>
      <c r="BT35" s="11">
        <f t="shared" si="184"/>
        <v>0</v>
      </c>
      <c r="BU35" s="11">
        <f t="shared" si="184"/>
        <v>0</v>
      </c>
      <c r="BV35" s="25">
        <f>SUM(BV31:BV34)</f>
        <v>0</v>
      </c>
      <c r="BX35" s="10">
        <f>SUM(BX31:BX34)</f>
        <v>0</v>
      </c>
      <c r="BY35" s="11">
        <f t="shared" ref="BY35:CB35" si="185">SUM(BY31:BY34)</f>
        <v>0</v>
      </c>
      <c r="BZ35" s="11">
        <f t="shared" si="185"/>
        <v>0</v>
      </c>
      <c r="CA35" s="11">
        <f t="shared" si="185"/>
        <v>0</v>
      </c>
      <c r="CB35" s="11">
        <f t="shared" si="185"/>
        <v>0</v>
      </c>
      <c r="CC35" s="25">
        <f>SUM(CC31:CC34)</f>
        <v>0</v>
      </c>
      <c r="CE35" s="62">
        <f t="shared" ref="CE35:CJ35" si="186">SUM(CE31:CE34)</f>
        <v>0</v>
      </c>
      <c r="CF35" s="63">
        <f t="shared" si="186"/>
        <v>0</v>
      </c>
      <c r="CG35" s="63">
        <f t="shared" si="186"/>
        <v>0</v>
      </c>
      <c r="CH35" s="63">
        <f t="shared" si="186"/>
        <v>0</v>
      </c>
      <c r="CI35" s="63">
        <f t="shared" si="186"/>
        <v>0</v>
      </c>
      <c r="CJ35" s="25">
        <f t="shared" si="186"/>
        <v>0</v>
      </c>
      <c r="CL35" s="10">
        <f>SUM(CL31:CL34)</f>
        <v>0</v>
      </c>
      <c r="CM35" s="11">
        <f t="shared" ref="CM35:CP35" si="187">SUM(CM31:CM34)</f>
        <v>0</v>
      </c>
      <c r="CN35" s="11">
        <f t="shared" si="187"/>
        <v>0</v>
      </c>
      <c r="CO35" s="11">
        <f t="shared" si="187"/>
        <v>0</v>
      </c>
      <c r="CP35" s="11">
        <f t="shared" si="187"/>
        <v>0</v>
      </c>
      <c r="CQ35" s="25">
        <f>SUM(CQ31:CQ34)</f>
        <v>0</v>
      </c>
      <c r="CS35" s="10">
        <f>SUM(CS31:CS34)</f>
        <v>0</v>
      </c>
      <c r="CT35" s="11">
        <f t="shared" ref="CT35:CW35" si="188">SUM(CT31:CT34)</f>
        <v>0</v>
      </c>
      <c r="CU35" s="11">
        <f t="shared" si="188"/>
        <v>0</v>
      </c>
      <c r="CV35" s="11">
        <f t="shared" si="188"/>
        <v>0</v>
      </c>
      <c r="CW35" s="11">
        <f t="shared" si="188"/>
        <v>0</v>
      </c>
      <c r="CX35" s="25">
        <f>SUM(CX31:CX34)</f>
        <v>0</v>
      </c>
      <c r="CZ35" s="10">
        <f>SUM(CZ31:CZ34)</f>
        <v>0</v>
      </c>
      <c r="DA35" s="11">
        <f t="shared" ref="DA35:DD35" si="189">SUM(DA31:DA34)</f>
        <v>0</v>
      </c>
      <c r="DB35" s="11">
        <f t="shared" si="189"/>
        <v>0</v>
      </c>
      <c r="DC35" s="11">
        <f t="shared" si="189"/>
        <v>0</v>
      </c>
      <c r="DD35" s="11">
        <f t="shared" si="189"/>
        <v>0</v>
      </c>
      <c r="DE35" s="25">
        <f>SUM(DE31:DE34)</f>
        <v>0</v>
      </c>
    </row>
    <row r="37" spans="2:109">
      <c r="B37" s="123"/>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L37" s="20"/>
      <c r="CM37" s="20"/>
      <c r="CN37" s="20"/>
      <c r="CO37" s="20"/>
      <c r="CP37" s="20"/>
      <c r="CQ37" s="20"/>
      <c r="CR37" s="20"/>
      <c r="CS37" s="20"/>
      <c r="CT37" s="20"/>
      <c r="CU37" s="20"/>
      <c r="CV37" s="20"/>
      <c r="CW37" s="20"/>
      <c r="CX37" s="20"/>
      <c r="CY37" s="20"/>
      <c r="CZ37" s="20"/>
      <c r="DA37" s="20"/>
      <c r="DB37" s="20"/>
      <c r="DC37" s="20"/>
      <c r="DD37" s="20"/>
      <c r="DE37" s="20"/>
    </row>
    <row r="38" spans="2:109" ht="14" thickBot="1">
      <c r="B38" s="94">
        <v>2</v>
      </c>
      <c r="C38" s="12" t="s">
        <v>63</v>
      </c>
    </row>
    <row r="39" spans="2:109">
      <c r="C39" s="553">
        <v>2024</v>
      </c>
      <c r="E39" s="1" t="s">
        <v>59</v>
      </c>
      <c r="F39" s="2"/>
      <c r="G39" s="3"/>
      <c r="H39" s="3"/>
      <c r="I39" s="3"/>
      <c r="J39" s="3"/>
      <c r="K39" s="15">
        <f>SUM(F39:J39)</f>
        <v>0</v>
      </c>
      <c r="M39" s="2"/>
      <c r="N39" s="3"/>
      <c r="O39" s="3"/>
      <c r="P39" s="3"/>
      <c r="Q39" s="3"/>
      <c r="R39" s="15">
        <f>SUM(M39:Q39)</f>
        <v>0</v>
      </c>
      <c r="T39" s="2"/>
      <c r="U39" s="3"/>
      <c r="V39" s="3"/>
      <c r="W39" s="3"/>
      <c r="X39" s="3"/>
      <c r="Y39" s="15">
        <f>SUM(T39:X39)</f>
        <v>0</v>
      </c>
      <c r="AA39" s="2"/>
      <c r="AB39" s="3"/>
      <c r="AC39" s="3"/>
      <c r="AD39" s="3"/>
      <c r="AE39" s="3"/>
      <c r="AF39" s="4">
        <f>SUM(AA39:AE39)</f>
        <v>0</v>
      </c>
      <c r="AH39" s="2"/>
      <c r="AI39" s="3"/>
      <c r="AJ39" s="3"/>
      <c r="AK39" s="3"/>
      <c r="AL39" s="3"/>
      <c r="AM39" s="4">
        <f>SUM(AH39:AL39)</f>
        <v>0</v>
      </c>
      <c r="AO39" s="2"/>
      <c r="AP39" s="3"/>
      <c r="AQ39" s="3"/>
      <c r="AR39" s="3"/>
      <c r="AS39" s="3"/>
      <c r="AT39" s="4">
        <f>SUM(AO39:AS39)</f>
        <v>0</v>
      </c>
      <c r="AV39" s="2"/>
      <c r="AW39" s="3"/>
      <c r="AX39" s="3"/>
      <c r="AY39" s="3"/>
      <c r="AZ39" s="3"/>
      <c r="BA39" s="4">
        <f>SUM(AV39:AZ39)</f>
        <v>0</v>
      </c>
      <c r="BC39" s="2"/>
      <c r="BD39" s="3"/>
      <c r="BE39" s="3"/>
      <c r="BF39" s="3"/>
      <c r="BG39" s="3"/>
      <c r="BH39" s="4">
        <f>SUM(BC39:BG39)</f>
        <v>0</v>
      </c>
      <c r="BJ39" s="2"/>
      <c r="BK39" s="3"/>
      <c r="BL39" s="3"/>
      <c r="BM39" s="3"/>
      <c r="BN39" s="3"/>
      <c r="BO39" s="4">
        <f>SUM(BJ39:BN39)</f>
        <v>0</v>
      </c>
      <c r="BQ39" s="2"/>
      <c r="BR39" s="3"/>
      <c r="BS39" s="3"/>
      <c r="BT39" s="3"/>
      <c r="BU39" s="3"/>
      <c r="BV39" s="4">
        <f>SUM(BQ39:BU39)</f>
        <v>0</v>
      </c>
      <c r="BX39" s="2"/>
      <c r="BY39" s="3"/>
      <c r="BZ39" s="3"/>
      <c r="CA39" s="3"/>
      <c r="CB39" s="3"/>
      <c r="CC39" s="4">
        <f>SUM(BX39:CB39)</f>
        <v>0</v>
      </c>
      <c r="CE39" s="26">
        <f t="shared" ref="CE39:CI42" si="190">F39+M39+T39+AA39+AH39+AO39+AV39+BC39+BJ39+BQ39+BX39</f>
        <v>0</v>
      </c>
      <c r="CF39" s="27">
        <f t="shared" si="190"/>
        <v>0</v>
      </c>
      <c r="CG39" s="27">
        <f t="shared" si="190"/>
        <v>0</v>
      </c>
      <c r="CH39" s="27">
        <f t="shared" si="190"/>
        <v>0</v>
      </c>
      <c r="CI39" s="27">
        <f t="shared" si="190"/>
        <v>0</v>
      </c>
      <c r="CJ39" s="4">
        <f>SUM(CE39:CI39)</f>
        <v>0</v>
      </c>
      <c r="CL39" s="2"/>
      <c r="CM39" s="3"/>
      <c r="CN39" s="3"/>
      <c r="CO39" s="3"/>
      <c r="CP39" s="3"/>
      <c r="CQ39" s="4">
        <f>SUM(CL39:CP39)</f>
        <v>0</v>
      </c>
      <c r="CS39" s="2"/>
      <c r="CT39" s="3"/>
      <c r="CU39" s="3"/>
      <c r="CV39" s="3"/>
      <c r="CW39" s="3"/>
      <c r="CX39" s="4">
        <f>SUM(CS39:CW39)</f>
        <v>0</v>
      </c>
      <c r="CZ39" s="2"/>
      <c r="DA39" s="3"/>
      <c r="DB39" s="3"/>
      <c r="DC39" s="3"/>
      <c r="DD39" s="3"/>
      <c r="DE39" s="4">
        <f>SUM(CZ39:DD39)</f>
        <v>0</v>
      </c>
    </row>
    <row r="40" spans="2:109">
      <c r="C40" s="567"/>
      <c r="E40" s="5" t="s">
        <v>60</v>
      </c>
      <c r="F40" s="6"/>
      <c r="G40" s="7"/>
      <c r="H40" s="7"/>
      <c r="I40" s="7"/>
      <c r="J40" s="7"/>
      <c r="K40" s="16">
        <f t="shared" ref="K40:K42" si="191">SUM(F40:J40)</f>
        <v>0</v>
      </c>
      <c r="M40" s="6"/>
      <c r="N40" s="7"/>
      <c r="O40" s="7"/>
      <c r="P40" s="7"/>
      <c r="Q40" s="7"/>
      <c r="R40" s="16">
        <f t="shared" ref="R40:R42" si="192">SUM(M40:Q40)</f>
        <v>0</v>
      </c>
      <c r="T40" s="6"/>
      <c r="U40" s="7"/>
      <c r="V40" s="7"/>
      <c r="W40" s="7"/>
      <c r="X40" s="7"/>
      <c r="Y40" s="16">
        <f t="shared" ref="Y40:Y42" si="193">SUM(T40:X40)</f>
        <v>0</v>
      </c>
      <c r="AA40" s="6"/>
      <c r="AB40" s="7"/>
      <c r="AC40" s="7"/>
      <c r="AD40" s="7"/>
      <c r="AE40" s="7"/>
      <c r="AF40" s="8">
        <f>SUM(AA40:AE40)</f>
        <v>0</v>
      </c>
      <c r="AH40" s="6"/>
      <c r="AI40" s="7"/>
      <c r="AJ40" s="7"/>
      <c r="AK40" s="7"/>
      <c r="AL40" s="7"/>
      <c r="AM40" s="8">
        <f>SUM(AH40:AL40)</f>
        <v>0</v>
      </c>
      <c r="AO40" s="6"/>
      <c r="AP40" s="7"/>
      <c r="AQ40" s="7"/>
      <c r="AR40" s="7"/>
      <c r="AS40" s="7"/>
      <c r="AT40" s="8">
        <f>SUM(AO40:AS40)</f>
        <v>0</v>
      </c>
      <c r="AV40" s="6"/>
      <c r="AW40" s="7"/>
      <c r="AX40" s="7"/>
      <c r="AY40" s="7"/>
      <c r="AZ40" s="7"/>
      <c r="BA40" s="8">
        <f>SUM(AV40:AZ40)</f>
        <v>0</v>
      </c>
      <c r="BC40" s="6"/>
      <c r="BD40" s="7"/>
      <c r="BE40" s="7"/>
      <c r="BF40" s="7"/>
      <c r="BG40" s="7"/>
      <c r="BH40" s="8">
        <f>SUM(BC40:BG40)</f>
        <v>0</v>
      </c>
      <c r="BJ40" s="6"/>
      <c r="BK40" s="7"/>
      <c r="BL40" s="7"/>
      <c r="BM40" s="7"/>
      <c r="BN40" s="7"/>
      <c r="BO40" s="8">
        <f>SUM(BJ40:BN40)</f>
        <v>0</v>
      </c>
      <c r="BQ40" s="6"/>
      <c r="BR40" s="7"/>
      <c r="BS40" s="7"/>
      <c r="BT40" s="7"/>
      <c r="BU40" s="7"/>
      <c r="BV40" s="8">
        <f>SUM(BQ40:BU40)</f>
        <v>0</v>
      </c>
      <c r="BX40" s="6"/>
      <c r="BY40" s="7"/>
      <c r="BZ40" s="7"/>
      <c r="CA40" s="7"/>
      <c r="CB40" s="7"/>
      <c r="CC40" s="8">
        <f>SUM(BX40:CB40)</f>
        <v>0</v>
      </c>
      <c r="CE40" s="28">
        <f t="shared" si="190"/>
        <v>0</v>
      </c>
      <c r="CF40" s="29">
        <f t="shared" si="190"/>
        <v>0</v>
      </c>
      <c r="CG40" s="29">
        <f t="shared" si="190"/>
        <v>0</v>
      </c>
      <c r="CH40" s="29">
        <f t="shared" si="190"/>
        <v>0</v>
      </c>
      <c r="CI40" s="29">
        <f t="shared" si="190"/>
        <v>0</v>
      </c>
      <c r="CJ40" s="8">
        <f>SUM(CE40:CI40)</f>
        <v>0</v>
      </c>
      <c r="CL40" s="6"/>
      <c r="CM40" s="7"/>
      <c r="CN40" s="7"/>
      <c r="CO40" s="7"/>
      <c r="CP40" s="7"/>
      <c r="CQ40" s="8">
        <f>SUM(CL40:CP40)</f>
        <v>0</v>
      </c>
      <c r="CS40" s="6"/>
      <c r="CT40" s="7"/>
      <c r="CU40" s="7"/>
      <c r="CV40" s="7"/>
      <c r="CW40" s="7"/>
      <c r="CX40" s="8">
        <f t="shared" ref="CX40:CX42" si="194">SUM(CS40:CW40)</f>
        <v>0</v>
      </c>
      <c r="CZ40" s="6"/>
      <c r="DA40" s="7"/>
      <c r="DB40" s="7"/>
      <c r="DC40" s="7"/>
      <c r="DD40" s="7"/>
      <c r="DE40" s="8">
        <f t="shared" ref="DE40:DE42" si="195">SUM(CZ40:DD40)</f>
        <v>0</v>
      </c>
    </row>
    <row r="41" spans="2:109">
      <c r="C41" s="567"/>
      <c r="E41" s="5" t="s">
        <v>61</v>
      </c>
      <c r="F41" s="6"/>
      <c r="G41" s="7"/>
      <c r="H41" s="7"/>
      <c r="I41" s="7"/>
      <c r="J41" s="7"/>
      <c r="K41" s="16">
        <f t="shared" si="191"/>
        <v>0</v>
      </c>
      <c r="M41" s="6"/>
      <c r="N41" s="7"/>
      <c r="O41" s="7"/>
      <c r="P41" s="7"/>
      <c r="Q41" s="7"/>
      <c r="R41" s="16">
        <f t="shared" si="192"/>
        <v>0</v>
      </c>
      <c r="T41" s="6"/>
      <c r="U41" s="7"/>
      <c r="V41" s="7"/>
      <c r="W41" s="7"/>
      <c r="X41" s="7"/>
      <c r="Y41" s="16">
        <f t="shared" si="193"/>
        <v>0</v>
      </c>
      <c r="AA41" s="6"/>
      <c r="AB41" s="7"/>
      <c r="AC41" s="7"/>
      <c r="AD41" s="7"/>
      <c r="AE41" s="7"/>
      <c r="AF41" s="8">
        <f>SUM(AA41:AE41)</f>
        <v>0</v>
      </c>
      <c r="AH41" s="6"/>
      <c r="AI41" s="7"/>
      <c r="AJ41" s="7"/>
      <c r="AK41" s="7"/>
      <c r="AL41" s="7"/>
      <c r="AM41" s="8">
        <f>SUM(AH41:AL41)</f>
        <v>0</v>
      </c>
      <c r="AO41" s="6"/>
      <c r="AP41" s="7"/>
      <c r="AQ41" s="7"/>
      <c r="AR41" s="7"/>
      <c r="AS41" s="7"/>
      <c r="AT41" s="8">
        <f>SUM(AO41:AS41)</f>
        <v>0</v>
      </c>
      <c r="AV41" s="6"/>
      <c r="AW41" s="7"/>
      <c r="AX41" s="7"/>
      <c r="AY41" s="7"/>
      <c r="AZ41" s="7"/>
      <c r="BA41" s="8">
        <f>SUM(AV41:AZ41)</f>
        <v>0</v>
      </c>
      <c r="BC41" s="6"/>
      <c r="BD41" s="7"/>
      <c r="BE41" s="7"/>
      <c r="BF41" s="7"/>
      <c r="BG41" s="7"/>
      <c r="BH41" s="8">
        <f>SUM(BC41:BG41)</f>
        <v>0</v>
      </c>
      <c r="BJ41" s="6"/>
      <c r="BK41" s="7"/>
      <c r="BL41" s="7"/>
      <c r="BM41" s="7"/>
      <c r="BN41" s="7"/>
      <c r="BO41" s="8">
        <f>SUM(BJ41:BN41)</f>
        <v>0</v>
      </c>
      <c r="BQ41" s="6"/>
      <c r="BR41" s="7"/>
      <c r="BS41" s="7"/>
      <c r="BT41" s="7"/>
      <c r="BU41" s="7"/>
      <c r="BV41" s="8">
        <f>SUM(BQ41:BU41)</f>
        <v>0</v>
      </c>
      <c r="BX41" s="6"/>
      <c r="BY41" s="7"/>
      <c r="BZ41" s="7"/>
      <c r="CA41" s="7"/>
      <c r="CB41" s="7"/>
      <c r="CC41" s="8">
        <f>SUM(BX41:CB41)</f>
        <v>0</v>
      </c>
      <c r="CE41" s="28">
        <f t="shared" si="190"/>
        <v>0</v>
      </c>
      <c r="CF41" s="29">
        <f t="shared" si="190"/>
        <v>0</v>
      </c>
      <c r="CG41" s="29">
        <f t="shared" si="190"/>
        <v>0</v>
      </c>
      <c r="CH41" s="29">
        <f t="shared" si="190"/>
        <v>0</v>
      </c>
      <c r="CI41" s="29">
        <f t="shared" si="190"/>
        <v>0</v>
      </c>
      <c r="CJ41" s="8">
        <f>SUM(CE41:CI41)</f>
        <v>0</v>
      </c>
      <c r="CL41" s="6"/>
      <c r="CM41" s="7"/>
      <c r="CN41" s="7"/>
      <c r="CO41" s="7"/>
      <c r="CP41" s="7"/>
      <c r="CQ41" s="8">
        <f>SUM(CL41:CP41)</f>
        <v>0</v>
      </c>
      <c r="CS41" s="6"/>
      <c r="CT41" s="7"/>
      <c r="CU41" s="7"/>
      <c r="CV41" s="7"/>
      <c r="CW41" s="7"/>
      <c r="CX41" s="8">
        <f t="shared" si="194"/>
        <v>0</v>
      </c>
      <c r="CZ41" s="6"/>
      <c r="DA41" s="7"/>
      <c r="DB41" s="7"/>
      <c r="DC41" s="7"/>
      <c r="DD41" s="7"/>
      <c r="DE41" s="8">
        <f t="shared" si="195"/>
        <v>0</v>
      </c>
    </row>
    <row r="42" spans="2:109" ht="14" thickBot="1">
      <c r="C42" s="567"/>
      <c r="E42" s="5" t="s">
        <v>62</v>
      </c>
      <c r="F42" s="6"/>
      <c r="G42" s="7"/>
      <c r="H42" s="7"/>
      <c r="I42" s="7"/>
      <c r="J42" s="7"/>
      <c r="K42" s="16">
        <f t="shared" si="191"/>
        <v>0</v>
      </c>
      <c r="M42" s="6"/>
      <c r="N42" s="7"/>
      <c r="O42" s="7"/>
      <c r="P42" s="7"/>
      <c r="Q42" s="7"/>
      <c r="R42" s="16">
        <f t="shared" si="192"/>
        <v>0</v>
      </c>
      <c r="T42" s="6"/>
      <c r="U42" s="7"/>
      <c r="V42" s="7"/>
      <c r="W42" s="7"/>
      <c r="X42" s="7"/>
      <c r="Y42" s="16">
        <f t="shared" si="193"/>
        <v>0</v>
      </c>
      <c r="AA42" s="6"/>
      <c r="AB42" s="7"/>
      <c r="AC42" s="7"/>
      <c r="AD42" s="7"/>
      <c r="AE42" s="7"/>
      <c r="AF42" s="8">
        <f>SUM(AA42:AE42)</f>
        <v>0</v>
      </c>
      <c r="AH42" s="6"/>
      <c r="AI42" s="7"/>
      <c r="AJ42" s="7"/>
      <c r="AK42" s="7"/>
      <c r="AL42" s="7"/>
      <c r="AM42" s="8">
        <f>SUM(AH42:AL42)</f>
        <v>0</v>
      </c>
      <c r="AO42" s="6"/>
      <c r="AP42" s="7"/>
      <c r="AQ42" s="7"/>
      <c r="AR42" s="7"/>
      <c r="AS42" s="7"/>
      <c r="AT42" s="8">
        <f>SUM(AO42:AS42)</f>
        <v>0</v>
      </c>
      <c r="AV42" s="6"/>
      <c r="AW42" s="7"/>
      <c r="AX42" s="7"/>
      <c r="AY42" s="7"/>
      <c r="AZ42" s="7"/>
      <c r="BA42" s="8">
        <f>SUM(AV42:AZ42)</f>
        <v>0</v>
      </c>
      <c r="BC42" s="6"/>
      <c r="BD42" s="7"/>
      <c r="BE42" s="7"/>
      <c r="BF42" s="7"/>
      <c r="BG42" s="7"/>
      <c r="BH42" s="8">
        <f>SUM(BC42:BG42)</f>
        <v>0</v>
      </c>
      <c r="BJ42" s="6"/>
      <c r="BK42" s="7"/>
      <c r="BL42" s="7"/>
      <c r="BM42" s="7"/>
      <c r="BN42" s="7"/>
      <c r="BO42" s="8">
        <f>SUM(BJ42:BN42)</f>
        <v>0</v>
      </c>
      <c r="BQ42" s="6"/>
      <c r="BR42" s="7"/>
      <c r="BS42" s="7"/>
      <c r="BT42" s="7"/>
      <c r="BU42" s="7"/>
      <c r="BV42" s="8">
        <f>SUM(BQ42:BU42)</f>
        <v>0</v>
      </c>
      <c r="BX42" s="6"/>
      <c r="BY42" s="7"/>
      <c r="BZ42" s="7"/>
      <c r="CA42" s="7"/>
      <c r="CB42" s="7"/>
      <c r="CC42" s="8">
        <f>SUM(BX42:CB42)</f>
        <v>0</v>
      </c>
      <c r="CE42" s="493">
        <f t="shared" si="190"/>
        <v>0</v>
      </c>
      <c r="CF42" s="494">
        <f t="shared" si="190"/>
        <v>0</v>
      </c>
      <c r="CG42" s="494">
        <f t="shared" si="190"/>
        <v>0</v>
      </c>
      <c r="CH42" s="494">
        <f t="shared" si="190"/>
        <v>0</v>
      </c>
      <c r="CI42" s="494">
        <f t="shared" si="190"/>
        <v>0</v>
      </c>
      <c r="CJ42" s="495">
        <f>SUM(CE42:CI42)</f>
        <v>0</v>
      </c>
      <c r="CL42" s="6"/>
      <c r="CM42" s="7"/>
      <c r="CN42" s="7"/>
      <c r="CO42" s="7"/>
      <c r="CP42" s="7"/>
      <c r="CQ42" s="8">
        <f>SUM(CL42:CP42)</f>
        <v>0</v>
      </c>
      <c r="CS42" s="6"/>
      <c r="CT42" s="7"/>
      <c r="CU42" s="7"/>
      <c r="CV42" s="7"/>
      <c r="CW42" s="7"/>
      <c r="CX42" s="8">
        <f t="shared" si="194"/>
        <v>0</v>
      </c>
      <c r="CZ42" s="6"/>
      <c r="DA42" s="7"/>
      <c r="DB42" s="7"/>
      <c r="DC42" s="7"/>
      <c r="DD42" s="7"/>
      <c r="DE42" s="8">
        <f t="shared" si="195"/>
        <v>0</v>
      </c>
    </row>
    <row r="43" spans="2:109" ht="14" thickBot="1">
      <c r="C43" s="554"/>
      <c r="E43" s="9"/>
      <c r="F43" s="10">
        <f>SUM(F39:F42)</f>
        <v>0</v>
      </c>
      <c r="G43" s="11">
        <f t="shared" ref="G43:J43" si="196">SUM(G39:G42)</f>
        <v>0</v>
      </c>
      <c r="H43" s="11">
        <f t="shared" si="196"/>
        <v>0</v>
      </c>
      <c r="I43" s="11">
        <f t="shared" si="196"/>
        <v>0</v>
      </c>
      <c r="J43" s="11">
        <f t="shared" si="196"/>
        <v>0</v>
      </c>
      <c r="K43" s="25">
        <f>SUM(K39:K42)</f>
        <v>0</v>
      </c>
      <c r="M43" s="10">
        <f>SUM(M39:M42)</f>
        <v>0</v>
      </c>
      <c r="N43" s="11">
        <f t="shared" ref="N43:Q43" si="197">SUM(N39:N42)</f>
        <v>0</v>
      </c>
      <c r="O43" s="11">
        <f t="shared" si="197"/>
        <v>0</v>
      </c>
      <c r="P43" s="11">
        <f t="shared" si="197"/>
        <v>0</v>
      </c>
      <c r="Q43" s="11">
        <f t="shared" si="197"/>
        <v>0</v>
      </c>
      <c r="R43" s="25">
        <f>SUM(R39:R42)</f>
        <v>0</v>
      </c>
      <c r="T43" s="10">
        <f>SUM(T39:T42)</f>
        <v>0</v>
      </c>
      <c r="U43" s="11">
        <f t="shared" ref="U43:X43" si="198">SUM(U39:U42)</f>
        <v>0</v>
      </c>
      <c r="V43" s="11">
        <f t="shared" si="198"/>
        <v>0</v>
      </c>
      <c r="W43" s="11">
        <f t="shared" si="198"/>
        <v>0</v>
      </c>
      <c r="X43" s="11">
        <f t="shared" si="198"/>
        <v>0</v>
      </c>
      <c r="Y43" s="25">
        <f>SUM(Y39:Y42)</f>
        <v>0</v>
      </c>
      <c r="AA43" s="10">
        <f>SUM(AA39:AA42)</f>
        <v>0</v>
      </c>
      <c r="AB43" s="11">
        <f t="shared" ref="AB43:AE43" si="199">SUM(AB39:AB42)</f>
        <v>0</v>
      </c>
      <c r="AC43" s="11">
        <f t="shared" si="199"/>
        <v>0</v>
      </c>
      <c r="AD43" s="11">
        <f t="shared" si="199"/>
        <v>0</v>
      </c>
      <c r="AE43" s="11">
        <f t="shared" si="199"/>
        <v>0</v>
      </c>
      <c r="AF43" s="25">
        <f>SUM(AF39:AF42)</f>
        <v>0</v>
      </c>
      <c r="AH43" s="10">
        <f>SUM(AH39:AH42)</f>
        <v>0</v>
      </c>
      <c r="AI43" s="11">
        <f t="shared" ref="AI43:AL43" si="200">SUM(AI39:AI42)</f>
        <v>0</v>
      </c>
      <c r="AJ43" s="11">
        <f t="shared" si="200"/>
        <v>0</v>
      </c>
      <c r="AK43" s="11">
        <f t="shared" si="200"/>
        <v>0</v>
      </c>
      <c r="AL43" s="11">
        <f t="shared" si="200"/>
        <v>0</v>
      </c>
      <c r="AM43" s="25">
        <f>SUM(AM39:AM42)</f>
        <v>0</v>
      </c>
      <c r="AO43" s="10">
        <f>SUM(AO39:AO42)</f>
        <v>0</v>
      </c>
      <c r="AP43" s="11">
        <f t="shared" ref="AP43:AS43" si="201">SUM(AP39:AP42)</f>
        <v>0</v>
      </c>
      <c r="AQ43" s="11">
        <f t="shared" si="201"/>
        <v>0</v>
      </c>
      <c r="AR43" s="11">
        <f t="shared" si="201"/>
        <v>0</v>
      </c>
      <c r="AS43" s="11">
        <f t="shared" si="201"/>
        <v>0</v>
      </c>
      <c r="AT43" s="25">
        <f>SUM(AT39:AT42)</f>
        <v>0</v>
      </c>
      <c r="AV43" s="10">
        <f>SUM(AV39:AV42)</f>
        <v>0</v>
      </c>
      <c r="AW43" s="11">
        <f t="shared" ref="AW43:AZ43" si="202">SUM(AW39:AW42)</f>
        <v>0</v>
      </c>
      <c r="AX43" s="11">
        <f t="shared" si="202"/>
        <v>0</v>
      </c>
      <c r="AY43" s="11">
        <f t="shared" si="202"/>
        <v>0</v>
      </c>
      <c r="AZ43" s="11">
        <f t="shared" si="202"/>
        <v>0</v>
      </c>
      <c r="BA43" s="25">
        <f>SUM(BA39:BA42)</f>
        <v>0</v>
      </c>
      <c r="BC43" s="10">
        <f>SUM(BC39:BC42)</f>
        <v>0</v>
      </c>
      <c r="BD43" s="11">
        <f t="shared" ref="BD43:BG43" si="203">SUM(BD39:BD42)</f>
        <v>0</v>
      </c>
      <c r="BE43" s="11">
        <f t="shared" si="203"/>
        <v>0</v>
      </c>
      <c r="BF43" s="11">
        <f t="shared" si="203"/>
        <v>0</v>
      </c>
      <c r="BG43" s="11">
        <f t="shared" si="203"/>
        <v>0</v>
      </c>
      <c r="BH43" s="25">
        <f>SUM(BH39:BH42)</f>
        <v>0</v>
      </c>
      <c r="BJ43" s="10">
        <f>SUM(BJ39:BJ42)</f>
        <v>0</v>
      </c>
      <c r="BK43" s="11">
        <f t="shared" ref="BK43:BN43" si="204">SUM(BK39:BK42)</f>
        <v>0</v>
      </c>
      <c r="BL43" s="11">
        <f t="shared" si="204"/>
        <v>0</v>
      </c>
      <c r="BM43" s="11">
        <f t="shared" si="204"/>
        <v>0</v>
      </c>
      <c r="BN43" s="11">
        <f t="shared" si="204"/>
        <v>0</v>
      </c>
      <c r="BO43" s="25">
        <f>SUM(BO39:BO42)</f>
        <v>0</v>
      </c>
      <c r="BQ43" s="10">
        <f>SUM(BQ39:BQ42)</f>
        <v>0</v>
      </c>
      <c r="BR43" s="11">
        <f t="shared" ref="BR43:BU43" si="205">SUM(BR39:BR42)</f>
        <v>0</v>
      </c>
      <c r="BS43" s="11">
        <f t="shared" si="205"/>
        <v>0</v>
      </c>
      <c r="BT43" s="11">
        <f t="shared" si="205"/>
        <v>0</v>
      </c>
      <c r="BU43" s="11">
        <f t="shared" si="205"/>
        <v>0</v>
      </c>
      <c r="BV43" s="25">
        <f>SUM(BV39:BV42)</f>
        <v>0</v>
      </c>
      <c r="BX43" s="10">
        <f>SUM(BX39:BX42)</f>
        <v>0</v>
      </c>
      <c r="BY43" s="11">
        <f t="shared" ref="BY43:CB43" si="206">SUM(BY39:BY42)</f>
        <v>0</v>
      </c>
      <c r="BZ43" s="11">
        <f t="shared" si="206"/>
        <v>0</v>
      </c>
      <c r="CA43" s="11">
        <f t="shared" si="206"/>
        <v>0</v>
      </c>
      <c r="CB43" s="11">
        <f t="shared" si="206"/>
        <v>0</v>
      </c>
      <c r="CC43" s="25">
        <f>SUM(CC39:CC42)</f>
        <v>0</v>
      </c>
      <c r="CE43" s="62">
        <f t="shared" ref="CE43:CJ43" si="207">SUM(CE39:CE42)</f>
        <v>0</v>
      </c>
      <c r="CF43" s="63">
        <f t="shared" si="207"/>
        <v>0</v>
      </c>
      <c r="CG43" s="63">
        <f t="shared" si="207"/>
        <v>0</v>
      </c>
      <c r="CH43" s="63">
        <f t="shared" si="207"/>
        <v>0</v>
      </c>
      <c r="CI43" s="63">
        <f t="shared" si="207"/>
        <v>0</v>
      </c>
      <c r="CJ43" s="25">
        <f t="shared" si="207"/>
        <v>0</v>
      </c>
      <c r="CL43" s="10">
        <f>SUM(CL39:CL42)</f>
        <v>0</v>
      </c>
      <c r="CM43" s="11">
        <f t="shared" ref="CM43:CP43" si="208">SUM(CM39:CM42)</f>
        <v>0</v>
      </c>
      <c r="CN43" s="11">
        <f t="shared" si="208"/>
        <v>0</v>
      </c>
      <c r="CO43" s="11">
        <f t="shared" si="208"/>
        <v>0</v>
      </c>
      <c r="CP43" s="11">
        <f t="shared" si="208"/>
        <v>0</v>
      </c>
      <c r="CQ43" s="25">
        <f>SUM(CQ39:CQ42)</f>
        <v>0</v>
      </c>
      <c r="CS43" s="10">
        <f>SUM(CS39:CS42)</f>
        <v>0</v>
      </c>
      <c r="CT43" s="11">
        <f t="shared" ref="CT43:CW43" si="209">SUM(CT39:CT42)</f>
        <v>0</v>
      </c>
      <c r="CU43" s="11">
        <f t="shared" si="209"/>
        <v>0</v>
      </c>
      <c r="CV43" s="11">
        <f t="shared" si="209"/>
        <v>0</v>
      </c>
      <c r="CW43" s="11">
        <f t="shared" si="209"/>
        <v>0</v>
      </c>
      <c r="CX43" s="25">
        <f>SUM(CX39:CX42)</f>
        <v>0</v>
      </c>
      <c r="CZ43" s="10">
        <f>SUM(CZ39:CZ42)</f>
        <v>0</v>
      </c>
      <c r="DA43" s="11">
        <f t="shared" ref="DA43:DD43" si="210">SUM(DA39:DA42)</f>
        <v>0</v>
      </c>
      <c r="DB43" s="11">
        <f t="shared" si="210"/>
        <v>0</v>
      </c>
      <c r="DC43" s="11">
        <f t="shared" si="210"/>
        <v>0</v>
      </c>
      <c r="DD43" s="11">
        <f t="shared" si="210"/>
        <v>0</v>
      </c>
      <c r="DE43" s="25">
        <f>SUM(DE39:DE42)</f>
        <v>0</v>
      </c>
    </row>
    <row r="44" spans="2:109" ht="10.4" customHeight="1" thickBot="1"/>
    <row r="45" spans="2:109">
      <c r="C45" s="553">
        <v>2025</v>
      </c>
      <c r="E45" s="13" t="s">
        <v>59</v>
      </c>
      <c r="F45" s="21">
        <f>CE39</f>
        <v>0</v>
      </c>
      <c r="G45" s="22">
        <f t="shared" ref="G45:G48" si="211">CF39</f>
        <v>0</v>
      </c>
      <c r="H45" s="22">
        <f t="shared" ref="H45:H48" si="212">CG39</f>
        <v>0</v>
      </c>
      <c r="I45" s="22">
        <f t="shared" ref="I45:I48" si="213">CH39</f>
        <v>0</v>
      </c>
      <c r="J45" s="22">
        <f t="shared" ref="J45:J48" si="214">CI39</f>
        <v>0</v>
      </c>
      <c r="K45" s="15">
        <f>SUM(F45:J45)</f>
        <v>0</v>
      </c>
      <c r="M45" s="2"/>
      <c r="N45" s="3"/>
      <c r="O45" s="3"/>
      <c r="P45" s="3"/>
      <c r="Q45" s="3"/>
      <c r="R45" s="15">
        <f>SUM(M45:Q45)</f>
        <v>0</v>
      </c>
      <c r="T45" s="2"/>
      <c r="U45" s="3"/>
      <c r="V45" s="3"/>
      <c r="W45" s="3"/>
      <c r="X45" s="3"/>
      <c r="Y45" s="15">
        <f>SUM(T45:X45)</f>
        <v>0</v>
      </c>
      <c r="AA45" s="2"/>
      <c r="AB45" s="3"/>
      <c r="AC45" s="3"/>
      <c r="AD45" s="3"/>
      <c r="AE45" s="3"/>
      <c r="AF45" s="15">
        <f>SUM(AA45:AE45)</f>
        <v>0</v>
      </c>
      <c r="AH45" s="2"/>
      <c r="AI45" s="3"/>
      <c r="AJ45" s="3"/>
      <c r="AK45" s="3"/>
      <c r="AL45" s="3"/>
      <c r="AM45" s="15">
        <f>SUM(AH45:AL45)</f>
        <v>0</v>
      </c>
      <c r="AO45" s="2"/>
      <c r="AP45" s="3"/>
      <c r="AQ45" s="3"/>
      <c r="AR45" s="3"/>
      <c r="AS45" s="3"/>
      <c r="AT45" s="15">
        <f>SUM(AO45:AS45)</f>
        <v>0</v>
      </c>
      <c r="AV45" s="2"/>
      <c r="AW45" s="3"/>
      <c r="AX45" s="3"/>
      <c r="AY45" s="3"/>
      <c r="AZ45" s="3"/>
      <c r="BA45" s="15">
        <f>SUM(AV45:AZ45)</f>
        <v>0</v>
      </c>
      <c r="BC45" s="2"/>
      <c r="BD45" s="3"/>
      <c r="BE45" s="3"/>
      <c r="BF45" s="3"/>
      <c r="BG45" s="3"/>
      <c r="BH45" s="15">
        <f>SUM(BC45:BG45)</f>
        <v>0</v>
      </c>
      <c r="BJ45" s="2"/>
      <c r="BK45" s="3"/>
      <c r="BL45" s="3"/>
      <c r="BM45" s="3"/>
      <c r="BN45" s="3"/>
      <c r="BO45" s="15">
        <f>SUM(BJ45:BN45)</f>
        <v>0</v>
      </c>
      <c r="BQ45" s="2"/>
      <c r="BR45" s="3"/>
      <c r="BS45" s="3"/>
      <c r="BT45" s="3"/>
      <c r="BU45" s="3"/>
      <c r="BV45" s="15">
        <f>SUM(BQ45:BU45)</f>
        <v>0</v>
      </c>
      <c r="BX45" s="2"/>
      <c r="BY45" s="3"/>
      <c r="BZ45" s="3"/>
      <c r="CA45" s="3"/>
      <c r="CB45" s="3"/>
      <c r="CC45" s="15">
        <f>SUM(BX45:CB45)</f>
        <v>0</v>
      </c>
      <c r="CE45" s="26">
        <f t="shared" ref="CE45:CI48" si="215">F45+M45+T45+AA45+AH45+AO45+AV45+BC45+BJ45+BQ45+BX45</f>
        <v>0</v>
      </c>
      <c r="CF45" s="27">
        <f t="shared" si="215"/>
        <v>0</v>
      </c>
      <c r="CG45" s="27">
        <f t="shared" si="215"/>
        <v>0</v>
      </c>
      <c r="CH45" s="27">
        <f t="shared" si="215"/>
        <v>0</v>
      </c>
      <c r="CI45" s="27">
        <f t="shared" si="215"/>
        <v>0</v>
      </c>
      <c r="CJ45" s="4">
        <f>SUM(CE45:CI45)</f>
        <v>0</v>
      </c>
      <c r="CL45" s="2"/>
      <c r="CM45" s="3"/>
      <c r="CN45" s="3"/>
      <c r="CO45" s="3"/>
      <c r="CP45" s="3"/>
      <c r="CQ45" s="15">
        <f>SUM(CL45:CP45)</f>
        <v>0</v>
      </c>
      <c r="CS45" s="2"/>
      <c r="CT45" s="3"/>
      <c r="CU45" s="3"/>
      <c r="CV45" s="3"/>
      <c r="CW45" s="3"/>
      <c r="CX45" s="15">
        <f>SUM(CS45:CW45)</f>
        <v>0</v>
      </c>
      <c r="CZ45" s="2"/>
      <c r="DA45" s="3"/>
      <c r="DB45" s="3"/>
      <c r="DC45" s="3"/>
      <c r="DD45" s="3"/>
      <c r="DE45" s="15">
        <f>SUM(CZ45:DD45)</f>
        <v>0</v>
      </c>
    </row>
    <row r="46" spans="2:109">
      <c r="C46" s="567"/>
      <c r="E46" s="14" t="s">
        <v>60</v>
      </c>
      <c r="F46" s="23">
        <f t="shared" ref="F46:F48" si="216">CE40</f>
        <v>0</v>
      </c>
      <c r="G46" s="24">
        <f t="shared" si="211"/>
        <v>0</v>
      </c>
      <c r="H46" s="24">
        <f t="shared" si="212"/>
        <v>0</v>
      </c>
      <c r="I46" s="24">
        <f t="shared" si="213"/>
        <v>0</v>
      </c>
      <c r="J46" s="24">
        <f t="shared" si="214"/>
        <v>0</v>
      </c>
      <c r="K46" s="16">
        <f t="shared" ref="K46:K48" si="217">SUM(F46:J46)</f>
        <v>0</v>
      </c>
      <c r="M46" s="6"/>
      <c r="N46" s="7"/>
      <c r="O46" s="7"/>
      <c r="P46" s="7"/>
      <c r="Q46" s="7"/>
      <c r="R46" s="16">
        <f t="shared" ref="R46:R48" si="218">SUM(M46:Q46)</f>
        <v>0</v>
      </c>
      <c r="T46" s="6"/>
      <c r="U46" s="7"/>
      <c r="V46" s="7"/>
      <c r="W46" s="7"/>
      <c r="X46" s="7"/>
      <c r="Y46" s="16">
        <f t="shared" ref="Y46:Y48" si="219">SUM(T46:X46)</f>
        <v>0</v>
      </c>
      <c r="AA46" s="6"/>
      <c r="AB46" s="7"/>
      <c r="AC46" s="7"/>
      <c r="AD46" s="7"/>
      <c r="AE46" s="7"/>
      <c r="AF46" s="16">
        <f>SUM(AA46:AE46)</f>
        <v>0</v>
      </c>
      <c r="AH46" s="6"/>
      <c r="AI46" s="7"/>
      <c r="AJ46" s="7"/>
      <c r="AK46" s="7"/>
      <c r="AL46" s="7"/>
      <c r="AM46" s="16">
        <f>SUM(AH46:AL46)</f>
        <v>0</v>
      </c>
      <c r="AO46" s="6"/>
      <c r="AP46" s="7"/>
      <c r="AQ46" s="7"/>
      <c r="AR46" s="7"/>
      <c r="AS46" s="7"/>
      <c r="AT46" s="16">
        <f>SUM(AO46:AS46)</f>
        <v>0</v>
      </c>
      <c r="AV46" s="6"/>
      <c r="AW46" s="7"/>
      <c r="AX46" s="7"/>
      <c r="AY46" s="7"/>
      <c r="AZ46" s="7"/>
      <c r="BA46" s="16">
        <f>SUM(AV46:AZ46)</f>
        <v>0</v>
      </c>
      <c r="BC46" s="6"/>
      <c r="BD46" s="7"/>
      <c r="BE46" s="7"/>
      <c r="BF46" s="7"/>
      <c r="BG46" s="7"/>
      <c r="BH46" s="16">
        <f>SUM(BC46:BG46)</f>
        <v>0</v>
      </c>
      <c r="BJ46" s="6"/>
      <c r="BK46" s="7"/>
      <c r="BL46" s="7"/>
      <c r="BM46" s="7"/>
      <c r="BN46" s="7"/>
      <c r="BO46" s="16">
        <f>SUM(BJ46:BN46)</f>
        <v>0</v>
      </c>
      <c r="BQ46" s="6"/>
      <c r="BR46" s="7"/>
      <c r="BS46" s="7"/>
      <c r="BT46" s="7"/>
      <c r="BU46" s="7"/>
      <c r="BV46" s="16">
        <f>SUM(BQ46:BU46)</f>
        <v>0</v>
      </c>
      <c r="BX46" s="6"/>
      <c r="BY46" s="7"/>
      <c r="BZ46" s="7"/>
      <c r="CA46" s="7"/>
      <c r="CB46" s="7"/>
      <c r="CC46" s="16">
        <f>SUM(BX46:CB46)</f>
        <v>0</v>
      </c>
      <c r="CE46" s="28">
        <f t="shared" si="215"/>
        <v>0</v>
      </c>
      <c r="CF46" s="29">
        <f t="shared" si="215"/>
        <v>0</v>
      </c>
      <c r="CG46" s="29">
        <f t="shared" si="215"/>
        <v>0</v>
      </c>
      <c r="CH46" s="29">
        <f t="shared" si="215"/>
        <v>0</v>
      </c>
      <c r="CI46" s="29">
        <f t="shared" si="215"/>
        <v>0</v>
      </c>
      <c r="CJ46" s="8">
        <f>SUM(CE46:CI46)</f>
        <v>0</v>
      </c>
      <c r="CL46" s="6"/>
      <c r="CM46" s="7"/>
      <c r="CN46" s="7"/>
      <c r="CO46" s="7"/>
      <c r="CP46" s="7"/>
      <c r="CQ46" s="16">
        <f>SUM(CL46:CP46)</f>
        <v>0</v>
      </c>
      <c r="CS46" s="6"/>
      <c r="CT46" s="7"/>
      <c r="CU46" s="7"/>
      <c r="CV46" s="7"/>
      <c r="CW46" s="7"/>
      <c r="CX46" s="16">
        <f t="shared" ref="CX46:CX48" si="220">SUM(CS46:CW46)</f>
        <v>0</v>
      </c>
      <c r="CZ46" s="6"/>
      <c r="DA46" s="7"/>
      <c r="DB46" s="7"/>
      <c r="DC46" s="7"/>
      <c r="DD46" s="7"/>
      <c r="DE46" s="16">
        <f t="shared" ref="DE46:DE48" si="221">SUM(CZ46:DD46)</f>
        <v>0</v>
      </c>
    </row>
    <row r="47" spans="2:109">
      <c r="C47" s="567"/>
      <c r="E47" s="14" t="s">
        <v>61</v>
      </c>
      <c r="F47" s="23">
        <f t="shared" si="216"/>
        <v>0</v>
      </c>
      <c r="G47" s="24">
        <f t="shared" si="211"/>
        <v>0</v>
      </c>
      <c r="H47" s="24">
        <f t="shared" si="212"/>
        <v>0</v>
      </c>
      <c r="I47" s="24">
        <f t="shared" si="213"/>
        <v>0</v>
      </c>
      <c r="J47" s="24">
        <f t="shared" si="214"/>
        <v>0</v>
      </c>
      <c r="K47" s="16">
        <f t="shared" si="217"/>
        <v>0</v>
      </c>
      <c r="M47" s="6"/>
      <c r="N47" s="7"/>
      <c r="O47" s="7"/>
      <c r="P47" s="7"/>
      <c r="Q47" s="7"/>
      <c r="R47" s="16">
        <f t="shared" si="218"/>
        <v>0</v>
      </c>
      <c r="T47" s="6"/>
      <c r="U47" s="7"/>
      <c r="V47" s="7"/>
      <c r="W47" s="7"/>
      <c r="X47" s="7"/>
      <c r="Y47" s="16">
        <f t="shared" si="219"/>
        <v>0</v>
      </c>
      <c r="AA47" s="6"/>
      <c r="AB47" s="7"/>
      <c r="AC47" s="7"/>
      <c r="AD47" s="7"/>
      <c r="AE47" s="7"/>
      <c r="AF47" s="16">
        <f>SUM(AA47:AE47)</f>
        <v>0</v>
      </c>
      <c r="AH47" s="6"/>
      <c r="AI47" s="7"/>
      <c r="AJ47" s="7"/>
      <c r="AK47" s="7"/>
      <c r="AL47" s="7"/>
      <c r="AM47" s="16">
        <f>SUM(AH47:AL47)</f>
        <v>0</v>
      </c>
      <c r="AO47" s="6"/>
      <c r="AP47" s="7"/>
      <c r="AQ47" s="7"/>
      <c r="AR47" s="7"/>
      <c r="AS47" s="7"/>
      <c r="AT47" s="16">
        <f>SUM(AO47:AS47)</f>
        <v>0</v>
      </c>
      <c r="AV47" s="6"/>
      <c r="AW47" s="7"/>
      <c r="AX47" s="7"/>
      <c r="AY47" s="7"/>
      <c r="AZ47" s="7"/>
      <c r="BA47" s="16">
        <f>SUM(AV47:AZ47)</f>
        <v>0</v>
      </c>
      <c r="BC47" s="6"/>
      <c r="BD47" s="7"/>
      <c r="BE47" s="7"/>
      <c r="BF47" s="7"/>
      <c r="BG47" s="7"/>
      <c r="BH47" s="16">
        <f>SUM(BC47:BG47)</f>
        <v>0</v>
      </c>
      <c r="BJ47" s="6"/>
      <c r="BK47" s="7"/>
      <c r="BL47" s="7"/>
      <c r="BM47" s="7"/>
      <c r="BN47" s="7"/>
      <c r="BO47" s="16">
        <f>SUM(BJ47:BN47)</f>
        <v>0</v>
      </c>
      <c r="BQ47" s="6"/>
      <c r="BR47" s="7"/>
      <c r="BS47" s="7"/>
      <c r="BT47" s="7"/>
      <c r="BU47" s="7"/>
      <c r="BV47" s="16">
        <f>SUM(BQ47:BU47)</f>
        <v>0</v>
      </c>
      <c r="BX47" s="6"/>
      <c r="BY47" s="7"/>
      <c r="BZ47" s="7"/>
      <c r="CA47" s="7"/>
      <c r="CB47" s="7"/>
      <c r="CC47" s="16">
        <f>SUM(BX47:CB47)</f>
        <v>0</v>
      </c>
      <c r="CE47" s="28">
        <f t="shared" si="215"/>
        <v>0</v>
      </c>
      <c r="CF47" s="29">
        <f t="shared" si="215"/>
        <v>0</v>
      </c>
      <c r="CG47" s="29">
        <f t="shared" si="215"/>
        <v>0</v>
      </c>
      <c r="CH47" s="29">
        <f t="shared" si="215"/>
        <v>0</v>
      </c>
      <c r="CI47" s="29">
        <f t="shared" si="215"/>
        <v>0</v>
      </c>
      <c r="CJ47" s="8">
        <f>SUM(CE47:CI47)</f>
        <v>0</v>
      </c>
      <c r="CL47" s="6"/>
      <c r="CM47" s="7"/>
      <c r="CN47" s="7"/>
      <c r="CO47" s="7"/>
      <c r="CP47" s="7"/>
      <c r="CQ47" s="16">
        <f>SUM(CL47:CP47)</f>
        <v>0</v>
      </c>
      <c r="CS47" s="6"/>
      <c r="CT47" s="7"/>
      <c r="CU47" s="7"/>
      <c r="CV47" s="7"/>
      <c r="CW47" s="7"/>
      <c r="CX47" s="16">
        <f t="shared" si="220"/>
        <v>0</v>
      </c>
      <c r="CZ47" s="6"/>
      <c r="DA47" s="7"/>
      <c r="DB47" s="7"/>
      <c r="DC47" s="7"/>
      <c r="DD47" s="7"/>
      <c r="DE47" s="16">
        <f t="shared" si="221"/>
        <v>0</v>
      </c>
    </row>
    <row r="48" spans="2:109" ht="14" thickBot="1">
      <c r="C48" s="567"/>
      <c r="E48" s="14" t="s">
        <v>62</v>
      </c>
      <c r="F48" s="23">
        <f t="shared" si="216"/>
        <v>0</v>
      </c>
      <c r="G48" s="24">
        <f t="shared" si="211"/>
        <v>0</v>
      </c>
      <c r="H48" s="24">
        <f t="shared" si="212"/>
        <v>0</v>
      </c>
      <c r="I48" s="24">
        <f t="shared" si="213"/>
        <v>0</v>
      </c>
      <c r="J48" s="24">
        <f t="shared" si="214"/>
        <v>0</v>
      </c>
      <c r="K48" s="16">
        <f t="shared" si="217"/>
        <v>0</v>
      </c>
      <c r="M48" s="6"/>
      <c r="N48" s="7"/>
      <c r="O48" s="7"/>
      <c r="P48" s="7"/>
      <c r="Q48" s="7"/>
      <c r="R48" s="16">
        <f t="shared" si="218"/>
        <v>0</v>
      </c>
      <c r="T48" s="6"/>
      <c r="U48" s="7"/>
      <c r="V48" s="7"/>
      <c r="W48" s="7"/>
      <c r="X48" s="7"/>
      <c r="Y48" s="16">
        <f t="shared" si="219"/>
        <v>0</v>
      </c>
      <c r="AA48" s="6"/>
      <c r="AB48" s="7"/>
      <c r="AC48" s="7"/>
      <c r="AD48" s="7"/>
      <c r="AE48" s="7"/>
      <c r="AF48" s="16">
        <f>SUM(AA48:AE48)</f>
        <v>0</v>
      </c>
      <c r="AH48" s="6"/>
      <c r="AI48" s="7"/>
      <c r="AJ48" s="7"/>
      <c r="AK48" s="7"/>
      <c r="AL48" s="7"/>
      <c r="AM48" s="16">
        <f>SUM(AH48:AL48)</f>
        <v>0</v>
      </c>
      <c r="AO48" s="6"/>
      <c r="AP48" s="7"/>
      <c r="AQ48" s="7"/>
      <c r="AR48" s="7"/>
      <c r="AS48" s="7"/>
      <c r="AT48" s="16">
        <f>SUM(AO48:AS48)</f>
        <v>0</v>
      </c>
      <c r="AV48" s="6"/>
      <c r="AW48" s="7"/>
      <c r="AX48" s="7"/>
      <c r="AY48" s="7"/>
      <c r="AZ48" s="7"/>
      <c r="BA48" s="16">
        <f>SUM(AV48:AZ48)</f>
        <v>0</v>
      </c>
      <c r="BC48" s="6"/>
      <c r="BD48" s="7"/>
      <c r="BE48" s="7"/>
      <c r="BF48" s="7"/>
      <c r="BG48" s="7"/>
      <c r="BH48" s="16">
        <f>SUM(BC48:BG48)</f>
        <v>0</v>
      </c>
      <c r="BJ48" s="6"/>
      <c r="BK48" s="7"/>
      <c r="BL48" s="7"/>
      <c r="BM48" s="7"/>
      <c r="BN48" s="7"/>
      <c r="BO48" s="16">
        <f>SUM(BJ48:BN48)</f>
        <v>0</v>
      </c>
      <c r="BQ48" s="6"/>
      <c r="BR48" s="7"/>
      <c r="BS48" s="7"/>
      <c r="BT48" s="7"/>
      <c r="BU48" s="7"/>
      <c r="BV48" s="16">
        <f>SUM(BQ48:BU48)</f>
        <v>0</v>
      </c>
      <c r="BX48" s="6"/>
      <c r="BY48" s="7"/>
      <c r="BZ48" s="7"/>
      <c r="CA48" s="7"/>
      <c r="CB48" s="7"/>
      <c r="CC48" s="16">
        <f>SUM(BX48:CB48)</f>
        <v>0</v>
      </c>
      <c r="CE48" s="493">
        <f t="shared" si="215"/>
        <v>0</v>
      </c>
      <c r="CF48" s="494">
        <f t="shared" si="215"/>
        <v>0</v>
      </c>
      <c r="CG48" s="494">
        <f t="shared" si="215"/>
        <v>0</v>
      </c>
      <c r="CH48" s="494">
        <f t="shared" si="215"/>
        <v>0</v>
      </c>
      <c r="CI48" s="494">
        <f t="shared" si="215"/>
        <v>0</v>
      </c>
      <c r="CJ48" s="495">
        <f>SUM(CE48:CI48)</f>
        <v>0</v>
      </c>
      <c r="CL48" s="6"/>
      <c r="CM48" s="7"/>
      <c r="CN48" s="7"/>
      <c r="CO48" s="7"/>
      <c r="CP48" s="7"/>
      <c r="CQ48" s="16">
        <f>SUM(CL48:CP48)</f>
        <v>0</v>
      </c>
      <c r="CS48" s="6"/>
      <c r="CT48" s="7"/>
      <c r="CU48" s="7"/>
      <c r="CV48" s="7"/>
      <c r="CW48" s="7"/>
      <c r="CX48" s="16">
        <f t="shared" si="220"/>
        <v>0</v>
      </c>
      <c r="CZ48" s="6"/>
      <c r="DA48" s="7"/>
      <c r="DB48" s="7"/>
      <c r="DC48" s="7"/>
      <c r="DD48" s="7"/>
      <c r="DE48" s="16">
        <f t="shared" si="221"/>
        <v>0</v>
      </c>
    </row>
    <row r="49" spans="3:109" ht="14" thickBot="1">
      <c r="C49" s="554"/>
      <c r="E49" s="9"/>
      <c r="F49" s="10">
        <f>SUM(F45:F48)</f>
        <v>0</v>
      </c>
      <c r="G49" s="11">
        <f t="shared" ref="G49:J49" si="222">SUM(G45:G48)</f>
        <v>0</v>
      </c>
      <c r="H49" s="11">
        <f t="shared" si="222"/>
        <v>0</v>
      </c>
      <c r="I49" s="11">
        <f t="shared" si="222"/>
        <v>0</v>
      </c>
      <c r="J49" s="11">
        <f t="shared" si="222"/>
        <v>0</v>
      </c>
      <c r="K49" s="25">
        <f>SUM(K45:K48)</f>
        <v>0</v>
      </c>
      <c r="M49" s="10">
        <f>SUM(M45:M48)</f>
        <v>0</v>
      </c>
      <c r="N49" s="11">
        <f t="shared" ref="N49:Q49" si="223">SUM(N45:N48)</f>
        <v>0</v>
      </c>
      <c r="O49" s="11">
        <f t="shared" si="223"/>
        <v>0</v>
      </c>
      <c r="P49" s="11">
        <f t="shared" si="223"/>
        <v>0</v>
      </c>
      <c r="Q49" s="11">
        <f t="shared" si="223"/>
        <v>0</v>
      </c>
      <c r="R49" s="25">
        <f>SUM(R45:R48)</f>
        <v>0</v>
      </c>
      <c r="T49" s="10">
        <f>SUM(T45:T48)</f>
        <v>0</v>
      </c>
      <c r="U49" s="11">
        <f t="shared" ref="U49:X49" si="224">SUM(U45:U48)</f>
        <v>0</v>
      </c>
      <c r="V49" s="11">
        <f t="shared" si="224"/>
        <v>0</v>
      </c>
      <c r="W49" s="11">
        <f t="shared" si="224"/>
        <v>0</v>
      </c>
      <c r="X49" s="11">
        <f t="shared" si="224"/>
        <v>0</v>
      </c>
      <c r="Y49" s="25">
        <f>SUM(Y45:Y48)</f>
        <v>0</v>
      </c>
      <c r="AA49" s="10">
        <f>SUM(AA45:AA48)</f>
        <v>0</v>
      </c>
      <c r="AB49" s="11">
        <f t="shared" ref="AB49:AE49" si="225">SUM(AB45:AB48)</f>
        <v>0</v>
      </c>
      <c r="AC49" s="11">
        <f t="shared" si="225"/>
        <v>0</v>
      </c>
      <c r="AD49" s="11">
        <f t="shared" si="225"/>
        <v>0</v>
      </c>
      <c r="AE49" s="11">
        <f t="shared" si="225"/>
        <v>0</v>
      </c>
      <c r="AF49" s="25">
        <f>SUM(AF45:AF48)</f>
        <v>0</v>
      </c>
      <c r="AH49" s="10">
        <f>SUM(AH45:AH48)</f>
        <v>0</v>
      </c>
      <c r="AI49" s="11">
        <f t="shared" ref="AI49:AL49" si="226">SUM(AI45:AI48)</f>
        <v>0</v>
      </c>
      <c r="AJ49" s="11">
        <f t="shared" si="226"/>
        <v>0</v>
      </c>
      <c r="AK49" s="11">
        <f t="shared" si="226"/>
        <v>0</v>
      </c>
      <c r="AL49" s="11">
        <f t="shared" si="226"/>
        <v>0</v>
      </c>
      <c r="AM49" s="25">
        <f>SUM(AM45:AM48)</f>
        <v>0</v>
      </c>
      <c r="AO49" s="10">
        <f>SUM(AO45:AO48)</f>
        <v>0</v>
      </c>
      <c r="AP49" s="11">
        <f t="shared" ref="AP49:AS49" si="227">SUM(AP45:AP48)</f>
        <v>0</v>
      </c>
      <c r="AQ49" s="11">
        <f t="shared" si="227"/>
        <v>0</v>
      </c>
      <c r="AR49" s="11">
        <f t="shared" si="227"/>
        <v>0</v>
      </c>
      <c r="AS49" s="11">
        <f t="shared" si="227"/>
        <v>0</v>
      </c>
      <c r="AT49" s="25">
        <f>SUM(AT45:AT48)</f>
        <v>0</v>
      </c>
      <c r="AV49" s="10">
        <f>SUM(AV45:AV48)</f>
        <v>0</v>
      </c>
      <c r="AW49" s="11">
        <f t="shared" ref="AW49:AZ49" si="228">SUM(AW45:AW48)</f>
        <v>0</v>
      </c>
      <c r="AX49" s="11">
        <f t="shared" si="228"/>
        <v>0</v>
      </c>
      <c r="AY49" s="11">
        <f t="shared" si="228"/>
        <v>0</v>
      </c>
      <c r="AZ49" s="11">
        <f t="shared" si="228"/>
        <v>0</v>
      </c>
      <c r="BA49" s="25">
        <f>SUM(BA45:BA48)</f>
        <v>0</v>
      </c>
      <c r="BC49" s="10">
        <f>SUM(BC45:BC48)</f>
        <v>0</v>
      </c>
      <c r="BD49" s="11">
        <f t="shared" ref="BD49:BG49" si="229">SUM(BD45:BD48)</f>
        <v>0</v>
      </c>
      <c r="BE49" s="11">
        <f t="shared" si="229"/>
        <v>0</v>
      </c>
      <c r="BF49" s="11">
        <f t="shared" si="229"/>
        <v>0</v>
      </c>
      <c r="BG49" s="11">
        <f t="shared" si="229"/>
        <v>0</v>
      </c>
      <c r="BH49" s="25">
        <f>SUM(BH45:BH48)</f>
        <v>0</v>
      </c>
      <c r="BJ49" s="10">
        <f>SUM(BJ45:BJ48)</f>
        <v>0</v>
      </c>
      <c r="BK49" s="11">
        <f t="shared" ref="BK49:BN49" si="230">SUM(BK45:BK48)</f>
        <v>0</v>
      </c>
      <c r="BL49" s="11">
        <f t="shared" si="230"/>
        <v>0</v>
      </c>
      <c r="BM49" s="11">
        <f t="shared" si="230"/>
        <v>0</v>
      </c>
      <c r="BN49" s="11">
        <f t="shared" si="230"/>
        <v>0</v>
      </c>
      <c r="BO49" s="25">
        <f>SUM(BO45:BO48)</f>
        <v>0</v>
      </c>
      <c r="BQ49" s="10">
        <f>SUM(BQ45:BQ48)</f>
        <v>0</v>
      </c>
      <c r="BR49" s="11">
        <f t="shared" ref="BR49:BU49" si="231">SUM(BR45:BR48)</f>
        <v>0</v>
      </c>
      <c r="BS49" s="11">
        <f t="shared" si="231"/>
        <v>0</v>
      </c>
      <c r="BT49" s="11">
        <f t="shared" si="231"/>
        <v>0</v>
      </c>
      <c r="BU49" s="11">
        <f t="shared" si="231"/>
        <v>0</v>
      </c>
      <c r="BV49" s="25">
        <f>SUM(BV45:BV48)</f>
        <v>0</v>
      </c>
      <c r="BX49" s="10">
        <f>SUM(BX45:BX48)</f>
        <v>0</v>
      </c>
      <c r="BY49" s="11">
        <f t="shared" ref="BY49:CB49" si="232">SUM(BY45:BY48)</f>
        <v>0</v>
      </c>
      <c r="BZ49" s="11">
        <f t="shared" si="232"/>
        <v>0</v>
      </c>
      <c r="CA49" s="11">
        <f t="shared" si="232"/>
        <v>0</v>
      </c>
      <c r="CB49" s="11">
        <f t="shared" si="232"/>
        <v>0</v>
      </c>
      <c r="CC49" s="25">
        <f>SUM(CC45:CC48)</f>
        <v>0</v>
      </c>
      <c r="CE49" s="62">
        <f t="shared" ref="CE49:CJ49" si="233">SUM(CE45:CE48)</f>
        <v>0</v>
      </c>
      <c r="CF49" s="63">
        <f t="shared" si="233"/>
        <v>0</v>
      </c>
      <c r="CG49" s="63">
        <f t="shared" si="233"/>
        <v>0</v>
      </c>
      <c r="CH49" s="63">
        <f t="shared" si="233"/>
        <v>0</v>
      </c>
      <c r="CI49" s="63">
        <f t="shared" si="233"/>
        <v>0</v>
      </c>
      <c r="CJ49" s="25">
        <f t="shared" si="233"/>
        <v>0</v>
      </c>
      <c r="CL49" s="10">
        <f>SUM(CL45:CL48)</f>
        <v>0</v>
      </c>
      <c r="CM49" s="11">
        <f t="shared" ref="CM49:CP49" si="234">SUM(CM45:CM48)</f>
        <v>0</v>
      </c>
      <c r="CN49" s="11">
        <f t="shared" si="234"/>
        <v>0</v>
      </c>
      <c r="CO49" s="11">
        <f t="shared" si="234"/>
        <v>0</v>
      </c>
      <c r="CP49" s="11">
        <f t="shared" si="234"/>
        <v>0</v>
      </c>
      <c r="CQ49" s="25">
        <f>SUM(CQ45:CQ48)</f>
        <v>0</v>
      </c>
      <c r="CS49" s="10">
        <f>SUM(CS45:CS48)</f>
        <v>0</v>
      </c>
      <c r="CT49" s="11">
        <f t="shared" ref="CT49:CW49" si="235">SUM(CT45:CT48)</f>
        <v>0</v>
      </c>
      <c r="CU49" s="11">
        <f t="shared" si="235"/>
        <v>0</v>
      </c>
      <c r="CV49" s="11">
        <f t="shared" si="235"/>
        <v>0</v>
      </c>
      <c r="CW49" s="11">
        <f t="shared" si="235"/>
        <v>0</v>
      </c>
      <c r="CX49" s="25">
        <f>SUM(CX45:CX48)</f>
        <v>0</v>
      </c>
      <c r="CZ49" s="10">
        <f>SUM(CZ45:CZ48)</f>
        <v>0</v>
      </c>
      <c r="DA49" s="11">
        <f t="shared" ref="DA49:DD49" si="236">SUM(DA45:DA48)</f>
        <v>0</v>
      </c>
      <c r="DB49" s="11">
        <f t="shared" si="236"/>
        <v>0</v>
      </c>
      <c r="DC49" s="11">
        <f t="shared" si="236"/>
        <v>0</v>
      </c>
      <c r="DD49" s="11">
        <f t="shared" si="236"/>
        <v>0</v>
      </c>
      <c r="DE49" s="25">
        <f>SUM(DE45:DE48)</f>
        <v>0</v>
      </c>
    </row>
    <row r="50" spans="3:109" ht="10.4" customHeight="1" thickBot="1"/>
    <row r="51" spans="3:109">
      <c r="C51" s="553">
        <v>2026</v>
      </c>
      <c r="E51" s="13" t="s">
        <v>59</v>
      </c>
      <c r="F51" s="21">
        <f>CE45</f>
        <v>0</v>
      </c>
      <c r="G51" s="22">
        <f t="shared" ref="G51:G54" si="237">CF45</f>
        <v>0</v>
      </c>
      <c r="H51" s="22">
        <f t="shared" ref="H51:H54" si="238">CG45</f>
        <v>0</v>
      </c>
      <c r="I51" s="22">
        <f t="shared" ref="I51:I54" si="239">CH45</f>
        <v>0</v>
      </c>
      <c r="J51" s="22">
        <f t="shared" ref="J51:J54" si="240">CI45</f>
        <v>0</v>
      </c>
      <c r="K51" s="15">
        <f>SUM(F51:J51)</f>
        <v>0</v>
      </c>
      <c r="M51" s="2"/>
      <c r="N51" s="3"/>
      <c r="O51" s="3"/>
      <c r="P51" s="3"/>
      <c r="Q51" s="3"/>
      <c r="R51" s="15">
        <f>SUM(M51:Q51)</f>
        <v>0</v>
      </c>
      <c r="T51" s="2"/>
      <c r="U51" s="3"/>
      <c r="V51" s="3"/>
      <c r="W51" s="3"/>
      <c r="X51" s="3"/>
      <c r="Y51" s="15">
        <f>SUM(T51:X51)</f>
        <v>0</v>
      </c>
      <c r="AA51" s="2"/>
      <c r="AB51" s="3"/>
      <c r="AC51" s="3"/>
      <c r="AD51" s="3"/>
      <c r="AE51" s="3"/>
      <c r="AF51" s="4">
        <f>SUM(AA51:AE51)</f>
        <v>0</v>
      </c>
      <c r="AH51" s="2"/>
      <c r="AI51" s="3"/>
      <c r="AJ51" s="3"/>
      <c r="AK51" s="3"/>
      <c r="AL51" s="3"/>
      <c r="AM51" s="4">
        <f>SUM(AH51:AL51)</f>
        <v>0</v>
      </c>
      <c r="AO51" s="2"/>
      <c r="AP51" s="3"/>
      <c r="AQ51" s="3"/>
      <c r="AR51" s="3"/>
      <c r="AS51" s="3"/>
      <c r="AT51" s="4">
        <f>SUM(AO51:AS51)</f>
        <v>0</v>
      </c>
      <c r="AV51" s="2"/>
      <c r="AW51" s="3"/>
      <c r="AX51" s="3"/>
      <c r="AY51" s="3"/>
      <c r="AZ51" s="3"/>
      <c r="BA51" s="4">
        <f>SUM(AV51:AZ51)</f>
        <v>0</v>
      </c>
      <c r="BC51" s="2"/>
      <c r="BD51" s="3"/>
      <c r="BE51" s="3"/>
      <c r="BF51" s="3"/>
      <c r="BG51" s="3"/>
      <c r="BH51" s="4">
        <f>SUM(BC51:BG51)</f>
        <v>0</v>
      </c>
      <c r="BJ51" s="2"/>
      <c r="BK51" s="3"/>
      <c r="BL51" s="3"/>
      <c r="BM51" s="3"/>
      <c r="BN51" s="3"/>
      <c r="BO51" s="4">
        <f>SUM(BJ51:BN51)</f>
        <v>0</v>
      </c>
      <c r="BQ51" s="2"/>
      <c r="BR51" s="3"/>
      <c r="BS51" s="3"/>
      <c r="BT51" s="3"/>
      <c r="BU51" s="3"/>
      <c r="BV51" s="4">
        <f>SUM(BQ51:BU51)</f>
        <v>0</v>
      </c>
      <c r="BX51" s="2"/>
      <c r="BY51" s="3"/>
      <c r="BZ51" s="3"/>
      <c r="CA51" s="3"/>
      <c r="CB51" s="3"/>
      <c r="CC51" s="4">
        <f>SUM(BX51:CB51)</f>
        <v>0</v>
      </c>
      <c r="CE51" s="26">
        <f t="shared" ref="CE51:CI54" si="241">F51+M51+T51+AA51+AH51+AO51+AV51+BC51+BJ51+BQ51+BX51</f>
        <v>0</v>
      </c>
      <c r="CF51" s="27">
        <f t="shared" si="241"/>
        <v>0</v>
      </c>
      <c r="CG51" s="27">
        <f t="shared" si="241"/>
        <v>0</v>
      </c>
      <c r="CH51" s="27">
        <f t="shared" si="241"/>
        <v>0</v>
      </c>
      <c r="CI51" s="27">
        <f t="shared" si="241"/>
        <v>0</v>
      </c>
      <c r="CJ51" s="4">
        <f>SUM(CE51:CI51)</f>
        <v>0</v>
      </c>
      <c r="CL51" s="2"/>
      <c r="CM51" s="3"/>
      <c r="CN51" s="3"/>
      <c r="CO51" s="3"/>
      <c r="CP51" s="3"/>
      <c r="CQ51" s="4">
        <f>SUM(CL51:CP51)</f>
        <v>0</v>
      </c>
      <c r="CS51" s="2"/>
      <c r="CT51" s="3"/>
      <c r="CU51" s="3"/>
      <c r="CV51" s="3"/>
      <c r="CW51" s="3"/>
      <c r="CX51" s="4">
        <f>SUM(CS51:CW51)</f>
        <v>0</v>
      </c>
      <c r="CZ51" s="2"/>
      <c r="DA51" s="3"/>
      <c r="DB51" s="3"/>
      <c r="DC51" s="3"/>
      <c r="DD51" s="3"/>
      <c r="DE51" s="4">
        <f>SUM(CZ51:DD51)</f>
        <v>0</v>
      </c>
    </row>
    <row r="52" spans="3:109">
      <c r="C52" s="567"/>
      <c r="E52" s="14" t="s">
        <v>60</v>
      </c>
      <c r="F52" s="23">
        <f t="shared" ref="F52:F54" si="242">CE46</f>
        <v>0</v>
      </c>
      <c r="G52" s="24">
        <f t="shared" si="237"/>
        <v>0</v>
      </c>
      <c r="H52" s="24">
        <f t="shared" si="238"/>
        <v>0</v>
      </c>
      <c r="I52" s="24">
        <f t="shared" si="239"/>
        <v>0</v>
      </c>
      <c r="J52" s="24">
        <f t="shared" si="240"/>
        <v>0</v>
      </c>
      <c r="K52" s="16">
        <f t="shared" ref="K52:K54" si="243">SUM(F52:J52)</f>
        <v>0</v>
      </c>
      <c r="M52" s="6"/>
      <c r="N52" s="7"/>
      <c r="O52" s="7"/>
      <c r="P52" s="7"/>
      <c r="Q52" s="7"/>
      <c r="R52" s="16">
        <f t="shared" ref="R52:R54" si="244">SUM(M52:Q52)</f>
        <v>0</v>
      </c>
      <c r="T52" s="6"/>
      <c r="U52" s="7"/>
      <c r="V52" s="7"/>
      <c r="W52" s="7"/>
      <c r="X52" s="7"/>
      <c r="Y52" s="16">
        <f t="shared" ref="Y52:Y54" si="245">SUM(T52:X52)</f>
        <v>0</v>
      </c>
      <c r="AA52" s="6"/>
      <c r="AB52" s="7"/>
      <c r="AC52" s="7"/>
      <c r="AD52" s="7"/>
      <c r="AE52" s="7"/>
      <c r="AF52" s="8">
        <f>SUM(AA52:AE52)</f>
        <v>0</v>
      </c>
      <c r="AH52" s="6"/>
      <c r="AI52" s="7"/>
      <c r="AJ52" s="7"/>
      <c r="AK52" s="7"/>
      <c r="AL52" s="7"/>
      <c r="AM52" s="8">
        <f>SUM(AH52:AL52)</f>
        <v>0</v>
      </c>
      <c r="AO52" s="6"/>
      <c r="AP52" s="7"/>
      <c r="AQ52" s="7"/>
      <c r="AR52" s="7"/>
      <c r="AS52" s="7"/>
      <c r="AT52" s="8">
        <f>SUM(AO52:AS52)</f>
        <v>0</v>
      </c>
      <c r="AV52" s="6"/>
      <c r="AW52" s="7"/>
      <c r="AX52" s="7"/>
      <c r="AY52" s="7"/>
      <c r="AZ52" s="7"/>
      <c r="BA52" s="8">
        <f>SUM(AV52:AZ52)</f>
        <v>0</v>
      </c>
      <c r="BC52" s="6"/>
      <c r="BD52" s="7"/>
      <c r="BE52" s="7"/>
      <c r="BF52" s="7"/>
      <c r="BG52" s="7"/>
      <c r="BH52" s="8">
        <f>SUM(BC52:BG52)</f>
        <v>0</v>
      </c>
      <c r="BJ52" s="6"/>
      <c r="BK52" s="7"/>
      <c r="BL52" s="7"/>
      <c r="BM52" s="7"/>
      <c r="BN52" s="7"/>
      <c r="BO52" s="8">
        <f>SUM(BJ52:BN52)</f>
        <v>0</v>
      </c>
      <c r="BQ52" s="6"/>
      <c r="BR52" s="7"/>
      <c r="BS52" s="7"/>
      <c r="BT52" s="7"/>
      <c r="BU52" s="7"/>
      <c r="BV52" s="8">
        <f>SUM(BQ52:BU52)</f>
        <v>0</v>
      </c>
      <c r="BX52" s="6"/>
      <c r="BY52" s="7"/>
      <c r="BZ52" s="7"/>
      <c r="CA52" s="7"/>
      <c r="CB52" s="7"/>
      <c r="CC52" s="8">
        <f>SUM(BX52:CB52)</f>
        <v>0</v>
      </c>
      <c r="CE52" s="28">
        <f t="shared" si="241"/>
        <v>0</v>
      </c>
      <c r="CF52" s="29">
        <f t="shared" si="241"/>
        <v>0</v>
      </c>
      <c r="CG52" s="29">
        <f t="shared" si="241"/>
        <v>0</v>
      </c>
      <c r="CH52" s="29">
        <f t="shared" si="241"/>
        <v>0</v>
      </c>
      <c r="CI52" s="29">
        <f t="shared" si="241"/>
        <v>0</v>
      </c>
      <c r="CJ52" s="8">
        <f>SUM(CE52:CI52)</f>
        <v>0</v>
      </c>
      <c r="CL52" s="6"/>
      <c r="CM52" s="7"/>
      <c r="CN52" s="7"/>
      <c r="CO52" s="7"/>
      <c r="CP52" s="7"/>
      <c r="CQ52" s="8">
        <f>SUM(CL52:CP52)</f>
        <v>0</v>
      </c>
      <c r="CS52" s="6"/>
      <c r="CT52" s="7"/>
      <c r="CU52" s="7"/>
      <c r="CV52" s="7"/>
      <c r="CW52" s="7"/>
      <c r="CX52" s="8">
        <f t="shared" ref="CX52:CX54" si="246">SUM(CS52:CW52)</f>
        <v>0</v>
      </c>
      <c r="CZ52" s="6"/>
      <c r="DA52" s="7"/>
      <c r="DB52" s="7"/>
      <c r="DC52" s="7"/>
      <c r="DD52" s="7"/>
      <c r="DE52" s="8">
        <f t="shared" ref="DE52:DE54" si="247">SUM(CZ52:DD52)</f>
        <v>0</v>
      </c>
    </row>
    <row r="53" spans="3:109">
      <c r="C53" s="567"/>
      <c r="E53" s="14" t="s">
        <v>61</v>
      </c>
      <c r="F53" s="23">
        <f t="shared" si="242"/>
        <v>0</v>
      </c>
      <c r="G53" s="24">
        <f t="shared" si="237"/>
        <v>0</v>
      </c>
      <c r="H53" s="24">
        <f t="shared" si="238"/>
        <v>0</v>
      </c>
      <c r="I53" s="24">
        <f t="shared" si="239"/>
        <v>0</v>
      </c>
      <c r="J53" s="24">
        <f t="shared" si="240"/>
        <v>0</v>
      </c>
      <c r="K53" s="16">
        <f t="shared" si="243"/>
        <v>0</v>
      </c>
      <c r="M53" s="6"/>
      <c r="N53" s="7"/>
      <c r="O53" s="7"/>
      <c r="P53" s="7"/>
      <c r="Q53" s="7"/>
      <c r="R53" s="16">
        <f t="shared" si="244"/>
        <v>0</v>
      </c>
      <c r="T53" s="6"/>
      <c r="U53" s="7"/>
      <c r="V53" s="7"/>
      <c r="W53" s="7"/>
      <c r="X53" s="7"/>
      <c r="Y53" s="16">
        <f t="shared" si="245"/>
        <v>0</v>
      </c>
      <c r="AA53" s="6"/>
      <c r="AB53" s="7"/>
      <c r="AC53" s="7"/>
      <c r="AD53" s="7"/>
      <c r="AE53" s="7"/>
      <c r="AF53" s="8">
        <f>SUM(AA53:AE53)</f>
        <v>0</v>
      </c>
      <c r="AH53" s="6"/>
      <c r="AI53" s="7"/>
      <c r="AJ53" s="7"/>
      <c r="AK53" s="7"/>
      <c r="AL53" s="7"/>
      <c r="AM53" s="8">
        <f>SUM(AH53:AL53)</f>
        <v>0</v>
      </c>
      <c r="AO53" s="6"/>
      <c r="AP53" s="7"/>
      <c r="AQ53" s="7"/>
      <c r="AR53" s="7"/>
      <c r="AS53" s="7"/>
      <c r="AT53" s="8">
        <f>SUM(AO53:AS53)</f>
        <v>0</v>
      </c>
      <c r="AV53" s="6"/>
      <c r="AW53" s="7"/>
      <c r="AX53" s="7"/>
      <c r="AY53" s="7"/>
      <c r="AZ53" s="7"/>
      <c r="BA53" s="8">
        <f>SUM(AV53:AZ53)</f>
        <v>0</v>
      </c>
      <c r="BC53" s="6"/>
      <c r="BD53" s="7"/>
      <c r="BE53" s="7"/>
      <c r="BF53" s="7"/>
      <c r="BG53" s="7"/>
      <c r="BH53" s="8">
        <f>SUM(BC53:BG53)</f>
        <v>0</v>
      </c>
      <c r="BJ53" s="6"/>
      <c r="BK53" s="7"/>
      <c r="BL53" s="7"/>
      <c r="BM53" s="7"/>
      <c r="BN53" s="7"/>
      <c r="BO53" s="8">
        <f>SUM(BJ53:BN53)</f>
        <v>0</v>
      </c>
      <c r="BQ53" s="6"/>
      <c r="BR53" s="7"/>
      <c r="BS53" s="7"/>
      <c r="BT53" s="7"/>
      <c r="BU53" s="7"/>
      <c r="BV53" s="8">
        <f>SUM(BQ53:BU53)</f>
        <v>0</v>
      </c>
      <c r="BX53" s="6"/>
      <c r="BY53" s="7"/>
      <c r="BZ53" s="7"/>
      <c r="CA53" s="7"/>
      <c r="CB53" s="7"/>
      <c r="CC53" s="8">
        <f>SUM(BX53:CB53)</f>
        <v>0</v>
      </c>
      <c r="CE53" s="28">
        <f t="shared" si="241"/>
        <v>0</v>
      </c>
      <c r="CF53" s="29">
        <f t="shared" si="241"/>
        <v>0</v>
      </c>
      <c r="CG53" s="29">
        <f t="shared" si="241"/>
        <v>0</v>
      </c>
      <c r="CH53" s="29">
        <f t="shared" si="241"/>
        <v>0</v>
      </c>
      <c r="CI53" s="29">
        <f t="shared" si="241"/>
        <v>0</v>
      </c>
      <c r="CJ53" s="8">
        <f>SUM(CE53:CI53)</f>
        <v>0</v>
      </c>
      <c r="CL53" s="6"/>
      <c r="CM53" s="7"/>
      <c r="CN53" s="7"/>
      <c r="CO53" s="7"/>
      <c r="CP53" s="7"/>
      <c r="CQ53" s="8">
        <f>SUM(CL53:CP53)</f>
        <v>0</v>
      </c>
      <c r="CS53" s="6"/>
      <c r="CT53" s="7"/>
      <c r="CU53" s="7"/>
      <c r="CV53" s="7"/>
      <c r="CW53" s="7"/>
      <c r="CX53" s="8">
        <f t="shared" si="246"/>
        <v>0</v>
      </c>
      <c r="CZ53" s="6"/>
      <c r="DA53" s="7"/>
      <c r="DB53" s="7"/>
      <c r="DC53" s="7"/>
      <c r="DD53" s="7"/>
      <c r="DE53" s="8">
        <f t="shared" si="247"/>
        <v>0</v>
      </c>
    </row>
    <row r="54" spans="3:109" ht="14" thickBot="1">
      <c r="C54" s="567"/>
      <c r="E54" s="14" t="s">
        <v>62</v>
      </c>
      <c r="F54" s="23">
        <f t="shared" si="242"/>
        <v>0</v>
      </c>
      <c r="G54" s="24">
        <f t="shared" si="237"/>
        <v>0</v>
      </c>
      <c r="H54" s="24">
        <f t="shared" si="238"/>
        <v>0</v>
      </c>
      <c r="I54" s="24">
        <f t="shared" si="239"/>
        <v>0</v>
      </c>
      <c r="J54" s="24">
        <f t="shared" si="240"/>
        <v>0</v>
      </c>
      <c r="K54" s="16">
        <f t="shared" si="243"/>
        <v>0</v>
      </c>
      <c r="M54" s="6"/>
      <c r="N54" s="7"/>
      <c r="O54" s="7"/>
      <c r="P54" s="7"/>
      <c r="Q54" s="7"/>
      <c r="R54" s="16">
        <f t="shared" si="244"/>
        <v>0</v>
      </c>
      <c r="T54" s="6"/>
      <c r="U54" s="7"/>
      <c r="V54" s="7"/>
      <c r="W54" s="7"/>
      <c r="X54" s="7"/>
      <c r="Y54" s="16">
        <f t="shared" si="245"/>
        <v>0</v>
      </c>
      <c r="AA54" s="6"/>
      <c r="AB54" s="7"/>
      <c r="AC54" s="7"/>
      <c r="AD54" s="7"/>
      <c r="AE54" s="7"/>
      <c r="AF54" s="8">
        <f>SUM(AA54:AE54)</f>
        <v>0</v>
      </c>
      <c r="AH54" s="6"/>
      <c r="AI54" s="7"/>
      <c r="AJ54" s="7"/>
      <c r="AK54" s="7"/>
      <c r="AL54" s="7"/>
      <c r="AM54" s="8">
        <f>SUM(AH54:AL54)</f>
        <v>0</v>
      </c>
      <c r="AO54" s="6"/>
      <c r="AP54" s="7"/>
      <c r="AQ54" s="7"/>
      <c r="AR54" s="7"/>
      <c r="AS54" s="7"/>
      <c r="AT54" s="8">
        <f>SUM(AO54:AS54)</f>
        <v>0</v>
      </c>
      <c r="AV54" s="6"/>
      <c r="AW54" s="7"/>
      <c r="AX54" s="7"/>
      <c r="AY54" s="7"/>
      <c r="AZ54" s="7"/>
      <c r="BA54" s="8">
        <f>SUM(AV54:AZ54)</f>
        <v>0</v>
      </c>
      <c r="BC54" s="6"/>
      <c r="BD54" s="7"/>
      <c r="BE54" s="7"/>
      <c r="BF54" s="7"/>
      <c r="BG54" s="7"/>
      <c r="BH54" s="8">
        <f>SUM(BC54:BG54)</f>
        <v>0</v>
      </c>
      <c r="BJ54" s="6"/>
      <c r="BK54" s="7"/>
      <c r="BL54" s="7"/>
      <c r="BM54" s="7"/>
      <c r="BN54" s="7"/>
      <c r="BO54" s="8">
        <f>SUM(BJ54:BN54)</f>
        <v>0</v>
      </c>
      <c r="BQ54" s="6"/>
      <c r="BR54" s="7"/>
      <c r="BS54" s="7"/>
      <c r="BT54" s="7"/>
      <c r="BU54" s="7"/>
      <c r="BV54" s="8">
        <f>SUM(BQ54:BU54)</f>
        <v>0</v>
      </c>
      <c r="BX54" s="6"/>
      <c r="BY54" s="7"/>
      <c r="BZ54" s="7"/>
      <c r="CA54" s="7"/>
      <c r="CB54" s="7"/>
      <c r="CC54" s="8">
        <f>SUM(BX54:CB54)</f>
        <v>0</v>
      </c>
      <c r="CE54" s="493">
        <f t="shared" si="241"/>
        <v>0</v>
      </c>
      <c r="CF54" s="494">
        <f t="shared" si="241"/>
        <v>0</v>
      </c>
      <c r="CG54" s="494">
        <f t="shared" si="241"/>
        <v>0</v>
      </c>
      <c r="CH54" s="494">
        <f t="shared" si="241"/>
        <v>0</v>
      </c>
      <c r="CI54" s="494">
        <f t="shared" si="241"/>
        <v>0</v>
      </c>
      <c r="CJ54" s="495">
        <f>SUM(CE54:CI54)</f>
        <v>0</v>
      </c>
      <c r="CL54" s="6"/>
      <c r="CM54" s="7"/>
      <c r="CN54" s="7"/>
      <c r="CO54" s="7"/>
      <c r="CP54" s="7"/>
      <c r="CQ54" s="8">
        <f>SUM(CL54:CP54)</f>
        <v>0</v>
      </c>
      <c r="CS54" s="6"/>
      <c r="CT54" s="7"/>
      <c r="CU54" s="7"/>
      <c r="CV54" s="7"/>
      <c r="CW54" s="7"/>
      <c r="CX54" s="8">
        <f t="shared" si="246"/>
        <v>0</v>
      </c>
      <c r="CZ54" s="6"/>
      <c r="DA54" s="7"/>
      <c r="DB54" s="7"/>
      <c r="DC54" s="7"/>
      <c r="DD54" s="7"/>
      <c r="DE54" s="8">
        <f t="shared" si="247"/>
        <v>0</v>
      </c>
    </row>
    <row r="55" spans="3:109" ht="14" thickBot="1">
      <c r="C55" s="554"/>
      <c r="E55" s="9"/>
      <c r="F55" s="10">
        <f>SUM(F51:F54)</f>
        <v>0</v>
      </c>
      <c r="G55" s="11">
        <f t="shared" ref="G55:J55" si="248">SUM(G51:G54)</f>
        <v>0</v>
      </c>
      <c r="H55" s="11">
        <f t="shared" si="248"/>
        <v>0</v>
      </c>
      <c r="I55" s="11">
        <f t="shared" si="248"/>
        <v>0</v>
      </c>
      <c r="J55" s="11">
        <f t="shared" si="248"/>
        <v>0</v>
      </c>
      <c r="K55" s="25">
        <f>SUM(K51:K54)</f>
        <v>0</v>
      </c>
      <c r="M55" s="10">
        <f>SUM(M51:M54)</f>
        <v>0</v>
      </c>
      <c r="N55" s="11">
        <f t="shared" ref="N55:Q55" si="249">SUM(N51:N54)</f>
        <v>0</v>
      </c>
      <c r="O55" s="11">
        <f t="shared" si="249"/>
        <v>0</v>
      </c>
      <c r="P55" s="11">
        <f t="shared" si="249"/>
        <v>0</v>
      </c>
      <c r="Q55" s="11">
        <f t="shared" si="249"/>
        <v>0</v>
      </c>
      <c r="R55" s="25">
        <f>SUM(R51:R54)</f>
        <v>0</v>
      </c>
      <c r="T55" s="10">
        <f>SUM(T51:T54)</f>
        <v>0</v>
      </c>
      <c r="U55" s="11">
        <f t="shared" ref="U55:X55" si="250">SUM(U51:U54)</f>
        <v>0</v>
      </c>
      <c r="V55" s="11">
        <f t="shared" si="250"/>
        <v>0</v>
      </c>
      <c r="W55" s="11">
        <f t="shared" si="250"/>
        <v>0</v>
      </c>
      <c r="X55" s="11">
        <f t="shared" si="250"/>
        <v>0</v>
      </c>
      <c r="Y55" s="25">
        <f>SUM(Y51:Y54)</f>
        <v>0</v>
      </c>
      <c r="AA55" s="10">
        <f>SUM(AA51:AA54)</f>
        <v>0</v>
      </c>
      <c r="AB55" s="11">
        <f t="shared" ref="AB55:AE55" si="251">SUM(AB51:AB54)</f>
        <v>0</v>
      </c>
      <c r="AC55" s="11">
        <f t="shared" si="251"/>
        <v>0</v>
      </c>
      <c r="AD55" s="11">
        <f t="shared" si="251"/>
        <v>0</v>
      </c>
      <c r="AE55" s="11">
        <f t="shared" si="251"/>
        <v>0</v>
      </c>
      <c r="AF55" s="25">
        <f>SUM(AF51:AF54)</f>
        <v>0</v>
      </c>
      <c r="AH55" s="10">
        <f>SUM(AH51:AH54)</f>
        <v>0</v>
      </c>
      <c r="AI55" s="11">
        <f t="shared" ref="AI55:AL55" si="252">SUM(AI51:AI54)</f>
        <v>0</v>
      </c>
      <c r="AJ55" s="11">
        <f t="shared" si="252"/>
        <v>0</v>
      </c>
      <c r="AK55" s="11">
        <f t="shared" si="252"/>
        <v>0</v>
      </c>
      <c r="AL55" s="11">
        <f t="shared" si="252"/>
        <v>0</v>
      </c>
      <c r="AM55" s="25">
        <f>SUM(AM51:AM54)</f>
        <v>0</v>
      </c>
      <c r="AO55" s="10">
        <f>SUM(AO51:AO54)</f>
        <v>0</v>
      </c>
      <c r="AP55" s="11">
        <f t="shared" ref="AP55:AS55" si="253">SUM(AP51:AP54)</f>
        <v>0</v>
      </c>
      <c r="AQ55" s="11">
        <f t="shared" si="253"/>
        <v>0</v>
      </c>
      <c r="AR55" s="11">
        <f t="shared" si="253"/>
        <v>0</v>
      </c>
      <c r="AS55" s="11">
        <f t="shared" si="253"/>
        <v>0</v>
      </c>
      <c r="AT55" s="25">
        <f>SUM(AT51:AT54)</f>
        <v>0</v>
      </c>
      <c r="AV55" s="10">
        <f>SUM(AV51:AV54)</f>
        <v>0</v>
      </c>
      <c r="AW55" s="11">
        <f t="shared" ref="AW55:AZ55" si="254">SUM(AW51:AW54)</f>
        <v>0</v>
      </c>
      <c r="AX55" s="11">
        <f t="shared" si="254"/>
        <v>0</v>
      </c>
      <c r="AY55" s="11">
        <f t="shared" si="254"/>
        <v>0</v>
      </c>
      <c r="AZ55" s="11">
        <f t="shared" si="254"/>
        <v>0</v>
      </c>
      <c r="BA55" s="25">
        <f>SUM(BA51:BA54)</f>
        <v>0</v>
      </c>
      <c r="BC55" s="10">
        <f>SUM(BC51:BC54)</f>
        <v>0</v>
      </c>
      <c r="BD55" s="11">
        <f t="shared" ref="BD55:BG55" si="255">SUM(BD51:BD54)</f>
        <v>0</v>
      </c>
      <c r="BE55" s="11">
        <f t="shared" si="255"/>
        <v>0</v>
      </c>
      <c r="BF55" s="11">
        <f t="shared" si="255"/>
        <v>0</v>
      </c>
      <c r="BG55" s="11">
        <f t="shared" si="255"/>
        <v>0</v>
      </c>
      <c r="BH55" s="25">
        <f>SUM(BH51:BH54)</f>
        <v>0</v>
      </c>
      <c r="BJ55" s="10">
        <f>SUM(BJ51:BJ54)</f>
        <v>0</v>
      </c>
      <c r="BK55" s="11">
        <f t="shared" ref="BK55:BN55" si="256">SUM(BK51:BK54)</f>
        <v>0</v>
      </c>
      <c r="BL55" s="11">
        <f t="shared" si="256"/>
        <v>0</v>
      </c>
      <c r="BM55" s="11">
        <f t="shared" si="256"/>
        <v>0</v>
      </c>
      <c r="BN55" s="11">
        <f t="shared" si="256"/>
        <v>0</v>
      </c>
      <c r="BO55" s="25">
        <f>SUM(BO51:BO54)</f>
        <v>0</v>
      </c>
      <c r="BQ55" s="10">
        <f>SUM(BQ51:BQ54)</f>
        <v>0</v>
      </c>
      <c r="BR55" s="11">
        <f t="shared" ref="BR55:BU55" si="257">SUM(BR51:BR54)</f>
        <v>0</v>
      </c>
      <c r="BS55" s="11">
        <f t="shared" si="257"/>
        <v>0</v>
      </c>
      <c r="BT55" s="11">
        <f t="shared" si="257"/>
        <v>0</v>
      </c>
      <c r="BU55" s="11">
        <f t="shared" si="257"/>
        <v>0</v>
      </c>
      <c r="BV55" s="25">
        <f>SUM(BV51:BV54)</f>
        <v>0</v>
      </c>
      <c r="BX55" s="10">
        <f>SUM(BX51:BX54)</f>
        <v>0</v>
      </c>
      <c r="BY55" s="11">
        <f t="shared" ref="BY55:CB55" si="258">SUM(BY51:BY54)</f>
        <v>0</v>
      </c>
      <c r="BZ55" s="11">
        <f t="shared" si="258"/>
        <v>0</v>
      </c>
      <c r="CA55" s="11">
        <f t="shared" si="258"/>
        <v>0</v>
      </c>
      <c r="CB55" s="11">
        <f t="shared" si="258"/>
        <v>0</v>
      </c>
      <c r="CC55" s="25">
        <f>SUM(CC51:CC54)</f>
        <v>0</v>
      </c>
      <c r="CE55" s="62">
        <f t="shared" ref="CE55:CJ55" si="259">SUM(CE51:CE54)</f>
        <v>0</v>
      </c>
      <c r="CF55" s="63">
        <f t="shared" si="259"/>
        <v>0</v>
      </c>
      <c r="CG55" s="63">
        <f t="shared" si="259"/>
        <v>0</v>
      </c>
      <c r="CH55" s="63">
        <f t="shared" si="259"/>
        <v>0</v>
      </c>
      <c r="CI55" s="63">
        <f t="shared" si="259"/>
        <v>0</v>
      </c>
      <c r="CJ55" s="25">
        <f t="shared" si="259"/>
        <v>0</v>
      </c>
      <c r="CL55" s="10">
        <f>SUM(CL51:CL54)</f>
        <v>0</v>
      </c>
      <c r="CM55" s="11">
        <f t="shared" ref="CM55:CP55" si="260">SUM(CM51:CM54)</f>
        <v>0</v>
      </c>
      <c r="CN55" s="11">
        <f t="shared" si="260"/>
        <v>0</v>
      </c>
      <c r="CO55" s="11">
        <f t="shared" si="260"/>
        <v>0</v>
      </c>
      <c r="CP55" s="11">
        <f t="shared" si="260"/>
        <v>0</v>
      </c>
      <c r="CQ55" s="25">
        <f>SUM(CQ51:CQ54)</f>
        <v>0</v>
      </c>
      <c r="CS55" s="10">
        <f>SUM(CS51:CS54)</f>
        <v>0</v>
      </c>
      <c r="CT55" s="11">
        <f t="shared" ref="CT55:CW55" si="261">SUM(CT51:CT54)</f>
        <v>0</v>
      </c>
      <c r="CU55" s="11">
        <f t="shared" si="261"/>
        <v>0</v>
      </c>
      <c r="CV55" s="11">
        <f t="shared" si="261"/>
        <v>0</v>
      </c>
      <c r="CW55" s="11">
        <f t="shared" si="261"/>
        <v>0</v>
      </c>
      <c r="CX55" s="25">
        <f>SUM(CX51:CX54)</f>
        <v>0</v>
      </c>
      <c r="CZ55" s="10">
        <f>SUM(CZ51:CZ54)</f>
        <v>0</v>
      </c>
      <c r="DA55" s="11">
        <f t="shared" ref="DA55:DD55" si="262">SUM(DA51:DA54)</f>
        <v>0</v>
      </c>
      <c r="DB55" s="11">
        <f t="shared" si="262"/>
        <v>0</v>
      </c>
      <c r="DC55" s="11">
        <f t="shared" si="262"/>
        <v>0</v>
      </c>
      <c r="DD55" s="11">
        <f t="shared" si="262"/>
        <v>0</v>
      </c>
      <c r="DE55" s="25">
        <f>SUM(DE51:DE54)</f>
        <v>0</v>
      </c>
    </row>
    <row r="56" spans="3:109" ht="10.4" customHeight="1" thickBot="1"/>
    <row r="57" spans="3:109">
      <c r="C57" s="553">
        <v>2027</v>
      </c>
      <c r="E57" s="13" t="s">
        <v>59</v>
      </c>
      <c r="F57" s="21">
        <f>CE51</f>
        <v>0</v>
      </c>
      <c r="G57" s="22">
        <f t="shared" ref="G57:G60" si="263">CF51</f>
        <v>0</v>
      </c>
      <c r="H57" s="22">
        <f t="shared" ref="H57:H60" si="264">CG51</f>
        <v>0</v>
      </c>
      <c r="I57" s="22">
        <f t="shared" ref="I57:I60" si="265">CH51</f>
        <v>0</v>
      </c>
      <c r="J57" s="22">
        <f t="shared" ref="J57:J60" si="266">CI51</f>
        <v>0</v>
      </c>
      <c r="K57" s="15">
        <f>SUM(F57:J57)</f>
        <v>0</v>
      </c>
      <c r="M57" s="2"/>
      <c r="N57" s="3"/>
      <c r="O57" s="3"/>
      <c r="P57" s="3"/>
      <c r="Q57" s="3"/>
      <c r="R57" s="15">
        <f>SUM(M57:Q57)</f>
        <v>0</v>
      </c>
      <c r="T57" s="2"/>
      <c r="U57" s="3"/>
      <c r="V57" s="3"/>
      <c r="W57" s="3"/>
      <c r="X57" s="3"/>
      <c r="Y57" s="15">
        <f>SUM(T57:X57)</f>
        <v>0</v>
      </c>
      <c r="AA57" s="2"/>
      <c r="AB57" s="3"/>
      <c r="AC57" s="3"/>
      <c r="AD57" s="3"/>
      <c r="AE57" s="3"/>
      <c r="AF57" s="4">
        <f>SUM(AA57:AE57)</f>
        <v>0</v>
      </c>
      <c r="AH57" s="2"/>
      <c r="AI57" s="3"/>
      <c r="AJ57" s="3"/>
      <c r="AK57" s="3"/>
      <c r="AL57" s="3"/>
      <c r="AM57" s="4">
        <f>SUM(AH57:AL57)</f>
        <v>0</v>
      </c>
      <c r="AO57" s="2"/>
      <c r="AP57" s="3"/>
      <c r="AQ57" s="3"/>
      <c r="AR57" s="3"/>
      <c r="AS57" s="3"/>
      <c r="AT57" s="4">
        <f>SUM(AO57:AS57)</f>
        <v>0</v>
      </c>
      <c r="AV57" s="2"/>
      <c r="AW57" s="3"/>
      <c r="AX57" s="3"/>
      <c r="AY57" s="3"/>
      <c r="AZ57" s="3"/>
      <c r="BA57" s="4">
        <f>SUM(AV57:AZ57)</f>
        <v>0</v>
      </c>
      <c r="BC57" s="2"/>
      <c r="BD57" s="3"/>
      <c r="BE57" s="3"/>
      <c r="BF57" s="3"/>
      <c r="BG57" s="3"/>
      <c r="BH57" s="4">
        <f>SUM(BC57:BG57)</f>
        <v>0</v>
      </c>
      <c r="BJ57" s="2"/>
      <c r="BK57" s="3"/>
      <c r="BL57" s="3"/>
      <c r="BM57" s="3"/>
      <c r="BN57" s="3"/>
      <c r="BO57" s="4">
        <f>SUM(BJ57:BN57)</f>
        <v>0</v>
      </c>
      <c r="BQ57" s="2"/>
      <c r="BR57" s="3"/>
      <c r="BS57" s="3"/>
      <c r="BT57" s="3"/>
      <c r="BU57" s="3"/>
      <c r="BV57" s="4">
        <f>SUM(BQ57:BU57)</f>
        <v>0</v>
      </c>
      <c r="BX57" s="2"/>
      <c r="BY57" s="3"/>
      <c r="BZ57" s="3"/>
      <c r="CA57" s="3"/>
      <c r="CB57" s="3"/>
      <c r="CC57" s="4">
        <f>SUM(BX57:CB57)</f>
        <v>0</v>
      </c>
      <c r="CE57" s="26">
        <f t="shared" ref="CE57:CI60" si="267">F57+M57+T57+AA57+AH57+AO57+AV57+BC57+BJ57+BQ57+BX57</f>
        <v>0</v>
      </c>
      <c r="CF57" s="27">
        <f t="shared" si="267"/>
        <v>0</v>
      </c>
      <c r="CG57" s="27">
        <f t="shared" si="267"/>
        <v>0</v>
      </c>
      <c r="CH57" s="27">
        <f t="shared" si="267"/>
        <v>0</v>
      </c>
      <c r="CI57" s="27">
        <f t="shared" si="267"/>
        <v>0</v>
      </c>
      <c r="CJ57" s="4">
        <f>SUM(CE57:CI57)</f>
        <v>0</v>
      </c>
      <c r="CL57" s="2"/>
      <c r="CM57" s="3"/>
      <c r="CN57" s="3"/>
      <c r="CO57" s="3"/>
      <c r="CP57" s="3"/>
      <c r="CQ57" s="4">
        <f>SUM(CL57:CP57)</f>
        <v>0</v>
      </c>
      <c r="CS57" s="2"/>
      <c r="CT57" s="3"/>
      <c r="CU57" s="3"/>
      <c r="CV57" s="3"/>
      <c r="CW57" s="3"/>
      <c r="CX57" s="4">
        <f>SUM(CS57:CW57)</f>
        <v>0</v>
      </c>
      <c r="CZ57" s="2"/>
      <c r="DA57" s="3"/>
      <c r="DB57" s="3"/>
      <c r="DC57" s="3"/>
      <c r="DD57" s="3"/>
      <c r="DE57" s="4">
        <f>SUM(CZ57:DD57)</f>
        <v>0</v>
      </c>
    </row>
    <row r="58" spans="3:109">
      <c r="C58" s="567"/>
      <c r="E58" s="14" t="s">
        <v>60</v>
      </c>
      <c r="F58" s="23">
        <f t="shared" ref="F58:F60" si="268">CE52</f>
        <v>0</v>
      </c>
      <c r="G58" s="24">
        <f t="shared" si="263"/>
        <v>0</v>
      </c>
      <c r="H58" s="24">
        <f t="shared" si="264"/>
        <v>0</v>
      </c>
      <c r="I58" s="24">
        <f t="shared" si="265"/>
        <v>0</v>
      </c>
      <c r="J58" s="24">
        <f t="shared" si="266"/>
        <v>0</v>
      </c>
      <c r="K58" s="16">
        <f t="shared" ref="K58:K60" si="269">SUM(F58:J58)</f>
        <v>0</v>
      </c>
      <c r="M58" s="6"/>
      <c r="N58" s="7"/>
      <c r="O58" s="7"/>
      <c r="P58" s="7"/>
      <c r="Q58" s="7"/>
      <c r="R58" s="16">
        <f t="shared" ref="R58:R60" si="270">SUM(M58:Q58)</f>
        <v>0</v>
      </c>
      <c r="T58" s="6"/>
      <c r="U58" s="7"/>
      <c r="V58" s="7"/>
      <c r="W58" s="7"/>
      <c r="X58" s="7"/>
      <c r="Y58" s="16">
        <f t="shared" ref="Y58:Y60" si="271">SUM(T58:X58)</f>
        <v>0</v>
      </c>
      <c r="AA58" s="6"/>
      <c r="AB58" s="7"/>
      <c r="AC58" s="7"/>
      <c r="AD58" s="7"/>
      <c r="AE58" s="7"/>
      <c r="AF58" s="8">
        <f>SUM(AA58:AE58)</f>
        <v>0</v>
      </c>
      <c r="AH58" s="6"/>
      <c r="AI58" s="7"/>
      <c r="AJ58" s="7"/>
      <c r="AK58" s="7"/>
      <c r="AL58" s="7"/>
      <c r="AM58" s="8">
        <f>SUM(AH58:AL58)</f>
        <v>0</v>
      </c>
      <c r="AO58" s="6"/>
      <c r="AP58" s="7"/>
      <c r="AQ58" s="7"/>
      <c r="AR58" s="7"/>
      <c r="AS58" s="7"/>
      <c r="AT58" s="8">
        <f>SUM(AO58:AS58)</f>
        <v>0</v>
      </c>
      <c r="AV58" s="6"/>
      <c r="AW58" s="7"/>
      <c r="AX58" s="7"/>
      <c r="AY58" s="7"/>
      <c r="AZ58" s="7"/>
      <c r="BA58" s="8">
        <f>SUM(AV58:AZ58)</f>
        <v>0</v>
      </c>
      <c r="BC58" s="6"/>
      <c r="BD58" s="7"/>
      <c r="BE58" s="7"/>
      <c r="BF58" s="7"/>
      <c r="BG58" s="7"/>
      <c r="BH58" s="8">
        <f>SUM(BC58:BG58)</f>
        <v>0</v>
      </c>
      <c r="BJ58" s="6"/>
      <c r="BK58" s="7"/>
      <c r="BL58" s="7"/>
      <c r="BM58" s="7"/>
      <c r="BN58" s="7"/>
      <c r="BO58" s="8">
        <f>SUM(BJ58:BN58)</f>
        <v>0</v>
      </c>
      <c r="BQ58" s="6"/>
      <c r="BR58" s="7"/>
      <c r="BS58" s="7"/>
      <c r="BT58" s="7"/>
      <c r="BU58" s="7"/>
      <c r="BV58" s="8">
        <f>SUM(BQ58:BU58)</f>
        <v>0</v>
      </c>
      <c r="BX58" s="6"/>
      <c r="BY58" s="7"/>
      <c r="BZ58" s="7"/>
      <c r="CA58" s="7"/>
      <c r="CB58" s="7"/>
      <c r="CC58" s="8">
        <f>SUM(BX58:CB58)</f>
        <v>0</v>
      </c>
      <c r="CE58" s="28">
        <f t="shared" si="267"/>
        <v>0</v>
      </c>
      <c r="CF58" s="29">
        <f t="shared" si="267"/>
        <v>0</v>
      </c>
      <c r="CG58" s="29">
        <f t="shared" si="267"/>
        <v>0</v>
      </c>
      <c r="CH58" s="29">
        <f t="shared" si="267"/>
        <v>0</v>
      </c>
      <c r="CI58" s="29">
        <f t="shared" si="267"/>
        <v>0</v>
      </c>
      <c r="CJ58" s="8">
        <f>SUM(CE58:CI58)</f>
        <v>0</v>
      </c>
      <c r="CL58" s="6"/>
      <c r="CM58" s="7"/>
      <c r="CN58" s="7"/>
      <c r="CO58" s="7"/>
      <c r="CP58" s="7"/>
      <c r="CQ58" s="8">
        <f>SUM(CL58:CP58)</f>
        <v>0</v>
      </c>
      <c r="CS58" s="6"/>
      <c r="CT58" s="7"/>
      <c r="CU58" s="7"/>
      <c r="CV58" s="7"/>
      <c r="CW58" s="7"/>
      <c r="CX58" s="8">
        <f t="shared" ref="CX58:CX60" si="272">SUM(CS58:CW58)</f>
        <v>0</v>
      </c>
      <c r="CZ58" s="6"/>
      <c r="DA58" s="7"/>
      <c r="DB58" s="7"/>
      <c r="DC58" s="7"/>
      <c r="DD58" s="7"/>
      <c r="DE58" s="8">
        <f t="shared" ref="DE58:DE60" si="273">SUM(CZ58:DD58)</f>
        <v>0</v>
      </c>
    </row>
    <row r="59" spans="3:109">
      <c r="C59" s="567"/>
      <c r="E59" s="14" t="s">
        <v>61</v>
      </c>
      <c r="F59" s="23">
        <f t="shared" si="268"/>
        <v>0</v>
      </c>
      <c r="G59" s="24">
        <f t="shared" si="263"/>
        <v>0</v>
      </c>
      <c r="H59" s="24">
        <f t="shared" si="264"/>
        <v>0</v>
      </c>
      <c r="I59" s="24">
        <f t="shared" si="265"/>
        <v>0</v>
      </c>
      <c r="J59" s="24">
        <f t="shared" si="266"/>
        <v>0</v>
      </c>
      <c r="K59" s="16">
        <f t="shared" si="269"/>
        <v>0</v>
      </c>
      <c r="M59" s="6"/>
      <c r="N59" s="7"/>
      <c r="O59" s="7"/>
      <c r="P59" s="7"/>
      <c r="Q59" s="7"/>
      <c r="R59" s="16">
        <f t="shared" si="270"/>
        <v>0</v>
      </c>
      <c r="T59" s="6"/>
      <c r="U59" s="7"/>
      <c r="V59" s="7"/>
      <c r="W59" s="7"/>
      <c r="X59" s="7"/>
      <c r="Y59" s="16">
        <f t="shared" si="271"/>
        <v>0</v>
      </c>
      <c r="AA59" s="6"/>
      <c r="AB59" s="7"/>
      <c r="AC59" s="7"/>
      <c r="AD59" s="7"/>
      <c r="AE59" s="7"/>
      <c r="AF59" s="8">
        <f>SUM(AA59:AE59)</f>
        <v>0</v>
      </c>
      <c r="AH59" s="6"/>
      <c r="AI59" s="7"/>
      <c r="AJ59" s="7"/>
      <c r="AK59" s="7"/>
      <c r="AL59" s="7"/>
      <c r="AM59" s="8">
        <f>SUM(AH59:AL59)</f>
        <v>0</v>
      </c>
      <c r="AO59" s="6"/>
      <c r="AP59" s="7"/>
      <c r="AQ59" s="7"/>
      <c r="AR59" s="7"/>
      <c r="AS59" s="7"/>
      <c r="AT59" s="8">
        <f>SUM(AO59:AS59)</f>
        <v>0</v>
      </c>
      <c r="AV59" s="6"/>
      <c r="AW59" s="7"/>
      <c r="AX59" s="7"/>
      <c r="AY59" s="7"/>
      <c r="AZ59" s="7"/>
      <c r="BA59" s="8">
        <f>SUM(AV59:AZ59)</f>
        <v>0</v>
      </c>
      <c r="BC59" s="6"/>
      <c r="BD59" s="7"/>
      <c r="BE59" s="7"/>
      <c r="BF59" s="7"/>
      <c r="BG59" s="7"/>
      <c r="BH59" s="8">
        <f>SUM(BC59:BG59)</f>
        <v>0</v>
      </c>
      <c r="BJ59" s="6"/>
      <c r="BK59" s="7"/>
      <c r="BL59" s="7"/>
      <c r="BM59" s="7"/>
      <c r="BN59" s="7"/>
      <c r="BO59" s="8">
        <f>SUM(BJ59:BN59)</f>
        <v>0</v>
      </c>
      <c r="BQ59" s="6"/>
      <c r="BR59" s="7"/>
      <c r="BS59" s="7"/>
      <c r="BT59" s="7"/>
      <c r="BU59" s="7"/>
      <c r="BV59" s="8">
        <f>SUM(BQ59:BU59)</f>
        <v>0</v>
      </c>
      <c r="BX59" s="6"/>
      <c r="BY59" s="7"/>
      <c r="BZ59" s="7"/>
      <c r="CA59" s="7"/>
      <c r="CB59" s="7"/>
      <c r="CC59" s="8">
        <f>SUM(BX59:CB59)</f>
        <v>0</v>
      </c>
      <c r="CE59" s="28">
        <f t="shared" si="267"/>
        <v>0</v>
      </c>
      <c r="CF59" s="29">
        <f t="shared" si="267"/>
        <v>0</v>
      </c>
      <c r="CG59" s="29">
        <f t="shared" si="267"/>
        <v>0</v>
      </c>
      <c r="CH59" s="29">
        <f t="shared" si="267"/>
        <v>0</v>
      </c>
      <c r="CI59" s="29">
        <f t="shared" si="267"/>
        <v>0</v>
      </c>
      <c r="CJ59" s="8">
        <f>SUM(CE59:CI59)</f>
        <v>0</v>
      </c>
      <c r="CL59" s="6"/>
      <c r="CM59" s="7"/>
      <c r="CN59" s="7"/>
      <c r="CO59" s="7"/>
      <c r="CP59" s="7"/>
      <c r="CQ59" s="8">
        <f>SUM(CL59:CP59)</f>
        <v>0</v>
      </c>
      <c r="CS59" s="6"/>
      <c r="CT59" s="7"/>
      <c r="CU59" s="7"/>
      <c r="CV59" s="7"/>
      <c r="CW59" s="7"/>
      <c r="CX59" s="8">
        <f t="shared" si="272"/>
        <v>0</v>
      </c>
      <c r="CZ59" s="6"/>
      <c r="DA59" s="7"/>
      <c r="DB59" s="7"/>
      <c r="DC59" s="7"/>
      <c r="DD59" s="7"/>
      <c r="DE59" s="8">
        <f t="shared" si="273"/>
        <v>0</v>
      </c>
    </row>
    <row r="60" spans="3:109" ht="14" thickBot="1">
      <c r="C60" s="567"/>
      <c r="E60" s="14" t="s">
        <v>62</v>
      </c>
      <c r="F60" s="23">
        <f t="shared" si="268"/>
        <v>0</v>
      </c>
      <c r="G60" s="24">
        <f t="shared" si="263"/>
        <v>0</v>
      </c>
      <c r="H60" s="24">
        <f t="shared" si="264"/>
        <v>0</v>
      </c>
      <c r="I60" s="24">
        <f t="shared" si="265"/>
        <v>0</v>
      </c>
      <c r="J60" s="24">
        <f t="shared" si="266"/>
        <v>0</v>
      </c>
      <c r="K60" s="16">
        <f t="shared" si="269"/>
        <v>0</v>
      </c>
      <c r="M60" s="6"/>
      <c r="N60" s="7"/>
      <c r="O60" s="7"/>
      <c r="P60" s="7"/>
      <c r="Q60" s="7"/>
      <c r="R60" s="16">
        <f t="shared" si="270"/>
        <v>0</v>
      </c>
      <c r="T60" s="6"/>
      <c r="U60" s="7"/>
      <c r="V60" s="7"/>
      <c r="W60" s="7"/>
      <c r="X60" s="7"/>
      <c r="Y60" s="16">
        <f t="shared" si="271"/>
        <v>0</v>
      </c>
      <c r="AA60" s="6"/>
      <c r="AB60" s="7"/>
      <c r="AC60" s="7"/>
      <c r="AD60" s="7"/>
      <c r="AE60" s="7"/>
      <c r="AF60" s="8">
        <f>SUM(AA60:AE60)</f>
        <v>0</v>
      </c>
      <c r="AH60" s="6"/>
      <c r="AI60" s="7"/>
      <c r="AJ60" s="7"/>
      <c r="AK60" s="7"/>
      <c r="AL60" s="7"/>
      <c r="AM60" s="8">
        <f>SUM(AH60:AL60)</f>
        <v>0</v>
      </c>
      <c r="AO60" s="6"/>
      <c r="AP60" s="7"/>
      <c r="AQ60" s="7"/>
      <c r="AR60" s="7"/>
      <c r="AS60" s="7"/>
      <c r="AT60" s="8">
        <f>SUM(AO60:AS60)</f>
        <v>0</v>
      </c>
      <c r="AV60" s="6"/>
      <c r="AW60" s="7"/>
      <c r="AX60" s="7"/>
      <c r="AY60" s="7"/>
      <c r="AZ60" s="7"/>
      <c r="BA60" s="8">
        <f>SUM(AV60:AZ60)</f>
        <v>0</v>
      </c>
      <c r="BC60" s="6"/>
      <c r="BD60" s="7"/>
      <c r="BE60" s="7"/>
      <c r="BF60" s="7"/>
      <c r="BG60" s="7"/>
      <c r="BH60" s="8">
        <f>SUM(BC60:BG60)</f>
        <v>0</v>
      </c>
      <c r="BJ60" s="6"/>
      <c r="BK60" s="7"/>
      <c r="BL60" s="7"/>
      <c r="BM60" s="7"/>
      <c r="BN60" s="7"/>
      <c r="BO60" s="8">
        <f>SUM(BJ60:BN60)</f>
        <v>0</v>
      </c>
      <c r="BQ60" s="6"/>
      <c r="BR60" s="7"/>
      <c r="BS60" s="7"/>
      <c r="BT60" s="7"/>
      <c r="BU60" s="7"/>
      <c r="BV60" s="8">
        <f>SUM(BQ60:BU60)</f>
        <v>0</v>
      </c>
      <c r="BX60" s="6"/>
      <c r="BY60" s="7"/>
      <c r="BZ60" s="7"/>
      <c r="CA60" s="7"/>
      <c r="CB60" s="7"/>
      <c r="CC60" s="8">
        <f>SUM(BX60:CB60)</f>
        <v>0</v>
      </c>
      <c r="CE60" s="493">
        <f t="shared" si="267"/>
        <v>0</v>
      </c>
      <c r="CF60" s="494">
        <f t="shared" si="267"/>
        <v>0</v>
      </c>
      <c r="CG60" s="494">
        <f t="shared" si="267"/>
        <v>0</v>
      </c>
      <c r="CH60" s="494">
        <f t="shared" si="267"/>
        <v>0</v>
      </c>
      <c r="CI60" s="494">
        <f t="shared" si="267"/>
        <v>0</v>
      </c>
      <c r="CJ60" s="495">
        <f>SUM(CE60:CI60)</f>
        <v>0</v>
      </c>
      <c r="CL60" s="6"/>
      <c r="CM60" s="7"/>
      <c r="CN60" s="7"/>
      <c r="CO60" s="7"/>
      <c r="CP60" s="7"/>
      <c r="CQ60" s="8">
        <f>SUM(CL60:CP60)</f>
        <v>0</v>
      </c>
      <c r="CS60" s="6"/>
      <c r="CT60" s="7"/>
      <c r="CU60" s="7"/>
      <c r="CV60" s="7"/>
      <c r="CW60" s="7"/>
      <c r="CX60" s="8">
        <f t="shared" si="272"/>
        <v>0</v>
      </c>
      <c r="CZ60" s="6"/>
      <c r="DA60" s="7"/>
      <c r="DB60" s="7"/>
      <c r="DC60" s="7"/>
      <c r="DD60" s="7"/>
      <c r="DE60" s="8">
        <f t="shared" si="273"/>
        <v>0</v>
      </c>
    </row>
    <row r="61" spans="3:109" ht="14" thickBot="1">
      <c r="C61" s="554"/>
      <c r="E61" s="9"/>
      <c r="F61" s="10">
        <f>SUM(F57:F60)</f>
        <v>0</v>
      </c>
      <c r="G61" s="11">
        <f t="shared" ref="G61:J61" si="274">SUM(G57:G60)</f>
        <v>0</v>
      </c>
      <c r="H61" s="11">
        <f t="shared" si="274"/>
        <v>0</v>
      </c>
      <c r="I61" s="11">
        <f t="shared" si="274"/>
        <v>0</v>
      </c>
      <c r="J61" s="11">
        <f t="shared" si="274"/>
        <v>0</v>
      </c>
      <c r="K61" s="25">
        <f>SUM(K57:K60)</f>
        <v>0</v>
      </c>
      <c r="M61" s="10">
        <f>SUM(M57:M60)</f>
        <v>0</v>
      </c>
      <c r="N61" s="11">
        <f t="shared" ref="N61:Q61" si="275">SUM(N57:N60)</f>
        <v>0</v>
      </c>
      <c r="O61" s="11">
        <f t="shared" si="275"/>
        <v>0</v>
      </c>
      <c r="P61" s="11">
        <f t="shared" si="275"/>
        <v>0</v>
      </c>
      <c r="Q61" s="11">
        <f t="shared" si="275"/>
        <v>0</v>
      </c>
      <c r="R61" s="25">
        <f>SUM(R57:R60)</f>
        <v>0</v>
      </c>
      <c r="T61" s="10">
        <f>SUM(T57:T60)</f>
        <v>0</v>
      </c>
      <c r="U61" s="11">
        <f t="shared" ref="U61:X61" si="276">SUM(U57:U60)</f>
        <v>0</v>
      </c>
      <c r="V61" s="11">
        <f t="shared" si="276"/>
        <v>0</v>
      </c>
      <c r="W61" s="11">
        <f t="shared" si="276"/>
        <v>0</v>
      </c>
      <c r="X61" s="11">
        <f t="shared" si="276"/>
        <v>0</v>
      </c>
      <c r="Y61" s="25">
        <f>SUM(Y57:Y60)</f>
        <v>0</v>
      </c>
      <c r="AA61" s="10">
        <f>SUM(AA57:AA60)</f>
        <v>0</v>
      </c>
      <c r="AB61" s="11">
        <f t="shared" ref="AB61:AE61" si="277">SUM(AB57:AB60)</f>
        <v>0</v>
      </c>
      <c r="AC61" s="11">
        <f t="shared" si="277"/>
        <v>0</v>
      </c>
      <c r="AD61" s="11">
        <f t="shared" si="277"/>
        <v>0</v>
      </c>
      <c r="AE61" s="11">
        <f t="shared" si="277"/>
        <v>0</v>
      </c>
      <c r="AF61" s="25">
        <f>SUM(AF57:AF60)</f>
        <v>0</v>
      </c>
      <c r="AH61" s="10">
        <f>SUM(AH57:AH60)</f>
        <v>0</v>
      </c>
      <c r="AI61" s="11">
        <f t="shared" ref="AI61:AL61" si="278">SUM(AI57:AI60)</f>
        <v>0</v>
      </c>
      <c r="AJ61" s="11">
        <f t="shared" si="278"/>
        <v>0</v>
      </c>
      <c r="AK61" s="11">
        <f t="shared" si="278"/>
        <v>0</v>
      </c>
      <c r="AL61" s="11">
        <f t="shared" si="278"/>
        <v>0</v>
      </c>
      <c r="AM61" s="25">
        <f>SUM(AM57:AM60)</f>
        <v>0</v>
      </c>
      <c r="AO61" s="10">
        <f>SUM(AO57:AO60)</f>
        <v>0</v>
      </c>
      <c r="AP61" s="11">
        <f t="shared" ref="AP61:AS61" si="279">SUM(AP57:AP60)</f>
        <v>0</v>
      </c>
      <c r="AQ61" s="11">
        <f t="shared" si="279"/>
        <v>0</v>
      </c>
      <c r="AR61" s="11">
        <f t="shared" si="279"/>
        <v>0</v>
      </c>
      <c r="AS61" s="11">
        <f t="shared" si="279"/>
        <v>0</v>
      </c>
      <c r="AT61" s="25">
        <f>SUM(AT57:AT60)</f>
        <v>0</v>
      </c>
      <c r="AV61" s="10">
        <f>SUM(AV57:AV60)</f>
        <v>0</v>
      </c>
      <c r="AW61" s="11">
        <f t="shared" ref="AW61:AZ61" si="280">SUM(AW57:AW60)</f>
        <v>0</v>
      </c>
      <c r="AX61" s="11">
        <f t="shared" si="280"/>
        <v>0</v>
      </c>
      <c r="AY61" s="11">
        <f t="shared" si="280"/>
        <v>0</v>
      </c>
      <c r="AZ61" s="11">
        <f t="shared" si="280"/>
        <v>0</v>
      </c>
      <c r="BA61" s="25">
        <f>SUM(BA57:BA60)</f>
        <v>0</v>
      </c>
      <c r="BC61" s="10">
        <f>SUM(BC57:BC60)</f>
        <v>0</v>
      </c>
      <c r="BD61" s="11">
        <f t="shared" ref="BD61:BG61" si="281">SUM(BD57:BD60)</f>
        <v>0</v>
      </c>
      <c r="BE61" s="11">
        <f t="shared" si="281"/>
        <v>0</v>
      </c>
      <c r="BF61" s="11">
        <f t="shared" si="281"/>
        <v>0</v>
      </c>
      <c r="BG61" s="11">
        <f t="shared" si="281"/>
        <v>0</v>
      </c>
      <c r="BH61" s="25">
        <f>SUM(BH57:BH60)</f>
        <v>0</v>
      </c>
      <c r="BJ61" s="10">
        <f>SUM(BJ57:BJ60)</f>
        <v>0</v>
      </c>
      <c r="BK61" s="11">
        <f t="shared" ref="BK61:BN61" si="282">SUM(BK57:BK60)</f>
        <v>0</v>
      </c>
      <c r="BL61" s="11">
        <f t="shared" si="282"/>
        <v>0</v>
      </c>
      <c r="BM61" s="11">
        <f t="shared" si="282"/>
        <v>0</v>
      </c>
      <c r="BN61" s="11">
        <f t="shared" si="282"/>
        <v>0</v>
      </c>
      <c r="BO61" s="25">
        <f>SUM(BO57:BO60)</f>
        <v>0</v>
      </c>
      <c r="BQ61" s="10">
        <f>SUM(BQ57:BQ60)</f>
        <v>0</v>
      </c>
      <c r="BR61" s="11">
        <f t="shared" ref="BR61:BU61" si="283">SUM(BR57:BR60)</f>
        <v>0</v>
      </c>
      <c r="BS61" s="11">
        <f t="shared" si="283"/>
        <v>0</v>
      </c>
      <c r="BT61" s="11">
        <f t="shared" si="283"/>
        <v>0</v>
      </c>
      <c r="BU61" s="11">
        <f t="shared" si="283"/>
        <v>0</v>
      </c>
      <c r="BV61" s="25">
        <f>SUM(BV57:BV60)</f>
        <v>0</v>
      </c>
      <c r="BX61" s="10">
        <f>SUM(BX57:BX60)</f>
        <v>0</v>
      </c>
      <c r="BY61" s="11">
        <f t="shared" ref="BY61:CB61" si="284">SUM(BY57:BY60)</f>
        <v>0</v>
      </c>
      <c r="BZ61" s="11">
        <f t="shared" si="284"/>
        <v>0</v>
      </c>
      <c r="CA61" s="11">
        <f t="shared" si="284"/>
        <v>0</v>
      </c>
      <c r="CB61" s="11">
        <f t="shared" si="284"/>
        <v>0</v>
      </c>
      <c r="CC61" s="25">
        <f>SUM(CC57:CC60)</f>
        <v>0</v>
      </c>
      <c r="CE61" s="62">
        <f t="shared" ref="CE61:CJ61" si="285">SUM(CE57:CE60)</f>
        <v>0</v>
      </c>
      <c r="CF61" s="63">
        <f t="shared" si="285"/>
        <v>0</v>
      </c>
      <c r="CG61" s="63">
        <f t="shared" si="285"/>
        <v>0</v>
      </c>
      <c r="CH61" s="63">
        <f t="shared" si="285"/>
        <v>0</v>
      </c>
      <c r="CI61" s="63">
        <f t="shared" si="285"/>
        <v>0</v>
      </c>
      <c r="CJ61" s="25">
        <f t="shared" si="285"/>
        <v>0</v>
      </c>
      <c r="CL61" s="10">
        <f>SUM(CL57:CL60)</f>
        <v>0</v>
      </c>
      <c r="CM61" s="11">
        <f t="shared" ref="CM61:CP61" si="286">SUM(CM57:CM60)</f>
        <v>0</v>
      </c>
      <c r="CN61" s="11">
        <f t="shared" si="286"/>
        <v>0</v>
      </c>
      <c r="CO61" s="11">
        <f t="shared" si="286"/>
        <v>0</v>
      </c>
      <c r="CP61" s="11">
        <f t="shared" si="286"/>
        <v>0</v>
      </c>
      <c r="CQ61" s="25">
        <f>SUM(CQ57:CQ60)</f>
        <v>0</v>
      </c>
      <c r="CS61" s="10">
        <f>SUM(CS57:CS60)</f>
        <v>0</v>
      </c>
      <c r="CT61" s="11">
        <f t="shared" ref="CT61:CW61" si="287">SUM(CT57:CT60)</f>
        <v>0</v>
      </c>
      <c r="CU61" s="11">
        <f t="shared" si="287"/>
        <v>0</v>
      </c>
      <c r="CV61" s="11">
        <f t="shared" si="287"/>
        <v>0</v>
      </c>
      <c r="CW61" s="11">
        <f t="shared" si="287"/>
        <v>0</v>
      </c>
      <c r="CX61" s="25">
        <f>SUM(CX57:CX60)</f>
        <v>0</v>
      </c>
      <c r="CZ61" s="10">
        <f>SUM(CZ57:CZ60)</f>
        <v>0</v>
      </c>
      <c r="DA61" s="11">
        <f t="shared" ref="DA61:DD61" si="288">SUM(DA57:DA60)</f>
        <v>0</v>
      </c>
      <c r="DB61" s="11">
        <f t="shared" si="288"/>
        <v>0</v>
      </c>
      <c r="DC61" s="11">
        <f t="shared" si="288"/>
        <v>0</v>
      </c>
      <c r="DD61" s="11">
        <f t="shared" si="288"/>
        <v>0</v>
      </c>
      <c r="DE61" s="25">
        <f>SUM(DE57:DE60)</f>
        <v>0</v>
      </c>
    </row>
    <row r="62" spans="3:109" ht="10.4" customHeight="1" thickBot="1"/>
    <row r="63" spans="3:109">
      <c r="C63" s="553">
        <v>2028</v>
      </c>
      <c r="E63" s="13" t="s">
        <v>59</v>
      </c>
      <c r="F63" s="21">
        <f>CE57</f>
        <v>0</v>
      </c>
      <c r="G63" s="22">
        <f t="shared" ref="G63:G66" si="289">CF57</f>
        <v>0</v>
      </c>
      <c r="H63" s="22">
        <f t="shared" ref="H63:H66" si="290">CG57</f>
        <v>0</v>
      </c>
      <c r="I63" s="22">
        <f t="shared" ref="I63:I66" si="291">CH57</f>
        <v>0</v>
      </c>
      <c r="J63" s="22">
        <f t="shared" ref="J63:J66" si="292">CI57</f>
        <v>0</v>
      </c>
      <c r="K63" s="15">
        <f>SUM(F63:J63)</f>
        <v>0</v>
      </c>
      <c r="M63" s="2"/>
      <c r="N63" s="3"/>
      <c r="O63" s="3"/>
      <c r="P63" s="3"/>
      <c r="Q63" s="3"/>
      <c r="R63" s="15">
        <f>SUM(M63:Q63)</f>
        <v>0</v>
      </c>
      <c r="T63" s="2"/>
      <c r="U63" s="3"/>
      <c r="V63" s="3"/>
      <c r="W63" s="3"/>
      <c r="X63" s="3"/>
      <c r="Y63" s="15">
        <f>SUM(T63:X63)</f>
        <v>0</v>
      </c>
      <c r="AA63" s="2"/>
      <c r="AB63" s="3"/>
      <c r="AC63" s="3"/>
      <c r="AD63" s="3"/>
      <c r="AE63" s="3"/>
      <c r="AF63" s="4">
        <f>SUM(AA63:AE63)</f>
        <v>0</v>
      </c>
      <c r="AH63" s="2"/>
      <c r="AI63" s="3"/>
      <c r="AJ63" s="3"/>
      <c r="AK63" s="3"/>
      <c r="AL63" s="3"/>
      <c r="AM63" s="4">
        <f>SUM(AH63:AL63)</f>
        <v>0</v>
      </c>
      <c r="AO63" s="2"/>
      <c r="AP63" s="3"/>
      <c r="AQ63" s="3"/>
      <c r="AR63" s="3"/>
      <c r="AS63" s="3"/>
      <c r="AT63" s="4">
        <f>SUM(AO63:AS63)</f>
        <v>0</v>
      </c>
      <c r="AV63" s="2"/>
      <c r="AW63" s="3"/>
      <c r="AX63" s="3"/>
      <c r="AY63" s="3"/>
      <c r="AZ63" s="3"/>
      <c r="BA63" s="4">
        <f>SUM(AV63:AZ63)</f>
        <v>0</v>
      </c>
      <c r="BC63" s="2"/>
      <c r="BD63" s="3"/>
      <c r="BE63" s="3"/>
      <c r="BF63" s="3"/>
      <c r="BG63" s="3"/>
      <c r="BH63" s="4">
        <f>SUM(BC63:BG63)</f>
        <v>0</v>
      </c>
      <c r="BJ63" s="2"/>
      <c r="BK63" s="3"/>
      <c r="BL63" s="3"/>
      <c r="BM63" s="3"/>
      <c r="BN63" s="3"/>
      <c r="BO63" s="4">
        <f>SUM(BJ63:BN63)</f>
        <v>0</v>
      </c>
      <c r="BQ63" s="2"/>
      <c r="BR63" s="3"/>
      <c r="BS63" s="3"/>
      <c r="BT63" s="3"/>
      <c r="BU63" s="3"/>
      <c r="BV63" s="4">
        <f>SUM(BQ63:BU63)</f>
        <v>0</v>
      </c>
      <c r="BX63" s="2"/>
      <c r="BY63" s="3"/>
      <c r="BZ63" s="3"/>
      <c r="CA63" s="3"/>
      <c r="CB63" s="3"/>
      <c r="CC63" s="4">
        <f>SUM(BX63:CB63)</f>
        <v>0</v>
      </c>
      <c r="CE63" s="26">
        <f t="shared" ref="CE63:CI66" si="293">F63+M63+T63+AA63+AH63+AO63+AV63+BC63+BJ63+BQ63+BX63</f>
        <v>0</v>
      </c>
      <c r="CF63" s="27">
        <f t="shared" si="293"/>
        <v>0</v>
      </c>
      <c r="CG63" s="27">
        <f t="shared" si="293"/>
        <v>0</v>
      </c>
      <c r="CH63" s="27">
        <f t="shared" si="293"/>
        <v>0</v>
      </c>
      <c r="CI63" s="27">
        <f t="shared" si="293"/>
        <v>0</v>
      </c>
      <c r="CJ63" s="4">
        <f>SUM(CE63:CI63)</f>
        <v>0</v>
      </c>
      <c r="CL63" s="2"/>
      <c r="CM63" s="3"/>
      <c r="CN63" s="3"/>
      <c r="CO63" s="3"/>
      <c r="CP63" s="3"/>
      <c r="CQ63" s="4">
        <f>SUM(CL63:CP63)</f>
        <v>0</v>
      </c>
      <c r="CS63" s="2"/>
      <c r="CT63" s="3"/>
      <c r="CU63" s="3"/>
      <c r="CV63" s="3"/>
      <c r="CW63" s="3"/>
      <c r="CX63" s="4">
        <f>SUM(CS63:CW63)</f>
        <v>0</v>
      </c>
      <c r="CZ63" s="2"/>
      <c r="DA63" s="3"/>
      <c r="DB63" s="3"/>
      <c r="DC63" s="3"/>
      <c r="DD63" s="3"/>
      <c r="DE63" s="4">
        <f>SUM(CZ63:DD63)</f>
        <v>0</v>
      </c>
    </row>
    <row r="64" spans="3:109">
      <c r="C64" s="567"/>
      <c r="E64" s="14" t="s">
        <v>60</v>
      </c>
      <c r="F64" s="23">
        <f t="shared" ref="F64:F66" si="294">CE58</f>
        <v>0</v>
      </c>
      <c r="G64" s="24">
        <f t="shared" si="289"/>
        <v>0</v>
      </c>
      <c r="H64" s="24">
        <f t="shared" si="290"/>
        <v>0</v>
      </c>
      <c r="I64" s="24">
        <f t="shared" si="291"/>
        <v>0</v>
      </c>
      <c r="J64" s="24">
        <f t="shared" si="292"/>
        <v>0</v>
      </c>
      <c r="K64" s="16">
        <f t="shared" ref="K64:K66" si="295">SUM(F64:J64)</f>
        <v>0</v>
      </c>
      <c r="M64" s="6"/>
      <c r="N64" s="7"/>
      <c r="O64" s="7"/>
      <c r="P64" s="7"/>
      <c r="Q64" s="7"/>
      <c r="R64" s="16">
        <f t="shared" ref="R64:R66" si="296">SUM(M64:Q64)</f>
        <v>0</v>
      </c>
      <c r="T64" s="6"/>
      <c r="U64" s="7"/>
      <c r="V64" s="7"/>
      <c r="W64" s="7"/>
      <c r="X64" s="7"/>
      <c r="Y64" s="16">
        <f t="shared" ref="Y64:Y66" si="297">SUM(T64:X64)</f>
        <v>0</v>
      </c>
      <c r="AA64" s="6"/>
      <c r="AB64" s="7"/>
      <c r="AC64" s="7"/>
      <c r="AD64" s="7"/>
      <c r="AE64" s="7"/>
      <c r="AF64" s="8">
        <f>SUM(AA64:AE64)</f>
        <v>0</v>
      </c>
      <c r="AH64" s="6"/>
      <c r="AI64" s="7"/>
      <c r="AJ64" s="7"/>
      <c r="AK64" s="7"/>
      <c r="AL64" s="7"/>
      <c r="AM64" s="8">
        <f>SUM(AH64:AL64)</f>
        <v>0</v>
      </c>
      <c r="AO64" s="6"/>
      <c r="AP64" s="7"/>
      <c r="AQ64" s="7"/>
      <c r="AR64" s="7"/>
      <c r="AS64" s="7"/>
      <c r="AT64" s="8">
        <f>SUM(AO64:AS64)</f>
        <v>0</v>
      </c>
      <c r="AV64" s="6"/>
      <c r="AW64" s="7"/>
      <c r="AX64" s="7"/>
      <c r="AY64" s="7"/>
      <c r="AZ64" s="7"/>
      <c r="BA64" s="8">
        <f>SUM(AV64:AZ64)</f>
        <v>0</v>
      </c>
      <c r="BC64" s="6"/>
      <c r="BD64" s="7"/>
      <c r="BE64" s="7"/>
      <c r="BF64" s="7"/>
      <c r="BG64" s="7"/>
      <c r="BH64" s="8">
        <f>SUM(BC64:BG64)</f>
        <v>0</v>
      </c>
      <c r="BJ64" s="6"/>
      <c r="BK64" s="7"/>
      <c r="BL64" s="7"/>
      <c r="BM64" s="7"/>
      <c r="BN64" s="7"/>
      <c r="BO64" s="8">
        <f>SUM(BJ64:BN64)</f>
        <v>0</v>
      </c>
      <c r="BQ64" s="6"/>
      <c r="BR64" s="7"/>
      <c r="BS64" s="7"/>
      <c r="BT64" s="7"/>
      <c r="BU64" s="7"/>
      <c r="BV64" s="8">
        <f>SUM(BQ64:BU64)</f>
        <v>0</v>
      </c>
      <c r="BX64" s="6"/>
      <c r="BY64" s="7"/>
      <c r="BZ64" s="7"/>
      <c r="CA64" s="7"/>
      <c r="CB64" s="7"/>
      <c r="CC64" s="8">
        <f>SUM(BX64:CB64)</f>
        <v>0</v>
      </c>
      <c r="CE64" s="28">
        <f t="shared" si="293"/>
        <v>0</v>
      </c>
      <c r="CF64" s="29">
        <f t="shared" si="293"/>
        <v>0</v>
      </c>
      <c r="CG64" s="29">
        <f t="shared" si="293"/>
        <v>0</v>
      </c>
      <c r="CH64" s="29">
        <f t="shared" si="293"/>
        <v>0</v>
      </c>
      <c r="CI64" s="29">
        <f t="shared" si="293"/>
        <v>0</v>
      </c>
      <c r="CJ64" s="8">
        <f>SUM(CE64:CI64)</f>
        <v>0</v>
      </c>
      <c r="CL64" s="6"/>
      <c r="CM64" s="7"/>
      <c r="CN64" s="7"/>
      <c r="CO64" s="7"/>
      <c r="CP64" s="7"/>
      <c r="CQ64" s="8">
        <f>SUM(CL64:CP64)</f>
        <v>0</v>
      </c>
      <c r="CS64" s="6"/>
      <c r="CT64" s="7"/>
      <c r="CU64" s="7"/>
      <c r="CV64" s="7"/>
      <c r="CW64" s="7"/>
      <c r="CX64" s="8">
        <f t="shared" ref="CX64:CX66" si="298">SUM(CS64:CW64)</f>
        <v>0</v>
      </c>
      <c r="CZ64" s="6"/>
      <c r="DA64" s="7"/>
      <c r="DB64" s="7"/>
      <c r="DC64" s="7"/>
      <c r="DD64" s="7"/>
      <c r="DE64" s="8">
        <f t="shared" ref="DE64:DE66" si="299">SUM(CZ64:DD64)</f>
        <v>0</v>
      </c>
    </row>
    <row r="65" spans="2:109">
      <c r="C65" s="567"/>
      <c r="E65" s="14" t="s">
        <v>61</v>
      </c>
      <c r="F65" s="23">
        <f t="shared" si="294"/>
        <v>0</v>
      </c>
      <c r="G65" s="24">
        <f t="shared" si="289"/>
        <v>0</v>
      </c>
      <c r="H65" s="24">
        <f t="shared" si="290"/>
        <v>0</v>
      </c>
      <c r="I65" s="24">
        <f t="shared" si="291"/>
        <v>0</v>
      </c>
      <c r="J65" s="24">
        <f t="shared" si="292"/>
        <v>0</v>
      </c>
      <c r="K65" s="16">
        <f t="shared" si="295"/>
        <v>0</v>
      </c>
      <c r="M65" s="6"/>
      <c r="N65" s="7"/>
      <c r="O65" s="7"/>
      <c r="P65" s="7"/>
      <c r="Q65" s="7"/>
      <c r="R65" s="16">
        <f t="shared" si="296"/>
        <v>0</v>
      </c>
      <c r="T65" s="6"/>
      <c r="U65" s="7"/>
      <c r="V65" s="7"/>
      <c r="W65" s="7"/>
      <c r="X65" s="7"/>
      <c r="Y65" s="16">
        <f t="shared" si="297"/>
        <v>0</v>
      </c>
      <c r="AA65" s="6"/>
      <c r="AB65" s="7"/>
      <c r="AC65" s="7"/>
      <c r="AD65" s="7"/>
      <c r="AE65" s="7"/>
      <c r="AF65" s="8">
        <f>SUM(AA65:AE65)</f>
        <v>0</v>
      </c>
      <c r="AH65" s="6"/>
      <c r="AI65" s="7"/>
      <c r="AJ65" s="7"/>
      <c r="AK65" s="7"/>
      <c r="AL65" s="7"/>
      <c r="AM65" s="8">
        <f>SUM(AH65:AL65)</f>
        <v>0</v>
      </c>
      <c r="AO65" s="6"/>
      <c r="AP65" s="7"/>
      <c r="AQ65" s="7"/>
      <c r="AR65" s="7"/>
      <c r="AS65" s="7"/>
      <c r="AT65" s="8">
        <f>SUM(AO65:AS65)</f>
        <v>0</v>
      </c>
      <c r="AV65" s="6"/>
      <c r="AW65" s="7"/>
      <c r="AX65" s="7"/>
      <c r="AY65" s="7"/>
      <c r="AZ65" s="7"/>
      <c r="BA65" s="8">
        <f>SUM(AV65:AZ65)</f>
        <v>0</v>
      </c>
      <c r="BC65" s="6"/>
      <c r="BD65" s="7"/>
      <c r="BE65" s="7"/>
      <c r="BF65" s="7"/>
      <c r="BG65" s="7"/>
      <c r="BH65" s="8">
        <f>SUM(BC65:BG65)</f>
        <v>0</v>
      </c>
      <c r="BJ65" s="6"/>
      <c r="BK65" s="7"/>
      <c r="BL65" s="7"/>
      <c r="BM65" s="7"/>
      <c r="BN65" s="7"/>
      <c r="BO65" s="8">
        <f>SUM(BJ65:BN65)</f>
        <v>0</v>
      </c>
      <c r="BQ65" s="6"/>
      <c r="BR65" s="7"/>
      <c r="BS65" s="7"/>
      <c r="BT65" s="7"/>
      <c r="BU65" s="7"/>
      <c r="BV65" s="8">
        <f>SUM(BQ65:BU65)</f>
        <v>0</v>
      </c>
      <c r="BX65" s="6"/>
      <c r="BY65" s="7"/>
      <c r="BZ65" s="7"/>
      <c r="CA65" s="7"/>
      <c r="CB65" s="7"/>
      <c r="CC65" s="8">
        <f>SUM(BX65:CB65)</f>
        <v>0</v>
      </c>
      <c r="CE65" s="28">
        <f t="shared" si="293"/>
        <v>0</v>
      </c>
      <c r="CF65" s="29">
        <f t="shared" si="293"/>
        <v>0</v>
      </c>
      <c r="CG65" s="29">
        <f t="shared" si="293"/>
        <v>0</v>
      </c>
      <c r="CH65" s="29">
        <f t="shared" si="293"/>
        <v>0</v>
      </c>
      <c r="CI65" s="29">
        <f t="shared" si="293"/>
        <v>0</v>
      </c>
      <c r="CJ65" s="8">
        <f>SUM(CE65:CI65)</f>
        <v>0</v>
      </c>
      <c r="CL65" s="6"/>
      <c r="CM65" s="7"/>
      <c r="CN65" s="7"/>
      <c r="CO65" s="7"/>
      <c r="CP65" s="7"/>
      <c r="CQ65" s="8">
        <f>SUM(CL65:CP65)</f>
        <v>0</v>
      </c>
      <c r="CS65" s="6"/>
      <c r="CT65" s="7"/>
      <c r="CU65" s="7"/>
      <c r="CV65" s="7"/>
      <c r="CW65" s="7"/>
      <c r="CX65" s="8">
        <f t="shared" si="298"/>
        <v>0</v>
      </c>
      <c r="CZ65" s="6"/>
      <c r="DA65" s="7"/>
      <c r="DB65" s="7"/>
      <c r="DC65" s="7"/>
      <c r="DD65" s="7"/>
      <c r="DE65" s="8">
        <f t="shared" si="299"/>
        <v>0</v>
      </c>
    </row>
    <row r="66" spans="2:109" ht="14" thickBot="1">
      <c r="C66" s="567"/>
      <c r="E66" s="14" t="s">
        <v>62</v>
      </c>
      <c r="F66" s="23">
        <f t="shared" si="294"/>
        <v>0</v>
      </c>
      <c r="G66" s="24">
        <f t="shared" si="289"/>
        <v>0</v>
      </c>
      <c r="H66" s="24">
        <f t="shared" si="290"/>
        <v>0</v>
      </c>
      <c r="I66" s="24">
        <f t="shared" si="291"/>
        <v>0</v>
      </c>
      <c r="J66" s="24">
        <f t="shared" si="292"/>
        <v>0</v>
      </c>
      <c r="K66" s="16">
        <f t="shared" si="295"/>
        <v>0</v>
      </c>
      <c r="M66" s="6"/>
      <c r="N66" s="7"/>
      <c r="O66" s="7"/>
      <c r="P66" s="7"/>
      <c r="Q66" s="7"/>
      <c r="R66" s="16">
        <f t="shared" si="296"/>
        <v>0</v>
      </c>
      <c r="T66" s="6"/>
      <c r="U66" s="7"/>
      <c r="V66" s="7"/>
      <c r="W66" s="7"/>
      <c r="X66" s="7"/>
      <c r="Y66" s="16">
        <f t="shared" si="297"/>
        <v>0</v>
      </c>
      <c r="AA66" s="6"/>
      <c r="AB66" s="7"/>
      <c r="AC66" s="7"/>
      <c r="AD66" s="7"/>
      <c r="AE66" s="7"/>
      <c r="AF66" s="8">
        <f>SUM(AA66:AE66)</f>
        <v>0</v>
      </c>
      <c r="AH66" s="6"/>
      <c r="AI66" s="7"/>
      <c r="AJ66" s="7"/>
      <c r="AK66" s="7"/>
      <c r="AL66" s="7"/>
      <c r="AM66" s="8">
        <f>SUM(AH66:AL66)</f>
        <v>0</v>
      </c>
      <c r="AO66" s="6"/>
      <c r="AP66" s="7"/>
      <c r="AQ66" s="7"/>
      <c r="AR66" s="7"/>
      <c r="AS66" s="7"/>
      <c r="AT66" s="8">
        <f>SUM(AO66:AS66)</f>
        <v>0</v>
      </c>
      <c r="AV66" s="6"/>
      <c r="AW66" s="7"/>
      <c r="AX66" s="7"/>
      <c r="AY66" s="7"/>
      <c r="AZ66" s="7"/>
      <c r="BA66" s="8">
        <f>SUM(AV66:AZ66)</f>
        <v>0</v>
      </c>
      <c r="BC66" s="6"/>
      <c r="BD66" s="7"/>
      <c r="BE66" s="7"/>
      <c r="BF66" s="7"/>
      <c r="BG66" s="7"/>
      <c r="BH66" s="8">
        <f>SUM(BC66:BG66)</f>
        <v>0</v>
      </c>
      <c r="BJ66" s="6"/>
      <c r="BK66" s="7"/>
      <c r="BL66" s="7"/>
      <c r="BM66" s="7"/>
      <c r="BN66" s="7"/>
      <c r="BO66" s="8">
        <f>SUM(BJ66:BN66)</f>
        <v>0</v>
      </c>
      <c r="BQ66" s="6"/>
      <c r="BR66" s="7"/>
      <c r="BS66" s="7"/>
      <c r="BT66" s="7"/>
      <c r="BU66" s="7"/>
      <c r="BV66" s="8">
        <f>SUM(BQ66:BU66)</f>
        <v>0</v>
      </c>
      <c r="BX66" s="6"/>
      <c r="BY66" s="7"/>
      <c r="BZ66" s="7"/>
      <c r="CA66" s="7"/>
      <c r="CB66" s="7"/>
      <c r="CC66" s="8">
        <f>SUM(BX66:CB66)</f>
        <v>0</v>
      </c>
      <c r="CE66" s="493">
        <f t="shared" si="293"/>
        <v>0</v>
      </c>
      <c r="CF66" s="494">
        <f t="shared" si="293"/>
        <v>0</v>
      </c>
      <c r="CG66" s="494">
        <f t="shared" si="293"/>
        <v>0</v>
      </c>
      <c r="CH66" s="494">
        <f t="shared" si="293"/>
        <v>0</v>
      </c>
      <c r="CI66" s="494">
        <f t="shared" si="293"/>
        <v>0</v>
      </c>
      <c r="CJ66" s="495">
        <f>SUM(CE66:CI66)</f>
        <v>0</v>
      </c>
      <c r="CL66" s="6"/>
      <c r="CM66" s="7"/>
      <c r="CN66" s="7"/>
      <c r="CO66" s="7"/>
      <c r="CP66" s="7"/>
      <c r="CQ66" s="8">
        <f>SUM(CL66:CP66)</f>
        <v>0</v>
      </c>
      <c r="CS66" s="6"/>
      <c r="CT66" s="7"/>
      <c r="CU66" s="7"/>
      <c r="CV66" s="7"/>
      <c r="CW66" s="7"/>
      <c r="CX66" s="8">
        <f t="shared" si="298"/>
        <v>0</v>
      </c>
      <c r="CZ66" s="6"/>
      <c r="DA66" s="7"/>
      <c r="DB66" s="7"/>
      <c r="DC66" s="7"/>
      <c r="DD66" s="7"/>
      <c r="DE66" s="8">
        <f t="shared" si="299"/>
        <v>0</v>
      </c>
    </row>
    <row r="67" spans="2:109" ht="14" thickBot="1">
      <c r="C67" s="554"/>
      <c r="E67" s="9"/>
      <c r="F67" s="10">
        <f>SUM(F63:F66)</f>
        <v>0</v>
      </c>
      <c r="G67" s="11">
        <f t="shared" ref="G67:J67" si="300">SUM(G63:G66)</f>
        <v>0</v>
      </c>
      <c r="H67" s="11">
        <f t="shared" si="300"/>
        <v>0</v>
      </c>
      <c r="I67" s="11">
        <f t="shared" si="300"/>
        <v>0</v>
      </c>
      <c r="J67" s="11">
        <f t="shared" si="300"/>
        <v>0</v>
      </c>
      <c r="K67" s="25">
        <f>SUM(K63:K66)</f>
        <v>0</v>
      </c>
      <c r="M67" s="10">
        <f>SUM(M63:M66)</f>
        <v>0</v>
      </c>
      <c r="N67" s="11">
        <f t="shared" ref="N67:Q67" si="301">SUM(N63:N66)</f>
        <v>0</v>
      </c>
      <c r="O67" s="11">
        <f t="shared" si="301"/>
        <v>0</v>
      </c>
      <c r="P67" s="11">
        <f t="shared" si="301"/>
        <v>0</v>
      </c>
      <c r="Q67" s="11">
        <f t="shared" si="301"/>
        <v>0</v>
      </c>
      <c r="R67" s="25">
        <f>SUM(R63:R66)</f>
        <v>0</v>
      </c>
      <c r="T67" s="10">
        <f>SUM(T63:T66)</f>
        <v>0</v>
      </c>
      <c r="U67" s="11">
        <f t="shared" ref="U67:X67" si="302">SUM(U63:U66)</f>
        <v>0</v>
      </c>
      <c r="V67" s="11">
        <f t="shared" si="302"/>
        <v>0</v>
      </c>
      <c r="W67" s="11">
        <f t="shared" si="302"/>
        <v>0</v>
      </c>
      <c r="X67" s="11">
        <f t="shared" si="302"/>
        <v>0</v>
      </c>
      <c r="Y67" s="25">
        <f>SUM(Y63:Y66)</f>
        <v>0</v>
      </c>
      <c r="AA67" s="10">
        <f>SUM(AA63:AA66)</f>
        <v>0</v>
      </c>
      <c r="AB67" s="11">
        <f t="shared" ref="AB67:AE67" si="303">SUM(AB63:AB66)</f>
        <v>0</v>
      </c>
      <c r="AC67" s="11">
        <f t="shared" si="303"/>
        <v>0</v>
      </c>
      <c r="AD67" s="11">
        <f t="shared" si="303"/>
        <v>0</v>
      </c>
      <c r="AE67" s="11">
        <f t="shared" si="303"/>
        <v>0</v>
      </c>
      <c r="AF67" s="25">
        <f>SUM(AF63:AF66)</f>
        <v>0</v>
      </c>
      <c r="AH67" s="10">
        <f>SUM(AH63:AH66)</f>
        <v>0</v>
      </c>
      <c r="AI67" s="11">
        <f t="shared" ref="AI67:AL67" si="304">SUM(AI63:AI66)</f>
        <v>0</v>
      </c>
      <c r="AJ67" s="11">
        <f t="shared" si="304"/>
        <v>0</v>
      </c>
      <c r="AK67" s="11">
        <f t="shared" si="304"/>
        <v>0</v>
      </c>
      <c r="AL67" s="11">
        <f t="shared" si="304"/>
        <v>0</v>
      </c>
      <c r="AM67" s="25">
        <f>SUM(AM63:AM66)</f>
        <v>0</v>
      </c>
      <c r="AO67" s="10">
        <f>SUM(AO63:AO66)</f>
        <v>0</v>
      </c>
      <c r="AP67" s="11">
        <f t="shared" ref="AP67:AS67" si="305">SUM(AP63:AP66)</f>
        <v>0</v>
      </c>
      <c r="AQ67" s="11">
        <f t="shared" si="305"/>
        <v>0</v>
      </c>
      <c r="AR67" s="11">
        <f t="shared" si="305"/>
        <v>0</v>
      </c>
      <c r="AS67" s="11">
        <f t="shared" si="305"/>
        <v>0</v>
      </c>
      <c r="AT67" s="25">
        <f>SUM(AT63:AT66)</f>
        <v>0</v>
      </c>
      <c r="AV67" s="10">
        <f>SUM(AV63:AV66)</f>
        <v>0</v>
      </c>
      <c r="AW67" s="11">
        <f t="shared" ref="AW67:AZ67" si="306">SUM(AW63:AW66)</f>
        <v>0</v>
      </c>
      <c r="AX67" s="11">
        <f t="shared" si="306"/>
        <v>0</v>
      </c>
      <c r="AY67" s="11">
        <f t="shared" si="306"/>
        <v>0</v>
      </c>
      <c r="AZ67" s="11">
        <f t="shared" si="306"/>
        <v>0</v>
      </c>
      <c r="BA67" s="25">
        <f>SUM(BA63:BA66)</f>
        <v>0</v>
      </c>
      <c r="BC67" s="10">
        <f>SUM(BC63:BC66)</f>
        <v>0</v>
      </c>
      <c r="BD67" s="11">
        <f t="shared" ref="BD67:BG67" si="307">SUM(BD63:BD66)</f>
        <v>0</v>
      </c>
      <c r="BE67" s="11">
        <f t="shared" si="307"/>
        <v>0</v>
      </c>
      <c r="BF67" s="11">
        <f t="shared" si="307"/>
        <v>0</v>
      </c>
      <c r="BG67" s="11">
        <f t="shared" si="307"/>
        <v>0</v>
      </c>
      <c r="BH67" s="25">
        <f>SUM(BH63:BH66)</f>
        <v>0</v>
      </c>
      <c r="BJ67" s="10">
        <f>SUM(BJ63:BJ66)</f>
        <v>0</v>
      </c>
      <c r="BK67" s="11">
        <f t="shared" ref="BK67:BN67" si="308">SUM(BK63:BK66)</f>
        <v>0</v>
      </c>
      <c r="BL67" s="11">
        <f t="shared" si="308"/>
        <v>0</v>
      </c>
      <c r="BM67" s="11">
        <f t="shared" si="308"/>
        <v>0</v>
      </c>
      <c r="BN67" s="11">
        <f t="shared" si="308"/>
        <v>0</v>
      </c>
      <c r="BO67" s="25">
        <f>SUM(BO63:BO66)</f>
        <v>0</v>
      </c>
      <c r="BQ67" s="10">
        <f>SUM(BQ63:BQ66)</f>
        <v>0</v>
      </c>
      <c r="BR67" s="11">
        <f t="shared" ref="BR67:BU67" si="309">SUM(BR63:BR66)</f>
        <v>0</v>
      </c>
      <c r="BS67" s="11">
        <f t="shared" si="309"/>
        <v>0</v>
      </c>
      <c r="BT67" s="11">
        <f t="shared" si="309"/>
        <v>0</v>
      </c>
      <c r="BU67" s="11">
        <f t="shared" si="309"/>
        <v>0</v>
      </c>
      <c r="BV67" s="25">
        <f>SUM(BV63:BV66)</f>
        <v>0</v>
      </c>
      <c r="BX67" s="10">
        <f>SUM(BX63:BX66)</f>
        <v>0</v>
      </c>
      <c r="BY67" s="11">
        <f t="shared" ref="BY67:CB67" si="310">SUM(BY63:BY66)</f>
        <v>0</v>
      </c>
      <c r="BZ67" s="11">
        <f t="shared" si="310"/>
        <v>0</v>
      </c>
      <c r="CA67" s="11">
        <f t="shared" si="310"/>
        <v>0</v>
      </c>
      <c r="CB67" s="11">
        <f t="shared" si="310"/>
        <v>0</v>
      </c>
      <c r="CC67" s="25">
        <f>SUM(CC63:CC66)</f>
        <v>0</v>
      </c>
      <c r="CE67" s="62">
        <f t="shared" ref="CE67:CJ67" si="311">SUM(CE63:CE66)</f>
        <v>0</v>
      </c>
      <c r="CF67" s="63">
        <f t="shared" si="311"/>
        <v>0</v>
      </c>
      <c r="CG67" s="63">
        <f t="shared" si="311"/>
        <v>0</v>
      </c>
      <c r="CH67" s="63">
        <f t="shared" si="311"/>
        <v>0</v>
      </c>
      <c r="CI67" s="63">
        <f t="shared" si="311"/>
        <v>0</v>
      </c>
      <c r="CJ67" s="25">
        <f t="shared" si="311"/>
        <v>0</v>
      </c>
      <c r="CL67" s="10">
        <f>SUM(CL63:CL66)</f>
        <v>0</v>
      </c>
      <c r="CM67" s="11">
        <f t="shared" ref="CM67:CP67" si="312">SUM(CM63:CM66)</f>
        <v>0</v>
      </c>
      <c r="CN67" s="11">
        <f t="shared" si="312"/>
        <v>0</v>
      </c>
      <c r="CO67" s="11">
        <f t="shared" si="312"/>
        <v>0</v>
      </c>
      <c r="CP67" s="11">
        <f t="shared" si="312"/>
        <v>0</v>
      </c>
      <c r="CQ67" s="25">
        <f>SUM(CQ63:CQ66)</f>
        <v>0</v>
      </c>
      <c r="CS67" s="10">
        <f>SUM(CS63:CS66)</f>
        <v>0</v>
      </c>
      <c r="CT67" s="11">
        <f t="shared" ref="CT67:CW67" si="313">SUM(CT63:CT66)</f>
        <v>0</v>
      </c>
      <c r="CU67" s="11">
        <f t="shared" si="313"/>
        <v>0</v>
      </c>
      <c r="CV67" s="11">
        <f t="shared" si="313"/>
        <v>0</v>
      </c>
      <c r="CW67" s="11">
        <f t="shared" si="313"/>
        <v>0</v>
      </c>
      <c r="CX67" s="25">
        <f>SUM(CX63:CX66)</f>
        <v>0</v>
      </c>
      <c r="CZ67" s="10">
        <f>SUM(CZ63:CZ66)</f>
        <v>0</v>
      </c>
      <c r="DA67" s="11">
        <f t="shared" ref="DA67:DD67" si="314">SUM(DA63:DA66)</f>
        <v>0</v>
      </c>
      <c r="DB67" s="11">
        <f t="shared" si="314"/>
        <v>0</v>
      </c>
      <c r="DC67" s="11">
        <f t="shared" si="314"/>
        <v>0</v>
      </c>
      <c r="DD67" s="11">
        <f t="shared" si="314"/>
        <v>0</v>
      </c>
      <c r="DE67" s="25">
        <f>SUM(DE63:DE66)</f>
        <v>0</v>
      </c>
    </row>
    <row r="69" spans="2:109">
      <c r="B69" s="123"/>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L69" s="20"/>
      <c r="CM69" s="20"/>
      <c r="CN69" s="20"/>
      <c r="CO69" s="20"/>
      <c r="CP69" s="20"/>
      <c r="CQ69" s="20"/>
      <c r="CR69" s="20"/>
      <c r="CS69" s="20"/>
      <c r="CT69" s="20"/>
      <c r="CU69" s="20"/>
      <c r="CV69" s="20"/>
      <c r="CW69" s="20"/>
      <c r="CX69" s="20"/>
      <c r="CY69" s="20"/>
      <c r="CZ69" s="20"/>
      <c r="DA69" s="20"/>
      <c r="DB69" s="20"/>
      <c r="DC69" s="20"/>
      <c r="DD69" s="20"/>
      <c r="DE69" s="20"/>
    </row>
    <row r="70" spans="2:109" ht="14" thickBot="1">
      <c r="B70" s="94">
        <v>3</v>
      </c>
      <c r="C70" s="12" t="s">
        <v>64</v>
      </c>
    </row>
    <row r="71" spans="2:109">
      <c r="C71" s="553">
        <v>2024</v>
      </c>
      <c r="E71" s="1" t="s">
        <v>59</v>
      </c>
      <c r="F71" s="2"/>
      <c r="G71" s="3"/>
      <c r="H71" s="3"/>
      <c r="I71" s="3"/>
      <c r="J71" s="3"/>
      <c r="K71" s="4">
        <f>SUM(F71:J71)</f>
        <v>0</v>
      </c>
      <c r="M71" s="2"/>
      <c r="N71" s="3"/>
      <c r="O71" s="3"/>
      <c r="P71" s="3"/>
      <c r="Q71" s="3"/>
      <c r="R71" s="4">
        <f>SUM(M71:Q71)</f>
        <v>0</v>
      </c>
      <c r="T71" s="2"/>
      <c r="U71" s="3"/>
      <c r="V71" s="3"/>
      <c r="W71" s="3"/>
      <c r="X71" s="3"/>
      <c r="Y71" s="15">
        <f>SUM(T71:X71)</f>
        <v>0</v>
      </c>
      <c r="AA71" s="2"/>
      <c r="AB71" s="3"/>
      <c r="AC71" s="3"/>
      <c r="AD71" s="3"/>
      <c r="AE71" s="3"/>
      <c r="AF71" s="4">
        <f>SUM(AA71:AE71)</f>
        <v>0</v>
      </c>
      <c r="AH71" s="2"/>
      <c r="AI71" s="3"/>
      <c r="AJ71" s="3"/>
      <c r="AK71" s="3"/>
      <c r="AL71" s="3"/>
      <c r="AM71" s="4">
        <f>SUM(AH71:AL71)</f>
        <v>0</v>
      </c>
      <c r="AO71" s="2"/>
      <c r="AP71" s="3"/>
      <c r="AQ71" s="3"/>
      <c r="AR71" s="3"/>
      <c r="AS71" s="3"/>
      <c r="AT71" s="4">
        <f>SUM(AO71:AS71)</f>
        <v>0</v>
      </c>
      <c r="AV71" s="2"/>
      <c r="AW71" s="3"/>
      <c r="AX71" s="3"/>
      <c r="AY71" s="3"/>
      <c r="AZ71" s="3"/>
      <c r="BA71" s="4">
        <f>SUM(AV71:AZ71)</f>
        <v>0</v>
      </c>
      <c r="BC71" s="2"/>
      <c r="BD71" s="3"/>
      <c r="BE71" s="3"/>
      <c r="BF71" s="3"/>
      <c r="BG71" s="3"/>
      <c r="BH71" s="4">
        <f>SUM(BC71:BG71)</f>
        <v>0</v>
      </c>
      <c r="BJ71" s="2"/>
      <c r="BK71" s="3"/>
      <c r="BL71" s="3"/>
      <c r="BM71" s="3"/>
      <c r="BN71" s="3"/>
      <c r="BO71" s="4">
        <f>SUM(BJ71:BN71)</f>
        <v>0</v>
      </c>
      <c r="BQ71" s="2"/>
      <c r="BR71" s="3"/>
      <c r="BS71" s="3"/>
      <c r="BT71" s="3"/>
      <c r="BU71" s="3"/>
      <c r="BV71" s="4">
        <f>SUM(BQ71:BU71)</f>
        <v>0</v>
      </c>
      <c r="BX71" s="2"/>
      <c r="BY71" s="3"/>
      <c r="BZ71" s="3"/>
      <c r="CA71" s="3"/>
      <c r="CB71" s="3"/>
      <c r="CC71" s="4">
        <f>SUM(BX71:CB71)</f>
        <v>0</v>
      </c>
      <c r="CE71" s="26">
        <f t="shared" ref="CE71:CE74" si="315">F71+M71+T71+AA71+AH71+AO71+AV71+BC71+BJ71+BQ71+BX71</f>
        <v>0</v>
      </c>
      <c r="CF71" s="27">
        <f t="shared" ref="CF71:CF74" si="316">G71+N71+U71+AB71+AI71+AP71+AW71+BD71+BK71+BR71+BY71</f>
        <v>0</v>
      </c>
      <c r="CG71" s="27">
        <f t="shared" ref="CG71:CG74" si="317">H71+O71+V71+AC71+AJ71+AQ71+AX71+BE71+BL71+BS71+BZ71</f>
        <v>0</v>
      </c>
      <c r="CH71" s="27">
        <f t="shared" ref="CH71:CH74" si="318">I71+P71+W71+AD71+AK71+AR71+AY71+BF71+BM71+BT71+CA71</f>
        <v>0</v>
      </c>
      <c r="CI71" s="27">
        <f t="shared" ref="CI71:CI74" si="319">J71+Q71+X71+AE71+AL71+AS71+AZ71+BG71+BN71+BU71+CB71</f>
        <v>0</v>
      </c>
      <c r="CJ71" s="4">
        <f>SUM(CE71:CI71)</f>
        <v>0</v>
      </c>
      <c r="CL71" s="2"/>
      <c r="CM71" s="3"/>
      <c r="CN71" s="3"/>
      <c r="CO71" s="3"/>
      <c r="CP71" s="3"/>
      <c r="CQ71" s="4">
        <f>SUM(CL71:CP71)</f>
        <v>0</v>
      </c>
      <c r="CS71" s="2"/>
      <c r="CT71" s="3"/>
      <c r="CU71" s="3"/>
      <c r="CV71" s="3"/>
      <c r="CW71" s="3"/>
      <c r="CX71" s="4">
        <f>SUM(CS71:CW71)</f>
        <v>0</v>
      </c>
      <c r="CZ71" s="2"/>
      <c r="DA71" s="3"/>
      <c r="DB71" s="3"/>
      <c r="DC71" s="3"/>
      <c r="DD71" s="3"/>
      <c r="DE71" s="4">
        <f>SUM(CZ71:DD71)</f>
        <v>0</v>
      </c>
    </row>
    <row r="72" spans="2:109">
      <c r="C72" s="567"/>
      <c r="E72" s="5" t="s">
        <v>60</v>
      </c>
      <c r="F72" s="6"/>
      <c r="G72" s="7"/>
      <c r="H72" s="7"/>
      <c r="I72" s="7"/>
      <c r="J72" s="7"/>
      <c r="K72" s="8">
        <f t="shared" ref="K72:K74" si="320">SUM(F72:J72)</f>
        <v>0</v>
      </c>
      <c r="M72" s="6"/>
      <c r="N72" s="7"/>
      <c r="O72" s="7"/>
      <c r="P72" s="7"/>
      <c r="Q72" s="7"/>
      <c r="R72" s="8">
        <f t="shared" ref="R72:R74" si="321">SUM(M72:Q72)</f>
        <v>0</v>
      </c>
      <c r="T72" s="6"/>
      <c r="U72" s="7"/>
      <c r="V72" s="7"/>
      <c r="W72" s="7"/>
      <c r="X72" s="7"/>
      <c r="Y72" s="16">
        <f t="shared" ref="Y72:Y74" si="322">SUM(T72:X72)</f>
        <v>0</v>
      </c>
      <c r="AA72" s="6"/>
      <c r="AB72" s="7"/>
      <c r="AC72" s="7"/>
      <c r="AD72" s="7"/>
      <c r="AE72" s="7"/>
      <c r="AF72" s="8">
        <f>SUM(AA72:AE72)</f>
        <v>0</v>
      </c>
      <c r="AH72" s="6"/>
      <c r="AI72" s="7"/>
      <c r="AJ72" s="7"/>
      <c r="AK72" s="7"/>
      <c r="AL72" s="7"/>
      <c r="AM72" s="8">
        <f>SUM(AH72:AL72)</f>
        <v>0</v>
      </c>
      <c r="AO72" s="6"/>
      <c r="AP72" s="7"/>
      <c r="AQ72" s="7"/>
      <c r="AR72" s="7"/>
      <c r="AS72" s="7"/>
      <c r="AT72" s="8">
        <f>SUM(AO72:AS72)</f>
        <v>0</v>
      </c>
      <c r="AV72" s="6"/>
      <c r="AW72" s="7"/>
      <c r="AX72" s="7"/>
      <c r="AY72" s="7"/>
      <c r="AZ72" s="7"/>
      <c r="BA72" s="8">
        <f>SUM(AV72:AZ72)</f>
        <v>0</v>
      </c>
      <c r="BC72" s="6"/>
      <c r="BD72" s="7"/>
      <c r="BE72" s="7"/>
      <c r="BF72" s="7"/>
      <c r="BG72" s="7"/>
      <c r="BH72" s="8">
        <f>SUM(BC72:BG72)</f>
        <v>0</v>
      </c>
      <c r="BJ72" s="6"/>
      <c r="BK72" s="7"/>
      <c r="BL72" s="7"/>
      <c r="BM72" s="7"/>
      <c r="BN72" s="7"/>
      <c r="BO72" s="8">
        <f>SUM(BJ72:BN72)</f>
        <v>0</v>
      </c>
      <c r="BQ72" s="6"/>
      <c r="BR72" s="7"/>
      <c r="BS72" s="7"/>
      <c r="BT72" s="7"/>
      <c r="BU72" s="7"/>
      <c r="BV72" s="8">
        <f>SUM(BQ72:BU72)</f>
        <v>0</v>
      </c>
      <c r="BX72" s="6"/>
      <c r="BY72" s="7"/>
      <c r="BZ72" s="7"/>
      <c r="CA72" s="7"/>
      <c r="CB72" s="7"/>
      <c r="CC72" s="8">
        <f>SUM(BX72:CB72)</f>
        <v>0</v>
      </c>
      <c r="CE72" s="28">
        <f t="shared" si="315"/>
        <v>0</v>
      </c>
      <c r="CF72" s="29">
        <f t="shared" si="316"/>
        <v>0</v>
      </c>
      <c r="CG72" s="29">
        <f t="shared" si="317"/>
        <v>0</v>
      </c>
      <c r="CH72" s="29">
        <f t="shared" si="318"/>
        <v>0</v>
      </c>
      <c r="CI72" s="29">
        <f t="shared" si="319"/>
        <v>0</v>
      </c>
      <c r="CJ72" s="8">
        <f>SUM(CE72:CI72)</f>
        <v>0</v>
      </c>
      <c r="CL72" s="6"/>
      <c r="CM72" s="7"/>
      <c r="CN72" s="7"/>
      <c r="CO72" s="7"/>
      <c r="CP72" s="7"/>
      <c r="CQ72" s="8">
        <f>SUM(CL72:CP72)</f>
        <v>0</v>
      </c>
      <c r="CS72" s="6"/>
      <c r="CT72" s="7"/>
      <c r="CU72" s="7"/>
      <c r="CV72" s="7"/>
      <c r="CW72" s="7"/>
      <c r="CX72" s="8">
        <f t="shared" ref="CX72:CX74" si="323">SUM(CS72:CW72)</f>
        <v>0</v>
      </c>
      <c r="CZ72" s="6"/>
      <c r="DA72" s="7"/>
      <c r="DB72" s="7"/>
      <c r="DC72" s="7"/>
      <c r="DD72" s="7"/>
      <c r="DE72" s="8">
        <f t="shared" ref="DE72:DE74" si="324">SUM(CZ72:DD72)</f>
        <v>0</v>
      </c>
    </row>
    <row r="73" spans="2:109">
      <c r="C73" s="567"/>
      <c r="E73" s="5" t="s">
        <v>61</v>
      </c>
      <c r="F73" s="6"/>
      <c r="G73" s="7"/>
      <c r="H73" s="7"/>
      <c r="I73" s="7"/>
      <c r="J73" s="7"/>
      <c r="K73" s="8">
        <f t="shared" si="320"/>
        <v>0</v>
      </c>
      <c r="M73" s="6"/>
      <c r="N73" s="7"/>
      <c r="O73" s="7"/>
      <c r="P73" s="7"/>
      <c r="Q73" s="7"/>
      <c r="R73" s="8">
        <f t="shared" si="321"/>
        <v>0</v>
      </c>
      <c r="T73" s="6"/>
      <c r="U73" s="7"/>
      <c r="V73" s="7"/>
      <c r="W73" s="7"/>
      <c r="X73" s="7"/>
      <c r="Y73" s="16">
        <f t="shared" si="322"/>
        <v>0</v>
      </c>
      <c r="AA73" s="6"/>
      <c r="AB73" s="7"/>
      <c r="AC73" s="7"/>
      <c r="AD73" s="7"/>
      <c r="AE73" s="7"/>
      <c r="AF73" s="8">
        <f>SUM(AA73:AE73)</f>
        <v>0</v>
      </c>
      <c r="AH73" s="6"/>
      <c r="AI73" s="7"/>
      <c r="AJ73" s="7"/>
      <c r="AK73" s="7"/>
      <c r="AL73" s="7"/>
      <c r="AM73" s="8">
        <f>SUM(AH73:AL73)</f>
        <v>0</v>
      </c>
      <c r="AO73" s="6"/>
      <c r="AP73" s="7"/>
      <c r="AQ73" s="7"/>
      <c r="AR73" s="7"/>
      <c r="AS73" s="7"/>
      <c r="AT73" s="8">
        <f>SUM(AO73:AS73)</f>
        <v>0</v>
      </c>
      <c r="AV73" s="6"/>
      <c r="AW73" s="7"/>
      <c r="AX73" s="7"/>
      <c r="AY73" s="7"/>
      <c r="AZ73" s="7"/>
      <c r="BA73" s="8">
        <f>SUM(AV73:AZ73)</f>
        <v>0</v>
      </c>
      <c r="BC73" s="6"/>
      <c r="BD73" s="7"/>
      <c r="BE73" s="7"/>
      <c r="BF73" s="7"/>
      <c r="BG73" s="7"/>
      <c r="BH73" s="8">
        <f>SUM(BC73:BG73)</f>
        <v>0</v>
      </c>
      <c r="BJ73" s="6"/>
      <c r="BK73" s="7"/>
      <c r="BL73" s="7"/>
      <c r="BM73" s="7"/>
      <c r="BN73" s="7"/>
      <c r="BO73" s="8">
        <f>SUM(BJ73:BN73)</f>
        <v>0</v>
      </c>
      <c r="BQ73" s="6"/>
      <c r="BR73" s="7"/>
      <c r="BS73" s="7"/>
      <c r="BT73" s="7"/>
      <c r="BU73" s="7"/>
      <c r="BV73" s="8">
        <f>SUM(BQ73:BU73)</f>
        <v>0</v>
      </c>
      <c r="BX73" s="6"/>
      <c r="BY73" s="7"/>
      <c r="BZ73" s="7"/>
      <c r="CA73" s="7"/>
      <c r="CB73" s="7"/>
      <c r="CC73" s="8">
        <f>SUM(BX73:CB73)</f>
        <v>0</v>
      </c>
      <c r="CE73" s="28">
        <f t="shared" si="315"/>
        <v>0</v>
      </c>
      <c r="CF73" s="29">
        <f t="shared" si="316"/>
        <v>0</v>
      </c>
      <c r="CG73" s="29">
        <f t="shared" si="317"/>
        <v>0</v>
      </c>
      <c r="CH73" s="29">
        <f t="shared" si="318"/>
        <v>0</v>
      </c>
      <c r="CI73" s="29">
        <f t="shared" si="319"/>
        <v>0</v>
      </c>
      <c r="CJ73" s="8">
        <f>SUM(CE73:CI73)</f>
        <v>0</v>
      </c>
      <c r="CL73" s="6"/>
      <c r="CM73" s="7"/>
      <c r="CN73" s="7"/>
      <c r="CO73" s="7"/>
      <c r="CP73" s="7"/>
      <c r="CQ73" s="8">
        <f>SUM(CL73:CP73)</f>
        <v>0</v>
      </c>
      <c r="CS73" s="6"/>
      <c r="CT73" s="7"/>
      <c r="CU73" s="7"/>
      <c r="CV73" s="7"/>
      <c r="CW73" s="7"/>
      <c r="CX73" s="8">
        <f t="shared" si="323"/>
        <v>0</v>
      </c>
      <c r="CZ73" s="6"/>
      <c r="DA73" s="7"/>
      <c r="DB73" s="7"/>
      <c r="DC73" s="7"/>
      <c r="DD73" s="7"/>
      <c r="DE73" s="8">
        <f t="shared" si="324"/>
        <v>0</v>
      </c>
    </row>
    <row r="74" spans="2:109" ht="14" thickBot="1">
      <c r="C74" s="567"/>
      <c r="E74" s="5" t="s">
        <v>62</v>
      </c>
      <c r="F74" s="6"/>
      <c r="G74" s="7"/>
      <c r="H74" s="7"/>
      <c r="I74" s="7"/>
      <c r="J74" s="7"/>
      <c r="K74" s="8">
        <f t="shared" si="320"/>
        <v>0</v>
      </c>
      <c r="M74" s="6"/>
      <c r="N74" s="7"/>
      <c r="O74" s="7"/>
      <c r="P74" s="7"/>
      <c r="Q74" s="7"/>
      <c r="R74" s="8">
        <f t="shared" si="321"/>
        <v>0</v>
      </c>
      <c r="T74" s="6"/>
      <c r="U74" s="7"/>
      <c r="V74" s="7"/>
      <c r="W74" s="7"/>
      <c r="X74" s="7"/>
      <c r="Y74" s="16">
        <f t="shared" si="322"/>
        <v>0</v>
      </c>
      <c r="AA74" s="6"/>
      <c r="AB74" s="7"/>
      <c r="AC74" s="7"/>
      <c r="AD74" s="7"/>
      <c r="AE74" s="7"/>
      <c r="AF74" s="8">
        <f>SUM(AA74:AE74)</f>
        <v>0</v>
      </c>
      <c r="AH74" s="6"/>
      <c r="AI74" s="7"/>
      <c r="AJ74" s="7"/>
      <c r="AK74" s="7"/>
      <c r="AL74" s="7"/>
      <c r="AM74" s="8">
        <f>SUM(AH74:AL74)</f>
        <v>0</v>
      </c>
      <c r="AO74" s="6"/>
      <c r="AP74" s="7"/>
      <c r="AQ74" s="7"/>
      <c r="AR74" s="7"/>
      <c r="AS74" s="7"/>
      <c r="AT74" s="8">
        <f>SUM(AO74:AS74)</f>
        <v>0</v>
      </c>
      <c r="AV74" s="6"/>
      <c r="AW74" s="7"/>
      <c r="AX74" s="7"/>
      <c r="AY74" s="7"/>
      <c r="AZ74" s="7"/>
      <c r="BA74" s="8">
        <f>SUM(AV74:AZ74)</f>
        <v>0</v>
      </c>
      <c r="BC74" s="6"/>
      <c r="BD74" s="7"/>
      <c r="BE74" s="7"/>
      <c r="BF74" s="7"/>
      <c r="BG74" s="7"/>
      <c r="BH74" s="8">
        <f>SUM(BC74:BG74)</f>
        <v>0</v>
      </c>
      <c r="BJ74" s="6"/>
      <c r="BK74" s="7"/>
      <c r="BL74" s="7"/>
      <c r="BM74" s="7"/>
      <c r="BN74" s="7"/>
      <c r="BO74" s="8">
        <f>SUM(BJ74:BN74)</f>
        <v>0</v>
      </c>
      <c r="BQ74" s="6"/>
      <c r="BR74" s="7"/>
      <c r="BS74" s="7"/>
      <c r="BT74" s="7"/>
      <c r="BU74" s="7"/>
      <c r="BV74" s="8">
        <f>SUM(BQ74:BU74)</f>
        <v>0</v>
      </c>
      <c r="BX74" s="6"/>
      <c r="BY74" s="7"/>
      <c r="BZ74" s="7"/>
      <c r="CA74" s="7"/>
      <c r="CB74" s="7"/>
      <c r="CC74" s="8">
        <f>SUM(BX74:CB74)</f>
        <v>0</v>
      </c>
      <c r="CE74" s="493">
        <f t="shared" si="315"/>
        <v>0</v>
      </c>
      <c r="CF74" s="494">
        <f t="shared" si="316"/>
        <v>0</v>
      </c>
      <c r="CG74" s="494">
        <f t="shared" si="317"/>
        <v>0</v>
      </c>
      <c r="CH74" s="494">
        <f t="shared" si="318"/>
        <v>0</v>
      </c>
      <c r="CI74" s="494">
        <f t="shared" si="319"/>
        <v>0</v>
      </c>
      <c r="CJ74" s="495">
        <f>SUM(CE74:CI74)</f>
        <v>0</v>
      </c>
      <c r="CL74" s="6"/>
      <c r="CM74" s="7"/>
      <c r="CN74" s="7"/>
      <c r="CO74" s="7"/>
      <c r="CP74" s="7"/>
      <c r="CQ74" s="8">
        <f>SUM(CL74:CP74)</f>
        <v>0</v>
      </c>
      <c r="CS74" s="6"/>
      <c r="CT74" s="7"/>
      <c r="CU74" s="7"/>
      <c r="CV74" s="7"/>
      <c r="CW74" s="7"/>
      <c r="CX74" s="8">
        <f t="shared" si="323"/>
        <v>0</v>
      </c>
      <c r="CZ74" s="6"/>
      <c r="DA74" s="7"/>
      <c r="DB74" s="7"/>
      <c r="DC74" s="7"/>
      <c r="DD74" s="7"/>
      <c r="DE74" s="8">
        <f t="shared" si="324"/>
        <v>0</v>
      </c>
    </row>
    <row r="75" spans="2:109" ht="14" thickBot="1">
      <c r="C75" s="554"/>
      <c r="E75" s="9"/>
      <c r="F75" s="10">
        <f>SUM(F71:F74)</f>
        <v>0</v>
      </c>
      <c r="G75" s="11">
        <f t="shared" ref="G75:J75" si="325">SUM(G71:G74)</f>
        <v>0</v>
      </c>
      <c r="H75" s="11">
        <f t="shared" si="325"/>
        <v>0</v>
      </c>
      <c r="I75" s="11">
        <f t="shared" si="325"/>
        <v>0</v>
      </c>
      <c r="J75" s="11">
        <f t="shared" si="325"/>
        <v>0</v>
      </c>
      <c r="K75" s="25">
        <f>SUM(K71:K74)</f>
        <v>0</v>
      </c>
      <c r="M75" s="10">
        <f>SUM(M71:M74)</f>
        <v>0</v>
      </c>
      <c r="N75" s="11">
        <f t="shared" ref="N75:Q75" si="326">SUM(N71:N74)</f>
        <v>0</v>
      </c>
      <c r="O75" s="11">
        <f t="shared" si="326"/>
        <v>0</v>
      </c>
      <c r="P75" s="11">
        <f t="shared" si="326"/>
        <v>0</v>
      </c>
      <c r="Q75" s="11">
        <f t="shared" si="326"/>
        <v>0</v>
      </c>
      <c r="R75" s="25">
        <f>SUM(R71:R74)</f>
        <v>0</v>
      </c>
      <c r="T75" s="10">
        <f>SUM(T71:T74)</f>
        <v>0</v>
      </c>
      <c r="U75" s="11">
        <f t="shared" ref="U75:X75" si="327">SUM(U71:U74)</f>
        <v>0</v>
      </c>
      <c r="V75" s="11">
        <f t="shared" si="327"/>
        <v>0</v>
      </c>
      <c r="W75" s="11">
        <f t="shared" si="327"/>
        <v>0</v>
      </c>
      <c r="X75" s="11">
        <f t="shared" si="327"/>
        <v>0</v>
      </c>
      <c r="Y75" s="25">
        <f>SUM(Y71:Y74)</f>
        <v>0</v>
      </c>
      <c r="AA75" s="10">
        <f>SUM(AA71:AA74)</f>
        <v>0</v>
      </c>
      <c r="AB75" s="11">
        <f t="shared" ref="AB75:AE75" si="328">SUM(AB71:AB74)</f>
        <v>0</v>
      </c>
      <c r="AC75" s="11">
        <f t="shared" si="328"/>
        <v>0</v>
      </c>
      <c r="AD75" s="11">
        <f t="shared" si="328"/>
        <v>0</v>
      </c>
      <c r="AE75" s="11">
        <f t="shared" si="328"/>
        <v>0</v>
      </c>
      <c r="AF75" s="25">
        <f>SUM(AF71:AF74)</f>
        <v>0</v>
      </c>
      <c r="AH75" s="10">
        <f>SUM(AH71:AH74)</f>
        <v>0</v>
      </c>
      <c r="AI75" s="11">
        <f t="shared" ref="AI75:AL75" si="329">SUM(AI71:AI74)</f>
        <v>0</v>
      </c>
      <c r="AJ75" s="11">
        <f t="shared" si="329"/>
        <v>0</v>
      </c>
      <c r="AK75" s="11">
        <f t="shared" si="329"/>
        <v>0</v>
      </c>
      <c r="AL75" s="11">
        <f t="shared" si="329"/>
        <v>0</v>
      </c>
      <c r="AM75" s="25">
        <f>SUM(AM71:AM74)</f>
        <v>0</v>
      </c>
      <c r="AO75" s="10">
        <f>SUM(AO71:AO74)</f>
        <v>0</v>
      </c>
      <c r="AP75" s="11">
        <f t="shared" ref="AP75:AS75" si="330">SUM(AP71:AP74)</f>
        <v>0</v>
      </c>
      <c r="AQ75" s="11">
        <f t="shared" si="330"/>
        <v>0</v>
      </c>
      <c r="AR75" s="11">
        <f t="shared" si="330"/>
        <v>0</v>
      </c>
      <c r="AS75" s="11">
        <f t="shared" si="330"/>
        <v>0</v>
      </c>
      <c r="AT75" s="25">
        <f>SUM(AT71:AT74)</f>
        <v>0</v>
      </c>
      <c r="AV75" s="10">
        <f>SUM(AV71:AV74)</f>
        <v>0</v>
      </c>
      <c r="AW75" s="11">
        <f t="shared" ref="AW75:AZ75" si="331">SUM(AW71:AW74)</f>
        <v>0</v>
      </c>
      <c r="AX75" s="11">
        <f t="shared" si="331"/>
        <v>0</v>
      </c>
      <c r="AY75" s="11">
        <f t="shared" si="331"/>
        <v>0</v>
      </c>
      <c r="AZ75" s="11">
        <f t="shared" si="331"/>
        <v>0</v>
      </c>
      <c r="BA75" s="25">
        <f>SUM(BA71:BA74)</f>
        <v>0</v>
      </c>
      <c r="BC75" s="10">
        <f>SUM(BC71:BC74)</f>
        <v>0</v>
      </c>
      <c r="BD75" s="11">
        <f t="shared" ref="BD75:BG75" si="332">SUM(BD71:BD74)</f>
        <v>0</v>
      </c>
      <c r="BE75" s="11">
        <f t="shared" si="332"/>
        <v>0</v>
      </c>
      <c r="BF75" s="11">
        <f t="shared" si="332"/>
        <v>0</v>
      </c>
      <c r="BG75" s="11">
        <f t="shared" si="332"/>
        <v>0</v>
      </c>
      <c r="BH75" s="25">
        <f>SUM(BH71:BH74)</f>
        <v>0</v>
      </c>
      <c r="BJ75" s="10">
        <f>SUM(BJ71:BJ74)</f>
        <v>0</v>
      </c>
      <c r="BK75" s="11">
        <f t="shared" ref="BK75:BN75" si="333">SUM(BK71:BK74)</f>
        <v>0</v>
      </c>
      <c r="BL75" s="11">
        <f t="shared" si="333"/>
        <v>0</v>
      </c>
      <c r="BM75" s="11">
        <f t="shared" si="333"/>
        <v>0</v>
      </c>
      <c r="BN75" s="11">
        <f t="shared" si="333"/>
        <v>0</v>
      </c>
      <c r="BO75" s="25">
        <f>SUM(BO71:BO74)</f>
        <v>0</v>
      </c>
      <c r="BQ75" s="10">
        <f>SUM(BQ71:BQ74)</f>
        <v>0</v>
      </c>
      <c r="BR75" s="11">
        <f t="shared" ref="BR75:BU75" si="334">SUM(BR71:BR74)</f>
        <v>0</v>
      </c>
      <c r="BS75" s="11">
        <f t="shared" si="334"/>
        <v>0</v>
      </c>
      <c r="BT75" s="11">
        <f t="shared" si="334"/>
        <v>0</v>
      </c>
      <c r="BU75" s="11">
        <f t="shared" si="334"/>
        <v>0</v>
      </c>
      <c r="BV75" s="25">
        <f>SUM(BV71:BV74)</f>
        <v>0</v>
      </c>
      <c r="BX75" s="10">
        <f>SUM(BX71:BX74)</f>
        <v>0</v>
      </c>
      <c r="BY75" s="11">
        <f t="shared" ref="BY75:CB75" si="335">SUM(BY71:BY74)</f>
        <v>0</v>
      </c>
      <c r="BZ75" s="11">
        <f t="shared" si="335"/>
        <v>0</v>
      </c>
      <c r="CA75" s="11">
        <f t="shared" si="335"/>
        <v>0</v>
      </c>
      <c r="CB75" s="11">
        <f t="shared" si="335"/>
        <v>0</v>
      </c>
      <c r="CC75" s="25">
        <f>SUM(CC71:CC74)</f>
        <v>0</v>
      </c>
      <c r="CE75" s="62">
        <f t="shared" ref="CE75:CJ75" si="336">SUM(CE71:CE74)</f>
        <v>0</v>
      </c>
      <c r="CF75" s="63">
        <f t="shared" si="336"/>
        <v>0</v>
      </c>
      <c r="CG75" s="63">
        <f t="shared" si="336"/>
        <v>0</v>
      </c>
      <c r="CH75" s="63">
        <f t="shared" si="336"/>
        <v>0</v>
      </c>
      <c r="CI75" s="63">
        <f t="shared" si="336"/>
        <v>0</v>
      </c>
      <c r="CJ75" s="25">
        <f t="shared" si="336"/>
        <v>0</v>
      </c>
      <c r="CL75" s="10">
        <f>SUM(CL71:CL74)</f>
        <v>0</v>
      </c>
      <c r="CM75" s="11">
        <f t="shared" ref="CM75:CP75" si="337">SUM(CM71:CM74)</f>
        <v>0</v>
      </c>
      <c r="CN75" s="11">
        <f t="shared" si="337"/>
        <v>0</v>
      </c>
      <c r="CO75" s="11">
        <f t="shared" si="337"/>
        <v>0</v>
      </c>
      <c r="CP75" s="11">
        <f t="shared" si="337"/>
        <v>0</v>
      </c>
      <c r="CQ75" s="25">
        <f>SUM(CQ71:CQ74)</f>
        <v>0</v>
      </c>
      <c r="CS75" s="10">
        <f>SUM(CS71:CS74)</f>
        <v>0</v>
      </c>
      <c r="CT75" s="11">
        <f t="shared" ref="CT75:CW75" si="338">SUM(CT71:CT74)</f>
        <v>0</v>
      </c>
      <c r="CU75" s="11">
        <f t="shared" si="338"/>
        <v>0</v>
      </c>
      <c r="CV75" s="11">
        <f t="shared" si="338"/>
        <v>0</v>
      </c>
      <c r="CW75" s="11">
        <f t="shared" si="338"/>
        <v>0</v>
      </c>
      <c r="CX75" s="25">
        <f>SUM(CX71:CX74)</f>
        <v>0</v>
      </c>
      <c r="CZ75" s="10">
        <f>SUM(CZ71:CZ74)</f>
        <v>0</v>
      </c>
      <c r="DA75" s="11">
        <f t="shared" ref="DA75:DD75" si="339">SUM(DA71:DA74)</f>
        <v>0</v>
      </c>
      <c r="DB75" s="11">
        <f t="shared" si="339"/>
        <v>0</v>
      </c>
      <c r="DC75" s="11">
        <f t="shared" si="339"/>
        <v>0</v>
      </c>
      <c r="DD75" s="11">
        <f t="shared" si="339"/>
        <v>0</v>
      </c>
      <c r="DE75" s="25">
        <f>SUM(DE71:DE74)</f>
        <v>0</v>
      </c>
    </row>
    <row r="76" spans="2:109" ht="10.4" customHeight="1" thickBot="1"/>
    <row r="77" spans="2:109">
      <c r="C77" s="553">
        <v>2025</v>
      </c>
      <c r="E77" s="13" t="s">
        <v>59</v>
      </c>
      <c r="F77" s="21">
        <f>CE71</f>
        <v>0</v>
      </c>
      <c r="G77" s="22">
        <f t="shared" ref="G77:G80" si="340">CF71</f>
        <v>0</v>
      </c>
      <c r="H77" s="22">
        <f t="shared" ref="H77:H80" si="341">CG71</f>
        <v>0</v>
      </c>
      <c r="I77" s="22">
        <f t="shared" ref="I77:I80" si="342">CH71</f>
        <v>0</v>
      </c>
      <c r="J77" s="22">
        <f t="shared" ref="J77:J80" si="343">CI71</f>
        <v>0</v>
      </c>
      <c r="K77" s="15">
        <f>SUM(F77:J77)</f>
        <v>0</v>
      </c>
      <c r="M77" s="2"/>
      <c r="N77" s="3"/>
      <c r="O77" s="3"/>
      <c r="P77" s="3"/>
      <c r="Q77" s="3"/>
      <c r="R77" s="15">
        <f>SUM(M77:Q77)</f>
        <v>0</v>
      </c>
      <c r="T77" s="2"/>
      <c r="U77" s="3"/>
      <c r="V77" s="3"/>
      <c r="W77" s="3"/>
      <c r="X77" s="3"/>
      <c r="Y77" s="15">
        <f>SUM(T77:X77)</f>
        <v>0</v>
      </c>
      <c r="AA77" s="2"/>
      <c r="AB77" s="3"/>
      <c r="AC77" s="3"/>
      <c r="AD77" s="3"/>
      <c r="AE77" s="3"/>
      <c r="AF77" s="15">
        <f>SUM(AA77:AE77)</f>
        <v>0</v>
      </c>
      <c r="AH77" s="2"/>
      <c r="AI77" s="3"/>
      <c r="AJ77" s="3"/>
      <c r="AK77" s="3"/>
      <c r="AL77" s="3"/>
      <c r="AM77" s="15">
        <f>SUM(AH77:AL77)</f>
        <v>0</v>
      </c>
      <c r="AO77" s="2"/>
      <c r="AP77" s="3"/>
      <c r="AQ77" s="3"/>
      <c r="AR77" s="3"/>
      <c r="AS77" s="3"/>
      <c r="AT77" s="15">
        <f>SUM(AO77:AS77)</f>
        <v>0</v>
      </c>
      <c r="AV77" s="2"/>
      <c r="AW77" s="3"/>
      <c r="AX77" s="3"/>
      <c r="AY77" s="3"/>
      <c r="AZ77" s="3"/>
      <c r="BA77" s="15">
        <f>SUM(AV77:AZ77)</f>
        <v>0</v>
      </c>
      <c r="BC77" s="2"/>
      <c r="BD77" s="3"/>
      <c r="BE77" s="3"/>
      <c r="BF77" s="3"/>
      <c r="BG77" s="3"/>
      <c r="BH77" s="15">
        <f>SUM(BC77:BG77)</f>
        <v>0</v>
      </c>
      <c r="BJ77" s="2"/>
      <c r="BK77" s="3"/>
      <c r="BL77" s="3"/>
      <c r="BM77" s="3"/>
      <c r="BN77" s="3"/>
      <c r="BO77" s="15">
        <f>SUM(BJ77:BN77)</f>
        <v>0</v>
      </c>
      <c r="BQ77" s="2"/>
      <c r="BR77" s="3"/>
      <c r="BS77" s="3"/>
      <c r="BT77" s="3"/>
      <c r="BU77" s="3"/>
      <c r="BV77" s="15">
        <f>SUM(BQ77:BU77)</f>
        <v>0</v>
      </c>
      <c r="BX77" s="2"/>
      <c r="BY77" s="3"/>
      <c r="BZ77" s="3"/>
      <c r="CA77" s="3"/>
      <c r="CB77" s="3"/>
      <c r="CC77" s="15">
        <f>SUM(BX77:CB77)</f>
        <v>0</v>
      </c>
      <c r="CE77" s="26">
        <f t="shared" ref="CE77:CE80" si="344">F77+M77+T77+AA77+AH77+AO77+AV77+BC77+BJ77+BQ77+BX77</f>
        <v>0</v>
      </c>
      <c r="CF77" s="27">
        <f t="shared" ref="CF77:CF80" si="345">G77+N77+U77+AB77+AI77+AP77+AW77+BD77+BK77+BR77+BY77</f>
        <v>0</v>
      </c>
      <c r="CG77" s="27">
        <f t="shared" ref="CG77:CG80" si="346">H77+O77+V77+AC77+AJ77+AQ77+AX77+BE77+BL77+BS77+BZ77</f>
        <v>0</v>
      </c>
      <c r="CH77" s="27">
        <f t="shared" ref="CH77:CH80" si="347">I77+P77+W77+AD77+AK77+AR77+AY77+BF77+BM77+BT77+CA77</f>
        <v>0</v>
      </c>
      <c r="CI77" s="27">
        <f t="shared" ref="CI77:CI80" si="348">J77+Q77+X77+AE77+AL77+AS77+AZ77+BG77+BN77+BU77+CB77</f>
        <v>0</v>
      </c>
      <c r="CJ77" s="4">
        <f>SUM(CE77:CI77)</f>
        <v>0</v>
      </c>
      <c r="CL77" s="2"/>
      <c r="CM77" s="3"/>
      <c r="CN77" s="3"/>
      <c r="CO77" s="3"/>
      <c r="CP77" s="3"/>
      <c r="CQ77" s="15">
        <f>SUM(CL77:CP77)</f>
        <v>0</v>
      </c>
      <c r="CS77" s="2"/>
      <c r="CT77" s="3"/>
      <c r="CU77" s="3"/>
      <c r="CV77" s="3"/>
      <c r="CW77" s="3"/>
      <c r="CX77" s="15">
        <f>SUM(CS77:CW77)</f>
        <v>0</v>
      </c>
      <c r="CZ77" s="2"/>
      <c r="DA77" s="3"/>
      <c r="DB77" s="3"/>
      <c r="DC77" s="3"/>
      <c r="DD77" s="3"/>
      <c r="DE77" s="15">
        <f>SUM(CZ77:DD77)</f>
        <v>0</v>
      </c>
    </row>
    <row r="78" spans="2:109">
      <c r="C78" s="567"/>
      <c r="E78" s="14" t="s">
        <v>60</v>
      </c>
      <c r="F78" s="23">
        <f t="shared" ref="F78:F80" si="349">CE72</f>
        <v>0</v>
      </c>
      <c r="G78" s="24">
        <f t="shared" si="340"/>
        <v>0</v>
      </c>
      <c r="H78" s="24">
        <f t="shared" si="341"/>
        <v>0</v>
      </c>
      <c r="I78" s="24">
        <f t="shared" si="342"/>
        <v>0</v>
      </c>
      <c r="J78" s="24">
        <f t="shared" si="343"/>
        <v>0</v>
      </c>
      <c r="K78" s="16">
        <f t="shared" ref="K78:K80" si="350">SUM(F78:J78)</f>
        <v>0</v>
      </c>
      <c r="M78" s="6"/>
      <c r="N78" s="7"/>
      <c r="O78" s="7"/>
      <c r="P78" s="7"/>
      <c r="Q78" s="7"/>
      <c r="R78" s="16">
        <f t="shared" ref="R78:R80" si="351">SUM(M78:Q78)</f>
        <v>0</v>
      </c>
      <c r="T78" s="6"/>
      <c r="U78" s="7"/>
      <c r="V78" s="7"/>
      <c r="W78" s="7"/>
      <c r="X78" s="7"/>
      <c r="Y78" s="16">
        <f t="shared" ref="Y78:Y80" si="352">SUM(T78:X78)</f>
        <v>0</v>
      </c>
      <c r="AA78" s="6"/>
      <c r="AB78" s="7"/>
      <c r="AC78" s="7"/>
      <c r="AD78" s="7"/>
      <c r="AE78" s="7"/>
      <c r="AF78" s="16">
        <f>SUM(AA78:AE78)</f>
        <v>0</v>
      </c>
      <c r="AH78" s="6"/>
      <c r="AI78" s="7"/>
      <c r="AJ78" s="7"/>
      <c r="AK78" s="7"/>
      <c r="AL78" s="7"/>
      <c r="AM78" s="16">
        <f>SUM(AH78:AL78)</f>
        <v>0</v>
      </c>
      <c r="AO78" s="6"/>
      <c r="AP78" s="7"/>
      <c r="AQ78" s="7"/>
      <c r="AR78" s="7"/>
      <c r="AS78" s="7"/>
      <c r="AT78" s="16">
        <f>SUM(AO78:AS78)</f>
        <v>0</v>
      </c>
      <c r="AV78" s="6"/>
      <c r="AW78" s="7"/>
      <c r="AX78" s="7"/>
      <c r="AY78" s="7"/>
      <c r="AZ78" s="7"/>
      <c r="BA78" s="16">
        <f>SUM(AV78:AZ78)</f>
        <v>0</v>
      </c>
      <c r="BC78" s="6"/>
      <c r="BD78" s="7"/>
      <c r="BE78" s="7"/>
      <c r="BF78" s="7"/>
      <c r="BG78" s="7"/>
      <c r="BH78" s="16">
        <f>SUM(BC78:BG78)</f>
        <v>0</v>
      </c>
      <c r="BJ78" s="6"/>
      <c r="BK78" s="7"/>
      <c r="BL78" s="7"/>
      <c r="BM78" s="7"/>
      <c r="BN78" s="7"/>
      <c r="BO78" s="16">
        <f>SUM(BJ78:BN78)</f>
        <v>0</v>
      </c>
      <c r="BQ78" s="6"/>
      <c r="BR78" s="7"/>
      <c r="BS78" s="7"/>
      <c r="BT78" s="7"/>
      <c r="BU78" s="7"/>
      <c r="BV78" s="16">
        <f>SUM(BQ78:BU78)</f>
        <v>0</v>
      </c>
      <c r="BX78" s="6"/>
      <c r="BY78" s="7"/>
      <c r="BZ78" s="7"/>
      <c r="CA78" s="7"/>
      <c r="CB78" s="7"/>
      <c r="CC78" s="16">
        <f>SUM(BX78:CB78)</f>
        <v>0</v>
      </c>
      <c r="CE78" s="28">
        <f t="shared" si="344"/>
        <v>0</v>
      </c>
      <c r="CF78" s="29">
        <f t="shared" si="345"/>
        <v>0</v>
      </c>
      <c r="CG78" s="29">
        <f t="shared" si="346"/>
        <v>0</v>
      </c>
      <c r="CH78" s="29">
        <f t="shared" si="347"/>
        <v>0</v>
      </c>
      <c r="CI78" s="29">
        <f t="shared" si="348"/>
        <v>0</v>
      </c>
      <c r="CJ78" s="8">
        <f>SUM(CE78:CI78)</f>
        <v>0</v>
      </c>
      <c r="CL78" s="6"/>
      <c r="CM78" s="7"/>
      <c r="CN78" s="7"/>
      <c r="CO78" s="7"/>
      <c r="CP78" s="7"/>
      <c r="CQ78" s="16">
        <f>SUM(CL78:CP78)</f>
        <v>0</v>
      </c>
      <c r="CS78" s="6"/>
      <c r="CT78" s="7"/>
      <c r="CU78" s="7"/>
      <c r="CV78" s="7"/>
      <c r="CW78" s="7"/>
      <c r="CX78" s="16">
        <f t="shared" ref="CX78:CX80" si="353">SUM(CS78:CW78)</f>
        <v>0</v>
      </c>
      <c r="CZ78" s="6"/>
      <c r="DA78" s="7"/>
      <c r="DB78" s="7"/>
      <c r="DC78" s="7"/>
      <c r="DD78" s="7"/>
      <c r="DE78" s="16">
        <f t="shared" ref="DE78:DE80" si="354">SUM(CZ78:DD78)</f>
        <v>0</v>
      </c>
    </row>
    <row r="79" spans="2:109">
      <c r="C79" s="567"/>
      <c r="E79" s="14" t="s">
        <v>61</v>
      </c>
      <c r="F79" s="23">
        <f t="shared" si="349"/>
        <v>0</v>
      </c>
      <c r="G79" s="24">
        <f t="shared" si="340"/>
        <v>0</v>
      </c>
      <c r="H79" s="24">
        <f t="shared" si="341"/>
        <v>0</v>
      </c>
      <c r="I79" s="24">
        <f t="shared" si="342"/>
        <v>0</v>
      </c>
      <c r="J79" s="24">
        <f t="shared" si="343"/>
        <v>0</v>
      </c>
      <c r="K79" s="16">
        <f t="shared" si="350"/>
        <v>0</v>
      </c>
      <c r="M79" s="6"/>
      <c r="N79" s="7"/>
      <c r="O79" s="7"/>
      <c r="P79" s="7"/>
      <c r="Q79" s="7"/>
      <c r="R79" s="16">
        <f t="shared" si="351"/>
        <v>0</v>
      </c>
      <c r="T79" s="6"/>
      <c r="U79" s="7"/>
      <c r="V79" s="7"/>
      <c r="W79" s="7"/>
      <c r="X79" s="7"/>
      <c r="Y79" s="16">
        <f t="shared" si="352"/>
        <v>0</v>
      </c>
      <c r="AA79" s="6"/>
      <c r="AB79" s="7"/>
      <c r="AC79" s="7"/>
      <c r="AD79" s="7"/>
      <c r="AE79" s="7"/>
      <c r="AF79" s="16">
        <f>SUM(AA79:AE79)</f>
        <v>0</v>
      </c>
      <c r="AH79" s="6"/>
      <c r="AI79" s="7"/>
      <c r="AJ79" s="7"/>
      <c r="AK79" s="7"/>
      <c r="AL79" s="7"/>
      <c r="AM79" s="16">
        <f>SUM(AH79:AL79)</f>
        <v>0</v>
      </c>
      <c r="AO79" s="6"/>
      <c r="AP79" s="7"/>
      <c r="AQ79" s="7"/>
      <c r="AR79" s="7"/>
      <c r="AS79" s="7"/>
      <c r="AT79" s="16">
        <f>SUM(AO79:AS79)</f>
        <v>0</v>
      </c>
      <c r="AV79" s="6"/>
      <c r="AW79" s="7"/>
      <c r="AX79" s="7"/>
      <c r="AY79" s="7"/>
      <c r="AZ79" s="7"/>
      <c r="BA79" s="16">
        <f>SUM(AV79:AZ79)</f>
        <v>0</v>
      </c>
      <c r="BC79" s="6"/>
      <c r="BD79" s="7"/>
      <c r="BE79" s="7"/>
      <c r="BF79" s="7"/>
      <c r="BG79" s="7"/>
      <c r="BH79" s="16">
        <f>SUM(BC79:BG79)</f>
        <v>0</v>
      </c>
      <c r="BJ79" s="6"/>
      <c r="BK79" s="7"/>
      <c r="BL79" s="7"/>
      <c r="BM79" s="7"/>
      <c r="BN79" s="7"/>
      <c r="BO79" s="16">
        <f>SUM(BJ79:BN79)</f>
        <v>0</v>
      </c>
      <c r="BQ79" s="6"/>
      <c r="BR79" s="7"/>
      <c r="BS79" s="7"/>
      <c r="BT79" s="7"/>
      <c r="BU79" s="7"/>
      <c r="BV79" s="16">
        <f>SUM(BQ79:BU79)</f>
        <v>0</v>
      </c>
      <c r="BX79" s="6"/>
      <c r="BY79" s="7"/>
      <c r="BZ79" s="7"/>
      <c r="CA79" s="7"/>
      <c r="CB79" s="7"/>
      <c r="CC79" s="16">
        <f>SUM(BX79:CB79)</f>
        <v>0</v>
      </c>
      <c r="CE79" s="28">
        <f t="shared" si="344"/>
        <v>0</v>
      </c>
      <c r="CF79" s="29">
        <f t="shared" si="345"/>
        <v>0</v>
      </c>
      <c r="CG79" s="29">
        <f t="shared" si="346"/>
        <v>0</v>
      </c>
      <c r="CH79" s="29">
        <f t="shared" si="347"/>
        <v>0</v>
      </c>
      <c r="CI79" s="29">
        <f t="shared" si="348"/>
        <v>0</v>
      </c>
      <c r="CJ79" s="8">
        <f>SUM(CE79:CI79)</f>
        <v>0</v>
      </c>
      <c r="CL79" s="6"/>
      <c r="CM79" s="7"/>
      <c r="CN79" s="7"/>
      <c r="CO79" s="7"/>
      <c r="CP79" s="7"/>
      <c r="CQ79" s="16">
        <f>SUM(CL79:CP79)</f>
        <v>0</v>
      </c>
      <c r="CS79" s="6"/>
      <c r="CT79" s="7"/>
      <c r="CU79" s="7"/>
      <c r="CV79" s="7"/>
      <c r="CW79" s="7"/>
      <c r="CX79" s="16">
        <f t="shared" si="353"/>
        <v>0</v>
      </c>
      <c r="CZ79" s="6"/>
      <c r="DA79" s="7"/>
      <c r="DB79" s="7"/>
      <c r="DC79" s="7"/>
      <c r="DD79" s="7"/>
      <c r="DE79" s="16">
        <f t="shared" si="354"/>
        <v>0</v>
      </c>
    </row>
    <row r="80" spans="2:109" ht="14" thickBot="1">
      <c r="C80" s="567"/>
      <c r="E80" s="14" t="s">
        <v>62</v>
      </c>
      <c r="F80" s="23">
        <f t="shared" si="349"/>
        <v>0</v>
      </c>
      <c r="G80" s="24">
        <f t="shared" si="340"/>
        <v>0</v>
      </c>
      <c r="H80" s="24">
        <f t="shared" si="341"/>
        <v>0</v>
      </c>
      <c r="I80" s="24">
        <f t="shared" si="342"/>
        <v>0</v>
      </c>
      <c r="J80" s="24">
        <f t="shared" si="343"/>
        <v>0</v>
      </c>
      <c r="K80" s="16">
        <f t="shared" si="350"/>
        <v>0</v>
      </c>
      <c r="M80" s="6"/>
      <c r="N80" s="7"/>
      <c r="O80" s="7"/>
      <c r="P80" s="7"/>
      <c r="Q80" s="7"/>
      <c r="R80" s="16">
        <f t="shared" si="351"/>
        <v>0</v>
      </c>
      <c r="T80" s="6"/>
      <c r="U80" s="7"/>
      <c r="V80" s="7"/>
      <c r="W80" s="7"/>
      <c r="X80" s="7"/>
      <c r="Y80" s="16">
        <f t="shared" si="352"/>
        <v>0</v>
      </c>
      <c r="AA80" s="6"/>
      <c r="AB80" s="7"/>
      <c r="AC80" s="7"/>
      <c r="AD80" s="7"/>
      <c r="AE80" s="7"/>
      <c r="AF80" s="16">
        <f>SUM(AA80:AE80)</f>
        <v>0</v>
      </c>
      <c r="AH80" s="6"/>
      <c r="AI80" s="7"/>
      <c r="AJ80" s="7"/>
      <c r="AK80" s="7"/>
      <c r="AL80" s="7"/>
      <c r="AM80" s="16">
        <f>SUM(AH80:AL80)</f>
        <v>0</v>
      </c>
      <c r="AO80" s="6"/>
      <c r="AP80" s="7"/>
      <c r="AQ80" s="7"/>
      <c r="AR80" s="7"/>
      <c r="AS80" s="7"/>
      <c r="AT80" s="16">
        <f>SUM(AO80:AS80)</f>
        <v>0</v>
      </c>
      <c r="AV80" s="6"/>
      <c r="AW80" s="7"/>
      <c r="AX80" s="7"/>
      <c r="AY80" s="7"/>
      <c r="AZ80" s="7"/>
      <c r="BA80" s="16">
        <f>SUM(AV80:AZ80)</f>
        <v>0</v>
      </c>
      <c r="BC80" s="6"/>
      <c r="BD80" s="7"/>
      <c r="BE80" s="7"/>
      <c r="BF80" s="7"/>
      <c r="BG80" s="7"/>
      <c r="BH80" s="16">
        <f>SUM(BC80:BG80)</f>
        <v>0</v>
      </c>
      <c r="BJ80" s="6"/>
      <c r="BK80" s="7"/>
      <c r="BL80" s="7"/>
      <c r="BM80" s="7"/>
      <c r="BN80" s="7"/>
      <c r="BO80" s="16">
        <f>SUM(BJ80:BN80)</f>
        <v>0</v>
      </c>
      <c r="BQ80" s="6"/>
      <c r="BR80" s="7"/>
      <c r="BS80" s="7"/>
      <c r="BT80" s="7"/>
      <c r="BU80" s="7"/>
      <c r="BV80" s="16">
        <f>SUM(BQ80:BU80)</f>
        <v>0</v>
      </c>
      <c r="BX80" s="6"/>
      <c r="BY80" s="7"/>
      <c r="BZ80" s="7"/>
      <c r="CA80" s="7"/>
      <c r="CB80" s="7"/>
      <c r="CC80" s="16">
        <f>SUM(BX80:CB80)</f>
        <v>0</v>
      </c>
      <c r="CE80" s="493">
        <f t="shared" si="344"/>
        <v>0</v>
      </c>
      <c r="CF80" s="494">
        <f t="shared" si="345"/>
        <v>0</v>
      </c>
      <c r="CG80" s="494">
        <f t="shared" si="346"/>
        <v>0</v>
      </c>
      <c r="CH80" s="494">
        <f t="shared" si="347"/>
        <v>0</v>
      </c>
      <c r="CI80" s="494">
        <f t="shared" si="348"/>
        <v>0</v>
      </c>
      <c r="CJ80" s="495">
        <f>SUM(CE80:CI80)</f>
        <v>0</v>
      </c>
      <c r="CL80" s="6"/>
      <c r="CM80" s="7"/>
      <c r="CN80" s="7"/>
      <c r="CO80" s="7"/>
      <c r="CP80" s="7"/>
      <c r="CQ80" s="16">
        <f>SUM(CL80:CP80)</f>
        <v>0</v>
      </c>
      <c r="CS80" s="6"/>
      <c r="CT80" s="7"/>
      <c r="CU80" s="7"/>
      <c r="CV80" s="7"/>
      <c r="CW80" s="7"/>
      <c r="CX80" s="16">
        <f t="shared" si="353"/>
        <v>0</v>
      </c>
      <c r="CZ80" s="6"/>
      <c r="DA80" s="7"/>
      <c r="DB80" s="7"/>
      <c r="DC80" s="7"/>
      <c r="DD80" s="7"/>
      <c r="DE80" s="16">
        <f t="shared" si="354"/>
        <v>0</v>
      </c>
    </row>
    <row r="81" spans="3:109" ht="14" thickBot="1">
      <c r="C81" s="554"/>
      <c r="E81" s="9"/>
      <c r="F81" s="10">
        <f>SUM(F77:F80)</f>
        <v>0</v>
      </c>
      <c r="G81" s="11">
        <f t="shared" ref="G81:J81" si="355">SUM(G77:G80)</f>
        <v>0</v>
      </c>
      <c r="H81" s="11">
        <f t="shared" si="355"/>
        <v>0</v>
      </c>
      <c r="I81" s="11">
        <f t="shared" si="355"/>
        <v>0</v>
      </c>
      <c r="J81" s="11">
        <f t="shared" si="355"/>
        <v>0</v>
      </c>
      <c r="K81" s="25">
        <f>SUM(K77:K80)</f>
        <v>0</v>
      </c>
      <c r="M81" s="10">
        <f>SUM(M77:M80)</f>
        <v>0</v>
      </c>
      <c r="N81" s="11">
        <f t="shared" ref="N81:Q81" si="356">SUM(N77:N80)</f>
        <v>0</v>
      </c>
      <c r="O81" s="11">
        <f t="shared" si="356"/>
        <v>0</v>
      </c>
      <c r="P81" s="11">
        <f t="shared" si="356"/>
        <v>0</v>
      </c>
      <c r="Q81" s="11">
        <f t="shared" si="356"/>
        <v>0</v>
      </c>
      <c r="R81" s="25">
        <f>SUM(R77:R80)</f>
        <v>0</v>
      </c>
      <c r="T81" s="10">
        <f>SUM(T77:T80)</f>
        <v>0</v>
      </c>
      <c r="U81" s="11">
        <f t="shared" ref="U81:X81" si="357">SUM(U77:U80)</f>
        <v>0</v>
      </c>
      <c r="V81" s="11">
        <f t="shared" si="357"/>
        <v>0</v>
      </c>
      <c r="W81" s="11">
        <f t="shared" si="357"/>
        <v>0</v>
      </c>
      <c r="X81" s="11">
        <f t="shared" si="357"/>
        <v>0</v>
      </c>
      <c r="Y81" s="25">
        <f>SUM(Y77:Y80)</f>
        <v>0</v>
      </c>
      <c r="AA81" s="10">
        <f>SUM(AA77:AA80)</f>
        <v>0</v>
      </c>
      <c r="AB81" s="11">
        <f t="shared" ref="AB81:AE81" si="358">SUM(AB77:AB80)</f>
        <v>0</v>
      </c>
      <c r="AC81" s="11">
        <f t="shared" si="358"/>
        <v>0</v>
      </c>
      <c r="AD81" s="11">
        <f t="shared" si="358"/>
        <v>0</v>
      </c>
      <c r="AE81" s="11">
        <f t="shared" si="358"/>
        <v>0</v>
      </c>
      <c r="AF81" s="25">
        <f>SUM(AF77:AF80)</f>
        <v>0</v>
      </c>
      <c r="AH81" s="10">
        <f>SUM(AH77:AH80)</f>
        <v>0</v>
      </c>
      <c r="AI81" s="11">
        <f t="shared" ref="AI81:AL81" si="359">SUM(AI77:AI80)</f>
        <v>0</v>
      </c>
      <c r="AJ81" s="11">
        <f t="shared" si="359"/>
        <v>0</v>
      </c>
      <c r="AK81" s="11">
        <f t="shared" si="359"/>
        <v>0</v>
      </c>
      <c r="AL81" s="11">
        <f t="shared" si="359"/>
        <v>0</v>
      </c>
      <c r="AM81" s="25">
        <f>SUM(AM77:AM80)</f>
        <v>0</v>
      </c>
      <c r="AO81" s="10">
        <f>SUM(AO77:AO80)</f>
        <v>0</v>
      </c>
      <c r="AP81" s="11">
        <f t="shared" ref="AP81:AS81" si="360">SUM(AP77:AP80)</f>
        <v>0</v>
      </c>
      <c r="AQ81" s="11">
        <f t="shared" si="360"/>
        <v>0</v>
      </c>
      <c r="AR81" s="11">
        <f t="shared" si="360"/>
        <v>0</v>
      </c>
      <c r="AS81" s="11">
        <f t="shared" si="360"/>
        <v>0</v>
      </c>
      <c r="AT81" s="25">
        <f>SUM(AT77:AT80)</f>
        <v>0</v>
      </c>
      <c r="AV81" s="10">
        <f>SUM(AV77:AV80)</f>
        <v>0</v>
      </c>
      <c r="AW81" s="11">
        <f t="shared" ref="AW81:AZ81" si="361">SUM(AW77:AW80)</f>
        <v>0</v>
      </c>
      <c r="AX81" s="11">
        <f t="shared" si="361"/>
        <v>0</v>
      </c>
      <c r="AY81" s="11">
        <f t="shared" si="361"/>
        <v>0</v>
      </c>
      <c r="AZ81" s="11">
        <f t="shared" si="361"/>
        <v>0</v>
      </c>
      <c r="BA81" s="25">
        <f>SUM(BA77:BA80)</f>
        <v>0</v>
      </c>
      <c r="BC81" s="10">
        <f>SUM(BC77:BC80)</f>
        <v>0</v>
      </c>
      <c r="BD81" s="11">
        <f t="shared" ref="BD81:BG81" si="362">SUM(BD77:BD80)</f>
        <v>0</v>
      </c>
      <c r="BE81" s="11">
        <f t="shared" si="362"/>
        <v>0</v>
      </c>
      <c r="BF81" s="11">
        <f t="shared" si="362"/>
        <v>0</v>
      </c>
      <c r="BG81" s="11">
        <f t="shared" si="362"/>
        <v>0</v>
      </c>
      <c r="BH81" s="25">
        <f>SUM(BH77:BH80)</f>
        <v>0</v>
      </c>
      <c r="BJ81" s="10">
        <f>SUM(BJ77:BJ80)</f>
        <v>0</v>
      </c>
      <c r="BK81" s="11">
        <f t="shared" ref="BK81:BN81" si="363">SUM(BK77:BK80)</f>
        <v>0</v>
      </c>
      <c r="BL81" s="11">
        <f t="shared" si="363"/>
        <v>0</v>
      </c>
      <c r="BM81" s="11">
        <f t="shared" si="363"/>
        <v>0</v>
      </c>
      <c r="BN81" s="11">
        <f t="shared" si="363"/>
        <v>0</v>
      </c>
      <c r="BO81" s="25">
        <f>SUM(BO77:BO80)</f>
        <v>0</v>
      </c>
      <c r="BQ81" s="10">
        <f>SUM(BQ77:BQ80)</f>
        <v>0</v>
      </c>
      <c r="BR81" s="11">
        <f t="shared" ref="BR81:BU81" si="364">SUM(BR77:BR80)</f>
        <v>0</v>
      </c>
      <c r="BS81" s="11">
        <f t="shared" si="364"/>
        <v>0</v>
      </c>
      <c r="BT81" s="11">
        <f t="shared" si="364"/>
        <v>0</v>
      </c>
      <c r="BU81" s="11">
        <f t="shared" si="364"/>
        <v>0</v>
      </c>
      <c r="BV81" s="25">
        <f>SUM(BV77:BV80)</f>
        <v>0</v>
      </c>
      <c r="BX81" s="10">
        <f>SUM(BX77:BX80)</f>
        <v>0</v>
      </c>
      <c r="BY81" s="11">
        <f t="shared" ref="BY81:CB81" si="365">SUM(BY77:BY80)</f>
        <v>0</v>
      </c>
      <c r="BZ81" s="11">
        <f t="shared" si="365"/>
        <v>0</v>
      </c>
      <c r="CA81" s="11">
        <f t="shared" si="365"/>
        <v>0</v>
      </c>
      <c r="CB81" s="11">
        <f t="shared" si="365"/>
        <v>0</v>
      </c>
      <c r="CC81" s="25">
        <f>SUM(CC77:CC80)</f>
        <v>0</v>
      </c>
      <c r="CE81" s="62">
        <f t="shared" ref="CE81:CJ81" si="366">SUM(CE77:CE80)</f>
        <v>0</v>
      </c>
      <c r="CF81" s="63">
        <f t="shared" si="366"/>
        <v>0</v>
      </c>
      <c r="CG81" s="63">
        <f t="shared" si="366"/>
        <v>0</v>
      </c>
      <c r="CH81" s="63">
        <f t="shared" si="366"/>
        <v>0</v>
      </c>
      <c r="CI81" s="63">
        <f t="shared" si="366"/>
        <v>0</v>
      </c>
      <c r="CJ81" s="25">
        <f t="shared" si="366"/>
        <v>0</v>
      </c>
      <c r="CL81" s="10">
        <f>SUM(CL77:CL80)</f>
        <v>0</v>
      </c>
      <c r="CM81" s="11">
        <f t="shared" ref="CM81:CP81" si="367">SUM(CM77:CM80)</f>
        <v>0</v>
      </c>
      <c r="CN81" s="11">
        <f t="shared" si="367"/>
        <v>0</v>
      </c>
      <c r="CO81" s="11">
        <f t="shared" si="367"/>
        <v>0</v>
      </c>
      <c r="CP81" s="11">
        <f t="shared" si="367"/>
        <v>0</v>
      </c>
      <c r="CQ81" s="25">
        <f>SUM(CQ77:CQ80)</f>
        <v>0</v>
      </c>
      <c r="CS81" s="10">
        <f>SUM(CS77:CS80)</f>
        <v>0</v>
      </c>
      <c r="CT81" s="11">
        <f t="shared" ref="CT81:CW81" si="368">SUM(CT77:CT80)</f>
        <v>0</v>
      </c>
      <c r="CU81" s="11">
        <f t="shared" si="368"/>
        <v>0</v>
      </c>
      <c r="CV81" s="11">
        <f t="shared" si="368"/>
        <v>0</v>
      </c>
      <c r="CW81" s="11">
        <f t="shared" si="368"/>
        <v>0</v>
      </c>
      <c r="CX81" s="25">
        <f>SUM(CX77:CX80)</f>
        <v>0</v>
      </c>
      <c r="CZ81" s="10">
        <f>SUM(CZ77:CZ80)</f>
        <v>0</v>
      </c>
      <c r="DA81" s="11">
        <f t="shared" ref="DA81:DD81" si="369">SUM(DA77:DA80)</f>
        <v>0</v>
      </c>
      <c r="DB81" s="11">
        <f t="shared" si="369"/>
        <v>0</v>
      </c>
      <c r="DC81" s="11">
        <f t="shared" si="369"/>
        <v>0</v>
      </c>
      <c r="DD81" s="11">
        <f t="shared" si="369"/>
        <v>0</v>
      </c>
      <c r="DE81" s="25">
        <f>SUM(DE77:DE80)</f>
        <v>0</v>
      </c>
    </row>
    <row r="82" spans="3:109" ht="10.4" customHeight="1" thickBot="1"/>
    <row r="83" spans="3:109">
      <c r="C83" s="553">
        <v>2026</v>
      </c>
      <c r="E83" s="13" t="s">
        <v>59</v>
      </c>
      <c r="F83" s="21">
        <f>CE77</f>
        <v>0</v>
      </c>
      <c r="G83" s="22">
        <f t="shared" ref="G83:G86" si="370">CF77</f>
        <v>0</v>
      </c>
      <c r="H83" s="22">
        <f t="shared" ref="H83:H86" si="371">CG77</f>
        <v>0</v>
      </c>
      <c r="I83" s="22">
        <f t="shared" ref="I83:I86" si="372">CH77</f>
        <v>0</v>
      </c>
      <c r="J83" s="22">
        <f t="shared" ref="J83:J86" si="373">CI77</f>
        <v>0</v>
      </c>
      <c r="K83" s="4">
        <f>SUM(F83:J83)</f>
        <v>0</v>
      </c>
      <c r="M83" s="2"/>
      <c r="N83" s="3"/>
      <c r="O83" s="3"/>
      <c r="P83" s="3"/>
      <c r="Q83" s="3"/>
      <c r="R83" s="4">
        <f>SUM(M83:Q83)</f>
        <v>0</v>
      </c>
      <c r="T83" s="2"/>
      <c r="U83" s="3"/>
      <c r="V83" s="3"/>
      <c r="W83" s="3"/>
      <c r="X83" s="3"/>
      <c r="Y83" s="4">
        <f>SUM(T83:X83)</f>
        <v>0</v>
      </c>
      <c r="AA83" s="2"/>
      <c r="AB83" s="3"/>
      <c r="AC83" s="3"/>
      <c r="AD83" s="3"/>
      <c r="AE83" s="3"/>
      <c r="AF83" s="4">
        <f>SUM(AA83:AE83)</f>
        <v>0</v>
      </c>
      <c r="AH83" s="2"/>
      <c r="AI83" s="3"/>
      <c r="AJ83" s="3"/>
      <c r="AK83" s="3"/>
      <c r="AL83" s="3"/>
      <c r="AM83" s="4">
        <f>SUM(AH83:AL83)</f>
        <v>0</v>
      </c>
      <c r="AO83" s="2"/>
      <c r="AP83" s="3"/>
      <c r="AQ83" s="3"/>
      <c r="AR83" s="3"/>
      <c r="AS83" s="3"/>
      <c r="AT83" s="4">
        <f>SUM(AO83:AS83)</f>
        <v>0</v>
      </c>
      <c r="AV83" s="2"/>
      <c r="AW83" s="3"/>
      <c r="AX83" s="3"/>
      <c r="AY83" s="3"/>
      <c r="AZ83" s="3"/>
      <c r="BA83" s="4">
        <f>SUM(AV83:AZ83)</f>
        <v>0</v>
      </c>
      <c r="BC83" s="2"/>
      <c r="BD83" s="3"/>
      <c r="BE83" s="3"/>
      <c r="BF83" s="3"/>
      <c r="BG83" s="3"/>
      <c r="BH83" s="4">
        <f>SUM(BC83:BG83)</f>
        <v>0</v>
      </c>
      <c r="BJ83" s="2"/>
      <c r="BK83" s="3"/>
      <c r="BL83" s="3"/>
      <c r="BM83" s="3"/>
      <c r="BN83" s="3"/>
      <c r="BO83" s="4">
        <f>SUM(BJ83:BN83)</f>
        <v>0</v>
      </c>
      <c r="BQ83" s="2"/>
      <c r="BR83" s="3"/>
      <c r="BS83" s="3"/>
      <c r="BT83" s="3"/>
      <c r="BU83" s="3"/>
      <c r="BV83" s="4">
        <f>SUM(BQ83:BU83)</f>
        <v>0</v>
      </c>
      <c r="BX83" s="2"/>
      <c r="BY83" s="3"/>
      <c r="BZ83" s="3"/>
      <c r="CA83" s="3"/>
      <c r="CB83" s="3"/>
      <c r="CC83" s="4">
        <f>SUM(BX83:CB83)</f>
        <v>0</v>
      </c>
      <c r="CE83" s="26">
        <f t="shared" ref="CE83:CE86" si="374">F83+M83+T83+AA83+AH83+AO83+AV83+BC83+BJ83+BQ83+BX83</f>
        <v>0</v>
      </c>
      <c r="CF83" s="27">
        <f t="shared" ref="CF83:CF86" si="375">G83+N83+U83+AB83+AI83+AP83+AW83+BD83+BK83+BR83+BY83</f>
        <v>0</v>
      </c>
      <c r="CG83" s="27">
        <f t="shared" ref="CG83:CG86" si="376">H83+O83+V83+AC83+AJ83+AQ83+AX83+BE83+BL83+BS83+BZ83</f>
        <v>0</v>
      </c>
      <c r="CH83" s="27">
        <f t="shared" ref="CH83:CH86" si="377">I83+P83+W83+AD83+AK83+AR83+AY83+BF83+BM83+BT83+CA83</f>
        <v>0</v>
      </c>
      <c r="CI83" s="27">
        <f t="shared" ref="CI83:CI86" si="378">J83+Q83+X83+AE83+AL83+AS83+AZ83+BG83+BN83+BU83+CB83</f>
        <v>0</v>
      </c>
      <c r="CJ83" s="4">
        <f>SUM(CE83:CI83)</f>
        <v>0</v>
      </c>
      <c r="CL83" s="2"/>
      <c r="CM83" s="3"/>
      <c r="CN83" s="3"/>
      <c r="CO83" s="3"/>
      <c r="CP83" s="3"/>
      <c r="CQ83" s="4">
        <f>SUM(CL83:CP83)</f>
        <v>0</v>
      </c>
      <c r="CS83" s="2"/>
      <c r="CT83" s="3"/>
      <c r="CU83" s="3"/>
      <c r="CV83" s="3"/>
      <c r="CW83" s="3"/>
      <c r="CX83" s="4">
        <f>SUM(CS83:CW83)</f>
        <v>0</v>
      </c>
      <c r="CZ83" s="2"/>
      <c r="DA83" s="3"/>
      <c r="DB83" s="3"/>
      <c r="DC83" s="3"/>
      <c r="DD83" s="3"/>
      <c r="DE83" s="4">
        <f>SUM(CZ83:DD83)</f>
        <v>0</v>
      </c>
    </row>
    <row r="84" spans="3:109">
      <c r="C84" s="567"/>
      <c r="E84" s="14" t="s">
        <v>60</v>
      </c>
      <c r="F84" s="23">
        <f t="shared" ref="F84:F86" si="379">CE78</f>
        <v>0</v>
      </c>
      <c r="G84" s="24">
        <f t="shared" si="370"/>
        <v>0</v>
      </c>
      <c r="H84" s="24">
        <f t="shared" si="371"/>
        <v>0</v>
      </c>
      <c r="I84" s="24">
        <f t="shared" si="372"/>
        <v>0</v>
      </c>
      <c r="J84" s="24">
        <f t="shared" si="373"/>
        <v>0</v>
      </c>
      <c r="K84" s="8">
        <f t="shared" ref="K84:K86" si="380">SUM(F84:J84)</f>
        <v>0</v>
      </c>
      <c r="M84" s="6"/>
      <c r="N84" s="7"/>
      <c r="O84" s="7"/>
      <c r="P84" s="7"/>
      <c r="Q84" s="7"/>
      <c r="R84" s="8">
        <f t="shared" ref="R84:R86" si="381">SUM(M84:Q84)</f>
        <v>0</v>
      </c>
      <c r="T84" s="6"/>
      <c r="U84" s="7"/>
      <c r="V84" s="7"/>
      <c r="W84" s="7"/>
      <c r="X84" s="7"/>
      <c r="Y84" s="8">
        <f t="shared" ref="Y84:Y86" si="382">SUM(T84:X84)</f>
        <v>0</v>
      </c>
      <c r="AA84" s="6"/>
      <c r="AB84" s="7"/>
      <c r="AC84" s="7"/>
      <c r="AD84" s="7"/>
      <c r="AE84" s="7"/>
      <c r="AF84" s="8">
        <f>SUM(AA84:AE84)</f>
        <v>0</v>
      </c>
      <c r="AH84" s="6"/>
      <c r="AI84" s="7"/>
      <c r="AJ84" s="7"/>
      <c r="AK84" s="7"/>
      <c r="AL84" s="7"/>
      <c r="AM84" s="8">
        <f>SUM(AH84:AL84)</f>
        <v>0</v>
      </c>
      <c r="AO84" s="6"/>
      <c r="AP84" s="7"/>
      <c r="AQ84" s="7"/>
      <c r="AR84" s="7"/>
      <c r="AS84" s="7"/>
      <c r="AT84" s="8">
        <f>SUM(AO84:AS84)</f>
        <v>0</v>
      </c>
      <c r="AV84" s="6"/>
      <c r="AW84" s="7"/>
      <c r="AX84" s="7"/>
      <c r="AY84" s="7"/>
      <c r="AZ84" s="7"/>
      <c r="BA84" s="8">
        <f>SUM(AV84:AZ84)</f>
        <v>0</v>
      </c>
      <c r="BC84" s="6"/>
      <c r="BD84" s="7"/>
      <c r="BE84" s="7"/>
      <c r="BF84" s="7"/>
      <c r="BG84" s="7"/>
      <c r="BH84" s="8">
        <f>SUM(BC84:BG84)</f>
        <v>0</v>
      </c>
      <c r="BJ84" s="6"/>
      <c r="BK84" s="7"/>
      <c r="BL84" s="7"/>
      <c r="BM84" s="7"/>
      <c r="BN84" s="7"/>
      <c r="BO84" s="8">
        <f>SUM(BJ84:BN84)</f>
        <v>0</v>
      </c>
      <c r="BQ84" s="6"/>
      <c r="BR84" s="7"/>
      <c r="BS84" s="7"/>
      <c r="BT84" s="7"/>
      <c r="BU84" s="7"/>
      <c r="BV84" s="8">
        <f>SUM(BQ84:BU84)</f>
        <v>0</v>
      </c>
      <c r="BX84" s="6"/>
      <c r="BY84" s="7"/>
      <c r="BZ84" s="7"/>
      <c r="CA84" s="7"/>
      <c r="CB84" s="7"/>
      <c r="CC84" s="8">
        <f>SUM(BX84:CB84)</f>
        <v>0</v>
      </c>
      <c r="CE84" s="28">
        <f t="shared" si="374"/>
        <v>0</v>
      </c>
      <c r="CF84" s="29">
        <f t="shared" si="375"/>
        <v>0</v>
      </c>
      <c r="CG84" s="29">
        <f t="shared" si="376"/>
        <v>0</v>
      </c>
      <c r="CH84" s="29">
        <f t="shared" si="377"/>
        <v>0</v>
      </c>
      <c r="CI84" s="29">
        <f t="shared" si="378"/>
        <v>0</v>
      </c>
      <c r="CJ84" s="8">
        <f>SUM(CE84:CI84)</f>
        <v>0</v>
      </c>
      <c r="CL84" s="6"/>
      <c r="CM84" s="7"/>
      <c r="CN84" s="7"/>
      <c r="CO84" s="7"/>
      <c r="CP84" s="7"/>
      <c r="CQ84" s="8">
        <f>SUM(CL84:CP84)</f>
        <v>0</v>
      </c>
      <c r="CS84" s="6"/>
      <c r="CT84" s="7"/>
      <c r="CU84" s="7"/>
      <c r="CV84" s="7"/>
      <c r="CW84" s="7"/>
      <c r="CX84" s="8">
        <f t="shared" ref="CX84:CX86" si="383">SUM(CS84:CW84)</f>
        <v>0</v>
      </c>
      <c r="CZ84" s="6"/>
      <c r="DA84" s="7"/>
      <c r="DB84" s="7"/>
      <c r="DC84" s="7"/>
      <c r="DD84" s="7"/>
      <c r="DE84" s="8">
        <f t="shared" ref="DE84:DE86" si="384">SUM(CZ84:DD84)</f>
        <v>0</v>
      </c>
    </row>
    <row r="85" spans="3:109">
      <c r="C85" s="567"/>
      <c r="E85" s="14" t="s">
        <v>61</v>
      </c>
      <c r="F85" s="23">
        <f t="shared" si="379"/>
        <v>0</v>
      </c>
      <c r="G85" s="24">
        <f t="shared" si="370"/>
        <v>0</v>
      </c>
      <c r="H85" s="24">
        <f t="shared" si="371"/>
        <v>0</v>
      </c>
      <c r="I85" s="24">
        <f t="shared" si="372"/>
        <v>0</v>
      </c>
      <c r="J85" s="24">
        <f t="shared" si="373"/>
        <v>0</v>
      </c>
      <c r="K85" s="8">
        <f t="shared" si="380"/>
        <v>0</v>
      </c>
      <c r="M85" s="6"/>
      <c r="N85" s="7"/>
      <c r="O85" s="7"/>
      <c r="P85" s="7"/>
      <c r="Q85" s="7"/>
      <c r="R85" s="8">
        <f t="shared" si="381"/>
        <v>0</v>
      </c>
      <c r="T85" s="6"/>
      <c r="U85" s="7"/>
      <c r="V85" s="7"/>
      <c r="W85" s="7"/>
      <c r="X85" s="7"/>
      <c r="Y85" s="8">
        <f t="shared" si="382"/>
        <v>0</v>
      </c>
      <c r="AA85" s="6"/>
      <c r="AB85" s="7"/>
      <c r="AC85" s="7"/>
      <c r="AD85" s="7"/>
      <c r="AE85" s="7"/>
      <c r="AF85" s="8">
        <f>SUM(AA85:AE85)</f>
        <v>0</v>
      </c>
      <c r="AH85" s="6"/>
      <c r="AI85" s="7"/>
      <c r="AJ85" s="7"/>
      <c r="AK85" s="7"/>
      <c r="AL85" s="7"/>
      <c r="AM85" s="8">
        <f>SUM(AH85:AL85)</f>
        <v>0</v>
      </c>
      <c r="AO85" s="6"/>
      <c r="AP85" s="7"/>
      <c r="AQ85" s="7"/>
      <c r="AR85" s="7"/>
      <c r="AS85" s="7"/>
      <c r="AT85" s="8">
        <f>SUM(AO85:AS85)</f>
        <v>0</v>
      </c>
      <c r="AV85" s="6"/>
      <c r="AW85" s="7"/>
      <c r="AX85" s="7"/>
      <c r="AY85" s="7"/>
      <c r="AZ85" s="7"/>
      <c r="BA85" s="8">
        <f>SUM(AV85:AZ85)</f>
        <v>0</v>
      </c>
      <c r="BC85" s="6"/>
      <c r="BD85" s="7"/>
      <c r="BE85" s="7"/>
      <c r="BF85" s="7"/>
      <c r="BG85" s="7"/>
      <c r="BH85" s="8">
        <f>SUM(BC85:BG85)</f>
        <v>0</v>
      </c>
      <c r="BJ85" s="6"/>
      <c r="BK85" s="7"/>
      <c r="BL85" s="7"/>
      <c r="BM85" s="7"/>
      <c r="BN85" s="7"/>
      <c r="BO85" s="8">
        <f>SUM(BJ85:BN85)</f>
        <v>0</v>
      </c>
      <c r="BQ85" s="6"/>
      <c r="BR85" s="7"/>
      <c r="BS85" s="7"/>
      <c r="BT85" s="7"/>
      <c r="BU85" s="7"/>
      <c r="BV85" s="8">
        <f>SUM(BQ85:BU85)</f>
        <v>0</v>
      </c>
      <c r="BX85" s="6"/>
      <c r="BY85" s="7"/>
      <c r="BZ85" s="7"/>
      <c r="CA85" s="7"/>
      <c r="CB85" s="7"/>
      <c r="CC85" s="8">
        <f>SUM(BX85:CB85)</f>
        <v>0</v>
      </c>
      <c r="CE85" s="28">
        <f t="shared" si="374"/>
        <v>0</v>
      </c>
      <c r="CF85" s="29">
        <f t="shared" si="375"/>
        <v>0</v>
      </c>
      <c r="CG85" s="29">
        <f t="shared" si="376"/>
        <v>0</v>
      </c>
      <c r="CH85" s="29">
        <f t="shared" si="377"/>
        <v>0</v>
      </c>
      <c r="CI85" s="29">
        <f t="shared" si="378"/>
        <v>0</v>
      </c>
      <c r="CJ85" s="8">
        <f>SUM(CE85:CI85)</f>
        <v>0</v>
      </c>
      <c r="CL85" s="6"/>
      <c r="CM85" s="7"/>
      <c r="CN85" s="7"/>
      <c r="CO85" s="7"/>
      <c r="CP85" s="7"/>
      <c r="CQ85" s="8">
        <f>SUM(CL85:CP85)</f>
        <v>0</v>
      </c>
      <c r="CS85" s="6"/>
      <c r="CT85" s="7"/>
      <c r="CU85" s="7"/>
      <c r="CV85" s="7"/>
      <c r="CW85" s="7"/>
      <c r="CX85" s="8">
        <f t="shared" si="383"/>
        <v>0</v>
      </c>
      <c r="CZ85" s="6"/>
      <c r="DA85" s="7"/>
      <c r="DB85" s="7"/>
      <c r="DC85" s="7"/>
      <c r="DD85" s="7"/>
      <c r="DE85" s="8">
        <f t="shared" si="384"/>
        <v>0</v>
      </c>
    </row>
    <row r="86" spans="3:109" ht="14" thickBot="1">
      <c r="C86" s="567"/>
      <c r="E86" s="14" t="s">
        <v>62</v>
      </c>
      <c r="F86" s="23">
        <f t="shared" si="379"/>
        <v>0</v>
      </c>
      <c r="G86" s="24">
        <f t="shared" si="370"/>
        <v>0</v>
      </c>
      <c r="H86" s="24">
        <f t="shared" si="371"/>
        <v>0</v>
      </c>
      <c r="I86" s="24">
        <f t="shared" si="372"/>
        <v>0</v>
      </c>
      <c r="J86" s="24">
        <f t="shared" si="373"/>
        <v>0</v>
      </c>
      <c r="K86" s="8">
        <f t="shared" si="380"/>
        <v>0</v>
      </c>
      <c r="M86" s="6"/>
      <c r="N86" s="7"/>
      <c r="O86" s="7"/>
      <c r="P86" s="7"/>
      <c r="Q86" s="7"/>
      <c r="R86" s="8">
        <f t="shared" si="381"/>
        <v>0</v>
      </c>
      <c r="T86" s="6"/>
      <c r="U86" s="7"/>
      <c r="V86" s="7"/>
      <c r="W86" s="7"/>
      <c r="X86" s="7"/>
      <c r="Y86" s="8">
        <f t="shared" si="382"/>
        <v>0</v>
      </c>
      <c r="AA86" s="6"/>
      <c r="AB86" s="7"/>
      <c r="AC86" s="7"/>
      <c r="AD86" s="7"/>
      <c r="AE86" s="7"/>
      <c r="AF86" s="8">
        <f>SUM(AA86:AE86)</f>
        <v>0</v>
      </c>
      <c r="AH86" s="6"/>
      <c r="AI86" s="7"/>
      <c r="AJ86" s="7"/>
      <c r="AK86" s="7"/>
      <c r="AL86" s="7"/>
      <c r="AM86" s="8">
        <f>SUM(AH86:AL86)</f>
        <v>0</v>
      </c>
      <c r="AO86" s="6"/>
      <c r="AP86" s="7"/>
      <c r="AQ86" s="7"/>
      <c r="AR86" s="7"/>
      <c r="AS86" s="7"/>
      <c r="AT86" s="8">
        <f>SUM(AO86:AS86)</f>
        <v>0</v>
      </c>
      <c r="AV86" s="6"/>
      <c r="AW86" s="7"/>
      <c r="AX86" s="7"/>
      <c r="AY86" s="7"/>
      <c r="AZ86" s="7"/>
      <c r="BA86" s="8">
        <f>SUM(AV86:AZ86)</f>
        <v>0</v>
      </c>
      <c r="BC86" s="6"/>
      <c r="BD86" s="7"/>
      <c r="BE86" s="7"/>
      <c r="BF86" s="7"/>
      <c r="BG86" s="7"/>
      <c r="BH86" s="8">
        <f>SUM(BC86:BG86)</f>
        <v>0</v>
      </c>
      <c r="BJ86" s="6"/>
      <c r="BK86" s="7"/>
      <c r="BL86" s="7"/>
      <c r="BM86" s="7"/>
      <c r="BN86" s="7"/>
      <c r="BO86" s="8">
        <f>SUM(BJ86:BN86)</f>
        <v>0</v>
      </c>
      <c r="BQ86" s="6"/>
      <c r="BR86" s="7"/>
      <c r="BS86" s="7"/>
      <c r="BT86" s="7"/>
      <c r="BU86" s="7"/>
      <c r="BV86" s="8">
        <f>SUM(BQ86:BU86)</f>
        <v>0</v>
      </c>
      <c r="BX86" s="6"/>
      <c r="BY86" s="7"/>
      <c r="BZ86" s="7"/>
      <c r="CA86" s="7"/>
      <c r="CB86" s="7"/>
      <c r="CC86" s="8">
        <f>SUM(BX86:CB86)</f>
        <v>0</v>
      </c>
      <c r="CE86" s="493">
        <f t="shared" si="374"/>
        <v>0</v>
      </c>
      <c r="CF86" s="494">
        <f t="shared" si="375"/>
        <v>0</v>
      </c>
      <c r="CG86" s="494">
        <f t="shared" si="376"/>
        <v>0</v>
      </c>
      <c r="CH86" s="494">
        <f t="shared" si="377"/>
        <v>0</v>
      </c>
      <c r="CI86" s="494">
        <f t="shared" si="378"/>
        <v>0</v>
      </c>
      <c r="CJ86" s="495">
        <f>SUM(CE86:CI86)</f>
        <v>0</v>
      </c>
      <c r="CL86" s="6"/>
      <c r="CM86" s="7"/>
      <c r="CN86" s="7"/>
      <c r="CO86" s="7"/>
      <c r="CP86" s="7"/>
      <c r="CQ86" s="8">
        <f>SUM(CL86:CP86)</f>
        <v>0</v>
      </c>
      <c r="CS86" s="6"/>
      <c r="CT86" s="7"/>
      <c r="CU86" s="7"/>
      <c r="CV86" s="7"/>
      <c r="CW86" s="7"/>
      <c r="CX86" s="8">
        <f t="shared" si="383"/>
        <v>0</v>
      </c>
      <c r="CZ86" s="6"/>
      <c r="DA86" s="7"/>
      <c r="DB86" s="7"/>
      <c r="DC86" s="7"/>
      <c r="DD86" s="7"/>
      <c r="DE86" s="8">
        <f t="shared" si="384"/>
        <v>0</v>
      </c>
    </row>
    <row r="87" spans="3:109" ht="14" thickBot="1">
      <c r="C87" s="554"/>
      <c r="E87" s="9"/>
      <c r="F87" s="10">
        <f>SUM(F83:F86)</f>
        <v>0</v>
      </c>
      <c r="G87" s="11">
        <f t="shared" ref="G87:J87" si="385">SUM(G83:G86)</f>
        <v>0</v>
      </c>
      <c r="H87" s="11">
        <f t="shared" si="385"/>
        <v>0</v>
      </c>
      <c r="I87" s="11">
        <f t="shared" si="385"/>
        <v>0</v>
      </c>
      <c r="J87" s="11">
        <f t="shared" si="385"/>
        <v>0</v>
      </c>
      <c r="K87" s="25">
        <f>SUM(K83:K86)</f>
        <v>0</v>
      </c>
      <c r="M87" s="10">
        <f>SUM(M83:M86)</f>
        <v>0</v>
      </c>
      <c r="N87" s="11">
        <f t="shared" ref="N87:Q87" si="386">SUM(N83:N86)</f>
        <v>0</v>
      </c>
      <c r="O87" s="11">
        <f t="shared" si="386"/>
        <v>0</v>
      </c>
      <c r="P87" s="11">
        <f t="shared" si="386"/>
        <v>0</v>
      </c>
      <c r="Q87" s="11">
        <f t="shared" si="386"/>
        <v>0</v>
      </c>
      <c r="R87" s="25">
        <f>SUM(R83:R86)</f>
        <v>0</v>
      </c>
      <c r="T87" s="10">
        <f>SUM(T83:T86)</f>
        <v>0</v>
      </c>
      <c r="U87" s="11">
        <f t="shared" ref="U87:X87" si="387">SUM(U83:U86)</f>
        <v>0</v>
      </c>
      <c r="V87" s="11">
        <f t="shared" si="387"/>
        <v>0</v>
      </c>
      <c r="W87" s="11">
        <f t="shared" si="387"/>
        <v>0</v>
      </c>
      <c r="X87" s="11">
        <f t="shared" si="387"/>
        <v>0</v>
      </c>
      <c r="Y87" s="25">
        <f>SUM(Y83:Y86)</f>
        <v>0</v>
      </c>
      <c r="AA87" s="10">
        <f>SUM(AA83:AA86)</f>
        <v>0</v>
      </c>
      <c r="AB87" s="11">
        <f t="shared" ref="AB87:AE87" si="388">SUM(AB83:AB86)</f>
        <v>0</v>
      </c>
      <c r="AC87" s="11">
        <f t="shared" si="388"/>
        <v>0</v>
      </c>
      <c r="AD87" s="11">
        <f t="shared" si="388"/>
        <v>0</v>
      </c>
      <c r="AE87" s="11">
        <f t="shared" si="388"/>
        <v>0</v>
      </c>
      <c r="AF87" s="25">
        <f>SUM(AF83:AF86)</f>
        <v>0</v>
      </c>
      <c r="AH87" s="10">
        <f>SUM(AH83:AH86)</f>
        <v>0</v>
      </c>
      <c r="AI87" s="11">
        <f t="shared" ref="AI87:AL87" si="389">SUM(AI83:AI86)</f>
        <v>0</v>
      </c>
      <c r="AJ87" s="11">
        <f t="shared" si="389"/>
        <v>0</v>
      </c>
      <c r="AK87" s="11">
        <f t="shared" si="389"/>
        <v>0</v>
      </c>
      <c r="AL87" s="11">
        <f t="shared" si="389"/>
        <v>0</v>
      </c>
      <c r="AM87" s="25">
        <f>SUM(AM83:AM86)</f>
        <v>0</v>
      </c>
      <c r="AO87" s="10">
        <f>SUM(AO83:AO86)</f>
        <v>0</v>
      </c>
      <c r="AP87" s="11">
        <f t="shared" ref="AP87:AS87" si="390">SUM(AP83:AP86)</f>
        <v>0</v>
      </c>
      <c r="AQ87" s="11">
        <f t="shared" si="390"/>
        <v>0</v>
      </c>
      <c r="AR87" s="11">
        <f t="shared" si="390"/>
        <v>0</v>
      </c>
      <c r="AS87" s="11">
        <f t="shared" si="390"/>
        <v>0</v>
      </c>
      <c r="AT87" s="25">
        <f>SUM(AT83:AT86)</f>
        <v>0</v>
      </c>
      <c r="AV87" s="10">
        <f>SUM(AV83:AV86)</f>
        <v>0</v>
      </c>
      <c r="AW87" s="11">
        <f t="shared" ref="AW87:AZ87" si="391">SUM(AW83:AW86)</f>
        <v>0</v>
      </c>
      <c r="AX87" s="11">
        <f t="shared" si="391"/>
        <v>0</v>
      </c>
      <c r="AY87" s="11">
        <f t="shared" si="391"/>
        <v>0</v>
      </c>
      <c r="AZ87" s="11">
        <f t="shared" si="391"/>
        <v>0</v>
      </c>
      <c r="BA87" s="25">
        <f>SUM(BA83:BA86)</f>
        <v>0</v>
      </c>
      <c r="BC87" s="10">
        <f>SUM(BC83:BC86)</f>
        <v>0</v>
      </c>
      <c r="BD87" s="11">
        <f t="shared" ref="BD87:BG87" si="392">SUM(BD83:BD86)</f>
        <v>0</v>
      </c>
      <c r="BE87" s="11">
        <f t="shared" si="392"/>
        <v>0</v>
      </c>
      <c r="BF87" s="11">
        <f t="shared" si="392"/>
        <v>0</v>
      </c>
      <c r="BG87" s="11">
        <f t="shared" si="392"/>
        <v>0</v>
      </c>
      <c r="BH87" s="25">
        <f>SUM(BH83:BH86)</f>
        <v>0</v>
      </c>
      <c r="BJ87" s="10">
        <f>SUM(BJ83:BJ86)</f>
        <v>0</v>
      </c>
      <c r="BK87" s="11">
        <f t="shared" ref="BK87:BN87" si="393">SUM(BK83:BK86)</f>
        <v>0</v>
      </c>
      <c r="BL87" s="11">
        <f t="shared" si="393"/>
        <v>0</v>
      </c>
      <c r="BM87" s="11">
        <f t="shared" si="393"/>
        <v>0</v>
      </c>
      <c r="BN87" s="11">
        <f t="shared" si="393"/>
        <v>0</v>
      </c>
      <c r="BO87" s="25">
        <f>SUM(BO83:BO86)</f>
        <v>0</v>
      </c>
      <c r="BQ87" s="10">
        <f>SUM(BQ83:BQ86)</f>
        <v>0</v>
      </c>
      <c r="BR87" s="11">
        <f t="shared" ref="BR87:BU87" si="394">SUM(BR83:BR86)</f>
        <v>0</v>
      </c>
      <c r="BS87" s="11">
        <f t="shared" si="394"/>
        <v>0</v>
      </c>
      <c r="BT87" s="11">
        <f t="shared" si="394"/>
        <v>0</v>
      </c>
      <c r="BU87" s="11">
        <f t="shared" si="394"/>
        <v>0</v>
      </c>
      <c r="BV87" s="25">
        <f>SUM(BV83:BV86)</f>
        <v>0</v>
      </c>
      <c r="BX87" s="10">
        <f>SUM(BX83:BX86)</f>
        <v>0</v>
      </c>
      <c r="BY87" s="11">
        <f t="shared" ref="BY87:CB87" si="395">SUM(BY83:BY86)</f>
        <v>0</v>
      </c>
      <c r="BZ87" s="11">
        <f t="shared" si="395"/>
        <v>0</v>
      </c>
      <c r="CA87" s="11">
        <f t="shared" si="395"/>
        <v>0</v>
      </c>
      <c r="CB87" s="11">
        <f t="shared" si="395"/>
        <v>0</v>
      </c>
      <c r="CC87" s="25">
        <f>SUM(CC83:CC86)</f>
        <v>0</v>
      </c>
      <c r="CE87" s="62">
        <f t="shared" ref="CE87:CJ87" si="396">SUM(CE83:CE86)</f>
        <v>0</v>
      </c>
      <c r="CF87" s="63">
        <f t="shared" si="396"/>
        <v>0</v>
      </c>
      <c r="CG87" s="63">
        <f t="shared" si="396"/>
        <v>0</v>
      </c>
      <c r="CH87" s="63">
        <f t="shared" si="396"/>
        <v>0</v>
      </c>
      <c r="CI87" s="63">
        <f t="shared" si="396"/>
        <v>0</v>
      </c>
      <c r="CJ87" s="25">
        <f t="shared" si="396"/>
        <v>0</v>
      </c>
      <c r="CL87" s="10">
        <f>SUM(CL83:CL86)</f>
        <v>0</v>
      </c>
      <c r="CM87" s="11">
        <f t="shared" ref="CM87:CP87" si="397">SUM(CM83:CM86)</f>
        <v>0</v>
      </c>
      <c r="CN87" s="11">
        <f t="shared" si="397"/>
        <v>0</v>
      </c>
      <c r="CO87" s="11">
        <f t="shared" si="397"/>
        <v>0</v>
      </c>
      <c r="CP87" s="11">
        <f t="shared" si="397"/>
        <v>0</v>
      </c>
      <c r="CQ87" s="25">
        <f>SUM(CQ83:CQ86)</f>
        <v>0</v>
      </c>
      <c r="CS87" s="10">
        <f>SUM(CS83:CS86)</f>
        <v>0</v>
      </c>
      <c r="CT87" s="11">
        <f t="shared" ref="CT87:CW87" si="398">SUM(CT83:CT86)</f>
        <v>0</v>
      </c>
      <c r="CU87" s="11">
        <f t="shared" si="398"/>
        <v>0</v>
      </c>
      <c r="CV87" s="11">
        <f t="shared" si="398"/>
        <v>0</v>
      </c>
      <c r="CW87" s="11">
        <f t="shared" si="398"/>
        <v>0</v>
      </c>
      <c r="CX87" s="25">
        <f>SUM(CX83:CX86)</f>
        <v>0</v>
      </c>
      <c r="CZ87" s="10">
        <f>SUM(CZ83:CZ86)</f>
        <v>0</v>
      </c>
      <c r="DA87" s="11">
        <f t="shared" ref="DA87:DD87" si="399">SUM(DA83:DA86)</f>
        <v>0</v>
      </c>
      <c r="DB87" s="11">
        <f t="shared" si="399"/>
        <v>0</v>
      </c>
      <c r="DC87" s="11">
        <f t="shared" si="399"/>
        <v>0</v>
      </c>
      <c r="DD87" s="11">
        <f t="shared" si="399"/>
        <v>0</v>
      </c>
      <c r="DE87" s="25">
        <f>SUM(DE83:DE86)</f>
        <v>0</v>
      </c>
    </row>
    <row r="88" spans="3:109" ht="10.4" customHeight="1" thickBot="1"/>
    <row r="89" spans="3:109">
      <c r="C89" s="553">
        <v>2027</v>
      </c>
      <c r="E89" s="13" t="s">
        <v>59</v>
      </c>
      <c r="F89" s="21">
        <f>CE83</f>
        <v>0</v>
      </c>
      <c r="G89" s="22">
        <f t="shared" ref="G89:G92" si="400">CF83</f>
        <v>0</v>
      </c>
      <c r="H89" s="22">
        <f t="shared" ref="H89:H92" si="401">CG83</f>
        <v>0</v>
      </c>
      <c r="I89" s="22">
        <f t="shared" ref="I89:I92" si="402">CH83</f>
        <v>0</v>
      </c>
      <c r="J89" s="22">
        <f t="shared" ref="J89:J92" si="403">CI83</f>
        <v>0</v>
      </c>
      <c r="K89" s="4">
        <f>SUM(F89:J89)</f>
        <v>0</v>
      </c>
      <c r="M89" s="2"/>
      <c r="N89" s="3"/>
      <c r="O89" s="3"/>
      <c r="P89" s="3"/>
      <c r="Q89" s="3"/>
      <c r="R89" s="4">
        <f>SUM(M89:Q89)</f>
        <v>0</v>
      </c>
      <c r="T89" s="2"/>
      <c r="U89" s="3"/>
      <c r="V89" s="3"/>
      <c r="W89" s="3"/>
      <c r="X89" s="3"/>
      <c r="Y89" s="4">
        <f>SUM(T89:X89)</f>
        <v>0</v>
      </c>
      <c r="AA89" s="2"/>
      <c r="AB89" s="3"/>
      <c r="AC89" s="3"/>
      <c r="AD89" s="3"/>
      <c r="AE89" s="3"/>
      <c r="AF89" s="4">
        <f>SUM(AA89:AE89)</f>
        <v>0</v>
      </c>
      <c r="AH89" s="2"/>
      <c r="AI89" s="3"/>
      <c r="AJ89" s="3"/>
      <c r="AK89" s="3"/>
      <c r="AL89" s="3"/>
      <c r="AM89" s="4">
        <f>SUM(AH89:AL89)</f>
        <v>0</v>
      </c>
      <c r="AO89" s="2"/>
      <c r="AP89" s="3"/>
      <c r="AQ89" s="3"/>
      <c r="AR89" s="3"/>
      <c r="AS89" s="3"/>
      <c r="AT89" s="4">
        <f>SUM(AO89:AS89)</f>
        <v>0</v>
      </c>
      <c r="AV89" s="2"/>
      <c r="AW89" s="3"/>
      <c r="AX89" s="3"/>
      <c r="AY89" s="3"/>
      <c r="AZ89" s="3"/>
      <c r="BA89" s="4">
        <f>SUM(AV89:AZ89)</f>
        <v>0</v>
      </c>
      <c r="BC89" s="2"/>
      <c r="BD89" s="3"/>
      <c r="BE89" s="3"/>
      <c r="BF89" s="3"/>
      <c r="BG89" s="3"/>
      <c r="BH89" s="4">
        <f>SUM(BC89:BG89)</f>
        <v>0</v>
      </c>
      <c r="BJ89" s="2"/>
      <c r="BK89" s="3"/>
      <c r="BL89" s="3"/>
      <c r="BM89" s="3"/>
      <c r="BN89" s="3"/>
      <c r="BO89" s="4">
        <f>SUM(BJ89:BN89)</f>
        <v>0</v>
      </c>
      <c r="BQ89" s="2"/>
      <c r="BR89" s="3"/>
      <c r="BS89" s="3"/>
      <c r="BT89" s="3"/>
      <c r="BU89" s="3"/>
      <c r="BV89" s="4">
        <f>SUM(BQ89:BU89)</f>
        <v>0</v>
      </c>
      <c r="BX89" s="2"/>
      <c r="BY89" s="3"/>
      <c r="BZ89" s="3"/>
      <c r="CA89" s="3"/>
      <c r="CB89" s="3"/>
      <c r="CC89" s="4">
        <f>SUM(BX89:CB89)</f>
        <v>0</v>
      </c>
      <c r="CE89" s="26">
        <f t="shared" ref="CE89:CE92" si="404">F89+M89+T89+AA89+AH89+AO89+AV89+BC89+BJ89+BQ89+BX89</f>
        <v>0</v>
      </c>
      <c r="CF89" s="27">
        <f t="shared" ref="CF89:CF92" si="405">G89+N89+U89+AB89+AI89+AP89+AW89+BD89+BK89+BR89+BY89</f>
        <v>0</v>
      </c>
      <c r="CG89" s="27">
        <f t="shared" ref="CG89:CG92" si="406">H89+O89+V89+AC89+AJ89+AQ89+AX89+BE89+BL89+BS89+BZ89</f>
        <v>0</v>
      </c>
      <c r="CH89" s="27">
        <f t="shared" ref="CH89:CH92" si="407">I89+P89+W89+AD89+AK89+AR89+AY89+BF89+BM89+BT89+CA89</f>
        <v>0</v>
      </c>
      <c r="CI89" s="27">
        <f t="shared" ref="CI89:CI92" si="408">J89+Q89+X89+AE89+AL89+AS89+AZ89+BG89+BN89+BU89+CB89</f>
        <v>0</v>
      </c>
      <c r="CJ89" s="4">
        <f>SUM(CE89:CI89)</f>
        <v>0</v>
      </c>
      <c r="CL89" s="2"/>
      <c r="CM89" s="3"/>
      <c r="CN89" s="3"/>
      <c r="CO89" s="3"/>
      <c r="CP89" s="3"/>
      <c r="CQ89" s="4">
        <f>SUM(CL89:CP89)</f>
        <v>0</v>
      </c>
      <c r="CS89" s="2"/>
      <c r="CT89" s="3"/>
      <c r="CU89" s="3"/>
      <c r="CV89" s="3"/>
      <c r="CW89" s="3"/>
      <c r="CX89" s="4">
        <f>SUM(CS89:CW89)</f>
        <v>0</v>
      </c>
      <c r="CZ89" s="2"/>
      <c r="DA89" s="3"/>
      <c r="DB89" s="3"/>
      <c r="DC89" s="3"/>
      <c r="DD89" s="3"/>
      <c r="DE89" s="4">
        <f>SUM(CZ89:DD89)</f>
        <v>0</v>
      </c>
    </row>
    <row r="90" spans="3:109">
      <c r="C90" s="567"/>
      <c r="E90" s="14" t="s">
        <v>60</v>
      </c>
      <c r="F90" s="23">
        <f t="shared" ref="F90:F92" si="409">CE84</f>
        <v>0</v>
      </c>
      <c r="G90" s="24">
        <f t="shared" si="400"/>
        <v>0</v>
      </c>
      <c r="H90" s="24">
        <f t="shared" si="401"/>
        <v>0</v>
      </c>
      <c r="I90" s="24">
        <f t="shared" si="402"/>
        <v>0</v>
      </c>
      <c r="J90" s="24">
        <f t="shared" si="403"/>
        <v>0</v>
      </c>
      <c r="K90" s="8">
        <f t="shared" ref="K90:K92" si="410">SUM(F90:J90)</f>
        <v>0</v>
      </c>
      <c r="M90" s="6"/>
      <c r="N90" s="7"/>
      <c r="O90" s="7"/>
      <c r="P90" s="7"/>
      <c r="Q90" s="7"/>
      <c r="R90" s="8">
        <f t="shared" ref="R90:R92" si="411">SUM(M90:Q90)</f>
        <v>0</v>
      </c>
      <c r="T90" s="6"/>
      <c r="U90" s="7"/>
      <c r="V90" s="7"/>
      <c r="W90" s="7"/>
      <c r="X90" s="7"/>
      <c r="Y90" s="8">
        <f t="shared" ref="Y90:Y92" si="412">SUM(T90:X90)</f>
        <v>0</v>
      </c>
      <c r="AA90" s="6"/>
      <c r="AB90" s="7"/>
      <c r="AC90" s="7"/>
      <c r="AD90" s="7"/>
      <c r="AE90" s="7"/>
      <c r="AF90" s="8">
        <f>SUM(AA90:AE90)</f>
        <v>0</v>
      </c>
      <c r="AH90" s="6"/>
      <c r="AI90" s="7"/>
      <c r="AJ90" s="7"/>
      <c r="AK90" s="7"/>
      <c r="AL90" s="7"/>
      <c r="AM90" s="8">
        <f>SUM(AH90:AL90)</f>
        <v>0</v>
      </c>
      <c r="AO90" s="6"/>
      <c r="AP90" s="7"/>
      <c r="AQ90" s="7"/>
      <c r="AR90" s="7"/>
      <c r="AS90" s="7"/>
      <c r="AT90" s="8">
        <f>SUM(AO90:AS90)</f>
        <v>0</v>
      </c>
      <c r="AV90" s="6"/>
      <c r="AW90" s="7"/>
      <c r="AX90" s="7"/>
      <c r="AY90" s="7"/>
      <c r="AZ90" s="7"/>
      <c r="BA90" s="8">
        <f>SUM(AV90:AZ90)</f>
        <v>0</v>
      </c>
      <c r="BC90" s="6"/>
      <c r="BD90" s="7"/>
      <c r="BE90" s="7"/>
      <c r="BF90" s="7"/>
      <c r="BG90" s="7"/>
      <c r="BH90" s="8">
        <f>SUM(BC90:BG90)</f>
        <v>0</v>
      </c>
      <c r="BJ90" s="6"/>
      <c r="BK90" s="7"/>
      <c r="BL90" s="7"/>
      <c r="BM90" s="7"/>
      <c r="BN90" s="7"/>
      <c r="BO90" s="8">
        <f>SUM(BJ90:BN90)</f>
        <v>0</v>
      </c>
      <c r="BQ90" s="6"/>
      <c r="BR90" s="7"/>
      <c r="BS90" s="7"/>
      <c r="BT90" s="7"/>
      <c r="BU90" s="7"/>
      <c r="BV90" s="8">
        <f>SUM(BQ90:BU90)</f>
        <v>0</v>
      </c>
      <c r="BX90" s="6"/>
      <c r="BY90" s="7"/>
      <c r="BZ90" s="7"/>
      <c r="CA90" s="7"/>
      <c r="CB90" s="7"/>
      <c r="CC90" s="8">
        <f>SUM(BX90:CB90)</f>
        <v>0</v>
      </c>
      <c r="CE90" s="28">
        <f t="shared" si="404"/>
        <v>0</v>
      </c>
      <c r="CF90" s="29">
        <f t="shared" si="405"/>
        <v>0</v>
      </c>
      <c r="CG90" s="29">
        <f t="shared" si="406"/>
        <v>0</v>
      </c>
      <c r="CH90" s="29">
        <f t="shared" si="407"/>
        <v>0</v>
      </c>
      <c r="CI90" s="29">
        <f t="shared" si="408"/>
        <v>0</v>
      </c>
      <c r="CJ90" s="8">
        <f>SUM(CE90:CI90)</f>
        <v>0</v>
      </c>
      <c r="CL90" s="6"/>
      <c r="CM90" s="7"/>
      <c r="CN90" s="7"/>
      <c r="CO90" s="7"/>
      <c r="CP90" s="7"/>
      <c r="CQ90" s="8">
        <f>SUM(CL90:CP90)</f>
        <v>0</v>
      </c>
      <c r="CS90" s="6"/>
      <c r="CT90" s="7"/>
      <c r="CU90" s="7"/>
      <c r="CV90" s="7"/>
      <c r="CW90" s="7"/>
      <c r="CX90" s="8">
        <f t="shared" ref="CX90:CX92" si="413">SUM(CS90:CW90)</f>
        <v>0</v>
      </c>
      <c r="CZ90" s="6"/>
      <c r="DA90" s="7"/>
      <c r="DB90" s="7"/>
      <c r="DC90" s="7"/>
      <c r="DD90" s="7"/>
      <c r="DE90" s="8">
        <f t="shared" ref="DE90:DE92" si="414">SUM(CZ90:DD90)</f>
        <v>0</v>
      </c>
    </row>
    <row r="91" spans="3:109">
      <c r="C91" s="567"/>
      <c r="E91" s="14" t="s">
        <v>61</v>
      </c>
      <c r="F91" s="23">
        <f t="shared" si="409"/>
        <v>0</v>
      </c>
      <c r="G91" s="24">
        <f t="shared" si="400"/>
        <v>0</v>
      </c>
      <c r="H91" s="24">
        <f t="shared" si="401"/>
        <v>0</v>
      </c>
      <c r="I91" s="24">
        <f t="shared" si="402"/>
        <v>0</v>
      </c>
      <c r="J91" s="24">
        <f t="shared" si="403"/>
        <v>0</v>
      </c>
      <c r="K91" s="8">
        <f t="shared" si="410"/>
        <v>0</v>
      </c>
      <c r="M91" s="6"/>
      <c r="N91" s="7"/>
      <c r="O91" s="7"/>
      <c r="P91" s="7"/>
      <c r="Q91" s="7"/>
      <c r="R91" s="8">
        <f t="shared" si="411"/>
        <v>0</v>
      </c>
      <c r="T91" s="6"/>
      <c r="U91" s="7"/>
      <c r="V91" s="7"/>
      <c r="W91" s="7"/>
      <c r="X91" s="7"/>
      <c r="Y91" s="8">
        <f t="shared" si="412"/>
        <v>0</v>
      </c>
      <c r="AA91" s="6"/>
      <c r="AB91" s="7"/>
      <c r="AC91" s="7"/>
      <c r="AD91" s="7"/>
      <c r="AE91" s="7"/>
      <c r="AF91" s="8">
        <f>SUM(AA91:AE91)</f>
        <v>0</v>
      </c>
      <c r="AH91" s="6"/>
      <c r="AI91" s="7"/>
      <c r="AJ91" s="7"/>
      <c r="AK91" s="7"/>
      <c r="AL91" s="7"/>
      <c r="AM91" s="8">
        <f>SUM(AH91:AL91)</f>
        <v>0</v>
      </c>
      <c r="AO91" s="6"/>
      <c r="AP91" s="7"/>
      <c r="AQ91" s="7"/>
      <c r="AR91" s="7"/>
      <c r="AS91" s="7"/>
      <c r="AT91" s="8">
        <f>SUM(AO91:AS91)</f>
        <v>0</v>
      </c>
      <c r="AV91" s="6"/>
      <c r="AW91" s="7"/>
      <c r="AX91" s="7"/>
      <c r="AY91" s="7"/>
      <c r="AZ91" s="7"/>
      <c r="BA91" s="8">
        <f>SUM(AV91:AZ91)</f>
        <v>0</v>
      </c>
      <c r="BC91" s="6"/>
      <c r="BD91" s="7"/>
      <c r="BE91" s="7"/>
      <c r="BF91" s="7"/>
      <c r="BG91" s="7"/>
      <c r="BH91" s="8">
        <f>SUM(BC91:BG91)</f>
        <v>0</v>
      </c>
      <c r="BJ91" s="6"/>
      <c r="BK91" s="7"/>
      <c r="BL91" s="7"/>
      <c r="BM91" s="7"/>
      <c r="BN91" s="7"/>
      <c r="BO91" s="8">
        <f>SUM(BJ91:BN91)</f>
        <v>0</v>
      </c>
      <c r="BQ91" s="6"/>
      <c r="BR91" s="7"/>
      <c r="BS91" s="7"/>
      <c r="BT91" s="7"/>
      <c r="BU91" s="7"/>
      <c r="BV91" s="8">
        <f>SUM(BQ91:BU91)</f>
        <v>0</v>
      </c>
      <c r="BX91" s="6"/>
      <c r="BY91" s="7"/>
      <c r="BZ91" s="7"/>
      <c r="CA91" s="7"/>
      <c r="CB91" s="7"/>
      <c r="CC91" s="8">
        <f>SUM(BX91:CB91)</f>
        <v>0</v>
      </c>
      <c r="CE91" s="28">
        <f t="shared" si="404"/>
        <v>0</v>
      </c>
      <c r="CF91" s="29">
        <f t="shared" si="405"/>
        <v>0</v>
      </c>
      <c r="CG91" s="29">
        <f t="shared" si="406"/>
        <v>0</v>
      </c>
      <c r="CH91" s="29">
        <f t="shared" si="407"/>
        <v>0</v>
      </c>
      <c r="CI91" s="29">
        <f t="shared" si="408"/>
        <v>0</v>
      </c>
      <c r="CJ91" s="8">
        <f>SUM(CE91:CI91)</f>
        <v>0</v>
      </c>
      <c r="CL91" s="6"/>
      <c r="CM91" s="7"/>
      <c r="CN91" s="7"/>
      <c r="CO91" s="7"/>
      <c r="CP91" s="7"/>
      <c r="CQ91" s="8">
        <f>SUM(CL91:CP91)</f>
        <v>0</v>
      </c>
      <c r="CS91" s="6"/>
      <c r="CT91" s="7"/>
      <c r="CU91" s="7"/>
      <c r="CV91" s="7"/>
      <c r="CW91" s="7"/>
      <c r="CX91" s="8">
        <f t="shared" si="413"/>
        <v>0</v>
      </c>
      <c r="CZ91" s="6"/>
      <c r="DA91" s="7"/>
      <c r="DB91" s="7"/>
      <c r="DC91" s="7"/>
      <c r="DD91" s="7"/>
      <c r="DE91" s="8">
        <f t="shared" si="414"/>
        <v>0</v>
      </c>
    </row>
    <row r="92" spans="3:109" ht="14" thickBot="1">
      <c r="C92" s="567"/>
      <c r="E92" s="14" t="s">
        <v>62</v>
      </c>
      <c r="F92" s="23">
        <f t="shared" si="409"/>
        <v>0</v>
      </c>
      <c r="G92" s="24">
        <f t="shared" si="400"/>
        <v>0</v>
      </c>
      <c r="H92" s="24">
        <f t="shared" si="401"/>
        <v>0</v>
      </c>
      <c r="I92" s="24">
        <f t="shared" si="402"/>
        <v>0</v>
      </c>
      <c r="J92" s="24">
        <f t="shared" si="403"/>
        <v>0</v>
      </c>
      <c r="K92" s="8">
        <f t="shared" si="410"/>
        <v>0</v>
      </c>
      <c r="M92" s="6"/>
      <c r="N92" s="7"/>
      <c r="O92" s="7"/>
      <c r="P92" s="7"/>
      <c r="Q92" s="7"/>
      <c r="R92" s="8">
        <f t="shared" si="411"/>
        <v>0</v>
      </c>
      <c r="T92" s="6"/>
      <c r="U92" s="7"/>
      <c r="V92" s="7"/>
      <c r="W92" s="7"/>
      <c r="X92" s="7"/>
      <c r="Y92" s="8">
        <f t="shared" si="412"/>
        <v>0</v>
      </c>
      <c r="AA92" s="6"/>
      <c r="AB92" s="7"/>
      <c r="AC92" s="7"/>
      <c r="AD92" s="7"/>
      <c r="AE92" s="7"/>
      <c r="AF92" s="8">
        <f>SUM(AA92:AE92)</f>
        <v>0</v>
      </c>
      <c r="AH92" s="6"/>
      <c r="AI92" s="7"/>
      <c r="AJ92" s="7"/>
      <c r="AK92" s="7"/>
      <c r="AL92" s="7"/>
      <c r="AM92" s="8">
        <f>SUM(AH92:AL92)</f>
        <v>0</v>
      </c>
      <c r="AO92" s="6"/>
      <c r="AP92" s="7"/>
      <c r="AQ92" s="7"/>
      <c r="AR92" s="7"/>
      <c r="AS92" s="7"/>
      <c r="AT92" s="8">
        <f>SUM(AO92:AS92)</f>
        <v>0</v>
      </c>
      <c r="AV92" s="6"/>
      <c r="AW92" s="7"/>
      <c r="AX92" s="7"/>
      <c r="AY92" s="7"/>
      <c r="AZ92" s="7"/>
      <c r="BA92" s="8">
        <f>SUM(AV92:AZ92)</f>
        <v>0</v>
      </c>
      <c r="BC92" s="6"/>
      <c r="BD92" s="7"/>
      <c r="BE92" s="7"/>
      <c r="BF92" s="7"/>
      <c r="BG92" s="7"/>
      <c r="BH92" s="8">
        <f>SUM(BC92:BG92)</f>
        <v>0</v>
      </c>
      <c r="BJ92" s="6"/>
      <c r="BK92" s="7"/>
      <c r="BL92" s="7"/>
      <c r="BM92" s="7"/>
      <c r="BN92" s="7"/>
      <c r="BO92" s="8">
        <f>SUM(BJ92:BN92)</f>
        <v>0</v>
      </c>
      <c r="BQ92" s="6"/>
      <c r="BR92" s="7"/>
      <c r="BS92" s="7"/>
      <c r="BT92" s="7"/>
      <c r="BU92" s="7"/>
      <c r="BV92" s="8">
        <f>SUM(BQ92:BU92)</f>
        <v>0</v>
      </c>
      <c r="BX92" s="6"/>
      <c r="BY92" s="7"/>
      <c r="BZ92" s="7"/>
      <c r="CA92" s="7"/>
      <c r="CB92" s="7"/>
      <c r="CC92" s="8">
        <f>SUM(BX92:CB92)</f>
        <v>0</v>
      </c>
      <c r="CE92" s="493">
        <f t="shared" si="404"/>
        <v>0</v>
      </c>
      <c r="CF92" s="494">
        <f t="shared" si="405"/>
        <v>0</v>
      </c>
      <c r="CG92" s="494">
        <f t="shared" si="406"/>
        <v>0</v>
      </c>
      <c r="CH92" s="494">
        <f t="shared" si="407"/>
        <v>0</v>
      </c>
      <c r="CI92" s="494">
        <f t="shared" si="408"/>
        <v>0</v>
      </c>
      <c r="CJ92" s="495">
        <f>SUM(CE92:CI92)</f>
        <v>0</v>
      </c>
      <c r="CL92" s="6"/>
      <c r="CM92" s="7"/>
      <c r="CN92" s="7"/>
      <c r="CO92" s="7"/>
      <c r="CP92" s="7"/>
      <c r="CQ92" s="8">
        <f>SUM(CL92:CP92)</f>
        <v>0</v>
      </c>
      <c r="CS92" s="6"/>
      <c r="CT92" s="7"/>
      <c r="CU92" s="7"/>
      <c r="CV92" s="7"/>
      <c r="CW92" s="7"/>
      <c r="CX92" s="8">
        <f t="shared" si="413"/>
        <v>0</v>
      </c>
      <c r="CZ92" s="6"/>
      <c r="DA92" s="7"/>
      <c r="DB92" s="7"/>
      <c r="DC92" s="7"/>
      <c r="DD92" s="7"/>
      <c r="DE92" s="8">
        <f t="shared" si="414"/>
        <v>0</v>
      </c>
    </row>
    <row r="93" spans="3:109" ht="14" thickBot="1">
      <c r="C93" s="554"/>
      <c r="E93" s="9"/>
      <c r="F93" s="10">
        <f>SUM(F89:F92)</f>
        <v>0</v>
      </c>
      <c r="G93" s="11">
        <f t="shared" ref="G93:J93" si="415">SUM(G89:G92)</f>
        <v>0</v>
      </c>
      <c r="H93" s="11">
        <f t="shared" si="415"/>
        <v>0</v>
      </c>
      <c r="I93" s="11">
        <f t="shared" si="415"/>
        <v>0</v>
      </c>
      <c r="J93" s="11">
        <f t="shared" si="415"/>
        <v>0</v>
      </c>
      <c r="K93" s="25">
        <f>SUM(K89:K92)</f>
        <v>0</v>
      </c>
      <c r="M93" s="10">
        <f>SUM(M89:M92)</f>
        <v>0</v>
      </c>
      <c r="N93" s="11">
        <f t="shared" ref="N93:Q93" si="416">SUM(N89:N92)</f>
        <v>0</v>
      </c>
      <c r="O93" s="11">
        <f t="shared" si="416"/>
        <v>0</v>
      </c>
      <c r="P93" s="11">
        <f t="shared" si="416"/>
        <v>0</v>
      </c>
      <c r="Q93" s="11">
        <f t="shared" si="416"/>
        <v>0</v>
      </c>
      <c r="R93" s="25">
        <f>SUM(R89:R92)</f>
        <v>0</v>
      </c>
      <c r="T93" s="10">
        <f>SUM(T89:T92)</f>
        <v>0</v>
      </c>
      <c r="U93" s="11">
        <f t="shared" ref="U93:X93" si="417">SUM(U89:U92)</f>
        <v>0</v>
      </c>
      <c r="V93" s="11">
        <f t="shared" si="417"/>
        <v>0</v>
      </c>
      <c r="W93" s="11">
        <f t="shared" si="417"/>
        <v>0</v>
      </c>
      <c r="X93" s="11">
        <f t="shared" si="417"/>
        <v>0</v>
      </c>
      <c r="Y93" s="25">
        <f>SUM(Y89:Y92)</f>
        <v>0</v>
      </c>
      <c r="AA93" s="10">
        <f>SUM(AA89:AA92)</f>
        <v>0</v>
      </c>
      <c r="AB93" s="11">
        <f t="shared" ref="AB93:AE93" si="418">SUM(AB89:AB92)</f>
        <v>0</v>
      </c>
      <c r="AC93" s="11">
        <f t="shared" si="418"/>
        <v>0</v>
      </c>
      <c r="AD93" s="11">
        <f t="shared" si="418"/>
        <v>0</v>
      </c>
      <c r="AE93" s="11">
        <f t="shared" si="418"/>
        <v>0</v>
      </c>
      <c r="AF93" s="25">
        <f>SUM(AF89:AF92)</f>
        <v>0</v>
      </c>
      <c r="AH93" s="10">
        <f>SUM(AH89:AH92)</f>
        <v>0</v>
      </c>
      <c r="AI93" s="11">
        <f t="shared" ref="AI93:AL93" si="419">SUM(AI89:AI92)</f>
        <v>0</v>
      </c>
      <c r="AJ93" s="11">
        <f t="shared" si="419"/>
        <v>0</v>
      </c>
      <c r="AK93" s="11">
        <f t="shared" si="419"/>
        <v>0</v>
      </c>
      <c r="AL93" s="11">
        <f t="shared" si="419"/>
        <v>0</v>
      </c>
      <c r="AM93" s="25">
        <f>SUM(AM89:AM92)</f>
        <v>0</v>
      </c>
      <c r="AO93" s="10">
        <f>SUM(AO89:AO92)</f>
        <v>0</v>
      </c>
      <c r="AP93" s="11">
        <f t="shared" ref="AP93:AS93" si="420">SUM(AP89:AP92)</f>
        <v>0</v>
      </c>
      <c r="AQ93" s="11">
        <f t="shared" si="420"/>
        <v>0</v>
      </c>
      <c r="AR93" s="11">
        <f t="shared" si="420"/>
        <v>0</v>
      </c>
      <c r="AS93" s="11">
        <f t="shared" si="420"/>
        <v>0</v>
      </c>
      <c r="AT93" s="25">
        <f>SUM(AT89:AT92)</f>
        <v>0</v>
      </c>
      <c r="AV93" s="10">
        <f>SUM(AV89:AV92)</f>
        <v>0</v>
      </c>
      <c r="AW93" s="11">
        <f t="shared" ref="AW93:AZ93" si="421">SUM(AW89:AW92)</f>
        <v>0</v>
      </c>
      <c r="AX93" s="11">
        <f t="shared" si="421"/>
        <v>0</v>
      </c>
      <c r="AY93" s="11">
        <f t="shared" si="421"/>
        <v>0</v>
      </c>
      <c r="AZ93" s="11">
        <f t="shared" si="421"/>
        <v>0</v>
      </c>
      <c r="BA93" s="25">
        <f>SUM(BA89:BA92)</f>
        <v>0</v>
      </c>
      <c r="BC93" s="10">
        <f>SUM(BC89:BC92)</f>
        <v>0</v>
      </c>
      <c r="BD93" s="11">
        <f t="shared" ref="BD93:BG93" si="422">SUM(BD89:BD92)</f>
        <v>0</v>
      </c>
      <c r="BE93" s="11">
        <f t="shared" si="422"/>
        <v>0</v>
      </c>
      <c r="BF93" s="11">
        <f t="shared" si="422"/>
        <v>0</v>
      </c>
      <c r="BG93" s="11">
        <f t="shared" si="422"/>
        <v>0</v>
      </c>
      <c r="BH93" s="25">
        <f>SUM(BH89:BH92)</f>
        <v>0</v>
      </c>
      <c r="BJ93" s="10">
        <f>SUM(BJ89:BJ92)</f>
        <v>0</v>
      </c>
      <c r="BK93" s="11">
        <f t="shared" ref="BK93:BN93" si="423">SUM(BK89:BK92)</f>
        <v>0</v>
      </c>
      <c r="BL93" s="11">
        <f t="shared" si="423"/>
        <v>0</v>
      </c>
      <c r="BM93" s="11">
        <f t="shared" si="423"/>
        <v>0</v>
      </c>
      <c r="BN93" s="11">
        <f t="shared" si="423"/>
        <v>0</v>
      </c>
      <c r="BO93" s="25">
        <f>SUM(BO89:BO92)</f>
        <v>0</v>
      </c>
      <c r="BQ93" s="10">
        <f>SUM(BQ89:BQ92)</f>
        <v>0</v>
      </c>
      <c r="BR93" s="11">
        <f t="shared" ref="BR93:BU93" si="424">SUM(BR89:BR92)</f>
        <v>0</v>
      </c>
      <c r="BS93" s="11">
        <f t="shared" si="424"/>
        <v>0</v>
      </c>
      <c r="BT93" s="11">
        <f t="shared" si="424"/>
        <v>0</v>
      </c>
      <c r="BU93" s="11">
        <f t="shared" si="424"/>
        <v>0</v>
      </c>
      <c r="BV93" s="25">
        <f>SUM(BV89:BV92)</f>
        <v>0</v>
      </c>
      <c r="BX93" s="10">
        <f>SUM(BX89:BX92)</f>
        <v>0</v>
      </c>
      <c r="BY93" s="11">
        <f t="shared" ref="BY93:CB93" si="425">SUM(BY89:BY92)</f>
        <v>0</v>
      </c>
      <c r="BZ93" s="11">
        <f t="shared" si="425"/>
        <v>0</v>
      </c>
      <c r="CA93" s="11">
        <f t="shared" si="425"/>
        <v>0</v>
      </c>
      <c r="CB93" s="11">
        <f t="shared" si="425"/>
        <v>0</v>
      </c>
      <c r="CC93" s="25">
        <f>SUM(CC89:CC92)</f>
        <v>0</v>
      </c>
      <c r="CE93" s="62">
        <f t="shared" ref="CE93:CJ93" si="426">SUM(CE89:CE92)</f>
        <v>0</v>
      </c>
      <c r="CF93" s="63">
        <f t="shared" si="426"/>
        <v>0</v>
      </c>
      <c r="CG93" s="63">
        <f t="shared" si="426"/>
        <v>0</v>
      </c>
      <c r="CH93" s="63">
        <f t="shared" si="426"/>
        <v>0</v>
      </c>
      <c r="CI93" s="63">
        <f t="shared" si="426"/>
        <v>0</v>
      </c>
      <c r="CJ93" s="25">
        <f t="shared" si="426"/>
        <v>0</v>
      </c>
      <c r="CL93" s="10">
        <f>SUM(CL89:CL92)</f>
        <v>0</v>
      </c>
      <c r="CM93" s="11">
        <f t="shared" ref="CM93:CP93" si="427">SUM(CM89:CM92)</f>
        <v>0</v>
      </c>
      <c r="CN93" s="11">
        <f t="shared" si="427"/>
        <v>0</v>
      </c>
      <c r="CO93" s="11">
        <f t="shared" si="427"/>
        <v>0</v>
      </c>
      <c r="CP93" s="11">
        <f t="shared" si="427"/>
        <v>0</v>
      </c>
      <c r="CQ93" s="25">
        <f>SUM(CQ89:CQ92)</f>
        <v>0</v>
      </c>
      <c r="CS93" s="10">
        <f>SUM(CS89:CS92)</f>
        <v>0</v>
      </c>
      <c r="CT93" s="11">
        <f t="shared" ref="CT93:CW93" si="428">SUM(CT89:CT92)</f>
        <v>0</v>
      </c>
      <c r="CU93" s="11">
        <f t="shared" si="428"/>
        <v>0</v>
      </c>
      <c r="CV93" s="11">
        <f t="shared" si="428"/>
        <v>0</v>
      </c>
      <c r="CW93" s="11">
        <f t="shared" si="428"/>
        <v>0</v>
      </c>
      <c r="CX93" s="25">
        <f>SUM(CX89:CX92)</f>
        <v>0</v>
      </c>
      <c r="CZ93" s="10">
        <f>SUM(CZ89:CZ92)</f>
        <v>0</v>
      </c>
      <c r="DA93" s="11">
        <f t="shared" ref="DA93:DD93" si="429">SUM(DA89:DA92)</f>
        <v>0</v>
      </c>
      <c r="DB93" s="11">
        <f t="shared" si="429"/>
        <v>0</v>
      </c>
      <c r="DC93" s="11">
        <f t="shared" si="429"/>
        <v>0</v>
      </c>
      <c r="DD93" s="11">
        <f t="shared" si="429"/>
        <v>0</v>
      </c>
      <c r="DE93" s="25">
        <f>SUM(DE89:DE92)</f>
        <v>0</v>
      </c>
    </row>
    <row r="94" spans="3:109" ht="10.4" customHeight="1" thickBot="1"/>
    <row r="95" spans="3:109">
      <c r="C95" s="553">
        <v>2028</v>
      </c>
      <c r="E95" s="13" t="s">
        <v>59</v>
      </c>
      <c r="F95" s="21">
        <f>CE89</f>
        <v>0</v>
      </c>
      <c r="G95" s="22">
        <f t="shared" ref="G95:G98" si="430">CF89</f>
        <v>0</v>
      </c>
      <c r="H95" s="22">
        <f t="shared" ref="H95:H98" si="431">CG89</f>
        <v>0</v>
      </c>
      <c r="I95" s="22">
        <f t="shared" ref="I95:I98" si="432">CH89</f>
        <v>0</v>
      </c>
      <c r="J95" s="22">
        <f t="shared" ref="J95:J98" si="433">CI89</f>
        <v>0</v>
      </c>
      <c r="K95" s="4">
        <f>SUM(F95:J95)</f>
        <v>0</v>
      </c>
      <c r="M95" s="2"/>
      <c r="N95" s="3"/>
      <c r="O95" s="3"/>
      <c r="P95" s="3"/>
      <c r="Q95" s="3"/>
      <c r="R95" s="4">
        <f>SUM(M95:Q95)</f>
        <v>0</v>
      </c>
      <c r="T95" s="2"/>
      <c r="U95" s="3"/>
      <c r="V95" s="3"/>
      <c r="W95" s="3"/>
      <c r="X95" s="3"/>
      <c r="Y95" s="4">
        <f>SUM(T95:X95)</f>
        <v>0</v>
      </c>
      <c r="AA95" s="2"/>
      <c r="AB95" s="3"/>
      <c r="AC95" s="3"/>
      <c r="AD95" s="3"/>
      <c r="AE95" s="3"/>
      <c r="AF95" s="4">
        <f>SUM(AA95:AE95)</f>
        <v>0</v>
      </c>
      <c r="AH95" s="2"/>
      <c r="AI95" s="3"/>
      <c r="AJ95" s="3"/>
      <c r="AK95" s="3"/>
      <c r="AL95" s="3"/>
      <c r="AM95" s="4">
        <f>SUM(AH95:AL95)</f>
        <v>0</v>
      </c>
      <c r="AO95" s="2"/>
      <c r="AP95" s="3"/>
      <c r="AQ95" s="3"/>
      <c r="AR95" s="3"/>
      <c r="AS95" s="3"/>
      <c r="AT95" s="4">
        <f>SUM(AO95:AS95)</f>
        <v>0</v>
      </c>
      <c r="AV95" s="2"/>
      <c r="AW95" s="3"/>
      <c r="AX95" s="3"/>
      <c r="AY95" s="3"/>
      <c r="AZ95" s="3"/>
      <c r="BA95" s="4">
        <f>SUM(AV95:AZ95)</f>
        <v>0</v>
      </c>
      <c r="BC95" s="2"/>
      <c r="BD95" s="3"/>
      <c r="BE95" s="3"/>
      <c r="BF95" s="3"/>
      <c r="BG95" s="3"/>
      <c r="BH95" s="4">
        <f>SUM(BC95:BG95)</f>
        <v>0</v>
      </c>
      <c r="BJ95" s="2"/>
      <c r="BK95" s="3"/>
      <c r="BL95" s="3"/>
      <c r="BM95" s="3"/>
      <c r="BN95" s="3"/>
      <c r="BO95" s="4">
        <f>SUM(BJ95:BN95)</f>
        <v>0</v>
      </c>
      <c r="BQ95" s="2"/>
      <c r="BR95" s="3"/>
      <c r="BS95" s="3"/>
      <c r="BT95" s="3"/>
      <c r="BU95" s="3"/>
      <c r="BV95" s="4">
        <f>SUM(BQ95:BU95)</f>
        <v>0</v>
      </c>
      <c r="BX95" s="2"/>
      <c r="BY95" s="3"/>
      <c r="BZ95" s="3"/>
      <c r="CA95" s="3"/>
      <c r="CB95" s="3"/>
      <c r="CC95" s="4">
        <f>SUM(BX95:CB95)</f>
        <v>0</v>
      </c>
      <c r="CE95" s="26">
        <f t="shared" ref="CE95:CE98" si="434">F95+M95+T95+AA95+AH95+AO95+AV95+BC95+BJ95+BQ95+BX95</f>
        <v>0</v>
      </c>
      <c r="CF95" s="27">
        <f t="shared" ref="CF95:CF98" si="435">G95+N95+U95+AB95+AI95+AP95+AW95+BD95+BK95+BR95+BY95</f>
        <v>0</v>
      </c>
      <c r="CG95" s="27">
        <f t="shared" ref="CG95:CG98" si="436">H95+O95+V95+AC95+AJ95+AQ95+AX95+BE95+BL95+BS95+BZ95</f>
        <v>0</v>
      </c>
      <c r="CH95" s="27">
        <f t="shared" ref="CH95:CH98" si="437">I95+P95+W95+AD95+AK95+AR95+AY95+BF95+BM95+BT95+CA95</f>
        <v>0</v>
      </c>
      <c r="CI95" s="27">
        <f t="shared" ref="CI95:CI98" si="438">J95+Q95+X95+AE95+AL95+AS95+AZ95+BG95+BN95+BU95+CB95</f>
        <v>0</v>
      </c>
      <c r="CJ95" s="4">
        <f>SUM(CE95:CI95)</f>
        <v>0</v>
      </c>
      <c r="CL95" s="2"/>
      <c r="CM95" s="3"/>
      <c r="CN95" s="3"/>
      <c r="CO95" s="3"/>
      <c r="CP95" s="3"/>
      <c r="CQ95" s="4">
        <f>SUM(CL95:CP95)</f>
        <v>0</v>
      </c>
      <c r="CS95" s="2"/>
      <c r="CT95" s="3"/>
      <c r="CU95" s="3"/>
      <c r="CV95" s="3"/>
      <c r="CW95" s="3"/>
      <c r="CX95" s="4">
        <f>SUM(CS95:CW95)</f>
        <v>0</v>
      </c>
      <c r="CZ95" s="2"/>
      <c r="DA95" s="3"/>
      <c r="DB95" s="3"/>
      <c r="DC95" s="3"/>
      <c r="DD95" s="3"/>
      <c r="DE95" s="4">
        <f>SUM(CZ95:DD95)</f>
        <v>0</v>
      </c>
    </row>
    <row r="96" spans="3:109">
      <c r="C96" s="567"/>
      <c r="E96" s="14" t="s">
        <v>60</v>
      </c>
      <c r="F96" s="23">
        <f t="shared" ref="F96:F98" si="439">CE90</f>
        <v>0</v>
      </c>
      <c r="G96" s="24">
        <f t="shared" si="430"/>
        <v>0</v>
      </c>
      <c r="H96" s="24">
        <f t="shared" si="431"/>
        <v>0</v>
      </c>
      <c r="I96" s="24">
        <f t="shared" si="432"/>
        <v>0</v>
      </c>
      <c r="J96" s="24">
        <f t="shared" si="433"/>
        <v>0</v>
      </c>
      <c r="K96" s="8">
        <f t="shared" ref="K96:K98" si="440">SUM(F96:J96)</f>
        <v>0</v>
      </c>
      <c r="M96" s="6"/>
      <c r="N96" s="7"/>
      <c r="O96" s="7"/>
      <c r="P96" s="7"/>
      <c r="Q96" s="7"/>
      <c r="R96" s="8">
        <f t="shared" ref="R96:R98" si="441">SUM(M96:Q96)</f>
        <v>0</v>
      </c>
      <c r="T96" s="6"/>
      <c r="U96" s="7"/>
      <c r="V96" s="7"/>
      <c r="W96" s="7"/>
      <c r="X96" s="7"/>
      <c r="Y96" s="8">
        <f t="shared" ref="Y96:Y98" si="442">SUM(T96:X96)</f>
        <v>0</v>
      </c>
      <c r="AA96" s="6"/>
      <c r="AB96" s="7"/>
      <c r="AC96" s="7"/>
      <c r="AD96" s="7"/>
      <c r="AE96" s="7"/>
      <c r="AF96" s="8">
        <f>SUM(AA96:AE96)</f>
        <v>0</v>
      </c>
      <c r="AH96" s="6"/>
      <c r="AI96" s="7"/>
      <c r="AJ96" s="7"/>
      <c r="AK96" s="7"/>
      <c r="AL96" s="7"/>
      <c r="AM96" s="8">
        <f>SUM(AH96:AL96)</f>
        <v>0</v>
      </c>
      <c r="AO96" s="6"/>
      <c r="AP96" s="7"/>
      <c r="AQ96" s="7"/>
      <c r="AR96" s="7"/>
      <c r="AS96" s="7"/>
      <c r="AT96" s="8">
        <f>SUM(AO96:AS96)</f>
        <v>0</v>
      </c>
      <c r="AV96" s="6"/>
      <c r="AW96" s="7"/>
      <c r="AX96" s="7"/>
      <c r="AY96" s="7"/>
      <c r="AZ96" s="7"/>
      <c r="BA96" s="8">
        <f>SUM(AV96:AZ96)</f>
        <v>0</v>
      </c>
      <c r="BC96" s="6"/>
      <c r="BD96" s="7"/>
      <c r="BE96" s="7"/>
      <c r="BF96" s="7"/>
      <c r="BG96" s="7"/>
      <c r="BH96" s="8">
        <f>SUM(BC96:BG96)</f>
        <v>0</v>
      </c>
      <c r="BJ96" s="6"/>
      <c r="BK96" s="7"/>
      <c r="BL96" s="7"/>
      <c r="BM96" s="7"/>
      <c r="BN96" s="7"/>
      <c r="BO96" s="8">
        <f>SUM(BJ96:BN96)</f>
        <v>0</v>
      </c>
      <c r="BQ96" s="6"/>
      <c r="BR96" s="7"/>
      <c r="BS96" s="7"/>
      <c r="BT96" s="7"/>
      <c r="BU96" s="7"/>
      <c r="BV96" s="8">
        <f>SUM(BQ96:BU96)</f>
        <v>0</v>
      </c>
      <c r="BX96" s="6"/>
      <c r="BY96" s="7"/>
      <c r="BZ96" s="7"/>
      <c r="CA96" s="7"/>
      <c r="CB96" s="7"/>
      <c r="CC96" s="8">
        <f>SUM(BX96:CB96)</f>
        <v>0</v>
      </c>
      <c r="CE96" s="28">
        <f t="shared" si="434"/>
        <v>0</v>
      </c>
      <c r="CF96" s="29">
        <f t="shared" si="435"/>
        <v>0</v>
      </c>
      <c r="CG96" s="29">
        <f t="shared" si="436"/>
        <v>0</v>
      </c>
      <c r="CH96" s="29">
        <f t="shared" si="437"/>
        <v>0</v>
      </c>
      <c r="CI96" s="29">
        <f t="shared" si="438"/>
        <v>0</v>
      </c>
      <c r="CJ96" s="8">
        <f>SUM(CE96:CI96)</f>
        <v>0</v>
      </c>
      <c r="CL96" s="6"/>
      <c r="CM96" s="7"/>
      <c r="CN96" s="7"/>
      <c r="CO96" s="7"/>
      <c r="CP96" s="7"/>
      <c r="CQ96" s="8">
        <f>SUM(CL96:CP96)</f>
        <v>0</v>
      </c>
      <c r="CS96" s="6"/>
      <c r="CT96" s="7"/>
      <c r="CU96" s="7"/>
      <c r="CV96" s="7"/>
      <c r="CW96" s="7"/>
      <c r="CX96" s="8">
        <f t="shared" ref="CX96:CX98" si="443">SUM(CS96:CW96)</f>
        <v>0</v>
      </c>
      <c r="CZ96" s="6"/>
      <c r="DA96" s="7"/>
      <c r="DB96" s="7"/>
      <c r="DC96" s="7"/>
      <c r="DD96" s="7"/>
      <c r="DE96" s="8">
        <f t="shared" ref="DE96:DE98" si="444">SUM(CZ96:DD96)</f>
        <v>0</v>
      </c>
    </row>
    <row r="97" spans="2:109">
      <c r="C97" s="567"/>
      <c r="E97" s="14" t="s">
        <v>61</v>
      </c>
      <c r="F97" s="23">
        <f t="shared" si="439"/>
        <v>0</v>
      </c>
      <c r="G97" s="24">
        <f t="shared" si="430"/>
        <v>0</v>
      </c>
      <c r="H97" s="24">
        <f t="shared" si="431"/>
        <v>0</v>
      </c>
      <c r="I97" s="24">
        <f t="shared" si="432"/>
        <v>0</v>
      </c>
      <c r="J97" s="24">
        <f t="shared" si="433"/>
        <v>0</v>
      </c>
      <c r="K97" s="8">
        <f t="shared" si="440"/>
        <v>0</v>
      </c>
      <c r="M97" s="6"/>
      <c r="N97" s="7"/>
      <c r="O97" s="7"/>
      <c r="P97" s="7"/>
      <c r="Q97" s="7"/>
      <c r="R97" s="8">
        <f t="shared" si="441"/>
        <v>0</v>
      </c>
      <c r="T97" s="6"/>
      <c r="U97" s="7"/>
      <c r="V97" s="7"/>
      <c r="W97" s="7"/>
      <c r="X97" s="7"/>
      <c r="Y97" s="8">
        <f t="shared" si="442"/>
        <v>0</v>
      </c>
      <c r="AA97" s="6"/>
      <c r="AB97" s="7"/>
      <c r="AC97" s="7"/>
      <c r="AD97" s="7"/>
      <c r="AE97" s="7"/>
      <c r="AF97" s="8">
        <f>SUM(AA97:AE97)</f>
        <v>0</v>
      </c>
      <c r="AH97" s="6"/>
      <c r="AI97" s="7"/>
      <c r="AJ97" s="7"/>
      <c r="AK97" s="7"/>
      <c r="AL97" s="7"/>
      <c r="AM97" s="8">
        <f>SUM(AH97:AL97)</f>
        <v>0</v>
      </c>
      <c r="AO97" s="6"/>
      <c r="AP97" s="7"/>
      <c r="AQ97" s="7"/>
      <c r="AR97" s="7"/>
      <c r="AS97" s="7"/>
      <c r="AT97" s="8">
        <f>SUM(AO97:AS97)</f>
        <v>0</v>
      </c>
      <c r="AV97" s="6"/>
      <c r="AW97" s="7"/>
      <c r="AX97" s="7"/>
      <c r="AY97" s="7"/>
      <c r="AZ97" s="7"/>
      <c r="BA97" s="8">
        <f>SUM(AV97:AZ97)</f>
        <v>0</v>
      </c>
      <c r="BC97" s="6"/>
      <c r="BD97" s="7"/>
      <c r="BE97" s="7"/>
      <c r="BF97" s="7"/>
      <c r="BG97" s="7"/>
      <c r="BH97" s="8">
        <f>SUM(BC97:BG97)</f>
        <v>0</v>
      </c>
      <c r="BJ97" s="6"/>
      <c r="BK97" s="7"/>
      <c r="BL97" s="7"/>
      <c r="BM97" s="7"/>
      <c r="BN97" s="7"/>
      <c r="BO97" s="8">
        <f>SUM(BJ97:BN97)</f>
        <v>0</v>
      </c>
      <c r="BQ97" s="6"/>
      <c r="BR97" s="7"/>
      <c r="BS97" s="7"/>
      <c r="BT97" s="7"/>
      <c r="BU97" s="7"/>
      <c r="BV97" s="8">
        <f>SUM(BQ97:BU97)</f>
        <v>0</v>
      </c>
      <c r="BX97" s="6"/>
      <c r="BY97" s="7"/>
      <c r="BZ97" s="7"/>
      <c r="CA97" s="7"/>
      <c r="CB97" s="7"/>
      <c r="CC97" s="8">
        <f>SUM(BX97:CB97)</f>
        <v>0</v>
      </c>
      <c r="CE97" s="28">
        <f t="shared" si="434"/>
        <v>0</v>
      </c>
      <c r="CF97" s="29">
        <f t="shared" si="435"/>
        <v>0</v>
      </c>
      <c r="CG97" s="29">
        <f t="shared" si="436"/>
        <v>0</v>
      </c>
      <c r="CH97" s="29">
        <f t="shared" si="437"/>
        <v>0</v>
      </c>
      <c r="CI97" s="29">
        <f t="shared" si="438"/>
        <v>0</v>
      </c>
      <c r="CJ97" s="8">
        <f>SUM(CE97:CI97)</f>
        <v>0</v>
      </c>
      <c r="CL97" s="6"/>
      <c r="CM97" s="7"/>
      <c r="CN97" s="7"/>
      <c r="CO97" s="7"/>
      <c r="CP97" s="7"/>
      <c r="CQ97" s="8">
        <f>SUM(CL97:CP97)</f>
        <v>0</v>
      </c>
      <c r="CS97" s="6"/>
      <c r="CT97" s="7"/>
      <c r="CU97" s="7"/>
      <c r="CV97" s="7"/>
      <c r="CW97" s="7"/>
      <c r="CX97" s="8">
        <f t="shared" si="443"/>
        <v>0</v>
      </c>
      <c r="CZ97" s="6"/>
      <c r="DA97" s="7"/>
      <c r="DB97" s="7"/>
      <c r="DC97" s="7"/>
      <c r="DD97" s="7"/>
      <c r="DE97" s="8">
        <f t="shared" si="444"/>
        <v>0</v>
      </c>
    </row>
    <row r="98" spans="2:109" ht="14" thickBot="1">
      <c r="C98" s="567"/>
      <c r="E98" s="14" t="s">
        <v>62</v>
      </c>
      <c r="F98" s="23">
        <f t="shared" si="439"/>
        <v>0</v>
      </c>
      <c r="G98" s="24">
        <f t="shared" si="430"/>
        <v>0</v>
      </c>
      <c r="H98" s="24">
        <f t="shared" si="431"/>
        <v>0</v>
      </c>
      <c r="I98" s="24">
        <f t="shared" si="432"/>
        <v>0</v>
      </c>
      <c r="J98" s="24">
        <f t="shared" si="433"/>
        <v>0</v>
      </c>
      <c r="K98" s="8">
        <f t="shared" si="440"/>
        <v>0</v>
      </c>
      <c r="M98" s="6"/>
      <c r="N98" s="7"/>
      <c r="O98" s="7"/>
      <c r="P98" s="7"/>
      <c r="Q98" s="7"/>
      <c r="R98" s="8">
        <f t="shared" si="441"/>
        <v>0</v>
      </c>
      <c r="T98" s="6"/>
      <c r="U98" s="7"/>
      <c r="V98" s="7"/>
      <c r="W98" s="7"/>
      <c r="X98" s="7"/>
      <c r="Y98" s="8">
        <f t="shared" si="442"/>
        <v>0</v>
      </c>
      <c r="AA98" s="6"/>
      <c r="AB98" s="7"/>
      <c r="AC98" s="7"/>
      <c r="AD98" s="7"/>
      <c r="AE98" s="7"/>
      <c r="AF98" s="8">
        <f>SUM(AA98:AE98)</f>
        <v>0</v>
      </c>
      <c r="AH98" s="6"/>
      <c r="AI98" s="7"/>
      <c r="AJ98" s="7"/>
      <c r="AK98" s="7"/>
      <c r="AL98" s="7"/>
      <c r="AM98" s="8">
        <f>SUM(AH98:AL98)</f>
        <v>0</v>
      </c>
      <c r="AO98" s="6"/>
      <c r="AP98" s="7"/>
      <c r="AQ98" s="7"/>
      <c r="AR98" s="7"/>
      <c r="AS98" s="7"/>
      <c r="AT98" s="8">
        <f>SUM(AO98:AS98)</f>
        <v>0</v>
      </c>
      <c r="AV98" s="6"/>
      <c r="AW98" s="7"/>
      <c r="AX98" s="7"/>
      <c r="AY98" s="7"/>
      <c r="AZ98" s="7"/>
      <c r="BA98" s="8">
        <f>SUM(AV98:AZ98)</f>
        <v>0</v>
      </c>
      <c r="BC98" s="6"/>
      <c r="BD98" s="7"/>
      <c r="BE98" s="7"/>
      <c r="BF98" s="7"/>
      <c r="BG98" s="7"/>
      <c r="BH98" s="8">
        <f>SUM(BC98:BG98)</f>
        <v>0</v>
      </c>
      <c r="BJ98" s="6"/>
      <c r="BK98" s="7"/>
      <c r="BL98" s="7"/>
      <c r="BM98" s="7"/>
      <c r="BN98" s="7"/>
      <c r="BO98" s="8">
        <f>SUM(BJ98:BN98)</f>
        <v>0</v>
      </c>
      <c r="BQ98" s="6"/>
      <c r="BR98" s="7"/>
      <c r="BS98" s="7"/>
      <c r="BT98" s="7"/>
      <c r="BU98" s="7"/>
      <c r="BV98" s="8">
        <f>SUM(BQ98:BU98)</f>
        <v>0</v>
      </c>
      <c r="BX98" s="6"/>
      <c r="BY98" s="7"/>
      <c r="BZ98" s="7"/>
      <c r="CA98" s="7"/>
      <c r="CB98" s="7"/>
      <c r="CC98" s="8">
        <f>SUM(BX98:CB98)</f>
        <v>0</v>
      </c>
      <c r="CE98" s="493">
        <f t="shared" si="434"/>
        <v>0</v>
      </c>
      <c r="CF98" s="494">
        <f t="shared" si="435"/>
        <v>0</v>
      </c>
      <c r="CG98" s="494">
        <f t="shared" si="436"/>
        <v>0</v>
      </c>
      <c r="CH98" s="494">
        <f t="shared" si="437"/>
        <v>0</v>
      </c>
      <c r="CI98" s="494">
        <f t="shared" si="438"/>
        <v>0</v>
      </c>
      <c r="CJ98" s="495">
        <f>SUM(CE98:CI98)</f>
        <v>0</v>
      </c>
      <c r="CL98" s="6"/>
      <c r="CM98" s="7"/>
      <c r="CN98" s="7"/>
      <c r="CO98" s="7"/>
      <c r="CP98" s="7"/>
      <c r="CQ98" s="8">
        <f>SUM(CL98:CP98)</f>
        <v>0</v>
      </c>
      <c r="CS98" s="6"/>
      <c r="CT98" s="7"/>
      <c r="CU98" s="7"/>
      <c r="CV98" s="7"/>
      <c r="CW98" s="7"/>
      <c r="CX98" s="8">
        <f t="shared" si="443"/>
        <v>0</v>
      </c>
      <c r="CZ98" s="6"/>
      <c r="DA98" s="7"/>
      <c r="DB98" s="7"/>
      <c r="DC98" s="7"/>
      <c r="DD98" s="7"/>
      <c r="DE98" s="8">
        <f t="shared" si="444"/>
        <v>0</v>
      </c>
    </row>
    <row r="99" spans="2:109" ht="14" thickBot="1">
      <c r="C99" s="554"/>
      <c r="E99" s="9"/>
      <c r="F99" s="10">
        <f>SUM(F95:F98)</f>
        <v>0</v>
      </c>
      <c r="G99" s="11">
        <f t="shared" ref="G99:J99" si="445">SUM(G95:G98)</f>
        <v>0</v>
      </c>
      <c r="H99" s="11">
        <f t="shared" si="445"/>
        <v>0</v>
      </c>
      <c r="I99" s="11">
        <f t="shared" si="445"/>
        <v>0</v>
      </c>
      <c r="J99" s="11">
        <f t="shared" si="445"/>
        <v>0</v>
      </c>
      <c r="K99" s="25">
        <f>SUM(K95:K98)</f>
        <v>0</v>
      </c>
      <c r="M99" s="10">
        <f>SUM(M95:M98)</f>
        <v>0</v>
      </c>
      <c r="N99" s="11">
        <f t="shared" ref="N99:Q99" si="446">SUM(N95:N98)</f>
        <v>0</v>
      </c>
      <c r="O99" s="11">
        <f t="shared" si="446"/>
        <v>0</v>
      </c>
      <c r="P99" s="11">
        <f t="shared" si="446"/>
        <v>0</v>
      </c>
      <c r="Q99" s="11">
        <f t="shared" si="446"/>
        <v>0</v>
      </c>
      <c r="R99" s="25">
        <f>SUM(R95:R98)</f>
        <v>0</v>
      </c>
      <c r="T99" s="10">
        <f>SUM(T95:T98)</f>
        <v>0</v>
      </c>
      <c r="U99" s="11">
        <f t="shared" ref="U99:X99" si="447">SUM(U95:U98)</f>
        <v>0</v>
      </c>
      <c r="V99" s="11">
        <f t="shared" si="447"/>
        <v>0</v>
      </c>
      <c r="W99" s="11">
        <f t="shared" si="447"/>
        <v>0</v>
      </c>
      <c r="X99" s="11">
        <f t="shared" si="447"/>
        <v>0</v>
      </c>
      <c r="Y99" s="25">
        <f>SUM(Y95:Y98)</f>
        <v>0</v>
      </c>
      <c r="AA99" s="10">
        <f>SUM(AA95:AA98)</f>
        <v>0</v>
      </c>
      <c r="AB99" s="11">
        <f t="shared" ref="AB99:AE99" si="448">SUM(AB95:AB98)</f>
        <v>0</v>
      </c>
      <c r="AC99" s="11">
        <f t="shared" si="448"/>
        <v>0</v>
      </c>
      <c r="AD99" s="11">
        <f t="shared" si="448"/>
        <v>0</v>
      </c>
      <c r="AE99" s="11">
        <f t="shared" si="448"/>
        <v>0</v>
      </c>
      <c r="AF99" s="25">
        <f>SUM(AF95:AF98)</f>
        <v>0</v>
      </c>
      <c r="AH99" s="10">
        <f>SUM(AH95:AH98)</f>
        <v>0</v>
      </c>
      <c r="AI99" s="11">
        <f t="shared" ref="AI99:AL99" si="449">SUM(AI95:AI98)</f>
        <v>0</v>
      </c>
      <c r="AJ99" s="11">
        <f t="shared" si="449"/>
        <v>0</v>
      </c>
      <c r="AK99" s="11">
        <f t="shared" si="449"/>
        <v>0</v>
      </c>
      <c r="AL99" s="11">
        <f t="shared" si="449"/>
        <v>0</v>
      </c>
      <c r="AM99" s="25">
        <f>SUM(AM95:AM98)</f>
        <v>0</v>
      </c>
      <c r="AO99" s="10">
        <f>SUM(AO95:AO98)</f>
        <v>0</v>
      </c>
      <c r="AP99" s="11">
        <f t="shared" ref="AP99:AS99" si="450">SUM(AP95:AP98)</f>
        <v>0</v>
      </c>
      <c r="AQ99" s="11">
        <f t="shared" si="450"/>
        <v>0</v>
      </c>
      <c r="AR99" s="11">
        <f t="shared" si="450"/>
        <v>0</v>
      </c>
      <c r="AS99" s="11">
        <f t="shared" si="450"/>
        <v>0</v>
      </c>
      <c r="AT99" s="25">
        <f>SUM(AT95:AT98)</f>
        <v>0</v>
      </c>
      <c r="AV99" s="10">
        <f>SUM(AV95:AV98)</f>
        <v>0</v>
      </c>
      <c r="AW99" s="11">
        <f t="shared" ref="AW99:AZ99" si="451">SUM(AW95:AW98)</f>
        <v>0</v>
      </c>
      <c r="AX99" s="11">
        <f t="shared" si="451"/>
        <v>0</v>
      </c>
      <c r="AY99" s="11">
        <f t="shared" si="451"/>
        <v>0</v>
      </c>
      <c r="AZ99" s="11">
        <f t="shared" si="451"/>
        <v>0</v>
      </c>
      <c r="BA99" s="25">
        <f>SUM(BA95:BA98)</f>
        <v>0</v>
      </c>
      <c r="BC99" s="10">
        <f>SUM(BC95:BC98)</f>
        <v>0</v>
      </c>
      <c r="BD99" s="11">
        <f t="shared" ref="BD99:BG99" si="452">SUM(BD95:BD98)</f>
        <v>0</v>
      </c>
      <c r="BE99" s="11">
        <f t="shared" si="452"/>
        <v>0</v>
      </c>
      <c r="BF99" s="11">
        <f t="shared" si="452"/>
        <v>0</v>
      </c>
      <c r="BG99" s="11">
        <f t="shared" si="452"/>
        <v>0</v>
      </c>
      <c r="BH99" s="25">
        <f>SUM(BH95:BH98)</f>
        <v>0</v>
      </c>
      <c r="BJ99" s="10">
        <f>SUM(BJ95:BJ98)</f>
        <v>0</v>
      </c>
      <c r="BK99" s="11">
        <f t="shared" ref="BK99:BN99" si="453">SUM(BK95:BK98)</f>
        <v>0</v>
      </c>
      <c r="BL99" s="11">
        <f t="shared" si="453"/>
        <v>0</v>
      </c>
      <c r="BM99" s="11">
        <f t="shared" si="453"/>
        <v>0</v>
      </c>
      <c r="BN99" s="11">
        <f t="shared" si="453"/>
        <v>0</v>
      </c>
      <c r="BO99" s="25">
        <f>SUM(BO95:BO98)</f>
        <v>0</v>
      </c>
      <c r="BQ99" s="10">
        <f>SUM(BQ95:BQ98)</f>
        <v>0</v>
      </c>
      <c r="BR99" s="11">
        <f t="shared" ref="BR99:BU99" si="454">SUM(BR95:BR98)</f>
        <v>0</v>
      </c>
      <c r="BS99" s="11">
        <f t="shared" si="454"/>
        <v>0</v>
      </c>
      <c r="BT99" s="11">
        <f t="shared" si="454"/>
        <v>0</v>
      </c>
      <c r="BU99" s="11">
        <f t="shared" si="454"/>
        <v>0</v>
      </c>
      <c r="BV99" s="25">
        <f>SUM(BV95:BV98)</f>
        <v>0</v>
      </c>
      <c r="BX99" s="10">
        <f>SUM(BX95:BX98)</f>
        <v>0</v>
      </c>
      <c r="BY99" s="11">
        <f t="shared" ref="BY99:CB99" si="455">SUM(BY95:BY98)</f>
        <v>0</v>
      </c>
      <c r="BZ99" s="11">
        <f t="shared" si="455"/>
        <v>0</v>
      </c>
      <c r="CA99" s="11">
        <f t="shared" si="455"/>
        <v>0</v>
      </c>
      <c r="CB99" s="11">
        <f t="shared" si="455"/>
        <v>0</v>
      </c>
      <c r="CC99" s="25">
        <f>SUM(CC95:CC98)</f>
        <v>0</v>
      </c>
      <c r="CE99" s="62">
        <f t="shared" ref="CE99:CJ99" si="456">SUM(CE95:CE98)</f>
        <v>0</v>
      </c>
      <c r="CF99" s="63">
        <f t="shared" si="456"/>
        <v>0</v>
      </c>
      <c r="CG99" s="63">
        <f t="shared" si="456"/>
        <v>0</v>
      </c>
      <c r="CH99" s="63">
        <f t="shared" si="456"/>
        <v>0</v>
      </c>
      <c r="CI99" s="63">
        <f t="shared" si="456"/>
        <v>0</v>
      </c>
      <c r="CJ99" s="25">
        <f t="shared" si="456"/>
        <v>0</v>
      </c>
      <c r="CL99" s="10">
        <f>SUM(CL95:CL98)</f>
        <v>0</v>
      </c>
      <c r="CM99" s="11">
        <f t="shared" ref="CM99:CP99" si="457">SUM(CM95:CM98)</f>
        <v>0</v>
      </c>
      <c r="CN99" s="11">
        <f t="shared" si="457"/>
        <v>0</v>
      </c>
      <c r="CO99" s="11">
        <f t="shared" si="457"/>
        <v>0</v>
      </c>
      <c r="CP99" s="11">
        <f t="shared" si="457"/>
        <v>0</v>
      </c>
      <c r="CQ99" s="25">
        <f>SUM(CQ95:CQ98)</f>
        <v>0</v>
      </c>
      <c r="CS99" s="10">
        <f>SUM(CS95:CS98)</f>
        <v>0</v>
      </c>
      <c r="CT99" s="11">
        <f t="shared" ref="CT99:CW99" si="458">SUM(CT95:CT98)</f>
        <v>0</v>
      </c>
      <c r="CU99" s="11">
        <f t="shared" si="458"/>
        <v>0</v>
      </c>
      <c r="CV99" s="11">
        <f t="shared" si="458"/>
        <v>0</v>
      </c>
      <c r="CW99" s="11">
        <f t="shared" si="458"/>
        <v>0</v>
      </c>
      <c r="CX99" s="25">
        <f>SUM(CX95:CX98)</f>
        <v>0</v>
      </c>
      <c r="CZ99" s="10">
        <f>SUM(CZ95:CZ98)</f>
        <v>0</v>
      </c>
      <c r="DA99" s="11">
        <f t="shared" ref="DA99:DD99" si="459">SUM(DA95:DA98)</f>
        <v>0</v>
      </c>
      <c r="DB99" s="11">
        <f t="shared" si="459"/>
        <v>0</v>
      </c>
      <c r="DC99" s="11">
        <f t="shared" si="459"/>
        <v>0</v>
      </c>
      <c r="DD99" s="11">
        <f t="shared" si="459"/>
        <v>0</v>
      </c>
      <c r="DE99" s="25">
        <f>SUM(DE95:DE98)</f>
        <v>0</v>
      </c>
    </row>
    <row r="101" spans="2:109">
      <c r="B101" s="123"/>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L101" s="20"/>
      <c r="CM101" s="20"/>
      <c r="CN101" s="20"/>
      <c r="CO101" s="20"/>
      <c r="CP101" s="20"/>
      <c r="CQ101" s="20"/>
      <c r="CR101" s="20"/>
      <c r="CS101" s="20"/>
      <c r="CT101" s="20"/>
      <c r="CU101" s="20"/>
      <c r="CV101" s="20"/>
      <c r="CW101" s="20"/>
      <c r="CX101" s="20"/>
      <c r="CY101" s="20"/>
      <c r="CZ101" s="20"/>
      <c r="DA101" s="20"/>
      <c r="DB101" s="20"/>
      <c r="DC101" s="20"/>
      <c r="DD101" s="20"/>
      <c r="DE101" s="20"/>
    </row>
    <row r="102" spans="2:109" ht="14" thickBot="1">
      <c r="B102" s="94">
        <v>4</v>
      </c>
      <c r="C102" s="12" t="s">
        <v>65</v>
      </c>
    </row>
    <row r="103" spans="2:109">
      <c r="C103" s="553">
        <v>2024</v>
      </c>
      <c r="E103" s="1" t="s">
        <v>59</v>
      </c>
      <c r="F103" s="2"/>
      <c r="G103" s="3"/>
      <c r="H103" s="3"/>
      <c r="I103" s="3"/>
      <c r="J103" s="3"/>
      <c r="K103" s="4">
        <f>SUM(F103:J103)</f>
        <v>0</v>
      </c>
      <c r="M103" s="2"/>
      <c r="N103" s="3"/>
      <c r="O103" s="3"/>
      <c r="P103" s="3"/>
      <c r="Q103" s="3"/>
      <c r="R103" s="4">
        <f>SUM(M103:Q103)</f>
        <v>0</v>
      </c>
      <c r="T103" s="2"/>
      <c r="U103" s="3"/>
      <c r="V103" s="3"/>
      <c r="W103" s="3"/>
      <c r="X103" s="3"/>
      <c r="Y103" s="4">
        <f>SUM(T103:X103)</f>
        <v>0</v>
      </c>
      <c r="AA103" s="2"/>
      <c r="AB103" s="3"/>
      <c r="AC103" s="3"/>
      <c r="AD103" s="3"/>
      <c r="AE103" s="3"/>
      <c r="AF103" s="4">
        <f>SUM(AA103:AE103)</f>
        <v>0</v>
      </c>
      <c r="AH103" s="2"/>
      <c r="AI103" s="3"/>
      <c r="AJ103" s="3"/>
      <c r="AK103" s="3"/>
      <c r="AL103" s="3"/>
      <c r="AM103" s="4">
        <f>SUM(AH103:AL103)</f>
        <v>0</v>
      </c>
      <c r="AO103" s="2"/>
      <c r="AP103" s="3"/>
      <c r="AQ103" s="3"/>
      <c r="AR103" s="3"/>
      <c r="AS103" s="3"/>
      <c r="AT103" s="4">
        <f>SUM(AO103:AS103)</f>
        <v>0</v>
      </c>
      <c r="AV103" s="2"/>
      <c r="AW103" s="3"/>
      <c r="AX103" s="3"/>
      <c r="AY103" s="3"/>
      <c r="AZ103" s="3"/>
      <c r="BA103" s="4">
        <f>SUM(AV103:AZ103)</f>
        <v>0</v>
      </c>
      <c r="BC103" s="2"/>
      <c r="BD103" s="3"/>
      <c r="BE103" s="3"/>
      <c r="BF103" s="3"/>
      <c r="BG103" s="3"/>
      <c r="BH103" s="4">
        <f>SUM(BC103:BG103)</f>
        <v>0</v>
      </c>
      <c r="BJ103" s="2"/>
      <c r="BK103" s="3"/>
      <c r="BL103" s="3"/>
      <c r="BM103" s="3"/>
      <c r="BN103" s="3"/>
      <c r="BO103" s="4">
        <f>SUM(BJ103:BN103)</f>
        <v>0</v>
      </c>
      <c r="BQ103" s="2"/>
      <c r="BR103" s="3"/>
      <c r="BS103" s="3"/>
      <c r="BT103" s="3"/>
      <c r="BU103" s="3"/>
      <c r="BV103" s="4">
        <f>SUM(BQ103:BU103)</f>
        <v>0</v>
      </c>
      <c r="BX103" s="2"/>
      <c r="BY103" s="3"/>
      <c r="BZ103" s="3"/>
      <c r="CA103" s="3"/>
      <c r="CB103" s="3"/>
      <c r="CC103" s="4">
        <f>SUM(BX103:CB103)</f>
        <v>0</v>
      </c>
      <c r="CE103" s="26">
        <f t="shared" ref="CE103:CE106" si="460">F103+M103+T103+AA103+AH103+AO103+AV103+BC103+BJ103+BQ103+BX103</f>
        <v>0</v>
      </c>
      <c r="CF103" s="27">
        <f t="shared" ref="CF103:CF106" si="461">G103+N103+U103+AB103+AI103+AP103+AW103+BD103+BK103+BR103+BY103</f>
        <v>0</v>
      </c>
      <c r="CG103" s="27">
        <f t="shared" ref="CG103:CG106" si="462">H103+O103+V103+AC103+AJ103+AQ103+AX103+BE103+BL103+BS103+BZ103</f>
        <v>0</v>
      </c>
      <c r="CH103" s="27">
        <f t="shared" ref="CH103:CH106" si="463">I103+P103+W103+AD103+AK103+AR103+AY103+BF103+BM103+BT103+CA103</f>
        <v>0</v>
      </c>
      <c r="CI103" s="27">
        <f t="shared" ref="CI103:CI106" si="464">J103+Q103+X103+AE103+AL103+AS103+AZ103+BG103+BN103+BU103+CB103</f>
        <v>0</v>
      </c>
      <c r="CJ103" s="4">
        <f>SUM(CE103:CI103)</f>
        <v>0</v>
      </c>
      <c r="CL103" s="2"/>
      <c r="CM103" s="3"/>
      <c r="CN103" s="3"/>
      <c r="CO103" s="3"/>
      <c r="CP103" s="3"/>
      <c r="CQ103" s="4">
        <f>SUM(CL103:CP103)</f>
        <v>0</v>
      </c>
      <c r="CS103" s="2"/>
      <c r="CT103" s="3"/>
      <c r="CU103" s="3"/>
      <c r="CV103" s="3"/>
      <c r="CW103" s="3"/>
      <c r="CX103" s="4">
        <f>SUM(CS103:CW103)</f>
        <v>0</v>
      </c>
      <c r="CZ103" s="2"/>
      <c r="DA103" s="3"/>
      <c r="DB103" s="3"/>
      <c r="DC103" s="3"/>
      <c r="DD103" s="3"/>
      <c r="DE103" s="4">
        <f>SUM(CZ103:DD103)</f>
        <v>0</v>
      </c>
    </row>
    <row r="104" spans="2:109">
      <c r="C104" s="567"/>
      <c r="E104" s="5" t="s">
        <v>60</v>
      </c>
      <c r="F104" s="6"/>
      <c r="G104" s="7"/>
      <c r="H104" s="7"/>
      <c r="I104" s="7"/>
      <c r="J104" s="7"/>
      <c r="K104" s="8">
        <f t="shared" ref="K104:K106" si="465">SUM(F104:J104)</f>
        <v>0</v>
      </c>
      <c r="M104" s="6"/>
      <c r="N104" s="7"/>
      <c r="O104" s="7"/>
      <c r="P104" s="7"/>
      <c r="Q104" s="7"/>
      <c r="R104" s="8">
        <f t="shared" ref="R104:R106" si="466">SUM(M104:Q104)</f>
        <v>0</v>
      </c>
      <c r="T104" s="6"/>
      <c r="U104" s="7"/>
      <c r="V104" s="7"/>
      <c r="W104" s="7"/>
      <c r="X104" s="7"/>
      <c r="Y104" s="8">
        <f t="shared" ref="Y104:Y106" si="467">SUM(T104:X104)</f>
        <v>0</v>
      </c>
      <c r="AA104" s="6"/>
      <c r="AB104" s="7"/>
      <c r="AC104" s="7"/>
      <c r="AD104" s="7"/>
      <c r="AE104" s="7"/>
      <c r="AF104" s="8">
        <f>SUM(AA104:AE104)</f>
        <v>0</v>
      </c>
      <c r="AH104" s="6"/>
      <c r="AI104" s="7"/>
      <c r="AJ104" s="7"/>
      <c r="AK104" s="7"/>
      <c r="AL104" s="7"/>
      <c r="AM104" s="8">
        <f>SUM(AH104:AL104)</f>
        <v>0</v>
      </c>
      <c r="AO104" s="6"/>
      <c r="AP104" s="7"/>
      <c r="AQ104" s="7"/>
      <c r="AR104" s="7"/>
      <c r="AS104" s="7"/>
      <c r="AT104" s="8">
        <f>SUM(AO104:AS104)</f>
        <v>0</v>
      </c>
      <c r="AV104" s="6"/>
      <c r="AW104" s="7"/>
      <c r="AX104" s="7"/>
      <c r="AY104" s="7"/>
      <c r="AZ104" s="7"/>
      <c r="BA104" s="8">
        <f>SUM(AV104:AZ104)</f>
        <v>0</v>
      </c>
      <c r="BC104" s="6"/>
      <c r="BD104" s="7"/>
      <c r="BE104" s="7"/>
      <c r="BF104" s="7"/>
      <c r="BG104" s="7"/>
      <c r="BH104" s="8">
        <f>SUM(BC104:BG104)</f>
        <v>0</v>
      </c>
      <c r="BJ104" s="6"/>
      <c r="BK104" s="7"/>
      <c r="BL104" s="7"/>
      <c r="BM104" s="7"/>
      <c r="BN104" s="7"/>
      <c r="BO104" s="8">
        <f>SUM(BJ104:BN104)</f>
        <v>0</v>
      </c>
      <c r="BQ104" s="6"/>
      <c r="BR104" s="7"/>
      <c r="BS104" s="7"/>
      <c r="BT104" s="7"/>
      <c r="BU104" s="7"/>
      <c r="BV104" s="8">
        <f>SUM(BQ104:BU104)</f>
        <v>0</v>
      </c>
      <c r="BX104" s="6"/>
      <c r="BY104" s="7"/>
      <c r="BZ104" s="7"/>
      <c r="CA104" s="7"/>
      <c r="CB104" s="7"/>
      <c r="CC104" s="8">
        <f>SUM(BX104:CB104)</f>
        <v>0</v>
      </c>
      <c r="CE104" s="28">
        <f t="shared" si="460"/>
        <v>0</v>
      </c>
      <c r="CF104" s="29">
        <f t="shared" si="461"/>
        <v>0</v>
      </c>
      <c r="CG104" s="29">
        <f t="shared" si="462"/>
        <v>0</v>
      </c>
      <c r="CH104" s="29">
        <f t="shared" si="463"/>
        <v>0</v>
      </c>
      <c r="CI104" s="29">
        <f t="shared" si="464"/>
        <v>0</v>
      </c>
      <c r="CJ104" s="8">
        <f>SUM(CE104:CI104)</f>
        <v>0</v>
      </c>
      <c r="CL104" s="6"/>
      <c r="CM104" s="7"/>
      <c r="CN104" s="7"/>
      <c r="CO104" s="7"/>
      <c r="CP104" s="7"/>
      <c r="CQ104" s="8">
        <f>SUM(CL104:CP104)</f>
        <v>0</v>
      </c>
      <c r="CS104" s="6"/>
      <c r="CT104" s="7"/>
      <c r="CU104" s="7"/>
      <c r="CV104" s="7"/>
      <c r="CW104" s="7"/>
      <c r="CX104" s="8">
        <f t="shared" ref="CX104:CX106" si="468">SUM(CS104:CW104)</f>
        <v>0</v>
      </c>
      <c r="CZ104" s="6"/>
      <c r="DA104" s="7"/>
      <c r="DB104" s="7"/>
      <c r="DC104" s="7"/>
      <c r="DD104" s="7"/>
      <c r="DE104" s="8">
        <f t="shared" ref="DE104:DE106" si="469">SUM(CZ104:DD104)</f>
        <v>0</v>
      </c>
    </row>
    <row r="105" spans="2:109">
      <c r="C105" s="567"/>
      <c r="E105" s="5" t="s">
        <v>61</v>
      </c>
      <c r="F105" s="6"/>
      <c r="G105" s="7"/>
      <c r="H105" s="7"/>
      <c r="I105" s="7"/>
      <c r="J105" s="7"/>
      <c r="K105" s="8">
        <f t="shared" si="465"/>
        <v>0</v>
      </c>
      <c r="M105" s="6"/>
      <c r="N105" s="7"/>
      <c r="O105" s="7"/>
      <c r="P105" s="7"/>
      <c r="Q105" s="7"/>
      <c r="R105" s="8">
        <f t="shared" si="466"/>
        <v>0</v>
      </c>
      <c r="T105" s="6"/>
      <c r="U105" s="7"/>
      <c r="V105" s="7"/>
      <c r="W105" s="7"/>
      <c r="X105" s="7"/>
      <c r="Y105" s="8">
        <f t="shared" si="467"/>
        <v>0</v>
      </c>
      <c r="AA105" s="6"/>
      <c r="AB105" s="7"/>
      <c r="AC105" s="7"/>
      <c r="AD105" s="7"/>
      <c r="AE105" s="7"/>
      <c r="AF105" s="8">
        <f>SUM(AA105:AE105)</f>
        <v>0</v>
      </c>
      <c r="AH105" s="6"/>
      <c r="AI105" s="7"/>
      <c r="AJ105" s="7"/>
      <c r="AK105" s="7"/>
      <c r="AL105" s="7"/>
      <c r="AM105" s="8">
        <f>SUM(AH105:AL105)</f>
        <v>0</v>
      </c>
      <c r="AO105" s="6"/>
      <c r="AP105" s="7"/>
      <c r="AQ105" s="7"/>
      <c r="AR105" s="7"/>
      <c r="AS105" s="7"/>
      <c r="AT105" s="8">
        <f>SUM(AO105:AS105)</f>
        <v>0</v>
      </c>
      <c r="AV105" s="6"/>
      <c r="AW105" s="7"/>
      <c r="AX105" s="7"/>
      <c r="AY105" s="7"/>
      <c r="AZ105" s="7"/>
      <c r="BA105" s="8">
        <f>SUM(AV105:AZ105)</f>
        <v>0</v>
      </c>
      <c r="BC105" s="6"/>
      <c r="BD105" s="7"/>
      <c r="BE105" s="7"/>
      <c r="BF105" s="7"/>
      <c r="BG105" s="7"/>
      <c r="BH105" s="8">
        <f>SUM(BC105:BG105)</f>
        <v>0</v>
      </c>
      <c r="BJ105" s="6"/>
      <c r="BK105" s="7"/>
      <c r="BL105" s="7"/>
      <c r="BM105" s="7"/>
      <c r="BN105" s="7"/>
      <c r="BO105" s="8">
        <f>SUM(BJ105:BN105)</f>
        <v>0</v>
      </c>
      <c r="BQ105" s="6"/>
      <c r="BR105" s="7"/>
      <c r="BS105" s="7"/>
      <c r="BT105" s="7"/>
      <c r="BU105" s="7"/>
      <c r="BV105" s="8">
        <f>SUM(BQ105:BU105)</f>
        <v>0</v>
      </c>
      <c r="BX105" s="6"/>
      <c r="BY105" s="7"/>
      <c r="BZ105" s="7"/>
      <c r="CA105" s="7"/>
      <c r="CB105" s="7"/>
      <c r="CC105" s="8">
        <f>SUM(BX105:CB105)</f>
        <v>0</v>
      </c>
      <c r="CE105" s="28">
        <f t="shared" si="460"/>
        <v>0</v>
      </c>
      <c r="CF105" s="29">
        <f t="shared" si="461"/>
        <v>0</v>
      </c>
      <c r="CG105" s="29">
        <f t="shared" si="462"/>
        <v>0</v>
      </c>
      <c r="CH105" s="29">
        <f t="shared" si="463"/>
        <v>0</v>
      </c>
      <c r="CI105" s="29">
        <f t="shared" si="464"/>
        <v>0</v>
      </c>
      <c r="CJ105" s="8">
        <f>SUM(CE105:CI105)</f>
        <v>0</v>
      </c>
      <c r="CL105" s="6"/>
      <c r="CM105" s="7"/>
      <c r="CN105" s="7"/>
      <c r="CO105" s="7"/>
      <c r="CP105" s="7"/>
      <c r="CQ105" s="8">
        <f>SUM(CL105:CP105)</f>
        <v>0</v>
      </c>
      <c r="CS105" s="6"/>
      <c r="CT105" s="7"/>
      <c r="CU105" s="7"/>
      <c r="CV105" s="7"/>
      <c r="CW105" s="7"/>
      <c r="CX105" s="8">
        <f t="shared" si="468"/>
        <v>0</v>
      </c>
      <c r="CZ105" s="6"/>
      <c r="DA105" s="7"/>
      <c r="DB105" s="7"/>
      <c r="DC105" s="7"/>
      <c r="DD105" s="7"/>
      <c r="DE105" s="8">
        <f t="shared" si="469"/>
        <v>0</v>
      </c>
    </row>
    <row r="106" spans="2:109" ht="14" thickBot="1">
      <c r="C106" s="567"/>
      <c r="E106" s="5" t="s">
        <v>62</v>
      </c>
      <c r="F106" s="6"/>
      <c r="G106" s="7"/>
      <c r="H106" s="7"/>
      <c r="I106" s="7"/>
      <c r="J106" s="7"/>
      <c r="K106" s="8">
        <f t="shared" si="465"/>
        <v>0</v>
      </c>
      <c r="M106" s="6"/>
      <c r="N106" s="7"/>
      <c r="O106" s="7"/>
      <c r="P106" s="7"/>
      <c r="Q106" s="7"/>
      <c r="R106" s="8">
        <f t="shared" si="466"/>
        <v>0</v>
      </c>
      <c r="T106" s="6"/>
      <c r="U106" s="7"/>
      <c r="V106" s="7"/>
      <c r="W106" s="7"/>
      <c r="X106" s="7"/>
      <c r="Y106" s="8">
        <f t="shared" si="467"/>
        <v>0</v>
      </c>
      <c r="AA106" s="6"/>
      <c r="AB106" s="7"/>
      <c r="AC106" s="7"/>
      <c r="AD106" s="7"/>
      <c r="AE106" s="7"/>
      <c r="AF106" s="8">
        <f>SUM(AA106:AE106)</f>
        <v>0</v>
      </c>
      <c r="AH106" s="6"/>
      <c r="AI106" s="7"/>
      <c r="AJ106" s="7"/>
      <c r="AK106" s="7"/>
      <c r="AL106" s="7"/>
      <c r="AM106" s="8">
        <f>SUM(AH106:AL106)</f>
        <v>0</v>
      </c>
      <c r="AO106" s="6"/>
      <c r="AP106" s="7"/>
      <c r="AQ106" s="7"/>
      <c r="AR106" s="7"/>
      <c r="AS106" s="7"/>
      <c r="AT106" s="8">
        <f>SUM(AO106:AS106)</f>
        <v>0</v>
      </c>
      <c r="AV106" s="6"/>
      <c r="AW106" s="7"/>
      <c r="AX106" s="7"/>
      <c r="AY106" s="7"/>
      <c r="AZ106" s="7"/>
      <c r="BA106" s="8">
        <f>SUM(AV106:AZ106)</f>
        <v>0</v>
      </c>
      <c r="BC106" s="6"/>
      <c r="BD106" s="7"/>
      <c r="BE106" s="7"/>
      <c r="BF106" s="7"/>
      <c r="BG106" s="7"/>
      <c r="BH106" s="8">
        <f>SUM(BC106:BG106)</f>
        <v>0</v>
      </c>
      <c r="BJ106" s="6"/>
      <c r="BK106" s="7"/>
      <c r="BL106" s="7"/>
      <c r="BM106" s="7"/>
      <c r="BN106" s="7"/>
      <c r="BO106" s="8">
        <f>SUM(BJ106:BN106)</f>
        <v>0</v>
      </c>
      <c r="BQ106" s="6"/>
      <c r="BR106" s="7"/>
      <c r="BS106" s="7"/>
      <c r="BT106" s="7"/>
      <c r="BU106" s="7"/>
      <c r="BV106" s="8">
        <f>SUM(BQ106:BU106)</f>
        <v>0</v>
      </c>
      <c r="BX106" s="6"/>
      <c r="BY106" s="7"/>
      <c r="BZ106" s="7"/>
      <c r="CA106" s="7"/>
      <c r="CB106" s="7"/>
      <c r="CC106" s="8">
        <f>SUM(BX106:CB106)</f>
        <v>0</v>
      </c>
      <c r="CE106" s="493">
        <f t="shared" si="460"/>
        <v>0</v>
      </c>
      <c r="CF106" s="494">
        <f t="shared" si="461"/>
        <v>0</v>
      </c>
      <c r="CG106" s="494">
        <f t="shared" si="462"/>
        <v>0</v>
      </c>
      <c r="CH106" s="494">
        <f t="shared" si="463"/>
        <v>0</v>
      </c>
      <c r="CI106" s="494">
        <f t="shared" si="464"/>
        <v>0</v>
      </c>
      <c r="CJ106" s="495">
        <f>SUM(CE106:CI106)</f>
        <v>0</v>
      </c>
      <c r="CL106" s="6"/>
      <c r="CM106" s="7"/>
      <c r="CN106" s="7"/>
      <c r="CO106" s="7"/>
      <c r="CP106" s="7"/>
      <c r="CQ106" s="8">
        <f>SUM(CL106:CP106)</f>
        <v>0</v>
      </c>
      <c r="CS106" s="6"/>
      <c r="CT106" s="7"/>
      <c r="CU106" s="7"/>
      <c r="CV106" s="7"/>
      <c r="CW106" s="7"/>
      <c r="CX106" s="8">
        <f t="shared" si="468"/>
        <v>0</v>
      </c>
      <c r="CZ106" s="6"/>
      <c r="DA106" s="7"/>
      <c r="DB106" s="7"/>
      <c r="DC106" s="7"/>
      <c r="DD106" s="7"/>
      <c r="DE106" s="8">
        <f t="shared" si="469"/>
        <v>0</v>
      </c>
    </row>
    <row r="107" spans="2:109" ht="14" thickBot="1">
      <c r="C107" s="554"/>
      <c r="E107" s="9"/>
      <c r="F107" s="10">
        <f>SUM(F103:F106)</f>
        <v>0</v>
      </c>
      <c r="G107" s="11">
        <f t="shared" ref="G107:J107" si="470">SUM(G103:G106)</f>
        <v>0</v>
      </c>
      <c r="H107" s="11">
        <f t="shared" si="470"/>
        <v>0</v>
      </c>
      <c r="I107" s="11">
        <f t="shared" si="470"/>
        <v>0</v>
      </c>
      <c r="J107" s="11">
        <f t="shared" si="470"/>
        <v>0</v>
      </c>
      <c r="K107" s="25">
        <f>SUM(K103:K106)</f>
        <v>0</v>
      </c>
      <c r="M107" s="10">
        <f>SUM(M103:M106)</f>
        <v>0</v>
      </c>
      <c r="N107" s="11">
        <f t="shared" ref="N107:Q107" si="471">SUM(N103:N106)</f>
        <v>0</v>
      </c>
      <c r="O107" s="11">
        <f t="shared" si="471"/>
        <v>0</v>
      </c>
      <c r="P107" s="11">
        <f t="shared" si="471"/>
        <v>0</v>
      </c>
      <c r="Q107" s="11">
        <f t="shared" si="471"/>
        <v>0</v>
      </c>
      <c r="R107" s="25">
        <f>SUM(R103:R106)</f>
        <v>0</v>
      </c>
      <c r="T107" s="10">
        <f>SUM(T103:T106)</f>
        <v>0</v>
      </c>
      <c r="U107" s="11">
        <f t="shared" ref="U107:X107" si="472">SUM(U103:U106)</f>
        <v>0</v>
      </c>
      <c r="V107" s="11">
        <f t="shared" si="472"/>
        <v>0</v>
      </c>
      <c r="W107" s="11">
        <f t="shared" si="472"/>
        <v>0</v>
      </c>
      <c r="X107" s="11">
        <f t="shared" si="472"/>
        <v>0</v>
      </c>
      <c r="Y107" s="25">
        <f>SUM(Y103:Y106)</f>
        <v>0</v>
      </c>
      <c r="AA107" s="10">
        <f>SUM(AA103:AA106)</f>
        <v>0</v>
      </c>
      <c r="AB107" s="11">
        <f t="shared" ref="AB107:AE107" si="473">SUM(AB103:AB106)</f>
        <v>0</v>
      </c>
      <c r="AC107" s="11">
        <f t="shared" si="473"/>
        <v>0</v>
      </c>
      <c r="AD107" s="11">
        <f t="shared" si="473"/>
        <v>0</v>
      </c>
      <c r="AE107" s="11">
        <f t="shared" si="473"/>
        <v>0</v>
      </c>
      <c r="AF107" s="25">
        <f>SUM(AF103:AF106)</f>
        <v>0</v>
      </c>
      <c r="AH107" s="10">
        <f>SUM(AH103:AH106)</f>
        <v>0</v>
      </c>
      <c r="AI107" s="11">
        <f t="shared" ref="AI107:AL107" si="474">SUM(AI103:AI106)</f>
        <v>0</v>
      </c>
      <c r="AJ107" s="11">
        <f t="shared" si="474"/>
        <v>0</v>
      </c>
      <c r="AK107" s="11">
        <f t="shared" si="474"/>
        <v>0</v>
      </c>
      <c r="AL107" s="11">
        <f t="shared" si="474"/>
        <v>0</v>
      </c>
      <c r="AM107" s="25">
        <f>SUM(AM103:AM106)</f>
        <v>0</v>
      </c>
      <c r="AO107" s="10">
        <f>SUM(AO103:AO106)</f>
        <v>0</v>
      </c>
      <c r="AP107" s="11">
        <f t="shared" ref="AP107:AS107" si="475">SUM(AP103:AP106)</f>
        <v>0</v>
      </c>
      <c r="AQ107" s="11">
        <f t="shared" si="475"/>
        <v>0</v>
      </c>
      <c r="AR107" s="11">
        <f t="shared" si="475"/>
        <v>0</v>
      </c>
      <c r="AS107" s="11">
        <f t="shared" si="475"/>
        <v>0</v>
      </c>
      <c r="AT107" s="25">
        <f>SUM(AT103:AT106)</f>
        <v>0</v>
      </c>
      <c r="AV107" s="10">
        <f>SUM(AV103:AV106)</f>
        <v>0</v>
      </c>
      <c r="AW107" s="11">
        <f t="shared" ref="AW107:AZ107" si="476">SUM(AW103:AW106)</f>
        <v>0</v>
      </c>
      <c r="AX107" s="11">
        <f t="shared" si="476"/>
        <v>0</v>
      </c>
      <c r="AY107" s="11">
        <f t="shared" si="476"/>
        <v>0</v>
      </c>
      <c r="AZ107" s="11">
        <f t="shared" si="476"/>
        <v>0</v>
      </c>
      <c r="BA107" s="25">
        <f>SUM(BA103:BA106)</f>
        <v>0</v>
      </c>
      <c r="BC107" s="10">
        <f>SUM(BC103:BC106)</f>
        <v>0</v>
      </c>
      <c r="BD107" s="11">
        <f t="shared" ref="BD107:BG107" si="477">SUM(BD103:BD106)</f>
        <v>0</v>
      </c>
      <c r="BE107" s="11">
        <f t="shared" si="477"/>
        <v>0</v>
      </c>
      <c r="BF107" s="11">
        <f t="shared" si="477"/>
        <v>0</v>
      </c>
      <c r="BG107" s="11">
        <f t="shared" si="477"/>
        <v>0</v>
      </c>
      <c r="BH107" s="25">
        <f>SUM(BH103:BH106)</f>
        <v>0</v>
      </c>
      <c r="BJ107" s="10">
        <f>SUM(BJ103:BJ106)</f>
        <v>0</v>
      </c>
      <c r="BK107" s="11">
        <f t="shared" ref="BK107:BN107" si="478">SUM(BK103:BK106)</f>
        <v>0</v>
      </c>
      <c r="BL107" s="11">
        <f t="shared" si="478"/>
        <v>0</v>
      </c>
      <c r="BM107" s="11">
        <f t="shared" si="478"/>
        <v>0</v>
      </c>
      <c r="BN107" s="11">
        <f t="shared" si="478"/>
        <v>0</v>
      </c>
      <c r="BO107" s="25">
        <f>SUM(BO103:BO106)</f>
        <v>0</v>
      </c>
      <c r="BQ107" s="10">
        <f>SUM(BQ103:BQ106)</f>
        <v>0</v>
      </c>
      <c r="BR107" s="11">
        <f t="shared" ref="BR107:BU107" si="479">SUM(BR103:BR106)</f>
        <v>0</v>
      </c>
      <c r="BS107" s="11">
        <f t="shared" si="479"/>
        <v>0</v>
      </c>
      <c r="BT107" s="11">
        <f t="shared" si="479"/>
        <v>0</v>
      </c>
      <c r="BU107" s="11">
        <f t="shared" si="479"/>
        <v>0</v>
      </c>
      <c r="BV107" s="25">
        <f>SUM(BV103:BV106)</f>
        <v>0</v>
      </c>
      <c r="BX107" s="10">
        <f>SUM(BX103:BX106)</f>
        <v>0</v>
      </c>
      <c r="BY107" s="11">
        <f t="shared" ref="BY107:CB107" si="480">SUM(BY103:BY106)</f>
        <v>0</v>
      </c>
      <c r="BZ107" s="11">
        <f t="shared" si="480"/>
        <v>0</v>
      </c>
      <c r="CA107" s="11">
        <f t="shared" si="480"/>
        <v>0</v>
      </c>
      <c r="CB107" s="11">
        <f t="shared" si="480"/>
        <v>0</v>
      </c>
      <c r="CC107" s="25">
        <f>SUM(CC103:CC106)</f>
        <v>0</v>
      </c>
      <c r="CE107" s="62">
        <f t="shared" ref="CE107:CJ107" si="481">SUM(CE103:CE106)</f>
        <v>0</v>
      </c>
      <c r="CF107" s="63">
        <f t="shared" si="481"/>
        <v>0</v>
      </c>
      <c r="CG107" s="63">
        <f t="shared" si="481"/>
        <v>0</v>
      </c>
      <c r="CH107" s="63">
        <f t="shared" si="481"/>
        <v>0</v>
      </c>
      <c r="CI107" s="63">
        <f t="shared" si="481"/>
        <v>0</v>
      </c>
      <c r="CJ107" s="25">
        <f t="shared" si="481"/>
        <v>0</v>
      </c>
      <c r="CL107" s="10">
        <f>SUM(CL103:CL106)</f>
        <v>0</v>
      </c>
      <c r="CM107" s="11">
        <f t="shared" ref="CM107:CP107" si="482">SUM(CM103:CM106)</f>
        <v>0</v>
      </c>
      <c r="CN107" s="11">
        <f t="shared" si="482"/>
        <v>0</v>
      </c>
      <c r="CO107" s="11">
        <f t="shared" si="482"/>
        <v>0</v>
      </c>
      <c r="CP107" s="11">
        <f t="shared" si="482"/>
        <v>0</v>
      </c>
      <c r="CQ107" s="25">
        <f>SUM(CQ103:CQ106)</f>
        <v>0</v>
      </c>
      <c r="CS107" s="10">
        <f>SUM(CS103:CS106)</f>
        <v>0</v>
      </c>
      <c r="CT107" s="11">
        <f t="shared" ref="CT107:CW107" si="483">SUM(CT103:CT106)</f>
        <v>0</v>
      </c>
      <c r="CU107" s="11">
        <f t="shared" si="483"/>
        <v>0</v>
      </c>
      <c r="CV107" s="11">
        <f t="shared" si="483"/>
        <v>0</v>
      </c>
      <c r="CW107" s="11">
        <f t="shared" si="483"/>
        <v>0</v>
      </c>
      <c r="CX107" s="25">
        <f>SUM(CX103:CX106)</f>
        <v>0</v>
      </c>
      <c r="CZ107" s="10">
        <f>SUM(CZ103:CZ106)</f>
        <v>0</v>
      </c>
      <c r="DA107" s="11">
        <f t="shared" ref="DA107:DD107" si="484">SUM(DA103:DA106)</f>
        <v>0</v>
      </c>
      <c r="DB107" s="11">
        <f t="shared" si="484"/>
        <v>0</v>
      </c>
      <c r="DC107" s="11">
        <f t="shared" si="484"/>
        <v>0</v>
      </c>
      <c r="DD107" s="11">
        <f t="shared" si="484"/>
        <v>0</v>
      </c>
      <c r="DE107" s="25">
        <f>SUM(DE103:DE106)</f>
        <v>0</v>
      </c>
    </row>
    <row r="108" spans="2:109" ht="10.4" customHeight="1" thickBot="1"/>
    <row r="109" spans="2:109">
      <c r="C109" s="553">
        <v>2025</v>
      </c>
      <c r="E109" s="13" t="s">
        <v>59</v>
      </c>
      <c r="F109" s="21">
        <f>CE103</f>
        <v>0</v>
      </c>
      <c r="G109" s="22">
        <f t="shared" ref="G109:G112" si="485">CF103</f>
        <v>0</v>
      </c>
      <c r="H109" s="22">
        <f t="shared" ref="H109:H112" si="486">CG103</f>
        <v>0</v>
      </c>
      <c r="I109" s="22">
        <f t="shared" ref="I109:I112" si="487">CH103</f>
        <v>0</v>
      </c>
      <c r="J109" s="22">
        <f t="shared" ref="J109:J112" si="488">CI103</f>
        <v>0</v>
      </c>
      <c r="K109" s="15">
        <f>SUM(F109:J109)</f>
        <v>0</v>
      </c>
      <c r="M109" s="2"/>
      <c r="N109" s="3"/>
      <c r="O109" s="3"/>
      <c r="P109" s="3"/>
      <c r="Q109" s="3"/>
      <c r="R109" s="15">
        <f>SUM(M109:Q109)</f>
        <v>0</v>
      </c>
      <c r="T109" s="2"/>
      <c r="U109" s="3"/>
      <c r="V109" s="3"/>
      <c r="W109" s="3"/>
      <c r="X109" s="3"/>
      <c r="Y109" s="15">
        <f>SUM(T109:X109)</f>
        <v>0</v>
      </c>
      <c r="AA109" s="2"/>
      <c r="AB109" s="3"/>
      <c r="AC109" s="3"/>
      <c r="AD109" s="3"/>
      <c r="AE109" s="3"/>
      <c r="AF109" s="15">
        <f>SUM(AA109:AE109)</f>
        <v>0</v>
      </c>
      <c r="AH109" s="2"/>
      <c r="AI109" s="3"/>
      <c r="AJ109" s="3"/>
      <c r="AK109" s="3"/>
      <c r="AL109" s="3"/>
      <c r="AM109" s="15">
        <f>SUM(AH109:AL109)</f>
        <v>0</v>
      </c>
      <c r="AO109" s="2"/>
      <c r="AP109" s="3"/>
      <c r="AQ109" s="3"/>
      <c r="AR109" s="3"/>
      <c r="AS109" s="3"/>
      <c r="AT109" s="15">
        <f>SUM(AO109:AS109)</f>
        <v>0</v>
      </c>
      <c r="AV109" s="2"/>
      <c r="AW109" s="3"/>
      <c r="AX109" s="3"/>
      <c r="AY109" s="3"/>
      <c r="AZ109" s="3"/>
      <c r="BA109" s="15">
        <f>SUM(AV109:AZ109)</f>
        <v>0</v>
      </c>
      <c r="BC109" s="2"/>
      <c r="BD109" s="3"/>
      <c r="BE109" s="3"/>
      <c r="BF109" s="3"/>
      <c r="BG109" s="3"/>
      <c r="BH109" s="15">
        <f>SUM(BC109:BG109)</f>
        <v>0</v>
      </c>
      <c r="BJ109" s="2"/>
      <c r="BK109" s="3"/>
      <c r="BL109" s="3"/>
      <c r="BM109" s="3"/>
      <c r="BN109" s="3"/>
      <c r="BO109" s="15">
        <f>SUM(BJ109:BN109)</f>
        <v>0</v>
      </c>
      <c r="BQ109" s="2"/>
      <c r="BR109" s="3"/>
      <c r="BS109" s="3"/>
      <c r="BT109" s="3"/>
      <c r="BU109" s="3"/>
      <c r="BV109" s="15">
        <f>SUM(BQ109:BU109)</f>
        <v>0</v>
      </c>
      <c r="BX109" s="2"/>
      <c r="BY109" s="3"/>
      <c r="BZ109" s="3"/>
      <c r="CA109" s="3"/>
      <c r="CB109" s="3"/>
      <c r="CC109" s="15">
        <f>SUM(BX109:CB109)</f>
        <v>0</v>
      </c>
      <c r="CE109" s="26">
        <f t="shared" ref="CE109:CE112" si="489">F109+M109+T109+AA109+AH109+AO109+AV109+BC109+BJ109+BQ109+BX109</f>
        <v>0</v>
      </c>
      <c r="CF109" s="27">
        <f t="shared" ref="CF109:CF112" si="490">G109+N109+U109+AB109+AI109+AP109+AW109+BD109+BK109+BR109+BY109</f>
        <v>0</v>
      </c>
      <c r="CG109" s="27">
        <f t="shared" ref="CG109:CG112" si="491">H109+O109+V109+AC109+AJ109+AQ109+AX109+BE109+BL109+BS109+BZ109</f>
        <v>0</v>
      </c>
      <c r="CH109" s="27">
        <f t="shared" ref="CH109:CH112" si="492">I109+P109+W109+AD109+AK109+AR109+AY109+BF109+BM109+BT109+CA109</f>
        <v>0</v>
      </c>
      <c r="CI109" s="27">
        <f t="shared" ref="CI109:CI112" si="493">J109+Q109+X109+AE109+AL109+AS109+AZ109+BG109+BN109+BU109+CB109</f>
        <v>0</v>
      </c>
      <c r="CJ109" s="4">
        <f>SUM(CE109:CI109)</f>
        <v>0</v>
      </c>
      <c r="CL109" s="2"/>
      <c r="CM109" s="3"/>
      <c r="CN109" s="3"/>
      <c r="CO109" s="3"/>
      <c r="CP109" s="3"/>
      <c r="CQ109" s="15">
        <f>SUM(CL109:CP109)</f>
        <v>0</v>
      </c>
      <c r="CS109" s="2"/>
      <c r="CT109" s="3"/>
      <c r="CU109" s="3"/>
      <c r="CV109" s="3"/>
      <c r="CW109" s="3"/>
      <c r="CX109" s="15">
        <f>SUM(CS109:CW109)</f>
        <v>0</v>
      </c>
      <c r="CZ109" s="2"/>
      <c r="DA109" s="3"/>
      <c r="DB109" s="3"/>
      <c r="DC109" s="3"/>
      <c r="DD109" s="3"/>
      <c r="DE109" s="15">
        <f>SUM(CZ109:DD109)</f>
        <v>0</v>
      </c>
    </row>
    <row r="110" spans="2:109">
      <c r="C110" s="567"/>
      <c r="E110" s="14" t="s">
        <v>60</v>
      </c>
      <c r="F110" s="23">
        <f t="shared" ref="F110:F112" si="494">CE104</f>
        <v>0</v>
      </c>
      <c r="G110" s="24">
        <f t="shared" si="485"/>
        <v>0</v>
      </c>
      <c r="H110" s="24">
        <f t="shared" si="486"/>
        <v>0</v>
      </c>
      <c r="I110" s="24">
        <f t="shared" si="487"/>
        <v>0</v>
      </c>
      <c r="J110" s="24">
        <f t="shared" si="488"/>
        <v>0</v>
      </c>
      <c r="K110" s="16">
        <f t="shared" ref="K110:K112" si="495">SUM(F110:J110)</f>
        <v>0</v>
      </c>
      <c r="M110" s="6"/>
      <c r="N110" s="7"/>
      <c r="O110" s="7"/>
      <c r="P110" s="7"/>
      <c r="Q110" s="7"/>
      <c r="R110" s="16">
        <f t="shared" ref="R110:R112" si="496">SUM(M110:Q110)</f>
        <v>0</v>
      </c>
      <c r="T110" s="6"/>
      <c r="U110" s="7"/>
      <c r="V110" s="7"/>
      <c r="W110" s="7"/>
      <c r="X110" s="7"/>
      <c r="Y110" s="16">
        <f t="shared" ref="Y110:Y112" si="497">SUM(T110:X110)</f>
        <v>0</v>
      </c>
      <c r="AA110" s="6"/>
      <c r="AB110" s="7"/>
      <c r="AC110" s="7"/>
      <c r="AD110" s="7"/>
      <c r="AE110" s="7"/>
      <c r="AF110" s="16">
        <f>SUM(AA110:AE110)</f>
        <v>0</v>
      </c>
      <c r="AH110" s="6"/>
      <c r="AI110" s="7"/>
      <c r="AJ110" s="7"/>
      <c r="AK110" s="7"/>
      <c r="AL110" s="7"/>
      <c r="AM110" s="16">
        <f>SUM(AH110:AL110)</f>
        <v>0</v>
      </c>
      <c r="AO110" s="6"/>
      <c r="AP110" s="7"/>
      <c r="AQ110" s="7"/>
      <c r="AR110" s="7"/>
      <c r="AS110" s="7"/>
      <c r="AT110" s="16">
        <f>SUM(AO110:AS110)</f>
        <v>0</v>
      </c>
      <c r="AV110" s="6"/>
      <c r="AW110" s="7"/>
      <c r="AX110" s="7"/>
      <c r="AY110" s="7"/>
      <c r="AZ110" s="7"/>
      <c r="BA110" s="16">
        <f>SUM(AV110:AZ110)</f>
        <v>0</v>
      </c>
      <c r="BC110" s="6"/>
      <c r="BD110" s="7"/>
      <c r="BE110" s="7"/>
      <c r="BF110" s="7"/>
      <c r="BG110" s="7"/>
      <c r="BH110" s="16">
        <f>SUM(BC110:BG110)</f>
        <v>0</v>
      </c>
      <c r="BJ110" s="6"/>
      <c r="BK110" s="7"/>
      <c r="BL110" s="7"/>
      <c r="BM110" s="7"/>
      <c r="BN110" s="7"/>
      <c r="BO110" s="16">
        <f>SUM(BJ110:BN110)</f>
        <v>0</v>
      </c>
      <c r="BQ110" s="6"/>
      <c r="BR110" s="7"/>
      <c r="BS110" s="7"/>
      <c r="BT110" s="7"/>
      <c r="BU110" s="7"/>
      <c r="BV110" s="16">
        <f>SUM(BQ110:BU110)</f>
        <v>0</v>
      </c>
      <c r="BX110" s="6"/>
      <c r="BY110" s="7"/>
      <c r="BZ110" s="7"/>
      <c r="CA110" s="7"/>
      <c r="CB110" s="7"/>
      <c r="CC110" s="16">
        <f>SUM(BX110:CB110)</f>
        <v>0</v>
      </c>
      <c r="CE110" s="28">
        <f t="shared" si="489"/>
        <v>0</v>
      </c>
      <c r="CF110" s="29">
        <f t="shared" si="490"/>
        <v>0</v>
      </c>
      <c r="CG110" s="29">
        <f t="shared" si="491"/>
        <v>0</v>
      </c>
      <c r="CH110" s="29">
        <f t="shared" si="492"/>
        <v>0</v>
      </c>
      <c r="CI110" s="29">
        <f t="shared" si="493"/>
        <v>0</v>
      </c>
      <c r="CJ110" s="8">
        <f>SUM(CE110:CI110)</f>
        <v>0</v>
      </c>
      <c r="CL110" s="6"/>
      <c r="CM110" s="7"/>
      <c r="CN110" s="7"/>
      <c r="CO110" s="7"/>
      <c r="CP110" s="7"/>
      <c r="CQ110" s="16">
        <f>SUM(CL110:CP110)</f>
        <v>0</v>
      </c>
      <c r="CS110" s="6"/>
      <c r="CT110" s="7"/>
      <c r="CU110" s="7"/>
      <c r="CV110" s="7"/>
      <c r="CW110" s="7"/>
      <c r="CX110" s="16">
        <f t="shared" ref="CX110:CX112" si="498">SUM(CS110:CW110)</f>
        <v>0</v>
      </c>
      <c r="CZ110" s="6"/>
      <c r="DA110" s="7"/>
      <c r="DB110" s="7"/>
      <c r="DC110" s="7"/>
      <c r="DD110" s="7"/>
      <c r="DE110" s="16">
        <f t="shared" ref="DE110:DE112" si="499">SUM(CZ110:DD110)</f>
        <v>0</v>
      </c>
    </row>
    <row r="111" spans="2:109">
      <c r="C111" s="567"/>
      <c r="E111" s="14" t="s">
        <v>61</v>
      </c>
      <c r="F111" s="23">
        <f t="shared" si="494"/>
        <v>0</v>
      </c>
      <c r="G111" s="24">
        <f t="shared" si="485"/>
        <v>0</v>
      </c>
      <c r="H111" s="24">
        <f t="shared" si="486"/>
        <v>0</v>
      </c>
      <c r="I111" s="24">
        <f t="shared" si="487"/>
        <v>0</v>
      </c>
      <c r="J111" s="24">
        <f t="shared" si="488"/>
        <v>0</v>
      </c>
      <c r="K111" s="16">
        <f t="shared" si="495"/>
        <v>0</v>
      </c>
      <c r="M111" s="6"/>
      <c r="N111" s="7"/>
      <c r="O111" s="7"/>
      <c r="P111" s="7"/>
      <c r="Q111" s="7"/>
      <c r="R111" s="16">
        <f t="shared" si="496"/>
        <v>0</v>
      </c>
      <c r="T111" s="6"/>
      <c r="U111" s="7"/>
      <c r="V111" s="7"/>
      <c r="W111" s="7"/>
      <c r="X111" s="7"/>
      <c r="Y111" s="16">
        <f t="shared" si="497"/>
        <v>0</v>
      </c>
      <c r="AA111" s="6"/>
      <c r="AB111" s="7"/>
      <c r="AC111" s="7"/>
      <c r="AD111" s="7"/>
      <c r="AE111" s="7"/>
      <c r="AF111" s="16">
        <f>SUM(AA111:AE111)</f>
        <v>0</v>
      </c>
      <c r="AH111" s="6"/>
      <c r="AI111" s="7"/>
      <c r="AJ111" s="7"/>
      <c r="AK111" s="7"/>
      <c r="AL111" s="7"/>
      <c r="AM111" s="16">
        <f>SUM(AH111:AL111)</f>
        <v>0</v>
      </c>
      <c r="AO111" s="6"/>
      <c r="AP111" s="7"/>
      <c r="AQ111" s="7"/>
      <c r="AR111" s="7"/>
      <c r="AS111" s="7"/>
      <c r="AT111" s="16">
        <f>SUM(AO111:AS111)</f>
        <v>0</v>
      </c>
      <c r="AV111" s="6"/>
      <c r="AW111" s="7"/>
      <c r="AX111" s="7"/>
      <c r="AY111" s="7"/>
      <c r="AZ111" s="7"/>
      <c r="BA111" s="16">
        <f>SUM(AV111:AZ111)</f>
        <v>0</v>
      </c>
      <c r="BC111" s="6"/>
      <c r="BD111" s="7"/>
      <c r="BE111" s="7"/>
      <c r="BF111" s="7"/>
      <c r="BG111" s="7"/>
      <c r="BH111" s="16">
        <f>SUM(BC111:BG111)</f>
        <v>0</v>
      </c>
      <c r="BJ111" s="6"/>
      <c r="BK111" s="7"/>
      <c r="BL111" s="7"/>
      <c r="BM111" s="7"/>
      <c r="BN111" s="7"/>
      <c r="BO111" s="16">
        <f>SUM(BJ111:BN111)</f>
        <v>0</v>
      </c>
      <c r="BQ111" s="6"/>
      <c r="BR111" s="7"/>
      <c r="BS111" s="7"/>
      <c r="BT111" s="7"/>
      <c r="BU111" s="7"/>
      <c r="BV111" s="16">
        <f>SUM(BQ111:BU111)</f>
        <v>0</v>
      </c>
      <c r="BX111" s="6"/>
      <c r="BY111" s="7"/>
      <c r="BZ111" s="7"/>
      <c r="CA111" s="7"/>
      <c r="CB111" s="7"/>
      <c r="CC111" s="16">
        <f>SUM(BX111:CB111)</f>
        <v>0</v>
      </c>
      <c r="CE111" s="28">
        <f t="shared" si="489"/>
        <v>0</v>
      </c>
      <c r="CF111" s="29">
        <f t="shared" si="490"/>
        <v>0</v>
      </c>
      <c r="CG111" s="29">
        <f t="shared" si="491"/>
        <v>0</v>
      </c>
      <c r="CH111" s="29">
        <f t="shared" si="492"/>
        <v>0</v>
      </c>
      <c r="CI111" s="29">
        <f t="shared" si="493"/>
        <v>0</v>
      </c>
      <c r="CJ111" s="8">
        <f>SUM(CE111:CI111)</f>
        <v>0</v>
      </c>
      <c r="CL111" s="6"/>
      <c r="CM111" s="7"/>
      <c r="CN111" s="7"/>
      <c r="CO111" s="7"/>
      <c r="CP111" s="7"/>
      <c r="CQ111" s="16">
        <f>SUM(CL111:CP111)</f>
        <v>0</v>
      </c>
      <c r="CS111" s="6"/>
      <c r="CT111" s="7"/>
      <c r="CU111" s="7"/>
      <c r="CV111" s="7"/>
      <c r="CW111" s="7"/>
      <c r="CX111" s="16">
        <f t="shared" si="498"/>
        <v>0</v>
      </c>
      <c r="CZ111" s="6"/>
      <c r="DA111" s="7"/>
      <c r="DB111" s="7"/>
      <c r="DC111" s="7"/>
      <c r="DD111" s="7"/>
      <c r="DE111" s="16">
        <f t="shared" si="499"/>
        <v>0</v>
      </c>
    </row>
    <row r="112" spans="2:109" ht="14" thickBot="1">
      <c r="C112" s="567"/>
      <c r="E112" s="14" t="s">
        <v>62</v>
      </c>
      <c r="F112" s="23">
        <f t="shared" si="494"/>
        <v>0</v>
      </c>
      <c r="G112" s="24">
        <f t="shared" si="485"/>
        <v>0</v>
      </c>
      <c r="H112" s="24">
        <f t="shared" si="486"/>
        <v>0</v>
      </c>
      <c r="I112" s="24">
        <f t="shared" si="487"/>
        <v>0</v>
      </c>
      <c r="J112" s="24">
        <f t="shared" si="488"/>
        <v>0</v>
      </c>
      <c r="K112" s="16">
        <f t="shared" si="495"/>
        <v>0</v>
      </c>
      <c r="M112" s="6"/>
      <c r="N112" s="7"/>
      <c r="O112" s="7"/>
      <c r="P112" s="7"/>
      <c r="Q112" s="7"/>
      <c r="R112" s="16">
        <f t="shared" si="496"/>
        <v>0</v>
      </c>
      <c r="T112" s="6"/>
      <c r="U112" s="7"/>
      <c r="V112" s="7"/>
      <c r="W112" s="7"/>
      <c r="X112" s="7"/>
      <c r="Y112" s="16">
        <f t="shared" si="497"/>
        <v>0</v>
      </c>
      <c r="AA112" s="6"/>
      <c r="AB112" s="7"/>
      <c r="AC112" s="7"/>
      <c r="AD112" s="7"/>
      <c r="AE112" s="7"/>
      <c r="AF112" s="16">
        <f>SUM(AA112:AE112)</f>
        <v>0</v>
      </c>
      <c r="AH112" s="6"/>
      <c r="AI112" s="7"/>
      <c r="AJ112" s="7"/>
      <c r="AK112" s="7"/>
      <c r="AL112" s="7"/>
      <c r="AM112" s="16">
        <f>SUM(AH112:AL112)</f>
        <v>0</v>
      </c>
      <c r="AO112" s="6"/>
      <c r="AP112" s="7"/>
      <c r="AQ112" s="7"/>
      <c r="AR112" s="7"/>
      <c r="AS112" s="7"/>
      <c r="AT112" s="16">
        <f>SUM(AO112:AS112)</f>
        <v>0</v>
      </c>
      <c r="AV112" s="6"/>
      <c r="AW112" s="7"/>
      <c r="AX112" s="7"/>
      <c r="AY112" s="7"/>
      <c r="AZ112" s="7"/>
      <c r="BA112" s="16">
        <f>SUM(AV112:AZ112)</f>
        <v>0</v>
      </c>
      <c r="BC112" s="6"/>
      <c r="BD112" s="7"/>
      <c r="BE112" s="7"/>
      <c r="BF112" s="7"/>
      <c r="BG112" s="7"/>
      <c r="BH112" s="16">
        <f>SUM(BC112:BG112)</f>
        <v>0</v>
      </c>
      <c r="BJ112" s="6"/>
      <c r="BK112" s="7"/>
      <c r="BL112" s="7"/>
      <c r="BM112" s="7"/>
      <c r="BN112" s="7"/>
      <c r="BO112" s="16">
        <f>SUM(BJ112:BN112)</f>
        <v>0</v>
      </c>
      <c r="BQ112" s="6"/>
      <c r="BR112" s="7"/>
      <c r="BS112" s="7"/>
      <c r="BT112" s="7"/>
      <c r="BU112" s="7"/>
      <c r="BV112" s="16">
        <f>SUM(BQ112:BU112)</f>
        <v>0</v>
      </c>
      <c r="BX112" s="6"/>
      <c r="BY112" s="7"/>
      <c r="BZ112" s="7"/>
      <c r="CA112" s="7"/>
      <c r="CB112" s="7"/>
      <c r="CC112" s="16">
        <f>SUM(BX112:CB112)</f>
        <v>0</v>
      </c>
      <c r="CE112" s="493">
        <f t="shared" si="489"/>
        <v>0</v>
      </c>
      <c r="CF112" s="494">
        <f t="shared" si="490"/>
        <v>0</v>
      </c>
      <c r="CG112" s="494">
        <f t="shared" si="491"/>
        <v>0</v>
      </c>
      <c r="CH112" s="494">
        <f t="shared" si="492"/>
        <v>0</v>
      </c>
      <c r="CI112" s="494">
        <f t="shared" si="493"/>
        <v>0</v>
      </c>
      <c r="CJ112" s="495">
        <f>SUM(CE112:CI112)</f>
        <v>0</v>
      </c>
      <c r="CL112" s="6"/>
      <c r="CM112" s="7"/>
      <c r="CN112" s="7"/>
      <c r="CO112" s="7"/>
      <c r="CP112" s="7"/>
      <c r="CQ112" s="16">
        <f>SUM(CL112:CP112)</f>
        <v>0</v>
      </c>
      <c r="CS112" s="6"/>
      <c r="CT112" s="7"/>
      <c r="CU112" s="7"/>
      <c r="CV112" s="7"/>
      <c r="CW112" s="7"/>
      <c r="CX112" s="16">
        <f t="shared" si="498"/>
        <v>0</v>
      </c>
      <c r="CZ112" s="6"/>
      <c r="DA112" s="7"/>
      <c r="DB112" s="7"/>
      <c r="DC112" s="7"/>
      <c r="DD112" s="7"/>
      <c r="DE112" s="16">
        <f t="shared" si="499"/>
        <v>0</v>
      </c>
    </row>
    <row r="113" spans="3:109" ht="14" thickBot="1">
      <c r="C113" s="554"/>
      <c r="E113" s="9"/>
      <c r="F113" s="10">
        <f>SUM(F109:F112)</f>
        <v>0</v>
      </c>
      <c r="G113" s="11">
        <f t="shared" ref="G113:J113" si="500">SUM(G109:G112)</f>
        <v>0</v>
      </c>
      <c r="H113" s="11">
        <f t="shared" si="500"/>
        <v>0</v>
      </c>
      <c r="I113" s="11">
        <f t="shared" si="500"/>
        <v>0</v>
      </c>
      <c r="J113" s="11">
        <f t="shared" si="500"/>
        <v>0</v>
      </c>
      <c r="K113" s="25">
        <f>SUM(K109:K112)</f>
        <v>0</v>
      </c>
      <c r="M113" s="10">
        <f>SUM(M109:M112)</f>
        <v>0</v>
      </c>
      <c r="N113" s="11">
        <f t="shared" ref="N113:Q113" si="501">SUM(N109:N112)</f>
        <v>0</v>
      </c>
      <c r="O113" s="11">
        <f t="shared" si="501"/>
        <v>0</v>
      </c>
      <c r="P113" s="11">
        <f t="shared" si="501"/>
        <v>0</v>
      </c>
      <c r="Q113" s="11">
        <f t="shared" si="501"/>
        <v>0</v>
      </c>
      <c r="R113" s="25">
        <f>SUM(R109:R112)</f>
        <v>0</v>
      </c>
      <c r="T113" s="10">
        <f>SUM(T109:T112)</f>
        <v>0</v>
      </c>
      <c r="U113" s="11">
        <f t="shared" ref="U113:X113" si="502">SUM(U109:U112)</f>
        <v>0</v>
      </c>
      <c r="V113" s="11">
        <f t="shared" si="502"/>
        <v>0</v>
      </c>
      <c r="W113" s="11">
        <f t="shared" si="502"/>
        <v>0</v>
      </c>
      <c r="X113" s="11">
        <f t="shared" si="502"/>
        <v>0</v>
      </c>
      <c r="Y113" s="25">
        <f>SUM(Y109:Y112)</f>
        <v>0</v>
      </c>
      <c r="AA113" s="10">
        <f>SUM(AA109:AA112)</f>
        <v>0</v>
      </c>
      <c r="AB113" s="11">
        <f t="shared" ref="AB113:AE113" si="503">SUM(AB109:AB112)</f>
        <v>0</v>
      </c>
      <c r="AC113" s="11">
        <f t="shared" si="503"/>
        <v>0</v>
      </c>
      <c r="AD113" s="11">
        <f t="shared" si="503"/>
        <v>0</v>
      </c>
      <c r="AE113" s="11">
        <f t="shared" si="503"/>
        <v>0</v>
      </c>
      <c r="AF113" s="25">
        <f>SUM(AF109:AF112)</f>
        <v>0</v>
      </c>
      <c r="AH113" s="10">
        <f>SUM(AH109:AH112)</f>
        <v>0</v>
      </c>
      <c r="AI113" s="11">
        <f t="shared" ref="AI113:AL113" si="504">SUM(AI109:AI112)</f>
        <v>0</v>
      </c>
      <c r="AJ113" s="11">
        <f t="shared" si="504"/>
        <v>0</v>
      </c>
      <c r="AK113" s="11">
        <f t="shared" si="504"/>
        <v>0</v>
      </c>
      <c r="AL113" s="11">
        <f t="shared" si="504"/>
        <v>0</v>
      </c>
      <c r="AM113" s="25">
        <f>SUM(AM109:AM112)</f>
        <v>0</v>
      </c>
      <c r="AO113" s="10">
        <f>SUM(AO109:AO112)</f>
        <v>0</v>
      </c>
      <c r="AP113" s="11">
        <f t="shared" ref="AP113:AS113" si="505">SUM(AP109:AP112)</f>
        <v>0</v>
      </c>
      <c r="AQ113" s="11">
        <f t="shared" si="505"/>
        <v>0</v>
      </c>
      <c r="AR113" s="11">
        <f t="shared" si="505"/>
        <v>0</v>
      </c>
      <c r="AS113" s="11">
        <f t="shared" si="505"/>
        <v>0</v>
      </c>
      <c r="AT113" s="25">
        <f>SUM(AT109:AT112)</f>
        <v>0</v>
      </c>
      <c r="AV113" s="10">
        <f>SUM(AV109:AV112)</f>
        <v>0</v>
      </c>
      <c r="AW113" s="11">
        <f t="shared" ref="AW113:AZ113" si="506">SUM(AW109:AW112)</f>
        <v>0</v>
      </c>
      <c r="AX113" s="11">
        <f t="shared" si="506"/>
        <v>0</v>
      </c>
      <c r="AY113" s="11">
        <f t="shared" si="506"/>
        <v>0</v>
      </c>
      <c r="AZ113" s="11">
        <f t="shared" si="506"/>
        <v>0</v>
      </c>
      <c r="BA113" s="25">
        <f>SUM(BA109:BA112)</f>
        <v>0</v>
      </c>
      <c r="BC113" s="10">
        <f>SUM(BC109:BC112)</f>
        <v>0</v>
      </c>
      <c r="BD113" s="11">
        <f t="shared" ref="BD113:BG113" si="507">SUM(BD109:BD112)</f>
        <v>0</v>
      </c>
      <c r="BE113" s="11">
        <f t="shared" si="507"/>
        <v>0</v>
      </c>
      <c r="BF113" s="11">
        <f t="shared" si="507"/>
        <v>0</v>
      </c>
      <c r="BG113" s="11">
        <f t="shared" si="507"/>
        <v>0</v>
      </c>
      <c r="BH113" s="25">
        <f>SUM(BH109:BH112)</f>
        <v>0</v>
      </c>
      <c r="BJ113" s="10">
        <f>SUM(BJ109:BJ112)</f>
        <v>0</v>
      </c>
      <c r="BK113" s="11">
        <f t="shared" ref="BK113:BN113" si="508">SUM(BK109:BK112)</f>
        <v>0</v>
      </c>
      <c r="BL113" s="11">
        <f t="shared" si="508"/>
        <v>0</v>
      </c>
      <c r="BM113" s="11">
        <f t="shared" si="508"/>
        <v>0</v>
      </c>
      <c r="BN113" s="11">
        <f t="shared" si="508"/>
        <v>0</v>
      </c>
      <c r="BO113" s="25">
        <f>SUM(BO109:BO112)</f>
        <v>0</v>
      </c>
      <c r="BQ113" s="10">
        <f>SUM(BQ109:BQ112)</f>
        <v>0</v>
      </c>
      <c r="BR113" s="11">
        <f t="shared" ref="BR113:BU113" si="509">SUM(BR109:BR112)</f>
        <v>0</v>
      </c>
      <c r="BS113" s="11">
        <f t="shared" si="509"/>
        <v>0</v>
      </c>
      <c r="BT113" s="11">
        <f t="shared" si="509"/>
        <v>0</v>
      </c>
      <c r="BU113" s="11">
        <f t="shared" si="509"/>
        <v>0</v>
      </c>
      <c r="BV113" s="25">
        <f>SUM(BV109:BV112)</f>
        <v>0</v>
      </c>
      <c r="BX113" s="10">
        <f>SUM(BX109:BX112)</f>
        <v>0</v>
      </c>
      <c r="BY113" s="11">
        <f t="shared" ref="BY113:CB113" si="510">SUM(BY109:BY112)</f>
        <v>0</v>
      </c>
      <c r="BZ113" s="11">
        <f t="shared" si="510"/>
        <v>0</v>
      </c>
      <c r="CA113" s="11">
        <f t="shared" si="510"/>
        <v>0</v>
      </c>
      <c r="CB113" s="11">
        <f t="shared" si="510"/>
        <v>0</v>
      </c>
      <c r="CC113" s="25">
        <f>SUM(CC109:CC112)</f>
        <v>0</v>
      </c>
      <c r="CE113" s="62">
        <f t="shared" ref="CE113:CJ113" si="511">SUM(CE109:CE112)</f>
        <v>0</v>
      </c>
      <c r="CF113" s="63">
        <f t="shared" si="511"/>
        <v>0</v>
      </c>
      <c r="CG113" s="63">
        <f t="shared" si="511"/>
        <v>0</v>
      </c>
      <c r="CH113" s="63">
        <f t="shared" si="511"/>
        <v>0</v>
      </c>
      <c r="CI113" s="63">
        <f t="shared" si="511"/>
        <v>0</v>
      </c>
      <c r="CJ113" s="25">
        <f t="shared" si="511"/>
        <v>0</v>
      </c>
      <c r="CL113" s="10">
        <f>SUM(CL109:CL112)</f>
        <v>0</v>
      </c>
      <c r="CM113" s="11">
        <f t="shared" ref="CM113:CP113" si="512">SUM(CM109:CM112)</f>
        <v>0</v>
      </c>
      <c r="CN113" s="11">
        <f t="shared" si="512"/>
        <v>0</v>
      </c>
      <c r="CO113" s="11">
        <f t="shared" si="512"/>
        <v>0</v>
      </c>
      <c r="CP113" s="11">
        <f t="shared" si="512"/>
        <v>0</v>
      </c>
      <c r="CQ113" s="25">
        <f>SUM(CQ109:CQ112)</f>
        <v>0</v>
      </c>
      <c r="CS113" s="10">
        <f>SUM(CS109:CS112)</f>
        <v>0</v>
      </c>
      <c r="CT113" s="11">
        <f t="shared" ref="CT113:CW113" si="513">SUM(CT109:CT112)</f>
        <v>0</v>
      </c>
      <c r="CU113" s="11">
        <f t="shared" si="513"/>
        <v>0</v>
      </c>
      <c r="CV113" s="11">
        <f t="shared" si="513"/>
        <v>0</v>
      </c>
      <c r="CW113" s="11">
        <f t="shared" si="513"/>
        <v>0</v>
      </c>
      <c r="CX113" s="25">
        <f>SUM(CX109:CX112)</f>
        <v>0</v>
      </c>
      <c r="CZ113" s="10">
        <f>SUM(CZ109:CZ112)</f>
        <v>0</v>
      </c>
      <c r="DA113" s="11">
        <f t="shared" ref="DA113:DD113" si="514">SUM(DA109:DA112)</f>
        <v>0</v>
      </c>
      <c r="DB113" s="11">
        <f t="shared" si="514"/>
        <v>0</v>
      </c>
      <c r="DC113" s="11">
        <f t="shared" si="514"/>
        <v>0</v>
      </c>
      <c r="DD113" s="11">
        <f t="shared" si="514"/>
        <v>0</v>
      </c>
      <c r="DE113" s="25">
        <f>SUM(DE109:DE112)</f>
        <v>0</v>
      </c>
    </row>
    <row r="114" spans="3:109" ht="10.4" customHeight="1" thickBot="1"/>
    <row r="115" spans="3:109">
      <c r="C115" s="553">
        <v>2026</v>
      </c>
      <c r="E115" s="13" t="s">
        <v>59</v>
      </c>
      <c r="F115" s="21">
        <f>CE109</f>
        <v>0</v>
      </c>
      <c r="G115" s="22">
        <f t="shared" ref="G115:G118" si="515">CF109</f>
        <v>0</v>
      </c>
      <c r="H115" s="22">
        <f t="shared" ref="H115:H118" si="516">CG109</f>
        <v>0</v>
      </c>
      <c r="I115" s="22">
        <f t="shared" ref="I115:I118" si="517">CH109</f>
        <v>0</v>
      </c>
      <c r="J115" s="22">
        <f t="shared" ref="J115:J118" si="518">CI109</f>
        <v>0</v>
      </c>
      <c r="K115" s="4">
        <f>SUM(F115:J115)</f>
        <v>0</v>
      </c>
      <c r="M115" s="2"/>
      <c r="N115" s="3"/>
      <c r="O115" s="3"/>
      <c r="P115" s="3"/>
      <c r="Q115" s="3"/>
      <c r="R115" s="4">
        <f>SUM(M115:Q115)</f>
        <v>0</v>
      </c>
      <c r="T115" s="2"/>
      <c r="U115" s="3"/>
      <c r="V115" s="3"/>
      <c r="W115" s="3"/>
      <c r="X115" s="3"/>
      <c r="Y115" s="4">
        <f>SUM(T115:X115)</f>
        <v>0</v>
      </c>
      <c r="AA115" s="2"/>
      <c r="AB115" s="3"/>
      <c r="AC115" s="3"/>
      <c r="AD115" s="3"/>
      <c r="AE115" s="3"/>
      <c r="AF115" s="4">
        <f>SUM(AA115:AE115)</f>
        <v>0</v>
      </c>
      <c r="AH115" s="2"/>
      <c r="AI115" s="3"/>
      <c r="AJ115" s="3"/>
      <c r="AK115" s="3"/>
      <c r="AL115" s="3"/>
      <c r="AM115" s="4">
        <f>SUM(AH115:AL115)</f>
        <v>0</v>
      </c>
      <c r="AO115" s="2"/>
      <c r="AP115" s="3"/>
      <c r="AQ115" s="3"/>
      <c r="AR115" s="3"/>
      <c r="AS115" s="3"/>
      <c r="AT115" s="4">
        <f>SUM(AO115:AS115)</f>
        <v>0</v>
      </c>
      <c r="AV115" s="2"/>
      <c r="AW115" s="3"/>
      <c r="AX115" s="3"/>
      <c r="AY115" s="3"/>
      <c r="AZ115" s="3"/>
      <c r="BA115" s="4">
        <f>SUM(AV115:AZ115)</f>
        <v>0</v>
      </c>
      <c r="BC115" s="2"/>
      <c r="BD115" s="3"/>
      <c r="BE115" s="3"/>
      <c r="BF115" s="3"/>
      <c r="BG115" s="3"/>
      <c r="BH115" s="4">
        <f>SUM(BC115:BG115)</f>
        <v>0</v>
      </c>
      <c r="BJ115" s="2"/>
      <c r="BK115" s="3"/>
      <c r="BL115" s="3"/>
      <c r="BM115" s="3"/>
      <c r="BN115" s="3"/>
      <c r="BO115" s="4">
        <f>SUM(BJ115:BN115)</f>
        <v>0</v>
      </c>
      <c r="BQ115" s="2"/>
      <c r="BR115" s="3"/>
      <c r="BS115" s="3"/>
      <c r="BT115" s="3"/>
      <c r="BU115" s="3"/>
      <c r="BV115" s="4">
        <f>SUM(BQ115:BU115)</f>
        <v>0</v>
      </c>
      <c r="BX115" s="2"/>
      <c r="BY115" s="3"/>
      <c r="BZ115" s="3"/>
      <c r="CA115" s="3"/>
      <c r="CB115" s="3"/>
      <c r="CC115" s="4">
        <f>SUM(BX115:CB115)</f>
        <v>0</v>
      </c>
      <c r="CE115" s="26">
        <f t="shared" ref="CE115:CE118" si="519">F115+M115+T115+AA115+AH115+AO115+AV115+BC115+BJ115+BQ115+BX115</f>
        <v>0</v>
      </c>
      <c r="CF115" s="27">
        <f t="shared" ref="CF115:CF118" si="520">G115+N115+U115+AB115+AI115+AP115+AW115+BD115+BK115+BR115+BY115</f>
        <v>0</v>
      </c>
      <c r="CG115" s="27">
        <f t="shared" ref="CG115:CG118" si="521">H115+O115+V115+AC115+AJ115+AQ115+AX115+BE115+BL115+BS115+BZ115</f>
        <v>0</v>
      </c>
      <c r="CH115" s="27">
        <f t="shared" ref="CH115:CH118" si="522">I115+P115+W115+AD115+AK115+AR115+AY115+BF115+BM115+BT115+CA115</f>
        <v>0</v>
      </c>
      <c r="CI115" s="27">
        <f t="shared" ref="CI115:CI118" si="523">J115+Q115+X115+AE115+AL115+AS115+AZ115+BG115+BN115+BU115+CB115</f>
        <v>0</v>
      </c>
      <c r="CJ115" s="4">
        <f>SUM(CE115:CI115)</f>
        <v>0</v>
      </c>
      <c r="CL115" s="2"/>
      <c r="CM115" s="3"/>
      <c r="CN115" s="3"/>
      <c r="CO115" s="3"/>
      <c r="CP115" s="3"/>
      <c r="CQ115" s="4">
        <f>SUM(CL115:CP115)</f>
        <v>0</v>
      </c>
      <c r="CS115" s="2"/>
      <c r="CT115" s="3"/>
      <c r="CU115" s="3"/>
      <c r="CV115" s="3"/>
      <c r="CW115" s="3"/>
      <c r="CX115" s="4">
        <f>SUM(CS115:CW115)</f>
        <v>0</v>
      </c>
      <c r="CZ115" s="2"/>
      <c r="DA115" s="3"/>
      <c r="DB115" s="3"/>
      <c r="DC115" s="3"/>
      <c r="DD115" s="3"/>
      <c r="DE115" s="4">
        <f>SUM(CZ115:DD115)</f>
        <v>0</v>
      </c>
    </row>
    <row r="116" spans="3:109">
      <c r="C116" s="567"/>
      <c r="E116" s="14" t="s">
        <v>60</v>
      </c>
      <c r="F116" s="23">
        <f t="shared" ref="F116:F118" si="524">CE110</f>
        <v>0</v>
      </c>
      <c r="G116" s="24">
        <f t="shared" si="515"/>
        <v>0</v>
      </c>
      <c r="H116" s="24">
        <f t="shared" si="516"/>
        <v>0</v>
      </c>
      <c r="I116" s="24">
        <f t="shared" si="517"/>
        <v>0</v>
      </c>
      <c r="J116" s="24">
        <f t="shared" si="518"/>
        <v>0</v>
      </c>
      <c r="K116" s="8">
        <f t="shared" ref="K116:K118" si="525">SUM(F116:J116)</f>
        <v>0</v>
      </c>
      <c r="M116" s="6"/>
      <c r="N116" s="7"/>
      <c r="O116" s="7"/>
      <c r="P116" s="7"/>
      <c r="Q116" s="7"/>
      <c r="R116" s="8">
        <f t="shared" ref="R116:R118" si="526">SUM(M116:Q116)</f>
        <v>0</v>
      </c>
      <c r="T116" s="6"/>
      <c r="U116" s="7"/>
      <c r="V116" s="7"/>
      <c r="W116" s="7"/>
      <c r="X116" s="7"/>
      <c r="Y116" s="8">
        <f t="shared" ref="Y116:Y118" si="527">SUM(T116:X116)</f>
        <v>0</v>
      </c>
      <c r="AA116" s="6"/>
      <c r="AB116" s="7"/>
      <c r="AC116" s="7"/>
      <c r="AD116" s="7"/>
      <c r="AE116" s="7"/>
      <c r="AF116" s="8">
        <f>SUM(AA116:AE116)</f>
        <v>0</v>
      </c>
      <c r="AH116" s="6"/>
      <c r="AI116" s="7"/>
      <c r="AJ116" s="7"/>
      <c r="AK116" s="7"/>
      <c r="AL116" s="7"/>
      <c r="AM116" s="8">
        <f>SUM(AH116:AL116)</f>
        <v>0</v>
      </c>
      <c r="AO116" s="6"/>
      <c r="AP116" s="7"/>
      <c r="AQ116" s="7"/>
      <c r="AR116" s="7"/>
      <c r="AS116" s="7"/>
      <c r="AT116" s="8">
        <f>SUM(AO116:AS116)</f>
        <v>0</v>
      </c>
      <c r="AV116" s="6"/>
      <c r="AW116" s="7"/>
      <c r="AX116" s="7"/>
      <c r="AY116" s="7"/>
      <c r="AZ116" s="7"/>
      <c r="BA116" s="8">
        <f>SUM(AV116:AZ116)</f>
        <v>0</v>
      </c>
      <c r="BC116" s="6"/>
      <c r="BD116" s="7"/>
      <c r="BE116" s="7"/>
      <c r="BF116" s="7"/>
      <c r="BG116" s="7"/>
      <c r="BH116" s="8">
        <f>SUM(BC116:BG116)</f>
        <v>0</v>
      </c>
      <c r="BJ116" s="6"/>
      <c r="BK116" s="7"/>
      <c r="BL116" s="7"/>
      <c r="BM116" s="7"/>
      <c r="BN116" s="7"/>
      <c r="BO116" s="8">
        <f>SUM(BJ116:BN116)</f>
        <v>0</v>
      </c>
      <c r="BQ116" s="6"/>
      <c r="BR116" s="7"/>
      <c r="BS116" s="7"/>
      <c r="BT116" s="7"/>
      <c r="BU116" s="7"/>
      <c r="BV116" s="8">
        <f>SUM(BQ116:BU116)</f>
        <v>0</v>
      </c>
      <c r="BX116" s="6"/>
      <c r="BY116" s="7"/>
      <c r="BZ116" s="7"/>
      <c r="CA116" s="7"/>
      <c r="CB116" s="7"/>
      <c r="CC116" s="8">
        <f>SUM(BX116:CB116)</f>
        <v>0</v>
      </c>
      <c r="CE116" s="28">
        <f t="shared" si="519"/>
        <v>0</v>
      </c>
      <c r="CF116" s="29">
        <f t="shared" si="520"/>
        <v>0</v>
      </c>
      <c r="CG116" s="29">
        <f t="shared" si="521"/>
        <v>0</v>
      </c>
      <c r="CH116" s="29">
        <f t="shared" si="522"/>
        <v>0</v>
      </c>
      <c r="CI116" s="29">
        <f t="shared" si="523"/>
        <v>0</v>
      </c>
      <c r="CJ116" s="8">
        <f>SUM(CE116:CI116)</f>
        <v>0</v>
      </c>
      <c r="CL116" s="6"/>
      <c r="CM116" s="7"/>
      <c r="CN116" s="7"/>
      <c r="CO116" s="7"/>
      <c r="CP116" s="7"/>
      <c r="CQ116" s="8">
        <f>SUM(CL116:CP116)</f>
        <v>0</v>
      </c>
      <c r="CS116" s="6"/>
      <c r="CT116" s="7"/>
      <c r="CU116" s="7"/>
      <c r="CV116" s="7"/>
      <c r="CW116" s="7"/>
      <c r="CX116" s="8">
        <f t="shared" ref="CX116:CX118" si="528">SUM(CS116:CW116)</f>
        <v>0</v>
      </c>
      <c r="CZ116" s="6"/>
      <c r="DA116" s="7"/>
      <c r="DB116" s="7"/>
      <c r="DC116" s="7"/>
      <c r="DD116" s="7"/>
      <c r="DE116" s="8">
        <f t="shared" ref="DE116:DE118" si="529">SUM(CZ116:DD116)</f>
        <v>0</v>
      </c>
    </row>
    <row r="117" spans="3:109">
      <c r="C117" s="567"/>
      <c r="E117" s="14" t="s">
        <v>61</v>
      </c>
      <c r="F117" s="23">
        <f t="shared" si="524"/>
        <v>0</v>
      </c>
      <c r="G117" s="24">
        <f t="shared" si="515"/>
        <v>0</v>
      </c>
      <c r="H117" s="24">
        <f t="shared" si="516"/>
        <v>0</v>
      </c>
      <c r="I117" s="24">
        <f t="shared" si="517"/>
        <v>0</v>
      </c>
      <c r="J117" s="24">
        <f t="shared" si="518"/>
        <v>0</v>
      </c>
      <c r="K117" s="8">
        <f t="shared" si="525"/>
        <v>0</v>
      </c>
      <c r="M117" s="6"/>
      <c r="N117" s="7"/>
      <c r="O117" s="7"/>
      <c r="P117" s="7"/>
      <c r="Q117" s="7"/>
      <c r="R117" s="8">
        <f t="shared" si="526"/>
        <v>0</v>
      </c>
      <c r="T117" s="6"/>
      <c r="U117" s="7"/>
      <c r="V117" s="7"/>
      <c r="W117" s="7"/>
      <c r="X117" s="7"/>
      <c r="Y117" s="8">
        <f t="shared" si="527"/>
        <v>0</v>
      </c>
      <c r="AA117" s="6"/>
      <c r="AB117" s="7"/>
      <c r="AC117" s="7"/>
      <c r="AD117" s="7"/>
      <c r="AE117" s="7"/>
      <c r="AF117" s="8">
        <f>SUM(AA117:AE117)</f>
        <v>0</v>
      </c>
      <c r="AH117" s="6"/>
      <c r="AI117" s="7"/>
      <c r="AJ117" s="7"/>
      <c r="AK117" s="7"/>
      <c r="AL117" s="7"/>
      <c r="AM117" s="8">
        <f>SUM(AH117:AL117)</f>
        <v>0</v>
      </c>
      <c r="AO117" s="6"/>
      <c r="AP117" s="7"/>
      <c r="AQ117" s="7"/>
      <c r="AR117" s="7"/>
      <c r="AS117" s="7"/>
      <c r="AT117" s="8">
        <f>SUM(AO117:AS117)</f>
        <v>0</v>
      </c>
      <c r="AV117" s="6"/>
      <c r="AW117" s="7"/>
      <c r="AX117" s="7"/>
      <c r="AY117" s="7"/>
      <c r="AZ117" s="7"/>
      <c r="BA117" s="8">
        <f>SUM(AV117:AZ117)</f>
        <v>0</v>
      </c>
      <c r="BC117" s="6"/>
      <c r="BD117" s="7"/>
      <c r="BE117" s="7"/>
      <c r="BF117" s="7"/>
      <c r="BG117" s="7"/>
      <c r="BH117" s="8">
        <f>SUM(BC117:BG117)</f>
        <v>0</v>
      </c>
      <c r="BJ117" s="6"/>
      <c r="BK117" s="7"/>
      <c r="BL117" s="7"/>
      <c r="BM117" s="7"/>
      <c r="BN117" s="7"/>
      <c r="BO117" s="8">
        <f>SUM(BJ117:BN117)</f>
        <v>0</v>
      </c>
      <c r="BQ117" s="6"/>
      <c r="BR117" s="7"/>
      <c r="BS117" s="7"/>
      <c r="BT117" s="7"/>
      <c r="BU117" s="7"/>
      <c r="BV117" s="8">
        <f>SUM(BQ117:BU117)</f>
        <v>0</v>
      </c>
      <c r="BX117" s="6"/>
      <c r="BY117" s="7"/>
      <c r="BZ117" s="7"/>
      <c r="CA117" s="7"/>
      <c r="CB117" s="7"/>
      <c r="CC117" s="8">
        <f>SUM(BX117:CB117)</f>
        <v>0</v>
      </c>
      <c r="CE117" s="28">
        <f t="shared" si="519"/>
        <v>0</v>
      </c>
      <c r="CF117" s="29">
        <f t="shared" si="520"/>
        <v>0</v>
      </c>
      <c r="CG117" s="29">
        <f t="shared" si="521"/>
        <v>0</v>
      </c>
      <c r="CH117" s="29">
        <f t="shared" si="522"/>
        <v>0</v>
      </c>
      <c r="CI117" s="29">
        <f t="shared" si="523"/>
        <v>0</v>
      </c>
      <c r="CJ117" s="8">
        <f>SUM(CE117:CI117)</f>
        <v>0</v>
      </c>
      <c r="CL117" s="6"/>
      <c r="CM117" s="7"/>
      <c r="CN117" s="7"/>
      <c r="CO117" s="7"/>
      <c r="CP117" s="7"/>
      <c r="CQ117" s="8">
        <f>SUM(CL117:CP117)</f>
        <v>0</v>
      </c>
      <c r="CS117" s="6"/>
      <c r="CT117" s="7"/>
      <c r="CU117" s="7"/>
      <c r="CV117" s="7"/>
      <c r="CW117" s="7"/>
      <c r="CX117" s="8">
        <f t="shared" si="528"/>
        <v>0</v>
      </c>
      <c r="CZ117" s="6"/>
      <c r="DA117" s="7"/>
      <c r="DB117" s="7"/>
      <c r="DC117" s="7"/>
      <c r="DD117" s="7"/>
      <c r="DE117" s="8">
        <f t="shared" si="529"/>
        <v>0</v>
      </c>
    </row>
    <row r="118" spans="3:109" ht="14" thickBot="1">
      <c r="C118" s="567"/>
      <c r="E118" s="14" t="s">
        <v>62</v>
      </c>
      <c r="F118" s="23">
        <f t="shared" si="524"/>
        <v>0</v>
      </c>
      <c r="G118" s="24">
        <f t="shared" si="515"/>
        <v>0</v>
      </c>
      <c r="H118" s="24">
        <f t="shared" si="516"/>
        <v>0</v>
      </c>
      <c r="I118" s="24">
        <f t="shared" si="517"/>
        <v>0</v>
      </c>
      <c r="J118" s="24">
        <f t="shared" si="518"/>
        <v>0</v>
      </c>
      <c r="K118" s="8">
        <f t="shared" si="525"/>
        <v>0</v>
      </c>
      <c r="M118" s="6"/>
      <c r="N118" s="7"/>
      <c r="O118" s="7"/>
      <c r="P118" s="7"/>
      <c r="Q118" s="7"/>
      <c r="R118" s="8">
        <f t="shared" si="526"/>
        <v>0</v>
      </c>
      <c r="T118" s="6"/>
      <c r="U118" s="7"/>
      <c r="V118" s="7"/>
      <c r="W118" s="7"/>
      <c r="X118" s="7"/>
      <c r="Y118" s="8">
        <f t="shared" si="527"/>
        <v>0</v>
      </c>
      <c r="AA118" s="6"/>
      <c r="AB118" s="7"/>
      <c r="AC118" s="7"/>
      <c r="AD118" s="7"/>
      <c r="AE118" s="7"/>
      <c r="AF118" s="8">
        <f>SUM(AA118:AE118)</f>
        <v>0</v>
      </c>
      <c r="AH118" s="6"/>
      <c r="AI118" s="7"/>
      <c r="AJ118" s="7"/>
      <c r="AK118" s="7"/>
      <c r="AL118" s="7"/>
      <c r="AM118" s="8">
        <f>SUM(AH118:AL118)</f>
        <v>0</v>
      </c>
      <c r="AO118" s="6"/>
      <c r="AP118" s="7"/>
      <c r="AQ118" s="7"/>
      <c r="AR118" s="7"/>
      <c r="AS118" s="7"/>
      <c r="AT118" s="8">
        <f>SUM(AO118:AS118)</f>
        <v>0</v>
      </c>
      <c r="AV118" s="6"/>
      <c r="AW118" s="7"/>
      <c r="AX118" s="7"/>
      <c r="AY118" s="7"/>
      <c r="AZ118" s="7"/>
      <c r="BA118" s="8">
        <f>SUM(AV118:AZ118)</f>
        <v>0</v>
      </c>
      <c r="BC118" s="6"/>
      <c r="BD118" s="7"/>
      <c r="BE118" s="7"/>
      <c r="BF118" s="7"/>
      <c r="BG118" s="7"/>
      <c r="BH118" s="8">
        <f>SUM(BC118:BG118)</f>
        <v>0</v>
      </c>
      <c r="BJ118" s="6"/>
      <c r="BK118" s="7"/>
      <c r="BL118" s="7"/>
      <c r="BM118" s="7"/>
      <c r="BN118" s="7"/>
      <c r="BO118" s="8">
        <f>SUM(BJ118:BN118)</f>
        <v>0</v>
      </c>
      <c r="BQ118" s="6"/>
      <c r="BR118" s="7"/>
      <c r="BS118" s="7"/>
      <c r="BT118" s="7"/>
      <c r="BU118" s="7"/>
      <c r="BV118" s="8">
        <f>SUM(BQ118:BU118)</f>
        <v>0</v>
      </c>
      <c r="BX118" s="6"/>
      <c r="BY118" s="7"/>
      <c r="BZ118" s="7"/>
      <c r="CA118" s="7"/>
      <c r="CB118" s="7"/>
      <c r="CC118" s="8">
        <f>SUM(BX118:CB118)</f>
        <v>0</v>
      </c>
      <c r="CE118" s="493">
        <f t="shared" si="519"/>
        <v>0</v>
      </c>
      <c r="CF118" s="494">
        <f t="shared" si="520"/>
        <v>0</v>
      </c>
      <c r="CG118" s="494">
        <f t="shared" si="521"/>
        <v>0</v>
      </c>
      <c r="CH118" s="494">
        <f t="shared" si="522"/>
        <v>0</v>
      </c>
      <c r="CI118" s="494">
        <f t="shared" si="523"/>
        <v>0</v>
      </c>
      <c r="CJ118" s="495">
        <f>SUM(CE118:CI118)</f>
        <v>0</v>
      </c>
      <c r="CL118" s="6"/>
      <c r="CM118" s="7"/>
      <c r="CN118" s="7"/>
      <c r="CO118" s="7"/>
      <c r="CP118" s="7"/>
      <c r="CQ118" s="8">
        <f>SUM(CL118:CP118)</f>
        <v>0</v>
      </c>
      <c r="CS118" s="6"/>
      <c r="CT118" s="7"/>
      <c r="CU118" s="7"/>
      <c r="CV118" s="7"/>
      <c r="CW118" s="7"/>
      <c r="CX118" s="8">
        <f t="shared" si="528"/>
        <v>0</v>
      </c>
      <c r="CZ118" s="6"/>
      <c r="DA118" s="7"/>
      <c r="DB118" s="7"/>
      <c r="DC118" s="7"/>
      <c r="DD118" s="7"/>
      <c r="DE118" s="8">
        <f t="shared" si="529"/>
        <v>0</v>
      </c>
    </row>
    <row r="119" spans="3:109" ht="14" thickBot="1">
      <c r="C119" s="554"/>
      <c r="E119" s="9"/>
      <c r="F119" s="10">
        <f>SUM(F115:F118)</f>
        <v>0</v>
      </c>
      <c r="G119" s="11">
        <f t="shared" ref="G119:J119" si="530">SUM(G115:G118)</f>
        <v>0</v>
      </c>
      <c r="H119" s="11">
        <f t="shared" si="530"/>
        <v>0</v>
      </c>
      <c r="I119" s="11">
        <f t="shared" si="530"/>
        <v>0</v>
      </c>
      <c r="J119" s="11">
        <f t="shared" si="530"/>
        <v>0</v>
      </c>
      <c r="K119" s="25">
        <f>SUM(K115:K118)</f>
        <v>0</v>
      </c>
      <c r="M119" s="10">
        <f>SUM(M115:M118)</f>
        <v>0</v>
      </c>
      <c r="N119" s="11">
        <f t="shared" ref="N119:Q119" si="531">SUM(N115:N118)</f>
        <v>0</v>
      </c>
      <c r="O119" s="11">
        <f t="shared" si="531"/>
        <v>0</v>
      </c>
      <c r="P119" s="11">
        <f t="shared" si="531"/>
        <v>0</v>
      </c>
      <c r="Q119" s="11">
        <f t="shared" si="531"/>
        <v>0</v>
      </c>
      <c r="R119" s="25">
        <f>SUM(R115:R118)</f>
        <v>0</v>
      </c>
      <c r="T119" s="10">
        <f>SUM(T115:T118)</f>
        <v>0</v>
      </c>
      <c r="U119" s="11">
        <f t="shared" ref="U119:X119" si="532">SUM(U115:U118)</f>
        <v>0</v>
      </c>
      <c r="V119" s="11">
        <f t="shared" si="532"/>
        <v>0</v>
      </c>
      <c r="W119" s="11">
        <f t="shared" si="532"/>
        <v>0</v>
      </c>
      <c r="X119" s="11">
        <f t="shared" si="532"/>
        <v>0</v>
      </c>
      <c r="Y119" s="25">
        <f>SUM(Y115:Y118)</f>
        <v>0</v>
      </c>
      <c r="AA119" s="10">
        <f>SUM(AA115:AA118)</f>
        <v>0</v>
      </c>
      <c r="AB119" s="11">
        <f t="shared" ref="AB119:AE119" si="533">SUM(AB115:AB118)</f>
        <v>0</v>
      </c>
      <c r="AC119" s="11">
        <f t="shared" si="533"/>
        <v>0</v>
      </c>
      <c r="AD119" s="11">
        <f t="shared" si="533"/>
        <v>0</v>
      </c>
      <c r="AE119" s="11">
        <f t="shared" si="533"/>
        <v>0</v>
      </c>
      <c r="AF119" s="25">
        <f>SUM(AF115:AF118)</f>
        <v>0</v>
      </c>
      <c r="AH119" s="10">
        <f>SUM(AH115:AH118)</f>
        <v>0</v>
      </c>
      <c r="AI119" s="11">
        <f t="shared" ref="AI119:AL119" si="534">SUM(AI115:AI118)</f>
        <v>0</v>
      </c>
      <c r="AJ119" s="11">
        <f t="shared" si="534"/>
        <v>0</v>
      </c>
      <c r="AK119" s="11">
        <f t="shared" si="534"/>
        <v>0</v>
      </c>
      <c r="AL119" s="11">
        <f t="shared" si="534"/>
        <v>0</v>
      </c>
      <c r="AM119" s="25">
        <f>SUM(AM115:AM118)</f>
        <v>0</v>
      </c>
      <c r="AO119" s="10">
        <f>SUM(AO115:AO118)</f>
        <v>0</v>
      </c>
      <c r="AP119" s="11">
        <f t="shared" ref="AP119:AS119" si="535">SUM(AP115:AP118)</f>
        <v>0</v>
      </c>
      <c r="AQ119" s="11">
        <f t="shared" si="535"/>
        <v>0</v>
      </c>
      <c r="AR119" s="11">
        <f t="shared" si="535"/>
        <v>0</v>
      </c>
      <c r="AS119" s="11">
        <f t="shared" si="535"/>
        <v>0</v>
      </c>
      <c r="AT119" s="25">
        <f>SUM(AT115:AT118)</f>
        <v>0</v>
      </c>
      <c r="AV119" s="10">
        <f>SUM(AV115:AV118)</f>
        <v>0</v>
      </c>
      <c r="AW119" s="11">
        <f t="shared" ref="AW119:AZ119" si="536">SUM(AW115:AW118)</f>
        <v>0</v>
      </c>
      <c r="AX119" s="11">
        <f t="shared" si="536"/>
        <v>0</v>
      </c>
      <c r="AY119" s="11">
        <f t="shared" si="536"/>
        <v>0</v>
      </c>
      <c r="AZ119" s="11">
        <f t="shared" si="536"/>
        <v>0</v>
      </c>
      <c r="BA119" s="25">
        <f>SUM(BA115:BA118)</f>
        <v>0</v>
      </c>
      <c r="BC119" s="10">
        <f>SUM(BC115:BC118)</f>
        <v>0</v>
      </c>
      <c r="BD119" s="11">
        <f t="shared" ref="BD119:BG119" si="537">SUM(BD115:BD118)</f>
        <v>0</v>
      </c>
      <c r="BE119" s="11">
        <f t="shared" si="537"/>
        <v>0</v>
      </c>
      <c r="BF119" s="11">
        <f t="shared" si="537"/>
        <v>0</v>
      </c>
      <c r="BG119" s="11">
        <f t="shared" si="537"/>
        <v>0</v>
      </c>
      <c r="BH119" s="25">
        <f>SUM(BH115:BH118)</f>
        <v>0</v>
      </c>
      <c r="BJ119" s="10">
        <f>SUM(BJ115:BJ118)</f>
        <v>0</v>
      </c>
      <c r="BK119" s="11">
        <f t="shared" ref="BK119:BN119" si="538">SUM(BK115:BK118)</f>
        <v>0</v>
      </c>
      <c r="BL119" s="11">
        <f t="shared" si="538"/>
        <v>0</v>
      </c>
      <c r="BM119" s="11">
        <f t="shared" si="538"/>
        <v>0</v>
      </c>
      <c r="BN119" s="11">
        <f t="shared" si="538"/>
        <v>0</v>
      </c>
      <c r="BO119" s="25">
        <f>SUM(BO115:BO118)</f>
        <v>0</v>
      </c>
      <c r="BQ119" s="10">
        <f>SUM(BQ115:BQ118)</f>
        <v>0</v>
      </c>
      <c r="BR119" s="11">
        <f t="shared" ref="BR119:BU119" si="539">SUM(BR115:BR118)</f>
        <v>0</v>
      </c>
      <c r="BS119" s="11">
        <f t="shared" si="539"/>
        <v>0</v>
      </c>
      <c r="BT119" s="11">
        <f t="shared" si="539"/>
        <v>0</v>
      </c>
      <c r="BU119" s="11">
        <f t="shared" si="539"/>
        <v>0</v>
      </c>
      <c r="BV119" s="25">
        <f>SUM(BV115:BV118)</f>
        <v>0</v>
      </c>
      <c r="BX119" s="10">
        <f>SUM(BX115:BX118)</f>
        <v>0</v>
      </c>
      <c r="BY119" s="11">
        <f t="shared" ref="BY119:CB119" si="540">SUM(BY115:BY118)</f>
        <v>0</v>
      </c>
      <c r="BZ119" s="11">
        <f t="shared" si="540"/>
        <v>0</v>
      </c>
      <c r="CA119" s="11">
        <f t="shared" si="540"/>
        <v>0</v>
      </c>
      <c r="CB119" s="11">
        <f t="shared" si="540"/>
        <v>0</v>
      </c>
      <c r="CC119" s="25">
        <f>SUM(CC115:CC118)</f>
        <v>0</v>
      </c>
      <c r="CE119" s="62">
        <f t="shared" ref="CE119:CJ119" si="541">SUM(CE115:CE118)</f>
        <v>0</v>
      </c>
      <c r="CF119" s="63">
        <f t="shared" si="541"/>
        <v>0</v>
      </c>
      <c r="CG119" s="63">
        <f t="shared" si="541"/>
        <v>0</v>
      </c>
      <c r="CH119" s="63">
        <f t="shared" si="541"/>
        <v>0</v>
      </c>
      <c r="CI119" s="63">
        <f t="shared" si="541"/>
        <v>0</v>
      </c>
      <c r="CJ119" s="25">
        <f t="shared" si="541"/>
        <v>0</v>
      </c>
      <c r="CL119" s="10">
        <f>SUM(CL115:CL118)</f>
        <v>0</v>
      </c>
      <c r="CM119" s="11">
        <f t="shared" ref="CM119:CP119" si="542">SUM(CM115:CM118)</f>
        <v>0</v>
      </c>
      <c r="CN119" s="11">
        <f t="shared" si="542"/>
        <v>0</v>
      </c>
      <c r="CO119" s="11">
        <f t="shared" si="542"/>
        <v>0</v>
      </c>
      <c r="CP119" s="11">
        <f t="shared" si="542"/>
        <v>0</v>
      </c>
      <c r="CQ119" s="25">
        <f>SUM(CQ115:CQ118)</f>
        <v>0</v>
      </c>
      <c r="CS119" s="10">
        <f>SUM(CS115:CS118)</f>
        <v>0</v>
      </c>
      <c r="CT119" s="11">
        <f t="shared" ref="CT119:CW119" si="543">SUM(CT115:CT118)</f>
        <v>0</v>
      </c>
      <c r="CU119" s="11">
        <f t="shared" si="543"/>
        <v>0</v>
      </c>
      <c r="CV119" s="11">
        <f t="shared" si="543"/>
        <v>0</v>
      </c>
      <c r="CW119" s="11">
        <f t="shared" si="543"/>
        <v>0</v>
      </c>
      <c r="CX119" s="25">
        <f>SUM(CX115:CX118)</f>
        <v>0</v>
      </c>
      <c r="CZ119" s="10">
        <f>SUM(CZ115:CZ118)</f>
        <v>0</v>
      </c>
      <c r="DA119" s="11">
        <f t="shared" ref="DA119:DD119" si="544">SUM(DA115:DA118)</f>
        <v>0</v>
      </c>
      <c r="DB119" s="11">
        <f t="shared" si="544"/>
        <v>0</v>
      </c>
      <c r="DC119" s="11">
        <f t="shared" si="544"/>
        <v>0</v>
      </c>
      <c r="DD119" s="11">
        <f t="shared" si="544"/>
        <v>0</v>
      </c>
      <c r="DE119" s="25">
        <f>SUM(DE115:DE118)</f>
        <v>0</v>
      </c>
    </row>
    <row r="120" spans="3:109" ht="10.4" customHeight="1" thickBot="1"/>
    <row r="121" spans="3:109">
      <c r="C121" s="553">
        <v>2027</v>
      </c>
      <c r="E121" s="13" t="s">
        <v>59</v>
      </c>
      <c r="F121" s="21">
        <f>CE115</f>
        <v>0</v>
      </c>
      <c r="G121" s="22">
        <f t="shared" ref="G121:G124" si="545">CF115</f>
        <v>0</v>
      </c>
      <c r="H121" s="22">
        <f t="shared" ref="H121:H124" si="546">CG115</f>
        <v>0</v>
      </c>
      <c r="I121" s="22">
        <f t="shared" ref="I121:I124" si="547">CH115</f>
        <v>0</v>
      </c>
      <c r="J121" s="22">
        <f t="shared" ref="J121:J124" si="548">CI115</f>
        <v>0</v>
      </c>
      <c r="K121" s="4">
        <f>SUM(F121:J121)</f>
        <v>0</v>
      </c>
      <c r="M121" s="2"/>
      <c r="N121" s="3"/>
      <c r="O121" s="3"/>
      <c r="P121" s="3"/>
      <c r="Q121" s="3"/>
      <c r="R121" s="4">
        <f>SUM(M121:Q121)</f>
        <v>0</v>
      </c>
      <c r="T121" s="2"/>
      <c r="U121" s="3"/>
      <c r="V121" s="3"/>
      <c r="W121" s="3"/>
      <c r="X121" s="3"/>
      <c r="Y121" s="4">
        <f>SUM(T121:X121)</f>
        <v>0</v>
      </c>
      <c r="AA121" s="2"/>
      <c r="AB121" s="3"/>
      <c r="AC121" s="3"/>
      <c r="AD121" s="3"/>
      <c r="AE121" s="3"/>
      <c r="AF121" s="4">
        <f>SUM(AA121:AE121)</f>
        <v>0</v>
      </c>
      <c r="AH121" s="2"/>
      <c r="AI121" s="3"/>
      <c r="AJ121" s="3"/>
      <c r="AK121" s="3"/>
      <c r="AL121" s="3"/>
      <c r="AM121" s="4">
        <f>SUM(AH121:AL121)</f>
        <v>0</v>
      </c>
      <c r="AO121" s="2"/>
      <c r="AP121" s="3"/>
      <c r="AQ121" s="3"/>
      <c r="AR121" s="3"/>
      <c r="AS121" s="3"/>
      <c r="AT121" s="4">
        <f>SUM(AO121:AS121)</f>
        <v>0</v>
      </c>
      <c r="AV121" s="2"/>
      <c r="AW121" s="3"/>
      <c r="AX121" s="3"/>
      <c r="AY121" s="3"/>
      <c r="AZ121" s="3"/>
      <c r="BA121" s="4">
        <f>SUM(AV121:AZ121)</f>
        <v>0</v>
      </c>
      <c r="BC121" s="2"/>
      <c r="BD121" s="3"/>
      <c r="BE121" s="3"/>
      <c r="BF121" s="3"/>
      <c r="BG121" s="3"/>
      <c r="BH121" s="4">
        <f>SUM(BC121:BG121)</f>
        <v>0</v>
      </c>
      <c r="BJ121" s="2"/>
      <c r="BK121" s="3"/>
      <c r="BL121" s="3"/>
      <c r="BM121" s="3"/>
      <c r="BN121" s="3"/>
      <c r="BO121" s="4">
        <f>SUM(BJ121:BN121)</f>
        <v>0</v>
      </c>
      <c r="BQ121" s="2"/>
      <c r="BR121" s="3"/>
      <c r="BS121" s="3"/>
      <c r="BT121" s="3"/>
      <c r="BU121" s="3"/>
      <c r="BV121" s="4">
        <f>SUM(BQ121:BU121)</f>
        <v>0</v>
      </c>
      <c r="BX121" s="2"/>
      <c r="BY121" s="3"/>
      <c r="BZ121" s="3"/>
      <c r="CA121" s="3"/>
      <c r="CB121" s="3"/>
      <c r="CC121" s="4">
        <f>SUM(BX121:CB121)</f>
        <v>0</v>
      </c>
      <c r="CE121" s="26">
        <f t="shared" ref="CE121:CE124" si="549">F121+M121+T121+AA121+AH121+AO121+AV121+BC121+BJ121+BQ121+BX121</f>
        <v>0</v>
      </c>
      <c r="CF121" s="27">
        <f t="shared" ref="CF121:CF124" si="550">G121+N121+U121+AB121+AI121+AP121+AW121+BD121+BK121+BR121+BY121</f>
        <v>0</v>
      </c>
      <c r="CG121" s="27">
        <f t="shared" ref="CG121:CG124" si="551">H121+O121+V121+AC121+AJ121+AQ121+AX121+BE121+BL121+BS121+BZ121</f>
        <v>0</v>
      </c>
      <c r="CH121" s="27">
        <f t="shared" ref="CH121:CH124" si="552">I121+P121+W121+AD121+AK121+AR121+AY121+BF121+BM121+BT121+CA121</f>
        <v>0</v>
      </c>
      <c r="CI121" s="27">
        <f t="shared" ref="CI121:CI124" si="553">J121+Q121+X121+AE121+AL121+AS121+AZ121+BG121+BN121+BU121+CB121</f>
        <v>0</v>
      </c>
      <c r="CJ121" s="4">
        <f>SUM(CE121:CI121)</f>
        <v>0</v>
      </c>
      <c r="CL121" s="2"/>
      <c r="CM121" s="3"/>
      <c r="CN121" s="3"/>
      <c r="CO121" s="3"/>
      <c r="CP121" s="3"/>
      <c r="CQ121" s="4">
        <f>SUM(CL121:CP121)</f>
        <v>0</v>
      </c>
      <c r="CS121" s="2"/>
      <c r="CT121" s="3"/>
      <c r="CU121" s="3"/>
      <c r="CV121" s="3"/>
      <c r="CW121" s="3"/>
      <c r="CX121" s="4">
        <f>SUM(CS121:CW121)</f>
        <v>0</v>
      </c>
      <c r="CZ121" s="2"/>
      <c r="DA121" s="3"/>
      <c r="DB121" s="3"/>
      <c r="DC121" s="3"/>
      <c r="DD121" s="3"/>
      <c r="DE121" s="4">
        <f>SUM(CZ121:DD121)</f>
        <v>0</v>
      </c>
    </row>
    <row r="122" spans="3:109">
      <c r="C122" s="567"/>
      <c r="E122" s="14" t="s">
        <v>60</v>
      </c>
      <c r="F122" s="23">
        <f t="shared" ref="F122:F124" si="554">CE116</f>
        <v>0</v>
      </c>
      <c r="G122" s="24">
        <f t="shared" si="545"/>
        <v>0</v>
      </c>
      <c r="H122" s="24">
        <f t="shared" si="546"/>
        <v>0</v>
      </c>
      <c r="I122" s="24">
        <f t="shared" si="547"/>
        <v>0</v>
      </c>
      <c r="J122" s="24">
        <f t="shared" si="548"/>
        <v>0</v>
      </c>
      <c r="K122" s="8">
        <f t="shared" ref="K122:K124" si="555">SUM(F122:J122)</f>
        <v>0</v>
      </c>
      <c r="M122" s="6"/>
      <c r="N122" s="7"/>
      <c r="O122" s="7"/>
      <c r="P122" s="7"/>
      <c r="Q122" s="7"/>
      <c r="R122" s="8">
        <f t="shared" ref="R122:R124" si="556">SUM(M122:Q122)</f>
        <v>0</v>
      </c>
      <c r="T122" s="6"/>
      <c r="U122" s="7"/>
      <c r="V122" s="7"/>
      <c r="W122" s="7"/>
      <c r="X122" s="7"/>
      <c r="Y122" s="8">
        <f t="shared" ref="Y122:Y124" si="557">SUM(T122:X122)</f>
        <v>0</v>
      </c>
      <c r="AA122" s="6"/>
      <c r="AB122" s="7"/>
      <c r="AC122" s="7"/>
      <c r="AD122" s="7"/>
      <c r="AE122" s="7"/>
      <c r="AF122" s="8">
        <f>SUM(AA122:AE122)</f>
        <v>0</v>
      </c>
      <c r="AH122" s="6"/>
      <c r="AI122" s="7"/>
      <c r="AJ122" s="7"/>
      <c r="AK122" s="7"/>
      <c r="AL122" s="7"/>
      <c r="AM122" s="8">
        <f>SUM(AH122:AL122)</f>
        <v>0</v>
      </c>
      <c r="AO122" s="6"/>
      <c r="AP122" s="7"/>
      <c r="AQ122" s="7"/>
      <c r="AR122" s="7"/>
      <c r="AS122" s="7"/>
      <c r="AT122" s="8">
        <f>SUM(AO122:AS122)</f>
        <v>0</v>
      </c>
      <c r="AV122" s="6"/>
      <c r="AW122" s="7"/>
      <c r="AX122" s="7"/>
      <c r="AY122" s="7"/>
      <c r="AZ122" s="7"/>
      <c r="BA122" s="8">
        <f>SUM(AV122:AZ122)</f>
        <v>0</v>
      </c>
      <c r="BC122" s="6"/>
      <c r="BD122" s="7"/>
      <c r="BE122" s="7"/>
      <c r="BF122" s="7"/>
      <c r="BG122" s="7"/>
      <c r="BH122" s="8">
        <f>SUM(BC122:BG122)</f>
        <v>0</v>
      </c>
      <c r="BJ122" s="6"/>
      <c r="BK122" s="7"/>
      <c r="BL122" s="7"/>
      <c r="BM122" s="7"/>
      <c r="BN122" s="7"/>
      <c r="BO122" s="8">
        <f>SUM(BJ122:BN122)</f>
        <v>0</v>
      </c>
      <c r="BQ122" s="6"/>
      <c r="BR122" s="7"/>
      <c r="BS122" s="7"/>
      <c r="BT122" s="7"/>
      <c r="BU122" s="7"/>
      <c r="BV122" s="8">
        <f>SUM(BQ122:BU122)</f>
        <v>0</v>
      </c>
      <c r="BX122" s="6"/>
      <c r="BY122" s="7"/>
      <c r="BZ122" s="7"/>
      <c r="CA122" s="7"/>
      <c r="CB122" s="7"/>
      <c r="CC122" s="8">
        <f>SUM(BX122:CB122)</f>
        <v>0</v>
      </c>
      <c r="CE122" s="28">
        <f t="shared" si="549"/>
        <v>0</v>
      </c>
      <c r="CF122" s="29">
        <f t="shared" si="550"/>
        <v>0</v>
      </c>
      <c r="CG122" s="29">
        <f t="shared" si="551"/>
        <v>0</v>
      </c>
      <c r="CH122" s="29">
        <f t="shared" si="552"/>
        <v>0</v>
      </c>
      <c r="CI122" s="29">
        <f t="shared" si="553"/>
        <v>0</v>
      </c>
      <c r="CJ122" s="8">
        <f>SUM(CE122:CI122)</f>
        <v>0</v>
      </c>
      <c r="CL122" s="6"/>
      <c r="CM122" s="7"/>
      <c r="CN122" s="7"/>
      <c r="CO122" s="7"/>
      <c r="CP122" s="7"/>
      <c r="CQ122" s="8">
        <f>SUM(CL122:CP122)</f>
        <v>0</v>
      </c>
      <c r="CS122" s="6"/>
      <c r="CT122" s="7"/>
      <c r="CU122" s="7"/>
      <c r="CV122" s="7"/>
      <c r="CW122" s="7"/>
      <c r="CX122" s="8">
        <f t="shared" ref="CX122:CX124" si="558">SUM(CS122:CW122)</f>
        <v>0</v>
      </c>
      <c r="CZ122" s="6"/>
      <c r="DA122" s="7"/>
      <c r="DB122" s="7"/>
      <c r="DC122" s="7"/>
      <c r="DD122" s="7"/>
      <c r="DE122" s="8">
        <f t="shared" ref="DE122:DE124" si="559">SUM(CZ122:DD122)</f>
        <v>0</v>
      </c>
    </row>
    <row r="123" spans="3:109">
      <c r="C123" s="567"/>
      <c r="E123" s="14" t="s">
        <v>61</v>
      </c>
      <c r="F123" s="23">
        <f t="shared" si="554"/>
        <v>0</v>
      </c>
      <c r="G123" s="24">
        <f t="shared" si="545"/>
        <v>0</v>
      </c>
      <c r="H123" s="24">
        <f t="shared" si="546"/>
        <v>0</v>
      </c>
      <c r="I123" s="24">
        <f t="shared" si="547"/>
        <v>0</v>
      </c>
      <c r="J123" s="24">
        <f t="shared" si="548"/>
        <v>0</v>
      </c>
      <c r="K123" s="8">
        <f t="shared" si="555"/>
        <v>0</v>
      </c>
      <c r="M123" s="6"/>
      <c r="N123" s="7"/>
      <c r="O123" s="7"/>
      <c r="P123" s="7"/>
      <c r="Q123" s="7"/>
      <c r="R123" s="8">
        <f t="shared" si="556"/>
        <v>0</v>
      </c>
      <c r="T123" s="6"/>
      <c r="U123" s="7"/>
      <c r="V123" s="7"/>
      <c r="W123" s="7"/>
      <c r="X123" s="7"/>
      <c r="Y123" s="8">
        <f t="shared" si="557"/>
        <v>0</v>
      </c>
      <c r="AA123" s="6"/>
      <c r="AB123" s="7"/>
      <c r="AC123" s="7"/>
      <c r="AD123" s="7"/>
      <c r="AE123" s="7"/>
      <c r="AF123" s="8">
        <f>SUM(AA123:AE123)</f>
        <v>0</v>
      </c>
      <c r="AH123" s="6"/>
      <c r="AI123" s="7"/>
      <c r="AJ123" s="7"/>
      <c r="AK123" s="7"/>
      <c r="AL123" s="7"/>
      <c r="AM123" s="8">
        <f>SUM(AH123:AL123)</f>
        <v>0</v>
      </c>
      <c r="AO123" s="6"/>
      <c r="AP123" s="7"/>
      <c r="AQ123" s="7"/>
      <c r="AR123" s="7"/>
      <c r="AS123" s="7"/>
      <c r="AT123" s="8">
        <f>SUM(AO123:AS123)</f>
        <v>0</v>
      </c>
      <c r="AV123" s="6"/>
      <c r="AW123" s="7"/>
      <c r="AX123" s="7"/>
      <c r="AY123" s="7"/>
      <c r="AZ123" s="7"/>
      <c r="BA123" s="8">
        <f>SUM(AV123:AZ123)</f>
        <v>0</v>
      </c>
      <c r="BC123" s="6"/>
      <c r="BD123" s="7"/>
      <c r="BE123" s="7"/>
      <c r="BF123" s="7"/>
      <c r="BG123" s="7"/>
      <c r="BH123" s="8">
        <f>SUM(BC123:BG123)</f>
        <v>0</v>
      </c>
      <c r="BJ123" s="6"/>
      <c r="BK123" s="7"/>
      <c r="BL123" s="7"/>
      <c r="BM123" s="7"/>
      <c r="BN123" s="7"/>
      <c r="BO123" s="8">
        <f>SUM(BJ123:BN123)</f>
        <v>0</v>
      </c>
      <c r="BQ123" s="6"/>
      <c r="BR123" s="7"/>
      <c r="BS123" s="7"/>
      <c r="BT123" s="7"/>
      <c r="BU123" s="7"/>
      <c r="BV123" s="8">
        <f>SUM(BQ123:BU123)</f>
        <v>0</v>
      </c>
      <c r="BX123" s="6"/>
      <c r="BY123" s="7"/>
      <c r="BZ123" s="7"/>
      <c r="CA123" s="7"/>
      <c r="CB123" s="7"/>
      <c r="CC123" s="8">
        <f>SUM(BX123:CB123)</f>
        <v>0</v>
      </c>
      <c r="CE123" s="28">
        <f t="shared" si="549"/>
        <v>0</v>
      </c>
      <c r="CF123" s="29">
        <f t="shared" si="550"/>
        <v>0</v>
      </c>
      <c r="CG123" s="29">
        <f t="shared" si="551"/>
        <v>0</v>
      </c>
      <c r="CH123" s="29">
        <f t="shared" si="552"/>
        <v>0</v>
      </c>
      <c r="CI123" s="29">
        <f t="shared" si="553"/>
        <v>0</v>
      </c>
      <c r="CJ123" s="8">
        <f>SUM(CE123:CI123)</f>
        <v>0</v>
      </c>
      <c r="CL123" s="6"/>
      <c r="CM123" s="7"/>
      <c r="CN123" s="7"/>
      <c r="CO123" s="7"/>
      <c r="CP123" s="7"/>
      <c r="CQ123" s="8">
        <f>SUM(CL123:CP123)</f>
        <v>0</v>
      </c>
      <c r="CS123" s="6"/>
      <c r="CT123" s="7"/>
      <c r="CU123" s="7"/>
      <c r="CV123" s="7"/>
      <c r="CW123" s="7"/>
      <c r="CX123" s="8">
        <f t="shared" si="558"/>
        <v>0</v>
      </c>
      <c r="CZ123" s="6"/>
      <c r="DA123" s="7"/>
      <c r="DB123" s="7"/>
      <c r="DC123" s="7"/>
      <c r="DD123" s="7"/>
      <c r="DE123" s="8">
        <f t="shared" si="559"/>
        <v>0</v>
      </c>
    </row>
    <row r="124" spans="3:109" ht="14" thickBot="1">
      <c r="C124" s="567"/>
      <c r="E124" s="14" t="s">
        <v>62</v>
      </c>
      <c r="F124" s="23">
        <f t="shared" si="554"/>
        <v>0</v>
      </c>
      <c r="G124" s="24">
        <f t="shared" si="545"/>
        <v>0</v>
      </c>
      <c r="H124" s="24">
        <f t="shared" si="546"/>
        <v>0</v>
      </c>
      <c r="I124" s="24">
        <f t="shared" si="547"/>
        <v>0</v>
      </c>
      <c r="J124" s="24">
        <f t="shared" si="548"/>
        <v>0</v>
      </c>
      <c r="K124" s="8">
        <f t="shared" si="555"/>
        <v>0</v>
      </c>
      <c r="M124" s="6"/>
      <c r="N124" s="7"/>
      <c r="O124" s="7"/>
      <c r="P124" s="7"/>
      <c r="Q124" s="7"/>
      <c r="R124" s="8">
        <f t="shared" si="556"/>
        <v>0</v>
      </c>
      <c r="T124" s="6"/>
      <c r="U124" s="7"/>
      <c r="V124" s="7"/>
      <c r="W124" s="7"/>
      <c r="X124" s="7"/>
      <c r="Y124" s="8">
        <f t="shared" si="557"/>
        <v>0</v>
      </c>
      <c r="AA124" s="6"/>
      <c r="AB124" s="7"/>
      <c r="AC124" s="7"/>
      <c r="AD124" s="7"/>
      <c r="AE124" s="7"/>
      <c r="AF124" s="8">
        <f>SUM(AA124:AE124)</f>
        <v>0</v>
      </c>
      <c r="AH124" s="6"/>
      <c r="AI124" s="7"/>
      <c r="AJ124" s="7"/>
      <c r="AK124" s="7"/>
      <c r="AL124" s="7"/>
      <c r="AM124" s="8">
        <f>SUM(AH124:AL124)</f>
        <v>0</v>
      </c>
      <c r="AO124" s="6"/>
      <c r="AP124" s="7"/>
      <c r="AQ124" s="7"/>
      <c r="AR124" s="7"/>
      <c r="AS124" s="7"/>
      <c r="AT124" s="8">
        <f>SUM(AO124:AS124)</f>
        <v>0</v>
      </c>
      <c r="AV124" s="6"/>
      <c r="AW124" s="7"/>
      <c r="AX124" s="7"/>
      <c r="AY124" s="7"/>
      <c r="AZ124" s="7"/>
      <c r="BA124" s="8">
        <f>SUM(AV124:AZ124)</f>
        <v>0</v>
      </c>
      <c r="BC124" s="6"/>
      <c r="BD124" s="7"/>
      <c r="BE124" s="7"/>
      <c r="BF124" s="7"/>
      <c r="BG124" s="7"/>
      <c r="BH124" s="8">
        <f>SUM(BC124:BG124)</f>
        <v>0</v>
      </c>
      <c r="BJ124" s="6"/>
      <c r="BK124" s="7"/>
      <c r="BL124" s="7"/>
      <c r="BM124" s="7"/>
      <c r="BN124" s="7"/>
      <c r="BO124" s="8">
        <f>SUM(BJ124:BN124)</f>
        <v>0</v>
      </c>
      <c r="BQ124" s="6"/>
      <c r="BR124" s="7"/>
      <c r="BS124" s="7"/>
      <c r="BT124" s="7"/>
      <c r="BU124" s="7"/>
      <c r="BV124" s="8">
        <f>SUM(BQ124:BU124)</f>
        <v>0</v>
      </c>
      <c r="BX124" s="6"/>
      <c r="BY124" s="7"/>
      <c r="BZ124" s="7"/>
      <c r="CA124" s="7"/>
      <c r="CB124" s="7"/>
      <c r="CC124" s="8">
        <f>SUM(BX124:CB124)</f>
        <v>0</v>
      </c>
      <c r="CE124" s="493">
        <f t="shared" si="549"/>
        <v>0</v>
      </c>
      <c r="CF124" s="494">
        <f t="shared" si="550"/>
        <v>0</v>
      </c>
      <c r="CG124" s="494">
        <f t="shared" si="551"/>
        <v>0</v>
      </c>
      <c r="CH124" s="494">
        <f t="shared" si="552"/>
        <v>0</v>
      </c>
      <c r="CI124" s="494">
        <f t="shared" si="553"/>
        <v>0</v>
      </c>
      <c r="CJ124" s="495">
        <f>SUM(CE124:CI124)</f>
        <v>0</v>
      </c>
      <c r="CL124" s="6"/>
      <c r="CM124" s="7"/>
      <c r="CN124" s="7"/>
      <c r="CO124" s="7"/>
      <c r="CP124" s="7"/>
      <c r="CQ124" s="8">
        <f>SUM(CL124:CP124)</f>
        <v>0</v>
      </c>
      <c r="CS124" s="6"/>
      <c r="CT124" s="7"/>
      <c r="CU124" s="7"/>
      <c r="CV124" s="7"/>
      <c r="CW124" s="7"/>
      <c r="CX124" s="8">
        <f t="shared" si="558"/>
        <v>0</v>
      </c>
      <c r="CZ124" s="6"/>
      <c r="DA124" s="7"/>
      <c r="DB124" s="7"/>
      <c r="DC124" s="7"/>
      <c r="DD124" s="7"/>
      <c r="DE124" s="8">
        <f t="shared" si="559"/>
        <v>0</v>
      </c>
    </row>
    <row r="125" spans="3:109" ht="14" thickBot="1">
      <c r="C125" s="554"/>
      <c r="E125" s="9"/>
      <c r="F125" s="10">
        <f>SUM(F121:F124)</f>
        <v>0</v>
      </c>
      <c r="G125" s="11">
        <f t="shared" ref="G125:J125" si="560">SUM(G121:G124)</f>
        <v>0</v>
      </c>
      <c r="H125" s="11">
        <f t="shared" si="560"/>
        <v>0</v>
      </c>
      <c r="I125" s="11">
        <f t="shared" si="560"/>
        <v>0</v>
      </c>
      <c r="J125" s="11">
        <f t="shared" si="560"/>
        <v>0</v>
      </c>
      <c r="K125" s="25">
        <f>SUM(K121:K124)</f>
        <v>0</v>
      </c>
      <c r="M125" s="10">
        <f>SUM(M121:M124)</f>
        <v>0</v>
      </c>
      <c r="N125" s="11">
        <f t="shared" ref="N125:Q125" si="561">SUM(N121:N124)</f>
        <v>0</v>
      </c>
      <c r="O125" s="11">
        <f t="shared" si="561"/>
        <v>0</v>
      </c>
      <c r="P125" s="11">
        <f t="shared" si="561"/>
        <v>0</v>
      </c>
      <c r="Q125" s="11">
        <f t="shared" si="561"/>
        <v>0</v>
      </c>
      <c r="R125" s="25">
        <f>SUM(R121:R124)</f>
        <v>0</v>
      </c>
      <c r="T125" s="10">
        <f>SUM(T121:T124)</f>
        <v>0</v>
      </c>
      <c r="U125" s="11">
        <f t="shared" ref="U125:X125" si="562">SUM(U121:U124)</f>
        <v>0</v>
      </c>
      <c r="V125" s="11">
        <f t="shared" si="562"/>
        <v>0</v>
      </c>
      <c r="W125" s="11">
        <f t="shared" si="562"/>
        <v>0</v>
      </c>
      <c r="X125" s="11">
        <f t="shared" si="562"/>
        <v>0</v>
      </c>
      <c r="Y125" s="25">
        <f>SUM(Y121:Y124)</f>
        <v>0</v>
      </c>
      <c r="AA125" s="10">
        <f>SUM(AA121:AA124)</f>
        <v>0</v>
      </c>
      <c r="AB125" s="11">
        <f t="shared" ref="AB125:AE125" si="563">SUM(AB121:AB124)</f>
        <v>0</v>
      </c>
      <c r="AC125" s="11">
        <f t="shared" si="563"/>
        <v>0</v>
      </c>
      <c r="AD125" s="11">
        <f t="shared" si="563"/>
        <v>0</v>
      </c>
      <c r="AE125" s="11">
        <f t="shared" si="563"/>
        <v>0</v>
      </c>
      <c r="AF125" s="25">
        <f>SUM(AF121:AF124)</f>
        <v>0</v>
      </c>
      <c r="AH125" s="10">
        <f>SUM(AH121:AH124)</f>
        <v>0</v>
      </c>
      <c r="AI125" s="11">
        <f t="shared" ref="AI125:AL125" si="564">SUM(AI121:AI124)</f>
        <v>0</v>
      </c>
      <c r="AJ125" s="11">
        <f t="shared" si="564"/>
        <v>0</v>
      </c>
      <c r="AK125" s="11">
        <f t="shared" si="564"/>
        <v>0</v>
      </c>
      <c r="AL125" s="11">
        <f t="shared" si="564"/>
        <v>0</v>
      </c>
      <c r="AM125" s="25">
        <f>SUM(AM121:AM124)</f>
        <v>0</v>
      </c>
      <c r="AO125" s="10">
        <f>SUM(AO121:AO124)</f>
        <v>0</v>
      </c>
      <c r="AP125" s="11">
        <f t="shared" ref="AP125:AS125" si="565">SUM(AP121:AP124)</f>
        <v>0</v>
      </c>
      <c r="AQ125" s="11">
        <f t="shared" si="565"/>
        <v>0</v>
      </c>
      <c r="AR125" s="11">
        <f t="shared" si="565"/>
        <v>0</v>
      </c>
      <c r="AS125" s="11">
        <f t="shared" si="565"/>
        <v>0</v>
      </c>
      <c r="AT125" s="25">
        <f>SUM(AT121:AT124)</f>
        <v>0</v>
      </c>
      <c r="AV125" s="10">
        <f>SUM(AV121:AV124)</f>
        <v>0</v>
      </c>
      <c r="AW125" s="11">
        <f t="shared" ref="AW125:AZ125" si="566">SUM(AW121:AW124)</f>
        <v>0</v>
      </c>
      <c r="AX125" s="11">
        <f t="shared" si="566"/>
        <v>0</v>
      </c>
      <c r="AY125" s="11">
        <f t="shared" si="566"/>
        <v>0</v>
      </c>
      <c r="AZ125" s="11">
        <f t="shared" si="566"/>
        <v>0</v>
      </c>
      <c r="BA125" s="25">
        <f>SUM(BA121:BA124)</f>
        <v>0</v>
      </c>
      <c r="BC125" s="10">
        <f>SUM(BC121:BC124)</f>
        <v>0</v>
      </c>
      <c r="BD125" s="11">
        <f t="shared" ref="BD125:BG125" si="567">SUM(BD121:BD124)</f>
        <v>0</v>
      </c>
      <c r="BE125" s="11">
        <f t="shared" si="567"/>
        <v>0</v>
      </c>
      <c r="BF125" s="11">
        <f t="shared" si="567"/>
        <v>0</v>
      </c>
      <c r="BG125" s="11">
        <f t="shared" si="567"/>
        <v>0</v>
      </c>
      <c r="BH125" s="25">
        <f>SUM(BH121:BH124)</f>
        <v>0</v>
      </c>
      <c r="BJ125" s="10">
        <f>SUM(BJ121:BJ124)</f>
        <v>0</v>
      </c>
      <c r="BK125" s="11">
        <f t="shared" ref="BK125:BN125" si="568">SUM(BK121:BK124)</f>
        <v>0</v>
      </c>
      <c r="BL125" s="11">
        <f t="shared" si="568"/>
        <v>0</v>
      </c>
      <c r="BM125" s="11">
        <f t="shared" si="568"/>
        <v>0</v>
      </c>
      <c r="BN125" s="11">
        <f t="shared" si="568"/>
        <v>0</v>
      </c>
      <c r="BO125" s="25">
        <f>SUM(BO121:BO124)</f>
        <v>0</v>
      </c>
      <c r="BQ125" s="10">
        <f>SUM(BQ121:BQ124)</f>
        <v>0</v>
      </c>
      <c r="BR125" s="11">
        <f t="shared" ref="BR125:BU125" si="569">SUM(BR121:BR124)</f>
        <v>0</v>
      </c>
      <c r="BS125" s="11">
        <f t="shared" si="569"/>
        <v>0</v>
      </c>
      <c r="BT125" s="11">
        <f t="shared" si="569"/>
        <v>0</v>
      </c>
      <c r="BU125" s="11">
        <f t="shared" si="569"/>
        <v>0</v>
      </c>
      <c r="BV125" s="25">
        <f>SUM(BV121:BV124)</f>
        <v>0</v>
      </c>
      <c r="BX125" s="10">
        <f>SUM(BX121:BX124)</f>
        <v>0</v>
      </c>
      <c r="BY125" s="11">
        <f t="shared" ref="BY125:CB125" si="570">SUM(BY121:BY124)</f>
        <v>0</v>
      </c>
      <c r="BZ125" s="11">
        <f t="shared" si="570"/>
        <v>0</v>
      </c>
      <c r="CA125" s="11">
        <f t="shared" si="570"/>
        <v>0</v>
      </c>
      <c r="CB125" s="11">
        <f t="shared" si="570"/>
        <v>0</v>
      </c>
      <c r="CC125" s="25">
        <f>SUM(CC121:CC124)</f>
        <v>0</v>
      </c>
      <c r="CE125" s="62">
        <f t="shared" ref="CE125:CJ125" si="571">SUM(CE121:CE124)</f>
        <v>0</v>
      </c>
      <c r="CF125" s="63">
        <f t="shared" si="571"/>
        <v>0</v>
      </c>
      <c r="CG125" s="63">
        <f t="shared" si="571"/>
        <v>0</v>
      </c>
      <c r="CH125" s="63">
        <f t="shared" si="571"/>
        <v>0</v>
      </c>
      <c r="CI125" s="63">
        <f t="shared" si="571"/>
        <v>0</v>
      </c>
      <c r="CJ125" s="25">
        <f t="shared" si="571"/>
        <v>0</v>
      </c>
      <c r="CL125" s="10">
        <f>SUM(CL121:CL124)</f>
        <v>0</v>
      </c>
      <c r="CM125" s="11">
        <f t="shared" ref="CM125:CP125" si="572">SUM(CM121:CM124)</f>
        <v>0</v>
      </c>
      <c r="CN125" s="11">
        <f t="shared" si="572"/>
        <v>0</v>
      </c>
      <c r="CO125" s="11">
        <f t="shared" si="572"/>
        <v>0</v>
      </c>
      <c r="CP125" s="11">
        <f t="shared" si="572"/>
        <v>0</v>
      </c>
      <c r="CQ125" s="25">
        <f>SUM(CQ121:CQ124)</f>
        <v>0</v>
      </c>
      <c r="CS125" s="10">
        <f>SUM(CS121:CS124)</f>
        <v>0</v>
      </c>
      <c r="CT125" s="11">
        <f t="shared" ref="CT125:CW125" si="573">SUM(CT121:CT124)</f>
        <v>0</v>
      </c>
      <c r="CU125" s="11">
        <f t="shared" si="573"/>
        <v>0</v>
      </c>
      <c r="CV125" s="11">
        <f t="shared" si="573"/>
        <v>0</v>
      </c>
      <c r="CW125" s="11">
        <f t="shared" si="573"/>
        <v>0</v>
      </c>
      <c r="CX125" s="25">
        <f>SUM(CX121:CX124)</f>
        <v>0</v>
      </c>
      <c r="CZ125" s="10">
        <f>SUM(CZ121:CZ124)</f>
        <v>0</v>
      </c>
      <c r="DA125" s="11">
        <f t="shared" ref="DA125:DD125" si="574">SUM(DA121:DA124)</f>
        <v>0</v>
      </c>
      <c r="DB125" s="11">
        <f t="shared" si="574"/>
        <v>0</v>
      </c>
      <c r="DC125" s="11">
        <f t="shared" si="574"/>
        <v>0</v>
      </c>
      <c r="DD125" s="11">
        <f t="shared" si="574"/>
        <v>0</v>
      </c>
      <c r="DE125" s="25">
        <f>SUM(DE121:DE124)</f>
        <v>0</v>
      </c>
    </row>
    <row r="126" spans="3:109" ht="10.4" customHeight="1" thickBot="1"/>
    <row r="127" spans="3:109">
      <c r="C127" s="553">
        <v>2028</v>
      </c>
      <c r="E127" s="13" t="s">
        <v>59</v>
      </c>
      <c r="F127" s="21">
        <f>CE121</f>
        <v>0</v>
      </c>
      <c r="G127" s="22">
        <f t="shared" ref="G127:G130" si="575">CF121</f>
        <v>0</v>
      </c>
      <c r="H127" s="22">
        <f t="shared" ref="H127:H130" si="576">CG121</f>
        <v>0</v>
      </c>
      <c r="I127" s="22">
        <f t="shared" ref="I127:I130" si="577">CH121</f>
        <v>0</v>
      </c>
      <c r="J127" s="22">
        <f t="shared" ref="J127:J130" si="578">CI121</f>
        <v>0</v>
      </c>
      <c r="K127" s="4">
        <f>SUM(F127:J127)</f>
        <v>0</v>
      </c>
      <c r="M127" s="2"/>
      <c r="N127" s="3"/>
      <c r="O127" s="3"/>
      <c r="P127" s="3"/>
      <c r="Q127" s="3"/>
      <c r="R127" s="4">
        <f>SUM(M127:Q127)</f>
        <v>0</v>
      </c>
      <c r="T127" s="2"/>
      <c r="U127" s="3"/>
      <c r="V127" s="3"/>
      <c r="W127" s="3"/>
      <c r="X127" s="3"/>
      <c r="Y127" s="4">
        <f>SUM(T127:X127)</f>
        <v>0</v>
      </c>
      <c r="AA127" s="2"/>
      <c r="AB127" s="3"/>
      <c r="AC127" s="3"/>
      <c r="AD127" s="3"/>
      <c r="AE127" s="3"/>
      <c r="AF127" s="4">
        <f>SUM(AA127:AE127)</f>
        <v>0</v>
      </c>
      <c r="AH127" s="2"/>
      <c r="AI127" s="3"/>
      <c r="AJ127" s="3"/>
      <c r="AK127" s="3"/>
      <c r="AL127" s="3"/>
      <c r="AM127" s="4">
        <f>SUM(AH127:AL127)</f>
        <v>0</v>
      </c>
      <c r="AO127" s="2"/>
      <c r="AP127" s="3"/>
      <c r="AQ127" s="3"/>
      <c r="AR127" s="3"/>
      <c r="AS127" s="3"/>
      <c r="AT127" s="4">
        <f>SUM(AO127:AS127)</f>
        <v>0</v>
      </c>
      <c r="AV127" s="2"/>
      <c r="AW127" s="3"/>
      <c r="AX127" s="3"/>
      <c r="AY127" s="3"/>
      <c r="AZ127" s="3"/>
      <c r="BA127" s="4">
        <f>SUM(AV127:AZ127)</f>
        <v>0</v>
      </c>
      <c r="BC127" s="2"/>
      <c r="BD127" s="3"/>
      <c r="BE127" s="3"/>
      <c r="BF127" s="3"/>
      <c r="BG127" s="3"/>
      <c r="BH127" s="4">
        <f>SUM(BC127:BG127)</f>
        <v>0</v>
      </c>
      <c r="BJ127" s="2"/>
      <c r="BK127" s="3"/>
      <c r="BL127" s="3"/>
      <c r="BM127" s="3"/>
      <c r="BN127" s="3"/>
      <c r="BO127" s="4">
        <f>SUM(BJ127:BN127)</f>
        <v>0</v>
      </c>
      <c r="BQ127" s="2"/>
      <c r="BR127" s="3"/>
      <c r="BS127" s="3"/>
      <c r="BT127" s="3"/>
      <c r="BU127" s="3"/>
      <c r="BV127" s="4">
        <f>SUM(BQ127:BU127)</f>
        <v>0</v>
      </c>
      <c r="BX127" s="2"/>
      <c r="BY127" s="3"/>
      <c r="BZ127" s="3"/>
      <c r="CA127" s="3"/>
      <c r="CB127" s="3"/>
      <c r="CC127" s="4">
        <f>SUM(BX127:CB127)</f>
        <v>0</v>
      </c>
      <c r="CE127" s="26">
        <f t="shared" ref="CE127:CE130" si="579">F127+M127+T127+AA127+AH127+AO127+AV127+BC127+BJ127+BQ127+BX127</f>
        <v>0</v>
      </c>
      <c r="CF127" s="27">
        <f t="shared" ref="CF127:CF130" si="580">G127+N127+U127+AB127+AI127+AP127+AW127+BD127+BK127+BR127+BY127</f>
        <v>0</v>
      </c>
      <c r="CG127" s="27">
        <f t="shared" ref="CG127:CG130" si="581">H127+O127+V127+AC127+AJ127+AQ127+AX127+BE127+BL127+BS127+BZ127</f>
        <v>0</v>
      </c>
      <c r="CH127" s="27">
        <f t="shared" ref="CH127:CH130" si="582">I127+P127+W127+AD127+AK127+AR127+AY127+BF127+BM127+BT127+CA127</f>
        <v>0</v>
      </c>
      <c r="CI127" s="27">
        <f t="shared" ref="CI127:CI130" si="583">J127+Q127+X127+AE127+AL127+AS127+AZ127+BG127+BN127+BU127+CB127</f>
        <v>0</v>
      </c>
      <c r="CJ127" s="4">
        <f>SUM(CE127:CI127)</f>
        <v>0</v>
      </c>
      <c r="CL127" s="2"/>
      <c r="CM127" s="3"/>
      <c r="CN127" s="3"/>
      <c r="CO127" s="3"/>
      <c r="CP127" s="3"/>
      <c r="CQ127" s="4">
        <f>SUM(CL127:CP127)</f>
        <v>0</v>
      </c>
      <c r="CS127" s="2"/>
      <c r="CT127" s="3"/>
      <c r="CU127" s="3"/>
      <c r="CV127" s="3"/>
      <c r="CW127" s="3"/>
      <c r="CX127" s="4">
        <f>SUM(CS127:CW127)</f>
        <v>0</v>
      </c>
      <c r="CZ127" s="2"/>
      <c r="DA127" s="3"/>
      <c r="DB127" s="3"/>
      <c r="DC127" s="3"/>
      <c r="DD127" s="3"/>
      <c r="DE127" s="4">
        <f>SUM(CZ127:DD127)</f>
        <v>0</v>
      </c>
    </row>
    <row r="128" spans="3:109">
      <c r="C128" s="567"/>
      <c r="E128" s="14" t="s">
        <v>60</v>
      </c>
      <c r="F128" s="23">
        <f t="shared" ref="F128:F130" si="584">CE122</f>
        <v>0</v>
      </c>
      <c r="G128" s="24">
        <f t="shared" si="575"/>
        <v>0</v>
      </c>
      <c r="H128" s="24">
        <f t="shared" si="576"/>
        <v>0</v>
      </c>
      <c r="I128" s="24">
        <f t="shared" si="577"/>
        <v>0</v>
      </c>
      <c r="J128" s="24">
        <f t="shared" si="578"/>
        <v>0</v>
      </c>
      <c r="K128" s="8">
        <f t="shared" ref="K128:K130" si="585">SUM(F128:J128)</f>
        <v>0</v>
      </c>
      <c r="M128" s="6"/>
      <c r="N128" s="7"/>
      <c r="O128" s="7"/>
      <c r="P128" s="7"/>
      <c r="Q128" s="7"/>
      <c r="R128" s="8">
        <f t="shared" ref="R128:R130" si="586">SUM(M128:Q128)</f>
        <v>0</v>
      </c>
      <c r="T128" s="6"/>
      <c r="U128" s="7"/>
      <c r="V128" s="7"/>
      <c r="W128" s="7"/>
      <c r="X128" s="7"/>
      <c r="Y128" s="8">
        <f t="shared" ref="Y128:Y130" si="587">SUM(T128:X128)</f>
        <v>0</v>
      </c>
      <c r="AA128" s="6"/>
      <c r="AB128" s="7"/>
      <c r="AC128" s="7"/>
      <c r="AD128" s="7"/>
      <c r="AE128" s="7"/>
      <c r="AF128" s="8">
        <f>SUM(AA128:AE128)</f>
        <v>0</v>
      </c>
      <c r="AH128" s="6"/>
      <c r="AI128" s="7"/>
      <c r="AJ128" s="7"/>
      <c r="AK128" s="7"/>
      <c r="AL128" s="7"/>
      <c r="AM128" s="8">
        <f>SUM(AH128:AL128)</f>
        <v>0</v>
      </c>
      <c r="AO128" s="6"/>
      <c r="AP128" s="7"/>
      <c r="AQ128" s="7"/>
      <c r="AR128" s="7"/>
      <c r="AS128" s="7"/>
      <c r="AT128" s="8">
        <f>SUM(AO128:AS128)</f>
        <v>0</v>
      </c>
      <c r="AV128" s="6"/>
      <c r="AW128" s="7"/>
      <c r="AX128" s="7"/>
      <c r="AY128" s="7"/>
      <c r="AZ128" s="7"/>
      <c r="BA128" s="8">
        <f>SUM(AV128:AZ128)</f>
        <v>0</v>
      </c>
      <c r="BC128" s="6"/>
      <c r="BD128" s="7"/>
      <c r="BE128" s="7"/>
      <c r="BF128" s="7"/>
      <c r="BG128" s="7"/>
      <c r="BH128" s="8">
        <f>SUM(BC128:BG128)</f>
        <v>0</v>
      </c>
      <c r="BJ128" s="6"/>
      <c r="BK128" s="7"/>
      <c r="BL128" s="7"/>
      <c r="BM128" s="7"/>
      <c r="BN128" s="7"/>
      <c r="BO128" s="8">
        <f>SUM(BJ128:BN128)</f>
        <v>0</v>
      </c>
      <c r="BQ128" s="6"/>
      <c r="BR128" s="7"/>
      <c r="BS128" s="7"/>
      <c r="BT128" s="7"/>
      <c r="BU128" s="7"/>
      <c r="BV128" s="8">
        <f>SUM(BQ128:BU128)</f>
        <v>0</v>
      </c>
      <c r="BX128" s="6"/>
      <c r="BY128" s="7"/>
      <c r="BZ128" s="7"/>
      <c r="CA128" s="7"/>
      <c r="CB128" s="7"/>
      <c r="CC128" s="8">
        <f>SUM(BX128:CB128)</f>
        <v>0</v>
      </c>
      <c r="CE128" s="28">
        <f t="shared" si="579"/>
        <v>0</v>
      </c>
      <c r="CF128" s="29">
        <f t="shared" si="580"/>
        <v>0</v>
      </c>
      <c r="CG128" s="29">
        <f t="shared" si="581"/>
        <v>0</v>
      </c>
      <c r="CH128" s="29">
        <f t="shared" si="582"/>
        <v>0</v>
      </c>
      <c r="CI128" s="29">
        <f t="shared" si="583"/>
        <v>0</v>
      </c>
      <c r="CJ128" s="8">
        <f>SUM(CE128:CI128)</f>
        <v>0</v>
      </c>
      <c r="CL128" s="6"/>
      <c r="CM128" s="7"/>
      <c r="CN128" s="7"/>
      <c r="CO128" s="7"/>
      <c r="CP128" s="7"/>
      <c r="CQ128" s="8">
        <f>SUM(CL128:CP128)</f>
        <v>0</v>
      </c>
      <c r="CS128" s="6"/>
      <c r="CT128" s="7"/>
      <c r="CU128" s="7"/>
      <c r="CV128" s="7"/>
      <c r="CW128" s="7"/>
      <c r="CX128" s="8">
        <f t="shared" ref="CX128:CX130" si="588">SUM(CS128:CW128)</f>
        <v>0</v>
      </c>
      <c r="CZ128" s="6"/>
      <c r="DA128" s="7"/>
      <c r="DB128" s="7"/>
      <c r="DC128" s="7"/>
      <c r="DD128" s="7"/>
      <c r="DE128" s="8">
        <f t="shared" ref="DE128:DE130" si="589">SUM(CZ128:DD128)</f>
        <v>0</v>
      </c>
    </row>
    <row r="129" spans="2:109">
      <c r="C129" s="567"/>
      <c r="E129" s="14" t="s">
        <v>61</v>
      </c>
      <c r="F129" s="23">
        <f t="shared" si="584"/>
        <v>0</v>
      </c>
      <c r="G129" s="24">
        <f t="shared" si="575"/>
        <v>0</v>
      </c>
      <c r="H129" s="24">
        <f t="shared" si="576"/>
        <v>0</v>
      </c>
      <c r="I129" s="24">
        <f t="shared" si="577"/>
        <v>0</v>
      </c>
      <c r="J129" s="24">
        <f t="shared" si="578"/>
        <v>0</v>
      </c>
      <c r="K129" s="8">
        <f t="shared" si="585"/>
        <v>0</v>
      </c>
      <c r="M129" s="6"/>
      <c r="N129" s="7"/>
      <c r="O129" s="7"/>
      <c r="P129" s="7"/>
      <c r="Q129" s="7"/>
      <c r="R129" s="8">
        <f t="shared" si="586"/>
        <v>0</v>
      </c>
      <c r="T129" s="6"/>
      <c r="U129" s="7"/>
      <c r="V129" s="7"/>
      <c r="W129" s="7"/>
      <c r="X129" s="7"/>
      <c r="Y129" s="8">
        <f t="shared" si="587"/>
        <v>0</v>
      </c>
      <c r="AA129" s="6"/>
      <c r="AB129" s="7"/>
      <c r="AC129" s="7"/>
      <c r="AD129" s="7"/>
      <c r="AE129" s="7"/>
      <c r="AF129" s="8">
        <f>SUM(AA129:AE129)</f>
        <v>0</v>
      </c>
      <c r="AH129" s="6"/>
      <c r="AI129" s="7"/>
      <c r="AJ129" s="7"/>
      <c r="AK129" s="7"/>
      <c r="AL129" s="7"/>
      <c r="AM129" s="8">
        <f>SUM(AH129:AL129)</f>
        <v>0</v>
      </c>
      <c r="AO129" s="6"/>
      <c r="AP129" s="7"/>
      <c r="AQ129" s="7"/>
      <c r="AR129" s="7"/>
      <c r="AS129" s="7"/>
      <c r="AT129" s="8">
        <f>SUM(AO129:AS129)</f>
        <v>0</v>
      </c>
      <c r="AV129" s="6"/>
      <c r="AW129" s="7"/>
      <c r="AX129" s="7"/>
      <c r="AY129" s="7"/>
      <c r="AZ129" s="7"/>
      <c r="BA129" s="8">
        <f>SUM(AV129:AZ129)</f>
        <v>0</v>
      </c>
      <c r="BC129" s="6"/>
      <c r="BD129" s="7"/>
      <c r="BE129" s="7"/>
      <c r="BF129" s="7"/>
      <c r="BG129" s="7"/>
      <c r="BH129" s="8">
        <f>SUM(BC129:BG129)</f>
        <v>0</v>
      </c>
      <c r="BJ129" s="6"/>
      <c r="BK129" s="7"/>
      <c r="BL129" s="7"/>
      <c r="BM129" s="7"/>
      <c r="BN129" s="7"/>
      <c r="BO129" s="8">
        <f>SUM(BJ129:BN129)</f>
        <v>0</v>
      </c>
      <c r="BQ129" s="6"/>
      <c r="BR129" s="7"/>
      <c r="BS129" s="7"/>
      <c r="BT129" s="7"/>
      <c r="BU129" s="7"/>
      <c r="BV129" s="8">
        <f>SUM(BQ129:BU129)</f>
        <v>0</v>
      </c>
      <c r="BX129" s="6"/>
      <c r="BY129" s="7"/>
      <c r="BZ129" s="7"/>
      <c r="CA129" s="7"/>
      <c r="CB129" s="7"/>
      <c r="CC129" s="8">
        <f>SUM(BX129:CB129)</f>
        <v>0</v>
      </c>
      <c r="CE129" s="28">
        <f t="shared" si="579"/>
        <v>0</v>
      </c>
      <c r="CF129" s="29">
        <f t="shared" si="580"/>
        <v>0</v>
      </c>
      <c r="CG129" s="29">
        <f t="shared" si="581"/>
        <v>0</v>
      </c>
      <c r="CH129" s="29">
        <f t="shared" si="582"/>
        <v>0</v>
      </c>
      <c r="CI129" s="29">
        <f t="shared" si="583"/>
        <v>0</v>
      </c>
      <c r="CJ129" s="8">
        <f>SUM(CE129:CI129)</f>
        <v>0</v>
      </c>
      <c r="CL129" s="6"/>
      <c r="CM129" s="7"/>
      <c r="CN129" s="7"/>
      <c r="CO129" s="7"/>
      <c r="CP129" s="7"/>
      <c r="CQ129" s="8">
        <f>SUM(CL129:CP129)</f>
        <v>0</v>
      </c>
      <c r="CS129" s="6"/>
      <c r="CT129" s="7"/>
      <c r="CU129" s="7"/>
      <c r="CV129" s="7"/>
      <c r="CW129" s="7"/>
      <c r="CX129" s="8">
        <f t="shared" si="588"/>
        <v>0</v>
      </c>
      <c r="CZ129" s="6"/>
      <c r="DA129" s="7"/>
      <c r="DB129" s="7"/>
      <c r="DC129" s="7"/>
      <c r="DD129" s="7"/>
      <c r="DE129" s="8">
        <f t="shared" si="589"/>
        <v>0</v>
      </c>
    </row>
    <row r="130" spans="2:109" ht="14" thickBot="1">
      <c r="C130" s="567"/>
      <c r="E130" s="14" t="s">
        <v>62</v>
      </c>
      <c r="F130" s="23">
        <f t="shared" si="584"/>
        <v>0</v>
      </c>
      <c r="G130" s="24">
        <f t="shared" si="575"/>
        <v>0</v>
      </c>
      <c r="H130" s="24">
        <f t="shared" si="576"/>
        <v>0</v>
      </c>
      <c r="I130" s="24">
        <f t="shared" si="577"/>
        <v>0</v>
      </c>
      <c r="J130" s="24">
        <f t="shared" si="578"/>
        <v>0</v>
      </c>
      <c r="K130" s="8">
        <f t="shared" si="585"/>
        <v>0</v>
      </c>
      <c r="M130" s="6"/>
      <c r="N130" s="7"/>
      <c r="O130" s="7"/>
      <c r="P130" s="7"/>
      <c r="Q130" s="7"/>
      <c r="R130" s="8">
        <f t="shared" si="586"/>
        <v>0</v>
      </c>
      <c r="T130" s="6"/>
      <c r="U130" s="7"/>
      <c r="V130" s="7"/>
      <c r="W130" s="7"/>
      <c r="X130" s="7"/>
      <c r="Y130" s="8">
        <f t="shared" si="587"/>
        <v>0</v>
      </c>
      <c r="AA130" s="6"/>
      <c r="AB130" s="7"/>
      <c r="AC130" s="7"/>
      <c r="AD130" s="7"/>
      <c r="AE130" s="7"/>
      <c r="AF130" s="8">
        <f>SUM(AA130:AE130)</f>
        <v>0</v>
      </c>
      <c r="AH130" s="6"/>
      <c r="AI130" s="7"/>
      <c r="AJ130" s="7"/>
      <c r="AK130" s="7"/>
      <c r="AL130" s="7"/>
      <c r="AM130" s="8">
        <f>SUM(AH130:AL130)</f>
        <v>0</v>
      </c>
      <c r="AO130" s="6"/>
      <c r="AP130" s="7"/>
      <c r="AQ130" s="7"/>
      <c r="AR130" s="7"/>
      <c r="AS130" s="7"/>
      <c r="AT130" s="8">
        <f>SUM(AO130:AS130)</f>
        <v>0</v>
      </c>
      <c r="AV130" s="6"/>
      <c r="AW130" s="7"/>
      <c r="AX130" s="7"/>
      <c r="AY130" s="7"/>
      <c r="AZ130" s="7"/>
      <c r="BA130" s="8">
        <f>SUM(AV130:AZ130)</f>
        <v>0</v>
      </c>
      <c r="BC130" s="6"/>
      <c r="BD130" s="7"/>
      <c r="BE130" s="7"/>
      <c r="BF130" s="7"/>
      <c r="BG130" s="7"/>
      <c r="BH130" s="8">
        <f>SUM(BC130:BG130)</f>
        <v>0</v>
      </c>
      <c r="BJ130" s="6"/>
      <c r="BK130" s="7"/>
      <c r="BL130" s="7"/>
      <c r="BM130" s="7"/>
      <c r="BN130" s="7"/>
      <c r="BO130" s="8">
        <f>SUM(BJ130:BN130)</f>
        <v>0</v>
      </c>
      <c r="BQ130" s="6"/>
      <c r="BR130" s="7"/>
      <c r="BS130" s="7"/>
      <c r="BT130" s="7"/>
      <c r="BU130" s="7"/>
      <c r="BV130" s="8">
        <f>SUM(BQ130:BU130)</f>
        <v>0</v>
      </c>
      <c r="BX130" s="6"/>
      <c r="BY130" s="7"/>
      <c r="BZ130" s="7"/>
      <c r="CA130" s="7"/>
      <c r="CB130" s="7"/>
      <c r="CC130" s="8">
        <f>SUM(BX130:CB130)</f>
        <v>0</v>
      </c>
      <c r="CE130" s="493">
        <f t="shared" si="579"/>
        <v>0</v>
      </c>
      <c r="CF130" s="494">
        <f t="shared" si="580"/>
        <v>0</v>
      </c>
      <c r="CG130" s="494">
        <f t="shared" si="581"/>
        <v>0</v>
      </c>
      <c r="CH130" s="494">
        <f t="shared" si="582"/>
        <v>0</v>
      </c>
      <c r="CI130" s="494">
        <f t="shared" si="583"/>
        <v>0</v>
      </c>
      <c r="CJ130" s="495">
        <f>SUM(CE130:CI130)</f>
        <v>0</v>
      </c>
      <c r="CL130" s="6"/>
      <c r="CM130" s="7"/>
      <c r="CN130" s="7"/>
      <c r="CO130" s="7"/>
      <c r="CP130" s="7"/>
      <c r="CQ130" s="8">
        <f>SUM(CL130:CP130)</f>
        <v>0</v>
      </c>
      <c r="CS130" s="6"/>
      <c r="CT130" s="7"/>
      <c r="CU130" s="7"/>
      <c r="CV130" s="7"/>
      <c r="CW130" s="7"/>
      <c r="CX130" s="8">
        <f t="shared" si="588"/>
        <v>0</v>
      </c>
      <c r="CZ130" s="6"/>
      <c r="DA130" s="7"/>
      <c r="DB130" s="7"/>
      <c r="DC130" s="7"/>
      <c r="DD130" s="7"/>
      <c r="DE130" s="8">
        <f t="shared" si="589"/>
        <v>0</v>
      </c>
    </row>
    <row r="131" spans="2:109" ht="14" thickBot="1">
      <c r="C131" s="554"/>
      <c r="E131" s="9"/>
      <c r="F131" s="10">
        <f>SUM(F127:F130)</f>
        <v>0</v>
      </c>
      <c r="G131" s="11">
        <f t="shared" ref="G131:J131" si="590">SUM(G127:G130)</f>
        <v>0</v>
      </c>
      <c r="H131" s="11">
        <f t="shared" si="590"/>
        <v>0</v>
      </c>
      <c r="I131" s="11">
        <f t="shared" si="590"/>
        <v>0</v>
      </c>
      <c r="J131" s="11">
        <f t="shared" si="590"/>
        <v>0</v>
      </c>
      <c r="K131" s="25">
        <f>SUM(K127:K130)</f>
        <v>0</v>
      </c>
      <c r="M131" s="10">
        <f>SUM(M127:M130)</f>
        <v>0</v>
      </c>
      <c r="N131" s="11">
        <f t="shared" ref="N131:Q131" si="591">SUM(N127:N130)</f>
        <v>0</v>
      </c>
      <c r="O131" s="11">
        <f t="shared" si="591"/>
        <v>0</v>
      </c>
      <c r="P131" s="11">
        <f t="shared" si="591"/>
        <v>0</v>
      </c>
      <c r="Q131" s="11">
        <f t="shared" si="591"/>
        <v>0</v>
      </c>
      <c r="R131" s="25">
        <f>SUM(R127:R130)</f>
        <v>0</v>
      </c>
      <c r="T131" s="10">
        <f>SUM(T127:T130)</f>
        <v>0</v>
      </c>
      <c r="U131" s="11">
        <f t="shared" ref="U131:X131" si="592">SUM(U127:U130)</f>
        <v>0</v>
      </c>
      <c r="V131" s="11">
        <f t="shared" si="592"/>
        <v>0</v>
      </c>
      <c r="W131" s="11">
        <f t="shared" si="592"/>
        <v>0</v>
      </c>
      <c r="X131" s="11">
        <f t="shared" si="592"/>
        <v>0</v>
      </c>
      <c r="Y131" s="25">
        <f>SUM(Y127:Y130)</f>
        <v>0</v>
      </c>
      <c r="AA131" s="10">
        <f>SUM(AA127:AA130)</f>
        <v>0</v>
      </c>
      <c r="AB131" s="11">
        <f t="shared" ref="AB131:AE131" si="593">SUM(AB127:AB130)</f>
        <v>0</v>
      </c>
      <c r="AC131" s="11">
        <f t="shared" si="593"/>
        <v>0</v>
      </c>
      <c r="AD131" s="11">
        <f t="shared" si="593"/>
        <v>0</v>
      </c>
      <c r="AE131" s="11">
        <f t="shared" si="593"/>
        <v>0</v>
      </c>
      <c r="AF131" s="25">
        <f>SUM(AF127:AF130)</f>
        <v>0</v>
      </c>
      <c r="AH131" s="10">
        <f>SUM(AH127:AH130)</f>
        <v>0</v>
      </c>
      <c r="AI131" s="11">
        <f t="shared" ref="AI131:AL131" si="594">SUM(AI127:AI130)</f>
        <v>0</v>
      </c>
      <c r="AJ131" s="11">
        <f t="shared" si="594"/>
        <v>0</v>
      </c>
      <c r="AK131" s="11">
        <f t="shared" si="594"/>
        <v>0</v>
      </c>
      <c r="AL131" s="11">
        <f t="shared" si="594"/>
        <v>0</v>
      </c>
      <c r="AM131" s="25">
        <f>SUM(AM127:AM130)</f>
        <v>0</v>
      </c>
      <c r="AO131" s="10">
        <f>SUM(AO127:AO130)</f>
        <v>0</v>
      </c>
      <c r="AP131" s="11">
        <f t="shared" ref="AP131:AS131" si="595">SUM(AP127:AP130)</f>
        <v>0</v>
      </c>
      <c r="AQ131" s="11">
        <f t="shared" si="595"/>
        <v>0</v>
      </c>
      <c r="AR131" s="11">
        <f t="shared" si="595"/>
        <v>0</v>
      </c>
      <c r="AS131" s="11">
        <f t="shared" si="595"/>
        <v>0</v>
      </c>
      <c r="AT131" s="25">
        <f>SUM(AT127:AT130)</f>
        <v>0</v>
      </c>
      <c r="AV131" s="10">
        <f>SUM(AV127:AV130)</f>
        <v>0</v>
      </c>
      <c r="AW131" s="11">
        <f t="shared" ref="AW131:AZ131" si="596">SUM(AW127:AW130)</f>
        <v>0</v>
      </c>
      <c r="AX131" s="11">
        <f t="shared" si="596"/>
        <v>0</v>
      </c>
      <c r="AY131" s="11">
        <f t="shared" si="596"/>
        <v>0</v>
      </c>
      <c r="AZ131" s="11">
        <f t="shared" si="596"/>
        <v>0</v>
      </c>
      <c r="BA131" s="25">
        <f>SUM(BA127:BA130)</f>
        <v>0</v>
      </c>
      <c r="BC131" s="10">
        <f>SUM(BC127:BC130)</f>
        <v>0</v>
      </c>
      <c r="BD131" s="11">
        <f t="shared" ref="BD131:BG131" si="597">SUM(BD127:BD130)</f>
        <v>0</v>
      </c>
      <c r="BE131" s="11">
        <f t="shared" si="597"/>
        <v>0</v>
      </c>
      <c r="BF131" s="11">
        <f t="shared" si="597"/>
        <v>0</v>
      </c>
      <c r="BG131" s="11">
        <f t="shared" si="597"/>
        <v>0</v>
      </c>
      <c r="BH131" s="25">
        <f>SUM(BH127:BH130)</f>
        <v>0</v>
      </c>
      <c r="BJ131" s="10">
        <f>SUM(BJ127:BJ130)</f>
        <v>0</v>
      </c>
      <c r="BK131" s="11">
        <f t="shared" ref="BK131:BN131" si="598">SUM(BK127:BK130)</f>
        <v>0</v>
      </c>
      <c r="BL131" s="11">
        <f t="shared" si="598"/>
        <v>0</v>
      </c>
      <c r="BM131" s="11">
        <f t="shared" si="598"/>
        <v>0</v>
      </c>
      <c r="BN131" s="11">
        <f t="shared" si="598"/>
        <v>0</v>
      </c>
      <c r="BO131" s="25">
        <f>SUM(BO127:BO130)</f>
        <v>0</v>
      </c>
      <c r="BQ131" s="10">
        <f>SUM(BQ127:BQ130)</f>
        <v>0</v>
      </c>
      <c r="BR131" s="11">
        <f t="shared" ref="BR131:BU131" si="599">SUM(BR127:BR130)</f>
        <v>0</v>
      </c>
      <c r="BS131" s="11">
        <f t="shared" si="599"/>
        <v>0</v>
      </c>
      <c r="BT131" s="11">
        <f t="shared" si="599"/>
        <v>0</v>
      </c>
      <c r="BU131" s="11">
        <f t="shared" si="599"/>
        <v>0</v>
      </c>
      <c r="BV131" s="25">
        <f>SUM(BV127:BV130)</f>
        <v>0</v>
      </c>
      <c r="BX131" s="10">
        <f>SUM(BX127:BX130)</f>
        <v>0</v>
      </c>
      <c r="BY131" s="11">
        <f t="shared" ref="BY131:CB131" si="600">SUM(BY127:BY130)</f>
        <v>0</v>
      </c>
      <c r="BZ131" s="11">
        <f t="shared" si="600"/>
        <v>0</v>
      </c>
      <c r="CA131" s="11">
        <f t="shared" si="600"/>
        <v>0</v>
      </c>
      <c r="CB131" s="11">
        <f t="shared" si="600"/>
        <v>0</v>
      </c>
      <c r="CC131" s="25">
        <f>SUM(CC127:CC130)</f>
        <v>0</v>
      </c>
      <c r="CE131" s="62">
        <f t="shared" ref="CE131:CJ131" si="601">SUM(CE127:CE130)</f>
        <v>0</v>
      </c>
      <c r="CF131" s="63">
        <f t="shared" si="601"/>
        <v>0</v>
      </c>
      <c r="CG131" s="63">
        <f t="shared" si="601"/>
        <v>0</v>
      </c>
      <c r="CH131" s="63">
        <f t="shared" si="601"/>
        <v>0</v>
      </c>
      <c r="CI131" s="63">
        <f t="shared" si="601"/>
        <v>0</v>
      </c>
      <c r="CJ131" s="25">
        <f t="shared" si="601"/>
        <v>0</v>
      </c>
      <c r="CL131" s="10">
        <f>SUM(CL127:CL130)</f>
        <v>0</v>
      </c>
      <c r="CM131" s="11">
        <f t="shared" ref="CM131:CP131" si="602">SUM(CM127:CM130)</f>
        <v>0</v>
      </c>
      <c r="CN131" s="11">
        <f t="shared" si="602"/>
        <v>0</v>
      </c>
      <c r="CO131" s="11">
        <f t="shared" si="602"/>
        <v>0</v>
      </c>
      <c r="CP131" s="11">
        <f t="shared" si="602"/>
        <v>0</v>
      </c>
      <c r="CQ131" s="25">
        <f>SUM(CQ127:CQ130)</f>
        <v>0</v>
      </c>
      <c r="CS131" s="10">
        <f>SUM(CS127:CS130)</f>
        <v>0</v>
      </c>
      <c r="CT131" s="11">
        <f t="shared" ref="CT131:CW131" si="603">SUM(CT127:CT130)</f>
        <v>0</v>
      </c>
      <c r="CU131" s="11">
        <f t="shared" si="603"/>
        <v>0</v>
      </c>
      <c r="CV131" s="11">
        <f t="shared" si="603"/>
        <v>0</v>
      </c>
      <c r="CW131" s="11">
        <f t="shared" si="603"/>
        <v>0</v>
      </c>
      <c r="CX131" s="25">
        <f>SUM(CX127:CX130)</f>
        <v>0</v>
      </c>
      <c r="CZ131" s="10">
        <f>SUM(CZ127:CZ130)</f>
        <v>0</v>
      </c>
      <c r="DA131" s="11">
        <f t="shared" ref="DA131:DD131" si="604">SUM(DA127:DA130)</f>
        <v>0</v>
      </c>
      <c r="DB131" s="11">
        <f t="shared" si="604"/>
        <v>0</v>
      </c>
      <c r="DC131" s="11">
        <f t="shared" si="604"/>
        <v>0</v>
      </c>
      <c r="DD131" s="11">
        <f t="shared" si="604"/>
        <v>0</v>
      </c>
      <c r="DE131" s="25">
        <f>SUM(DE127:DE130)</f>
        <v>0</v>
      </c>
    </row>
    <row r="133" spans="2:109">
      <c r="B133" s="123"/>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L133" s="20"/>
      <c r="CM133" s="20"/>
      <c r="CN133" s="20"/>
      <c r="CO133" s="20"/>
      <c r="CP133" s="20"/>
      <c r="CQ133" s="20"/>
      <c r="CR133" s="20"/>
      <c r="CS133" s="20"/>
      <c r="CT133" s="20"/>
      <c r="CU133" s="20"/>
      <c r="CV133" s="20"/>
      <c r="CW133" s="20"/>
      <c r="CX133" s="20"/>
      <c r="CY133" s="20"/>
      <c r="CZ133" s="20"/>
      <c r="DA133" s="20"/>
      <c r="DB133" s="20"/>
      <c r="DC133" s="20"/>
      <c r="DD133" s="20"/>
      <c r="DE133" s="20"/>
    </row>
    <row r="134" spans="2:109" ht="14" thickBot="1">
      <c r="B134" s="94">
        <v>5</v>
      </c>
      <c r="C134" s="12" t="s">
        <v>173</v>
      </c>
    </row>
    <row r="135" spans="2:109">
      <c r="C135" s="553">
        <v>2024</v>
      </c>
      <c r="E135" s="1" t="s">
        <v>59</v>
      </c>
      <c r="F135" s="2"/>
      <c r="G135" s="3"/>
      <c r="H135" s="3"/>
      <c r="I135" s="3"/>
      <c r="J135" s="3"/>
      <c r="K135" s="4">
        <f>SUM(F135:J135)</f>
        <v>0</v>
      </c>
      <c r="M135" s="2"/>
      <c r="N135" s="3"/>
      <c r="O135" s="3"/>
      <c r="P135" s="3"/>
      <c r="Q135" s="3"/>
      <c r="R135" s="4">
        <f>SUM(M135:Q135)</f>
        <v>0</v>
      </c>
      <c r="T135" s="2"/>
      <c r="U135" s="3"/>
      <c r="V135" s="3"/>
      <c r="W135" s="3"/>
      <c r="X135" s="3"/>
      <c r="Y135" s="4">
        <f>SUM(T135:X135)</f>
        <v>0</v>
      </c>
      <c r="AA135" s="2"/>
      <c r="AB135" s="3"/>
      <c r="AC135" s="3"/>
      <c r="AD135" s="3"/>
      <c r="AE135" s="3"/>
      <c r="AF135" s="4">
        <f>SUM(AA135:AE135)</f>
        <v>0</v>
      </c>
      <c r="AH135" s="2"/>
      <c r="AI135" s="3"/>
      <c r="AJ135" s="3"/>
      <c r="AK135" s="3"/>
      <c r="AL135" s="3"/>
      <c r="AM135" s="4">
        <f>SUM(AH135:AL135)</f>
        <v>0</v>
      </c>
      <c r="AO135" s="2"/>
      <c r="AP135" s="3"/>
      <c r="AQ135" s="3"/>
      <c r="AR135" s="3"/>
      <c r="AS135" s="3"/>
      <c r="AT135" s="4">
        <f>SUM(AO135:AS135)</f>
        <v>0</v>
      </c>
      <c r="AV135" s="2"/>
      <c r="AW135" s="3"/>
      <c r="AX135" s="3"/>
      <c r="AY135" s="3"/>
      <c r="AZ135" s="3"/>
      <c r="BA135" s="4">
        <f>SUM(AV135:AZ135)</f>
        <v>0</v>
      </c>
      <c r="BC135" s="2"/>
      <c r="BD135" s="3"/>
      <c r="BE135" s="3"/>
      <c r="BF135" s="3"/>
      <c r="BG135" s="3"/>
      <c r="BH135" s="4">
        <f>SUM(BC135:BG135)</f>
        <v>0</v>
      </c>
      <c r="BJ135" s="2"/>
      <c r="BK135" s="3"/>
      <c r="BL135" s="3"/>
      <c r="BM135" s="3"/>
      <c r="BN135" s="3"/>
      <c r="BO135" s="4">
        <f>SUM(BJ135:BN135)</f>
        <v>0</v>
      </c>
      <c r="BQ135" s="2"/>
      <c r="BR135" s="3"/>
      <c r="BS135" s="3"/>
      <c r="BT135" s="3"/>
      <c r="BU135" s="3"/>
      <c r="BV135" s="4">
        <f>SUM(BQ135:BU135)</f>
        <v>0</v>
      </c>
      <c r="BX135" s="2"/>
      <c r="BY135" s="3"/>
      <c r="BZ135" s="3"/>
      <c r="CA135" s="3"/>
      <c r="CB135" s="3"/>
      <c r="CC135" s="4">
        <f>SUM(BX135:CB135)</f>
        <v>0</v>
      </c>
      <c r="CE135" s="26">
        <f t="shared" ref="CE135:CE138" si="605">F135+M135+T135+AA135+AH135+AO135+AV135+BC135+BJ135+BQ135+BX135</f>
        <v>0</v>
      </c>
      <c r="CF135" s="27">
        <f t="shared" ref="CF135:CF138" si="606">G135+N135+U135+AB135+AI135+AP135+AW135+BD135+BK135+BR135+BY135</f>
        <v>0</v>
      </c>
      <c r="CG135" s="27">
        <f t="shared" ref="CG135:CG138" si="607">H135+O135+V135+AC135+AJ135+AQ135+AX135+BE135+BL135+BS135+BZ135</f>
        <v>0</v>
      </c>
      <c r="CH135" s="27">
        <f t="shared" ref="CH135:CH138" si="608">I135+P135+W135+AD135+AK135+AR135+AY135+BF135+BM135+BT135+CA135</f>
        <v>0</v>
      </c>
      <c r="CI135" s="27">
        <f t="shared" ref="CI135:CI138" si="609">J135+Q135+X135+AE135+AL135+AS135+AZ135+BG135+BN135+BU135+CB135</f>
        <v>0</v>
      </c>
      <c r="CJ135" s="4">
        <f>SUM(CE135:CI135)</f>
        <v>0</v>
      </c>
      <c r="CL135" s="2"/>
      <c r="CM135" s="3"/>
      <c r="CN135" s="3"/>
      <c r="CO135" s="3"/>
      <c r="CP135" s="3"/>
      <c r="CQ135" s="4">
        <f>SUM(CL135:CP135)</f>
        <v>0</v>
      </c>
      <c r="CS135" s="2"/>
      <c r="CT135" s="3"/>
      <c r="CU135" s="3"/>
      <c r="CV135" s="3"/>
      <c r="CW135" s="3"/>
      <c r="CX135" s="4">
        <f>SUM(CS135:CW135)</f>
        <v>0</v>
      </c>
      <c r="CZ135" s="2"/>
      <c r="DA135" s="3"/>
      <c r="DB135" s="3"/>
      <c r="DC135" s="3"/>
      <c r="DD135" s="3"/>
      <c r="DE135" s="4">
        <f>SUM(CZ135:DD135)</f>
        <v>0</v>
      </c>
    </row>
    <row r="136" spans="2:109">
      <c r="C136" s="567"/>
      <c r="E136" s="5" t="s">
        <v>60</v>
      </c>
      <c r="F136" s="6"/>
      <c r="G136" s="7"/>
      <c r="H136" s="7"/>
      <c r="I136" s="7"/>
      <c r="J136" s="7"/>
      <c r="K136" s="8">
        <f t="shared" ref="K136:K138" si="610">SUM(F136:J136)</f>
        <v>0</v>
      </c>
      <c r="M136" s="6"/>
      <c r="N136" s="7"/>
      <c r="O136" s="7"/>
      <c r="P136" s="7"/>
      <c r="Q136" s="7"/>
      <c r="R136" s="8">
        <f t="shared" ref="R136:R138" si="611">SUM(M136:Q136)</f>
        <v>0</v>
      </c>
      <c r="T136" s="6"/>
      <c r="U136" s="7"/>
      <c r="V136" s="7"/>
      <c r="W136" s="7"/>
      <c r="X136" s="7"/>
      <c r="Y136" s="8">
        <f t="shared" ref="Y136:Y138" si="612">SUM(T136:X136)</f>
        <v>0</v>
      </c>
      <c r="AA136" s="6"/>
      <c r="AB136" s="7"/>
      <c r="AC136" s="7"/>
      <c r="AD136" s="7"/>
      <c r="AE136" s="7"/>
      <c r="AF136" s="8">
        <f>SUM(AA136:AE136)</f>
        <v>0</v>
      </c>
      <c r="AH136" s="6"/>
      <c r="AI136" s="7"/>
      <c r="AJ136" s="7"/>
      <c r="AK136" s="7"/>
      <c r="AL136" s="7"/>
      <c r="AM136" s="8">
        <f>SUM(AH136:AL136)</f>
        <v>0</v>
      </c>
      <c r="AO136" s="6"/>
      <c r="AP136" s="7"/>
      <c r="AQ136" s="7"/>
      <c r="AR136" s="7"/>
      <c r="AS136" s="7"/>
      <c r="AT136" s="8">
        <f>SUM(AO136:AS136)</f>
        <v>0</v>
      </c>
      <c r="AV136" s="6"/>
      <c r="AW136" s="7"/>
      <c r="AX136" s="7"/>
      <c r="AY136" s="7"/>
      <c r="AZ136" s="7"/>
      <c r="BA136" s="8">
        <f>SUM(AV136:AZ136)</f>
        <v>0</v>
      </c>
      <c r="BC136" s="6"/>
      <c r="BD136" s="7"/>
      <c r="BE136" s="7"/>
      <c r="BF136" s="7"/>
      <c r="BG136" s="7"/>
      <c r="BH136" s="8">
        <f>SUM(BC136:BG136)</f>
        <v>0</v>
      </c>
      <c r="BJ136" s="6"/>
      <c r="BK136" s="7"/>
      <c r="BL136" s="7"/>
      <c r="BM136" s="7"/>
      <c r="BN136" s="7"/>
      <c r="BO136" s="8">
        <f>SUM(BJ136:BN136)</f>
        <v>0</v>
      </c>
      <c r="BQ136" s="6"/>
      <c r="BR136" s="7"/>
      <c r="BS136" s="7"/>
      <c r="BT136" s="7"/>
      <c r="BU136" s="7"/>
      <c r="BV136" s="8">
        <f>SUM(BQ136:BU136)</f>
        <v>0</v>
      </c>
      <c r="BX136" s="6"/>
      <c r="BY136" s="7"/>
      <c r="BZ136" s="7"/>
      <c r="CA136" s="7"/>
      <c r="CB136" s="7"/>
      <c r="CC136" s="8">
        <f>SUM(BX136:CB136)</f>
        <v>0</v>
      </c>
      <c r="CE136" s="28">
        <f t="shared" si="605"/>
        <v>0</v>
      </c>
      <c r="CF136" s="29">
        <f t="shared" si="606"/>
        <v>0</v>
      </c>
      <c r="CG136" s="29">
        <f t="shared" si="607"/>
        <v>0</v>
      </c>
      <c r="CH136" s="29">
        <f t="shared" si="608"/>
        <v>0</v>
      </c>
      <c r="CI136" s="29">
        <f t="shared" si="609"/>
        <v>0</v>
      </c>
      <c r="CJ136" s="8">
        <f>SUM(CE136:CI136)</f>
        <v>0</v>
      </c>
      <c r="CL136" s="6"/>
      <c r="CM136" s="7"/>
      <c r="CN136" s="7"/>
      <c r="CO136" s="7"/>
      <c r="CP136" s="7"/>
      <c r="CQ136" s="8">
        <f>SUM(CL136:CP136)</f>
        <v>0</v>
      </c>
      <c r="CS136" s="6"/>
      <c r="CT136" s="7"/>
      <c r="CU136" s="7"/>
      <c r="CV136" s="7"/>
      <c r="CW136" s="7"/>
      <c r="CX136" s="8">
        <f t="shared" ref="CX136:CX138" si="613">SUM(CS136:CW136)</f>
        <v>0</v>
      </c>
      <c r="CZ136" s="6"/>
      <c r="DA136" s="7"/>
      <c r="DB136" s="7"/>
      <c r="DC136" s="7"/>
      <c r="DD136" s="7"/>
      <c r="DE136" s="8">
        <f t="shared" ref="DE136:DE138" si="614">SUM(CZ136:DD136)</f>
        <v>0</v>
      </c>
    </row>
    <row r="137" spans="2:109">
      <c r="C137" s="567"/>
      <c r="E137" s="5" t="s">
        <v>61</v>
      </c>
      <c r="F137" s="6"/>
      <c r="G137" s="7"/>
      <c r="H137" s="7"/>
      <c r="I137" s="7"/>
      <c r="J137" s="7"/>
      <c r="K137" s="8">
        <f t="shared" si="610"/>
        <v>0</v>
      </c>
      <c r="M137" s="6"/>
      <c r="N137" s="7"/>
      <c r="O137" s="7"/>
      <c r="P137" s="7"/>
      <c r="Q137" s="7"/>
      <c r="R137" s="8">
        <f t="shared" si="611"/>
        <v>0</v>
      </c>
      <c r="T137" s="6"/>
      <c r="U137" s="7"/>
      <c r="V137" s="7"/>
      <c r="W137" s="7"/>
      <c r="X137" s="7"/>
      <c r="Y137" s="8">
        <f t="shared" si="612"/>
        <v>0</v>
      </c>
      <c r="AA137" s="6"/>
      <c r="AB137" s="7"/>
      <c r="AC137" s="7"/>
      <c r="AD137" s="7"/>
      <c r="AE137" s="7"/>
      <c r="AF137" s="8">
        <f>SUM(AA137:AE137)</f>
        <v>0</v>
      </c>
      <c r="AH137" s="6"/>
      <c r="AI137" s="7"/>
      <c r="AJ137" s="7"/>
      <c r="AK137" s="7"/>
      <c r="AL137" s="7"/>
      <c r="AM137" s="8">
        <f>SUM(AH137:AL137)</f>
        <v>0</v>
      </c>
      <c r="AO137" s="6"/>
      <c r="AP137" s="7"/>
      <c r="AQ137" s="7"/>
      <c r="AR137" s="7"/>
      <c r="AS137" s="7"/>
      <c r="AT137" s="8">
        <f>SUM(AO137:AS137)</f>
        <v>0</v>
      </c>
      <c r="AV137" s="6"/>
      <c r="AW137" s="7"/>
      <c r="AX137" s="7"/>
      <c r="AY137" s="7"/>
      <c r="AZ137" s="7"/>
      <c r="BA137" s="8">
        <f>SUM(AV137:AZ137)</f>
        <v>0</v>
      </c>
      <c r="BC137" s="6"/>
      <c r="BD137" s="7"/>
      <c r="BE137" s="7"/>
      <c r="BF137" s="7"/>
      <c r="BG137" s="7"/>
      <c r="BH137" s="8">
        <f>SUM(BC137:BG137)</f>
        <v>0</v>
      </c>
      <c r="BJ137" s="6"/>
      <c r="BK137" s="7"/>
      <c r="BL137" s="7"/>
      <c r="BM137" s="7"/>
      <c r="BN137" s="7"/>
      <c r="BO137" s="8">
        <f>SUM(BJ137:BN137)</f>
        <v>0</v>
      </c>
      <c r="BQ137" s="6"/>
      <c r="BR137" s="7"/>
      <c r="BS137" s="7"/>
      <c r="BT137" s="7"/>
      <c r="BU137" s="7"/>
      <c r="BV137" s="8">
        <f>SUM(BQ137:BU137)</f>
        <v>0</v>
      </c>
      <c r="BX137" s="6"/>
      <c r="BY137" s="7"/>
      <c r="BZ137" s="7"/>
      <c r="CA137" s="7"/>
      <c r="CB137" s="7"/>
      <c r="CC137" s="8">
        <f>SUM(BX137:CB137)</f>
        <v>0</v>
      </c>
      <c r="CE137" s="28">
        <f t="shared" si="605"/>
        <v>0</v>
      </c>
      <c r="CF137" s="29">
        <f t="shared" si="606"/>
        <v>0</v>
      </c>
      <c r="CG137" s="29">
        <f t="shared" si="607"/>
        <v>0</v>
      </c>
      <c r="CH137" s="29">
        <f t="shared" si="608"/>
        <v>0</v>
      </c>
      <c r="CI137" s="29">
        <f t="shared" si="609"/>
        <v>0</v>
      </c>
      <c r="CJ137" s="8">
        <f>SUM(CE137:CI137)</f>
        <v>0</v>
      </c>
      <c r="CL137" s="6"/>
      <c r="CM137" s="7"/>
      <c r="CN137" s="7"/>
      <c r="CO137" s="7"/>
      <c r="CP137" s="7"/>
      <c r="CQ137" s="8">
        <f>SUM(CL137:CP137)</f>
        <v>0</v>
      </c>
      <c r="CS137" s="6"/>
      <c r="CT137" s="7"/>
      <c r="CU137" s="7"/>
      <c r="CV137" s="7"/>
      <c r="CW137" s="7"/>
      <c r="CX137" s="8">
        <f t="shared" si="613"/>
        <v>0</v>
      </c>
      <c r="CZ137" s="6"/>
      <c r="DA137" s="7"/>
      <c r="DB137" s="7"/>
      <c r="DC137" s="7"/>
      <c r="DD137" s="7"/>
      <c r="DE137" s="8">
        <f t="shared" si="614"/>
        <v>0</v>
      </c>
    </row>
    <row r="138" spans="2:109" ht="14" thickBot="1">
      <c r="C138" s="567"/>
      <c r="E138" s="5" t="s">
        <v>62</v>
      </c>
      <c r="F138" s="6"/>
      <c r="G138" s="7"/>
      <c r="H138" s="7"/>
      <c r="I138" s="7"/>
      <c r="J138" s="7"/>
      <c r="K138" s="8">
        <f t="shared" si="610"/>
        <v>0</v>
      </c>
      <c r="M138" s="6"/>
      <c r="N138" s="7"/>
      <c r="O138" s="7"/>
      <c r="P138" s="7"/>
      <c r="Q138" s="7"/>
      <c r="R138" s="8">
        <f t="shared" si="611"/>
        <v>0</v>
      </c>
      <c r="T138" s="6"/>
      <c r="U138" s="7"/>
      <c r="V138" s="7"/>
      <c r="W138" s="7"/>
      <c r="X138" s="7"/>
      <c r="Y138" s="8">
        <f t="shared" si="612"/>
        <v>0</v>
      </c>
      <c r="AA138" s="6"/>
      <c r="AB138" s="7"/>
      <c r="AC138" s="7"/>
      <c r="AD138" s="7"/>
      <c r="AE138" s="7"/>
      <c r="AF138" s="8">
        <f>SUM(AA138:AE138)</f>
        <v>0</v>
      </c>
      <c r="AH138" s="6"/>
      <c r="AI138" s="7"/>
      <c r="AJ138" s="7"/>
      <c r="AK138" s="7"/>
      <c r="AL138" s="7"/>
      <c r="AM138" s="8">
        <f>SUM(AH138:AL138)</f>
        <v>0</v>
      </c>
      <c r="AO138" s="6"/>
      <c r="AP138" s="7"/>
      <c r="AQ138" s="7"/>
      <c r="AR138" s="7"/>
      <c r="AS138" s="7"/>
      <c r="AT138" s="8">
        <f>SUM(AO138:AS138)</f>
        <v>0</v>
      </c>
      <c r="AV138" s="6"/>
      <c r="AW138" s="7"/>
      <c r="AX138" s="7"/>
      <c r="AY138" s="7"/>
      <c r="AZ138" s="7"/>
      <c r="BA138" s="8">
        <f>SUM(AV138:AZ138)</f>
        <v>0</v>
      </c>
      <c r="BC138" s="6"/>
      <c r="BD138" s="7"/>
      <c r="BE138" s="7"/>
      <c r="BF138" s="7"/>
      <c r="BG138" s="7"/>
      <c r="BH138" s="8">
        <f>SUM(BC138:BG138)</f>
        <v>0</v>
      </c>
      <c r="BJ138" s="6"/>
      <c r="BK138" s="7"/>
      <c r="BL138" s="7"/>
      <c r="BM138" s="7"/>
      <c r="BN138" s="7"/>
      <c r="BO138" s="8">
        <f>SUM(BJ138:BN138)</f>
        <v>0</v>
      </c>
      <c r="BQ138" s="6"/>
      <c r="BR138" s="7"/>
      <c r="BS138" s="7"/>
      <c r="BT138" s="7"/>
      <c r="BU138" s="7"/>
      <c r="BV138" s="8">
        <f>SUM(BQ138:BU138)</f>
        <v>0</v>
      </c>
      <c r="BX138" s="6"/>
      <c r="BY138" s="7"/>
      <c r="BZ138" s="7"/>
      <c r="CA138" s="7"/>
      <c r="CB138" s="7"/>
      <c r="CC138" s="8">
        <f>SUM(BX138:CB138)</f>
        <v>0</v>
      </c>
      <c r="CE138" s="493">
        <f t="shared" si="605"/>
        <v>0</v>
      </c>
      <c r="CF138" s="494">
        <f t="shared" si="606"/>
        <v>0</v>
      </c>
      <c r="CG138" s="494">
        <f t="shared" si="607"/>
        <v>0</v>
      </c>
      <c r="CH138" s="494">
        <f t="shared" si="608"/>
        <v>0</v>
      </c>
      <c r="CI138" s="494">
        <f t="shared" si="609"/>
        <v>0</v>
      </c>
      <c r="CJ138" s="495">
        <f>SUM(CE138:CI138)</f>
        <v>0</v>
      </c>
      <c r="CL138" s="6"/>
      <c r="CM138" s="7"/>
      <c r="CN138" s="7"/>
      <c r="CO138" s="7"/>
      <c r="CP138" s="7"/>
      <c r="CQ138" s="8">
        <f>SUM(CL138:CP138)</f>
        <v>0</v>
      </c>
      <c r="CS138" s="6"/>
      <c r="CT138" s="7"/>
      <c r="CU138" s="7"/>
      <c r="CV138" s="7"/>
      <c r="CW138" s="7"/>
      <c r="CX138" s="8">
        <f t="shared" si="613"/>
        <v>0</v>
      </c>
      <c r="CZ138" s="6"/>
      <c r="DA138" s="7"/>
      <c r="DB138" s="7"/>
      <c r="DC138" s="7"/>
      <c r="DD138" s="7"/>
      <c r="DE138" s="8">
        <f t="shared" si="614"/>
        <v>0</v>
      </c>
    </row>
    <row r="139" spans="2:109" ht="14" thickBot="1">
      <c r="C139" s="554"/>
      <c r="E139" s="9"/>
      <c r="F139" s="10">
        <f>SUM(F135:F138)</f>
        <v>0</v>
      </c>
      <c r="G139" s="11">
        <f t="shared" ref="G139:J139" si="615">SUM(G135:G138)</f>
        <v>0</v>
      </c>
      <c r="H139" s="11">
        <f t="shared" si="615"/>
        <v>0</v>
      </c>
      <c r="I139" s="11">
        <f t="shared" si="615"/>
        <v>0</v>
      </c>
      <c r="J139" s="11">
        <f t="shared" si="615"/>
        <v>0</v>
      </c>
      <c r="K139" s="25">
        <f>SUM(K135:K138)</f>
        <v>0</v>
      </c>
      <c r="M139" s="10">
        <f>SUM(M135:M138)</f>
        <v>0</v>
      </c>
      <c r="N139" s="11">
        <f t="shared" ref="N139:Q139" si="616">SUM(N135:N138)</f>
        <v>0</v>
      </c>
      <c r="O139" s="11">
        <f t="shared" si="616"/>
        <v>0</v>
      </c>
      <c r="P139" s="11">
        <f t="shared" si="616"/>
        <v>0</v>
      </c>
      <c r="Q139" s="11">
        <f t="shared" si="616"/>
        <v>0</v>
      </c>
      <c r="R139" s="25">
        <f>SUM(R135:R138)</f>
        <v>0</v>
      </c>
      <c r="T139" s="10">
        <f>SUM(T135:T138)</f>
        <v>0</v>
      </c>
      <c r="U139" s="11">
        <f t="shared" ref="U139:X139" si="617">SUM(U135:U138)</f>
        <v>0</v>
      </c>
      <c r="V139" s="11">
        <f t="shared" si="617"/>
        <v>0</v>
      </c>
      <c r="W139" s="11">
        <f t="shared" si="617"/>
        <v>0</v>
      </c>
      <c r="X139" s="11">
        <f t="shared" si="617"/>
        <v>0</v>
      </c>
      <c r="Y139" s="25">
        <f>SUM(Y135:Y138)</f>
        <v>0</v>
      </c>
      <c r="AA139" s="10">
        <f>SUM(AA135:AA138)</f>
        <v>0</v>
      </c>
      <c r="AB139" s="11">
        <f t="shared" ref="AB139:AE139" si="618">SUM(AB135:AB138)</f>
        <v>0</v>
      </c>
      <c r="AC139" s="11">
        <f t="shared" si="618"/>
        <v>0</v>
      </c>
      <c r="AD139" s="11">
        <f t="shared" si="618"/>
        <v>0</v>
      </c>
      <c r="AE139" s="11">
        <f t="shared" si="618"/>
        <v>0</v>
      </c>
      <c r="AF139" s="25">
        <f>SUM(AF135:AF138)</f>
        <v>0</v>
      </c>
      <c r="AH139" s="10">
        <f>SUM(AH135:AH138)</f>
        <v>0</v>
      </c>
      <c r="AI139" s="11">
        <f t="shared" ref="AI139:AL139" si="619">SUM(AI135:AI138)</f>
        <v>0</v>
      </c>
      <c r="AJ139" s="11">
        <f t="shared" si="619"/>
        <v>0</v>
      </c>
      <c r="AK139" s="11">
        <f t="shared" si="619"/>
        <v>0</v>
      </c>
      <c r="AL139" s="11">
        <f t="shared" si="619"/>
        <v>0</v>
      </c>
      <c r="AM139" s="25">
        <f>SUM(AM135:AM138)</f>
        <v>0</v>
      </c>
      <c r="AO139" s="10">
        <f>SUM(AO135:AO138)</f>
        <v>0</v>
      </c>
      <c r="AP139" s="11">
        <f t="shared" ref="AP139:AS139" si="620">SUM(AP135:AP138)</f>
        <v>0</v>
      </c>
      <c r="AQ139" s="11">
        <f t="shared" si="620"/>
        <v>0</v>
      </c>
      <c r="AR139" s="11">
        <f t="shared" si="620"/>
        <v>0</v>
      </c>
      <c r="AS139" s="11">
        <f t="shared" si="620"/>
        <v>0</v>
      </c>
      <c r="AT139" s="25">
        <f>SUM(AT135:AT138)</f>
        <v>0</v>
      </c>
      <c r="AV139" s="10">
        <f>SUM(AV135:AV138)</f>
        <v>0</v>
      </c>
      <c r="AW139" s="11">
        <f t="shared" ref="AW139:AZ139" si="621">SUM(AW135:AW138)</f>
        <v>0</v>
      </c>
      <c r="AX139" s="11">
        <f t="shared" si="621"/>
        <v>0</v>
      </c>
      <c r="AY139" s="11">
        <f t="shared" si="621"/>
        <v>0</v>
      </c>
      <c r="AZ139" s="11">
        <f t="shared" si="621"/>
        <v>0</v>
      </c>
      <c r="BA139" s="25">
        <f>SUM(BA135:BA138)</f>
        <v>0</v>
      </c>
      <c r="BC139" s="10">
        <f>SUM(BC135:BC138)</f>
        <v>0</v>
      </c>
      <c r="BD139" s="11">
        <f t="shared" ref="BD139:BG139" si="622">SUM(BD135:BD138)</f>
        <v>0</v>
      </c>
      <c r="BE139" s="11">
        <f t="shared" si="622"/>
        <v>0</v>
      </c>
      <c r="BF139" s="11">
        <f t="shared" si="622"/>
        <v>0</v>
      </c>
      <c r="BG139" s="11">
        <f t="shared" si="622"/>
        <v>0</v>
      </c>
      <c r="BH139" s="25">
        <f>SUM(BH135:BH138)</f>
        <v>0</v>
      </c>
      <c r="BJ139" s="10">
        <f>SUM(BJ135:BJ138)</f>
        <v>0</v>
      </c>
      <c r="BK139" s="11">
        <f t="shared" ref="BK139:BN139" si="623">SUM(BK135:BK138)</f>
        <v>0</v>
      </c>
      <c r="BL139" s="11">
        <f t="shared" si="623"/>
        <v>0</v>
      </c>
      <c r="BM139" s="11">
        <f t="shared" si="623"/>
        <v>0</v>
      </c>
      <c r="BN139" s="11">
        <f t="shared" si="623"/>
        <v>0</v>
      </c>
      <c r="BO139" s="25">
        <f>SUM(BO135:BO138)</f>
        <v>0</v>
      </c>
      <c r="BQ139" s="10">
        <f>SUM(BQ135:BQ138)</f>
        <v>0</v>
      </c>
      <c r="BR139" s="11">
        <f t="shared" ref="BR139:BU139" si="624">SUM(BR135:BR138)</f>
        <v>0</v>
      </c>
      <c r="BS139" s="11">
        <f t="shared" si="624"/>
        <v>0</v>
      </c>
      <c r="BT139" s="11">
        <f t="shared" si="624"/>
        <v>0</v>
      </c>
      <c r="BU139" s="11">
        <f t="shared" si="624"/>
        <v>0</v>
      </c>
      <c r="BV139" s="25">
        <f>SUM(BV135:BV138)</f>
        <v>0</v>
      </c>
      <c r="BX139" s="10">
        <f>SUM(BX135:BX138)</f>
        <v>0</v>
      </c>
      <c r="BY139" s="11">
        <f t="shared" ref="BY139:CB139" si="625">SUM(BY135:BY138)</f>
        <v>0</v>
      </c>
      <c r="BZ139" s="11">
        <f t="shared" si="625"/>
        <v>0</v>
      </c>
      <c r="CA139" s="11">
        <f t="shared" si="625"/>
        <v>0</v>
      </c>
      <c r="CB139" s="11">
        <f t="shared" si="625"/>
        <v>0</v>
      </c>
      <c r="CC139" s="25">
        <f>SUM(CC135:CC138)</f>
        <v>0</v>
      </c>
      <c r="CE139" s="62">
        <f t="shared" ref="CE139:CJ139" si="626">SUM(CE135:CE138)</f>
        <v>0</v>
      </c>
      <c r="CF139" s="63">
        <f t="shared" si="626"/>
        <v>0</v>
      </c>
      <c r="CG139" s="63">
        <f t="shared" si="626"/>
        <v>0</v>
      </c>
      <c r="CH139" s="63">
        <f t="shared" si="626"/>
        <v>0</v>
      </c>
      <c r="CI139" s="63">
        <f t="shared" si="626"/>
        <v>0</v>
      </c>
      <c r="CJ139" s="25">
        <f t="shared" si="626"/>
        <v>0</v>
      </c>
      <c r="CL139" s="10">
        <f>SUM(CL135:CL138)</f>
        <v>0</v>
      </c>
      <c r="CM139" s="11">
        <f t="shared" ref="CM139:CP139" si="627">SUM(CM135:CM138)</f>
        <v>0</v>
      </c>
      <c r="CN139" s="11">
        <f t="shared" si="627"/>
        <v>0</v>
      </c>
      <c r="CO139" s="11">
        <f t="shared" si="627"/>
        <v>0</v>
      </c>
      <c r="CP139" s="11">
        <f t="shared" si="627"/>
        <v>0</v>
      </c>
      <c r="CQ139" s="25">
        <f>SUM(CQ135:CQ138)</f>
        <v>0</v>
      </c>
      <c r="CS139" s="10">
        <f>SUM(CS135:CS138)</f>
        <v>0</v>
      </c>
      <c r="CT139" s="11">
        <f t="shared" ref="CT139:CW139" si="628">SUM(CT135:CT138)</f>
        <v>0</v>
      </c>
      <c r="CU139" s="11">
        <f t="shared" si="628"/>
        <v>0</v>
      </c>
      <c r="CV139" s="11">
        <f t="shared" si="628"/>
        <v>0</v>
      </c>
      <c r="CW139" s="11">
        <f t="shared" si="628"/>
        <v>0</v>
      </c>
      <c r="CX139" s="25">
        <f>SUM(CX135:CX138)</f>
        <v>0</v>
      </c>
      <c r="CZ139" s="10">
        <f>SUM(CZ135:CZ138)</f>
        <v>0</v>
      </c>
      <c r="DA139" s="11">
        <f t="shared" ref="DA139:DD139" si="629">SUM(DA135:DA138)</f>
        <v>0</v>
      </c>
      <c r="DB139" s="11">
        <f t="shared" si="629"/>
        <v>0</v>
      </c>
      <c r="DC139" s="11">
        <f t="shared" si="629"/>
        <v>0</v>
      </c>
      <c r="DD139" s="11">
        <f t="shared" si="629"/>
        <v>0</v>
      </c>
      <c r="DE139" s="25">
        <f>SUM(DE135:DE138)</f>
        <v>0</v>
      </c>
    </row>
    <row r="140" spans="2:109" ht="10.4" customHeight="1" thickBot="1"/>
    <row r="141" spans="2:109">
      <c r="C141" s="553">
        <v>2025</v>
      </c>
      <c r="E141" s="13" t="s">
        <v>59</v>
      </c>
      <c r="F141" s="21">
        <f>CE135</f>
        <v>0</v>
      </c>
      <c r="G141" s="22">
        <f t="shared" ref="G141:G144" si="630">CF135</f>
        <v>0</v>
      </c>
      <c r="H141" s="22">
        <f t="shared" ref="H141:H144" si="631">CG135</f>
        <v>0</v>
      </c>
      <c r="I141" s="22">
        <f t="shared" ref="I141:I144" si="632">CH135</f>
        <v>0</v>
      </c>
      <c r="J141" s="22">
        <f t="shared" ref="J141:J144" si="633">CI135</f>
        <v>0</v>
      </c>
      <c r="K141" s="15">
        <f>SUM(F141:J141)</f>
        <v>0</v>
      </c>
      <c r="M141" s="2"/>
      <c r="N141" s="3"/>
      <c r="O141" s="3"/>
      <c r="P141" s="3"/>
      <c r="Q141" s="3"/>
      <c r="R141" s="15">
        <f>SUM(M141:Q141)</f>
        <v>0</v>
      </c>
      <c r="T141" s="2"/>
      <c r="U141" s="3"/>
      <c r="V141" s="3"/>
      <c r="W141" s="3"/>
      <c r="X141" s="3"/>
      <c r="Y141" s="15">
        <f>SUM(T141:X141)</f>
        <v>0</v>
      </c>
      <c r="AA141" s="2"/>
      <c r="AB141" s="3"/>
      <c r="AC141" s="3"/>
      <c r="AD141" s="3"/>
      <c r="AE141" s="3"/>
      <c r="AF141" s="15">
        <f>SUM(AA141:AE141)</f>
        <v>0</v>
      </c>
      <c r="AH141" s="2"/>
      <c r="AI141" s="3"/>
      <c r="AJ141" s="3"/>
      <c r="AK141" s="3"/>
      <c r="AL141" s="3"/>
      <c r="AM141" s="15">
        <f>SUM(AH141:AL141)</f>
        <v>0</v>
      </c>
      <c r="AO141" s="2"/>
      <c r="AP141" s="3"/>
      <c r="AQ141" s="3"/>
      <c r="AR141" s="3"/>
      <c r="AS141" s="3"/>
      <c r="AT141" s="15">
        <f>SUM(AO141:AS141)</f>
        <v>0</v>
      </c>
      <c r="AV141" s="2"/>
      <c r="AW141" s="3"/>
      <c r="AX141" s="3"/>
      <c r="AY141" s="3"/>
      <c r="AZ141" s="3"/>
      <c r="BA141" s="15">
        <f>SUM(AV141:AZ141)</f>
        <v>0</v>
      </c>
      <c r="BC141" s="2"/>
      <c r="BD141" s="3"/>
      <c r="BE141" s="3"/>
      <c r="BF141" s="3"/>
      <c r="BG141" s="3"/>
      <c r="BH141" s="15">
        <f>SUM(BC141:BG141)</f>
        <v>0</v>
      </c>
      <c r="BJ141" s="2"/>
      <c r="BK141" s="3"/>
      <c r="BL141" s="3"/>
      <c r="BM141" s="3"/>
      <c r="BN141" s="3"/>
      <c r="BO141" s="15">
        <f>SUM(BJ141:BN141)</f>
        <v>0</v>
      </c>
      <c r="BQ141" s="2"/>
      <c r="BR141" s="3"/>
      <c r="BS141" s="3"/>
      <c r="BT141" s="3"/>
      <c r="BU141" s="3"/>
      <c r="BV141" s="15">
        <f>SUM(BQ141:BU141)</f>
        <v>0</v>
      </c>
      <c r="BX141" s="2"/>
      <c r="BY141" s="3"/>
      <c r="BZ141" s="3"/>
      <c r="CA141" s="3"/>
      <c r="CB141" s="3"/>
      <c r="CC141" s="15">
        <f>SUM(BX141:CB141)</f>
        <v>0</v>
      </c>
      <c r="CE141" s="26">
        <f t="shared" ref="CE141:CE144" si="634">F141+M141+T141+AA141+AH141+AO141+AV141+BC141+BJ141+BQ141+BX141</f>
        <v>0</v>
      </c>
      <c r="CF141" s="27">
        <f t="shared" ref="CF141:CF144" si="635">G141+N141+U141+AB141+AI141+AP141+AW141+BD141+BK141+BR141+BY141</f>
        <v>0</v>
      </c>
      <c r="CG141" s="27">
        <f t="shared" ref="CG141:CG144" si="636">H141+O141+V141+AC141+AJ141+AQ141+AX141+BE141+BL141+BS141+BZ141</f>
        <v>0</v>
      </c>
      <c r="CH141" s="27">
        <f t="shared" ref="CH141:CH144" si="637">I141+P141+W141+AD141+AK141+AR141+AY141+BF141+BM141+BT141+CA141</f>
        <v>0</v>
      </c>
      <c r="CI141" s="27">
        <f t="shared" ref="CI141:CI144" si="638">J141+Q141+X141+AE141+AL141+AS141+AZ141+BG141+BN141+BU141+CB141</f>
        <v>0</v>
      </c>
      <c r="CJ141" s="4">
        <f>SUM(CE141:CI141)</f>
        <v>0</v>
      </c>
      <c r="CL141" s="2"/>
      <c r="CM141" s="3"/>
      <c r="CN141" s="3"/>
      <c r="CO141" s="3"/>
      <c r="CP141" s="3"/>
      <c r="CQ141" s="15">
        <f>SUM(CL141:CP141)</f>
        <v>0</v>
      </c>
      <c r="CS141" s="2"/>
      <c r="CT141" s="3"/>
      <c r="CU141" s="3"/>
      <c r="CV141" s="3"/>
      <c r="CW141" s="3"/>
      <c r="CX141" s="15">
        <f>SUM(CS141:CW141)</f>
        <v>0</v>
      </c>
      <c r="CZ141" s="2"/>
      <c r="DA141" s="3"/>
      <c r="DB141" s="3"/>
      <c r="DC141" s="3"/>
      <c r="DD141" s="3"/>
      <c r="DE141" s="15">
        <f>SUM(CZ141:DD141)</f>
        <v>0</v>
      </c>
    </row>
    <row r="142" spans="2:109">
      <c r="C142" s="567"/>
      <c r="E142" s="14" t="s">
        <v>60</v>
      </c>
      <c r="F142" s="23">
        <f t="shared" ref="F142:F144" si="639">CE136</f>
        <v>0</v>
      </c>
      <c r="G142" s="24">
        <f t="shared" si="630"/>
        <v>0</v>
      </c>
      <c r="H142" s="24">
        <f t="shared" si="631"/>
        <v>0</v>
      </c>
      <c r="I142" s="24">
        <f t="shared" si="632"/>
        <v>0</v>
      </c>
      <c r="J142" s="24">
        <f t="shared" si="633"/>
        <v>0</v>
      </c>
      <c r="K142" s="16">
        <f t="shared" ref="K142:K144" si="640">SUM(F142:J142)</f>
        <v>0</v>
      </c>
      <c r="M142" s="6"/>
      <c r="N142" s="7"/>
      <c r="O142" s="7"/>
      <c r="P142" s="7"/>
      <c r="Q142" s="7"/>
      <c r="R142" s="16">
        <f t="shared" ref="R142:R144" si="641">SUM(M142:Q142)</f>
        <v>0</v>
      </c>
      <c r="T142" s="6"/>
      <c r="U142" s="7"/>
      <c r="V142" s="7"/>
      <c r="W142" s="7"/>
      <c r="X142" s="7"/>
      <c r="Y142" s="16">
        <f t="shared" ref="Y142:Y144" si="642">SUM(T142:X142)</f>
        <v>0</v>
      </c>
      <c r="AA142" s="6"/>
      <c r="AB142" s="7"/>
      <c r="AC142" s="7"/>
      <c r="AD142" s="7"/>
      <c r="AE142" s="7"/>
      <c r="AF142" s="16">
        <f>SUM(AA142:AE142)</f>
        <v>0</v>
      </c>
      <c r="AH142" s="6"/>
      <c r="AI142" s="7"/>
      <c r="AJ142" s="7"/>
      <c r="AK142" s="7"/>
      <c r="AL142" s="7"/>
      <c r="AM142" s="16">
        <f>SUM(AH142:AL142)</f>
        <v>0</v>
      </c>
      <c r="AO142" s="6"/>
      <c r="AP142" s="7"/>
      <c r="AQ142" s="7"/>
      <c r="AR142" s="7"/>
      <c r="AS142" s="7"/>
      <c r="AT142" s="16">
        <f>SUM(AO142:AS142)</f>
        <v>0</v>
      </c>
      <c r="AV142" s="6"/>
      <c r="AW142" s="7"/>
      <c r="AX142" s="7"/>
      <c r="AY142" s="7"/>
      <c r="AZ142" s="7"/>
      <c r="BA142" s="16">
        <f>SUM(AV142:AZ142)</f>
        <v>0</v>
      </c>
      <c r="BC142" s="6"/>
      <c r="BD142" s="7"/>
      <c r="BE142" s="7"/>
      <c r="BF142" s="7"/>
      <c r="BG142" s="7"/>
      <c r="BH142" s="16">
        <f>SUM(BC142:BG142)</f>
        <v>0</v>
      </c>
      <c r="BJ142" s="6"/>
      <c r="BK142" s="7"/>
      <c r="BL142" s="7"/>
      <c r="BM142" s="7"/>
      <c r="BN142" s="7"/>
      <c r="BO142" s="16">
        <f>SUM(BJ142:BN142)</f>
        <v>0</v>
      </c>
      <c r="BQ142" s="6"/>
      <c r="BR142" s="7"/>
      <c r="BS142" s="7"/>
      <c r="BT142" s="7"/>
      <c r="BU142" s="7"/>
      <c r="BV142" s="16">
        <f>SUM(BQ142:BU142)</f>
        <v>0</v>
      </c>
      <c r="BX142" s="6"/>
      <c r="BY142" s="7"/>
      <c r="BZ142" s="7"/>
      <c r="CA142" s="7"/>
      <c r="CB142" s="7"/>
      <c r="CC142" s="16">
        <f>SUM(BX142:CB142)</f>
        <v>0</v>
      </c>
      <c r="CE142" s="28">
        <f t="shared" si="634"/>
        <v>0</v>
      </c>
      <c r="CF142" s="29">
        <f t="shared" si="635"/>
        <v>0</v>
      </c>
      <c r="CG142" s="29">
        <f t="shared" si="636"/>
        <v>0</v>
      </c>
      <c r="CH142" s="29">
        <f t="shared" si="637"/>
        <v>0</v>
      </c>
      <c r="CI142" s="29">
        <f t="shared" si="638"/>
        <v>0</v>
      </c>
      <c r="CJ142" s="8">
        <f>SUM(CE142:CI142)</f>
        <v>0</v>
      </c>
      <c r="CL142" s="6"/>
      <c r="CM142" s="7"/>
      <c r="CN142" s="7"/>
      <c r="CO142" s="7"/>
      <c r="CP142" s="7"/>
      <c r="CQ142" s="16">
        <f>SUM(CL142:CP142)</f>
        <v>0</v>
      </c>
      <c r="CS142" s="6"/>
      <c r="CT142" s="7"/>
      <c r="CU142" s="7"/>
      <c r="CV142" s="7"/>
      <c r="CW142" s="7"/>
      <c r="CX142" s="16">
        <f t="shared" ref="CX142:CX144" si="643">SUM(CS142:CW142)</f>
        <v>0</v>
      </c>
      <c r="CZ142" s="6"/>
      <c r="DA142" s="7"/>
      <c r="DB142" s="7"/>
      <c r="DC142" s="7"/>
      <c r="DD142" s="7"/>
      <c r="DE142" s="16">
        <f t="shared" ref="DE142:DE144" si="644">SUM(CZ142:DD142)</f>
        <v>0</v>
      </c>
    </row>
    <row r="143" spans="2:109">
      <c r="C143" s="567"/>
      <c r="E143" s="14" t="s">
        <v>61</v>
      </c>
      <c r="F143" s="23">
        <f t="shared" si="639"/>
        <v>0</v>
      </c>
      <c r="G143" s="24">
        <f t="shared" si="630"/>
        <v>0</v>
      </c>
      <c r="H143" s="24">
        <f t="shared" si="631"/>
        <v>0</v>
      </c>
      <c r="I143" s="24">
        <f t="shared" si="632"/>
        <v>0</v>
      </c>
      <c r="J143" s="24">
        <f t="shared" si="633"/>
        <v>0</v>
      </c>
      <c r="K143" s="16">
        <f t="shared" si="640"/>
        <v>0</v>
      </c>
      <c r="M143" s="6"/>
      <c r="N143" s="7"/>
      <c r="O143" s="7"/>
      <c r="P143" s="7"/>
      <c r="Q143" s="7"/>
      <c r="R143" s="16">
        <f t="shared" si="641"/>
        <v>0</v>
      </c>
      <c r="T143" s="6"/>
      <c r="U143" s="7"/>
      <c r="V143" s="7"/>
      <c r="W143" s="7"/>
      <c r="X143" s="7"/>
      <c r="Y143" s="16">
        <f t="shared" si="642"/>
        <v>0</v>
      </c>
      <c r="AA143" s="6"/>
      <c r="AB143" s="7"/>
      <c r="AC143" s="7"/>
      <c r="AD143" s="7"/>
      <c r="AE143" s="7"/>
      <c r="AF143" s="16">
        <f>SUM(AA143:AE143)</f>
        <v>0</v>
      </c>
      <c r="AH143" s="6"/>
      <c r="AI143" s="7"/>
      <c r="AJ143" s="7"/>
      <c r="AK143" s="7"/>
      <c r="AL143" s="7"/>
      <c r="AM143" s="16">
        <f>SUM(AH143:AL143)</f>
        <v>0</v>
      </c>
      <c r="AO143" s="6"/>
      <c r="AP143" s="7"/>
      <c r="AQ143" s="7"/>
      <c r="AR143" s="7"/>
      <c r="AS143" s="7"/>
      <c r="AT143" s="16">
        <f>SUM(AO143:AS143)</f>
        <v>0</v>
      </c>
      <c r="AV143" s="6"/>
      <c r="AW143" s="7"/>
      <c r="AX143" s="7"/>
      <c r="AY143" s="7"/>
      <c r="AZ143" s="7"/>
      <c r="BA143" s="16">
        <f>SUM(AV143:AZ143)</f>
        <v>0</v>
      </c>
      <c r="BC143" s="6"/>
      <c r="BD143" s="7"/>
      <c r="BE143" s="7"/>
      <c r="BF143" s="7"/>
      <c r="BG143" s="7"/>
      <c r="BH143" s="16">
        <f>SUM(BC143:BG143)</f>
        <v>0</v>
      </c>
      <c r="BJ143" s="6"/>
      <c r="BK143" s="7"/>
      <c r="BL143" s="7"/>
      <c r="BM143" s="7"/>
      <c r="BN143" s="7"/>
      <c r="BO143" s="16">
        <f>SUM(BJ143:BN143)</f>
        <v>0</v>
      </c>
      <c r="BQ143" s="6"/>
      <c r="BR143" s="7"/>
      <c r="BS143" s="7"/>
      <c r="BT143" s="7"/>
      <c r="BU143" s="7"/>
      <c r="BV143" s="16">
        <f>SUM(BQ143:BU143)</f>
        <v>0</v>
      </c>
      <c r="BX143" s="6"/>
      <c r="BY143" s="7"/>
      <c r="BZ143" s="7"/>
      <c r="CA143" s="7"/>
      <c r="CB143" s="7"/>
      <c r="CC143" s="16">
        <f>SUM(BX143:CB143)</f>
        <v>0</v>
      </c>
      <c r="CE143" s="28">
        <f t="shared" si="634"/>
        <v>0</v>
      </c>
      <c r="CF143" s="29">
        <f t="shared" si="635"/>
        <v>0</v>
      </c>
      <c r="CG143" s="29">
        <f t="shared" si="636"/>
        <v>0</v>
      </c>
      <c r="CH143" s="29">
        <f t="shared" si="637"/>
        <v>0</v>
      </c>
      <c r="CI143" s="29">
        <f t="shared" si="638"/>
        <v>0</v>
      </c>
      <c r="CJ143" s="8">
        <f>SUM(CE143:CI143)</f>
        <v>0</v>
      </c>
      <c r="CL143" s="6"/>
      <c r="CM143" s="7"/>
      <c r="CN143" s="7"/>
      <c r="CO143" s="7"/>
      <c r="CP143" s="7"/>
      <c r="CQ143" s="16">
        <f>SUM(CL143:CP143)</f>
        <v>0</v>
      </c>
      <c r="CS143" s="6"/>
      <c r="CT143" s="7"/>
      <c r="CU143" s="7"/>
      <c r="CV143" s="7"/>
      <c r="CW143" s="7"/>
      <c r="CX143" s="16">
        <f t="shared" si="643"/>
        <v>0</v>
      </c>
      <c r="CZ143" s="6"/>
      <c r="DA143" s="7"/>
      <c r="DB143" s="7"/>
      <c r="DC143" s="7"/>
      <c r="DD143" s="7"/>
      <c r="DE143" s="16">
        <f t="shared" si="644"/>
        <v>0</v>
      </c>
    </row>
    <row r="144" spans="2:109" ht="14" thickBot="1">
      <c r="C144" s="567"/>
      <c r="E144" s="14" t="s">
        <v>62</v>
      </c>
      <c r="F144" s="23">
        <f t="shared" si="639"/>
        <v>0</v>
      </c>
      <c r="G144" s="24">
        <f t="shared" si="630"/>
        <v>0</v>
      </c>
      <c r="H144" s="24">
        <f t="shared" si="631"/>
        <v>0</v>
      </c>
      <c r="I144" s="24">
        <f t="shared" si="632"/>
        <v>0</v>
      </c>
      <c r="J144" s="24">
        <f t="shared" si="633"/>
        <v>0</v>
      </c>
      <c r="K144" s="16">
        <f t="shared" si="640"/>
        <v>0</v>
      </c>
      <c r="M144" s="6"/>
      <c r="N144" s="7"/>
      <c r="O144" s="7"/>
      <c r="P144" s="7"/>
      <c r="Q144" s="7"/>
      <c r="R144" s="16">
        <f t="shared" si="641"/>
        <v>0</v>
      </c>
      <c r="T144" s="6"/>
      <c r="U144" s="7"/>
      <c r="V144" s="7"/>
      <c r="W144" s="7"/>
      <c r="X144" s="7"/>
      <c r="Y144" s="16">
        <f t="shared" si="642"/>
        <v>0</v>
      </c>
      <c r="AA144" s="6"/>
      <c r="AB144" s="7"/>
      <c r="AC144" s="7"/>
      <c r="AD144" s="7"/>
      <c r="AE144" s="7"/>
      <c r="AF144" s="16">
        <f>SUM(AA144:AE144)</f>
        <v>0</v>
      </c>
      <c r="AH144" s="6"/>
      <c r="AI144" s="7"/>
      <c r="AJ144" s="7"/>
      <c r="AK144" s="7"/>
      <c r="AL144" s="7"/>
      <c r="AM144" s="16">
        <f>SUM(AH144:AL144)</f>
        <v>0</v>
      </c>
      <c r="AO144" s="6"/>
      <c r="AP144" s="7"/>
      <c r="AQ144" s="7"/>
      <c r="AR144" s="7"/>
      <c r="AS144" s="7"/>
      <c r="AT144" s="16">
        <f>SUM(AO144:AS144)</f>
        <v>0</v>
      </c>
      <c r="AV144" s="6"/>
      <c r="AW144" s="7"/>
      <c r="AX144" s="7"/>
      <c r="AY144" s="7"/>
      <c r="AZ144" s="7"/>
      <c r="BA144" s="16">
        <f>SUM(AV144:AZ144)</f>
        <v>0</v>
      </c>
      <c r="BC144" s="6"/>
      <c r="BD144" s="7"/>
      <c r="BE144" s="7"/>
      <c r="BF144" s="7"/>
      <c r="BG144" s="7"/>
      <c r="BH144" s="16">
        <f>SUM(BC144:BG144)</f>
        <v>0</v>
      </c>
      <c r="BJ144" s="6"/>
      <c r="BK144" s="7"/>
      <c r="BL144" s="7"/>
      <c r="BM144" s="7"/>
      <c r="BN144" s="7"/>
      <c r="BO144" s="16">
        <f>SUM(BJ144:BN144)</f>
        <v>0</v>
      </c>
      <c r="BQ144" s="6"/>
      <c r="BR144" s="7"/>
      <c r="BS144" s="7"/>
      <c r="BT144" s="7"/>
      <c r="BU144" s="7"/>
      <c r="BV144" s="16">
        <f>SUM(BQ144:BU144)</f>
        <v>0</v>
      </c>
      <c r="BX144" s="6"/>
      <c r="BY144" s="7"/>
      <c r="BZ144" s="7"/>
      <c r="CA144" s="7"/>
      <c r="CB144" s="7"/>
      <c r="CC144" s="16">
        <f>SUM(BX144:CB144)</f>
        <v>0</v>
      </c>
      <c r="CE144" s="493">
        <f t="shared" si="634"/>
        <v>0</v>
      </c>
      <c r="CF144" s="494">
        <f t="shared" si="635"/>
        <v>0</v>
      </c>
      <c r="CG144" s="494">
        <f t="shared" si="636"/>
        <v>0</v>
      </c>
      <c r="CH144" s="494">
        <f t="shared" si="637"/>
        <v>0</v>
      </c>
      <c r="CI144" s="494">
        <f t="shared" si="638"/>
        <v>0</v>
      </c>
      <c r="CJ144" s="495">
        <f>SUM(CE144:CI144)</f>
        <v>0</v>
      </c>
      <c r="CL144" s="6"/>
      <c r="CM144" s="7"/>
      <c r="CN144" s="7"/>
      <c r="CO144" s="7"/>
      <c r="CP144" s="7"/>
      <c r="CQ144" s="16">
        <f>SUM(CL144:CP144)</f>
        <v>0</v>
      </c>
      <c r="CS144" s="6"/>
      <c r="CT144" s="7"/>
      <c r="CU144" s="7"/>
      <c r="CV144" s="7"/>
      <c r="CW144" s="7"/>
      <c r="CX144" s="16">
        <f t="shared" si="643"/>
        <v>0</v>
      </c>
      <c r="CZ144" s="6"/>
      <c r="DA144" s="7"/>
      <c r="DB144" s="7"/>
      <c r="DC144" s="7"/>
      <c r="DD144" s="7"/>
      <c r="DE144" s="16">
        <f t="shared" si="644"/>
        <v>0</v>
      </c>
    </row>
    <row r="145" spans="3:109" ht="14" thickBot="1">
      <c r="C145" s="554"/>
      <c r="E145" s="9"/>
      <c r="F145" s="10">
        <f>SUM(F141:F144)</f>
        <v>0</v>
      </c>
      <c r="G145" s="11">
        <f t="shared" ref="G145:J145" si="645">SUM(G141:G144)</f>
        <v>0</v>
      </c>
      <c r="H145" s="11">
        <f t="shared" si="645"/>
        <v>0</v>
      </c>
      <c r="I145" s="11">
        <f t="shared" si="645"/>
        <v>0</v>
      </c>
      <c r="J145" s="11">
        <f t="shared" si="645"/>
        <v>0</v>
      </c>
      <c r="K145" s="25">
        <f>SUM(K141:K144)</f>
        <v>0</v>
      </c>
      <c r="M145" s="10">
        <f>SUM(M141:M144)</f>
        <v>0</v>
      </c>
      <c r="N145" s="11">
        <f t="shared" ref="N145:Q145" si="646">SUM(N141:N144)</f>
        <v>0</v>
      </c>
      <c r="O145" s="11">
        <f t="shared" si="646"/>
        <v>0</v>
      </c>
      <c r="P145" s="11">
        <f t="shared" si="646"/>
        <v>0</v>
      </c>
      <c r="Q145" s="11">
        <f t="shared" si="646"/>
        <v>0</v>
      </c>
      <c r="R145" s="25">
        <f>SUM(R141:R144)</f>
        <v>0</v>
      </c>
      <c r="T145" s="10">
        <f>SUM(T141:T144)</f>
        <v>0</v>
      </c>
      <c r="U145" s="11">
        <f t="shared" ref="U145:X145" si="647">SUM(U141:U144)</f>
        <v>0</v>
      </c>
      <c r="V145" s="11">
        <f t="shared" si="647"/>
        <v>0</v>
      </c>
      <c r="W145" s="11">
        <f t="shared" si="647"/>
        <v>0</v>
      </c>
      <c r="X145" s="11">
        <f t="shared" si="647"/>
        <v>0</v>
      </c>
      <c r="Y145" s="25">
        <f>SUM(Y141:Y144)</f>
        <v>0</v>
      </c>
      <c r="AA145" s="10">
        <f>SUM(AA141:AA144)</f>
        <v>0</v>
      </c>
      <c r="AB145" s="11">
        <f t="shared" ref="AB145:AE145" si="648">SUM(AB141:AB144)</f>
        <v>0</v>
      </c>
      <c r="AC145" s="11">
        <f t="shared" si="648"/>
        <v>0</v>
      </c>
      <c r="AD145" s="11">
        <f t="shared" si="648"/>
        <v>0</v>
      </c>
      <c r="AE145" s="11">
        <f t="shared" si="648"/>
        <v>0</v>
      </c>
      <c r="AF145" s="25">
        <f>SUM(AF141:AF144)</f>
        <v>0</v>
      </c>
      <c r="AH145" s="10">
        <f>SUM(AH141:AH144)</f>
        <v>0</v>
      </c>
      <c r="AI145" s="11">
        <f t="shared" ref="AI145:AL145" si="649">SUM(AI141:AI144)</f>
        <v>0</v>
      </c>
      <c r="AJ145" s="11">
        <f t="shared" si="649"/>
        <v>0</v>
      </c>
      <c r="AK145" s="11">
        <f t="shared" si="649"/>
        <v>0</v>
      </c>
      <c r="AL145" s="11">
        <f t="shared" si="649"/>
        <v>0</v>
      </c>
      <c r="AM145" s="25">
        <f>SUM(AM141:AM144)</f>
        <v>0</v>
      </c>
      <c r="AO145" s="10">
        <f>SUM(AO141:AO144)</f>
        <v>0</v>
      </c>
      <c r="AP145" s="11">
        <f t="shared" ref="AP145:AS145" si="650">SUM(AP141:AP144)</f>
        <v>0</v>
      </c>
      <c r="AQ145" s="11">
        <f t="shared" si="650"/>
        <v>0</v>
      </c>
      <c r="AR145" s="11">
        <f t="shared" si="650"/>
        <v>0</v>
      </c>
      <c r="AS145" s="11">
        <f t="shared" si="650"/>
        <v>0</v>
      </c>
      <c r="AT145" s="25">
        <f>SUM(AT141:AT144)</f>
        <v>0</v>
      </c>
      <c r="AV145" s="10">
        <f>SUM(AV141:AV144)</f>
        <v>0</v>
      </c>
      <c r="AW145" s="11">
        <f t="shared" ref="AW145:AZ145" si="651">SUM(AW141:AW144)</f>
        <v>0</v>
      </c>
      <c r="AX145" s="11">
        <f t="shared" si="651"/>
        <v>0</v>
      </c>
      <c r="AY145" s="11">
        <f t="shared" si="651"/>
        <v>0</v>
      </c>
      <c r="AZ145" s="11">
        <f t="shared" si="651"/>
        <v>0</v>
      </c>
      <c r="BA145" s="25">
        <f>SUM(BA141:BA144)</f>
        <v>0</v>
      </c>
      <c r="BC145" s="10">
        <f>SUM(BC141:BC144)</f>
        <v>0</v>
      </c>
      <c r="BD145" s="11">
        <f t="shared" ref="BD145:BG145" si="652">SUM(BD141:BD144)</f>
        <v>0</v>
      </c>
      <c r="BE145" s="11">
        <f t="shared" si="652"/>
        <v>0</v>
      </c>
      <c r="BF145" s="11">
        <f t="shared" si="652"/>
        <v>0</v>
      </c>
      <c r="BG145" s="11">
        <f t="shared" si="652"/>
        <v>0</v>
      </c>
      <c r="BH145" s="25">
        <f>SUM(BH141:BH144)</f>
        <v>0</v>
      </c>
      <c r="BJ145" s="10">
        <f>SUM(BJ141:BJ144)</f>
        <v>0</v>
      </c>
      <c r="BK145" s="11">
        <f t="shared" ref="BK145:BN145" si="653">SUM(BK141:BK144)</f>
        <v>0</v>
      </c>
      <c r="BL145" s="11">
        <f t="shared" si="653"/>
        <v>0</v>
      </c>
      <c r="BM145" s="11">
        <f t="shared" si="653"/>
        <v>0</v>
      </c>
      <c r="BN145" s="11">
        <f t="shared" si="653"/>
        <v>0</v>
      </c>
      <c r="BO145" s="25">
        <f>SUM(BO141:BO144)</f>
        <v>0</v>
      </c>
      <c r="BQ145" s="10">
        <f>SUM(BQ141:BQ144)</f>
        <v>0</v>
      </c>
      <c r="BR145" s="11">
        <f t="shared" ref="BR145:BU145" si="654">SUM(BR141:BR144)</f>
        <v>0</v>
      </c>
      <c r="BS145" s="11">
        <f t="shared" si="654"/>
        <v>0</v>
      </c>
      <c r="BT145" s="11">
        <f t="shared" si="654"/>
        <v>0</v>
      </c>
      <c r="BU145" s="11">
        <f t="shared" si="654"/>
        <v>0</v>
      </c>
      <c r="BV145" s="25">
        <f>SUM(BV141:BV144)</f>
        <v>0</v>
      </c>
      <c r="BX145" s="10">
        <f>SUM(BX141:BX144)</f>
        <v>0</v>
      </c>
      <c r="BY145" s="11">
        <f t="shared" ref="BY145:CB145" si="655">SUM(BY141:BY144)</f>
        <v>0</v>
      </c>
      <c r="BZ145" s="11">
        <f t="shared" si="655"/>
        <v>0</v>
      </c>
      <c r="CA145" s="11">
        <f t="shared" si="655"/>
        <v>0</v>
      </c>
      <c r="CB145" s="11">
        <f t="shared" si="655"/>
        <v>0</v>
      </c>
      <c r="CC145" s="25">
        <f>SUM(CC141:CC144)</f>
        <v>0</v>
      </c>
      <c r="CE145" s="62">
        <f t="shared" ref="CE145:CJ145" si="656">SUM(CE141:CE144)</f>
        <v>0</v>
      </c>
      <c r="CF145" s="63">
        <f t="shared" si="656"/>
        <v>0</v>
      </c>
      <c r="CG145" s="63">
        <f t="shared" si="656"/>
        <v>0</v>
      </c>
      <c r="CH145" s="63">
        <f t="shared" si="656"/>
        <v>0</v>
      </c>
      <c r="CI145" s="63">
        <f t="shared" si="656"/>
        <v>0</v>
      </c>
      <c r="CJ145" s="25">
        <f t="shared" si="656"/>
        <v>0</v>
      </c>
      <c r="CL145" s="10">
        <f>SUM(CL141:CL144)</f>
        <v>0</v>
      </c>
      <c r="CM145" s="11">
        <f t="shared" ref="CM145:CP145" si="657">SUM(CM141:CM144)</f>
        <v>0</v>
      </c>
      <c r="CN145" s="11">
        <f t="shared" si="657"/>
        <v>0</v>
      </c>
      <c r="CO145" s="11">
        <f t="shared" si="657"/>
        <v>0</v>
      </c>
      <c r="CP145" s="11">
        <f t="shared" si="657"/>
        <v>0</v>
      </c>
      <c r="CQ145" s="25">
        <f>SUM(CQ141:CQ144)</f>
        <v>0</v>
      </c>
      <c r="CS145" s="10">
        <f>SUM(CS141:CS144)</f>
        <v>0</v>
      </c>
      <c r="CT145" s="11">
        <f t="shared" ref="CT145:CW145" si="658">SUM(CT141:CT144)</f>
        <v>0</v>
      </c>
      <c r="CU145" s="11">
        <f t="shared" si="658"/>
        <v>0</v>
      </c>
      <c r="CV145" s="11">
        <f t="shared" si="658"/>
        <v>0</v>
      </c>
      <c r="CW145" s="11">
        <f t="shared" si="658"/>
        <v>0</v>
      </c>
      <c r="CX145" s="25">
        <f>SUM(CX141:CX144)</f>
        <v>0</v>
      </c>
      <c r="CZ145" s="10">
        <f>SUM(CZ141:CZ144)</f>
        <v>0</v>
      </c>
      <c r="DA145" s="11">
        <f t="shared" ref="DA145:DD145" si="659">SUM(DA141:DA144)</f>
        <v>0</v>
      </c>
      <c r="DB145" s="11">
        <f t="shared" si="659"/>
        <v>0</v>
      </c>
      <c r="DC145" s="11">
        <f t="shared" si="659"/>
        <v>0</v>
      </c>
      <c r="DD145" s="11">
        <f t="shared" si="659"/>
        <v>0</v>
      </c>
      <c r="DE145" s="25">
        <f>SUM(DE141:DE144)</f>
        <v>0</v>
      </c>
    </row>
    <row r="146" spans="3:109" ht="10.4" customHeight="1" thickBot="1"/>
    <row r="147" spans="3:109">
      <c r="C147" s="553">
        <v>2026</v>
      </c>
      <c r="E147" s="13" t="s">
        <v>59</v>
      </c>
      <c r="F147" s="21">
        <f>CE141</f>
        <v>0</v>
      </c>
      <c r="G147" s="22">
        <f t="shared" ref="G147:G150" si="660">CF141</f>
        <v>0</v>
      </c>
      <c r="H147" s="22">
        <f t="shared" ref="H147:H150" si="661">CG141</f>
        <v>0</v>
      </c>
      <c r="I147" s="22">
        <f t="shared" ref="I147:I150" si="662">CH141</f>
        <v>0</v>
      </c>
      <c r="J147" s="22">
        <f t="shared" ref="J147:J150" si="663">CI141</f>
        <v>0</v>
      </c>
      <c r="K147" s="4">
        <f>SUM(F147:J147)</f>
        <v>0</v>
      </c>
      <c r="M147" s="2"/>
      <c r="N147" s="3"/>
      <c r="O147" s="3"/>
      <c r="P147" s="3"/>
      <c r="Q147" s="3"/>
      <c r="R147" s="4">
        <f>SUM(M147:Q147)</f>
        <v>0</v>
      </c>
      <c r="T147" s="2"/>
      <c r="U147" s="3"/>
      <c r="V147" s="3"/>
      <c r="W147" s="3"/>
      <c r="X147" s="3"/>
      <c r="Y147" s="4">
        <f>SUM(T147:X147)</f>
        <v>0</v>
      </c>
      <c r="AA147" s="2"/>
      <c r="AB147" s="3"/>
      <c r="AC147" s="3"/>
      <c r="AD147" s="3"/>
      <c r="AE147" s="3"/>
      <c r="AF147" s="4">
        <f>SUM(AA147:AE147)</f>
        <v>0</v>
      </c>
      <c r="AH147" s="2"/>
      <c r="AI147" s="3"/>
      <c r="AJ147" s="3"/>
      <c r="AK147" s="3"/>
      <c r="AL147" s="3"/>
      <c r="AM147" s="4">
        <f>SUM(AH147:AL147)</f>
        <v>0</v>
      </c>
      <c r="AO147" s="2"/>
      <c r="AP147" s="3"/>
      <c r="AQ147" s="3"/>
      <c r="AR147" s="3"/>
      <c r="AS147" s="3"/>
      <c r="AT147" s="4">
        <f>SUM(AO147:AS147)</f>
        <v>0</v>
      </c>
      <c r="AV147" s="2"/>
      <c r="AW147" s="3"/>
      <c r="AX147" s="3"/>
      <c r="AY147" s="3"/>
      <c r="AZ147" s="3"/>
      <c r="BA147" s="4">
        <f>SUM(AV147:AZ147)</f>
        <v>0</v>
      </c>
      <c r="BC147" s="2"/>
      <c r="BD147" s="3"/>
      <c r="BE147" s="3"/>
      <c r="BF147" s="3"/>
      <c r="BG147" s="3"/>
      <c r="BH147" s="4">
        <f>SUM(BC147:BG147)</f>
        <v>0</v>
      </c>
      <c r="BJ147" s="2"/>
      <c r="BK147" s="3"/>
      <c r="BL147" s="3"/>
      <c r="BM147" s="3"/>
      <c r="BN147" s="3"/>
      <c r="BO147" s="4">
        <f>SUM(BJ147:BN147)</f>
        <v>0</v>
      </c>
      <c r="BQ147" s="2"/>
      <c r="BR147" s="3"/>
      <c r="BS147" s="3"/>
      <c r="BT147" s="3"/>
      <c r="BU147" s="3"/>
      <c r="BV147" s="4">
        <f>SUM(BQ147:BU147)</f>
        <v>0</v>
      </c>
      <c r="BX147" s="2"/>
      <c r="BY147" s="3"/>
      <c r="BZ147" s="3"/>
      <c r="CA147" s="3"/>
      <c r="CB147" s="3"/>
      <c r="CC147" s="4">
        <f>SUM(BX147:CB147)</f>
        <v>0</v>
      </c>
      <c r="CE147" s="26">
        <f t="shared" ref="CE147:CE150" si="664">F147+M147+T147+AA147+AH147+AO147+AV147+BC147+BJ147+BQ147+BX147</f>
        <v>0</v>
      </c>
      <c r="CF147" s="27">
        <f t="shared" ref="CF147:CF150" si="665">G147+N147+U147+AB147+AI147+AP147+AW147+BD147+BK147+BR147+BY147</f>
        <v>0</v>
      </c>
      <c r="CG147" s="27">
        <f t="shared" ref="CG147:CG150" si="666">H147+O147+V147+AC147+AJ147+AQ147+AX147+BE147+BL147+BS147+BZ147</f>
        <v>0</v>
      </c>
      <c r="CH147" s="27">
        <f t="shared" ref="CH147:CH150" si="667">I147+P147+W147+AD147+AK147+AR147+AY147+BF147+BM147+BT147+CA147</f>
        <v>0</v>
      </c>
      <c r="CI147" s="27">
        <f t="shared" ref="CI147:CI150" si="668">J147+Q147+X147+AE147+AL147+AS147+AZ147+BG147+BN147+BU147+CB147</f>
        <v>0</v>
      </c>
      <c r="CJ147" s="4">
        <f>SUM(CE147:CI147)</f>
        <v>0</v>
      </c>
      <c r="CL147" s="2"/>
      <c r="CM147" s="3"/>
      <c r="CN147" s="3"/>
      <c r="CO147" s="3"/>
      <c r="CP147" s="3"/>
      <c r="CQ147" s="4">
        <f>SUM(CL147:CP147)</f>
        <v>0</v>
      </c>
      <c r="CS147" s="2"/>
      <c r="CT147" s="3"/>
      <c r="CU147" s="3"/>
      <c r="CV147" s="3"/>
      <c r="CW147" s="3"/>
      <c r="CX147" s="4">
        <f>SUM(CS147:CW147)</f>
        <v>0</v>
      </c>
      <c r="CZ147" s="2"/>
      <c r="DA147" s="3"/>
      <c r="DB147" s="3"/>
      <c r="DC147" s="3"/>
      <c r="DD147" s="3"/>
      <c r="DE147" s="4">
        <f>SUM(CZ147:DD147)</f>
        <v>0</v>
      </c>
    </row>
    <row r="148" spans="3:109">
      <c r="C148" s="567"/>
      <c r="E148" s="14" t="s">
        <v>60</v>
      </c>
      <c r="F148" s="23">
        <f t="shared" ref="F148:F150" si="669">CE142</f>
        <v>0</v>
      </c>
      <c r="G148" s="24">
        <f t="shared" si="660"/>
        <v>0</v>
      </c>
      <c r="H148" s="24">
        <f t="shared" si="661"/>
        <v>0</v>
      </c>
      <c r="I148" s="24">
        <f t="shared" si="662"/>
        <v>0</v>
      </c>
      <c r="J148" s="24">
        <f t="shared" si="663"/>
        <v>0</v>
      </c>
      <c r="K148" s="8">
        <f t="shared" ref="K148:K150" si="670">SUM(F148:J148)</f>
        <v>0</v>
      </c>
      <c r="M148" s="6"/>
      <c r="N148" s="7"/>
      <c r="O148" s="7"/>
      <c r="P148" s="7"/>
      <c r="Q148" s="7"/>
      <c r="R148" s="8">
        <f t="shared" ref="R148:R150" si="671">SUM(M148:Q148)</f>
        <v>0</v>
      </c>
      <c r="T148" s="6"/>
      <c r="U148" s="7"/>
      <c r="V148" s="7"/>
      <c r="W148" s="7"/>
      <c r="X148" s="7"/>
      <c r="Y148" s="8">
        <f t="shared" ref="Y148:Y150" si="672">SUM(T148:X148)</f>
        <v>0</v>
      </c>
      <c r="AA148" s="6"/>
      <c r="AB148" s="7"/>
      <c r="AC148" s="7"/>
      <c r="AD148" s="7"/>
      <c r="AE148" s="7"/>
      <c r="AF148" s="8">
        <f>SUM(AA148:AE148)</f>
        <v>0</v>
      </c>
      <c r="AH148" s="6"/>
      <c r="AI148" s="7"/>
      <c r="AJ148" s="7"/>
      <c r="AK148" s="7"/>
      <c r="AL148" s="7"/>
      <c r="AM148" s="8">
        <f>SUM(AH148:AL148)</f>
        <v>0</v>
      </c>
      <c r="AO148" s="6"/>
      <c r="AP148" s="7"/>
      <c r="AQ148" s="7"/>
      <c r="AR148" s="7"/>
      <c r="AS148" s="7"/>
      <c r="AT148" s="8">
        <f>SUM(AO148:AS148)</f>
        <v>0</v>
      </c>
      <c r="AV148" s="6"/>
      <c r="AW148" s="7"/>
      <c r="AX148" s="7"/>
      <c r="AY148" s="7"/>
      <c r="AZ148" s="7"/>
      <c r="BA148" s="8">
        <f>SUM(AV148:AZ148)</f>
        <v>0</v>
      </c>
      <c r="BC148" s="6"/>
      <c r="BD148" s="7"/>
      <c r="BE148" s="7"/>
      <c r="BF148" s="7"/>
      <c r="BG148" s="7"/>
      <c r="BH148" s="8">
        <f>SUM(BC148:BG148)</f>
        <v>0</v>
      </c>
      <c r="BJ148" s="6"/>
      <c r="BK148" s="7"/>
      <c r="BL148" s="7"/>
      <c r="BM148" s="7"/>
      <c r="BN148" s="7"/>
      <c r="BO148" s="8">
        <f>SUM(BJ148:BN148)</f>
        <v>0</v>
      </c>
      <c r="BQ148" s="6"/>
      <c r="BR148" s="7"/>
      <c r="BS148" s="7"/>
      <c r="BT148" s="7"/>
      <c r="BU148" s="7"/>
      <c r="BV148" s="8">
        <f>SUM(BQ148:BU148)</f>
        <v>0</v>
      </c>
      <c r="BX148" s="6"/>
      <c r="BY148" s="7"/>
      <c r="BZ148" s="7"/>
      <c r="CA148" s="7"/>
      <c r="CB148" s="7"/>
      <c r="CC148" s="8">
        <f>SUM(BX148:CB148)</f>
        <v>0</v>
      </c>
      <c r="CE148" s="28">
        <f t="shared" si="664"/>
        <v>0</v>
      </c>
      <c r="CF148" s="29">
        <f t="shared" si="665"/>
        <v>0</v>
      </c>
      <c r="CG148" s="29">
        <f t="shared" si="666"/>
        <v>0</v>
      </c>
      <c r="CH148" s="29">
        <f t="shared" si="667"/>
        <v>0</v>
      </c>
      <c r="CI148" s="29">
        <f t="shared" si="668"/>
        <v>0</v>
      </c>
      <c r="CJ148" s="8">
        <f>SUM(CE148:CI148)</f>
        <v>0</v>
      </c>
      <c r="CL148" s="6"/>
      <c r="CM148" s="7"/>
      <c r="CN148" s="7"/>
      <c r="CO148" s="7"/>
      <c r="CP148" s="7"/>
      <c r="CQ148" s="8">
        <f>SUM(CL148:CP148)</f>
        <v>0</v>
      </c>
      <c r="CS148" s="6"/>
      <c r="CT148" s="7"/>
      <c r="CU148" s="7"/>
      <c r="CV148" s="7"/>
      <c r="CW148" s="7"/>
      <c r="CX148" s="8">
        <f t="shared" ref="CX148:CX150" si="673">SUM(CS148:CW148)</f>
        <v>0</v>
      </c>
      <c r="CZ148" s="6"/>
      <c r="DA148" s="7"/>
      <c r="DB148" s="7"/>
      <c r="DC148" s="7"/>
      <c r="DD148" s="7"/>
      <c r="DE148" s="8">
        <f t="shared" ref="DE148:DE150" si="674">SUM(CZ148:DD148)</f>
        <v>0</v>
      </c>
    </row>
    <row r="149" spans="3:109">
      <c r="C149" s="567"/>
      <c r="E149" s="14" t="s">
        <v>61</v>
      </c>
      <c r="F149" s="23">
        <f t="shared" si="669"/>
        <v>0</v>
      </c>
      <c r="G149" s="24">
        <f t="shared" si="660"/>
        <v>0</v>
      </c>
      <c r="H149" s="24">
        <f t="shared" si="661"/>
        <v>0</v>
      </c>
      <c r="I149" s="24">
        <f t="shared" si="662"/>
        <v>0</v>
      </c>
      <c r="J149" s="24">
        <f t="shared" si="663"/>
        <v>0</v>
      </c>
      <c r="K149" s="8">
        <f t="shared" si="670"/>
        <v>0</v>
      </c>
      <c r="M149" s="6"/>
      <c r="N149" s="7"/>
      <c r="O149" s="7"/>
      <c r="P149" s="7"/>
      <c r="Q149" s="7"/>
      <c r="R149" s="8">
        <f t="shared" si="671"/>
        <v>0</v>
      </c>
      <c r="T149" s="6"/>
      <c r="U149" s="7"/>
      <c r="V149" s="7"/>
      <c r="W149" s="7"/>
      <c r="X149" s="7"/>
      <c r="Y149" s="8">
        <f t="shared" si="672"/>
        <v>0</v>
      </c>
      <c r="AA149" s="6"/>
      <c r="AB149" s="7"/>
      <c r="AC149" s="7"/>
      <c r="AD149" s="7"/>
      <c r="AE149" s="7"/>
      <c r="AF149" s="8">
        <f>SUM(AA149:AE149)</f>
        <v>0</v>
      </c>
      <c r="AH149" s="6"/>
      <c r="AI149" s="7"/>
      <c r="AJ149" s="7"/>
      <c r="AK149" s="7"/>
      <c r="AL149" s="7"/>
      <c r="AM149" s="8">
        <f>SUM(AH149:AL149)</f>
        <v>0</v>
      </c>
      <c r="AO149" s="6"/>
      <c r="AP149" s="7"/>
      <c r="AQ149" s="7"/>
      <c r="AR149" s="7"/>
      <c r="AS149" s="7"/>
      <c r="AT149" s="8">
        <f>SUM(AO149:AS149)</f>
        <v>0</v>
      </c>
      <c r="AV149" s="6"/>
      <c r="AW149" s="7"/>
      <c r="AX149" s="7"/>
      <c r="AY149" s="7"/>
      <c r="AZ149" s="7"/>
      <c r="BA149" s="8">
        <f>SUM(AV149:AZ149)</f>
        <v>0</v>
      </c>
      <c r="BC149" s="6"/>
      <c r="BD149" s="7"/>
      <c r="BE149" s="7"/>
      <c r="BF149" s="7"/>
      <c r="BG149" s="7"/>
      <c r="BH149" s="8">
        <f>SUM(BC149:BG149)</f>
        <v>0</v>
      </c>
      <c r="BJ149" s="6"/>
      <c r="BK149" s="7"/>
      <c r="BL149" s="7"/>
      <c r="BM149" s="7"/>
      <c r="BN149" s="7"/>
      <c r="BO149" s="8">
        <f>SUM(BJ149:BN149)</f>
        <v>0</v>
      </c>
      <c r="BQ149" s="6"/>
      <c r="BR149" s="7"/>
      <c r="BS149" s="7"/>
      <c r="BT149" s="7"/>
      <c r="BU149" s="7"/>
      <c r="BV149" s="8">
        <f>SUM(BQ149:BU149)</f>
        <v>0</v>
      </c>
      <c r="BX149" s="6"/>
      <c r="BY149" s="7"/>
      <c r="BZ149" s="7"/>
      <c r="CA149" s="7"/>
      <c r="CB149" s="7"/>
      <c r="CC149" s="8">
        <f>SUM(BX149:CB149)</f>
        <v>0</v>
      </c>
      <c r="CE149" s="28">
        <f t="shared" si="664"/>
        <v>0</v>
      </c>
      <c r="CF149" s="29">
        <f t="shared" si="665"/>
        <v>0</v>
      </c>
      <c r="CG149" s="29">
        <f t="shared" si="666"/>
        <v>0</v>
      </c>
      <c r="CH149" s="29">
        <f t="shared" si="667"/>
        <v>0</v>
      </c>
      <c r="CI149" s="29">
        <f t="shared" si="668"/>
        <v>0</v>
      </c>
      <c r="CJ149" s="8">
        <f>SUM(CE149:CI149)</f>
        <v>0</v>
      </c>
      <c r="CL149" s="6"/>
      <c r="CM149" s="7"/>
      <c r="CN149" s="7"/>
      <c r="CO149" s="7"/>
      <c r="CP149" s="7"/>
      <c r="CQ149" s="8">
        <f>SUM(CL149:CP149)</f>
        <v>0</v>
      </c>
      <c r="CS149" s="6"/>
      <c r="CT149" s="7"/>
      <c r="CU149" s="7"/>
      <c r="CV149" s="7"/>
      <c r="CW149" s="7"/>
      <c r="CX149" s="8">
        <f t="shared" si="673"/>
        <v>0</v>
      </c>
      <c r="CZ149" s="6"/>
      <c r="DA149" s="7"/>
      <c r="DB149" s="7"/>
      <c r="DC149" s="7"/>
      <c r="DD149" s="7"/>
      <c r="DE149" s="8">
        <f t="shared" si="674"/>
        <v>0</v>
      </c>
    </row>
    <row r="150" spans="3:109" ht="14" thickBot="1">
      <c r="C150" s="567"/>
      <c r="E150" s="14" t="s">
        <v>62</v>
      </c>
      <c r="F150" s="23">
        <f t="shared" si="669"/>
        <v>0</v>
      </c>
      <c r="G150" s="24">
        <f t="shared" si="660"/>
        <v>0</v>
      </c>
      <c r="H150" s="24">
        <f t="shared" si="661"/>
        <v>0</v>
      </c>
      <c r="I150" s="24">
        <f t="shared" si="662"/>
        <v>0</v>
      </c>
      <c r="J150" s="24">
        <f t="shared" si="663"/>
        <v>0</v>
      </c>
      <c r="K150" s="8">
        <f t="shared" si="670"/>
        <v>0</v>
      </c>
      <c r="M150" s="6"/>
      <c r="N150" s="7"/>
      <c r="O150" s="7"/>
      <c r="P150" s="7"/>
      <c r="Q150" s="7"/>
      <c r="R150" s="8">
        <f t="shared" si="671"/>
        <v>0</v>
      </c>
      <c r="T150" s="6"/>
      <c r="U150" s="7"/>
      <c r="V150" s="7"/>
      <c r="W150" s="7"/>
      <c r="X150" s="7"/>
      <c r="Y150" s="8">
        <f t="shared" si="672"/>
        <v>0</v>
      </c>
      <c r="AA150" s="6"/>
      <c r="AB150" s="7"/>
      <c r="AC150" s="7"/>
      <c r="AD150" s="7"/>
      <c r="AE150" s="7"/>
      <c r="AF150" s="8">
        <f>SUM(AA150:AE150)</f>
        <v>0</v>
      </c>
      <c r="AH150" s="6"/>
      <c r="AI150" s="7"/>
      <c r="AJ150" s="7"/>
      <c r="AK150" s="7"/>
      <c r="AL150" s="7"/>
      <c r="AM150" s="8">
        <f>SUM(AH150:AL150)</f>
        <v>0</v>
      </c>
      <c r="AO150" s="6"/>
      <c r="AP150" s="7"/>
      <c r="AQ150" s="7"/>
      <c r="AR150" s="7"/>
      <c r="AS150" s="7"/>
      <c r="AT150" s="8">
        <f>SUM(AO150:AS150)</f>
        <v>0</v>
      </c>
      <c r="AV150" s="6"/>
      <c r="AW150" s="7"/>
      <c r="AX150" s="7"/>
      <c r="AY150" s="7"/>
      <c r="AZ150" s="7"/>
      <c r="BA150" s="8">
        <f>SUM(AV150:AZ150)</f>
        <v>0</v>
      </c>
      <c r="BC150" s="6"/>
      <c r="BD150" s="7"/>
      <c r="BE150" s="7"/>
      <c r="BF150" s="7"/>
      <c r="BG150" s="7"/>
      <c r="BH150" s="8">
        <f>SUM(BC150:BG150)</f>
        <v>0</v>
      </c>
      <c r="BJ150" s="6"/>
      <c r="BK150" s="7"/>
      <c r="BL150" s="7"/>
      <c r="BM150" s="7"/>
      <c r="BN150" s="7"/>
      <c r="BO150" s="8">
        <f>SUM(BJ150:BN150)</f>
        <v>0</v>
      </c>
      <c r="BQ150" s="6"/>
      <c r="BR150" s="7"/>
      <c r="BS150" s="7"/>
      <c r="BT150" s="7"/>
      <c r="BU150" s="7"/>
      <c r="BV150" s="8">
        <f>SUM(BQ150:BU150)</f>
        <v>0</v>
      </c>
      <c r="BX150" s="6"/>
      <c r="BY150" s="7"/>
      <c r="BZ150" s="7"/>
      <c r="CA150" s="7"/>
      <c r="CB150" s="7"/>
      <c r="CC150" s="8">
        <f>SUM(BX150:CB150)</f>
        <v>0</v>
      </c>
      <c r="CE150" s="493">
        <f t="shared" si="664"/>
        <v>0</v>
      </c>
      <c r="CF150" s="494">
        <f t="shared" si="665"/>
        <v>0</v>
      </c>
      <c r="CG150" s="494">
        <f t="shared" si="666"/>
        <v>0</v>
      </c>
      <c r="CH150" s="494">
        <f t="shared" si="667"/>
        <v>0</v>
      </c>
      <c r="CI150" s="494">
        <f t="shared" si="668"/>
        <v>0</v>
      </c>
      <c r="CJ150" s="495">
        <f>SUM(CE150:CI150)</f>
        <v>0</v>
      </c>
      <c r="CL150" s="6"/>
      <c r="CM150" s="7"/>
      <c r="CN150" s="7"/>
      <c r="CO150" s="7"/>
      <c r="CP150" s="7"/>
      <c r="CQ150" s="8">
        <f>SUM(CL150:CP150)</f>
        <v>0</v>
      </c>
      <c r="CS150" s="6"/>
      <c r="CT150" s="7"/>
      <c r="CU150" s="7"/>
      <c r="CV150" s="7"/>
      <c r="CW150" s="7"/>
      <c r="CX150" s="8">
        <f t="shared" si="673"/>
        <v>0</v>
      </c>
      <c r="CZ150" s="6"/>
      <c r="DA150" s="7"/>
      <c r="DB150" s="7"/>
      <c r="DC150" s="7"/>
      <c r="DD150" s="7"/>
      <c r="DE150" s="8">
        <f t="shared" si="674"/>
        <v>0</v>
      </c>
    </row>
    <row r="151" spans="3:109" ht="14" thickBot="1">
      <c r="C151" s="554"/>
      <c r="E151" s="9"/>
      <c r="F151" s="10">
        <f>SUM(F147:F150)</f>
        <v>0</v>
      </c>
      <c r="G151" s="11">
        <f t="shared" ref="G151:J151" si="675">SUM(G147:G150)</f>
        <v>0</v>
      </c>
      <c r="H151" s="11">
        <f t="shared" si="675"/>
        <v>0</v>
      </c>
      <c r="I151" s="11">
        <f t="shared" si="675"/>
        <v>0</v>
      </c>
      <c r="J151" s="11">
        <f t="shared" si="675"/>
        <v>0</v>
      </c>
      <c r="K151" s="25">
        <f>SUM(K147:K150)</f>
        <v>0</v>
      </c>
      <c r="M151" s="10">
        <f>SUM(M147:M150)</f>
        <v>0</v>
      </c>
      <c r="N151" s="11">
        <f t="shared" ref="N151:Q151" si="676">SUM(N147:N150)</f>
        <v>0</v>
      </c>
      <c r="O151" s="11">
        <f t="shared" si="676"/>
        <v>0</v>
      </c>
      <c r="P151" s="11">
        <f t="shared" si="676"/>
        <v>0</v>
      </c>
      <c r="Q151" s="11">
        <f t="shared" si="676"/>
        <v>0</v>
      </c>
      <c r="R151" s="25">
        <f>SUM(R147:R150)</f>
        <v>0</v>
      </c>
      <c r="T151" s="10">
        <f>SUM(T147:T150)</f>
        <v>0</v>
      </c>
      <c r="U151" s="11">
        <f t="shared" ref="U151:X151" si="677">SUM(U147:U150)</f>
        <v>0</v>
      </c>
      <c r="V151" s="11">
        <f t="shared" si="677"/>
        <v>0</v>
      </c>
      <c r="W151" s="11">
        <f t="shared" si="677"/>
        <v>0</v>
      </c>
      <c r="X151" s="11">
        <f t="shared" si="677"/>
        <v>0</v>
      </c>
      <c r="Y151" s="25">
        <f>SUM(Y147:Y150)</f>
        <v>0</v>
      </c>
      <c r="AA151" s="10">
        <f>SUM(AA147:AA150)</f>
        <v>0</v>
      </c>
      <c r="AB151" s="11">
        <f t="shared" ref="AB151:AE151" si="678">SUM(AB147:AB150)</f>
        <v>0</v>
      </c>
      <c r="AC151" s="11">
        <f t="shared" si="678"/>
        <v>0</v>
      </c>
      <c r="AD151" s="11">
        <f t="shared" si="678"/>
        <v>0</v>
      </c>
      <c r="AE151" s="11">
        <f t="shared" si="678"/>
        <v>0</v>
      </c>
      <c r="AF151" s="25">
        <f>SUM(AF147:AF150)</f>
        <v>0</v>
      </c>
      <c r="AH151" s="10">
        <f>SUM(AH147:AH150)</f>
        <v>0</v>
      </c>
      <c r="AI151" s="11">
        <f t="shared" ref="AI151:AL151" si="679">SUM(AI147:AI150)</f>
        <v>0</v>
      </c>
      <c r="AJ151" s="11">
        <f t="shared" si="679"/>
        <v>0</v>
      </c>
      <c r="AK151" s="11">
        <f t="shared" si="679"/>
        <v>0</v>
      </c>
      <c r="AL151" s="11">
        <f t="shared" si="679"/>
        <v>0</v>
      </c>
      <c r="AM151" s="25">
        <f>SUM(AM147:AM150)</f>
        <v>0</v>
      </c>
      <c r="AO151" s="10">
        <f>SUM(AO147:AO150)</f>
        <v>0</v>
      </c>
      <c r="AP151" s="11">
        <f t="shared" ref="AP151:AS151" si="680">SUM(AP147:AP150)</f>
        <v>0</v>
      </c>
      <c r="AQ151" s="11">
        <f t="shared" si="680"/>
        <v>0</v>
      </c>
      <c r="AR151" s="11">
        <f t="shared" si="680"/>
        <v>0</v>
      </c>
      <c r="AS151" s="11">
        <f t="shared" si="680"/>
        <v>0</v>
      </c>
      <c r="AT151" s="25">
        <f>SUM(AT147:AT150)</f>
        <v>0</v>
      </c>
      <c r="AV151" s="10">
        <f>SUM(AV147:AV150)</f>
        <v>0</v>
      </c>
      <c r="AW151" s="11">
        <f t="shared" ref="AW151:AZ151" si="681">SUM(AW147:AW150)</f>
        <v>0</v>
      </c>
      <c r="AX151" s="11">
        <f t="shared" si="681"/>
        <v>0</v>
      </c>
      <c r="AY151" s="11">
        <f t="shared" si="681"/>
        <v>0</v>
      </c>
      <c r="AZ151" s="11">
        <f t="shared" si="681"/>
        <v>0</v>
      </c>
      <c r="BA151" s="25">
        <f>SUM(BA147:BA150)</f>
        <v>0</v>
      </c>
      <c r="BC151" s="10">
        <f>SUM(BC147:BC150)</f>
        <v>0</v>
      </c>
      <c r="BD151" s="11">
        <f t="shared" ref="BD151:BG151" si="682">SUM(BD147:BD150)</f>
        <v>0</v>
      </c>
      <c r="BE151" s="11">
        <f t="shared" si="682"/>
        <v>0</v>
      </c>
      <c r="BF151" s="11">
        <f t="shared" si="682"/>
        <v>0</v>
      </c>
      <c r="BG151" s="11">
        <f t="shared" si="682"/>
        <v>0</v>
      </c>
      <c r="BH151" s="25">
        <f>SUM(BH147:BH150)</f>
        <v>0</v>
      </c>
      <c r="BJ151" s="10">
        <f>SUM(BJ147:BJ150)</f>
        <v>0</v>
      </c>
      <c r="BK151" s="11">
        <f t="shared" ref="BK151:BN151" si="683">SUM(BK147:BK150)</f>
        <v>0</v>
      </c>
      <c r="BL151" s="11">
        <f t="shared" si="683"/>
        <v>0</v>
      </c>
      <c r="BM151" s="11">
        <f t="shared" si="683"/>
        <v>0</v>
      </c>
      <c r="BN151" s="11">
        <f t="shared" si="683"/>
        <v>0</v>
      </c>
      <c r="BO151" s="25">
        <f>SUM(BO147:BO150)</f>
        <v>0</v>
      </c>
      <c r="BQ151" s="10">
        <f>SUM(BQ147:BQ150)</f>
        <v>0</v>
      </c>
      <c r="BR151" s="11">
        <f t="shared" ref="BR151:BU151" si="684">SUM(BR147:BR150)</f>
        <v>0</v>
      </c>
      <c r="BS151" s="11">
        <f t="shared" si="684"/>
        <v>0</v>
      </c>
      <c r="BT151" s="11">
        <f t="shared" si="684"/>
        <v>0</v>
      </c>
      <c r="BU151" s="11">
        <f t="shared" si="684"/>
        <v>0</v>
      </c>
      <c r="BV151" s="25">
        <f>SUM(BV147:BV150)</f>
        <v>0</v>
      </c>
      <c r="BX151" s="10">
        <f>SUM(BX147:BX150)</f>
        <v>0</v>
      </c>
      <c r="BY151" s="11">
        <f t="shared" ref="BY151:CB151" si="685">SUM(BY147:BY150)</f>
        <v>0</v>
      </c>
      <c r="BZ151" s="11">
        <f t="shared" si="685"/>
        <v>0</v>
      </c>
      <c r="CA151" s="11">
        <f t="shared" si="685"/>
        <v>0</v>
      </c>
      <c r="CB151" s="11">
        <f t="shared" si="685"/>
        <v>0</v>
      </c>
      <c r="CC151" s="25">
        <f>SUM(CC147:CC150)</f>
        <v>0</v>
      </c>
      <c r="CE151" s="62">
        <f t="shared" ref="CE151:CJ151" si="686">SUM(CE147:CE150)</f>
        <v>0</v>
      </c>
      <c r="CF151" s="63">
        <f t="shared" si="686"/>
        <v>0</v>
      </c>
      <c r="CG151" s="63">
        <f t="shared" si="686"/>
        <v>0</v>
      </c>
      <c r="CH151" s="63">
        <f t="shared" si="686"/>
        <v>0</v>
      </c>
      <c r="CI151" s="63">
        <f t="shared" si="686"/>
        <v>0</v>
      </c>
      <c r="CJ151" s="25">
        <f t="shared" si="686"/>
        <v>0</v>
      </c>
      <c r="CL151" s="10">
        <f>SUM(CL147:CL150)</f>
        <v>0</v>
      </c>
      <c r="CM151" s="11">
        <f t="shared" ref="CM151:CP151" si="687">SUM(CM147:CM150)</f>
        <v>0</v>
      </c>
      <c r="CN151" s="11">
        <f t="shared" si="687"/>
        <v>0</v>
      </c>
      <c r="CO151" s="11">
        <f t="shared" si="687"/>
        <v>0</v>
      </c>
      <c r="CP151" s="11">
        <f t="shared" si="687"/>
        <v>0</v>
      </c>
      <c r="CQ151" s="25">
        <f>SUM(CQ147:CQ150)</f>
        <v>0</v>
      </c>
      <c r="CS151" s="10">
        <f>SUM(CS147:CS150)</f>
        <v>0</v>
      </c>
      <c r="CT151" s="11">
        <f t="shared" ref="CT151:CW151" si="688">SUM(CT147:CT150)</f>
        <v>0</v>
      </c>
      <c r="CU151" s="11">
        <f t="shared" si="688"/>
        <v>0</v>
      </c>
      <c r="CV151" s="11">
        <f t="shared" si="688"/>
        <v>0</v>
      </c>
      <c r="CW151" s="11">
        <f t="shared" si="688"/>
        <v>0</v>
      </c>
      <c r="CX151" s="25">
        <f>SUM(CX147:CX150)</f>
        <v>0</v>
      </c>
      <c r="CZ151" s="10">
        <f>SUM(CZ147:CZ150)</f>
        <v>0</v>
      </c>
      <c r="DA151" s="11">
        <f t="shared" ref="DA151:DD151" si="689">SUM(DA147:DA150)</f>
        <v>0</v>
      </c>
      <c r="DB151" s="11">
        <f t="shared" si="689"/>
        <v>0</v>
      </c>
      <c r="DC151" s="11">
        <f t="shared" si="689"/>
        <v>0</v>
      </c>
      <c r="DD151" s="11">
        <f t="shared" si="689"/>
        <v>0</v>
      </c>
      <c r="DE151" s="25">
        <f>SUM(DE147:DE150)</f>
        <v>0</v>
      </c>
    </row>
    <row r="152" spans="3:109" ht="10.4" customHeight="1" thickBot="1"/>
    <row r="153" spans="3:109">
      <c r="C153" s="553">
        <v>2027</v>
      </c>
      <c r="E153" s="13" t="s">
        <v>59</v>
      </c>
      <c r="F153" s="21">
        <f>CE147</f>
        <v>0</v>
      </c>
      <c r="G153" s="22">
        <f t="shared" ref="G153:G156" si="690">CF147</f>
        <v>0</v>
      </c>
      <c r="H153" s="22">
        <f t="shared" ref="H153:H156" si="691">CG147</f>
        <v>0</v>
      </c>
      <c r="I153" s="22">
        <f t="shared" ref="I153:I156" si="692">CH147</f>
        <v>0</v>
      </c>
      <c r="J153" s="22">
        <f t="shared" ref="J153:J156" si="693">CI147</f>
        <v>0</v>
      </c>
      <c r="K153" s="4">
        <f>SUM(F153:J153)</f>
        <v>0</v>
      </c>
      <c r="M153" s="2"/>
      <c r="N153" s="3"/>
      <c r="O153" s="3"/>
      <c r="P153" s="3"/>
      <c r="Q153" s="3"/>
      <c r="R153" s="4">
        <f>SUM(M153:Q153)</f>
        <v>0</v>
      </c>
      <c r="T153" s="2"/>
      <c r="U153" s="3"/>
      <c r="V153" s="3"/>
      <c r="W153" s="3"/>
      <c r="X153" s="3"/>
      <c r="Y153" s="4">
        <f>SUM(T153:X153)</f>
        <v>0</v>
      </c>
      <c r="AA153" s="2"/>
      <c r="AB153" s="3"/>
      <c r="AC153" s="3"/>
      <c r="AD153" s="3"/>
      <c r="AE153" s="3"/>
      <c r="AF153" s="4">
        <f>SUM(AA153:AE153)</f>
        <v>0</v>
      </c>
      <c r="AH153" s="2"/>
      <c r="AI153" s="3"/>
      <c r="AJ153" s="3"/>
      <c r="AK153" s="3"/>
      <c r="AL153" s="3"/>
      <c r="AM153" s="4">
        <f>SUM(AH153:AL153)</f>
        <v>0</v>
      </c>
      <c r="AO153" s="2"/>
      <c r="AP153" s="3"/>
      <c r="AQ153" s="3"/>
      <c r="AR153" s="3"/>
      <c r="AS153" s="3"/>
      <c r="AT153" s="4">
        <f>SUM(AO153:AS153)</f>
        <v>0</v>
      </c>
      <c r="AV153" s="2"/>
      <c r="AW153" s="3"/>
      <c r="AX153" s="3"/>
      <c r="AY153" s="3"/>
      <c r="AZ153" s="3"/>
      <c r="BA153" s="4">
        <f>SUM(AV153:AZ153)</f>
        <v>0</v>
      </c>
      <c r="BC153" s="2"/>
      <c r="BD153" s="3"/>
      <c r="BE153" s="3"/>
      <c r="BF153" s="3"/>
      <c r="BG153" s="3"/>
      <c r="BH153" s="4">
        <f>SUM(BC153:BG153)</f>
        <v>0</v>
      </c>
      <c r="BJ153" s="2"/>
      <c r="BK153" s="3"/>
      <c r="BL153" s="3"/>
      <c r="BM153" s="3"/>
      <c r="BN153" s="3"/>
      <c r="BO153" s="4">
        <f>SUM(BJ153:BN153)</f>
        <v>0</v>
      </c>
      <c r="BQ153" s="2"/>
      <c r="BR153" s="3"/>
      <c r="BS153" s="3"/>
      <c r="BT153" s="3"/>
      <c r="BU153" s="3"/>
      <c r="BV153" s="4">
        <f>SUM(BQ153:BU153)</f>
        <v>0</v>
      </c>
      <c r="BX153" s="2"/>
      <c r="BY153" s="3"/>
      <c r="BZ153" s="3"/>
      <c r="CA153" s="3"/>
      <c r="CB153" s="3"/>
      <c r="CC153" s="4">
        <f>SUM(BX153:CB153)</f>
        <v>0</v>
      </c>
      <c r="CE153" s="26">
        <f t="shared" ref="CE153:CE156" si="694">F153+M153+T153+AA153+AH153+AO153+AV153+BC153+BJ153+BQ153+BX153</f>
        <v>0</v>
      </c>
      <c r="CF153" s="27">
        <f t="shared" ref="CF153:CF156" si="695">G153+N153+U153+AB153+AI153+AP153+AW153+BD153+BK153+BR153+BY153</f>
        <v>0</v>
      </c>
      <c r="CG153" s="27">
        <f t="shared" ref="CG153:CG156" si="696">H153+O153+V153+AC153+AJ153+AQ153+AX153+BE153+BL153+BS153+BZ153</f>
        <v>0</v>
      </c>
      <c r="CH153" s="27">
        <f t="shared" ref="CH153:CH156" si="697">I153+P153+W153+AD153+AK153+AR153+AY153+BF153+BM153+BT153+CA153</f>
        <v>0</v>
      </c>
      <c r="CI153" s="27">
        <f t="shared" ref="CI153:CI156" si="698">J153+Q153+X153+AE153+AL153+AS153+AZ153+BG153+BN153+BU153+CB153</f>
        <v>0</v>
      </c>
      <c r="CJ153" s="4">
        <f>SUM(CE153:CI153)</f>
        <v>0</v>
      </c>
      <c r="CL153" s="2"/>
      <c r="CM153" s="3"/>
      <c r="CN153" s="3"/>
      <c r="CO153" s="3"/>
      <c r="CP153" s="3"/>
      <c r="CQ153" s="4">
        <f>SUM(CL153:CP153)</f>
        <v>0</v>
      </c>
      <c r="CS153" s="2"/>
      <c r="CT153" s="3"/>
      <c r="CU153" s="3"/>
      <c r="CV153" s="3"/>
      <c r="CW153" s="3"/>
      <c r="CX153" s="4">
        <f>SUM(CS153:CW153)</f>
        <v>0</v>
      </c>
      <c r="CZ153" s="2"/>
      <c r="DA153" s="3"/>
      <c r="DB153" s="3"/>
      <c r="DC153" s="3"/>
      <c r="DD153" s="3"/>
      <c r="DE153" s="4">
        <f>SUM(CZ153:DD153)</f>
        <v>0</v>
      </c>
    </row>
    <row r="154" spans="3:109">
      <c r="C154" s="567"/>
      <c r="E154" s="14" t="s">
        <v>60</v>
      </c>
      <c r="F154" s="23">
        <f t="shared" ref="F154:F156" si="699">CE148</f>
        <v>0</v>
      </c>
      <c r="G154" s="24">
        <f t="shared" si="690"/>
        <v>0</v>
      </c>
      <c r="H154" s="24">
        <f t="shared" si="691"/>
        <v>0</v>
      </c>
      <c r="I154" s="24">
        <f t="shared" si="692"/>
        <v>0</v>
      </c>
      <c r="J154" s="24">
        <f t="shared" si="693"/>
        <v>0</v>
      </c>
      <c r="K154" s="8">
        <f t="shared" ref="K154:K156" si="700">SUM(F154:J154)</f>
        <v>0</v>
      </c>
      <c r="M154" s="6"/>
      <c r="N154" s="7"/>
      <c r="O154" s="7"/>
      <c r="P154" s="7"/>
      <c r="Q154" s="7"/>
      <c r="R154" s="8">
        <f t="shared" ref="R154:R156" si="701">SUM(M154:Q154)</f>
        <v>0</v>
      </c>
      <c r="T154" s="6"/>
      <c r="U154" s="7"/>
      <c r="V154" s="7"/>
      <c r="W154" s="7"/>
      <c r="X154" s="7"/>
      <c r="Y154" s="8">
        <f t="shared" ref="Y154:Y156" si="702">SUM(T154:X154)</f>
        <v>0</v>
      </c>
      <c r="AA154" s="6"/>
      <c r="AB154" s="7"/>
      <c r="AC154" s="7"/>
      <c r="AD154" s="7"/>
      <c r="AE154" s="7"/>
      <c r="AF154" s="8">
        <f>SUM(AA154:AE154)</f>
        <v>0</v>
      </c>
      <c r="AH154" s="6"/>
      <c r="AI154" s="7"/>
      <c r="AJ154" s="7"/>
      <c r="AK154" s="7"/>
      <c r="AL154" s="7"/>
      <c r="AM154" s="8">
        <f>SUM(AH154:AL154)</f>
        <v>0</v>
      </c>
      <c r="AO154" s="6"/>
      <c r="AP154" s="7"/>
      <c r="AQ154" s="7"/>
      <c r="AR154" s="7"/>
      <c r="AS154" s="7"/>
      <c r="AT154" s="8">
        <f>SUM(AO154:AS154)</f>
        <v>0</v>
      </c>
      <c r="AV154" s="6"/>
      <c r="AW154" s="7"/>
      <c r="AX154" s="7"/>
      <c r="AY154" s="7"/>
      <c r="AZ154" s="7"/>
      <c r="BA154" s="8">
        <f>SUM(AV154:AZ154)</f>
        <v>0</v>
      </c>
      <c r="BC154" s="6"/>
      <c r="BD154" s="7"/>
      <c r="BE154" s="7"/>
      <c r="BF154" s="7"/>
      <c r="BG154" s="7"/>
      <c r="BH154" s="8">
        <f>SUM(BC154:BG154)</f>
        <v>0</v>
      </c>
      <c r="BJ154" s="6"/>
      <c r="BK154" s="7"/>
      <c r="BL154" s="7"/>
      <c r="BM154" s="7"/>
      <c r="BN154" s="7"/>
      <c r="BO154" s="8">
        <f>SUM(BJ154:BN154)</f>
        <v>0</v>
      </c>
      <c r="BQ154" s="6"/>
      <c r="BR154" s="7"/>
      <c r="BS154" s="7"/>
      <c r="BT154" s="7"/>
      <c r="BU154" s="7"/>
      <c r="BV154" s="8">
        <f>SUM(BQ154:BU154)</f>
        <v>0</v>
      </c>
      <c r="BX154" s="6"/>
      <c r="BY154" s="7"/>
      <c r="BZ154" s="7"/>
      <c r="CA154" s="7"/>
      <c r="CB154" s="7"/>
      <c r="CC154" s="8">
        <f>SUM(BX154:CB154)</f>
        <v>0</v>
      </c>
      <c r="CE154" s="28">
        <f t="shared" si="694"/>
        <v>0</v>
      </c>
      <c r="CF154" s="29">
        <f t="shared" si="695"/>
        <v>0</v>
      </c>
      <c r="CG154" s="29">
        <f t="shared" si="696"/>
        <v>0</v>
      </c>
      <c r="CH154" s="29">
        <f t="shared" si="697"/>
        <v>0</v>
      </c>
      <c r="CI154" s="29">
        <f t="shared" si="698"/>
        <v>0</v>
      </c>
      <c r="CJ154" s="8">
        <f>SUM(CE154:CI154)</f>
        <v>0</v>
      </c>
      <c r="CL154" s="6"/>
      <c r="CM154" s="7"/>
      <c r="CN154" s="7"/>
      <c r="CO154" s="7"/>
      <c r="CP154" s="7"/>
      <c r="CQ154" s="8">
        <f>SUM(CL154:CP154)</f>
        <v>0</v>
      </c>
      <c r="CS154" s="6"/>
      <c r="CT154" s="7"/>
      <c r="CU154" s="7"/>
      <c r="CV154" s="7"/>
      <c r="CW154" s="7"/>
      <c r="CX154" s="8">
        <f t="shared" ref="CX154:CX156" si="703">SUM(CS154:CW154)</f>
        <v>0</v>
      </c>
      <c r="CZ154" s="6"/>
      <c r="DA154" s="7"/>
      <c r="DB154" s="7"/>
      <c r="DC154" s="7"/>
      <c r="DD154" s="7"/>
      <c r="DE154" s="8">
        <f t="shared" ref="DE154:DE156" si="704">SUM(CZ154:DD154)</f>
        <v>0</v>
      </c>
    </row>
    <row r="155" spans="3:109">
      <c r="C155" s="567"/>
      <c r="E155" s="14" t="s">
        <v>61</v>
      </c>
      <c r="F155" s="23">
        <f t="shared" si="699"/>
        <v>0</v>
      </c>
      <c r="G155" s="24">
        <f t="shared" si="690"/>
        <v>0</v>
      </c>
      <c r="H155" s="24">
        <f t="shared" si="691"/>
        <v>0</v>
      </c>
      <c r="I155" s="24">
        <f t="shared" si="692"/>
        <v>0</v>
      </c>
      <c r="J155" s="24">
        <f t="shared" si="693"/>
        <v>0</v>
      </c>
      <c r="K155" s="8">
        <f t="shared" si="700"/>
        <v>0</v>
      </c>
      <c r="M155" s="6"/>
      <c r="N155" s="7"/>
      <c r="O155" s="7"/>
      <c r="P155" s="7"/>
      <c r="Q155" s="7"/>
      <c r="R155" s="8">
        <f t="shared" si="701"/>
        <v>0</v>
      </c>
      <c r="T155" s="6"/>
      <c r="U155" s="7"/>
      <c r="V155" s="7"/>
      <c r="W155" s="7"/>
      <c r="X155" s="7"/>
      <c r="Y155" s="8">
        <f t="shared" si="702"/>
        <v>0</v>
      </c>
      <c r="AA155" s="6"/>
      <c r="AB155" s="7"/>
      <c r="AC155" s="7"/>
      <c r="AD155" s="7"/>
      <c r="AE155" s="7"/>
      <c r="AF155" s="8">
        <f>SUM(AA155:AE155)</f>
        <v>0</v>
      </c>
      <c r="AH155" s="6"/>
      <c r="AI155" s="7"/>
      <c r="AJ155" s="7"/>
      <c r="AK155" s="7"/>
      <c r="AL155" s="7"/>
      <c r="AM155" s="8">
        <f>SUM(AH155:AL155)</f>
        <v>0</v>
      </c>
      <c r="AO155" s="6"/>
      <c r="AP155" s="7"/>
      <c r="AQ155" s="7"/>
      <c r="AR155" s="7"/>
      <c r="AS155" s="7"/>
      <c r="AT155" s="8">
        <f>SUM(AO155:AS155)</f>
        <v>0</v>
      </c>
      <c r="AV155" s="6"/>
      <c r="AW155" s="7"/>
      <c r="AX155" s="7"/>
      <c r="AY155" s="7"/>
      <c r="AZ155" s="7"/>
      <c r="BA155" s="8">
        <f>SUM(AV155:AZ155)</f>
        <v>0</v>
      </c>
      <c r="BC155" s="6"/>
      <c r="BD155" s="7"/>
      <c r="BE155" s="7"/>
      <c r="BF155" s="7"/>
      <c r="BG155" s="7"/>
      <c r="BH155" s="8">
        <f>SUM(BC155:BG155)</f>
        <v>0</v>
      </c>
      <c r="BJ155" s="6"/>
      <c r="BK155" s="7"/>
      <c r="BL155" s="7"/>
      <c r="BM155" s="7"/>
      <c r="BN155" s="7"/>
      <c r="BO155" s="8">
        <f>SUM(BJ155:BN155)</f>
        <v>0</v>
      </c>
      <c r="BQ155" s="6"/>
      <c r="BR155" s="7"/>
      <c r="BS155" s="7"/>
      <c r="BT155" s="7"/>
      <c r="BU155" s="7"/>
      <c r="BV155" s="8">
        <f>SUM(BQ155:BU155)</f>
        <v>0</v>
      </c>
      <c r="BX155" s="6"/>
      <c r="BY155" s="7"/>
      <c r="BZ155" s="7"/>
      <c r="CA155" s="7"/>
      <c r="CB155" s="7"/>
      <c r="CC155" s="8">
        <f>SUM(BX155:CB155)</f>
        <v>0</v>
      </c>
      <c r="CE155" s="28">
        <f t="shared" si="694"/>
        <v>0</v>
      </c>
      <c r="CF155" s="29">
        <f t="shared" si="695"/>
        <v>0</v>
      </c>
      <c r="CG155" s="29">
        <f t="shared" si="696"/>
        <v>0</v>
      </c>
      <c r="CH155" s="29">
        <f t="shared" si="697"/>
        <v>0</v>
      </c>
      <c r="CI155" s="29">
        <f t="shared" si="698"/>
        <v>0</v>
      </c>
      <c r="CJ155" s="8">
        <f>SUM(CE155:CI155)</f>
        <v>0</v>
      </c>
      <c r="CL155" s="6"/>
      <c r="CM155" s="7"/>
      <c r="CN155" s="7"/>
      <c r="CO155" s="7"/>
      <c r="CP155" s="7"/>
      <c r="CQ155" s="8">
        <f>SUM(CL155:CP155)</f>
        <v>0</v>
      </c>
      <c r="CS155" s="6"/>
      <c r="CT155" s="7"/>
      <c r="CU155" s="7"/>
      <c r="CV155" s="7"/>
      <c r="CW155" s="7"/>
      <c r="CX155" s="8">
        <f t="shared" si="703"/>
        <v>0</v>
      </c>
      <c r="CZ155" s="6"/>
      <c r="DA155" s="7"/>
      <c r="DB155" s="7"/>
      <c r="DC155" s="7"/>
      <c r="DD155" s="7"/>
      <c r="DE155" s="8">
        <f t="shared" si="704"/>
        <v>0</v>
      </c>
    </row>
    <row r="156" spans="3:109" ht="14" thickBot="1">
      <c r="C156" s="567"/>
      <c r="E156" s="14" t="s">
        <v>62</v>
      </c>
      <c r="F156" s="23">
        <f t="shared" si="699"/>
        <v>0</v>
      </c>
      <c r="G156" s="24">
        <f t="shared" si="690"/>
        <v>0</v>
      </c>
      <c r="H156" s="24">
        <f t="shared" si="691"/>
        <v>0</v>
      </c>
      <c r="I156" s="24">
        <f t="shared" si="692"/>
        <v>0</v>
      </c>
      <c r="J156" s="24">
        <f t="shared" si="693"/>
        <v>0</v>
      </c>
      <c r="K156" s="8">
        <f t="shared" si="700"/>
        <v>0</v>
      </c>
      <c r="M156" s="6"/>
      <c r="N156" s="7"/>
      <c r="O156" s="7"/>
      <c r="P156" s="7"/>
      <c r="Q156" s="7"/>
      <c r="R156" s="8">
        <f t="shared" si="701"/>
        <v>0</v>
      </c>
      <c r="T156" s="6"/>
      <c r="U156" s="7"/>
      <c r="V156" s="7"/>
      <c r="W156" s="7"/>
      <c r="X156" s="7"/>
      <c r="Y156" s="8">
        <f t="shared" si="702"/>
        <v>0</v>
      </c>
      <c r="AA156" s="6"/>
      <c r="AB156" s="7"/>
      <c r="AC156" s="7"/>
      <c r="AD156" s="7"/>
      <c r="AE156" s="7"/>
      <c r="AF156" s="8">
        <f>SUM(AA156:AE156)</f>
        <v>0</v>
      </c>
      <c r="AH156" s="6"/>
      <c r="AI156" s="7"/>
      <c r="AJ156" s="7"/>
      <c r="AK156" s="7"/>
      <c r="AL156" s="7"/>
      <c r="AM156" s="8">
        <f>SUM(AH156:AL156)</f>
        <v>0</v>
      </c>
      <c r="AO156" s="6"/>
      <c r="AP156" s="7"/>
      <c r="AQ156" s="7"/>
      <c r="AR156" s="7"/>
      <c r="AS156" s="7"/>
      <c r="AT156" s="8">
        <f>SUM(AO156:AS156)</f>
        <v>0</v>
      </c>
      <c r="AV156" s="6"/>
      <c r="AW156" s="7"/>
      <c r="AX156" s="7"/>
      <c r="AY156" s="7"/>
      <c r="AZ156" s="7"/>
      <c r="BA156" s="8">
        <f>SUM(AV156:AZ156)</f>
        <v>0</v>
      </c>
      <c r="BC156" s="6"/>
      <c r="BD156" s="7"/>
      <c r="BE156" s="7"/>
      <c r="BF156" s="7"/>
      <c r="BG156" s="7"/>
      <c r="BH156" s="8">
        <f>SUM(BC156:BG156)</f>
        <v>0</v>
      </c>
      <c r="BJ156" s="6"/>
      <c r="BK156" s="7"/>
      <c r="BL156" s="7"/>
      <c r="BM156" s="7"/>
      <c r="BN156" s="7"/>
      <c r="BO156" s="8">
        <f>SUM(BJ156:BN156)</f>
        <v>0</v>
      </c>
      <c r="BQ156" s="6"/>
      <c r="BR156" s="7"/>
      <c r="BS156" s="7"/>
      <c r="BT156" s="7"/>
      <c r="BU156" s="7"/>
      <c r="BV156" s="8">
        <f>SUM(BQ156:BU156)</f>
        <v>0</v>
      </c>
      <c r="BX156" s="6"/>
      <c r="BY156" s="7"/>
      <c r="BZ156" s="7"/>
      <c r="CA156" s="7"/>
      <c r="CB156" s="7"/>
      <c r="CC156" s="8">
        <f>SUM(BX156:CB156)</f>
        <v>0</v>
      </c>
      <c r="CE156" s="493">
        <f t="shared" si="694"/>
        <v>0</v>
      </c>
      <c r="CF156" s="494">
        <f t="shared" si="695"/>
        <v>0</v>
      </c>
      <c r="CG156" s="494">
        <f t="shared" si="696"/>
        <v>0</v>
      </c>
      <c r="CH156" s="494">
        <f t="shared" si="697"/>
        <v>0</v>
      </c>
      <c r="CI156" s="494">
        <f t="shared" si="698"/>
        <v>0</v>
      </c>
      <c r="CJ156" s="495">
        <f>SUM(CE156:CI156)</f>
        <v>0</v>
      </c>
      <c r="CL156" s="6"/>
      <c r="CM156" s="7"/>
      <c r="CN156" s="7"/>
      <c r="CO156" s="7"/>
      <c r="CP156" s="7"/>
      <c r="CQ156" s="8">
        <f>SUM(CL156:CP156)</f>
        <v>0</v>
      </c>
      <c r="CS156" s="6"/>
      <c r="CT156" s="7"/>
      <c r="CU156" s="7"/>
      <c r="CV156" s="7"/>
      <c r="CW156" s="7"/>
      <c r="CX156" s="8">
        <f t="shared" si="703"/>
        <v>0</v>
      </c>
      <c r="CZ156" s="6"/>
      <c r="DA156" s="7"/>
      <c r="DB156" s="7"/>
      <c r="DC156" s="7"/>
      <c r="DD156" s="7"/>
      <c r="DE156" s="8">
        <f t="shared" si="704"/>
        <v>0</v>
      </c>
    </row>
    <row r="157" spans="3:109" ht="14" thickBot="1">
      <c r="C157" s="554"/>
      <c r="E157" s="9"/>
      <c r="F157" s="10">
        <f>SUM(F153:F156)</f>
        <v>0</v>
      </c>
      <c r="G157" s="11">
        <f t="shared" ref="G157:J157" si="705">SUM(G153:G156)</f>
        <v>0</v>
      </c>
      <c r="H157" s="11">
        <f t="shared" si="705"/>
        <v>0</v>
      </c>
      <c r="I157" s="11">
        <f t="shared" si="705"/>
        <v>0</v>
      </c>
      <c r="J157" s="11">
        <f t="shared" si="705"/>
        <v>0</v>
      </c>
      <c r="K157" s="25">
        <f>SUM(K153:K156)</f>
        <v>0</v>
      </c>
      <c r="M157" s="10">
        <f>SUM(M153:M156)</f>
        <v>0</v>
      </c>
      <c r="N157" s="11">
        <f t="shared" ref="N157:Q157" si="706">SUM(N153:N156)</f>
        <v>0</v>
      </c>
      <c r="O157" s="11">
        <f t="shared" si="706"/>
        <v>0</v>
      </c>
      <c r="P157" s="11">
        <f t="shared" si="706"/>
        <v>0</v>
      </c>
      <c r="Q157" s="11">
        <f t="shared" si="706"/>
        <v>0</v>
      </c>
      <c r="R157" s="25">
        <f>SUM(R153:R156)</f>
        <v>0</v>
      </c>
      <c r="T157" s="10">
        <f>SUM(T153:T156)</f>
        <v>0</v>
      </c>
      <c r="U157" s="11">
        <f t="shared" ref="U157:X157" si="707">SUM(U153:U156)</f>
        <v>0</v>
      </c>
      <c r="V157" s="11">
        <f t="shared" si="707"/>
        <v>0</v>
      </c>
      <c r="W157" s="11">
        <f t="shared" si="707"/>
        <v>0</v>
      </c>
      <c r="X157" s="11">
        <f t="shared" si="707"/>
        <v>0</v>
      </c>
      <c r="Y157" s="25">
        <f>SUM(Y153:Y156)</f>
        <v>0</v>
      </c>
      <c r="AA157" s="10">
        <f>SUM(AA153:AA156)</f>
        <v>0</v>
      </c>
      <c r="AB157" s="11">
        <f t="shared" ref="AB157:AE157" si="708">SUM(AB153:AB156)</f>
        <v>0</v>
      </c>
      <c r="AC157" s="11">
        <f t="shared" si="708"/>
        <v>0</v>
      </c>
      <c r="AD157" s="11">
        <f t="shared" si="708"/>
        <v>0</v>
      </c>
      <c r="AE157" s="11">
        <f t="shared" si="708"/>
        <v>0</v>
      </c>
      <c r="AF157" s="25">
        <f>SUM(AF153:AF156)</f>
        <v>0</v>
      </c>
      <c r="AH157" s="10">
        <f>SUM(AH153:AH156)</f>
        <v>0</v>
      </c>
      <c r="AI157" s="11">
        <f t="shared" ref="AI157:AL157" si="709">SUM(AI153:AI156)</f>
        <v>0</v>
      </c>
      <c r="AJ157" s="11">
        <f t="shared" si="709"/>
        <v>0</v>
      </c>
      <c r="AK157" s="11">
        <f t="shared" si="709"/>
        <v>0</v>
      </c>
      <c r="AL157" s="11">
        <f t="shared" si="709"/>
        <v>0</v>
      </c>
      <c r="AM157" s="25">
        <f>SUM(AM153:AM156)</f>
        <v>0</v>
      </c>
      <c r="AO157" s="10">
        <f>SUM(AO153:AO156)</f>
        <v>0</v>
      </c>
      <c r="AP157" s="11">
        <f t="shared" ref="AP157:AS157" si="710">SUM(AP153:AP156)</f>
        <v>0</v>
      </c>
      <c r="AQ157" s="11">
        <f t="shared" si="710"/>
        <v>0</v>
      </c>
      <c r="AR157" s="11">
        <f t="shared" si="710"/>
        <v>0</v>
      </c>
      <c r="AS157" s="11">
        <f t="shared" si="710"/>
        <v>0</v>
      </c>
      <c r="AT157" s="25">
        <f>SUM(AT153:AT156)</f>
        <v>0</v>
      </c>
      <c r="AV157" s="10">
        <f>SUM(AV153:AV156)</f>
        <v>0</v>
      </c>
      <c r="AW157" s="11">
        <f t="shared" ref="AW157:AZ157" si="711">SUM(AW153:AW156)</f>
        <v>0</v>
      </c>
      <c r="AX157" s="11">
        <f t="shared" si="711"/>
        <v>0</v>
      </c>
      <c r="AY157" s="11">
        <f t="shared" si="711"/>
        <v>0</v>
      </c>
      <c r="AZ157" s="11">
        <f t="shared" si="711"/>
        <v>0</v>
      </c>
      <c r="BA157" s="25">
        <f>SUM(BA153:BA156)</f>
        <v>0</v>
      </c>
      <c r="BC157" s="10">
        <f>SUM(BC153:BC156)</f>
        <v>0</v>
      </c>
      <c r="BD157" s="11">
        <f t="shared" ref="BD157:BG157" si="712">SUM(BD153:BD156)</f>
        <v>0</v>
      </c>
      <c r="BE157" s="11">
        <f t="shared" si="712"/>
        <v>0</v>
      </c>
      <c r="BF157" s="11">
        <f t="shared" si="712"/>
        <v>0</v>
      </c>
      <c r="BG157" s="11">
        <f t="shared" si="712"/>
        <v>0</v>
      </c>
      <c r="BH157" s="25">
        <f>SUM(BH153:BH156)</f>
        <v>0</v>
      </c>
      <c r="BJ157" s="10">
        <f>SUM(BJ153:BJ156)</f>
        <v>0</v>
      </c>
      <c r="BK157" s="11">
        <f t="shared" ref="BK157:BN157" si="713">SUM(BK153:BK156)</f>
        <v>0</v>
      </c>
      <c r="BL157" s="11">
        <f t="shared" si="713"/>
        <v>0</v>
      </c>
      <c r="BM157" s="11">
        <f t="shared" si="713"/>
        <v>0</v>
      </c>
      <c r="BN157" s="11">
        <f t="shared" si="713"/>
        <v>0</v>
      </c>
      <c r="BO157" s="25">
        <f>SUM(BO153:BO156)</f>
        <v>0</v>
      </c>
      <c r="BQ157" s="10">
        <f>SUM(BQ153:BQ156)</f>
        <v>0</v>
      </c>
      <c r="BR157" s="11">
        <f t="shared" ref="BR157:BU157" si="714">SUM(BR153:BR156)</f>
        <v>0</v>
      </c>
      <c r="BS157" s="11">
        <f t="shared" si="714"/>
        <v>0</v>
      </c>
      <c r="BT157" s="11">
        <f t="shared" si="714"/>
        <v>0</v>
      </c>
      <c r="BU157" s="11">
        <f t="shared" si="714"/>
        <v>0</v>
      </c>
      <c r="BV157" s="25">
        <f>SUM(BV153:BV156)</f>
        <v>0</v>
      </c>
      <c r="BX157" s="10">
        <f>SUM(BX153:BX156)</f>
        <v>0</v>
      </c>
      <c r="BY157" s="11">
        <f t="shared" ref="BY157:CB157" si="715">SUM(BY153:BY156)</f>
        <v>0</v>
      </c>
      <c r="BZ157" s="11">
        <f t="shared" si="715"/>
        <v>0</v>
      </c>
      <c r="CA157" s="11">
        <f t="shared" si="715"/>
        <v>0</v>
      </c>
      <c r="CB157" s="11">
        <f t="shared" si="715"/>
        <v>0</v>
      </c>
      <c r="CC157" s="25">
        <f>SUM(CC153:CC156)</f>
        <v>0</v>
      </c>
      <c r="CE157" s="62">
        <f t="shared" ref="CE157:CJ157" si="716">SUM(CE153:CE156)</f>
        <v>0</v>
      </c>
      <c r="CF157" s="63">
        <f t="shared" si="716"/>
        <v>0</v>
      </c>
      <c r="CG157" s="63">
        <f t="shared" si="716"/>
        <v>0</v>
      </c>
      <c r="CH157" s="63">
        <f t="shared" si="716"/>
        <v>0</v>
      </c>
      <c r="CI157" s="63">
        <f t="shared" si="716"/>
        <v>0</v>
      </c>
      <c r="CJ157" s="25">
        <f t="shared" si="716"/>
        <v>0</v>
      </c>
      <c r="CL157" s="10">
        <f>SUM(CL153:CL156)</f>
        <v>0</v>
      </c>
      <c r="CM157" s="11">
        <f t="shared" ref="CM157:CP157" si="717">SUM(CM153:CM156)</f>
        <v>0</v>
      </c>
      <c r="CN157" s="11">
        <f t="shared" si="717"/>
        <v>0</v>
      </c>
      <c r="CO157" s="11">
        <f t="shared" si="717"/>
        <v>0</v>
      </c>
      <c r="CP157" s="11">
        <f t="shared" si="717"/>
        <v>0</v>
      </c>
      <c r="CQ157" s="25">
        <f>SUM(CQ153:CQ156)</f>
        <v>0</v>
      </c>
      <c r="CS157" s="10">
        <f>SUM(CS153:CS156)</f>
        <v>0</v>
      </c>
      <c r="CT157" s="11">
        <f t="shared" ref="CT157:CW157" si="718">SUM(CT153:CT156)</f>
        <v>0</v>
      </c>
      <c r="CU157" s="11">
        <f t="shared" si="718"/>
        <v>0</v>
      </c>
      <c r="CV157" s="11">
        <f t="shared" si="718"/>
        <v>0</v>
      </c>
      <c r="CW157" s="11">
        <f t="shared" si="718"/>
        <v>0</v>
      </c>
      <c r="CX157" s="25">
        <f>SUM(CX153:CX156)</f>
        <v>0</v>
      </c>
      <c r="CZ157" s="10">
        <f>SUM(CZ153:CZ156)</f>
        <v>0</v>
      </c>
      <c r="DA157" s="11">
        <f t="shared" ref="DA157:DD157" si="719">SUM(DA153:DA156)</f>
        <v>0</v>
      </c>
      <c r="DB157" s="11">
        <f t="shared" si="719"/>
        <v>0</v>
      </c>
      <c r="DC157" s="11">
        <f t="shared" si="719"/>
        <v>0</v>
      </c>
      <c r="DD157" s="11">
        <f t="shared" si="719"/>
        <v>0</v>
      </c>
      <c r="DE157" s="25">
        <f>SUM(DE153:DE156)</f>
        <v>0</v>
      </c>
    </row>
    <row r="158" spans="3:109" ht="10.4" customHeight="1" thickBot="1"/>
    <row r="159" spans="3:109">
      <c r="C159" s="553">
        <v>2028</v>
      </c>
      <c r="E159" s="13" t="s">
        <v>59</v>
      </c>
      <c r="F159" s="21">
        <f>CE153</f>
        <v>0</v>
      </c>
      <c r="G159" s="22">
        <f t="shared" ref="G159:G162" si="720">CF153</f>
        <v>0</v>
      </c>
      <c r="H159" s="22">
        <f t="shared" ref="H159:H162" si="721">CG153</f>
        <v>0</v>
      </c>
      <c r="I159" s="22">
        <f t="shared" ref="I159:I162" si="722">CH153</f>
        <v>0</v>
      </c>
      <c r="J159" s="22">
        <f t="shared" ref="J159:J162" si="723">CI153</f>
        <v>0</v>
      </c>
      <c r="K159" s="4">
        <f>SUM(F159:J159)</f>
        <v>0</v>
      </c>
      <c r="M159" s="2"/>
      <c r="N159" s="3"/>
      <c r="O159" s="3"/>
      <c r="P159" s="3"/>
      <c r="Q159" s="3"/>
      <c r="R159" s="4">
        <f>SUM(M159:Q159)</f>
        <v>0</v>
      </c>
      <c r="T159" s="2"/>
      <c r="U159" s="3"/>
      <c r="V159" s="3"/>
      <c r="W159" s="3"/>
      <c r="X159" s="3"/>
      <c r="Y159" s="4">
        <f>SUM(T159:X159)</f>
        <v>0</v>
      </c>
      <c r="AA159" s="2"/>
      <c r="AB159" s="3"/>
      <c r="AC159" s="3"/>
      <c r="AD159" s="3"/>
      <c r="AE159" s="3"/>
      <c r="AF159" s="4">
        <f>SUM(AA159:AE159)</f>
        <v>0</v>
      </c>
      <c r="AH159" s="2"/>
      <c r="AI159" s="3"/>
      <c r="AJ159" s="3"/>
      <c r="AK159" s="3"/>
      <c r="AL159" s="3"/>
      <c r="AM159" s="4">
        <f>SUM(AH159:AL159)</f>
        <v>0</v>
      </c>
      <c r="AO159" s="2"/>
      <c r="AP159" s="3"/>
      <c r="AQ159" s="3"/>
      <c r="AR159" s="3"/>
      <c r="AS159" s="3"/>
      <c r="AT159" s="4">
        <f>SUM(AO159:AS159)</f>
        <v>0</v>
      </c>
      <c r="AV159" s="2"/>
      <c r="AW159" s="3"/>
      <c r="AX159" s="3"/>
      <c r="AY159" s="3"/>
      <c r="AZ159" s="3"/>
      <c r="BA159" s="4">
        <f>SUM(AV159:AZ159)</f>
        <v>0</v>
      </c>
      <c r="BC159" s="2"/>
      <c r="BD159" s="3"/>
      <c r="BE159" s="3"/>
      <c r="BF159" s="3"/>
      <c r="BG159" s="3"/>
      <c r="BH159" s="4">
        <f>SUM(BC159:BG159)</f>
        <v>0</v>
      </c>
      <c r="BJ159" s="2"/>
      <c r="BK159" s="3"/>
      <c r="BL159" s="3"/>
      <c r="BM159" s="3"/>
      <c r="BN159" s="3"/>
      <c r="BO159" s="4">
        <f>SUM(BJ159:BN159)</f>
        <v>0</v>
      </c>
      <c r="BQ159" s="2"/>
      <c r="BR159" s="3"/>
      <c r="BS159" s="3"/>
      <c r="BT159" s="3"/>
      <c r="BU159" s="3"/>
      <c r="BV159" s="4">
        <f>SUM(BQ159:BU159)</f>
        <v>0</v>
      </c>
      <c r="BX159" s="2"/>
      <c r="BY159" s="3"/>
      <c r="BZ159" s="3"/>
      <c r="CA159" s="3"/>
      <c r="CB159" s="3"/>
      <c r="CC159" s="4">
        <f>SUM(BX159:CB159)</f>
        <v>0</v>
      </c>
      <c r="CE159" s="26">
        <f t="shared" ref="CE159:CE162" si="724">F159+M159+T159+AA159+AH159+AO159+AV159+BC159+BJ159+BQ159+BX159</f>
        <v>0</v>
      </c>
      <c r="CF159" s="27">
        <f t="shared" ref="CF159:CF162" si="725">G159+N159+U159+AB159+AI159+AP159+AW159+BD159+BK159+BR159+BY159</f>
        <v>0</v>
      </c>
      <c r="CG159" s="27">
        <f t="shared" ref="CG159:CG162" si="726">H159+O159+V159+AC159+AJ159+AQ159+AX159+BE159+BL159+BS159+BZ159</f>
        <v>0</v>
      </c>
      <c r="CH159" s="27">
        <f t="shared" ref="CH159:CH162" si="727">I159+P159+W159+AD159+AK159+AR159+AY159+BF159+BM159+BT159+CA159</f>
        <v>0</v>
      </c>
      <c r="CI159" s="27">
        <f t="shared" ref="CI159:CI162" si="728">J159+Q159+X159+AE159+AL159+AS159+AZ159+BG159+BN159+BU159+CB159</f>
        <v>0</v>
      </c>
      <c r="CJ159" s="4">
        <f>SUM(CE159:CI159)</f>
        <v>0</v>
      </c>
      <c r="CL159" s="2"/>
      <c r="CM159" s="3"/>
      <c r="CN159" s="3"/>
      <c r="CO159" s="3"/>
      <c r="CP159" s="3"/>
      <c r="CQ159" s="4">
        <f>SUM(CL159:CP159)</f>
        <v>0</v>
      </c>
      <c r="CS159" s="2"/>
      <c r="CT159" s="3"/>
      <c r="CU159" s="3"/>
      <c r="CV159" s="3"/>
      <c r="CW159" s="3"/>
      <c r="CX159" s="4">
        <f>SUM(CS159:CW159)</f>
        <v>0</v>
      </c>
      <c r="CZ159" s="2"/>
      <c r="DA159" s="3"/>
      <c r="DB159" s="3"/>
      <c r="DC159" s="3"/>
      <c r="DD159" s="3"/>
      <c r="DE159" s="4">
        <f>SUM(CZ159:DD159)</f>
        <v>0</v>
      </c>
    </row>
    <row r="160" spans="3:109">
      <c r="C160" s="567"/>
      <c r="E160" s="14" t="s">
        <v>60</v>
      </c>
      <c r="F160" s="23">
        <f t="shared" ref="F160:F162" si="729">CE154</f>
        <v>0</v>
      </c>
      <c r="G160" s="24">
        <f t="shared" si="720"/>
        <v>0</v>
      </c>
      <c r="H160" s="24">
        <f t="shared" si="721"/>
        <v>0</v>
      </c>
      <c r="I160" s="24">
        <f t="shared" si="722"/>
        <v>0</v>
      </c>
      <c r="J160" s="24">
        <f t="shared" si="723"/>
        <v>0</v>
      </c>
      <c r="K160" s="8">
        <f t="shared" ref="K160:K162" si="730">SUM(F160:J160)</f>
        <v>0</v>
      </c>
      <c r="M160" s="6"/>
      <c r="N160" s="7"/>
      <c r="O160" s="7"/>
      <c r="P160" s="7"/>
      <c r="Q160" s="7"/>
      <c r="R160" s="8">
        <f t="shared" ref="R160:R162" si="731">SUM(M160:Q160)</f>
        <v>0</v>
      </c>
      <c r="T160" s="6"/>
      <c r="U160" s="7"/>
      <c r="V160" s="7"/>
      <c r="W160" s="7"/>
      <c r="X160" s="7"/>
      <c r="Y160" s="8">
        <f t="shared" ref="Y160:Y162" si="732">SUM(T160:X160)</f>
        <v>0</v>
      </c>
      <c r="AA160" s="6"/>
      <c r="AB160" s="7"/>
      <c r="AC160" s="7"/>
      <c r="AD160" s="7"/>
      <c r="AE160" s="7"/>
      <c r="AF160" s="8">
        <f>SUM(AA160:AE160)</f>
        <v>0</v>
      </c>
      <c r="AH160" s="6"/>
      <c r="AI160" s="7"/>
      <c r="AJ160" s="7"/>
      <c r="AK160" s="7"/>
      <c r="AL160" s="7"/>
      <c r="AM160" s="8">
        <f>SUM(AH160:AL160)</f>
        <v>0</v>
      </c>
      <c r="AO160" s="6"/>
      <c r="AP160" s="7"/>
      <c r="AQ160" s="7"/>
      <c r="AR160" s="7"/>
      <c r="AS160" s="7"/>
      <c r="AT160" s="8">
        <f>SUM(AO160:AS160)</f>
        <v>0</v>
      </c>
      <c r="AV160" s="6"/>
      <c r="AW160" s="7"/>
      <c r="AX160" s="7"/>
      <c r="AY160" s="7"/>
      <c r="AZ160" s="7"/>
      <c r="BA160" s="8">
        <f>SUM(AV160:AZ160)</f>
        <v>0</v>
      </c>
      <c r="BC160" s="6"/>
      <c r="BD160" s="7"/>
      <c r="BE160" s="7"/>
      <c r="BF160" s="7"/>
      <c r="BG160" s="7"/>
      <c r="BH160" s="8">
        <f>SUM(BC160:BG160)</f>
        <v>0</v>
      </c>
      <c r="BJ160" s="6"/>
      <c r="BK160" s="7"/>
      <c r="BL160" s="7"/>
      <c r="BM160" s="7"/>
      <c r="BN160" s="7"/>
      <c r="BO160" s="8">
        <f>SUM(BJ160:BN160)</f>
        <v>0</v>
      </c>
      <c r="BQ160" s="6"/>
      <c r="BR160" s="7"/>
      <c r="BS160" s="7"/>
      <c r="BT160" s="7"/>
      <c r="BU160" s="7"/>
      <c r="BV160" s="8">
        <f>SUM(BQ160:BU160)</f>
        <v>0</v>
      </c>
      <c r="BX160" s="6"/>
      <c r="BY160" s="7"/>
      <c r="BZ160" s="7"/>
      <c r="CA160" s="7"/>
      <c r="CB160" s="7"/>
      <c r="CC160" s="8">
        <f>SUM(BX160:CB160)</f>
        <v>0</v>
      </c>
      <c r="CE160" s="28">
        <f t="shared" si="724"/>
        <v>0</v>
      </c>
      <c r="CF160" s="29">
        <f t="shared" si="725"/>
        <v>0</v>
      </c>
      <c r="CG160" s="29">
        <f t="shared" si="726"/>
        <v>0</v>
      </c>
      <c r="CH160" s="29">
        <f t="shared" si="727"/>
        <v>0</v>
      </c>
      <c r="CI160" s="29">
        <f t="shared" si="728"/>
        <v>0</v>
      </c>
      <c r="CJ160" s="8">
        <f>SUM(CE160:CI160)</f>
        <v>0</v>
      </c>
      <c r="CL160" s="6"/>
      <c r="CM160" s="7"/>
      <c r="CN160" s="7"/>
      <c r="CO160" s="7"/>
      <c r="CP160" s="7"/>
      <c r="CQ160" s="8">
        <f>SUM(CL160:CP160)</f>
        <v>0</v>
      </c>
      <c r="CS160" s="6"/>
      <c r="CT160" s="7"/>
      <c r="CU160" s="7"/>
      <c r="CV160" s="7"/>
      <c r="CW160" s="7"/>
      <c r="CX160" s="8">
        <f t="shared" ref="CX160:CX162" si="733">SUM(CS160:CW160)</f>
        <v>0</v>
      </c>
      <c r="CZ160" s="6"/>
      <c r="DA160" s="7"/>
      <c r="DB160" s="7"/>
      <c r="DC160" s="7"/>
      <c r="DD160" s="7"/>
      <c r="DE160" s="8">
        <f t="shared" ref="DE160:DE162" si="734">SUM(CZ160:DD160)</f>
        <v>0</v>
      </c>
    </row>
    <row r="161" spans="2:109">
      <c r="C161" s="567"/>
      <c r="E161" s="14" t="s">
        <v>61</v>
      </c>
      <c r="F161" s="23">
        <f t="shared" si="729"/>
        <v>0</v>
      </c>
      <c r="G161" s="24">
        <f t="shared" si="720"/>
        <v>0</v>
      </c>
      <c r="H161" s="24">
        <f t="shared" si="721"/>
        <v>0</v>
      </c>
      <c r="I161" s="24">
        <f t="shared" si="722"/>
        <v>0</v>
      </c>
      <c r="J161" s="24">
        <f t="shared" si="723"/>
        <v>0</v>
      </c>
      <c r="K161" s="8">
        <f t="shared" si="730"/>
        <v>0</v>
      </c>
      <c r="M161" s="6"/>
      <c r="N161" s="7"/>
      <c r="O161" s="7"/>
      <c r="P161" s="7"/>
      <c r="Q161" s="7"/>
      <c r="R161" s="8">
        <f t="shared" si="731"/>
        <v>0</v>
      </c>
      <c r="T161" s="6"/>
      <c r="U161" s="7"/>
      <c r="V161" s="7"/>
      <c r="W161" s="7"/>
      <c r="X161" s="7"/>
      <c r="Y161" s="8">
        <f t="shared" si="732"/>
        <v>0</v>
      </c>
      <c r="AA161" s="6"/>
      <c r="AB161" s="7"/>
      <c r="AC161" s="7"/>
      <c r="AD161" s="7"/>
      <c r="AE161" s="7"/>
      <c r="AF161" s="8">
        <f>SUM(AA161:AE161)</f>
        <v>0</v>
      </c>
      <c r="AH161" s="6"/>
      <c r="AI161" s="7"/>
      <c r="AJ161" s="7"/>
      <c r="AK161" s="7"/>
      <c r="AL161" s="7"/>
      <c r="AM161" s="8">
        <f>SUM(AH161:AL161)</f>
        <v>0</v>
      </c>
      <c r="AO161" s="6"/>
      <c r="AP161" s="7"/>
      <c r="AQ161" s="7"/>
      <c r="AR161" s="7"/>
      <c r="AS161" s="7"/>
      <c r="AT161" s="8">
        <f>SUM(AO161:AS161)</f>
        <v>0</v>
      </c>
      <c r="AV161" s="6"/>
      <c r="AW161" s="7"/>
      <c r="AX161" s="7"/>
      <c r="AY161" s="7"/>
      <c r="AZ161" s="7"/>
      <c r="BA161" s="8">
        <f>SUM(AV161:AZ161)</f>
        <v>0</v>
      </c>
      <c r="BC161" s="6"/>
      <c r="BD161" s="7"/>
      <c r="BE161" s="7"/>
      <c r="BF161" s="7"/>
      <c r="BG161" s="7"/>
      <c r="BH161" s="8">
        <f>SUM(BC161:BG161)</f>
        <v>0</v>
      </c>
      <c r="BJ161" s="6"/>
      <c r="BK161" s="7"/>
      <c r="BL161" s="7"/>
      <c r="BM161" s="7"/>
      <c r="BN161" s="7"/>
      <c r="BO161" s="8">
        <f>SUM(BJ161:BN161)</f>
        <v>0</v>
      </c>
      <c r="BQ161" s="6"/>
      <c r="BR161" s="7"/>
      <c r="BS161" s="7"/>
      <c r="BT161" s="7"/>
      <c r="BU161" s="7"/>
      <c r="BV161" s="8">
        <f>SUM(BQ161:BU161)</f>
        <v>0</v>
      </c>
      <c r="BX161" s="6"/>
      <c r="BY161" s="7"/>
      <c r="BZ161" s="7"/>
      <c r="CA161" s="7"/>
      <c r="CB161" s="7"/>
      <c r="CC161" s="8">
        <f>SUM(BX161:CB161)</f>
        <v>0</v>
      </c>
      <c r="CE161" s="28">
        <f t="shared" si="724"/>
        <v>0</v>
      </c>
      <c r="CF161" s="29">
        <f t="shared" si="725"/>
        <v>0</v>
      </c>
      <c r="CG161" s="29">
        <f t="shared" si="726"/>
        <v>0</v>
      </c>
      <c r="CH161" s="29">
        <f t="shared" si="727"/>
        <v>0</v>
      </c>
      <c r="CI161" s="29">
        <f t="shared" si="728"/>
        <v>0</v>
      </c>
      <c r="CJ161" s="8">
        <f>SUM(CE161:CI161)</f>
        <v>0</v>
      </c>
      <c r="CL161" s="6"/>
      <c r="CM161" s="7"/>
      <c r="CN161" s="7"/>
      <c r="CO161" s="7"/>
      <c r="CP161" s="7"/>
      <c r="CQ161" s="8">
        <f>SUM(CL161:CP161)</f>
        <v>0</v>
      </c>
      <c r="CS161" s="6"/>
      <c r="CT161" s="7"/>
      <c r="CU161" s="7"/>
      <c r="CV161" s="7"/>
      <c r="CW161" s="7"/>
      <c r="CX161" s="8">
        <f t="shared" si="733"/>
        <v>0</v>
      </c>
      <c r="CZ161" s="6"/>
      <c r="DA161" s="7"/>
      <c r="DB161" s="7"/>
      <c r="DC161" s="7"/>
      <c r="DD161" s="7"/>
      <c r="DE161" s="8">
        <f t="shared" si="734"/>
        <v>0</v>
      </c>
    </row>
    <row r="162" spans="2:109" ht="14" thickBot="1">
      <c r="C162" s="567"/>
      <c r="E162" s="14" t="s">
        <v>62</v>
      </c>
      <c r="F162" s="23">
        <f t="shared" si="729"/>
        <v>0</v>
      </c>
      <c r="G162" s="24">
        <f t="shared" si="720"/>
        <v>0</v>
      </c>
      <c r="H162" s="24">
        <f t="shared" si="721"/>
        <v>0</v>
      </c>
      <c r="I162" s="24">
        <f t="shared" si="722"/>
        <v>0</v>
      </c>
      <c r="J162" s="24">
        <f t="shared" si="723"/>
        <v>0</v>
      </c>
      <c r="K162" s="8">
        <f t="shared" si="730"/>
        <v>0</v>
      </c>
      <c r="M162" s="6"/>
      <c r="N162" s="7"/>
      <c r="O162" s="7"/>
      <c r="P162" s="7"/>
      <c r="Q162" s="7"/>
      <c r="R162" s="8">
        <f t="shared" si="731"/>
        <v>0</v>
      </c>
      <c r="T162" s="6"/>
      <c r="U162" s="7"/>
      <c r="V162" s="7"/>
      <c r="W162" s="7"/>
      <c r="X162" s="7"/>
      <c r="Y162" s="8">
        <f t="shared" si="732"/>
        <v>0</v>
      </c>
      <c r="AA162" s="6"/>
      <c r="AB162" s="7"/>
      <c r="AC162" s="7"/>
      <c r="AD162" s="7"/>
      <c r="AE162" s="7"/>
      <c r="AF162" s="8">
        <f>SUM(AA162:AE162)</f>
        <v>0</v>
      </c>
      <c r="AH162" s="6"/>
      <c r="AI162" s="7"/>
      <c r="AJ162" s="7"/>
      <c r="AK162" s="7"/>
      <c r="AL162" s="7"/>
      <c r="AM162" s="8">
        <f>SUM(AH162:AL162)</f>
        <v>0</v>
      </c>
      <c r="AO162" s="6"/>
      <c r="AP162" s="7"/>
      <c r="AQ162" s="7"/>
      <c r="AR162" s="7"/>
      <c r="AS162" s="7"/>
      <c r="AT162" s="8">
        <f>SUM(AO162:AS162)</f>
        <v>0</v>
      </c>
      <c r="AV162" s="6"/>
      <c r="AW162" s="7"/>
      <c r="AX162" s="7"/>
      <c r="AY162" s="7"/>
      <c r="AZ162" s="7"/>
      <c r="BA162" s="8">
        <f>SUM(AV162:AZ162)</f>
        <v>0</v>
      </c>
      <c r="BC162" s="6"/>
      <c r="BD162" s="7"/>
      <c r="BE162" s="7"/>
      <c r="BF162" s="7"/>
      <c r="BG162" s="7"/>
      <c r="BH162" s="8">
        <f>SUM(BC162:BG162)</f>
        <v>0</v>
      </c>
      <c r="BJ162" s="6"/>
      <c r="BK162" s="7"/>
      <c r="BL162" s="7"/>
      <c r="BM162" s="7"/>
      <c r="BN162" s="7"/>
      <c r="BO162" s="8">
        <f>SUM(BJ162:BN162)</f>
        <v>0</v>
      </c>
      <c r="BQ162" s="6"/>
      <c r="BR162" s="7"/>
      <c r="BS162" s="7"/>
      <c r="BT162" s="7"/>
      <c r="BU162" s="7"/>
      <c r="BV162" s="8">
        <f>SUM(BQ162:BU162)</f>
        <v>0</v>
      </c>
      <c r="BX162" s="6"/>
      <c r="BY162" s="7"/>
      <c r="BZ162" s="7"/>
      <c r="CA162" s="7"/>
      <c r="CB162" s="7"/>
      <c r="CC162" s="8">
        <f>SUM(BX162:CB162)</f>
        <v>0</v>
      </c>
      <c r="CE162" s="493">
        <f t="shared" si="724"/>
        <v>0</v>
      </c>
      <c r="CF162" s="494">
        <f t="shared" si="725"/>
        <v>0</v>
      </c>
      <c r="CG162" s="494">
        <f t="shared" si="726"/>
        <v>0</v>
      </c>
      <c r="CH162" s="494">
        <f t="shared" si="727"/>
        <v>0</v>
      </c>
      <c r="CI162" s="494">
        <f t="shared" si="728"/>
        <v>0</v>
      </c>
      <c r="CJ162" s="495">
        <f>SUM(CE162:CI162)</f>
        <v>0</v>
      </c>
      <c r="CL162" s="6"/>
      <c r="CM162" s="7"/>
      <c r="CN162" s="7"/>
      <c r="CO162" s="7"/>
      <c r="CP162" s="7"/>
      <c r="CQ162" s="8">
        <f>SUM(CL162:CP162)</f>
        <v>0</v>
      </c>
      <c r="CS162" s="6"/>
      <c r="CT162" s="7"/>
      <c r="CU162" s="7"/>
      <c r="CV162" s="7"/>
      <c r="CW162" s="7"/>
      <c r="CX162" s="8">
        <f t="shared" si="733"/>
        <v>0</v>
      </c>
      <c r="CZ162" s="6"/>
      <c r="DA162" s="7"/>
      <c r="DB162" s="7"/>
      <c r="DC162" s="7"/>
      <c r="DD162" s="7"/>
      <c r="DE162" s="8">
        <f t="shared" si="734"/>
        <v>0</v>
      </c>
    </row>
    <row r="163" spans="2:109" ht="14" thickBot="1">
      <c r="C163" s="554"/>
      <c r="E163" s="9"/>
      <c r="F163" s="10">
        <f>SUM(F159:F162)</f>
        <v>0</v>
      </c>
      <c r="G163" s="11">
        <f t="shared" ref="G163:J163" si="735">SUM(G159:G162)</f>
        <v>0</v>
      </c>
      <c r="H163" s="11">
        <f t="shared" si="735"/>
        <v>0</v>
      </c>
      <c r="I163" s="11">
        <f t="shared" si="735"/>
        <v>0</v>
      </c>
      <c r="J163" s="11">
        <f t="shared" si="735"/>
        <v>0</v>
      </c>
      <c r="K163" s="25">
        <f>SUM(K159:K162)</f>
        <v>0</v>
      </c>
      <c r="M163" s="10">
        <f>SUM(M159:M162)</f>
        <v>0</v>
      </c>
      <c r="N163" s="11">
        <f t="shared" ref="N163:Q163" si="736">SUM(N159:N162)</f>
        <v>0</v>
      </c>
      <c r="O163" s="11">
        <f t="shared" si="736"/>
        <v>0</v>
      </c>
      <c r="P163" s="11">
        <f t="shared" si="736"/>
        <v>0</v>
      </c>
      <c r="Q163" s="11">
        <f t="shared" si="736"/>
        <v>0</v>
      </c>
      <c r="R163" s="25">
        <f>SUM(R159:R162)</f>
        <v>0</v>
      </c>
      <c r="T163" s="10">
        <f>SUM(T159:T162)</f>
        <v>0</v>
      </c>
      <c r="U163" s="11">
        <f t="shared" ref="U163:X163" si="737">SUM(U159:U162)</f>
        <v>0</v>
      </c>
      <c r="V163" s="11">
        <f t="shared" si="737"/>
        <v>0</v>
      </c>
      <c r="W163" s="11">
        <f t="shared" si="737"/>
        <v>0</v>
      </c>
      <c r="X163" s="11">
        <f t="shared" si="737"/>
        <v>0</v>
      </c>
      <c r="Y163" s="25">
        <f>SUM(Y159:Y162)</f>
        <v>0</v>
      </c>
      <c r="AA163" s="10">
        <f>SUM(AA159:AA162)</f>
        <v>0</v>
      </c>
      <c r="AB163" s="11">
        <f t="shared" ref="AB163:AE163" si="738">SUM(AB159:AB162)</f>
        <v>0</v>
      </c>
      <c r="AC163" s="11">
        <f t="shared" si="738"/>
        <v>0</v>
      </c>
      <c r="AD163" s="11">
        <f t="shared" si="738"/>
        <v>0</v>
      </c>
      <c r="AE163" s="11">
        <f t="shared" si="738"/>
        <v>0</v>
      </c>
      <c r="AF163" s="25">
        <f>SUM(AF159:AF162)</f>
        <v>0</v>
      </c>
      <c r="AH163" s="10">
        <f>SUM(AH159:AH162)</f>
        <v>0</v>
      </c>
      <c r="AI163" s="11">
        <f t="shared" ref="AI163:AL163" si="739">SUM(AI159:AI162)</f>
        <v>0</v>
      </c>
      <c r="AJ163" s="11">
        <f t="shared" si="739"/>
        <v>0</v>
      </c>
      <c r="AK163" s="11">
        <f t="shared" si="739"/>
        <v>0</v>
      </c>
      <c r="AL163" s="11">
        <f t="shared" si="739"/>
        <v>0</v>
      </c>
      <c r="AM163" s="25">
        <f>SUM(AM159:AM162)</f>
        <v>0</v>
      </c>
      <c r="AO163" s="10">
        <f>SUM(AO159:AO162)</f>
        <v>0</v>
      </c>
      <c r="AP163" s="11">
        <f t="shared" ref="AP163:AS163" si="740">SUM(AP159:AP162)</f>
        <v>0</v>
      </c>
      <c r="AQ163" s="11">
        <f t="shared" si="740"/>
        <v>0</v>
      </c>
      <c r="AR163" s="11">
        <f t="shared" si="740"/>
        <v>0</v>
      </c>
      <c r="AS163" s="11">
        <f t="shared" si="740"/>
        <v>0</v>
      </c>
      <c r="AT163" s="25">
        <f>SUM(AT159:AT162)</f>
        <v>0</v>
      </c>
      <c r="AV163" s="10">
        <f>SUM(AV159:AV162)</f>
        <v>0</v>
      </c>
      <c r="AW163" s="11">
        <f t="shared" ref="AW163:AZ163" si="741">SUM(AW159:AW162)</f>
        <v>0</v>
      </c>
      <c r="AX163" s="11">
        <f t="shared" si="741"/>
        <v>0</v>
      </c>
      <c r="AY163" s="11">
        <f t="shared" si="741"/>
        <v>0</v>
      </c>
      <c r="AZ163" s="11">
        <f t="shared" si="741"/>
        <v>0</v>
      </c>
      <c r="BA163" s="25">
        <f>SUM(BA159:BA162)</f>
        <v>0</v>
      </c>
      <c r="BC163" s="10">
        <f>SUM(BC159:BC162)</f>
        <v>0</v>
      </c>
      <c r="BD163" s="11">
        <f t="shared" ref="BD163:BG163" si="742">SUM(BD159:BD162)</f>
        <v>0</v>
      </c>
      <c r="BE163" s="11">
        <f t="shared" si="742"/>
        <v>0</v>
      </c>
      <c r="BF163" s="11">
        <f t="shared" si="742"/>
        <v>0</v>
      </c>
      <c r="BG163" s="11">
        <f t="shared" si="742"/>
        <v>0</v>
      </c>
      <c r="BH163" s="25">
        <f>SUM(BH159:BH162)</f>
        <v>0</v>
      </c>
      <c r="BJ163" s="10">
        <f>SUM(BJ159:BJ162)</f>
        <v>0</v>
      </c>
      <c r="BK163" s="11">
        <f t="shared" ref="BK163:BN163" si="743">SUM(BK159:BK162)</f>
        <v>0</v>
      </c>
      <c r="BL163" s="11">
        <f t="shared" si="743"/>
        <v>0</v>
      </c>
      <c r="BM163" s="11">
        <f t="shared" si="743"/>
        <v>0</v>
      </c>
      <c r="BN163" s="11">
        <f t="shared" si="743"/>
        <v>0</v>
      </c>
      <c r="BO163" s="25">
        <f>SUM(BO159:BO162)</f>
        <v>0</v>
      </c>
      <c r="BQ163" s="10">
        <f>SUM(BQ159:BQ162)</f>
        <v>0</v>
      </c>
      <c r="BR163" s="11">
        <f t="shared" ref="BR163:BU163" si="744">SUM(BR159:BR162)</f>
        <v>0</v>
      </c>
      <c r="BS163" s="11">
        <f t="shared" si="744"/>
        <v>0</v>
      </c>
      <c r="BT163" s="11">
        <f t="shared" si="744"/>
        <v>0</v>
      </c>
      <c r="BU163" s="11">
        <f t="shared" si="744"/>
        <v>0</v>
      </c>
      <c r="BV163" s="25">
        <f>SUM(BV159:BV162)</f>
        <v>0</v>
      </c>
      <c r="BX163" s="10">
        <f>SUM(BX159:BX162)</f>
        <v>0</v>
      </c>
      <c r="BY163" s="11">
        <f t="shared" ref="BY163:CB163" si="745">SUM(BY159:BY162)</f>
        <v>0</v>
      </c>
      <c r="BZ163" s="11">
        <f t="shared" si="745"/>
        <v>0</v>
      </c>
      <c r="CA163" s="11">
        <f t="shared" si="745"/>
        <v>0</v>
      </c>
      <c r="CB163" s="11">
        <f t="shared" si="745"/>
        <v>0</v>
      </c>
      <c r="CC163" s="25">
        <f>SUM(CC159:CC162)</f>
        <v>0</v>
      </c>
      <c r="CE163" s="62">
        <f t="shared" ref="CE163:CJ163" si="746">SUM(CE159:CE162)</f>
        <v>0</v>
      </c>
      <c r="CF163" s="63">
        <f t="shared" si="746"/>
        <v>0</v>
      </c>
      <c r="CG163" s="63">
        <f t="shared" si="746"/>
        <v>0</v>
      </c>
      <c r="CH163" s="63">
        <f t="shared" si="746"/>
        <v>0</v>
      </c>
      <c r="CI163" s="63">
        <f t="shared" si="746"/>
        <v>0</v>
      </c>
      <c r="CJ163" s="25">
        <f t="shared" si="746"/>
        <v>0</v>
      </c>
      <c r="CL163" s="10">
        <f>SUM(CL159:CL162)</f>
        <v>0</v>
      </c>
      <c r="CM163" s="11">
        <f t="shared" ref="CM163:CP163" si="747">SUM(CM159:CM162)</f>
        <v>0</v>
      </c>
      <c r="CN163" s="11">
        <f t="shared" si="747"/>
        <v>0</v>
      </c>
      <c r="CO163" s="11">
        <f t="shared" si="747"/>
        <v>0</v>
      </c>
      <c r="CP163" s="11">
        <f t="shared" si="747"/>
        <v>0</v>
      </c>
      <c r="CQ163" s="25">
        <f>SUM(CQ159:CQ162)</f>
        <v>0</v>
      </c>
      <c r="CS163" s="10">
        <f>SUM(CS159:CS162)</f>
        <v>0</v>
      </c>
      <c r="CT163" s="11">
        <f t="shared" ref="CT163:CW163" si="748">SUM(CT159:CT162)</f>
        <v>0</v>
      </c>
      <c r="CU163" s="11">
        <f t="shared" si="748"/>
        <v>0</v>
      </c>
      <c r="CV163" s="11">
        <f t="shared" si="748"/>
        <v>0</v>
      </c>
      <c r="CW163" s="11">
        <f t="shared" si="748"/>
        <v>0</v>
      </c>
      <c r="CX163" s="25">
        <f>SUM(CX159:CX162)</f>
        <v>0</v>
      </c>
      <c r="CZ163" s="10">
        <f>SUM(CZ159:CZ162)</f>
        <v>0</v>
      </c>
      <c r="DA163" s="11">
        <f t="shared" ref="DA163:DD163" si="749">SUM(DA159:DA162)</f>
        <v>0</v>
      </c>
      <c r="DB163" s="11">
        <f t="shared" si="749"/>
        <v>0</v>
      </c>
      <c r="DC163" s="11">
        <f t="shared" si="749"/>
        <v>0</v>
      </c>
      <c r="DD163" s="11">
        <f t="shared" si="749"/>
        <v>0</v>
      </c>
      <c r="DE163" s="25">
        <f>SUM(DE159:DE162)</f>
        <v>0</v>
      </c>
    </row>
    <row r="165" spans="2:109">
      <c r="B165" s="123"/>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L165" s="20"/>
      <c r="CM165" s="20"/>
      <c r="CN165" s="20"/>
      <c r="CO165" s="20"/>
      <c r="CP165" s="20"/>
      <c r="CQ165" s="20"/>
      <c r="CR165" s="20"/>
      <c r="CS165" s="20"/>
      <c r="CT165" s="20"/>
      <c r="CU165" s="20"/>
      <c r="CV165" s="20"/>
      <c r="CW165" s="20"/>
      <c r="CX165" s="20"/>
      <c r="CY165" s="20"/>
      <c r="CZ165" s="20"/>
      <c r="DA165" s="20"/>
      <c r="DB165" s="20"/>
      <c r="DC165" s="20"/>
      <c r="DD165" s="20"/>
      <c r="DE165" s="20"/>
    </row>
    <row r="166" spans="2:109" ht="14" thickBot="1">
      <c r="B166" s="94">
        <v>6</v>
      </c>
      <c r="C166" s="12" t="s">
        <v>67</v>
      </c>
    </row>
    <row r="167" spans="2:109">
      <c r="C167" s="553">
        <v>2024</v>
      </c>
      <c r="E167" s="1" t="s">
        <v>59</v>
      </c>
      <c r="F167" s="2"/>
      <c r="G167" s="3"/>
      <c r="H167" s="3"/>
      <c r="I167" s="3"/>
      <c r="J167" s="3"/>
      <c r="K167" s="4">
        <f>SUM(F167:J167)</f>
        <v>0</v>
      </c>
      <c r="M167" s="2"/>
      <c r="N167" s="3"/>
      <c r="O167" s="3"/>
      <c r="P167" s="3"/>
      <c r="Q167" s="3"/>
      <c r="R167" s="4">
        <f>SUM(M167:Q167)</f>
        <v>0</v>
      </c>
      <c r="T167" s="2"/>
      <c r="U167" s="3"/>
      <c r="V167" s="3"/>
      <c r="W167" s="3"/>
      <c r="X167" s="3"/>
      <c r="Y167" s="4">
        <f>SUM(T167:X167)</f>
        <v>0</v>
      </c>
      <c r="AA167" s="2"/>
      <c r="AB167" s="3"/>
      <c r="AC167" s="3"/>
      <c r="AD167" s="3"/>
      <c r="AE167" s="3"/>
      <c r="AF167" s="4">
        <f>SUM(AA167:AE167)</f>
        <v>0</v>
      </c>
      <c r="AH167" s="2"/>
      <c r="AI167" s="3"/>
      <c r="AJ167" s="3"/>
      <c r="AK167" s="3"/>
      <c r="AL167" s="3"/>
      <c r="AM167" s="4">
        <f>SUM(AH167:AL167)</f>
        <v>0</v>
      </c>
      <c r="AO167" s="2"/>
      <c r="AP167" s="3"/>
      <c r="AQ167" s="3"/>
      <c r="AR167" s="3"/>
      <c r="AS167" s="3"/>
      <c r="AT167" s="4">
        <f>SUM(AO167:AS167)</f>
        <v>0</v>
      </c>
      <c r="AV167" s="2"/>
      <c r="AW167" s="3"/>
      <c r="AX167" s="3"/>
      <c r="AY167" s="3"/>
      <c r="AZ167" s="3"/>
      <c r="BA167" s="4">
        <f>SUM(AV167:AZ167)</f>
        <v>0</v>
      </c>
      <c r="BC167" s="2"/>
      <c r="BD167" s="3"/>
      <c r="BE167" s="3"/>
      <c r="BF167" s="3"/>
      <c r="BG167" s="3"/>
      <c r="BH167" s="4">
        <f>SUM(BC167:BG167)</f>
        <v>0</v>
      </c>
      <c r="BJ167" s="2"/>
      <c r="BK167" s="3"/>
      <c r="BL167" s="3"/>
      <c r="BM167" s="3"/>
      <c r="BN167" s="3"/>
      <c r="BO167" s="4">
        <f>SUM(BJ167:BN167)</f>
        <v>0</v>
      </c>
      <c r="BQ167" s="2"/>
      <c r="BR167" s="3"/>
      <c r="BS167" s="3"/>
      <c r="BT167" s="3"/>
      <c r="BU167" s="3"/>
      <c r="BV167" s="4">
        <f>SUM(BQ167:BU167)</f>
        <v>0</v>
      </c>
      <c r="BX167" s="2"/>
      <c r="BY167" s="3"/>
      <c r="BZ167" s="3"/>
      <c r="CA167" s="3"/>
      <c r="CB167" s="3"/>
      <c r="CC167" s="4">
        <f>SUM(BX167:CB167)</f>
        <v>0</v>
      </c>
      <c r="CE167" s="26">
        <f t="shared" ref="CE167:CI170" si="750">F167+M167+T167+AA167+AH167+AO167+AV167+BC167+BJ167+BQ167+BX167</f>
        <v>0</v>
      </c>
      <c r="CF167" s="27">
        <f t="shared" si="750"/>
        <v>0</v>
      </c>
      <c r="CG167" s="27">
        <f t="shared" si="750"/>
        <v>0</v>
      </c>
      <c r="CH167" s="27">
        <f t="shared" si="750"/>
        <v>0</v>
      </c>
      <c r="CI167" s="27">
        <f t="shared" si="750"/>
        <v>0</v>
      </c>
      <c r="CJ167" s="4">
        <f>SUM(CE167:CI167)</f>
        <v>0</v>
      </c>
      <c r="CL167" s="2"/>
      <c r="CM167" s="3"/>
      <c r="CN167" s="3"/>
      <c r="CO167" s="3"/>
      <c r="CP167" s="3"/>
      <c r="CQ167" s="4">
        <f>SUM(CL167:CP167)</f>
        <v>0</v>
      </c>
      <c r="CS167" s="2"/>
      <c r="CT167" s="3"/>
      <c r="CU167" s="3"/>
      <c r="CV167" s="3"/>
      <c r="CW167" s="3"/>
      <c r="CX167" s="4">
        <f>SUM(CS167:CW167)</f>
        <v>0</v>
      </c>
      <c r="CZ167" s="2"/>
      <c r="DA167" s="3"/>
      <c r="DB167" s="3"/>
      <c r="DC167" s="3"/>
      <c r="DD167" s="3"/>
      <c r="DE167" s="4">
        <f>SUM(CZ167:DD167)</f>
        <v>0</v>
      </c>
    </row>
    <row r="168" spans="2:109">
      <c r="C168" s="567"/>
      <c r="E168" s="5" t="s">
        <v>60</v>
      </c>
      <c r="F168" s="6"/>
      <c r="G168" s="7"/>
      <c r="H168" s="7"/>
      <c r="I168" s="7"/>
      <c r="J168" s="7"/>
      <c r="K168" s="8">
        <f t="shared" ref="K168:K170" si="751">SUM(F168:J168)</f>
        <v>0</v>
      </c>
      <c r="M168" s="6"/>
      <c r="N168" s="7"/>
      <c r="O168" s="7"/>
      <c r="P168" s="7"/>
      <c r="Q168" s="7"/>
      <c r="R168" s="8">
        <f t="shared" ref="R168:R170" si="752">SUM(M168:Q168)</f>
        <v>0</v>
      </c>
      <c r="T168" s="6"/>
      <c r="U168" s="7"/>
      <c r="V168" s="7"/>
      <c r="W168" s="7"/>
      <c r="X168" s="7"/>
      <c r="Y168" s="8">
        <f t="shared" ref="Y168:Y170" si="753">SUM(T168:X168)</f>
        <v>0</v>
      </c>
      <c r="AA168" s="6"/>
      <c r="AB168" s="7"/>
      <c r="AC168" s="7"/>
      <c r="AD168" s="7"/>
      <c r="AE168" s="7"/>
      <c r="AF168" s="8">
        <f>SUM(AA168:AE168)</f>
        <v>0</v>
      </c>
      <c r="AH168" s="6"/>
      <c r="AI168" s="7"/>
      <c r="AJ168" s="7"/>
      <c r="AK168" s="7"/>
      <c r="AL168" s="7"/>
      <c r="AM168" s="8">
        <f>SUM(AH168:AL168)</f>
        <v>0</v>
      </c>
      <c r="AO168" s="6"/>
      <c r="AP168" s="7"/>
      <c r="AQ168" s="7"/>
      <c r="AR168" s="7"/>
      <c r="AS168" s="7"/>
      <c r="AT168" s="8">
        <f>SUM(AO168:AS168)</f>
        <v>0</v>
      </c>
      <c r="AV168" s="6"/>
      <c r="AW168" s="7"/>
      <c r="AX168" s="7"/>
      <c r="AY168" s="7"/>
      <c r="AZ168" s="7"/>
      <c r="BA168" s="8">
        <f>SUM(AV168:AZ168)</f>
        <v>0</v>
      </c>
      <c r="BC168" s="6"/>
      <c r="BD168" s="7"/>
      <c r="BE168" s="7"/>
      <c r="BF168" s="7"/>
      <c r="BG168" s="7"/>
      <c r="BH168" s="8">
        <f>SUM(BC168:BG168)</f>
        <v>0</v>
      </c>
      <c r="BJ168" s="6"/>
      <c r="BK168" s="7"/>
      <c r="BL168" s="7"/>
      <c r="BM168" s="7"/>
      <c r="BN168" s="7"/>
      <c r="BO168" s="8">
        <f>SUM(BJ168:BN168)</f>
        <v>0</v>
      </c>
      <c r="BQ168" s="6"/>
      <c r="BR168" s="7"/>
      <c r="BS168" s="7"/>
      <c r="BT168" s="7"/>
      <c r="BU168" s="7"/>
      <c r="BV168" s="8">
        <f>SUM(BQ168:BU168)</f>
        <v>0</v>
      </c>
      <c r="BX168" s="6"/>
      <c r="BY168" s="7"/>
      <c r="BZ168" s="7"/>
      <c r="CA168" s="7"/>
      <c r="CB168" s="7"/>
      <c r="CC168" s="8">
        <f>SUM(BX168:CB168)</f>
        <v>0</v>
      </c>
      <c r="CE168" s="28">
        <f t="shared" si="750"/>
        <v>0</v>
      </c>
      <c r="CF168" s="29">
        <f t="shared" si="750"/>
        <v>0</v>
      </c>
      <c r="CG168" s="29">
        <f t="shared" si="750"/>
        <v>0</v>
      </c>
      <c r="CH168" s="29">
        <f t="shared" si="750"/>
        <v>0</v>
      </c>
      <c r="CI168" s="29">
        <f t="shared" si="750"/>
        <v>0</v>
      </c>
      <c r="CJ168" s="8">
        <f>SUM(CE168:CI168)</f>
        <v>0</v>
      </c>
      <c r="CL168" s="6"/>
      <c r="CM168" s="7"/>
      <c r="CN168" s="7"/>
      <c r="CO168" s="7"/>
      <c r="CP168" s="7"/>
      <c r="CQ168" s="8">
        <f>SUM(CL168:CP168)</f>
        <v>0</v>
      </c>
      <c r="CS168" s="6"/>
      <c r="CT168" s="7"/>
      <c r="CU168" s="7"/>
      <c r="CV168" s="7"/>
      <c r="CW168" s="7"/>
      <c r="CX168" s="8">
        <f t="shared" ref="CX168:CX170" si="754">SUM(CS168:CW168)</f>
        <v>0</v>
      </c>
      <c r="CZ168" s="6"/>
      <c r="DA168" s="7"/>
      <c r="DB168" s="7"/>
      <c r="DC168" s="7"/>
      <c r="DD168" s="7"/>
      <c r="DE168" s="8">
        <f t="shared" ref="DE168:DE170" si="755">SUM(CZ168:DD168)</f>
        <v>0</v>
      </c>
    </row>
    <row r="169" spans="2:109">
      <c r="C169" s="567"/>
      <c r="E169" s="5" t="s">
        <v>61</v>
      </c>
      <c r="F169" s="6"/>
      <c r="G169" s="7"/>
      <c r="H169" s="7"/>
      <c r="I169" s="7"/>
      <c r="J169" s="7"/>
      <c r="K169" s="8">
        <f t="shared" si="751"/>
        <v>0</v>
      </c>
      <c r="M169" s="6"/>
      <c r="N169" s="7"/>
      <c r="O169" s="7"/>
      <c r="P169" s="7"/>
      <c r="Q169" s="7"/>
      <c r="R169" s="8">
        <f t="shared" si="752"/>
        <v>0</v>
      </c>
      <c r="T169" s="6"/>
      <c r="U169" s="7"/>
      <c r="V169" s="7"/>
      <c r="W169" s="7"/>
      <c r="X169" s="7"/>
      <c r="Y169" s="8">
        <f t="shared" si="753"/>
        <v>0</v>
      </c>
      <c r="AA169" s="6"/>
      <c r="AB169" s="7"/>
      <c r="AC169" s="7"/>
      <c r="AD169" s="7"/>
      <c r="AE169" s="7"/>
      <c r="AF169" s="8">
        <f>SUM(AA169:AE169)</f>
        <v>0</v>
      </c>
      <c r="AH169" s="6"/>
      <c r="AI169" s="7"/>
      <c r="AJ169" s="7"/>
      <c r="AK169" s="7"/>
      <c r="AL169" s="7"/>
      <c r="AM169" s="8">
        <f>SUM(AH169:AL169)</f>
        <v>0</v>
      </c>
      <c r="AO169" s="6"/>
      <c r="AP169" s="7"/>
      <c r="AQ169" s="7"/>
      <c r="AR169" s="7"/>
      <c r="AS169" s="7"/>
      <c r="AT169" s="8">
        <f>SUM(AO169:AS169)</f>
        <v>0</v>
      </c>
      <c r="AV169" s="6"/>
      <c r="AW169" s="7"/>
      <c r="AX169" s="7"/>
      <c r="AY169" s="7"/>
      <c r="AZ169" s="7"/>
      <c r="BA169" s="8">
        <f>SUM(AV169:AZ169)</f>
        <v>0</v>
      </c>
      <c r="BC169" s="6"/>
      <c r="BD169" s="7"/>
      <c r="BE169" s="7"/>
      <c r="BF169" s="7"/>
      <c r="BG169" s="7"/>
      <c r="BH169" s="8">
        <f>SUM(BC169:BG169)</f>
        <v>0</v>
      </c>
      <c r="BJ169" s="6"/>
      <c r="BK169" s="7"/>
      <c r="BL169" s="7"/>
      <c r="BM169" s="7"/>
      <c r="BN169" s="7"/>
      <c r="BO169" s="8">
        <f>SUM(BJ169:BN169)</f>
        <v>0</v>
      </c>
      <c r="BQ169" s="6"/>
      <c r="BR169" s="7"/>
      <c r="BS169" s="7"/>
      <c r="BT169" s="7"/>
      <c r="BU169" s="7"/>
      <c r="BV169" s="8">
        <f>SUM(BQ169:BU169)</f>
        <v>0</v>
      </c>
      <c r="BX169" s="6"/>
      <c r="BY169" s="7"/>
      <c r="BZ169" s="7"/>
      <c r="CA169" s="7"/>
      <c r="CB169" s="7"/>
      <c r="CC169" s="8">
        <f>SUM(BX169:CB169)</f>
        <v>0</v>
      </c>
      <c r="CE169" s="28">
        <f t="shared" si="750"/>
        <v>0</v>
      </c>
      <c r="CF169" s="29">
        <f t="shared" si="750"/>
        <v>0</v>
      </c>
      <c r="CG169" s="29">
        <f t="shared" si="750"/>
        <v>0</v>
      </c>
      <c r="CH169" s="29">
        <f t="shared" si="750"/>
        <v>0</v>
      </c>
      <c r="CI169" s="29">
        <f t="shared" si="750"/>
        <v>0</v>
      </c>
      <c r="CJ169" s="8">
        <f>SUM(CE169:CI169)</f>
        <v>0</v>
      </c>
      <c r="CL169" s="6"/>
      <c r="CM169" s="7"/>
      <c r="CN169" s="7"/>
      <c r="CO169" s="7"/>
      <c r="CP169" s="7"/>
      <c r="CQ169" s="8">
        <f>SUM(CL169:CP169)</f>
        <v>0</v>
      </c>
      <c r="CS169" s="6"/>
      <c r="CT169" s="7"/>
      <c r="CU169" s="7"/>
      <c r="CV169" s="7"/>
      <c r="CW169" s="7"/>
      <c r="CX169" s="8">
        <f t="shared" si="754"/>
        <v>0</v>
      </c>
      <c r="CZ169" s="6"/>
      <c r="DA169" s="7"/>
      <c r="DB169" s="7"/>
      <c r="DC169" s="7"/>
      <c r="DD169" s="7"/>
      <c r="DE169" s="8">
        <f t="shared" si="755"/>
        <v>0</v>
      </c>
    </row>
    <row r="170" spans="2:109" ht="14" thickBot="1">
      <c r="C170" s="567"/>
      <c r="E170" s="5" t="s">
        <v>62</v>
      </c>
      <c r="F170" s="6"/>
      <c r="G170" s="7"/>
      <c r="H170" s="7"/>
      <c r="I170" s="7"/>
      <c r="J170" s="7"/>
      <c r="K170" s="8">
        <f t="shared" si="751"/>
        <v>0</v>
      </c>
      <c r="M170" s="6"/>
      <c r="N170" s="7"/>
      <c r="O170" s="7"/>
      <c r="P170" s="7"/>
      <c r="Q170" s="7"/>
      <c r="R170" s="8">
        <f t="shared" si="752"/>
        <v>0</v>
      </c>
      <c r="T170" s="6"/>
      <c r="U170" s="7"/>
      <c r="V170" s="7"/>
      <c r="W170" s="7"/>
      <c r="X170" s="7"/>
      <c r="Y170" s="8">
        <f t="shared" si="753"/>
        <v>0</v>
      </c>
      <c r="AA170" s="6"/>
      <c r="AB170" s="7"/>
      <c r="AC170" s="7"/>
      <c r="AD170" s="7"/>
      <c r="AE170" s="7"/>
      <c r="AF170" s="8">
        <f>SUM(AA170:AE170)</f>
        <v>0</v>
      </c>
      <c r="AH170" s="6"/>
      <c r="AI170" s="7"/>
      <c r="AJ170" s="7"/>
      <c r="AK170" s="7"/>
      <c r="AL170" s="7"/>
      <c r="AM170" s="8">
        <f>SUM(AH170:AL170)</f>
        <v>0</v>
      </c>
      <c r="AO170" s="6"/>
      <c r="AP170" s="7"/>
      <c r="AQ170" s="7"/>
      <c r="AR170" s="7"/>
      <c r="AS170" s="7"/>
      <c r="AT170" s="8">
        <f>SUM(AO170:AS170)</f>
        <v>0</v>
      </c>
      <c r="AV170" s="6"/>
      <c r="AW170" s="7"/>
      <c r="AX170" s="7"/>
      <c r="AY170" s="7"/>
      <c r="AZ170" s="7"/>
      <c r="BA170" s="8">
        <f>SUM(AV170:AZ170)</f>
        <v>0</v>
      </c>
      <c r="BC170" s="6"/>
      <c r="BD170" s="7"/>
      <c r="BE170" s="7"/>
      <c r="BF170" s="7"/>
      <c r="BG170" s="7"/>
      <c r="BH170" s="8">
        <f>SUM(BC170:BG170)</f>
        <v>0</v>
      </c>
      <c r="BJ170" s="6"/>
      <c r="BK170" s="7"/>
      <c r="BL170" s="7"/>
      <c r="BM170" s="7"/>
      <c r="BN170" s="7"/>
      <c r="BO170" s="8">
        <f>SUM(BJ170:BN170)</f>
        <v>0</v>
      </c>
      <c r="BQ170" s="6"/>
      <c r="BR170" s="7"/>
      <c r="BS170" s="7"/>
      <c r="BT170" s="7"/>
      <c r="BU170" s="7"/>
      <c r="BV170" s="8">
        <f>SUM(BQ170:BU170)</f>
        <v>0</v>
      </c>
      <c r="BX170" s="6"/>
      <c r="BY170" s="7"/>
      <c r="BZ170" s="7"/>
      <c r="CA170" s="7"/>
      <c r="CB170" s="7"/>
      <c r="CC170" s="8">
        <f>SUM(BX170:CB170)</f>
        <v>0</v>
      </c>
      <c r="CE170" s="493">
        <f t="shared" si="750"/>
        <v>0</v>
      </c>
      <c r="CF170" s="494">
        <f t="shared" si="750"/>
        <v>0</v>
      </c>
      <c r="CG170" s="494">
        <f t="shared" si="750"/>
        <v>0</v>
      </c>
      <c r="CH170" s="494">
        <f t="shared" si="750"/>
        <v>0</v>
      </c>
      <c r="CI170" s="494">
        <f t="shared" si="750"/>
        <v>0</v>
      </c>
      <c r="CJ170" s="495">
        <f>SUM(CE170:CI170)</f>
        <v>0</v>
      </c>
      <c r="CL170" s="6"/>
      <c r="CM170" s="7"/>
      <c r="CN170" s="7"/>
      <c r="CO170" s="7"/>
      <c r="CP170" s="7"/>
      <c r="CQ170" s="8">
        <f>SUM(CL170:CP170)</f>
        <v>0</v>
      </c>
      <c r="CS170" s="6"/>
      <c r="CT170" s="7"/>
      <c r="CU170" s="7"/>
      <c r="CV170" s="7"/>
      <c r="CW170" s="7"/>
      <c r="CX170" s="8">
        <f t="shared" si="754"/>
        <v>0</v>
      </c>
      <c r="CZ170" s="6"/>
      <c r="DA170" s="7"/>
      <c r="DB170" s="7"/>
      <c r="DC170" s="7"/>
      <c r="DD170" s="7"/>
      <c r="DE170" s="8">
        <f t="shared" si="755"/>
        <v>0</v>
      </c>
    </row>
    <row r="171" spans="2:109" ht="14" thickBot="1">
      <c r="C171" s="554"/>
      <c r="E171" s="9"/>
      <c r="F171" s="10">
        <f>SUM(F167:F170)</f>
        <v>0</v>
      </c>
      <c r="G171" s="11">
        <f t="shared" ref="G171:J171" si="756">SUM(G167:G170)</f>
        <v>0</v>
      </c>
      <c r="H171" s="11">
        <f t="shared" si="756"/>
        <v>0</v>
      </c>
      <c r="I171" s="11">
        <f t="shared" si="756"/>
        <v>0</v>
      </c>
      <c r="J171" s="61">
        <f t="shared" si="756"/>
        <v>0</v>
      </c>
      <c r="K171" s="25">
        <f>SUM(K167:K170)</f>
        <v>0</v>
      </c>
      <c r="M171" s="10">
        <f>SUM(M167:M170)</f>
        <v>0</v>
      </c>
      <c r="N171" s="11">
        <f t="shared" ref="N171:Q171" si="757">SUM(N167:N170)</f>
        <v>0</v>
      </c>
      <c r="O171" s="11">
        <f t="shared" si="757"/>
        <v>0</v>
      </c>
      <c r="P171" s="11">
        <f t="shared" si="757"/>
        <v>0</v>
      </c>
      <c r="Q171" s="11">
        <f t="shared" si="757"/>
        <v>0</v>
      </c>
      <c r="R171" s="25">
        <f>SUM(R167:R170)</f>
        <v>0</v>
      </c>
      <c r="T171" s="10">
        <f>SUM(T167:T170)</f>
        <v>0</v>
      </c>
      <c r="U171" s="11">
        <f t="shared" ref="U171:X171" si="758">SUM(U167:U170)</f>
        <v>0</v>
      </c>
      <c r="V171" s="11">
        <f t="shared" si="758"/>
        <v>0</v>
      </c>
      <c r="W171" s="11">
        <f t="shared" si="758"/>
        <v>0</v>
      </c>
      <c r="X171" s="11">
        <f t="shared" si="758"/>
        <v>0</v>
      </c>
      <c r="Y171" s="25">
        <f>SUM(Y167:Y170)</f>
        <v>0</v>
      </c>
      <c r="AA171" s="10">
        <f>SUM(AA167:AA170)</f>
        <v>0</v>
      </c>
      <c r="AB171" s="11">
        <f t="shared" ref="AB171:AE171" si="759">SUM(AB167:AB170)</f>
        <v>0</v>
      </c>
      <c r="AC171" s="11">
        <f t="shared" si="759"/>
        <v>0</v>
      </c>
      <c r="AD171" s="11">
        <f t="shared" si="759"/>
        <v>0</v>
      </c>
      <c r="AE171" s="11">
        <f t="shared" si="759"/>
        <v>0</v>
      </c>
      <c r="AF171" s="25">
        <f>SUM(AF167:AF170)</f>
        <v>0</v>
      </c>
      <c r="AH171" s="10">
        <f t="shared" ref="AH171:AM171" si="760">SUM(AH167:AH170)</f>
        <v>0</v>
      </c>
      <c r="AI171" s="11">
        <f t="shared" si="760"/>
        <v>0</v>
      </c>
      <c r="AJ171" s="11">
        <f t="shared" si="760"/>
        <v>0</v>
      </c>
      <c r="AK171" s="11">
        <f t="shared" si="760"/>
        <v>0</v>
      </c>
      <c r="AL171" s="11">
        <f t="shared" si="760"/>
        <v>0</v>
      </c>
      <c r="AM171" s="25">
        <f t="shared" si="760"/>
        <v>0</v>
      </c>
      <c r="AO171" s="10">
        <f t="shared" ref="AO171:AT171" si="761">SUM(AO167:AO170)</f>
        <v>0</v>
      </c>
      <c r="AP171" s="11">
        <f t="shared" si="761"/>
        <v>0</v>
      </c>
      <c r="AQ171" s="11">
        <f t="shared" si="761"/>
        <v>0</v>
      </c>
      <c r="AR171" s="11">
        <f t="shared" si="761"/>
        <v>0</v>
      </c>
      <c r="AS171" s="11">
        <f t="shared" si="761"/>
        <v>0</v>
      </c>
      <c r="AT171" s="25">
        <f t="shared" si="761"/>
        <v>0</v>
      </c>
      <c r="AV171" s="10">
        <f t="shared" ref="AV171:BA171" si="762">SUM(AV167:AV170)</f>
        <v>0</v>
      </c>
      <c r="AW171" s="11">
        <f t="shared" si="762"/>
        <v>0</v>
      </c>
      <c r="AX171" s="11">
        <f t="shared" si="762"/>
        <v>0</v>
      </c>
      <c r="AY171" s="11">
        <f t="shared" si="762"/>
        <v>0</v>
      </c>
      <c r="AZ171" s="11">
        <f t="shared" si="762"/>
        <v>0</v>
      </c>
      <c r="BA171" s="25">
        <f t="shared" si="762"/>
        <v>0</v>
      </c>
      <c r="BC171" s="10">
        <f t="shared" ref="BC171:BH171" si="763">SUM(BC167:BC170)</f>
        <v>0</v>
      </c>
      <c r="BD171" s="11">
        <f t="shared" si="763"/>
        <v>0</v>
      </c>
      <c r="BE171" s="11">
        <f t="shared" si="763"/>
        <v>0</v>
      </c>
      <c r="BF171" s="11">
        <f t="shared" si="763"/>
        <v>0</v>
      </c>
      <c r="BG171" s="11">
        <f t="shared" si="763"/>
        <v>0</v>
      </c>
      <c r="BH171" s="25">
        <f t="shared" si="763"/>
        <v>0</v>
      </c>
      <c r="BJ171" s="10">
        <f t="shared" ref="BJ171:BO171" si="764">SUM(BJ167:BJ170)</f>
        <v>0</v>
      </c>
      <c r="BK171" s="11">
        <f t="shared" si="764"/>
        <v>0</v>
      </c>
      <c r="BL171" s="11">
        <f t="shared" si="764"/>
        <v>0</v>
      </c>
      <c r="BM171" s="11">
        <f t="shared" si="764"/>
        <v>0</v>
      </c>
      <c r="BN171" s="11">
        <f t="shared" si="764"/>
        <v>0</v>
      </c>
      <c r="BO171" s="25">
        <f t="shared" si="764"/>
        <v>0</v>
      </c>
      <c r="BQ171" s="10">
        <f t="shared" ref="BQ171:BV171" si="765">SUM(BQ167:BQ170)</f>
        <v>0</v>
      </c>
      <c r="BR171" s="11">
        <f t="shared" si="765"/>
        <v>0</v>
      </c>
      <c r="BS171" s="11">
        <f t="shared" si="765"/>
        <v>0</v>
      </c>
      <c r="BT171" s="11">
        <f t="shared" si="765"/>
        <v>0</v>
      </c>
      <c r="BU171" s="11">
        <f t="shared" si="765"/>
        <v>0</v>
      </c>
      <c r="BV171" s="25">
        <f t="shared" si="765"/>
        <v>0</v>
      </c>
      <c r="BX171" s="10">
        <f t="shared" ref="BX171:CC171" si="766">SUM(BX167:BX170)</f>
        <v>0</v>
      </c>
      <c r="BY171" s="11">
        <f t="shared" si="766"/>
        <v>0</v>
      </c>
      <c r="BZ171" s="11">
        <f t="shared" si="766"/>
        <v>0</v>
      </c>
      <c r="CA171" s="11">
        <f t="shared" si="766"/>
        <v>0</v>
      </c>
      <c r="CB171" s="11">
        <f t="shared" si="766"/>
        <v>0</v>
      </c>
      <c r="CC171" s="25">
        <f t="shared" si="766"/>
        <v>0</v>
      </c>
      <c r="CE171" s="62">
        <f t="shared" ref="CE171:CJ171" si="767">SUM(CE167:CE170)</f>
        <v>0</v>
      </c>
      <c r="CF171" s="63">
        <f t="shared" si="767"/>
        <v>0</v>
      </c>
      <c r="CG171" s="63">
        <f t="shared" si="767"/>
        <v>0</v>
      </c>
      <c r="CH171" s="63">
        <f t="shared" si="767"/>
        <v>0</v>
      </c>
      <c r="CI171" s="63">
        <f t="shared" si="767"/>
        <v>0</v>
      </c>
      <c r="CJ171" s="25">
        <f t="shared" si="767"/>
        <v>0</v>
      </c>
      <c r="CL171" s="10">
        <f>SUM(CL167:CL170)</f>
        <v>0</v>
      </c>
      <c r="CM171" s="11">
        <f t="shared" ref="CM171:CQ171" si="768">SUM(CM167:CM170)</f>
        <v>0</v>
      </c>
      <c r="CN171" s="11">
        <f t="shared" si="768"/>
        <v>0</v>
      </c>
      <c r="CO171" s="11">
        <f t="shared" si="768"/>
        <v>0</v>
      </c>
      <c r="CP171" s="11">
        <f t="shared" si="768"/>
        <v>0</v>
      </c>
      <c r="CQ171" s="25">
        <f t="shared" si="768"/>
        <v>0</v>
      </c>
      <c r="CS171" s="10">
        <f>SUM(CS167:CS170)</f>
        <v>0</v>
      </c>
      <c r="CT171" s="11">
        <f t="shared" ref="CT171:CW171" si="769">SUM(CT167:CT170)</f>
        <v>0</v>
      </c>
      <c r="CU171" s="11">
        <f t="shared" si="769"/>
        <v>0</v>
      </c>
      <c r="CV171" s="11">
        <f t="shared" si="769"/>
        <v>0</v>
      </c>
      <c r="CW171" s="11">
        <f t="shared" si="769"/>
        <v>0</v>
      </c>
      <c r="CX171" s="25">
        <f>SUM(CX167:CX170)</f>
        <v>0</v>
      </c>
      <c r="CZ171" s="10">
        <f>SUM(CZ167:CZ170)</f>
        <v>0</v>
      </c>
      <c r="DA171" s="11">
        <f t="shared" ref="DA171:DD171" si="770">SUM(DA167:DA170)</f>
        <v>0</v>
      </c>
      <c r="DB171" s="11">
        <f t="shared" si="770"/>
        <v>0</v>
      </c>
      <c r="DC171" s="11">
        <f t="shared" si="770"/>
        <v>0</v>
      </c>
      <c r="DD171" s="11">
        <f t="shared" si="770"/>
        <v>0</v>
      </c>
      <c r="DE171" s="25">
        <f>SUM(DE167:DE170)</f>
        <v>0</v>
      </c>
    </row>
    <row r="172" spans="2:109" ht="10.4" customHeight="1" thickBot="1"/>
    <row r="173" spans="2:109">
      <c r="C173" s="553">
        <v>2025</v>
      </c>
      <c r="E173" s="13" t="s">
        <v>59</v>
      </c>
      <c r="F173" s="21">
        <f>CE167</f>
        <v>0</v>
      </c>
      <c r="G173" s="22">
        <f t="shared" ref="G173:G176" si="771">CF167</f>
        <v>0</v>
      </c>
      <c r="H173" s="22">
        <f t="shared" ref="H173:H176" si="772">CG167</f>
        <v>0</v>
      </c>
      <c r="I173" s="22">
        <f t="shared" ref="I173:I176" si="773">CH167</f>
        <v>0</v>
      </c>
      <c r="J173" s="22">
        <f t="shared" ref="J173:J176" si="774">CI167</f>
        <v>0</v>
      </c>
      <c r="K173" s="15">
        <f>SUM(F173:J173)</f>
        <v>0</v>
      </c>
      <c r="M173" s="2"/>
      <c r="N173" s="3"/>
      <c r="O173" s="3"/>
      <c r="P173" s="3"/>
      <c r="Q173" s="3"/>
      <c r="R173" s="15">
        <f>SUM(M173:Q173)</f>
        <v>0</v>
      </c>
      <c r="T173" s="2"/>
      <c r="U173" s="3"/>
      <c r="V173" s="3"/>
      <c r="W173" s="3"/>
      <c r="X173" s="3"/>
      <c r="Y173" s="15">
        <f>SUM(T173:X173)</f>
        <v>0</v>
      </c>
      <c r="AA173" s="2"/>
      <c r="AB173" s="3"/>
      <c r="AC173" s="3"/>
      <c r="AD173" s="3"/>
      <c r="AE173" s="3"/>
      <c r="AF173" s="15">
        <f>SUM(AA173:AE173)</f>
        <v>0</v>
      </c>
      <c r="AH173" s="2"/>
      <c r="AI173" s="3"/>
      <c r="AJ173" s="3"/>
      <c r="AK173" s="3"/>
      <c r="AL173" s="3"/>
      <c r="AM173" s="15">
        <f>SUM(AH173:AL173)</f>
        <v>0</v>
      </c>
      <c r="AO173" s="2"/>
      <c r="AP173" s="3"/>
      <c r="AQ173" s="3"/>
      <c r="AR173" s="3"/>
      <c r="AS173" s="3"/>
      <c r="AT173" s="15">
        <f>SUM(AO173:AS173)</f>
        <v>0</v>
      </c>
      <c r="AV173" s="2"/>
      <c r="AW173" s="3"/>
      <c r="AX173" s="3"/>
      <c r="AY173" s="3"/>
      <c r="AZ173" s="3"/>
      <c r="BA173" s="15">
        <f>SUM(AV173:AZ173)</f>
        <v>0</v>
      </c>
      <c r="BC173" s="2"/>
      <c r="BD173" s="3"/>
      <c r="BE173" s="3"/>
      <c r="BF173" s="3"/>
      <c r="BG173" s="3"/>
      <c r="BH173" s="15">
        <f>SUM(BC173:BG173)</f>
        <v>0</v>
      </c>
      <c r="BJ173" s="2"/>
      <c r="BK173" s="3"/>
      <c r="BL173" s="3"/>
      <c r="BM173" s="3"/>
      <c r="BN173" s="3"/>
      <c r="BO173" s="15">
        <f>SUM(BJ173:BN173)</f>
        <v>0</v>
      </c>
      <c r="BQ173" s="2"/>
      <c r="BR173" s="3"/>
      <c r="BS173" s="3"/>
      <c r="BT173" s="3"/>
      <c r="BU173" s="3"/>
      <c r="BV173" s="15">
        <f>SUM(BQ173:BU173)</f>
        <v>0</v>
      </c>
      <c r="BX173" s="2"/>
      <c r="BY173" s="3"/>
      <c r="BZ173" s="3"/>
      <c r="CA173" s="3"/>
      <c r="CB173" s="3"/>
      <c r="CC173" s="15">
        <f>SUM(BX173:CB173)</f>
        <v>0</v>
      </c>
      <c r="CE173" s="26">
        <f t="shared" ref="CE173:CI176" si="775">F173+M173+T173+AA173+AH173+AO173+AV173+BC173+BJ173+BQ173+BX173</f>
        <v>0</v>
      </c>
      <c r="CF173" s="27">
        <f t="shared" si="775"/>
        <v>0</v>
      </c>
      <c r="CG173" s="27">
        <f t="shared" si="775"/>
        <v>0</v>
      </c>
      <c r="CH173" s="27">
        <f t="shared" si="775"/>
        <v>0</v>
      </c>
      <c r="CI173" s="27">
        <f t="shared" si="775"/>
        <v>0</v>
      </c>
      <c r="CJ173" s="4">
        <f>SUM(CE173:CI173)</f>
        <v>0</v>
      </c>
      <c r="CL173" s="2"/>
      <c r="CM173" s="3"/>
      <c r="CN173" s="3"/>
      <c r="CO173" s="3"/>
      <c r="CP173" s="3"/>
      <c r="CQ173" s="15">
        <f>SUM(CL173:CP173)</f>
        <v>0</v>
      </c>
      <c r="CS173" s="2"/>
      <c r="CT173" s="3"/>
      <c r="CU173" s="3"/>
      <c r="CV173" s="3"/>
      <c r="CW173" s="3"/>
      <c r="CX173" s="15">
        <f>SUM(CS173:CW173)</f>
        <v>0</v>
      </c>
      <c r="CZ173" s="2"/>
      <c r="DA173" s="3"/>
      <c r="DB173" s="3"/>
      <c r="DC173" s="3"/>
      <c r="DD173" s="3"/>
      <c r="DE173" s="15">
        <f>SUM(CZ173:DD173)</f>
        <v>0</v>
      </c>
    </row>
    <row r="174" spans="2:109">
      <c r="C174" s="567"/>
      <c r="E174" s="14" t="s">
        <v>60</v>
      </c>
      <c r="F174" s="23">
        <f t="shared" ref="F174:F176" si="776">CE168</f>
        <v>0</v>
      </c>
      <c r="G174" s="24">
        <f t="shared" si="771"/>
        <v>0</v>
      </c>
      <c r="H174" s="24">
        <f t="shared" si="772"/>
        <v>0</v>
      </c>
      <c r="I174" s="24">
        <f t="shared" si="773"/>
        <v>0</v>
      </c>
      <c r="J174" s="24">
        <f t="shared" si="774"/>
        <v>0</v>
      </c>
      <c r="K174" s="16">
        <f t="shared" ref="K174:K176" si="777">SUM(F174:J174)</f>
        <v>0</v>
      </c>
      <c r="M174" s="6"/>
      <c r="N174" s="7"/>
      <c r="O174" s="7"/>
      <c r="P174" s="7"/>
      <c r="Q174" s="7"/>
      <c r="R174" s="16">
        <f t="shared" ref="R174:R176" si="778">SUM(M174:Q174)</f>
        <v>0</v>
      </c>
      <c r="T174" s="6"/>
      <c r="U174" s="7"/>
      <c r="V174" s="7"/>
      <c r="W174" s="7"/>
      <c r="X174" s="7"/>
      <c r="Y174" s="16">
        <f t="shared" ref="Y174:Y176" si="779">SUM(T174:X174)</f>
        <v>0</v>
      </c>
      <c r="AA174" s="6"/>
      <c r="AB174" s="7"/>
      <c r="AC174" s="7"/>
      <c r="AD174" s="7"/>
      <c r="AE174" s="7"/>
      <c r="AF174" s="16">
        <f>SUM(AA174:AE174)</f>
        <v>0</v>
      </c>
      <c r="AH174" s="6"/>
      <c r="AI174" s="7"/>
      <c r="AJ174" s="7"/>
      <c r="AK174" s="7"/>
      <c r="AL174" s="7"/>
      <c r="AM174" s="16">
        <f>SUM(AH174:AL174)</f>
        <v>0</v>
      </c>
      <c r="AO174" s="6"/>
      <c r="AP174" s="7"/>
      <c r="AQ174" s="7"/>
      <c r="AR174" s="7"/>
      <c r="AS174" s="7"/>
      <c r="AT174" s="16">
        <f>SUM(AO174:AS174)</f>
        <v>0</v>
      </c>
      <c r="AV174" s="6"/>
      <c r="AW174" s="7"/>
      <c r="AX174" s="7"/>
      <c r="AY174" s="7"/>
      <c r="AZ174" s="7"/>
      <c r="BA174" s="16">
        <f>SUM(AV174:AZ174)</f>
        <v>0</v>
      </c>
      <c r="BC174" s="6"/>
      <c r="BD174" s="7"/>
      <c r="BE174" s="7"/>
      <c r="BF174" s="7"/>
      <c r="BG174" s="7"/>
      <c r="BH174" s="16">
        <f>SUM(BC174:BG174)</f>
        <v>0</v>
      </c>
      <c r="BJ174" s="6"/>
      <c r="BK174" s="7"/>
      <c r="BL174" s="7"/>
      <c r="BM174" s="7"/>
      <c r="BN174" s="7"/>
      <c r="BO174" s="16">
        <f>SUM(BJ174:BN174)</f>
        <v>0</v>
      </c>
      <c r="BQ174" s="6"/>
      <c r="BR174" s="7"/>
      <c r="BS174" s="7"/>
      <c r="BT174" s="7"/>
      <c r="BU174" s="7"/>
      <c r="BV174" s="16">
        <f>SUM(BQ174:BU174)</f>
        <v>0</v>
      </c>
      <c r="BX174" s="6"/>
      <c r="BY174" s="7"/>
      <c r="BZ174" s="7"/>
      <c r="CA174" s="7"/>
      <c r="CB174" s="7"/>
      <c r="CC174" s="16">
        <f>SUM(BX174:CB174)</f>
        <v>0</v>
      </c>
      <c r="CE174" s="28">
        <f t="shared" si="775"/>
        <v>0</v>
      </c>
      <c r="CF174" s="29">
        <f t="shared" si="775"/>
        <v>0</v>
      </c>
      <c r="CG174" s="29">
        <f t="shared" si="775"/>
        <v>0</v>
      </c>
      <c r="CH174" s="29">
        <f t="shared" si="775"/>
        <v>0</v>
      </c>
      <c r="CI174" s="29">
        <f t="shared" si="775"/>
        <v>0</v>
      </c>
      <c r="CJ174" s="8">
        <f>SUM(CE174:CI174)</f>
        <v>0</v>
      </c>
      <c r="CL174" s="6"/>
      <c r="CM174" s="7"/>
      <c r="CN174" s="7"/>
      <c r="CO174" s="7"/>
      <c r="CP174" s="7"/>
      <c r="CQ174" s="16">
        <f>SUM(CL174:CP174)</f>
        <v>0</v>
      </c>
      <c r="CS174" s="6"/>
      <c r="CT174" s="7"/>
      <c r="CU174" s="7"/>
      <c r="CV174" s="7"/>
      <c r="CW174" s="7"/>
      <c r="CX174" s="16">
        <f t="shared" ref="CX174:CX176" si="780">SUM(CS174:CW174)</f>
        <v>0</v>
      </c>
      <c r="CZ174" s="6"/>
      <c r="DA174" s="7"/>
      <c r="DB174" s="7"/>
      <c r="DC174" s="7"/>
      <c r="DD174" s="7"/>
      <c r="DE174" s="16">
        <f t="shared" ref="DE174:DE176" si="781">SUM(CZ174:DD174)</f>
        <v>0</v>
      </c>
    </row>
    <row r="175" spans="2:109">
      <c r="C175" s="567"/>
      <c r="E175" s="14" t="s">
        <v>61</v>
      </c>
      <c r="F175" s="23">
        <f t="shared" si="776"/>
        <v>0</v>
      </c>
      <c r="G175" s="24">
        <f t="shared" si="771"/>
        <v>0</v>
      </c>
      <c r="H175" s="24">
        <f t="shared" si="772"/>
        <v>0</v>
      </c>
      <c r="I175" s="24">
        <f t="shared" si="773"/>
        <v>0</v>
      </c>
      <c r="J175" s="24">
        <f t="shared" si="774"/>
        <v>0</v>
      </c>
      <c r="K175" s="16">
        <f t="shared" si="777"/>
        <v>0</v>
      </c>
      <c r="M175" s="6"/>
      <c r="N175" s="7"/>
      <c r="O175" s="7"/>
      <c r="P175" s="7"/>
      <c r="Q175" s="7"/>
      <c r="R175" s="16">
        <f t="shared" si="778"/>
        <v>0</v>
      </c>
      <c r="T175" s="6"/>
      <c r="U175" s="7"/>
      <c r="V175" s="7"/>
      <c r="W175" s="7"/>
      <c r="X175" s="7"/>
      <c r="Y175" s="16">
        <f t="shared" si="779"/>
        <v>0</v>
      </c>
      <c r="AA175" s="6"/>
      <c r="AB175" s="7"/>
      <c r="AC175" s="7"/>
      <c r="AD175" s="7"/>
      <c r="AE175" s="7"/>
      <c r="AF175" s="16">
        <f>SUM(AA175:AE175)</f>
        <v>0</v>
      </c>
      <c r="AH175" s="6"/>
      <c r="AI175" s="7"/>
      <c r="AJ175" s="7"/>
      <c r="AK175" s="7"/>
      <c r="AL175" s="7"/>
      <c r="AM175" s="16">
        <f>SUM(AH175:AL175)</f>
        <v>0</v>
      </c>
      <c r="AO175" s="6"/>
      <c r="AP175" s="7"/>
      <c r="AQ175" s="7"/>
      <c r="AR175" s="7"/>
      <c r="AS175" s="7"/>
      <c r="AT175" s="16">
        <f>SUM(AO175:AS175)</f>
        <v>0</v>
      </c>
      <c r="AV175" s="6"/>
      <c r="AW175" s="7"/>
      <c r="AX175" s="7"/>
      <c r="AY175" s="7"/>
      <c r="AZ175" s="7"/>
      <c r="BA175" s="16">
        <f>SUM(AV175:AZ175)</f>
        <v>0</v>
      </c>
      <c r="BC175" s="6"/>
      <c r="BD175" s="7"/>
      <c r="BE175" s="7"/>
      <c r="BF175" s="7"/>
      <c r="BG175" s="7"/>
      <c r="BH175" s="16">
        <f>SUM(BC175:BG175)</f>
        <v>0</v>
      </c>
      <c r="BJ175" s="6"/>
      <c r="BK175" s="7"/>
      <c r="BL175" s="7"/>
      <c r="BM175" s="7"/>
      <c r="BN175" s="7"/>
      <c r="BO175" s="16">
        <f>SUM(BJ175:BN175)</f>
        <v>0</v>
      </c>
      <c r="BQ175" s="6"/>
      <c r="BR175" s="7"/>
      <c r="BS175" s="7"/>
      <c r="BT175" s="7"/>
      <c r="BU175" s="7"/>
      <c r="BV175" s="16">
        <f>SUM(BQ175:BU175)</f>
        <v>0</v>
      </c>
      <c r="BX175" s="6"/>
      <c r="BY175" s="7"/>
      <c r="BZ175" s="7"/>
      <c r="CA175" s="7"/>
      <c r="CB175" s="7"/>
      <c r="CC175" s="16">
        <f>SUM(BX175:CB175)</f>
        <v>0</v>
      </c>
      <c r="CE175" s="28">
        <f t="shared" si="775"/>
        <v>0</v>
      </c>
      <c r="CF175" s="29">
        <f t="shared" si="775"/>
        <v>0</v>
      </c>
      <c r="CG175" s="29">
        <f t="shared" si="775"/>
        <v>0</v>
      </c>
      <c r="CH175" s="29">
        <f t="shared" si="775"/>
        <v>0</v>
      </c>
      <c r="CI175" s="29">
        <f t="shared" si="775"/>
        <v>0</v>
      </c>
      <c r="CJ175" s="8">
        <f>SUM(CE175:CI175)</f>
        <v>0</v>
      </c>
      <c r="CL175" s="6"/>
      <c r="CM175" s="7"/>
      <c r="CN175" s="7"/>
      <c r="CO175" s="7"/>
      <c r="CP175" s="7"/>
      <c r="CQ175" s="16">
        <f>SUM(CL175:CP175)</f>
        <v>0</v>
      </c>
      <c r="CS175" s="6"/>
      <c r="CT175" s="7"/>
      <c r="CU175" s="7"/>
      <c r="CV175" s="7"/>
      <c r="CW175" s="7"/>
      <c r="CX175" s="16">
        <f t="shared" si="780"/>
        <v>0</v>
      </c>
      <c r="CZ175" s="6"/>
      <c r="DA175" s="7"/>
      <c r="DB175" s="7"/>
      <c r="DC175" s="7"/>
      <c r="DD175" s="7"/>
      <c r="DE175" s="16">
        <f t="shared" si="781"/>
        <v>0</v>
      </c>
    </row>
    <row r="176" spans="2:109" ht="14" thickBot="1">
      <c r="C176" s="567"/>
      <c r="E176" s="14" t="s">
        <v>62</v>
      </c>
      <c r="F176" s="23">
        <f t="shared" si="776"/>
        <v>0</v>
      </c>
      <c r="G176" s="24">
        <f t="shared" si="771"/>
        <v>0</v>
      </c>
      <c r="H176" s="24">
        <f t="shared" si="772"/>
        <v>0</v>
      </c>
      <c r="I176" s="24">
        <f t="shared" si="773"/>
        <v>0</v>
      </c>
      <c r="J176" s="24">
        <f t="shared" si="774"/>
        <v>0</v>
      </c>
      <c r="K176" s="16">
        <f t="shared" si="777"/>
        <v>0</v>
      </c>
      <c r="M176" s="6"/>
      <c r="N176" s="7"/>
      <c r="O176" s="7"/>
      <c r="P176" s="7"/>
      <c r="Q176" s="7"/>
      <c r="R176" s="16">
        <f t="shared" si="778"/>
        <v>0</v>
      </c>
      <c r="T176" s="6"/>
      <c r="U176" s="7"/>
      <c r="V176" s="7"/>
      <c r="W176" s="7"/>
      <c r="X176" s="7"/>
      <c r="Y176" s="16">
        <f t="shared" si="779"/>
        <v>0</v>
      </c>
      <c r="AA176" s="6"/>
      <c r="AB176" s="7"/>
      <c r="AC176" s="7"/>
      <c r="AD176" s="7"/>
      <c r="AE176" s="7"/>
      <c r="AF176" s="16">
        <f>SUM(AA176:AE176)</f>
        <v>0</v>
      </c>
      <c r="AH176" s="6"/>
      <c r="AI176" s="7"/>
      <c r="AJ176" s="7"/>
      <c r="AK176" s="7"/>
      <c r="AL176" s="7"/>
      <c r="AM176" s="16">
        <f>SUM(AH176:AL176)</f>
        <v>0</v>
      </c>
      <c r="AO176" s="6"/>
      <c r="AP176" s="7"/>
      <c r="AQ176" s="7"/>
      <c r="AR176" s="7"/>
      <c r="AS176" s="7"/>
      <c r="AT176" s="16">
        <f>SUM(AO176:AS176)</f>
        <v>0</v>
      </c>
      <c r="AV176" s="6"/>
      <c r="AW176" s="7"/>
      <c r="AX176" s="7"/>
      <c r="AY176" s="7"/>
      <c r="AZ176" s="7"/>
      <c r="BA176" s="16">
        <f>SUM(AV176:AZ176)</f>
        <v>0</v>
      </c>
      <c r="BC176" s="6"/>
      <c r="BD176" s="7"/>
      <c r="BE176" s="7"/>
      <c r="BF176" s="7"/>
      <c r="BG176" s="7"/>
      <c r="BH176" s="16">
        <f>SUM(BC176:BG176)</f>
        <v>0</v>
      </c>
      <c r="BJ176" s="6"/>
      <c r="BK176" s="7"/>
      <c r="BL176" s="7"/>
      <c r="BM176" s="7"/>
      <c r="BN176" s="7"/>
      <c r="BO176" s="16">
        <f>SUM(BJ176:BN176)</f>
        <v>0</v>
      </c>
      <c r="BQ176" s="6"/>
      <c r="BR176" s="7"/>
      <c r="BS176" s="7"/>
      <c r="BT176" s="7"/>
      <c r="BU176" s="7"/>
      <c r="BV176" s="16">
        <f>SUM(BQ176:BU176)</f>
        <v>0</v>
      </c>
      <c r="BX176" s="6"/>
      <c r="BY176" s="7"/>
      <c r="BZ176" s="7"/>
      <c r="CA176" s="7"/>
      <c r="CB176" s="7"/>
      <c r="CC176" s="16">
        <f>SUM(BX176:CB176)</f>
        <v>0</v>
      </c>
      <c r="CE176" s="493">
        <f t="shared" si="775"/>
        <v>0</v>
      </c>
      <c r="CF176" s="494">
        <f t="shared" si="775"/>
        <v>0</v>
      </c>
      <c r="CG176" s="494">
        <f t="shared" si="775"/>
        <v>0</v>
      </c>
      <c r="CH176" s="494">
        <f t="shared" si="775"/>
        <v>0</v>
      </c>
      <c r="CI176" s="494">
        <f t="shared" si="775"/>
        <v>0</v>
      </c>
      <c r="CJ176" s="495">
        <f>SUM(CE176:CI176)</f>
        <v>0</v>
      </c>
      <c r="CL176" s="6"/>
      <c r="CM176" s="7"/>
      <c r="CN176" s="7"/>
      <c r="CO176" s="7"/>
      <c r="CP176" s="7"/>
      <c r="CQ176" s="16">
        <f>SUM(CL176:CP176)</f>
        <v>0</v>
      </c>
      <c r="CS176" s="6"/>
      <c r="CT176" s="7"/>
      <c r="CU176" s="7"/>
      <c r="CV176" s="7"/>
      <c r="CW176" s="7"/>
      <c r="CX176" s="16">
        <f t="shared" si="780"/>
        <v>0</v>
      </c>
      <c r="CZ176" s="6"/>
      <c r="DA176" s="7"/>
      <c r="DB176" s="7"/>
      <c r="DC176" s="7"/>
      <c r="DD176" s="7"/>
      <c r="DE176" s="16">
        <f t="shared" si="781"/>
        <v>0</v>
      </c>
    </row>
    <row r="177" spans="3:109" ht="14" thickBot="1">
      <c r="C177" s="554"/>
      <c r="E177" s="17"/>
      <c r="F177" s="10">
        <f>SUM(F173:F176)</f>
        <v>0</v>
      </c>
      <c r="G177" s="11">
        <f t="shared" ref="G177:J177" si="782">SUM(G173:G176)</f>
        <v>0</v>
      </c>
      <c r="H177" s="11">
        <f t="shared" si="782"/>
        <v>0</v>
      </c>
      <c r="I177" s="11">
        <f t="shared" si="782"/>
        <v>0</v>
      </c>
      <c r="J177" s="11">
        <f t="shared" si="782"/>
        <v>0</v>
      </c>
      <c r="K177" s="25">
        <f>SUM(K173:K176)</f>
        <v>0</v>
      </c>
      <c r="M177" s="10">
        <f>SUM(M173:M176)</f>
        <v>0</v>
      </c>
      <c r="N177" s="11">
        <f t="shared" ref="N177:Q177" si="783">SUM(N173:N176)</f>
        <v>0</v>
      </c>
      <c r="O177" s="11">
        <f t="shared" si="783"/>
        <v>0</v>
      </c>
      <c r="P177" s="11">
        <f t="shared" si="783"/>
        <v>0</v>
      </c>
      <c r="Q177" s="11">
        <f t="shared" si="783"/>
        <v>0</v>
      </c>
      <c r="R177" s="25">
        <f>SUM(R173:R176)</f>
        <v>0</v>
      </c>
      <c r="T177" s="10">
        <f>SUM(T173:T176)</f>
        <v>0</v>
      </c>
      <c r="U177" s="11">
        <f t="shared" ref="U177:X177" si="784">SUM(U173:U176)</f>
        <v>0</v>
      </c>
      <c r="V177" s="11">
        <f t="shared" si="784"/>
        <v>0</v>
      </c>
      <c r="W177" s="11">
        <f t="shared" si="784"/>
        <v>0</v>
      </c>
      <c r="X177" s="11">
        <f t="shared" si="784"/>
        <v>0</v>
      </c>
      <c r="Y177" s="25">
        <f>SUM(Y173:Y176)</f>
        <v>0</v>
      </c>
      <c r="AA177" s="10">
        <f>SUM(AA173:AA176)</f>
        <v>0</v>
      </c>
      <c r="AB177" s="11">
        <f t="shared" ref="AB177:AE177" si="785">SUM(AB173:AB176)</f>
        <v>0</v>
      </c>
      <c r="AC177" s="11">
        <f t="shared" si="785"/>
        <v>0</v>
      </c>
      <c r="AD177" s="11">
        <f t="shared" si="785"/>
        <v>0</v>
      </c>
      <c r="AE177" s="11">
        <f t="shared" si="785"/>
        <v>0</v>
      </c>
      <c r="AF177" s="25">
        <f>SUM(AF173:AF176)</f>
        <v>0</v>
      </c>
      <c r="AH177" s="10">
        <f t="shared" ref="AH177:AM177" si="786">SUM(AH173:AH176)</f>
        <v>0</v>
      </c>
      <c r="AI177" s="11">
        <f t="shared" si="786"/>
        <v>0</v>
      </c>
      <c r="AJ177" s="11">
        <f t="shared" si="786"/>
        <v>0</v>
      </c>
      <c r="AK177" s="11">
        <f t="shared" si="786"/>
        <v>0</v>
      </c>
      <c r="AL177" s="11">
        <f t="shared" si="786"/>
        <v>0</v>
      </c>
      <c r="AM177" s="25">
        <f t="shared" si="786"/>
        <v>0</v>
      </c>
      <c r="AO177" s="10">
        <f t="shared" ref="AO177:AT177" si="787">SUM(AO173:AO176)</f>
        <v>0</v>
      </c>
      <c r="AP177" s="11">
        <f t="shared" si="787"/>
        <v>0</v>
      </c>
      <c r="AQ177" s="11">
        <f t="shared" si="787"/>
        <v>0</v>
      </c>
      <c r="AR177" s="11">
        <f t="shared" si="787"/>
        <v>0</v>
      </c>
      <c r="AS177" s="11">
        <f t="shared" si="787"/>
        <v>0</v>
      </c>
      <c r="AT177" s="25">
        <f t="shared" si="787"/>
        <v>0</v>
      </c>
      <c r="AV177" s="10">
        <f t="shared" ref="AV177:BA177" si="788">SUM(AV173:AV176)</f>
        <v>0</v>
      </c>
      <c r="AW177" s="11">
        <f t="shared" si="788"/>
        <v>0</v>
      </c>
      <c r="AX177" s="11">
        <f t="shared" si="788"/>
        <v>0</v>
      </c>
      <c r="AY177" s="11">
        <f t="shared" si="788"/>
        <v>0</v>
      </c>
      <c r="AZ177" s="11">
        <f t="shared" si="788"/>
        <v>0</v>
      </c>
      <c r="BA177" s="25">
        <f t="shared" si="788"/>
        <v>0</v>
      </c>
      <c r="BC177" s="10">
        <f t="shared" ref="BC177:BH177" si="789">SUM(BC173:BC176)</f>
        <v>0</v>
      </c>
      <c r="BD177" s="11">
        <f t="shared" si="789"/>
        <v>0</v>
      </c>
      <c r="BE177" s="11">
        <f t="shared" si="789"/>
        <v>0</v>
      </c>
      <c r="BF177" s="11">
        <f t="shared" si="789"/>
        <v>0</v>
      </c>
      <c r="BG177" s="11">
        <f t="shared" si="789"/>
        <v>0</v>
      </c>
      <c r="BH177" s="25">
        <f t="shared" si="789"/>
        <v>0</v>
      </c>
      <c r="BJ177" s="10">
        <f t="shared" ref="BJ177:BO177" si="790">SUM(BJ173:BJ176)</f>
        <v>0</v>
      </c>
      <c r="BK177" s="11">
        <f t="shared" si="790"/>
        <v>0</v>
      </c>
      <c r="BL177" s="11">
        <f t="shared" si="790"/>
        <v>0</v>
      </c>
      <c r="BM177" s="11">
        <f t="shared" si="790"/>
        <v>0</v>
      </c>
      <c r="BN177" s="11">
        <f t="shared" si="790"/>
        <v>0</v>
      </c>
      <c r="BO177" s="25">
        <f t="shared" si="790"/>
        <v>0</v>
      </c>
      <c r="BQ177" s="10">
        <f t="shared" ref="BQ177:BV177" si="791">SUM(BQ173:BQ176)</f>
        <v>0</v>
      </c>
      <c r="BR177" s="11">
        <f t="shared" si="791"/>
        <v>0</v>
      </c>
      <c r="BS177" s="11">
        <f t="shared" si="791"/>
        <v>0</v>
      </c>
      <c r="BT177" s="11">
        <f t="shared" si="791"/>
        <v>0</v>
      </c>
      <c r="BU177" s="11">
        <f t="shared" si="791"/>
        <v>0</v>
      </c>
      <c r="BV177" s="25">
        <f t="shared" si="791"/>
        <v>0</v>
      </c>
      <c r="BX177" s="10">
        <f t="shared" ref="BX177:CC177" si="792">SUM(BX173:BX176)</f>
        <v>0</v>
      </c>
      <c r="BY177" s="11">
        <f t="shared" si="792"/>
        <v>0</v>
      </c>
      <c r="BZ177" s="11">
        <f t="shared" si="792"/>
        <v>0</v>
      </c>
      <c r="CA177" s="11">
        <f t="shared" si="792"/>
        <v>0</v>
      </c>
      <c r="CB177" s="11">
        <f t="shared" si="792"/>
        <v>0</v>
      </c>
      <c r="CC177" s="25">
        <f t="shared" si="792"/>
        <v>0</v>
      </c>
      <c r="CE177" s="62">
        <f t="shared" ref="CE177:CJ177" si="793">SUM(CE173:CE176)</f>
        <v>0</v>
      </c>
      <c r="CF177" s="63">
        <f t="shared" si="793"/>
        <v>0</v>
      </c>
      <c r="CG177" s="63">
        <f t="shared" si="793"/>
        <v>0</v>
      </c>
      <c r="CH177" s="63">
        <f t="shared" si="793"/>
        <v>0</v>
      </c>
      <c r="CI177" s="63">
        <f t="shared" si="793"/>
        <v>0</v>
      </c>
      <c r="CJ177" s="25">
        <f t="shared" si="793"/>
        <v>0</v>
      </c>
      <c r="CL177" s="10">
        <f>SUM(CL173:CL176)</f>
        <v>0</v>
      </c>
      <c r="CM177" s="11">
        <f t="shared" ref="CM177:CQ177" si="794">SUM(CM173:CM176)</f>
        <v>0</v>
      </c>
      <c r="CN177" s="11">
        <f t="shared" si="794"/>
        <v>0</v>
      </c>
      <c r="CO177" s="11">
        <f t="shared" si="794"/>
        <v>0</v>
      </c>
      <c r="CP177" s="11">
        <f t="shared" si="794"/>
        <v>0</v>
      </c>
      <c r="CQ177" s="25">
        <f t="shared" si="794"/>
        <v>0</v>
      </c>
      <c r="CS177" s="10">
        <f>SUM(CS173:CS176)</f>
        <v>0</v>
      </c>
      <c r="CT177" s="11">
        <f t="shared" ref="CT177:CW177" si="795">SUM(CT173:CT176)</f>
        <v>0</v>
      </c>
      <c r="CU177" s="11">
        <f t="shared" si="795"/>
        <v>0</v>
      </c>
      <c r="CV177" s="11">
        <f t="shared" si="795"/>
        <v>0</v>
      </c>
      <c r="CW177" s="11">
        <f t="shared" si="795"/>
        <v>0</v>
      </c>
      <c r="CX177" s="25">
        <f>SUM(CX173:CX176)</f>
        <v>0</v>
      </c>
      <c r="CZ177" s="10">
        <f>SUM(CZ173:CZ176)</f>
        <v>0</v>
      </c>
      <c r="DA177" s="11">
        <f t="shared" ref="DA177:DD177" si="796">SUM(DA173:DA176)</f>
        <v>0</v>
      </c>
      <c r="DB177" s="11">
        <f t="shared" si="796"/>
        <v>0</v>
      </c>
      <c r="DC177" s="11">
        <f t="shared" si="796"/>
        <v>0</v>
      </c>
      <c r="DD177" s="11">
        <f t="shared" si="796"/>
        <v>0</v>
      </c>
      <c r="DE177" s="25">
        <f>SUM(DE173:DE176)</f>
        <v>0</v>
      </c>
    </row>
    <row r="178" spans="3:109" ht="10.4" customHeight="1" thickBot="1"/>
    <row r="179" spans="3:109">
      <c r="C179" s="553">
        <v>2026</v>
      </c>
      <c r="E179" s="13" t="s">
        <v>59</v>
      </c>
      <c r="F179" s="21">
        <f>CE173</f>
        <v>0</v>
      </c>
      <c r="G179" s="22">
        <f t="shared" ref="G179:G182" si="797">CF173</f>
        <v>0</v>
      </c>
      <c r="H179" s="22">
        <f t="shared" ref="H179:H182" si="798">CG173</f>
        <v>0</v>
      </c>
      <c r="I179" s="22">
        <f t="shared" ref="I179:I182" si="799">CH173</f>
        <v>0</v>
      </c>
      <c r="J179" s="22">
        <f t="shared" ref="J179:J182" si="800">CI173</f>
        <v>0</v>
      </c>
      <c r="K179" s="4">
        <f>SUM(F179:J179)</f>
        <v>0</v>
      </c>
      <c r="M179" s="2"/>
      <c r="N179" s="3"/>
      <c r="O179" s="3"/>
      <c r="P179" s="3"/>
      <c r="Q179" s="3"/>
      <c r="R179" s="4">
        <f>SUM(M179:Q179)</f>
        <v>0</v>
      </c>
      <c r="T179" s="2"/>
      <c r="U179" s="3"/>
      <c r="V179" s="3"/>
      <c r="W179" s="3"/>
      <c r="X179" s="3"/>
      <c r="Y179" s="4">
        <f>SUM(T179:X179)</f>
        <v>0</v>
      </c>
      <c r="AA179" s="2"/>
      <c r="AB179" s="3"/>
      <c r="AC179" s="3"/>
      <c r="AD179" s="3"/>
      <c r="AE179" s="3"/>
      <c r="AF179" s="4">
        <f>SUM(AA179:AE179)</f>
        <v>0</v>
      </c>
      <c r="AH179" s="2"/>
      <c r="AI179" s="3"/>
      <c r="AJ179" s="3"/>
      <c r="AK179" s="3"/>
      <c r="AL179" s="3"/>
      <c r="AM179" s="4">
        <f>SUM(AH179:AL179)</f>
        <v>0</v>
      </c>
      <c r="AO179" s="2"/>
      <c r="AP179" s="3"/>
      <c r="AQ179" s="3"/>
      <c r="AR179" s="3"/>
      <c r="AS179" s="3"/>
      <c r="AT179" s="4">
        <f>SUM(AO179:AS179)</f>
        <v>0</v>
      </c>
      <c r="AV179" s="2"/>
      <c r="AW179" s="3"/>
      <c r="AX179" s="3"/>
      <c r="AY179" s="3"/>
      <c r="AZ179" s="3"/>
      <c r="BA179" s="4">
        <f>SUM(AV179:AZ179)</f>
        <v>0</v>
      </c>
      <c r="BC179" s="2"/>
      <c r="BD179" s="3"/>
      <c r="BE179" s="3"/>
      <c r="BF179" s="3"/>
      <c r="BG179" s="3"/>
      <c r="BH179" s="4">
        <f>SUM(BC179:BG179)</f>
        <v>0</v>
      </c>
      <c r="BJ179" s="2"/>
      <c r="BK179" s="3"/>
      <c r="BL179" s="3"/>
      <c r="BM179" s="3"/>
      <c r="BN179" s="3"/>
      <c r="BO179" s="4">
        <f>SUM(BJ179:BN179)</f>
        <v>0</v>
      </c>
      <c r="BQ179" s="2"/>
      <c r="BR179" s="3"/>
      <c r="BS179" s="3"/>
      <c r="BT179" s="3"/>
      <c r="BU179" s="3"/>
      <c r="BV179" s="4">
        <f>SUM(BQ179:BU179)</f>
        <v>0</v>
      </c>
      <c r="BX179" s="2"/>
      <c r="BY179" s="3"/>
      <c r="BZ179" s="3"/>
      <c r="CA179" s="3"/>
      <c r="CB179" s="3"/>
      <c r="CC179" s="4">
        <f>SUM(BX179:CB179)</f>
        <v>0</v>
      </c>
      <c r="CE179" s="26">
        <f t="shared" ref="CE179:CI182" si="801">F179+M179+T179+AA179+AH179+AO179+AV179+BC179+BJ179+BQ179+BX179</f>
        <v>0</v>
      </c>
      <c r="CF179" s="27">
        <f t="shared" si="801"/>
        <v>0</v>
      </c>
      <c r="CG179" s="27">
        <f t="shared" si="801"/>
        <v>0</v>
      </c>
      <c r="CH179" s="27">
        <f t="shared" si="801"/>
        <v>0</v>
      </c>
      <c r="CI179" s="27">
        <f t="shared" si="801"/>
        <v>0</v>
      </c>
      <c r="CJ179" s="4">
        <f>SUM(CE179:CI179)</f>
        <v>0</v>
      </c>
      <c r="CL179" s="2"/>
      <c r="CM179" s="3"/>
      <c r="CN179" s="3"/>
      <c r="CO179" s="3"/>
      <c r="CP179" s="3"/>
      <c r="CQ179" s="4">
        <f>SUM(CL179:CP179)</f>
        <v>0</v>
      </c>
      <c r="CS179" s="2"/>
      <c r="CT179" s="3"/>
      <c r="CU179" s="3"/>
      <c r="CV179" s="3"/>
      <c r="CW179" s="3"/>
      <c r="CX179" s="4">
        <f>SUM(CS179:CW179)</f>
        <v>0</v>
      </c>
      <c r="CZ179" s="2"/>
      <c r="DA179" s="3"/>
      <c r="DB179" s="3"/>
      <c r="DC179" s="3"/>
      <c r="DD179" s="3"/>
      <c r="DE179" s="4">
        <f>SUM(CZ179:DD179)</f>
        <v>0</v>
      </c>
    </row>
    <row r="180" spans="3:109">
      <c r="C180" s="567"/>
      <c r="E180" s="14" t="s">
        <v>60</v>
      </c>
      <c r="F180" s="23">
        <f t="shared" ref="F180:F182" si="802">CE174</f>
        <v>0</v>
      </c>
      <c r="G180" s="24">
        <f t="shared" si="797"/>
        <v>0</v>
      </c>
      <c r="H180" s="24">
        <f t="shared" si="798"/>
        <v>0</v>
      </c>
      <c r="I180" s="24">
        <f t="shared" si="799"/>
        <v>0</v>
      </c>
      <c r="J180" s="24">
        <f t="shared" si="800"/>
        <v>0</v>
      </c>
      <c r="K180" s="8">
        <f t="shared" ref="K180:K182" si="803">SUM(F180:J180)</f>
        <v>0</v>
      </c>
      <c r="M180" s="6"/>
      <c r="N180" s="7"/>
      <c r="O180" s="7"/>
      <c r="P180" s="7"/>
      <c r="Q180" s="7"/>
      <c r="R180" s="8">
        <f t="shared" ref="R180:R182" si="804">SUM(M180:Q180)</f>
        <v>0</v>
      </c>
      <c r="T180" s="6"/>
      <c r="U180" s="7"/>
      <c r="V180" s="7"/>
      <c r="W180" s="7"/>
      <c r="X180" s="7"/>
      <c r="Y180" s="8">
        <f t="shared" ref="Y180:Y182" si="805">SUM(T180:X180)</f>
        <v>0</v>
      </c>
      <c r="AA180" s="6"/>
      <c r="AB180" s="7"/>
      <c r="AC180" s="7"/>
      <c r="AD180" s="7"/>
      <c r="AE180" s="7"/>
      <c r="AF180" s="8">
        <f>SUM(AA180:AE180)</f>
        <v>0</v>
      </c>
      <c r="AH180" s="6"/>
      <c r="AI180" s="7"/>
      <c r="AJ180" s="7"/>
      <c r="AK180" s="7"/>
      <c r="AL180" s="7"/>
      <c r="AM180" s="8">
        <f>SUM(AH180:AL180)</f>
        <v>0</v>
      </c>
      <c r="AO180" s="6"/>
      <c r="AP180" s="7"/>
      <c r="AQ180" s="7"/>
      <c r="AR180" s="7"/>
      <c r="AS180" s="7"/>
      <c r="AT180" s="8">
        <f>SUM(AO180:AS180)</f>
        <v>0</v>
      </c>
      <c r="AV180" s="6"/>
      <c r="AW180" s="7"/>
      <c r="AX180" s="7"/>
      <c r="AY180" s="7"/>
      <c r="AZ180" s="7"/>
      <c r="BA180" s="8">
        <f>SUM(AV180:AZ180)</f>
        <v>0</v>
      </c>
      <c r="BC180" s="6"/>
      <c r="BD180" s="7"/>
      <c r="BE180" s="7"/>
      <c r="BF180" s="7"/>
      <c r="BG180" s="7"/>
      <c r="BH180" s="8">
        <f>SUM(BC180:BG180)</f>
        <v>0</v>
      </c>
      <c r="BJ180" s="6"/>
      <c r="BK180" s="7"/>
      <c r="BL180" s="7"/>
      <c r="BM180" s="7"/>
      <c r="BN180" s="7"/>
      <c r="BO180" s="8">
        <f>SUM(BJ180:BN180)</f>
        <v>0</v>
      </c>
      <c r="BQ180" s="6"/>
      <c r="BR180" s="7"/>
      <c r="BS180" s="7"/>
      <c r="BT180" s="7"/>
      <c r="BU180" s="7"/>
      <c r="BV180" s="8">
        <f>SUM(BQ180:BU180)</f>
        <v>0</v>
      </c>
      <c r="BX180" s="6"/>
      <c r="BY180" s="7"/>
      <c r="BZ180" s="7"/>
      <c r="CA180" s="7"/>
      <c r="CB180" s="7"/>
      <c r="CC180" s="8">
        <f>SUM(BX180:CB180)</f>
        <v>0</v>
      </c>
      <c r="CE180" s="28">
        <f t="shared" si="801"/>
        <v>0</v>
      </c>
      <c r="CF180" s="29">
        <f t="shared" si="801"/>
        <v>0</v>
      </c>
      <c r="CG180" s="29">
        <f t="shared" si="801"/>
        <v>0</v>
      </c>
      <c r="CH180" s="29">
        <f t="shared" si="801"/>
        <v>0</v>
      </c>
      <c r="CI180" s="29">
        <f t="shared" si="801"/>
        <v>0</v>
      </c>
      <c r="CJ180" s="8">
        <f>SUM(CE180:CI180)</f>
        <v>0</v>
      </c>
      <c r="CL180" s="6"/>
      <c r="CM180" s="7"/>
      <c r="CN180" s="7"/>
      <c r="CO180" s="7"/>
      <c r="CP180" s="7"/>
      <c r="CQ180" s="8">
        <f>SUM(CL180:CP180)</f>
        <v>0</v>
      </c>
      <c r="CS180" s="6"/>
      <c r="CT180" s="7"/>
      <c r="CU180" s="7"/>
      <c r="CV180" s="7"/>
      <c r="CW180" s="7"/>
      <c r="CX180" s="8">
        <f t="shared" ref="CX180:CX182" si="806">SUM(CS180:CW180)</f>
        <v>0</v>
      </c>
      <c r="CZ180" s="6"/>
      <c r="DA180" s="7"/>
      <c r="DB180" s="7"/>
      <c r="DC180" s="7"/>
      <c r="DD180" s="7"/>
      <c r="DE180" s="8">
        <f t="shared" ref="DE180:DE182" si="807">SUM(CZ180:DD180)</f>
        <v>0</v>
      </c>
    </row>
    <row r="181" spans="3:109">
      <c r="C181" s="567"/>
      <c r="E181" s="14" t="s">
        <v>61</v>
      </c>
      <c r="F181" s="23">
        <f t="shared" si="802"/>
        <v>0</v>
      </c>
      <c r="G181" s="24">
        <f t="shared" si="797"/>
        <v>0</v>
      </c>
      <c r="H181" s="24">
        <f t="shared" si="798"/>
        <v>0</v>
      </c>
      <c r="I181" s="24">
        <f t="shared" si="799"/>
        <v>0</v>
      </c>
      <c r="J181" s="24">
        <f t="shared" si="800"/>
        <v>0</v>
      </c>
      <c r="K181" s="8">
        <f t="shared" si="803"/>
        <v>0</v>
      </c>
      <c r="M181" s="6"/>
      <c r="N181" s="7"/>
      <c r="O181" s="7"/>
      <c r="P181" s="7"/>
      <c r="Q181" s="7"/>
      <c r="R181" s="8">
        <f t="shared" si="804"/>
        <v>0</v>
      </c>
      <c r="T181" s="6"/>
      <c r="U181" s="7"/>
      <c r="V181" s="7"/>
      <c r="W181" s="7"/>
      <c r="X181" s="7"/>
      <c r="Y181" s="8">
        <f t="shared" si="805"/>
        <v>0</v>
      </c>
      <c r="AA181" s="6"/>
      <c r="AB181" s="7"/>
      <c r="AC181" s="7"/>
      <c r="AD181" s="7"/>
      <c r="AE181" s="7"/>
      <c r="AF181" s="8">
        <f>SUM(AA181:AE181)</f>
        <v>0</v>
      </c>
      <c r="AH181" s="6"/>
      <c r="AI181" s="7"/>
      <c r="AJ181" s="7"/>
      <c r="AK181" s="7"/>
      <c r="AL181" s="7"/>
      <c r="AM181" s="8">
        <f>SUM(AH181:AL181)</f>
        <v>0</v>
      </c>
      <c r="AO181" s="6"/>
      <c r="AP181" s="7"/>
      <c r="AQ181" s="7"/>
      <c r="AR181" s="7"/>
      <c r="AS181" s="7"/>
      <c r="AT181" s="8">
        <f>SUM(AO181:AS181)</f>
        <v>0</v>
      </c>
      <c r="AV181" s="6"/>
      <c r="AW181" s="7"/>
      <c r="AX181" s="7"/>
      <c r="AY181" s="7"/>
      <c r="AZ181" s="7"/>
      <c r="BA181" s="8">
        <f>SUM(AV181:AZ181)</f>
        <v>0</v>
      </c>
      <c r="BC181" s="6"/>
      <c r="BD181" s="7"/>
      <c r="BE181" s="7"/>
      <c r="BF181" s="7"/>
      <c r="BG181" s="7"/>
      <c r="BH181" s="8">
        <f>SUM(BC181:BG181)</f>
        <v>0</v>
      </c>
      <c r="BJ181" s="6"/>
      <c r="BK181" s="7"/>
      <c r="BL181" s="7"/>
      <c r="BM181" s="7"/>
      <c r="BN181" s="7"/>
      <c r="BO181" s="8">
        <f>SUM(BJ181:BN181)</f>
        <v>0</v>
      </c>
      <c r="BQ181" s="6"/>
      <c r="BR181" s="7"/>
      <c r="BS181" s="7"/>
      <c r="BT181" s="7"/>
      <c r="BU181" s="7"/>
      <c r="BV181" s="8">
        <f>SUM(BQ181:BU181)</f>
        <v>0</v>
      </c>
      <c r="BX181" s="6"/>
      <c r="BY181" s="7"/>
      <c r="BZ181" s="7"/>
      <c r="CA181" s="7"/>
      <c r="CB181" s="7"/>
      <c r="CC181" s="8">
        <f>SUM(BX181:CB181)</f>
        <v>0</v>
      </c>
      <c r="CE181" s="28">
        <f t="shared" si="801"/>
        <v>0</v>
      </c>
      <c r="CF181" s="29">
        <f t="shared" si="801"/>
        <v>0</v>
      </c>
      <c r="CG181" s="29">
        <f t="shared" si="801"/>
        <v>0</v>
      </c>
      <c r="CH181" s="29">
        <f t="shared" si="801"/>
        <v>0</v>
      </c>
      <c r="CI181" s="29">
        <f t="shared" si="801"/>
        <v>0</v>
      </c>
      <c r="CJ181" s="8">
        <f>SUM(CE181:CI181)</f>
        <v>0</v>
      </c>
      <c r="CL181" s="6"/>
      <c r="CM181" s="7"/>
      <c r="CN181" s="7"/>
      <c r="CO181" s="7"/>
      <c r="CP181" s="7"/>
      <c r="CQ181" s="8">
        <f>SUM(CL181:CP181)</f>
        <v>0</v>
      </c>
      <c r="CS181" s="6"/>
      <c r="CT181" s="7"/>
      <c r="CU181" s="7"/>
      <c r="CV181" s="7"/>
      <c r="CW181" s="7"/>
      <c r="CX181" s="8">
        <f t="shared" si="806"/>
        <v>0</v>
      </c>
      <c r="CZ181" s="6"/>
      <c r="DA181" s="7"/>
      <c r="DB181" s="7"/>
      <c r="DC181" s="7"/>
      <c r="DD181" s="7"/>
      <c r="DE181" s="8">
        <f t="shared" si="807"/>
        <v>0</v>
      </c>
    </row>
    <row r="182" spans="3:109" ht="14" thickBot="1">
      <c r="C182" s="567"/>
      <c r="E182" s="14" t="s">
        <v>62</v>
      </c>
      <c r="F182" s="23">
        <f t="shared" si="802"/>
        <v>0</v>
      </c>
      <c r="G182" s="24">
        <f t="shared" si="797"/>
        <v>0</v>
      </c>
      <c r="H182" s="24">
        <f t="shared" si="798"/>
        <v>0</v>
      </c>
      <c r="I182" s="24">
        <f t="shared" si="799"/>
        <v>0</v>
      </c>
      <c r="J182" s="24">
        <f t="shared" si="800"/>
        <v>0</v>
      </c>
      <c r="K182" s="8">
        <f t="shared" si="803"/>
        <v>0</v>
      </c>
      <c r="M182" s="6"/>
      <c r="N182" s="7"/>
      <c r="O182" s="7"/>
      <c r="P182" s="7"/>
      <c r="Q182" s="7"/>
      <c r="R182" s="8">
        <f t="shared" si="804"/>
        <v>0</v>
      </c>
      <c r="T182" s="6"/>
      <c r="U182" s="7"/>
      <c r="V182" s="7"/>
      <c r="W182" s="7"/>
      <c r="X182" s="7"/>
      <c r="Y182" s="8">
        <f t="shared" si="805"/>
        <v>0</v>
      </c>
      <c r="AA182" s="6"/>
      <c r="AB182" s="7"/>
      <c r="AC182" s="7"/>
      <c r="AD182" s="7"/>
      <c r="AE182" s="7"/>
      <c r="AF182" s="8">
        <f>SUM(AA182:AE182)</f>
        <v>0</v>
      </c>
      <c r="AH182" s="6"/>
      <c r="AI182" s="7"/>
      <c r="AJ182" s="7"/>
      <c r="AK182" s="7"/>
      <c r="AL182" s="7"/>
      <c r="AM182" s="8">
        <f>SUM(AH182:AL182)</f>
        <v>0</v>
      </c>
      <c r="AO182" s="6"/>
      <c r="AP182" s="7"/>
      <c r="AQ182" s="7"/>
      <c r="AR182" s="7"/>
      <c r="AS182" s="7"/>
      <c r="AT182" s="8">
        <f>SUM(AO182:AS182)</f>
        <v>0</v>
      </c>
      <c r="AV182" s="6"/>
      <c r="AW182" s="7"/>
      <c r="AX182" s="7"/>
      <c r="AY182" s="7"/>
      <c r="AZ182" s="7"/>
      <c r="BA182" s="8">
        <f>SUM(AV182:AZ182)</f>
        <v>0</v>
      </c>
      <c r="BC182" s="6"/>
      <c r="BD182" s="7"/>
      <c r="BE182" s="7"/>
      <c r="BF182" s="7"/>
      <c r="BG182" s="7"/>
      <c r="BH182" s="8">
        <f>SUM(BC182:BG182)</f>
        <v>0</v>
      </c>
      <c r="BJ182" s="6"/>
      <c r="BK182" s="7"/>
      <c r="BL182" s="7"/>
      <c r="BM182" s="7"/>
      <c r="BN182" s="7"/>
      <c r="BO182" s="8">
        <f>SUM(BJ182:BN182)</f>
        <v>0</v>
      </c>
      <c r="BQ182" s="6"/>
      <c r="BR182" s="7"/>
      <c r="BS182" s="7"/>
      <c r="BT182" s="7"/>
      <c r="BU182" s="7"/>
      <c r="BV182" s="8">
        <f>SUM(BQ182:BU182)</f>
        <v>0</v>
      </c>
      <c r="BX182" s="6"/>
      <c r="BY182" s="7"/>
      <c r="BZ182" s="7"/>
      <c r="CA182" s="7"/>
      <c r="CB182" s="7"/>
      <c r="CC182" s="8">
        <f>SUM(BX182:CB182)</f>
        <v>0</v>
      </c>
      <c r="CE182" s="493">
        <f t="shared" si="801"/>
        <v>0</v>
      </c>
      <c r="CF182" s="494">
        <f t="shared" si="801"/>
        <v>0</v>
      </c>
      <c r="CG182" s="494">
        <f t="shared" si="801"/>
        <v>0</v>
      </c>
      <c r="CH182" s="494">
        <f t="shared" si="801"/>
        <v>0</v>
      </c>
      <c r="CI182" s="494">
        <f t="shared" si="801"/>
        <v>0</v>
      </c>
      <c r="CJ182" s="495">
        <f>SUM(CE182:CI182)</f>
        <v>0</v>
      </c>
      <c r="CL182" s="6"/>
      <c r="CM182" s="7"/>
      <c r="CN182" s="7"/>
      <c r="CO182" s="7"/>
      <c r="CP182" s="7"/>
      <c r="CQ182" s="8">
        <f>SUM(CL182:CP182)</f>
        <v>0</v>
      </c>
      <c r="CS182" s="6"/>
      <c r="CT182" s="7"/>
      <c r="CU182" s="7"/>
      <c r="CV182" s="7"/>
      <c r="CW182" s="7"/>
      <c r="CX182" s="8">
        <f t="shared" si="806"/>
        <v>0</v>
      </c>
      <c r="CZ182" s="6"/>
      <c r="DA182" s="7"/>
      <c r="DB182" s="7"/>
      <c r="DC182" s="7"/>
      <c r="DD182" s="7"/>
      <c r="DE182" s="8">
        <f t="shared" si="807"/>
        <v>0</v>
      </c>
    </row>
    <row r="183" spans="3:109" ht="14" thickBot="1">
      <c r="C183" s="554"/>
      <c r="E183" s="17"/>
      <c r="F183" s="10">
        <f>SUM(F179:F182)</f>
        <v>0</v>
      </c>
      <c r="G183" s="11">
        <f t="shared" ref="G183:J183" si="808">SUM(G179:G182)</f>
        <v>0</v>
      </c>
      <c r="H183" s="11">
        <f t="shared" si="808"/>
        <v>0</v>
      </c>
      <c r="I183" s="11">
        <f t="shared" si="808"/>
        <v>0</v>
      </c>
      <c r="J183" s="11">
        <f t="shared" si="808"/>
        <v>0</v>
      </c>
      <c r="K183" s="25">
        <f>SUM(K179:K182)</f>
        <v>0</v>
      </c>
      <c r="M183" s="10">
        <f>SUM(M179:M182)</f>
        <v>0</v>
      </c>
      <c r="N183" s="11">
        <f t="shared" ref="N183:Q183" si="809">SUM(N179:N182)</f>
        <v>0</v>
      </c>
      <c r="O183" s="11">
        <f t="shared" si="809"/>
        <v>0</v>
      </c>
      <c r="P183" s="11">
        <f t="shared" si="809"/>
        <v>0</v>
      </c>
      <c r="Q183" s="11">
        <f t="shared" si="809"/>
        <v>0</v>
      </c>
      <c r="R183" s="25">
        <f>SUM(R179:R182)</f>
        <v>0</v>
      </c>
      <c r="T183" s="10">
        <f>SUM(T179:T182)</f>
        <v>0</v>
      </c>
      <c r="U183" s="11">
        <f t="shared" ref="U183:X183" si="810">SUM(U179:U182)</f>
        <v>0</v>
      </c>
      <c r="V183" s="11">
        <f t="shared" si="810"/>
        <v>0</v>
      </c>
      <c r="W183" s="11">
        <f t="shared" si="810"/>
        <v>0</v>
      </c>
      <c r="X183" s="11">
        <f t="shared" si="810"/>
        <v>0</v>
      </c>
      <c r="Y183" s="25">
        <f>SUM(Y179:Y182)</f>
        <v>0</v>
      </c>
      <c r="AA183" s="10">
        <f>SUM(AA179:AA182)</f>
        <v>0</v>
      </c>
      <c r="AB183" s="11">
        <f t="shared" ref="AB183:AE183" si="811">SUM(AB179:AB182)</f>
        <v>0</v>
      </c>
      <c r="AC183" s="11">
        <f t="shared" si="811"/>
        <v>0</v>
      </c>
      <c r="AD183" s="11">
        <f t="shared" si="811"/>
        <v>0</v>
      </c>
      <c r="AE183" s="11">
        <f t="shared" si="811"/>
        <v>0</v>
      </c>
      <c r="AF183" s="25">
        <f>SUM(AF179:AF182)</f>
        <v>0</v>
      </c>
      <c r="AH183" s="10">
        <f t="shared" ref="AH183:AM183" si="812">SUM(AH179:AH182)</f>
        <v>0</v>
      </c>
      <c r="AI183" s="11">
        <f t="shared" si="812"/>
        <v>0</v>
      </c>
      <c r="AJ183" s="11">
        <f t="shared" si="812"/>
        <v>0</v>
      </c>
      <c r="AK183" s="11">
        <f t="shared" si="812"/>
        <v>0</v>
      </c>
      <c r="AL183" s="11">
        <f t="shared" si="812"/>
        <v>0</v>
      </c>
      <c r="AM183" s="25">
        <f t="shared" si="812"/>
        <v>0</v>
      </c>
      <c r="AO183" s="10">
        <f t="shared" ref="AO183:AT183" si="813">SUM(AO179:AO182)</f>
        <v>0</v>
      </c>
      <c r="AP183" s="11">
        <f t="shared" si="813"/>
        <v>0</v>
      </c>
      <c r="AQ183" s="11">
        <f t="shared" si="813"/>
        <v>0</v>
      </c>
      <c r="AR183" s="11">
        <f t="shared" si="813"/>
        <v>0</v>
      </c>
      <c r="AS183" s="11">
        <f t="shared" si="813"/>
        <v>0</v>
      </c>
      <c r="AT183" s="25">
        <f t="shared" si="813"/>
        <v>0</v>
      </c>
      <c r="AV183" s="10">
        <f t="shared" ref="AV183:BA183" si="814">SUM(AV179:AV182)</f>
        <v>0</v>
      </c>
      <c r="AW183" s="11">
        <f t="shared" si="814"/>
        <v>0</v>
      </c>
      <c r="AX183" s="11">
        <f t="shared" si="814"/>
        <v>0</v>
      </c>
      <c r="AY183" s="11">
        <f t="shared" si="814"/>
        <v>0</v>
      </c>
      <c r="AZ183" s="11">
        <f t="shared" si="814"/>
        <v>0</v>
      </c>
      <c r="BA183" s="25">
        <f t="shared" si="814"/>
        <v>0</v>
      </c>
      <c r="BC183" s="10">
        <f t="shared" ref="BC183:BH183" si="815">SUM(BC179:BC182)</f>
        <v>0</v>
      </c>
      <c r="BD183" s="11">
        <f t="shared" si="815"/>
        <v>0</v>
      </c>
      <c r="BE183" s="11">
        <f t="shared" si="815"/>
        <v>0</v>
      </c>
      <c r="BF183" s="11">
        <f t="shared" si="815"/>
        <v>0</v>
      </c>
      <c r="BG183" s="11">
        <f t="shared" si="815"/>
        <v>0</v>
      </c>
      <c r="BH183" s="25">
        <f t="shared" si="815"/>
        <v>0</v>
      </c>
      <c r="BJ183" s="10">
        <f t="shared" ref="BJ183:BO183" si="816">SUM(BJ179:BJ182)</f>
        <v>0</v>
      </c>
      <c r="BK183" s="11">
        <f t="shared" si="816"/>
        <v>0</v>
      </c>
      <c r="BL183" s="11">
        <f t="shared" si="816"/>
        <v>0</v>
      </c>
      <c r="BM183" s="11">
        <f t="shared" si="816"/>
        <v>0</v>
      </c>
      <c r="BN183" s="11">
        <f t="shared" si="816"/>
        <v>0</v>
      </c>
      <c r="BO183" s="25">
        <f t="shared" si="816"/>
        <v>0</v>
      </c>
      <c r="BQ183" s="10">
        <f t="shared" ref="BQ183:BV183" si="817">SUM(BQ179:BQ182)</f>
        <v>0</v>
      </c>
      <c r="BR183" s="11">
        <f t="shared" si="817"/>
        <v>0</v>
      </c>
      <c r="BS183" s="11">
        <f t="shared" si="817"/>
        <v>0</v>
      </c>
      <c r="BT183" s="11">
        <f t="shared" si="817"/>
        <v>0</v>
      </c>
      <c r="BU183" s="11">
        <f t="shared" si="817"/>
        <v>0</v>
      </c>
      <c r="BV183" s="25">
        <f t="shared" si="817"/>
        <v>0</v>
      </c>
      <c r="BX183" s="10">
        <f t="shared" ref="BX183:CC183" si="818">SUM(BX179:BX182)</f>
        <v>0</v>
      </c>
      <c r="BY183" s="11">
        <f t="shared" si="818"/>
        <v>0</v>
      </c>
      <c r="BZ183" s="11">
        <f t="shared" si="818"/>
        <v>0</v>
      </c>
      <c r="CA183" s="11">
        <f t="shared" si="818"/>
        <v>0</v>
      </c>
      <c r="CB183" s="11">
        <f t="shared" si="818"/>
        <v>0</v>
      </c>
      <c r="CC183" s="25">
        <f t="shared" si="818"/>
        <v>0</v>
      </c>
      <c r="CE183" s="62">
        <f t="shared" ref="CE183:CJ183" si="819">SUM(CE179:CE182)</f>
        <v>0</v>
      </c>
      <c r="CF183" s="63">
        <f t="shared" si="819"/>
        <v>0</v>
      </c>
      <c r="CG183" s="63">
        <f t="shared" si="819"/>
        <v>0</v>
      </c>
      <c r="CH183" s="63">
        <f t="shared" si="819"/>
        <v>0</v>
      </c>
      <c r="CI183" s="63">
        <f t="shared" si="819"/>
        <v>0</v>
      </c>
      <c r="CJ183" s="25">
        <f t="shared" si="819"/>
        <v>0</v>
      </c>
      <c r="CL183" s="10">
        <f>SUM(CL179:CL182)</f>
        <v>0</v>
      </c>
      <c r="CM183" s="11">
        <f t="shared" ref="CM183:CQ183" si="820">SUM(CM179:CM182)</f>
        <v>0</v>
      </c>
      <c r="CN183" s="11">
        <f t="shared" si="820"/>
        <v>0</v>
      </c>
      <c r="CO183" s="11">
        <f t="shared" si="820"/>
        <v>0</v>
      </c>
      <c r="CP183" s="11">
        <f t="shared" si="820"/>
        <v>0</v>
      </c>
      <c r="CQ183" s="25">
        <f t="shared" si="820"/>
        <v>0</v>
      </c>
      <c r="CS183" s="10">
        <f>SUM(CS179:CS182)</f>
        <v>0</v>
      </c>
      <c r="CT183" s="11">
        <f t="shared" ref="CT183:CW183" si="821">SUM(CT179:CT182)</f>
        <v>0</v>
      </c>
      <c r="CU183" s="11">
        <f t="shared" si="821"/>
        <v>0</v>
      </c>
      <c r="CV183" s="11">
        <f t="shared" si="821"/>
        <v>0</v>
      </c>
      <c r="CW183" s="11">
        <f t="shared" si="821"/>
        <v>0</v>
      </c>
      <c r="CX183" s="25">
        <f>SUM(CX179:CX182)</f>
        <v>0</v>
      </c>
      <c r="CZ183" s="10">
        <f>SUM(CZ179:CZ182)</f>
        <v>0</v>
      </c>
      <c r="DA183" s="11">
        <f t="shared" ref="DA183:DD183" si="822">SUM(DA179:DA182)</f>
        <v>0</v>
      </c>
      <c r="DB183" s="11">
        <f t="shared" si="822"/>
        <v>0</v>
      </c>
      <c r="DC183" s="11">
        <f t="shared" si="822"/>
        <v>0</v>
      </c>
      <c r="DD183" s="11">
        <f t="shared" si="822"/>
        <v>0</v>
      </c>
      <c r="DE183" s="25">
        <f>SUM(DE179:DE182)</f>
        <v>0</v>
      </c>
    </row>
    <row r="184" spans="3:109" ht="10.4" customHeight="1" thickBot="1"/>
    <row r="185" spans="3:109">
      <c r="C185" s="553">
        <v>2027</v>
      </c>
      <c r="E185" s="13" t="s">
        <v>59</v>
      </c>
      <c r="F185" s="21">
        <f>CE179</f>
        <v>0</v>
      </c>
      <c r="G185" s="22">
        <f t="shared" ref="G185:G188" si="823">CF179</f>
        <v>0</v>
      </c>
      <c r="H185" s="22">
        <f t="shared" ref="H185:H188" si="824">CG179</f>
        <v>0</v>
      </c>
      <c r="I185" s="22">
        <f t="shared" ref="I185:I188" si="825">CH179</f>
        <v>0</v>
      </c>
      <c r="J185" s="22">
        <f t="shared" ref="J185:J188" si="826">CI179</f>
        <v>0</v>
      </c>
      <c r="K185" s="4">
        <f>SUM(F185:J185)</f>
        <v>0</v>
      </c>
      <c r="M185" s="2"/>
      <c r="N185" s="3"/>
      <c r="O185" s="3"/>
      <c r="P185" s="3"/>
      <c r="Q185" s="3"/>
      <c r="R185" s="4">
        <f>SUM(M185:Q185)</f>
        <v>0</v>
      </c>
      <c r="T185" s="2"/>
      <c r="U185" s="3"/>
      <c r="V185" s="3"/>
      <c r="W185" s="3"/>
      <c r="X185" s="3"/>
      <c r="Y185" s="4">
        <f>SUM(T185:X185)</f>
        <v>0</v>
      </c>
      <c r="AA185" s="2"/>
      <c r="AB185" s="3"/>
      <c r="AC185" s="3"/>
      <c r="AD185" s="3"/>
      <c r="AE185" s="3"/>
      <c r="AF185" s="4">
        <f>SUM(AA185:AE185)</f>
        <v>0</v>
      </c>
      <c r="AH185" s="2"/>
      <c r="AI185" s="3"/>
      <c r="AJ185" s="3"/>
      <c r="AK185" s="3"/>
      <c r="AL185" s="3"/>
      <c r="AM185" s="4">
        <f>SUM(AH185:AL185)</f>
        <v>0</v>
      </c>
      <c r="AO185" s="2"/>
      <c r="AP185" s="3"/>
      <c r="AQ185" s="3"/>
      <c r="AR185" s="3"/>
      <c r="AS185" s="3"/>
      <c r="AT185" s="4">
        <f>SUM(AO185:AS185)</f>
        <v>0</v>
      </c>
      <c r="AV185" s="2"/>
      <c r="AW185" s="3"/>
      <c r="AX185" s="3"/>
      <c r="AY185" s="3"/>
      <c r="AZ185" s="3"/>
      <c r="BA185" s="4">
        <f>SUM(AV185:AZ185)</f>
        <v>0</v>
      </c>
      <c r="BC185" s="2"/>
      <c r="BD185" s="3"/>
      <c r="BE185" s="3"/>
      <c r="BF185" s="3"/>
      <c r="BG185" s="3"/>
      <c r="BH185" s="4">
        <f>SUM(BC185:BG185)</f>
        <v>0</v>
      </c>
      <c r="BJ185" s="2"/>
      <c r="BK185" s="3"/>
      <c r="BL185" s="3"/>
      <c r="BM185" s="3"/>
      <c r="BN185" s="3"/>
      <c r="BO185" s="4">
        <f>SUM(BJ185:BN185)</f>
        <v>0</v>
      </c>
      <c r="BQ185" s="2"/>
      <c r="BR185" s="3"/>
      <c r="BS185" s="3"/>
      <c r="BT185" s="3"/>
      <c r="BU185" s="3"/>
      <c r="BV185" s="4">
        <f>SUM(BQ185:BU185)</f>
        <v>0</v>
      </c>
      <c r="BX185" s="2"/>
      <c r="BY185" s="3"/>
      <c r="BZ185" s="3"/>
      <c r="CA185" s="3"/>
      <c r="CB185" s="3"/>
      <c r="CC185" s="4">
        <f>SUM(BX185:CB185)</f>
        <v>0</v>
      </c>
      <c r="CE185" s="26">
        <f t="shared" ref="CE185:CI188" si="827">F185+M185+T185+AA185+AH185+AO185+AV185+BC185+BJ185+BQ185+BX185</f>
        <v>0</v>
      </c>
      <c r="CF185" s="27">
        <f t="shared" si="827"/>
        <v>0</v>
      </c>
      <c r="CG185" s="27">
        <f t="shared" si="827"/>
        <v>0</v>
      </c>
      <c r="CH185" s="27">
        <f t="shared" si="827"/>
        <v>0</v>
      </c>
      <c r="CI185" s="27">
        <f t="shared" si="827"/>
        <v>0</v>
      </c>
      <c r="CJ185" s="4">
        <f>SUM(CE185:CI185)</f>
        <v>0</v>
      </c>
      <c r="CL185" s="2"/>
      <c r="CM185" s="3"/>
      <c r="CN185" s="3"/>
      <c r="CO185" s="3"/>
      <c r="CP185" s="3"/>
      <c r="CQ185" s="4">
        <f>SUM(CL185:CP185)</f>
        <v>0</v>
      </c>
      <c r="CS185" s="2"/>
      <c r="CT185" s="3"/>
      <c r="CU185" s="3"/>
      <c r="CV185" s="3"/>
      <c r="CW185" s="3"/>
      <c r="CX185" s="4">
        <f>SUM(CS185:CW185)</f>
        <v>0</v>
      </c>
      <c r="CZ185" s="2"/>
      <c r="DA185" s="3"/>
      <c r="DB185" s="3"/>
      <c r="DC185" s="3"/>
      <c r="DD185" s="3"/>
      <c r="DE185" s="4">
        <f>SUM(CZ185:DD185)</f>
        <v>0</v>
      </c>
    </row>
    <row r="186" spans="3:109">
      <c r="C186" s="567"/>
      <c r="E186" s="14" t="s">
        <v>60</v>
      </c>
      <c r="F186" s="23">
        <f t="shared" ref="F186:F188" si="828">CE180</f>
        <v>0</v>
      </c>
      <c r="G186" s="24">
        <f t="shared" si="823"/>
        <v>0</v>
      </c>
      <c r="H186" s="24">
        <f t="shared" si="824"/>
        <v>0</v>
      </c>
      <c r="I186" s="24">
        <f t="shared" si="825"/>
        <v>0</v>
      </c>
      <c r="J186" s="24">
        <f t="shared" si="826"/>
        <v>0</v>
      </c>
      <c r="K186" s="8">
        <f t="shared" ref="K186:K188" si="829">SUM(F186:J186)</f>
        <v>0</v>
      </c>
      <c r="M186" s="6"/>
      <c r="N186" s="7"/>
      <c r="O186" s="7"/>
      <c r="P186" s="7"/>
      <c r="Q186" s="7"/>
      <c r="R186" s="8">
        <f t="shared" ref="R186:R188" si="830">SUM(M186:Q186)</f>
        <v>0</v>
      </c>
      <c r="T186" s="6"/>
      <c r="U186" s="7"/>
      <c r="V186" s="7"/>
      <c r="W186" s="7"/>
      <c r="X186" s="7"/>
      <c r="Y186" s="8">
        <f t="shared" ref="Y186:Y188" si="831">SUM(T186:X186)</f>
        <v>0</v>
      </c>
      <c r="AA186" s="6"/>
      <c r="AB186" s="7"/>
      <c r="AC186" s="7"/>
      <c r="AD186" s="7"/>
      <c r="AE186" s="7"/>
      <c r="AF186" s="8">
        <f>SUM(AA186:AE186)</f>
        <v>0</v>
      </c>
      <c r="AH186" s="6"/>
      <c r="AI186" s="7"/>
      <c r="AJ186" s="7"/>
      <c r="AK186" s="7"/>
      <c r="AL186" s="7"/>
      <c r="AM186" s="8">
        <f>SUM(AH186:AL186)</f>
        <v>0</v>
      </c>
      <c r="AO186" s="6"/>
      <c r="AP186" s="7"/>
      <c r="AQ186" s="7"/>
      <c r="AR186" s="7"/>
      <c r="AS186" s="7"/>
      <c r="AT186" s="8">
        <f>SUM(AO186:AS186)</f>
        <v>0</v>
      </c>
      <c r="AV186" s="6"/>
      <c r="AW186" s="7"/>
      <c r="AX186" s="7"/>
      <c r="AY186" s="7"/>
      <c r="AZ186" s="7"/>
      <c r="BA186" s="8">
        <f>SUM(AV186:AZ186)</f>
        <v>0</v>
      </c>
      <c r="BC186" s="6"/>
      <c r="BD186" s="7"/>
      <c r="BE186" s="7"/>
      <c r="BF186" s="7"/>
      <c r="BG186" s="7"/>
      <c r="BH186" s="8">
        <f>SUM(BC186:BG186)</f>
        <v>0</v>
      </c>
      <c r="BJ186" s="6"/>
      <c r="BK186" s="7"/>
      <c r="BL186" s="7"/>
      <c r="BM186" s="7"/>
      <c r="BN186" s="7"/>
      <c r="BO186" s="8">
        <f>SUM(BJ186:BN186)</f>
        <v>0</v>
      </c>
      <c r="BQ186" s="6"/>
      <c r="BR186" s="7"/>
      <c r="BS186" s="7"/>
      <c r="BT186" s="7"/>
      <c r="BU186" s="7"/>
      <c r="BV186" s="8">
        <f>SUM(BQ186:BU186)</f>
        <v>0</v>
      </c>
      <c r="BX186" s="6"/>
      <c r="BY186" s="7"/>
      <c r="BZ186" s="7"/>
      <c r="CA186" s="7"/>
      <c r="CB186" s="7"/>
      <c r="CC186" s="8">
        <f>SUM(BX186:CB186)</f>
        <v>0</v>
      </c>
      <c r="CE186" s="28">
        <f t="shared" si="827"/>
        <v>0</v>
      </c>
      <c r="CF186" s="29">
        <f t="shared" si="827"/>
        <v>0</v>
      </c>
      <c r="CG186" s="29">
        <f t="shared" si="827"/>
        <v>0</v>
      </c>
      <c r="CH186" s="29">
        <f t="shared" si="827"/>
        <v>0</v>
      </c>
      <c r="CI186" s="29">
        <f t="shared" si="827"/>
        <v>0</v>
      </c>
      <c r="CJ186" s="8">
        <f>SUM(CE186:CI186)</f>
        <v>0</v>
      </c>
      <c r="CL186" s="6"/>
      <c r="CM186" s="7"/>
      <c r="CN186" s="7"/>
      <c r="CO186" s="7"/>
      <c r="CP186" s="7"/>
      <c r="CQ186" s="8">
        <f>SUM(CL186:CP186)</f>
        <v>0</v>
      </c>
      <c r="CS186" s="6"/>
      <c r="CT186" s="7"/>
      <c r="CU186" s="7"/>
      <c r="CV186" s="7"/>
      <c r="CW186" s="7"/>
      <c r="CX186" s="8">
        <f t="shared" ref="CX186:CX188" si="832">SUM(CS186:CW186)</f>
        <v>0</v>
      </c>
      <c r="CZ186" s="6"/>
      <c r="DA186" s="7"/>
      <c r="DB186" s="7"/>
      <c r="DC186" s="7"/>
      <c r="DD186" s="7"/>
      <c r="DE186" s="8">
        <f t="shared" ref="DE186:DE188" si="833">SUM(CZ186:DD186)</f>
        <v>0</v>
      </c>
    </row>
    <row r="187" spans="3:109">
      <c r="C187" s="567"/>
      <c r="E187" s="14" t="s">
        <v>61</v>
      </c>
      <c r="F187" s="23">
        <f t="shared" si="828"/>
        <v>0</v>
      </c>
      <c r="G187" s="24">
        <f t="shared" si="823"/>
        <v>0</v>
      </c>
      <c r="H187" s="24">
        <f t="shared" si="824"/>
        <v>0</v>
      </c>
      <c r="I187" s="24">
        <f t="shared" si="825"/>
        <v>0</v>
      </c>
      <c r="J187" s="24">
        <f t="shared" si="826"/>
        <v>0</v>
      </c>
      <c r="K187" s="8">
        <f t="shared" si="829"/>
        <v>0</v>
      </c>
      <c r="M187" s="6"/>
      <c r="N187" s="7"/>
      <c r="O187" s="7"/>
      <c r="P187" s="7"/>
      <c r="Q187" s="7"/>
      <c r="R187" s="8">
        <f t="shared" si="830"/>
        <v>0</v>
      </c>
      <c r="T187" s="6"/>
      <c r="U187" s="7"/>
      <c r="V187" s="7"/>
      <c r="W187" s="7"/>
      <c r="X187" s="7"/>
      <c r="Y187" s="8">
        <f t="shared" si="831"/>
        <v>0</v>
      </c>
      <c r="AA187" s="6"/>
      <c r="AB187" s="7"/>
      <c r="AC187" s="7"/>
      <c r="AD187" s="7"/>
      <c r="AE187" s="7"/>
      <c r="AF187" s="8">
        <f>SUM(AA187:AE187)</f>
        <v>0</v>
      </c>
      <c r="AH187" s="6"/>
      <c r="AI187" s="7"/>
      <c r="AJ187" s="7"/>
      <c r="AK187" s="7"/>
      <c r="AL187" s="7"/>
      <c r="AM187" s="8">
        <f>SUM(AH187:AL187)</f>
        <v>0</v>
      </c>
      <c r="AO187" s="6"/>
      <c r="AP187" s="7"/>
      <c r="AQ187" s="7"/>
      <c r="AR187" s="7"/>
      <c r="AS187" s="7"/>
      <c r="AT187" s="8">
        <f>SUM(AO187:AS187)</f>
        <v>0</v>
      </c>
      <c r="AV187" s="6"/>
      <c r="AW187" s="7"/>
      <c r="AX187" s="7"/>
      <c r="AY187" s="7"/>
      <c r="AZ187" s="7"/>
      <c r="BA187" s="8">
        <f>SUM(AV187:AZ187)</f>
        <v>0</v>
      </c>
      <c r="BC187" s="6"/>
      <c r="BD187" s="7"/>
      <c r="BE187" s="7"/>
      <c r="BF187" s="7"/>
      <c r="BG187" s="7"/>
      <c r="BH187" s="8">
        <f>SUM(BC187:BG187)</f>
        <v>0</v>
      </c>
      <c r="BJ187" s="6"/>
      <c r="BK187" s="7"/>
      <c r="BL187" s="7"/>
      <c r="BM187" s="7"/>
      <c r="BN187" s="7"/>
      <c r="BO187" s="8">
        <f>SUM(BJ187:BN187)</f>
        <v>0</v>
      </c>
      <c r="BQ187" s="6"/>
      <c r="BR187" s="7"/>
      <c r="BS187" s="7"/>
      <c r="BT187" s="7"/>
      <c r="BU187" s="7"/>
      <c r="BV187" s="8">
        <f>SUM(BQ187:BU187)</f>
        <v>0</v>
      </c>
      <c r="BX187" s="6"/>
      <c r="BY187" s="7"/>
      <c r="BZ187" s="7"/>
      <c r="CA187" s="7"/>
      <c r="CB187" s="7"/>
      <c r="CC187" s="8">
        <f>SUM(BX187:CB187)</f>
        <v>0</v>
      </c>
      <c r="CE187" s="28">
        <f t="shared" si="827"/>
        <v>0</v>
      </c>
      <c r="CF187" s="29">
        <f t="shared" si="827"/>
        <v>0</v>
      </c>
      <c r="CG187" s="29">
        <f t="shared" si="827"/>
        <v>0</v>
      </c>
      <c r="CH187" s="29">
        <f t="shared" si="827"/>
        <v>0</v>
      </c>
      <c r="CI187" s="29">
        <f t="shared" si="827"/>
        <v>0</v>
      </c>
      <c r="CJ187" s="8">
        <f>SUM(CE187:CI187)</f>
        <v>0</v>
      </c>
      <c r="CL187" s="6"/>
      <c r="CM187" s="7"/>
      <c r="CN187" s="7"/>
      <c r="CO187" s="7"/>
      <c r="CP187" s="7"/>
      <c r="CQ187" s="8">
        <f>SUM(CL187:CP187)</f>
        <v>0</v>
      </c>
      <c r="CS187" s="6"/>
      <c r="CT187" s="7"/>
      <c r="CU187" s="7"/>
      <c r="CV187" s="7"/>
      <c r="CW187" s="7"/>
      <c r="CX187" s="8">
        <f t="shared" si="832"/>
        <v>0</v>
      </c>
      <c r="CZ187" s="6"/>
      <c r="DA187" s="7"/>
      <c r="DB187" s="7"/>
      <c r="DC187" s="7"/>
      <c r="DD187" s="7"/>
      <c r="DE187" s="8">
        <f t="shared" si="833"/>
        <v>0</v>
      </c>
    </row>
    <row r="188" spans="3:109" ht="14" thickBot="1">
      <c r="C188" s="567"/>
      <c r="E188" s="14" t="s">
        <v>62</v>
      </c>
      <c r="F188" s="23">
        <f t="shared" si="828"/>
        <v>0</v>
      </c>
      <c r="G188" s="24">
        <f t="shared" si="823"/>
        <v>0</v>
      </c>
      <c r="H188" s="24">
        <f t="shared" si="824"/>
        <v>0</v>
      </c>
      <c r="I188" s="24">
        <f t="shared" si="825"/>
        <v>0</v>
      </c>
      <c r="J188" s="24">
        <f t="shared" si="826"/>
        <v>0</v>
      </c>
      <c r="K188" s="8">
        <f t="shared" si="829"/>
        <v>0</v>
      </c>
      <c r="M188" s="6"/>
      <c r="N188" s="7"/>
      <c r="O188" s="7"/>
      <c r="P188" s="7"/>
      <c r="Q188" s="7"/>
      <c r="R188" s="8">
        <f t="shared" si="830"/>
        <v>0</v>
      </c>
      <c r="T188" s="6"/>
      <c r="U188" s="7"/>
      <c r="V188" s="7"/>
      <c r="W188" s="7"/>
      <c r="X188" s="7"/>
      <c r="Y188" s="8">
        <f t="shared" si="831"/>
        <v>0</v>
      </c>
      <c r="AA188" s="6"/>
      <c r="AB188" s="7"/>
      <c r="AC188" s="7"/>
      <c r="AD188" s="7"/>
      <c r="AE188" s="7"/>
      <c r="AF188" s="8">
        <f>SUM(AA188:AE188)</f>
        <v>0</v>
      </c>
      <c r="AH188" s="6"/>
      <c r="AI188" s="7"/>
      <c r="AJ188" s="7"/>
      <c r="AK188" s="7"/>
      <c r="AL188" s="7"/>
      <c r="AM188" s="8">
        <f>SUM(AH188:AL188)</f>
        <v>0</v>
      </c>
      <c r="AO188" s="6"/>
      <c r="AP188" s="7"/>
      <c r="AQ188" s="7"/>
      <c r="AR188" s="7"/>
      <c r="AS188" s="7"/>
      <c r="AT188" s="8">
        <f>SUM(AO188:AS188)</f>
        <v>0</v>
      </c>
      <c r="AV188" s="6"/>
      <c r="AW188" s="7"/>
      <c r="AX188" s="7"/>
      <c r="AY188" s="7"/>
      <c r="AZ188" s="7"/>
      <c r="BA188" s="8">
        <f>SUM(AV188:AZ188)</f>
        <v>0</v>
      </c>
      <c r="BC188" s="6"/>
      <c r="BD188" s="7"/>
      <c r="BE188" s="7"/>
      <c r="BF188" s="7"/>
      <c r="BG188" s="7"/>
      <c r="BH188" s="8">
        <f>SUM(BC188:BG188)</f>
        <v>0</v>
      </c>
      <c r="BJ188" s="6"/>
      <c r="BK188" s="7"/>
      <c r="BL188" s="7"/>
      <c r="BM188" s="7"/>
      <c r="BN188" s="7"/>
      <c r="BO188" s="8">
        <f>SUM(BJ188:BN188)</f>
        <v>0</v>
      </c>
      <c r="BQ188" s="6"/>
      <c r="BR188" s="7"/>
      <c r="BS188" s="7"/>
      <c r="BT188" s="7"/>
      <c r="BU188" s="7"/>
      <c r="BV188" s="8">
        <f>SUM(BQ188:BU188)</f>
        <v>0</v>
      </c>
      <c r="BX188" s="6"/>
      <c r="BY188" s="7"/>
      <c r="BZ188" s="7"/>
      <c r="CA188" s="7"/>
      <c r="CB188" s="7"/>
      <c r="CC188" s="8">
        <f>SUM(BX188:CB188)</f>
        <v>0</v>
      </c>
      <c r="CE188" s="493">
        <f t="shared" si="827"/>
        <v>0</v>
      </c>
      <c r="CF188" s="494">
        <f t="shared" si="827"/>
        <v>0</v>
      </c>
      <c r="CG188" s="494">
        <f t="shared" si="827"/>
        <v>0</v>
      </c>
      <c r="CH188" s="494">
        <f t="shared" si="827"/>
        <v>0</v>
      </c>
      <c r="CI188" s="494">
        <f t="shared" si="827"/>
        <v>0</v>
      </c>
      <c r="CJ188" s="495">
        <f>SUM(CE188:CI188)</f>
        <v>0</v>
      </c>
      <c r="CL188" s="6"/>
      <c r="CM188" s="7"/>
      <c r="CN188" s="7"/>
      <c r="CO188" s="7"/>
      <c r="CP188" s="7"/>
      <c r="CQ188" s="8">
        <f>SUM(CL188:CP188)</f>
        <v>0</v>
      </c>
      <c r="CS188" s="6"/>
      <c r="CT188" s="7"/>
      <c r="CU188" s="7"/>
      <c r="CV188" s="7"/>
      <c r="CW188" s="7"/>
      <c r="CX188" s="8">
        <f t="shared" si="832"/>
        <v>0</v>
      </c>
      <c r="CZ188" s="6"/>
      <c r="DA188" s="7"/>
      <c r="DB188" s="7"/>
      <c r="DC188" s="7"/>
      <c r="DD188" s="7"/>
      <c r="DE188" s="8">
        <f t="shared" si="833"/>
        <v>0</v>
      </c>
    </row>
    <row r="189" spans="3:109" ht="14" thickBot="1">
      <c r="C189" s="554"/>
      <c r="E189" s="17"/>
      <c r="F189" s="10">
        <f>SUM(F185:F188)</f>
        <v>0</v>
      </c>
      <c r="G189" s="11">
        <f t="shared" ref="G189:J189" si="834">SUM(G185:G188)</f>
        <v>0</v>
      </c>
      <c r="H189" s="11">
        <f t="shared" si="834"/>
        <v>0</v>
      </c>
      <c r="I189" s="11">
        <f t="shared" si="834"/>
        <v>0</v>
      </c>
      <c r="J189" s="11">
        <f t="shared" si="834"/>
        <v>0</v>
      </c>
      <c r="K189" s="25">
        <f>SUM(K185:K188)</f>
        <v>0</v>
      </c>
      <c r="M189" s="10">
        <f>SUM(M185:M188)</f>
        <v>0</v>
      </c>
      <c r="N189" s="11">
        <f t="shared" ref="N189:Q189" si="835">SUM(N185:N188)</f>
        <v>0</v>
      </c>
      <c r="O189" s="11">
        <f t="shared" si="835"/>
        <v>0</v>
      </c>
      <c r="P189" s="11">
        <f t="shared" si="835"/>
        <v>0</v>
      </c>
      <c r="Q189" s="11">
        <f t="shared" si="835"/>
        <v>0</v>
      </c>
      <c r="R189" s="25">
        <f>SUM(R185:R188)</f>
        <v>0</v>
      </c>
      <c r="T189" s="10">
        <f>SUM(T185:T188)</f>
        <v>0</v>
      </c>
      <c r="U189" s="11">
        <f t="shared" ref="U189:X189" si="836">SUM(U185:U188)</f>
        <v>0</v>
      </c>
      <c r="V189" s="11">
        <f t="shared" si="836"/>
        <v>0</v>
      </c>
      <c r="W189" s="11">
        <f t="shared" si="836"/>
        <v>0</v>
      </c>
      <c r="X189" s="11">
        <f t="shared" si="836"/>
        <v>0</v>
      </c>
      <c r="Y189" s="25">
        <f>SUM(Y185:Y188)</f>
        <v>0</v>
      </c>
      <c r="AA189" s="10">
        <f>SUM(AA185:AA188)</f>
        <v>0</v>
      </c>
      <c r="AB189" s="11">
        <f t="shared" ref="AB189:AE189" si="837">SUM(AB185:AB188)</f>
        <v>0</v>
      </c>
      <c r="AC189" s="11">
        <f t="shared" si="837"/>
        <v>0</v>
      </c>
      <c r="AD189" s="11">
        <f t="shared" si="837"/>
        <v>0</v>
      </c>
      <c r="AE189" s="11">
        <f t="shared" si="837"/>
        <v>0</v>
      </c>
      <c r="AF189" s="25">
        <f>SUM(AF185:AF188)</f>
        <v>0</v>
      </c>
      <c r="AH189" s="10">
        <f t="shared" ref="AH189:AM189" si="838">SUM(AH185:AH188)</f>
        <v>0</v>
      </c>
      <c r="AI189" s="11">
        <f t="shared" si="838"/>
        <v>0</v>
      </c>
      <c r="AJ189" s="11">
        <f t="shared" si="838"/>
        <v>0</v>
      </c>
      <c r="AK189" s="11">
        <f t="shared" si="838"/>
        <v>0</v>
      </c>
      <c r="AL189" s="11">
        <f t="shared" si="838"/>
        <v>0</v>
      </c>
      <c r="AM189" s="25">
        <f t="shared" si="838"/>
        <v>0</v>
      </c>
      <c r="AO189" s="10">
        <f t="shared" ref="AO189:AT189" si="839">SUM(AO185:AO188)</f>
        <v>0</v>
      </c>
      <c r="AP189" s="11">
        <f t="shared" si="839"/>
        <v>0</v>
      </c>
      <c r="AQ189" s="11">
        <f t="shared" si="839"/>
        <v>0</v>
      </c>
      <c r="AR189" s="11">
        <f t="shared" si="839"/>
        <v>0</v>
      </c>
      <c r="AS189" s="11">
        <f t="shared" si="839"/>
        <v>0</v>
      </c>
      <c r="AT189" s="25">
        <f t="shared" si="839"/>
        <v>0</v>
      </c>
      <c r="AV189" s="10">
        <f t="shared" ref="AV189:BA189" si="840">SUM(AV185:AV188)</f>
        <v>0</v>
      </c>
      <c r="AW189" s="11">
        <f t="shared" si="840"/>
        <v>0</v>
      </c>
      <c r="AX189" s="11">
        <f t="shared" si="840"/>
        <v>0</v>
      </c>
      <c r="AY189" s="11">
        <f t="shared" si="840"/>
        <v>0</v>
      </c>
      <c r="AZ189" s="11">
        <f t="shared" si="840"/>
        <v>0</v>
      </c>
      <c r="BA189" s="25">
        <f t="shared" si="840"/>
        <v>0</v>
      </c>
      <c r="BC189" s="10">
        <f t="shared" ref="BC189:BH189" si="841">SUM(BC185:BC188)</f>
        <v>0</v>
      </c>
      <c r="BD189" s="11">
        <f t="shared" si="841"/>
        <v>0</v>
      </c>
      <c r="BE189" s="11">
        <f t="shared" si="841"/>
        <v>0</v>
      </c>
      <c r="BF189" s="11">
        <f t="shared" si="841"/>
        <v>0</v>
      </c>
      <c r="BG189" s="11">
        <f t="shared" si="841"/>
        <v>0</v>
      </c>
      <c r="BH189" s="25">
        <f t="shared" si="841"/>
        <v>0</v>
      </c>
      <c r="BJ189" s="10">
        <f t="shared" ref="BJ189:BO189" si="842">SUM(BJ185:BJ188)</f>
        <v>0</v>
      </c>
      <c r="BK189" s="11">
        <f t="shared" si="842"/>
        <v>0</v>
      </c>
      <c r="BL189" s="11">
        <f t="shared" si="842"/>
        <v>0</v>
      </c>
      <c r="BM189" s="11">
        <f t="shared" si="842"/>
        <v>0</v>
      </c>
      <c r="BN189" s="11">
        <f t="shared" si="842"/>
        <v>0</v>
      </c>
      <c r="BO189" s="25">
        <f t="shared" si="842"/>
        <v>0</v>
      </c>
      <c r="BQ189" s="10">
        <f t="shared" ref="BQ189:BV189" si="843">SUM(BQ185:BQ188)</f>
        <v>0</v>
      </c>
      <c r="BR189" s="11">
        <f t="shared" si="843"/>
        <v>0</v>
      </c>
      <c r="BS189" s="11">
        <f t="shared" si="843"/>
        <v>0</v>
      </c>
      <c r="BT189" s="11">
        <f t="shared" si="843"/>
        <v>0</v>
      </c>
      <c r="BU189" s="11">
        <f t="shared" si="843"/>
        <v>0</v>
      </c>
      <c r="BV189" s="25">
        <f t="shared" si="843"/>
        <v>0</v>
      </c>
      <c r="BX189" s="10">
        <f t="shared" ref="BX189:CC189" si="844">SUM(BX185:BX188)</f>
        <v>0</v>
      </c>
      <c r="BY189" s="11">
        <f t="shared" si="844"/>
        <v>0</v>
      </c>
      <c r="BZ189" s="11">
        <f t="shared" si="844"/>
        <v>0</v>
      </c>
      <c r="CA189" s="11">
        <f t="shared" si="844"/>
        <v>0</v>
      </c>
      <c r="CB189" s="11">
        <f t="shared" si="844"/>
        <v>0</v>
      </c>
      <c r="CC189" s="25">
        <f t="shared" si="844"/>
        <v>0</v>
      </c>
      <c r="CE189" s="62">
        <f t="shared" ref="CE189:CJ189" si="845">SUM(CE185:CE188)</f>
        <v>0</v>
      </c>
      <c r="CF189" s="63">
        <f t="shared" si="845"/>
        <v>0</v>
      </c>
      <c r="CG189" s="63">
        <f t="shared" si="845"/>
        <v>0</v>
      </c>
      <c r="CH189" s="63">
        <f t="shared" si="845"/>
        <v>0</v>
      </c>
      <c r="CI189" s="63">
        <f t="shared" si="845"/>
        <v>0</v>
      </c>
      <c r="CJ189" s="25">
        <f t="shared" si="845"/>
        <v>0</v>
      </c>
      <c r="CL189" s="10">
        <f>SUM(CL185:CL188)</f>
        <v>0</v>
      </c>
      <c r="CM189" s="11">
        <f t="shared" ref="CM189:CQ189" si="846">SUM(CM185:CM188)</f>
        <v>0</v>
      </c>
      <c r="CN189" s="11">
        <f t="shared" si="846"/>
        <v>0</v>
      </c>
      <c r="CO189" s="11">
        <f t="shared" si="846"/>
        <v>0</v>
      </c>
      <c r="CP189" s="11">
        <f t="shared" si="846"/>
        <v>0</v>
      </c>
      <c r="CQ189" s="25">
        <f t="shared" si="846"/>
        <v>0</v>
      </c>
      <c r="CS189" s="10">
        <f>SUM(CS185:CS188)</f>
        <v>0</v>
      </c>
      <c r="CT189" s="11">
        <f t="shared" ref="CT189:CW189" si="847">SUM(CT185:CT188)</f>
        <v>0</v>
      </c>
      <c r="CU189" s="11">
        <f t="shared" si="847"/>
        <v>0</v>
      </c>
      <c r="CV189" s="11">
        <f t="shared" si="847"/>
        <v>0</v>
      </c>
      <c r="CW189" s="11">
        <f t="shared" si="847"/>
        <v>0</v>
      </c>
      <c r="CX189" s="25">
        <f>SUM(CX185:CX188)</f>
        <v>0</v>
      </c>
      <c r="CZ189" s="10">
        <f>SUM(CZ185:CZ188)</f>
        <v>0</v>
      </c>
      <c r="DA189" s="11">
        <f t="shared" ref="DA189:DD189" si="848">SUM(DA185:DA188)</f>
        <v>0</v>
      </c>
      <c r="DB189" s="11">
        <f t="shared" si="848"/>
        <v>0</v>
      </c>
      <c r="DC189" s="11">
        <f t="shared" si="848"/>
        <v>0</v>
      </c>
      <c r="DD189" s="11">
        <f t="shared" si="848"/>
        <v>0</v>
      </c>
      <c r="DE189" s="25">
        <f>SUM(DE185:DE188)</f>
        <v>0</v>
      </c>
    </row>
    <row r="190" spans="3:109" ht="10.4" customHeight="1" thickBot="1"/>
    <row r="191" spans="3:109">
      <c r="C191" s="553">
        <v>2028</v>
      </c>
      <c r="E191" s="13" t="s">
        <v>59</v>
      </c>
      <c r="F191" s="21">
        <f>CE185</f>
        <v>0</v>
      </c>
      <c r="G191" s="22">
        <f t="shared" ref="G191:G194" si="849">CF185</f>
        <v>0</v>
      </c>
      <c r="H191" s="22">
        <f t="shared" ref="H191:H194" si="850">CG185</f>
        <v>0</v>
      </c>
      <c r="I191" s="22">
        <f t="shared" ref="I191:I194" si="851">CH185</f>
        <v>0</v>
      </c>
      <c r="J191" s="22">
        <f t="shared" ref="J191:J194" si="852">CI185</f>
        <v>0</v>
      </c>
      <c r="K191" s="4">
        <f>SUM(F191:J191)</f>
        <v>0</v>
      </c>
      <c r="M191" s="2"/>
      <c r="N191" s="3"/>
      <c r="O191" s="3"/>
      <c r="P191" s="3"/>
      <c r="Q191" s="3"/>
      <c r="R191" s="4">
        <f>SUM(M191:Q191)</f>
        <v>0</v>
      </c>
      <c r="T191" s="2"/>
      <c r="U191" s="3"/>
      <c r="V191" s="3"/>
      <c r="W191" s="3"/>
      <c r="X191" s="3"/>
      <c r="Y191" s="4">
        <f>SUM(T191:X191)</f>
        <v>0</v>
      </c>
      <c r="AA191" s="2"/>
      <c r="AB191" s="3"/>
      <c r="AC191" s="3"/>
      <c r="AD191" s="3"/>
      <c r="AE191" s="3"/>
      <c r="AF191" s="4">
        <f>SUM(AA191:AE191)</f>
        <v>0</v>
      </c>
      <c r="AH191" s="2"/>
      <c r="AI191" s="3"/>
      <c r="AJ191" s="3"/>
      <c r="AK191" s="3"/>
      <c r="AL191" s="3"/>
      <c r="AM191" s="4">
        <f>SUM(AH191:AL191)</f>
        <v>0</v>
      </c>
      <c r="AO191" s="2"/>
      <c r="AP191" s="3"/>
      <c r="AQ191" s="3"/>
      <c r="AR191" s="3"/>
      <c r="AS191" s="3"/>
      <c r="AT191" s="4">
        <f>SUM(AO191:AS191)</f>
        <v>0</v>
      </c>
      <c r="AV191" s="2"/>
      <c r="AW191" s="3"/>
      <c r="AX191" s="3"/>
      <c r="AY191" s="3"/>
      <c r="AZ191" s="3"/>
      <c r="BA191" s="4">
        <f>SUM(AV191:AZ191)</f>
        <v>0</v>
      </c>
      <c r="BC191" s="2"/>
      <c r="BD191" s="3"/>
      <c r="BE191" s="3"/>
      <c r="BF191" s="3"/>
      <c r="BG191" s="3"/>
      <c r="BH191" s="4">
        <f>SUM(BC191:BG191)</f>
        <v>0</v>
      </c>
      <c r="BJ191" s="2"/>
      <c r="BK191" s="3"/>
      <c r="BL191" s="3"/>
      <c r="BM191" s="3"/>
      <c r="BN191" s="3"/>
      <c r="BO191" s="4">
        <f>SUM(BJ191:BN191)</f>
        <v>0</v>
      </c>
      <c r="BQ191" s="2"/>
      <c r="BR191" s="3"/>
      <c r="BS191" s="3"/>
      <c r="BT191" s="3"/>
      <c r="BU191" s="3"/>
      <c r="BV191" s="4">
        <f>SUM(BQ191:BU191)</f>
        <v>0</v>
      </c>
      <c r="BX191" s="2"/>
      <c r="BY191" s="3"/>
      <c r="BZ191" s="3"/>
      <c r="CA191" s="3"/>
      <c r="CB191" s="3"/>
      <c r="CC191" s="4">
        <f>SUM(BX191:CB191)</f>
        <v>0</v>
      </c>
      <c r="CE191" s="26">
        <f t="shared" ref="CE191:CI194" si="853">F191+M191+T191+AA191+AH191+AO191+AV191+BC191+BJ191+BQ191+BX191</f>
        <v>0</v>
      </c>
      <c r="CF191" s="27">
        <f t="shared" si="853"/>
        <v>0</v>
      </c>
      <c r="CG191" s="27">
        <f t="shared" si="853"/>
        <v>0</v>
      </c>
      <c r="CH191" s="27">
        <f t="shared" si="853"/>
        <v>0</v>
      </c>
      <c r="CI191" s="27">
        <f t="shared" si="853"/>
        <v>0</v>
      </c>
      <c r="CJ191" s="4">
        <f>SUM(CE191:CI191)</f>
        <v>0</v>
      </c>
      <c r="CL191" s="2"/>
      <c r="CM191" s="3"/>
      <c r="CN191" s="3"/>
      <c r="CO191" s="3"/>
      <c r="CP191" s="3"/>
      <c r="CQ191" s="4">
        <f>SUM(CL191:CP191)</f>
        <v>0</v>
      </c>
      <c r="CS191" s="2"/>
      <c r="CT191" s="3"/>
      <c r="CU191" s="3"/>
      <c r="CV191" s="3"/>
      <c r="CW191" s="3"/>
      <c r="CX191" s="4">
        <f>SUM(CS191:CW191)</f>
        <v>0</v>
      </c>
      <c r="CZ191" s="2"/>
      <c r="DA191" s="3"/>
      <c r="DB191" s="3"/>
      <c r="DC191" s="3"/>
      <c r="DD191" s="3"/>
      <c r="DE191" s="4">
        <f>SUM(CZ191:DD191)</f>
        <v>0</v>
      </c>
    </row>
    <row r="192" spans="3:109">
      <c r="C192" s="567"/>
      <c r="E192" s="14" t="s">
        <v>60</v>
      </c>
      <c r="F192" s="23">
        <f t="shared" ref="F192:F194" si="854">CE186</f>
        <v>0</v>
      </c>
      <c r="G192" s="24">
        <f t="shared" si="849"/>
        <v>0</v>
      </c>
      <c r="H192" s="24">
        <f t="shared" si="850"/>
        <v>0</v>
      </c>
      <c r="I192" s="24">
        <f t="shared" si="851"/>
        <v>0</v>
      </c>
      <c r="J192" s="24">
        <f t="shared" si="852"/>
        <v>0</v>
      </c>
      <c r="K192" s="8">
        <f t="shared" ref="K192:K194" si="855">SUM(F192:J192)</f>
        <v>0</v>
      </c>
      <c r="M192" s="6"/>
      <c r="N192" s="7"/>
      <c r="O192" s="7"/>
      <c r="P192" s="7"/>
      <c r="Q192" s="7"/>
      <c r="R192" s="8">
        <f t="shared" ref="R192:R194" si="856">SUM(M192:Q192)</f>
        <v>0</v>
      </c>
      <c r="T192" s="6"/>
      <c r="U192" s="7"/>
      <c r="V192" s="7"/>
      <c r="W192" s="7"/>
      <c r="X192" s="7"/>
      <c r="Y192" s="8">
        <f t="shared" ref="Y192:Y194" si="857">SUM(T192:X192)</f>
        <v>0</v>
      </c>
      <c r="AA192" s="6"/>
      <c r="AB192" s="7"/>
      <c r="AC192" s="7"/>
      <c r="AD192" s="7"/>
      <c r="AE192" s="7"/>
      <c r="AF192" s="8">
        <f>SUM(AA192:AE192)</f>
        <v>0</v>
      </c>
      <c r="AH192" s="6"/>
      <c r="AI192" s="7"/>
      <c r="AJ192" s="7"/>
      <c r="AK192" s="7"/>
      <c r="AL192" s="7"/>
      <c r="AM192" s="8">
        <f>SUM(AH192:AL192)</f>
        <v>0</v>
      </c>
      <c r="AO192" s="6"/>
      <c r="AP192" s="7"/>
      <c r="AQ192" s="7"/>
      <c r="AR192" s="7"/>
      <c r="AS192" s="7"/>
      <c r="AT192" s="8">
        <f>SUM(AO192:AS192)</f>
        <v>0</v>
      </c>
      <c r="AV192" s="6"/>
      <c r="AW192" s="7"/>
      <c r="AX192" s="7"/>
      <c r="AY192" s="7"/>
      <c r="AZ192" s="7"/>
      <c r="BA192" s="8">
        <f>SUM(AV192:AZ192)</f>
        <v>0</v>
      </c>
      <c r="BC192" s="6"/>
      <c r="BD192" s="7"/>
      <c r="BE192" s="7"/>
      <c r="BF192" s="7"/>
      <c r="BG192" s="7"/>
      <c r="BH192" s="8">
        <f>SUM(BC192:BG192)</f>
        <v>0</v>
      </c>
      <c r="BJ192" s="6"/>
      <c r="BK192" s="7"/>
      <c r="BL192" s="7"/>
      <c r="BM192" s="7"/>
      <c r="BN192" s="7"/>
      <c r="BO192" s="8">
        <f>SUM(BJ192:BN192)</f>
        <v>0</v>
      </c>
      <c r="BQ192" s="6"/>
      <c r="BR192" s="7"/>
      <c r="BS192" s="7"/>
      <c r="BT192" s="7"/>
      <c r="BU192" s="7"/>
      <c r="BV192" s="8">
        <f>SUM(BQ192:BU192)</f>
        <v>0</v>
      </c>
      <c r="BX192" s="6"/>
      <c r="BY192" s="7"/>
      <c r="BZ192" s="7"/>
      <c r="CA192" s="7"/>
      <c r="CB192" s="7"/>
      <c r="CC192" s="8">
        <f>SUM(BX192:CB192)</f>
        <v>0</v>
      </c>
      <c r="CE192" s="28">
        <f t="shared" si="853"/>
        <v>0</v>
      </c>
      <c r="CF192" s="29">
        <f t="shared" si="853"/>
        <v>0</v>
      </c>
      <c r="CG192" s="29">
        <f t="shared" si="853"/>
        <v>0</v>
      </c>
      <c r="CH192" s="29">
        <f t="shared" si="853"/>
        <v>0</v>
      </c>
      <c r="CI192" s="29">
        <f t="shared" si="853"/>
        <v>0</v>
      </c>
      <c r="CJ192" s="8">
        <f>SUM(CE192:CI192)</f>
        <v>0</v>
      </c>
      <c r="CL192" s="6"/>
      <c r="CM192" s="7"/>
      <c r="CN192" s="7"/>
      <c r="CO192" s="7"/>
      <c r="CP192" s="7"/>
      <c r="CQ192" s="8">
        <f>SUM(CL192:CP192)</f>
        <v>0</v>
      </c>
      <c r="CS192" s="6"/>
      <c r="CT192" s="7"/>
      <c r="CU192" s="7"/>
      <c r="CV192" s="7"/>
      <c r="CW192" s="7"/>
      <c r="CX192" s="8">
        <f t="shared" ref="CX192:CX194" si="858">SUM(CS192:CW192)</f>
        <v>0</v>
      </c>
      <c r="CZ192" s="6"/>
      <c r="DA192" s="7"/>
      <c r="DB192" s="7"/>
      <c r="DC192" s="7"/>
      <c r="DD192" s="7"/>
      <c r="DE192" s="8">
        <f t="shared" ref="DE192:DE194" si="859">SUM(CZ192:DD192)</f>
        <v>0</v>
      </c>
    </row>
    <row r="193" spans="2:109">
      <c r="C193" s="567"/>
      <c r="E193" s="14" t="s">
        <v>61</v>
      </c>
      <c r="F193" s="23">
        <f t="shared" si="854"/>
        <v>0</v>
      </c>
      <c r="G193" s="24">
        <f t="shared" si="849"/>
        <v>0</v>
      </c>
      <c r="H193" s="24">
        <f t="shared" si="850"/>
        <v>0</v>
      </c>
      <c r="I193" s="24">
        <f t="shared" si="851"/>
        <v>0</v>
      </c>
      <c r="J193" s="24">
        <f t="shared" si="852"/>
        <v>0</v>
      </c>
      <c r="K193" s="8">
        <f t="shared" si="855"/>
        <v>0</v>
      </c>
      <c r="M193" s="6"/>
      <c r="N193" s="7"/>
      <c r="O193" s="7"/>
      <c r="P193" s="7"/>
      <c r="Q193" s="7"/>
      <c r="R193" s="8">
        <f t="shared" si="856"/>
        <v>0</v>
      </c>
      <c r="T193" s="6"/>
      <c r="U193" s="7"/>
      <c r="V193" s="7"/>
      <c r="W193" s="7"/>
      <c r="X193" s="7"/>
      <c r="Y193" s="8">
        <f t="shared" si="857"/>
        <v>0</v>
      </c>
      <c r="AA193" s="6"/>
      <c r="AB193" s="7"/>
      <c r="AC193" s="7"/>
      <c r="AD193" s="7"/>
      <c r="AE193" s="7"/>
      <c r="AF193" s="8">
        <f>SUM(AA193:AE193)</f>
        <v>0</v>
      </c>
      <c r="AH193" s="6"/>
      <c r="AI193" s="7"/>
      <c r="AJ193" s="7"/>
      <c r="AK193" s="7"/>
      <c r="AL193" s="7"/>
      <c r="AM193" s="8">
        <f>SUM(AH193:AL193)</f>
        <v>0</v>
      </c>
      <c r="AO193" s="6"/>
      <c r="AP193" s="7"/>
      <c r="AQ193" s="7"/>
      <c r="AR193" s="7"/>
      <c r="AS193" s="7"/>
      <c r="AT193" s="8">
        <f>SUM(AO193:AS193)</f>
        <v>0</v>
      </c>
      <c r="AV193" s="6"/>
      <c r="AW193" s="7"/>
      <c r="AX193" s="7"/>
      <c r="AY193" s="7"/>
      <c r="AZ193" s="7"/>
      <c r="BA193" s="8">
        <f>SUM(AV193:AZ193)</f>
        <v>0</v>
      </c>
      <c r="BC193" s="6"/>
      <c r="BD193" s="7"/>
      <c r="BE193" s="7"/>
      <c r="BF193" s="7"/>
      <c r="BG193" s="7"/>
      <c r="BH193" s="8">
        <f>SUM(BC193:BG193)</f>
        <v>0</v>
      </c>
      <c r="BJ193" s="6"/>
      <c r="BK193" s="7"/>
      <c r="BL193" s="7"/>
      <c r="BM193" s="7"/>
      <c r="BN193" s="7"/>
      <c r="BO193" s="8">
        <f>SUM(BJ193:BN193)</f>
        <v>0</v>
      </c>
      <c r="BQ193" s="6"/>
      <c r="BR193" s="7"/>
      <c r="BS193" s="7"/>
      <c r="BT193" s="7"/>
      <c r="BU193" s="7"/>
      <c r="BV193" s="8">
        <f>SUM(BQ193:BU193)</f>
        <v>0</v>
      </c>
      <c r="BX193" s="6"/>
      <c r="BY193" s="7"/>
      <c r="BZ193" s="7"/>
      <c r="CA193" s="7"/>
      <c r="CB193" s="7"/>
      <c r="CC193" s="8">
        <f>SUM(BX193:CB193)</f>
        <v>0</v>
      </c>
      <c r="CE193" s="28">
        <f t="shared" si="853"/>
        <v>0</v>
      </c>
      <c r="CF193" s="29">
        <f t="shared" si="853"/>
        <v>0</v>
      </c>
      <c r="CG193" s="29">
        <f t="shared" si="853"/>
        <v>0</v>
      </c>
      <c r="CH193" s="29">
        <f t="shared" si="853"/>
        <v>0</v>
      </c>
      <c r="CI193" s="29">
        <f t="shared" si="853"/>
        <v>0</v>
      </c>
      <c r="CJ193" s="8">
        <f>SUM(CE193:CI193)</f>
        <v>0</v>
      </c>
      <c r="CL193" s="6"/>
      <c r="CM193" s="7"/>
      <c r="CN193" s="7"/>
      <c r="CO193" s="7"/>
      <c r="CP193" s="7"/>
      <c r="CQ193" s="8">
        <f>SUM(CL193:CP193)</f>
        <v>0</v>
      </c>
      <c r="CS193" s="6"/>
      <c r="CT193" s="7"/>
      <c r="CU193" s="7"/>
      <c r="CV193" s="7"/>
      <c r="CW193" s="7"/>
      <c r="CX193" s="8">
        <f t="shared" si="858"/>
        <v>0</v>
      </c>
      <c r="CZ193" s="6"/>
      <c r="DA193" s="7"/>
      <c r="DB193" s="7"/>
      <c r="DC193" s="7"/>
      <c r="DD193" s="7"/>
      <c r="DE193" s="8">
        <f t="shared" si="859"/>
        <v>0</v>
      </c>
    </row>
    <row r="194" spans="2:109" ht="14" thickBot="1">
      <c r="C194" s="567"/>
      <c r="E194" s="14" t="s">
        <v>62</v>
      </c>
      <c r="F194" s="23">
        <f t="shared" si="854"/>
        <v>0</v>
      </c>
      <c r="G194" s="24">
        <f t="shared" si="849"/>
        <v>0</v>
      </c>
      <c r="H194" s="24">
        <f t="shared" si="850"/>
        <v>0</v>
      </c>
      <c r="I194" s="24">
        <f t="shared" si="851"/>
        <v>0</v>
      </c>
      <c r="J194" s="24">
        <f t="shared" si="852"/>
        <v>0</v>
      </c>
      <c r="K194" s="8">
        <f t="shared" si="855"/>
        <v>0</v>
      </c>
      <c r="M194" s="6"/>
      <c r="N194" s="7"/>
      <c r="O194" s="7"/>
      <c r="P194" s="7"/>
      <c r="Q194" s="7"/>
      <c r="R194" s="8">
        <f t="shared" si="856"/>
        <v>0</v>
      </c>
      <c r="T194" s="6"/>
      <c r="U194" s="7"/>
      <c r="V194" s="7"/>
      <c r="W194" s="7"/>
      <c r="X194" s="7"/>
      <c r="Y194" s="8">
        <f t="shared" si="857"/>
        <v>0</v>
      </c>
      <c r="AA194" s="6"/>
      <c r="AB194" s="7"/>
      <c r="AC194" s="7"/>
      <c r="AD194" s="7"/>
      <c r="AE194" s="7"/>
      <c r="AF194" s="8">
        <f>SUM(AA194:AE194)</f>
        <v>0</v>
      </c>
      <c r="AH194" s="6"/>
      <c r="AI194" s="7"/>
      <c r="AJ194" s="7"/>
      <c r="AK194" s="7"/>
      <c r="AL194" s="7"/>
      <c r="AM194" s="8">
        <f>SUM(AH194:AL194)</f>
        <v>0</v>
      </c>
      <c r="AO194" s="6"/>
      <c r="AP194" s="7"/>
      <c r="AQ194" s="7"/>
      <c r="AR194" s="7"/>
      <c r="AS194" s="7"/>
      <c r="AT194" s="8">
        <f>SUM(AO194:AS194)</f>
        <v>0</v>
      </c>
      <c r="AV194" s="6"/>
      <c r="AW194" s="7"/>
      <c r="AX194" s="7"/>
      <c r="AY194" s="7"/>
      <c r="AZ194" s="7"/>
      <c r="BA194" s="8">
        <f>SUM(AV194:AZ194)</f>
        <v>0</v>
      </c>
      <c r="BC194" s="6"/>
      <c r="BD194" s="7"/>
      <c r="BE194" s="7"/>
      <c r="BF194" s="7"/>
      <c r="BG194" s="7"/>
      <c r="BH194" s="8">
        <f>SUM(BC194:BG194)</f>
        <v>0</v>
      </c>
      <c r="BJ194" s="6"/>
      <c r="BK194" s="7"/>
      <c r="BL194" s="7"/>
      <c r="BM194" s="7"/>
      <c r="BN194" s="7"/>
      <c r="BO194" s="8">
        <f>SUM(BJ194:BN194)</f>
        <v>0</v>
      </c>
      <c r="BQ194" s="6"/>
      <c r="BR194" s="7"/>
      <c r="BS194" s="7"/>
      <c r="BT194" s="7"/>
      <c r="BU194" s="7"/>
      <c r="BV194" s="8">
        <f>SUM(BQ194:BU194)</f>
        <v>0</v>
      </c>
      <c r="BX194" s="6"/>
      <c r="BY194" s="7"/>
      <c r="BZ194" s="7"/>
      <c r="CA194" s="7"/>
      <c r="CB194" s="7"/>
      <c r="CC194" s="8">
        <f>SUM(BX194:CB194)</f>
        <v>0</v>
      </c>
      <c r="CE194" s="493">
        <f t="shared" si="853"/>
        <v>0</v>
      </c>
      <c r="CF194" s="494">
        <f t="shared" si="853"/>
        <v>0</v>
      </c>
      <c r="CG194" s="494">
        <f t="shared" si="853"/>
        <v>0</v>
      </c>
      <c r="CH194" s="494">
        <f t="shared" si="853"/>
        <v>0</v>
      </c>
      <c r="CI194" s="494">
        <f t="shared" si="853"/>
        <v>0</v>
      </c>
      <c r="CJ194" s="495">
        <f>SUM(CE194:CI194)</f>
        <v>0</v>
      </c>
      <c r="CL194" s="6"/>
      <c r="CM194" s="7"/>
      <c r="CN194" s="7"/>
      <c r="CO194" s="7"/>
      <c r="CP194" s="7"/>
      <c r="CQ194" s="8">
        <f>SUM(CL194:CP194)</f>
        <v>0</v>
      </c>
      <c r="CS194" s="6"/>
      <c r="CT194" s="7"/>
      <c r="CU194" s="7"/>
      <c r="CV194" s="7"/>
      <c r="CW194" s="7"/>
      <c r="CX194" s="8">
        <f t="shared" si="858"/>
        <v>0</v>
      </c>
      <c r="CZ194" s="6"/>
      <c r="DA194" s="7"/>
      <c r="DB194" s="7"/>
      <c r="DC194" s="7"/>
      <c r="DD194" s="7"/>
      <c r="DE194" s="8">
        <f t="shared" si="859"/>
        <v>0</v>
      </c>
    </row>
    <row r="195" spans="2:109" ht="14" thickBot="1">
      <c r="C195" s="554"/>
      <c r="E195" s="9"/>
      <c r="F195" s="10">
        <f>SUM(F191:F194)</f>
        <v>0</v>
      </c>
      <c r="G195" s="11">
        <f t="shared" ref="G195:J195" si="860">SUM(G191:G194)</f>
        <v>0</v>
      </c>
      <c r="H195" s="11">
        <f t="shared" si="860"/>
        <v>0</v>
      </c>
      <c r="I195" s="11">
        <f t="shared" si="860"/>
        <v>0</v>
      </c>
      <c r="J195" s="11">
        <f t="shared" si="860"/>
        <v>0</v>
      </c>
      <c r="K195" s="25">
        <f>SUM(K191:K194)</f>
        <v>0</v>
      </c>
      <c r="M195" s="10">
        <f>SUM(M191:M194)</f>
        <v>0</v>
      </c>
      <c r="N195" s="11">
        <f t="shared" ref="N195:Q195" si="861">SUM(N191:N194)</f>
        <v>0</v>
      </c>
      <c r="O195" s="11">
        <f t="shared" si="861"/>
        <v>0</v>
      </c>
      <c r="P195" s="11">
        <f t="shared" si="861"/>
        <v>0</v>
      </c>
      <c r="Q195" s="11">
        <f t="shared" si="861"/>
        <v>0</v>
      </c>
      <c r="R195" s="25">
        <f>SUM(R191:R194)</f>
        <v>0</v>
      </c>
      <c r="T195" s="10">
        <f>SUM(T191:T194)</f>
        <v>0</v>
      </c>
      <c r="U195" s="11">
        <f t="shared" ref="U195:X195" si="862">SUM(U191:U194)</f>
        <v>0</v>
      </c>
      <c r="V195" s="11">
        <f t="shared" si="862"/>
        <v>0</v>
      </c>
      <c r="W195" s="11">
        <f t="shared" si="862"/>
        <v>0</v>
      </c>
      <c r="X195" s="11">
        <f t="shared" si="862"/>
        <v>0</v>
      </c>
      <c r="Y195" s="25">
        <f>SUM(Y191:Y194)</f>
        <v>0</v>
      </c>
      <c r="AA195" s="10">
        <f>SUM(AA191:AA194)</f>
        <v>0</v>
      </c>
      <c r="AB195" s="11">
        <f t="shared" ref="AB195:AE195" si="863">SUM(AB191:AB194)</f>
        <v>0</v>
      </c>
      <c r="AC195" s="11">
        <f t="shared" si="863"/>
        <v>0</v>
      </c>
      <c r="AD195" s="11">
        <f t="shared" si="863"/>
        <v>0</v>
      </c>
      <c r="AE195" s="11">
        <f t="shared" si="863"/>
        <v>0</v>
      </c>
      <c r="AF195" s="25">
        <f>SUM(AF191:AF194)</f>
        <v>0</v>
      </c>
      <c r="AH195" s="10">
        <f t="shared" ref="AH195:AM195" si="864">SUM(AH191:AH194)</f>
        <v>0</v>
      </c>
      <c r="AI195" s="11">
        <f t="shared" si="864"/>
        <v>0</v>
      </c>
      <c r="AJ195" s="11">
        <f t="shared" si="864"/>
        <v>0</v>
      </c>
      <c r="AK195" s="11">
        <f t="shared" si="864"/>
        <v>0</v>
      </c>
      <c r="AL195" s="11">
        <f t="shared" si="864"/>
        <v>0</v>
      </c>
      <c r="AM195" s="25">
        <f t="shared" si="864"/>
        <v>0</v>
      </c>
      <c r="AO195" s="10">
        <f t="shared" ref="AO195:AT195" si="865">SUM(AO191:AO194)</f>
        <v>0</v>
      </c>
      <c r="AP195" s="11">
        <f t="shared" si="865"/>
        <v>0</v>
      </c>
      <c r="AQ195" s="11">
        <f t="shared" si="865"/>
        <v>0</v>
      </c>
      <c r="AR195" s="11">
        <f t="shared" si="865"/>
        <v>0</v>
      </c>
      <c r="AS195" s="11">
        <f t="shared" si="865"/>
        <v>0</v>
      </c>
      <c r="AT195" s="25">
        <f t="shared" si="865"/>
        <v>0</v>
      </c>
      <c r="AV195" s="10">
        <f t="shared" ref="AV195:BA195" si="866">SUM(AV191:AV194)</f>
        <v>0</v>
      </c>
      <c r="AW195" s="11">
        <f t="shared" si="866"/>
        <v>0</v>
      </c>
      <c r="AX195" s="11">
        <f t="shared" si="866"/>
        <v>0</v>
      </c>
      <c r="AY195" s="11">
        <f t="shared" si="866"/>
        <v>0</v>
      </c>
      <c r="AZ195" s="11">
        <f t="shared" si="866"/>
        <v>0</v>
      </c>
      <c r="BA195" s="25">
        <f t="shared" si="866"/>
        <v>0</v>
      </c>
      <c r="BC195" s="10">
        <f t="shared" ref="BC195:BH195" si="867">SUM(BC191:BC194)</f>
        <v>0</v>
      </c>
      <c r="BD195" s="11">
        <f t="shared" si="867"/>
        <v>0</v>
      </c>
      <c r="BE195" s="11">
        <f t="shared" si="867"/>
        <v>0</v>
      </c>
      <c r="BF195" s="11">
        <f t="shared" si="867"/>
        <v>0</v>
      </c>
      <c r="BG195" s="11">
        <f t="shared" si="867"/>
        <v>0</v>
      </c>
      <c r="BH195" s="25">
        <f t="shared" si="867"/>
        <v>0</v>
      </c>
      <c r="BJ195" s="10">
        <f t="shared" ref="BJ195:BO195" si="868">SUM(BJ191:BJ194)</f>
        <v>0</v>
      </c>
      <c r="BK195" s="11">
        <f t="shared" si="868"/>
        <v>0</v>
      </c>
      <c r="BL195" s="11">
        <f t="shared" si="868"/>
        <v>0</v>
      </c>
      <c r="BM195" s="11">
        <f t="shared" si="868"/>
        <v>0</v>
      </c>
      <c r="BN195" s="11">
        <f t="shared" si="868"/>
        <v>0</v>
      </c>
      <c r="BO195" s="25">
        <f t="shared" si="868"/>
        <v>0</v>
      </c>
      <c r="BQ195" s="10">
        <f t="shared" ref="BQ195:BV195" si="869">SUM(BQ191:BQ194)</f>
        <v>0</v>
      </c>
      <c r="BR195" s="11">
        <f t="shared" si="869"/>
        <v>0</v>
      </c>
      <c r="BS195" s="11">
        <f t="shared" si="869"/>
        <v>0</v>
      </c>
      <c r="BT195" s="11">
        <f t="shared" si="869"/>
        <v>0</v>
      </c>
      <c r="BU195" s="11">
        <f t="shared" si="869"/>
        <v>0</v>
      </c>
      <c r="BV195" s="25">
        <f t="shared" si="869"/>
        <v>0</v>
      </c>
      <c r="BX195" s="10">
        <f t="shared" ref="BX195:CC195" si="870">SUM(BX191:BX194)</f>
        <v>0</v>
      </c>
      <c r="BY195" s="11">
        <f t="shared" si="870"/>
        <v>0</v>
      </c>
      <c r="BZ195" s="11">
        <f t="shared" si="870"/>
        <v>0</v>
      </c>
      <c r="CA195" s="11">
        <f t="shared" si="870"/>
        <v>0</v>
      </c>
      <c r="CB195" s="11">
        <f t="shared" si="870"/>
        <v>0</v>
      </c>
      <c r="CC195" s="25">
        <f t="shared" si="870"/>
        <v>0</v>
      </c>
      <c r="CE195" s="62">
        <f t="shared" ref="CE195:CJ195" si="871">SUM(CE191:CE194)</f>
        <v>0</v>
      </c>
      <c r="CF195" s="63">
        <f t="shared" si="871"/>
        <v>0</v>
      </c>
      <c r="CG195" s="63">
        <f t="shared" si="871"/>
        <v>0</v>
      </c>
      <c r="CH195" s="63">
        <f t="shared" si="871"/>
        <v>0</v>
      </c>
      <c r="CI195" s="63">
        <f t="shared" si="871"/>
        <v>0</v>
      </c>
      <c r="CJ195" s="25">
        <f t="shared" si="871"/>
        <v>0</v>
      </c>
      <c r="CL195" s="10">
        <f>SUM(CL191:CL194)</f>
        <v>0</v>
      </c>
      <c r="CM195" s="11">
        <f t="shared" ref="CM195:CQ195" si="872">SUM(CM191:CM194)</f>
        <v>0</v>
      </c>
      <c r="CN195" s="11">
        <f t="shared" si="872"/>
        <v>0</v>
      </c>
      <c r="CO195" s="11">
        <f t="shared" si="872"/>
        <v>0</v>
      </c>
      <c r="CP195" s="11">
        <f t="shared" si="872"/>
        <v>0</v>
      </c>
      <c r="CQ195" s="25">
        <f t="shared" si="872"/>
        <v>0</v>
      </c>
      <c r="CS195" s="10">
        <f>SUM(CS191:CS194)</f>
        <v>0</v>
      </c>
      <c r="CT195" s="11">
        <f t="shared" ref="CT195:CW195" si="873">SUM(CT191:CT194)</f>
        <v>0</v>
      </c>
      <c r="CU195" s="11">
        <f t="shared" si="873"/>
        <v>0</v>
      </c>
      <c r="CV195" s="11">
        <f t="shared" si="873"/>
        <v>0</v>
      </c>
      <c r="CW195" s="11">
        <f t="shared" si="873"/>
        <v>0</v>
      </c>
      <c r="CX195" s="25">
        <f>SUM(CX191:CX194)</f>
        <v>0</v>
      </c>
      <c r="CZ195" s="10">
        <f>SUM(CZ191:CZ194)</f>
        <v>0</v>
      </c>
      <c r="DA195" s="11">
        <f t="shared" ref="DA195:DD195" si="874">SUM(DA191:DA194)</f>
        <v>0</v>
      </c>
      <c r="DB195" s="11">
        <f t="shared" si="874"/>
        <v>0</v>
      </c>
      <c r="DC195" s="11">
        <f t="shared" si="874"/>
        <v>0</v>
      </c>
      <c r="DD195" s="11">
        <f t="shared" si="874"/>
        <v>0</v>
      </c>
      <c r="DE195" s="25">
        <f>SUM(DE191:DE194)</f>
        <v>0</v>
      </c>
    </row>
    <row r="197" spans="2:109">
      <c r="B197" s="123"/>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L197" s="20"/>
      <c r="CM197" s="20"/>
      <c r="CN197" s="20"/>
      <c r="CO197" s="20"/>
      <c r="CP197" s="20"/>
      <c r="CQ197" s="20"/>
      <c r="CR197" s="20"/>
      <c r="CS197" s="20"/>
      <c r="CT197" s="20"/>
      <c r="CU197" s="20"/>
      <c r="CV197" s="20"/>
      <c r="CW197" s="20"/>
      <c r="CX197" s="20"/>
      <c r="CY197" s="20"/>
      <c r="CZ197" s="20"/>
      <c r="DA197" s="20"/>
      <c r="DB197" s="20"/>
      <c r="DC197" s="20"/>
      <c r="DD197" s="20"/>
      <c r="DE197" s="20"/>
    </row>
    <row r="198" spans="2:109" ht="14" thickBot="1">
      <c r="B198" s="94">
        <v>7</v>
      </c>
      <c r="C198" s="12" t="s">
        <v>68</v>
      </c>
    </row>
    <row r="199" spans="2:109">
      <c r="C199" s="553">
        <v>2024</v>
      </c>
      <c r="E199" s="1" t="s">
        <v>59</v>
      </c>
      <c r="F199" s="2"/>
      <c r="G199" s="3"/>
      <c r="H199" s="3"/>
      <c r="I199" s="3"/>
      <c r="J199" s="3"/>
      <c r="K199" s="4">
        <f>SUM(F199:J199)</f>
        <v>0</v>
      </c>
      <c r="M199" s="2"/>
      <c r="N199" s="3"/>
      <c r="O199" s="3"/>
      <c r="P199" s="3"/>
      <c r="Q199" s="3"/>
      <c r="R199" s="4">
        <f>SUM(M199:Q199)</f>
        <v>0</v>
      </c>
      <c r="T199" s="2"/>
      <c r="U199" s="3"/>
      <c r="V199" s="3"/>
      <c r="W199" s="3"/>
      <c r="X199" s="3"/>
      <c r="Y199" s="4">
        <f>SUM(T199:X199)</f>
        <v>0</v>
      </c>
      <c r="AA199" s="2"/>
      <c r="AB199" s="3"/>
      <c r="AC199" s="3"/>
      <c r="AD199" s="3"/>
      <c r="AE199" s="3"/>
      <c r="AF199" s="4">
        <f>SUM(AA199:AE199)</f>
        <v>0</v>
      </c>
      <c r="AH199" s="2"/>
      <c r="AI199" s="3"/>
      <c r="AJ199" s="3"/>
      <c r="AK199" s="3"/>
      <c r="AL199" s="3"/>
      <c r="AM199" s="4">
        <f>SUM(AH199:AL199)</f>
        <v>0</v>
      </c>
      <c r="AO199" s="2"/>
      <c r="AP199" s="3"/>
      <c r="AQ199" s="3"/>
      <c r="AR199" s="3"/>
      <c r="AS199" s="3"/>
      <c r="AT199" s="4">
        <f>SUM(AO199:AS199)</f>
        <v>0</v>
      </c>
      <c r="AV199" s="2"/>
      <c r="AW199" s="3"/>
      <c r="AX199" s="3"/>
      <c r="AY199" s="3"/>
      <c r="AZ199" s="3"/>
      <c r="BA199" s="4">
        <f>SUM(AV199:AZ199)</f>
        <v>0</v>
      </c>
      <c r="BC199" s="2"/>
      <c r="BD199" s="3"/>
      <c r="BE199" s="3"/>
      <c r="BF199" s="3"/>
      <c r="BG199" s="3"/>
      <c r="BH199" s="4">
        <f>SUM(BC199:BG199)</f>
        <v>0</v>
      </c>
      <c r="BJ199" s="2"/>
      <c r="BK199" s="3"/>
      <c r="BL199" s="3"/>
      <c r="BM199" s="3"/>
      <c r="BN199" s="3"/>
      <c r="BO199" s="4">
        <f>SUM(BJ199:BN199)</f>
        <v>0</v>
      </c>
      <c r="BQ199" s="2"/>
      <c r="BR199" s="3"/>
      <c r="BS199" s="3"/>
      <c r="BT199" s="3"/>
      <c r="BU199" s="3"/>
      <c r="BV199" s="4">
        <f>SUM(BQ199:BU199)</f>
        <v>0</v>
      </c>
      <c r="BX199" s="2"/>
      <c r="BY199" s="3"/>
      <c r="BZ199" s="3"/>
      <c r="CA199" s="3"/>
      <c r="CB199" s="3"/>
      <c r="CC199" s="4">
        <f>SUM(BX199:CB199)</f>
        <v>0</v>
      </c>
      <c r="CE199" s="26">
        <f t="shared" ref="CE199:CE202" si="875">F199+M199+T199+AA199+AH199+AO199+AV199+BC199+BJ199+BQ199+BX199</f>
        <v>0</v>
      </c>
      <c r="CF199" s="27">
        <f t="shared" ref="CF199:CF202" si="876">G199+N199+U199+AB199+AI199+AP199+AW199+BD199+BK199+BR199+BY199</f>
        <v>0</v>
      </c>
      <c r="CG199" s="27">
        <f t="shared" ref="CG199:CG202" si="877">H199+O199+V199+AC199+AJ199+AQ199+AX199+BE199+BL199+BS199+BZ199</f>
        <v>0</v>
      </c>
      <c r="CH199" s="27">
        <f t="shared" ref="CH199:CH202" si="878">I199+P199+W199+AD199+AK199+AR199+AY199+BF199+BM199+BT199+CA199</f>
        <v>0</v>
      </c>
      <c r="CI199" s="27">
        <f t="shared" ref="CI199:CI202" si="879">J199+Q199+X199+AE199+AL199+AS199+AZ199+BG199+BN199+BU199+CB199</f>
        <v>0</v>
      </c>
      <c r="CJ199" s="4">
        <f>SUM(CE199:CI199)</f>
        <v>0</v>
      </c>
      <c r="CL199" s="2"/>
      <c r="CM199" s="3"/>
      <c r="CN199" s="3"/>
      <c r="CO199" s="3"/>
      <c r="CP199" s="3"/>
      <c r="CQ199" s="4">
        <f>SUM(CL199:CP199)</f>
        <v>0</v>
      </c>
      <c r="CS199" s="2"/>
      <c r="CT199" s="3"/>
      <c r="CU199" s="3"/>
      <c r="CV199" s="3"/>
      <c r="CW199" s="3"/>
      <c r="CX199" s="4">
        <f>SUM(CS199:CW199)</f>
        <v>0</v>
      </c>
      <c r="CZ199" s="2"/>
      <c r="DA199" s="3"/>
      <c r="DB199" s="3"/>
      <c r="DC199" s="3"/>
      <c r="DD199" s="3"/>
      <c r="DE199" s="4">
        <f>SUM(CZ199:DD199)</f>
        <v>0</v>
      </c>
    </row>
    <row r="200" spans="2:109">
      <c r="C200" s="567"/>
      <c r="E200" s="5" t="s">
        <v>60</v>
      </c>
      <c r="F200" s="6"/>
      <c r="G200" s="7"/>
      <c r="H200" s="7"/>
      <c r="I200" s="7"/>
      <c r="J200" s="7"/>
      <c r="K200" s="8">
        <f t="shared" ref="K200:K202" si="880">SUM(F200:J200)</f>
        <v>0</v>
      </c>
      <c r="M200" s="6"/>
      <c r="N200" s="7"/>
      <c r="O200" s="7"/>
      <c r="P200" s="7"/>
      <c r="Q200" s="7"/>
      <c r="R200" s="8">
        <f t="shared" ref="R200:R202" si="881">SUM(M200:Q200)</f>
        <v>0</v>
      </c>
      <c r="T200" s="6"/>
      <c r="U200" s="7"/>
      <c r="V200" s="7"/>
      <c r="W200" s="7"/>
      <c r="X200" s="7"/>
      <c r="Y200" s="8">
        <f t="shared" ref="Y200:Y202" si="882">SUM(T200:X200)</f>
        <v>0</v>
      </c>
      <c r="AA200" s="6"/>
      <c r="AB200" s="7"/>
      <c r="AC200" s="7"/>
      <c r="AD200" s="7"/>
      <c r="AE200" s="7"/>
      <c r="AF200" s="8">
        <f>SUM(AA200:AE200)</f>
        <v>0</v>
      </c>
      <c r="AH200" s="6"/>
      <c r="AI200" s="7"/>
      <c r="AJ200" s="7"/>
      <c r="AK200" s="7"/>
      <c r="AL200" s="7"/>
      <c r="AM200" s="8">
        <f>SUM(AH200:AL200)</f>
        <v>0</v>
      </c>
      <c r="AO200" s="6"/>
      <c r="AP200" s="7"/>
      <c r="AQ200" s="7"/>
      <c r="AR200" s="7"/>
      <c r="AS200" s="7"/>
      <c r="AT200" s="8">
        <f>SUM(AO200:AS200)</f>
        <v>0</v>
      </c>
      <c r="AV200" s="6"/>
      <c r="AW200" s="7"/>
      <c r="AX200" s="7"/>
      <c r="AY200" s="7"/>
      <c r="AZ200" s="7"/>
      <c r="BA200" s="8">
        <f>SUM(AV200:AZ200)</f>
        <v>0</v>
      </c>
      <c r="BC200" s="6"/>
      <c r="BD200" s="7"/>
      <c r="BE200" s="7"/>
      <c r="BF200" s="7"/>
      <c r="BG200" s="7"/>
      <c r="BH200" s="8">
        <f>SUM(BC200:BG200)</f>
        <v>0</v>
      </c>
      <c r="BJ200" s="6"/>
      <c r="BK200" s="7"/>
      <c r="BL200" s="7"/>
      <c r="BM200" s="7"/>
      <c r="BN200" s="7"/>
      <c r="BO200" s="8">
        <f>SUM(BJ200:BN200)</f>
        <v>0</v>
      </c>
      <c r="BQ200" s="6"/>
      <c r="BR200" s="7"/>
      <c r="BS200" s="7"/>
      <c r="BT200" s="7"/>
      <c r="BU200" s="7"/>
      <c r="BV200" s="8">
        <f>SUM(BQ200:BU200)</f>
        <v>0</v>
      </c>
      <c r="BX200" s="6"/>
      <c r="BY200" s="7"/>
      <c r="BZ200" s="7"/>
      <c r="CA200" s="7"/>
      <c r="CB200" s="7"/>
      <c r="CC200" s="8">
        <f>SUM(BX200:CB200)</f>
        <v>0</v>
      </c>
      <c r="CE200" s="28">
        <f t="shared" si="875"/>
        <v>0</v>
      </c>
      <c r="CF200" s="29">
        <f t="shared" si="876"/>
        <v>0</v>
      </c>
      <c r="CG200" s="29">
        <f t="shared" si="877"/>
        <v>0</v>
      </c>
      <c r="CH200" s="29">
        <f t="shared" si="878"/>
        <v>0</v>
      </c>
      <c r="CI200" s="29">
        <f t="shared" si="879"/>
        <v>0</v>
      </c>
      <c r="CJ200" s="8">
        <f>SUM(CE200:CI200)</f>
        <v>0</v>
      </c>
      <c r="CL200" s="6"/>
      <c r="CM200" s="7"/>
      <c r="CN200" s="7"/>
      <c r="CO200" s="7"/>
      <c r="CP200" s="7"/>
      <c r="CQ200" s="8">
        <f>SUM(CL200:CP200)</f>
        <v>0</v>
      </c>
      <c r="CS200" s="6"/>
      <c r="CT200" s="7"/>
      <c r="CU200" s="7"/>
      <c r="CV200" s="7"/>
      <c r="CW200" s="7"/>
      <c r="CX200" s="8">
        <f t="shared" ref="CX200:CX202" si="883">SUM(CS200:CW200)</f>
        <v>0</v>
      </c>
      <c r="CZ200" s="6"/>
      <c r="DA200" s="7"/>
      <c r="DB200" s="7"/>
      <c r="DC200" s="7"/>
      <c r="DD200" s="7"/>
      <c r="DE200" s="8">
        <f t="shared" ref="DE200:DE202" si="884">SUM(CZ200:DD200)</f>
        <v>0</v>
      </c>
    </row>
    <row r="201" spans="2:109">
      <c r="C201" s="567"/>
      <c r="E201" s="5" t="s">
        <v>61</v>
      </c>
      <c r="F201" s="6"/>
      <c r="G201" s="7"/>
      <c r="H201" s="7"/>
      <c r="I201" s="7"/>
      <c r="J201" s="7"/>
      <c r="K201" s="8">
        <f t="shared" si="880"/>
        <v>0</v>
      </c>
      <c r="M201" s="6"/>
      <c r="N201" s="7"/>
      <c r="O201" s="7"/>
      <c r="P201" s="7"/>
      <c r="Q201" s="7"/>
      <c r="R201" s="8">
        <f t="shared" si="881"/>
        <v>0</v>
      </c>
      <c r="T201" s="6"/>
      <c r="U201" s="7"/>
      <c r="V201" s="7"/>
      <c r="W201" s="7"/>
      <c r="X201" s="7"/>
      <c r="Y201" s="8">
        <f t="shared" si="882"/>
        <v>0</v>
      </c>
      <c r="AA201" s="6"/>
      <c r="AB201" s="7"/>
      <c r="AC201" s="7"/>
      <c r="AD201" s="7"/>
      <c r="AE201" s="7"/>
      <c r="AF201" s="8">
        <f>SUM(AA201:AE201)</f>
        <v>0</v>
      </c>
      <c r="AH201" s="6"/>
      <c r="AI201" s="7"/>
      <c r="AJ201" s="7"/>
      <c r="AK201" s="7"/>
      <c r="AL201" s="7"/>
      <c r="AM201" s="8">
        <f>SUM(AH201:AL201)</f>
        <v>0</v>
      </c>
      <c r="AO201" s="6"/>
      <c r="AP201" s="7"/>
      <c r="AQ201" s="7"/>
      <c r="AR201" s="7"/>
      <c r="AS201" s="7"/>
      <c r="AT201" s="8">
        <f>SUM(AO201:AS201)</f>
        <v>0</v>
      </c>
      <c r="AV201" s="6"/>
      <c r="AW201" s="7"/>
      <c r="AX201" s="7"/>
      <c r="AY201" s="7"/>
      <c r="AZ201" s="7"/>
      <c r="BA201" s="8">
        <f>SUM(AV201:AZ201)</f>
        <v>0</v>
      </c>
      <c r="BC201" s="6"/>
      <c r="BD201" s="7"/>
      <c r="BE201" s="7"/>
      <c r="BF201" s="7"/>
      <c r="BG201" s="7"/>
      <c r="BH201" s="8">
        <f>SUM(BC201:BG201)</f>
        <v>0</v>
      </c>
      <c r="BJ201" s="6"/>
      <c r="BK201" s="7"/>
      <c r="BL201" s="7"/>
      <c r="BM201" s="7"/>
      <c r="BN201" s="7"/>
      <c r="BO201" s="8">
        <f>SUM(BJ201:BN201)</f>
        <v>0</v>
      </c>
      <c r="BQ201" s="6"/>
      <c r="BR201" s="7"/>
      <c r="BS201" s="7"/>
      <c r="BT201" s="7"/>
      <c r="BU201" s="7"/>
      <c r="BV201" s="8">
        <f>SUM(BQ201:BU201)</f>
        <v>0</v>
      </c>
      <c r="BX201" s="6"/>
      <c r="BY201" s="7"/>
      <c r="BZ201" s="7"/>
      <c r="CA201" s="7"/>
      <c r="CB201" s="7"/>
      <c r="CC201" s="8">
        <f>SUM(BX201:CB201)</f>
        <v>0</v>
      </c>
      <c r="CE201" s="28">
        <f t="shared" si="875"/>
        <v>0</v>
      </c>
      <c r="CF201" s="29">
        <f t="shared" si="876"/>
        <v>0</v>
      </c>
      <c r="CG201" s="29">
        <f t="shared" si="877"/>
        <v>0</v>
      </c>
      <c r="CH201" s="29">
        <f t="shared" si="878"/>
        <v>0</v>
      </c>
      <c r="CI201" s="29">
        <f t="shared" si="879"/>
        <v>0</v>
      </c>
      <c r="CJ201" s="8">
        <f>SUM(CE201:CI201)</f>
        <v>0</v>
      </c>
      <c r="CL201" s="6"/>
      <c r="CM201" s="7"/>
      <c r="CN201" s="7"/>
      <c r="CO201" s="7"/>
      <c r="CP201" s="7"/>
      <c r="CQ201" s="8">
        <f>SUM(CL201:CP201)</f>
        <v>0</v>
      </c>
      <c r="CS201" s="6"/>
      <c r="CT201" s="7"/>
      <c r="CU201" s="7"/>
      <c r="CV201" s="7"/>
      <c r="CW201" s="7"/>
      <c r="CX201" s="8">
        <f t="shared" si="883"/>
        <v>0</v>
      </c>
      <c r="CZ201" s="6"/>
      <c r="DA201" s="7"/>
      <c r="DB201" s="7"/>
      <c r="DC201" s="7"/>
      <c r="DD201" s="7"/>
      <c r="DE201" s="8">
        <f t="shared" si="884"/>
        <v>0</v>
      </c>
    </row>
    <row r="202" spans="2:109" ht="14" thickBot="1">
      <c r="C202" s="567"/>
      <c r="E202" s="5" t="s">
        <v>62</v>
      </c>
      <c r="F202" s="6"/>
      <c r="G202" s="7"/>
      <c r="H202" s="7"/>
      <c r="I202" s="7"/>
      <c r="J202" s="7"/>
      <c r="K202" s="8">
        <f t="shared" si="880"/>
        <v>0</v>
      </c>
      <c r="M202" s="6"/>
      <c r="N202" s="7"/>
      <c r="O202" s="7"/>
      <c r="P202" s="7"/>
      <c r="Q202" s="7"/>
      <c r="R202" s="8">
        <f t="shared" si="881"/>
        <v>0</v>
      </c>
      <c r="T202" s="6"/>
      <c r="U202" s="7"/>
      <c r="V202" s="7"/>
      <c r="W202" s="7"/>
      <c r="X202" s="7"/>
      <c r="Y202" s="8">
        <f t="shared" si="882"/>
        <v>0</v>
      </c>
      <c r="AA202" s="6"/>
      <c r="AB202" s="7"/>
      <c r="AC202" s="7"/>
      <c r="AD202" s="7"/>
      <c r="AE202" s="7"/>
      <c r="AF202" s="8">
        <f>SUM(AA202:AE202)</f>
        <v>0</v>
      </c>
      <c r="AH202" s="6"/>
      <c r="AI202" s="7"/>
      <c r="AJ202" s="7"/>
      <c r="AK202" s="7"/>
      <c r="AL202" s="7"/>
      <c r="AM202" s="8">
        <f>SUM(AH202:AL202)</f>
        <v>0</v>
      </c>
      <c r="AO202" s="6"/>
      <c r="AP202" s="7"/>
      <c r="AQ202" s="7"/>
      <c r="AR202" s="7"/>
      <c r="AS202" s="7"/>
      <c r="AT202" s="8">
        <f>SUM(AO202:AS202)</f>
        <v>0</v>
      </c>
      <c r="AV202" s="6"/>
      <c r="AW202" s="7"/>
      <c r="AX202" s="7"/>
      <c r="AY202" s="7"/>
      <c r="AZ202" s="7"/>
      <c r="BA202" s="8">
        <f>SUM(AV202:AZ202)</f>
        <v>0</v>
      </c>
      <c r="BC202" s="6"/>
      <c r="BD202" s="7"/>
      <c r="BE202" s="7"/>
      <c r="BF202" s="7"/>
      <c r="BG202" s="7"/>
      <c r="BH202" s="8">
        <f>SUM(BC202:BG202)</f>
        <v>0</v>
      </c>
      <c r="BJ202" s="6"/>
      <c r="BK202" s="7"/>
      <c r="BL202" s="7"/>
      <c r="BM202" s="7"/>
      <c r="BN202" s="7"/>
      <c r="BO202" s="8">
        <f>SUM(BJ202:BN202)</f>
        <v>0</v>
      </c>
      <c r="BQ202" s="6"/>
      <c r="BR202" s="7"/>
      <c r="BS202" s="7"/>
      <c r="BT202" s="7"/>
      <c r="BU202" s="7"/>
      <c r="BV202" s="8">
        <f>SUM(BQ202:BU202)</f>
        <v>0</v>
      </c>
      <c r="BX202" s="6"/>
      <c r="BY202" s="7"/>
      <c r="BZ202" s="7"/>
      <c r="CA202" s="7"/>
      <c r="CB202" s="7"/>
      <c r="CC202" s="8">
        <f>SUM(BX202:CB202)</f>
        <v>0</v>
      </c>
      <c r="CE202" s="493">
        <f t="shared" si="875"/>
        <v>0</v>
      </c>
      <c r="CF202" s="494">
        <f t="shared" si="876"/>
        <v>0</v>
      </c>
      <c r="CG202" s="494">
        <f t="shared" si="877"/>
        <v>0</v>
      </c>
      <c r="CH202" s="494">
        <f t="shared" si="878"/>
        <v>0</v>
      </c>
      <c r="CI202" s="494">
        <f t="shared" si="879"/>
        <v>0</v>
      </c>
      <c r="CJ202" s="495">
        <f>SUM(CE202:CI202)</f>
        <v>0</v>
      </c>
      <c r="CL202" s="6"/>
      <c r="CM202" s="7"/>
      <c r="CN202" s="7"/>
      <c r="CO202" s="7"/>
      <c r="CP202" s="7"/>
      <c r="CQ202" s="8">
        <f>SUM(CL202:CP202)</f>
        <v>0</v>
      </c>
      <c r="CS202" s="6"/>
      <c r="CT202" s="7"/>
      <c r="CU202" s="7"/>
      <c r="CV202" s="7"/>
      <c r="CW202" s="7"/>
      <c r="CX202" s="8">
        <f t="shared" si="883"/>
        <v>0</v>
      </c>
      <c r="CZ202" s="6"/>
      <c r="DA202" s="7"/>
      <c r="DB202" s="7"/>
      <c r="DC202" s="7"/>
      <c r="DD202" s="7"/>
      <c r="DE202" s="8">
        <f t="shared" si="884"/>
        <v>0</v>
      </c>
    </row>
    <row r="203" spans="2:109" ht="14" thickBot="1">
      <c r="C203" s="554"/>
      <c r="E203" s="9"/>
      <c r="F203" s="10">
        <f>SUM(F199:F202)</f>
        <v>0</v>
      </c>
      <c r="G203" s="11">
        <f t="shared" ref="G203:J203" si="885">SUM(G199:G202)</f>
        <v>0</v>
      </c>
      <c r="H203" s="11">
        <f t="shared" si="885"/>
        <v>0</v>
      </c>
      <c r="I203" s="11">
        <f t="shared" si="885"/>
        <v>0</v>
      </c>
      <c r="J203" s="61">
        <f t="shared" si="885"/>
        <v>0</v>
      </c>
      <c r="K203" s="25">
        <f>SUM(K199:K202)</f>
        <v>0</v>
      </c>
      <c r="M203" s="10">
        <f>SUM(M199:M202)</f>
        <v>0</v>
      </c>
      <c r="N203" s="11">
        <f t="shared" ref="N203:Q203" si="886">SUM(N199:N202)</f>
        <v>0</v>
      </c>
      <c r="O203" s="11">
        <f t="shared" si="886"/>
        <v>0</v>
      </c>
      <c r="P203" s="11">
        <f t="shared" si="886"/>
        <v>0</v>
      </c>
      <c r="Q203" s="11">
        <f t="shared" si="886"/>
        <v>0</v>
      </c>
      <c r="R203" s="25">
        <f>SUM(R199:R202)</f>
        <v>0</v>
      </c>
      <c r="T203" s="10">
        <f>SUM(T199:T202)</f>
        <v>0</v>
      </c>
      <c r="U203" s="11">
        <f t="shared" ref="U203:X203" si="887">SUM(U199:U202)</f>
        <v>0</v>
      </c>
      <c r="V203" s="11">
        <f t="shared" si="887"/>
        <v>0</v>
      </c>
      <c r="W203" s="11">
        <f t="shared" si="887"/>
        <v>0</v>
      </c>
      <c r="X203" s="11">
        <f t="shared" si="887"/>
        <v>0</v>
      </c>
      <c r="Y203" s="25">
        <f>SUM(Y199:Y202)</f>
        <v>0</v>
      </c>
      <c r="AA203" s="10">
        <f>SUM(AA199:AA202)</f>
        <v>0</v>
      </c>
      <c r="AB203" s="11">
        <f t="shared" ref="AB203:AE203" si="888">SUM(AB199:AB202)</f>
        <v>0</v>
      </c>
      <c r="AC203" s="11">
        <f t="shared" si="888"/>
        <v>0</v>
      </c>
      <c r="AD203" s="11">
        <f t="shared" si="888"/>
        <v>0</v>
      </c>
      <c r="AE203" s="11">
        <f t="shared" si="888"/>
        <v>0</v>
      </c>
      <c r="AF203" s="25">
        <f>SUM(AF199:AF202)</f>
        <v>0</v>
      </c>
      <c r="AH203" s="10">
        <f t="shared" ref="AH203:AM203" si="889">SUM(AH199:AH202)</f>
        <v>0</v>
      </c>
      <c r="AI203" s="11">
        <f t="shared" si="889"/>
        <v>0</v>
      </c>
      <c r="AJ203" s="11">
        <f t="shared" si="889"/>
        <v>0</v>
      </c>
      <c r="AK203" s="11">
        <f t="shared" si="889"/>
        <v>0</v>
      </c>
      <c r="AL203" s="11">
        <f t="shared" si="889"/>
        <v>0</v>
      </c>
      <c r="AM203" s="25">
        <f t="shared" si="889"/>
        <v>0</v>
      </c>
      <c r="AO203" s="10">
        <f t="shared" ref="AO203:AT203" si="890">SUM(AO199:AO202)</f>
        <v>0</v>
      </c>
      <c r="AP203" s="11">
        <f t="shared" si="890"/>
        <v>0</v>
      </c>
      <c r="AQ203" s="11">
        <f t="shared" si="890"/>
        <v>0</v>
      </c>
      <c r="AR203" s="11">
        <f t="shared" si="890"/>
        <v>0</v>
      </c>
      <c r="AS203" s="11">
        <f t="shared" si="890"/>
        <v>0</v>
      </c>
      <c r="AT203" s="25">
        <f t="shared" si="890"/>
        <v>0</v>
      </c>
      <c r="AV203" s="10">
        <f t="shared" ref="AV203:BA203" si="891">SUM(AV199:AV202)</f>
        <v>0</v>
      </c>
      <c r="AW203" s="11">
        <f t="shared" si="891"/>
        <v>0</v>
      </c>
      <c r="AX203" s="11">
        <f t="shared" si="891"/>
        <v>0</v>
      </c>
      <c r="AY203" s="11">
        <f t="shared" si="891"/>
        <v>0</v>
      </c>
      <c r="AZ203" s="11">
        <f t="shared" si="891"/>
        <v>0</v>
      </c>
      <c r="BA203" s="25">
        <f t="shared" si="891"/>
        <v>0</v>
      </c>
      <c r="BC203" s="10">
        <f t="shared" ref="BC203:BH203" si="892">SUM(BC199:BC202)</f>
        <v>0</v>
      </c>
      <c r="BD203" s="11">
        <f t="shared" si="892"/>
        <v>0</v>
      </c>
      <c r="BE203" s="11">
        <f t="shared" si="892"/>
        <v>0</v>
      </c>
      <c r="BF203" s="11">
        <f t="shared" si="892"/>
        <v>0</v>
      </c>
      <c r="BG203" s="11">
        <f t="shared" si="892"/>
        <v>0</v>
      </c>
      <c r="BH203" s="25">
        <f t="shared" si="892"/>
        <v>0</v>
      </c>
      <c r="BJ203" s="10">
        <f t="shared" ref="BJ203:BO203" si="893">SUM(BJ199:BJ202)</f>
        <v>0</v>
      </c>
      <c r="BK203" s="11">
        <f t="shared" si="893"/>
        <v>0</v>
      </c>
      <c r="BL203" s="11">
        <f t="shared" si="893"/>
        <v>0</v>
      </c>
      <c r="BM203" s="11">
        <f t="shared" si="893"/>
        <v>0</v>
      </c>
      <c r="BN203" s="11">
        <f t="shared" si="893"/>
        <v>0</v>
      </c>
      <c r="BO203" s="25">
        <f t="shared" si="893"/>
        <v>0</v>
      </c>
      <c r="BQ203" s="10">
        <f t="shared" ref="BQ203:BV203" si="894">SUM(BQ199:BQ202)</f>
        <v>0</v>
      </c>
      <c r="BR203" s="11">
        <f t="shared" si="894"/>
        <v>0</v>
      </c>
      <c r="BS203" s="11">
        <f t="shared" si="894"/>
        <v>0</v>
      </c>
      <c r="BT203" s="11">
        <f t="shared" si="894"/>
        <v>0</v>
      </c>
      <c r="BU203" s="11">
        <f t="shared" si="894"/>
        <v>0</v>
      </c>
      <c r="BV203" s="25">
        <f t="shared" si="894"/>
        <v>0</v>
      </c>
      <c r="BX203" s="10">
        <f t="shared" ref="BX203:CC203" si="895">SUM(BX199:BX202)</f>
        <v>0</v>
      </c>
      <c r="BY203" s="11">
        <f t="shared" si="895"/>
        <v>0</v>
      </c>
      <c r="BZ203" s="11">
        <f t="shared" si="895"/>
        <v>0</v>
      </c>
      <c r="CA203" s="11">
        <f t="shared" si="895"/>
        <v>0</v>
      </c>
      <c r="CB203" s="11">
        <f t="shared" si="895"/>
        <v>0</v>
      </c>
      <c r="CC203" s="25">
        <f t="shared" si="895"/>
        <v>0</v>
      </c>
      <c r="CE203" s="62">
        <f t="shared" ref="CE203:CJ203" si="896">SUM(CE199:CE202)</f>
        <v>0</v>
      </c>
      <c r="CF203" s="63">
        <f t="shared" si="896"/>
        <v>0</v>
      </c>
      <c r="CG203" s="63">
        <f t="shared" si="896"/>
        <v>0</v>
      </c>
      <c r="CH203" s="63">
        <f t="shared" si="896"/>
        <v>0</v>
      </c>
      <c r="CI203" s="63">
        <f t="shared" si="896"/>
        <v>0</v>
      </c>
      <c r="CJ203" s="25">
        <f t="shared" si="896"/>
        <v>0</v>
      </c>
      <c r="CL203" s="10">
        <f>SUM(CL199:CL202)</f>
        <v>0</v>
      </c>
      <c r="CM203" s="11">
        <f t="shared" ref="CM203:CQ203" si="897">SUM(CM199:CM202)</f>
        <v>0</v>
      </c>
      <c r="CN203" s="11">
        <f t="shared" si="897"/>
        <v>0</v>
      </c>
      <c r="CO203" s="11">
        <f t="shared" si="897"/>
        <v>0</v>
      </c>
      <c r="CP203" s="11">
        <f t="shared" si="897"/>
        <v>0</v>
      </c>
      <c r="CQ203" s="25">
        <f t="shared" si="897"/>
        <v>0</v>
      </c>
      <c r="CS203" s="10">
        <f>SUM(CS199:CS202)</f>
        <v>0</v>
      </c>
      <c r="CT203" s="11">
        <f t="shared" ref="CT203:CW203" si="898">SUM(CT199:CT202)</f>
        <v>0</v>
      </c>
      <c r="CU203" s="11">
        <f t="shared" si="898"/>
        <v>0</v>
      </c>
      <c r="CV203" s="11">
        <f t="shared" si="898"/>
        <v>0</v>
      </c>
      <c r="CW203" s="11">
        <f t="shared" si="898"/>
        <v>0</v>
      </c>
      <c r="CX203" s="25">
        <f>SUM(CX199:CX202)</f>
        <v>0</v>
      </c>
      <c r="CZ203" s="10">
        <f>SUM(CZ199:CZ202)</f>
        <v>0</v>
      </c>
      <c r="DA203" s="11">
        <f t="shared" ref="DA203:DD203" si="899">SUM(DA199:DA202)</f>
        <v>0</v>
      </c>
      <c r="DB203" s="11">
        <f t="shared" si="899"/>
        <v>0</v>
      </c>
      <c r="DC203" s="11">
        <f t="shared" si="899"/>
        <v>0</v>
      </c>
      <c r="DD203" s="11">
        <f t="shared" si="899"/>
        <v>0</v>
      </c>
      <c r="DE203" s="25">
        <f>SUM(DE199:DE202)</f>
        <v>0</v>
      </c>
    </row>
    <row r="204" spans="2:109" ht="10.4" customHeight="1" thickBot="1"/>
    <row r="205" spans="2:109">
      <c r="C205" s="553">
        <v>2025</v>
      </c>
      <c r="E205" s="13" t="s">
        <v>59</v>
      </c>
      <c r="F205" s="21">
        <f>CE199</f>
        <v>0</v>
      </c>
      <c r="G205" s="22">
        <f t="shared" ref="G205:G208" si="900">CF199</f>
        <v>0</v>
      </c>
      <c r="H205" s="22">
        <f t="shared" ref="H205:H208" si="901">CG199</f>
        <v>0</v>
      </c>
      <c r="I205" s="22">
        <f t="shared" ref="I205:I208" si="902">CH199</f>
        <v>0</v>
      </c>
      <c r="J205" s="22">
        <f t="shared" ref="J205:J208" si="903">CI199</f>
        <v>0</v>
      </c>
      <c r="K205" s="15">
        <f>SUM(F205:J205)</f>
        <v>0</v>
      </c>
      <c r="M205" s="2"/>
      <c r="N205" s="3"/>
      <c r="O205" s="3"/>
      <c r="P205" s="3"/>
      <c r="Q205" s="3"/>
      <c r="R205" s="15">
        <f>SUM(M205:Q205)</f>
        <v>0</v>
      </c>
      <c r="T205" s="2"/>
      <c r="U205" s="3"/>
      <c r="V205" s="3"/>
      <c r="W205" s="3"/>
      <c r="X205" s="3"/>
      <c r="Y205" s="15">
        <f>SUM(T205:X205)</f>
        <v>0</v>
      </c>
      <c r="AA205" s="2"/>
      <c r="AB205" s="3"/>
      <c r="AC205" s="3"/>
      <c r="AD205" s="3"/>
      <c r="AE205" s="3"/>
      <c r="AF205" s="15">
        <f>SUM(AA205:AE205)</f>
        <v>0</v>
      </c>
      <c r="AH205" s="2"/>
      <c r="AI205" s="3"/>
      <c r="AJ205" s="3"/>
      <c r="AK205" s="3"/>
      <c r="AL205" s="3"/>
      <c r="AM205" s="15">
        <f>SUM(AH205:AL205)</f>
        <v>0</v>
      </c>
      <c r="AO205" s="2"/>
      <c r="AP205" s="3"/>
      <c r="AQ205" s="3"/>
      <c r="AR205" s="3"/>
      <c r="AS205" s="3"/>
      <c r="AT205" s="15">
        <f>SUM(AO205:AS205)</f>
        <v>0</v>
      </c>
      <c r="AV205" s="2"/>
      <c r="AW205" s="3"/>
      <c r="AX205" s="3"/>
      <c r="AY205" s="3"/>
      <c r="AZ205" s="3"/>
      <c r="BA205" s="15">
        <f>SUM(AV205:AZ205)</f>
        <v>0</v>
      </c>
      <c r="BC205" s="2"/>
      <c r="BD205" s="3"/>
      <c r="BE205" s="3"/>
      <c r="BF205" s="3"/>
      <c r="BG205" s="3"/>
      <c r="BH205" s="15">
        <f>SUM(BC205:BG205)</f>
        <v>0</v>
      </c>
      <c r="BJ205" s="2"/>
      <c r="BK205" s="3"/>
      <c r="BL205" s="3"/>
      <c r="BM205" s="3"/>
      <c r="BN205" s="3"/>
      <c r="BO205" s="15">
        <f>SUM(BJ205:BN205)</f>
        <v>0</v>
      </c>
      <c r="BQ205" s="2"/>
      <c r="BR205" s="3"/>
      <c r="BS205" s="3"/>
      <c r="BT205" s="3"/>
      <c r="BU205" s="3"/>
      <c r="BV205" s="15">
        <f>SUM(BQ205:BU205)</f>
        <v>0</v>
      </c>
      <c r="BX205" s="2"/>
      <c r="BY205" s="3"/>
      <c r="BZ205" s="3"/>
      <c r="CA205" s="3"/>
      <c r="CB205" s="3"/>
      <c r="CC205" s="15">
        <f>SUM(BX205:CB205)</f>
        <v>0</v>
      </c>
      <c r="CE205" s="26">
        <f t="shared" ref="CE205:CE208" si="904">F205+M205+T205+AA205+AH205+AO205+AV205+BC205+BJ205+BQ205+BX205</f>
        <v>0</v>
      </c>
      <c r="CF205" s="27">
        <f t="shared" ref="CF205:CF208" si="905">G205+N205+U205+AB205+AI205+AP205+AW205+BD205+BK205+BR205+BY205</f>
        <v>0</v>
      </c>
      <c r="CG205" s="27">
        <f t="shared" ref="CG205:CG208" si="906">H205+O205+V205+AC205+AJ205+AQ205+AX205+BE205+BL205+BS205+BZ205</f>
        <v>0</v>
      </c>
      <c r="CH205" s="27">
        <f t="shared" ref="CH205:CH208" si="907">I205+P205+W205+AD205+AK205+AR205+AY205+BF205+BM205+BT205+CA205</f>
        <v>0</v>
      </c>
      <c r="CI205" s="27">
        <f t="shared" ref="CI205:CI208" si="908">J205+Q205+X205+AE205+AL205+AS205+AZ205+BG205+BN205+BU205+CB205</f>
        <v>0</v>
      </c>
      <c r="CJ205" s="4">
        <f>SUM(CE205:CI205)</f>
        <v>0</v>
      </c>
      <c r="CL205" s="2"/>
      <c r="CM205" s="3"/>
      <c r="CN205" s="3"/>
      <c r="CO205" s="3"/>
      <c r="CP205" s="3"/>
      <c r="CQ205" s="15">
        <f>SUM(CL205:CP205)</f>
        <v>0</v>
      </c>
      <c r="CS205" s="2"/>
      <c r="CT205" s="3"/>
      <c r="CU205" s="3"/>
      <c r="CV205" s="3"/>
      <c r="CW205" s="3"/>
      <c r="CX205" s="15">
        <f>SUM(CS205:CW205)</f>
        <v>0</v>
      </c>
      <c r="CZ205" s="2"/>
      <c r="DA205" s="3"/>
      <c r="DB205" s="3"/>
      <c r="DC205" s="3"/>
      <c r="DD205" s="3"/>
      <c r="DE205" s="15">
        <f>SUM(CZ205:DD205)</f>
        <v>0</v>
      </c>
    </row>
    <row r="206" spans="2:109">
      <c r="C206" s="567"/>
      <c r="E206" s="14" t="s">
        <v>60</v>
      </c>
      <c r="F206" s="23">
        <f t="shared" ref="F206:F208" si="909">CE200</f>
        <v>0</v>
      </c>
      <c r="G206" s="24">
        <f t="shared" si="900"/>
        <v>0</v>
      </c>
      <c r="H206" s="24">
        <f t="shared" si="901"/>
        <v>0</v>
      </c>
      <c r="I206" s="24">
        <f t="shared" si="902"/>
        <v>0</v>
      </c>
      <c r="J206" s="24">
        <f t="shared" si="903"/>
        <v>0</v>
      </c>
      <c r="K206" s="16">
        <f t="shared" ref="K206:K208" si="910">SUM(F206:J206)</f>
        <v>0</v>
      </c>
      <c r="M206" s="6"/>
      <c r="N206" s="7"/>
      <c r="O206" s="7"/>
      <c r="P206" s="7"/>
      <c r="Q206" s="7"/>
      <c r="R206" s="16">
        <f t="shared" ref="R206:R208" si="911">SUM(M206:Q206)</f>
        <v>0</v>
      </c>
      <c r="T206" s="6"/>
      <c r="U206" s="7"/>
      <c r="V206" s="7"/>
      <c r="W206" s="7"/>
      <c r="X206" s="7"/>
      <c r="Y206" s="16">
        <f t="shared" ref="Y206:Y208" si="912">SUM(T206:X206)</f>
        <v>0</v>
      </c>
      <c r="AA206" s="6"/>
      <c r="AB206" s="7"/>
      <c r="AC206" s="7"/>
      <c r="AD206" s="7"/>
      <c r="AE206" s="7"/>
      <c r="AF206" s="16">
        <f>SUM(AA206:AE206)</f>
        <v>0</v>
      </c>
      <c r="AH206" s="6"/>
      <c r="AI206" s="7"/>
      <c r="AJ206" s="7"/>
      <c r="AK206" s="7"/>
      <c r="AL206" s="7"/>
      <c r="AM206" s="16">
        <f>SUM(AH206:AL206)</f>
        <v>0</v>
      </c>
      <c r="AO206" s="6"/>
      <c r="AP206" s="7"/>
      <c r="AQ206" s="7"/>
      <c r="AR206" s="7"/>
      <c r="AS206" s="7"/>
      <c r="AT206" s="16">
        <f>SUM(AO206:AS206)</f>
        <v>0</v>
      </c>
      <c r="AV206" s="6"/>
      <c r="AW206" s="7"/>
      <c r="AX206" s="7"/>
      <c r="AY206" s="7"/>
      <c r="AZ206" s="7"/>
      <c r="BA206" s="16">
        <f>SUM(AV206:AZ206)</f>
        <v>0</v>
      </c>
      <c r="BC206" s="6"/>
      <c r="BD206" s="7"/>
      <c r="BE206" s="7"/>
      <c r="BF206" s="7"/>
      <c r="BG206" s="7"/>
      <c r="BH206" s="16">
        <f>SUM(BC206:BG206)</f>
        <v>0</v>
      </c>
      <c r="BJ206" s="6"/>
      <c r="BK206" s="7"/>
      <c r="BL206" s="7"/>
      <c r="BM206" s="7"/>
      <c r="BN206" s="7"/>
      <c r="BO206" s="16">
        <f>SUM(BJ206:BN206)</f>
        <v>0</v>
      </c>
      <c r="BQ206" s="6"/>
      <c r="BR206" s="7"/>
      <c r="BS206" s="7"/>
      <c r="BT206" s="7"/>
      <c r="BU206" s="7"/>
      <c r="BV206" s="16">
        <f>SUM(BQ206:BU206)</f>
        <v>0</v>
      </c>
      <c r="BX206" s="6"/>
      <c r="BY206" s="7"/>
      <c r="BZ206" s="7"/>
      <c r="CA206" s="7"/>
      <c r="CB206" s="7"/>
      <c r="CC206" s="16">
        <f>SUM(BX206:CB206)</f>
        <v>0</v>
      </c>
      <c r="CE206" s="28">
        <f t="shared" si="904"/>
        <v>0</v>
      </c>
      <c r="CF206" s="29">
        <f t="shared" si="905"/>
        <v>0</v>
      </c>
      <c r="CG206" s="29">
        <f t="shared" si="906"/>
        <v>0</v>
      </c>
      <c r="CH206" s="29">
        <f t="shared" si="907"/>
        <v>0</v>
      </c>
      <c r="CI206" s="29">
        <f t="shared" si="908"/>
        <v>0</v>
      </c>
      <c r="CJ206" s="8">
        <f>SUM(CE206:CI206)</f>
        <v>0</v>
      </c>
      <c r="CL206" s="6"/>
      <c r="CM206" s="7"/>
      <c r="CN206" s="7"/>
      <c r="CO206" s="7"/>
      <c r="CP206" s="7"/>
      <c r="CQ206" s="16">
        <f>SUM(CL206:CP206)</f>
        <v>0</v>
      </c>
      <c r="CS206" s="6"/>
      <c r="CT206" s="7"/>
      <c r="CU206" s="7"/>
      <c r="CV206" s="7"/>
      <c r="CW206" s="7"/>
      <c r="CX206" s="16">
        <f t="shared" ref="CX206:CX208" si="913">SUM(CS206:CW206)</f>
        <v>0</v>
      </c>
      <c r="CZ206" s="6"/>
      <c r="DA206" s="7"/>
      <c r="DB206" s="7"/>
      <c r="DC206" s="7"/>
      <c r="DD206" s="7"/>
      <c r="DE206" s="16">
        <f t="shared" ref="DE206:DE208" si="914">SUM(CZ206:DD206)</f>
        <v>0</v>
      </c>
    </row>
    <row r="207" spans="2:109">
      <c r="C207" s="567"/>
      <c r="E207" s="14" t="s">
        <v>61</v>
      </c>
      <c r="F207" s="23">
        <f t="shared" si="909"/>
        <v>0</v>
      </c>
      <c r="G207" s="24">
        <f t="shared" si="900"/>
        <v>0</v>
      </c>
      <c r="H207" s="24">
        <f t="shared" si="901"/>
        <v>0</v>
      </c>
      <c r="I207" s="24">
        <f t="shared" si="902"/>
        <v>0</v>
      </c>
      <c r="J207" s="24">
        <f t="shared" si="903"/>
        <v>0</v>
      </c>
      <c r="K207" s="16">
        <f t="shared" si="910"/>
        <v>0</v>
      </c>
      <c r="M207" s="6"/>
      <c r="N207" s="7"/>
      <c r="O207" s="7"/>
      <c r="P207" s="7"/>
      <c r="Q207" s="7"/>
      <c r="R207" s="16">
        <f t="shared" si="911"/>
        <v>0</v>
      </c>
      <c r="T207" s="6"/>
      <c r="U207" s="7"/>
      <c r="V207" s="7"/>
      <c r="W207" s="7"/>
      <c r="X207" s="7"/>
      <c r="Y207" s="16">
        <f t="shared" si="912"/>
        <v>0</v>
      </c>
      <c r="AA207" s="6"/>
      <c r="AB207" s="7"/>
      <c r="AC207" s="7"/>
      <c r="AD207" s="7"/>
      <c r="AE207" s="7"/>
      <c r="AF207" s="16">
        <f>SUM(AA207:AE207)</f>
        <v>0</v>
      </c>
      <c r="AH207" s="6"/>
      <c r="AI207" s="7"/>
      <c r="AJ207" s="7"/>
      <c r="AK207" s="7"/>
      <c r="AL207" s="7"/>
      <c r="AM207" s="16">
        <f>SUM(AH207:AL207)</f>
        <v>0</v>
      </c>
      <c r="AO207" s="6"/>
      <c r="AP207" s="7"/>
      <c r="AQ207" s="7"/>
      <c r="AR207" s="7"/>
      <c r="AS207" s="7"/>
      <c r="AT207" s="16">
        <f>SUM(AO207:AS207)</f>
        <v>0</v>
      </c>
      <c r="AV207" s="6"/>
      <c r="AW207" s="7"/>
      <c r="AX207" s="7"/>
      <c r="AY207" s="7"/>
      <c r="AZ207" s="7"/>
      <c r="BA207" s="16">
        <f>SUM(AV207:AZ207)</f>
        <v>0</v>
      </c>
      <c r="BC207" s="6"/>
      <c r="BD207" s="7"/>
      <c r="BE207" s="7"/>
      <c r="BF207" s="7"/>
      <c r="BG207" s="7"/>
      <c r="BH207" s="16">
        <f>SUM(BC207:BG207)</f>
        <v>0</v>
      </c>
      <c r="BJ207" s="6"/>
      <c r="BK207" s="7"/>
      <c r="BL207" s="7"/>
      <c r="BM207" s="7"/>
      <c r="BN207" s="7"/>
      <c r="BO207" s="16">
        <f>SUM(BJ207:BN207)</f>
        <v>0</v>
      </c>
      <c r="BQ207" s="6"/>
      <c r="BR207" s="7"/>
      <c r="BS207" s="7"/>
      <c r="BT207" s="7"/>
      <c r="BU207" s="7"/>
      <c r="BV207" s="16">
        <f>SUM(BQ207:BU207)</f>
        <v>0</v>
      </c>
      <c r="BX207" s="6"/>
      <c r="BY207" s="7"/>
      <c r="BZ207" s="7"/>
      <c r="CA207" s="7"/>
      <c r="CB207" s="7"/>
      <c r="CC207" s="16">
        <f>SUM(BX207:CB207)</f>
        <v>0</v>
      </c>
      <c r="CE207" s="28">
        <f t="shared" si="904"/>
        <v>0</v>
      </c>
      <c r="CF207" s="29">
        <f t="shared" si="905"/>
        <v>0</v>
      </c>
      <c r="CG207" s="29">
        <f t="shared" si="906"/>
        <v>0</v>
      </c>
      <c r="CH207" s="29">
        <f t="shared" si="907"/>
        <v>0</v>
      </c>
      <c r="CI207" s="29">
        <f t="shared" si="908"/>
        <v>0</v>
      </c>
      <c r="CJ207" s="8">
        <f>SUM(CE207:CI207)</f>
        <v>0</v>
      </c>
      <c r="CL207" s="6"/>
      <c r="CM207" s="7"/>
      <c r="CN207" s="7"/>
      <c r="CO207" s="7"/>
      <c r="CP207" s="7"/>
      <c r="CQ207" s="16">
        <f>SUM(CL207:CP207)</f>
        <v>0</v>
      </c>
      <c r="CS207" s="6"/>
      <c r="CT207" s="7"/>
      <c r="CU207" s="7"/>
      <c r="CV207" s="7"/>
      <c r="CW207" s="7"/>
      <c r="CX207" s="16">
        <f t="shared" si="913"/>
        <v>0</v>
      </c>
      <c r="CZ207" s="6"/>
      <c r="DA207" s="7"/>
      <c r="DB207" s="7"/>
      <c r="DC207" s="7"/>
      <c r="DD207" s="7"/>
      <c r="DE207" s="16">
        <f t="shared" si="914"/>
        <v>0</v>
      </c>
    </row>
    <row r="208" spans="2:109" ht="14" thickBot="1">
      <c r="C208" s="567"/>
      <c r="E208" s="14" t="s">
        <v>62</v>
      </c>
      <c r="F208" s="23">
        <f t="shared" si="909"/>
        <v>0</v>
      </c>
      <c r="G208" s="24">
        <f t="shared" si="900"/>
        <v>0</v>
      </c>
      <c r="H208" s="24">
        <f t="shared" si="901"/>
        <v>0</v>
      </c>
      <c r="I208" s="24">
        <f t="shared" si="902"/>
        <v>0</v>
      </c>
      <c r="J208" s="24">
        <f t="shared" si="903"/>
        <v>0</v>
      </c>
      <c r="K208" s="16">
        <f t="shared" si="910"/>
        <v>0</v>
      </c>
      <c r="M208" s="6"/>
      <c r="N208" s="7"/>
      <c r="O208" s="7"/>
      <c r="P208" s="7"/>
      <c r="Q208" s="7"/>
      <c r="R208" s="16">
        <f t="shared" si="911"/>
        <v>0</v>
      </c>
      <c r="T208" s="6"/>
      <c r="U208" s="7"/>
      <c r="V208" s="7"/>
      <c r="W208" s="7"/>
      <c r="X208" s="7"/>
      <c r="Y208" s="16">
        <f t="shared" si="912"/>
        <v>0</v>
      </c>
      <c r="AA208" s="6"/>
      <c r="AB208" s="7"/>
      <c r="AC208" s="7"/>
      <c r="AD208" s="7"/>
      <c r="AE208" s="7"/>
      <c r="AF208" s="16">
        <f>SUM(AA208:AE208)</f>
        <v>0</v>
      </c>
      <c r="AH208" s="6"/>
      <c r="AI208" s="7"/>
      <c r="AJ208" s="7"/>
      <c r="AK208" s="7"/>
      <c r="AL208" s="7"/>
      <c r="AM208" s="16">
        <f>SUM(AH208:AL208)</f>
        <v>0</v>
      </c>
      <c r="AO208" s="6"/>
      <c r="AP208" s="7"/>
      <c r="AQ208" s="7"/>
      <c r="AR208" s="7"/>
      <c r="AS208" s="7"/>
      <c r="AT208" s="16">
        <f>SUM(AO208:AS208)</f>
        <v>0</v>
      </c>
      <c r="AV208" s="6"/>
      <c r="AW208" s="7"/>
      <c r="AX208" s="7"/>
      <c r="AY208" s="7"/>
      <c r="AZ208" s="7"/>
      <c r="BA208" s="16">
        <f>SUM(AV208:AZ208)</f>
        <v>0</v>
      </c>
      <c r="BC208" s="6"/>
      <c r="BD208" s="7"/>
      <c r="BE208" s="7"/>
      <c r="BF208" s="7"/>
      <c r="BG208" s="7"/>
      <c r="BH208" s="16">
        <f>SUM(BC208:BG208)</f>
        <v>0</v>
      </c>
      <c r="BJ208" s="6"/>
      <c r="BK208" s="7"/>
      <c r="BL208" s="7"/>
      <c r="BM208" s="7"/>
      <c r="BN208" s="7"/>
      <c r="BO208" s="16">
        <f>SUM(BJ208:BN208)</f>
        <v>0</v>
      </c>
      <c r="BQ208" s="6"/>
      <c r="BR208" s="7"/>
      <c r="BS208" s="7"/>
      <c r="BT208" s="7"/>
      <c r="BU208" s="7"/>
      <c r="BV208" s="16">
        <f>SUM(BQ208:BU208)</f>
        <v>0</v>
      </c>
      <c r="BX208" s="6"/>
      <c r="BY208" s="7"/>
      <c r="BZ208" s="7"/>
      <c r="CA208" s="7"/>
      <c r="CB208" s="7"/>
      <c r="CC208" s="16">
        <f>SUM(BX208:CB208)</f>
        <v>0</v>
      </c>
      <c r="CE208" s="493">
        <f t="shared" si="904"/>
        <v>0</v>
      </c>
      <c r="CF208" s="494">
        <f t="shared" si="905"/>
        <v>0</v>
      </c>
      <c r="CG208" s="494">
        <f t="shared" si="906"/>
        <v>0</v>
      </c>
      <c r="CH208" s="494">
        <f t="shared" si="907"/>
        <v>0</v>
      </c>
      <c r="CI208" s="494">
        <f t="shared" si="908"/>
        <v>0</v>
      </c>
      <c r="CJ208" s="495">
        <f>SUM(CE208:CI208)</f>
        <v>0</v>
      </c>
      <c r="CL208" s="6"/>
      <c r="CM208" s="7"/>
      <c r="CN208" s="7"/>
      <c r="CO208" s="7"/>
      <c r="CP208" s="7"/>
      <c r="CQ208" s="16">
        <f>SUM(CL208:CP208)</f>
        <v>0</v>
      </c>
      <c r="CS208" s="6"/>
      <c r="CT208" s="7"/>
      <c r="CU208" s="7"/>
      <c r="CV208" s="7"/>
      <c r="CW208" s="7"/>
      <c r="CX208" s="16">
        <f t="shared" si="913"/>
        <v>0</v>
      </c>
      <c r="CZ208" s="6"/>
      <c r="DA208" s="7"/>
      <c r="DB208" s="7"/>
      <c r="DC208" s="7"/>
      <c r="DD208" s="7"/>
      <c r="DE208" s="16">
        <f t="shared" si="914"/>
        <v>0</v>
      </c>
    </row>
    <row r="209" spans="3:109" ht="14" thickBot="1">
      <c r="C209" s="554"/>
      <c r="E209" s="17"/>
      <c r="F209" s="10">
        <f>SUM(F205:F208)</f>
        <v>0</v>
      </c>
      <c r="G209" s="11">
        <f t="shared" ref="G209:J209" si="915">SUM(G205:G208)</f>
        <v>0</v>
      </c>
      <c r="H209" s="11">
        <f t="shared" si="915"/>
        <v>0</v>
      </c>
      <c r="I209" s="11">
        <f t="shared" si="915"/>
        <v>0</v>
      </c>
      <c r="J209" s="11">
        <f t="shared" si="915"/>
        <v>0</v>
      </c>
      <c r="K209" s="25">
        <f>SUM(K205:K208)</f>
        <v>0</v>
      </c>
      <c r="M209" s="10">
        <f>SUM(M205:M208)</f>
        <v>0</v>
      </c>
      <c r="N209" s="11">
        <f t="shared" ref="N209:Q209" si="916">SUM(N205:N208)</f>
        <v>0</v>
      </c>
      <c r="O209" s="11">
        <f t="shared" si="916"/>
        <v>0</v>
      </c>
      <c r="P209" s="11">
        <f t="shared" si="916"/>
        <v>0</v>
      </c>
      <c r="Q209" s="11">
        <f t="shared" si="916"/>
        <v>0</v>
      </c>
      <c r="R209" s="25">
        <f>SUM(R205:R208)</f>
        <v>0</v>
      </c>
      <c r="T209" s="10">
        <f>SUM(T205:T208)</f>
        <v>0</v>
      </c>
      <c r="U209" s="11">
        <f t="shared" ref="U209:X209" si="917">SUM(U205:U208)</f>
        <v>0</v>
      </c>
      <c r="V209" s="11">
        <f t="shared" si="917"/>
        <v>0</v>
      </c>
      <c r="W209" s="11">
        <f t="shared" si="917"/>
        <v>0</v>
      </c>
      <c r="X209" s="11">
        <f t="shared" si="917"/>
        <v>0</v>
      </c>
      <c r="Y209" s="25">
        <f>SUM(Y205:Y208)</f>
        <v>0</v>
      </c>
      <c r="AA209" s="10">
        <f>SUM(AA205:AA208)</f>
        <v>0</v>
      </c>
      <c r="AB209" s="11">
        <f t="shared" ref="AB209:AE209" si="918">SUM(AB205:AB208)</f>
        <v>0</v>
      </c>
      <c r="AC209" s="11">
        <f t="shared" si="918"/>
        <v>0</v>
      </c>
      <c r="AD209" s="11">
        <f t="shared" si="918"/>
        <v>0</v>
      </c>
      <c r="AE209" s="11">
        <f t="shared" si="918"/>
        <v>0</v>
      </c>
      <c r="AF209" s="25">
        <f>SUM(AF205:AF208)</f>
        <v>0</v>
      </c>
      <c r="AH209" s="10">
        <f t="shared" ref="AH209:AM209" si="919">SUM(AH205:AH208)</f>
        <v>0</v>
      </c>
      <c r="AI209" s="11">
        <f t="shared" si="919"/>
        <v>0</v>
      </c>
      <c r="AJ209" s="11">
        <f t="shared" si="919"/>
        <v>0</v>
      </c>
      <c r="AK209" s="11">
        <f t="shared" si="919"/>
        <v>0</v>
      </c>
      <c r="AL209" s="11">
        <f t="shared" si="919"/>
        <v>0</v>
      </c>
      <c r="AM209" s="25">
        <f t="shared" si="919"/>
        <v>0</v>
      </c>
      <c r="AO209" s="10">
        <f t="shared" ref="AO209:AT209" si="920">SUM(AO205:AO208)</f>
        <v>0</v>
      </c>
      <c r="AP209" s="11">
        <f t="shared" si="920"/>
        <v>0</v>
      </c>
      <c r="AQ209" s="11">
        <f t="shared" si="920"/>
        <v>0</v>
      </c>
      <c r="AR209" s="11">
        <f t="shared" si="920"/>
        <v>0</v>
      </c>
      <c r="AS209" s="11">
        <f t="shared" si="920"/>
        <v>0</v>
      </c>
      <c r="AT209" s="25">
        <f t="shared" si="920"/>
        <v>0</v>
      </c>
      <c r="AV209" s="10">
        <f t="shared" ref="AV209:BA209" si="921">SUM(AV205:AV208)</f>
        <v>0</v>
      </c>
      <c r="AW209" s="11">
        <f t="shared" si="921"/>
        <v>0</v>
      </c>
      <c r="AX209" s="11">
        <f t="shared" si="921"/>
        <v>0</v>
      </c>
      <c r="AY209" s="11">
        <f t="shared" si="921"/>
        <v>0</v>
      </c>
      <c r="AZ209" s="11">
        <f t="shared" si="921"/>
        <v>0</v>
      </c>
      <c r="BA209" s="25">
        <f t="shared" si="921"/>
        <v>0</v>
      </c>
      <c r="BC209" s="10">
        <f t="shared" ref="BC209:BH209" si="922">SUM(BC205:BC208)</f>
        <v>0</v>
      </c>
      <c r="BD209" s="11">
        <f t="shared" si="922"/>
        <v>0</v>
      </c>
      <c r="BE209" s="11">
        <f t="shared" si="922"/>
        <v>0</v>
      </c>
      <c r="BF209" s="11">
        <f t="shared" si="922"/>
        <v>0</v>
      </c>
      <c r="BG209" s="11">
        <f t="shared" si="922"/>
        <v>0</v>
      </c>
      <c r="BH209" s="25">
        <f t="shared" si="922"/>
        <v>0</v>
      </c>
      <c r="BJ209" s="10">
        <f t="shared" ref="BJ209:BO209" si="923">SUM(BJ205:BJ208)</f>
        <v>0</v>
      </c>
      <c r="BK209" s="11">
        <f t="shared" si="923"/>
        <v>0</v>
      </c>
      <c r="BL209" s="11">
        <f t="shared" si="923"/>
        <v>0</v>
      </c>
      <c r="BM209" s="11">
        <f t="shared" si="923"/>
        <v>0</v>
      </c>
      <c r="BN209" s="11">
        <f t="shared" si="923"/>
        <v>0</v>
      </c>
      <c r="BO209" s="25">
        <f t="shared" si="923"/>
        <v>0</v>
      </c>
      <c r="BQ209" s="10">
        <f t="shared" ref="BQ209:BV209" si="924">SUM(BQ205:BQ208)</f>
        <v>0</v>
      </c>
      <c r="BR209" s="11">
        <f t="shared" si="924"/>
        <v>0</v>
      </c>
      <c r="BS209" s="11">
        <f t="shared" si="924"/>
        <v>0</v>
      </c>
      <c r="BT209" s="11">
        <f t="shared" si="924"/>
        <v>0</v>
      </c>
      <c r="BU209" s="11">
        <f t="shared" si="924"/>
        <v>0</v>
      </c>
      <c r="BV209" s="25">
        <f t="shared" si="924"/>
        <v>0</v>
      </c>
      <c r="BX209" s="10">
        <f t="shared" ref="BX209:CC209" si="925">SUM(BX205:BX208)</f>
        <v>0</v>
      </c>
      <c r="BY209" s="11">
        <f t="shared" si="925"/>
        <v>0</v>
      </c>
      <c r="BZ209" s="11">
        <f t="shared" si="925"/>
        <v>0</v>
      </c>
      <c r="CA209" s="11">
        <f t="shared" si="925"/>
        <v>0</v>
      </c>
      <c r="CB209" s="11">
        <f t="shared" si="925"/>
        <v>0</v>
      </c>
      <c r="CC209" s="25">
        <f t="shared" si="925"/>
        <v>0</v>
      </c>
      <c r="CE209" s="62">
        <f t="shared" ref="CE209:CJ209" si="926">SUM(CE205:CE208)</f>
        <v>0</v>
      </c>
      <c r="CF209" s="63">
        <f t="shared" si="926"/>
        <v>0</v>
      </c>
      <c r="CG209" s="63">
        <f t="shared" si="926"/>
        <v>0</v>
      </c>
      <c r="CH209" s="63">
        <f t="shared" si="926"/>
        <v>0</v>
      </c>
      <c r="CI209" s="63">
        <f t="shared" si="926"/>
        <v>0</v>
      </c>
      <c r="CJ209" s="25">
        <f t="shared" si="926"/>
        <v>0</v>
      </c>
      <c r="CL209" s="10">
        <f>SUM(CL205:CL208)</f>
        <v>0</v>
      </c>
      <c r="CM209" s="11">
        <f t="shared" ref="CM209:CQ209" si="927">SUM(CM205:CM208)</f>
        <v>0</v>
      </c>
      <c r="CN209" s="11">
        <f t="shared" si="927"/>
        <v>0</v>
      </c>
      <c r="CO209" s="11">
        <f t="shared" si="927"/>
        <v>0</v>
      </c>
      <c r="CP209" s="11">
        <f t="shared" si="927"/>
        <v>0</v>
      </c>
      <c r="CQ209" s="25">
        <f t="shared" si="927"/>
        <v>0</v>
      </c>
      <c r="CS209" s="10">
        <f>SUM(CS205:CS208)</f>
        <v>0</v>
      </c>
      <c r="CT209" s="11">
        <f t="shared" ref="CT209:CW209" si="928">SUM(CT205:CT208)</f>
        <v>0</v>
      </c>
      <c r="CU209" s="11">
        <f t="shared" si="928"/>
        <v>0</v>
      </c>
      <c r="CV209" s="11">
        <f t="shared" si="928"/>
        <v>0</v>
      </c>
      <c r="CW209" s="11">
        <f t="shared" si="928"/>
        <v>0</v>
      </c>
      <c r="CX209" s="25">
        <f>SUM(CX205:CX208)</f>
        <v>0</v>
      </c>
      <c r="CZ209" s="10">
        <f>SUM(CZ205:CZ208)</f>
        <v>0</v>
      </c>
      <c r="DA209" s="11">
        <f t="shared" ref="DA209:DD209" si="929">SUM(DA205:DA208)</f>
        <v>0</v>
      </c>
      <c r="DB209" s="11">
        <f t="shared" si="929"/>
        <v>0</v>
      </c>
      <c r="DC209" s="11">
        <f t="shared" si="929"/>
        <v>0</v>
      </c>
      <c r="DD209" s="11">
        <f t="shared" si="929"/>
        <v>0</v>
      </c>
      <c r="DE209" s="25">
        <f>SUM(DE205:DE208)</f>
        <v>0</v>
      </c>
    </row>
    <row r="210" spans="3:109" ht="10.4" customHeight="1" thickBot="1"/>
    <row r="211" spans="3:109">
      <c r="C211" s="553">
        <v>2026</v>
      </c>
      <c r="E211" s="13" t="s">
        <v>59</v>
      </c>
      <c r="F211" s="21">
        <f>CE205</f>
        <v>0</v>
      </c>
      <c r="G211" s="22">
        <f t="shared" ref="G211:G214" si="930">CF205</f>
        <v>0</v>
      </c>
      <c r="H211" s="22">
        <f t="shared" ref="H211:H214" si="931">CG205</f>
        <v>0</v>
      </c>
      <c r="I211" s="22">
        <f t="shared" ref="I211:I214" si="932">CH205</f>
        <v>0</v>
      </c>
      <c r="J211" s="22">
        <f t="shared" ref="J211:J214" si="933">CI205</f>
        <v>0</v>
      </c>
      <c r="K211" s="4">
        <f>SUM(F211:J211)</f>
        <v>0</v>
      </c>
      <c r="M211" s="2"/>
      <c r="N211" s="3"/>
      <c r="O211" s="3"/>
      <c r="P211" s="3"/>
      <c r="Q211" s="3"/>
      <c r="R211" s="4">
        <f>SUM(M211:Q211)</f>
        <v>0</v>
      </c>
      <c r="T211" s="2"/>
      <c r="U211" s="3"/>
      <c r="V211" s="3"/>
      <c r="W211" s="3"/>
      <c r="X211" s="3"/>
      <c r="Y211" s="4">
        <f>SUM(T211:X211)</f>
        <v>0</v>
      </c>
      <c r="AA211" s="2"/>
      <c r="AB211" s="3"/>
      <c r="AC211" s="3"/>
      <c r="AD211" s="3"/>
      <c r="AE211" s="3"/>
      <c r="AF211" s="4">
        <f>SUM(AA211:AE211)</f>
        <v>0</v>
      </c>
      <c r="AH211" s="2"/>
      <c r="AI211" s="3"/>
      <c r="AJ211" s="3"/>
      <c r="AK211" s="3"/>
      <c r="AL211" s="3"/>
      <c r="AM211" s="4">
        <f>SUM(AH211:AL211)</f>
        <v>0</v>
      </c>
      <c r="AO211" s="2"/>
      <c r="AP211" s="3"/>
      <c r="AQ211" s="3"/>
      <c r="AR211" s="3"/>
      <c r="AS211" s="3"/>
      <c r="AT211" s="4">
        <f>SUM(AO211:AS211)</f>
        <v>0</v>
      </c>
      <c r="AV211" s="2"/>
      <c r="AW211" s="3"/>
      <c r="AX211" s="3"/>
      <c r="AY211" s="3"/>
      <c r="AZ211" s="3"/>
      <c r="BA211" s="4">
        <f>SUM(AV211:AZ211)</f>
        <v>0</v>
      </c>
      <c r="BC211" s="2"/>
      <c r="BD211" s="3"/>
      <c r="BE211" s="3"/>
      <c r="BF211" s="3"/>
      <c r="BG211" s="3"/>
      <c r="BH211" s="4">
        <f>SUM(BC211:BG211)</f>
        <v>0</v>
      </c>
      <c r="BJ211" s="2"/>
      <c r="BK211" s="3"/>
      <c r="BL211" s="3"/>
      <c r="BM211" s="3"/>
      <c r="BN211" s="3"/>
      <c r="BO211" s="4">
        <f>SUM(BJ211:BN211)</f>
        <v>0</v>
      </c>
      <c r="BQ211" s="2"/>
      <c r="BR211" s="3"/>
      <c r="BS211" s="3"/>
      <c r="BT211" s="3"/>
      <c r="BU211" s="3"/>
      <c r="BV211" s="4">
        <f>SUM(BQ211:BU211)</f>
        <v>0</v>
      </c>
      <c r="BX211" s="2"/>
      <c r="BY211" s="3"/>
      <c r="BZ211" s="3"/>
      <c r="CA211" s="3"/>
      <c r="CB211" s="3"/>
      <c r="CC211" s="4">
        <f>SUM(BX211:CB211)</f>
        <v>0</v>
      </c>
      <c r="CE211" s="26">
        <f t="shared" ref="CE211:CE214" si="934">F211+M211+T211+AA211+AH211+AO211+AV211+BC211+BJ211+BQ211+BX211</f>
        <v>0</v>
      </c>
      <c r="CF211" s="27">
        <f t="shared" ref="CF211:CF214" si="935">G211+N211+U211+AB211+AI211+AP211+AW211+BD211+BK211+BR211+BY211</f>
        <v>0</v>
      </c>
      <c r="CG211" s="27">
        <f t="shared" ref="CG211:CG214" si="936">H211+O211+V211+AC211+AJ211+AQ211+AX211+BE211+BL211+BS211+BZ211</f>
        <v>0</v>
      </c>
      <c r="CH211" s="27">
        <f t="shared" ref="CH211:CH214" si="937">I211+P211+W211+AD211+AK211+AR211+AY211+BF211+BM211+BT211+CA211</f>
        <v>0</v>
      </c>
      <c r="CI211" s="27">
        <f t="shared" ref="CI211:CI214" si="938">J211+Q211+X211+AE211+AL211+AS211+AZ211+BG211+BN211+BU211+CB211</f>
        <v>0</v>
      </c>
      <c r="CJ211" s="4">
        <f>SUM(CE211:CI211)</f>
        <v>0</v>
      </c>
      <c r="CL211" s="2"/>
      <c r="CM211" s="3"/>
      <c r="CN211" s="3"/>
      <c r="CO211" s="3"/>
      <c r="CP211" s="3"/>
      <c r="CQ211" s="4">
        <f>SUM(CL211:CP211)</f>
        <v>0</v>
      </c>
      <c r="CS211" s="2"/>
      <c r="CT211" s="3"/>
      <c r="CU211" s="3"/>
      <c r="CV211" s="3"/>
      <c r="CW211" s="3"/>
      <c r="CX211" s="4">
        <f>SUM(CS211:CW211)</f>
        <v>0</v>
      </c>
      <c r="CZ211" s="2"/>
      <c r="DA211" s="3"/>
      <c r="DB211" s="3"/>
      <c r="DC211" s="3"/>
      <c r="DD211" s="3"/>
      <c r="DE211" s="4">
        <f>SUM(CZ211:DD211)</f>
        <v>0</v>
      </c>
    </row>
    <row r="212" spans="3:109">
      <c r="C212" s="567"/>
      <c r="E212" s="14" t="s">
        <v>60</v>
      </c>
      <c r="F212" s="23">
        <f t="shared" ref="F212:F214" si="939">CE206</f>
        <v>0</v>
      </c>
      <c r="G212" s="24">
        <f t="shared" si="930"/>
        <v>0</v>
      </c>
      <c r="H212" s="24">
        <f t="shared" si="931"/>
        <v>0</v>
      </c>
      <c r="I212" s="24">
        <f t="shared" si="932"/>
        <v>0</v>
      </c>
      <c r="J212" s="24">
        <f t="shared" si="933"/>
        <v>0</v>
      </c>
      <c r="K212" s="8">
        <f t="shared" ref="K212:K214" si="940">SUM(F212:J212)</f>
        <v>0</v>
      </c>
      <c r="M212" s="6"/>
      <c r="N212" s="7"/>
      <c r="O212" s="7"/>
      <c r="P212" s="7"/>
      <c r="Q212" s="7"/>
      <c r="R212" s="8">
        <f t="shared" ref="R212:R214" si="941">SUM(M212:Q212)</f>
        <v>0</v>
      </c>
      <c r="T212" s="6"/>
      <c r="U212" s="7"/>
      <c r="V212" s="7"/>
      <c r="W212" s="7"/>
      <c r="X212" s="7"/>
      <c r="Y212" s="8">
        <f t="shared" ref="Y212:Y214" si="942">SUM(T212:X212)</f>
        <v>0</v>
      </c>
      <c r="AA212" s="6"/>
      <c r="AB212" s="7"/>
      <c r="AC212" s="7"/>
      <c r="AD212" s="7"/>
      <c r="AE212" s="7"/>
      <c r="AF212" s="8">
        <f>SUM(AA212:AE212)</f>
        <v>0</v>
      </c>
      <c r="AH212" s="6"/>
      <c r="AI212" s="7"/>
      <c r="AJ212" s="7"/>
      <c r="AK212" s="7"/>
      <c r="AL212" s="7"/>
      <c r="AM212" s="8">
        <f>SUM(AH212:AL212)</f>
        <v>0</v>
      </c>
      <c r="AO212" s="6"/>
      <c r="AP212" s="7"/>
      <c r="AQ212" s="7"/>
      <c r="AR212" s="7"/>
      <c r="AS212" s="7"/>
      <c r="AT212" s="8">
        <f>SUM(AO212:AS212)</f>
        <v>0</v>
      </c>
      <c r="AV212" s="6"/>
      <c r="AW212" s="7"/>
      <c r="AX212" s="7"/>
      <c r="AY212" s="7"/>
      <c r="AZ212" s="7"/>
      <c r="BA212" s="8">
        <f>SUM(AV212:AZ212)</f>
        <v>0</v>
      </c>
      <c r="BC212" s="6"/>
      <c r="BD212" s="7"/>
      <c r="BE212" s="7"/>
      <c r="BF212" s="7"/>
      <c r="BG212" s="7"/>
      <c r="BH212" s="8">
        <f>SUM(BC212:BG212)</f>
        <v>0</v>
      </c>
      <c r="BJ212" s="6"/>
      <c r="BK212" s="7"/>
      <c r="BL212" s="7"/>
      <c r="BM212" s="7"/>
      <c r="BN212" s="7"/>
      <c r="BO212" s="8">
        <f>SUM(BJ212:BN212)</f>
        <v>0</v>
      </c>
      <c r="BQ212" s="6"/>
      <c r="BR212" s="7"/>
      <c r="BS212" s="7"/>
      <c r="BT212" s="7"/>
      <c r="BU212" s="7"/>
      <c r="BV212" s="8">
        <f>SUM(BQ212:BU212)</f>
        <v>0</v>
      </c>
      <c r="BX212" s="6"/>
      <c r="BY212" s="7"/>
      <c r="BZ212" s="7"/>
      <c r="CA212" s="7"/>
      <c r="CB212" s="7"/>
      <c r="CC212" s="8">
        <f>SUM(BX212:CB212)</f>
        <v>0</v>
      </c>
      <c r="CE212" s="28">
        <f t="shared" si="934"/>
        <v>0</v>
      </c>
      <c r="CF212" s="29">
        <f t="shared" si="935"/>
        <v>0</v>
      </c>
      <c r="CG212" s="29">
        <f t="shared" si="936"/>
        <v>0</v>
      </c>
      <c r="CH212" s="29">
        <f t="shared" si="937"/>
        <v>0</v>
      </c>
      <c r="CI212" s="29">
        <f t="shared" si="938"/>
        <v>0</v>
      </c>
      <c r="CJ212" s="8">
        <f>SUM(CE212:CI212)</f>
        <v>0</v>
      </c>
      <c r="CL212" s="6"/>
      <c r="CM212" s="7"/>
      <c r="CN212" s="7"/>
      <c r="CO212" s="7"/>
      <c r="CP212" s="7"/>
      <c r="CQ212" s="8">
        <f>SUM(CL212:CP212)</f>
        <v>0</v>
      </c>
      <c r="CS212" s="6"/>
      <c r="CT212" s="7"/>
      <c r="CU212" s="7"/>
      <c r="CV212" s="7"/>
      <c r="CW212" s="7"/>
      <c r="CX212" s="8">
        <f t="shared" ref="CX212:CX214" si="943">SUM(CS212:CW212)</f>
        <v>0</v>
      </c>
      <c r="CZ212" s="6"/>
      <c r="DA212" s="7"/>
      <c r="DB212" s="7"/>
      <c r="DC212" s="7"/>
      <c r="DD212" s="7"/>
      <c r="DE212" s="8">
        <f t="shared" ref="DE212:DE214" si="944">SUM(CZ212:DD212)</f>
        <v>0</v>
      </c>
    </row>
    <row r="213" spans="3:109">
      <c r="C213" s="567"/>
      <c r="E213" s="14" t="s">
        <v>61</v>
      </c>
      <c r="F213" s="23">
        <f t="shared" si="939"/>
        <v>0</v>
      </c>
      <c r="G213" s="24">
        <f t="shared" si="930"/>
        <v>0</v>
      </c>
      <c r="H213" s="24">
        <f t="shared" si="931"/>
        <v>0</v>
      </c>
      <c r="I213" s="24">
        <f t="shared" si="932"/>
        <v>0</v>
      </c>
      <c r="J213" s="24">
        <f t="shared" si="933"/>
        <v>0</v>
      </c>
      <c r="K213" s="8">
        <f t="shared" si="940"/>
        <v>0</v>
      </c>
      <c r="M213" s="6"/>
      <c r="N213" s="7"/>
      <c r="O213" s="7"/>
      <c r="P213" s="7"/>
      <c r="Q213" s="7"/>
      <c r="R213" s="8">
        <f t="shared" si="941"/>
        <v>0</v>
      </c>
      <c r="T213" s="6"/>
      <c r="U213" s="7"/>
      <c r="V213" s="7"/>
      <c r="W213" s="7"/>
      <c r="X213" s="7"/>
      <c r="Y213" s="8">
        <f t="shared" si="942"/>
        <v>0</v>
      </c>
      <c r="AA213" s="6"/>
      <c r="AB213" s="7"/>
      <c r="AC213" s="7"/>
      <c r="AD213" s="7"/>
      <c r="AE213" s="7"/>
      <c r="AF213" s="8">
        <f>SUM(AA213:AE213)</f>
        <v>0</v>
      </c>
      <c r="AH213" s="6"/>
      <c r="AI213" s="7"/>
      <c r="AJ213" s="7"/>
      <c r="AK213" s="7"/>
      <c r="AL213" s="7"/>
      <c r="AM213" s="8">
        <f>SUM(AH213:AL213)</f>
        <v>0</v>
      </c>
      <c r="AO213" s="6"/>
      <c r="AP213" s="7"/>
      <c r="AQ213" s="7"/>
      <c r="AR213" s="7"/>
      <c r="AS213" s="7"/>
      <c r="AT213" s="8">
        <f>SUM(AO213:AS213)</f>
        <v>0</v>
      </c>
      <c r="AV213" s="6"/>
      <c r="AW213" s="7"/>
      <c r="AX213" s="7"/>
      <c r="AY213" s="7"/>
      <c r="AZ213" s="7"/>
      <c r="BA213" s="8">
        <f>SUM(AV213:AZ213)</f>
        <v>0</v>
      </c>
      <c r="BC213" s="6"/>
      <c r="BD213" s="7"/>
      <c r="BE213" s="7"/>
      <c r="BF213" s="7"/>
      <c r="BG213" s="7"/>
      <c r="BH213" s="8">
        <f>SUM(BC213:BG213)</f>
        <v>0</v>
      </c>
      <c r="BJ213" s="6"/>
      <c r="BK213" s="7"/>
      <c r="BL213" s="7"/>
      <c r="BM213" s="7"/>
      <c r="BN213" s="7"/>
      <c r="BO213" s="8">
        <f>SUM(BJ213:BN213)</f>
        <v>0</v>
      </c>
      <c r="BQ213" s="6"/>
      <c r="BR213" s="7"/>
      <c r="BS213" s="7"/>
      <c r="BT213" s="7"/>
      <c r="BU213" s="7"/>
      <c r="BV213" s="8">
        <f>SUM(BQ213:BU213)</f>
        <v>0</v>
      </c>
      <c r="BX213" s="6"/>
      <c r="BY213" s="7"/>
      <c r="BZ213" s="7"/>
      <c r="CA213" s="7"/>
      <c r="CB213" s="7"/>
      <c r="CC213" s="8">
        <f>SUM(BX213:CB213)</f>
        <v>0</v>
      </c>
      <c r="CE213" s="28">
        <f t="shared" si="934"/>
        <v>0</v>
      </c>
      <c r="CF213" s="29">
        <f t="shared" si="935"/>
        <v>0</v>
      </c>
      <c r="CG213" s="29">
        <f t="shared" si="936"/>
        <v>0</v>
      </c>
      <c r="CH213" s="29">
        <f t="shared" si="937"/>
        <v>0</v>
      </c>
      <c r="CI213" s="29">
        <f t="shared" si="938"/>
        <v>0</v>
      </c>
      <c r="CJ213" s="8">
        <f>SUM(CE213:CI213)</f>
        <v>0</v>
      </c>
      <c r="CL213" s="6"/>
      <c r="CM213" s="7"/>
      <c r="CN213" s="7"/>
      <c r="CO213" s="7"/>
      <c r="CP213" s="7"/>
      <c r="CQ213" s="8">
        <f>SUM(CL213:CP213)</f>
        <v>0</v>
      </c>
      <c r="CS213" s="6"/>
      <c r="CT213" s="7"/>
      <c r="CU213" s="7"/>
      <c r="CV213" s="7"/>
      <c r="CW213" s="7"/>
      <c r="CX213" s="8">
        <f t="shared" si="943"/>
        <v>0</v>
      </c>
      <c r="CZ213" s="6"/>
      <c r="DA213" s="7"/>
      <c r="DB213" s="7"/>
      <c r="DC213" s="7"/>
      <c r="DD213" s="7"/>
      <c r="DE213" s="8">
        <f t="shared" si="944"/>
        <v>0</v>
      </c>
    </row>
    <row r="214" spans="3:109" ht="14" thickBot="1">
      <c r="C214" s="567"/>
      <c r="E214" s="14" t="s">
        <v>62</v>
      </c>
      <c r="F214" s="23">
        <f t="shared" si="939"/>
        <v>0</v>
      </c>
      <c r="G214" s="24">
        <f t="shared" si="930"/>
        <v>0</v>
      </c>
      <c r="H214" s="24">
        <f t="shared" si="931"/>
        <v>0</v>
      </c>
      <c r="I214" s="24">
        <f t="shared" si="932"/>
        <v>0</v>
      </c>
      <c r="J214" s="24">
        <f t="shared" si="933"/>
        <v>0</v>
      </c>
      <c r="K214" s="8">
        <f t="shared" si="940"/>
        <v>0</v>
      </c>
      <c r="M214" s="6"/>
      <c r="N214" s="7"/>
      <c r="O214" s="7"/>
      <c r="P214" s="7"/>
      <c r="Q214" s="7"/>
      <c r="R214" s="8">
        <f t="shared" si="941"/>
        <v>0</v>
      </c>
      <c r="T214" s="6"/>
      <c r="U214" s="7"/>
      <c r="V214" s="7"/>
      <c r="W214" s="7"/>
      <c r="X214" s="7"/>
      <c r="Y214" s="8">
        <f t="shared" si="942"/>
        <v>0</v>
      </c>
      <c r="AA214" s="6"/>
      <c r="AB214" s="7"/>
      <c r="AC214" s="7"/>
      <c r="AD214" s="7"/>
      <c r="AE214" s="7"/>
      <c r="AF214" s="8">
        <f>SUM(AA214:AE214)</f>
        <v>0</v>
      </c>
      <c r="AH214" s="6"/>
      <c r="AI214" s="7"/>
      <c r="AJ214" s="7"/>
      <c r="AK214" s="7"/>
      <c r="AL214" s="7"/>
      <c r="AM214" s="8">
        <f>SUM(AH214:AL214)</f>
        <v>0</v>
      </c>
      <c r="AO214" s="6"/>
      <c r="AP214" s="7"/>
      <c r="AQ214" s="7"/>
      <c r="AR214" s="7"/>
      <c r="AS214" s="7"/>
      <c r="AT214" s="8">
        <f>SUM(AO214:AS214)</f>
        <v>0</v>
      </c>
      <c r="AV214" s="6"/>
      <c r="AW214" s="7"/>
      <c r="AX214" s="7"/>
      <c r="AY214" s="7"/>
      <c r="AZ214" s="7"/>
      <c r="BA214" s="8">
        <f>SUM(AV214:AZ214)</f>
        <v>0</v>
      </c>
      <c r="BC214" s="6"/>
      <c r="BD214" s="7"/>
      <c r="BE214" s="7"/>
      <c r="BF214" s="7"/>
      <c r="BG214" s="7"/>
      <c r="BH214" s="8">
        <f>SUM(BC214:BG214)</f>
        <v>0</v>
      </c>
      <c r="BJ214" s="6"/>
      <c r="BK214" s="7"/>
      <c r="BL214" s="7"/>
      <c r="BM214" s="7"/>
      <c r="BN214" s="7"/>
      <c r="BO214" s="8">
        <f>SUM(BJ214:BN214)</f>
        <v>0</v>
      </c>
      <c r="BQ214" s="6"/>
      <c r="BR214" s="7"/>
      <c r="BS214" s="7"/>
      <c r="BT214" s="7"/>
      <c r="BU214" s="7"/>
      <c r="BV214" s="8">
        <f>SUM(BQ214:BU214)</f>
        <v>0</v>
      </c>
      <c r="BX214" s="6"/>
      <c r="BY214" s="7"/>
      <c r="BZ214" s="7"/>
      <c r="CA214" s="7"/>
      <c r="CB214" s="7"/>
      <c r="CC214" s="8">
        <f>SUM(BX214:CB214)</f>
        <v>0</v>
      </c>
      <c r="CE214" s="493">
        <f t="shared" si="934"/>
        <v>0</v>
      </c>
      <c r="CF214" s="494">
        <f t="shared" si="935"/>
        <v>0</v>
      </c>
      <c r="CG214" s="494">
        <f t="shared" si="936"/>
        <v>0</v>
      </c>
      <c r="CH214" s="494">
        <f t="shared" si="937"/>
        <v>0</v>
      </c>
      <c r="CI214" s="494">
        <f t="shared" si="938"/>
        <v>0</v>
      </c>
      <c r="CJ214" s="495">
        <f>SUM(CE214:CI214)</f>
        <v>0</v>
      </c>
      <c r="CL214" s="6"/>
      <c r="CM214" s="7"/>
      <c r="CN214" s="7"/>
      <c r="CO214" s="7"/>
      <c r="CP214" s="7"/>
      <c r="CQ214" s="8">
        <f>SUM(CL214:CP214)</f>
        <v>0</v>
      </c>
      <c r="CS214" s="6"/>
      <c r="CT214" s="7"/>
      <c r="CU214" s="7"/>
      <c r="CV214" s="7"/>
      <c r="CW214" s="7"/>
      <c r="CX214" s="8">
        <f t="shared" si="943"/>
        <v>0</v>
      </c>
      <c r="CZ214" s="6"/>
      <c r="DA214" s="7"/>
      <c r="DB214" s="7"/>
      <c r="DC214" s="7"/>
      <c r="DD214" s="7"/>
      <c r="DE214" s="8">
        <f t="shared" si="944"/>
        <v>0</v>
      </c>
    </row>
    <row r="215" spans="3:109" ht="14" thickBot="1">
      <c r="C215" s="554"/>
      <c r="E215" s="17"/>
      <c r="F215" s="10">
        <f>SUM(F211:F214)</f>
        <v>0</v>
      </c>
      <c r="G215" s="11">
        <f t="shared" ref="G215:J215" si="945">SUM(G211:G214)</f>
        <v>0</v>
      </c>
      <c r="H215" s="11">
        <f t="shared" si="945"/>
        <v>0</v>
      </c>
      <c r="I215" s="11">
        <f t="shared" si="945"/>
        <v>0</v>
      </c>
      <c r="J215" s="11">
        <f t="shared" si="945"/>
        <v>0</v>
      </c>
      <c r="K215" s="25">
        <f>SUM(K211:K214)</f>
        <v>0</v>
      </c>
      <c r="M215" s="10">
        <f>SUM(M211:M214)</f>
        <v>0</v>
      </c>
      <c r="N215" s="11">
        <f t="shared" ref="N215:Q215" si="946">SUM(N211:N214)</f>
        <v>0</v>
      </c>
      <c r="O215" s="11">
        <f t="shared" si="946"/>
        <v>0</v>
      </c>
      <c r="P215" s="11">
        <f t="shared" si="946"/>
        <v>0</v>
      </c>
      <c r="Q215" s="11">
        <f t="shared" si="946"/>
        <v>0</v>
      </c>
      <c r="R215" s="25">
        <f>SUM(R211:R214)</f>
        <v>0</v>
      </c>
      <c r="T215" s="10">
        <f>SUM(T211:T214)</f>
        <v>0</v>
      </c>
      <c r="U215" s="11">
        <f t="shared" ref="U215:X215" si="947">SUM(U211:U214)</f>
        <v>0</v>
      </c>
      <c r="V215" s="11">
        <f t="shared" si="947"/>
        <v>0</v>
      </c>
      <c r="W215" s="11">
        <f t="shared" si="947"/>
        <v>0</v>
      </c>
      <c r="X215" s="11">
        <f t="shared" si="947"/>
        <v>0</v>
      </c>
      <c r="Y215" s="25">
        <f>SUM(Y211:Y214)</f>
        <v>0</v>
      </c>
      <c r="AA215" s="10">
        <f>SUM(AA211:AA214)</f>
        <v>0</v>
      </c>
      <c r="AB215" s="11">
        <f t="shared" ref="AB215:AE215" si="948">SUM(AB211:AB214)</f>
        <v>0</v>
      </c>
      <c r="AC215" s="11">
        <f t="shared" si="948"/>
        <v>0</v>
      </c>
      <c r="AD215" s="11">
        <f t="shared" si="948"/>
        <v>0</v>
      </c>
      <c r="AE215" s="11">
        <f t="shared" si="948"/>
        <v>0</v>
      </c>
      <c r="AF215" s="25">
        <f>SUM(AF211:AF214)</f>
        <v>0</v>
      </c>
      <c r="AH215" s="10">
        <f t="shared" ref="AH215:AM215" si="949">SUM(AH211:AH214)</f>
        <v>0</v>
      </c>
      <c r="AI215" s="11">
        <f t="shared" si="949"/>
        <v>0</v>
      </c>
      <c r="AJ215" s="11">
        <f t="shared" si="949"/>
        <v>0</v>
      </c>
      <c r="AK215" s="11">
        <f t="shared" si="949"/>
        <v>0</v>
      </c>
      <c r="AL215" s="11">
        <f t="shared" si="949"/>
        <v>0</v>
      </c>
      <c r="AM215" s="25">
        <f t="shared" si="949"/>
        <v>0</v>
      </c>
      <c r="AO215" s="10">
        <f t="shared" ref="AO215:AT215" si="950">SUM(AO211:AO214)</f>
        <v>0</v>
      </c>
      <c r="AP215" s="11">
        <f t="shared" si="950"/>
        <v>0</v>
      </c>
      <c r="AQ215" s="11">
        <f t="shared" si="950"/>
        <v>0</v>
      </c>
      <c r="AR215" s="11">
        <f t="shared" si="950"/>
        <v>0</v>
      </c>
      <c r="AS215" s="11">
        <f t="shared" si="950"/>
        <v>0</v>
      </c>
      <c r="AT215" s="25">
        <f t="shared" si="950"/>
        <v>0</v>
      </c>
      <c r="AV215" s="10">
        <f t="shared" ref="AV215:BA215" si="951">SUM(AV211:AV214)</f>
        <v>0</v>
      </c>
      <c r="AW215" s="11">
        <f t="shared" si="951"/>
        <v>0</v>
      </c>
      <c r="AX215" s="11">
        <f t="shared" si="951"/>
        <v>0</v>
      </c>
      <c r="AY215" s="11">
        <f t="shared" si="951"/>
        <v>0</v>
      </c>
      <c r="AZ215" s="11">
        <f t="shared" si="951"/>
        <v>0</v>
      </c>
      <c r="BA215" s="25">
        <f t="shared" si="951"/>
        <v>0</v>
      </c>
      <c r="BC215" s="10">
        <f t="shared" ref="BC215:BH215" si="952">SUM(BC211:BC214)</f>
        <v>0</v>
      </c>
      <c r="BD215" s="11">
        <f t="shared" si="952"/>
        <v>0</v>
      </c>
      <c r="BE215" s="11">
        <f t="shared" si="952"/>
        <v>0</v>
      </c>
      <c r="BF215" s="11">
        <f t="shared" si="952"/>
        <v>0</v>
      </c>
      <c r="BG215" s="11">
        <f t="shared" si="952"/>
        <v>0</v>
      </c>
      <c r="BH215" s="25">
        <f t="shared" si="952"/>
        <v>0</v>
      </c>
      <c r="BJ215" s="10">
        <f t="shared" ref="BJ215:BO215" si="953">SUM(BJ211:BJ214)</f>
        <v>0</v>
      </c>
      <c r="BK215" s="11">
        <f t="shared" si="953"/>
        <v>0</v>
      </c>
      <c r="BL215" s="11">
        <f t="shared" si="953"/>
        <v>0</v>
      </c>
      <c r="BM215" s="11">
        <f t="shared" si="953"/>
        <v>0</v>
      </c>
      <c r="BN215" s="11">
        <f t="shared" si="953"/>
        <v>0</v>
      </c>
      <c r="BO215" s="25">
        <f t="shared" si="953"/>
        <v>0</v>
      </c>
      <c r="BQ215" s="10">
        <f t="shared" ref="BQ215:BV215" si="954">SUM(BQ211:BQ214)</f>
        <v>0</v>
      </c>
      <c r="BR215" s="11">
        <f t="shared" si="954"/>
        <v>0</v>
      </c>
      <c r="BS215" s="11">
        <f t="shared" si="954"/>
        <v>0</v>
      </c>
      <c r="BT215" s="11">
        <f t="shared" si="954"/>
        <v>0</v>
      </c>
      <c r="BU215" s="11">
        <f t="shared" si="954"/>
        <v>0</v>
      </c>
      <c r="BV215" s="25">
        <f t="shared" si="954"/>
        <v>0</v>
      </c>
      <c r="BX215" s="10">
        <f t="shared" ref="BX215:CC215" si="955">SUM(BX211:BX214)</f>
        <v>0</v>
      </c>
      <c r="BY215" s="11">
        <f t="shared" si="955"/>
        <v>0</v>
      </c>
      <c r="BZ215" s="11">
        <f t="shared" si="955"/>
        <v>0</v>
      </c>
      <c r="CA215" s="11">
        <f t="shared" si="955"/>
        <v>0</v>
      </c>
      <c r="CB215" s="11">
        <f t="shared" si="955"/>
        <v>0</v>
      </c>
      <c r="CC215" s="25">
        <f t="shared" si="955"/>
        <v>0</v>
      </c>
      <c r="CE215" s="62">
        <f t="shared" ref="CE215:CJ215" si="956">SUM(CE211:CE214)</f>
        <v>0</v>
      </c>
      <c r="CF215" s="63">
        <f t="shared" si="956"/>
        <v>0</v>
      </c>
      <c r="CG215" s="63">
        <f t="shared" si="956"/>
        <v>0</v>
      </c>
      <c r="CH215" s="63">
        <f t="shared" si="956"/>
        <v>0</v>
      </c>
      <c r="CI215" s="63">
        <f t="shared" si="956"/>
        <v>0</v>
      </c>
      <c r="CJ215" s="25">
        <f t="shared" si="956"/>
        <v>0</v>
      </c>
      <c r="CL215" s="10">
        <f>SUM(CL211:CL214)</f>
        <v>0</v>
      </c>
      <c r="CM215" s="11">
        <f t="shared" ref="CM215:CQ215" si="957">SUM(CM211:CM214)</f>
        <v>0</v>
      </c>
      <c r="CN215" s="11">
        <f t="shared" si="957"/>
        <v>0</v>
      </c>
      <c r="CO215" s="11">
        <f t="shared" si="957"/>
        <v>0</v>
      </c>
      <c r="CP215" s="11">
        <f t="shared" si="957"/>
        <v>0</v>
      </c>
      <c r="CQ215" s="25">
        <f t="shared" si="957"/>
        <v>0</v>
      </c>
      <c r="CS215" s="10">
        <f>SUM(CS211:CS214)</f>
        <v>0</v>
      </c>
      <c r="CT215" s="11">
        <f t="shared" ref="CT215:CW215" si="958">SUM(CT211:CT214)</f>
        <v>0</v>
      </c>
      <c r="CU215" s="11">
        <f t="shared" si="958"/>
        <v>0</v>
      </c>
      <c r="CV215" s="11">
        <f t="shared" si="958"/>
        <v>0</v>
      </c>
      <c r="CW215" s="11">
        <f t="shared" si="958"/>
        <v>0</v>
      </c>
      <c r="CX215" s="25">
        <f>SUM(CX211:CX214)</f>
        <v>0</v>
      </c>
      <c r="CZ215" s="10">
        <f>SUM(CZ211:CZ214)</f>
        <v>0</v>
      </c>
      <c r="DA215" s="11">
        <f t="shared" ref="DA215:DD215" si="959">SUM(DA211:DA214)</f>
        <v>0</v>
      </c>
      <c r="DB215" s="11">
        <f t="shared" si="959"/>
        <v>0</v>
      </c>
      <c r="DC215" s="11">
        <f t="shared" si="959"/>
        <v>0</v>
      </c>
      <c r="DD215" s="11">
        <f t="shared" si="959"/>
        <v>0</v>
      </c>
      <c r="DE215" s="25">
        <f>SUM(DE211:DE214)</f>
        <v>0</v>
      </c>
    </row>
    <row r="216" spans="3:109" ht="10.4" customHeight="1" thickBot="1"/>
    <row r="217" spans="3:109">
      <c r="C217" s="553">
        <v>2027</v>
      </c>
      <c r="E217" s="13" t="s">
        <v>59</v>
      </c>
      <c r="F217" s="21">
        <f>CE211</f>
        <v>0</v>
      </c>
      <c r="G217" s="22">
        <f t="shared" ref="G217:G220" si="960">CF211</f>
        <v>0</v>
      </c>
      <c r="H217" s="22">
        <f t="shared" ref="H217:H220" si="961">CG211</f>
        <v>0</v>
      </c>
      <c r="I217" s="22">
        <f t="shared" ref="I217:I220" si="962">CH211</f>
        <v>0</v>
      </c>
      <c r="J217" s="22">
        <f t="shared" ref="J217:J220" si="963">CI211</f>
        <v>0</v>
      </c>
      <c r="K217" s="4">
        <f>SUM(F217:J217)</f>
        <v>0</v>
      </c>
      <c r="M217" s="2"/>
      <c r="N217" s="3"/>
      <c r="O217" s="3"/>
      <c r="P217" s="3"/>
      <c r="Q217" s="3"/>
      <c r="R217" s="4">
        <f>SUM(M217:Q217)</f>
        <v>0</v>
      </c>
      <c r="T217" s="2"/>
      <c r="U217" s="3"/>
      <c r="V217" s="3"/>
      <c r="W217" s="3"/>
      <c r="X217" s="3"/>
      <c r="Y217" s="4">
        <f>SUM(T217:X217)</f>
        <v>0</v>
      </c>
      <c r="AA217" s="2"/>
      <c r="AB217" s="3"/>
      <c r="AC217" s="3"/>
      <c r="AD217" s="3"/>
      <c r="AE217" s="3"/>
      <c r="AF217" s="4">
        <f>SUM(AA217:AE217)</f>
        <v>0</v>
      </c>
      <c r="AH217" s="2"/>
      <c r="AI217" s="3"/>
      <c r="AJ217" s="3"/>
      <c r="AK217" s="3"/>
      <c r="AL217" s="3"/>
      <c r="AM217" s="4">
        <f>SUM(AH217:AL217)</f>
        <v>0</v>
      </c>
      <c r="AO217" s="2"/>
      <c r="AP217" s="3"/>
      <c r="AQ217" s="3"/>
      <c r="AR217" s="3"/>
      <c r="AS217" s="3"/>
      <c r="AT217" s="4">
        <f>SUM(AO217:AS217)</f>
        <v>0</v>
      </c>
      <c r="AV217" s="2"/>
      <c r="AW217" s="3"/>
      <c r="AX217" s="3"/>
      <c r="AY217" s="3"/>
      <c r="AZ217" s="3"/>
      <c r="BA217" s="4">
        <f>SUM(AV217:AZ217)</f>
        <v>0</v>
      </c>
      <c r="BC217" s="2"/>
      <c r="BD217" s="3"/>
      <c r="BE217" s="3"/>
      <c r="BF217" s="3"/>
      <c r="BG217" s="3"/>
      <c r="BH217" s="4">
        <f>SUM(BC217:BG217)</f>
        <v>0</v>
      </c>
      <c r="BJ217" s="2"/>
      <c r="BK217" s="3"/>
      <c r="BL217" s="3"/>
      <c r="BM217" s="3"/>
      <c r="BN217" s="3"/>
      <c r="BO217" s="4">
        <f>SUM(BJ217:BN217)</f>
        <v>0</v>
      </c>
      <c r="BQ217" s="2"/>
      <c r="BR217" s="3"/>
      <c r="BS217" s="3"/>
      <c r="BT217" s="3"/>
      <c r="BU217" s="3"/>
      <c r="BV217" s="4">
        <f>SUM(BQ217:BU217)</f>
        <v>0</v>
      </c>
      <c r="BX217" s="2"/>
      <c r="BY217" s="3"/>
      <c r="BZ217" s="3"/>
      <c r="CA217" s="3"/>
      <c r="CB217" s="3"/>
      <c r="CC217" s="4">
        <f>SUM(BX217:CB217)</f>
        <v>0</v>
      </c>
      <c r="CE217" s="26">
        <f t="shared" ref="CE217:CE220" si="964">F217+M217+T217+AA217+AH217+AO217+AV217+BC217+BJ217+BQ217+BX217</f>
        <v>0</v>
      </c>
      <c r="CF217" s="27">
        <f t="shared" ref="CF217:CF220" si="965">G217+N217+U217+AB217+AI217+AP217+AW217+BD217+BK217+BR217+BY217</f>
        <v>0</v>
      </c>
      <c r="CG217" s="27">
        <f t="shared" ref="CG217:CG220" si="966">H217+O217+V217+AC217+AJ217+AQ217+AX217+BE217+BL217+BS217+BZ217</f>
        <v>0</v>
      </c>
      <c r="CH217" s="27">
        <f t="shared" ref="CH217:CH220" si="967">I217+P217+W217+AD217+AK217+AR217+AY217+BF217+BM217+BT217+CA217</f>
        <v>0</v>
      </c>
      <c r="CI217" s="27">
        <f t="shared" ref="CI217:CI220" si="968">J217+Q217+X217+AE217+AL217+AS217+AZ217+BG217+BN217+BU217+CB217</f>
        <v>0</v>
      </c>
      <c r="CJ217" s="4">
        <f>SUM(CE217:CI217)</f>
        <v>0</v>
      </c>
      <c r="CL217" s="2"/>
      <c r="CM217" s="3"/>
      <c r="CN217" s="3"/>
      <c r="CO217" s="3"/>
      <c r="CP217" s="3"/>
      <c r="CQ217" s="4">
        <f>SUM(CL217:CP217)</f>
        <v>0</v>
      </c>
      <c r="CS217" s="2"/>
      <c r="CT217" s="3"/>
      <c r="CU217" s="3"/>
      <c r="CV217" s="3"/>
      <c r="CW217" s="3"/>
      <c r="CX217" s="4">
        <f>SUM(CS217:CW217)</f>
        <v>0</v>
      </c>
      <c r="CZ217" s="2"/>
      <c r="DA217" s="3"/>
      <c r="DB217" s="3"/>
      <c r="DC217" s="3"/>
      <c r="DD217" s="3"/>
      <c r="DE217" s="4">
        <f>SUM(CZ217:DD217)</f>
        <v>0</v>
      </c>
    </row>
    <row r="218" spans="3:109">
      <c r="C218" s="567"/>
      <c r="E218" s="14" t="s">
        <v>60</v>
      </c>
      <c r="F218" s="23">
        <f t="shared" ref="F218:F220" si="969">CE212</f>
        <v>0</v>
      </c>
      <c r="G218" s="24">
        <f t="shared" si="960"/>
        <v>0</v>
      </c>
      <c r="H218" s="24">
        <f t="shared" si="961"/>
        <v>0</v>
      </c>
      <c r="I218" s="24">
        <f t="shared" si="962"/>
        <v>0</v>
      </c>
      <c r="J218" s="24">
        <f t="shared" si="963"/>
        <v>0</v>
      </c>
      <c r="K218" s="8">
        <f t="shared" ref="K218:K220" si="970">SUM(F218:J218)</f>
        <v>0</v>
      </c>
      <c r="M218" s="6"/>
      <c r="N218" s="7"/>
      <c r="O218" s="7"/>
      <c r="P218" s="7"/>
      <c r="Q218" s="7"/>
      <c r="R218" s="8">
        <f t="shared" ref="R218:R220" si="971">SUM(M218:Q218)</f>
        <v>0</v>
      </c>
      <c r="T218" s="6"/>
      <c r="U218" s="7"/>
      <c r="V218" s="7"/>
      <c r="W218" s="7"/>
      <c r="X218" s="7"/>
      <c r="Y218" s="8">
        <f t="shared" ref="Y218:Y220" si="972">SUM(T218:X218)</f>
        <v>0</v>
      </c>
      <c r="AA218" s="6"/>
      <c r="AB218" s="7"/>
      <c r="AC218" s="7"/>
      <c r="AD218" s="7"/>
      <c r="AE218" s="7"/>
      <c r="AF218" s="8">
        <f>SUM(AA218:AE218)</f>
        <v>0</v>
      </c>
      <c r="AH218" s="6"/>
      <c r="AI218" s="7"/>
      <c r="AJ218" s="7"/>
      <c r="AK218" s="7"/>
      <c r="AL218" s="7"/>
      <c r="AM218" s="8">
        <f>SUM(AH218:AL218)</f>
        <v>0</v>
      </c>
      <c r="AO218" s="6"/>
      <c r="AP218" s="7"/>
      <c r="AQ218" s="7"/>
      <c r="AR218" s="7"/>
      <c r="AS218" s="7"/>
      <c r="AT218" s="8">
        <f>SUM(AO218:AS218)</f>
        <v>0</v>
      </c>
      <c r="AV218" s="6"/>
      <c r="AW218" s="7"/>
      <c r="AX218" s="7"/>
      <c r="AY218" s="7"/>
      <c r="AZ218" s="7"/>
      <c r="BA218" s="8">
        <f>SUM(AV218:AZ218)</f>
        <v>0</v>
      </c>
      <c r="BC218" s="6"/>
      <c r="BD218" s="7"/>
      <c r="BE218" s="7"/>
      <c r="BF218" s="7"/>
      <c r="BG218" s="7"/>
      <c r="BH218" s="8">
        <f>SUM(BC218:BG218)</f>
        <v>0</v>
      </c>
      <c r="BJ218" s="6"/>
      <c r="BK218" s="7"/>
      <c r="BL218" s="7"/>
      <c r="BM218" s="7"/>
      <c r="BN218" s="7"/>
      <c r="BO218" s="8">
        <f>SUM(BJ218:BN218)</f>
        <v>0</v>
      </c>
      <c r="BQ218" s="6"/>
      <c r="BR218" s="7"/>
      <c r="BS218" s="7"/>
      <c r="BT218" s="7"/>
      <c r="BU218" s="7"/>
      <c r="BV218" s="8">
        <f>SUM(BQ218:BU218)</f>
        <v>0</v>
      </c>
      <c r="BX218" s="6"/>
      <c r="BY218" s="7"/>
      <c r="BZ218" s="7"/>
      <c r="CA218" s="7"/>
      <c r="CB218" s="7"/>
      <c r="CC218" s="8">
        <f>SUM(BX218:CB218)</f>
        <v>0</v>
      </c>
      <c r="CE218" s="28">
        <f t="shared" si="964"/>
        <v>0</v>
      </c>
      <c r="CF218" s="29">
        <f t="shared" si="965"/>
        <v>0</v>
      </c>
      <c r="CG218" s="29">
        <f t="shared" si="966"/>
        <v>0</v>
      </c>
      <c r="CH218" s="29">
        <f t="shared" si="967"/>
        <v>0</v>
      </c>
      <c r="CI218" s="29">
        <f t="shared" si="968"/>
        <v>0</v>
      </c>
      <c r="CJ218" s="8">
        <f>SUM(CE218:CI218)</f>
        <v>0</v>
      </c>
      <c r="CL218" s="6"/>
      <c r="CM218" s="7"/>
      <c r="CN218" s="7"/>
      <c r="CO218" s="7"/>
      <c r="CP218" s="7"/>
      <c r="CQ218" s="8">
        <f>SUM(CL218:CP218)</f>
        <v>0</v>
      </c>
      <c r="CS218" s="6"/>
      <c r="CT218" s="7"/>
      <c r="CU218" s="7"/>
      <c r="CV218" s="7"/>
      <c r="CW218" s="7"/>
      <c r="CX218" s="8">
        <f t="shared" ref="CX218:CX220" si="973">SUM(CS218:CW218)</f>
        <v>0</v>
      </c>
      <c r="CZ218" s="6"/>
      <c r="DA218" s="7"/>
      <c r="DB218" s="7"/>
      <c r="DC218" s="7"/>
      <c r="DD218" s="7"/>
      <c r="DE218" s="8">
        <f t="shared" ref="DE218:DE220" si="974">SUM(CZ218:DD218)</f>
        <v>0</v>
      </c>
    </row>
    <row r="219" spans="3:109">
      <c r="C219" s="567"/>
      <c r="E219" s="14" t="s">
        <v>61</v>
      </c>
      <c r="F219" s="23">
        <f t="shared" si="969"/>
        <v>0</v>
      </c>
      <c r="G219" s="24">
        <f t="shared" si="960"/>
        <v>0</v>
      </c>
      <c r="H219" s="24">
        <f t="shared" si="961"/>
        <v>0</v>
      </c>
      <c r="I219" s="24">
        <f t="shared" si="962"/>
        <v>0</v>
      </c>
      <c r="J219" s="24">
        <f t="shared" si="963"/>
        <v>0</v>
      </c>
      <c r="K219" s="8">
        <f t="shared" si="970"/>
        <v>0</v>
      </c>
      <c r="M219" s="6"/>
      <c r="N219" s="7"/>
      <c r="O219" s="7"/>
      <c r="P219" s="7"/>
      <c r="Q219" s="7"/>
      <c r="R219" s="8">
        <f t="shared" si="971"/>
        <v>0</v>
      </c>
      <c r="T219" s="6"/>
      <c r="U219" s="7"/>
      <c r="V219" s="7"/>
      <c r="W219" s="7"/>
      <c r="X219" s="7"/>
      <c r="Y219" s="8">
        <f t="shared" si="972"/>
        <v>0</v>
      </c>
      <c r="AA219" s="6"/>
      <c r="AB219" s="7"/>
      <c r="AC219" s="7"/>
      <c r="AD219" s="7"/>
      <c r="AE219" s="7"/>
      <c r="AF219" s="8">
        <f>SUM(AA219:AE219)</f>
        <v>0</v>
      </c>
      <c r="AH219" s="6"/>
      <c r="AI219" s="7"/>
      <c r="AJ219" s="7"/>
      <c r="AK219" s="7"/>
      <c r="AL219" s="7"/>
      <c r="AM219" s="8">
        <f>SUM(AH219:AL219)</f>
        <v>0</v>
      </c>
      <c r="AO219" s="6"/>
      <c r="AP219" s="7"/>
      <c r="AQ219" s="7"/>
      <c r="AR219" s="7"/>
      <c r="AS219" s="7"/>
      <c r="AT219" s="8">
        <f>SUM(AO219:AS219)</f>
        <v>0</v>
      </c>
      <c r="AV219" s="6"/>
      <c r="AW219" s="7"/>
      <c r="AX219" s="7"/>
      <c r="AY219" s="7"/>
      <c r="AZ219" s="7"/>
      <c r="BA219" s="8">
        <f>SUM(AV219:AZ219)</f>
        <v>0</v>
      </c>
      <c r="BC219" s="6"/>
      <c r="BD219" s="7"/>
      <c r="BE219" s="7"/>
      <c r="BF219" s="7"/>
      <c r="BG219" s="7"/>
      <c r="BH219" s="8">
        <f>SUM(BC219:BG219)</f>
        <v>0</v>
      </c>
      <c r="BJ219" s="6"/>
      <c r="BK219" s="7"/>
      <c r="BL219" s="7"/>
      <c r="BM219" s="7"/>
      <c r="BN219" s="7"/>
      <c r="BO219" s="8">
        <f>SUM(BJ219:BN219)</f>
        <v>0</v>
      </c>
      <c r="BQ219" s="6"/>
      <c r="BR219" s="7"/>
      <c r="BS219" s="7"/>
      <c r="BT219" s="7"/>
      <c r="BU219" s="7"/>
      <c r="BV219" s="8">
        <f>SUM(BQ219:BU219)</f>
        <v>0</v>
      </c>
      <c r="BX219" s="6"/>
      <c r="BY219" s="7"/>
      <c r="BZ219" s="7"/>
      <c r="CA219" s="7"/>
      <c r="CB219" s="7"/>
      <c r="CC219" s="8">
        <f>SUM(BX219:CB219)</f>
        <v>0</v>
      </c>
      <c r="CE219" s="28">
        <f t="shared" si="964"/>
        <v>0</v>
      </c>
      <c r="CF219" s="29">
        <f t="shared" si="965"/>
        <v>0</v>
      </c>
      <c r="CG219" s="29">
        <f t="shared" si="966"/>
        <v>0</v>
      </c>
      <c r="CH219" s="29">
        <f t="shared" si="967"/>
        <v>0</v>
      </c>
      <c r="CI219" s="29">
        <f t="shared" si="968"/>
        <v>0</v>
      </c>
      <c r="CJ219" s="8">
        <f>SUM(CE219:CI219)</f>
        <v>0</v>
      </c>
      <c r="CL219" s="6"/>
      <c r="CM219" s="7"/>
      <c r="CN219" s="7"/>
      <c r="CO219" s="7"/>
      <c r="CP219" s="7"/>
      <c r="CQ219" s="8">
        <f>SUM(CL219:CP219)</f>
        <v>0</v>
      </c>
      <c r="CS219" s="6"/>
      <c r="CT219" s="7"/>
      <c r="CU219" s="7"/>
      <c r="CV219" s="7"/>
      <c r="CW219" s="7"/>
      <c r="CX219" s="8">
        <f t="shared" si="973"/>
        <v>0</v>
      </c>
      <c r="CZ219" s="6"/>
      <c r="DA219" s="7"/>
      <c r="DB219" s="7"/>
      <c r="DC219" s="7"/>
      <c r="DD219" s="7"/>
      <c r="DE219" s="8">
        <f t="shared" si="974"/>
        <v>0</v>
      </c>
    </row>
    <row r="220" spans="3:109" ht="14" thickBot="1">
      <c r="C220" s="567"/>
      <c r="E220" s="14" t="s">
        <v>62</v>
      </c>
      <c r="F220" s="23">
        <f t="shared" si="969"/>
        <v>0</v>
      </c>
      <c r="G220" s="24">
        <f t="shared" si="960"/>
        <v>0</v>
      </c>
      <c r="H220" s="24">
        <f t="shared" si="961"/>
        <v>0</v>
      </c>
      <c r="I220" s="24">
        <f t="shared" si="962"/>
        <v>0</v>
      </c>
      <c r="J220" s="24">
        <f t="shared" si="963"/>
        <v>0</v>
      </c>
      <c r="K220" s="8">
        <f t="shared" si="970"/>
        <v>0</v>
      </c>
      <c r="M220" s="6"/>
      <c r="N220" s="7"/>
      <c r="O220" s="7"/>
      <c r="P220" s="7"/>
      <c r="Q220" s="7"/>
      <c r="R220" s="8">
        <f t="shared" si="971"/>
        <v>0</v>
      </c>
      <c r="T220" s="6"/>
      <c r="U220" s="7"/>
      <c r="V220" s="7"/>
      <c r="W220" s="7"/>
      <c r="X220" s="7"/>
      <c r="Y220" s="8">
        <f t="shared" si="972"/>
        <v>0</v>
      </c>
      <c r="AA220" s="6"/>
      <c r="AB220" s="7"/>
      <c r="AC220" s="7"/>
      <c r="AD220" s="7"/>
      <c r="AE220" s="7"/>
      <c r="AF220" s="8">
        <f>SUM(AA220:AE220)</f>
        <v>0</v>
      </c>
      <c r="AH220" s="6"/>
      <c r="AI220" s="7"/>
      <c r="AJ220" s="7"/>
      <c r="AK220" s="7"/>
      <c r="AL220" s="7"/>
      <c r="AM220" s="8">
        <f>SUM(AH220:AL220)</f>
        <v>0</v>
      </c>
      <c r="AO220" s="6"/>
      <c r="AP220" s="7"/>
      <c r="AQ220" s="7"/>
      <c r="AR220" s="7"/>
      <c r="AS220" s="7"/>
      <c r="AT220" s="8">
        <f>SUM(AO220:AS220)</f>
        <v>0</v>
      </c>
      <c r="AV220" s="6"/>
      <c r="AW220" s="7"/>
      <c r="AX220" s="7"/>
      <c r="AY220" s="7"/>
      <c r="AZ220" s="7"/>
      <c r="BA220" s="8">
        <f>SUM(AV220:AZ220)</f>
        <v>0</v>
      </c>
      <c r="BC220" s="6"/>
      <c r="BD220" s="7"/>
      <c r="BE220" s="7"/>
      <c r="BF220" s="7"/>
      <c r="BG220" s="7"/>
      <c r="BH220" s="8">
        <f>SUM(BC220:BG220)</f>
        <v>0</v>
      </c>
      <c r="BJ220" s="6"/>
      <c r="BK220" s="7"/>
      <c r="BL220" s="7"/>
      <c r="BM220" s="7"/>
      <c r="BN220" s="7"/>
      <c r="BO220" s="8">
        <f>SUM(BJ220:BN220)</f>
        <v>0</v>
      </c>
      <c r="BQ220" s="6"/>
      <c r="BR220" s="7"/>
      <c r="BS220" s="7"/>
      <c r="BT220" s="7"/>
      <c r="BU220" s="7"/>
      <c r="BV220" s="8">
        <f>SUM(BQ220:BU220)</f>
        <v>0</v>
      </c>
      <c r="BX220" s="6"/>
      <c r="BY220" s="7"/>
      <c r="BZ220" s="7"/>
      <c r="CA220" s="7"/>
      <c r="CB220" s="7"/>
      <c r="CC220" s="8">
        <f>SUM(BX220:CB220)</f>
        <v>0</v>
      </c>
      <c r="CE220" s="493">
        <f t="shared" si="964"/>
        <v>0</v>
      </c>
      <c r="CF220" s="494">
        <f t="shared" si="965"/>
        <v>0</v>
      </c>
      <c r="CG220" s="494">
        <f t="shared" si="966"/>
        <v>0</v>
      </c>
      <c r="CH220" s="494">
        <f t="shared" si="967"/>
        <v>0</v>
      </c>
      <c r="CI220" s="494">
        <f t="shared" si="968"/>
        <v>0</v>
      </c>
      <c r="CJ220" s="495">
        <f>SUM(CE220:CI220)</f>
        <v>0</v>
      </c>
      <c r="CL220" s="6"/>
      <c r="CM220" s="7"/>
      <c r="CN220" s="7"/>
      <c r="CO220" s="7"/>
      <c r="CP220" s="7"/>
      <c r="CQ220" s="8">
        <f>SUM(CL220:CP220)</f>
        <v>0</v>
      </c>
      <c r="CS220" s="6"/>
      <c r="CT220" s="7"/>
      <c r="CU220" s="7"/>
      <c r="CV220" s="7"/>
      <c r="CW220" s="7"/>
      <c r="CX220" s="8">
        <f t="shared" si="973"/>
        <v>0</v>
      </c>
      <c r="CZ220" s="6"/>
      <c r="DA220" s="7"/>
      <c r="DB220" s="7"/>
      <c r="DC220" s="7"/>
      <c r="DD220" s="7"/>
      <c r="DE220" s="8">
        <f t="shared" si="974"/>
        <v>0</v>
      </c>
    </row>
    <row r="221" spans="3:109" ht="14" thickBot="1">
      <c r="C221" s="554"/>
      <c r="E221" s="17"/>
      <c r="F221" s="10">
        <f>SUM(F217:F220)</f>
        <v>0</v>
      </c>
      <c r="G221" s="11">
        <f t="shared" ref="G221:J221" si="975">SUM(G217:G220)</f>
        <v>0</v>
      </c>
      <c r="H221" s="11">
        <f t="shared" si="975"/>
        <v>0</v>
      </c>
      <c r="I221" s="11">
        <f t="shared" si="975"/>
        <v>0</v>
      </c>
      <c r="J221" s="11">
        <f t="shared" si="975"/>
        <v>0</v>
      </c>
      <c r="K221" s="25">
        <f>SUM(K217:K220)</f>
        <v>0</v>
      </c>
      <c r="M221" s="10">
        <f>SUM(M217:M220)</f>
        <v>0</v>
      </c>
      <c r="N221" s="11">
        <f t="shared" ref="N221:Q221" si="976">SUM(N217:N220)</f>
        <v>0</v>
      </c>
      <c r="O221" s="11">
        <f t="shared" si="976"/>
        <v>0</v>
      </c>
      <c r="P221" s="11">
        <f t="shared" si="976"/>
        <v>0</v>
      </c>
      <c r="Q221" s="11">
        <f t="shared" si="976"/>
        <v>0</v>
      </c>
      <c r="R221" s="25">
        <f>SUM(R217:R220)</f>
        <v>0</v>
      </c>
      <c r="T221" s="10">
        <f>SUM(T217:T220)</f>
        <v>0</v>
      </c>
      <c r="U221" s="11">
        <f t="shared" ref="U221:X221" si="977">SUM(U217:U220)</f>
        <v>0</v>
      </c>
      <c r="V221" s="11">
        <f t="shared" si="977"/>
        <v>0</v>
      </c>
      <c r="W221" s="11">
        <f t="shared" si="977"/>
        <v>0</v>
      </c>
      <c r="X221" s="11">
        <f t="shared" si="977"/>
        <v>0</v>
      </c>
      <c r="Y221" s="25">
        <f>SUM(Y217:Y220)</f>
        <v>0</v>
      </c>
      <c r="AA221" s="10">
        <f>SUM(AA217:AA220)</f>
        <v>0</v>
      </c>
      <c r="AB221" s="11">
        <f t="shared" ref="AB221:AE221" si="978">SUM(AB217:AB220)</f>
        <v>0</v>
      </c>
      <c r="AC221" s="11">
        <f t="shared" si="978"/>
        <v>0</v>
      </c>
      <c r="AD221" s="11">
        <f t="shared" si="978"/>
        <v>0</v>
      </c>
      <c r="AE221" s="11">
        <f t="shared" si="978"/>
        <v>0</v>
      </c>
      <c r="AF221" s="25">
        <f>SUM(AF217:AF220)</f>
        <v>0</v>
      </c>
      <c r="AH221" s="10">
        <f t="shared" ref="AH221:AM221" si="979">SUM(AH217:AH220)</f>
        <v>0</v>
      </c>
      <c r="AI221" s="11">
        <f t="shared" si="979"/>
        <v>0</v>
      </c>
      <c r="AJ221" s="11">
        <f t="shared" si="979"/>
        <v>0</v>
      </c>
      <c r="AK221" s="11">
        <f t="shared" si="979"/>
        <v>0</v>
      </c>
      <c r="AL221" s="11">
        <f t="shared" si="979"/>
        <v>0</v>
      </c>
      <c r="AM221" s="25">
        <f t="shared" si="979"/>
        <v>0</v>
      </c>
      <c r="AO221" s="10">
        <f t="shared" ref="AO221:AT221" si="980">SUM(AO217:AO220)</f>
        <v>0</v>
      </c>
      <c r="AP221" s="11">
        <f t="shared" si="980"/>
        <v>0</v>
      </c>
      <c r="AQ221" s="11">
        <f t="shared" si="980"/>
        <v>0</v>
      </c>
      <c r="AR221" s="11">
        <f t="shared" si="980"/>
        <v>0</v>
      </c>
      <c r="AS221" s="11">
        <f t="shared" si="980"/>
        <v>0</v>
      </c>
      <c r="AT221" s="25">
        <f t="shared" si="980"/>
        <v>0</v>
      </c>
      <c r="AV221" s="10">
        <f t="shared" ref="AV221:BA221" si="981">SUM(AV217:AV220)</f>
        <v>0</v>
      </c>
      <c r="AW221" s="11">
        <f t="shared" si="981"/>
        <v>0</v>
      </c>
      <c r="AX221" s="11">
        <f t="shared" si="981"/>
        <v>0</v>
      </c>
      <c r="AY221" s="11">
        <f t="shared" si="981"/>
        <v>0</v>
      </c>
      <c r="AZ221" s="11">
        <f t="shared" si="981"/>
        <v>0</v>
      </c>
      <c r="BA221" s="25">
        <f t="shared" si="981"/>
        <v>0</v>
      </c>
      <c r="BC221" s="10">
        <f t="shared" ref="BC221:BH221" si="982">SUM(BC217:BC220)</f>
        <v>0</v>
      </c>
      <c r="BD221" s="11">
        <f t="shared" si="982"/>
        <v>0</v>
      </c>
      <c r="BE221" s="11">
        <f t="shared" si="982"/>
        <v>0</v>
      </c>
      <c r="BF221" s="11">
        <f t="shared" si="982"/>
        <v>0</v>
      </c>
      <c r="BG221" s="11">
        <f t="shared" si="982"/>
        <v>0</v>
      </c>
      <c r="BH221" s="25">
        <f t="shared" si="982"/>
        <v>0</v>
      </c>
      <c r="BJ221" s="10">
        <f t="shared" ref="BJ221:BO221" si="983">SUM(BJ217:BJ220)</f>
        <v>0</v>
      </c>
      <c r="BK221" s="11">
        <f t="shared" si="983"/>
        <v>0</v>
      </c>
      <c r="BL221" s="11">
        <f t="shared" si="983"/>
        <v>0</v>
      </c>
      <c r="BM221" s="11">
        <f t="shared" si="983"/>
        <v>0</v>
      </c>
      <c r="BN221" s="11">
        <f t="shared" si="983"/>
        <v>0</v>
      </c>
      <c r="BO221" s="25">
        <f t="shared" si="983"/>
        <v>0</v>
      </c>
      <c r="BQ221" s="10">
        <f t="shared" ref="BQ221:BV221" si="984">SUM(BQ217:BQ220)</f>
        <v>0</v>
      </c>
      <c r="BR221" s="11">
        <f t="shared" si="984"/>
        <v>0</v>
      </c>
      <c r="BS221" s="11">
        <f t="shared" si="984"/>
        <v>0</v>
      </c>
      <c r="BT221" s="11">
        <f t="shared" si="984"/>
        <v>0</v>
      </c>
      <c r="BU221" s="11">
        <f t="shared" si="984"/>
        <v>0</v>
      </c>
      <c r="BV221" s="25">
        <f t="shared" si="984"/>
        <v>0</v>
      </c>
      <c r="BX221" s="10">
        <f t="shared" ref="BX221:CC221" si="985">SUM(BX217:BX220)</f>
        <v>0</v>
      </c>
      <c r="BY221" s="11">
        <f t="shared" si="985"/>
        <v>0</v>
      </c>
      <c r="BZ221" s="11">
        <f t="shared" si="985"/>
        <v>0</v>
      </c>
      <c r="CA221" s="11">
        <f t="shared" si="985"/>
        <v>0</v>
      </c>
      <c r="CB221" s="11">
        <f t="shared" si="985"/>
        <v>0</v>
      </c>
      <c r="CC221" s="25">
        <f t="shared" si="985"/>
        <v>0</v>
      </c>
      <c r="CE221" s="62">
        <f t="shared" ref="CE221:CJ221" si="986">SUM(CE217:CE220)</f>
        <v>0</v>
      </c>
      <c r="CF221" s="63">
        <f t="shared" si="986"/>
        <v>0</v>
      </c>
      <c r="CG221" s="63">
        <f t="shared" si="986"/>
        <v>0</v>
      </c>
      <c r="CH221" s="63">
        <f t="shared" si="986"/>
        <v>0</v>
      </c>
      <c r="CI221" s="63">
        <f t="shared" si="986"/>
        <v>0</v>
      </c>
      <c r="CJ221" s="25">
        <f t="shared" si="986"/>
        <v>0</v>
      </c>
      <c r="CL221" s="10">
        <f>SUM(CL217:CL220)</f>
        <v>0</v>
      </c>
      <c r="CM221" s="11">
        <f t="shared" ref="CM221:CQ221" si="987">SUM(CM217:CM220)</f>
        <v>0</v>
      </c>
      <c r="CN221" s="11">
        <f t="shared" si="987"/>
        <v>0</v>
      </c>
      <c r="CO221" s="11">
        <f t="shared" si="987"/>
        <v>0</v>
      </c>
      <c r="CP221" s="11">
        <f t="shared" si="987"/>
        <v>0</v>
      </c>
      <c r="CQ221" s="25">
        <f t="shared" si="987"/>
        <v>0</v>
      </c>
      <c r="CS221" s="10">
        <f>SUM(CS217:CS220)</f>
        <v>0</v>
      </c>
      <c r="CT221" s="11">
        <f t="shared" ref="CT221:CW221" si="988">SUM(CT217:CT220)</f>
        <v>0</v>
      </c>
      <c r="CU221" s="11">
        <f t="shared" si="988"/>
        <v>0</v>
      </c>
      <c r="CV221" s="11">
        <f t="shared" si="988"/>
        <v>0</v>
      </c>
      <c r="CW221" s="11">
        <f t="shared" si="988"/>
        <v>0</v>
      </c>
      <c r="CX221" s="25">
        <f>SUM(CX217:CX220)</f>
        <v>0</v>
      </c>
      <c r="CZ221" s="10">
        <f>SUM(CZ217:CZ220)</f>
        <v>0</v>
      </c>
      <c r="DA221" s="11">
        <f t="shared" ref="DA221:DD221" si="989">SUM(DA217:DA220)</f>
        <v>0</v>
      </c>
      <c r="DB221" s="11">
        <f t="shared" si="989"/>
        <v>0</v>
      </c>
      <c r="DC221" s="11">
        <f t="shared" si="989"/>
        <v>0</v>
      </c>
      <c r="DD221" s="11">
        <f t="shared" si="989"/>
        <v>0</v>
      </c>
      <c r="DE221" s="25">
        <f>SUM(DE217:DE220)</f>
        <v>0</v>
      </c>
    </row>
    <row r="222" spans="3:109" ht="10.4" customHeight="1" thickBot="1"/>
    <row r="223" spans="3:109">
      <c r="C223" s="553">
        <v>2028</v>
      </c>
      <c r="E223" s="13" t="s">
        <v>59</v>
      </c>
      <c r="F223" s="21">
        <f>CE217</f>
        <v>0</v>
      </c>
      <c r="G223" s="22">
        <f t="shared" ref="G223:G226" si="990">CF217</f>
        <v>0</v>
      </c>
      <c r="H223" s="22">
        <f t="shared" ref="H223:H226" si="991">CG217</f>
        <v>0</v>
      </c>
      <c r="I223" s="22">
        <f t="shared" ref="I223:I226" si="992">CH217</f>
        <v>0</v>
      </c>
      <c r="J223" s="22">
        <f t="shared" ref="J223:J226" si="993">CI217</f>
        <v>0</v>
      </c>
      <c r="K223" s="4">
        <f>SUM(F223:J223)</f>
        <v>0</v>
      </c>
      <c r="M223" s="2"/>
      <c r="N223" s="3"/>
      <c r="O223" s="3"/>
      <c r="P223" s="3"/>
      <c r="Q223" s="3"/>
      <c r="R223" s="4">
        <f>SUM(M223:Q223)</f>
        <v>0</v>
      </c>
      <c r="T223" s="2"/>
      <c r="U223" s="3"/>
      <c r="V223" s="3"/>
      <c r="W223" s="3"/>
      <c r="X223" s="3"/>
      <c r="Y223" s="4">
        <f>SUM(T223:X223)</f>
        <v>0</v>
      </c>
      <c r="AA223" s="2"/>
      <c r="AB223" s="3"/>
      <c r="AC223" s="3"/>
      <c r="AD223" s="3"/>
      <c r="AE223" s="3"/>
      <c r="AF223" s="4">
        <f>SUM(AA223:AE223)</f>
        <v>0</v>
      </c>
      <c r="AH223" s="2"/>
      <c r="AI223" s="3"/>
      <c r="AJ223" s="3"/>
      <c r="AK223" s="3"/>
      <c r="AL223" s="3"/>
      <c r="AM223" s="4">
        <f>SUM(AH223:AL223)</f>
        <v>0</v>
      </c>
      <c r="AO223" s="2"/>
      <c r="AP223" s="3"/>
      <c r="AQ223" s="3"/>
      <c r="AR223" s="3"/>
      <c r="AS223" s="3"/>
      <c r="AT223" s="4">
        <f>SUM(AO223:AS223)</f>
        <v>0</v>
      </c>
      <c r="AV223" s="2"/>
      <c r="AW223" s="3"/>
      <c r="AX223" s="3"/>
      <c r="AY223" s="3"/>
      <c r="AZ223" s="3"/>
      <c r="BA223" s="4">
        <f>SUM(AV223:AZ223)</f>
        <v>0</v>
      </c>
      <c r="BC223" s="2"/>
      <c r="BD223" s="3"/>
      <c r="BE223" s="3"/>
      <c r="BF223" s="3"/>
      <c r="BG223" s="3"/>
      <c r="BH223" s="4">
        <f>SUM(BC223:BG223)</f>
        <v>0</v>
      </c>
      <c r="BJ223" s="2"/>
      <c r="BK223" s="3"/>
      <c r="BL223" s="3"/>
      <c r="BM223" s="3"/>
      <c r="BN223" s="3"/>
      <c r="BO223" s="4">
        <f>SUM(BJ223:BN223)</f>
        <v>0</v>
      </c>
      <c r="BQ223" s="2"/>
      <c r="BR223" s="3"/>
      <c r="BS223" s="3"/>
      <c r="BT223" s="3"/>
      <c r="BU223" s="3"/>
      <c r="BV223" s="4">
        <f>SUM(BQ223:BU223)</f>
        <v>0</v>
      </c>
      <c r="BX223" s="2"/>
      <c r="BY223" s="3"/>
      <c r="BZ223" s="3"/>
      <c r="CA223" s="3"/>
      <c r="CB223" s="3"/>
      <c r="CC223" s="4">
        <f>SUM(BX223:CB223)</f>
        <v>0</v>
      </c>
      <c r="CE223" s="26">
        <f t="shared" ref="CE223:CE226" si="994">F223+M223+T223+AA223+AH223+AO223+AV223+BC223+BJ223+BQ223+BX223</f>
        <v>0</v>
      </c>
      <c r="CF223" s="27">
        <f t="shared" ref="CF223:CF226" si="995">G223+N223+U223+AB223+AI223+AP223+AW223+BD223+BK223+BR223+BY223</f>
        <v>0</v>
      </c>
      <c r="CG223" s="27">
        <f t="shared" ref="CG223:CG226" si="996">H223+O223+V223+AC223+AJ223+AQ223+AX223+BE223+BL223+BS223+BZ223</f>
        <v>0</v>
      </c>
      <c r="CH223" s="27">
        <f t="shared" ref="CH223:CH226" si="997">I223+P223+W223+AD223+AK223+AR223+AY223+BF223+BM223+BT223+CA223</f>
        <v>0</v>
      </c>
      <c r="CI223" s="27">
        <f t="shared" ref="CI223:CI226" si="998">J223+Q223+X223+AE223+AL223+AS223+AZ223+BG223+BN223+BU223+CB223</f>
        <v>0</v>
      </c>
      <c r="CJ223" s="4">
        <f>SUM(CE223:CI223)</f>
        <v>0</v>
      </c>
      <c r="CL223" s="2"/>
      <c r="CM223" s="3"/>
      <c r="CN223" s="3"/>
      <c r="CO223" s="3"/>
      <c r="CP223" s="3"/>
      <c r="CQ223" s="4">
        <f>SUM(CL223:CP223)</f>
        <v>0</v>
      </c>
      <c r="CS223" s="2"/>
      <c r="CT223" s="3"/>
      <c r="CU223" s="3"/>
      <c r="CV223" s="3"/>
      <c r="CW223" s="3"/>
      <c r="CX223" s="4">
        <f>SUM(CS223:CW223)</f>
        <v>0</v>
      </c>
      <c r="CZ223" s="2"/>
      <c r="DA223" s="3"/>
      <c r="DB223" s="3"/>
      <c r="DC223" s="3"/>
      <c r="DD223" s="3"/>
      <c r="DE223" s="4">
        <f>SUM(CZ223:DD223)</f>
        <v>0</v>
      </c>
    </row>
    <row r="224" spans="3:109">
      <c r="C224" s="567"/>
      <c r="E224" s="14" t="s">
        <v>60</v>
      </c>
      <c r="F224" s="23">
        <f t="shared" ref="F224:F226" si="999">CE218</f>
        <v>0</v>
      </c>
      <c r="G224" s="24">
        <f t="shared" si="990"/>
        <v>0</v>
      </c>
      <c r="H224" s="24">
        <f t="shared" si="991"/>
        <v>0</v>
      </c>
      <c r="I224" s="24">
        <f t="shared" si="992"/>
        <v>0</v>
      </c>
      <c r="J224" s="24">
        <f t="shared" si="993"/>
        <v>0</v>
      </c>
      <c r="K224" s="8">
        <f t="shared" ref="K224:K226" si="1000">SUM(F224:J224)</f>
        <v>0</v>
      </c>
      <c r="M224" s="6"/>
      <c r="N224" s="7"/>
      <c r="O224" s="7"/>
      <c r="P224" s="7"/>
      <c r="Q224" s="7"/>
      <c r="R224" s="8">
        <f t="shared" ref="R224:R226" si="1001">SUM(M224:Q224)</f>
        <v>0</v>
      </c>
      <c r="T224" s="6"/>
      <c r="U224" s="7"/>
      <c r="V224" s="7"/>
      <c r="W224" s="7"/>
      <c r="X224" s="7"/>
      <c r="Y224" s="8">
        <f t="shared" ref="Y224:Y226" si="1002">SUM(T224:X224)</f>
        <v>0</v>
      </c>
      <c r="AA224" s="6"/>
      <c r="AB224" s="7"/>
      <c r="AC224" s="7"/>
      <c r="AD224" s="7"/>
      <c r="AE224" s="7"/>
      <c r="AF224" s="8">
        <f>SUM(AA224:AE224)</f>
        <v>0</v>
      </c>
      <c r="AH224" s="6"/>
      <c r="AI224" s="7"/>
      <c r="AJ224" s="7"/>
      <c r="AK224" s="7"/>
      <c r="AL224" s="7"/>
      <c r="AM224" s="8">
        <f>SUM(AH224:AL224)</f>
        <v>0</v>
      </c>
      <c r="AO224" s="6"/>
      <c r="AP224" s="7"/>
      <c r="AQ224" s="7"/>
      <c r="AR224" s="7"/>
      <c r="AS224" s="7"/>
      <c r="AT224" s="8">
        <f>SUM(AO224:AS224)</f>
        <v>0</v>
      </c>
      <c r="AV224" s="6"/>
      <c r="AW224" s="7"/>
      <c r="AX224" s="7"/>
      <c r="AY224" s="7"/>
      <c r="AZ224" s="7"/>
      <c r="BA224" s="8">
        <f>SUM(AV224:AZ224)</f>
        <v>0</v>
      </c>
      <c r="BC224" s="6"/>
      <c r="BD224" s="7"/>
      <c r="BE224" s="7"/>
      <c r="BF224" s="7"/>
      <c r="BG224" s="7"/>
      <c r="BH224" s="8">
        <f>SUM(BC224:BG224)</f>
        <v>0</v>
      </c>
      <c r="BJ224" s="6"/>
      <c r="BK224" s="7"/>
      <c r="BL224" s="7"/>
      <c r="BM224" s="7"/>
      <c r="BN224" s="7"/>
      <c r="BO224" s="8">
        <f>SUM(BJ224:BN224)</f>
        <v>0</v>
      </c>
      <c r="BQ224" s="6"/>
      <c r="BR224" s="7"/>
      <c r="BS224" s="7"/>
      <c r="BT224" s="7"/>
      <c r="BU224" s="7"/>
      <c r="BV224" s="8">
        <f>SUM(BQ224:BU224)</f>
        <v>0</v>
      </c>
      <c r="BX224" s="6"/>
      <c r="BY224" s="7"/>
      <c r="BZ224" s="7"/>
      <c r="CA224" s="7"/>
      <c r="CB224" s="7"/>
      <c r="CC224" s="8">
        <f>SUM(BX224:CB224)</f>
        <v>0</v>
      </c>
      <c r="CE224" s="28">
        <f t="shared" si="994"/>
        <v>0</v>
      </c>
      <c r="CF224" s="29">
        <f t="shared" si="995"/>
        <v>0</v>
      </c>
      <c r="CG224" s="29">
        <f t="shared" si="996"/>
        <v>0</v>
      </c>
      <c r="CH224" s="29">
        <f t="shared" si="997"/>
        <v>0</v>
      </c>
      <c r="CI224" s="29">
        <f t="shared" si="998"/>
        <v>0</v>
      </c>
      <c r="CJ224" s="8">
        <f>SUM(CE224:CI224)</f>
        <v>0</v>
      </c>
      <c r="CL224" s="6"/>
      <c r="CM224" s="7"/>
      <c r="CN224" s="7"/>
      <c r="CO224" s="7"/>
      <c r="CP224" s="7"/>
      <c r="CQ224" s="8">
        <f>SUM(CL224:CP224)</f>
        <v>0</v>
      </c>
      <c r="CS224" s="6"/>
      <c r="CT224" s="7"/>
      <c r="CU224" s="7"/>
      <c r="CV224" s="7"/>
      <c r="CW224" s="7"/>
      <c r="CX224" s="8">
        <f t="shared" ref="CX224:CX226" si="1003">SUM(CS224:CW224)</f>
        <v>0</v>
      </c>
      <c r="CZ224" s="6"/>
      <c r="DA224" s="7"/>
      <c r="DB224" s="7"/>
      <c r="DC224" s="7"/>
      <c r="DD224" s="7"/>
      <c r="DE224" s="8">
        <f t="shared" ref="DE224:DE226" si="1004">SUM(CZ224:DD224)</f>
        <v>0</v>
      </c>
    </row>
    <row r="225" spans="2:109">
      <c r="C225" s="567"/>
      <c r="E225" s="14" t="s">
        <v>61</v>
      </c>
      <c r="F225" s="23">
        <f t="shared" si="999"/>
        <v>0</v>
      </c>
      <c r="G225" s="24">
        <f t="shared" si="990"/>
        <v>0</v>
      </c>
      <c r="H225" s="24">
        <f t="shared" si="991"/>
        <v>0</v>
      </c>
      <c r="I225" s="24">
        <f t="shared" si="992"/>
        <v>0</v>
      </c>
      <c r="J225" s="24">
        <f t="shared" si="993"/>
        <v>0</v>
      </c>
      <c r="K225" s="8">
        <f t="shared" si="1000"/>
        <v>0</v>
      </c>
      <c r="M225" s="6"/>
      <c r="N225" s="7"/>
      <c r="O225" s="7"/>
      <c r="P225" s="7"/>
      <c r="Q225" s="7"/>
      <c r="R225" s="8">
        <f t="shared" si="1001"/>
        <v>0</v>
      </c>
      <c r="T225" s="6"/>
      <c r="U225" s="7"/>
      <c r="V225" s="7"/>
      <c r="W225" s="7"/>
      <c r="X225" s="7"/>
      <c r="Y225" s="8">
        <f t="shared" si="1002"/>
        <v>0</v>
      </c>
      <c r="AA225" s="6"/>
      <c r="AB225" s="7"/>
      <c r="AC225" s="7"/>
      <c r="AD225" s="7"/>
      <c r="AE225" s="7"/>
      <c r="AF225" s="8">
        <f>SUM(AA225:AE225)</f>
        <v>0</v>
      </c>
      <c r="AH225" s="6"/>
      <c r="AI225" s="7"/>
      <c r="AJ225" s="7"/>
      <c r="AK225" s="7"/>
      <c r="AL225" s="7"/>
      <c r="AM225" s="8">
        <f>SUM(AH225:AL225)</f>
        <v>0</v>
      </c>
      <c r="AO225" s="6"/>
      <c r="AP225" s="7"/>
      <c r="AQ225" s="7"/>
      <c r="AR225" s="7"/>
      <c r="AS225" s="7"/>
      <c r="AT225" s="8">
        <f>SUM(AO225:AS225)</f>
        <v>0</v>
      </c>
      <c r="AV225" s="6"/>
      <c r="AW225" s="7"/>
      <c r="AX225" s="7"/>
      <c r="AY225" s="7"/>
      <c r="AZ225" s="7"/>
      <c r="BA225" s="8">
        <f>SUM(AV225:AZ225)</f>
        <v>0</v>
      </c>
      <c r="BC225" s="6"/>
      <c r="BD225" s="7"/>
      <c r="BE225" s="7"/>
      <c r="BF225" s="7"/>
      <c r="BG225" s="7"/>
      <c r="BH225" s="8">
        <f>SUM(BC225:BG225)</f>
        <v>0</v>
      </c>
      <c r="BJ225" s="6"/>
      <c r="BK225" s="7"/>
      <c r="BL225" s="7"/>
      <c r="BM225" s="7"/>
      <c r="BN225" s="7"/>
      <c r="BO225" s="8">
        <f>SUM(BJ225:BN225)</f>
        <v>0</v>
      </c>
      <c r="BQ225" s="6"/>
      <c r="BR225" s="7"/>
      <c r="BS225" s="7"/>
      <c r="BT225" s="7"/>
      <c r="BU225" s="7"/>
      <c r="BV225" s="8">
        <f>SUM(BQ225:BU225)</f>
        <v>0</v>
      </c>
      <c r="BX225" s="6"/>
      <c r="BY225" s="7"/>
      <c r="BZ225" s="7"/>
      <c r="CA225" s="7"/>
      <c r="CB225" s="7"/>
      <c r="CC225" s="8">
        <f>SUM(BX225:CB225)</f>
        <v>0</v>
      </c>
      <c r="CE225" s="28">
        <f t="shared" si="994"/>
        <v>0</v>
      </c>
      <c r="CF225" s="29">
        <f t="shared" si="995"/>
        <v>0</v>
      </c>
      <c r="CG225" s="29">
        <f t="shared" si="996"/>
        <v>0</v>
      </c>
      <c r="CH225" s="29">
        <f t="shared" si="997"/>
        <v>0</v>
      </c>
      <c r="CI225" s="29">
        <f t="shared" si="998"/>
        <v>0</v>
      </c>
      <c r="CJ225" s="8">
        <f>SUM(CE225:CI225)</f>
        <v>0</v>
      </c>
      <c r="CL225" s="6"/>
      <c r="CM225" s="7"/>
      <c r="CN225" s="7"/>
      <c r="CO225" s="7"/>
      <c r="CP225" s="7"/>
      <c r="CQ225" s="8">
        <f>SUM(CL225:CP225)</f>
        <v>0</v>
      </c>
      <c r="CS225" s="6"/>
      <c r="CT225" s="7"/>
      <c r="CU225" s="7"/>
      <c r="CV225" s="7"/>
      <c r="CW225" s="7"/>
      <c r="CX225" s="8">
        <f t="shared" si="1003"/>
        <v>0</v>
      </c>
      <c r="CZ225" s="6"/>
      <c r="DA225" s="7"/>
      <c r="DB225" s="7"/>
      <c r="DC225" s="7"/>
      <c r="DD225" s="7"/>
      <c r="DE225" s="8">
        <f t="shared" si="1004"/>
        <v>0</v>
      </c>
    </row>
    <row r="226" spans="2:109" ht="14" thickBot="1">
      <c r="C226" s="567"/>
      <c r="E226" s="14" t="s">
        <v>62</v>
      </c>
      <c r="F226" s="23">
        <f t="shared" si="999"/>
        <v>0</v>
      </c>
      <c r="G226" s="24">
        <f t="shared" si="990"/>
        <v>0</v>
      </c>
      <c r="H226" s="24">
        <f t="shared" si="991"/>
        <v>0</v>
      </c>
      <c r="I226" s="24">
        <f t="shared" si="992"/>
        <v>0</v>
      </c>
      <c r="J226" s="24">
        <f t="shared" si="993"/>
        <v>0</v>
      </c>
      <c r="K226" s="8">
        <f t="shared" si="1000"/>
        <v>0</v>
      </c>
      <c r="M226" s="6"/>
      <c r="N226" s="7"/>
      <c r="O226" s="7"/>
      <c r="P226" s="7"/>
      <c r="Q226" s="7"/>
      <c r="R226" s="8">
        <f t="shared" si="1001"/>
        <v>0</v>
      </c>
      <c r="T226" s="6"/>
      <c r="U226" s="7"/>
      <c r="V226" s="7"/>
      <c r="W226" s="7"/>
      <c r="X226" s="7"/>
      <c r="Y226" s="8">
        <f t="shared" si="1002"/>
        <v>0</v>
      </c>
      <c r="AA226" s="6"/>
      <c r="AB226" s="7"/>
      <c r="AC226" s="7"/>
      <c r="AD226" s="7"/>
      <c r="AE226" s="7"/>
      <c r="AF226" s="8">
        <f>SUM(AA226:AE226)</f>
        <v>0</v>
      </c>
      <c r="AH226" s="6"/>
      <c r="AI226" s="7"/>
      <c r="AJ226" s="7"/>
      <c r="AK226" s="7"/>
      <c r="AL226" s="7"/>
      <c r="AM226" s="8">
        <f>SUM(AH226:AL226)</f>
        <v>0</v>
      </c>
      <c r="AO226" s="6"/>
      <c r="AP226" s="7"/>
      <c r="AQ226" s="7"/>
      <c r="AR226" s="7"/>
      <c r="AS226" s="7"/>
      <c r="AT226" s="8">
        <f>SUM(AO226:AS226)</f>
        <v>0</v>
      </c>
      <c r="AV226" s="6"/>
      <c r="AW226" s="7"/>
      <c r="AX226" s="7"/>
      <c r="AY226" s="7"/>
      <c r="AZ226" s="7"/>
      <c r="BA226" s="8">
        <f>SUM(AV226:AZ226)</f>
        <v>0</v>
      </c>
      <c r="BC226" s="6"/>
      <c r="BD226" s="7"/>
      <c r="BE226" s="7"/>
      <c r="BF226" s="7"/>
      <c r="BG226" s="7"/>
      <c r="BH226" s="8">
        <f>SUM(BC226:BG226)</f>
        <v>0</v>
      </c>
      <c r="BJ226" s="6"/>
      <c r="BK226" s="7"/>
      <c r="BL226" s="7"/>
      <c r="BM226" s="7"/>
      <c r="BN226" s="7"/>
      <c r="BO226" s="8">
        <f>SUM(BJ226:BN226)</f>
        <v>0</v>
      </c>
      <c r="BQ226" s="6"/>
      <c r="BR226" s="7"/>
      <c r="BS226" s="7"/>
      <c r="BT226" s="7"/>
      <c r="BU226" s="7"/>
      <c r="BV226" s="8">
        <f>SUM(BQ226:BU226)</f>
        <v>0</v>
      </c>
      <c r="BX226" s="6"/>
      <c r="BY226" s="7"/>
      <c r="BZ226" s="7"/>
      <c r="CA226" s="7"/>
      <c r="CB226" s="7"/>
      <c r="CC226" s="8">
        <f>SUM(BX226:CB226)</f>
        <v>0</v>
      </c>
      <c r="CE226" s="493">
        <f t="shared" si="994"/>
        <v>0</v>
      </c>
      <c r="CF226" s="494">
        <f t="shared" si="995"/>
        <v>0</v>
      </c>
      <c r="CG226" s="494">
        <f t="shared" si="996"/>
        <v>0</v>
      </c>
      <c r="CH226" s="494">
        <f t="shared" si="997"/>
        <v>0</v>
      </c>
      <c r="CI226" s="494">
        <f t="shared" si="998"/>
        <v>0</v>
      </c>
      <c r="CJ226" s="495">
        <f>SUM(CE226:CI226)</f>
        <v>0</v>
      </c>
      <c r="CL226" s="6"/>
      <c r="CM226" s="7"/>
      <c r="CN226" s="7"/>
      <c r="CO226" s="7"/>
      <c r="CP226" s="7"/>
      <c r="CQ226" s="8">
        <f>SUM(CL226:CP226)</f>
        <v>0</v>
      </c>
      <c r="CS226" s="6"/>
      <c r="CT226" s="7"/>
      <c r="CU226" s="7"/>
      <c r="CV226" s="7"/>
      <c r="CW226" s="7"/>
      <c r="CX226" s="8">
        <f t="shared" si="1003"/>
        <v>0</v>
      </c>
      <c r="CZ226" s="6"/>
      <c r="DA226" s="7"/>
      <c r="DB226" s="7"/>
      <c r="DC226" s="7"/>
      <c r="DD226" s="7"/>
      <c r="DE226" s="8">
        <f t="shared" si="1004"/>
        <v>0</v>
      </c>
    </row>
    <row r="227" spans="2:109" ht="14" thickBot="1">
      <c r="C227" s="554"/>
      <c r="E227" s="9"/>
      <c r="F227" s="10">
        <f>SUM(F223:F226)</f>
        <v>0</v>
      </c>
      <c r="G227" s="11">
        <f t="shared" ref="G227:J227" si="1005">SUM(G223:G226)</f>
        <v>0</v>
      </c>
      <c r="H227" s="11">
        <f t="shared" si="1005"/>
        <v>0</v>
      </c>
      <c r="I227" s="11">
        <f t="shared" si="1005"/>
        <v>0</v>
      </c>
      <c r="J227" s="11">
        <f t="shared" si="1005"/>
        <v>0</v>
      </c>
      <c r="K227" s="25">
        <f>SUM(K223:K226)</f>
        <v>0</v>
      </c>
      <c r="M227" s="10">
        <f>SUM(M223:M226)</f>
        <v>0</v>
      </c>
      <c r="N227" s="11">
        <f t="shared" ref="N227:Q227" si="1006">SUM(N223:N226)</f>
        <v>0</v>
      </c>
      <c r="O227" s="11">
        <f t="shared" si="1006"/>
        <v>0</v>
      </c>
      <c r="P227" s="11">
        <f t="shared" si="1006"/>
        <v>0</v>
      </c>
      <c r="Q227" s="11">
        <f t="shared" si="1006"/>
        <v>0</v>
      </c>
      <c r="R227" s="25">
        <f>SUM(R223:R226)</f>
        <v>0</v>
      </c>
      <c r="T227" s="10">
        <f>SUM(T223:T226)</f>
        <v>0</v>
      </c>
      <c r="U227" s="11">
        <f t="shared" ref="U227:X227" si="1007">SUM(U223:U226)</f>
        <v>0</v>
      </c>
      <c r="V227" s="11">
        <f t="shared" si="1007"/>
        <v>0</v>
      </c>
      <c r="W227" s="11">
        <f t="shared" si="1007"/>
        <v>0</v>
      </c>
      <c r="X227" s="11">
        <f t="shared" si="1007"/>
        <v>0</v>
      </c>
      <c r="Y227" s="25">
        <f>SUM(Y223:Y226)</f>
        <v>0</v>
      </c>
      <c r="AA227" s="10">
        <f>SUM(AA223:AA226)</f>
        <v>0</v>
      </c>
      <c r="AB227" s="11">
        <f t="shared" ref="AB227:AE227" si="1008">SUM(AB223:AB226)</f>
        <v>0</v>
      </c>
      <c r="AC227" s="11">
        <f t="shared" si="1008"/>
        <v>0</v>
      </c>
      <c r="AD227" s="11">
        <f t="shared" si="1008"/>
        <v>0</v>
      </c>
      <c r="AE227" s="11">
        <f t="shared" si="1008"/>
        <v>0</v>
      </c>
      <c r="AF227" s="25">
        <f>SUM(AF223:AF226)</f>
        <v>0</v>
      </c>
      <c r="AH227" s="10">
        <f t="shared" ref="AH227:AM227" si="1009">SUM(AH223:AH226)</f>
        <v>0</v>
      </c>
      <c r="AI227" s="11">
        <f t="shared" si="1009"/>
        <v>0</v>
      </c>
      <c r="AJ227" s="11">
        <f t="shared" si="1009"/>
        <v>0</v>
      </c>
      <c r="AK227" s="11">
        <f t="shared" si="1009"/>
        <v>0</v>
      </c>
      <c r="AL227" s="11">
        <f t="shared" si="1009"/>
        <v>0</v>
      </c>
      <c r="AM227" s="25">
        <f t="shared" si="1009"/>
        <v>0</v>
      </c>
      <c r="AO227" s="10">
        <f t="shared" ref="AO227:AT227" si="1010">SUM(AO223:AO226)</f>
        <v>0</v>
      </c>
      <c r="AP227" s="11">
        <f t="shared" si="1010"/>
        <v>0</v>
      </c>
      <c r="AQ227" s="11">
        <f t="shared" si="1010"/>
        <v>0</v>
      </c>
      <c r="AR227" s="11">
        <f t="shared" si="1010"/>
        <v>0</v>
      </c>
      <c r="AS227" s="11">
        <f t="shared" si="1010"/>
        <v>0</v>
      </c>
      <c r="AT227" s="25">
        <f t="shared" si="1010"/>
        <v>0</v>
      </c>
      <c r="AV227" s="10">
        <f t="shared" ref="AV227:BA227" si="1011">SUM(AV223:AV226)</f>
        <v>0</v>
      </c>
      <c r="AW227" s="11">
        <f t="shared" si="1011"/>
        <v>0</v>
      </c>
      <c r="AX227" s="11">
        <f t="shared" si="1011"/>
        <v>0</v>
      </c>
      <c r="AY227" s="11">
        <f t="shared" si="1011"/>
        <v>0</v>
      </c>
      <c r="AZ227" s="11">
        <f t="shared" si="1011"/>
        <v>0</v>
      </c>
      <c r="BA227" s="25">
        <f t="shared" si="1011"/>
        <v>0</v>
      </c>
      <c r="BC227" s="10">
        <f t="shared" ref="BC227:BH227" si="1012">SUM(BC223:BC226)</f>
        <v>0</v>
      </c>
      <c r="BD227" s="11">
        <f t="shared" si="1012"/>
        <v>0</v>
      </c>
      <c r="BE227" s="11">
        <f t="shared" si="1012"/>
        <v>0</v>
      </c>
      <c r="BF227" s="11">
        <f t="shared" si="1012"/>
        <v>0</v>
      </c>
      <c r="BG227" s="11">
        <f t="shared" si="1012"/>
        <v>0</v>
      </c>
      <c r="BH227" s="25">
        <f t="shared" si="1012"/>
        <v>0</v>
      </c>
      <c r="BJ227" s="10">
        <f t="shared" ref="BJ227:BO227" si="1013">SUM(BJ223:BJ226)</f>
        <v>0</v>
      </c>
      <c r="BK227" s="11">
        <f t="shared" si="1013"/>
        <v>0</v>
      </c>
      <c r="BL227" s="11">
        <f t="shared" si="1013"/>
        <v>0</v>
      </c>
      <c r="BM227" s="11">
        <f t="shared" si="1013"/>
        <v>0</v>
      </c>
      <c r="BN227" s="11">
        <f t="shared" si="1013"/>
        <v>0</v>
      </c>
      <c r="BO227" s="25">
        <f t="shared" si="1013"/>
        <v>0</v>
      </c>
      <c r="BQ227" s="10">
        <f t="shared" ref="BQ227:BV227" si="1014">SUM(BQ223:BQ226)</f>
        <v>0</v>
      </c>
      <c r="BR227" s="11">
        <f t="shared" si="1014"/>
        <v>0</v>
      </c>
      <c r="BS227" s="11">
        <f t="shared" si="1014"/>
        <v>0</v>
      </c>
      <c r="BT227" s="11">
        <f t="shared" si="1014"/>
        <v>0</v>
      </c>
      <c r="BU227" s="11">
        <f t="shared" si="1014"/>
        <v>0</v>
      </c>
      <c r="BV227" s="25">
        <f t="shared" si="1014"/>
        <v>0</v>
      </c>
      <c r="BX227" s="10">
        <f t="shared" ref="BX227:CC227" si="1015">SUM(BX223:BX226)</f>
        <v>0</v>
      </c>
      <c r="BY227" s="11">
        <f t="shared" si="1015"/>
        <v>0</v>
      </c>
      <c r="BZ227" s="11">
        <f t="shared" si="1015"/>
        <v>0</v>
      </c>
      <c r="CA227" s="11">
        <f t="shared" si="1015"/>
        <v>0</v>
      </c>
      <c r="CB227" s="11">
        <f t="shared" si="1015"/>
        <v>0</v>
      </c>
      <c r="CC227" s="25">
        <f t="shared" si="1015"/>
        <v>0</v>
      </c>
      <c r="CE227" s="62">
        <f t="shared" ref="CE227:CJ227" si="1016">SUM(CE223:CE226)</f>
        <v>0</v>
      </c>
      <c r="CF227" s="63">
        <f t="shared" si="1016"/>
        <v>0</v>
      </c>
      <c r="CG227" s="63">
        <f t="shared" si="1016"/>
        <v>0</v>
      </c>
      <c r="CH227" s="63">
        <f t="shared" si="1016"/>
        <v>0</v>
      </c>
      <c r="CI227" s="63">
        <f t="shared" si="1016"/>
        <v>0</v>
      </c>
      <c r="CJ227" s="25">
        <f t="shared" si="1016"/>
        <v>0</v>
      </c>
      <c r="CL227" s="10">
        <f>SUM(CL223:CL226)</f>
        <v>0</v>
      </c>
      <c r="CM227" s="11">
        <f t="shared" ref="CM227:CQ227" si="1017">SUM(CM223:CM226)</f>
        <v>0</v>
      </c>
      <c r="CN227" s="11">
        <f t="shared" si="1017"/>
        <v>0</v>
      </c>
      <c r="CO227" s="11">
        <f t="shared" si="1017"/>
        <v>0</v>
      </c>
      <c r="CP227" s="11">
        <f t="shared" si="1017"/>
        <v>0</v>
      </c>
      <c r="CQ227" s="25">
        <f t="shared" si="1017"/>
        <v>0</v>
      </c>
      <c r="CS227" s="10">
        <f>SUM(CS223:CS226)</f>
        <v>0</v>
      </c>
      <c r="CT227" s="11">
        <f t="shared" ref="CT227:CW227" si="1018">SUM(CT223:CT226)</f>
        <v>0</v>
      </c>
      <c r="CU227" s="11">
        <f t="shared" si="1018"/>
        <v>0</v>
      </c>
      <c r="CV227" s="11">
        <f t="shared" si="1018"/>
        <v>0</v>
      </c>
      <c r="CW227" s="11">
        <f t="shared" si="1018"/>
        <v>0</v>
      </c>
      <c r="CX227" s="25">
        <f>SUM(CX223:CX226)</f>
        <v>0</v>
      </c>
      <c r="CZ227" s="10">
        <f>SUM(CZ223:CZ226)</f>
        <v>0</v>
      </c>
      <c r="DA227" s="11">
        <f t="shared" ref="DA227:DD227" si="1019">SUM(DA223:DA226)</f>
        <v>0</v>
      </c>
      <c r="DB227" s="11">
        <f t="shared" si="1019"/>
        <v>0</v>
      </c>
      <c r="DC227" s="11">
        <f t="shared" si="1019"/>
        <v>0</v>
      </c>
      <c r="DD227" s="11">
        <f t="shared" si="1019"/>
        <v>0</v>
      </c>
      <c r="DE227" s="25">
        <f>SUM(DE223:DE226)</f>
        <v>0</v>
      </c>
    </row>
    <row r="229" spans="2:109">
      <c r="B229" s="123"/>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L229" s="20"/>
      <c r="CM229" s="20"/>
      <c r="CN229" s="20"/>
      <c r="CO229" s="20"/>
      <c r="CP229" s="20"/>
      <c r="CQ229" s="20"/>
      <c r="CR229" s="20"/>
      <c r="CS229" s="20"/>
      <c r="CT229" s="20"/>
      <c r="CU229" s="20"/>
      <c r="CV229" s="20"/>
      <c r="CW229" s="20"/>
      <c r="CX229" s="20"/>
      <c r="CY229" s="20"/>
      <c r="CZ229" s="20"/>
      <c r="DA229" s="20"/>
      <c r="DB229" s="20"/>
      <c r="DC229" s="20"/>
      <c r="DD229" s="20"/>
      <c r="DE229" s="20"/>
    </row>
    <row r="230" spans="2:109" ht="14" thickBot="1">
      <c r="B230" s="94">
        <v>8</v>
      </c>
      <c r="C230" s="12" t="s">
        <v>69</v>
      </c>
    </row>
    <row r="231" spans="2:109">
      <c r="C231" s="553">
        <v>2024</v>
      </c>
      <c r="E231" s="1" t="s">
        <v>59</v>
      </c>
      <c r="F231" s="2"/>
      <c r="G231" s="3"/>
      <c r="H231" s="3"/>
      <c r="I231" s="3"/>
      <c r="J231" s="3"/>
      <c r="K231" s="4">
        <f>SUM(F231:J231)</f>
        <v>0</v>
      </c>
      <c r="M231" s="2"/>
      <c r="N231" s="3"/>
      <c r="O231" s="3"/>
      <c r="P231" s="3"/>
      <c r="Q231" s="3"/>
      <c r="R231" s="4">
        <f>SUM(M231:Q231)</f>
        <v>0</v>
      </c>
      <c r="T231" s="2"/>
      <c r="U231" s="3"/>
      <c r="V231" s="3"/>
      <c r="W231" s="3"/>
      <c r="X231" s="3"/>
      <c r="Y231" s="4">
        <f>SUM(T231:X231)</f>
        <v>0</v>
      </c>
      <c r="AA231" s="2"/>
      <c r="AB231" s="3"/>
      <c r="AC231" s="3"/>
      <c r="AD231" s="3"/>
      <c r="AE231" s="3"/>
      <c r="AF231" s="4">
        <f>SUM(AA231:AE231)</f>
        <v>0</v>
      </c>
      <c r="AH231" s="2"/>
      <c r="AI231" s="3"/>
      <c r="AJ231" s="3"/>
      <c r="AK231" s="3"/>
      <c r="AL231" s="3"/>
      <c r="AM231" s="4">
        <f>SUM(AH231:AL231)</f>
        <v>0</v>
      </c>
      <c r="AO231" s="2"/>
      <c r="AP231" s="3"/>
      <c r="AQ231" s="3"/>
      <c r="AR231" s="3"/>
      <c r="AS231" s="3"/>
      <c r="AT231" s="4">
        <f>SUM(AO231:AS231)</f>
        <v>0</v>
      </c>
      <c r="AV231" s="2"/>
      <c r="AW231" s="3"/>
      <c r="AX231" s="3"/>
      <c r="AY231" s="3"/>
      <c r="AZ231" s="3"/>
      <c r="BA231" s="4">
        <f>SUM(AV231:AZ231)</f>
        <v>0</v>
      </c>
      <c r="BC231" s="2"/>
      <c r="BD231" s="3"/>
      <c r="BE231" s="3"/>
      <c r="BF231" s="3"/>
      <c r="BG231" s="3"/>
      <c r="BH231" s="4">
        <f>SUM(BC231:BG231)</f>
        <v>0</v>
      </c>
      <c r="BJ231" s="2"/>
      <c r="BK231" s="3"/>
      <c r="BL231" s="3"/>
      <c r="BM231" s="3"/>
      <c r="BN231" s="3"/>
      <c r="BO231" s="4">
        <f>SUM(BJ231:BN231)</f>
        <v>0</v>
      </c>
      <c r="BQ231" s="2"/>
      <c r="BR231" s="3"/>
      <c r="BS231" s="3"/>
      <c r="BT231" s="3"/>
      <c r="BU231" s="3"/>
      <c r="BV231" s="4">
        <f>SUM(BQ231:BU231)</f>
        <v>0</v>
      </c>
      <c r="BX231" s="2"/>
      <c r="BY231" s="3"/>
      <c r="BZ231" s="3"/>
      <c r="CA231" s="3"/>
      <c r="CB231" s="3"/>
      <c r="CC231" s="4">
        <f>SUM(BX231:CB231)</f>
        <v>0</v>
      </c>
      <c r="CE231" s="26">
        <f t="shared" ref="CE231:CE234" si="1020">F231+M231+T231+AA231+AH231+AO231+AV231+BC231+BJ231+BQ231+BX231</f>
        <v>0</v>
      </c>
      <c r="CF231" s="27">
        <f t="shared" ref="CF231:CF234" si="1021">G231+N231+U231+AB231+AI231+AP231+AW231+BD231+BK231+BR231+BY231</f>
        <v>0</v>
      </c>
      <c r="CG231" s="27">
        <f t="shared" ref="CG231:CG234" si="1022">H231+O231+V231+AC231+AJ231+AQ231+AX231+BE231+BL231+BS231+BZ231</f>
        <v>0</v>
      </c>
      <c r="CH231" s="27">
        <f t="shared" ref="CH231:CH234" si="1023">I231+P231+W231+AD231+AK231+AR231+AY231+BF231+BM231+BT231+CA231</f>
        <v>0</v>
      </c>
      <c r="CI231" s="27">
        <f t="shared" ref="CI231:CI234" si="1024">J231+Q231+X231+AE231+AL231+AS231+AZ231+BG231+BN231+BU231+CB231</f>
        <v>0</v>
      </c>
      <c r="CJ231" s="4">
        <f>SUM(CE231:CI231)</f>
        <v>0</v>
      </c>
      <c r="CL231" s="2"/>
      <c r="CM231" s="3"/>
      <c r="CN231" s="3"/>
      <c r="CO231" s="3"/>
      <c r="CP231" s="3"/>
      <c r="CQ231" s="4">
        <f>SUM(CL231:CP231)</f>
        <v>0</v>
      </c>
      <c r="CS231" s="2"/>
      <c r="CT231" s="3"/>
      <c r="CU231" s="3"/>
      <c r="CV231" s="3"/>
      <c r="CW231" s="3"/>
      <c r="CX231" s="4">
        <f>SUM(CS231:CW231)</f>
        <v>0</v>
      </c>
      <c r="CZ231" s="2"/>
      <c r="DA231" s="3"/>
      <c r="DB231" s="3"/>
      <c r="DC231" s="3"/>
      <c r="DD231" s="3"/>
      <c r="DE231" s="4">
        <f>SUM(CZ231:DD231)</f>
        <v>0</v>
      </c>
    </row>
    <row r="232" spans="2:109">
      <c r="C232" s="567"/>
      <c r="E232" s="5" t="s">
        <v>60</v>
      </c>
      <c r="F232" s="6"/>
      <c r="G232" s="7"/>
      <c r="H232" s="7"/>
      <c r="I232" s="7"/>
      <c r="J232" s="7"/>
      <c r="K232" s="8">
        <f t="shared" ref="K232:K234" si="1025">SUM(F232:J232)</f>
        <v>0</v>
      </c>
      <c r="M232" s="6"/>
      <c r="N232" s="7"/>
      <c r="O232" s="7"/>
      <c r="P232" s="7"/>
      <c r="Q232" s="7"/>
      <c r="R232" s="8">
        <f t="shared" ref="R232:R234" si="1026">SUM(M232:Q232)</f>
        <v>0</v>
      </c>
      <c r="T232" s="6"/>
      <c r="U232" s="7"/>
      <c r="V232" s="7"/>
      <c r="W232" s="7"/>
      <c r="X232" s="7"/>
      <c r="Y232" s="8">
        <f t="shared" ref="Y232:Y234" si="1027">SUM(T232:X232)</f>
        <v>0</v>
      </c>
      <c r="AA232" s="6"/>
      <c r="AB232" s="7"/>
      <c r="AC232" s="7"/>
      <c r="AD232" s="7"/>
      <c r="AE232" s="7"/>
      <c r="AF232" s="8">
        <f>SUM(AA232:AE232)</f>
        <v>0</v>
      </c>
      <c r="AH232" s="6"/>
      <c r="AI232" s="7"/>
      <c r="AJ232" s="7"/>
      <c r="AK232" s="7"/>
      <c r="AL232" s="7"/>
      <c r="AM232" s="8">
        <f>SUM(AH232:AL232)</f>
        <v>0</v>
      </c>
      <c r="AO232" s="6"/>
      <c r="AP232" s="7"/>
      <c r="AQ232" s="7"/>
      <c r="AR232" s="7"/>
      <c r="AS232" s="7"/>
      <c r="AT232" s="8">
        <f>SUM(AO232:AS232)</f>
        <v>0</v>
      </c>
      <c r="AV232" s="6"/>
      <c r="AW232" s="7"/>
      <c r="AX232" s="7"/>
      <c r="AY232" s="7"/>
      <c r="AZ232" s="7"/>
      <c r="BA232" s="8">
        <f>SUM(AV232:AZ232)</f>
        <v>0</v>
      </c>
      <c r="BC232" s="6"/>
      <c r="BD232" s="7"/>
      <c r="BE232" s="7"/>
      <c r="BF232" s="7"/>
      <c r="BG232" s="7"/>
      <c r="BH232" s="8">
        <f>SUM(BC232:BG232)</f>
        <v>0</v>
      </c>
      <c r="BJ232" s="6"/>
      <c r="BK232" s="7"/>
      <c r="BL232" s="7"/>
      <c r="BM232" s="7"/>
      <c r="BN232" s="7"/>
      <c r="BO232" s="8">
        <f>SUM(BJ232:BN232)</f>
        <v>0</v>
      </c>
      <c r="BQ232" s="6"/>
      <c r="BR232" s="7"/>
      <c r="BS232" s="7"/>
      <c r="BT232" s="7"/>
      <c r="BU232" s="7"/>
      <c r="BV232" s="8">
        <f>SUM(BQ232:BU232)</f>
        <v>0</v>
      </c>
      <c r="BX232" s="6"/>
      <c r="BY232" s="7"/>
      <c r="BZ232" s="7"/>
      <c r="CA232" s="7"/>
      <c r="CB232" s="7"/>
      <c r="CC232" s="8">
        <f>SUM(BX232:CB232)</f>
        <v>0</v>
      </c>
      <c r="CE232" s="28">
        <f t="shared" si="1020"/>
        <v>0</v>
      </c>
      <c r="CF232" s="29">
        <f t="shared" si="1021"/>
        <v>0</v>
      </c>
      <c r="CG232" s="29">
        <f t="shared" si="1022"/>
        <v>0</v>
      </c>
      <c r="CH232" s="29">
        <f t="shared" si="1023"/>
        <v>0</v>
      </c>
      <c r="CI232" s="29">
        <f t="shared" si="1024"/>
        <v>0</v>
      </c>
      <c r="CJ232" s="8">
        <f>SUM(CE232:CI232)</f>
        <v>0</v>
      </c>
      <c r="CL232" s="6"/>
      <c r="CM232" s="7"/>
      <c r="CN232" s="7"/>
      <c r="CO232" s="7"/>
      <c r="CP232" s="7"/>
      <c r="CQ232" s="8">
        <f>SUM(CL232:CP232)</f>
        <v>0</v>
      </c>
      <c r="CS232" s="6"/>
      <c r="CT232" s="7"/>
      <c r="CU232" s="7"/>
      <c r="CV232" s="7"/>
      <c r="CW232" s="7"/>
      <c r="CX232" s="8">
        <f t="shared" ref="CX232:CX234" si="1028">SUM(CS232:CW232)</f>
        <v>0</v>
      </c>
      <c r="CZ232" s="6"/>
      <c r="DA232" s="7"/>
      <c r="DB232" s="7"/>
      <c r="DC232" s="7"/>
      <c r="DD232" s="7"/>
      <c r="DE232" s="8">
        <f t="shared" ref="DE232:DE234" si="1029">SUM(CZ232:DD232)</f>
        <v>0</v>
      </c>
    </row>
    <row r="233" spans="2:109">
      <c r="C233" s="567"/>
      <c r="E233" s="5" t="s">
        <v>61</v>
      </c>
      <c r="F233" s="6"/>
      <c r="G233" s="7"/>
      <c r="H233" s="7"/>
      <c r="I233" s="7"/>
      <c r="J233" s="7"/>
      <c r="K233" s="8">
        <f t="shared" si="1025"/>
        <v>0</v>
      </c>
      <c r="M233" s="6"/>
      <c r="N233" s="7"/>
      <c r="O233" s="7"/>
      <c r="P233" s="7"/>
      <c r="Q233" s="7"/>
      <c r="R233" s="8">
        <f t="shared" si="1026"/>
        <v>0</v>
      </c>
      <c r="T233" s="6"/>
      <c r="U233" s="7"/>
      <c r="V233" s="7"/>
      <c r="W233" s="7"/>
      <c r="X233" s="7"/>
      <c r="Y233" s="8">
        <f t="shared" si="1027"/>
        <v>0</v>
      </c>
      <c r="AA233" s="6"/>
      <c r="AB233" s="7"/>
      <c r="AC233" s="7"/>
      <c r="AD233" s="7"/>
      <c r="AE233" s="7"/>
      <c r="AF233" s="8">
        <f>SUM(AA233:AE233)</f>
        <v>0</v>
      </c>
      <c r="AH233" s="6"/>
      <c r="AI233" s="7"/>
      <c r="AJ233" s="7"/>
      <c r="AK233" s="7"/>
      <c r="AL233" s="7"/>
      <c r="AM233" s="8">
        <f>SUM(AH233:AL233)</f>
        <v>0</v>
      </c>
      <c r="AO233" s="6"/>
      <c r="AP233" s="7"/>
      <c r="AQ233" s="7"/>
      <c r="AR233" s="7"/>
      <c r="AS233" s="7"/>
      <c r="AT233" s="8">
        <f>SUM(AO233:AS233)</f>
        <v>0</v>
      </c>
      <c r="AV233" s="6"/>
      <c r="AW233" s="7"/>
      <c r="AX233" s="7"/>
      <c r="AY233" s="7"/>
      <c r="AZ233" s="7"/>
      <c r="BA233" s="8">
        <f>SUM(AV233:AZ233)</f>
        <v>0</v>
      </c>
      <c r="BC233" s="6"/>
      <c r="BD233" s="7"/>
      <c r="BE233" s="7"/>
      <c r="BF233" s="7"/>
      <c r="BG233" s="7"/>
      <c r="BH233" s="8">
        <f>SUM(BC233:BG233)</f>
        <v>0</v>
      </c>
      <c r="BJ233" s="6"/>
      <c r="BK233" s="7"/>
      <c r="BL233" s="7"/>
      <c r="BM233" s="7"/>
      <c r="BN233" s="7"/>
      <c r="BO233" s="8">
        <f>SUM(BJ233:BN233)</f>
        <v>0</v>
      </c>
      <c r="BQ233" s="6"/>
      <c r="BR233" s="7"/>
      <c r="BS233" s="7"/>
      <c r="BT233" s="7"/>
      <c r="BU233" s="7"/>
      <c r="BV233" s="8">
        <f>SUM(BQ233:BU233)</f>
        <v>0</v>
      </c>
      <c r="BX233" s="6"/>
      <c r="BY233" s="7"/>
      <c r="BZ233" s="7"/>
      <c r="CA233" s="7"/>
      <c r="CB233" s="7"/>
      <c r="CC233" s="8">
        <f>SUM(BX233:CB233)</f>
        <v>0</v>
      </c>
      <c r="CE233" s="28">
        <f t="shared" si="1020"/>
        <v>0</v>
      </c>
      <c r="CF233" s="29">
        <f t="shared" si="1021"/>
        <v>0</v>
      </c>
      <c r="CG233" s="29">
        <f t="shared" si="1022"/>
        <v>0</v>
      </c>
      <c r="CH233" s="29">
        <f t="shared" si="1023"/>
        <v>0</v>
      </c>
      <c r="CI233" s="29">
        <f t="shared" si="1024"/>
        <v>0</v>
      </c>
      <c r="CJ233" s="8">
        <f>SUM(CE233:CI233)</f>
        <v>0</v>
      </c>
      <c r="CL233" s="6"/>
      <c r="CM233" s="7"/>
      <c r="CN233" s="7"/>
      <c r="CO233" s="7"/>
      <c r="CP233" s="7"/>
      <c r="CQ233" s="8">
        <f>SUM(CL233:CP233)</f>
        <v>0</v>
      </c>
      <c r="CS233" s="6"/>
      <c r="CT233" s="7"/>
      <c r="CU233" s="7"/>
      <c r="CV233" s="7"/>
      <c r="CW233" s="7"/>
      <c r="CX233" s="8">
        <f t="shared" si="1028"/>
        <v>0</v>
      </c>
      <c r="CZ233" s="6"/>
      <c r="DA233" s="7"/>
      <c r="DB233" s="7"/>
      <c r="DC233" s="7"/>
      <c r="DD233" s="7"/>
      <c r="DE233" s="8">
        <f t="shared" si="1029"/>
        <v>0</v>
      </c>
    </row>
    <row r="234" spans="2:109" ht="14" thickBot="1">
      <c r="C234" s="567"/>
      <c r="E234" s="5" t="s">
        <v>62</v>
      </c>
      <c r="F234" s="6"/>
      <c r="G234" s="7"/>
      <c r="H234" s="7"/>
      <c r="I234" s="7"/>
      <c r="J234" s="7"/>
      <c r="K234" s="8">
        <f t="shared" si="1025"/>
        <v>0</v>
      </c>
      <c r="M234" s="6"/>
      <c r="N234" s="7"/>
      <c r="O234" s="7"/>
      <c r="P234" s="7"/>
      <c r="Q234" s="7"/>
      <c r="R234" s="8">
        <f t="shared" si="1026"/>
        <v>0</v>
      </c>
      <c r="T234" s="6"/>
      <c r="U234" s="7"/>
      <c r="V234" s="7"/>
      <c r="W234" s="7"/>
      <c r="X234" s="7"/>
      <c r="Y234" s="8">
        <f t="shared" si="1027"/>
        <v>0</v>
      </c>
      <c r="AA234" s="6"/>
      <c r="AB234" s="7"/>
      <c r="AC234" s="7"/>
      <c r="AD234" s="7"/>
      <c r="AE234" s="7"/>
      <c r="AF234" s="8">
        <f>SUM(AA234:AE234)</f>
        <v>0</v>
      </c>
      <c r="AH234" s="6"/>
      <c r="AI234" s="7"/>
      <c r="AJ234" s="7"/>
      <c r="AK234" s="7"/>
      <c r="AL234" s="7"/>
      <c r="AM234" s="8">
        <f>SUM(AH234:AL234)</f>
        <v>0</v>
      </c>
      <c r="AO234" s="6"/>
      <c r="AP234" s="7"/>
      <c r="AQ234" s="7"/>
      <c r="AR234" s="7"/>
      <c r="AS234" s="7"/>
      <c r="AT234" s="8">
        <f>SUM(AO234:AS234)</f>
        <v>0</v>
      </c>
      <c r="AV234" s="6"/>
      <c r="AW234" s="7"/>
      <c r="AX234" s="7"/>
      <c r="AY234" s="7"/>
      <c r="AZ234" s="7"/>
      <c r="BA234" s="8">
        <f>SUM(AV234:AZ234)</f>
        <v>0</v>
      </c>
      <c r="BC234" s="6"/>
      <c r="BD234" s="7"/>
      <c r="BE234" s="7"/>
      <c r="BF234" s="7"/>
      <c r="BG234" s="7"/>
      <c r="BH234" s="8">
        <f>SUM(BC234:BG234)</f>
        <v>0</v>
      </c>
      <c r="BJ234" s="6"/>
      <c r="BK234" s="7"/>
      <c r="BL234" s="7"/>
      <c r="BM234" s="7"/>
      <c r="BN234" s="7"/>
      <c r="BO234" s="8">
        <f>SUM(BJ234:BN234)</f>
        <v>0</v>
      </c>
      <c r="BQ234" s="6"/>
      <c r="BR234" s="7"/>
      <c r="BS234" s="7"/>
      <c r="BT234" s="7"/>
      <c r="BU234" s="7"/>
      <c r="BV234" s="8">
        <f>SUM(BQ234:BU234)</f>
        <v>0</v>
      </c>
      <c r="BX234" s="6"/>
      <c r="BY234" s="7"/>
      <c r="BZ234" s="7"/>
      <c r="CA234" s="7"/>
      <c r="CB234" s="7"/>
      <c r="CC234" s="8">
        <f>SUM(BX234:CB234)</f>
        <v>0</v>
      </c>
      <c r="CE234" s="493">
        <f t="shared" si="1020"/>
        <v>0</v>
      </c>
      <c r="CF234" s="494">
        <f t="shared" si="1021"/>
        <v>0</v>
      </c>
      <c r="CG234" s="494">
        <f t="shared" si="1022"/>
        <v>0</v>
      </c>
      <c r="CH234" s="494">
        <f t="shared" si="1023"/>
        <v>0</v>
      </c>
      <c r="CI234" s="494">
        <f t="shared" si="1024"/>
        <v>0</v>
      </c>
      <c r="CJ234" s="495">
        <f>SUM(CE234:CI234)</f>
        <v>0</v>
      </c>
      <c r="CL234" s="6"/>
      <c r="CM234" s="7"/>
      <c r="CN234" s="7"/>
      <c r="CO234" s="7"/>
      <c r="CP234" s="7"/>
      <c r="CQ234" s="8">
        <f>SUM(CL234:CP234)</f>
        <v>0</v>
      </c>
      <c r="CS234" s="6"/>
      <c r="CT234" s="7"/>
      <c r="CU234" s="7"/>
      <c r="CV234" s="7"/>
      <c r="CW234" s="7"/>
      <c r="CX234" s="8">
        <f t="shared" si="1028"/>
        <v>0</v>
      </c>
      <c r="CZ234" s="6"/>
      <c r="DA234" s="7"/>
      <c r="DB234" s="7"/>
      <c r="DC234" s="7"/>
      <c r="DD234" s="7"/>
      <c r="DE234" s="8">
        <f t="shared" si="1029"/>
        <v>0</v>
      </c>
    </row>
    <row r="235" spans="2:109" ht="14" thickBot="1">
      <c r="C235" s="554"/>
      <c r="E235" s="9"/>
      <c r="F235" s="10">
        <f>SUM(F231:F234)</f>
        <v>0</v>
      </c>
      <c r="G235" s="11">
        <f t="shared" ref="G235:J235" si="1030">SUM(G231:G234)</f>
        <v>0</v>
      </c>
      <c r="H235" s="11">
        <f t="shared" si="1030"/>
        <v>0</v>
      </c>
      <c r="I235" s="11">
        <f t="shared" si="1030"/>
        <v>0</v>
      </c>
      <c r="J235" s="61">
        <f t="shared" si="1030"/>
        <v>0</v>
      </c>
      <c r="K235" s="25">
        <f>SUM(K231:K234)</f>
        <v>0</v>
      </c>
      <c r="M235" s="10">
        <f>SUM(M231:M234)</f>
        <v>0</v>
      </c>
      <c r="N235" s="11">
        <f t="shared" ref="N235:Q235" si="1031">SUM(N231:N234)</f>
        <v>0</v>
      </c>
      <c r="O235" s="11">
        <f t="shared" si="1031"/>
        <v>0</v>
      </c>
      <c r="P235" s="11">
        <f t="shared" si="1031"/>
        <v>0</v>
      </c>
      <c r="Q235" s="11">
        <f t="shared" si="1031"/>
        <v>0</v>
      </c>
      <c r="R235" s="25">
        <f>SUM(R231:R234)</f>
        <v>0</v>
      </c>
      <c r="T235" s="10">
        <f>SUM(T231:T234)</f>
        <v>0</v>
      </c>
      <c r="U235" s="11">
        <f t="shared" ref="U235:X235" si="1032">SUM(U231:U234)</f>
        <v>0</v>
      </c>
      <c r="V235" s="11">
        <f t="shared" si="1032"/>
        <v>0</v>
      </c>
      <c r="W235" s="11">
        <f t="shared" si="1032"/>
        <v>0</v>
      </c>
      <c r="X235" s="11">
        <f t="shared" si="1032"/>
        <v>0</v>
      </c>
      <c r="Y235" s="25">
        <f>SUM(Y231:Y234)</f>
        <v>0</v>
      </c>
      <c r="AA235" s="10">
        <f>SUM(AA231:AA234)</f>
        <v>0</v>
      </c>
      <c r="AB235" s="11">
        <f t="shared" ref="AB235:AE235" si="1033">SUM(AB231:AB234)</f>
        <v>0</v>
      </c>
      <c r="AC235" s="11">
        <f t="shared" si="1033"/>
        <v>0</v>
      </c>
      <c r="AD235" s="11">
        <f t="shared" si="1033"/>
        <v>0</v>
      </c>
      <c r="AE235" s="11">
        <f t="shared" si="1033"/>
        <v>0</v>
      </c>
      <c r="AF235" s="25">
        <f>SUM(AF231:AF234)</f>
        <v>0</v>
      </c>
      <c r="AH235" s="10">
        <f t="shared" ref="AH235:AM235" si="1034">SUM(AH231:AH234)</f>
        <v>0</v>
      </c>
      <c r="AI235" s="11">
        <f t="shared" si="1034"/>
        <v>0</v>
      </c>
      <c r="AJ235" s="11">
        <f t="shared" si="1034"/>
        <v>0</v>
      </c>
      <c r="AK235" s="11">
        <f t="shared" si="1034"/>
        <v>0</v>
      </c>
      <c r="AL235" s="11">
        <f t="shared" si="1034"/>
        <v>0</v>
      </c>
      <c r="AM235" s="25">
        <f t="shared" si="1034"/>
        <v>0</v>
      </c>
      <c r="AO235" s="10">
        <f t="shared" ref="AO235:AT235" si="1035">SUM(AO231:AO234)</f>
        <v>0</v>
      </c>
      <c r="AP235" s="11">
        <f t="shared" si="1035"/>
        <v>0</v>
      </c>
      <c r="AQ235" s="11">
        <f t="shared" si="1035"/>
        <v>0</v>
      </c>
      <c r="AR235" s="11">
        <f t="shared" si="1035"/>
        <v>0</v>
      </c>
      <c r="AS235" s="11">
        <f t="shared" si="1035"/>
        <v>0</v>
      </c>
      <c r="AT235" s="25">
        <f t="shared" si="1035"/>
        <v>0</v>
      </c>
      <c r="AV235" s="10">
        <f t="shared" ref="AV235:BA235" si="1036">SUM(AV231:AV234)</f>
        <v>0</v>
      </c>
      <c r="AW235" s="11">
        <f t="shared" si="1036"/>
        <v>0</v>
      </c>
      <c r="AX235" s="11">
        <f t="shared" si="1036"/>
        <v>0</v>
      </c>
      <c r="AY235" s="11">
        <f t="shared" si="1036"/>
        <v>0</v>
      </c>
      <c r="AZ235" s="11">
        <f t="shared" si="1036"/>
        <v>0</v>
      </c>
      <c r="BA235" s="25">
        <f t="shared" si="1036"/>
        <v>0</v>
      </c>
      <c r="BC235" s="10">
        <f t="shared" ref="BC235:BH235" si="1037">SUM(BC231:BC234)</f>
        <v>0</v>
      </c>
      <c r="BD235" s="11">
        <f t="shared" si="1037"/>
        <v>0</v>
      </c>
      <c r="BE235" s="11">
        <f t="shared" si="1037"/>
        <v>0</v>
      </c>
      <c r="BF235" s="11">
        <f t="shared" si="1037"/>
        <v>0</v>
      </c>
      <c r="BG235" s="11">
        <f t="shared" si="1037"/>
        <v>0</v>
      </c>
      <c r="BH235" s="25">
        <f t="shared" si="1037"/>
        <v>0</v>
      </c>
      <c r="BJ235" s="10">
        <f t="shared" ref="BJ235:BO235" si="1038">SUM(BJ231:BJ234)</f>
        <v>0</v>
      </c>
      <c r="BK235" s="11">
        <f t="shared" si="1038"/>
        <v>0</v>
      </c>
      <c r="BL235" s="11">
        <f t="shared" si="1038"/>
        <v>0</v>
      </c>
      <c r="BM235" s="11">
        <f t="shared" si="1038"/>
        <v>0</v>
      </c>
      <c r="BN235" s="11">
        <f t="shared" si="1038"/>
        <v>0</v>
      </c>
      <c r="BO235" s="25">
        <f t="shared" si="1038"/>
        <v>0</v>
      </c>
      <c r="BQ235" s="10">
        <f t="shared" ref="BQ235:BV235" si="1039">SUM(BQ231:BQ234)</f>
        <v>0</v>
      </c>
      <c r="BR235" s="11">
        <f t="shared" si="1039"/>
        <v>0</v>
      </c>
      <c r="BS235" s="11">
        <f t="shared" si="1039"/>
        <v>0</v>
      </c>
      <c r="BT235" s="11">
        <f t="shared" si="1039"/>
        <v>0</v>
      </c>
      <c r="BU235" s="11">
        <f t="shared" si="1039"/>
        <v>0</v>
      </c>
      <c r="BV235" s="25">
        <f t="shared" si="1039"/>
        <v>0</v>
      </c>
      <c r="BX235" s="10">
        <f t="shared" ref="BX235:CC235" si="1040">SUM(BX231:BX234)</f>
        <v>0</v>
      </c>
      <c r="BY235" s="11">
        <f t="shared" si="1040"/>
        <v>0</v>
      </c>
      <c r="BZ235" s="11">
        <f t="shared" si="1040"/>
        <v>0</v>
      </c>
      <c r="CA235" s="11">
        <f t="shared" si="1040"/>
        <v>0</v>
      </c>
      <c r="CB235" s="11">
        <f t="shared" si="1040"/>
        <v>0</v>
      </c>
      <c r="CC235" s="25">
        <f t="shared" si="1040"/>
        <v>0</v>
      </c>
      <c r="CE235" s="62">
        <f t="shared" ref="CE235:CJ235" si="1041">SUM(CE231:CE234)</f>
        <v>0</v>
      </c>
      <c r="CF235" s="63">
        <f t="shared" si="1041"/>
        <v>0</v>
      </c>
      <c r="CG235" s="63">
        <f t="shared" si="1041"/>
        <v>0</v>
      </c>
      <c r="CH235" s="63">
        <f t="shared" si="1041"/>
        <v>0</v>
      </c>
      <c r="CI235" s="63">
        <f t="shared" si="1041"/>
        <v>0</v>
      </c>
      <c r="CJ235" s="25">
        <f t="shared" si="1041"/>
        <v>0</v>
      </c>
      <c r="CL235" s="10">
        <f>SUM(CL231:CL234)</f>
        <v>0</v>
      </c>
      <c r="CM235" s="11">
        <f t="shared" ref="CM235:CQ235" si="1042">SUM(CM231:CM234)</f>
        <v>0</v>
      </c>
      <c r="CN235" s="11">
        <f t="shared" si="1042"/>
        <v>0</v>
      </c>
      <c r="CO235" s="11">
        <f t="shared" si="1042"/>
        <v>0</v>
      </c>
      <c r="CP235" s="11">
        <f t="shared" si="1042"/>
        <v>0</v>
      </c>
      <c r="CQ235" s="25">
        <f t="shared" si="1042"/>
        <v>0</v>
      </c>
      <c r="CS235" s="10">
        <f>SUM(CS231:CS234)</f>
        <v>0</v>
      </c>
      <c r="CT235" s="11">
        <f t="shared" ref="CT235:CW235" si="1043">SUM(CT231:CT234)</f>
        <v>0</v>
      </c>
      <c r="CU235" s="11">
        <f t="shared" si="1043"/>
        <v>0</v>
      </c>
      <c r="CV235" s="11">
        <f t="shared" si="1043"/>
        <v>0</v>
      </c>
      <c r="CW235" s="11">
        <f t="shared" si="1043"/>
        <v>0</v>
      </c>
      <c r="CX235" s="25">
        <f>SUM(CX231:CX234)</f>
        <v>0</v>
      </c>
      <c r="CZ235" s="10">
        <f>SUM(CZ231:CZ234)</f>
        <v>0</v>
      </c>
      <c r="DA235" s="11">
        <f t="shared" ref="DA235:DD235" si="1044">SUM(DA231:DA234)</f>
        <v>0</v>
      </c>
      <c r="DB235" s="11">
        <f t="shared" si="1044"/>
        <v>0</v>
      </c>
      <c r="DC235" s="11">
        <f t="shared" si="1044"/>
        <v>0</v>
      </c>
      <c r="DD235" s="11">
        <f t="shared" si="1044"/>
        <v>0</v>
      </c>
      <c r="DE235" s="25">
        <f>SUM(DE231:DE234)</f>
        <v>0</v>
      </c>
    </row>
    <row r="236" spans="2:109" ht="10.4" customHeight="1" thickBot="1"/>
    <row r="237" spans="2:109">
      <c r="C237" s="553">
        <v>2025</v>
      </c>
      <c r="E237" s="13" t="s">
        <v>59</v>
      </c>
      <c r="F237" s="21">
        <f>CE231</f>
        <v>0</v>
      </c>
      <c r="G237" s="22">
        <f t="shared" ref="G237:G240" si="1045">CF231</f>
        <v>0</v>
      </c>
      <c r="H237" s="22">
        <f t="shared" ref="H237:H240" si="1046">CG231</f>
        <v>0</v>
      </c>
      <c r="I237" s="22">
        <f t="shared" ref="I237:I240" si="1047">CH231</f>
        <v>0</v>
      </c>
      <c r="J237" s="22">
        <f t="shared" ref="J237:J240" si="1048">CI231</f>
        <v>0</v>
      </c>
      <c r="K237" s="15">
        <f>SUM(F237:J237)</f>
        <v>0</v>
      </c>
      <c r="M237" s="2"/>
      <c r="N237" s="3"/>
      <c r="O237" s="3"/>
      <c r="P237" s="3"/>
      <c r="Q237" s="3"/>
      <c r="R237" s="15">
        <f>SUM(M237:Q237)</f>
        <v>0</v>
      </c>
      <c r="T237" s="2"/>
      <c r="U237" s="3"/>
      <c r="V237" s="3"/>
      <c r="W237" s="3"/>
      <c r="X237" s="3"/>
      <c r="Y237" s="15">
        <f>SUM(T237:X237)</f>
        <v>0</v>
      </c>
      <c r="AA237" s="2"/>
      <c r="AB237" s="3"/>
      <c r="AC237" s="3"/>
      <c r="AD237" s="3"/>
      <c r="AE237" s="3"/>
      <c r="AF237" s="15">
        <f>SUM(AA237:AE237)</f>
        <v>0</v>
      </c>
      <c r="AH237" s="2"/>
      <c r="AI237" s="3"/>
      <c r="AJ237" s="3"/>
      <c r="AK237" s="3"/>
      <c r="AL237" s="3"/>
      <c r="AM237" s="15">
        <f>SUM(AH237:AL237)</f>
        <v>0</v>
      </c>
      <c r="AO237" s="2"/>
      <c r="AP237" s="3"/>
      <c r="AQ237" s="3"/>
      <c r="AR237" s="3"/>
      <c r="AS237" s="3"/>
      <c r="AT237" s="15">
        <f>SUM(AO237:AS237)</f>
        <v>0</v>
      </c>
      <c r="AV237" s="2"/>
      <c r="AW237" s="3"/>
      <c r="AX237" s="3"/>
      <c r="AY237" s="3"/>
      <c r="AZ237" s="3"/>
      <c r="BA237" s="15">
        <f>SUM(AV237:AZ237)</f>
        <v>0</v>
      </c>
      <c r="BC237" s="2"/>
      <c r="BD237" s="3"/>
      <c r="BE237" s="3"/>
      <c r="BF237" s="3"/>
      <c r="BG237" s="3"/>
      <c r="BH237" s="15">
        <f>SUM(BC237:BG237)</f>
        <v>0</v>
      </c>
      <c r="BJ237" s="2"/>
      <c r="BK237" s="3"/>
      <c r="BL237" s="3"/>
      <c r="BM237" s="3"/>
      <c r="BN237" s="3"/>
      <c r="BO237" s="15">
        <f>SUM(BJ237:BN237)</f>
        <v>0</v>
      </c>
      <c r="BQ237" s="2"/>
      <c r="BR237" s="3"/>
      <c r="BS237" s="3"/>
      <c r="BT237" s="3"/>
      <c r="BU237" s="3"/>
      <c r="BV237" s="15">
        <f>SUM(BQ237:BU237)</f>
        <v>0</v>
      </c>
      <c r="BX237" s="2"/>
      <c r="BY237" s="3"/>
      <c r="BZ237" s="3"/>
      <c r="CA237" s="3"/>
      <c r="CB237" s="3"/>
      <c r="CC237" s="15">
        <f>SUM(BX237:CB237)</f>
        <v>0</v>
      </c>
      <c r="CE237" s="26">
        <f t="shared" ref="CE237:CE240" si="1049">F237+M237+T237+AA237+AH237+AO237+AV237+BC237+BJ237+BQ237+BX237</f>
        <v>0</v>
      </c>
      <c r="CF237" s="27">
        <f t="shared" ref="CF237:CF240" si="1050">G237+N237+U237+AB237+AI237+AP237+AW237+BD237+BK237+BR237+BY237</f>
        <v>0</v>
      </c>
      <c r="CG237" s="27">
        <f t="shared" ref="CG237:CG240" si="1051">H237+O237+V237+AC237+AJ237+AQ237+AX237+BE237+BL237+BS237+BZ237</f>
        <v>0</v>
      </c>
      <c r="CH237" s="27">
        <f t="shared" ref="CH237:CH240" si="1052">I237+P237+W237+AD237+AK237+AR237+AY237+BF237+BM237+BT237+CA237</f>
        <v>0</v>
      </c>
      <c r="CI237" s="27">
        <f t="shared" ref="CI237:CI240" si="1053">J237+Q237+X237+AE237+AL237+AS237+AZ237+BG237+BN237+BU237+CB237</f>
        <v>0</v>
      </c>
      <c r="CJ237" s="4">
        <f>SUM(CE237:CI237)</f>
        <v>0</v>
      </c>
      <c r="CL237" s="2"/>
      <c r="CM237" s="3"/>
      <c r="CN237" s="3"/>
      <c r="CO237" s="3"/>
      <c r="CP237" s="3"/>
      <c r="CQ237" s="15">
        <f>SUM(CL237:CP237)</f>
        <v>0</v>
      </c>
      <c r="CS237" s="2"/>
      <c r="CT237" s="3"/>
      <c r="CU237" s="3"/>
      <c r="CV237" s="3"/>
      <c r="CW237" s="3"/>
      <c r="CX237" s="15">
        <f>SUM(CS237:CW237)</f>
        <v>0</v>
      </c>
      <c r="CZ237" s="2"/>
      <c r="DA237" s="3"/>
      <c r="DB237" s="3"/>
      <c r="DC237" s="3"/>
      <c r="DD237" s="3"/>
      <c r="DE237" s="15">
        <f>SUM(CZ237:DD237)</f>
        <v>0</v>
      </c>
    </row>
    <row r="238" spans="2:109">
      <c r="C238" s="567"/>
      <c r="E238" s="14" t="s">
        <v>60</v>
      </c>
      <c r="F238" s="23">
        <f t="shared" ref="F238:F240" si="1054">CE232</f>
        <v>0</v>
      </c>
      <c r="G238" s="24">
        <f t="shared" si="1045"/>
        <v>0</v>
      </c>
      <c r="H238" s="24">
        <f t="shared" si="1046"/>
        <v>0</v>
      </c>
      <c r="I238" s="24">
        <f t="shared" si="1047"/>
        <v>0</v>
      </c>
      <c r="J238" s="24">
        <f t="shared" si="1048"/>
        <v>0</v>
      </c>
      <c r="K238" s="16">
        <f t="shared" ref="K238:K240" si="1055">SUM(F238:J238)</f>
        <v>0</v>
      </c>
      <c r="M238" s="6"/>
      <c r="N238" s="7"/>
      <c r="O238" s="7"/>
      <c r="P238" s="7"/>
      <c r="Q238" s="7"/>
      <c r="R238" s="16">
        <f t="shared" ref="R238:R240" si="1056">SUM(M238:Q238)</f>
        <v>0</v>
      </c>
      <c r="T238" s="6"/>
      <c r="U238" s="7"/>
      <c r="V238" s="7"/>
      <c r="W238" s="7"/>
      <c r="X238" s="7"/>
      <c r="Y238" s="16">
        <f t="shared" ref="Y238:Y240" si="1057">SUM(T238:X238)</f>
        <v>0</v>
      </c>
      <c r="AA238" s="6"/>
      <c r="AB238" s="7"/>
      <c r="AC238" s="7"/>
      <c r="AD238" s="7"/>
      <c r="AE238" s="7"/>
      <c r="AF238" s="16">
        <f>SUM(AA238:AE238)</f>
        <v>0</v>
      </c>
      <c r="AH238" s="6"/>
      <c r="AI238" s="7"/>
      <c r="AJ238" s="7"/>
      <c r="AK238" s="7"/>
      <c r="AL238" s="7"/>
      <c r="AM238" s="16">
        <f>SUM(AH238:AL238)</f>
        <v>0</v>
      </c>
      <c r="AO238" s="6"/>
      <c r="AP238" s="7"/>
      <c r="AQ238" s="7"/>
      <c r="AR238" s="7"/>
      <c r="AS238" s="7"/>
      <c r="AT238" s="16">
        <f>SUM(AO238:AS238)</f>
        <v>0</v>
      </c>
      <c r="AV238" s="6"/>
      <c r="AW238" s="7"/>
      <c r="AX238" s="7"/>
      <c r="AY238" s="7"/>
      <c r="AZ238" s="7"/>
      <c r="BA238" s="16">
        <f>SUM(AV238:AZ238)</f>
        <v>0</v>
      </c>
      <c r="BC238" s="6"/>
      <c r="BD238" s="7"/>
      <c r="BE238" s="7"/>
      <c r="BF238" s="7"/>
      <c r="BG238" s="7"/>
      <c r="BH238" s="16">
        <f>SUM(BC238:BG238)</f>
        <v>0</v>
      </c>
      <c r="BJ238" s="6"/>
      <c r="BK238" s="7"/>
      <c r="BL238" s="7"/>
      <c r="BM238" s="7"/>
      <c r="BN238" s="7"/>
      <c r="BO238" s="16">
        <f>SUM(BJ238:BN238)</f>
        <v>0</v>
      </c>
      <c r="BQ238" s="6"/>
      <c r="BR238" s="7"/>
      <c r="BS238" s="7"/>
      <c r="BT238" s="7"/>
      <c r="BU238" s="7"/>
      <c r="BV238" s="16">
        <f>SUM(BQ238:BU238)</f>
        <v>0</v>
      </c>
      <c r="BX238" s="6"/>
      <c r="BY238" s="7"/>
      <c r="BZ238" s="7"/>
      <c r="CA238" s="7"/>
      <c r="CB238" s="7"/>
      <c r="CC238" s="16">
        <f>SUM(BX238:CB238)</f>
        <v>0</v>
      </c>
      <c r="CE238" s="28">
        <f t="shared" si="1049"/>
        <v>0</v>
      </c>
      <c r="CF238" s="29">
        <f t="shared" si="1050"/>
        <v>0</v>
      </c>
      <c r="CG238" s="29">
        <f t="shared" si="1051"/>
        <v>0</v>
      </c>
      <c r="CH238" s="29">
        <f t="shared" si="1052"/>
        <v>0</v>
      </c>
      <c r="CI238" s="29">
        <f t="shared" si="1053"/>
        <v>0</v>
      </c>
      <c r="CJ238" s="8">
        <f>SUM(CE238:CI238)</f>
        <v>0</v>
      </c>
      <c r="CL238" s="6"/>
      <c r="CM238" s="7"/>
      <c r="CN238" s="7"/>
      <c r="CO238" s="7"/>
      <c r="CP238" s="7"/>
      <c r="CQ238" s="16">
        <f>SUM(CL238:CP238)</f>
        <v>0</v>
      </c>
      <c r="CS238" s="6"/>
      <c r="CT238" s="7"/>
      <c r="CU238" s="7"/>
      <c r="CV238" s="7"/>
      <c r="CW238" s="7"/>
      <c r="CX238" s="16">
        <f t="shared" ref="CX238:CX240" si="1058">SUM(CS238:CW238)</f>
        <v>0</v>
      </c>
      <c r="CZ238" s="6"/>
      <c r="DA238" s="7"/>
      <c r="DB238" s="7"/>
      <c r="DC238" s="7"/>
      <c r="DD238" s="7"/>
      <c r="DE238" s="16">
        <f t="shared" ref="DE238:DE240" si="1059">SUM(CZ238:DD238)</f>
        <v>0</v>
      </c>
    </row>
    <row r="239" spans="2:109">
      <c r="C239" s="567"/>
      <c r="E239" s="14" t="s">
        <v>61</v>
      </c>
      <c r="F239" s="23">
        <f t="shared" si="1054"/>
        <v>0</v>
      </c>
      <c r="G239" s="24">
        <f t="shared" si="1045"/>
        <v>0</v>
      </c>
      <c r="H239" s="24">
        <f t="shared" si="1046"/>
        <v>0</v>
      </c>
      <c r="I239" s="24">
        <f t="shared" si="1047"/>
        <v>0</v>
      </c>
      <c r="J239" s="24">
        <f t="shared" si="1048"/>
        <v>0</v>
      </c>
      <c r="K239" s="16">
        <f t="shared" si="1055"/>
        <v>0</v>
      </c>
      <c r="M239" s="6"/>
      <c r="N239" s="7"/>
      <c r="O239" s="7"/>
      <c r="P239" s="7"/>
      <c r="Q239" s="7"/>
      <c r="R239" s="16">
        <f t="shared" si="1056"/>
        <v>0</v>
      </c>
      <c r="T239" s="6"/>
      <c r="U239" s="7"/>
      <c r="V239" s="7"/>
      <c r="W239" s="7"/>
      <c r="X239" s="7"/>
      <c r="Y239" s="16">
        <f t="shared" si="1057"/>
        <v>0</v>
      </c>
      <c r="AA239" s="6"/>
      <c r="AB239" s="7"/>
      <c r="AC239" s="7"/>
      <c r="AD239" s="7"/>
      <c r="AE239" s="7"/>
      <c r="AF239" s="16">
        <f>SUM(AA239:AE239)</f>
        <v>0</v>
      </c>
      <c r="AH239" s="6"/>
      <c r="AI239" s="7"/>
      <c r="AJ239" s="7"/>
      <c r="AK239" s="7"/>
      <c r="AL239" s="7"/>
      <c r="AM239" s="16">
        <f>SUM(AH239:AL239)</f>
        <v>0</v>
      </c>
      <c r="AO239" s="6"/>
      <c r="AP239" s="7"/>
      <c r="AQ239" s="7"/>
      <c r="AR239" s="7"/>
      <c r="AS239" s="7"/>
      <c r="AT239" s="16">
        <f>SUM(AO239:AS239)</f>
        <v>0</v>
      </c>
      <c r="AV239" s="6"/>
      <c r="AW239" s="7"/>
      <c r="AX239" s="7"/>
      <c r="AY239" s="7"/>
      <c r="AZ239" s="7"/>
      <c r="BA239" s="16">
        <f>SUM(AV239:AZ239)</f>
        <v>0</v>
      </c>
      <c r="BC239" s="6"/>
      <c r="BD239" s="7"/>
      <c r="BE239" s="7"/>
      <c r="BF239" s="7"/>
      <c r="BG239" s="7"/>
      <c r="BH239" s="16">
        <f>SUM(BC239:BG239)</f>
        <v>0</v>
      </c>
      <c r="BJ239" s="6"/>
      <c r="BK239" s="7"/>
      <c r="BL239" s="7"/>
      <c r="BM239" s="7"/>
      <c r="BN239" s="7"/>
      <c r="BO239" s="16">
        <f>SUM(BJ239:BN239)</f>
        <v>0</v>
      </c>
      <c r="BQ239" s="6"/>
      <c r="BR239" s="7"/>
      <c r="BS239" s="7"/>
      <c r="BT239" s="7"/>
      <c r="BU239" s="7"/>
      <c r="BV239" s="16">
        <f>SUM(BQ239:BU239)</f>
        <v>0</v>
      </c>
      <c r="BX239" s="6"/>
      <c r="BY239" s="7"/>
      <c r="BZ239" s="7"/>
      <c r="CA239" s="7"/>
      <c r="CB239" s="7"/>
      <c r="CC239" s="16">
        <f>SUM(BX239:CB239)</f>
        <v>0</v>
      </c>
      <c r="CE239" s="28">
        <f t="shared" si="1049"/>
        <v>0</v>
      </c>
      <c r="CF239" s="29">
        <f t="shared" si="1050"/>
        <v>0</v>
      </c>
      <c r="CG239" s="29">
        <f t="shared" si="1051"/>
        <v>0</v>
      </c>
      <c r="CH239" s="29">
        <f t="shared" si="1052"/>
        <v>0</v>
      </c>
      <c r="CI239" s="29">
        <f t="shared" si="1053"/>
        <v>0</v>
      </c>
      <c r="CJ239" s="8">
        <f>SUM(CE239:CI239)</f>
        <v>0</v>
      </c>
      <c r="CL239" s="6"/>
      <c r="CM239" s="7"/>
      <c r="CN239" s="7"/>
      <c r="CO239" s="7"/>
      <c r="CP239" s="7"/>
      <c r="CQ239" s="16">
        <f>SUM(CL239:CP239)</f>
        <v>0</v>
      </c>
      <c r="CS239" s="6"/>
      <c r="CT239" s="7"/>
      <c r="CU239" s="7"/>
      <c r="CV239" s="7"/>
      <c r="CW239" s="7"/>
      <c r="CX239" s="16">
        <f t="shared" si="1058"/>
        <v>0</v>
      </c>
      <c r="CZ239" s="6"/>
      <c r="DA239" s="7"/>
      <c r="DB239" s="7"/>
      <c r="DC239" s="7"/>
      <c r="DD239" s="7"/>
      <c r="DE239" s="16">
        <f t="shared" si="1059"/>
        <v>0</v>
      </c>
    </row>
    <row r="240" spans="2:109" ht="14" thickBot="1">
      <c r="C240" s="567"/>
      <c r="E240" s="14" t="s">
        <v>62</v>
      </c>
      <c r="F240" s="23">
        <f t="shared" si="1054"/>
        <v>0</v>
      </c>
      <c r="G240" s="24">
        <f t="shared" si="1045"/>
        <v>0</v>
      </c>
      <c r="H240" s="24">
        <f t="shared" si="1046"/>
        <v>0</v>
      </c>
      <c r="I240" s="24">
        <f t="shared" si="1047"/>
        <v>0</v>
      </c>
      <c r="J240" s="24">
        <f t="shared" si="1048"/>
        <v>0</v>
      </c>
      <c r="K240" s="16">
        <f t="shared" si="1055"/>
        <v>0</v>
      </c>
      <c r="M240" s="6"/>
      <c r="N240" s="7"/>
      <c r="O240" s="7"/>
      <c r="P240" s="7"/>
      <c r="Q240" s="7"/>
      <c r="R240" s="16">
        <f t="shared" si="1056"/>
        <v>0</v>
      </c>
      <c r="T240" s="6"/>
      <c r="U240" s="7"/>
      <c r="V240" s="7"/>
      <c r="W240" s="7"/>
      <c r="X240" s="7"/>
      <c r="Y240" s="16">
        <f t="shared" si="1057"/>
        <v>0</v>
      </c>
      <c r="AA240" s="6"/>
      <c r="AB240" s="7"/>
      <c r="AC240" s="7"/>
      <c r="AD240" s="7"/>
      <c r="AE240" s="7"/>
      <c r="AF240" s="16">
        <f>SUM(AA240:AE240)</f>
        <v>0</v>
      </c>
      <c r="AH240" s="6"/>
      <c r="AI240" s="7"/>
      <c r="AJ240" s="7"/>
      <c r="AK240" s="7"/>
      <c r="AL240" s="7"/>
      <c r="AM240" s="16">
        <f>SUM(AH240:AL240)</f>
        <v>0</v>
      </c>
      <c r="AO240" s="6"/>
      <c r="AP240" s="7"/>
      <c r="AQ240" s="7"/>
      <c r="AR240" s="7"/>
      <c r="AS240" s="7"/>
      <c r="AT240" s="16">
        <f>SUM(AO240:AS240)</f>
        <v>0</v>
      </c>
      <c r="AV240" s="6"/>
      <c r="AW240" s="7"/>
      <c r="AX240" s="7"/>
      <c r="AY240" s="7"/>
      <c r="AZ240" s="7"/>
      <c r="BA240" s="16">
        <f>SUM(AV240:AZ240)</f>
        <v>0</v>
      </c>
      <c r="BC240" s="6"/>
      <c r="BD240" s="7"/>
      <c r="BE240" s="7"/>
      <c r="BF240" s="7"/>
      <c r="BG240" s="7"/>
      <c r="BH240" s="16">
        <f>SUM(BC240:BG240)</f>
        <v>0</v>
      </c>
      <c r="BJ240" s="6"/>
      <c r="BK240" s="7"/>
      <c r="BL240" s="7"/>
      <c r="BM240" s="7"/>
      <c r="BN240" s="7"/>
      <c r="BO240" s="16">
        <f>SUM(BJ240:BN240)</f>
        <v>0</v>
      </c>
      <c r="BQ240" s="6"/>
      <c r="BR240" s="7"/>
      <c r="BS240" s="7"/>
      <c r="BT240" s="7"/>
      <c r="BU240" s="7"/>
      <c r="BV240" s="16">
        <f>SUM(BQ240:BU240)</f>
        <v>0</v>
      </c>
      <c r="BX240" s="6"/>
      <c r="BY240" s="7"/>
      <c r="BZ240" s="7"/>
      <c r="CA240" s="7"/>
      <c r="CB240" s="7"/>
      <c r="CC240" s="16">
        <f>SUM(BX240:CB240)</f>
        <v>0</v>
      </c>
      <c r="CE240" s="493">
        <f t="shared" si="1049"/>
        <v>0</v>
      </c>
      <c r="CF240" s="494">
        <f t="shared" si="1050"/>
        <v>0</v>
      </c>
      <c r="CG240" s="494">
        <f t="shared" si="1051"/>
        <v>0</v>
      </c>
      <c r="CH240" s="494">
        <f t="shared" si="1052"/>
        <v>0</v>
      </c>
      <c r="CI240" s="494">
        <f t="shared" si="1053"/>
        <v>0</v>
      </c>
      <c r="CJ240" s="495">
        <f>SUM(CE240:CI240)</f>
        <v>0</v>
      </c>
      <c r="CL240" s="6"/>
      <c r="CM240" s="7"/>
      <c r="CN240" s="7"/>
      <c r="CO240" s="7"/>
      <c r="CP240" s="7"/>
      <c r="CQ240" s="16">
        <f>SUM(CL240:CP240)</f>
        <v>0</v>
      </c>
      <c r="CS240" s="6"/>
      <c r="CT240" s="7"/>
      <c r="CU240" s="7"/>
      <c r="CV240" s="7"/>
      <c r="CW240" s="7"/>
      <c r="CX240" s="16">
        <f t="shared" si="1058"/>
        <v>0</v>
      </c>
      <c r="CZ240" s="6"/>
      <c r="DA240" s="7"/>
      <c r="DB240" s="7"/>
      <c r="DC240" s="7"/>
      <c r="DD240" s="7"/>
      <c r="DE240" s="16">
        <f t="shared" si="1059"/>
        <v>0</v>
      </c>
    </row>
    <row r="241" spans="3:109" ht="14" thickBot="1">
      <c r="C241" s="554"/>
      <c r="E241" s="17"/>
      <c r="F241" s="10">
        <f>SUM(F237:F240)</f>
        <v>0</v>
      </c>
      <c r="G241" s="11">
        <f t="shared" ref="G241:J241" si="1060">SUM(G237:G240)</f>
        <v>0</v>
      </c>
      <c r="H241" s="11">
        <f t="shared" si="1060"/>
        <v>0</v>
      </c>
      <c r="I241" s="11">
        <f t="shared" si="1060"/>
        <v>0</v>
      </c>
      <c r="J241" s="11">
        <f t="shared" si="1060"/>
        <v>0</v>
      </c>
      <c r="K241" s="25">
        <f>SUM(K237:K240)</f>
        <v>0</v>
      </c>
      <c r="M241" s="10">
        <f>SUM(M237:M240)</f>
        <v>0</v>
      </c>
      <c r="N241" s="11">
        <f t="shared" ref="N241:Q241" si="1061">SUM(N237:N240)</f>
        <v>0</v>
      </c>
      <c r="O241" s="11">
        <f t="shared" si="1061"/>
        <v>0</v>
      </c>
      <c r="P241" s="11">
        <f t="shared" si="1061"/>
        <v>0</v>
      </c>
      <c r="Q241" s="11">
        <f t="shared" si="1061"/>
        <v>0</v>
      </c>
      <c r="R241" s="25">
        <f>SUM(R237:R240)</f>
        <v>0</v>
      </c>
      <c r="T241" s="10">
        <f>SUM(T237:T240)</f>
        <v>0</v>
      </c>
      <c r="U241" s="11">
        <f t="shared" ref="U241:X241" si="1062">SUM(U237:U240)</f>
        <v>0</v>
      </c>
      <c r="V241" s="11">
        <f t="shared" si="1062"/>
        <v>0</v>
      </c>
      <c r="W241" s="11">
        <f t="shared" si="1062"/>
        <v>0</v>
      </c>
      <c r="X241" s="11">
        <f t="shared" si="1062"/>
        <v>0</v>
      </c>
      <c r="Y241" s="25">
        <f>SUM(Y237:Y240)</f>
        <v>0</v>
      </c>
      <c r="AA241" s="10">
        <f>SUM(AA237:AA240)</f>
        <v>0</v>
      </c>
      <c r="AB241" s="11">
        <f t="shared" ref="AB241:AE241" si="1063">SUM(AB237:AB240)</f>
        <v>0</v>
      </c>
      <c r="AC241" s="11">
        <f t="shared" si="1063"/>
        <v>0</v>
      </c>
      <c r="AD241" s="11">
        <f t="shared" si="1063"/>
        <v>0</v>
      </c>
      <c r="AE241" s="11">
        <f t="shared" si="1063"/>
        <v>0</v>
      </c>
      <c r="AF241" s="25">
        <f>SUM(AF237:AF240)</f>
        <v>0</v>
      </c>
      <c r="AH241" s="10">
        <f t="shared" ref="AH241:AM241" si="1064">SUM(AH237:AH240)</f>
        <v>0</v>
      </c>
      <c r="AI241" s="11">
        <f t="shared" si="1064"/>
        <v>0</v>
      </c>
      <c r="AJ241" s="11">
        <f t="shared" si="1064"/>
        <v>0</v>
      </c>
      <c r="AK241" s="11">
        <f t="shared" si="1064"/>
        <v>0</v>
      </c>
      <c r="AL241" s="11">
        <f t="shared" si="1064"/>
        <v>0</v>
      </c>
      <c r="AM241" s="25">
        <f t="shared" si="1064"/>
        <v>0</v>
      </c>
      <c r="AO241" s="10">
        <f t="shared" ref="AO241:AT241" si="1065">SUM(AO237:AO240)</f>
        <v>0</v>
      </c>
      <c r="AP241" s="11">
        <f t="shared" si="1065"/>
        <v>0</v>
      </c>
      <c r="AQ241" s="11">
        <f t="shared" si="1065"/>
        <v>0</v>
      </c>
      <c r="AR241" s="11">
        <f t="shared" si="1065"/>
        <v>0</v>
      </c>
      <c r="AS241" s="11">
        <f t="shared" si="1065"/>
        <v>0</v>
      </c>
      <c r="AT241" s="25">
        <f t="shared" si="1065"/>
        <v>0</v>
      </c>
      <c r="AV241" s="10">
        <f t="shared" ref="AV241:BA241" si="1066">SUM(AV237:AV240)</f>
        <v>0</v>
      </c>
      <c r="AW241" s="11">
        <f t="shared" si="1066"/>
        <v>0</v>
      </c>
      <c r="AX241" s="11">
        <f t="shared" si="1066"/>
        <v>0</v>
      </c>
      <c r="AY241" s="11">
        <f t="shared" si="1066"/>
        <v>0</v>
      </c>
      <c r="AZ241" s="11">
        <f t="shared" si="1066"/>
        <v>0</v>
      </c>
      <c r="BA241" s="25">
        <f t="shared" si="1066"/>
        <v>0</v>
      </c>
      <c r="BC241" s="10">
        <f t="shared" ref="BC241:BH241" si="1067">SUM(BC237:BC240)</f>
        <v>0</v>
      </c>
      <c r="BD241" s="11">
        <f t="shared" si="1067"/>
        <v>0</v>
      </c>
      <c r="BE241" s="11">
        <f t="shared" si="1067"/>
        <v>0</v>
      </c>
      <c r="BF241" s="11">
        <f t="shared" si="1067"/>
        <v>0</v>
      </c>
      <c r="BG241" s="11">
        <f t="shared" si="1067"/>
        <v>0</v>
      </c>
      <c r="BH241" s="25">
        <f t="shared" si="1067"/>
        <v>0</v>
      </c>
      <c r="BJ241" s="10">
        <f t="shared" ref="BJ241:BO241" si="1068">SUM(BJ237:BJ240)</f>
        <v>0</v>
      </c>
      <c r="BK241" s="11">
        <f t="shared" si="1068"/>
        <v>0</v>
      </c>
      <c r="BL241" s="11">
        <f t="shared" si="1068"/>
        <v>0</v>
      </c>
      <c r="BM241" s="11">
        <f t="shared" si="1068"/>
        <v>0</v>
      </c>
      <c r="BN241" s="11">
        <f t="shared" si="1068"/>
        <v>0</v>
      </c>
      <c r="BO241" s="25">
        <f t="shared" si="1068"/>
        <v>0</v>
      </c>
      <c r="BQ241" s="10">
        <f t="shared" ref="BQ241:BV241" si="1069">SUM(BQ237:BQ240)</f>
        <v>0</v>
      </c>
      <c r="BR241" s="11">
        <f t="shared" si="1069"/>
        <v>0</v>
      </c>
      <c r="BS241" s="11">
        <f t="shared" si="1069"/>
        <v>0</v>
      </c>
      <c r="BT241" s="11">
        <f t="shared" si="1069"/>
        <v>0</v>
      </c>
      <c r="BU241" s="11">
        <f t="shared" si="1069"/>
        <v>0</v>
      </c>
      <c r="BV241" s="25">
        <f t="shared" si="1069"/>
        <v>0</v>
      </c>
      <c r="BX241" s="10">
        <f t="shared" ref="BX241:CC241" si="1070">SUM(BX237:BX240)</f>
        <v>0</v>
      </c>
      <c r="BY241" s="11">
        <f t="shared" si="1070"/>
        <v>0</v>
      </c>
      <c r="BZ241" s="11">
        <f t="shared" si="1070"/>
        <v>0</v>
      </c>
      <c r="CA241" s="11">
        <f t="shared" si="1070"/>
        <v>0</v>
      </c>
      <c r="CB241" s="11">
        <f t="shared" si="1070"/>
        <v>0</v>
      </c>
      <c r="CC241" s="25">
        <f t="shared" si="1070"/>
        <v>0</v>
      </c>
      <c r="CE241" s="62">
        <f t="shared" ref="CE241:CJ241" si="1071">SUM(CE237:CE240)</f>
        <v>0</v>
      </c>
      <c r="CF241" s="63">
        <f t="shared" si="1071"/>
        <v>0</v>
      </c>
      <c r="CG241" s="63">
        <f t="shared" si="1071"/>
        <v>0</v>
      </c>
      <c r="CH241" s="63">
        <f t="shared" si="1071"/>
        <v>0</v>
      </c>
      <c r="CI241" s="63">
        <f t="shared" si="1071"/>
        <v>0</v>
      </c>
      <c r="CJ241" s="25">
        <f t="shared" si="1071"/>
        <v>0</v>
      </c>
      <c r="CL241" s="10">
        <f>SUM(CL237:CL240)</f>
        <v>0</v>
      </c>
      <c r="CM241" s="11">
        <f t="shared" ref="CM241:CQ241" si="1072">SUM(CM237:CM240)</f>
        <v>0</v>
      </c>
      <c r="CN241" s="11">
        <f t="shared" si="1072"/>
        <v>0</v>
      </c>
      <c r="CO241" s="11">
        <f t="shared" si="1072"/>
        <v>0</v>
      </c>
      <c r="CP241" s="11">
        <f t="shared" si="1072"/>
        <v>0</v>
      </c>
      <c r="CQ241" s="25">
        <f t="shared" si="1072"/>
        <v>0</v>
      </c>
      <c r="CS241" s="10">
        <f>SUM(CS237:CS240)</f>
        <v>0</v>
      </c>
      <c r="CT241" s="11">
        <f t="shared" ref="CT241:CW241" si="1073">SUM(CT237:CT240)</f>
        <v>0</v>
      </c>
      <c r="CU241" s="11">
        <f t="shared" si="1073"/>
        <v>0</v>
      </c>
      <c r="CV241" s="11">
        <f t="shared" si="1073"/>
        <v>0</v>
      </c>
      <c r="CW241" s="11">
        <f t="shared" si="1073"/>
        <v>0</v>
      </c>
      <c r="CX241" s="25">
        <f>SUM(CX237:CX240)</f>
        <v>0</v>
      </c>
      <c r="CZ241" s="10">
        <f>SUM(CZ237:CZ240)</f>
        <v>0</v>
      </c>
      <c r="DA241" s="11">
        <f t="shared" ref="DA241:DD241" si="1074">SUM(DA237:DA240)</f>
        <v>0</v>
      </c>
      <c r="DB241" s="11">
        <f t="shared" si="1074"/>
        <v>0</v>
      </c>
      <c r="DC241" s="11">
        <f t="shared" si="1074"/>
        <v>0</v>
      </c>
      <c r="DD241" s="11">
        <f t="shared" si="1074"/>
        <v>0</v>
      </c>
      <c r="DE241" s="25">
        <f>SUM(DE237:DE240)</f>
        <v>0</v>
      </c>
    </row>
    <row r="242" spans="3:109" ht="10.4" customHeight="1" thickBot="1"/>
    <row r="243" spans="3:109">
      <c r="C243" s="553">
        <v>2026</v>
      </c>
      <c r="E243" s="13" t="s">
        <v>59</v>
      </c>
      <c r="F243" s="21">
        <f>CE237</f>
        <v>0</v>
      </c>
      <c r="G243" s="22">
        <f t="shared" ref="G243:G246" si="1075">CF237</f>
        <v>0</v>
      </c>
      <c r="H243" s="22">
        <f t="shared" ref="H243:H246" si="1076">CG237</f>
        <v>0</v>
      </c>
      <c r="I243" s="22">
        <f t="shared" ref="I243:I246" si="1077">CH237</f>
        <v>0</v>
      </c>
      <c r="J243" s="22">
        <f t="shared" ref="J243:J246" si="1078">CI237</f>
        <v>0</v>
      </c>
      <c r="K243" s="4">
        <f>SUM(F243:J243)</f>
        <v>0</v>
      </c>
      <c r="M243" s="2"/>
      <c r="N243" s="3"/>
      <c r="O243" s="3"/>
      <c r="P243" s="3"/>
      <c r="Q243" s="3"/>
      <c r="R243" s="4">
        <f>SUM(M243:Q243)</f>
        <v>0</v>
      </c>
      <c r="T243" s="2"/>
      <c r="U243" s="3"/>
      <c r="V243" s="3"/>
      <c r="W243" s="3"/>
      <c r="X243" s="3"/>
      <c r="Y243" s="4">
        <f>SUM(T243:X243)</f>
        <v>0</v>
      </c>
      <c r="AA243" s="2"/>
      <c r="AB243" s="3"/>
      <c r="AC243" s="3"/>
      <c r="AD243" s="3"/>
      <c r="AE243" s="3"/>
      <c r="AF243" s="4">
        <f>SUM(AA243:AE243)</f>
        <v>0</v>
      </c>
      <c r="AH243" s="2"/>
      <c r="AI243" s="3"/>
      <c r="AJ243" s="3"/>
      <c r="AK243" s="3"/>
      <c r="AL243" s="3"/>
      <c r="AM243" s="4">
        <f>SUM(AH243:AL243)</f>
        <v>0</v>
      </c>
      <c r="AO243" s="2"/>
      <c r="AP243" s="3"/>
      <c r="AQ243" s="3"/>
      <c r="AR243" s="3"/>
      <c r="AS243" s="3"/>
      <c r="AT243" s="4">
        <f>SUM(AO243:AS243)</f>
        <v>0</v>
      </c>
      <c r="AV243" s="2"/>
      <c r="AW243" s="3"/>
      <c r="AX243" s="3"/>
      <c r="AY243" s="3"/>
      <c r="AZ243" s="3"/>
      <c r="BA243" s="4">
        <f>SUM(AV243:AZ243)</f>
        <v>0</v>
      </c>
      <c r="BC243" s="2"/>
      <c r="BD243" s="3"/>
      <c r="BE243" s="3"/>
      <c r="BF243" s="3"/>
      <c r="BG243" s="3"/>
      <c r="BH243" s="4">
        <f>SUM(BC243:BG243)</f>
        <v>0</v>
      </c>
      <c r="BJ243" s="2"/>
      <c r="BK243" s="3"/>
      <c r="BL243" s="3"/>
      <c r="BM243" s="3"/>
      <c r="BN243" s="3"/>
      <c r="BO243" s="4">
        <f>SUM(BJ243:BN243)</f>
        <v>0</v>
      </c>
      <c r="BQ243" s="2"/>
      <c r="BR243" s="3"/>
      <c r="BS243" s="3"/>
      <c r="BT243" s="3"/>
      <c r="BU243" s="3"/>
      <c r="BV243" s="4">
        <f>SUM(BQ243:BU243)</f>
        <v>0</v>
      </c>
      <c r="BX243" s="2"/>
      <c r="BY243" s="3"/>
      <c r="BZ243" s="3"/>
      <c r="CA243" s="3"/>
      <c r="CB243" s="3"/>
      <c r="CC243" s="4">
        <f>SUM(BX243:CB243)</f>
        <v>0</v>
      </c>
      <c r="CE243" s="26">
        <f t="shared" ref="CE243:CE246" si="1079">F243+M243+T243+AA243+AH243+AO243+AV243+BC243+BJ243+BQ243+BX243</f>
        <v>0</v>
      </c>
      <c r="CF243" s="27">
        <f t="shared" ref="CF243:CF246" si="1080">G243+N243+U243+AB243+AI243+AP243+AW243+BD243+BK243+BR243+BY243</f>
        <v>0</v>
      </c>
      <c r="CG243" s="27">
        <f t="shared" ref="CG243:CG246" si="1081">H243+O243+V243+AC243+AJ243+AQ243+AX243+BE243+BL243+BS243+BZ243</f>
        <v>0</v>
      </c>
      <c r="CH243" s="27">
        <f t="shared" ref="CH243:CH246" si="1082">I243+P243+W243+AD243+AK243+AR243+AY243+BF243+BM243+BT243+CA243</f>
        <v>0</v>
      </c>
      <c r="CI243" s="27">
        <f t="shared" ref="CI243:CI246" si="1083">J243+Q243+X243+AE243+AL243+AS243+AZ243+BG243+BN243+BU243+CB243</f>
        <v>0</v>
      </c>
      <c r="CJ243" s="4">
        <f>SUM(CE243:CI243)</f>
        <v>0</v>
      </c>
      <c r="CL243" s="2"/>
      <c r="CM243" s="3"/>
      <c r="CN243" s="3"/>
      <c r="CO243" s="3"/>
      <c r="CP243" s="3"/>
      <c r="CQ243" s="4">
        <f>SUM(CL243:CP243)</f>
        <v>0</v>
      </c>
      <c r="CS243" s="2"/>
      <c r="CT243" s="3"/>
      <c r="CU243" s="3"/>
      <c r="CV243" s="3"/>
      <c r="CW243" s="3"/>
      <c r="CX243" s="4">
        <f>SUM(CS243:CW243)</f>
        <v>0</v>
      </c>
      <c r="CZ243" s="2"/>
      <c r="DA243" s="3"/>
      <c r="DB243" s="3"/>
      <c r="DC243" s="3"/>
      <c r="DD243" s="3"/>
      <c r="DE243" s="4">
        <f>SUM(CZ243:DD243)</f>
        <v>0</v>
      </c>
    </row>
    <row r="244" spans="3:109">
      <c r="C244" s="567"/>
      <c r="E244" s="14" t="s">
        <v>60</v>
      </c>
      <c r="F244" s="23">
        <f t="shared" ref="F244:F246" si="1084">CE238</f>
        <v>0</v>
      </c>
      <c r="G244" s="24">
        <f t="shared" si="1075"/>
        <v>0</v>
      </c>
      <c r="H244" s="24">
        <f t="shared" si="1076"/>
        <v>0</v>
      </c>
      <c r="I244" s="24">
        <f t="shared" si="1077"/>
        <v>0</v>
      </c>
      <c r="J244" s="24">
        <f t="shared" si="1078"/>
        <v>0</v>
      </c>
      <c r="K244" s="8">
        <f t="shared" ref="K244:K246" si="1085">SUM(F244:J244)</f>
        <v>0</v>
      </c>
      <c r="M244" s="6"/>
      <c r="N244" s="7"/>
      <c r="O244" s="7"/>
      <c r="P244" s="7"/>
      <c r="Q244" s="7"/>
      <c r="R244" s="8">
        <f t="shared" ref="R244:R246" si="1086">SUM(M244:Q244)</f>
        <v>0</v>
      </c>
      <c r="T244" s="6"/>
      <c r="U244" s="7"/>
      <c r="V244" s="7"/>
      <c r="W244" s="7"/>
      <c r="X244" s="7"/>
      <c r="Y244" s="8">
        <f t="shared" ref="Y244:Y246" si="1087">SUM(T244:X244)</f>
        <v>0</v>
      </c>
      <c r="AA244" s="6"/>
      <c r="AB244" s="7"/>
      <c r="AC244" s="7"/>
      <c r="AD244" s="7"/>
      <c r="AE244" s="7"/>
      <c r="AF244" s="8">
        <f>SUM(AA244:AE244)</f>
        <v>0</v>
      </c>
      <c r="AH244" s="6"/>
      <c r="AI244" s="7"/>
      <c r="AJ244" s="7"/>
      <c r="AK244" s="7"/>
      <c r="AL244" s="7"/>
      <c r="AM244" s="8">
        <f>SUM(AH244:AL244)</f>
        <v>0</v>
      </c>
      <c r="AO244" s="6"/>
      <c r="AP244" s="7"/>
      <c r="AQ244" s="7"/>
      <c r="AR244" s="7"/>
      <c r="AS244" s="7"/>
      <c r="AT244" s="8">
        <f>SUM(AO244:AS244)</f>
        <v>0</v>
      </c>
      <c r="AV244" s="6"/>
      <c r="AW244" s="7"/>
      <c r="AX244" s="7"/>
      <c r="AY244" s="7"/>
      <c r="AZ244" s="7"/>
      <c r="BA244" s="8">
        <f>SUM(AV244:AZ244)</f>
        <v>0</v>
      </c>
      <c r="BC244" s="6"/>
      <c r="BD244" s="7"/>
      <c r="BE244" s="7"/>
      <c r="BF244" s="7"/>
      <c r="BG244" s="7"/>
      <c r="BH244" s="8">
        <f>SUM(BC244:BG244)</f>
        <v>0</v>
      </c>
      <c r="BJ244" s="6"/>
      <c r="BK244" s="7"/>
      <c r="BL244" s="7"/>
      <c r="BM244" s="7"/>
      <c r="BN244" s="7"/>
      <c r="BO244" s="8">
        <f>SUM(BJ244:BN244)</f>
        <v>0</v>
      </c>
      <c r="BQ244" s="6"/>
      <c r="BR244" s="7"/>
      <c r="BS244" s="7"/>
      <c r="BT244" s="7"/>
      <c r="BU244" s="7"/>
      <c r="BV244" s="8">
        <f>SUM(BQ244:BU244)</f>
        <v>0</v>
      </c>
      <c r="BX244" s="6"/>
      <c r="BY244" s="7"/>
      <c r="BZ244" s="7"/>
      <c r="CA244" s="7"/>
      <c r="CB244" s="7"/>
      <c r="CC244" s="8">
        <f>SUM(BX244:CB244)</f>
        <v>0</v>
      </c>
      <c r="CE244" s="28">
        <f t="shared" si="1079"/>
        <v>0</v>
      </c>
      <c r="CF244" s="29">
        <f t="shared" si="1080"/>
        <v>0</v>
      </c>
      <c r="CG244" s="29">
        <f t="shared" si="1081"/>
        <v>0</v>
      </c>
      <c r="CH244" s="29">
        <f t="shared" si="1082"/>
        <v>0</v>
      </c>
      <c r="CI244" s="29">
        <f t="shared" si="1083"/>
        <v>0</v>
      </c>
      <c r="CJ244" s="8">
        <f>SUM(CE244:CI244)</f>
        <v>0</v>
      </c>
      <c r="CL244" s="6"/>
      <c r="CM244" s="7"/>
      <c r="CN244" s="7"/>
      <c r="CO244" s="7"/>
      <c r="CP244" s="7"/>
      <c r="CQ244" s="8">
        <f>SUM(CL244:CP244)</f>
        <v>0</v>
      </c>
      <c r="CS244" s="6"/>
      <c r="CT244" s="7"/>
      <c r="CU244" s="7"/>
      <c r="CV244" s="7"/>
      <c r="CW244" s="7"/>
      <c r="CX244" s="8">
        <f t="shared" ref="CX244:CX246" si="1088">SUM(CS244:CW244)</f>
        <v>0</v>
      </c>
      <c r="CZ244" s="6"/>
      <c r="DA244" s="7"/>
      <c r="DB244" s="7"/>
      <c r="DC244" s="7"/>
      <c r="DD244" s="7"/>
      <c r="DE244" s="8">
        <f t="shared" ref="DE244:DE246" si="1089">SUM(CZ244:DD244)</f>
        <v>0</v>
      </c>
    </row>
    <row r="245" spans="3:109">
      <c r="C245" s="567"/>
      <c r="E245" s="14" t="s">
        <v>61</v>
      </c>
      <c r="F245" s="23">
        <f t="shared" si="1084"/>
        <v>0</v>
      </c>
      <c r="G245" s="24">
        <f t="shared" si="1075"/>
        <v>0</v>
      </c>
      <c r="H245" s="24">
        <f t="shared" si="1076"/>
        <v>0</v>
      </c>
      <c r="I245" s="24">
        <f t="shared" si="1077"/>
        <v>0</v>
      </c>
      <c r="J245" s="24">
        <f t="shared" si="1078"/>
        <v>0</v>
      </c>
      <c r="K245" s="8">
        <f t="shared" si="1085"/>
        <v>0</v>
      </c>
      <c r="M245" s="6"/>
      <c r="N245" s="7"/>
      <c r="O245" s="7"/>
      <c r="P245" s="7"/>
      <c r="Q245" s="7"/>
      <c r="R245" s="8">
        <f t="shared" si="1086"/>
        <v>0</v>
      </c>
      <c r="T245" s="6"/>
      <c r="U245" s="7"/>
      <c r="V245" s="7"/>
      <c r="W245" s="7"/>
      <c r="X245" s="7"/>
      <c r="Y245" s="8">
        <f t="shared" si="1087"/>
        <v>0</v>
      </c>
      <c r="AA245" s="6"/>
      <c r="AB245" s="7"/>
      <c r="AC245" s="7"/>
      <c r="AD245" s="7"/>
      <c r="AE245" s="7"/>
      <c r="AF245" s="8">
        <f>SUM(AA245:AE245)</f>
        <v>0</v>
      </c>
      <c r="AH245" s="6"/>
      <c r="AI245" s="7"/>
      <c r="AJ245" s="7"/>
      <c r="AK245" s="7"/>
      <c r="AL245" s="7"/>
      <c r="AM245" s="8">
        <f>SUM(AH245:AL245)</f>
        <v>0</v>
      </c>
      <c r="AO245" s="6"/>
      <c r="AP245" s="7"/>
      <c r="AQ245" s="7"/>
      <c r="AR245" s="7"/>
      <c r="AS245" s="7"/>
      <c r="AT245" s="8">
        <f>SUM(AO245:AS245)</f>
        <v>0</v>
      </c>
      <c r="AV245" s="6"/>
      <c r="AW245" s="7"/>
      <c r="AX245" s="7"/>
      <c r="AY245" s="7"/>
      <c r="AZ245" s="7"/>
      <c r="BA245" s="8">
        <f>SUM(AV245:AZ245)</f>
        <v>0</v>
      </c>
      <c r="BC245" s="6"/>
      <c r="BD245" s="7"/>
      <c r="BE245" s="7"/>
      <c r="BF245" s="7"/>
      <c r="BG245" s="7"/>
      <c r="BH245" s="8">
        <f>SUM(BC245:BG245)</f>
        <v>0</v>
      </c>
      <c r="BJ245" s="6"/>
      <c r="BK245" s="7"/>
      <c r="BL245" s="7"/>
      <c r="BM245" s="7"/>
      <c r="BN245" s="7"/>
      <c r="BO245" s="8">
        <f>SUM(BJ245:BN245)</f>
        <v>0</v>
      </c>
      <c r="BQ245" s="6"/>
      <c r="BR245" s="7"/>
      <c r="BS245" s="7"/>
      <c r="BT245" s="7"/>
      <c r="BU245" s="7"/>
      <c r="BV245" s="8">
        <f>SUM(BQ245:BU245)</f>
        <v>0</v>
      </c>
      <c r="BX245" s="6"/>
      <c r="BY245" s="7"/>
      <c r="BZ245" s="7"/>
      <c r="CA245" s="7"/>
      <c r="CB245" s="7"/>
      <c r="CC245" s="8">
        <f>SUM(BX245:CB245)</f>
        <v>0</v>
      </c>
      <c r="CE245" s="28">
        <f t="shared" si="1079"/>
        <v>0</v>
      </c>
      <c r="CF245" s="29">
        <f t="shared" si="1080"/>
        <v>0</v>
      </c>
      <c r="CG245" s="29">
        <f t="shared" si="1081"/>
        <v>0</v>
      </c>
      <c r="CH245" s="29">
        <f t="shared" si="1082"/>
        <v>0</v>
      </c>
      <c r="CI245" s="29">
        <f t="shared" si="1083"/>
        <v>0</v>
      </c>
      <c r="CJ245" s="8">
        <f>SUM(CE245:CI245)</f>
        <v>0</v>
      </c>
      <c r="CL245" s="6"/>
      <c r="CM245" s="7"/>
      <c r="CN245" s="7"/>
      <c r="CO245" s="7"/>
      <c r="CP245" s="7"/>
      <c r="CQ245" s="8">
        <f>SUM(CL245:CP245)</f>
        <v>0</v>
      </c>
      <c r="CS245" s="6"/>
      <c r="CT245" s="7"/>
      <c r="CU245" s="7"/>
      <c r="CV245" s="7"/>
      <c r="CW245" s="7"/>
      <c r="CX245" s="8">
        <f t="shared" si="1088"/>
        <v>0</v>
      </c>
      <c r="CZ245" s="6"/>
      <c r="DA245" s="7"/>
      <c r="DB245" s="7"/>
      <c r="DC245" s="7"/>
      <c r="DD245" s="7"/>
      <c r="DE245" s="8">
        <f t="shared" si="1089"/>
        <v>0</v>
      </c>
    </row>
    <row r="246" spans="3:109" ht="14" thickBot="1">
      <c r="C246" s="567"/>
      <c r="E246" s="14" t="s">
        <v>62</v>
      </c>
      <c r="F246" s="23">
        <f t="shared" si="1084"/>
        <v>0</v>
      </c>
      <c r="G246" s="24">
        <f t="shared" si="1075"/>
        <v>0</v>
      </c>
      <c r="H246" s="24">
        <f t="shared" si="1076"/>
        <v>0</v>
      </c>
      <c r="I246" s="24">
        <f t="shared" si="1077"/>
        <v>0</v>
      </c>
      <c r="J246" s="24">
        <f t="shared" si="1078"/>
        <v>0</v>
      </c>
      <c r="K246" s="8">
        <f t="shared" si="1085"/>
        <v>0</v>
      </c>
      <c r="M246" s="6"/>
      <c r="N246" s="7"/>
      <c r="O246" s="7"/>
      <c r="P246" s="7"/>
      <c r="Q246" s="7"/>
      <c r="R246" s="8">
        <f t="shared" si="1086"/>
        <v>0</v>
      </c>
      <c r="T246" s="6"/>
      <c r="U246" s="7"/>
      <c r="V246" s="7"/>
      <c r="W246" s="7"/>
      <c r="X246" s="7"/>
      <c r="Y246" s="8">
        <f t="shared" si="1087"/>
        <v>0</v>
      </c>
      <c r="AA246" s="6"/>
      <c r="AB246" s="7"/>
      <c r="AC246" s="7"/>
      <c r="AD246" s="7"/>
      <c r="AE246" s="7"/>
      <c r="AF246" s="8">
        <f>SUM(AA246:AE246)</f>
        <v>0</v>
      </c>
      <c r="AH246" s="6"/>
      <c r="AI246" s="7"/>
      <c r="AJ246" s="7"/>
      <c r="AK246" s="7"/>
      <c r="AL246" s="7"/>
      <c r="AM246" s="8">
        <f>SUM(AH246:AL246)</f>
        <v>0</v>
      </c>
      <c r="AO246" s="6"/>
      <c r="AP246" s="7"/>
      <c r="AQ246" s="7"/>
      <c r="AR246" s="7"/>
      <c r="AS246" s="7"/>
      <c r="AT246" s="8">
        <f>SUM(AO246:AS246)</f>
        <v>0</v>
      </c>
      <c r="AV246" s="6"/>
      <c r="AW246" s="7"/>
      <c r="AX246" s="7"/>
      <c r="AY246" s="7"/>
      <c r="AZ246" s="7"/>
      <c r="BA246" s="8">
        <f>SUM(AV246:AZ246)</f>
        <v>0</v>
      </c>
      <c r="BC246" s="6"/>
      <c r="BD246" s="7"/>
      <c r="BE246" s="7"/>
      <c r="BF246" s="7"/>
      <c r="BG246" s="7"/>
      <c r="BH246" s="8">
        <f>SUM(BC246:BG246)</f>
        <v>0</v>
      </c>
      <c r="BJ246" s="6"/>
      <c r="BK246" s="7"/>
      <c r="BL246" s="7"/>
      <c r="BM246" s="7"/>
      <c r="BN246" s="7"/>
      <c r="BO246" s="8">
        <f>SUM(BJ246:BN246)</f>
        <v>0</v>
      </c>
      <c r="BQ246" s="6"/>
      <c r="BR246" s="7"/>
      <c r="BS246" s="7"/>
      <c r="BT246" s="7"/>
      <c r="BU246" s="7"/>
      <c r="BV246" s="8">
        <f>SUM(BQ246:BU246)</f>
        <v>0</v>
      </c>
      <c r="BX246" s="6"/>
      <c r="BY246" s="7"/>
      <c r="BZ246" s="7"/>
      <c r="CA246" s="7"/>
      <c r="CB246" s="7"/>
      <c r="CC246" s="8">
        <f>SUM(BX246:CB246)</f>
        <v>0</v>
      </c>
      <c r="CE246" s="493">
        <f t="shared" si="1079"/>
        <v>0</v>
      </c>
      <c r="CF246" s="494">
        <f t="shared" si="1080"/>
        <v>0</v>
      </c>
      <c r="CG246" s="494">
        <f t="shared" si="1081"/>
        <v>0</v>
      </c>
      <c r="CH246" s="494">
        <f t="shared" si="1082"/>
        <v>0</v>
      </c>
      <c r="CI246" s="494">
        <f t="shared" si="1083"/>
        <v>0</v>
      </c>
      <c r="CJ246" s="495">
        <f>SUM(CE246:CI246)</f>
        <v>0</v>
      </c>
      <c r="CL246" s="6"/>
      <c r="CM246" s="7"/>
      <c r="CN246" s="7"/>
      <c r="CO246" s="7"/>
      <c r="CP246" s="7"/>
      <c r="CQ246" s="8">
        <f>SUM(CL246:CP246)</f>
        <v>0</v>
      </c>
      <c r="CS246" s="6"/>
      <c r="CT246" s="7"/>
      <c r="CU246" s="7"/>
      <c r="CV246" s="7"/>
      <c r="CW246" s="7"/>
      <c r="CX246" s="8">
        <f t="shared" si="1088"/>
        <v>0</v>
      </c>
      <c r="CZ246" s="6"/>
      <c r="DA246" s="7"/>
      <c r="DB246" s="7"/>
      <c r="DC246" s="7"/>
      <c r="DD246" s="7"/>
      <c r="DE246" s="8">
        <f t="shared" si="1089"/>
        <v>0</v>
      </c>
    </row>
    <row r="247" spans="3:109" ht="14" thickBot="1">
      <c r="C247" s="554"/>
      <c r="E247" s="17"/>
      <c r="F247" s="10">
        <f>SUM(F243:F246)</f>
        <v>0</v>
      </c>
      <c r="G247" s="11">
        <f t="shared" ref="G247:J247" si="1090">SUM(G243:G246)</f>
        <v>0</v>
      </c>
      <c r="H247" s="11">
        <f t="shared" si="1090"/>
        <v>0</v>
      </c>
      <c r="I247" s="11">
        <f t="shared" si="1090"/>
        <v>0</v>
      </c>
      <c r="J247" s="11">
        <f t="shared" si="1090"/>
        <v>0</v>
      </c>
      <c r="K247" s="25">
        <f>SUM(K243:K246)</f>
        <v>0</v>
      </c>
      <c r="M247" s="10">
        <f>SUM(M243:M246)</f>
        <v>0</v>
      </c>
      <c r="N247" s="11">
        <f t="shared" ref="N247:Q247" si="1091">SUM(N243:N246)</f>
        <v>0</v>
      </c>
      <c r="O247" s="11">
        <f t="shared" si="1091"/>
        <v>0</v>
      </c>
      <c r="P247" s="11">
        <f t="shared" si="1091"/>
        <v>0</v>
      </c>
      <c r="Q247" s="11">
        <f t="shared" si="1091"/>
        <v>0</v>
      </c>
      <c r="R247" s="25">
        <f>SUM(R243:R246)</f>
        <v>0</v>
      </c>
      <c r="T247" s="10">
        <f>SUM(T243:T246)</f>
        <v>0</v>
      </c>
      <c r="U247" s="11">
        <f t="shared" ref="U247:X247" si="1092">SUM(U243:U246)</f>
        <v>0</v>
      </c>
      <c r="V247" s="11">
        <f t="shared" si="1092"/>
        <v>0</v>
      </c>
      <c r="W247" s="11">
        <f t="shared" si="1092"/>
        <v>0</v>
      </c>
      <c r="X247" s="11">
        <f t="shared" si="1092"/>
        <v>0</v>
      </c>
      <c r="Y247" s="25">
        <f>SUM(Y243:Y246)</f>
        <v>0</v>
      </c>
      <c r="AA247" s="10">
        <f>SUM(AA243:AA246)</f>
        <v>0</v>
      </c>
      <c r="AB247" s="11">
        <f t="shared" ref="AB247:AE247" si="1093">SUM(AB243:AB246)</f>
        <v>0</v>
      </c>
      <c r="AC247" s="11">
        <f t="shared" si="1093"/>
        <v>0</v>
      </c>
      <c r="AD247" s="11">
        <f t="shared" si="1093"/>
        <v>0</v>
      </c>
      <c r="AE247" s="11">
        <f t="shared" si="1093"/>
        <v>0</v>
      </c>
      <c r="AF247" s="25">
        <f>SUM(AF243:AF246)</f>
        <v>0</v>
      </c>
      <c r="AH247" s="10">
        <f t="shared" ref="AH247:AM247" si="1094">SUM(AH243:AH246)</f>
        <v>0</v>
      </c>
      <c r="AI247" s="11">
        <f t="shared" si="1094"/>
        <v>0</v>
      </c>
      <c r="AJ247" s="11">
        <f t="shared" si="1094"/>
        <v>0</v>
      </c>
      <c r="AK247" s="11">
        <f t="shared" si="1094"/>
        <v>0</v>
      </c>
      <c r="AL247" s="11">
        <f t="shared" si="1094"/>
        <v>0</v>
      </c>
      <c r="AM247" s="25">
        <f t="shared" si="1094"/>
        <v>0</v>
      </c>
      <c r="AO247" s="10">
        <f t="shared" ref="AO247:AT247" si="1095">SUM(AO243:AO246)</f>
        <v>0</v>
      </c>
      <c r="AP247" s="11">
        <f t="shared" si="1095"/>
        <v>0</v>
      </c>
      <c r="AQ247" s="11">
        <f t="shared" si="1095"/>
        <v>0</v>
      </c>
      <c r="AR247" s="11">
        <f t="shared" si="1095"/>
        <v>0</v>
      </c>
      <c r="AS247" s="11">
        <f t="shared" si="1095"/>
        <v>0</v>
      </c>
      <c r="AT247" s="25">
        <f t="shared" si="1095"/>
        <v>0</v>
      </c>
      <c r="AV247" s="10">
        <f t="shared" ref="AV247:BA247" si="1096">SUM(AV243:AV246)</f>
        <v>0</v>
      </c>
      <c r="AW247" s="11">
        <f t="shared" si="1096"/>
        <v>0</v>
      </c>
      <c r="AX247" s="11">
        <f t="shared" si="1096"/>
        <v>0</v>
      </c>
      <c r="AY247" s="11">
        <f t="shared" si="1096"/>
        <v>0</v>
      </c>
      <c r="AZ247" s="11">
        <f t="shared" si="1096"/>
        <v>0</v>
      </c>
      <c r="BA247" s="25">
        <f t="shared" si="1096"/>
        <v>0</v>
      </c>
      <c r="BC247" s="10">
        <f t="shared" ref="BC247:BH247" si="1097">SUM(BC243:BC246)</f>
        <v>0</v>
      </c>
      <c r="BD247" s="11">
        <f t="shared" si="1097"/>
        <v>0</v>
      </c>
      <c r="BE247" s="11">
        <f t="shared" si="1097"/>
        <v>0</v>
      </c>
      <c r="BF247" s="11">
        <f t="shared" si="1097"/>
        <v>0</v>
      </c>
      <c r="BG247" s="11">
        <f t="shared" si="1097"/>
        <v>0</v>
      </c>
      <c r="BH247" s="25">
        <f t="shared" si="1097"/>
        <v>0</v>
      </c>
      <c r="BJ247" s="10">
        <f t="shared" ref="BJ247:BO247" si="1098">SUM(BJ243:BJ246)</f>
        <v>0</v>
      </c>
      <c r="BK247" s="11">
        <f t="shared" si="1098"/>
        <v>0</v>
      </c>
      <c r="BL247" s="11">
        <f t="shared" si="1098"/>
        <v>0</v>
      </c>
      <c r="BM247" s="11">
        <f t="shared" si="1098"/>
        <v>0</v>
      </c>
      <c r="BN247" s="11">
        <f t="shared" si="1098"/>
        <v>0</v>
      </c>
      <c r="BO247" s="25">
        <f t="shared" si="1098"/>
        <v>0</v>
      </c>
      <c r="BQ247" s="10">
        <f t="shared" ref="BQ247:BV247" si="1099">SUM(BQ243:BQ246)</f>
        <v>0</v>
      </c>
      <c r="BR247" s="11">
        <f t="shared" si="1099"/>
        <v>0</v>
      </c>
      <c r="BS247" s="11">
        <f t="shared" si="1099"/>
        <v>0</v>
      </c>
      <c r="BT247" s="11">
        <f t="shared" si="1099"/>
        <v>0</v>
      </c>
      <c r="BU247" s="11">
        <f t="shared" si="1099"/>
        <v>0</v>
      </c>
      <c r="BV247" s="25">
        <f t="shared" si="1099"/>
        <v>0</v>
      </c>
      <c r="BX247" s="10">
        <f t="shared" ref="BX247:CC247" si="1100">SUM(BX243:BX246)</f>
        <v>0</v>
      </c>
      <c r="BY247" s="11">
        <f t="shared" si="1100"/>
        <v>0</v>
      </c>
      <c r="BZ247" s="11">
        <f t="shared" si="1100"/>
        <v>0</v>
      </c>
      <c r="CA247" s="11">
        <f t="shared" si="1100"/>
        <v>0</v>
      </c>
      <c r="CB247" s="11">
        <f t="shared" si="1100"/>
        <v>0</v>
      </c>
      <c r="CC247" s="25">
        <f t="shared" si="1100"/>
        <v>0</v>
      </c>
      <c r="CE247" s="62">
        <f t="shared" ref="CE247:CJ247" si="1101">SUM(CE243:CE246)</f>
        <v>0</v>
      </c>
      <c r="CF247" s="63">
        <f t="shared" si="1101"/>
        <v>0</v>
      </c>
      <c r="CG247" s="63">
        <f t="shared" si="1101"/>
        <v>0</v>
      </c>
      <c r="CH247" s="63">
        <f t="shared" si="1101"/>
        <v>0</v>
      </c>
      <c r="CI247" s="63">
        <f t="shared" si="1101"/>
        <v>0</v>
      </c>
      <c r="CJ247" s="25">
        <f t="shared" si="1101"/>
        <v>0</v>
      </c>
      <c r="CL247" s="10">
        <f>SUM(CL243:CL246)</f>
        <v>0</v>
      </c>
      <c r="CM247" s="11">
        <f t="shared" ref="CM247:CQ247" si="1102">SUM(CM243:CM246)</f>
        <v>0</v>
      </c>
      <c r="CN247" s="11">
        <f t="shared" si="1102"/>
        <v>0</v>
      </c>
      <c r="CO247" s="11">
        <f t="shared" si="1102"/>
        <v>0</v>
      </c>
      <c r="CP247" s="11">
        <f t="shared" si="1102"/>
        <v>0</v>
      </c>
      <c r="CQ247" s="25">
        <f t="shared" si="1102"/>
        <v>0</v>
      </c>
      <c r="CS247" s="10">
        <f>SUM(CS243:CS246)</f>
        <v>0</v>
      </c>
      <c r="CT247" s="11">
        <f t="shared" ref="CT247:CW247" si="1103">SUM(CT243:CT246)</f>
        <v>0</v>
      </c>
      <c r="CU247" s="11">
        <f t="shared" si="1103"/>
        <v>0</v>
      </c>
      <c r="CV247" s="11">
        <f t="shared" si="1103"/>
        <v>0</v>
      </c>
      <c r="CW247" s="11">
        <f t="shared" si="1103"/>
        <v>0</v>
      </c>
      <c r="CX247" s="25">
        <f>SUM(CX243:CX246)</f>
        <v>0</v>
      </c>
      <c r="CZ247" s="10">
        <f>SUM(CZ243:CZ246)</f>
        <v>0</v>
      </c>
      <c r="DA247" s="11">
        <f t="shared" ref="DA247:DD247" si="1104">SUM(DA243:DA246)</f>
        <v>0</v>
      </c>
      <c r="DB247" s="11">
        <f t="shared" si="1104"/>
        <v>0</v>
      </c>
      <c r="DC247" s="11">
        <f t="shared" si="1104"/>
        <v>0</v>
      </c>
      <c r="DD247" s="11">
        <f t="shared" si="1104"/>
        <v>0</v>
      </c>
      <c r="DE247" s="25">
        <f>SUM(DE243:DE246)</f>
        <v>0</v>
      </c>
    </row>
    <row r="248" spans="3:109" ht="10.4" customHeight="1" thickBot="1"/>
    <row r="249" spans="3:109">
      <c r="C249" s="553">
        <v>2027</v>
      </c>
      <c r="E249" s="13" t="s">
        <v>59</v>
      </c>
      <c r="F249" s="21">
        <f>CE243</f>
        <v>0</v>
      </c>
      <c r="G249" s="22">
        <f t="shared" ref="G249:G252" si="1105">CF243</f>
        <v>0</v>
      </c>
      <c r="H249" s="22">
        <f t="shared" ref="H249:H252" si="1106">CG243</f>
        <v>0</v>
      </c>
      <c r="I249" s="22">
        <f t="shared" ref="I249:I252" si="1107">CH243</f>
        <v>0</v>
      </c>
      <c r="J249" s="22">
        <f t="shared" ref="J249:J252" si="1108">CI243</f>
        <v>0</v>
      </c>
      <c r="K249" s="4">
        <f>SUM(F249:J249)</f>
        <v>0</v>
      </c>
      <c r="M249" s="2"/>
      <c r="N249" s="3"/>
      <c r="O249" s="3"/>
      <c r="P249" s="3"/>
      <c r="Q249" s="3"/>
      <c r="R249" s="4">
        <f>SUM(M249:Q249)</f>
        <v>0</v>
      </c>
      <c r="T249" s="2"/>
      <c r="U249" s="3"/>
      <c r="V249" s="3"/>
      <c r="W249" s="3"/>
      <c r="X249" s="3"/>
      <c r="Y249" s="4">
        <f>SUM(T249:X249)</f>
        <v>0</v>
      </c>
      <c r="AA249" s="2"/>
      <c r="AB249" s="3"/>
      <c r="AC249" s="3"/>
      <c r="AD249" s="3"/>
      <c r="AE249" s="3"/>
      <c r="AF249" s="4">
        <f>SUM(AA249:AE249)</f>
        <v>0</v>
      </c>
      <c r="AH249" s="2"/>
      <c r="AI249" s="3"/>
      <c r="AJ249" s="3"/>
      <c r="AK249" s="3"/>
      <c r="AL249" s="3"/>
      <c r="AM249" s="4">
        <f>SUM(AH249:AL249)</f>
        <v>0</v>
      </c>
      <c r="AO249" s="2"/>
      <c r="AP249" s="3"/>
      <c r="AQ249" s="3"/>
      <c r="AR249" s="3"/>
      <c r="AS249" s="3"/>
      <c r="AT249" s="4">
        <f>SUM(AO249:AS249)</f>
        <v>0</v>
      </c>
      <c r="AV249" s="2"/>
      <c r="AW249" s="3"/>
      <c r="AX249" s="3"/>
      <c r="AY249" s="3"/>
      <c r="AZ249" s="3"/>
      <c r="BA249" s="4">
        <f>SUM(AV249:AZ249)</f>
        <v>0</v>
      </c>
      <c r="BC249" s="2"/>
      <c r="BD249" s="3"/>
      <c r="BE249" s="3"/>
      <c r="BF249" s="3"/>
      <c r="BG249" s="3"/>
      <c r="BH249" s="4">
        <f>SUM(BC249:BG249)</f>
        <v>0</v>
      </c>
      <c r="BJ249" s="2"/>
      <c r="BK249" s="3"/>
      <c r="BL249" s="3"/>
      <c r="BM249" s="3"/>
      <c r="BN249" s="3"/>
      <c r="BO249" s="4">
        <f>SUM(BJ249:BN249)</f>
        <v>0</v>
      </c>
      <c r="BQ249" s="2"/>
      <c r="BR249" s="3"/>
      <c r="BS249" s="3"/>
      <c r="BT249" s="3"/>
      <c r="BU249" s="3"/>
      <c r="BV249" s="4">
        <f>SUM(BQ249:BU249)</f>
        <v>0</v>
      </c>
      <c r="BX249" s="2"/>
      <c r="BY249" s="3"/>
      <c r="BZ249" s="3"/>
      <c r="CA249" s="3"/>
      <c r="CB249" s="3"/>
      <c r="CC249" s="4">
        <f>SUM(BX249:CB249)</f>
        <v>0</v>
      </c>
      <c r="CE249" s="26">
        <f t="shared" ref="CE249:CE252" si="1109">F249+M249+T249+AA249+AH249+AO249+AV249+BC249+BJ249+BQ249+BX249</f>
        <v>0</v>
      </c>
      <c r="CF249" s="27">
        <f t="shared" ref="CF249:CF252" si="1110">G249+N249+U249+AB249+AI249+AP249+AW249+BD249+BK249+BR249+BY249</f>
        <v>0</v>
      </c>
      <c r="CG249" s="27">
        <f t="shared" ref="CG249:CG252" si="1111">H249+O249+V249+AC249+AJ249+AQ249+AX249+BE249+BL249+BS249+BZ249</f>
        <v>0</v>
      </c>
      <c r="CH249" s="27">
        <f t="shared" ref="CH249:CH252" si="1112">I249+P249+W249+AD249+AK249+AR249+AY249+BF249+BM249+BT249+CA249</f>
        <v>0</v>
      </c>
      <c r="CI249" s="27">
        <f t="shared" ref="CI249:CI252" si="1113">J249+Q249+X249+AE249+AL249+AS249+AZ249+BG249+BN249+BU249+CB249</f>
        <v>0</v>
      </c>
      <c r="CJ249" s="4">
        <f>SUM(CE249:CI249)</f>
        <v>0</v>
      </c>
      <c r="CL249" s="2"/>
      <c r="CM249" s="3"/>
      <c r="CN249" s="3"/>
      <c r="CO249" s="3"/>
      <c r="CP249" s="3"/>
      <c r="CQ249" s="4">
        <f>SUM(CL249:CP249)</f>
        <v>0</v>
      </c>
      <c r="CS249" s="2"/>
      <c r="CT249" s="3"/>
      <c r="CU249" s="3"/>
      <c r="CV249" s="3"/>
      <c r="CW249" s="3"/>
      <c r="CX249" s="4">
        <f>SUM(CS249:CW249)</f>
        <v>0</v>
      </c>
      <c r="CZ249" s="2"/>
      <c r="DA249" s="3"/>
      <c r="DB249" s="3"/>
      <c r="DC249" s="3"/>
      <c r="DD249" s="3"/>
      <c r="DE249" s="4">
        <f>SUM(CZ249:DD249)</f>
        <v>0</v>
      </c>
    </row>
    <row r="250" spans="3:109">
      <c r="C250" s="567"/>
      <c r="E250" s="14" t="s">
        <v>60</v>
      </c>
      <c r="F250" s="23">
        <f t="shared" ref="F250:F252" si="1114">CE244</f>
        <v>0</v>
      </c>
      <c r="G250" s="24">
        <f t="shared" si="1105"/>
        <v>0</v>
      </c>
      <c r="H250" s="24">
        <f t="shared" si="1106"/>
        <v>0</v>
      </c>
      <c r="I250" s="24">
        <f t="shared" si="1107"/>
        <v>0</v>
      </c>
      <c r="J250" s="24">
        <f t="shared" si="1108"/>
        <v>0</v>
      </c>
      <c r="K250" s="8">
        <f t="shared" ref="K250:K252" si="1115">SUM(F250:J250)</f>
        <v>0</v>
      </c>
      <c r="M250" s="6"/>
      <c r="N250" s="7"/>
      <c r="O250" s="7"/>
      <c r="P250" s="7"/>
      <c r="Q250" s="7"/>
      <c r="R250" s="8">
        <f t="shared" ref="R250:R252" si="1116">SUM(M250:Q250)</f>
        <v>0</v>
      </c>
      <c r="T250" s="6"/>
      <c r="U250" s="7"/>
      <c r="V250" s="7"/>
      <c r="W250" s="7"/>
      <c r="X250" s="7"/>
      <c r="Y250" s="8">
        <f t="shared" ref="Y250:Y252" si="1117">SUM(T250:X250)</f>
        <v>0</v>
      </c>
      <c r="AA250" s="6"/>
      <c r="AB250" s="7"/>
      <c r="AC250" s="7"/>
      <c r="AD250" s="7"/>
      <c r="AE250" s="7"/>
      <c r="AF250" s="8">
        <f>SUM(AA250:AE250)</f>
        <v>0</v>
      </c>
      <c r="AH250" s="6"/>
      <c r="AI250" s="7"/>
      <c r="AJ250" s="7"/>
      <c r="AK250" s="7"/>
      <c r="AL250" s="7"/>
      <c r="AM250" s="8">
        <f>SUM(AH250:AL250)</f>
        <v>0</v>
      </c>
      <c r="AO250" s="6"/>
      <c r="AP250" s="7"/>
      <c r="AQ250" s="7"/>
      <c r="AR250" s="7"/>
      <c r="AS250" s="7"/>
      <c r="AT250" s="8">
        <f>SUM(AO250:AS250)</f>
        <v>0</v>
      </c>
      <c r="AV250" s="6"/>
      <c r="AW250" s="7"/>
      <c r="AX250" s="7"/>
      <c r="AY250" s="7"/>
      <c r="AZ250" s="7"/>
      <c r="BA250" s="8">
        <f>SUM(AV250:AZ250)</f>
        <v>0</v>
      </c>
      <c r="BC250" s="6"/>
      <c r="BD250" s="7"/>
      <c r="BE250" s="7"/>
      <c r="BF250" s="7"/>
      <c r="BG250" s="7"/>
      <c r="BH250" s="8">
        <f>SUM(BC250:BG250)</f>
        <v>0</v>
      </c>
      <c r="BJ250" s="6"/>
      <c r="BK250" s="7"/>
      <c r="BL250" s="7"/>
      <c r="BM250" s="7"/>
      <c r="BN250" s="7"/>
      <c r="BO250" s="8">
        <f>SUM(BJ250:BN250)</f>
        <v>0</v>
      </c>
      <c r="BQ250" s="6"/>
      <c r="BR250" s="7"/>
      <c r="BS250" s="7"/>
      <c r="BT250" s="7"/>
      <c r="BU250" s="7"/>
      <c r="BV250" s="8">
        <f>SUM(BQ250:BU250)</f>
        <v>0</v>
      </c>
      <c r="BX250" s="6"/>
      <c r="BY250" s="7"/>
      <c r="BZ250" s="7"/>
      <c r="CA250" s="7"/>
      <c r="CB250" s="7"/>
      <c r="CC250" s="8">
        <f>SUM(BX250:CB250)</f>
        <v>0</v>
      </c>
      <c r="CE250" s="28">
        <f t="shared" si="1109"/>
        <v>0</v>
      </c>
      <c r="CF250" s="29">
        <f t="shared" si="1110"/>
        <v>0</v>
      </c>
      <c r="CG250" s="29">
        <f t="shared" si="1111"/>
        <v>0</v>
      </c>
      <c r="CH250" s="29">
        <f t="shared" si="1112"/>
        <v>0</v>
      </c>
      <c r="CI250" s="29">
        <f t="shared" si="1113"/>
        <v>0</v>
      </c>
      <c r="CJ250" s="8">
        <f>SUM(CE250:CI250)</f>
        <v>0</v>
      </c>
      <c r="CL250" s="6"/>
      <c r="CM250" s="7"/>
      <c r="CN250" s="7"/>
      <c r="CO250" s="7"/>
      <c r="CP250" s="7"/>
      <c r="CQ250" s="8">
        <f>SUM(CL250:CP250)</f>
        <v>0</v>
      </c>
      <c r="CS250" s="6"/>
      <c r="CT250" s="7"/>
      <c r="CU250" s="7"/>
      <c r="CV250" s="7"/>
      <c r="CW250" s="7"/>
      <c r="CX250" s="8">
        <f t="shared" ref="CX250:CX252" si="1118">SUM(CS250:CW250)</f>
        <v>0</v>
      </c>
      <c r="CZ250" s="6"/>
      <c r="DA250" s="7"/>
      <c r="DB250" s="7"/>
      <c r="DC250" s="7"/>
      <c r="DD250" s="7"/>
      <c r="DE250" s="8">
        <f t="shared" ref="DE250:DE252" si="1119">SUM(CZ250:DD250)</f>
        <v>0</v>
      </c>
    </row>
    <row r="251" spans="3:109">
      <c r="C251" s="567"/>
      <c r="E251" s="14" t="s">
        <v>61</v>
      </c>
      <c r="F251" s="23">
        <f t="shared" si="1114"/>
        <v>0</v>
      </c>
      <c r="G251" s="24">
        <f t="shared" si="1105"/>
        <v>0</v>
      </c>
      <c r="H251" s="24">
        <f t="shared" si="1106"/>
        <v>0</v>
      </c>
      <c r="I251" s="24">
        <f t="shared" si="1107"/>
        <v>0</v>
      </c>
      <c r="J251" s="24">
        <f t="shared" si="1108"/>
        <v>0</v>
      </c>
      <c r="K251" s="8">
        <f t="shared" si="1115"/>
        <v>0</v>
      </c>
      <c r="M251" s="6"/>
      <c r="N251" s="7"/>
      <c r="O251" s="7"/>
      <c r="P251" s="7"/>
      <c r="Q251" s="7"/>
      <c r="R251" s="8">
        <f t="shared" si="1116"/>
        <v>0</v>
      </c>
      <c r="T251" s="6"/>
      <c r="U251" s="7"/>
      <c r="V251" s="7"/>
      <c r="W251" s="7"/>
      <c r="X251" s="7"/>
      <c r="Y251" s="8">
        <f t="shared" si="1117"/>
        <v>0</v>
      </c>
      <c r="AA251" s="6"/>
      <c r="AB251" s="7"/>
      <c r="AC251" s="7"/>
      <c r="AD251" s="7"/>
      <c r="AE251" s="7"/>
      <c r="AF251" s="8">
        <f>SUM(AA251:AE251)</f>
        <v>0</v>
      </c>
      <c r="AH251" s="6"/>
      <c r="AI251" s="7"/>
      <c r="AJ251" s="7"/>
      <c r="AK251" s="7"/>
      <c r="AL251" s="7"/>
      <c r="AM251" s="8">
        <f>SUM(AH251:AL251)</f>
        <v>0</v>
      </c>
      <c r="AO251" s="6"/>
      <c r="AP251" s="7"/>
      <c r="AQ251" s="7"/>
      <c r="AR251" s="7"/>
      <c r="AS251" s="7"/>
      <c r="AT251" s="8">
        <f>SUM(AO251:AS251)</f>
        <v>0</v>
      </c>
      <c r="AV251" s="6"/>
      <c r="AW251" s="7"/>
      <c r="AX251" s="7"/>
      <c r="AY251" s="7"/>
      <c r="AZ251" s="7"/>
      <c r="BA251" s="8">
        <f>SUM(AV251:AZ251)</f>
        <v>0</v>
      </c>
      <c r="BC251" s="6"/>
      <c r="BD251" s="7"/>
      <c r="BE251" s="7"/>
      <c r="BF251" s="7"/>
      <c r="BG251" s="7"/>
      <c r="BH251" s="8">
        <f>SUM(BC251:BG251)</f>
        <v>0</v>
      </c>
      <c r="BJ251" s="6"/>
      <c r="BK251" s="7"/>
      <c r="BL251" s="7"/>
      <c r="BM251" s="7"/>
      <c r="BN251" s="7"/>
      <c r="BO251" s="8">
        <f>SUM(BJ251:BN251)</f>
        <v>0</v>
      </c>
      <c r="BQ251" s="6"/>
      <c r="BR251" s="7"/>
      <c r="BS251" s="7"/>
      <c r="BT251" s="7"/>
      <c r="BU251" s="7"/>
      <c r="BV251" s="8">
        <f>SUM(BQ251:BU251)</f>
        <v>0</v>
      </c>
      <c r="BX251" s="6"/>
      <c r="BY251" s="7"/>
      <c r="BZ251" s="7"/>
      <c r="CA251" s="7"/>
      <c r="CB251" s="7"/>
      <c r="CC251" s="8">
        <f>SUM(BX251:CB251)</f>
        <v>0</v>
      </c>
      <c r="CE251" s="28">
        <f t="shared" si="1109"/>
        <v>0</v>
      </c>
      <c r="CF251" s="29">
        <f t="shared" si="1110"/>
        <v>0</v>
      </c>
      <c r="CG251" s="29">
        <f t="shared" si="1111"/>
        <v>0</v>
      </c>
      <c r="CH251" s="29">
        <f t="shared" si="1112"/>
        <v>0</v>
      </c>
      <c r="CI251" s="29">
        <f t="shared" si="1113"/>
        <v>0</v>
      </c>
      <c r="CJ251" s="8">
        <f>SUM(CE251:CI251)</f>
        <v>0</v>
      </c>
      <c r="CL251" s="6"/>
      <c r="CM251" s="7"/>
      <c r="CN251" s="7"/>
      <c r="CO251" s="7"/>
      <c r="CP251" s="7"/>
      <c r="CQ251" s="8">
        <f>SUM(CL251:CP251)</f>
        <v>0</v>
      </c>
      <c r="CS251" s="6"/>
      <c r="CT251" s="7"/>
      <c r="CU251" s="7"/>
      <c r="CV251" s="7"/>
      <c r="CW251" s="7"/>
      <c r="CX251" s="8">
        <f t="shared" si="1118"/>
        <v>0</v>
      </c>
      <c r="CZ251" s="6"/>
      <c r="DA251" s="7"/>
      <c r="DB251" s="7"/>
      <c r="DC251" s="7"/>
      <c r="DD251" s="7"/>
      <c r="DE251" s="8">
        <f t="shared" si="1119"/>
        <v>0</v>
      </c>
    </row>
    <row r="252" spans="3:109" ht="14" thickBot="1">
      <c r="C252" s="567"/>
      <c r="E252" s="14" t="s">
        <v>62</v>
      </c>
      <c r="F252" s="23">
        <f t="shared" si="1114"/>
        <v>0</v>
      </c>
      <c r="G252" s="24">
        <f t="shared" si="1105"/>
        <v>0</v>
      </c>
      <c r="H252" s="24">
        <f t="shared" si="1106"/>
        <v>0</v>
      </c>
      <c r="I252" s="24">
        <f t="shared" si="1107"/>
        <v>0</v>
      </c>
      <c r="J252" s="24">
        <f t="shared" si="1108"/>
        <v>0</v>
      </c>
      <c r="K252" s="8">
        <f t="shared" si="1115"/>
        <v>0</v>
      </c>
      <c r="M252" s="6"/>
      <c r="N252" s="7"/>
      <c r="O252" s="7"/>
      <c r="P252" s="7"/>
      <c r="Q252" s="7"/>
      <c r="R252" s="8">
        <f t="shared" si="1116"/>
        <v>0</v>
      </c>
      <c r="T252" s="6"/>
      <c r="U252" s="7"/>
      <c r="V252" s="7"/>
      <c r="W252" s="7"/>
      <c r="X252" s="7"/>
      <c r="Y252" s="8">
        <f t="shared" si="1117"/>
        <v>0</v>
      </c>
      <c r="AA252" s="6"/>
      <c r="AB252" s="7"/>
      <c r="AC252" s="7"/>
      <c r="AD252" s="7"/>
      <c r="AE252" s="7"/>
      <c r="AF252" s="8">
        <f>SUM(AA252:AE252)</f>
        <v>0</v>
      </c>
      <c r="AH252" s="6"/>
      <c r="AI252" s="7"/>
      <c r="AJ252" s="7"/>
      <c r="AK252" s="7"/>
      <c r="AL252" s="7"/>
      <c r="AM252" s="8">
        <f>SUM(AH252:AL252)</f>
        <v>0</v>
      </c>
      <c r="AO252" s="6"/>
      <c r="AP252" s="7"/>
      <c r="AQ252" s="7"/>
      <c r="AR252" s="7"/>
      <c r="AS252" s="7"/>
      <c r="AT252" s="8">
        <f>SUM(AO252:AS252)</f>
        <v>0</v>
      </c>
      <c r="AV252" s="6"/>
      <c r="AW252" s="7"/>
      <c r="AX252" s="7"/>
      <c r="AY252" s="7"/>
      <c r="AZ252" s="7"/>
      <c r="BA252" s="8">
        <f>SUM(AV252:AZ252)</f>
        <v>0</v>
      </c>
      <c r="BC252" s="6"/>
      <c r="BD252" s="7"/>
      <c r="BE252" s="7"/>
      <c r="BF252" s="7"/>
      <c r="BG252" s="7"/>
      <c r="BH252" s="8">
        <f>SUM(BC252:BG252)</f>
        <v>0</v>
      </c>
      <c r="BJ252" s="6"/>
      <c r="BK252" s="7"/>
      <c r="BL252" s="7"/>
      <c r="BM252" s="7"/>
      <c r="BN252" s="7"/>
      <c r="BO252" s="8">
        <f>SUM(BJ252:BN252)</f>
        <v>0</v>
      </c>
      <c r="BQ252" s="6"/>
      <c r="BR252" s="7"/>
      <c r="BS252" s="7"/>
      <c r="BT252" s="7"/>
      <c r="BU252" s="7"/>
      <c r="BV252" s="8">
        <f>SUM(BQ252:BU252)</f>
        <v>0</v>
      </c>
      <c r="BX252" s="6"/>
      <c r="BY252" s="7"/>
      <c r="BZ252" s="7"/>
      <c r="CA252" s="7"/>
      <c r="CB252" s="7"/>
      <c r="CC252" s="8">
        <f>SUM(BX252:CB252)</f>
        <v>0</v>
      </c>
      <c r="CE252" s="493">
        <f t="shared" si="1109"/>
        <v>0</v>
      </c>
      <c r="CF252" s="494">
        <f t="shared" si="1110"/>
        <v>0</v>
      </c>
      <c r="CG252" s="494">
        <f t="shared" si="1111"/>
        <v>0</v>
      </c>
      <c r="CH252" s="494">
        <f t="shared" si="1112"/>
        <v>0</v>
      </c>
      <c r="CI252" s="494">
        <f t="shared" si="1113"/>
        <v>0</v>
      </c>
      <c r="CJ252" s="495">
        <f>SUM(CE252:CI252)</f>
        <v>0</v>
      </c>
      <c r="CL252" s="6"/>
      <c r="CM252" s="7"/>
      <c r="CN252" s="7"/>
      <c r="CO252" s="7"/>
      <c r="CP252" s="7"/>
      <c r="CQ252" s="8">
        <f>SUM(CL252:CP252)</f>
        <v>0</v>
      </c>
      <c r="CS252" s="6"/>
      <c r="CT252" s="7"/>
      <c r="CU252" s="7"/>
      <c r="CV252" s="7"/>
      <c r="CW252" s="7"/>
      <c r="CX252" s="8">
        <f t="shared" si="1118"/>
        <v>0</v>
      </c>
      <c r="CZ252" s="6"/>
      <c r="DA252" s="7"/>
      <c r="DB252" s="7"/>
      <c r="DC252" s="7"/>
      <c r="DD252" s="7"/>
      <c r="DE252" s="8">
        <f t="shared" si="1119"/>
        <v>0</v>
      </c>
    </row>
    <row r="253" spans="3:109" ht="14" thickBot="1">
      <c r="C253" s="554"/>
      <c r="E253" s="17"/>
      <c r="F253" s="10">
        <f>SUM(F249:F252)</f>
        <v>0</v>
      </c>
      <c r="G253" s="11">
        <f t="shared" ref="G253:J253" si="1120">SUM(G249:G252)</f>
        <v>0</v>
      </c>
      <c r="H253" s="11">
        <f t="shared" si="1120"/>
        <v>0</v>
      </c>
      <c r="I253" s="11">
        <f t="shared" si="1120"/>
        <v>0</v>
      </c>
      <c r="J253" s="11">
        <f t="shared" si="1120"/>
        <v>0</v>
      </c>
      <c r="K253" s="25">
        <f>SUM(K249:K252)</f>
        <v>0</v>
      </c>
      <c r="M253" s="10">
        <f>SUM(M249:M252)</f>
        <v>0</v>
      </c>
      <c r="N253" s="11">
        <f t="shared" ref="N253:Q253" si="1121">SUM(N249:N252)</f>
        <v>0</v>
      </c>
      <c r="O253" s="11">
        <f t="shared" si="1121"/>
        <v>0</v>
      </c>
      <c r="P253" s="11">
        <f t="shared" si="1121"/>
        <v>0</v>
      </c>
      <c r="Q253" s="11">
        <f t="shared" si="1121"/>
        <v>0</v>
      </c>
      <c r="R253" s="25">
        <f>SUM(R249:R252)</f>
        <v>0</v>
      </c>
      <c r="T253" s="10">
        <f>SUM(T249:T252)</f>
        <v>0</v>
      </c>
      <c r="U253" s="11">
        <f t="shared" ref="U253:X253" si="1122">SUM(U249:U252)</f>
        <v>0</v>
      </c>
      <c r="V253" s="11">
        <f t="shared" si="1122"/>
        <v>0</v>
      </c>
      <c r="W253" s="11">
        <f t="shared" si="1122"/>
        <v>0</v>
      </c>
      <c r="X253" s="11">
        <f t="shared" si="1122"/>
        <v>0</v>
      </c>
      <c r="Y253" s="25">
        <f>SUM(Y249:Y252)</f>
        <v>0</v>
      </c>
      <c r="AA253" s="10">
        <f>SUM(AA249:AA252)</f>
        <v>0</v>
      </c>
      <c r="AB253" s="11">
        <f t="shared" ref="AB253:AE253" si="1123">SUM(AB249:AB252)</f>
        <v>0</v>
      </c>
      <c r="AC253" s="11">
        <f t="shared" si="1123"/>
        <v>0</v>
      </c>
      <c r="AD253" s="11">
        <f t="shared" si="1123"/>
        <v>0</v>
      </c>
      <c r="AE253" s="11">
        <f t="shared" si="1123"/>
        <v>0</v>
      </c>
      <c r="AF253" s="25">
        <f>SUM(AF249:AF252)</f>
        <v>0</v>
      </c>
      <c r="AH253" s="10">
        <f t="shared" ref="AH253:AM253" si="1124">SUM(AH249:AH252)</f>
        <v>0</v>
      </c>
      <c r="AI253" s="11">
        <f t="shared" si="1124"/>
        <v>0</v>
      </c>
      <c r="AJ253" s="11">
        <f t="shared" si="1124"/>
        <v>0</v>
      </c>
      <c r="AK253" s="11">
        <f t="shared" si="1124"/>
        <v>0</v>
      </c>
      <c r="AL253" s="11">
        <f t="shared" si="1124"/>
        <v>0</v>
      </c>
      <c r="AM253" s="25">
        <f t="shared" si="1124"/>
        <v>0</v>
      </c>
      <c r="AO253" s="10">
        <f t="shared" ref="AO253:AT253" si="1125">SUM(AO249:AO252)</f>
        <v>0</v>
      </c>
      <c r="AP253" s="11">
        <f t="shared" si="1125"/>
        <v>0</v>
      </c>
      <c r="AQ253" s="11">
        <f t="shared" si="1125"/>
        <v>0</v>
      </c>
      <c r="AR253" s="11">
        <f t="shared" si="1125"/>
        <v>0</v>
      </c>
      <c r="AS253" s="11">
        <f t="shared" si="1125"/>
        <v>0</v>
      </c>
      <c r="AT253" s="25">
        <f t="shared" si="1125"/>
        <v>0</v>
      </c>
      <c r="AV253" s="10">
        <f t="shared" ref="AV253:BA253" si="1126">SUM(AV249:AV252)</f>
        <v>0</v>
      </c>
      <c r="AW253" s="11">
        <f t="shared" si="1126"/>
        <v>0</v>
      </c>
      <c r="AX253" s="11">
        <f t="shared" si="1126"/>
        <v>0</v>
      </c>
      <c r="AY253" s="11">
        <f t="shared" si="1126"/>
        <v>0</v>
      </c>
      <c r="AZ253" s="11">
        <f t="shared" si="1126"/>
        <v>0</v>
      </c>
      <c r="BA253" s="25">
        <f t="shared" si="1126"/>
        <v>0</v>
      </c>
      <c r="BC253" s="10">
        <f t="shared" ref="BC253:BH253" si="1127">SUM(BC249:BC252)</f>
        <v>0</v>
      </c>
      <c r="BD253" s="11">
        <f t="shared" si="1127"/>
        <v>0</v>
      </c>
      <c r="BE253" s="11">
        <f t="shared" si="1127"/>
        <v>0</v>
      </c>
      <c r="BF253" s="11">
        <f t="shared" si="1127"/>
        <v>0</v>
      </c>
      <c r="BG253" s="11">
        <f t="shared" si="1127"/>
        <v>0</v>
      </c>
      <c r="BH253" s="25">
        <f t="shared" si="1127"/>
        <v>0</v>
      </c>
      <c r="BJ253" s="10">
        <f t="shared" ref="BJ253:BO253" si="1128">SUM(BJ249:BJ252)</f>
        <v>0</v>
      </c>
      <c r="BK253" s="11">
        <f t="shared" si="1128"/>
        <v>0</v>
      </c>
      <c r="BL253" s="11">
        <f t="shared" si="1128"/>
        <v>0</v>
      </c>
      <c r="BM253" s="11">
        <f t="shared" si="1128"/>
        <v>0</v>
      </c>
      <c r="BN253" s="11">
        <f t="shared" si="1128"/>
        <v>0</v>
      </c>
      <c r="BO253" s="25">
        <f t="shared" si="1128"/>
        <v>0</v>
      </c>
      <c r="BQ253" s="10">
        <f t="shared" ref="BQ253:BV253" si="1129">SUM(BQ249:BQ252)</f>
        <v>0</v>
      </c>
      <c r="BR253" s="11">
        <f t="shared" si="1129"/>
        <v>0</v>
      </c>
      <c r="BS253" s="11">
        <f t="shared" si="1129"/>
        <v>0</v>
      </c>
      <c r="BT253" s="11">
        <f t="shared" si="1129"/>
        <v>0</v>
      </c>
      <c r="BU253" s="11">
        <f t="shared" si="1129"/>
        <v>0</v>
      </c>
      <c r="BV253" s="25">
        <f t="shared" si="1129"/>
        <v>0</v>
      </c>
      <c r="BX253" s="10">
        <f t="shared" ref="BX253:CC253" si="1130">SUM(BX249:BX252)</f>
        <v>0</v>
      </c>
      <c r="BY253" s="11">
        <f t="shared" si="1130"/>
        <v>0</v>
      </c>
      <c r="BZ253" s="11">
        <f t="shared" si="1130"/>
        <v>0</v>
      </c>
      <c r="CA253" s="11">
        <f t="shared" si="1130"/>
        <v>0</v>
      </c>
      <c r="CB253" s="11">
        <f t="shared" si="1130"/>
        <v>0</v>
      </c>
      <c r="CC253" s="25">
        <f t="shared" si="1130"/>
        <v>0</v>
      </c>
      <c r="CE253" s="62">
        <f t="shared" ref="CE253:CJ253" si="1131">SUM(CE249:CE252)</f>
        <v>0</v>
      </c>
      <c r="CF253" s="63">
        <f t="shared" si="1131"/>
        <v>0</v>
      </c>
      <c r="CG253" s="63">
        <f t="shared" si="1131"/>
        <v>0</v>
      </c>
      <c r="CH253" s="63">
        <f t="shared" si="1131"/>
        <v>0</v>
      </c>
      <c r="CI253" s="63">
        <f t="shared" si="1131"/>
        <v>0</v>
      </c>
      <c r="CJ253" s="25">
        <f t="shared" si="1131"/>
        <v>0</v>
      </c>
      <c r="CL253" s="10">
        <f>SUM(CL249:CL252)</f>
        <v>0</v>
      </c>
      <c r="CM253" s="11">
        <f t="shared" ref="CM253:CQ253" si="1132">SUM(CM249:CM252)</f>
        <v>0</v>
      </c>
      <c r="CN253" s="11">
        <f t="shared" si="1132"/>
        <v>0</v>
      </c>
      <c r="CO253" s="11">
        <f t="shared" si="1132"/>
        <v>0</v>
      </c>
      <c r="CP253" s="11">
        <f t="shared" si="1132"/>
        <v>0</v>
      </c>
      <c r="CQ253" s="25">
        <f t="shared" si="1132"/>
        <v>0</v>
      </c>
      <c r="CS253" s="10">
        <f>SUM(CS249:CS252)</f>
        <v>0</v>
      </c>
      <c r="CT253" s="11">
        <f t="shared" ref="CT253:CW253" si="1133">SUM(CT249:CT252)</f>
        <v>0</v>
      </c>
      <c r="CU253" s="11">
        <f t="shared" si="1133"/>
        <v>0</v>
      </c>
      <c r="CV253" s="11">
        <f t="shared" si="1133"/>
        <v>0</v>
      </c>
      <c r="CW253" s="11">
        <f t="shared" si="1133"/>
        <v>0</v>
      </c>
      <c r="CX253" s="25">
        <f>SUM(CX249:CX252)</f>
        <v>0</v>
      </c>
      <c r="CZ253" s="10">
        <f>SUM(CZ249:CZ252)</f>
        <v>0</v>
      </c>
      <c r="DA253" s="11">
        <f t="shared" ref="DA253:DD253" si="1134">SUM(DA249:DA252)</f>
        <v>0</v>
      </c>
      <c r="DB253" s="11">
        <f t="shared" si="1134"/>
        <v>0</v>
      </c>
      <c r="DC253" s="11">
        <f t="shared" si="1134"/>
        <v>0</v>
      </c>
      <c r="DD253" s="11">
        <f t="shared" si="1134"/>
        <v>0</v>
      </c>
      <c r="DE253" s="25">
        <f>SUM(DE249:DE252)</f>
        <v>0</v>
      </c>
    </row>
    <row r="254" spans="3:109" ht="10.4" customHeight="1" thickBot="1"/>
    <row r="255" spans="3:109">
      <c r="C255" s="553">
        <v>2028</v>
      </c>
      <c r="E255" s="13" t="s">
        <v>59</v>
      </c>
      <c r="F255" s="21">
        <f>CE249</f>
        <v>0</v>
      </c>
      <c r="G255" s="22">
        <f t="shared" ref="G255:G258" si="1135">CF249</f>
        <v>0</v>
      </c>
      <c r="H255" s="22">
        <f t="shared" ref="H255:H258" si="1136">CG249</f>
        <v>0</v>
      </c>
      <c r="I255" s="22">
        <f t="shared" ref="I255:I258" si="1137">CH249</f>
        <v>0</v>
      </c>
      <c r="J255" s="22">
        <f t="shared" ref="J255:J258" si="1138">CI249</f>
        <v>0</v>
      </c>
      <c r="K255" s="4">
        <f>SUM(F255:J255)</f>
        <v>0</v>
      </c>
      <c r="M255" s="2"/>
      <c r="N255" s="3"/>
      <c r="O255" s="3"/>
      <c r="P255" s="3"/>
      <c r="Q255" s="3"/>
      <c r="R255" s="4">
        <f>SUM(M255:Q255)</f>
        <v>0</v>
      </c>
      <c r="T255" s="2"/>
      <c r="U255" s="3"/>
      <c r="V255" s="3"/>
      <c r="W255" s="3"/>
      <c r="X255" s="3"/>
      <c r="Y255" s="4">
        <f>SUM(T255:X255)</f>
        <v>0</v>
      </c>
      <c r="AA255" s="2"/>
      <c r="AB255" s="3"/>
      <c r="AC255" s="3"/>
      <c r="AD255" s="3"/>
      <c r="AE255" s="3"/>
      <c r="AF255" s="4">
        <f>SUM(AA255:AE255)</f>
        <v>0</v>
      </c>
      <c r="AH255" s="2"/>
      <c r="AI255" s="3"/>
      <c r="AJ255" s="3"/>
      <c r="AK255" s="3"/>
      <c r="AL255" s="3"/>
      <c r="AM255" s="4">
        <f>SUM(AH255:AL255)</f>
        <v>0</v>
      </c>
      <c r="AO255" s="2"/>
      <c r="AP255" s="3"/>
      <c r="AQ255" s="3"/>
      <c r="AR255" s="3"/>
      <c r="AS255" s="3"/>
      <c r="AT255" s="4">
        <f>SUM(AO255:AS255)</f>
        <v>0</v>
      </c>
      <c r="AV255" s="2"/>
      <c r="AW255" s="3"/>
      <c r="AX255" s="3"/>
      <c r="AY255" s="3"/>
      <c r="AZ255" s="3"/>
      <c r="BA255" s="4">
        <f>SUM(AV255:AZ255)</f>
        <v>0</v>
      </c>
      <c r="BC255" s="2"/>
      <c r="BD255" s="3"/>
      <c r="BE255" s="3"/>
      <c r="BF255" s="3"/>
      <c r="BG255" s="3"/>
      <c r="BH255" s="4">
        <f>SUM(BC255:BG255)</f>
        <v>0</v>
      </c>
      <c r="BJ255" s="2"/>
      <c r="BK255" s="3"/>
      <c r="BL255" s="3"/>
      <c r="BM255" s="3"/>
      <c r="BN255" s="3"/>
      <c r="BO255" s="4">
        <f>SUM(BJ255:BN255)</f>
        <v>0</v>
      </c>
      <c r="BQ255" s="2"/>
      <c r="BR255" s="3"/>
      <c r="BS255" s="3"/>
      <c r="BT255" s="3"/>
      <c r="BU255" s="3"/>
      <c r="BV255" s="4">
        <f>SUM(BQ255:BU255)</f>
        <v>0</v>
      </c>
      <c r="BX255" s="2"/>
      <c r="BY255" s="3"/>
      <c r="BZ255" s="3"/>
      <c r="CA255" s="3"/>
      <c r="CB255" s="3"/>
      <c r="CC255" s="4">
        <f>SUM(BX255:CB255)</f>
        <v>0</v>
      </c>
      <c r="CE255" s="26">
        <f t="shared" ref="CE255:CE258" si="1139">F255+M255+T255+AA255+AH255+AO255+AV255+BC255+BJ255+BQ255+BX255</f>
        <v>0</v>
      </c>
      <c r="CF255" s="27">
        <f t="shared" ref="CF255:CF258" si="1140">G255+N255+U255+AB255+AI255+AP255+AW255+BD255+BK255+BR255+BY255</f>
        <v>0</v>
      </c>
      <c r="CG255" s="27">
        <f t="shared" ref="CG255:CG258" si="1141">H255+O255+V255+AC255+AJ255+AQ255+AX255+BE255+BL255+BS255+BZ255</f>
        <v>0</v>
      </c>
      <c r="CH255" s="27">
        <f t="shared" ref="CH255:CH258" si="1142">I255+P255+W255+AD255+AK255+AR255+AY255+BF255+BM255+BT255+CA255</f>
        <v>0</v>
      </c>
      <c r="CI255" s="27">
        <f t="shared" ref="CI255:CI258" si="1143">J255+Q255+X255+AE255+AL255+AS255+AZ255+BG255+BN255+BU255+CB255</f>
        <v>0</v>
      </c>
      <c r="CJ255" s="4">
        <f>SUM(CE255:CI255)</f>
        <v>0</v>
      </c>
      <c r="CL255" s="2"/>
      <c r="CM255" s="3"/>
      <c r="CN255" s="3"/>
      <c r="CO255" s="3"/>
      <c r="CP255" s="3"/>
      <c r="CQ255" s="4">
        <f>SUM(CL255:CP255)</f>
        <v>0</v>
      </c>
      <c r="CS255" s="2"/>
      <c r="CT255" s="3"/>
      <c r="CU255" s="3"/>
      <c r="CV255" s="3"/>
      <c r="CW255" s="3"/>
      <c r="CX255" s="4">
        <f>SUM(CS255:CW255)</f>
        <v>0</v>
      </c>
      <c r="CZ255" s="2"/>
      <c r="DA255" s="3"/>
      <c r="DB255" s="3"/>
      <c r="DC255" s="3"/>
      <c r="DD255" s="3"/>
      <c r="DE255" s="4">
        <f>SUM(CZ255:DD255)</f>
        <v>0</v>
      </c>
    </row>
    <row r="256" spans="3:109">
      <c r="C256" s="567"/>
      <c r="E256" s="14" t="s">
        <v>60</v>
      </c>
      <c r="F256" s="23">
        <f t="shared" ref="F256:F258" si="1144">CE250</f>
        <v>0</v>
      </c>
      <c r="G256" s="24">
        <f t="shared" si="1135"/>
        <v>0</v>
      </c>
      <c r="H256" s="24">
        <f t="shared" si="1136"/>
        <v>0</v>
      </c>
      <c r="I256" s="24">
        <f t="shared" si="1137"/>
        <v>0</v>
      </c>
      <c r="J256" s="24">
        <f t="shared" si="1138"/>
        <v>0</v>
      </c>
      <c r="K256" s="8">
        <f t="shared" ref="K256:K258" si="1145">SUM(F256:J256)</f>
        <v>0</v>
      </c>
      <c r="M256" s="6"/>
      <c r="N256" s="7"/>
      <c r="O256" s="7"/>
      <c r="P256" s="7"/>
      <c r="Q256" s="7"/>
      <c r="R256" s="8">
        <f t="shared" ref="R256:R258" si="1146">SUM(M256:Q256)</f>
        <v>0</v>
      </c>
      <c r="T256" s="6"/>
      <c r="U256" s="7"/>
      <c r="V256" s="7"/>
      <c r="W256" s="7"/>
      <c r="X256" s="7"/>
      <c r="Y256" s="8">
        <f t="shared" ref="Y256:Y258" si="1147">SUM(T256:X256)</f>
        <v>0</v>
      </c>
      <c r="AA256" s="6"/>
      <c r="AB256" s="7"/>
      <c r="AC256" s="7"/>
      <c r="AD256" s="7"/>
      <c r="AE256" s="7"/>
      <c r="AF256" s="8">
        <f>SUM(AA256:AE256)</f>
        <v>0</v>
      </c>
      <c r="AH256" s="6"/>
      <c r="AI256" s="7"/>
      <c r="AJ256" s="7"/>
      <c r="AK256" s="7"/>
      <c r="AL256" s="7"/>
      <c r="AM256" s="8">
        <f>SUM(AH256:AL256)</f>
        <v>0</v>
      </c>
      <c r="AO256" s="6"/>
      <c r="AP256" s="7"/>
      <c r="AQ256" s="7"/>
      <c r="AR256" s="7"/>
      <c r="AS256" s="7"/>
      <c r="AT256" s="8">
        <f>SUM(AO256:AS256)</f>
        <v>0</v>
      </c>
      <c r="AV256" s="6"/>
      <c r="AW256" s="7"/>
      <c r="AX256" s="7"/>
      <c r="AY256" s="7"/>
      <c r="AZ256" s="7"/>
      <c r="BA256" s="8">
        <f>SUM(AV256:AZ256)</f>
        <v>0</v>
      </c>
      <c r="BC256" s="6"/>
      <c r="BD256" s="7"/>
      <c r="BE256" s="7"/>
      <c r="BF256" s="7"/>
      <c r="BG256" s="7"/>
      <c r="BH256" s="8">
        <f>SUM(BC256:BG256)</f>
        <v>0</v>
      </c>
      <c r="BJ256" s="6"/>
      <c r="BK256" s="7"/>
      <c r="BL256" s="7"/>
      <c r="BM256" s="7"/>
      <c r="BN256" s="7"/>
      <c r="BO256" s="8">
        <f>SUM(BJ256:BN256)</f>
        <v>0</v>
      </c>
      <c r="BQ256" s="6"/>
      <c r="BR256" s="7"/>
      <c r="BS256" s="7"/>
      <c r="BT256" s="7"/>
      <c r="BU256" s="7"/>
      <c r="BV256" s="8">
        <f>SUM(BQ256:BU256)</f>
        <v>0</v>
      </c>
      <c r="BX256" s="6"/>
      <c r="BY256" s="7"/>
      <c r="BZ256" s="7"/>
      <c r="CA256" s="7"/>
      <c r="CB256" s="7"/>
      <c r="CC256" s="8">
        <f>SUM(BX256:CB256)</f>
        <v>0</v>
      </c>
      <c r="CE256" s="28">
        <f t="shared" si="1139"/>
        <v>0</v>
      </c>
      <c r="CF256" s="29">
        <f t="shared" si="1140"/>
        <v>0</v>
      </c>
      <c r="CG256" s="29">
        <f t="shared" si="1141"/>
        <v>0</v>
      </c>
      <c r="CH256" s="29">
        <f t="shared" si="1142"/>
        <v>0</v>
      </c>
      <c r="CI256" s="29">
        <f t="shared" si="1143"/>
        <v>0</v>
      </c>
      <c r="CJ256" s="8">
        <f>SUM(CE256:CI256)</f>
        <v>0</v>
      </c>
      <c r="CL256" s="6"/>
      <c r="CM256" s="7"/>
      <c r="CN256" s="7"/>
      <c r="CO256" s="7"/>
      <c r="CP256" s="7"/>
      <c r="CQ256" s="8">
        <f>SUM(CL256:CP256)</f>
        <v>0</v>
      </c>
      <c r="CS256" s="6"/>
      <c r="CT256" s="7"/>
      <c r="CU256" s="7"/>
      <c r="CV256" s="7"/>
      <c r="CW256" s="7"/>
      <c r="CX256" s="8">
        <f t="shared" ref="CX256:CX258" si="1148">SUM(CS256:CW256)</f>
        <v>0</v>
      </c>
      <c r="CZ256" s="6"/>
      <c r="DA256" s="7"/>
      <c r="DB256" s="7"/>
      <c r="DC256" s="7"/>
      <c r="DD256" s="7"/>
      <c r="DE256" s="8">
        <f t="shared" ref="DE256:DE258" si="1149">SUM(CZ256:DD256)</f>
        <v>0</v>
      </c>
    </row>
    <row r="257" spans="2:109">
      <c r="C257" s="567"/>
      <c r="E257" s="14" t="s">
        <v>61</v>
      </c>
      <c r="F257" s="23">
        <f t="shared" si="1144"/>
        <v>0</v>
      </c>
      <c r="G257" s="24">
        <f t="shared" si="1135"/>
        <v>0</v>
      </c>
      <c r="H257" s="24">
        <f t="shared" si="1136"/>
        <v>0</v>
      </c>
      <c r="I257" s="24">
        <f t="shared" si="1137"/>
        <v>0</v>
      </c>
      <c r="J257" s="24">
        <f t="shared" si="1138"/>
        <v>0</v>
      </c>
      <c r="K257" s="8">
        <f t="shared" si="1145"/>
        <v>0</v>
      </c>
      <c r="M257" s="6"/>
      <c r="N257" s="7"/>
      <c r="O257" s="7"/>
      <c r="P257" s="7"/>
      <c r="Q257" s="7"/>
      <c r="R257" s="8">
        <f t="shared" si="1146"/>
        <v>0</v>
      </c>
      <c r="T257" s="6"/>
      <c r="U257" s="7"/>
      <c r="V257" s="7"/>
      <c r="W257" s="7"/>
      <c r="X257" s="7"/>
      <c r="Y257" s="8">
        <f t="shared" si="1147"/>
        <v>0</v>
      </c>
      <c r="AA257" s="6"/>
      <c r="AB257" s="7"/>
      <c r="AC257" s="7"/>
      <c r="AD257" s="7"/>
      <c r="AE257" s="7"/>
      <c r="AF257" s="8">
        <f>SUM(AA257:AE257)</f>
        <v>0</v>
      </c>
      <c r="AH257" s="6"/>
      <c r="AI257" s="7"/>
      <c r="AJ257" s="7"/>
      <c r="AK257" s="7"/>
      <c r="AL257" s="7"/>
      <c r="AM257" s="8">
        <f>SUM(AH257:AL257)</f>
        <v>0</v>
      </c>
      <c r="AO257" s="6"/>
      <c r="AP257" s="7"/>
      <c r="AQ257" s="7"/>
      <c r="AR257" s="7"/>
      <c r="AS257" s="7"/>
      <c r="AT257" s="8">
        <f>SUM(AO257:AS257)</f>
        <v>0</v>
      </c>
      <c r="AV257" s="6"/>
      <c r="AW257" s="7"/>
      <c r="AX257" s="7"/>
      <c r="AY257" s="7"/>
      <c r="AZ257" s="7"/>
      <c r="BA257" s="8">
        <f>SUM(AV257:AZ257)</f>
        <v>0</v>
      </c>
      <c r="BC257" s="6"/>
      <c r="BD257" s="7"/>
      <c r="BE257" s="7"/>
      <c r="BF257" s="7"/>
      <c r="BG257" s="7"/>
      <c r="BH257" s="8">
        <f>SUM(BC257:BG257)</f>
        <v>0</v>
      </c>
      <c r="BJ257" s="6"/>
      <c r="BK257" s="7"/>
      <c r="BL257" s="7"/>
      <c r="BM257" s="7"/>
      <c r="BN257" s="7"/>
      <c r="BO257" s="8">
        <f>SUM(BJ257:BN257)</f>
        <v>0</v>
      </c>
      <c r="BQ257" s="6"/>
      <c r="BR257" s="7"/>
      <c r="BS257" s="7"/>
      <c r="BT257" s="7"/>
      <c r="BU257" s="7"/>
      <c r="BV257" s="8">
        <f>SUM(BQ257:BU257)</f>
        <v>0</v>
      </c>
      <c r="BX257" s="6"/>
      <c r="BY257" s="7"/>
      <c r="BZ257" s="7"/>
      <c r="CA257" s="7"/>
      <c r="CB257" s="7"/>
      <c r="CC257" s="8">
        <f>SUM(BX257:CB257)</f>
        <v>0</v>
      </c>
      <c r="CE257" s="28">
        <f t="shared" si="1139"/>
        <v>0</v>
      </c>
      <c r="CF257" s="29">
        <f t="shared" si="1140"/>
        <v>0</v>
      </c>
      <c r="CG257" s="29">
        <f t="shared" si="1141"/>
        <v>0</v>
      </c>
      <c r="CH257" s="29">
        <f t="shared" si="1142"/>
        <v>0</v>
      </c>
      <c r="CI257" s="29">
        <f t="shared" si="1143"/>
        <v>0</v>
      </c>
      <c r="CJ257" s="8">
        <f>SUM(CE257:CI257)</f>
        <v>0</v>
      </c>
      <c r="CL257" s="6"/>
      <c r="CM257" s="7"/>
      <c r="CN257" s="7"/>
      <c r="CO257" s="7"/>
      <c r="CP257" s="7"/>
      <c r="CQ257" s="8">
        <f>SUM(CL257:CP257)</f>
        <v>0</v>
      </c>
      <c r="CS257" s="6"/>
      <c r="CT257" s="7"/>
      <c r="CU257" s="7"/>
      <c r="CV257" s="7"/>
      <c r="CW257" s="7"/>
      <c r="CX257" s="8">
        <f t="shared" si="1148"/>
        <v>0</v>
      </c>
      <c r="CZ257" s="6"/>
      <c r="DA257" s="7"/>
      <c r="DB257" s="7"/>
      <c r="DC257" s="7"/>
      <c r="DD257" s="7"/>
      <c r="DE257" s="8">
        <f t="shared" si="1149"/>
        <v>0</v>
      </c>
    </row>
    <row r="258" spans="2:109" ht="14" thickBot="1">
      <c r="C258" s="567"/>
      <c r="E258" s="14" t="s">
        <v>62</v>
      </c>
      <c r="F258" s="23">
        <f t="shared" si="1144"/>
        <v>0</v>
      </c>
      <c r="G258" s="24">
        <f t="shared" si="1135"/>
        <v>0</v>
      </c>
      <c r="H258" s="24">
        <f t="shared" si="1136"/>
        <v>0</v>
      </c>
      <c r="I258" s="24">
        <f t="shared" si="1137"/>
        <v>0</v>
      </c>
      <c r="J258" s="24">
        <f t="shared" si="1138"/>
        <v>0</v>
      </c>
      <c r="K258" s="8">
        <f t="shared" si="1145"/>
        <v>0</v>
      </c>
      <c r="M258" s="6"/>
      <c r="N258" s="7"/>
      <c r="O258" s="7"/>
      <c r="P258" s="7"/>
      <c r="Q258" s="7"/>
      <c r="R258" s="8">
        <f t="shared" si="1146"/>
        <v>0</v>
      </c>
      <c r="T258" s="6"/>
      <c r="U258" s="7"/>
      <c r="V258" s="7"/>
      <c r="W258" s="7"/>
      <c r="X258" s="7"/>
      <c r="Y258" s="8">
        <f t="shared" si="1147"/>
        <v>0</v>
      </c>
      <c r="AA258" s="6"/>
      <c r="AB258" s="7"/>
      <c r="AC258" s="7"/>
      <c r="AD258" s="7"/>
      <c r="AE258" s="7"/>
      <c r="AF258" s="8">
        <f>SUM(AA258:AE258)</f>
        <v>0</v>
      </c>
      <c r="AH258" s="6"/>
      <c r="AI258" s="7"/>
      <c r="AJ258" s="7"/>
      <c r="AK258" s="7"/>
      <c r="AL258" s="7"/>
      <c r="AM258" s="8">
        <f>SUM(AH258:AL258)</f>
        <v>0</v>
      </c>
      <c r="AO258" s="6"/>
      <c r="AP258" s="7"/>
      <c r="AQ258" s="7"/>
      <c r="AR258" s="7"/>
      <c r="AS258" s="7"/>
      <c r="AT258" s="8">
        <f>SUM(AO258:AS258)</f>
        <v>0</v>
      </c>
      <c r="AV258" s="6"/>
      <c r="AW258" s="7"/>
      <c r="AX258" s="7"/>
      <c r="AY258" s="7"/>
      <c r="AZ258" s="7"/>
      <c r="BA258" s="8">
        <f>SUM(AV258:AZ258)</f>
        <v>0</v>
      </c>
      <c r="BC258" s="6"/>
      <c r="BD258" s="7"/>
      <c r="BE258" s="7"/>
      <c r="BF258" s="7"/>
      <c r="BG258" s="7"/>
      <c r="BH258" s="8">
        <f>SUM(BC258:BG258)</f>
        <v>0</v>
      </c>
      <c r="BJ258" s="6"/>
      <c r="BK258" s="7"/>
      <c r="BL258" s="7"/>
      <c r="BM258" s="7"/>
      <c r="BN258" s="7"/>
      <c r="BO258" s="8">
        <f>SUM(BJ258:BN258)</f>
        <v>0</v>
      </c>
      <c r="BQ258" s="6"/>
      <c r="BR258" s="7"/>
      <c r="BS258" s="7"/>
      <c r="BT258" s="7"/>
      <c r="BU258" s="7"/>
      <c r="BV258" s="8">
        <f>SUM(BQ258:BU258)</f>
        <v>0</v>
      </c>
      <c r="BX258" s="6"/>
      <c r="BY258" s="7"/>
      <c r="BZ258" s="7"/>
      <c r="CA258" s="7"/>
      <c r="CB258" s="7"/>
      <c r="CC258" s="8">
        <f>SUM(BX258:CB258)</f>
        <v>0</v>
      </c>
      <c r="CE258" s="493">
        <f t="shared" si="1139"/>
        <v>0</v>
      </c>
      <c r="CF258" s="494">
        <f t="shared" si="1140"/>
        <v>0</v>
      </c>
      <c r="CG258" s="494">
        <f t="shared" si="1141"/>
        <v>0</v>
      </c>
      <c r="CH258" s="494">
        <f t="shared" si="1142"/>
        <v>0</v>
      </c>
      <c r="CI258" s="494">
        <f t="shared" si="1143"/>
        <v>0</v>
      </c>
      <c r="CJ258" s="495">
        <f>SUM(CE258:CI258)</f>
        <v>0</v>
      </c>
      <c r="CL258" s="6"/>
      <c r="CM258" s="7"/>
      <c r="CN258" s="7"/>
      <c r="CO258" s="7"/>
      <c r="CP258" s="7"/>
      <c r="CQ258" s="8">
        <f>SUM(CL258:CP258)</f>
        <v>0</v>
      </c>
      <c r="CS258" s="6"/>
      <c r="CT258" s="7"/>
      <c r="CU258" s="7"/>
      <c r="CV258" s="7"/>
      <c r="CW258" s="7"/>
      <c r="CX258" s="8">
        <f t="shared" si="1148"/>
        <v>0</v>
      </c>
      <c r="CZ258" s="6"/>
      <c r="DA258" s="7"/>
      <c r="DB258" s="7"/>
      <c r="DC258" s="7"/>
      <c r="DD258" s="7"/>
      <c r="DE258" s="8">
        <f t="shared" si="1149"/>
        <v>0</v>
      </c>
    </row>
    <row r="259" spans="2:109" ht="14" thickBot="1">
      <c r="C259" s="554"/>
      <c r="E259" s="9"/>
      <c r="F259" s="10">
        <f>SUM(F255:F258)</f>
        <v>0</v>
      </c>
      <c r="G259" s="11">
        <f t="shared" ref="G259:J259" si="1150">SUM(G255:G258)</f>
        <v>0</v>
      </c>
      <c r="H259" s="11">
        <f t="shared" si="1150"/>
        <v>0</v>
      </c>
      <c r="I259" s="11">
        <f t="shared" si="1150"/>
        <v>0</v>
      </c>
      <c r="J259" s="11">
        <f t="shared" si="1150"/>
        <v>0</v>
      </c>
      <c r="K259" s="25">
        <f>SUM(K255:K258)</f>
        <v>0</v>
      </c>
      <c r="M259" s="10">
        <f>SUM(M255:M258)</f>
        <v>0</v>
      </c>
      <c r="N259" s="11">
        <f t="shared" ref="N259:Q259" si="1151">SUM(N255:N258)</f>
        <v>0</v>
      </c>
      <c r="O259" s="11">
        <f t="shared" si="1151"/>
        <v>0</v>
      </c>
      <c r="P259" s="11">
        <f t="shared" si="1151"/>
        <v>0</v>
      </c>
      <c r="Q259" s="11">
        <f t="shared" si="1151"/>
        <v>0</v>
      </c>
      <c r="R259" s="25">
        <f>SUM(R255:R258)</f>
        <v>0</v>
      </c>
      <c r="T259" s="10">
        <f>SUM(T255:T258)</f>
        <v>0</v>
      </c>
      <c r="U259" s="11">
        <f t="shared" ref="U259:X259" si="1152">SUM(U255:U258)</f>
        <v>0</v>
      </c>
      <c r="V259" s="11">
        <f t="shared" si="1152"/>
        <v>0</v>
      </c>
      <c r="W259" s="11">
        <f t="shared" si="1152"/>
        <v>0</v>
      </c>
      <c r="X259" s="11">
        <f t="shared" si="1152"/>
        <v>0</v>
      </c>
      <c r="Y259" s="25">
        <f>SUM(Y255:Y258)</f>
        <v>0</v>
      </c>
      <c r="AA259" s="10">
        <f>SUM(AA255:AA258)</f>
        <v>0</v>
      </c>
      <c r="AB259" s="11">
        <f t="shared" ref="AB259:AE259" si="1153">SUM(AB255:AB258)</f>
        <v>0</v>
      </c>
      <c r="AC259" s="11">
        <f t="shared" si="1153"/>
        <v>0</v>
      </c>
      <c r="AD259" s="11">
        <f t="shared" si="1153"/>
        <v>0</v>
      </c>
      <c r="AE259" s="11">
        <f t="shared" si="1153"/>
        <v>0</v>
      </c>
      <c r="AF259" s="25">
        <f>SUM(AF255:AF258)</f>
        <v>0</v>
      </c>
      <c r="AH259" s="10">
        <f t="shared" ref="AH259:AM259" si="1154">SUM(AH255:AH258)</f>
        <v>0</v>
      </c>
      <c r="AI259" s="11">
        <f t="shared" si="1154"/>
        <v>0</v>
      </c>
      <c r="AJ259" s="11">
        <f t="shared" si="1154"/>
        <v>0</v>
      </c>
      <c r="AK259" s="11">
        <f t="shared" si="1154"/>
        <v>0</v>
      </c>
      <c r="AL259" s="11">
        <f t="shared" si="1154"/>
        <v>0</v>
      </c>
      <c r="AM259" s="25">
        <f t="shared" si="1154"/>
        <v>0</v>
      </c>
      <c r="AO259" s="10">
        <f t="shared" ref="AO259:AT259" si="1155">SUM(AO255:AO258)</f>
        <v>0</v>
      </c>
      <c r="AP259" s="11">
        <f t="shared" si="1155"/>
        <v>0</v>
      </c>
      <c r="AQ259" s="11">
        <f t="shared" si="1155"/>
        <v>0</v>
      </c>
      <c r="AR259" s="11">
        <f t="shared" si="1155"/>
        <v>0</v>
      </c>
      <c r="AS259" s="11">
        <f t="shared" si="1155"/>
        <v>0</v>
      </c>
      <c r="AT259" s="25">
        <f t="shared" si="1155"/>
        <v>0</v>
      </c>
      <c r="AV259" s="10">
        <f t="shared" ref="AV259:BA259" si="1156">SUM(AV255:AV258)</f>
        <v>0</v>
      </c>
      <c r="AW259" s="11">
        <f t="shared" si="1156"/>
        <v>0</v>
      </c>
      <c r="AX259" s="11">
        <f t="shared" si="1156"/>
        <v>0</v>
      </c>
      <c r="AY259" s="11">
        <f t="shared" si="1156"/>
        <v>0</v>
      </c>
      <c r="AZ259" s="11">
        <f t="shared" si="1156"/>
        <v>0</v>
      </c>
      <c r="BA259" s="25">
        <f t="shared" si="1156"/>
        <v>0</v>
      </c>
      <c r="BC259" s="10">
        <f t="shared" ref="BC259:BH259" si="1157">SUM(BC255:BC258)</f>
        <v>0</v>
      </c>
      <c r="BD259" s="11">
        <f t="shared" si="1157"/>
        <v>0</v>
      </c>
      <c r="BE259" s="11">
        <f t="shared" si="1157"/>
        <v>0</v>
      </c>
      <c r="BF259" s="11">
        <f t="shared" si="1157"/>
        <v>0</v>
      </c>
      <c r="BG259" s="11">
        <f t="shared" si="1157"/>
        <v>0</v>
      </c>
      <c r="BH259" s="25">
        <f t="shared" si="1157"/>
        <v>0</v>
      </c>
      <c r="BJ259" s="10">
        <f t="shared" ref="BJ259:BO259" si="1158">SUM(BJ255:BJ258)</f>
        <v>0</v>
      </c>
      <c r="BK259" s="11">
        <f t="shared" si="1158"/>
        <v>0</v>
      </c>
      <c r="BL259" s="11">
        <f t="shared" si="1158"/>
        <v>0</v>
      </c>
      <c r="BM259" s="11">
        <f t="shared" si="1158"/>
        <v>0</v>
      </c>
      <c r="BN259" s="11">
        <f t="shared" si="1158"/>
        <v>0</v>
      </c>
      <c r="BO259" s="25">
        <f t="shared" si="1158"/>
        <v>0</v>
      </c>
      <c r="BQ259" s="10">
        <f t="shared" ref="BQ259:BV259" si="1159">SUM(BQ255:BQ258)</f>
        <v>0</v>
      </c>
      <c r="BR259" s="11">
        <f t="shared" si="1159"/>
        <v>0</v>
      </c>
      <c r="BS259" s="11">
        <f t="shared" si="1159"/>
        <v>0</v>
      </c>
      <c r="BT259" s="11">
        <f t="shared" si="1159"/>
        <v>0</v>
      </c>
      <c r="BU259" s="11">
        <f t="shared" si="1159"/>
        <v>0</v>
      </c>
      <c r="BV259" s="25">
        <f t="shared" si="1159"/>
        <v>0</v>
      </c>
      <c r="BX259" s="10">
        <f t="shared" ref="BX259:CC259" si="1160">SUM(BX255:BX258)</f>
        <v>0</v>
      </c>
      <c r="BY259" s="11">
        <f t="shared" si="1160"/>
        <v>0</v>
      </c>
      <c r="BZ259" s="11">
        <f t="shared" si="1160"/>
        <v>0</v>
      </c>
      <c r="CA259" s="11">
        <f t="shared" si="1160"/>
        <v>0</v>
      </c>
      <c r="CB259" s="11">
        <f t="shared" si="1160"/>
        <v>0</v>
      </c>
      <c r="CC259" s="25">
        <f t="shared" si="1160"/>
        <v>0</v>
      </c>
      <c r="CE259" s="62">
        <f t="shared" ref="CE259:CJ259" si="1161">SUM(CE255:CE258)</f>
        <v>0</v>
      </c>
      <c r="CF259" s="63">
        <f t="shared" si="1161"/>
        <v>0</v>
      </c>
      <c r="CG259" s="63">
        <f t="shared" si="1161"/>
        <v>0</v>
      </c>
      <c r="CH259" s="63">
        <f t="shared" si="1161"/>
        <v>0</v>
      </c>
      <c r="CI259" s="63">
        <f t="shared" si="1161"/>
        <v>0</v>
      </c>
      <c r="CJ259" s="25">
        <f t="shared" si="1161"/>
        <v>0</v>
      </c>
      <c r="CL259" s="10">
        <f>SUM(CL255:CL258)</f>
        <v>0</v>
      </c>
      <c r="CM259" s="11">
        <f t="shared" ref="CM259:CQ259" si="1162">SUM(CM255:CM258)</f>
        <v>0</v>
      </c>
      <c r="CN259" s="11">
        <f t="shared" si="1162"/>
        <v>0</v>
      </c>
      <c r="CO259" s="11">
        <f t="shared" si="1162"/>
        <v>0</v>
      </c>
      <c r="CP259" s="11">
        <f t="shared" si="1162"/>
        <v>0</v>
      </c>
      <c r="CQ259" s="25">
        <f t="shared" si="1162"/>
        <v>0</v>
      </c>
      <c r="CS259" s="10">
        <f>SUM(CS255:CS258)</f>
        <v>0</v>
      </c>
      <c r="CT259" s="11">
        <f t="shared" ref="CT259:CW259" si="1163">SUM(CT255:CT258)</f>
        <v>0</v>
      </c>
      <c r="CU259" s="11">
        <f t="shared" si="1163"/>
        <v>0</v>
      </c>
      <c r="CV259" s="11">
        <f t="shared" si="1163"/>
        <v>0</v>
      </c>
      <c r="CW259" s="11">
        <f t="shared" si="1163"/>
        <v>0</v>
      </c>
      <c r="CX259" s="25">
        <f>SUM(CX255:CX258)</f>
        <v>0</v>
      </c>
      <c r="CZ259" s="10">
        <f>SUM(CZ255:CZ258)</f>
        <v>0</v>
      </c>
      <c r="DA259" s="11">
        <f t="shared" ref="DA259:DD259" si="1164">SUM(DA255:DA258)</f>
        <v>0</v>
      </c>
      <c r="DB259" s="11">
        <f t="shared" si="1164"/>
        <v>0</v>
      </c>
      <c r="DC259" s="11">
        <f t="shared" si="1164"/>
        <v>0</v>
      </c>
      <c r="DD259" s="11">
        <f t="shared" si="1164"/>
        <v>0</v>
      </c>
      <c r="DE259" s="25">
        <f>SUM(DE255:DE258)</f>
        <v>0</v>
      </c>
    </row>
    <row r="261" spans="2:109">
      <c r="B261" s="123"/>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L261" s="20"/>
      <c r="CM261" s="20"/>
      <c r="CN261" s="20"/>
      <c r="CO261" s="20"/>
      <c r="CP261" s="20"/>
      <c r="CQ261" s="20"/>
      <c r="CR261" s="20"/>
      <c r="CS261" s="20"/>
      <c r="CT261" s="20"/>
      <c r="CU261" s="20"/>
      <c r="CV261" s="20"/>
      <c r="CW261" s="20"/>
      <c r="CX261" s="20"/>
      <c r="CY261" s="20"/>
      <c r="CZ261" s="20"/>
      <c r="DA261" s="20"/>
      <c r="DB261" s="20"/>
      <c r="DC261" s="20"/>
      <c r="DD261" s="20"/>
      <c r="DE261" s="20"/>
    </row>
    <row r="262" spans="2:109" ht="14" thickBot="1">
      <c r="B262" s="94">
        <v>9</v>
      </c>
      <c r="C262" s="12" t="s">
        <v>70</v>
      </c>
    </row>
    <row r="263" spans="2:109">
      <c r="C263" s="553">
        <v>2024</v>
      </c>
      <c r="E263" s="1" t="s">
        <v>59</v>
      </c>
      <c r="F263" s="2"/>
      <c r="G263" s="3"/>
      <c r="H263" s="3"/>
      <c r="I263" s="3"/>
      <c r="J263" s="3"/>
      <c r="K263" s="4">
        <f>SUM(F263:J263)</f>
        <v>0</v>
      </c>
      <c r="M263" s="2"/>
      <c r="N263" s="3"/>
      <c r="O263" s="3"/>
      <c r="P263" s="3"/>
      <c r="Q263" s="3"/>
      <c r="R263" s="4">
        <f>SUM(M263:Q263)</f>
        <v>0</v>
      </c>
      <c r="T263" s="2"/>
      <c r="U263" s="3"/>
      <c r="V263" s="3"/>
      <c r="W263" s="3"/>
      <c r="X263" s="3"/>
      <c r="Y263" s="4">
        <f>SUM(T263:X263)</f>
        <v>0</v>
      </c>
      <c r="AA263" s="2"/>
      <c r="AB263" s="3"/>
      <c r="AC263" s="3"/>
      <c r="AD263" s="3"/>
      <c r="AE263" s="3"/>
      <c r="AF263" s="4">
        <f>SUM(AA263:AE263)</f>
        <v>0</v>
      </c>
      <c r="AH263" s="2"/>
      <c r="AI263" s="3"/>
      <c r="AJ263" s="3"/>
      <c r="AK263" s="3"/>
      <c r="AL263" s="3"/>
      <c r="AM263" s="4">
        <f>SUM(AH263:AL263)</f>
        <v>0</v>
      </c>
      <c r="AO263" s="2"/>
      <c r="AP263" s="3"/>
      <c r="AQ263" s="3"/>
      <c r="AR263" s="3"/>
      <c r="AS263" s="3"/>
      <c r="AT263" s="4">
        <f>SUM(AO263:AS263)</f>
        <v>0</v>
      </c>
      <c r="AV263" s="2"/>
      <c r="AW263" s="3"/>
      <c r="AX263" s="3"/>
      <c r="AY263" s="3"/>
      <c r="AZ263" s="3"/>
      <c r="BA263" s="4">
        <f>SUM(AV263:AZ263)</f>
        <v>0</v>
      </c>
      <c r="BC263" s="2"/>
      <c r="BD263" s="3"/>
      <c r="BE263" s="3"/>
      <c r="BF263" s="3"/>
      <c r="BG263" s="3"/>
      <c r="BH263" s="4">
        <f>SUM(BC263:BG263)</f>
        <v>0</v>
      </c>
      <c r="BJ263" s="2"/>
      <c r="BK263" s="3"/>
      <c r="BL263" s="3"/>
      <c r="BM263" s="3"/>
      <c r="BN263" s="3"/>
      <c r="BO263" s="4">
        <f>SUM(BJ263:BN263)</f>
        <v>0</v>
      </c>
      <c r="BQ263" s="2"/>
      <c r="BR263" s="3"/>
      <c r="BS263" s="3"/>
      <c r="BT263" s="3"/>
      <c r="BU263" s="3"/>
      <c r="BV263" s="4">
        <f>SUM(BQ263:BU263)</f>
        <v>0</v>
      </c>
      <c r="BX263" s="2"/>
      <c r="BY263" s="3"/>
      <c r="BZ263" s="3"/>
      <c r="CA263" s="3"/>
      <c r="CB263" s="3"/>
      <c r="CC263" s="4">
        <f>SUM(BX263:CB263)</f>
        <v>0</v>
      </c>
      <c r="CE263" s="26">
        <f t="shared" ref="CE263:CE266" si="1165">F263+M263+T263+AA263+AH263+AO263+AV263+BC263+BJ263+BQ263+BX263</f>
        <v>0</v>
      </c>
      <c r="CF263" s="27">
        <f t="shared" ref="CF263:CF266" si="1166">G263+N263+U263+AB263+AI263+AP263+AW263+BD263+BK263+BR263+BY263</f>
        <v>0</v>
      </c>
      <c r="CG263" s="27">
        <f t="shared" ref="CG263:CG266" si="1167">H263+O263+V263+AC263+AJ263+AQ263+AX263+BE263+BL263+BS263+BZ263</f>
        <v>0</v>
      </c>
      <c r="CH263" s="27">
        <f t="shared" ref="CH263:CH266" si="1168">I263+P263+W263+AD263+AK263+AR263+AY263+BF263+BM263+BT263+CA263</f>
        <v>0</v>
      </c>
      <c r="CI263" s="27">
        <f t="shared" ref="CI263:CI266" si="1169">J263+Q263+X263+AE263+AL263+AS263+AZ263+BG263+BN263+BU263+CB263</f>
        <v>0</v>
      </c>
      <c r="CJ263" s="4">
        <f>SUM(CE263:CI263)</f>
        <v>0</v>
      </c>
      <c r="CL263" s="2"/>
      <c r="CM263" s="3"/>
      <c r="CN263" s="3"/>
      <c r="CO263" s="3"/>
      <c r="CP263" s="3"/>
      <c r="CQ263" s="4">
        <f>SUM(CL263:CP263)</f>
        <v>0</v>
      </c>
      <c r="CS263" s="2"/>
      <c r="CT263" s="3"/>
      <c r="CU263" s="3"/>
      <c r="CV263" s="3"/>
      <c r="CW263" s="3"/>
      <c r="CX263" s="4">
        <f>SUM(CS263:CW263)</f>
        <v>0</v>
      </c>
      <c r="CZ263" s="2"/>
      <c r="DA263" s="3"/>
      <c r="DB263" s="3"/>
      <c r="DC263" s="3"/>
      <c r="DD263" s="3"/>
      <c r="DE263" s="4">
        <f>SUM(CZ263:DD263)</f>
        <v>0</v>
      </c>
    </row>
    <row r="264" spans="2:109">
      <c r="C264" s="567"/>
      <c r="E264" s="5" t="s">
        <v>60</v>
      </c>
      <c r="F264" s="6"/>
      <c r="G264" s="7"/>
      <c r="H264" s="7"/>
      <c r="I264" s="7"/>
      <c r="J264" s="7"/>
      <c r="K264" s="8">
        <f t="shared" ref="K264:K266" si="1170">SUM(F264:J264)</f>
        <v>0</v>
      </c>
      <c r="M264" s="6"/>
      <c r="N264" s="7"/>
      <c r="O264" s="7"/>
      <c r="P264" s="7"/>
      <c r="Q264" s="7"/>
      <c r="R264" s="8">
        <f t="shared" ref="R264:R266" si="1171">SUM(M264:Q264)</f>
        <v>0</v>
      </c>
      <c r="T264" s="6"/>
      <c r="U264" s="7"/>
      <c r="V264" s="7"/>
      <c r="W264" s="7"/>
      <c r="X264" s="7"/>
      <c r="Y264" s="8">
        <f t="shared" ref="Y264:Y266" si="1172">SUM(T264:X264)</f>
        <v>0</v>
      </c>
      <c r="AA264" s="6"/>
      <c r="AB264" s="7"/>
      <c r="AC264" s="7"/>
      <c r="AD264" s="7"/>
      <c r="AE264" s="7"/>
      <c r="AF264" s="8">
        <f>SUM(AA264:AE264)</f>
        <v>0</v>
      </c>
      <c r="AH264" s="6"/>
      <c r="AI264" s="7"/>
      <c r="AJ264" s="7"/>
      <c r="AK264" s="7"/>
      <c r="AL264" s="7"/>
      <c r="AM264" s="8">
        <f>SUM(AH264:AL264)</f>
        <v>0</v>
      </c>
      <c r="AO264" s="6"/>
      <c r="AP264" s="7"/>
      <c r="AQ264" s="7"/>
      <c r="AR264" s="7"/>
      <c r="AS264" s="7"/>
      <c r="AT264" s="8">
        <f>SUM(AO264:AS264)</f>
        <v>0</v>
      </c>
      <c r="AV264" s="6"/>
      <c r="AW264" s="7"/>
      <c r="AX264" s="7"/>
      <c r="AY264" s="7"/>
      <c r="AZ264" s="7"/>
      <c r="BA264" s="8">
        <f>SUM(AV264:AZ264)</f>
        <v>0</v>
      </c>
      <c r="BC264" s="6"/>
      <c r="BD264" s="7"/>
      <c r="BE264" s="7"/>
      <c r="BF264" s="7"/>
      <c r="BG264" s="7"/>
      <c r="BH264" s="8">
        <f>SUM(BC264:BG264)</f>
        <v>0</v>
      </c>
      <c r="BJ264" s="6"/>
      <c r="BK264" s="7"/>
      <c r="BL264" s="7"/>
      <c r="BM264" s="7"/>
      <c r="BN264" s="7"/>
      <c r="BO264" s="8">
        <f>SUM(BJ264:BN264)</f>
        <v>0</v>
      </c>
      <c r="BQ264" s="6"/>
      <c r="BR264" s="7"/>
      <c r="BS264" s="7"/>
      <c r="BT264" s="7"/>
      <c r="BU264" s="7"/>
      <c r="BV264" s="8">
        <f>SUM(BQ264:BU264)</f>
        <v>0</v>
      </c>
      <c r="BX264" s="6"/>
      <c r="BY264" s="7"/>
      <c r="BZ264" s="7"/>
      <c r="CA264" s="7"/>
      <c r="CB264" s="7"/>
      <c r="CC264" s="8">
        <f>SUM(BX264:CB264)</f>
        <v>0</v>
      </c>
      <c r="CE264" s="28">
        <f t="shared" si="1165"/>
        <v>0</v>
      </c>
      <c r="CF264" s="29">
        <f t="shared" si="1166"/>
        <v>0</v>
      </c>
      <c r="CG264" s="29">
        <f t="shared" si="1167"/>
        <v>0</v>
      </c>
      <c r="CH264" s="29">
        <f t="shared" si="1168"/>
        <v>0</v>
      </c>
      <c r="CI264" s="29">
        <f t="shared" si="1169"/>
        <v>0</v>
      </c>
      <c r="CJ264" s="8">
        <f>SUM(CE264:CI264)</f>
        <v>0</v>
      </c>
      <c r="CL264" s="6"/>
      <c r="CM264" s="7"/>
      <c r="CN264" s="7"/>
      <c r="CO264" s="7"/>
      <c r="CP264" s="7"/>
      <c r="CQ264" s="8">
        <f>SUM(CL264:CP264)</f>
        <v>0</v>
      </c>
      <c r="CS264" s="6"/>
      <c r="CT264" s="7"/>
      <c r="CU264" s="7"/>
      <c r="CV264" s="7"/>
      <c r="CW264" s="7"/>
      <c r="CX264" s="8">
        <f t="shared" ref="CX264:CX266" si="1173">SUM(CS264:CW264)</f>
        <v>0</v>
      </c>
      <c r="CZ264" s="6"/>
      <c r="DA264" s="7"/>
      <c r="DB264" s="7"/>
      <c r="DC264" s="7"/>
      <c r="DD264" s="7"/>
      <c r="DE264" s="8">
        <f t="shared" ref="DE264:DE266" si="1174">SUM(CZ264:DD264)</f>
        <v>0</v>
      </c>
    </row>
    <row r="265" spans="2:109">
      <c r="C265" s="567"/>
      <c r="E265" s="5" t="s">
        <v>61</v>
      </c>
      <c r="F265" s="6"/>
      <c r="G265" s="7"/>
      <c r="H265" s="7"/>
      <c r="I265" s="7"/>
      <c r="J265" s="7"/>
      <c r="K265" s="8">
        <f t="shared" si="1170"/>
        <v>0</v>
      </c>
      <c r="M265" s="6"/>
      <c r="N265" s="7"/>
      <c r="O265" s="7"/>
      <c r="P265" s="7"/>
      <c r="Q265" s="7"/>
      <c r="R265" s="8">
        <f t="shared" si="1171"/>
        <v>0</v>
      </c>
      <c r="T265" s="6"/>
      <c r="U265" s="7"/>
      <c r="V265" s="7"/>
      <c r="W265" s="7"/>
      <c r="X265" s="7"/>
      <c r="Y265" s="8">
        <f t="shared" si="1172"/>
        <v>0</v>
      </c>
      <c r="AA265" s="6"/>
      <c r="AB265" s="7"/>
      <c r="AC265" s="7"/>
      <c r="AD265" s="7"/>
      <c r="AE265" s="7"/>
      <c r="AF265" s="8">
        <f>SUM(AA265:AE265)</f>
        <v>0</v>
      </c>
      <c r="AH265" s="6"/>
      <c r="AI265" s="7"/>
      <c r="AJ265" s="7"/>
      <c r="AK265" s="7"/>
      <c r="AL265" s="7"/>
      <c r="AM265" s="8">
        <f>SUM(AH265:AL265)</f>
        <v>0</v>
      </c>
      <c r="AO265" s="6"/>
      <c r="AP265" s="7"/>
      <c r="AQ265" s="7"/>
      <c r="AR265" s="7"/>
      <c r="AS265" s="7"/>
      <c r="AT265" s="8">
        <f>SUM(AO265:AS265)</f>
        <v>0</v>
      </c>
      <c r="AV265" s="6"/>
      <c r="AW265" s="7"/>
      <c r="AX265" s="7"/>
      <c r="AY265" s="7"/>
      <c r="AZ265" s="7"/>
      <c r="BA265" s="8">
        <f>SUM(AV265:AZ265)</f>
        <v>0</v>
      </c>
      <c r="BC265" s="6"/>
      <c r="BD265" s="7"/>
      <c r="BE265" s="7"/>
      <c r="BF265" s="7"/>
      <c r="BG265" s="7"/>
      <c r="BH265" s="8">
        <f>SUM(BC265:BG265)</f>
        <v>0</v>
      </c>
      <c r="BJ265" s="6"/>
      <c r="BK265" s="7"/>
      <c r="BL265" s="7"/>
      <c r="BM265" s="7"/>
      <c r="BN265" s="7"/>
      <c r="BO265" s="8">
        <f>SUM(BJ265:BN265)</f>
        <v>0</v>
      </c>
      <c r="BQ265" s="6"/>
      <c r="BR265" s="7"/>
      <c r="BS265" s="7"/>
      <c r="BT265" s="7"/>
      <c r="BU265" s="7"/>
      <c r="BV265" s="8">
        <f>SUM(BQ265:BU265)</f>
        <v>0</v>
      </c>
      <c r="BX265" s="6"/>
      <c r="BY265" s="7"/>
      <c r="BZ265" s="7"/>
      <c r="CA265" s="7"/>
      <c r="CB265" s="7"/>
      <c r="CC265" s="8">
        <f>SUM(BX265:CB265)</f>
        <v>0</v>
      </c>
      <c r="CE265" s="28">
        <f t="shared" si="1165"/>
        <v>0</v>
      </c>
      <c r="CF265" s="29">
        <f t="shared" si="1166"/>
        <v>0</v>
      </c>
      <c r="CG265" s="29">
        <f t="shared" si="1167"/>
        <v>0</v>
      </c>
      <c r="CH265" s="29">
        <f t="shared" si="1168"/>
        <v>0</v>
      </c>
      <c r="CI265" s="29">
        <f t="shared" si="1169"/>
        <v>0</v>
      </c>
      <c r="CJ265" s="8">
        <f>SUM(CE265:CI265)</f>
        <v>0</v>
      </c>
      <c r="CL265" s="6"/>
      <c r="CM265" s="7"/>
      <c r="CN265" s="7"/>
      <c r="CO265" s="7"/>
      <c r="CP265" s="7"/>
      <c r="CQ265" s="8">
        <f>SUM(CL265:CP265)</f>
        <v>0</v>
      </c>
      <c r="CS265" s="6"/>
      <c r="CT265" s="7"/>
      <c r="CU265" s="7"/>
      <c r="CV265" s="7"/>
      <c r="CW265" s="7"/>
      <c r="CX265" s="8">
        <f t="shared" si="1173"/>
        <v>0</v>
      </c>
      <c r="CZ265" s="6"/>
      <c r="DA265" s="7"/>
      <c r="DB265" s="7"/>
      <c r="DC265" s="7"/>
      <c r="DD265" s="7"/>
      <c r="DE265" s="8">
        <f t="shared" si="1174"/>
        <v>0</v>
      </c>
    </row>
    <row r="266" spans="2:109" ht="14" thickBot="1">
      <c r="C266" s="567"/>
      <c r="E266" s="5" t="s">
        <v>62</v>
      </c>
      <c r="F266" s="6"/>
      <c r="G266" s="7"/>
      <c r="H266" s="7"/>
      <c r="I266" s="7"/>
      <c r="J266" s="7"/>
      <c r="K266" s="8">
        <f t="shared" si="1170"/>
        <v>0</v>
      </c>
      <c r="M266" s="6"/>
      <c r="N266" s="7"/>
      <c r="O266" s="7"/>
      <c r="P266" s="7"/>
      <c r="Q266" s="7"/>
      <c r="R266" s="8">
        <f t="shared" si="1171"/>
        <v>0</v>
      </c>
      <c r="T266" s="6"/>
      <c r="U266" s="7"/>
      <c r="V266" s="7"/>
      <c r="W266" s="7"/>
      <c r="X266" s="7"/>
      <c r="Y266" s="8">
        <f t="shared" si="1172"/>
        <v>0</v>
      </c>
      <c r="AA266" s="6"/>
      <c r="AB266" s="7"/>
      <c r="AC266" s="7"/>
      <c r="AD266" s="7"/>
      <c r="AE266" s="7"/>
      <c r="AF266" s="8">
        <f>SUM(AA266:AE266)</f>
        <v>0</v>
      </c>
      <c r="AH266" s="6"/>
      <c r="AI266" s="7"/>
      <c r="AJ266" s="7"/>
      <c r="AK266" s="7"/>
      <c r="AL266" s="7"/>
      <c r="AM266" s="8">
        <f>SUM(AH266:AL266)</f>
        <v>0</v>
      </c>
      <c r="AO266" s="6"/>
      <c r="AP266" s="7"/>
      <c r="AQ266" s="7"/>
      <c r="AR266" s="7"/>
      <c r="AS266" s="7"/>
      <c r="AT266" s="8">
        <f>SUM(AO266:AS266)</f>
        <v>0</v>
      </c>
      <c r="AV266" s="6"/>
      <c r="AW266" s="7"/>
      <c r="AX266" s="7"/>
      <c r="AY266" s="7"/>
      <c r="AZ266" s="7"/>
      <c r="BA266" s="8">
        <f>SUM(AV266:AZ266)</f>
        <v>0</v>
      </c>
      <c r="BC266" s="6"/>
      <c r="BD266" s="7"/>
      <c r="BE266" s="7"/>
      <c r="BF266" s="7"/>
      <c r="BG266" s="7"/>
      <c r="BH266" s="8">
        <f>SUM(BC266:BG266)</f>
        <v>0</v>
      </c>
      <c r="BJ266" s="6"/>
      <c r="BK266" s="7"/>
      <c r="BL266" s="7"/>
      <c r="BM266" s="7"/>
      <c r="BN266" s="7"/>
      <c r="BO266" s="8">
        <f>SUM(BJ266:BN266)</f>
        <v>0</v>
      </c>
      <c r="BQ266" s="6"/>
      <c r="BR266" s="7"/>
      <c r="BS266" s="7"/>
      <c r="BT266" s="7"/>
      <c r="BU266" s="7"/>
      <c r="BV266" s="8">
        <f>SUM(BQ266:BU266)</f>
        <v>0</v>
      </c>
      <c r="BX266" s="6"/>
      <c r="BY266" s="7"/>
      <c r="BZ266" s="7"/>
      <c r="CA266" s="7"/>
      <c r="CB266" s="7"/>
      <c r="CC266" s="8">
        <f>SUM(BX266:CB266)</f>
        <v>0</v>
      </c>
      <c r="CE266" s="493">
        <f t="shared" si="1165"/>
        <v>0</v>
      </c>
      <c r="CF266" s="494">
        <f t="shared" si="1166"/>
        <v>0</v>
      </c>
      <c r="CG266" s="494">
        <f t="shared" si="1167"/>
        <v>0</v>
      </c>
      <c r="CH266" s="494">
        <f t="shared" si="1168"/>
        <v>0</v>
      </c>
      <c r="CI266" s="494">
        <f t="shared" si="1169"/>
        <v>0</v>
      </c>
      <c r="CJ266" s="495">
        <f>SUM(CE266:CI266)</f>
        <v>0</v>
      </c>
      <c r="CL266" s="6"/>
      <c r="CM266" s="7"/>
      <c r="CN266" s="7"/>
      <c r="CO266" s="7"/>
      <c r="CP266" s="7"/>
      <c r="CQ266" s="8">
        <f>SUM(CL266:CP266)</f>
        <v>0</v>
      </c>
      <c r="CS266" s="6"/>
      <c r="CT266" s="7"/>
      <c r="CU266" s="7"/>
      <c r="CV266" s="7"/>
      <c r="CW266" s="7"/>
      <c r="CX266" s="8">
        <f t="shared" si="1173"/>
        <v>0</v>
      </c>
      <c r="CZ266" s="6"/>
      <c r="DA266" s="7"/>
      <c r="DB266" s="7"/>
      <c r="DC266" s="7"/>
      <c r="DD266" s="7"/>
      <c r="DE266" s="8">
        <f t="shared" si="1174"/>
        <v>0</v>
      </c>
    </row>
    <row r="267" spans="2:109" ht="14" thickBot="1">
      <c r="C267" s="554"/>
      <c r="E267" s="9"/>
      <c r="F267" s="10">
        <f>SUM(F263:F266)</f>
        <v>0</v>
      </c>
      <c r="G267" s="11">
        <f t="shared" ref="G267:J267" si="1175">SUM(G263:G266)</f>
        <v>0</v>
      </c>
      <c r="H267" s="11">
        <f t="shared" si="1175"/>
        <v>0</v>
      </c>
      <c r="I267" s="11">
        <f t="shared" si="1175"/>
        <v>0</v>
      </c>
      <c r="J267" s="61">
        <f t="shared" si="1175"/>
        <v>0</v>
      </c>
      <c r="K267" s="25">
        <f>SUM(K263:K266)</f>
        <v>0</v>
      </c>
      <c r="M267" s="10">
        <f>SUM(M263:M266)</f>
        <v>0</v>
      </c>
      <c r="N267" s="11">
        <f t="shared" ref="N267:Q267" si="1176">SUM(N263:N266)</f>
        <v>0</v>
      </c>
      <c r="O267" s="11">
        <f t="shared" si="1176"/>
        <v>0</v>
      </c>
      <c r="P267" s="11">
        <f t="shared" si="1176"/>
        <v>0</v>
      </c>
      <c r="Q267" s="11">
        <f t="shared" si="1176"/>
        <v>0</v>
      </c>
      <c r="R267" s="25">
        <f>SUM(R263:R266)</f>
        <v>0</v>
      </c>
      <c r="T267" s="10">
        <f>SUM(T263:T266)</f>
        <v>0</v>
      </c>
      <c r="U267" s="11">
        <f t="shared" ref="U267:X267" si="1177">SUM(U263:U266)</f>
        <v>0</v>
      </c>
      <c r="V267" s="11">
        <f t="shared" si="1177"/>
        <v>0</v>
      </c>
      <c r="W267" s="11">
        <f t="shared" si="1177"/>
        <v>0</v>
      </c>
      <c r="X267" s="11">
        <f t="shared" si="1177"/>
        <v>0</v>
      </c>
      <c r="Y267" s="25">
        <f>SUM(Y263:Y266)</f>
        <v>0</v>
      </c>
      <c r="AA267" s="10">
        <f>SUM(AA263:AA266)</f>
        <v>0</v>
      </c>
      <c r="AB267" s="11">
        <f t="shared" ref="AB267:AE267" si="1178">SUM(AB263:AB266)</f>
        <v>0</v>
      </c>
      <c r="AC267" s="11">
        <f t="shared" si="1178"/>
        <v>0</v>
      </c>
      <c r="AD267" s="11">
        <f t="shared" si="1178"/>
        <v>0</v>
      </c>
      <c r="AE267" s="11">
        <f t="shared" si="1178"/>
        <v>0</v>
      </c>
      <c r="AF267" s="25">
        <f>SUM(AF263:AF266)</f>
        <v>0</v>
      </c>
      <c r="AH267" s="10">
        <f t="shared" ref="AH267:AM267" si="1179">SUM(AH263:AH266)</f>
        <v>0</v>
      </c>
      <c r="AI267" s="11">
        <f t="shared" si="1179"/>
        <v>0</v>
      </c>
      <c r="AJ267" s="11">
        <f t="shared" si="1179"/>
        <v>0</v>
      </c>
      <c r="AK267" s="11">
        <f t="shared" si="1179"/>
        <v>0</v>
      </c>
      <c r="AL267" s="11">
        <f t="shared" si="1179"/>
        <v>0</v>
      </c>
      <c r="AM267" s="25">
        <f t="shared" si="1179"/>
        <v>0</v>
      </c>
      <c r="AO267" s="10">
        <f t="shared" ref="AO267:AT267" si="1180">SUM(AO263:AO266)</f>
        <v>0</v>
      </c>
      <c r="AP267" s="11">
        <f t="shared" si="1180"/>
        <v>0</v>
      </c>
      <c r="AQ267" s="11">
        <f t="shared" si="1180"/>
        <v>0</v>
      </c>
      <c r="AR267" s="11">
        <f t="shared" si="1180"/>
        <v>0</v>
      </c>
      <c r="AS267" s="11">
        <f t="shared" si="1180"/>
        <v>0</v>
      </c>
      <c r="AT267" s="25">
        <f t="shared" si="1180"/>
        <v>0</v>
      </c>
      <c r="AV267" s="10">
        <f t="shared" ref="AV267:BA267" si="1181">SUM(AV263:AV266)</f>
        <v>0</v>
      </c>
      <c r="AW267" s="11">
        <f t="shared" si="1181"/>
        <v>0</v>
      </c>
      <c r="AX267" s="11">
        <f t="shared" si="1181"/>
        <v>0</v>
      </c>
      <c r="AY267" s="11">
        <f t="shared" si="1181"/>
        <v>0</v>
      </c>
      <c r="AZ267" s="11">
        <f t="shared" si="1181"/>
        <v>0</v>
      </c>
      <c r="BA267" s="25">
        <f t="shared" si="1181"/>
        <v>0</v>
      </c>
      <c r="BC267" s="10">
        <f t="shared" ref="BC267:BH267" si="1182">SUM(BC263:BC266)</f>
        <v>0</v>
      </c>
      <c r="BD267" s="11">
        <f t="shared" si="1182"/>
        <v>0</v>
      </c>
      <c r="BE267" s="11">
        <f t="shared" si="1182"/>
        <v>0</v>
      </c>
      <c r="BF267" s="11">
        <f t="shared" si="1182"/>
        <v>0</v>
      </c>
      <c r="BG267" s="11">
        <f t="shared" si="1182"/>
        <v>0</v>
      </c>
      <c r="BH267" s="25">
        <f t="shared" si="1182"/>
        <v>0</v>
      </c>
      <c r="BJ267" s="10">
        <f t="shared" ref="BJ267:BO267" si="1183">SUM(BJ263:BJ266)</f>
        <v>0</v>
      </c>
      <c r="BK267" s="11">
        <f t="shared" si="1183"/>
        <v>0</v>
      </c>
      <c r="BL267" s="11">
        <f t="shared" si="1183"/>
        <v>0</v>
      </c>
      <c r="BM267" s="11">
        <f t="shared" si="1183"/>
        <v>0</v>
      </c>
      <c r="BN267" s="11">
        <f t="shared" si="1183"/>
        <v>0</v>
      </c>
      <c r="BO267" s="25">
        <f t="shared" si="1183"/>
        <v>0</v>
      </c>
      <c r="BQ267" s="10">
        <f t="shared" ref="BQ267:BV267" si="1184">SUM(BQ263:BQ266)</f>
        <v>0</v>
      </c>
      <c r="BR267" s="11">
        <f t="shared" si="1184"/>
        <v>0</v>
      </c>
      <c r="BS267" s="11">
        <f t="shared" si="1184"/>
        <v>0</v>
      </c>
      <c r="BT267" s="11">
        <f t="shared" si="1184"/>
        <v>0</v>
      </c>
      <c r="BU267" s="11">
        <f t="shared" si="1184"/>
        <v>0</v>
      </c>
      <c r="BV267" s="25">
        <f t="shared" si="1184"/>
        <v>0</v>
      </c>
      <c r="BX267" s="10">
        <f t="shared" ref="BX267:CC267" si="1185">SUM(BX263:BX266)</f>
        <v>0</v>
      </c>
      <c r="BY267" s="11">
        <f t="shared" si="1185"/>
        <v>0</v>
      </c>
      <c r="BZ267" s="11">
        <f t="shared" si="1185"/>
        <v>0</v>
      </c>
      <c r="CA267" s="11">
        <f t="shared" si="1185"/>
        <v>0</v>
      </c>
      <c r="CB267" s="11">
        <f t="shared" si="1185"/>
        <v>0</v>
      </c>
      <c r="CC267" s="25">
        <f t="shared" si="1185"/>
        <v>0</v>
      </c>
      <c r="CE267" s="62">
        <f t="shared" ref="CE267:CJ267" si="1186">SUM(CE263:CE266)</f>
        <v>0</v>
      </c>
      <c r="CF267" s="63">
        <f t="shared" si="1186"/>
        <v>0</v>
      </c>
      <c r="CG267" s="63">
        <f t="shared" si="1186"/>
        <v>0</v>
      </c>
      <c r="CH267" s="63">
        <f t="shared" si="1186"/>
        <v>0</v>
      </c>
      <c r="CI267" s="63">
        <f t="shared" si="1186"/>
        <v>0</v>
      </c>
      <c r="CJ267" s="25">
        <f t="shared" si="1186"/>
        <v>0</v>
      </c>
      <c r="CL267" s="10">
        <f>SUM(CL263:CL266)</f>
        <v>0</v>
      </c>
      <c r="CM267" s="11">
        <f t="shared" ref="CM267:CQ267" si="1187">SUM(CM263:CM266)</f>
        <v>0</v>
      </c>
      <c r="CN267" s="11">
        <f t="shared" si="1187"/>
        <v>0</v>
      </c>
      <c r="CO267" s="11">
        <f t="shared" si="1187"/>
        <v>0</v>
      </c>
      <c r="CP267" s="11">
        <f t="shared" si="1187"/>
        <v>0</v>
      </c>
      <c r="CQ267" s="25">
        <f t="shared" si="1187"/>
        <v>0</v>
      </c>
      <c r="CS267" s="10">
        <f>SUM(CS263:CS266)</f>
        <v>0</v>
      </c>
      <c r="CT267" s="11">
        <f t="shared" ref="CT267:CW267" si="1188">SUM(CT263:CT266)</f>
        <v>0</v>
      </c>
      <c r="CU267" s="11">
        <f t="shared" si="1188"/>
        <v>0</v>
      </c>
      <c r="CV267" s="11">
        <f t="shared" si="1188"/>
        <v>0</v>
      </c>
      <c r="CW267" s="11">
        <f t="shared" si="1188"/>
        <v>0</v>
      </c>
      <c r="CX267" s="25">
        <f>SUM(CX263:CX266)</f>
        <v>0</v>
      </c>
      <c r="CZ267" s="10">
        <f>SUM(CZ263:CZ266)</f>
        <v>0</v>
      </c>
      <c r="DA267" s="11">
        <f t="shared" ref="DA267:DD267" si="1189">SUM(DA263:DA266)</f>
        <v>0</v>
      </c>
      <c r="DB267" s="11">
        <f t="shared" si="1189"/>
        <v>0</v>
      </c>
      <c r="DC267" s="11">
        <f t="shared" si="1189"/>
        <v>0</v>
      </c>
      <c r="DD267" s="11">
        <f t="shared" si="1189"/>
        <v>0</v>
      </c>
      <c r="DE267" s="25">
        <f>SUM(DE263:DE266)</f>
        <v>0</v>
      </c>
    </row>
    <row r="268" spans="2:109" ht="10.4" customHeight="1" thickBot="1"/>
    <row r="269" spans="2:109">
      <c r="C269" s="553">
        <v>2025</v>
      </c>
      <c r="E269" s="13" t="s">
        <v>59</v>
      </c>
      <c r="F269" s="21">
        <f>CE263</f>
        <v>0</v>
      </c>
      <c r="G269" s="22">
        <f t="shared" ref="G269:G272" si="1190">CF263</f>
        <v>0</v>
      </c>
      <c r="H269" s="22">
        <f t="shared" ref="H269:H272" si="1191">CG263</f>
        <v>0</v>
      </c>
      <c r="I269" s="22">
        <f t="shared" ref="I269:I272" si="1192">CH263</f>
        <v>0</v>
      </c>
      <c r="J269" s="22">
        <f t="shared" ref="J269:J272" si="1193">CI263</f>
        <v>0</v>
      </c>
      <c r="K269" s="15">
        <f>SUM(F269:J269)</f>
        <v>0</v>
      </c>
      <c r="M269" s="2"/>
      <c r="N269" s="3"/>
      <c r="O269" s="3"/>
      <c r="P269" s="3"/>
      <c r="Q269" s="3"/>
      <c r="R269" s="15">
        <f>SUM(M269:Q269)</f>
        <v>0</v>
      </c>
      <c r="T269" s="2"/>
      <c r="U269" s="3"/>
      <c r="V269" s="3"/>
      <c r="W269" s="3"/>
      <c r="X269" s="3"/>
      <c r="Y269" s="15">
        <f>SUM(T269:X269)</f>
        <v>0</v>
      </c>
      <c r="AA269" s="2"/>
      <c r="AB269" s="3"/>
      <c r="AC269" s="3"/>
      <c r="AD269" s="3"/>
      <c r="AE269" s="3"/>
      <c r="AF269" s="15">
        <f>SUM(AA269:AE269)</f>
        <v>0</v>
      </c>
      <c r="AH269" s="2"/>
      <c r="AI269" s="3"/>
      <c r="AJ269" s="3"/>
      <c r="AK269" s="3"/>
      <c r="AL269" s="3"/>
      <c r="AM269" s="15">
        <f>SUM(AH269:AL269)</f>
        <v>0</v>
      </c>
      <c r="AO269" s="2"/>
      <c r="AP269" s="3"/>
      <c r="AQ269" s="3"/>
      <c r="AR269" s="3"/>
      <c r="AS269" s="3"/>
      <c r="AT269" s="15">
        <f>SUM(AO269:AS269)</f>
        <v>0</v>
      </c>
      <c r="AV269" s="2"/>
      <c r="AW269" s="3"/>
      <c r="AX269" s="3"/>
      <c r="AY269" s="3"/>
      <c r="AZ269" s="3"/>
      <c r="BA269" s="15">
        <f>SUM(AV269:AZ269)</f>
        <v>0</v>
      </c>
      <c r="BC269" s="2"/>
      <c r="BD269" s="3"/>
      <c r="BE269" s="3"/>
      <c r="BF269" s="3"/>
      <c r="BG269" s="3"/>
      <c r="BH269" s="15">
        <f>SUM(BC269:BG269)</f>
        <v>0</v>
      </c>
      <c r="BJ269" s="2"/>
      <c r="BK269" s="3"/>
      <c r="BL269" s="3"/>
      <c r="BM269" s="3"/>
      <c r="BN269" s="3"/>
      <c r="BO269" s="15">
        <f>SUM(BJ269:BN269)</f>
        <v>0</v>
      </c>
      <c r="BQ269" s="2"/>
      <c r="BR269" s="3"/>
      <c r="BS269" s="3"/>
      <c r="BT269" s="3"/>
      <c r="BU269" s="3"/>
      <c r="BV269" s="15">
        <f>SUM(BQ269:BU269)</f>
        <v>0</v>
      </c>
      <c r="BX269" s="2"/>
      <c r="BY269" s="3"/>
      <c r="BZ269" s="3"/>
      <c r="CA269" s="3"/>
      <c r="CB269" s="3"/>
      <c r="CC269" s="15">
        <f>SUM(BX269:CB269)</f>
        <v>0</v>
      </c>
      <c r="CE269" s="26">
        <f t="shared" ref="CE269:CE272" si="1194">F269+M269+T269+AA269+AH269+AO269+AV269+BC269+BJ269+BQ269+BX269</f>
        <v>0</v>
      </c>
      <c r="CF269" s="27">
        <f t="shared" ref="CF269:CF272" si="1195">G269+N269+U269+AB269+AI269+AP269+AW269+BD269+BK269+BR269+BY269</f>
        <v>0</v>
      </c>
      <c r="CG269" s="27">
        <f t="shared" ref="CG269:CG272" si="1196">H269+O269+V269+AC269+AJ269+AQ269+AX269+BE269+BL269+BS269+BZ269</f>
        <v>0</v>
      </c>
      <c r="CH269" s="27">
        <f t="shared" ref="CH269:CH272" si="1197">I269+P269+W269+AD269+AK269+AR269+AY269+BF269+BM269+BT269+CA269</f>
        <v>0</v>
      </c>
      <c r="CI269" s="27">
        <f t="shared" ref="CI269:CI272" si="1198">J269+Q269+X269+AE269+AL269+AS269+AZ269+BG269+BN269+BU269+CB269</f>
        <v>0</v>
      </c>
      <c r="CJ269" s="4">
        <f>SUM(CE269:CI269)</f>
        <v>0</v>
      </c>
      <c r="CL269" s="2"/>
      <c r="CM269" s="3"/>
      <c r="CN269" s="3"/>
      <c r="CO269" s="3"/>
      <c r="CP269" s="3"/>
      <c r="CQ269" s="15">
        <f>SUM(CL269:CP269)</f>
        <v>0</v>
      </c>
      <c r="CS269" s="2"/>
      <c r="CT269" s="3"/>
      <c r="CU269" s="3"/>
      <c r="CV269" s="3"/>
      <c r="CW269" s="3"/>
      <c r="CX269" s="15">
        <f>SUM(CS269:CW269)</f>
        <v>0</v>
      </c>
      <c r="CZ269" s="2"/>
      <c r="DA269" s="3"/>
      <c r="DB269" s="3"/>
      <c r="DC269" s="3"/>
      <c r="DD269" s="3"/>
      <c r="DE269" s="15">
        <f>SUM(CZ269:DD269)</f>
        <v>0</v>
      </c>
    </row>
    <row r="270" spans="2:109">
      <c r="C270" s="567"/>
      <c r="E270" s="14" t="s">
        <v>60</v>
      </c>
      <c r="F270" s="23">
        <f t="shared" ref="F270:F272" si="1199">CE264</f>
        <v>0</v>
      </c>
      <c r="G270" s="24">
        <f t="shared" si="1190"/>
        <v>0</v>
      </c>
      <c r="H270" s="24">
        <f t="shared" si="1191"/>
        <v>0</v>
      </c>
      <c r="I270" s="24">
        <f t="shared" si="1192"/>
        <v>0</v>
      </c>
      <c r="J270" s="24">
        <f t="shared" si="1193"/>
        <v>0</v>
      </c>
      <c r="K270" s="16">
        <f t="shared" ref="K270:K272" si="1200">SUM(F270:J270)</f>
        <v>0</v>
      </c>
      <c r="M270" s="6"/>
      <c r="N270" s="7"/>
      <c r="O270" s="7"/>
      <c r="P270" s="7"/>
      <c r="Q270" s="7"/>
      <c r="R270" s="16">
        <f t="shared" ref="R270:R272" si="1201">SUM(M270:Q270)</f>
        <v>0</v>
      </c>
      <c r="T270" s="6"/>
      <c r="U270" s="7"/>
      <c r="V270" s="7"/>
      <c r="W270" s="7"/>
      <c r="X270" s="7"/>
      <c r="Y270" s="16">
        <f t="shared" ref="Y270:Y272" si="1202">SUM(T270:X270)</f>
        <v>0</v>
      </c>
      <c r="AA270" s="6"/>
      <c r="AB270" s="7"/>
      <c r="AC270" s="7"/>
      <c r="AD270" s="7"/>
      <c r="AE270" s="7"/>
      <c r="AF270" s="16">
        <f>SUM(AA270:AE270)</f>
        <v>0</v>
      </c>
      <c r="AH270" s="6"/>
      <c r="AI270" s="7"/>
      <c r="AJ270" s="7"/>
      <c r="AK270" s="7"/>
      <c r="AL270" s="7"/>
      <c r="AM270" s="16">
        <f>SUM(AH270:AL270)</f>
        <v>0</v>
      </c>
      <c r="AO270" s="6"/>
      <c r="AP270" s="7"/>
      <c r="AQ270" s="7"/>
      <c r="AR270" s="7"/>
      <c r="AS270" s="7"/>
      <c r="AT270" s="16">
        <f>SUM(AO270:AS270)</f>
        <v>0</v>
      </c>
      <c r="AV270" s="6"/>
      <c r="AW270" s="7"/>
      <c r="AX270" s="7"/>
      <c r="AY270" s="7"/>
      <c r="AZ270" s="7"/>
      <c r="BA270" s="16">
        <f>SUM(AV270:AZ270)</f>
        <v>0</v>
      </c>
      <c r="BC270" s="6"/>
      <c r="BD270" s="7"/>
      <c r="BE270" s="7"/>
      <c r="BF270" s="7"/>
      <c r="BG270" s="7"/>
      <c r="BH270" s="16">
        <f>SUM(BC270:BG270)</f>
        <v>0</v>
      </c>
      <c r="BJ270" s="6"/>
      <c r="BK270" s="7"/>
      <c r="BL270" s="7"/>
      <c r="BM270" s="7"/>
      <c r="BN270" s="7"/>
      <c r="BO270" s="16">
        <f>SUM(BJ270:BN270)</f>
        <v>0</v>
      </c>
      <c r="BQ270" s="6"/>
      <c r="BR270" s="7"/>
      <c r="BS270" s="7"/>
      <c r="BT270" s="7"/>
      <c r="BU270" s="7"/>
      <c r="BV270" s="16">
        <f>SUM(BQ270:BU270)</f>
        <v>0</v>
      </c>
      <c r="BX270" s="6"/>
      <c r="BY270" s="7"/>
      <c r="BZ270" s="7"/>
      <c r="CA270" s="7"/>
      <c r="CB270" s="7"/>
      <c r="CC270" s="16">
        <f>SUM(BX270:CB270)</f>
        <v>0</v>
      </c>
      <c r="CE270" s="28">
        <f t="shared" si="1194"/>
        <v>0</v>
      </c>
      <c r="CF270" s="29">
        <f t="shared" si="1195"/>
        <v>0</v>
      </c>
      <c r="CG270" s="29">
        <f t="shared" si="1196"/>
        <v>0</v>
      </c>
      <c r="CH270" s="29">
        <f t="shared" si="1197"/>
        <v>0</v>
      </c>
      <c r="CI270" s="29">
        <f t="shared" si="1198"/>
        <v>0</v>
      </c>
      <c r="CJ270" s="8">
        <f>SUM(CE270:CI270)</f>
        <v>0</v>
      </c>
      <c r="CL270" s="6"/>
      <c r="CM270" s="7"/>
      <c r="CN270" s="7"/>
      <c r="CO270" s="7"/>
      <c r="CP270" s="7"/>
      <c r="CQ270" s="16">
        <f>SUM(CL270:CP270)</f>
        <v>0</v>
      </c>
      <c r="CS270" s="6"/>
      <c r="CT270" s="7"/>
      <c r="CU270" s="7"/>
      <c r="CV270" s="7"/>
      <c r="CW270" s="7"/>
      <c r="CX270" s="16">
        <f t="shared" ref="CX270:CX272" si="1203">SUM(CS270:CW270)</f>
        <v>0</v>
      </c>
      <c r="CZ270" s="6"/>
      <c r="DA270" s="7"/>
      <c r="DB270" s="7"/>
      <c r="DC270" s="7"/>
      <c r="DD270" s="7"/>
      <c r="DE270" s="16">
        <f t="shared" ref="DE270:DE272" si="1204">SUM(CZ270:DD270)</f>
        <v>0</v>
      </c>
    </row>
    <row r="271" spans="2:109">
      <c r="C271" s="567"/>
      <c r="E271" s="14" t="s">
        <v>61</v>
      </c>
      <c r="F271" s="23">
        <f t="shared" si="1199"/>
        <v>0</v>
      </c>
      <c r="G271" s="24">
        <f t="shared" si="1190"/>
        <v>0</v>
      </c>
      <c r="H271" s="24">
        <f t="shared" si="1191"/>
        <v>0</v>
      </c>
      <c r="I271" s="24">
        <f t="shared" si="1192"/>
        <v>0</v>
      </c>
      <c r="J271" s="24">
        <f t="shared" si="1193"/>
        <v>0</v>
      </c>
      <c r="K271" s="16">
        <f t="shared" si="1200"/>
        <v>0</v>
      </c>
      <c r="M271" s="6"/>
      <c r="N271" s="7"/>
      <c r="O271" s="7"/>
      <c r="P271" s="7"/>
      <c r="Q271" s="7"/>
      <c r="R271" s="16">
        <f t="shared" si="1201"/>
        <v>0</v>
      </c>
      <c r="T271" s="6"/>
      <c r="U271" s="7"/>
      <c r="V271" s="7"/>
      <c r="W271" s="7"/>
      <c r="X271" s="7"/>
      <c r="Y271" s="16">
        <f t="shared" si="1202"/>
        <v>0</v>
      </c>
      <c r="AA271" s="6"/>
      <c r="AB271" s="7"/>
      <c r="AC271" s="7"/>
      <c r="AD271" s="7"/>
      <c r="AE271" s="7"/>
      <c r="AF271" s="16">
        <f>SUM(AA271:AE271)</f>
        <v>0</v>
      </c>
      <c r="AH271" s="6"/>
      <c r="AI271" s="7"/>
      <c r="AJ271" s="7"/>
      <c r="AK271" s="7"/>
      <c r="AL271" s="7"/>
      <c r="AM271" s="16">
        <f>SUM(AH271:AL271)</f>
        <v>0</v>
      </c>
      <c r="AO271" s="6"/>
      <c r="AP271" s="7"/>
      <c r="AQ271" s="7"/>
      <c r="AR271" s="7"/>
      <c r="AS271" s="7"/>
      <c r="AT271" s="16">
        <f>SUM(AO271:AS271)</f>
        <v>0</v>
      </c>
      <c r="AV271" s="6"/>
      <c r="AW271" s="7"/>
      <c r="AX271" s="7"/>
      <c r="AY271" s="7"/>
      <c r="AZ271" s="7"/>
      <c r="BA271" s="16">
        <f>SUM(AV271:AZ271)</f>
        <v>0</v>
      </c>
      <c r="BC271" s="6"/>
      <c r="BD271" s="7"/>
      <c r="BE271" s="7"/>
      <c r="BF271" s="7"/>
      <c r="BG271" s="7"/>
      <c r="BH271" s="16">
        <f>SUM(BC271:BG271)</f>
        <v>0</v>
      </c>
      <c r="BJ271" s="6"/>
      <c r="BK271" s="7"/>
      <c r="BL271" s="7"/>
      <c r="BM271" s="7"/>
      <c r="BN271" s="7"/>
      <c r="BO271" s="16">
        <f>SUM(BJ271:BN271)</f>
        <v>0</v>
      </c>
      <c r="BQ271" s="6"/>
      <c r="BR271" s="7"/>
      <c r="BS271" s="7"/>
      <c r="BT271" s="7"/>
      <c r="BU271" s="7"/>
      <c r="BV271" s="16">
        <f>SUM(BQ271:BU271)</f>
        <v>0</v>
      </c>
      <c r="BX271" s="6"/>
      <c r="BY271" s="7"/>
      <c r="BZ271" s="7"/>
      <c r="CA271" s="7"/>
      <c r="CB271" s="7"/>
      <c r="CC271" s="16">
        <f>SUM(BX271:CB271)</f>
        <v>0</v>
      </c>
      <c r="CE271" s="28">
        <f t="shared" si="1194"/>
        <v>0</v>
      </c>
      <c r="CF271" s="29">
        <f t="shared" si="1195"/>
        <v>0</v>
      </c>
      <c r="CG271" s="29">
        <f t="shared" si="1196"/>
        <v>0</v>
      </c>
      <c r="CH271" s="29">
        <f t="shared" si="1197"/>
        <v>0</v>
      </c>
      <c r="CI271" s="29">
        <f t="shared" si="1198"/>
        <v>0</v>
      </c>
      <c r="CJ271" s="8">
        <f>SUM(CE271:CI271)</f>
        <v>0</v>
      </c>
      <c r="CL271" s="6"/>
      <c r="CM271" s="7"/>
      <c r="CN271" s="7"/>
      <c r="CO271" s="7"/>
      <c r="CP271" s="7"/>
      <c r="CQ271" s="16">
        <f>SUM(CL271:CP271)</f>
        <v>0</v>
      </c>
      <c r="CS271" s="6"/>
      <c r="CT271" s="7"/>
      <c r="CU271" s="7"/>
      <c r="CV271" s="7"/>
      <c r="CW271" s="7"/>
      <c r="CX271" s="16">
        <f t="shared" si="1203"/>
        <v>0</v>
      </c>
      <c r="CZ271" s="6"/>
      <c r="DA271" s="7"/>
      <c r="DB271" s="7"/>
      <c r="DC271" s="7"/>
      <c r="DD271" s="7"/>
      <c r="DE271" s="16">
        <f t="shared" si="1204"/>
        <v>0</v>
      </c>
    </row>
    <row r="272" spans="2:109" ht="14" thickBot="1">
      <c r="C272" s="567"/>
      <c r="E272" s="14" t="s">
        <v>62</v>
      </c>
      <c r="F272" s="23">
        <f t="shared" si="1199"/>
        <v>0</v>
      </c>
      <c r="G272" s="24">
        <f t="shared" si="1190"/>
        <v>0</v>
      </c>
      <c r="H272" s="24">
        <f t="shared" si="1191"/>
        <v>0</v>
      </c>
      <c r="I272" s="24">
        <f t="shared" si="1192"/>
        <v>0</v>
      </c>
      <c r="J272" s="24">
        <f t="shared" si="1193"/>
        <v>0</v>
      </c>
      <c r="K272" s="16">
        <f t="shared" si="1200"/>
        <v>0</v>
      </c>
      <c r="M272" s="6"/>
      <c r="N272" s="7"/>
      <c r="O272" s="7"/>
      <c r="P272" s="7"/>
      <c r="Q272" s="7"/>
      <c r="R272" s="16">
        <f t="shared" si="1201"/>
        <v>0</v>
      </c>
      <c r="T272" s="6"/>
      <c r="U272" s="7"/>
      <c r="V272" s="7"/>
      <c r="W272" s="7"/>
      <c r="X272" s="7"/>
      <c r="Y272" s="16">
        <f t="shared" si="1202"/>
        <v>0</v>
      </c>
      <c r="AA272" s="6"/>
      <c r="AB272" s="7"/>
      <c r="AC272" s="7"/>
      <c r="AD272" s="7"/>
      <c r="AE272" s="7"/>
      <c r="AF272" s="16">
        <f>SUM(AA272:AE272)</f>
        <v>0</v>
      </c>
      <c r="AH272" s="6"/>
      <c r="AI272" s="7"/>
      <c r="AJ272" s="7"/>
      <c r="AK272" s="7"/>
      <c r="AL272" s="7"/>
      <c r="AM272" s="16">
        <f>SUM(AH272:AL272)</f>
        <v>0</v>
      </c>
      <c r="AO272" s="6"/>
      <c r="AP272" s="7"/>
      <c r="AQ272" s="7"/>
      <c r="AR272" s="7"/>
      <c r="AS272" s="7"/>
      <c r="AT272" s="16">
        <f>SUM(AO272:AS272)</f>
        <v>0</v>
      </c>
      <c r="AV272" s="6"/>
      <c r="AW272" s="7"/>
      <c r="AX272" s="7"/>
      <c r="AY272" s="7"/>
      <c r="AZ272" s="7"/>
      <c r="BA272" s="16">
        <f>SUM(AV272:AZ272)</f>
        <v>0</v>
      </c>
      <c r="BC272" s="6"/>
      <c r="BD272" s="7"/>
      <c r="BE272" s="7"/>
      <c r="BF272" s="7"/>
      <c r="BG272" s="7"/>
      <c r="BH272" s="16">
        <f>SUM(BC272:BG272)</f>
        <v>0</v>
      </c>
      <c r="BJ272" s="6"/>
      <c r="BK272" s="7"/>
      <c r="BL272" s="7"/>
      <c r="BM272" s="7"/>
      <c r="BN272" s="7"/>
      <c r="BO272" s="16">
        <f>SUM(BJ272:BN272)</f>
        <v>0</v>
      </c>
      <c r="BQ272" s="6"/>
      <c r="BR272" s="7"/>
      <c r="BS272" s="7"/>
      <c r="BT272" s="7"/>
      <c r="BU272" s="7"/>
      <c r="BV272" s="16">
        <f>SUM(BQ272:BU272)</f>
        <v>0</v>
      </c>
      <c r="BX272" s="6"/>
      <c r="BY272" s="7"/>
      <c r="BZ272" s="7"/>
      <c r="CA272" s="7"/>
      <c r="CB272" s="7"/>
      <c r="CC272" s="16">
        <f>SUM(BX272:CB272)</f>
        <v>0</v>
      </c>
      <c r="CE272" s="493">
        <f t="shared" si="1194"/>
        <v>0</v>
      </c>
      <c r="CF272" s="494">
        <f t="shared" si="1195"/>
        <v>0</v>
      </c>
      <c r="CG272" s="494">
        <f t="shared" si="1196"/>
        <v>0</v>
      </c>
      <c r="CH272" s="494">
        <f t="shared" si="1197"/>
        <v>0</v>
      </c>
      <c r="CI272" s="494">
        <f t="shared" si="1198"/>
        <v>0</v>
      </c>
      <c r="CJ272" s="495">
        <f>SUM(CE272:CI272)</f>
        <v>0</v>
      </c>
      <c r="CL272" s="6"/>
      <c r="CM272" s="7"/>
      <c r="CN272" s="7"/>
      <c r="CO272" s="7"/>
      <c r="CP272" s="7"/>
      <c r="CQ272" s="16">
        <f>SUM(CL272:CP272)</f>
        <v>0</v>
      </c>
      <c r="CS272" s="6"/>
      <c r="CT272" s="7"/>
      <c r="CU272" s="7"/>
      <c r="CV272" s="7"/>
      <c r="CW272" s="7"/>
      <c r="CX272" s="16">
        <f t="shared" si="1203"/>
        <v>0</v>
      </c>
      <c r="CZ272" s="6"/>
      <c r="DA272" s="7"/>
      <c r="DB272" s="7"/>
      <c r="DC272" s="7"/>
      <c r="DD272" s="7"/>
      <c r="DE272" s="16">
        <f t="shared" si="1204"/>
        <v>0</v>
      </c>
    </row>
    <row r="273" spans="3:109" ht="14" thickBot="1">
      <c r="C273" s="554"/>
      <c r="E273" s="17"/>
      <c r="F273" s="10">
        <f>SUM(F269:F272)</f>
        <v>0</v>
      </c>
      <c r="G273" s="11">
        <f t="shared" ref="G273:J273" si="1205">SUM(G269:G272)</f>
        <v>0</v>
      </c>
      <c r="H273" s="11">
        <f t="shared" si="1205"/>
        <v>0</v>
      </c>
      <c r="I273" s="11">
        <f t="shared" si="1205"/>
        <v>0</v>
      </c>
      <c r="J273" s="11">
        <f t="shared" si="1205"/>
        <v>0</v>
      </c>
      <c r="K273" s="25">
        <f>SUM(K269:K272)</f>
        <v>0</v>
      </c>
      <c r="M273" s="10">
        <f>SUM(M269:M272)</f>
        <v>0</v>
      </c>
      <c r="N273" s="11">
        <f t="shared" ref="N273:Q273" si="1206">SUM(N269:N272)</f>
        <v>0</v>
      </c>
      <c r="O273" s="11">
        <f t="shared" si="1206"/>
        <v>0</v>
      </c>
      <c r="P273" s="11">
        <f t="shared" si="1206"/>
        <v>0</v>
      </c>
      <c r="Q273" s="11">
        <f t="shared" si="1206"/>
        <v>0</v>
      </c>
      <c r="R273" s="25">
        <f>SUM(R269:R272)</f>
        <v>0</v>
      </c>
      <c r="T273" s="10">
        <f>SUM(T269:T272)</f>
        <v>0</v>
      </c>
      <c r="U273" s="11">
        <f t="shared" ref="U273:X273" si="1207">SUM(U269:U272)</f>
        <v>0</v>
      </c>
      <c r="V273" s="11">
        <f t="shared" si="1207"/>
        <v>0</v>
      </c>
      <c r="W273" s="11">
        <f t="shared" si="1207"/>
        <v>0</v>
      </c>
      <c r="X273" s="11">
        <f t="shared" si="1207"/>
        <v>0</v>
      </c>
      <c r="Y273" s="25">
        <f>SUM(Y269:Y272)</f>
        <v>0</v>
      </c>
      <c r="AA273" s="10">
        <f>SUM(AA269:AA272)</f>
        <v>0</v>
      </c>
      <c r="AB273" s="11">
        <f t="shared" ref="AB273:AE273" si="1208">SUM(AB269:AB272)</f>
        <v>0</v>
      </c>
      <c r="AC273" s="11">
        <f t="shared" si="1208"/>
        <v>0</v>
      </c>
      <c r="AD273" s="11">
        <f t="shared" si="1208"/>
        <v>0</v>
      </c>
      <c r="AE273" s="11">
        <f t="shared" si="1208"/>
        <v>0</v>
      </c>
      <c r="AF273" s="25">
        <f>SUM(AF269:AF272)</f>
        <v>0</v>
      </c>
      <c r="AH273" s="10">
        <f t="shared" ref="AH273:AM273" si="1209">SUM(AH269:AH272)</f>
        <v>0</v>
      </c>
      <c r="AI273" s="11">
        <f t="shared" si="1209"/>
        <v>0</v>
      </c>
      <c r="AJ273" s="11">
        <f t="shared" si="1209"/>
        <v>0</v>
      </c>
      <c r="AK273" s="11">
        <f t="shared" si="1209"/>
        <v>0</v>
      </c>
      <c r="AL273" s="11">
        <f t="shared" si="1209"/>
        <v>0</v>
      </c>
      <c r="AM273" s="25">
        <f t="shared" si="1209"/>
        <v>0</v>
      </c>
      <c r="AO273" s="10">
        <f t="shared" ref="AO273:AT273" si="1210">SUM(AO269:AO272)</f>
        <v>0</v>
      </c>
      <c r="AP273" s="11">
        <f t="shared" si="1210"/>
        <v>0</v>
      </c>
      <c r="AQ273" s="11">
        <f t="shared" si="1210"/>
        <v>0</v>
      </c>
      <c r="AR273" s="11">
        <f t="shared" si="1210"/>
        <v>0</v>
      </c>
      <c r="AS273" s="11">
        <f t="shared" si="1210"/>
        <v>0</v>
      </c>
      <c r="AT273" s="25">
        <f t="shared" si="1210"/>
        <v>0</v>
      </c>
      <c r="AV273" s="10">
        <f t="shared" ref="AV273:BA273" si="1211">SUM(AV269:AV272)</f>
        <v>0</v>
      </c>
      <c r="AW273" s="11">
        <f t="shared" si="1211"/>
        <v>0</v>
      </c>
      <c r="AX273" s="11">
        <f t="shared" si="1211"/>
        <v>0</v>
      </c>
      <c r="AY273" s="11">
        <f t="shared" si="1211"/>
        <v>0</v>
      </c>
      <c r="AZ273" s="11">
        <f t="shared" si="1211"/>
        <v>0</v>
      </c>
      <c r="BA273" s="25">
        <f t="shared" si="1211"/>
        <v>0</v>
      </c>
      <c r="BC273" s="10">
        <f t="shared" ref="BC273:BH273" si="1212">SUM(BC269:BC272)</f>
        <v>0</v>
      </c>
      <c r="BD273" s="11">
        <f t="shared" si="1212"/>
        <v>0</v>
      </c>
      <c r="BE273" s="11">
        <f t="shared" si="1212"/>
        <v>0</v>
      </c>
      <c r="BF273" s="11">
        <f t="shared" si="1212"/>
        <v>0</v>
      </c>
      <c r="BG273" s="11">
        <f t="shared" si="1212"/>
        <v>0</v>
      </c>
      <c r="BH273" s="25">
        <f t="shared" si="1212"/>
        <v>0</v>
      </c>
      <c r="BJ273" s="10">
        <f t="shared" ref="BJ273:BO273" si="1213">SUM(BJ269:BJ272)</f>
        <v>0</v>
      </c>
      <c r="BK273" s="11">
        <f t="shared" si="1213"/>
        <v>0</v>
      </c>
      <c r="BL273" s="11">
        <f t="shared" si="1213"/>
        <v>0</v>
      </c>
      <c r="BM273" s="11">
        <f t="shared" si="1213"/>
        <v>0</v>
      </c>
      <c r="BN273" s="11">
        <f t="shared" si="1213"/>
        <v>0</v>
      </c>
      <c r="BO273" s="25">
        <f t="shared" si="1213"/>
        <v>0</v>
      </c>
      <c r="BQ273" s="10">
        <f t="shared" ref="BQ273:BV273" si="1214">SUM(BQ269:BQ272)</f>
        <v>0</v>
      </c>
      <c r="BR273" s="11">
        <f t="shared" si="1214"/>
        <v>0</v>
      </c>
      <c r="BS273" s="11">
        <f t="shared" si="1214"/>
        <v>0</v>
      </c>
      <c r="BT273" s="11">
        <f t="shared" si="1214"/>
        <v>0</v>
      </c>
      <c r="BU273" s="11">
        <f t="shared" si="1214"/>
        <v>0</v>
      </c>
      <c r="BV273" s="25">
        <f t="shared" si="1214"/>
        <v>0</v>
      </c>
      <c r="BX273" s="10">
        <f t="shared" ref="BX273:CC273" si="1215">SUM(BX269:BX272)</f>
        <v>0</v>
      </c>
      <c r="BY273" s="11">
        <f t="shared" si="1215"/>
        <v>0</v>
      </c>
      <c r="BZ273" s="11">
        <f t="shared" si="1215"/>
        <v>0</v>
      </c>
      <c r="CA273" s="11">
        <f t="shared" si="1215"/>
        <v>0</v>
      </c>
      <c r="CB273" s="11">
        <f t="shared" si="1215"/>
        <v>0</v>
      </c>
      <c r="CC273" s="25">
        <f t="shared" si="1215"/>
        <v>0</v>
      </c>
      <c r="CE273" s="62">
        <f t="shared" ref="CE273:CJ273" si="1216">SUM(CE269:CE272)</f>
        <v>0</v>
      </c>
      <c r="CF273" s="63">
        <f t="shared" si="1216"/>
        <v>0</v>
      </c>
      <c r="CG273" s="63">
        <f t="shared" si="1216"/>
        <v>0</v>
      </c>
      <c r="CH273" s="63">
        <f t="shared" si="1216"/>
        <v>0</v>
      </c>
      <c r="CI273" s="63">
        <f t="shared" si="1216"/>
        <v>0</v>
      </c>
      <c r="CJ273" s="25">
        <f t="shared" si="1216"/>
        <v>0</v>
      </c>
      <c r="CL273" s="10">
        <f>SUM(CL269:CL272)</f>
        <v>0</v>
      </c>
      <c r="CM273" s="11">
        <f t="shared" ref="CM273:CQ273" si="1217">SUM(CM269:CM272)</f>
        <v>0</v>
      </c>
      <c r="CN273" s="11">
        <f t="shared" si="1217"/>
        <v>0</v>
      </c>
      <c r="CO273" s="11">
        <f t="shared" si="1217"/>
        <v>0</v>
      </c>
      <c r="CP273" s="11">
        <f t="shared" si="1217"/>
        <v>0</v>
      </c>
      <c r="CQ273" s="25">
        <f t="shared" si="1217"/>
        <v>0</v>
      </c>
      <c r="CS273" s="10">
        <f>SUM(CS269:CS272)</f>
        <v>0</v>
      </c>
      <c r="CT273" s="11">
        <f t="shared" ref="CT273:CW273" si="1218">SUM(CT269:CT272)</f>
        <v>0</v>
      </c>
      <c r="CU273" s="11">
        <f t="shared" si="1218"/>
        <v>0</v>
      </c>
      <c r="CV273" s="11">
        <f t="shared" si="1218"/>
        <v>0</v>
      </c>
      <c r="CW273" s="11">
        <f t="shared" si="1218"/>
        <v>0</v>
      </c>
      <c r="CX273" s="25">
        <f>SUM(CX269:CX272)</f>
        <v>0</v>
      </c>
      <c r="CZ273" s="10">
        <f>SUM(CZ269:CZ272)</f>
        <v>0</v>
      </c>
      <c r="DA273" s="11">
        <f t="shared" ref="DA273:DD273" si="1219">SUM(DA269:DA272)</f>
        <v>0</v>
      </c>
      <c r="DB273" s="11">
        <f t="shared" si="1219"/>
        <v>0</v>
      </c>
      <c r="DC273" s="11">
        <f t="shared" si="1219"/>
        <v>0</v>
      </c>
      <c r="DD273" s="11">
        <f t="shared" si="1219"/>
        <v>0</v>
      </c>
      <c r="DE273" s="25">
        <f>SUM(DE269:DE272)</f>
        <v>0</v>
      </c>
    </row>
    <row r="274" spans="3:109" ht="10.4" customHeight="1" thickBot="1"/>
    <row r="275" spans="3:109">
      <c r="C275" s="553">
        <v>2026</v>
      </c>
      <c r="E275" s="13" t="s">
        <v>59</v>
      </c>
      <c r="F275" s="21">
        <f>CE269</f>
        <v>0</v>
      </c>
      <c r="G275" s="22">
        <f t="shared" ref="G275:G278" si="1220">CF269</f>
        <v>0</v>
      </c>
      <c r="H275" s="22">
        <f t="shared" ref="H275:H278" si="1221">CG269</f>
        <v>0</v>
      </c>
      <c r="I275" s="22">
        <f t="shared" ref="I275:I278" si="1222">CH269</f>
        <v>0</v>
      </c>
      <c r="J275" s="22">
        <f t="shared" ref="J275:J278" si="1223">CI269</f>
        <v>0</v>
      </c>
      <c r="K275" s="4">
        <f>SUM(F275:J275)</f>
        <v>0</v>
      </c>
      <c r="M275" s="2"/>
      <c r="N275" s="3"/>
      <c r="O275" s="3"/>
      <c r="P275" s="3"/>
      <c r="Q275" s="3"/>
      <c r="R275" s="4">
        <f>SUM(M275:Q275)</f>
        <v>0</v>
      </c>
      <c r="T275" s="2"/>
      <c r="U275" s="3"/>
      <c r="V275" s="3"/>
      <c r="W275" s="3"/>
      <c r="X275" s="3"/>
      <c r="Y275" s="4">
        <f>SUM(T275:X275)</f>
        <v>0</v>
      </c>
      <c r="AA275" s="2"/>
      <c r="AB275" s="3"/>
      <c r="AC275" s="3"/>
      <c r="AD275" s="3"/>
      <c r="AE275" s="3"/>
      <c r="AF275" s="4">
        <f>SUM(AA275:AE275)</f>
        <v>0</v>
      </c>
      <c r="AH275" s="2"/>
      <c r="AI275" s="3"/>
      <c r="AJ275" s="3"/>
      <c r="AK275" s="3"/>
      <c r="AL275" s="3"/>
      <c r="AM275" s="4">
        <f>SUM(AH275:AL275)</f>
        <v>0</v>
      </c>
      <c r="AO275" s="2"/>
      <c r="AP275" s="3"/>
      <c r="AQ275" s="3"/>
      <c r="AR275" s="3"/>
      <c r="AS275" s="3"/>
      <c r="AT275" s="4">
        <f>SUM(AO275:AS275)</f>
        <v>0</v>
      </c>
      <c r="AV275" s="2"/>
      <c r="AW275" s="3"/>
      <c r="AX275" s="3"/>
      <c r="AY275" s="3"/>
      <c r="AZ275" s="3"/>
      <c r="BA275" s="4">
        <f>SUM(AV275:AZ275)</f>
        <v>0</v>
      </c>
      <c r="BC275" s="2"/>
      <c r="BD275" s="3"/>
      <c r="BE275" s="3"/>
      <c r="BF275" s="3"/>
      <c r="BG275" s="3"/>
      <c r="BH275" s="4">
        <f>SUM(BC275:BG275)</f>
        <v>0</v>
      </c>
      <c r="BJ275" s="2"/>
      <c r="BK275" s="3"/>
      <c r="BL275" s="3"/>
      <c r="BM275" s="3"/>
      <c r="BN275" s="3"/>
      <c r="BO275" s="4">
        <f>SUM(BJ275:BN275)</f>
        <v>0</v>
      </c>
      <c r="BQ275" s="2"/>
      <c r="BR275" s="3"/>
      <c r="BS275" s="3"/>
      <c r="BT275" s="3"/>
      <c r="BU275" s="3"/>
      <c r="BV275" s="4">
        <f>SUM(BQ275:BU275)</f>
        <v>0</v>
      </c>
      <c r="BX275" s="2"/>
      <c r="BY275" s="3"/>
      <c r="BZ275" s="3"/>
      <c r="CA275" s="3"/>
      <c r="CB275" s="3"/>
      <c r="CC275" s="4">
        <f>SUM(BX275:CB275)</f>
        <v>0</v>
      </c>
      <c r="CE275" s="26">
        <f t="shared" ref="CE275:CE278" si="1224">F275+M275+T275+AA275+AH275+AO275+AV275+BC275+BJ275+BQ275+BX275</f>
        <v>0</v>
      </c>
      <c r="CF275" s="27">
        <f t="shared" ref="CF275:CF278" si="1225">G275+N275+U275+AB275+AI275+AP275+AW275+BD275+BK275+BR275+BY275</f>
        <v>0</v>
      </c>
      <c r="CG275" s="27">
        <f t="shared" ref="CG275:CG278" si="1226">H275+O275+V275+AC275+AJ275+AQ275+AX275+BE275+BL275+BS275+BZ275</f>
        <v>0</v>
      </c>
      <c r="CH275" s="27">
        <f t="shared" ref="CH275:CH278" si="1227">I275+P275+W275+AD275+AK275+AR275+AY275+BF275+BM275+BT275+CA275</f>
        <v>0</v>
      </c>
      <c r="CI275" s="27">
        <f t="shared" ref="CI275:CI278" si="1228">J275+Q275+X275+AE275+AL275+AS275+AZ275+BG275+BN275+BU275+CB275</f>
        <v>0</v>
      </c>
      <c r="CJ275" s="4">
        <f>SUM(CE275:CI275)</f>
        <v>0</v>
      </c>
      <c r="CL275" s="2"/>
      <c r="CM275" s="3"/>
      <c r="CN275" s="3"/>
      <c r="CO275" s="3"/>
      <c r="CP275" s="3"/>
      <c r="CQ275" s="4">
        <f>SUM(CL275:CP275)</f>
        <v>0</v>
      </c>
      <c r="CS275" s="2"/>
      <c r="CT275" s="3"/>
      <c r="CU275" s="3"/>
      <c r="CV275" s="3"/>
      <c r="CW275" s="3"/>
      <c r="CX275" s="4">
        <f>SUM(CS275:CW275)</f>
        <v>0</v>
      </c>
      <c r="CZ275" s="2"/>
      <c r="DA275" s="3"/>
      <c r="DB275" s="3"/>
      <c r="DC275" s="3"/>
      <c r="DD275" s="3"/>
      <c r="DE275" s="4">
        <f>SUM(CZ275:DD275)</f>
        <v>0</v>
      </c>
    </row>
    <row r="276" spans="3:109">
      <c r="C276" s="567"/>
      <c r="E276" s="14" t="s">
        <v>60</v>
      </c>
      <c r="F276" s="23">
        <f t="shared" ref="F276:F278" si="1229">CE270</f>
        <v>0</v>
      </c>
      <c r="G276" s="24">
        <f t="shared" si="1220"/>
        <v>0</v>
      </c>
      <c r="H276" s="24">
        <f t="shared" si="1221"/>
        <v>0</v>
      </c>
      <c r="I276" s="24">
        <f t="shared" si="1222"/>
        <v>0</v>
      </c>
      <c r="J276" s="24">
        <f t="shared" si="1223"/>
        <v>0</v>
      </c>
      <c r="K276" s="8">
        <f t="shared" ref="K276:K278" si="1230">SUM(F276:J276)</f>
        <v>0</v>
      </c>
      <c r="M276" s="6"/>
      <c r="N276" s="7"/>
      <c r="O276" s="7"/>
      <c r="P276" s="7"/>
      <c r="Q276" s="7"/>
      <c r="R276" s="8">
        <f t="shared" ref="R276:R278" si="1231">SUM(M276:Q276)</f>
        <v>0</v>
      </c>
      <c r="T276" s="6"/>
      <c r="U276" s="7"/>
      <c r="V276" s="7"/>
      <c r="W276" s="7"/>
      <c r="X276" s="7"/>
      <c r="Y276" s="8">
        <f t="shared" ref="Y276:Y278" si="1232">SUM(T276:X276)</f>
        <v>0</v>
      </c>
      <c r="AA276" s="6"/>
      <c r="AB276" s="7"/>
      <c r="AC276" s="7"/>
      <c r="AD276" s="7"/>
      <c r="AE276" s="7"/>
      <c r="AF276" s="8">
        <f>SUM(AA276:AE276)</f>
        <v>0</v>
      </c>
      <c r="AH276" s="6"/>
      <c r="AI276" s="7"/>
      <c r="AJ276" s="7"/>
      <c r="AK276" s="7"/>
      <c r="AL276" s="7"/>
      <c r="AM276" s="8">
        <f>SUM(AH276:AL276)</f>
        <v>0</v>
      </c>
      <c r="AO276" s="6"/>
      <c r="AP276" s="7"/>
      <c r="AQ276" s="7"/>
      <c r="AR276" s="7"/>
      <c r="AS276" s="7"/>
      <c r="AT276" s="8">
        <f>SUM(AO276:AS276)</f>
        <v>0</v>
      </c>
      <c r="AV276" s="6"/>
      <c r="AW276" s="7"/>
      <c r="AX276" s="7"/>
      <c r="AY276" s="7"/>
      <c r="AZ276" s="7"/>
      <c r="BA276" s="8">
        <f>SUM(AV276:AZ276)</f>
        <v>0</v>
      </c>
      <c r="BC276" s="6"/>
      <c r="BD276" s="7"/>
      <c r="BE276" s="7"/>
      <c r="BF276" s="7"/>
      <c r="BG276" s="7"/>
      <c r="BH276" s="8">
        <f>SUM(BC276:BG276)</f>
        <v>0</v>
      </c>
      <c r="BJ276" s="6"/>
      <c r="BK276" s="7"/>
      <c r="BL276" s="7"/>
      <c r="BM276" s="7"/>
      <c r="BN276" s="7"/>
      <c r="BO276" s="8">
        <f>SUM(BJ276:BN276)</f>
        <v>0</v>
      </c>
      <c r="BQ276" s="6"/>
      <c r="BR276" s="7"/>
      <c r="BS276" s="7"/>
      <c r="BT276" s="7"/>
      <c r="BU276" s="7"/>
      <c r="BV276" s="8">
        <f>SUM(BQ276:BU276)</f>
        <v>0</v>
      </c>
      <c r="BX276" s="6"/>
      <c r="BY276" s="7"/>
      <c r="BZ276" s="7"/>
      <c r="CA276" s="7"/>
      <c r="CB276" s="7"/>
      <c r="CC276" s="8">
        <f>SUM(BX276:CB276)</f>
        <v>0</v>
      </c>
      <c r="CE276" s="28">
        <f t="shared" si="1224"/>
        <v>0</v>
      </c>
      <c r="CF276" s="29">
        <f t="shared" si="1225"/>
        <v>0</v>
      </c>
      <c r="CG276" s="29">
        <f t="shared" si="1226"/>
        <v>0</v>
      </c>
      <c r="CH276" s="29">
        <f t="shared" si="1227"/>
        <v>0</v>
      </c>
      <c r="CI276" s="29">
        <f t="shared" si="1228"/>
        <v>0</v>
      </c>
      <c r="CJ276" s="8">
        <f>SUM(CE276:CI276)</f>
        <v>0</v>
      </c>
      <c r="CL276" s="6"/>
      <c r="CM276" s="7"/>
      <c r="CN276" s="7"/>
      <c r="CO276" s="7"/>
      <c r="CP276" s="7"/>
      <c r="CQ276" s="8">
        <f>SUM(CL276:CP276)</f>
        <v>0</v>
      </c>
      <c r="CS276" s="6"/>
      <c r="CT276" s="7"/>
      <c r="CU276" s="7"/>
      <c r="CV276" s="7"/>
      <c r="CW276" s="7"/>
      <c r="CX276" s="8">
        <f t="shared" ref="CX276:CX278" si="1233">SUM(CS276:CW276)</f>
        <v>0</v>
      </c>
      <c r="CZ276" s="6"/>
      <c r="DA276" s="7"/>
      <c r="DB276" s="7"/>
      <c r="DC276" s="7"/>
      <c r="DD276" s="7"/>
      <c r="DE276" s="8">
        <f t="shared" ref="DE276:DE278" si="1234">SUM(CZ276:DD276)</f>
        <v>0</v>
      </c>
    </row>
    <row r="277" spans="3:109">
      <c r="C277" s="567"/>
      <c r="E277" s="14" t="s">
        <v>61</v>
      </c>
      <c r="F277" s="23">
        <f t="shared" si="1229"/>
        <v>0</v>
      </c>
      <c r="G277" s="24">
        <f t="shared" si="1220"/>
        <v>0</v>
      </c>
      <c r="H277" s="24">
        <f t="shared" si="1221"/>
        <v>0</v>
      </c>
      <c r="I277" s="24">
        <f t="shared" si="1222"/>
        <v>0</v>
      </c>
      <c r="J277" s="24">
        <f t="shared" si="1223"/>
        <v>0</v>
      </c>
      <c r="K277" s="8">
        <f t="shared" si="1230"/>
        <v>0</v>
      </c>
      <c r="M277" s="6"/>
      <c r="N277" s="7"/>
      <c r="O277" s="7"/>
      <c r="P277" s="7"/>
      <c r="Q277" s="7"/>
      <c r="R277" s="8">
        <f t="shared" si="1231"/>
        <v>0</v>
      </c>
      <c r="T277" s="6"/>
      <c r="U277" s="7"/>
      <c r="V277" s="7"/>
      <c r="W277" s="7"/>
      <c r="X277" s="7"/>
      <c r="Y277" s="8">
        <f t="shared" si="1232"/>
        <v>0</v>
      </c>
      <c r="AA277" s="6"/>
      <c r="AB277" s="7"/>
      <c r="AC277" s="7"/>
      <c r="AD277" s="7"/>
      <c r="AE277" s="7"/>
      <c r="AF277" s="8">
        <f>SUM(AA277:AE277)</f>
        <v>0</v>
      </c>
      <c r="AH277" s="6"/>
      <c r="AI277" s="7"/>
      <c r="AJ277" s="7"/>
      <c r="AK277" s="7"/>
      <c r="AL277" s="7"/>
      <c r="AM277" s="8">
        <f>SUM(AH277:AL277)</f>
        <v>0</v>
      </c>
      <c r="AO277" s="6"/>
      <c r="AP277" s="7"/>
      <c r="AQ277" s="7"/>
      <c r="AR277" s="7"/>
      <c r="AS277" s="7"/>
      <c r="AT277" s="8">
        <f>SUM(AO277:AS277)</f>
        <v>0</v>
      </c>
      <c r="AV277" s="6"/>
      <c r="AW277" s="7"/>
      <c r="AX277" s="7"/>
      <c r="AY277" s="7"/>
      <c r="AZ277" s="7"/>
      <c r="BA277" s="8">
        <f>SUM(AV277:AZ277)</f>
        <v>0</v>
      </c>
      <c r="BC277" s="6"/>
      <c r="BD277" s="7"/>
      <c r="BE277" s="7"/>
      <c r="BF277" s="7"/>
      <c r="BG277" s="7"/>
      <c r="BH277" s="8">
        <f>SUM(BC277:BG277)</f>
        <v>0</v>
      </c>
      <c r="BJ277" s="6"/>
      <c r="BK277" s="7"/>
      <c r="BL277" s="7"/>
      <c r="BM277" s="7"/>
      <c r="BN277" s="7"/>
      <c r="BO277" s="8">
        <f>SUM(BJ277:BN277)</f>
        <v>0</v>
      </c>
      <c r="BQ277" s="6"/>
      <c r="BR277" s="7"/>
      <c r="BS277" s="7"/>
      <c r="BT277" s="7"/>
      <c r="BU277" s="7"/>
      <c r="BV277" s="8">
        <f>SUM(BQ277:BU277)</f>
        <v>0</v>
      </c>
      <c r="BX277" s="6"/>
      <c r="BY277" s="7"/>
      <c r="BZ277" s="7"/>
      <c r="CA277" s="7"/>
      <c r="CB277" s="7"/>
      <c r="CC277" s="8">
        <f>SUM(BX277:CB277)</f>
        <v>0</v>
      </c>
      <c r="CE277" s="28">
        <f t="shared" si="1224"/>
        <v>0</v>
      </c>
      <c r="CF277" s="29">
        <f t="shared" si="1225"/>
        <v>0</v>
      </c>
      <c r="CG277" s="29">
        <f t="shared" si="1226"/>
        <v>0</v>
      </c>
      <c r="CH277" s="29">
        <f t="shared" si="1227"/>
        <v>0</v>
      </c>
      <c r="CI277" s="29">
        <f t="shared" si="1228"/>
        <v>0</v>
      </c>
      <c r="CJ277" s="8">
        <f>SUM(CE277:CI277)</f>
        <v>0</v>
      </c>
      <c r="CL277" s="6"/>
      <c r="CM277" s="7"/>
      <c r="CN277" s="7"/>
      <c r="CO277" s="7"/>
      <c r="CP277" s="7"/>
      <c r="CQ277" s="8">
        <f>SUM(CL277:CP277)</f>
        <v>0</v>
      </c>
      <c r="CS277" s="6"/>
      <c r="CT277" s="7"/>
      <c r="CU277" s="7"/>
      <c r="CV277" s="7"/>
      <c r="CW277" s="7"/>
      <c r="CX277" s="8">
        <f t="shared" si="1233"/>
        <v>0</v>
      </c>
      <c r="CZ277" s="6"/>
      <c r="DA277" s="7"/>
      <c r="DB277" s="7"/>
      <c r="DC277" s="7"/>
      <c r="DD277" s="7"/>
      <c r="DE277" s="8">
        <f t="shared" si="1234"/>
        <v>0</v>
      </c>
    </row>
    <row r="278" spans="3:109" ht="14" thickBot="1">
      <c r="C278" s="567"/>
      <c r="E278" s="14" t="s">
        <v>62</v>
      </c>
      <c r="F278" s="23">
        <f t="shared" si="1229"/>
        <v>0</v>
      </c>
      <c r="G278" s="24">
        <f t="shared" si="1220"/>
        <v>0</v>
      </c>
      <c r="H278" s="24">
        <f t="shared" si="1221"/>
        <v>0</v>
      </c>
      <c r="I278" s="24">
        <f t="shared" si="1222"/>
        <v>0</v>
      </c>
      <c r="J278" s="24">
        <f t="shared" si="1223"/>
        <v>0</v>
      </c>
      <c r="K278" s="8">
        <f t="shared" si="1230"/>
        <v>0</v>
      </c>
      <c r="M278" s="6"/>
      <c r="N278" s="7"/>
      <c r="O278" s="7"/>
      <c r="P278" s="7"/>
      <c r="Q278" s="7"/>
      <c r="R278" s="8">
        <f t="shared" si="1231"/>
        <v>0</v>
      </c>
      <c r="T278" s="6"/>
      <c r="U278" s="7"/>
      <c r="V278" s="7"/>
      <c r="W278" s="7"/>
      <c r="X278" s="7"/>
      <c r="Y278" s="8">
        <f t="shared" si="1232"/>
        <v>0</v>
      </c>
      <c r="AA278" s="6"/>
      <c r="AB278" s="7"/>
      <c r="AC278" s="7"/>
      <c r="AD278" s="7"/>
      <c r="AE278" s="7"/>
      <c r="AF278" s="8">
        <f>SUM(AA278:AE278)</f>
        <v>0</v>
      </c>
      <c r="AH278" s="6"/>
      <c r="AI278" s="7"/>
      <c r="AJ278" s="7"/>
      <c r="AK278" s="7"/>
      <c r="AL278" s="7"/>
      <c r="AM278" s="8">
        <f>SUM(AH278:AL278)</f>
        <v>0</v>
      </c>
      <c r="AO278" s="6"/>
      <c r="AP278" s="7"/>
      <c r="AQ278" s="7"/>
      <c r="AR278" s="7"/>
      <c r="AS278" s="7"/>
      <c r="AT278" s="8">
        <f>SUM(AO278:AS278)</f>
        <v>0</v>
      </c>
      <c r="AV278" s="6"/>
      <c r="AW278" s="7"/>
      <c r="AX278" s="7"/>
      <c r="AY278" s="7"/>
      <c r="AZ278" s="7"/>
      <c r="BA278" s="8">
        <f>SUM(AV278:AZ278)</f>
        <v>0</v>
      </c>
      <c r="BC278" s="6"/>
      <c r="BD278" s="7"/>
      <c r="BE278" s="7"/>
      <c r="BF278" s="7"/>
      <c r="BG278" s="7"/>
      <c r="BH278" s="8">
        <f>SUM(BC278:BG278)</f>
        <v>0</v>
      </c>
      <c r="BJ278" s="6"/>
      <c r="BK278" s="7"/>
      <c r="BL278" s="7"/>
      <c r="BM278" s="7"/>
      <c r="BN278" s="7"/>
      <c r="BO278" s="8">
        <f>SUM(BJ278:BN278)</f>
        <v>0</v>
      </c>
      <c r="BQ278" s="6"/>
      <c r="BR278" s="7"/>
      <c r="BS278" s="7"/>
      <c r="BT278" s="7"/>
      <c r="BU278" s="7"/>
      <c r="BV278" s="8">
        <f>SUM(BQ278:BU278)</f>
        <v>0</v>
      </c>
      <c r="BX278" s="6"/>
      <c r="BY278" s="7"/>
      <c r="BZ278" s="7"/>
      <c r="CA278" s="7"/>
      <c r="CB278" s="7"/>
      <c r="CC278" s="8">
        <f>SUM(BX278:CB278)</f>
        <v>0</v>
      </c>
      <c r="CE278" s="493">
        <f t="shared" si="1224"/>
        <v>0</v>
      </c>
      <c r="CF278" s="494">
        <f t="shared" si="1225"/>
        <v>0</v>
      </c>
      <c r="CG278" s="494">
        <f t="shared" si="1226"/>
        <v>0</v>
      </c>
      <c r="CH278" s="494">
        <f t="shared" si="1227"/>
        <v>0</v>
      </c>
      <c r="CI278" s="494">
        <f t="shared" si="1228"/>
        <v>0</v>
      </c>
      <c r="CJ278" s="495">
        <f>SUM(CE278:CI278)</f>
        <v>0</v>
      </c>
      <c r="CL278" s="6"/>
      <c r="CM278" s="7"/>
      <c r="CN278" s="7"/>
      <c r="CO278" s="7"/>
      <c r="CP278" s="7"/>
      <c r="CQ278" s="8">
        <f>SUM(CL278:CP278)</f>
        <v>0</v>
      </c>
      <c r="CS278" s="6"/>
      <c r="CT278" s="7"/>
      <c r="CU278" s="7"/>
      <c r="CV278" s="7"/>
      <c r="CW278" s="7"/>
      <c r="CX278" s="8">
        <f t="shared" si="1233"/>
        <v>0</v>
      </c>
      <c r="CZ278" s="6"/>
      <c r="DA278" s="7"/>
      <c r="DB278" s="7"/>
      <c r="DC278" s="7"/>
      <c r="DD278" s="7"/>
      <c r="DE278" s="8">
        <f t="shared" si="1234"/>
        <v>0</v>
      </c>
    </row>
    <row r="279" spans="3:109" ht="14" thickBot="1">
      <c r="C279" s="554"/>
      <c r="E279" s="17"/>
      <c r="F279" s="10">
        <f>SUM(F275:F278)</f>
        <v>0</v>
      </c>
      <c r="G279" s="11">
        <f t="shared" ref="G279:J279" si="1235">SUM(G275:G278)</f>
        <v>0</v>
      </c>
      <c r="H279" s="11">
        <f t="shared" si="1235"/>
        <v>0</v>
      </c>
      <c r="I279" s="11">
        <f t="shared" si="1235"/>
        <v>0</v>
      </c>
      <c r="J279" s="11">
        <f t="shared" si="1235"/>
        <v>0</v>
      </c>
      <c r="K279" s="25">
        <f>SUM(K275:K278)</f>
        <v>0</v>
      </c>
      <c r="M279" s="10">
        <f>SUM(M275:M278)</f>
        <v>0</v>
      </c>
      <c r="N279" s="11">
        <f t="shared" ref="N279:Q279" si="1236">SUM(N275:N278)</f>
        <v>0</v>
      </c>
      <c r="O279" s="11">
        <f t="shared" si="1236"/>
        <v>0</v>
      </c>
      <c r="P279" s="11">
        <f t="shared" si="1236"/>
        <v>0</v>
      </c>
      <c r="Q279" s="11">
        <f t="shared" si="1236"/>
        <v>0</v>
      </c>
      <c r="R279" s="25">
        <f>SUM(R275:R278)</f>
        <v>0</v>
      </c>
      <c r="T279" s="10">
        <f>SUM(T275:T278)</f>
        <v>0</v>
      </c>
      <c r="U279" s="11">
        <f t="shared" ref="U279:X279" si="1237">SUM(U275:U278)</f>
        <v>0</v>
      </c>
      <c r="V279" s="11">
        <f t="shared" si="1237"/>
        <v>0</v>
      </c>
      <c r="W279" s="11">
        <f t="shared" si="1237"/>
        <v>0</v>
      </c>
      <c r="X279" s="11">
        <f t="shared" si="1237"/>
        <v>0</v>
      </c>
      <c r="Y279" s="25">
        <f>SUM(Y275:Y278)</f>
        <v>0</v>
      </c>
      <c r="AA279" s="10">
        <f>SUM(AA275:AA278)</f>
        <v>0</v>
      </c>
      <c r="AB279" s="11">
        <f t="shared" ref="AB279:AE279" si="1238">SUM(AB275:AB278)</f>
        <v>0</v>
      </c>
      <c r="AC279" s="11">
        <f t="shared" si="1238"/>
        <v>0</v>
      </c>
      <c r="AD279" s="11">
        <f t="shared" si="1238"/>
        <v>0</v>
      </c>
      <c r="AE279" s="11">
        <f t="shared" si="1238"/>
        <v>0</v>
      </c>
      <c r="AF279" s="25">
        <f>SUM(AF275:AF278)</f>
        <v>0</v>
      </c>
      <c r="AH279" s="10">
        <f t="shared" ref="AH279:AM279" si="1239">SUM(AH275:AH278)</f>
        <v>0</v>
      </c>
      <c r="AI279" s="11">
        <f t="shared" si="1239"/>
        <v>0</v>
      </c>
      <c r="AJ279" s="11">
        <f t="shared" si="1239"/>
        <v>0</v>
      </c>
      <c r="AK279" s="11">
        <f t="shared" si="1239"/>
        <v>0</v>
      </c>
      <c r="AL279" s="11">
        <f t="shared" si="1239"/>
        <v>0</v>
      </c>
      <c r="AM279" s="25">
        <f t="shared" si="1239"/>
        <v>0</v>
      </c>
      <c r="AO279" s="10">
        <f t="shared" ref="AO279:AT279" si="1240">SUM(AO275:AO278)</f>
        <v>0</v>
      </c>
      <c r="AP279" s="11">
        <f t="shared" si="1240"/>
        <v>0</v>
      </c>
      <c r="AQ279" s="11">
        <f t="shared" si="1240"/>
        <v>0</v>
      </c>
      <c r="AR279" s="11">
        <f t="shared" si="1240"/>
        <v>0</v>
      </c>
      <c r="AS279" s="11">
        <f t="shared" si="1240"/>
        <v>0</v>
      </c>
      <c r="AT279" s="25">
        <f t="shared" si="1240"/>
        <v>0</v>
      </c>
      <c r="AV279" s="10">
        <f t="shared" ref="AV279:BA279" si="1241">SUM(AV275:AV278)</f>
        <v>0</v>
      </c>
      <c r="AW279" s="11">
        <f t="shared" si="1241"/>
        <v>0</v>
      </c>
      <c r="AX279" s="11">
        <f t="shared" si="1241"/>
        <v>0</v>
      </c>
      <c r="AY279" s="11">
        <f t="shared" si="1241"/>
        <v>0</v>
      </c>
      <c r="AZ279" s="11">
        <f t="shared" si="1241"/>
        <v>0</v>
      </c>
      <c r="BA279" s="25">
        <f t="shared" si="1241"/>
        <v>0</v>
      </c>
      <c r="BC279" s="10">
        <f t="shared" ref="BC279:BH279" si="1242">SUM(BC275:BC278)</f>
        <v>0</v>
      </c>
      <c r="BD279" s="11">
        <f t="shared" si="1242"/>
        <v>0</v>
      </c>
      <c r="BE279" s="11">
        <f t="shared" si="1242"/>
        <v>0</v>
      </c>
      <c r="BF279" s="11">
        <f t="shared" si="1242"/>
        <v>0</v>
      </c>
      <c r="BG279" s="11">
        <f t="shared" si="1242"/>
        <v>0</v>
      </c>
      <c r="BH279" s="25">
        <f t="shared" si="1242"/>
        <v>0</v>
      </c>
      <c r="BJ279" s="10">
        <f t="shared" ref="BJ279:BO279" si="1243">SUM(BJ275:BJ278)</f>
        <v>0</v>
      </c>
      <c r="BK279" s="11">
        <f t="shared" si="1243"/>
        <v>0</v>
      </c>
      <c r="BL279" s="11">
        <f t="shared" si="1243"/>
        <v>0</v>
      </c>
      <c r="BM279" s="11">
        <f t="shared" si="1243"/>
        <v>0</v>
      </c>
      <c r="BN279" s="11">
        <f t="shared" si="1243"/>
        <v>0</v>
      </c>
      <c r="BO279" s="25">
        <f t="shared" si="1243"/>
        <v>0</v>
      </c>
      <c r="BQ279" s="10">
        <f t="shared" ref="BQ279:BV279" si="1244">SUM(BQ275:BQ278)</f>
        <v>0</v>
      </c>
      <c r="BR279" s="11">
        <f t="shared" si="1244"/>
        <v>0</v>
      </c>
      <c r="BS279" s="11">
        <f t="shared" si="1244"/>
        <v>0</v>
      </c>
      <c r="BT279" s="11">
        <f t="shared" si="1244"/>
        <v>0</v>
      </c>
      <c r="BU279" s="11">
        <f t="shared" si="1244"/>
        <v>0</v>
      </c>
      <c r="BV279" s="25">
        <f t="shared" si="1244"/>
        <v>0</v>
      </c>
      <c r="BX279" s="10">
        <f t="shared" ref="BX279:CC279" si="1245">SUM(BX275:BX278)</f>
        <v>0</v>
      </c>
      <c r="BY279" s="11">
        <f t="shared" si="1245"/>
        <v>0</v>
      </c>
      <c r="BZ279" s="11">
        <f t="shared" si="1245"/>
        <v>0</v>
      </c>
      <c r="CA279" s="11">
        <f t="shared" si="1245"/>
        <v>0</v>
      </c>
      <c r="CB279" s="11">
        <f t="shared" si="1245"/>
        <v>0</v>
      </c>
      <c r="CC279" s="25">
        <f t="shared" si="1245"/>
        <v>0</v>
      </c>
      <c r="CE279" s="62">
        <f t="shared" ref="CE279:CJ279" si="1246">SUM(CE275:CE278)</f>
        <v>0</v>
      </c>
      <c r="CF279" s="63">
        <f t="shared" si="1246"/>
        <v>0</v>
      </c>
      <c r="CG279" s="63">
        <f t="shared" si="1246"/>
        <v>0</v>
      </c>
      <c r="CH279" s="63">
        <f t="shared" si="1246"/>
        <v>0</v>
      </c>
      <c r="CI279" s="63">
        <f t="shared" si="1246"/>
        <v>0</v>
      </c>
      <c r="CJ279" s="25">
        <f t="shared" si="1246"/>
        <v>0</v>
      </c>
      <c r="CL279" s="10">
        <f>SUM(CL275:CL278)</f>
        <v>0</v>
      </c>
      <c r="CM279" s="11">
        <f t="shared" ref="CM279:CQ279" si="1247">SUM(CM275:CM278)</f>
        <v>0</v>
      </c>
      <c r="CN279" s="11">
        <f t="shared" si="1247"/>
        <v>0</v>
      </c>
      <c r="CO279" s="11">
        <f t="shared" si="1247"/>
        <v>0</v>
      </c>
      <c r="CP279" s="11">
        <f t="shared" si="1247"/>
        <v>0</v>
      </c>
      <c r="CQ279" s="25">
        <f t="shared" si="1247"/>
        <v>0</v>
      </c>
      <c r="CS279" s="10">
        <f>SUM(CS275:CS278)</f>
        <v>0</v>
      </c>
      <c r="CT279" s="11">
        <f t="shared" ref="CT279:CW279" si="1248">SUM(CT275:CT278)</f>
        <v>0</v>
      </c>
      <c r="CU279" s="11">
        <f t="shared" si="1248"/>
        <v>0</v>
      </c>
      <c r="CV279" s="11">
        <f t="shared" si="1248"/>
        <v>0</v>
      </c>
      <c r="CW279" s="11">
        <f t="shared" si="1248"/>
        <v>0</v>
      </c>
      <c r="CX279" s="25">
        <f>SUM(CX275:CX278)</f>
        <v>0</v>
      </c>
      <c r="CZ279" s="10">
        <f>SUM(CZ275:CZ278)</f>
        <v>0</v>
      </c>
      <c r="DA279" s="11">
        <f t="shared" ref="DA279:DD279" si="1249">SUM(DA275:DA278)</f>
        <v>0</v>
      </c>
      <c r="DB279" s="11">
        <f t="shared" si="1249"/>
        <v>0</v>
      </c>
      <c r="DC279" s="11">
        <f t="shared" si="1249"/>
        <v>0</v>
      </c>
      <c r="DD279" s="11">
        <f t="shared" si="1249"/>
        <v>0</v>
      </c>
      <c r="DE279" s="25">
        <f>SUM(DE275:DE278)</f>
        <v>0</v>
      </c>
    </row>
    <row r="280" spans="3:109" ht="10.4" customHeight="1" thickBot="1"/>
    <row r="281" spans="3:109">
      <c r="C281" s="553">
        <v>2027</v>
      </c>
      <c r="E281" s="13" t="s">
        <v>59</v>
      </c>
      <c r="F281" s="21">
        <f>CE275</f>
        <v>0</v>
      </c>
      <c r="G281" s="22">
        <f t="shared" ref="G281:G284" si="1250">CF275</f>
        <v>0</v>
      </c>
      <c r="H281" s="22">
        <f t="shared" ref="H281:H284" si="1251">CG275</f>
        <v>0</v>
      </c>
      <c r="I281" s="22">
        <f t="shared" ref="I281:I284" si="1252">CH275</f>
        <v>0</v>
      </c>
      <c r="J281" s="22">
        <f t="shared" ref="J281:J284" si="1253">CI275</f>
        <v>0</v>
      </c>
      <c r="K281" s="4">
        <f>SUM(F281:J281)</f>
        <v>0</v>
      </c>
      <c r="M281" s="2"/>
      <c r="N281" s="3"/>
      <c r="O281" s="3"/>
      <c r="P281" s="3"/>
      <c r="Q281" s="3"/>
      <c r="R281" s="4">
        <f>SUM(M281:Q281)</f>
        <v>0</v>
      </c>
      <c r="T281" s="2"/>
      <c r="U281" s="3"/>
      <c r="V281" s="3"/>
      <c r="W281" s="3"/>
      <c r="X281" s="3"/>
      <c r="Y281" s="4">
        <f>SUM(T281:X281)</f>
        <v>0</v>
      </c>
      <c r="AA281" s="2"/>
      <c r="AB281" s="3"/>
      <c r="AC281" s="3"/>
      <c r="AD281" s="3"/>
      <c r="AE281" s="3"/>
      <c r="AF281" s="4">
        <f>SUM(AA281:AE281)</f>
        <v>0</v>
      </c>
      <c r="AH281" s="2"/>
      <c r="AI281" s="3"/>
      <c r="AJ281" s="3"/>
      <c r="AK281" s="3"/>
      <c r="AL281" s="3"/>
      <c r="AM281" s="4">
        <f>SUM(AH281:AL281)</f>
        <v>0</v>
      </c>
      <c r="AO281" s="2"/>
      <c r="AP281" s="3"/>
      <c r="AQ281" s="3"/>
      <c r="AR281" s="3"/>
      <c r="AS281" s="3"/>
      <c r="AT281" s="4">
        <f>SUM(AO281:AS281)</f>
        <v>0</v>
      </c>
      <c r="AV281" s="2"/>
      <c r="AW281" s="3"/>
      <c r="AX281" s="3"/>
      <c r="AY281" s="3"/>
      <c r="AZ281" s="3"/>
      <c r="BA281" s="4">
        <f>SUM(AV281:AZ281)</f>
        <v>0</v>
      </c>
      <c r="BC281" s="2"/>
      <c r="BD281" s="3"/>
      <c r="BE281" s="3"/>
      <c r="BF281" s="3"/>
      <c r="BG281" s="3"/>
      <c r="BH281" s="4">
        <f>SUM(BC281:BG281)</f>
        <v>0</v>
      </c>
      <c r="BJ281" s="2"/>
      <c r="BK281" s="3"/>
      <c r="BL281" s="3"/>
      <c r="BM281" s="3"/>
      <c r="BN281" s="3"/>
      <c r="BO281" s="4">
        <f>SUM(BJ281:BN281)</f>
        <v>0</v>
      </c>
      <c r="BQ281" s="2"/>
      <c r="BR281" s="3"/>
      <c r="BS281" s="3"/>
      <c r="BT281" s="3"/>
      <c r="BU281" s="3"/>
      <c r="BV281" s="4">
        <f>SUM(BQ281:BU281)</f>
        <v>0</v>
      </c>
      <c r="BX281" s="2"/>
      <c r="BY281" s="3"/>
      <c r="BZ281" s="3"/>
      <c r="CA281" s="3"/>
      <c r="CB281" s="3"/>
      <c r="CC281" s="4">
        <f>SUM(BX281:CB281)</f>
        <v>0</v>
      </c>
      <c r="CE281" s="26">
        <f t="shared" ref="CE281:CE284" si="1254">F281+M281+T281+AA281+AH281+AO281+AV281+BC281+BJ281+BQ281+BX281</f>
        <v>0</v>
      </c>
      <c r="CF281" s="27">
        <f t="shared" ref="CF281:CF284" si="1255">G281+N281+U281+AB281+AI281+AP281+AW281+BD281+BK281+BR281+BY281</f>
        <v>0</v>
      </c>
      <c r="CG281" s="27">
        <f t="shared" ref="CG281:CG284" si="1256">H281+O281+V281+AC281+AJ281+AQ281+AX281+BE281+BL281+BS281+BZ281</f>
        <v>0</v>
      </c>
      <c r="CH281" s="27">
        <f t="shared" ref="CH281:CH284" si="1257">I281+P281+W281+AD281+AK281+AR281+AY281+BF281+BM281+BT281+CA281</f>
        <v>0</v>
      </c>
      <c r="CI281" s="27">
        <f t="shared" ref="CI281:CI284" si="1258">J281+Q281+X281+AE281+AL281+AS281+AZ281+BG281+BN281+BU281+CB281</f>
        <v>0</v>
      </c>
      <c r="CJ281" s="4">
        <f>SUM(CE281:CI281)</f>
        <v>0</v>
      </c>
      <c r="CL281" s="2"/>
      <c r="CM281" s="3"/>
      <c r="CN281" s="3"/>
      <c r="CO281" s="3"/>
      <c r="CP281" s="3"/>
      <c r="CQ281" s="4">
        <f>SUM(CL281:CP281)</f>
        <v>0</v>
      </c>
      <c r="CS281" s="2"/>
      <c r="CT281" s="3"/>
      <c r="CU281" s="3"/>
      <c r="CV281" s="3"/>
      <c r="CW281" s="3"/>
      <c r="CX281" s="4">
        <f>SUM(CS281:CW281)</f>
        <v>0</v>
      </c>
      <c r="CZ281" s="2"/>
      <c r="DA281" s="3"/>
      <c r="DB281" s="3"/>
      <c r="DC281" s="3"/>
      <c r="DD281" s="3"/>
      <c r="DE281" s="4">
        <f>SUM(CZ281:DD281)</f>
        <v>0</v>
      </c>
    </row>
    <row r="282" spans="3:109">
      <c r="C282" s="567"/>
      <c r="E282" s="14" t="s">
        <v>60</v>
      </c>
      <c r="F282" s="23">
        <f t="shared" ref="F282:F284" si="1259">CE276</f>
        <v>0</v>
      </c>
      <c r="G282" s="24">
        <f t="shared" si="1250"/>
        <v>0</v>
      </c>
      <c r="H282" s="24">
        <f t="shared" si="1251"/>
        <v>0</v>
      </c>
      <c r="I282" s="24">
        <f t="shared" si="1252"/>
        <v>0</v>
      </c>
      <c r="J282" s="24">
        <f t="shared" si="1253"/>
        <v>0</v>
      </c>
      <c r="K282" s="8">
        <f t="shared" ref="K282:K284" si="1260">SUM(F282:J282)</f>
        <v>0</v>
      </c>
      <c r="M282" s="6"/>
      <c r="N282" s="7"/>
      <c r="O282" s="7"/>
      <c r="P282" s="7"/>
      <c r="Q282" s="7"/>
      <c r="R282" s="8">
        <f t="shared" ref="R282:R284" si="1261">SUM(M282:Q282)</f>
        <v>0</v>
      </c>
      <c r="T282" s="6"/>
      <c r="U282" s="7"/>
      <c r="V282" s="7"/>
      <c r="W282" s="7"/>
      <c r="X282" s="7"/>
      <c r="Y282" s="8">
        <f t="shared" ref="Y282:Y284" si="1262">SUM(T282:X282)</f>
        <v>0</v>
      </c>
      <c r="AA282" s="6"/>
      <c r="AB282" s="7"/>
      <c r="AC282" s="7"/>
      <c r="AD282" s="7"/>
      <c r="AE282" s="7"/>
      <c r="AF282" s="8">
        <f>SUM(AA282:AE282)</f>
        <v>0</v>
      </c>
      <c r="AH282" s="6"/>
      <c r="AI282" s="7"/>
      <c r="AJ282" s="7"/>
      <c r="AK282" s="7"/>
      <c r="AL282" s="7"/>
      <c r="AM282" s="8">
        <f>SUM(AH282:AL282)</f>
        <v>0</v>
      </c>
      <c r="AO282" s="6"/>
      <c r="AP282" s="7"/>
      <c r="AQ282" s="7"/>
      <c r="AR282" s="7"/>
      <c r="AS282" s="7"/>
      <c r="AT282" s="8">
        <f>SUM(AO282:AS282)</f>
        <v>0</v>
      </c>
      <c r="AV282" s="6"/>
      <c r="AW282" s="7"/>
      <c r="AX282" s="7"/>
      <c r="AY282" s="7"/>
      <c r="AZ282" s="7"/>
      <c r="BA282" s="8">
        <f>SUM(AV282:AZ282)</f>
        <v>0</v>
      </c>
      <c r="BC282" s="6"/>
      <c r="BD282" s="7"/>
      <c r="BE282" s="7"/>
      <c r="BF282" s="7"/>
      <c r="BG282" s="7"/>
      <c r="BH282" s="8">
        <f>SUM(BC282:BG282)</f>
        <v>0</v>
      </c>
      <c r="BJ282" s="6"/>
      <c r="BK282" s="7"/>
      <c r="BL282" s="7"/>
      <c r="BM282" s="7"/>
      <c r="BN282" s="7"/>
      <c r="BO282" s="8">
        <f>SUM(BJ282:BN282)</f>
        <v>0</v>
      </c>
      <c r="BQ282" s="6"/>
      <c r="BR282" s="7"/>
      <c r="BS282" s="7"/>
      <c r="BT282" s="7"/>
      <c r="BU282" s="7"/>
      <c r="BV282" s="8">
        <f>SUM(BQ282:BU282)</f>
        <v>0</v>
      </c>
      <c r="BX282" s="6"/>
      <c r="BY282" s="7"/>
      <c r="BZ282" s="7"/>
      <c r="CA282" s="7"/>
      <c r="CB282" s="7"/>
      <c r="CC282" s="8">
        <f>SUM(BX282:CB282)</f>
        <v>0</v>
      </c>
      <c r="CE282" s="28">
        <f t="shared" si="1254"/>
        <v>0</v>
      </c>
      <c r="CF282" s="29">
        <f t="shared" si="1255"/>
        <v>0</v>
      </c>
      <c r="CG282" s="29">
        <f t="shared" si="1256"/>
        <v>0</v>
      </c>
      <c r="CH282" s="29">
        <f t="shared" si="1257"/>
        <v>0</v>
      </c>
      <c r="CI282" s="29">
        <f t="shared" si="1258"/>
        <v>0</v>
      </c>
      <c r="CJ282" s="8">
        <f>SUM(CE282:CI282)</f>
        <v>0</v>
      </c>
      <c r="CL282" s="6"/>
      <c r="CM282" s="7"/>
      <c r="CN282" s="7"/>
      <c r="CO282" s="7"/>
      <c r="CP282" s="7"/>
      <c r="CQ282" s="8">
        <f>SUM(CL282:CP282)</f>
        <v>0</v>
      </c>
      <c r="CS282" s="6"/>
      <c r="CT282" s="7"/>
      <c r="CU282" s="7"/>
      <c r="CV282" s="7"/>
      <c r="CW282" s="7"/>
      <c r="CX282" s="8">
        <f t="shared" ref="CX282:CX284" si="1263">SUM(CS282:CW282)</f>
        <v>0</v>
      </c>
      <c r="CZ282" s="6"/>
      <c r="DA282" s="7"/>
      <c r="DB282" s="7"/>
      <c r="DC282" s="7"/>
      <c r="DD282" s="7"/>
      <c r="DE282" s="8">
        <f t="shared" ref="DE282:DE284" si="1264">SUM(CZ282:DD282)</f>
        <v>0</v>
      </c>
    </row>
    <row r="283" spans="3:109">
      <c r="C283" s="567"/>
      <c r="E283" s="14" t="s">
        <v>61</v>
      </c>
      <c r="F283" s="23">
        <f t="shared" si="1259"/>
        <v>0</v>
      </c>
      <c r="G283" s="24">
        <f t="shared" si="1250"/>
        <v>0</v>
      </c>
      <c r="H283" s="24">
        <f t="shared" si="1251"/>
        <v>0</v>
      </c>
      <c r="I283" s="24">
        <f t="shared" si="1252"/>
        <v>0</v>
      </c>
      <c r="J283" s="24">
        <f t="shared" si="1253"/>
        <v>0</v>
      </c>
      <c r="K283" s="8">
        <f t="shared" si="1260"/>
        <v>0</v>
      </c>
      <c r="M283" s="6"/>
      <c r="N283" s="7"/>
      <c r="O283" s="7"/>
      <c r="P283" s="7"/>
      <c r="Q283" s="7"/>
      <c r="R283" s="8">
        <f t="shared" si="1261"/>
        <v>0</v>
      </c>
      <c r="T283" s="6"/>
      <c r="U283" s="7"/>
      <c r="V283" s="7"/>
      <c r="W283" s="7"/>
      <c r="X283" s="7"/>
      <c r="Y283" s="8">
        <f t="shared" si="1262"/>
        <v>0</v>
      </c>
      <c r="AA283" s="6"/>
      <c r="AB283" s="7"/>
      <c r="AC283" s="7"/>
      <c r="AD283" s="7"/>
      <c r="AE283" s="7"/>
      <c r="AF283" s="8">
        <f>SUM(AA283:AE283)</f>
        <v>0</v>
      </c>
      <c r="AH283" s="6"/>
      <c r="AI283" s="7"/>
      <c r="AJ283" s="7"/>
      <c r="AK283" s="7"/>
      <c r="AL283" s="7"/>
      <c r="AM283" s="8">
        <f>SUM(AH283:AL283)</f>
        <v>0</v>
      </c>
      <c r="AO283" s="6"/>
      <c r="AP283" s="7"/>
      <c r="AQ283" s="7"/>
      <c r="AR283" s="7"/>
      <c r="AS283" s="7"/>
      <c r="AT283" s="8">
        <f>SUM(AO283:AS283)</f>
        <v>0</v>
      </c>
      <c r="AV283" s="6"/>
      <c r="AW283" s="7"/>
      <c r="AX283" s="7"/>
      <c r="AY283" s="7"/>
      <c r="AZ283" s="7"/>
      <c r="BA283" s="8">
        <f>SUM(AV283:AZ283)</f>
        <v>0</v>
      </c>
      <c r="BC283" s="6"/>
      <c r="BD283" s="7"/>
      <c r="BE283" s="7"/>
      <c r="BF283" s="7"/>
      <c r="BG283" s="7"/>
      <c r="BH283" s="8">
        <f>SUM(BC283:BG283)</f>
        <v>0</v>
      </c>
      <c r="BJ283" s="6"/>
      <c r="BK283" s="7"/>
      <c r="BL283" s="7"/>
      <c r="BM283" s="7"/>
      <c r="BN283" s="7"/>
      <c r="BO283" s="8">
        <f>SUM(BJ283:BN283)</f>
        <v>0</v>
      </c>
      <c r="BQ283" s="6"/>
      <c r="BR283" s="7"/>
      <c r="BS283" s="7"/>
      <c r="BT283" s="7"/>
      <c r="BU283" s="7"/>
      <c r="BV283" s="8">
        <f>SUM(BQ283:BU283)</f>
        <v>0</v>
      </c>
      <c r="BX283" s="6"/>
      <c r="BY283" s="7"/>
      <c r="BZ283" s="7"/>
      <c r="CA283" s="7"/>
      <c r="CB283" s="7"/>
      <c r="CC283" s="8">
        <f>SUM(BX283:CB283)</f>
        <v>0</v>
      </c>
      <c r="CE283" s="28">
        <f t="shared" si="1254"/>
        <v>0</v>
      </c>
      <c r="CF283" s="29">
        <f t="shared" si="1255"/>
        <v>0</v>
      </c>
      <c r="CG283" s="29">
        <f t="shared" si="1256"/>
        <v>0</v>
      </c>
      <c r="CH283" s="29">
        <f t="shared" si="1257"/>
        <v>0</v>
      </c>
      <c r="CI283" s="29">
        <f t="shared" si="1258"/>
        <v>0</v>
      </c>
      <c r="CJ283" s="8">
        <f>SUM(CE283:CI283)</f>
        <v>0</v>
      </c>
      <c r="CL283" s="6"/>
      <c r="CM283" s="7"/>
      <c r="CN283" s="7"/>
      <c r="CO283" s="7"/>
      <c r="CP283" s="7"/>
      <c r="CQ283" s="8">
        <f>SUM(CL283:CP283)</f>
        <v>0</v>
      </c>
      <c r="CS283" s="6"/>
      <c r="CT283" s="7"/>
      <c r="CU283" s="7"/>
      <c r="CV283" s="7"/>
      <c r="CW283" s="7"/>
      <c r="CX283" s="8">
        <f t="shared" si="1263"/>
        <v>0</v>
      </c>
      <c r="CZ283" s="6"/>
      <c r="DA283" s="7"/>
      <c r="DB283" s="7"/>
      <c r="DC283" s="7"/>
      <c r="DD283" s="7"/>
      <c r="DE283" s="8">
        <f t="shared" si="1264"/>
        <v>0</v>
      </c>
    </row>
    <row r="284" spans="3:109" ht="14" thickBot="1">
      <c r="C284" s="567"/>
      <c r="E284" s="14" t="s">
        <v>62</v>
      </c>
      <c r="F284" s="23">
        <f t="shared" si="1259"/>
        <v>0</v>
      </c>
      <c r="G284" s="24">
        <f t="shared" si="1250"/>
        <v>0</v>
      </c>
      <c r="H284" s="24">
        <f t="shared" si="1251"/>
        <v>0</v>
      </c>
      <c r="I284" s="24">
        <f t="shared" si="1252"/>
        <v>0</v>
      </c>
      <c r="J284" s="24">
        <f t="shared" si="1253"/>
        <v>0</v>
      </c>
      <c r="K284" s="8">
        <f t="shared" si="1260"/>
        <v>0</v>
      </c>
      <c r="M284" s="6"/>
      <c r="N284" s="7"/>
      <c r="O284" s="7"/>
      <c r="P284" s="7"/>
      <c r="Q284" s="7"/>
      <c r="R284" s="8">
        <f t="shared" si="1261"/>
        <v>0</v>
      </c>
      <c r="T284" s="6"/>
      <c r="U284" s="7"/>
      <c r="V284" s="7"/>
      <c r="W284" s="7"/>
      <c r="X284" s="7"/>
      <c r="Y284" s="8">
        <f t="shared" si="1262"/>
        <v>0</v>
      </c>
      <c r="AA284" s="6"/>
      <c r="AB284" s="7"/>
      <c r="AC284" s="7"/>
      <c r="AD284" s="7"/>
      <c r="AE284" s="7"/>
      <c r="AF284" s="8">
        <f>SUM(AA284:AE284)</f>
        <v>0</v>
      </c>
      <c r="AH284" s="6"/>
      <c r="AI284" s="7"/>
      <c r="AJ284" s="7"/>
      <c r="AK284" s="7"/>
      <c r="AL284" s="7"/>
      <c r="AM284" s="8">
        <f>SUM(AH284:AL284)</f>
        <v>0</v>
      </c>
      <c r="AO284" s="6"/>
      <c r="AP284" s="7"/>
      <c r="AQ284" s="7"/>
      <c r="AR284" s="7"/>
      <c r="AS284" s="7"/>
      <c r="AT284" s="8">
        <f>SUM(AO284:AS284)</f>
        <v>0</v>
      </c>
      <c r="AV284" s="6"/>
      <c r="AW284" s="7"/>
      <c r="AX284" s="7"/>
      <c r="AY284" s="7"/>
      <c r="AZ284" s="7"/>
      <c r="BA284" s="8">
        <f>SUM(AV284:AZ284)</f>
        <v>0</v>
      </c>
      <c r="BC284" s="6"/>
      <c r="BD284" s="7"/>
      <c r="BE284" s="7"/>
      <c r="BF284" s="7"/>
      <c r="BG284" s="7"/>
      <c r="BH284" s="8">
        <f>SUM(BC284:BG284)</f>
        <v>0</v>
      </c>
      <c r="BJ284" s="6"/>
      <c r="BK284" s="7"/>
      <c r="BL284" s="7"/>
      <c r="BM284" s="7"/>
      <c r="BN284" s="7"/>
      <c r="BO284" s="8">
        <f>SUM(BJ284:BN284)</f>
        <v>0</v>
      </c>
      <c r="BQ284" s="6"/>
      <c r="BR284" s="7"/>
      <c r="BS284" s="7"/>
      <c r="BT284" s="7"/>
      <c r="BU284" s="7"/>
      <c r="BV284" s="8">
        <f>SUM(BQ284:BU284)</f>
        <v>0</v>
      </c>
      <c r="BX284" s="6"/>
      <c r="BY284" s="7"/>
      <c r="BZ284" s="7"/>
      <c r="CA284" s="7"/>
      <c r="CB284" s="7"/>
      <c r="CC284" s="8">
        <f>SUM(BX284:CB284)</f>
        <v>0</v>
      </c>
      <c r="CE284" s="493">
        <f t="shared" si="1254"/>
        <v>0</v>
      </c>
      <c r="CF284" s="494">
        <f t="shared" si="1255"/>
        <v>0</v>
      </c>
      <c r="CG284" s="494">
        <f t="shared" si="1256"/>
        <v>0</v>
      </c>
      <c r="CH284" s="494">
        <f t="shared" si="1257"/>
        <v>0</v>
      </c>
      <c r="CI284" s="494">
        <f t="shared" si="1258"/>
        <v>0</v>
      </c>
      <c r="CJ284" s="495">
        <f>SUM(CE284:CI284)</f>
        <v>0</v>
      </c>
      <c r="CL284" s="6"/>
      <c r="CM284" s="7"/>
      <c r="CN284" s="7"/>
      <c r="CO284" s="7"/>
      <c r="CP284" s="7"/>
      <c r="CQ284" s="8">
        <f>SUM(CL284:CP284)</f>
        <v>0</v>
      </c>
      <c r="CS284" s="6"/>
      <c r="CT284" s="7"/>
      <c r="CU284" s="7"/>
      <c r="CV284" s="7"/>
      <c r="CW284" s="7"/>
      <c r="CX284" s="8">
        <f t="shared" si="1263"/>
        <v>0</v>
      </c>
      <c r="CZ284" s="6"/>
      <c r="DA284" s="7"/>
      <c r="DB284" s="7"/>
      <c r="DC284" s="7"/>
      <c r="DD284" s="7"/>
      <c r="DE284" s="8">
        <f t="shared" si="1264"/>
        <v>0</v>
      </c>
    </row>
    <row r="285" spans="3:109" ht="14" thickBot="1">
      <c r="C285" s="554"/>
      <c r="E285" s="17"/>
      <c r="F285" s="10">
        <f>SUM(F281:F284)</f>
        <v>0</v>
      </c>
      <c r="G285" s="11">
        <f t="shared" ref="G285:J285" si="1265">SUM(G281:G284)</f>
        <v>0</v>
      </c>
      <c r="H285" s="11">
        <f t="shared" si="1265"/>
        <v>0</v>
      </c>
      <c r="I285" s="11">
        <f t="shared" si="1265"/>
        <v>0</v>
      </c>
      <c r="J285" s="11">
        <f t="shared" si="1265"/>
        <v>0</v>
      </c>
      <c r="K285" s="25">
        <f>SUM(K281:K284)</f>
        <v>0</v>
      </c>
      <c r="M285" s="10">
        <f>SUM(M281:M284)</f>
        <v>0</v>
      </c>
      <c r="N285" s="11">
        <f t="shared" ref="N285:Q285" si="1266">SUM(N281:N284)</f>
        <v>0</v>
      </c>
      <c r="O285" s="11">
        <f t="shared" si="1266"/>
        <v>0</v>
      </c>
      <c r="P285" s="11">
        <f t="shared" si="1266"/>
        <v>0</v>
      </c>
      <c r="Q285" s="11">
        <f t="shared" si="1266"/>
        <v>0</v>
      </c>
      <c r="R285" s="25">
        <f>SUM(R281:R284)</f>
        <v>0</v>
      </c>
      <c r="T285" s="10">
        <f>SUM(T281:T284)</f>
        <v>0</v>
      </c>
      <c r="U285" s="11">
        <f t="shared" ref="U285:X285" si="1267">SUM(U281:U284)</f>
        <v>0</v>
      </c>
      <c r="V285" s="11">
        <f t="shared" si="1267"/>
        <v>0</v>
      </c>
      <c r="W285" s="11">
        <f t="shared" si="1267"/>
        <v>0</v>
      </c>
      <c r="X285" s="11">
        <f t="shared" si="1267"/>
        <v>0</v>
      </c>
      <c r="Y285" s="25">
        <f>SUM(Y281:Y284)</f>
        <v>0</v>
      </c>
      <c r="AA285" s="10">
        <f>SUM(AA281:AA284)</f>
        <v>0</v>
      </c>
      <c r="AB285" s="11">
        <f t="shared" ref="AB285:AE285" si="1268">SUM(AB281:AB284)</f>
        <v>0</v>
      </c>
      <c r="AC285" s="11">
        <f t="shared" si="1268"/>
        <v>0</v>
      </c>
      <c r="AD285" s="11">
        <f t="shared" si="1268"/>
        <v>0</v>
      </c>
      <c r="AE285" s="11">
        <f t="shared" si="1268"/>
        <v>0</v>
      </c>
      <c r="AF285" s="25">
        <f>SUM(AF281:AF284)</f>
        <v>0</v>
      </c>
      <c r="AH285" s="10">
        <f t="shared" ref="AH285:AM285" si="1269">SUM(AH281:AH284)</f>
        <v>0</v>
      </c>
      <c r="AI285" s="11">
        <f t="shared" si="1269"/>
        <v>0</v>
      </c>
      <c r="AJ285" s="11">
        <f t="shared" si="1269"/>
        <v>0</v>
      </c>
      <c r="AK285" s="11">
        <f t="shared" si="1269"/>
        <v>0</v>
      </c>
      <c r="AL285" s="11">
        <f t="shared" si="1269"/>
        <v>0</v>
      </c>
      <c r="AM285" s="25">
        <f t="shared" si="1269"/>
        <v>0</v>
      </c>
      <c r="AO285" s="10">
        <f t="shared" ref="AO285:AT285" si="1270">SUM(AO281:AO284)</f>
        <v>0</v>
      </c>
      <c r="AP285" s="11">
        <f t="shared" si="1270"/>
        <v>0</v>
      </c>
      <c r="AQ285" s="11">
        <f t="shared" si="1270"/>
        <v>0</v>
      </c>
      <c r="AR285" s="11">
        <f t="shared" si="1270"/>
        <v>0</v>
      </c>
      <c r="AS285" s="11">
        <f t="shared" si="1270"/>
        <v>0</v>
      </c>
      <c r="AT285" s="25">
        <f t="shared" si="1270"/>
        <v>0</v>
      </c>
      <c r="AV285" s="10">
        <f t="shared" ref="AV285:BA285" si="1271">SUM(AV281:AV284)</f>
        <v>0</v>
      </c>
      <c r="AW285" s="11">
        <f t="shared" si="1271"/>
        <v>0</v>
      </c>
      <c r="AX285" s="11">
        <f t="shared" si="1271"/>
        <v>0</v>
      </c>
      <c r="AY285" s="11">
        <f t="shared" si="1271"/>
        <v>0</v>
      </c>
      <c r="AZ285" s="11">
        <f t="shared" si="1271"/>
        <v>0</v>
      </c>
      <c r="BA285" s="25">
        <f t="shared" si="1271"/>
        <v>0</v>
      </c>
      <c r="BC285" s="10">
        <f t="shared" ref="BC285:BH285" si="1272">SUM(BC281:BC284)</f>
        <v>0</v>
      </c>
      <c r="BD285" s="11">
        <f t="shared" si="1272"/>
        <v>0</v>
      </c>
      <c r="BE285" s="11">
        <f t="shared" si="1272"/>
        <v>0</v>
      </c>
      <c r="BF285" s="11">
        <f t="shared" si="1272"/>
        <v>0</v>
      </c>
      <c r="BG285" s="11">
        <f t="shared" si="1272"/>
        <v>0</v>
      </c>
      <c r="BH285" s="25">
        <f t="shared" si="1272"/>
        <v>0</v>
      </c>
      <c r="BJ285" s="10">
        <f t="shared" ref="BJ285:BO285" si="1273">SUM(BJ281:BJ284)</f>
        <v>0</v>
      </c>
      <c r="BK285" s="11">
        <f t="shared" si="1273"/>
        <v>0</v>
      </c>
      <c r="BL285" s="11">
        <f t="shared" si="1273"/>
        <v>0</v>
      </c>
      <c r="BM285" s="11">
        <f t="shared" si="1273"/>
        <v>0</v>
      </c>
      <c r="BN285" s="11">
        <f t="shared" si="1273"/>
        <v>0</v>
      </c>
      <c r="BO285" s="25">
        <f t="shared" si="1273"/>
        <v>0</v>
      </c>
      <c r="BQ285" s="10">
        <f t="shared" ref="BQ285:BV285" si="1274">SUM(BQ281:BQ284)</f>
        <v>0</v>
      </c>
      <c r="BR285" s="11">
        <f t="shared" si="1274"/>
        <v>0</v>
      </c>
      <c r="BS285" s="11">
        <f t="shared" si="1274"/>
        <v>0</v>
      </c>
      <c r="BT285" s="11">
        <f t="shared" si="1274"/>
        <v>0</v>
      </c>
      <c r="BU285" s="11">
        <f t="shared" si="1274"/>
        <v>0</v>
      </c>
      <c r="BV285" s="25">
        <f t="shared" si="1274"/>
        <v>0</v>
      </c>
      <c r="BX285" s="10">
        <f t="shared" ref="BX285:CC285" si="1275">SUM(BX281:BX284)</f>
        <v>0</v>
      </c>
      <c r="BY285" s="11">
        <f t="shared" si="1275"/>
        <v>0</v>
      </c>
      <c r="BZ285" s="11">
        <f t="shared" si="1275"/>
        <v>0</v>
      </c>
      <c r="CA285" s="11">
        <f t="shared" si="1275"/>
        <v>0</v>
      </c>
      <c r="CB285" s="11">
        <f t="shared" si="1275"/>
        <v>0</v>
      </c>
      <c r="CC285" s="25">
        <f t="shared" si="1275"/>
        <v>0</v>
      </c>
      <c r="CE285" s="62">
        <f t="shared" ref="CE285:CJ285" si="1276">SUM(CE281:CE284)</f>
        <v>0</v>
      </c>
      <c r="CF285" s="63">
        <f t="shared" si="1276"/>
        <v>0</v>
      </c>
      <c r="CG285" s="63">
        <f t="shared" si="1276"/>
        <v>0</v>
      </c>
      <c r="CH285" s="63">
        <f t="shared" si="1276"/>
        <v>0</v>
      </c>
      <c r="CI285" s="63">
        <f t="shared" si="1276"/>
        <v>0</v>
      </c>
      <c r="CJ285" s="25">
        <f t="shared" si="1276"/>
        <v>0</v>
      </c>
      <c r="CL285" s="10">
        <f>SUM(CL281:CL284)</f>
        <v>0</v>
      </c>
      <c r="CM285" s="11">
        <f t="shared" ref="CM285:CQ285" si="1277">SUM(CM281:CM284)</f>
        <v>0</v>
      </c>
      <c r="CN285" s="11">
        <f t="shared" si="1277"/>
        <v>0</v>
      </c>
      <c r="CO285" s="11">
        <f t="shared" si="1277"/>
        <v>0</v>
      </c>
      <c r="CP285" s="11">
        <f t="shared" si="1277"/>
        <v>0</v>
      </c>
      <c r="CQ285" s="25">
        <f t="shared" si="1277"/>
        <v>0</v>
      </c>
      <c r="CS285" s="10">
        <f>SUM(CS281:CS284)</f>
        <v>0</v>
      </c>
      <c r="CT285" s="11">
        <f t="shared" ref="CT285:CW285" si="1278">SUM(CT281:CT284)</f>
        <v>0</v>
      </c>
      <c r="CU285" s="11">
        <f t="shared" si="1278"/>
        <v>0</v>
      </c>
      <c r="CV285" s="11">
        <f t="shared" si="1278"/>
        <v>0</v>
      </c>
      <c r="CW285" s="11">
        <f t="shared" si="1278"/>
        <v>0</v>
      </c>
      <c r="CX285" s="25">
        <f>SUM(CX281:CX284)</f>
        <v>0</v>
      </c>
      <c r="CZ285" s="10">
        <f>SUM(CZ281:CZ284)</f>
        <v>0</v>
      </c>
      <c r="DA285" s="11">
        <f t="shared" ref="DA285:DD285" si="1279">SUM(DA281:DA284)</f>
        <v>0</v>
      </c>
      <c r="DB285" s="11">
        <f t="shared" si="1279"/>
        <v>0</v>
      </c>
      <c r="DC285" s="11">
        <f t="shared" si="1279"/>
        <v>0</v>
      </c>
      <c r="DD285" s="11">
        <f t="shared" si="1279"/>
        <v>0</v>
      </c>
      <c r="DE285" s="25">
        <f>SUM(DE281:DE284)</f>
        <v>0</v>
      </c>
    </row>
    <row r="286" spans="3:109" ht="10.4" customHeight="1" thickBot="1"/>
    <row r="287" spans="3:109">
      <c r="C287" s="553">
        <v>2028</v>
      </c>
      <c r="E287" s="13" t="s">
        <v>59</v>
      </c>
      <c r="F287" s="21">
        <f>CE281</f>
        <v>0</v>
      </c>
      <c r="G287" s="22">
        <f t="shared" ref="G287:G290" si="1280">CF281</f>
        <v>0</v>
      </c>
      <c r="H287" s="22">
        <f t="shared" ref="H287:H290" si="1281">CG281</f>
        <v>0</v>
      </c>
      <c r="I287" s="22">
        <f t="shared" ref="I287:I290" si="1282">CH281</f>
        <v>0</v>
      </c>
      <c r="J287" s="22">
        <f t="shared" ref="J287:J290" si="1283">CI281</f>
        <v>0</v>
      </c>
      <c r="K287" s="4">
        <f>SUM(F287:J287)</f>
        <v>0</v>
      </c>
      <c r="M287" s="2"/>
      <c r="N287" s="3"/>
      <c r="O287" s="3"/>
      <c r="P287" s="3"/>
      <c r="Q287" s="3"/>
      <c r="R287" s="4">
        <f>SUM(M287:Q287)</f>
        <v>0</v>
      </c>
      <c r="T287" s="2"/>
      <c r="U287" s="3"/>
      <c r="V287" s="3"/>
      <c r="W287" s="3"/>
      <c r="X287" s="3"/>
      <c r="Y287" s="4">
        <f>SUM(T287:X287)</f>
        <v>0</v>
      </c>
      <c r="AA287" s="2"/>
      <c r="AB287" s="3"/>
      <c r="AC287" s="3"/>
      <c r="AD287" s="3"/>
      <c r="AE287" s="3"/>
      <c r="AF287" s="4">
        <f>SUM(AA287:AE287)</f>
        <v>0</v>
      </c>
      <c r="AH287" s="2"/>
      <c r="AI287" s="3"/>
      <c r="AJ287" s="3"/>
      <c r="AK287" s="3"/>
      <c r="AL287" s="3"/>
      <c r="AM287" s="4">
        <f>SUM(AH287:AL287)</f>
        <v>0</v>
      </c>
      <c r="AO287" s="2"/>
      <c r="AP287" s="3"/>
      <c r="AQ287" s="3"/>
      <c r="AR287" s="3"/>
      <c r="AS287" s="3"/>
      <c r="AT287" s="4">
        <f>SUM(AO287:AS287)</f>
        <v>0</v>
      </c>
      <c r="AV287" s="2"/>
      <c r="AW287" s="3"/>
      <c r="AX287" s="3"/>
      <c r="AY287" s="3"/>
      <c r="AZ287" s="3"/>
      <c r="BA287" s="4">
        <f>SUM(AV287:AZ287)</f>
        <v>0</v>
      </c>
      <c r="BC287" s="2"/>
      <c r="BD287" s="3"/>
      <c r="BE287" s="3"/>
      <c r="BF287" s="3"/>
      <c r="BG287" s="3"/>
      <c r="BH287" s="4">
        <f>SUM(BC287:BG287)</f>
        <v>0</v>
      </c>
      <c r="BJ287" s="2"/>
      <c r="BK287" s="3"/>
      <c r="BL287" s="3"/>
      <c r="BM287" s="3"/>
      <c r="BN287" s="3"/>
      <c r="BO287" s="4">
        <f>SUM(BJ287:BN287)</f>
        <v>0</v>
      </c>
      <c r="BQ287" s="2"/>
      <c r="BR287" s="3"/>
      <c r="BS287" s="3"/>
      <c r="BT287" s="3"/>
      <c r="BU287" s="3"/>
      <c r="BV287" s="4">
        <f>SUM(BQ287:BU287)</f>
        <v>0</v>
      </c>
      <c r="BX287" s="2"/>
      <c r="BY287" s="3"/>
      <c r="BZ287" s="3"/>
      <c r="CA287" s="3"/>
      <c r="CB287" s="3"/>
      <c r="CC287" s="4">
        <f>SUM(BX287:CB287)</f>
        <v>0</v>
      </c>
      <c r="CE287" s="26">
        <f t="shared" ref="CE287:CE290" si="1284">F287+M287+T287+AA287+AH287+AO287+AV287+BC287+BJ287+BQ287+BX287</f>
        <v>0</v>
      </c>
      <c r="CF287" s="27">
        <f t="shared" ref="CF287:CF290" si="1285">G287+N287+U287+AB287+AI287+AP287+AW287+BD287+BK287+BR287+BY287</f>
        <v>0</v>
      </c>
      <c r="CG287" s="27">
        <f t="shared" ref="CG287:CG290" si="1286">H287+O287+V287+AC287+AJ287+AQ287+AX287+BE287+BL287+BS287+BZ287</f>
        <v>0</v>
      </c>
      <c r="CH287" s="27">
        <f t="shared" ref="CH287:CH290" si="1287">I287+P287+W287+AD287+AK287+AR287+AY287+BF287+BM287+BT287+CA287</f>
        <v>0</v>
      </c>
      <c r="CI287" s="27">
        <f t="shared" ref="CI287:CI290" si="1288">J287+Q287+X287+AE287+AL287+AS287+AZ287+BG287+BN287+BU287+CB287</f>
        <v>0</v>
      </c>
      <c r="CJ287" s="4">
        <f>SUM(CE287:CI287)</f>
        <v>0</v>
      </c>
      <c r="CL287" s="2"/>
      <c r="CM287" s="3"/>
      <c r="CN287" s="3"/>
      <c r="CO287" s="3"/>
      <c r="CP287" s="3"/>
      <c r="CQ287" s="4">
        <f>SUM(CL287:CP287)</f>
        <v>0</v>
      </c>
      <c r="CS287" s="2"/>
      <c r="CT287" s="3"/>
      <c r="CU287" s="3"/>
      <c r="CV287" s="3"/>
      <c r="CW287" s="3"/>
      <c r="CX287" s="4">
        <f>SUM(CS287:CW287)</f>
        <v>0</v>
      </c>
      <c r="CZ287" s="2"/>
      <c r="DA287" s="3"/>
      <c r="DB287" s="3"/>
      <c r="DC287" s="3"/>
      <c r="DD287" s="3"/>
      <c r="DE287" s="4">
        <f>SUM(CZ287:DD287)</f>
        <v>0</v>
      </c>
    </row>
    <row r="288" spans="3:109">
      <c r="C288" s="567"/>
      <c r="E288" s="14" t="s">
        <v>60</v>
      </c>
      <c r="F288" s="23">
        <f t="shared" ref="F288:F290" si="1289">CE282</f>
        <v>0</v>
      </c>
      <c r="G288" s="24">
        <f t="shared" si="1280"/>
        <v>0</v>
      </c>
      <c r="H288" s="24">
        <f t="shared" si="1281"/>
        <v>0</v>
      </c>
      <c r="I288" s="24">
        <f t="shared" si="1282"/>
        <v>0</v>
      </c>
      <c r="J288" s="24">
        <f t="shared" si="1283"/>
        <v>0</v>
      </c>
      <c r="K288" s="8">
        <f t="shared" ref="K288:K290" si="1290">SUM(F288:J288)</f>
        <v>0</v>
      </c>
      <c r="M288" s="6"/>
      <c r="N288" s="7"/>
      <c r="O288" s="7"/>
      <c r="P288" s="7"/>
      <c r="Q288" s="7"/>
      <c r="R288" s="8">
        <f t="shared" ref="R288:R290" si="1291">SUM(M288:Q288)</f>
        <v>0</v>
      </c>
      <c r="T288" s="6"/>
      <c r="U288" s="7"/>
      <c r="V288" s="7"/>
      <c r="W288" s="7"/>
      <c r="X288" s="7"/>
      <c r="Y288" s="8">
        <f t="shared" ref="Y288:Y290" si="1292">SUM(T288:X288)</f>
        <v>0</v>
      </c>
      <c r="AA288" s="6"/>
      <c r="AB288" s="7"/>
      <c r="AC288" s="7"/>
      <c r="AD288" s="7"/>
      <c r="AE288" s="7"/>
      <c r="AF288" s="8">
        <f>SUM(AA288:AE288)</f>
        <v>0</v>
      </c>
      <c r="AH288" s="6"/>
      <c r="AI288" s="7"/>
      <c r="AJ288" s="7"/>
      <c r="AK288" s="7"/>
      <c r="AL288" s="7"/>
      <c r="AM288" s="8">
        <f>SUM(AH288:AL288)</f>
        <v>0</v>
      </c>
      <c r="AO288" s="6"/>
      <c r="AP288" s="7"/>
      <c r="AQ288" s="7"/>
      <c r="AR288" s="7"/>
      <c r="AS288" s="7"/>
      <c r="AT288" s="8">
        <f>SUM(AO288:AS288)</f>
        <v>0</v>
      </c>
      <c r="AV288" s="6"/>
      <c r="AW288" s="7"/>
      <c r="AX288" s="7"/>
      <c r="AY288" s="7"/>
      <c r="AZ288" s="7"/>
      <c r="BA288" s="8">
        <f>SUM(AV288:AZ288)</f>
        <v>0</v>
      </c>
      <c r="BC288" s="6"/>
      <c r="BD288" s="7"/>
      <c r="BE288" s="7"/>
      <c r="BF288" s="7"/>
      <c r="BG288" s="7"/>
      <c r="BH288" s="8">
        <f>SUM(BC288:BG288)</f>
        <v>0</v>
      </c>
      <c r="BJ288" s="6"/>
      <c r="BK288" s="7"/>
      <c r="BL288" s="7"/>
      <c r="BM288" s="7"/>
      <c r="BN288" s="7"/>
      <c r="BO288" s="8">
        <f>SUM(BJ288:BN288)</f>
        <v>0</v>
      </c>
      <c r="BQ288" s="6"/>
      <c r="BR288" s="7"/>
      <c r="BS288" s="7"/>
      <c r="BT288" s="7"/>
      <c r="BU288" s="7"/>
      <c r="BV288" s="8">
        <f>SUM(BQ288:BU288)</f>
        <v>0</v>
      </c>
      <c r="BX288" s="6"/>
      <c r="BY288" s="7"/>
      <c r="BZ288" s="7"/>
      <c r="CA288" s="7"/>
      <c r="CB288" s="7"/>
      <c r="CC288" s="8">
        <f>SUM(BX288:CB288)</f>
        <v>0</v>
      </c>
      <c r="CE288" s="28">
        <f t="shared" si="1284"/>
        <v>0</v>
      </c>
      <c r="CF288" s="29">
        <f t="shared" si="1285"/>
        <v>0</v>
      </c>
      <c r="CG288" s="29">
        <f t="shared" si="1286"/>
        <v>0</v>
      </c>
      <c r="CH288" s="29">
        <f t="shared" si="1287"/>
        <v>0</v>
      </c>
      <c r="CI288" s="29">
        <f t="shared" si="1288"/>
        <v>0</v>
      </c>
      <c r="CJ288" s="8">
        <f>SUM(CE288:CI288)</f>
        <v>0</v>
      </c>
      <c r="CL288" s="6"/>
      <c r="CM288" s="7"/>
      <c r="CN288" s="7"/>
      <c r="CO288" s="7"/>
      <c r="CP288" s="7"/>
      <c r="CQ288" s="8">
        <f>SUM(CL288:CP288)</f>
        <v>0</v>
      </c>
      <c r="CS288" s="6"/>
      <c r="CT288" s="7"/>
      <c r="CU288" s="7"/>
      <c r="CV288" s="7"/>
      <c r="CW288" s="7"/>
      <c r="CX288" s="8">
        <f t="shared" ref="CX288:CX290" si="1293">SUM(CS288:CW288)</f>
        <v>0</v>
      </c>
      <c r="CZ288" s="6"/>
      <c r="DA288" s="7"/>
      <c r="DB288" s="7"/>
      <c r="DC288" s="7"/>
      <c r="DD288" s="7"/>
      <c r="DE288" s="8">
        <f t="shared" ref="DE288:DE290" si="1294">SUM(CZ288:DD288)</f>
        <v>0</v>
      </c>
    </row>
    <row r="289" spans="2:109">
      <c r="C289" s="567"/>
      <c r="E289" s="14" t="s">
        <v>61</v>
      </c>
      <c r="F289" s="23">
        <f t="shared" si="1289"/>
        <v>0</v>
      </c>
      <c r="G289" s="24">
        <f t="shared" si="1280"/>
        <v>0</v>
      </c>
      <c r="H289" s="24">
        <f t="shared" si="1281"/>
        <v>0</v>
      </c>
      <c r="I289" s="24">
        <f t="shared" si="1282"/>
        <v>0</v>
      </c>
      <c r="J289" s="24">
        <f t="shared" si="1283"/>
        <v>0</v>
      </c>
      <c r="K289" s="8">
        <f t="shared" si="1290"/>
        <v>0</v>
      </c>
      <c r="M289" s="6"/>
      <c r="N289" s="7"/>
      <c r="O289" s="7"/>
      <c r="P289" s="7"/>
      <c r="Q289" s="7"/>
      <c r="R289" s="8">
        <f t="shared" si="1291"/>
        <v>0</v>
      </c>
      <c r="T289" s="6"/>
      <c r="U289" s="7"/>
      <c r="V289" s="7"/>
      <c r="W289" s="7"/>
      <c r="X289" s="7"/>
      <c r="Y289" s="8">
        <f t="shared" si="1292"/>
        <v>0</v>
      </c>
      <c r="AA289" s="6"/>
      <c r="AB289" s="7"/>
      <c r="AC289" s="7"/>
      <c r="AD289" s="7"/>
      <c r="AE289" s="7"/>
      <c r="AF289" s="8">
        <f>SUM(AA289:AE289)</f>
        <v>0</v>
      </c>
      <c r="AH289" s="6"/>
      <c r="AI289" s="7"/>
      <c r="AJ289" s="7"/>
      <c r="AK289" s="7"/>
      <c r="AL289" s="7"/>
      <c r="AM289" s="8">
        <f>SUM(AH289:AL289)</f>
        <v>0</v>
      </c>
      <c r="AO289" s="6"/>
      <c r="AP289" s="7"/>
      <c r="AQ289" s="7"/>
      <c r="AR289" s="7"/>
      <c r="AS289" s="7"/>
      <c r="AT289" s="8">
        <f>SUM(AO289:AS289)</f>
        <v>0</v>
      </c>
      <c r="AV289" s="6"/>
      <c r="AW289" s="7"/>
      <c r="AX289" s="7"/>
      <c r="AY289" s="7"/>
      <c r="AZ289" s="7"/>
      <c r="BA289" s="8">
        <f>SUM(AV289:AZ289)</f>
        <v>0</v>
      </c>
      <c r="BC289" s="6"/>
      <c r="BD289" s="7"/>
      <c r="BE289" s="7"/>
      <c r="BF289" s="7"/>
      <c r="BG289" s="7"/>
      <c r="BH289" s="8">
        <f>SUM(BC289:BG289)</f>
        <v>0</v>
      </c>
      <c r="BJ289" s="6"/>
      <c r="BK289" s="7"/>
      <c r="BL289" s="7"/>
      <c r="BM289" s="7"/>
      <c r="BN289" s="7"/>
      <c r="BO289" s="8">
        <f>SUM(BJ289:BN289)</f>
        <v>0</v>
      </c>
      <c r="BQ289" s="6"/>
      <c r="BR289" s="7"/>
      <c r="BS289" s="7"/>
      <c r="BT289" s="7"/>
      <c r="BU289" s="7"/>
      <c r="BV289" s="8">
        <f>SUM(BQ289:BU289)</f>
        <v>0</v>
      </c>
      <c r="BX289" s="6"/>
      <c r="BY289" s="7"/>
      <c r="BZ289" s="7"/>
      <c r="CA289" s="7"/>
      <c r="CB289" s="7"/>
      <c r="CC289" s="8">
        <f>SUM(BX289:CB289)</f>
        <v>0</v>
      </c>
      <c r="CE289" s="28">
        <f t="shared" si="1284"/>
        <v>0</v>
      </c>
      <c r="CF289" s="29">
        <f t="shared" si="1285"/>
        <v>0</v>
      </c>
      <c r="CG289" s="29">
        <f t="shared" si="1286"/>
        <v>0</v>
      </c>
      <c r="CH289" s="29">
        <f t="shared" si="1287"/>
        <v>0</v>
      </c>
      <c r="CI289" s="29">
        <f t="shared" si="1288"/>
        <v>0</v>
      </c>
      <c r="CJ289" s="8">
        <f>SUM(CE289:CI289)</f>
        <v>0</v>
      </c>
      <c r="CL289" s="6"/>
      <c r="CM289" s="7"/>
      <c r="CN289" s="7"/>
      <c r="CO289" s="7"/>
      <c r="CP289" s="7"/>
      <c r="CQ289" s="8">
        <f>SUM(CL289:CP289)</f>
        <v>0</v>
      </c>
      <c r="CS289" s="6"/>
      <c r="CT289" s="7"/>
      <c r="CU289" s="7"/>
      <c r="CV289" s="7"/>
      <c r="CW289" s="7"/>
      <c r="CX289" s="8">
        <f t="shared" si="1293"/>
        <v>0</v>
      </c>
      <c r="CZ289" s="6"/>
      <c r="DA289" s="7"/>
      <c r="DB289" s="7"/>
      <c r="DC289" s="7"/>
      <c r="DD289" s="7"/>
      <c r="DE289" s="8">
        <f t="shared" si="1294"/>
        <v>0</v>
      </c>
    </row>
    <row r="290" spans="2:109" ht="14" thickBot="1">
      <c r="C290" s="567"/>
      <c r="E290" s="14" t="s">
        <v>62</v>
      </c>
      <c r="F290" s="23">
        <f t="shared" si="1289"/>
        <v>0</v>
      </c>
      <c r="G290" s="24">
        <f t="shared" si="1280"/>
        <v>0</v>
      </c>
      <c r="H290" s="24">
        <f t="shared" si="1281"/>
        <v>0</v>
      </c>
      <c r="I290" s="24">
        <f t="shared" si="1282"/>
        <v>0</v>
      </c>
      <c r="J290" s="24">
        <f t="shared" si="1283"/>
        <v>0</v>
      </c>
      <c r="K290" s="8">
        <f t="shared" si="1290"/>
        <v>0</v>
      </c>
      <c r="M290" s="6"/>
      <c r="N290" s="7"/>
      <c r="O290" s="7"/>
      <c r="P290" s="7"/>
      <c r="Q290" s="7"/>
      <c r="R290" s="8">
        <f t="shared" si="1291"/>
        <v>0</v>
      </c>
      <c r="T290" s="6"/>
      <c r="U290" s="7"/>
      <c r="V290" s="7"/>
      <c r="W290" s="7"/>
      <c r="X290" s="7"/>
      <c r="Y290" s="8">
        <f t="shared" si="1292"/>
        <v>0</v>
      </c>
      <c r="AA290" s="6"/>
      <c r="AB290" s="7"/>
      <c r="AC290" s="7"/>
      <c r="AD290" s="7"/>
      <c r="AE290" s="7"/>
      <c r="AF290" s="8">
        <f>SUM(AA290:AE290)</f>
        <v>0</v>
      </c>
      <c r="AH290" s="6"/>
      <c r="AI290" s="7"/>
      <c r="AJ290" s="7"/>
      <c r="AK290" s="7"/>
      <c r="AL290" s="7"/>
      <c r="AM290" s="8">
        <f>SUM(AH290:AL290)</f>
        <v>0</v>
      </c>
      <c r="AO290" s="6"/>
      <c r="AP290" s="7"/>
      <c r="AQ290" s="7"/>
      <c r="AR290" s="7"/>
      <c r="AS290" s="7"/>
      <c r="AT290" s="8">
        <f>SUM(AO290:AS290)</f>
        <v>0</v>
      </c>
      <c r="AV290" s="6"/>
      <c r="AW290" s="7"/>
      <c r="AX290" s="7"/>
      <c r="AY290" s="7"/>
      <c r="AZ290" s="7"/>
      <c r="BA290" s="8">
        <f>SUM(AV290:AZ290)</f>
        <v>0</v>
      </c>
      <c r="BC290" s="6"/>
      <c r="BD290" s="7"/>
      <c r="BE290" s="7"/>
      <c r="BF290" s="7"/>
      <c r="BG290" s="7"/>
      <c r="BH290" s="8">
        <f>SUM(BC290:BG290)</f>
        <v>0</v>
      </c>
      <c r="BJ290" s="6"/>
      <c r="BK290" s="7"/>
      <c r="BL290" s="7"/>
      <c r="BM290" s="7"/>
      <c r="BN290" s="7"/>
      <c r="BO290" s="8">
        <f>SUM(BJ290:BN290)</f>
        <v>0</v>
      </c>
      <c r="BQ290" s="6"/>
      <c r="BR290" s="7"/>
      <c r="BS290" s="7"/>
      <c r="BT290" s="7"/>
      <c r="BU290" s="7"/>
      <c r="BV290" s="8">
        <f>SUM(BQ290:BU290)</f>
        <v>0</v>
      </c>
      <c r="BX290" s="6"/>
      <c r="BY290" s="7"/>
      <c r="BZ290" s="7"/>
      <c r="CA290" s="7"/>
      <c r="CB290" s="7"/>
      <c r="CC290" s="8">
        <f>SUM(BX290:CB290)</f>
        <v>0</v>
      </c>
      <c r="CE290" s="493">
        <f t="shared" si="1284"/>
        <v>0</v>
      </c>
      <c r="CF290" s="494">
        <f t="shared" si="1285"/>
        <v>0</v>
      </c>
      <c r="CG290" s="494">
        <f t="shared" si="1286"/>
        <v>0</v>
      </c>
      <c r="CH290" s="494">
        <f t="shared" si="1287"/>
        <v>0</v>
      </c>
      <c r="CI290" s="494">
        <f t="shared" si="1288"/>
        <v>0</v>
      </c>
      <c r="CJ290" s="495">
        <f>SUM(CE290:CI290)</f>
        <v>0</v>
      </c>
      <c r="CL290" s="6"/>
      <c r="CM290" s="7"/>
      <c r="CN290" s="7"/>
      <c r="CO290" s="7"/>
      <c r="CP290" s="7"/>
      <c r="CQ290" s="8">
        <f>SUM(CL290:CP290)</f>
        <v>0</v>
      </c>
      <c r="CS290" s="6"/>
      <c r="CT290" s="7"/>
      <c r="CU290" s="7"/>
      <c r="CV290" s="7"/>
      <c r="CW290" s="7"/>
      <c r="CX290" s="8">
        <f t="shared" si="1293"/>
        <v>0</v>
      </c>
      <c r="CZ290" s="6"/>
      <c r="DA290" s="7"/>
      <c r="DB290" s="7"/>
      <c r="DC290" s="7"/>
      <c r="DD290" s="7"/>
      <c r="DE290" s="8">
        <f t="shared" si="1294"/>
        <v>0</v>
      </c>
    </row>
    <row r="291" spans="2:109" ht="14" thickBot="1">
      <c r="C291" s="554"/>
      <c r="E291" s="9"/>
      <c r="F291" s="10">
        <f>SUM(F287:F290)</f>
        <v>0</v>
      </c>
      <c r="G291" s="11">
        <f t="shared" ref="G291:J291" si="1295">SUM(G287:G290)</f>
        <v>0</v>
      </c>
      <c r="H291" s="11">
        <f t="shared" si="1295"/>
        <v>0</v>
      </c>
      <c r="I291" s="11">
        <f t="shared" si="1295"/>
        <v>0</v>
      </c>
      <c r="J291" s="11">
        <f t="shared" si="1295"/>
        <v>0</v>
      </c>
      <c r="K291" s="25">
        <f>SUM(K287:K290)</f>
        <v>0</v>
      </c>
      <c r="M291" s="10">
        <f>SUM(M287:M290)</f>
        <v>0</v>
      </c>
      <c r="N291" s="11">
        <f t="shared" ref="N291:Q291" si="1296">SUM(N287:N290)</f>
        <v>0</v>
      </c>
      <c r="O291" s="11">
        <f t="shared" si="1296"/>
        <v>0</v>
      </c>
      <c r="P291" s="11">
        <f t="shared" si="1296"/>
        <v>0</v>
      </c>
      <c r="Q291" s="11">
        <f t="shared" si="1296"/>
        <v>0</v>
      </c>
      <c r="R291" s="25">
        <f>SUM(R287:R290)</f>
        <v>0</v>
      </c>
      <c r="T291" s="10">
        <f>SUM(T287:T290)</f>
        <v>0</v>
      </c>
      <c r="U291" s="11">
        <f t="shared" ref="U291:X291" si="1297">SUM(U287:U290)</f>
        <v>0</v>
      </c>
      <c r="V291" s="11">
        <f t="shared" si="1297"/>
        <v>0</v>
      </c>
      <c r="W291" s="11">
        <f t="shared" si="1297"/>
        <v>0</v>
      </c>
      <c r="X291" s="11">
        <f t="shared" si="1297"/>
        <v>0</v>
      </c>
      <c r="Y291" s="25">
        <f>SUM(Y287:Y290)</f>
        <v>0</v>
      </c>
      <c r="AA291" s="10">
        <f>SUM(AA287:AA290)</f>
        <v>0</v>
      </c>
      <c r="AB291" s="11">
        <f t="shared" ref="AB291:AE291" si="1298">SUM(AB287:AB290)</f>
        <v>0</v>
      </c>
      <c r="AC291" s="11">
        <f t="shared" si="1298"/>
        <v>0</v>
      </c>
      <c r="AD291" s="11">
        <f t="shared" si="1298"/>
        <v>0</v>
      </c>
      <c r="AE291" s="11">
        <f t="shared" si="1298"/>
        <v>0</v>
      </c>
      <c r="AF291" s="25">
        <f>SUM(AF287:AF290)</f>
        <v>0</v>
      </c>
      <c r="AH291" s="10">
        <f t="shared" ref="AH291:AM291" si="1299">SUM(AH287:AH290)</f>
        <v>0</v>
      </c>
      <c r="AI291" s="11">
        <f t="shared" si="1299"/>
        <v>0</v>
      </c>
      <c r="AJ291" s="11">
        <f t="shared" si="1299"/>
        <v>0</v>
      </c>
      <c r="AK291" s="11">
        <f t="shared" si="1299"/>
        <v>0</v>
      </c>
      <c r="AL291" s="11">
        <f t="shared" si="1299"/>
        <v>0</v>
      </c>
      <c r="AM291" s="25">
        <f t="shared" si="1299"/>
        <v>0</v>
      </c>
      <c r="AO291" s="10">
        <f t="shared" ref="AO291:AT291" si="1300">SUM(AO287:AO290)</f>
        <v>0</v>
      </c>
      <c r="AP291" s="11">
        <f t="shared" si="1300"/>
        <v>0</v>
      </c>
      <c r="AQ291" s="11">
        <f t="shared" si="1300"/>
        <v>0</v>
      </c>
      <c r="AR291" s="11">
        <f t="shared" si="1300"/>
        <v>0</v>
      </c>
      <c r="AS291" s="11">
        <f t="shared" si="1300"/>
        <v>0</v>
      </c>
      <c r="AT291" s="25">
        <f t="shared" si="1300"/>
        <v>0</v>
      </c>
      <c r="AV291" s="10">
        <f t="shared" ref="AV291:BA291" si="1301">SUM(AV287:AV290)</f>
        <v>0</v>
      </c>
      <c r="AW291" s="11">
        <f t="shared" si="1301"/>
        <v>0</v>
      </c>
      <c r="AX291" s="11">
        <f t="shared" si="1301"/>
        <v>0</v>
      </c>
      <c r="AY291" s="11">
        <f t="shared" si="1301"/>
        <v>0</v>
      </c>
      <c r="AZ291" s="11">
        <f t="shared" si="1301"/>
        <v>0</v>
      </c>
      <c r="BA291" s="25">
        <f t="shared" si="1301"/>
        <v>0</v>
      </c>
      <c r="BC291" s="10">
        <f t="shared" ref="BC291:BH291" si="1302">SUM(BC287:BC290)</f>
        <v>0</v>
      </c>
      <c r="BD291" s="11">
        <f t="shared" si="1302"/>
        <v>0</v>
      </c>
      <c r="BE291" s="11">
        <f t="shared" si="1302"/>
        <v>0</v>
      </c>
      <c r="BF291" s="11">
        <f t="shared" si="1302"/>
        <v>0</v>
      </c>
      <c r="BG291" s="11">
        <f t="shared" si="1302"/>
        <v>0</v>
      </c>
      <c r="BH291" s="25">
        <f t="shared" si="1302"/>
        <v>0</v>
      </c>
      <c r="BJ291" s="10">
        <f t="shared" ref="BJ291:BO291" si="1303">SUM(BJ287:BJ290)</f>
        <v>0</v>
      </c>
      <c r="BK291" s="11">
        <f t="shared" si="1303"/>
        <v>0</v>
      </c>
      <c r="BL291" s="11">
        <f t="shared" si="1303"/>
        <v>0</v>
      </c>
      <c r="BM291" s="11">
        <f t="shared" si="1303"/>
        <v>0</v>
      </c>
      <c r="BN291" s="11">
        <f t="shared" si="1303"/>
        <v>0</v>
      </c>
      <c r="BO291" s="25">
        <f t="shared" si="1303"/>
        <v>0</v>
      </c>
      <c r="BQ291" s="10">
        <f t="shared" ref="BQ291:BV291" si="1304">SUM(BQ287:BQ290)</f>
        <v>0</v>
      </c>
      <c r="BR291" s="11">
        <f t="shared" si="1304"/>
        <v>0</v>
      </c>
      <c r="BS291" s="11">
        <f t="shared" si="1304"/>
        <v>0</v>
      </c>
      <c r="BT291" s="11">
        <f t="shared" si="1304"/>
        <v>0</v>
      </c>
      <c r="BU291" s="11">
        <f t="shared" si="1304"/>
        <v>0</v>
      </c>
      <c r="BV291" s="25">
        <f t="shared" si="1304"/>
        <v>0</v>
      </c>
      <c r="BX291" s="10">
        <f t="shared" ref="BX291:CC291" si="1305">SUM(BX287:BX290)</f>
        <v>0</v>
      </c>
      <c r="BY291" s="11">
        <f t="shared" si="1305"/>
        <v>0</v>
      </c>
      <c r="BZ291" s="11">
        <f t="shared" si="1305"/>
        <v>0</v>
      </c>
      <c r="CA291" s="11">
        <f t="shared" si="1305"/>
        <v>0</v>
      </c>
      <c r="CB291" s="11">
        <f t="shared" si="1305"/>
        <v>0</v>
      </c>
      <c r="CC291" s="25">
        <f t="shared" si="1305"/>
        <v>0</v>
      </c>
      <c r="CE291" s="62">
        <f t="shared" ref="CE291:CJ291" si="1306">SUM(CE287:CE290)</f>
        <v>0</v>
      </c>
      <c r="CF291" s="63">
        <f t="shared" si="1306"/>
        <v>0</v>
      </c>
      <c r="CG291" s="63">
        <f t="shared" si="1306"/>
        <v>0</v>
      </c>
      <c r="CH291" s="63">
        <f t="shared" si="1306"/>
        <v>0</v>
      </c>
      <c r="CI291" s="63">
        <f t="shared" si="1306"/>
        <v>0</v>
      </c>
      <c r="CJ291" s="25">
        <f t="shared" si="1306"/>
        <v>0</v>
      </c>
      <c r="CL291" s="10">
        <f>SUM(CL287:CL290)</f>
        <v>0</v>
      </c>
      <c r="CM291" s="11">
        <f t="shared" ref="CM291:CQ291" si="1307">SUM(CM287:CM290)</f>
        <v>0</v>
      </c>
      <c r="CN291" s="11">
        <f t="shared" si="1307"/>
        <v>0</v>
      </c>
      <c r="CO291" s="11">
        <f t="shared" si="1307"/>
        <v>0</v>
      </c>
      <c r="CP291" s="11">
        <f t="shared" si="1307"/>
        <v>0</v>
      </c>
      <c r="CQ291" s="25">
        <f t="shared" si="1307"/>
        <v>0</v>
      </c>
      <c r="CS291" s="10">
        <f>SUM(CS287:CS290)</f>
        <v>0</v>
      </c>
      <c r="CT291" s="11">
        <f t="shared" ref="CT291:CW291" si="1308">SUM(CT287:CT290)</f>
        <v>0</v>
      </c>
      <c r="CU291" s="11">
        <f t="shared" si="1308"/>
        <v>0</v>
      </c>
      <c r="CV291" s="11">
        <f t="shared" si="1308"/>
        <v>0</v>
      </c>
      <c r="CW291" s="11">
        <f t="shared" si="1308"/>
        <v>0</v>
      </c>
      <c r="CX291" s="25">
        <f>SUM(CX287:CX290)</f>
        <v>0</v>
      </c>
      <c r="CZ291" s="10">
        <f>SUM(CZ287:CZ290)</f>
        <v>0</v>
      </c>
      <c r="DA291" s="11">
        <f t="shared" ref="DA291:DD291" si="1309">SUM(DA287:DA290)</f>
        <v>0</v>
      </c>
      <c r="DB291" s="11">
        <f t="shared" si="1309"/>
        <v>0</v>
      </c>
      <c r="DC291" s="11">
        <f t="shared" si="1309"/>
        <v>0</v>
      </c>
      <c r="DD291" s="11">
        <f t="shared" si="1309"/>
        <v>0</v>
      </c>
      <c r="DE291" s="25">
        <f>SUM(DE287:DE290)</f>
        <v>0</v>
      </c>
    </row>
    <row r="293" spans="2:109">
      <c r="B293" s="123"/>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L293" s="20"/>
      <c r="CM293" s="20"/>
      <c r="CN293" s="20"/>
      <c r="CO293" s="20"/>
      <c r="CP293" s="20"/>
      <c r="CQ293" s="20"/>
      <c r="CR293" s="20"/>
      <c r="CS293" s="20"/>
      <c r="CT293" s="20"/>
      <c r="CU293" s="20"/>
      <c r="CV293" s="20"/>
      <c r="CW293" s="20"/>
      <c r="CX293" s="20"/>
      <c r="CY293" s="20"/>
      <c r="CZ293" s="20"/>
      <c r="DA293" s="20"/>
      <c r="DB293" s="20"/>
      <c r="DC293" s="20"/>
      <c r="DD293" s="20"/>
      <c r="DE293" s="20"/>
    </row>
    <row r="294" spans="2:109" ht="14" thickBot="1">
      <c r="B294" s="94">
        <v>10</v>
      </c>
      <c r="C294" s="12" t="s">
        <v>71</v>
      </c>
    </row>
    <row r="295" spans="2:109">
      <c r="C295" s="553">
        <v>2024</v>
      </c>
      <c r="E295" s="1" t="s">
        <v>59</v>
      </c>
      <c r="F295" s="2"/>
      <c r="G295" s="3"/>
      <c r="H295" s="3"/>
      <c r="I295" s="3"/>
      <c r="J295" s="3"/>
      <c r="K295" s="4">
        <f>SUM(F295:J295)</f>
        <v>0</v>
      </c>
      <c r="M295" s="2"/>
      <c r="N295" s="3"/>
      <c r="O295" s="3"/>
      <c r="P295" s="3"/>
      <c r="Q295" s="3"/>
      <c r="R295" s="4">
        <f>SUM(M295:Q295)</f>
        <v>0</v>
      </c>
      <c r="T295" s="2"/>
      <c r="U295" s="3"/>
      <c r="V295" s="3"/>
      <c r="W295" s="3"/>
      <c r="X295" s="3"/>
      <c r="Y295" s="4">
        <f>SUM(T295:X295)</f>
        <v>0</v>
      </c>
      <c r="AA295" s="2"/>
      <c r="AB295" s="3"/>
      <c r="AC295" s="3"/>
      <c r="AD295" s="3"/>
      <c r="AE295" s="3"/>
      <c r="AF295" s="4">
        <f>SUM(AA295:AE295)</f>
        <v>0</v>
      </c>
      <c r="AH295" s="2"/>
      <c r="AI295" s="3"/>
      <c r="AJ295" s="3"/>
      <c r="AK295" s="3"/>
      <c r="AL295" s="3"/>
      <c r="AM295" s="4">
        <f>SUM(AH295:AL295)</f>
        <v>0</v>
      </c>
      <c r="AO295" s="2"/>
      <c r="AP295" s="3"/>
      <c r="AQ295" s="3"/>
      <c r="AR295" s="3"/>
      <c r="AS295" s="3"/>
      <c r="AT295" s="4">
        <f>SUM(AO295:AS295)</f>
        <v>0</v>
      </c>
      <c r="AV295" s="2"/>
      <c r="AW295" s="3"/>
      <c r="AX295" s="3"/>
      <c r="AY295" s="3"/>
      <c r="AZ295" s="3"/>
      <c r="BA295" s="4">
        <f>SUM(AV295:AZ295)</f>
        <v>0</v>
      </c>
      <c r="BC295" s="2"/>
      <c r="BD295" s="3"/>
      <c r="BE295" s="3"/>
      <c r="BF295" s="3"/>
      <c r="BG295" s="3"/>
      <c r="BH295" s="4">
        <f>SUM(BC295:BG295)</f>
        <v>0</v>
      </c>
      <c r="BJ295" s="2"/>
      <c r="BK295" s="3"/>
      <c r="BL295" s="3"/>
      <c r="BM295" s="3"/>
      <c r="BN295" s="3"/>
      <c r="BO295" s="4">
        <f>SUM(BJ295:BN295)</f>
        <v>0</v>
      </c>
      <c r="BQ295" s="2"/>
      <c r="BR295" s="3"/>
      <c r="BS295" s="3"/>
      <c r="BT295" s="3"/>
      <c r="BU295" s="3"/>
      <c r="BV295" s="4">
        <f>SUM(BQ295:BU295)</f>
        <v>0</v>
      </c>
      <c r="BX295" s="2"/>
      <c r="BY295" s="3"/>
      <c r="BZ295" s="3"/>
      <c r="CA295" s="3"/>
      <c r="CB295" s="3"/>
      <c r="CC295" s="4">
        <f>SUM(BX295:CB295)</f>
        <v>0</v>
      </c>
      <c r="CE295" s="26">
        <f t="shared" ref="CE295:CE298" si="1310">F295+M295+T295+AA295+AH295+AO295+AV295+BC295+BJ295+BQ295+BX295</f>
        <v>0</v>
      </c>
      <c r="CF295" s="27">
        <f t="shared" ref="CF295:CF298" si="1311">G295+N295+U295+AB295+AI295+AP295+AW295+BD295+BK295+BR295+BY295</f>
        <v>0</v>
      </c>
      <c r="CG295" s="27">
        <f t="shared" ref="CG295:CG298" si="1312">H295+O295+V295+AC295+AJ295+AQ295+AX295+BE295+BL295+BS295+BZ295</f>
        <v>0</v>
      </c>
      <c r="CH295" s="27">
        <f t="shared" ref="CH295:CH298" si="1313">I295+P295+W295+AD295+AK295+AR295+AY295+BF295+BM295+BT295+CA295</f>
        <v>0</v>
      </c>
      <c r="CI295" s="27">
        <f t="shared" ref="CI295:CI298" si="1314">J295+Q295+X295+AE295+AL295+AS295+AZ295+BG295+BN295+BU295+CB295</f>
        <v>0</v>
      </c>
      <c r="CJ295" s="4">
        <f>SUM(CE295:CI295)</f>
        <v>0</v>
      </c>
      <c r="CL295" s="2"/>
      <c r="CM295" s="3"/>
      <c r="CN295" s="3"/>
      <c r="CO295" s="3"/>
      <c r="CP295" s="3"/>
      <c r="CQ295" s="4">
        <f>SUM(CL295:CP295)</f>
        <v>0</v>
      </c>
      <c r="CS295" s="2"/>
      <c r="CT295" s="3"/>
      <c r="CU295" s="3"/>
      <c r="CV295" s="3"/>
      <c r="CW295" s="3"/>
      <c r="CX295" s="4">
        <f>SUM(CS295:CW295)</f>
        <v>0</v>
      </c>
      <c r="CZ295" s="2"/>
      <c r="DA295" s="3"/>
      <c r="DB295" s="3"/>
      <c r="DC295" s="3"/>
      <c r="DD295" s="3"/>
      <c r="DE295" s="4">
        <f>SUM(CZ295:DD295)</f>
        <v>0</v>
      </c>
    </row>
    <row r="296" spans="2:109">
      <c r="C296" s="567"/>
      <c r="E296" s="5" t="s">
        <v>60</v>
      </c>
      <c r="F296" s="6"/>
      <c r="G296" s="7"/>
      <c r="H296" s="7"/>
      <c r="I296" s="7"/>
      <c r="J296" s="7"/>
      <c r="K296" s="8">
        <f t="shared" ref="K296:K298" si="1315">SUM(F296:J296)</f>
        <v>0</v>
      </c>
      <c r="M296" s="6"/>
      <c r="N296" s="7"/>
      <c r="O296" s="7"/>
      <c r="P296" s="7"/>
      <c r="Q296" s="7"/>
      <c r="R296" s="8">
        <f t="shared" ref="R296:R298" si="1316">SUM(M296:Q296)</f>
        <v>0</v>
      </c>
      <c r="T296" s="6"/>
      <c r="U296" s="7"/>
      <c r="V296" s="7"/>
      <c r="W296" s="7"/>
      <c r="X296" s="7"/>
      <c r="Y296" s="8">
        <f t="shared" ref="Y296:Y298" si="1317">SUM(T296:X296)</f>
        <v>0</v>
      </c>
      <c r="AA296" s="6"/>
      <c r="AB296" s="7"/>
      <c r="AC296" s="7"/>
      <c r="AD296" s="7"/>
      <c r="AE296" s="7"/>
      <c r="AF296" s="8">
        <f>SUM(AA296:AE296)</f>
        <v>0</v>
      </c>
      <c r="AH296" s="6"/>
      <c r="AI296" s="7"/>
      <c r="AJ296" s="7"/>
      <c r="AK296" s="7"/>
      <c r="AL296" s="7"/>
      <c r="AM296" s="8">
        <f>SUM(AH296:AL296)</f>
        <v>0</v>
      </c>
      <c r="AO296" s="6"/>
      <c r="AP296" s="7"/>
      <c r="AQ296" s="7"/>
      <c r="AR296" s="7"/>
      <c r="AS296" s="7"/>
      <c r="AT296" s="8">
        <f>SUM(AO296:AS296)</f>
        <v>0</v>
      </c>
      <c r="AV296" s="6"/>
      <c r="AW296" s="7"/>
      <c r="AX296" s="7"/>
      <c r="AY296" s="7"/>
      <c r="AZ296" s="7"/>
      <c r="BA296" s="8">
        <f>SUM(AV296:AZ296)</f>
        <v>0</v>
      </c>
      <c r="BC296" s="6"/>
      <c r="BD296" s="7"/>
      <c r="BE296" s="7"/>
      <c r="BF296" s="7"/>
      <c r="BG296" s="7"/>
      <c r="BH296" s="8">
        <f>SUM(BC296:BG296)</f>
        <v>0</v>
      </c>
      <c r="BJ296" s="6"/>
      <c r="BK296" s="7"/>
      <c r="BL296" s="7"/>
      <c r="BM296" s="7"/>
      <c r="BN296" s="7"/>
      <c r="BO296" s="8">
        <f>SUM(BJ296:BN296)</f>
        <v>0</v>
      </c>
      <c r="BQ296" s="6"/>
      <c r="BR296" s="7"/>
      <c r="BS296" s="7"/>
      <c r="BT296" s="7"/>
      <c r="BU296" s="7"/>
      <c r="BV296" s="8">
        <f>SUM(BQ296:BU296)</f>
        <v>0</v>
      </c>
      <c r="BX296" s="6"/>
      <c r="BY296" s="7"/>
      <c r="BZ296" s="7"/>
      <c r="CA296" s="7"/>
      <c r="CB296" s="7"/>
      <c r="CC296" s="8">
        <f>SUM(BX296:CB296)</f>
        <v>0</v>
      </c>
      <c r="CE296" s="28">
        <f t="shared" si="1310"/>
        <v>0</v>
      </c>
      <c r="CF296" s="29">
        <f t="shared" si="1311"/>
        <v>0</v>
      </c>
      <c r="CG296" s="29">
        <f t="shared" si="1312"/>
        <v>0</v>
      </c>
      <c r="CH296" s="29">
        <f t="shared" si="1313"/>
        <v>0</v>
      </c>
      <c r="CI296" s="29">
        <f t="shared" si="1314"/>
        <v>0</v>
      </c>
      <c r="CJ296" s="8">
        <f>SUM(CE296:CI296)</f>
        <v>0</v>
      </c>
      <c r="CL296" s="6"/>
      <c r="CM296" s="7"/>
      <c r="CN296" s="7"/>
      <c r="CO296" s="7"/>
      <c r="CP296" s="7"/>
      <c r="CQ296" s="8">
        <f>SUM(CL296:CP296)</f>
        <v>0</v>
      </c>
      <c r="CS296" s="6"/>
      <c r="CT296" s="7"/>
      <c r="CU296" s="7"/>
      <c r="CV296" s="7"/>
      <c r="CW296" s="7"/>
      <c r="CX296" s="8">
        <f t="shared" ref="CX296:CX298" si="1318">SUM(CS296:CW296)</f>
        <v>0</v>
      </c>
      <c r="CZ296" s="6"/>
      <c r="DA296" s="7"/>
      <c r="DB296" s="7"/>
      <c r="DC296" s="7"/>
      <c r="DD296" s="7"/>
      <c r="DE296" s="8">
        <f t="shared" ref="DE296:DE298" si="1319">SUM(CZ296:DD296)</f>
        <v>0</v>
      </c>
    </row>
    <row r="297" spans="2:109">
      <c r="C297" s="567"/>
      <c r="E297" s="5" t="s">
        <v>61</v>
      </c>
      <c r="F297" s="6"/>
      <c r="G297" s="7"/>
      <c r="H297" s="7"/>
      <c r="I297" s="7"/>
      <c r="J297" s="7"/>
      <c r="K297" s="8">
        <f t="shared" si="1315"/>
        <v>0</v>
      </c>
      <c r="M297" s="6"/>
      <c r="N297" s="7"/>
      <c r="O297" s="7"/>
      <c r="P297" s="7"/>
      <c r="Q297" s="7"/>
      <c r="R297" s="8">
        <f t="shared" si="1316"/>
        <v>0</v>
      </c>
      <c r="T297" s="6"/>
      <c r="U297" s="7"/>
      <c r="V297" s="7"/>
      <c r="W297" s="7"/>
      <c r="X297" s="7"/>
      <c r="Y297" s="8">
        <f t="shared" si="1317"/>
        <v>0</v>
      </c>
      <c r="AA297" s="6"/>
      <c r="AB297" s="7"/>
      <c r="AC297" s="7"/>
      <c r="AD297" s="7"/>
      <c r="AE297" s="7"/>
      <c r="AF297" s="8">
        <f>SUM(AA297:AE297)</f>
        <v>0</v>
      </c>
      <c r="AH297" s="6"/>
      <c r="AI297" s="7"/>
      <c r="AJ297" s="7"/>
      <c r="AK297" s="7"/>
      <c r="AL297" s="7"/>
      <c r="AM297" s="8">
        <f>SUM(AH297:AL297)</f>
        <v>0</v>
      </c>
      <c r="AO297" s="6"/>
      <c r="AP297" s="7"/>
      <c r="AQ297" s="7"/>
      <c r="AR297" s="7"/>
      <c r="AS297" s="7"/>
      <c r="AT297" s="8">
        <f>SUM(AO297:AS297)</f>
        <v>0</v>
      </c>
      <c r="AV297" s="6"/>
      <c r="AW297" s="7"/>
      <c r="AX297" s="7"/>
      <c r="AY297" s="7"/>
      <c r="AZ297" s="7"/>
      <c r="BA297" s="8">
        <f>SUM(AV297:AZ297)</f>
        <v>0</v>
      </c>
      <c r="BC297" s="6"/>
      <c r="BD297" s="7"/>
      <c r="BE297" s="7"/>
      <c r="BF297" s="7"/>
      <c r="BG297" s="7"/>
      <c r="BH297" s="8">
        <f>SUM(BC297:BG297)</f>
        <v>0</v>
      </c>
      <c r="BJ297" s="6"/>
      <c r="BK297" s="7"/>
      <c r="BL297" s="7"/>
      <c r="BM297" s="7"/>
      <c r="BN297" s="7"/>
      <c r="BO297" s="8">
        <f>SUM(BJ297:BN297)</f>
        <v>0</v>
      </c>
      <c r="BQ297" s="6"/>
      <c r="BR297" s="7"/>
      <c r="BS297" s="7"/>
      <c r="BT297" s="7"/>
      <c r="BU297" s="7"/>
      <c r="BV297" s="8">
        <f>SUM(BQ297:BU297)</f>
        <v>0</v>
      </c>
      <c r="BX297" s="6"/>
      <c r="BY297" s="7"/>
      <c r="BZ297" s="7"/>
      <c r="CA297" s="7"/>
      <c r="CB297" s="7"/>
      <c r="CC297" s="8">
        <f>SUM(BX297:CB297)</f>
        <v>0</v>
      </c>
      <c r="CE297" s="28">
        <f t="shared" si="1310"/>
        <v>0</v>
      </c>
      <c r="CF297" s="29">
        <f t="shared" si="1311"/>
        <v>0</v>
      </c>
      <c r="CG297" s="29">
        <f t="shared" si="1312"/>
        <v>0</v>
      </c>
      <c r="CH297" s="29">
        <f t="shared" si="1313"/>
        <v>0</v>
      </c>
      <c r="CI297" s="29">
        <f t="shared" si="1314"/>
        <v>0</v>
      </c>
      <c r="CJ297" s="8">
        <f>SUM(CE297:CI297)</f>
        <v>0</v>
      </c>
      <c r="CL297" s="6"/>
      <c r="CM297" s="7"/>
      <c r="CN297" s="7"/>
      <c r="CO297" s="7"/>
      <c r="CP297" s="7"/>
      <c r="CQ297" s="8">
        <f>SUM(CL297:CP297)</f>
        <v>0</v>
      </c>
      <c r="CS297" s="6"/>
      <c r="CT297" s="7"/>
      <c r="CU297" s="7"/>
      <c r="CV297" s="7"/>
      <c r="CW297" s="7"/>
      <c r="CX297" s="8">
        <f t="shared" si="1318"/>
        <v>0</v>
      </c>
      <c r="CZ297" s="6"/>
      <c r="DA297" s="7"/>
      <c r="DB297" s="7"/>
      <c r="DC297" s="7"/>
      <c r="DD297" s="7"/>
      <c r="DE297" s="8">
        <f t="shared" si="1319"/>
        <v>0</v>
      </c>
    </row>
    <row r="298" spans="2:109" ht="14" thickBot="1">
      <c r="C298" s="567"/>
      <c r="E298" s="5" t="s">
        <v>62</v>
      </c>
      <c r="F298" s="6"/>
      <c r="G298" s="7"/>
      <c r="H298" s="7"/>
      <c r="I298" s="7"/>
      <c r="J298" s="7"/>
      <c r="K298" s="8">
        <f t="shared" si="1315"/>
        <v>0</v>
      </c>
      <c r="M298" s="6"/>
      <c r="N298" s="7"/>
      <c r="O298" s="7"/>
      <c r="P298" s="7"/>
      <c r="Q298" s="7"/>
      <c r="R298" s="8">
        <f t="shared" si="1316"/>
        <v>0</v>
      </c>
      <c r="T298" s="6"/>
      <c r="U298" s="7"/>
      <c r="V298" s="7"/>
      <c r="W298" s="7"/>
      <c r="X298" s="7"/>
      <c r="Y298" s="8">
        <f t="shared" si="1317"/>
        <v>0</v>
      </c>
      <c r="AA298" s="6"/>
      <c r="AB298" s="7"/>
      <c r="AC298" s="7"/>
      <c r="AD298" s="7"/>
      <c r="AE298" s="7"/>
      <c r="AF298" s="8">
        <f>SUM(AA298:AE298)</f>
        <v>0</v>
      </c>
      <c r="AH298" s="6"/>
      <c r="AI298" s="7"/>
      <c r="AJ298" s="7"/>
      <c r="AK298" s="7"/>
      <c r="AL298" s="7"/>
      <c r="AM298" s="8">
        <f>SUM(AH298:AL298)</f>
        <v>0</v>
      </c>
      <c r="AO298" s="6"/>
      <c r="AP298" s="7"/>
      <c r="AQ298" s="7"/>
      <c r="AR298" s="7"/>
      <c r="AS298" s="7"/>
      <c r="AT298" s="8">
        <f>SUM(AO298:AS298)</f>
        <v>0</v>
      </c>
      <c r="AV298" s="6"/>
      <c r="AW298" s="7"/>
      <c r="AX298" s="7"/>
      <c r="AY298" s="7"/>
      <c r="AZ298" s="7"/>
      <c r="BA298" s="8">
        <f>SUM(AV298:AZ298)</f>
        <v>0</v>
      </c>
      <c r="BC298" s="6"/>
      <c r="BD298" s="7"/>
      <c r="BE298" s="7"/>
      <c r="BF298" s="7"/>
      <c r="BG298" s="7"/>
      <c r="BH298" s="8">
        <f>SUM(BC298:BG298)</f>
        <v>0</v>
      </c>
      <c r="BJ298" s="6"/>
      <c r="BK298" s="7"/>
      <c r="BL298" s="7"/>
      <c r="BM298" s="7"/>
      <c r="BN298" s="7"/>
      <c r="BO298" s="8">
        <f>SUM(BJ298:BN298)</f>
        <v>0</v>
      </c>
      <c r="BQ298" s="6"/>
      <c r="BR298" s="7"/>
      <c r="BS298" s="7"/>
      <c r="BT298" s="7"/>
      <c r="BU298" s="7"/>
      <c r="BV298" s="8">
        <f>SUM(BQ298:BU298)</f>
        <v>0</v>
      </c>
      <c r="BX298" s="6"/>
      <c r="BY298" s="7"/>
      <c r="BZ298" s="7"/>
      <c r="CA298" s="7"/>
      <c r="CB298" s="7"/>
      <c r="CC298" s="8">
        <f>SUM(BX298:CB298)</f>
        <v>0</v>
      </c>
      <c r="CE298" s="493">
        <f t="shared" si="1310"/>
        <v>0</v>
      </c>
      <c r="CF298" s="494">
        <f t="shared" si="1311"/>
        <v>0</v>
      </c>
      <c r="CG298" s="494">
        <f t="shared" si="1312"/>
        <v>0</v>
      </c>
      <c r="CH298" s="494">
        <f t="shared" si="1313"/>
        <v>0</v>
      </c>
      <c r="CI298" s="494">
        <f t="shared" si="1314"/>
        <v>0</v>
      </c>
      <c r="CJ298" s="495">
        <f>SUM(CE298:CI298)</f>
        <v>0</v>
      </c>
      <c r="CL298" s="6"/>
      <c r="CM298" s="7"/>
      <c r="CN298" s="7"/>
      <c r="CO298" s="7"/>
      <c r="CP298" s="7"/>
      <c r="CQ298" s="8">
        <f>SUM(CL298:CP298)</f>
        <v>0</v>
      </c>
      <c r="CS298" s="6"/>
      <c r="CT298" s="7"/>
      <c r="CU298" s="7"/>
      <c r="CV298" s="7"/>
      <c r="CW298" s="7"/>
      <c r="CX298" s="8">
        <f t="shared" si="1318"/>
        <v>0</v>
      </c>
      <c r="CZ298" s="6"/>
      <c r="DA298" s="7"/>
      <c r="DB298" s="7"/>
      <c r="DC298" s="7"/>
      <c r="DD298" s="7"/>
      <c r="DE298" s="8">
        <f t="shared" si="1319"/>
        <v>0</v>
      </c>
    </row>
    <row r="299" spans="2:109" ht="14" thickBot="1">
      <c r="C299" s="554"/>
      <c r="E299" s="9"/>
      <c r="F299" s="10">
        <f>SUM(F295:F298)</f>
        <v>0</v>
      </c>
      <c r="G299" s="11">
        <f t="shared" ref="G299:J299" si="1320">SUM(G295:G298)</f>
        <v>0</v>
      </c>
      <c r="H299" s="11">
        <f t="shared" si="1320"/>
        <v>0</v>
      </c>
      <c r="I299" s="11">
        <f t="shared" si="1320"/>
        <v>0</v>
      </c>
      <c r="J299" s="61">
        <f t="shared" si="1320"/>
        <v>0</v>
      </c>
      <c r="K299" s="25">
        <f>SUM(K295:K298)</f>
        <v>0</v>
      </c>
      <c r="M299" s="10">
        <f>SUM(M295:M298)</f>
        <v>0</v>
      </c>
      <c r="N299" s="11">
        <f t="shared" ref="N299:Q299" si="1321">SUM(N295:N298)</f>
        <v>0</v>
      </c>
      <c r="O299" s="11">
        <f t="shared" si="1321"/>
        <v>0</v>
      </c>
      <c r="P299" s="11">
        <f t="shared" si="1321"/>
        <v>0</v>
      </c>
      <c r="Q299" s="11">
        <f t="shared" si="1321"/>
        <v>0</v>
      </c>
      <c r="R299" s="25">
        <f>SUM(R295:R298)</f>
        <v>0</v>
      </c>
      <c r="T299" s="10">
        <f>SUM(T295:T298)</f>
        <v>0</v>
      </c>
      <c r="U299" s="11">
        <f t="shared" ref="U299:X299" si="1322">SUM(U295:U298)</f>
        <v>0</v>
      </c>
      <c r="V299" s="11">
        <f t="shared" si="1322"/>
        <v>0</v>
      </c>
      <c r="W299" s="11">
        <f t="shared" si="1322"/>
        <v>0</v>
      </c>
      <c r="X299" s="11">
        <f t="shared" si="1322"/>
        <v>0</v>
      </c>
      <c r="Y299" s="25">
        <f>SUM(Y295:Y298)</f>
        <v>0</v>
      </c>
      <c r="AA299" s="10">
        <f>SUM(AA295:AA298)</f>
        <v>0</v>
      </c>
      <c r="AB299" s="11">
        <f t="shared" ref="AB299:AE299" si="1323">SUM(AB295:AB298)</f>
        <v>0</v>
      </c>
      <c r="AC299" s="11">
        <f t="shared" si="1323"/>
        <v>0</v>
      </c>
      <c r="AD299" s="11">
        <f t="shared" si="1323"/>
        <v>0</v>
      </c>
      <c r="AE299" s="11">
        <f t="shared" si="1323"/>
        <v>0</v>
      </c>
      <c r="AF299" s="25">
        <f>SUM(AF295:AF298)</f>
        <v>0</v>
      </c>
      <c r="AH299" s="10">
        <f t="shared" ref="AH299:AM299" si="1324">SUM(AH295:AH298)</f>
        <v>0</v>
      </c>
      <c r="AI299" s="11">
        <f t="shared" si="1324"/>
        <v>0</v>
      </c>
      <c r="AJ299" s="11">
        <f t="shared" si="1324"/>
        <v>0</v>
      </c>
      <c r="AK299" s="11">
        <f t="shared" si="1324"/>
        <v>0</v>
      </c>
      <c r="AL299" s="11">
        <f t="shared" si="1324"/>
        <v>0</v>
      </c>
      <c r="AM299" s="25">
        <f t="shared" si="1324"/>
        <v>0</v>
      </c>
      <c r="AO299" s="10">
        <f t="shared" ref="AO299:AT299" si="1325">SUM(AO295:AO298)</f>
        <v>0</v>
      </c>
      <c r="AP299" s="11">
        <f t="shared" si="1325"/>
        <v>0</v>
      </c>
      <c r="AQ299" s="11">
        <f t="shared" si="1325"/>
        <v>0</v>
      </c>
      <c r="AR299" s="11">
        <f t="shared" si="1325"/>
        <v>0</v>
      </c>
      <c r="AS299" s="11">
        <f t="shared" si="1325"/>
        <v>0</v>
      </c>
      <c r="AT299" s="25">
        <f t="shared" si="1325"/>
        <v>0</v>
      </c>
      <c r="AV299" s="10">
        <f t="shared" ref="AV299:BA299" si="1326">SUM(AV295:AV298)</f>
        <v>0</v>
      </c>
      <c r="AW299" s="11">
        <f t="shared" si="1326"/>
        <v>0</v>
      </c>
      <c r="AX299" s="11">
        <f t="shared" si="1326"/>
        <v>0</v>
      </c>
      <c r="AY299" s="11">
        <f t="shared" si="1326"/>
        <v>0</v>
      </c>
      <c r="AZ299" s="11">
        <f t="shared" si="1326"/>
        <v>0</v>
      </c>
      <c r="BA299" s="25">
        <f t="shared" si="1326"/>
        <v>0</v>
      </c>
      <c r="BC299" s="10">
        <f t="shared" ref="BC299:BH299" si="1327">SUM(BC295:BC298)</f>
        <v>0</v>
      </c>
      <c r="BD299" s="11">
        <f t="shared" si="1327"/>
        <v>0</v>
      </c>
      <c r="BE299" s="11">
        <f t="shared" si="1327"/>
        <v>0</v>
      </c>
      <c r="BF299" s="11">
        <f t="shared" si="1327"/>
        <v>0</v>
      </c>
      <c r="BG299" s="11">
        <f t="shared" si="1327"/>
        <v>0</v>
      </c>
      <c r="BH299" s="25">
        <f t="shared" si="1327"/>
        <v>0</v>
      </c>
      <c r="BJ299" s="10">
        <f t="shared" ref="BJ299:BO299" si="1328">SUM(BJ295:BJ298)</f>
        <v>0</v>
      </c>
      <c r="BK299" s="11">
        <f t="shared" si="1328"/>
        <v>0</v>
      </c>
      <c r="BL299" s="11">
        <f t="shared" si="1328"/>
        <v>0</v>
      </c>
      <c r="BM299" s="11">
        <f t="shared" si="1328"/>
        <v>0</v>
      </c>
      <c r="BN299" s="11">
        <f t="shared" si="1328"/>
        <v>0</v>
      </c>
      <c r="BO299" s="25">
        <f t="shared" si="1328"/>
        <v>0</v>
      </c>
      <c r="BQ299" s="10">
        <f t="shared" ref="BQ299:BV299" si="1329">SUM(BQ295:BQ298)</f>
        <v>0</v>
      </c>
      <c r="BR299" s="11">
        <f t="shared" si="1329"/>
        <v>0</v>
      </c>
      <c r="BS299" s="11">
        <f t="shared" si="1329"/>
        <v>0</v>
      </c>
      <c r="BT299" s="11">
        <f t="shared" si="1329"/>
        <v>0</v>
      </c>
      <c r="BU299" s="11">
        <f t="shared" si="1329"/>
        <v>0</v>
      </c>
      <c r="BV299" s="25">
        <f t="shared" si="1329"/>
        <v>0</v>
      </c>
      <c r="BX299" s="10">
        <f t="shared" ref="BX299:CC299" si="1330">SUM(BX295:BX298)</f>
        <v>0</v>
      </c>
      <c r="BY299" s="11">
        <f t="shared" si="1330"/>
        <v>0</v>
      </c>
      <c r="BZ299" s="11">
        <f t="shared" si="1330"/>
        <v>0</v>
      </c>
      <c r="CA299" s="11">
        <f t="shared" si="1330"/>
        <v>0</v>
      </c>
      <c r="CB299" s="11">
        <f t="shared" si="1330"/>
        <v>0</v>
      </c>
      <c r="CC299" s="25">
        <f t="shared" si="1330"/>
        <v>0</v>
      </c>
      <c r="CE299" s="62">
        <f t="shared" ref="CE299:CJ299" si="1331">SUM(CE295:CE298)</f>
        <v>0</v>
      </c>
      <c r="CF299" s="63">
        <f t="shared" si="1331"/>
        <v>0</v>
      </c>
      <c r="CG299" s="63">
        <f t="shared" si="1331"/>
        <v>0</v>
      </c>
      <c r="CH299" s="63">
        <f t="shared" si="1331"/>
        <v>0</v>
      </c>
      <c r="CI299" s="63">
        <f t="shared" si="1331"/>
        <v>0</v>
      </c>
      <c r="CJ299" s="25">
        <f t="shared" si="1331"/>
        <v>0</v>
      </c>
      <c r="CL299" s="10">
        <f>SUM(CL295:CL298)</f>
        <v>0</v>
      </c>
      <c r="CM299" s="11">
        <f t="shared" ref="CM299:CQ299" si="1332">SUM(CM295:CM298)</f>
        <v>0</v>
      </c>
      <c r="CN299" s="11">
        <f t="shared" si="1332"/>
        <v>0</v>
      </c>
      <c r="CO299" s="11">
        <f t="shared" si="1332"/>
        <v>0</v>
      </c>
      <c r="CP299" s="11">
        <f t="shared" si="1332"/>
        <v>0</v>
      </c>
      <c r="CQ299" s="25">
        <f t="shared" si="1332"/>
        <v>0</v>
      </c>
      <c r="CS299" s="10">
        <f>SUM(CS295:CS298)</f>
        <v>0</v>
      </c>
      <c r="CT299" s="11">
        <f t="shared" ref="CT299:CW299" si="1333">SUM(CT295:CT298)</f>
        <v>0</v>
      </c>
      <c r="CU299" s="11">
        <f t="shared" si="1333"/>
        <v>0</v>
      </c>
      <c r="CV299" s="11">
        <f t="shared" si="1333"/>
        <v>0</v>
      </c>
      <c r="CW299" s="11">
        <f t="shared" si="1333"/>
        <v>0</v>
      </c>
      <c r="CX299" s="25">
        <f>SUM(CX295:CX298)</f>
        <v>0</v>
      </c>
      <c r="CZ299" s="10">
        <f>SUM(CZ295:CZ298)</f>
        <v>0</v>
      </c>
      <c r="DA299" s="11">
        <f t="shared" ref="DA299:DD299" si="1334">SUM(DA295:DA298)</f>
        <v>0</v>
      </c>
      <c r="DB299" s="11">
        <f t="shared" si="1334"/>
        <v>0</v>
      </c>
      <c r="DC299" s="11">
        <f t="shared" si="1334"/>
        <v>0</v>
      </c>
      <c r="DD299" s="11">
        <f t="shared" si="1334"/>
        <v>0</v>
      </c>
      <c r="DE299" s="25">
        <f>SUM(DE295:DE298)</f>
        <v>0</v>
      </c>
    </row>
    <row r="300" spans="2:109" ht="10.4" customHeight="1" thickBot="1"/>
    <row r="301" spans="2:109">
      <c r="C301" s="553">
        <v>2025</v>
      </c>
      <c r="E301" s="13" t="s">
        <v>59</v>
      </c>
      <c r="F301" s="21">
        <f>CE295</f>
        <v>0</v>
      </c>
      <c r="G301" s="22">
        <f t="shared" ref="G301:G304" si="1335">CF295</f>
        <v>0</v>
      </c>
      <c r="H301" s="22">
        <f t="shared" ref="H301:H304" si="1336">CG295</f>
        <v>0</v>
      </c>
      <c r="I301" s="22">
        <f t="shared" ref="I301:I304" si="1337">CH295</f>
        <v>0</v>
      </c>
      <c r="J301" s="22">
        <f t="shared" ref="J301:J304" si="1338">CI295</f>
        <v>0</v>
      </c>
      <c r="K301" s="15">
        <f>SUM(F301:J301)</f>
        <v>0</v>
      </c>
      <c r="M301" s="2"/>
      <c r="N301" s="3"/>
      <c r="O301" s="3"/>
      <c r="P301" s="3"/>
      <c r="Q301" s="3"/>
      <c r="R301" s="15">
        <f>SUM(M301:Q301)</f>
        <v>0</v>
      </c>
      <c r="T301" s="2"/>
      <c r="U301" s="3"/>
      <c r="V301" s="3"/>
      <c r="W301" s="3"/>
      <c r="X301" s="3"/>
      <c r="Y301" s="15">
        <f>SUM(T301:X301)</f>
        <v>0</v>
      </c>
      <c r="AA301" s="2"/>
      <c r="AB301" s="3"/>
      <c r="AC301" s="3"/>
      <c r="AD301" s="3"/>
      <c r="AE301" s="3"/>
      <c r="AF301" s="15">
        <f>SUM(AA301:AE301)</f>
        <v>0</v>
      </c>
      <c r="AH301" s="2"/>
      <c r="AI301" s="3"/>
      <c r="AJ301" s="3"/>
      <c r="AK301" s="3"/>
      <c r="AL301" s="3"/>
      <c r="AM301" s="15">
        <f>SUM(AH301:AL301)</f>
        <v>0</v>
      </c>
      <c r="AO301" s="2"/>
      <c r="AP301" s="3"/>
      <c r="AQ301" s="3"/>
      <c r="AR301" s="3"/>
      <c r="AS301" s="3"/>
      <c r="AT301" s="15">
        <f>SUM(AO301:AS301)</f>
        <v>0</v>
      </c>
      <c r="AV301" s="2"/>
      <c r="AW301" s="3"/>
      <c r="AX301" s="3"/>
      <c r="AY301" s="3"/>
      <c r="AZ301" s="3"/>
      <c r="BA301" s="15">
        <f>SUM(AV301:AZ301)</f>
        <v>0</v>
      </c>
      <c r="BC301" s="2"/>
      <c r="BD301" s="3"/>
      <c r="BE301" s="3"/>
      <c r="BF301" s="3"/>
      <c r="BG301" s="3"/>
      <c r="BH301" s="15">
        <f>SUM(BC301:BG301)</f>
        <v>0</v>
      </c>
      <c r="BJ301" s="2"/>
      <c r="BK301" s="3"/>
      <c r="BL301" s="3"/>
      <c r="BM301" s="3"/>
      <c r="BN301" s="3"/>
      <c r="BO301" s="15">
        <f>SUM(BJ301:BN301)</f>
        <v>0</v>
      </c>
      <c r="BQ301" s="2"/>
      <c r="BR301" s="3"/>
      <c r="BS301" s="3"/>
      <c r="BT301" s="3"/>
      <c r="BU301" s="3"/>
      <c r="BV301" s="15">
        <f>SUM(BQ301:BU301)</f>
        <v>0</v>
      </c>
      <c r="BX301" s="2"/>
      <c r="BY301" s="3"/>
      <c r="BZ301" s="3"/>
      <c r="CA301" s="3"/>
      <c r="CB301" s="3"/>
      <c r="CC301" s="15">
        <f>SUM(BX301:CB301)</f>
        <v>0</v>
      </c>
      <c r="CE301" s="26">
        <f t="shared" ref="CE301:CE304" si="1339">F301+M301+T301+AA301+AH301+AO301+AV301+BC301+BJ301+BQ301+BX301</f>
        <v>0</v>
      </c>
      <c r="CF301" s="27">
        <f t="shared" ref="CF301:CF304" si="1340">G301+N301+U301+AB301+AI301+AP301+AW301+BD301+BK301+BR301+BY301</f>
        <v>0</v>
      </c>
      <c r="CG301" s="27">
        <f t="shared" ref="CG301:CG304" si="1341">H301+O301+V301+AC301+AJ301+AQ301+AX301+BE301+BL301+BS301+BZ301</f>
        <v>0</v>
      </c>
      <c r="CH301" s="27">
        <f t="shared" ref="CH301:CH304" si="1342">I301+P301+W301+AD301+AK301+AR301+AY301+BF301+BM301+BT301+CA301</f>
        <v>0</v>
      </c>
      <c r="CI301" s="27">
        <f t="shared" ref="CI301:CI304" si="1343">J301+Q301+X301+AE301+AL301+AS301+AZ301+BG301+BN301+BU301+CB301</f>
        <v>0</v>
      </c>
      <c r="CJ301" s="4">
        <f>SUM(CE301:CI301)</f>
        <v>0</v>
      </c>
      <c r="CL301" s="2"/>
      <c r="CM301" s="3"/>
      <c r="CN301" s="3"/>
      <c r="CO301" s="3"/>
      <c r="CP301" s="3"/>
      <c r="CQ301" s="15">
        <f>SUM(CL301:CP301)</f>
        <v>0</v>
      </c>
      <c r="CS301" s="2"/>
      <c r="CT301" s="3"/>
      <c r="CU301" s="3"/>
      <c r="CV301" s="3"/>
      <c r="CW301" s="3"/>
      <c r="CX301" s="15">
        <f>SUM(CS301:CW301)</f>
        <v>0</v>
      </c>
      <c r="CZ301" s="2"/>
      <c r="DA301" s="3"/>
      <c r="DB301" s="3"/>
      <c r="DC301" s="3"/>
      <c r="DD301" s="3"/>
      <c r="DE301" s="15">
        <f>SUM(CZ301:DD301)</f>
        <v>0</v>
      </c>
    </row>
    <row r="302" spans="2:109">
      <c r="C302" s="567"/>
      <c r="E302" s="14" t="s">
        <v>60</v>
      </c>
      <c r="F302" s="23">
        <f t="shared" ref="F302:F304" si="1344">CE296</f>
        <v>0</v>
      </c>
      <c r="G302" s="24">
        <f t="shared" si="1335"/>
        <v>0</v>
      </c>
      <c r="H302" s="24">
        <f t="shared" si="1336"/>
        <v>0</v>
      </c>
      <c r="I302" s="24">
        <f t="shared" si="1337"/>
        <v>0</v>
      </c>
      <c r="J302" s="24">
        <f t="shared" si="1338"/>
        <v>0</v>
      </c>
      <c r="K302" s="16">
        <f t="shared" ref="K302:K304" si="1345">SUM(F302:J302)</f>
        <v>0</v>
      </c>
      <c r="M302" s="6"/>
      <c r="N302" s="7"/>
      <c r="O302" s="7"/>
      <c r="P302" s="7"/>
      <c r="Q302" s="7"/>
      <c r="R302" s="16">
        <f t="shared" ref="R302:R304" si="1346">SUM(M302:Q302)</f>
        <v>0</v>
      </c>
      <c r="T302" s="6"/>
      <c r="U302" s="7"/>
      <c r="V302" s="7"/>
      <c r="W302" s="7"/>
      <c r="X302" s="7"/>
      <c r="Y302" s="16">
        <f t="shared" ref="Y302:Y304" si="1347">SUM(T302:X302)</f>
        <v>0</v>
      </c>
      <c r="AA302" s="6"/>
      <c r="AB302" s="7"/>
      <c r="AC302" s="7"/>
      <c r="AD302" s="7"/>
      <c r="AE302" s="7"/>
      <c r="AF302" s="16">
        <f>SUM(AA302:AE302)</f>
        <v>0</v>
      </c>
      <c r="AH302" s="6"/>
      <c r="AI302" s="7"/>
      <c r="AJ302" s="7"/>
      <c r="AK302" s="7"/>
      <c r="AL302" s="7"/>
      <c r="AM302" s="16">
        <f>SUM(AH302:AL302)</f>
        <v>0</v>
      </c>
      <c r="AO302" s="6"/>
      <c r="AP302" s="7"/>
      <c r="AQ302" s="7"/>
      <c r="AR302" s="7"/>
      <c r="AS302" s="7"/>
      <c r="AT302" s="16">
        <f>SUM(AO302:AS302)</f>
        <v>0</v>
      </c>
      <c r="AV302" s="6"/>
      <c r="AW302" s="7"/>
      <c r="AX302" s="7"/>
      <c r="AY302" s="7"/>
      <c r="AZ302" s="7"/>
      <c r="BA302" s="16">
        <f>SUM(AV302:AZ302)</f>
        <v>0</v>
      </c>
      <c r="BC302" s="6"/>
      <c r="BD302" s="7"/>
      <c r="BE302" s="7"/>
      <c r="BF302" s="7"/>
      <c r="BG302" s="7"/>
      <c r="BH302" s="16">
        <f>SUM(BC302:BG302)</f>
        <v>0</v>
      </c>
      <c r="BJ302" s="6"/>
      <c r="BK302" s="7"/>
      <c r="BL302" s="7"/>
      <c r="BM302" s="7"/>
      <c r="BN302" s="7"/>
      <c r="BO302" s="16">
        <f>SUM(BJ302:BN302)</f>
        <v>0</v>
      </c>
      <c r="BQ302" s="6"/>
      <c r="BR302" s="7"/>
      <c r="BS302" s="7"/>
      <c r="BT302" s="7"/>
      <c r="BU302" s="7"/>
      <c r="BV302" s="16">
        <f>SUM(BQ302:BU302)</f>
        <v>0</v>
      </c>
      <c r="BX302" s="6"/>
      <c r="BY302" s="7"/>
      <c r="BZ302" s="7"/>
      <c r="CA302" s="7"/>
      <c r="CB302" s="7"/>
      <c r="CC302" s="16">
        <f>SUM(BX302:CB302)</f>
        <v>0</v>
      </c>
      <c r="CE302" s="28">
        <f t="shared" si="1339"/>
        <v>0</v>
      </c>
      <c r="CF302" s="29">
        <f t="shared" si="1340"/>
        <v>0</v>
      </c>
      <c r="CG302" s="29">
        <f t="shared" si="1341"/>
        <v>0</v>
      </c>
      <c r="CH302" s="29">
        <f t="shared" si="1342"/>
        <v>0</v>
      </c>
      <c r="CI302" s="29">
        <f t="shared" si="1343"/>
        <v>0</v>
      </c>
      <c r="CJ302" s="8">
        <f>SUM(CE302:CI302)</f>
        <v>0</v>
      </c>
      <c r="CL302" s="6"/>
      <c r="CM302" s="7"/>
      <c r="CN302" s="7"/>
      <c r="CO302" s="7"/>
      <c r="CP302" s="7"/>
      <c r="CQ302" s="16">
        <f>SUM(CL302:CP302)</f>
        <v>0</v>
      </c>
      <c r="CS302" s="6"/>
      <c r="CT302" s="7"/>
      <c r="CU302" s="7"/>
      <c r="CV302" s="7"/>
      <c r="CW302" s="7"/>
      <c r="CX302" s="16">
        <f t="shared" ref="CX302:CX304" si="1348">SUM(CS302:CW302)</f>
        <v>0</v>
      </c>
      <c r="CZ302" s="6"/>
      <c r="DA302" s="7"/>
      <c r="DB302" s="7"/>
      <c r="DC302" s="7"/>
      <c r="DD302" s="7"/>
      <c r="DE302" s="16">
        <f t="shared" ref="DE302:DE304" si="1349">SUM(CZ302:DD302)</f>
        <v>0</v>
      </c>
    </row>
    <row r="303" spans="2:109">
      <c r="C303" s="567"/>
      <c r="E303" s="14" t="s">
        <v>61</v>
      </c>
      <c r="F303" s="23">
        <f t="shared" si="1344"/>
        <v>0</v>
      </c>
      <c r="G303" s="24">
        <f t="shared" si="1335"/>
        <v>0</v>
      </c>
      <c r="H303" s="24">
        <f t="shared" si="1336"/>
        <v>0</v>
      </c>
      <c r="I303" s="24">
        <f t="shared" si="1337"/>
        <v>0</v>
      </c>
      <c r="J303" s="24">
        <f t="shared" si="1338"/>
        <v>0</v>
      </c>
      <c r="K303" s="16">
        <f t="shared" si="1345"/>
        <v>0</v>
      </c>
      <c r="M303" s="6"/>
      <c r="N303" s="7"/>
      <c r="O303" s="7"/>
      <c r="P303" s="7"/>
      <c r="Q303" s="7"/>
      <c r="R303" s="16">
        <f t="shared" si="1346"/>
        <v>0</v>
      </c>
      <c r="T303" s="6"/>
      <c r="U303" s="7"/>
      <c r="V303" s="7"/>
      <c r="W303" s="7"/>
      <c r="X303" s="7"/>
      <c r="Y303" s="16">
        <f t="shared" si="1347"/>
        <v>0</v>
      </c>
      <c r="AA303" s="6"/>
      <c r="AB303" s="7"/>
      <c r="AC303" s="7"/>
      <c r="AD303" s="7"/>
      <c r="AE303" s="7"/>
      <c r="AF303" s="16">
        <f>SUM(AA303:AE303)</f>
        <v>0</v>
      </c>
      <c r="AH303" s="6"/>
      <c r="AI303" s="7"/>
      <c r="AJ303" s="7"/>
      <c r="AK303" s="7"/>
      <c r="AL303" s="7"/>
      <c r="AM303" s="16">
        <f>SUM(AH303:AL303)</f>
        <v>0</v>
      </c>
      <c r="AO303" s="6"/>
      <c r="AP303" s="7"/>
      <c r="AQ303" s="7"/>
      <c r="AR303" s="7"/>
      <c r="AS303" s="7"/>
      <c r="AT303" s="16">
        <f>SUM(AO303:AS303)</f>
        <v>0</v>
      </c>
      <c r="AV303" s="6"/>
      <c r="AW303" s="7"/>
      <c r="AX303" s="7"/>
      <c r="AY303" s="7"/>
      <c r="AZ303" s="7"/>
      <c r="BA303" s="16">
        <f>SUM(AV303:AZ303)</f>
        <v>0</v>
      </c>
      <c r="BC303" s="6"/>
      <c r="BD303" s="7"/>
      <c r="BE303" s="7"/>
      <c r="BF303" s="7"/>
      <c r="BG303" s="7"/>
      <c r="BH303" s="16">
        <f>SUM(BC303:BG303)</f>
        <v>0</v>
      </c>
      <c r="BJ303" s="6"/>
      <c r="BK303" s="7"/>
      <c r="BL303" s="7"/>
      <c r="BM303" s="7"/>
      <c r="BN303" s="7"/>
      <c r="BO303" s="16">
        <f>SUM(BJ303:BN303)</f>
        <v>0</v>
      </c>
      <c r="BQ303" s="6"/>
      <c r="BR303" s="7"/>
      <c r="BS303" s="7"/>
      <c r="BT303" s="7"/>
      <c r="BU303" s="7"/>
      <c r="BV303" s="16">
        <f>SUM(BQ303:BU303)</f>
        <v>0</v>
      </c>
      <c r="BX303" s="6"/>
      <c r="BY303" s="7"/>
      <c r="BZ303" s="7"/>
      <c r="CA303" s="7"/>
      <c r="CB303" s="7"/>
      <c r="CC303" s="16">
        <f>SUM(BX303:CB303)</f>
        <v>0</v>
      </c>
      <c r="CE303" s="28">
        <f t="shared" si="1339"/>
        <v>0</v>
      </c>
      <c r="CF303" s="29">
        <f t="shared" si="1340"/>
        <v>0</v>
      </c>
      <c r="CG303" s="29">
        <f t="shared" si="1341"/>
        <v>0</v>
      </c>
      <c r="CH303" s="29">
        <f t="shared" si="1342"/>
        <v>0</v>
      </c>
      <c r="CI303" s="29">
        <f t="shared" si="1343"/>
        <v>0</v>
      </c>
      <c r="CJ303" s="8">
        <f>SUM(CE303:CI303)</f>
        <v>0</v>
      </c>
      <c r="CL303" s="6"/>
      <c r="CM303" s="7"/>
      <c r="CN303" s="7"/>
      <c r="CO303" s="7"/>
      <c r="CP303" s="7"/>
      <c r="CQ303" s="16">
        <f>SUM(CL303:CP303)</f>
        <v>0</v>
      </c>
      <c r="CS303" s="6"/>
      <c r="CT303" s="7"/>
      <c r="CU303" s="7"/>
      <c r="CV303" s="7"/>
      <c r="CW303" s="7"/>
      <c r="CX303" s="16">
        <f t="shared" si="1348"/>
        <v>0</v>
      </c>
      <c r="CZ303" s="6"/>
      <c r="DA303" s="7"/>
      <c r="DB303" s="7"/>
      <c r="DC303" s="7"/>
      <c r="DD303" s="7"/>
      <c r="DE303" s="16">
        <f t="shared" si="1349"/>
        <v>0</v>
      </c>
    </row>
    <row r="304" spans="2:109" ht="14" thickBot="1">
      <c r="C304" s="567"/>
      <c r="E304" s="14" t="s">
        <v>62</v>
      </c>
      <c r="F304" s="23">
        <f t="shared" si="1344"/>
        <v>0</v>
      </c>
      <c r="G304" s="24">
        <f t="shared" si="1335"/>
        <v>0</v>
      </c>
      <c r="H304" s="24">
        <f t="shared" si="1336"/>
        <v>0</v>
      </c>
      <c r="I304" s="24">
        <f t="shared" si="1337"/>
        <v>0</v>
      </c>
      <c r="J304" s="24">
        <f t="shared" si="1338"/>
        <v>0</v>
      </c>
      <c r="K304" s="16">
        <f t="shared" si="1345"/>
        <v>0</v>
      </c>
      <c r="M304" s="6"/>
      <c r="N304" s="7"/>
      <c r="O304" s="7"/>
      <c r="P304" s="7"/>
      <c r="Q304" s="7"/>
      <c r="R304" s="16">
        <f t="shared" si="1346"/>
        <v>0</v>
      </c>
      <c r="T304" s="6"/>
      <c r="U304" s="7"/>
      <c r="V304" s="7"/>
      <c r="W304" s="7"/>
      <c r="X304" s="7"/>
      <c r="Y304" s="16">
        <f t="shared" si="1347"/>
        <v>0</v>
      </c>
      <c r="AA304" s="6"/>
      <c r="AB304" s="7"/>
      <c r="AC304" s="7"/>
      <c r="AD304" s="7"/>
      <c r="AE304" s="7"/>
      <c r="AF304" s="16">
        <f>SUM(AA304:AE304)</f>
        <v>0</v>
      </c>
      <c r="AH304" s="6"/>
      <c r="AI304" s="7"/>
      <c r="AJ304" s="7"/>
      <c r="AK304" s="7"/>
      <c r="AL304" s="7"/>
      <c r="AM304" s="16">
        <f>SUM(AH304:AL304)</f>
        <v>0</v>
      </c>
      <c r="AO304" s="6"/>
      <c r="AP304" s="7"/>
      <c r="AQ304" s="7"/>
      <c r="AR304" s="7"/>
      <c r="AS304" s="7"/>
      <c r="AT304" s="16">
        <f>SUM(AO304:AS304)</f>
        <v>0</v>
      </c>
      <c r="AV304" s="6"/>
      <c r="AW304" s="7"/>
      <c r="AX304" s="7"/>
      <c r="AY304" s="7"/>
      <c r="AZ304" s="7"/>
      <c r="BA304" s="16">
        <f>SUM(AV304:AZ304)</f>
        <v>0</v>
      </c>
      <c r="BC304" s="6"/>
      <c r="BD304" s="7"/>
      <c r="BE304" s="7"/>
      <c r="BF304" s="7"/>
      <c r="BG304" s="7"/>
      <c r="BH304" s="16">
        <f>SUM(BC304:BG304)</f>
        <v>0</v>
      </c>
      <c r="BJ304" s="6"/>
      <c r="BK304" s="7"/>
      <c r="BL304" s="7"/>
      <c r="BM304" s="7"/>
      <c r="BN304" s="7"/>
      <c r="BO304" s="16">
        <f>SUM(BJ304:BN304)</f>
        <v>0</v>
      </c>
      <c r="BQ304" s="6"/>
      <c r="BR304" s="7"/>
      <c r="BS304" s="7"/>
      <c r="BT304" s="7"/>
      <c r="BU304" s="7"/>
      <c r="BV304" s="16">
        <f>SUM(BQ304:BU304)</f>
        <v>0</v>
      </c>
      <c r="BX304" s="6"/>
      <c r="BY304" s="7"/>
      <c r="BZ304" s="7"/>
      <c r="CA304" s="7"/>
      <c r="CB304" s="7"/>
      <c r="CC304" s="16">
        <f>SUM(BX304:CB304)</f>
        <v>0</v>
      </c>
      <c r="CE304" s="493">
        <f t="shared" si="1339"/>
        <v>0</v>
      </c>
      <c r="CF304" s="494">
        <f t="shared" si="1340"/>
        <v>0</v>
      </c>
      <c r="CG304" s="494">
        <f t="shared" si="1341"/>
        <v>0</v>
      </c>
      <c r="CH304" s="494">
        <f t="shared" si="1342"/>
        <v>0</v>
      </c>
      <c r="CI304" s="494">
        <f t="shared" si="1343"/>
        <v>0</v>
      </c>
      <c r="CJ304" s="495">
        <f>SUM(CE304:CI304)</f>
        <v>0</v>
      </c>
      <c r="CL304" s="6"/>
      <c r="CM304" s="7"/>
      <c r="CN304" s="7"/>
      <c r="CO304" s="7"/>
      <c r="CP304" s="7"/>
      <c r="CQ304" s="16">
        <f>SUM(CL304:CP304)</f>
        <v>0</v>
      </c>
      <c r="CS304" s="6"/>
      <c r="CT304" s="7"/>
      <c r="CU304" s="7"/>
      <c r="CV304" s="7"/>
      <c r="CW304" s="7"/>
      <c r="CX304" s="16">
        <f t="shared" si="1348"/>
        <v>0</v>
      </c>
      <c r="CZ304" s="6"/>
      <c r="DA304" s="7"/>
      <c r="DB304" s="7"/>
      <c r="DC304" s="7"/>
      <c r="DD304" s="7"/>
      <c r="DE304" s="16">
        <f t="shared" si="1349"/>
        <v>0</v>
      </c>
    </row>
    <row r="305" spans="3:109" ht="14" thickBot="1">
      <c r="C305" s="554"/>
      <c r="E305" s="17"/>
      <c r="F305" s="10">
        <f>SUM(F301:F304)</f>
        <v>0</v>
      </c>
      <c r="G305" s="11">
        <f t="shared" ref="G305:J305" si="1350">SUM(G301:G304)</f>
        <v>0</v>
      </c>
      <c r="H305" s="11">
        <f t="shared" si="1350"/>
        <v>0</v>
      </c>
      <c r="I305" s="11">
        <f t="shared" si="1350"/>
        <v>0</v>
      </c>
      <c r="J305" s="11">
        <f t="shared" si="1350"/>
        <v>0</v>
      </c>
      <c r="K305" s="25">
        <f>SUM(K301:K304)</f>
        <v>0</v>
      </c>
      <c r="M305" s="10">
        <f>SUM(M301:M304)</f>
        <v>0</v>
      </c>
      <c r="N305" s="11">
        <f t="shared" ref="N305:Q305" si="1351">SUM(N301:N304)</f>
        <v>0</v>
      </c>
      <c r="O305" s="11">
        <f t="shared" si="1351"/>
        <v>0</v>
      </c>
      <c r="P305" s="11">
        <f t="shared" si="1351"/>
        <v>0</v>
      </c>
      <c r="Q305" s="11">
        <f t="shared" si="1351"/>
        <v>0</v>
      </c>
      <c r="R305" s="25">
        <f>SUM(R301:R304)</f>
        <v>0</v>
      </c>
      <c r="T305" s="10">
        <f>SUM(T301:T304)</f>
        <v>0</v>
      </c>
      <c r="U305" s="11">
        <f t="shared" ref="U305:X305" si="1352">SUM(U301:U304)</f>
        <v>0</v>
      </c>
      <c r="V305" s="11">
        <f t="shared" si="1352"/>
        <v>0</v>
      </c>
      <c r="W305" s="11">
        <f t="shared" si="1352"/>
        <v>0</v>
      </c>
      <c r="X305" s="11">
        <f t="shared" si="1352"/>
        <v>0</v>
      </c>
      <c r="Y305" s="25">
        <f>SUM(Y301:Y304)</f>
        <v>0</v>
      </c>
      <c r="AA305" s="10">
        <f>SUM(AA301:AA304)</f>
        <v>0</v>
      </c>
      <c r="AB305" s="11">
        <f t="shared" ref="AB305:AE305" si="1353">SUM(AB301:AB304)</f>
        <v>0</v>
      </c>
      <c r="AC305" s="11">
        <f t="shared" si="1353"/>
        <v>0</v>
      </c>
      <c r="AD305" s="11">
        <f t="shared" si="1353"/>
        <v>0</v>
      </c>
      <c r="AE305" s="11">
        <f t="shared" si="1353"/>
        <v>0</v>
      </c>
      <c r="AF305" s="25">
        <f>SUM(AF301:AF304)</f>
        <v>0</v>
      </c>
      <c r="AH305" s="10">
        <f t="shared" ref="AH305:AM305" si="1354">SUM(AH301:AH304)</f>
        <v>0</v>
      </c>
      <c r="AI305" s="11">
        <f t="shared" si="1354"/>
        <v>0</v>
      </c>
      <c r="AJ305" s="11">
        <f t="shared" si="1354"/>
        <v>0</v>
      </c>
      <c r="AK305" s="11">
        <f t="shared" si="1354"/>
        <v>0</v>
      </c>
      <c r="AL305" s="11">
        <f t="shared" si="1354"/>
        <v>0</v>
      </c>
      <c r="AM305" s="25">
        <f t="shared" si="1354"/>
        <v>0</v>
      </c>
      <c r="AO305" s="10">
        <f t="shared" ref="AO305:AT305" si="1355">SUM(AO301:AO304)</f>
        <v>0</v>
      </c>
      <c r="AP305" s="11">
        <f t="shared" si="1355"/>
        <v>0</v>
      </c>
      <c r="AQ305" s="11">
        <f t="shared" si="1355"/>
        <v>0</v>
      </c>
      <c r="AR305" s="11">
        <f t="shared" si="1355"/>
        <v>0</v>
      </c>
      <c r="AS305" s="11">
        <f t="shared" si="1355"/>
        <v>0</v>
      </c>
      <c r="AT305" s="25">
        <f t="shared" si="1355"/>
        <v>0</v>
      </c>
      <c r="AV305" s="10">
        <f t="shared" ref="AV305:BA305" si="1356">SUM(AV301:AV304)</f>
        <v>0</v>
      </c>
      <c r="AW305" s="11">
        <f t="shared" si="1356"/>
        <v>0</v>
      </c>
      <c r="AX305" s="11">
        <f t="shared" si="1356"/>
        <v>0</v>
      </c>
      <c r="AY305" s="11">
        <f t="shared" si="1356"/>
        <v>0</v>
      </c>
      <c r="AZ305" s="11">
        <f t="shared" si="1356"/>
        <v>0</v>
      </c>
      <c r="BA305" s="25">
        <f t="shared" si="1356"/>
        <v>0</v>
      </c>
      <c r="BC305" s="10">
        <f t="shared" ref="BC305:BH305" si="1357">SUM(BC301:BC304)</f>
        <v>0</v>
      </c>
      <c r="BD305" s="11">
        <f t="shared" si="1357"/>
        <v>0</v>
      </c>
      <c r="BE305" s="11">
        <f t="shared" si="1357"/>
        <v>0</v>
      </c>
      <c r="BF305" s="11">
        <f t="shared" si="1357"/>
        <v>0</v>
      </c>
      <c r="BG305" s="11">
        <f t="shared" si="1357"/>
        <v>0</v>
      </c>
      <c r="BH305" s="25">
        <f t="shared" si="1357"/>
        <v>0</v>
      </c>
      <c r="BJ305" s="10">
        <f t="shared" ref="BJ305:BO305" si="1358">SUM(BJ301:BJ304)</f>
        <v>0</v>
      </c>
      <c r="BK305" s="11">
        <f t="shared" si="1358"/>
        <v>0</v>
      </c>
      <c r="BL305" s="11">
        <f t="shared" si="1358"/>
        <v>0</v>
      </c>
      <c r="BM305" s="11">
        <f t="shared" si="1358"/>
        <v>0</v>
      </c>
      <c r="BN305" s="11">
        <f t="shared" si="1358"/>
        <v>0</v>
      </c>
      <c r="BO305" s="25">
        <f t="shared" si="1358"/>
        <v>0</v>
      </c>
      <c r="BQ305" s="10">
        <f t="shared" ref="BQ305:BV305" si="1359">SUM(BQ301:BQ304)</f>
        <v>0</v>
      </c>
      <c r="BR305" s="11">
        <f t="shared" si="1359"/>
        <v>0</v>
      </c>
      <c r="BS305" s="11">
        <f t="shared" si="1359"/>
        <v>0</v>
      </c>
      <c r="BT305" s="11">
        <f t="shared" si="1359"/>
        <v>0</v>
      </c>
      <c r="BU305" s="11">
        <f t="shared" si="1359"/>
        <v>0</v>
      </c>
      <c r="BV305" s="25">
        <f t="shared" si="1359"/>
        <v>0</v>
      </c>
      <c r="BX305" s="10">
        <f t="shared" ref="BX305:CC305" si="1360">SUM(BX301:BX304)</f>
        <v>0</v>
      </c>
      <c r="BY305" s="11">
        <f t="shared" si="1360"/>
        <v>0</v>
      </c>
      <c r="BZ305" s="11">
        <f t="shared" si="1360"/>
        <v>0</v>
      </c>
      <c r="CA305" s="11">
        <f t="shared" si="1360"/>
        <v>0</v>
      </c>
      <c r="CB305" s="11">
        <f t="shared" si="1360"/>
        <v>0</v>
      </c>
      <c r="CC305" s="25">
        <f t="shared" si="1360"/>
        <v>0</v>
      </c>
      <c r="CE305" s="62">
        <f t="shared" ref="CE305:CJ305" si="1361">SUM(CE301:CE304)</f>
        <v>0</v>
      </c>
      <c r="CF305" s="63">
        <f t="shared" si="1361"/>
        <v>0</v>
      </c>
      <c r="CG305" s="63">
        <f t="shared" si="1361"/>
        <v>0</v>
      </c>
      <c r="CH305" s="63">
        <f t="shared" si="1361"/>
        <v>0</v>
      </c>
      <c r="CI305" s="63">
        <f t="shared" si="1361"/>
        <v>0</v>
      </c>
      <c r="CJ305" s="25">
        <f t="shared" si="1361"/>
        <v>0</v>
      </c>
      <c r="CL305" s="10">
        <f>SUM(CL301:CL304)</f>
        <v>0</v>
      </c>
      <c r="CM305" s="11">
        <f t="shared" ref="CM305:CQ305" si="1362">SUM(CM301:CM304)</f>
        <v>0</v>
      </c>
      <c r="CN305" s="11">
        <f t="shared" si="1362"/>
        <v>0</v>
      </c>
      <c r="CO305" s="11">
        <f t="shared" si="1362"/>
        <v>0</v>
      </c>
      <c r="CP305" s="11">
        <f t="shared" si="1362"/>
        <v>0</v>
      </c>
      <c r="CQ305" s="25">
        <f t="shared" si="1362"/>
        <v>0</v>
      </c>
      <c r="CS305" s="10">
        <f>SUM(CS301:CS304)</f>
        <v>0</v>
      </c>
      <c r="CT305" s="11">
        <f t="shared" ref="CT305:CW305" si="1363">SUM(CT301:CT304)</f>
        <v>0</v>
      </c>
      <c r="CU305" s="11">
        <f t="shared" si="1363"/>
        <v>0</v>
      </c>
      <c r="CV305" s="11">
        <f t="shared" si="1363"/>
        <v>0</v>
      </c>
      <c r="CW305" s="11">
        <f t="shared" si="1363"/>
        <v>0</v>
      </c>
      <c r="CX305" s="25">
        <f>SUM(CX301:CX304)</f>
        <v>0</v>
      </c>
      <c r="CZ305" s="10">
        <f>SUM(CZ301:CZ304)</f>
        <v>0</v>
      </c>
      <c r="DA305" s="11">
        <f t="shared" ref="DA305:DD305" si="1364">SUM(DA301:DA304)</f>
        <v>0</v>
      </c>
      <c r="DB305" s="11">
        <f t="shared" si="1364"/>
        <v>0</v>
      </c>
      <c r="DC305" s="11">
        <f t="shared" si="1364"/>
        <v>0</v>
      </c>
      <c r="DD305" s="11">
        <f t="shared" si="1364"/>
        <v>0</v>
      </c>
      <c r="DE305" s="25">
        <f>SUM(DE301:DE304)</f>
        <v>0</v>
      </c>
    </row>
    <row r="306" spans="3:109" ht="10.4" customHeight="1" thickBot="1"/>
    <row r="307" spans="3:109">
      <c r="C307" s="553">
        <v>2026</v>
      </c>
      <c r="E307" s="13" t="s">
        <v>59</v>
      </c>
      <c r="F307" s="21">
        <f>CE301</f>
        <v>0</v>
      </c>
      <c r="G307" s="22">
        <f t="shared" ref="G307:G310" si="1365">CF301</f>
        <v>0</v>
      </c>
      <c r="H307" s="22">
        <f t="shared" ref="H307:H310" si="1366">CG301</f>
        <v>0</v>
      </c>
      <c r="I307" s="22">
        <f t="shared" ref="I307:I310" si="1367">CH301</f>
        <v>0</v>
      </c>
      <c r="J307" s="22">
        <f t="shared" ref="J307:J310" si="1368">CI301</f>
        <v>0</v>
      </c>
      <c r="K307" s="4">
        <f>SUM(F307:J307)</f>
        <v>0</v>
      </c>
      <c r="M307" s="2"/>
      <c r="N307" s="3"/>
      <c r="O307" s="3"/>
      <c r="P307" s="3"/>
      <c r="Q307" s="3"/>
      <c r="R307" s="4">
        <f>SUM(M307:Q307)</f>
        <v>0</v>
      </c>
      <c r="T307" s="2"/>
      <c r="U307" s="3"/>
      <c r="V307" s="3"/>
      <c r="W307" s="3"/>
      <c r="X307" s="3"/>
      <c r="Y307" s="4">
        <f>SUM(T307:X307)</f>
        <v>0</v>
      </c>
      <c r="AA307" s="2"/>
      <c r="AB307" s="3"/>
      <c r="AC307" s="3"/>
      <c r="AD307" s="3"/>
      <c r="AE307" s="3"/>
      <c r="AF307" s="4">
        <f>SUM(AA307:AE307)</f>
        <v>0</v>
      </c>
      <c r="AH307" s="2"/>
      <c r="AI307" s="3"/>
      <c r="AJ307" s="3"/>
      <c r="AK307" s="3"/>
      <c r="AL307" s="3"/>
      <c r="AM307" s="4">
        <f>SUM(AH307:AL307)</f>
        <v>0</v>
      </c>
      <c r="AO307" s="2"/>
      <c r="AP307" s="3"/>
      <c r="AQ307" s="3"/>
      <c r="AR307" s="3"/>
      <c r="AS307" s="3"/>
      <c r="AT307" s="4">
        <f>SUM(AO307:AS307)</f>
        <v>0</v>
      </c>
      <c r="AV307" s="2"/>
      <c r="AW307" s="3"/>
      <c r="AX307" s="3"/>
      <c r="AY307" s="3"/>
      <c r="AZ307" s="3"/>
      <c r="BA307" s="4">
        <f>SUM(AV307:AZ307)</f>
        <v>0</v>
      </c>
      <c r="BC307" s="2"/>
      <c r="BD307" s="3"/>
      <c r="BE307" s="3"/>
      <c r="BF307" s="3"/>
      <c r="BG307" s="3"/>
      <c r="BH307" s="4">
        <f>SUM(BC307:BG307)</f>
        <v>0</v>
      </c>
      <c r="BJ307" s="2"/>
      <c r="BK307" s="3"/>
      <c r="BL307" s="3"/>
      <c r="BM307" s="3"/>
      <c r="BN307" s="3"/>
      <c r="BO307" s="4">
        <f>SUM(BJ307:BN307)</f>
        <v>0</v>
      </c>
      <c r="BQ307" s="2"/>
      <c r="BR307" s="3"/>
      <c r="BS307" s="3"/>
      <c r="BT307" s="3"/>
      <c r="BU307" s="3"/>
      <c r="BV307" s="4">
        <f>SUM(BQ307:BU307)</f>
        <v>0</v>
      </c>
      <c r="BX307" s="2"/>
      <c r="BY307" s="3"/>
      <c r="BZ307" s="3"/>
      <c r="CA307" s="3"/>
      <c r="CB307" s="3"/>
      <c r="CC307" s="4">
        <f>SUM(BX307:CB307)</f>
        <v>0</v>
      </c>
      <c r="CE307" s="26">
        <f t="shared" ref="CE307:CE310" si="1369">F307+M307+T307+AA307+AH307+AO307+AV307+BC307+BJ307+BQ307+BX307</f>
        <v>0</v>
      </c>
      <c r="CF307" s="27">
        <f t="shared" ref="CF307:CF310" si="1370">G307+N307+U307+AB307+AI307+AP307+AW307+BD307+BK307+BR307+BY307</f>
        <v>0</v>
      </c>
      <c r="CG307" s="27">
        <f t="shared" ref="CG307:CG310" si="1371">H307+O307+V307+AC307+AJ307+AQ307+AX307+BE307+BL307+BS307+BZ307</f>
        <v>0</v>
      </c>
      <c r="CH307" s="27">
        <f t="shared" ref="CH307:CH310" si="1372">I307+P307+W307+AD307+AK307+AR307+AY307+BF307+BM307+BT307+CA307</f>
        <v>0</v>
      </c>
      <c r="CI307" s="27">
        <f t="shared" ref="CI307:CI310" si="1373">J307+Q307+X307+AE307+AL307+AS307+AZ307+BG307+BN307+BU307+CB307</f>
        <v>0</v>
      </c>
      <c r="CJ307" s="4">
        <f>SUM(CE307:CI307)</f>
        <v>0</v>
      </c>
      <c r="CL307" s="2"/>
      <c r="CM307" s="3"/>
      <c r="CN307" s="3"/>
      <c r="CO307" s="3"/>
      <c r="CP307" s="3"/>
      <c r="CQ307" s="4">
        <f>SUM(CL307:CP307)</f>
        <v>0</v>
      </c>
      <c r="CS307" s="2"/>
      <c r="CT307" s="3"/>
      <c r="CU307" s="3"/>
      <c r="CV307" s="3"/>
      <c r="CW307" s="3"/>
      <c r="CX307" s="4">
        <f>SUM(CS307:CW307)</f>
        <v>0</v>
      </c>
      <c r="CZ307" s="2"/>
      <c r="DA307" s="3"/>
      <c r="DB307" s="3"/>
      <c r="DC307" s="3"/>
      <c r="DD307" s="3"/>
      <c r="DE307" s="4">
        <f>SUM(CZ307:DD307)</f>
        <v>0</v>
      </c>
    </row>
    <row r="308" spans="3:109">
      <c r="C308" s="567"/>
      <c r="E308" s="14" t="s">
        <v>60</v>
      </c>
      <c r="F308" s="23">
        <f t="shared" ref="F308:F310" si="1374">CE302</f>
        <v>0</v>
      </c>
      <c r="G308" s="24">
        <f t="shared" si="1365"/>
        <v>0</v>
      </c>
      <c r="H308" s="24">
        <f t="shared" si="1366"/>
        <v>0</v>
      </c>
      <c r="I308" s="24">
        <f t="shared" si="1367"/>
        <v>0</v>
      </c>
      <c r="J308" s="24">
        <f t="shared" si="1368"/>
        <v>0</v>
      </c>
      <c r="K308" s="8">
        <f t="shared" ref="K308:K310" si="1375">SUM(F308:J308)</f>
        <v>0</v>
      </c>
      <c r="M308" s="6"/>
      <c r="N308" s="7"/>
      <c r="O308" s="7"/>
      <c r="P308" s="7"/>
      <c r="Q308" s="7"/>
      <c r="R308" s="8">
        <f t="shared" ref="R308:R310" si="1376">SUM(M308:Q308)</f>
        <v>0</v>
      </c>
      <c r="T308" s="6"/>
      <c r="U308" s="7"/>
      <c r="V308" s="7"/>
      <c r="W308" s="7"/>
      <c r="X308" s="7"/>
      <c r="Y308" s="8">
        <f t="shared" ref="Y308:Y310" si="1377">SUM(T308:X308)</f>
        <v>0</v>
      </c>
      <c r="AA308" s="6"/>
      <c r="AB308" s="7"/>
      <c r="AC308" s="7"/>
      <c r="AD308" s="7"/>
      <c r="AE308" s="7"/>
      <c r="AF308" s="8">
        <f>SUM(AA308:AE308)</f>
        <v>0</v>
      </c>
      <c r="AH308" s="6"/>
      <c r="AI308" s="7"/>
      <c r="AJ308" s="7"/>
      <c r="AK308" s="7"/>
      <c r="AL308" s="7"/>
      <c r="AM308" s="8">
        <f>SUM(AH308:AL308)</f>
        <v>0</v>
      </c>
      <c r="AO308" s="6"/>
      <c r="AP308" s="7"/>
      <c r="AQ308" s="7"/>
      <c r="AR308" s="7"/>
      <c r="AS308" s="7"/>
      <c r="AT308" s="8">
        <f>SUM(AO308:AS308)</f>
        <v>0</v>
      </c>
      <c r="AV308" s="6"/>
      <c r="AW308" s="7"/>
      <c r="AX308" s="7"/>
      <c r="AY308" s="7"/>
      <c r="AZ308" s="7"/>
      <c r="BA308" s="8">
        <f>SUM(AV308:AZ308)</f>
        <v>0</v>
      </c>
      <c r="BC308" s="6"/>
      <c r="BD308" s="7"/>
      <c r="BE308" s="7"/>
      <c r="BF308" s="7"/>
      <c r="BG308" s="7"/>
      <c r="BH308" s="8">
        <f>SUM(BC308:BG308)</f>
        <v>0</v>
      </c>
      <c r="BJ308" s="6"/>
      <c r="BK308" s="7"/>
      <c r="BL308" s="7"/>
      <c r="BM308" s="7"/>
      <c r="BN308" s="7"/>
      <c r="BO308" s="8">
        <f>SUM(BJ308:BN308)</f>
        <v>0</v>
      </c>
      <c r="BQ308" s="6"/>
      <c r="BR308" s="7"/>
      <c r="BS308" s="7"/>
      <c r="BT308" s="7"/>
      <c r="BU308" s="7"/>
      <c r="BV308" s="8">
        <f>SUM(BQ308:BU308)</f>
        <v>0</v>
      </c>
      <c r="BX308" s="6"/>
      <c r="BY308" s="7"/>
      <c r="BZ308" s="7"/>
      <c r="CA308" s="7"/>
      <c r="CB308" s="7"/>
      <c r="CC308" s="8">
        <f>SUM(BX308:CB308)</f>
        <v>0</v>
      </c>
      <c r="CE308" s="28">
        <f t="shared" si="1369"/>
        <v>0</v>
      </c>
      <c r="CF308" s="29">
        <f t="shared" si="1370"/>
        <v>0</v>
      </c>
      <c r="CG308" s="29">
        <f t="shared" si="1371"/>
        <v>0</v>
      </c>
      <c r="CH308" s="29">
        <f t="shared" si="1372"/>
        <v>0</v>
      </c>
      <c r="CI308" s="29">
        <f t="shared" si="1373"/>
        <v>0</v>
      </c>
      <c r="CJ308" s="8">
        <f>SUM(CE308:CI308)</f>
        <v>0</v>
      </c>
      <c r="CL308" s="6"/>
      <c r="CM308" s="7"/>
      <c r="CN308" s="7"/>
      <c r="CO308" s="7"/>
      <c r="CP308" s="7"/>
      <c r="CQ308" s="8">
        <f>SUM(CL308:CP308)</f>
        <v>0</v>
      </c>
      <c r="CS308" s="6"/>
      <c r="CT308" s="7"/>
      <c r="CU308" s="7"/>
      <c r="CV308" s="7"/>
      <c r="CW308" s="7"/>
      <c r="CX308" s="8">
        <f t="shared" ref="CX308:CX310" si="1378">SUM(CS308:CW308)</f>
        <v>0</v>
      </c>
      <c r="CZ308" s="6"/>
      <c r="DA308" s="7"/>
      <c r="DB308" s="7"/>
      <c r="DC308" s="7"/>
      <c r="DD308" s="7"/>
      <c r="DE308" s="8">
        <f t="shared" ref="DE308:DE310" si="1379">SUM(CZ308:DD308)</f>
        <v>0</v>
      </c>
    </row>
    <row r="309" spans="3:109">
      <c r="C309" s="567"/>
      <c r="E309" s="14" t="s">
        <v>61</v>
      </c>
      <c r="F309" s="23">
        <f t="shared" si="1374"/>
        <v>0</v>
      </c>
      <c r="G309" s="24">
        <f t="shared" si="1365"/>
        <v>0</v>
      </c>
      <c r="H309" s="24">
        <f t="shared" si="1366"/>
        <v>0</v>
      </c>
      <c r="I309" s="24">
        <f t="shared" si="1367"/>
        <v>0</v>
      </c>
      <c r="J309" s="24">
        <f t="shared" si="1368"/>
        <v>0</v>
      </c>
      <c r="K309" s="8">
        <f t="shared" si="1375"/>
        <v>0</v>
      </c>
      <c r="M309" s="6"/>
      <c r="N309" s="7"/>
      <c r="O309" s="7"/>
      <c r="P309" s="7"/>
      <c r="Q309" s="7"/>
      <c r="R309" s="8">
        <f t="shared" si="1376"/>
        <v>0</v>
      </c>
      <c r="T309" s="6"/>
      <c r="U309" s="7"/>
      <c r="V309" s="7"/>
      <c r="W309" s="7"/>
      <c r="X309" s="7"/>
      <c r="Y309" s="8">
        <f t="shared" si="1377"/>
        <v>0</v>
      </c>
      <c r="AA309" s="6"/>
      <c r="AB309" s="7"/>
      <c r="AC309" s="7"/>
      <c r="AD309" s="7"/>
      <c r="AE309" s="7"/>
      <c r="AF309" s="8">
        <f>SUM(AA309:AE309)</f>
        <v>0</v>
      </c>
      <c r="AH309" s="6"/>
      <c r="AI309" s="7"/>
      <c r="AJ309" s="7"/>
      <c r="AK309" s="7"/>
      <c r="AL309" s="7"/>
      <c r="AM309" s="8">
        <f>SUM(AH309:AL309)</f>
        <v>0</v>
      </c>
      <c r="AO309" s="6"/>
      <c r="AP309" s="7"/>
      <c r="AQ309" s="7"/>
      <c r="AR309" s="7"/>
      <c r="AS309" s="7"/>
      <c r="AT309" s="8">
        <f>SUM(AO309:AS309)</f>
        <v>0</v>
      </c>
      <c r="AV309" s="6"/>
      <c r="AW309" s="7"/>
      <c r="AX309" s="7"/>
      <c r="AY309" s="7"/>
      <c r="AZ309" s="7"/>
      <c r="BA309" s="8">
        <f>SUM(AV309:AZ309)</f>
        <v>0</v>
      </c>
      <c r="BC309" s="6"/>
      <c r="BD309" s="7"/>
      <c r="BE309" s="7"/>
      <c r="BF309" s="7"/>
      <c r="BG309" s="7"/>
      <c r="BH309" s="8">
        <f>SUM(BC309:BG309)</f>
        <v>0</v>
      </c>
      <c r="BJ309" s="6"/>
      <c r="BK309" s="7"/>
      <c r="BL309" s="7"/>
      <c r="BM309" s="7"/>
      <c r="BN309" s="7"/>
      <c r="BO309" s="8">
        <f>SUM(BJ309:BN309)</f>
        <v>0</v>
      </c>
      <c r="BQ309" s="6"/>
      <c r="BR309" s="7"/>
      <c r="BS309" s="7"/>
      <c r="BT309" s="7"/>
      <c r="BU309" s="7"/>
      <c r="BV309" s="8">
        <f>SUM(BQ309:BU309)</f>
        <v>0</v>
      </c>
      <c r="BX309" s="6"/>
      <c r="BY309" s="7"/>
      <c r="BZ309" s="7"/>
      <c r="CA309" s="7"/>
      <c r="CB309" s="7"/>
      <c r="CC309" s="8">
        <f>SUM(BX309:CB309)</f>
        <v>0</v>
      </c>
      <c r="CE309" s="28">
        <f t="shared" si="1369"/>
        <v>0</v>
      </c>
      <c r="CF309" s="29">
        <f t="shared" si="1370"/>
        <v>0</v>
      </c>
      <c r="CG309" s="29">
        <f t="shared" si="1371"/>
        <v>0</v>
      </c>
      <c r="CH309" s="29">
        <f t="shared" si="1372"/>
        <v>0</v>
      </c>
      <c r="CI309" s="29">
        <f t="shared" si="1373"/>
        <v>0</v>
      </c>
      <c r="CJ309" s="8">
        <f>SUM(CE309:CI309)</f>
        <v>0</v>
      </c>
      <c r="CL309" s="6"/>
      <c r="CM309" s="7"/>
      <c r="CN309" s="7"/>
      <c r="CO309" s="7"/>
      <c r="CP309" s="7"/>
      <c r="CQ309" s="8">
        <f>SUM(CL309:CP309)</f>
        <v>0</v>
      </c>
      <c r="CS309" s="6"/>
      <c r="CT309" s="7"/>
      <c r="CU309" s="7"/>
      <c r="CV309" s="7"/>
      <c r="CW309" s="7"/>
      <c r="CX309" s="8">
        <f t="shared" si="1378"/>
        <v>0</v>
      </c>
      <c r="CZ309" s="6"/>
      <c r="DA309" s="7"/>
      <c r="DB309" s="7"/>
      <c r="DC309" s="7"/>
      <c r="DD309" s="7"/>
      <c r="DE309" s="8">
        <f t="shared" si="1379"/>
        <v>0</v>
      </c>
    </row>
    <row r="310" spans="3:109" ht="14" thickBot="1">
      <c r="C310" s="567"/>
      <c r="E310" s="14" t="s">
        <v>62</v>
      </c>
      <c r="F310" s="23">
        <f t="shared" si="1374"/>
        <v>0</v>
      </c>
      <c r="G310" s="24">
        <f t="shared" si="1365"/>
        <v>0</v>
      </c>
      <c r="H310" s="24">
        <f t="shared" si="1366"/>
        <v>0</v>
      </c>
      <c r="I310" s="24">
        <f t="shared" si="1367"/>
        <v>0</v>
      </c>
      <c r="J310" s="24">
        <f t="shared" si="1368"/>
        <v>0</v>
      </c>
      <c r="K310" s="8">
        <f t="shared" si="1375"/>
        <v>0</v>
      </c>
      <c r="M310" s="6"/>
      <c r="N310" s="7"/>
      <c r="O310" s="7"/>
      <c r="P310" s="7"/>
      <c r="Q310" s="7"/>
      <c r="R310" s="8">
        <f t="shared" si="1376"/>
        <v>0</v>
      </c>
      <c r="T310" s="6"/>
      <c r="U310" s="7"/>
      <c r="V310" s="7"/>
      <c r="W310" s="7"/>
      <c r="X310" s="7"/>
      <c r="Y310" s="8">
        <f t="shared" si="1377"/>
        <v>0</v>
      </c>
      <c r="AA310" s="6"/>
      <c r="AB310" s="7"/>
      <c r="AC310" s="7"/>
      <c r="AD310" s="7"/>
      <c r="AE310" s="7"/>
      <c r="AF310" s="8">
        <f>SUM(AA310:AE310)</f>
        <v>0</v>
      </c>
      <c r="AH310" s="6"/>
      <c r="AI310" s="7"/>
      <c r="AJ310" s="7"/>
      <c r="AK310" s="7"/>
      <c r="AL310" s="7"/>
      <c r="AM310" s="8">
        <f>SUM(AH310:AL310)</f>
        <v>0</v>
      </c>
      <c r="AO310" s="6"/>
      <c r="AP310" s="7"/>
      <c r="AQ310" s="7"/>
      <c r="AR310" s="7"/>
      <c r="AS310" s="7"/>
      <c r="AT310" s="8">
        <f>SUM(AO310:AS310)</f>
        <v>0</v>
      </c>
      <c r="AV310" s="6"/>
      <c r="AW310" s="7"/>
      <c r="AX310" s="7"/>
      <c r="AY310" s="7"/>
      <c r="AZ310" s="7"/>
      <c r="BA310" s="8">
        <f>SUM(AV310:AZ310)</f>
        <v>0</v>
      </c>
      <c r="BC310" s="6"/>
      <c r="BD310" s="7"/>
      <c r="BE310" s="7"/>
      <c r="BF310" s="7"/>
      <c r="BG310" s="7"/>
      <c r="BH310" s="8">
        <f>SUM(BC310:BG310)</f>
        <v>0</v>
      </c>
      <c r="BJ310" s="6"/>
      <c r="BK310" s="7"/>
      <c r="BL310" s="7"/>
      <c r="BM310" s="7"/>
      <c r="BN310" s="7"/>
      <c r="BO310" s="8">
        <f>SUM(BJ310:BN310)</f>
        <v>0</v>
      </c>
      <c r="BQ310" s="6"/>
      <c r="BR310" s="7"/>
      <c r="BS310" s="7"/>
      <c r="BT310" s="7"/>
      <c r="BU310" s="7"/>
      <c r="BV310" s="8">
        <f>SUM(BQ310:BU310)</f>
        <v>0</v>
      </c>
      <c r="BX310" s="6"/>
      <c r="BY310" s="7"/>
      <c r="BZ310" s="7"/>
      <c r="CA310" s="7"/>
      <c r="CB310" s="7"/>
      <c r="CC310" s="8">
        <f>SUM(BX310:CB310)</f>
        <v>0</v>
      </c>
      <c r="CE310" s="493">
        <f t="shared" si="1369"/>
        <v>0</v>
      </c>
      <c r="CF310" s="494">
        <f t="shared" si="1370"/>
        <v>0</v>
      </c>
      <c r="CG310" s="494">
        <f t="shared" si="1371"/>
        <v>0</v>
      </c>
      <c r="CH310" s="494">
        <f t="shared" si="1372"/>
        <v>0</v>
      </c>
      <c r="CI310" s="494">
        <f t="shared" si="1373"/>
        <v>0</v>
      </c>
      <c r="CJ310" s="495">
        <f>SUM(CE310:CI310)</f>
        <v>0</v>
      </c>
      <c r="CL310" s="6"/>
      <c r="CM310" s="7"/>
      <c r="CN310" s="7"/>
      <c r="CO310" s="7"/>
      <c r="CP310" s="7"/>
      <c r="CQ310" s="8">
        <f>SUM(CL310:CP310)</f>
        <v>0</v>
      </c>
      <c r="CS310" s="6"/>
      <c r="CT310" s="7"/>
      <c r="CU310" s="7"/>
      <c r="CV310" s="7"/>
      <c r="CW310" s="7"/>
      <c r="CX310" s="8">
        <f t="shared" si="1378"/>
        <v>0</v>
      </c>
      <c r="CZ310" s="6"/>
      <c r="DA310" s="7"/>
      <c r="DB310" s="7"/>
      <c r="DC310" s="7"/>
      <c r="DD310" s="7"/>
      <c r="DE310" s="8">
        <f t="shared" si="1379"/>
        <v>0</v>
      </c>
    </row>
    <row r="311" spans="3:109" ht="14" thickBot="1">
      <c r="C311" s="554"/>
      <c r="E311" s="17"/>
      <c r="F311" s="10">
        <f>SUM(F307:F310)</f>
        <v>0</v>
      </c>
      <c r="G311" s="11">
        <f t="shared" ref="G311:J311" si="1380">SUM(G307:G310)</f>
        <v>0</v>
      </c>
      <c r="H311" s="11">
        <f t="shared" si="1380"/>
        <v>0</v>
      </c>
      <c r="I311" s="11">
        <f t="shared" si="1380"/>
        <v>0</v>
      </c>
      <c r="J311" s="11">
        <f t="shared" si="1380"/>
        <v>0</v>
      </c>
      <c r="K311" s="25">
        <f>SUM(K307:K310)</f>
        <v>0</v>
      </c>
      <c r="M311" s="10">
        <f>SUM(M307:M310)</f>
        <v>0</v>
      </c>
      <c r="N311" s="11">
        <f t="shared" ref="N311:Q311" si="1381">SUM(N307:N310)</f>
        <v>0</v>
      </c>
      <c r="O311" s="11">
        <f t="shared" si="1381"/>
        <v>0</v>
      </c>
      <c r="P311" s="11">
        <f t="shared" si="1381"/>
        <v>0</v>
      </c>
      <c r="Q311" s="11">
        <f t="shared" si="1381"/>
        <v>0</v>
      </c>
      <c r="R311" s="25">
        <f>SUM(R307:R310)</f>
        <v>0</v>
      </c>
      <c r="T311" s="10">
        <f>SUM(T307:T310)</f>
        <v>0</v>
      </c>
      <c r="U311" s="11">
        <f t="shared" ref="U311:X311" si="1382">SUM(U307:U310)</f>
        <v>0</v>
      </c>
      <c r="V311" s="11">
        <f t="shared" si="1382"/>
        <v>0</v>
      </c>
      <c r="W311" s="11">
        <f t="shared" si="1382"/>
        <v>0</v>
      </c>
      <c r="X311" s="11">
        <f t="shared" si="1382"/>
        <v>0</v>
      </c>
      <c r="Y311" s="25">
        <f>SUM(Y307:Y310)</f>
        <v>0</v>
      </c>
      <c r="AA311" s="10">
        <f>SUM(AA307:AA310)</f>
        <v>0</v>
      </c>
      <c r="AB311" s="11">
        <f t="shared" ref="AB311:AE311" si="1383">SUM(AB307:AB310)</f>
        <v>0</v>
      </c>
      <c r="AC311" s="11">
        <f t="shared" si="1383"/>
        <v>0</v>
      </c>
      <c r="AD311" s="11">
        <f t="shared" si="1383"/>
        <v>0</v>
      </c>
      <c r="AE311" s="11">
        <f t="shared" si="1383"/>
        <v>0</v>
      </c>
      <c r="AF311" s="25">
        <f>SUM(AF307:AF310)</f>
        <v>0</v>
      </c>
      <c r="AH311" s="10">
        <f t="shared" ref="AH311:AM311" si="1384">SUM(AH307:AH310)</f>
        <v>0</v>
      </c>
      <c r="AI311" s="11">
        <f t="shared" si="1384"/>
        <v>0</v>
      </c>
      <c r="AJ311" s="11">
        <f t="shared" si="1384"/>
        <v>0</v>
      </c>
      <c r="AK311" s="11">
        <f t="shared" si="1384"/>
        <v>0</v>
      </c>
      <c r="AL311" s="11">
        <f t="shared" si="1384"/>
        <v>0</v>
      </c>
      <c r="AM311" s="25">
        <f t="shared" si="1384"/>
        <v>0</v>
      </c>
      <c r="AO311" s="10">
        <f t="shared" ref="AO311:AT311" si="1385">SUM(AO307:AO310)</f>
        <v>0</v>
      </c>
      <c r="AP311" s="11">
        <f t="shared" si="1385"/>
        <v>0</v>
      </c>
      <c r="AQ311" s="11">
        <f t="shared" si="1385"/>
        <v>0</v>
      </c>
      <c r="AR311" s="11">
        <f t="shared" si="1385"/>
        <v>0</v>
      </c>
      <c r="AS311" s="11">
        <f t="shared" si="1385"/>
        <v>0</v>
      </c>
      <c r="AT311" s="25">
        <f t="shared" si="1385"/>
        <v>0</v>
      </c>
      <c r="AV311" s="10">
        <f t="shared" ref="AV311:BA311" si="1386">SUM(AV307:AV310)</f>
        <v>0</v>
      </c>
      <c r="AW311" s="11">
        <f t="shared" si="1386"/>
        <v>0</v>
      </c>
      <c r="AX311" s="11">
        <f t="shared" si="1386"/>
        <v>0</v>
      </c>
      <c r="AY311" s="11">
        <f t="shared" si="1386"/>
        <v>0</v>
      </c>
      <c r="AZ311" s="11">
        <f t="shared" si="1386"/>
        <v>0</v>
      </c>
      <c r="BA311" s="25">
        <f t="shared" si="1386"/>
        <v>0</v>
      </c>
      <c r="BC311" s="10">
        <f t="shared" ref="BC311:BH311" si="1387">SUM(BC307:BC310)</f>
        <v>0</v>
      </c>
      <c r="BD311" s="11">
        <f t="shared" si="1387"/>
        <v>0</v>
      </c>
      <c r="BE311" s="11">
        <f t="shared" si="1387"/>
        <v>0</v>
      </c>
      <c r="BF311" s="11">
        <f t="shared" si="1387"/>
        <v>0</v>
      </c>
      <c r="BG311" s="11">
        <f t="shared" si="1387"/>
        <v>0</v>
      </c>
      <c r="BH311" s="25">
        <f t="shared" si="1387"/>
        <v>0</v>
      </c>
      <c r="BJ311" s="10">
        <f t="shared" ref="BJ311:BO311" si="1388">SUM(BJ307:BJ310)</f>
        <v>0</v>
      </c>
      <c r="BK311" s="11">
        <f t="shared" si="1388"/>
        <v>0</v>
      </c>
      <c r="BL311" s="11">
        <f t="shared" si="1388"/>
        <v>0</v>
      </c>
      <c r="BM311" s="11">
        <f t="shared" si="1388"/>
        <v>0</v>
      </c>
      <c r="BN311" s="11">
        <f t="shared" si="1388"/>
        <v>0</v>
      </c>
      <c r="BO311" s="25">
        <f t="shared" si="1388"/>
        <v>0</v>
      </c>
      <c r="BQ311" s="10">
        <f t="shared" ref="BQ311:BV311" si="1389">SUM(BQ307:BQ310)</f>
        <v>0</v>
      </c>
      <c r="BR311" s="11">
        <f t="shared" si="1389"/>
        <v>0</v>
      </c>
      <c r="BS311" s="11">
        <f t="shared" si="1389"/>
        <v>0</v>
      </c>
      <c r="BT311" s="11">
        <f t="shared" si="1389"/>
        <v>0</v>
      </c>
      <c r="BU311" s="11">
        <f t="shared" si="1389"/>
        <v>0</v>
      </c>
      <c r="BV311" s="25">
        <f t="shared" si="1389"/>
        <v>0</v>
      </c>
      <c r="BX311" s="10">
        <f t="shared" ref="BX311:CC311" si="1390">SUM(BX307:BX310)</f>
        <v>0</v>
      </c>
      <c r="BY311" s="11">
        <f t="shared" si="1390"/>
        <v>0</v>
      </c>
      <c r="BZ311" s="11">
        <f t="shared" si="1390"/>
        <v>0</v>
      </c>
      <c r="CA311" s="11">
        <f t="shared" si="1390"/>
        <v>0</v>
      </c>
      <c r="CB311" s="11">
        <f t="shared" si="1390"/>
        <v>0</v>
      </c>
      <c r="CC311" s="25">
        <f t="shared" si="1390"/>
        <v>0</v>
      </c>
      <c r="CE311" s="62">
        <f t="shared" ref="CE311:CJ311" si="1391">SUM(CE307:CE310)</f>
        <v>0</v>
      </c>
      <c r="CF311" s="63">
        <f t="shared" si="1391"/>
        <v>0</v>
      </c>
      <c r="CG311" s="63">
        <f t="shared" si="1391"/>
        <v>0</v>
      </c>
      <c r="CH311" s="63">
        <f t="shared" si="1391"/>
        <v>0</v>
      </c>
      <c r="CI311" s="63">
        <f t="shared" si="1391"/>
        <v>0</v>
      </c>
      <c r="CJ311" s="25">
        <f t="shared" si="1391"/>
        <v>0</v>
      </c>
      <c r="CL311" s="10">
        <f>SUM(CL307:CL310)</f>
        <v>0</v>
      </c>
      <c r="CM311" s="11">
        <f t="shared" ref="CM311:CQ311" si="1392">SUM(CM307:CM310)</f>
        <v>0</v>
      </c>
      <c r="CN311" s="11">
        <f t="shared" si="1392"/>
        <v>0</v>
      </c>
      <c r="CO311" s="11">
        <f t="shared" si="1392"/>
        <v>0</v>
      </c>
      <c r="CP311" s="11">
        <f t="shared" si="1392"/>
        <v>0</v>
      </c>
      <c r="CQ311" s="25">
        <f t="shared" si="1392"/>
        <v>0</v>
      </c>
      <c r="CS311" s="10">
        <f>SUM(CS307:CS310)</f>
        <v>0</v>
      </c>
      <c r="CT311" s="11">
        <f t="shared" ref="CT311:CW311" si="1393">SUM(CT307:CT310)</f>
        <v>0</v>
      </c>
      <c r="CU311" s="11">
        <f t="shared" si="1393"/>
        <v>0</v>
      </c>
      <c r="CV311" s="11">
        <f t="shared" si="1393"/>
        <v>0</v>
      </c>
      <c r="CW311" s="11">
        <f t="shared" si="1393"/>
        <v>0</v>
      </c>
      <c r="CX311" s="25">
        <f>SUM(CX307:CX310)</f>
        <v>0</v>
      </c>
      <c r="CZ311" s="10">
        <f>SUM(CZ307:CZ310)</f>
        <v>0</v>
      </c>
      <c r="DA311" s="11">
        <f t="shared" ref="DA311:DD311" si="1394">SUM(DA307:DA310)</f>
        <v>0</v>
      </c>
      <c r="DB311" s="11">
        <f t="shared" si="1394"/>
        <v>0</v>
      </c>
      <c r="DC311" s="11">
        <f t="shared" si="1394"/>
        <v>0</v>
      </c>
      <c r="DD311" s="11">
        <f t="shared" si="1394"/>
        <v>0</v>
      </c>
      <c r="DE311" s="25">
        <f>SUM(DE307:DE310)</f>
        <v>0</v>
      </c>
    </row>
    <row r="312" spans="3:109" ht="10.4" customHeight="1" thickBot="1"/>
    <row r="313" spans="3:109">
      <c r="C313" s="553">
        <v>2027</v>
      </c>
      <c r="E313" s="13" t="s">
        <v>59</v>
      </c>
      <c r="F313" s="21">
        <f>CE307</f>
        <v>0</v>
      </c>
      <c r="G313" s="22">
        <f t="shared" ref="G313:G316" si="1395">CF307</f>
        <v>0</v>
      </c>
      <c r="H313" s="22">
        <f t="shared" ref="H313:H316" si="1396">CG307</f>
        <v>0</v>
      </c>
      <c r="I313" s="22">
        <f t="shared" ref="I313:I316" si="1397">CH307</f>
        <v>0</v>
      </c>
      <c r="J313" s="22">
        <f t="shared" ref="J313:J316" si="1398">CI307</f>
        <v>0</v>
      </c>
      <c r="K313" s="4">
        <f>SUM(F313:J313)</f>
        <v>0</v>
      </c>
      <c r="M313" s="2"/>
      <c r="N313" s="3"/>
      <c r="O313" s="3"/>
      <c r="P313" s="3"/>
      <c r="Q313" s="3"/>
      <c r="R313" s="4">
        <f>SUM(M313:Q313)</f>
        <v>0</v>
      </c>
      <c r="T313" s="2"/>
      <c r="U313" s="3"/>
      <c r="V313" s="3"/>
      <c r="W313" s="3"/>
      <c r="X313" s="3"/>
      <c r="Y313" s="4">
        <f>SUM(T313:X313)</f>
        <v>0</v>
      </c>
      <c r="AA313" s="2"/>
      <c r="AB313" s="3"/>
      <c r="AC313" s="3"/>
      <c r="AD313" s="3"/>
      <c r="AE313" s="3"/>
      <c r="AF313" s="4">
        <f>SUM(AA313:AE313)</f>
        <v>0</v>
      </c>
      <c r="AH313" s="2"/>
      <c r="AI313" s="3"/>
      <c r="AJ313" s="3"/>
      <c r="AK313" s="3"/>
      <c r="AL313" s="3"/>
      <c r="AM313" s="4">
        <f>SUM(AH313:AL313)</f>
        <v>0</v>
      </c>
      <c r="AO313" s="2"/>
      <c r="AP313" s="3"/>
      <c r="AQ313" s="3"/>
      <c r="AR313" s="3"/>
      <c r="AS313" s="3"/>
      <c r="AT313" s="4">
        <f>SUM(AO313:AS313)</f>
        <v>0</v>
      </c>
      <c r="AV313" s="2"/>
      <c r="AW313" s="3"/>
      <c r="AX313" s="3"/>
      <c r="AY313" s="3"/>
      <c r="AZ313" s="3"/>
      <c r="BA313" s="4">
        <f>SUM(AV313:AZ313)</f>
        <v>0</v>
      </c>
      <c r="BC313" s="2"/>
      <c r="BD313" s="3"/>
      <c r="BE313" s="3"/>
      <c r="BF313" s="3"/>
      <c r="BG313" s="3"/>
      <c r="BH313" s="4">
        <f>SUM(BC313:BG313)</f>
        <v>0</v>
      </c>
      <c r="BJ313" s="2"/>
      <c r="BK313" s="3"/>
      <c r="BL313" s="3"/>
      <c r="BM313" s="3"/>
      <c r="BN313" s="3"/>
      <c r="BO313" s="4">
        <f>SUM(BJ313:BN313)</f>
        <v>0</v>
      </c>
      <c r="BQ313" s="2"/>
      <c r="BR313" s="3"/>
      <c r="BS313" s="3"/>
      <c r="BT313" s="3"/>
      <c r="BU313" s="3"/>
      <c r="BV313" s="4">
        <f>SUM(BQ313:BU313)</f>
        <v>0</v>
      </c>
      <c r="BX313" s="2"/>
      <c r="BY313" s="3"/>
      <c r="BZ313" s="3"/>
      <c r="CA313" s="3"/>
      <c r="CB313" s="3"/>
      <c r="CC313" s="4">
        <f>SUM(BX313:CB313)</f>
        <v>0</v>
      </c>
      <c r="CE313" s="26">
        <f t="shared" ref="CE313:CE316" si="1399">F313+M313+T313+AA313+AH313+AO313+AV313+BC313+BJ313+BQ313+BX313</f>
        <v>0</v>
      </c>
      <c r="CF313" s="27">
        <f t="shared" ref="CF313:CF316" si="1400">G313+N313+U313+AB313+AI313+AP313+AW313+BD313+BK313+BR313+BY313</f>
        <v>0</v>
      </c>
      <c r="CG313" s="27">
        <f t="shared" ref="CG313:CG316" si="1401">H313+O313+V313+AC313+AJ313+AQ313+AX313+BE313+BL313+BS313+BZ313</f>
        <v>0</v>
      </c>
      <c r="CH313" s="27">
        <f t="shared" ref="CH313:CH316" si="1402">I313+P313+W313+AD313+AK313+AR313+AY313+BF313+BM313+BT313+CA313</f>
        <v>0</v>
      </c>
      <c r="CI313" s="27">
        <f t="shared" ref="CI313:CI316" si="1403">J313+Q313+X313+AE313+AL313+AS313+AZ313+BG313+BN313+BU313+CB313</f>
        <v>0</v>
      </c>
      <c r="CJ313" s="4">
        <f>SUM(CE313:CI313)</f>
        <v>0</v>
      </c>
      <c r="CL313" s="2"/>
      <c r="CM313" s="3"/>
      <c r="CN313" s="3"/>
      <c r="CO313" s="3"/>
      <c r="CP313" s="3"/>
      <c r="CQ313" s="4">
        <f>SUM(CL313:CP313)</f>
        <v>0</v>
      </c>
      <c r="CS313" s="2"/>
      <c r="CT313" s="3"/>
      <c r="CU313" s="3"/>
      <c r="CV313" s="3"/>
      <c r="CW313" s="3"/>
      <c r="CX313" s="4">
        <f>SUM(CS313:CW313)</f>
        <v>0</v>
      </c>
      <c r="CZ313" s="2"/>
      <c r="DA313" s="3"/>
      <c r="DB313" s="3"/>
      <c r="DC313" s="3"/>
      <c r="DD313" s="3"/>
      <c r="DE313" s="4">
        <f>SUM(CZ313:DD313)</f>
        <v>0</v>
      </c>
    </row>
    <row r="314" spans="3:109">
      <c r="C314" s="567"/>
      <c r="E314" s="14" t="s">
        <v>60</v>
      </c>
      <c r="F314" s="23">
        <f t="shared" ref="F314:F316" si="1404">CE308</f>
        <v>0</v>
      </c>
      <c r="G314" s="24">
        <f t="shared" si="1395"/>
        <v>0</v>
      </c>
      <c r="H314" s="24">
        <f t="shared" si="1396"/>
        <v>0</v>
      </c>
      <c r="I314" s="24">
        <f t="shared" si="1397"/>
        <v>0</v>
      </c>
      <c r="J314" s="24">
        <f t="shared" si="1398"/>
        <v>0</v>
      </c>
      <c r="K314" s="8">
        <f t="shared" ref="K314:K316" si="1405">SUM(F314:J314)</f>
        <v>0</v>
      </c>
      <c r="M314" s="6"/>
      <c r="N314" s="7"/>
      <c r="O314" s="7"/>
      <c r="P314" s="7"/>
      <c r="Q314" s="7"/>
      <c r="R314" s="8">
        <f t="shared" ref="R314:R316" si="1406">SUM(M314:Q314)</f>
        <v>0</v>
      </c>
      <c r="T314" s="6"/>
      <c r="U314" s="7"/>
      <c r="V314" s="7"/>
      <c r="W314" s="7"/>
      <c r="X314" s="7"/>
      <c r="Y314" s="8">
        <f t="shared" ref="Y314:Y316" si="1407">SUM(T314:X314)</f>
        <v>0</v>
      </c>
      <c r="AA314" s="6"/>
      <c r="AB314" s="7"/>
      <c r="AC314" s="7"/>
      <c r="AD314" s="7"/>
      <c r="AE314" s="7"/>
      <c r="AF314" s="8">
        <f>SUM(AA314:AE314)</f>
        <v>0</v>
      </c>
      <c r="AH314" s="6"/>
      <c r="AI314" s="7"/>
      <c r="AJ314" s="7"/>
      <c r="AK314" s="7"/>
      <c r="AL314" s="7"/>
      <c r="AM314" s="8">
        <f>SUM(AH314:AL314)</f>
        <v>0</v>
      </c>
      <c r="AO314" s="6"/>
      <c r="AP314" s="7"/>
      <c r="AQ314" s="7"/>
      <c r="AR314" s="7"/>
      <c r="AS314" s="7"/>
      <c r="AT314" s="8">
        <f>SUM(AO314:AS314)</f>
        <v>0</v>
      </c>
      <c r="AV314" s="6"/>
      <c r="AW314" s="7"/>
      <c r="AX314" s="7"/>
      <c r="AY314" s="7"/>
      <c r="AZ314" s="7"/>
      <c r="BA314" s="8">
        <f>SUM(AV314:AZ314)</f>
        <v>0</v>
      </c>
      <c r="BC314" s="6"/>
      <c r="BD314" s="7"/>
      <c r="BE314" s="7"/>
      <c r="BF314" s="7"/>
      <c r="BG314" s="7"/>
      <c r="BH314" s="8">
        <f>SUM(BC314:BG314)</f>
        <v>0</v>
      </c>
      <c r="BJ314" s="6"/>
      <c r="BK314" s="7"/>
      <c r="BL314" s="7"/>
      <c r="BM314" s="7"/>
      <c r="BN314" s="7"/>
      <c r="BO314" s="8">
        <f>SUM(BJ314:BN314)</f>
        <v>0</v>
      </c>
      <c r="BQ314" s="6"/>
      <c r="BR314" s="7"/>
      <c r="BS314" s="7"/>
      <c r="BT314" s="7"/>
      <c r="BU314" s="7"/>
      <c r="BV314" s="8">
        <f>SUM(BQ314:BU314)</f>
        <v>0</v>
      </c>
      <c r="BX314" s="6"/>
      <c r="BY314" s="7"/>
      <c r="BZ314" s="7"/>
      <c r="CA314" s="7"/>
      <c r="CB314" s="7"/>
      <c r="CC314" s="8">
        <f>SUM(BX314:CB314)</f>
        <v>0</v>
      </c>
      <c r="CE314" s="28">
        <f t="shared" si="1399"/>
        <v>0</v>
      </c>
      <c r="CF314" s="29">
        <f t="shared" si="1400"/>
        <v>0</v>
      </c>
      <c r="CG314" s="29">
        <f t="shared" si="1401"/>
        <v>0</v>
      </c>
      <c r="CH314" s="29">
        <f t="shared" si="1402"/>
        <v>0</v>
      </c>
      <c r="CI314" s="29">
        <f t="shared" si="1403"/>
        <v>0</v>
      </c>
      <c r="CJ314" s="8">
        <f>SUM(CE314:CI314)</f>
        <v>0</v>
      </c>
      <c r="CL314" s="6"/>
      <c r="CM314" s="7"/>
      <c r="CN314" s="7"/>
      <c r="CO314" s="7"/>
      <c r="CP314" s="7"/>
      <c r="CQ314" s="8">
        <f>SUM(CL314:CP314)</f>
        <v>0</v>
      </c>
      <c r="CS314" s="6"/>
      <c r="CT314" s="7"/>
      <c r="CU314" s="7"/>
      <c r="CV314" s="7"/>
      <c r="CW314" s="7"/>
      <c r="CX314" s="8">
        <f t="shared" ref="CX314:CX316" si="1408">SUM(CS314:CW314)</f>
        <v>0</v>
      </c>
      <c r="CZ314" s="6"/>
      <c r="DA314" s="7"/>
      <c r="DB314" s="7"/>
      <c r="DC314" s="7"/>
      <c r="DD314" s="7"/>
      <c r="DE314" s="8">
        <f t="shared" ref="DE314:DE316" si="1409">SUM(CZ314:DD314)</f>
        <v>0</v>
      </c>
    </row>
    <row r="315" spans="3:109">
      <c r="C315" s="567"/>
      <c r="E315" s="14" t="s">
        <v>61</v>
      </c>
      <c r="F315" s="23">
        <f t="shared" si="1404"/>
        <v>0</v>
      </c>
      <c r="G315" s="24">
        <f t="shared" si="1395"/>
        <v>0</v>
      </c>
      <c r="H315" s="24">
        <f t="shared" si="1396"/>
        <v>0</v>
      </c>
      <c r="I315" s="24">
        <f t="shared" si="1397"/>
        <v>0</v>
      </c>
      <c r="J315" s="24">
        <f t="shared" si="1398"/>
        <v>0</v>
      </c>
      <c r="K315" s="8">
        <f t="shared" si="1405"/>
        <v>0</v>
      </c>
      <c r="M315" s="6"/>
      <c r="N315" s="7"/>
      <c r="O315" s="7"/>
      <c r="P315" s="7"/>
      <c r="Q315" s="7"/>
      <c r="R315" s="8">
        <f t="shared" si="1406"/>
        <v>0</v>
      </c>
      <c r="T315" s="6"/>
      <c r="U315" s="7"/>
      <c r="V315" s="7"/>
      <c r="W315" s="7"/>
      <c r="X315" s="7"/>
      <c r="Y315" s="8">
        <f t="shared" si="1407"/>
        <v>0</v>
      </c>
      <c r="AA315" s="6"/>
      <c r="AB315" s="7"/>
      <c r="AC315" s="7"/>
      <c r="AD315" s="7"/>
      <c r="AE315" s="7"/>
      <c r="AF315" s="8">
        <f>SUM(AA315:AE315)</f>
        <v>0</v>
      </c>
      <c r="AH315" s="6"/>
      <c r="AI315" s="7"/>
      <c r="AJ315" s="7"/>
      <c r="AK315" s="7"/>
      <c r="AL315" s="7"/>
      <c r="AM315" s="8">
        <f>SUM(AH315:AL315)</f>
        <v>0</v>
      </c>
      <c r="AO315" s="6"/>
      <c r="AP315" s="7"/>
      <c r="AQ315" s="7"/>
      <c r="AR315" s="7"/>
      <c r="AS315" s="7"/>
      <c r="AT315" s="8">
        <f>SUM(AO315:AS315)</f>
        <v>0</v>
      </c>
      <c r="AV315" s="6"/>
      <c r="AW315" s="7"/>
      <c r="AX315" s="7"/>
      <c r="AY315" s="7"/>
      <c r="AZ315" s="7"/>
      <c r="BA315" s="8">
        <f>SUM(AV315:AZ315)</f>
        <v>0</v>
      </c>
      <c r="BC315" s="6"/>
      <c r="BD315" s="7"/>
      <c r="BE315" s="7"/>
      <c r="BF315" s="7"/>
      <c r="BG315" s="7"/>
      <c r="BH315" s="8">
        <f>SUM(BC315:BG315)</f>
        <v>0</v>
      </c>
      <c r="BJ315" s="6"/>
      <c r="BK315" s="7"/>
      <c r="BL315" s="7"/>
      <c r="BM315" s="7"/>
      <c r="BN315" s="7"/>
      <c r="BO315" s="8">
        <f>SUM(BJ315:BN315)</f>
        <v>0</v>
      </c>
      <c r="BQ315" s="6"/>
      <c r="BR315" s="7"/>
      <c r="BS315" s="7"/>
      <c r="BT315" s="7"/>
      <c r="BU315" s="7"/>
      <c r="BV315" s="8">
        <f>SUM(BQ315:BU315)</f>
        <v>0</v>
      </c>
      <c r="BX315" s="6"/>
      <c r="BY315" s="7"/>
      <c r="BZ315" s="7"/>
      <c r="CA315" s="7"/>
      <c r="CB315" s="7"/>
      <c r="CC315" s="8">
        <f>SUM(BX315:CB315)</f>
        <v>0</v>
      </c>
      <c r="CE315" s="28">
        <f t="shared" si="1399"/>
        <v>0</v>
      </c>
      <c r="CF315" s="29">
        <f t="shared" si="1400"/>
        <v>0</v>
      </c>
      <c r="CG315" s="29">
        <f t="shared" si="1401"/>
        <v>0</v>
      </c>
      <c r="CH315" s="29">
        <f t="shared" si="1402"/>
        <v>0</v>
      </c>
      <c r="CI315" s="29">
        <f t="shared" si="1403"/>
        <v>0</v>
      </c>
      <c r="CJ315" s="8">
        <f>SUM(CE315:CI315)</f>
        <v>0</v>
      </c>
      <c r="CL315" s="6"/>
      <c r="CM315" s="7"/>
      <c r="CN315" s="7"/>
      <c r="CO315" s="7"/>
      <c r="CP315" s="7"/>
      <c r="CQ315" s="8">
        <f>SUM(CL315:CP315)</f>
        <v>0</v>
      </c>
      <c r="CS315" s="6"/>
      <c r="CT315" s="7"/>
      <c r="CU315" s="7"/>
      <c r="CV315" s="7"/>
      <c r="CW315" s="7"/>
      <c r="CX315" s="8">
        <f t="shared" si="1408"/>
        <v>0</v>
      </c>
      <c r="CZ315" s="6"/>
      <c r="DA315" s="7"/>
      <c r="DB315" s="7"/>
      <c r="DC315" s="7"/>
      <c r="DD315" s="7"/>
      <c r="DE315" s="8">
        <f t="shared" si="1409"/>
        <v>0</v>
      </c>
    </row>
    <row r="316" spans="3:109" ht="14" thickBot="1">
      <c r="C316" s="567"/>
      <c r="E316" s="14" t="s">
        <v>62</v>
      </c>
      <c r="F316" s="23">
        <f t="shared" si="1404"/>
        <v>0</v>
      </c>
      <c r="G316" s="24">
        <f t="shared" si="1395"/>
        <v>0</v>
      </c>
      <c r="H316" s="24">
        <f t="shared" si="1396"/>
        <v>0</v>
      </c>
      <c r="I316" s="24">
        <f t="shared" si="1397"/>
        <v>0</v>
      </c>
      <c r="J316" s="24">
        <f t="shared" si="1398"/>
        <v>0</v>
      </c>
      <c r="K316" s="8">
        <f t="shared" si="1405"/>
        <v>0</v>
      </c>
      <c r="M316" s="6"/>
      <c r="N316" s="7"/>
      <c r="O316" s="7"/>
      <c r="P316" s="7"/>
      <c r="Q316" s="7"/>
      <c r="R316" s="8">
        <f t="shared" si="1406"/>
        <v>0</v>
      </c>
      <c r="T316" s="6"/>
      <c r="U316" s="7"/>
      <c r="V316" s="7"/>
      <c r="W316" s="7"/>
      <c r="X316" s="7"/>
      <c r="Y316" s="8">
        <f t="shared" si="1407"/>
        <v>0</v>
      </c>
      <c r="AA316" s="6"/>
      <c r="AB316" s="7"/>
      <c r="AC316" s="7"/>
      <c r="AD316" s="7"/>
      <c r="AE316" s="7"/>
      <c r="AF316" s="8">
        <f>SUM(AA316:AE316)</f>
        <v>0</v>
      </c>
      <c r="AH316" s="6"/>
      <c r="AI316" s="7"/>
      <c r="AJ316" s="7"/>
      <c r="AK316" s="7"/>
      <c r="AL316" s="7"/>
      <c r="AM316" s="8">
        <f>SUM(AH316:AL316)</f>
        <v>0</v>
      </c>
      <c r="AO316" s="6"/>
      <c r="AP316" s="7"/>
      <c r="AQ316" s="7"/>
      <c r="AR316" s="7"/>
      <c r="AS316" s="7"/>
      <c r="AT316" s="8">
        <f>SUM(AO316:AS316)</f>
        <v>0</v>
      </c>
      <c r="AV316" s="6"/>
      <c r="AW316" s="7"/>
      <c r="AX316" s="7"/>
      <c r="AY316" s="7"/>
      <c r="AZ316" s="7"/>
      <c r="BA316" s="8">
        <f>SUM(AV316:AZ316)</f>
        <v>0</v>
      </c>
      <c r="BC316" s="6"/>
      <c r="BD316" s="7"/>
      <c r="BE316" s="7"/>
      <c r="BF316" s="7"/>
      <c r="BG316" s="7"/>
      <c r="BH316" s="8">
        <f>SUM(BC316:BG316)</f>
        <v>0</v>
      </c>
      <c r="BJ316" s="6"/>
      <c r="BK316" s="7"/>
      <c r="BL316" s="7"/>
      <c r="BM316" s="7"/>
      <c r="BN316" s="7"/>
      <c r="BO316" s="8">
        <f>SUM(BJ316:BN316)</f>
        <v>0</v>
      </c>
      <c r="BQ316" s="6"/>
      <c r="BR316" s="7"/>
      <c r="BS316" s="7"/>
      <c r="BT316" s="7"/>
      <c r="BU316" s="7"/>
      <c r="BV316" s="8">
        <f>SUM(BQ316:BU316)</f>
        <v>0</v>
      </c>
      <c r="BX316" s="6"/>
      <c r="BY316" s="7"/>
      <c r="BZ316" s="7"/>
      <c r="CA316" s="7"/>
      <c r="CB316" s="7"/>
      <c r="CC316" s="8">
        <f>SUM(BX316:CB316)</f>
        <v>0</v>
      </c>
      <c r="CE316" s="493">
        <f t="shared" si="1399"/>
        <v>0</v>
      </c>
      <c r="CF316" s="494">
        <f t="shared" si="1400"/>
        <v>0</v>
      </c>
      <c r="CG316" s="494">
        <f t="shared" si="1401"/>
        <v>0</v>
      </c>
      <c r="CH316" s="494">
        <f t="shared" si="1402"/>
        <v>0</v>
      </c>
      <c r="CI316" s="494">
        <f t="shared" si="1403"/>
        <v>0</v>
      </c>
      <c r="CJ316" s="495">
        <f>SUM(CE316:CI316)</f>
        <v>0</v>
      </c>
      <c r="CL316" s="6"/>
      <c r="CM316" s="7"/>
      <c r="CN316" s="7"/>
      <c r="CO316" s="7"/>
      <c r="CP316" s="7"/>
      <c r="CQ316" s="8">
        <f>SUM(CL316:CP316)</f>
        <v>0</v>
      </c>
      <c r="CS316" s="6"/>
      <c r="CT316" s="7"/>
      <c r="CU316" s="7"/>
      <c r="CV316" s="7"/>
      <c r="CW316" s="7"/>
      <c r="CX316" s="8">
        <f t="shared" si="1408"/>
        <v>0</v>
      </c>
      <c r="CZ316" s="6"/>
      <c r="DA316" s="7"/>
      <c r="DB316" s="7"/>
      <c r="DC316" s="7"/>
      <c r="DD316" s="7"/>
      <c r="DE316" s="8">
        <f t="shared" si="1409"/>
        <v>0</v>
      </c>
    </row>
    <row r="317" spans="3:109" ht="14" thickBot="1">
      <c r="C317" s="554"/>
      <c r="E317" s="17"/>
      <c r="F317" s="10">
        <f>SUM(F313:F316)</f>
        <v>0</v>
      </c>
      <c r="G317" s="11">
        <f t="shared" ref="G317:J317" si="1410">SUM(G313:G316)</f>
        <v>0</v>
      </c>
      <c r="H317" s="11">
        <f t="shared" si="1410"/>
        <v>0</v>
      </c>
      <c r="I317" s="11">
        <f t="shared" si="1410"/>
        <v>0</v>
      </c>
      <c r="J317" s="11">
        <f t="shared" si="1410"/>
        <v>0</v>
      </c>
      <c r="K317" s="25">
        <f>SUM(K313:K316)</f>
        <v>0</v>
      </c>
      <c r="M317" s="10">
        <f>SUM(M313:M316)</f>
        <v>0</v>
      </c>
      <c r="N317" s="11">
        <f t="shared" ref="N317:Q317" si="1411">SUM(N313:N316)</f>
        <v>0</v>
      </c>
      <c r="O317" s="11">
        <f t="shared" si="1411"/>
        <v>0</v>
      </c>
      <c r="P317" s="11">
        <f t="shared" si="1411"/>
        <v>0</v>
      </c>
      <c r="Q317" s="11">
        <f t="shared" si="1411"/>
        <v>0</v>
      </c>
      <c r="R317" s="25">
        <f>SUM(R313:R316)</f>
        <v>0</v>
      </c>
      <c r="T317" s="10">
        <f>SUM(T313:T316)</f>
        <v>0</v>
      </c>
      <c r="U317" s="11">
        <f t="shared" ref="U317:X317" si="1412">SUM(U313:U316)</f>
        <v>0</v>
      </c>
      <c r="V317" s="11">
        <f t="shared" si="1412"/>
        <v>0</v>
      </c>
      <c r="W317" s="11">
        <f t="shared" si="1412"/>
        <v>0</v>
      </c>
      <c r="X317" s="11">
        <f t="shared" si="1412"/>
        <v>0</v>
      </c>
      <c r="Y317" s="25">
        <f>SUM(Y313:Y316)</f>
        <v>0</v>
      </c>
      <c r="AA317" s="10">
        <f>SUM(AA313:AA316)</f>
        <v>0</v>
      </c>
      <c r="AB317" s="11">
        <f t="shared" ref="AB317:AE317" si="1413">SUM(AB313:AB316)</f>
        <v>0</v>
      </c>
      <c r="AC317" s="11">
        <f t="shared" si="1413"/>
        <v>0</v>
      </c>
      <c r="AD317" s="11">
        <f t="shared" si="1413"/>
        <v>0</v>
      </c>
      <c r="AE317" s="11">
        <f t="shared" si="1413"/>
        <v>0</v>
      </c>
      <c r="AF317" s="25">
        <f>SUM(AF313:AF316)</f>
        <v>0</v>
      </c>
      <c r="AH317" s="10">
        <f t="shared" ref="AH317:AM317" si="1414">SUM(AH313:AH316)</f>
        <v>0</v>
      </c>
      <c r="AI317" s="11">
        <f t="shared" si="1414"/>
        <v>0</v>
      </c>
      <c r="AJ317" s="11">
        <f t="shared" si="1414"/>
        <v>0</v>
      </c>
      <c r="AK317" s="11">
        <f t="shared" si="1414"/>
        <v>0</v>
      </c>
      <c r="AL317" s="11">
        <f t="shared" si="1414"/>
        <v>0</v>
      </c>
      <c r="AM317" s="25">
        <f t="shared" si="1414"/>
        <v>0</v>
      </c>
      <c r="AO317" s="10">
        <f t="shared" ref="AO317:AT317" si="1415">SUM(AO313:AO316)</f>
        <v>0</v>
      </c>
      <c r="AP317" s="11">
        <f t="shared" si="1415"/>
        <v>0</v>
      </c>
      <c r="AQ317" s="11">
        <f t="shared" si="1415"/>
        <v>0</v>
      </c>
      <c r="AR317" s="11">
        <f t="shared" si="1415"/>
        <v>0</v>
      </c>
      <c r="AS317" s="11">
        <f t="shared" si="1415"/>
        <v>0</v>
      </c>
      <c r="AT317" s="25">
        <f t="shared" si="1415"/>
        <v>0</v>
      </c>
      <c r="AV317" s="10">
        <f t="shared" ref="AV317:BA317" si="1416">SUM(AV313:AV316)</f>
        <v>0</v>
      </c>
      <c r="AW317" s="11">
        <f t="shared" si="1416"/>
        <v>0</v>
      </c>
      <c r="AX317" s="11">
        <f t="shared" si="1416"/>
        <v>0</v>
      </c>
      <c r="AY317" s="11">
        <f t="shared" si="1416"/>
        <v>0</v>
      </c>
      <c r="AZ317" s="11">
        <f t="shared" si="1416"/>
        <v>0</v>
      </c>
      <c r="BA317" s="25">
        <f t="shared" si="1416"/>
        <v>0</v>
      </c>
      <c r="BC317" s="10">
        <f t="shared" ref="BC317:BH317" si="1417">SUM(BC313:BC316)</f>
        <v>0</v>
      </c>
      <c r="BD317" s="11">
        <f t="shared" si="1417"/>
        <v>0</v>
      </c>
      <c r="BE317" s="11">
        <f t="shared" si="1417"/>
        <v>0</v>
      </c>
      <c r="BF317" s="11">
        <f t="shared" si="1417"/>
        <v>0</v>
      </c>
      <c r="BG317" s="11">
        <f t="shared" si="1417"/>
        <v>0</v>
      </c>
      <c r="BH317" s="25">
        <f t="shared" si="1417"/>
        <v>0</v>
      </c>
      <c r="BJ317" s="10">
        <f t="shared" ref="BJ317:BO317" si="1418">SUM(BJ313:BJ316)</f>
        <v>0</v>
      </c>
      <c r="BK317" s="11">
        <f t="shared" si="1418"/>
        <v>0</v>
      </c>
      <c r="BL317" s="11">
        <f t="shared" si="1418"/>
        <v>0</v>
      </c>
      <c r="BM317" s="11">
        <f t="shared" si="1418"/>
        <v>0</v>
      </c>
      <c r="BN317" s="11">
        <f t="shared" si="1418"/>
        <v>0</v>
      </c>
      <c r="BO317" s="25">
        <f t="shared" si="1418"/>
        <v>0</v>
      </c>
      <c r="BQ317" s="10">
        <f t="shared" ref="BQ317:BV317" si="1419">SUM(BQ313:BQ316)</f>
        <v>0</v>
      </c>
      <c r="BR317" s="11">
        <f t="shared" si="1419"/>
        <v>0</v>
      </c>
      <c r="BS317" s="11">
        <f t="shared" si="1419"/>
        <v>0</v>
      </c>
      <c r="BT317" s="11">
        <f t="shared" si="1419"/>
        <v>0</v>
      </c>
      <c r="BU317" s="11">
        <f t="shared" si="1419"/>
        <v>0</v>
      </c>
      <c r="BV317" s="25">
        <f t="shared" si="1419"/>
        <v>0</v>
      </c>
      <c r="BX317" s="10">
        <f t="shared" ref="BX317:CC317" si="1420">SUM(BX313:BX316)</f>
        <v>0</v>
      </c>
      <c r="BY317" s="11">
        <f t="shared" si="1420"/>
        <v>0</v>
      </c>
      <c r="BZ317" s="11">
        <f t="shared" si="1420"/>
        <v>0</v>
      </c>
      <c r="CA317" s="11">
        <f t="shared" si="1420"/>
        <v>0</v>
      </c>
      <c r="CB317" s="11">
        <f t="shared" si="1420"/>
        <v>0</v>
      </c>
      <c r="CC317" s="25">
        <f t="shared" si="1420"/>
        <v>0</v>
      </c>
      <c r="CE317" s="62">
        <f t="shared" ref="CE317:CJ317" si="1421">SUM(CE313:CE316)</f>
        <v>0</v>
      </c>
      <c r="CF317" s="63">
        <f t="shared" si="1421"/>
        <v>0</v>
      </c>
      <c r="CG317" s="63">
        <f t="shared" si="1421"/>
        <v>0</v>
      </c>
      <c r="CH317" s="63">
        <f t="shared" si="1421"/>
        <v>0</v>
      </c>
      <c r="CI317" s="63">
        <f t="shared" si="1421"/>
        <v>0</v>
      </c>
      <c r="CJ317" s="25">
        <f t="shared" si="1421"/>
        <v>0</v>
      </c>
      <c r="CL317" s="10">
        <f>SUM(CL313:CL316)</f>
        <v>0</v>
      </c>
      <c r="CM317" s="11">
        <f t="shared" ref="CM317:CQ317" si="1422">SUM(CM313:CM316)</f>
        <v>0</v>
      </c>
      <c r="CN317" s="11">
        <f t="shared" si="1422"/>
        <v>0</v>
      </c>
      <c r="CO317" s="11">
        <f t="shared" si="1422"/>
        <v>0</v>
      </c>
      <c r="CP317" s="11">
        <f t="shared" si="1422"/>
        <v>0</v>
      </c>
      <c r="CQ317" s="25">
        <f t="shared" si="1422"/>
        <v>0</v>
      </c>
      <c r="CS317" s="10">
        <f>SUM(CS313:CS316)</f>
        <v>0</v>
      </c>
      <c r="CT317" s="11">
        <f t="shared" ref="CT317:CW317" si="1423">SUM(CT313:CT316)</f>
        <v>0</v>
      </c>
      <c r="CU317" s="11">
        <f t="shared" si="1423"/>
        <v>0</v>
      </c>
      <c r="CV317" s="11">
        <f t="shared" si="1423"/>
        <v>0</v>
      </c>
      <c r="CW317" s="11">
        <f t="shared" si="1423"/>
        <v>0</v>
      </c>
      <c r="CX317" s="25">
        <f>SUM(CX313:CX316)</f>
        <v>0</v>
      </c>
      <c r="CZ317" s="10">
        <f>SUM(CZ313:CZ316)</f>
        <v>0</v>
      </c>
      <c r="DA317" s="11">
        <f t="shared" ref="DA317:DD317" si="1424">SUM(DA313:DA316)</f>
        <v>0</v>
      </c>
      <c r="DB317" s="11">
        <f t="shared" si="1424"/>
        <v>0</v>
      </c>
      <c r="DC317" s="11">
        <f t="shared" si="1424"/>
        <v>0</v>
      </c>
      <c r="DD317" s="11">
        <f t="shared" si="1424"/>
        <v>0</v>
      </c>
      <c r="DE317" s="25">
        <f>SUM(DE313:DE316)</f>
        <v>0</v>
      </c>
    </row>
    <row r="318" spans="3:109" ht="10.4" customHeight="1" thickBot="1"/>
    <row r="319" spans="3:109">
      <c r="C319" s="553">
        <v>2028</v>
      </c>
      <c r="E319" s="13" t="s">
        <v>59</v>
      </c>
      <c r="F319" s="21">
        <f>CE313</f>
        <v>0</v>
      </c>
      <c r="G319" s="22">
        <f t="shared" ref="G319:G322" si="1425">CF313</f>
        <v>0</v>
      </c>
      <c r="H319" s="22">
        <f t="shared" ref="H319:H322" si="1426">CG313</f>
        <v>0</v>
      </c>
      <c r="I319" s="22">
        <f t="shared" ref="I319:I322" si="1427">CH313</f>
        <v>0</v>
      </c>
      <c r="J319" s="22">
        <f t="shared" ref="J319:J322" si="1428">CI313</f>
        <v>0</v>
      </c>
      <c r="K319" s="4">
        <f>SUM(F319:J319)</f>
        <v>0</v>
      </c>
      <c r="M319" s="2"/>
      <c r="N319" s="3"/>
      <c r="O319" s="3"/>
      <c r="P319" s="3"/>
      <c r="Q319" s="3"/>
      <c r="R319" s="4">
        <f>SUM(M319:Q319)</f>
        <v>0</v>
      </c>
      <c r="T319" s="2"/>
      <c r="U319" s="3"/>
      <c r="V319" s="3"/>
      <c r="W319" s="3"/>
      <c r="X319" s="3"/>
      <c r="Y319" s="4">
        <f>SUM(T319:X319)</f>
        <v>0</v>
      </c>
      <c r="AA319" s="2"/>
      <c r="AB319" s="3"/>
      <c r="AC319" s="3"/>
      <c r="AD319" s="3"/>
      <c r="AE319" s="3"/>
      <c r="AF319" s="4">
        <f>SUM(AA319:AE319)</f>
        <v>0</v>
      </c>
      <c r="AH319" s="2"/>
      <c r="AI319" s="3"/>
      <c r="AJ319" s="3"/>
      <c r="AK319" s="3"/>
      <c r="AL319" s="3"/>
      <c r="AM319" s="4">
        <f>SUM(AH319:AL319)</f>
        <v>0</v>
      </c>
      <c r="AO319" s="2"/>
      <c r="AP319" s="3"/>
      <c r="AQ319" s="3"/>
      <c r="AR319" s="3"/>
      <c r="AS319" s="3"/>
      <c r="AT319" s="4">
        <f>SUM(AO319:AS319)</f>
        <v>0</v>
      </c>
      <c r="AV319" s="2"/>
      <c r="AW319" s="3"/>
      <c r="AX319" s="3"/>
      <c r="AY319" s="3"/>
      <c r="AZ319" s="3"/>
      <c r="BA319" s="4">
        <f>SUM(AV319:AZ319)</f>
        <v>0</v>
      </c>
      <c r="BC319" s="2"/>
      <c r="BD319" s="3"/>
      <c r="BE319" s="3"/>
      <c r="BF319" s="3"/>
      <c r="BG319" s="3"/>
      <c r="BH319" s="4">
        <f>SUM(BC319:BG319)</f>
        <v>0</v>
      </c>
      <c r="BJ319" s="2"/>
      <c r="BK319" s="3"/>
      <c r="BL319" s="3"/>
      <c r="BM319" s="3"/>
      <c r="BN319" s="3"/>
      <c r="BO319" s="4">
        <f>SUM(BJ319:BN319)</f>
        <v>0</v>
      </c>
      <c r="BQ319" s="2"/>
      <c r="BR319" s="3"/>
      <c r="BS319" s="3"/>
      <c r="BT319" s="3"/>
      <c r="BU319" s="3"/>
      <c r="BV319" s="4">
        <f>SUM(BQ319:BU319)</f>
        <v>0</v>
      </c>
      <c r="BX319" s="2"/>
      <c r="BY319" s="3"/>
      <c r="BZ319" s="3"/>
      <c r="CA319" s="3"/>
      <c r="CB319" s="3"/>
      <c r="CC319" s="4">
        <f>SUM(BX319:CB319)</f>
        <v>0</v>
      </c>
      <c r="CE319" s="26">
        <f t="shared" ref="CE319:CE322" si="1429">F319+M319+T319+AA319+AH319+AO319+AV319+BC319+BJ319+BQ319+BX319</f>
        <v>0</v>
      </c>
      <c r="CF319" s="27">
        <f t="shared" ref="CF319:CF322" si="1430">G319+N319+U319+AB319+AI319+AP319+AW319+BD319+BK319+BR319+BY319</f>
        <v>0</v>
      </c>
      <c r="CG319" s="27">
        <f t="shared" ref="CG319:CG322" si="1431">H319+O319+V319+AC319+AJ319+AQ319+AX319+BE319+BL319+BS319+BZ319</f>
        <v>0</v>
      </c>
      <c r="CH319" s="27">
        <f t="shared" ref="CH319:CH322" si="1432">I319+P319+W319+AD319+AK319+AR319+AY319+BF319+BM319+BT319+CA319</f>
        <v>0</v>
      </c>
      <c r="CI319" s="27">
        <f t="shared" ref="CI319:CI322" si="1433">J319+Q319+X319+AE319+AL319+AS319+AZ319+BG319+BN319+BU319+CB319</f>
        <v>0</v>
      </c>
      <c r="CJ319" s="4">
        <f>SUM(CE319:CI319)</f>
        <v>0</v>
      </c>
      <c r="CL319" s="2"/>
      <c r="CM319" s="3"/>
      <c r="CN319" s="3"/>
      <c r="CO319" s="3"/>
      <c r="CP319" s="3"/>
      <c r="CQ319" s="4">
        <f>SUM(CL319:CP319)</f>
        <v>0</v>
      </c>
      <c r="CS319" s="2"/>
      <c r="CT319" s="3"/>
      <c r="CU319" s="3"/>
      <c r="CV319" s="3"/>
      <c r="CW319" s="3"/>
      <c r="CX319" s="4">
        <f>SUM(CS319:CW319)</f>
        <v>0</v>
      </c>
      <c r="CZ319" s="2"/>
      <c r="DA319" s="3"/>
      <c r="DB319" s="3"/>
      <c r="DC319" s="3"/>
      <c r="DD319" s="3"/>
      <c r="DE319" s="4">
        <f>SUM(CZ319:DD319)</f>
        <v>0</v>
      </c>
    </row>
    <row r="320" spans="3:109">
      <c r="C320" s="567"/>
      <c r="E320" s="14" t="s">
        <v>60</v>
      </c>
      <c r="F320" s="23">
        <f t="shared" ref="F320:F322" si="1434">CE314</f>
        <v>0</v>
      </c>
      <c r="G320" s="24">
        <f t="shared" si="1425"/>
        <v>0</v>
      </c>
      <c r="H320" s="24">
        <f t="shared" si="1426"/>
        <v>0</v>
      </c>
      <c r="I320" s="24">
        <f t="shared" si="1427"/>
        <v>0</v>
      </c>
      <c r="J320" s="24">
        <f t="shared" si="1428"/>
        <v>0</v>
      </c>
      <c r="K320" s="8">
        <f t="shared" ref="K320:K322" si="1435">SUM(F320:J320)</f>
        <v>0</v>
      </c>
      <c r="M320" s="6"/>
      <c r="N320" s="7"/>
      <c r="O320" s="7"/>
      <c r="P320" s="7"/>
      <c r="Q320" s="7"/>
      <c r="R320" s="8">
        <f t="shared" ref="R320:R322" si="1436">SUM(M320:Q320)</f>
        <v>0</v>
      </c>
      <c r="T320" s="6"/>
      <c r="U320" s="7"/>
      <c r="V320" s="7"/>
      <c r="W320" s="7"/>
      <c r="X320" s="7"/>
      <c r="Y320" s="8">
        <f t="shared" ref="Y320:Y322" si="1437">SUM(T320:X320)</f>
        <v>0</v>
      </c>
      <c r="AA320" s="6"/>
      <c r="AB320" s="7"/>
      <c r="AC320" s="7"/>
      <c r="AD320" s="7"/>
      <c r="AE320" s="7"/>
      <c r="AF320" s="8">
        <f>SUM(AA320:AE320)</f>
        <v>0</v>
      </c>
      <c r="AH320" s="6"/>
      <c r="AI320" s="7"/>
      <c r="AJ320" s="7"/>
      <c r="AK320" s="7"/>
      <c r="AL320" s="7"/>
      <c r="AM320" s="8">
        <f>SUM(AH320:AL320)</f>
        <v>0</v>
      </c>
      <c r="AO320" s="6"/>
      <c r="AP320" s="7"/>
      <c r="AQ320" s="7"/>
      <c r="AR320" s="7"/>
      <c r="AS320" s="7"/>
      <c r="AT320" s="8">
        <f>SUM(AO320:AS320)</f>
        <v>0</v>
      </c>
      <c r="AV320" s="6"/>
      <c r="AW320" s="7"/>
      <c r="AX320" s="7"/>
      <c r="AY320" s="7"/>
      <c r="AZ320" s="7"/>
      <c r="BA320" s="8">
        <f>SUM(AV320:AZ320)</f>
        <v>0</v>
      </c>
      <c r="BC320" s="6"/>
      <c r="BD320" s="7"/>
      <c r="BE320" s="7"/>
      <c r="BF320" s="7"/>
      <c r="BG320" s="7"/>
      <c r="BH320" s="8">
        <f>SUM(BC320:BG320)</f>
        <v>0</v>
      </c>
      <c r="BJ320" s="6"/>
      <c r="BK320" s="7"/>
      <c r="BL320" s="7"/>
      <c r="BM320" s="7"/>
      <c r="BN320" s="7"/>
      <c r="BO320" s="8">
        <f>SUM(BJ320:BN320)</f>
        <v>0</v>
      </c>
      <c r="BQ320" s="6"/>
      <c r="BR320" s="7"/>
      <c r="BS320" s="7"/>
      <c r="BT320" s="7"/>
      <c r="BU320" s="7"/>
      <c r="BV320" s="8">
        <f>SUM(BQ320:BU320)</f>
        <v>0</v>
      </c>
      <c r="BX320" s="6"/>
      <c r="BY320" s="7"/>
      <c r="BZ320" s="7"/>
      <c r="CA320" s="7"/>
      <c r="CB320" s="7"/>
      <c r="CC320" s="8">
        <f>SUM(BX320:CB320)</f>
        <v>0</v>
      </c>
      <c r="CE320" s="28">
        <f t="shared" si="1429"/>
        <v>0</v>
      </c>
      <c r="CF320" s="29">
        <f t="shared" si="1430"/>
        <v>0</v>
      </c>
      <c r="CG320" s="29">
        <f t="shared" si="1431"/>
        <v>0</v>
      </c>
      <c r="CH320" s="29">
        <f t="shared" si="1432"/>
        <v>0</v>
      </c>
      <c r="CI320" s="29">
        <f t="shared" si="1433"/>
        <v>0</v>
      </c>
      <c r="CJ320" s="8">
        <f>SUM(CE320:CI320)</f>
        <v>0</v>
      </c>
      <c r="CL320" s="6"/>
      <c r="CM320" s="7"/>
      <c r="CN320" s="7"/>
      <c r="CO320" s="7"/>
      <c r="CP320" s="7"/>
      <c r="CQ320" s="8">
        <f>SUM(CL320:CP320)</f>
        <v>0</v>
      </c>
      <c r="CS320" s="6"/>
      <c r="CT320" s="7"/>
      <c r="CU320" s="7"/>
      <c r="CV320" s="7"/>
      <c r="CW320" s="7"/>
      <c r="CX320" s="8">
        <f t="shared" ref="CX320:CX322" si="1438">SUM(CS320:CW320)</f>
        <v>0</v>
      </c>
      <c r="CZ320" s="6"/>
      <c r="DA320" s="7"/>
      <c r="DB320" s="7"/>
      <c r="DC320" s="7"/>
      <c r="DD320" s="7"/>
      <c r="DE320" s="8">
        <f t="shared" ref="DE320:DE322" si="1439">SUM(CZ320:DD320)</f>
        <v>0</v>
      </c>
    </row>
    <row r="321" spans="2:109">
      <c r="C321" s="567"/>
      <c r="E321" s="14" t="s">
        <v>61</v>
      </c>
      <c r="F321" s="23">
        <f t="shared" si="1434"/>
        <v>0</v>
      </c>
      <c r="G321" s="24">
        <f t="shared" si="1425"/>
        <v>0</v>
      </c>
      <c r="H321" s="24">
        <f t="shared" si="1426"/>
        <v>0</v>
      </c>
      <c r="I321" s="24">
        <f t="shared" si="1427"/>
        <v>0</v>
      </c>
      <c r="J321" s="24">
        <f t="shared" si="1428"/>
        <v>0</v>
      </c>
      <c r="K321" s="8">
        <f t="shared" si="1435"/>
        <v>0</v>
      </c>
      <c r="M321" s="6"/>
      <c r="N321" s="7"/>
      <c r="O321" s="7"/>
      <c r="P321" s="7"/>
      <c r="Q321" s="7"/>
      <c r="R321" s="8">
        <f t="shared" si="1436"/>
        <v>0</v>
      </c>
      <c r="T321" s="6"/>
      <c r="U321" s="7"/>
      <c r="V321" s="7"/>
      <c r="W321" s="7"/>
      <c r="X321" s="7"/>
      <c r="Y321" s="8">
        <f t="shared" si="1437"/>
        <v>0</v>
      </c>
      <c r="AA321" s="6"/>
      <c r="AB321" s="7"/>
      <c r="AC321" s="7"/>
      <c r="AD321" s="7"/>
      <c r="AE321" s="7"/>
      <c r="AF321" s="8">
        <f>SUM(AA321:AE321)</f>
        <v>0</v>
      </c>
      <c r="AH321" s="6"/>
      <c r="AI321" s="7"/>
      <c r="AJ321" s="7"/>
      <c r="AK321" s="7"/>
      <c r="AL321" s="7"/>
      <c r="AM321" s="8">
        <f>SUM(AH321:AL321)</f>
        <v>0</v>
      </c>
      <c r="AO321" s="6"/>
      <c r="AP321" s="7"/>
      <c r="AQ321" s="7"/>
      <c r="AR321" s="7"/>
      <c r="AS321" s="7"/>
      <c r="AT321" s="8">
        <f>SUM(AO321:AS321)</f>
        <v>0</v>
      </c>
      <c r="AV321" s="6"/>
      <c r="AW321" s="7"/>
      <c r="AX321" s="7"/>
      <c r="AY321" s="7"/>
      <c r="AZ321" s="7"/>
      <c r="BA321" s="8">
        <f>SUM(AV321:AZ321)</f>
        <v>0</v>
      </c>
      <c r="BC321" s="6"/>
      <c r="BD321" s="7"/>
      <c r="BE321" s="7"/>
      <c r="BF321" s="7"/>
      <c r="BG321" s="7"/>
      <c r="BH321" s="8">
        <f>SUM(BC321:BG321)</f>
        <v>0</v>
      </c>
      <c r="BJ321" s="6"/>
      <c r="BK321" s="7"/>
      <c r="BL321" s="7"/>
      <c r="BM321" s="7"/>
      <c r="BN321" s="7"/>
      <c r="BO321" s="8">
        <f>SUM(BJ321:BN321)</f>
        <v>0</v>
      </c>
      <c r="BQ321" s="6"/>
      <c r="BR321" s="7"/>
      <c r="BS321" s="7"/>
      <c r="BT321" s="7"/>
      <c r="BU321" s="7"/>
      <c r="BV321" s="8">
        <f>SUM(BQ321:BU321)</f>
        <v>0</v>
      </c>
      <c r="BX321" s="6"/>
      <c r="BY321" s="7"/>
      <c r="BZ321" s="7"/>
      <c r="CA321" s="7"/>
      <c r="CB321" s="7"/>
      <c r="CC321" s="8">
        <f>SUM(BX321:CB321)</f>
        <v>0</v>
      </c>
      <c r="CE321" s="28">
        <f t="shared" si="1429"/>
        <v>0</v>
      </c>
      <c r="CF321" s="29">
        <f t="shared" si="1430"/>
        <v>0</v>
      </c>
      <c r="CG321" s="29">
        <f t="shared" si="1431"/>
        <v>0</v>
      </c>
      <c r="CH321" s="29">
        <f t="shared" si="1432"/>
        <v>0</v>
      </c>
      <c r="CI321" s="29">
        <f t="shared" si="1433"/>
        <v>0</v>
      </c>
      <c r="CJ321" s="8">
        <f>SUM(CE321:CI321)</f>
        <v>0</v>
      </c>
      <c r="CL321" s="6"/>
      <c r="CM321" s="7"/>
      <c r="CN321" s="7"/>
      <c r="CO321" s="7"/>
      <c r="CP321" s="7"/>
      <c r="CQ321" s="8">
        <f>SUM(CL321:CP321)</f>
        <v>0</v>
      </c>
      <c r="CS321" s="6"/>
      <c r="CT321" s="7"/>
      <c r="CU321" s="7"/>
      <c r="CV321" s="7"/>
      <c r="CW321" s="7"/>
      <c r="CX321" s="8">
        <f t="shared" si="1438"/>
        <v>0</v>
      </c>
      <c r="CZ321" s="6"/>
      <c r="DA321" s="7"/>
      <c r="DB321" s="7"/>
      <c r="DC321" s="7"/>
      <c r="DD321" s="7"/>
      <c r="DE321" s="8">
        <f t="shared" si="1439"/>
        <v>0</v>
      </c>
    </row>
    <row r="322" spans="2:109" ht="14" thickBot="1">
      <c r="C322" s="567"/>
      <c r="E322" s="14" t="s">
        <v>62</v>
      </c>
      <c r="F322" s="23">
        <f t="shared" si="1434"/>
        <v>0</v>
      </c>
      <c r="G322" s="24">
        <f t="shared" si="1425"/>
        <v>0</v>
      </c>
      <c r="H322" s="24">
        <f t="shared" si="1426"/>
        <v>0</v>
      </c>
      <c r="I322" s="24">
        <f t="shared" si="1427"/>
        <v>0</v>
      </c>
      <c r="J322" s="24">
        <f t="shared" si="1428"/>
        <v>0</v>
      </c>
      <c r="K322" s="8">
        <f t="shared" si="1435"/>
        <v>0</v>
      </c>
      <c r="M322" s="6"/>
      <c r="N322" s="7"/>
      <c r="O322" s="7"/>
      <c r="P322" s="7"/>
      <c r="Q322" s="7"/>
      <c r="R322" s="8">
        <f t="shared" si="1436"/>
        <v>0</v>
      </c>
      <c r="T322" s="6"/>
      <c r="U322" s="7"/>
      <c r="V322" s="7"/>
      <c r="W322" s="7"/>
      <c r="X322" s="7"/>
      <c r="Y322" s="8">
        <f t="shared" si="1437"/>
        <v>0</v>
      </c>
      <c r="AA322" s="6"/>
      <c r="AB322" s="7"/>
      <c r="AC322" s="7"/>
      <c r="AD322" s="7"/>
      <c r="AE322" s="7"/>
      <c r="AF322" s="8">
        <f>SUM(AA322:AE322)</f>
        <v>0</v>
      </c>
      <c r="AH322" s="6"/>
      <c r="AI322" s="7"/>
      <c r="AJ322" s="7"/>
      <c r="AK322" s="7"/>
      <c r="AL322" s="7"/>
      <c r="AM322" s="8">
        <f>SUM(AH322:AL322)</f>
        <v>0</v>
      </c>
      <c r="AO322" s="6"/>
      <c r="AP322" s="7"/>
      <c r="AQ322" s="7"/>
      <c r="AR322" s="7"/>
      <c r="AS322" s="7"/>
      <c r="AT322" s="8">
        <f>SUM(AO322:AS322)</f>
        <v>0</v>
      </c>
      <c r="AV322" s="6"/>
      <c r="AW322" s="7"/>
      <c r="AX322" s="7"/>
      <c r="AY322" s="7"/>
      <c r="AZ322" s="7"/>
      <c r="BA322" s="8">
        <f>SUM(AV322:AZ322)</f>
        <v>0</v>
      </c>
      <c r="BC322" s="6"/>
      <c r="BD322" s="7"/>
      <c r="BE322" s="7"/>
      <c r="BF322" s="7"/>
      <c r="BG322" s="7"/>
      <c r="BH322" s="8">
        <f>SUM(BC322:BG322)</f>
        <v>0</v>
      </c>
      <c r="BJ322" s="6"/>
      <c r="BK322" s="7"/>
      <c r="BL322" s="7"/>
      <c r="BM322" s="7"/>
      <c r="BN322" s="7"/>
      <c r="BO322" s="8">
        <f>SUM(BJ322:BN322)</f>
        <v>0</v>
      </c>
      <c r="BQ322" s="6"/>
      <c r="BR322" s="7"/>
      <c r="BS322" s="7"/>
      <c r="BT322" s="7"/>
      <c r="BU322" s="7"/>
      <c r="BV322" s="8">
        <f>SUM(BQ322:BU322)</f>
        <v>0</v>
      </c>
      <c r="BX322" s="6"/>
      <c r="BY322" s="7"/>
      <c r="BZ322" s="7"/>
      <c r="CA322" s="7"/>
      <c r="CB322" s="7"/>
      <c r="CC322" s="8">
        <f>SUM(BX322:CB322)</f>
        <v>0</v>
      </c>
      <c r="CE322" s="493">
        <f t="shared" si="1429"/>
        <v>0</v>
      </c>
      <c r="CF322" s="494">
        <f t="shared" si="1430"/>
        <v>0</v>
      </c>
      <c r="CG322" s="494">
        <f t="shared" si="1431"/>
        <v>0</v>
      </c>
      <c r="CH322" s="494">
        <f t="shared" si="1432"/>
        <v>0</v>
      </c>
      <c r="CI322" s="494">
        <f t="shared" si="1433"/>
        <v>0</v>
      </c>
      <c r="CJ322" s="495">
        <f>SUM(CE322:CI322)</f>
        <v>0</v>
      </c>
      <c r="CL322" s="6"/>
      <c r="CM322" s="7"/>
      <c r="CN322" s="7"/>
      <c r="CO322" s="7"/>
      <c r="CP322" s="7"/>
      <c r="CQ322" s="8">
        <f>SUM(CL322:CP322)</f>
        <v>0</v>
      </c>
      <c r="CS322" s="6"/>
      <c r="CT322" s="7"/>
      <c r="CU322" s="7"/>
      <c r="CV322" s="7"/>
      <c r="CW322" s="7"/>
      <c r="CX322" s="8">
        <f t="shared" si="1438"/>
        <v>0</v>
      </c>
      <c r="CZ322" s="6"/>
      <c r="DA322" s="7"/>
      <c r="DB322" s="7"/>
      <c r="DC322" s="7"/>
      <c r="DD322" s="7"/>
      <c r="DE322" s="8">
        <f t="shared" si="1439"/>
        <v>0</v>
      </c>
    </row>
    <row r="323" spans="2:109" ht="14" thickBot="1">
      <c r="C323" s="554"/>
      <c r="E323" s="9"/>
      <c r="F323" s="10">
        <f>SUM(F319:F322)</f>
        <v>0</v>
      </c>
      <c r="G323" s="11">
        <f t="shared" ref="G323:J323" si="1440">SUM(G319:G322)</f>
        <v>0</v>
      </c>
      <c r="H323" s="11">
        <f t="shared" si="1440"/>
        <v>0</v>
      </c>
      <c r="I323" s="11">
        <f t="shared" si="1440"/>
        <v>0</v>
      </c>
      <c r="J323" s="11">
        <f t="shared" si="1440"/>
        <v>0</v>
      </c>
      <c r="K323" s="25">
        <f>SUM(K319:K322)</f>
        <v>0</v>
      </c>
      <c r="M323" s="10">
        <f>SUM(M319:M322)</f>
        <v>0</v>
      </c>
      <c r="N323" s="11">
        <f t="shared" ref="N323:Q323" si="1441">SUM(N319:N322)</f>
        <v>0</v>
      </c>
      <c r="O323" s="11">
        <f t="shared" si="1441"/>
        <v>0</v>
      </c>
      <c r="P323" s="11">
        <f t="shared" si="1441"/>
        <v>0</v>
      </c>
      <c r="Q323" s="11">
        <f t="shared" si="1441"/>
        <v>0</v>
      </c>
      <c r="R323" s="25">
        <f>SUM(R319:R322)</f>
        <v>0</v>
      </c>
      <c r="T323" s="10">
        <f>SUM(T319:T322)</f>
        <v>0</v>
      </c>
      <c r="U323" s="11">
        <f t="shared" ref="U323:X323" si="1442">SUM(U319:U322)</f>
        <v>0</v>
      </c>
      <c r="V323" s="11">
        <f t="shared" si="1442"/>
        <v>0</v>
      </c>
      <c r="W323" s="11">
        <f t="shared" si="1442"/>
        <v>0</v>
      </c>
      <c r="X323" s="11">
        <f t="shared" si="1442"/>
        <v>0</v>
      </c>
      <c r="Y323" s="25">
        <f>SUM(Y319:Y322)</f>
        <v>0</v>
      </c>
      <c r="AA323" s="10">
        <f>SUM(AA319:AA322)</f>
        <v>0</v>
      </c>
      <c r="AB323" s="11">
        <f t="shared" ref="AB323:AE323" si="1443">SUM(AB319:AB322)</f>
        <v>0</v>
      </c>
      <c r="AC323" s="11">
        <f t="shared" si="1443"/>
        <v>0</v>
      </c>
      <c r="AD323" s="11">
        <f t="shared" si="1443"/>
        <v>0</v>
      </c>
      <c r="AE323" s="11">
        <f t="shared" si="1443"/>
        <v>0</v>
      </c>
      <c r="AF323" s="25">
        <f>SUM(AF319:AF322)</f>
        <v>0</v>
      </c>
      <c r="AH323" s="10">
        <f t="shared" ref="AH323:AM323" si="1444">SUM(AH319:AH322)</f>
        <v>0</v>
      </c>
      <c r="AI323" s="11">
        <f t="shared" si="1444"/>
        <v>0</v>
      </c>
      <c r="AJ323" s="11">
        <f t="shared" si="1444"/>
        <v>0</v>
      </c>
      <c r="AK323" s="11">
        <f t="shared" si="1444"/>
        <v>0</v>
      </c>
      <c r="AL323" s="11">
        <f t="shared" si="1444"/>
        <v>0</v>
      </c>
      <c r="AM323" s="25">
        <f t="shared" si="1444"/>
        <v>0</v>
      </c>
      <c r="AO323" s="10">
        <f t="shared" ref="AO323:AT323" si="1445">SUM(AO319:AO322)</f>
        <v>0</v>
      </c>
      <c r="AP323" s="11">
        <f t="shared" si="1445"/>
        <v>0</v>
      </c>
      <c r="AQ323" s="11">
        <f t="shared" si="1445"/>
        <v>0</v>
      </c>
      <c r="AR323" s="11">
        <f t="shared" si="1445"/>
        <v>0</v>
      </c>
      <c r="AS323" s="11">
        <f t="shared" si="1445"/>
        <v>0</v>
      </c>
      <c r="AT323" s="25">
        <f t="shared" si="1445"/>
        <v>0</v>
      </c>
      <c r="AV323" s="10">
        <f t="shared" ref="AV323:BA323" si="1446">SUM(AV319:AV322)</f>
        <v>0</v>
      </c>
      <c r="AW323" s="11">
        <f t="shared" si="1446"/>
        <v>0</v>
      </c>
      <c r="AX323" s="11">
        <f t="shared" si="1446"/>
        <v>0</v>
      </c>
      <c r="AY323" s="11">
        <f t="shared" si="1446"/>
        <v>0</v>
      </c>
      <c r="AZ323" s="11">
        <f t="shared" si="1446"/>
        <v>0</v>
      </c>
      <c r="BA323" s="25">
        <f t="shared" si="1446"/>
        <v>0</v>
      </c>
      <c r="BC323" s="10">
        <f t="shared" ref="BC323:BH323" si="1447">SUM(BC319:BC322)</f>
        <v>0</v>
      </c>
      <c r="BD323" s="11">
        <f t="shared" si="1447"/>
        <v>0</v>
      </c>
      <c r="BE323" s="11">
        <f t="shared" si="1447"/>
        <v>0</v>
      </c>
      <c r="BF323" s="11">
        <f t="shared" si="1447"/>
        <v>0</v>
      </c>
      <c r="BG323" s="11">
        <f t="shared" si="1447"/>
        <v>0</v>
      </c>
      <c r="BH323" s="25">
        <f t="shared" si="1447"/>
        <v>0</v>
      </c>
      <c r="BJ323" s="10">
        <f t="shared" ref="BJ323:BO323" si="1448">SUM(BJ319:BJ322)</f>
        <v>0</v>
      </c>
      <c r="BK323" s="11">
        <f t="shared" si="1448"/>
        <v>0</v>
      </c>
      <c r="BL323" s="11">
        <f t="shared" si="1448"/>
        <v>0</v>
      </c>
      <c r="BM323" s="11">
        <f t="shared" si="1448"/>
        <v>0</v>
      </c>
      <c r="BN323" s="11">
        <f t="shared" si="1448"/>
        <v>0</v>
      </c>
      <c r="BO323" s="25">
        <f t="shared" si="1448"/>
        <v>0</v>
      </c>
      <c r="BQ323" s="10">
        <f t="shared" ref="BQ323:BV323" si="1449">SUM(BQ319:BQ322)</f>
        <v>0</v>
      </c>
      <c r="BR323" s="11">
        <f t="shared" si="1449"/>
        <v>0</v>
      </c>
      <c r="BS323" s="11">
        <f t="shared" si="1449"/>
        <v>0</v>
      </c>
      <c r="BT323" s="11">
        <f t="shared" si="1449"/>
        <v>0</v>
      </c>
      <c r="BU323" s="11">
        <f t="shared" si="1449"/>
        <v>0</v>
      </c>
      <c r="BV323" s="25">
        <f t="shared" si="1449"/>
        <v>0</v>
      </c>
      <c r="BX323" s="10">
        <f t="shared" ref="BX323:CC323" si="1450">SUM(BX319:BX322)</f>
        <v>0</v>
      </c>
      <c r="BY323" s="11">
        <f t="shared" si="1450"/>
        <v>0</v>
      </c>
      <c r="BZ323" s="11">
        <f t="shared" si="1450"/>
        <v>0</v>
      </c>
      <c r="CA323" s="11">
        <f t="shared" si="1450"/>
        <v>0</v>
      </c>
      <c r="CB323" s="11">
        <f t="shared" si="1450"/>
        <v>0</v>
      </c>
      <c r="CC323" s="25">
        <f t="shared" si="1450"/>
        <v>0</v>
      </c>
      <c r="CE323" s="62">
        <f t="shared" ref="CE323:CJ323" si="1451">SUM(CE319:CE322)</f>
        <v>0</v>
      </c>
      <c r="CF323" s="63">
        <f t="shared" si="1451"/>
        <v>0</v>
      </c>
      <c r="CG323" s="63">
        <f t="shared" si="1451"/>
        <v>0</v>
      </c>
      <c r="CH323" s="63">
        <f t="shared" si="1451"/>
        <v>0</v>
      </c>
      <c r="CI323" s="63">
        <f t="shared" si="1451"/>
        <v>0</v>
      </c>
      <c r="CJ323" s="25">
        <f t="shared" si="1451"/>
        <v>0</v>
      </c>
      <c r="CL323" s="10">
        <f>SUM(CL319:CL322)</f>
        <v>0</v>
      </c>
      <c r="CM323" s="11">
        <f t="shared" ref="CM323:CQ323" si="1452">SUM(CM319:CM322)</f>
        <v>0</v>
      </c>
      <c r="CN323" s="11">
        <f t="shared" si="1452"/>
        <v>0</v>
      </c>
      <c r="CO323" s="11">
        <f t="shared" si="1452"/>
        <v>0</v>
      </c>
      <c r="CP323" s="11">
        <f t="shared" si="1452"/>
        <v>0</v>
      </c>
      <c r="CQ323" s="25">
        <f t="shared" si="1452"/>
        <v>0</v>
      </c>
      <c r="CS323" s="10">
        <f>SUM(CS319:CS322)</f>
        <v>0</v>
      </c>
      <c r="CT323" s="11">
        <f t="shared" ref="CT323:CW323" si="1453">SUM(CT319:CT322)</f>
        <v>0</v>
      </c>
      <c r="CU323" s="11">
        <f t="shared" si="1453"/>
        <v>0</v>
      </c>
      <c r="CV323" s="11">
        <f t="shared" si="1453"/>
        <v>0</v>
      </c>
      <c r="CW323" s="11">
        <f t="shared" si="1453"/>
        <v>0</v>
      </c>
      <c r="CX323" s="25">
        <f>SUM(CX319:CX322)</f>
        <v>0</v>
      </c>
      <c r="CZ323" s="10">
        <f>SUM(CZ319:CZ322)</f>
        <v>0</v>
      </c>
      <c r="DA323" s="11">
        <f t="shared" ref="DA323:DD323" si="1454">SUM(DA319:DA322)</f>
        <v>0</v>
      </c>
      <c r="DB323" s="11">
        <f t="shared" si="1454"/>
        <v>0</v>
      </c>
      <c r="DC323" s="11">
        <f t="shared" si="1454"/>
        <v>0</v>
      </c>
      <c r="DD323" s="11">
        <f t="shared" si="1454"/>
        <v>0</v>
      </c>
      <c r="DE323" s="25">
        <f>SUM(DE319:DE322)</f>
        <v>0</v>
      </c>
    </row>
    <row r="325" spans="2:109">
      <c r="B325" s="123"/>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L325" s="20"/>
      <c r="CM325" s="20"/>
      <c r="CN325" s="20"/>
      <c r="CO325" s="20"/>
      <c r="CP325" s="20"/>
      <c r="CQ325" s="20"/>
      <c r="CR325" s="20"/>
      <c r="CS325" s="20"/>
      <c r="CT325" s="20"/>
      <c r="CU325" s="20"/>
      <c r="CV325" s="20"/>
      <c r="CW325" s="20"/>
      <c r="CX325" s="20"/>
      <c r="CY325" s="20"/>
      <c r="CZ325" s="20"/>
      <c r="DA325" s="20"/>
      <c r="DB325" s="20"/>
      <c r="DC325" s="20"/>
      <c r="DD325" s="20"/>
      <c r="DE325" s="20"/>
    </row>
    <row r="326" spans="2:109" ht="14" thickBot="1">
      <c r="B326" s="94">
        <v>11</v>
      </c>
      <c r="C326" s="12" t="s">
        <v>72</v>
      </c>
    </row>
    <row r="327" spans="2:109">
      <c r="C327" s="553">
        <v>2024</v>
      </c>
      <c r="E327" s="1" t="s">
        <v>59</v>
      </c>
      <c r="F327" s="2"/>
      <c r="G327" s="3"/>
      <c r="H327" s="3"/>
      <c r="I327" s="3"/>
      <c r="J327" s="3"/>
      <c r="K327" s="4">
        <f>SUM(F327:J327)</f>
        <v>0</v>
      </c>
      <c r="M327" s="2"/>
      <c r="N327" s="3"/>
      <c r="O327" s="3"/>
      <c r="P327" s="3"/>
      <c r="Q327" s="3"/>
      <c r="R327" s="4">
        <f>SUM(M327:Q327)</f>
        <v>0</v>
      </c>
      <c r="T327" s="2"/>
      <c r="U327" s="3"/>
      <c r="V327" s="3"/>
      <c r="W327" s="3"/>
      <c r="X327" s="3"/>
      <c r="Y327" s="4">
        <f>SUM(T327:X327)</f>
        <v>0</v>
      </c>
      <c r="AA327" s="2"/>
      <c r="AB327" s="3"/>
      <c r="AC327" s="3"/>
      <c r="AD327" s="3"/>
      <c r="AE327" s="3"/>
      <c r="AF327" s="4">
        <f>SUM(AA327:AE327)</f>
        <v>0</v>
      </c>
      <c r="AH327" s="2"/>
      <c r="AI327" s="3"/>
      <c r="AJ327" s="3"/>
      <c r="AK327" s="3"/>
      <c r="AL327" s="3"/>
      <c r="AM327" s="4">
        <f>SUM(AH327:AL327)</f>
        <v>0</v>
      </c>
      <c r="AO327" s="2"/>
      <c r="AP327" s="3"/>
      <c r="AQ327" s="3"/>
      <c r="AR327" s="3"/>
      <c r="AS327" s="3"/>
      <c r="AT327" s="4">
        <f>SUM(AO327:AS327)</f>
        <v>0</v>
      </c>
      <c r="AV327" s="2"/>
      <c r="AW327" s="3"/>
      <c r="AX327" s="3"/>
      <c r="AY327" s="3"/>
      <c r="AZ327" s="3"/>
      <c r="BA327" s="4">
        <f>SUM(AV327:AZ327)</f>
        <v>0</v>
      </c>
      <c r="BC327" s="2"/>
      <c r="BD327" s="3"/>
      <c r="BE327" s="3"/>
      <c r="BF327" s="3"/>
      <c r="BG327" s="3"/>
      <c r="BH327" s="4">
        <f>SUM(BC327:BG327)</f>
        <v>0</v>
      </c>
      <c r="BJ327" s="2"/>
      <c r="BK327" s="3"/>
      <c r="BL327" s="3"/>
      <c r="BM327" s="3"/>
      <c r="BN327" s="3"/>
      <c r="BO327" s="4">
        <f>SUM(BJ327:BN327)</f>
        <v>0</v>
      </c>
      <c r="BQ327" s="2"/>
      <c r="BR327" s="3"/>
      <c r="BS327" s="3"/>
      <c r="BT327" s="3"/>
      <c r="BU327" s="3"/>
      <c r="BV327" s="4">
        <f>SUM(BQ327:BU327)</f>
        <v>0</v>
      </c>
      <c r="BX327" s="2"/>
      <c r="BY327" s="3"/>
      <c r="BZ327" s="3"/>
      <c r="CA327" s="3"/>
      <c r="CB327" s="3"/>
      <c r="CC327" s="4">
        <f>SUM(BX327:CB327)</f>
        <v>0</v>
      </c>
      <c r="CE327" s="26">
        <f t="shared" ref="CE327:CE330" si="1455">F327+M327+T327+AA327+AH327+AO327+AV327+BC327+BJ327+BQ327+BX327</f>
        <v>0</v>
      </c>
      <c r="CF327" s="27">
        <f t="shared" ref="CF327:CF330" si="1456">G327+N327+U327+AB327+AI327+AP327+AW327+BD327+BK327+BR327+BY327</f>
        <v>0</v>
      </c>
      <c r="CG327" s="27">
        <f t="shared" ref="CG327:CG330" si="1457">H327+O327+V327+AC327+AJ327+AQ327+AX327+BE327+BL327+BS327+BZ327</f>
        <v>0</v>
      </c>
      <c r="CH327" s="27">
        <f t="shared" ref="CH327:CH330" si="1458">I327+P327+W327+AD327+AK327+AR327+AY327+BF327+BM327+BT327+CA327</f>
        <v>0</v>
      </c>
      <c r="CI327" s="27">
        <f t="shared" ref="CI327:CI330" si="1459">J327+Q327+X327+AE327+AL327+AS327+AZ327+BG327+BN327+BU327+CB327</f>
        <v>0</v>
      </c>
      <c r="CJ327" s="4">
        <f>SUM(CE327:CI327)</f>
        <v>0</v>
      </c>
      <c r="CL327" s="2"/>
      <c r="CM327" s="3"/>
      <c r="CN327" s="3"/>
      <c r="CO327" s="3"/>
      <c r="CP327" s="3"/>
      <c r="CQ327" s="4">
        <f>SUM(CL327:CP327)</f>
        <v>0</v>
      </c>
      <c r="CS327" s="2"/>
      <c r="CT327" s="3"/>
      <c r="CU327" s="3"/>
      <c r="CV327" s="3"/>
      <c r="CW327" s="3"/>
      <c r="CX327" s="4">
        <f>SUM(CS327:CW327)</f>
        <v>0</v>
      </c>
      <c r="CZ327" s="2"/>
      <c r="DA327" s="3"/>
      <c r="DB327" s="3"/>
      <c r="DC327" s="3"/>
      <c r="DD327" s="3"/>
      <c r="DE327" s="4">
        <f>SUM(CZ327:DD327)</f>
        <v>0</v>
      </c>
    </row>
    <row r="328" spans="2:109">
      <c r="C328" s="567"/>
      <c r="E328" s="5" t="s">
        <v>60</v>
      </c>
      <c r="F328" s="6"/>
      <c r="G328" s="7"/>
      <c r="H328" s="7"/>
      <c r="I328" s="7"/>
      <c r="J328" s="7"/>
      <c r="K328" s="8">
        <f t="shared" ref="K328:K330" si="1460">SUM(F328:J328)</f>
        <v>0</v>
      </c>
      <c r="M328" s="6"/>
      <c r="N328" s="7"/>
      <c r="O328" s="7"/>
      <c r="P328" s="7"/>
      <c r="Q328" s="7"/>
      <c r="R328" s="8">
        <f t="shared" ref="R328:R330" si="1461">SUM(M328:Q328)</f>
        <v>0</v>
      </c>
      <c r="T328" s="6"/>
      <c r="U328" s="7"/>
      <c r="V328" s="7"/>
      <c r="W328" s="7"/>
      <c r="X328" s="7"/>
      <c r="Y328" s="8">
        <f t="shared" ref="Y328:Y330" si="1462">SUM(T328:X328)</f>
        <v>0</v>
      </c>
      <c r="AA328" s="6"/>
      <c r="AB328" s="7"/>
      <c r="AC328" s="7"/>
      <c r="AD328" s="7"/>
      <c r="AE328" s="7"/>
      <c r="AF328" s="8">
        <f>SUM(AA328:AE328)</f>
        <v>0</v>
      </c>
      <c r="AH328" s="6"/>
      <c r="AI328" s="7"/>
      <c r="AJ328" s="7"/>
      <c r="AK328" s="7"/>
      <c r="AL328" s="7"/>
      <c r="AM328" s="8">
        <f>SUM(AH328:AL328)</f>
        <v>0</v>
      </c>
      <c r="AO328" s="6"/>
      <c r="AP328" s="7"/>
      <c r="AQ328" s="7"/>
      <c r="AR328" s="7"/>
      <c r="AS328" s="7"/>
      <c r="AT328" s="8">
        <f>SUM(AO328:AS328)</f>
        <v>0</v>
      </c>
      <c r="AV328" s="6"/>
      <c r="AW328" s="7"/>
      <c r="AX328" s="7"/>
      <c r="AY328" s="7"/>
      <c r="AZ328" s="7"/>
      <c r="BA328" s="8">
        <f>SUM(AV328:AZ328)</f>
        <v>0</v>
      </c>
      <c r="BC328" s="6"/>
      <c r="BD328" s="7"/>
      <c r="BE328" s="7"/>
      <c r="BF328" s="7"/>
      <c r="BG328" s="7"/>
      <c r="BH328" s="8">
        <f>SUM(BC328:BG328)</f>
        <v>0</v>
      </c>
      <c r="BJ328" s="6"/>
      <c r="BK328" s="7"/>
      <c r="BL328" s="7"/>
      <c r="BM328" s="7"/>
      <c r="BN328" s="7"/>
      <c r="BO328" s="8">
        <f>SUM(BJ328:BN328)</f>
        <v>0</v>
      </c>
      <c r="BQ328" s="6"/>
      <c r="BR328" s="7"/>
      <c r="BS328" s="7"/>
      <c r="BT328" s="7"/>
      <c r="BU328" s="7"/>
      <c r="BV328" s="8">
        <f>SUM(BQ328:BU328)</f>
        <v>0</v>
      </c>
      <c r="BX328" s="6"/>
      <c r="BY328" s="7"/>
      <c r="BZ328" s="7"/>
      <c r="CA328" s="7"/>
      <c r="CB328" s="7"/>
      <c r="CC328" s="8">
        <f>SUM(BX328:CB328)</f>
        <v>0</v>
      </c>
      <c r="CE328" s="28">
        <f t="shared" si="1455"/>
        <v>0</v>
      </c>
      <c r="CF328" s="29">
        <f t="shared" si="1456"/>
        <v>0</v>
      </c>
      <c r="CG328" s="29">
        <f t="shared" si="1457"/>
        <v>0</v>
      </c>
      <c r="CH328" s="29">
        <f t="shared" si="1458"/>
        <v>0</v>
      </c>
      <c r="CI328" s="29">
        <f t="shared" si="1459"/>
        <v>0</v>
      </c>
      <c r="CJ328" s="8">
        <f>SUM(CE328:CI328)</f>
        <v>0</v>
      </c>
      <c r="CL328" s="6"/>
      <c r="CM328" s="7"/>
      <c r="CN328" s="7"/>
      <c r="CO328" s="7"/>
      <c r="CP328" s="7"/>
      <c r="CQ328" s="8">
        <f>SUM(CL328:CP328)</f>
        <v>0</v>
      </c>
      <c r="CS328" s="6"/>
      <c r="CT328" s="7"/>
      <c r="CU328" s="7"/>
      <c r="CV328" s="7"/>
      <c r="CW328" s="7"/>
      <c r="CX328" s="8">
        <f t="shared" ref="CX328:CX330" si="1463">SUM(CS328:CW328)</f>
        <v>0</v>
      </c>
      <c r="CZ328" s="6"/>
      <c r="DA328" s="7"/>
      <c r="DB328" s="7"/>
      <c r="DC328" s="7"/>
      <c r="DD328" s="7"/>
      <c r="DE328" s="8">
        <f t="shared" ref="DE328:DE330" si="1464">SUM(CZ328:DD328)</f>
        <v>0</v>
      </c>
    </row>
    <row r="329" spans="2:109">
      <c r="C329" s="567"/>
      <c r="E329" s="5" t="s">
        <v>61</v>
      </c>
      <c r="F329" s="6"/>
      <c r="G329" s="7"/>
      <c r="H329" s="7"/>
      <c r="I329" s="7"/>
      <c r="J329" s="7"/>
      <c r="K329" s="8">
        <f t="shared" si="1460"/>
        <v>0</v>
      </c>
      <c r="M329" s="6"/>
      <c r="N329" s="7"/>
      <c r="O329" s="7"/>
      <c r="P329" s="7"/>
      <c r="Q329" s="7"/>
      <c r="R329" s="8">
        <f t="shared" si="1461"/>
        <v>0</v>
      </c>
      <c r="T329" s="6"/>
      <c r="U329" s="7"/>
      <c r="V329" s="7"/>
      <c r="W329" s="7"/>
      <c r="X329" s="7"/>
      <c r="Y329" s="8">
        <f t="shared" si="1462"/>
        <v>0</v>
      </c>
      <c r="AA329" s="6"/>
      <c r="AB329" s="7"/>
      <c r="AC329" s="7"/>
      <c r="AD329" s="7"/>
      <c r="AE329" s="7"/>
      <c r="AF329" s="8">
        <f>SUM(AA329:AE329)</f>
        <v>0</v>
      </c>
      <c r="AH329" s="6"/>
      <c r="AI329" s="7"/>
      <c r="AJ329" s="7"/>
      <c r="AK329" s="7"/>
      <c r="AL329" s="7"/>
      <c r="AM329" s="8">
        <f>SUM(AH329:AL329)</f>
        <v>0</v>
      </c>
      <c r="AO329" s="6"/>
      <c r="AP329" s="7"/>
      <c r="AQ329" s="7"/>
      <c r="AR329" s="7"/>
      <c r="AS329" s="7"/>
      <c r="AT329" s="8">
        <f>SUM(AO329:AS329)</f>
        <v>0</v>
      </c>
      <c r="AV329" s="6"/>
      <c r="AW329" s="7"/>
      <c r="AX329" s="7"/>
      <c r="AY329" s="7"/>
      <c r="AZ329" s="7"/>
      <c r="BA329" s="8">
        <f>SUM(AV329:AZ329)</f>
        <v>0</v>
      </c>
      <c r="BC329" s="6"/>
      <c r="BD329" s="7"/>
      <c r="BE329" s="7"/>
      <c r="BF329" s="7"/>
      <c r="BG329" s="7"/>
      <c r="BH329" s="8">
        <f>SUM(BC329:BG329)</f>
        <v>0</v>
      </c>
      <c r="BJ329" s="6"/>
      <c r="BK329" s="7"/>
      <c r="BL329" s="7"/>
      <c r="BM329" s="7"/>
      <c r="BN329" s="7"/>
      <c r="BO329" s="8">
        <f>SUM(BJ329:BN329)</f>
        <v>0</v>
      </c>
      <c r="BQ329" s="6"/>
      <c r="BR329" s="7"/>
      <c r="BS329" s="7"/>
      <c r="BT329" s="7"/>
      <c r="BU329" s="7"/>
      <c r="BV329" s="8">
        <f>SUM(BQ329:BU329)</f>
        <v>0</v>
      </c>
      <c r="BX329" s="6"/>
      <c r="BY329" s="7"/>
      <c r="BZ329" s="7"/>
      <c r="CA329" s="7"/>
      <c r="CB329" s="7"/>
      <c r="CC329" s="8">
        <f>SUM(BX329:CB329)</f>
        <v>0</v>
      </c>
      <c r="CE329" s="28">
        <f t="shared" si="1455"/>
        <v>0</v>
      </c>
      <c r="CF329" s="29">
        <f t="shared" si="1456"/>
        <v>0</v>
      </c>
      <c r="CG329" s="29">
        <f t="shared" si="1457"/>
        <v>0</v>
      </c>
      <c r="CH329" s="29">
        <f t="shared" si="1458"/>
        <v>0</v>
      </c>
      <c r="CI329" s="29">
        <f t="shared" si="1459"/>
        <v>0</v>
      </c>
      <c r="CJ329" s="8">
        <f>SUM(CE329:CI329)</f>
        <v>0</v>
      </c>
      <c r="CL329" s="6"/>
      <c r="CM329" s="7"/>
      <c r="CN329" s="7"/>
      <c r="CO329" s="7"/>
      <c r="CP329" s="7"/>
      <c r="CQ329" s="8">
        <f>SUM(CL329:CP329)</f>
        <v>0</v>
      </c>
      <c r="CS329" s="6"/>
      <c r="CT329" s="7"/>
      <c r="CU329" s="7"/>
      <c r="CV329" s="7"/>
      <c r="CW329" s="7"/>
      <c r="CX329" s="8">
        <f t="shared" si="1463"/>
        <v>0</v>
      </c>
      <c r="CZ329" s="6"/>
      <c r="DA329" s="7"/>
      <c r="DB329" s="7"/>
      <c r="DC329" s="7"/>
      <c r="DD329" s="7"/>
      <c r="DE329" s="8">
        <f t="shared" si="1464"/>
        <v>0</v>
      </c>
    </row>
    <row r="330" spans="2:109" ht="14" thickBot="1">
      <c r="C330" s="567"/>
      <c r="E330" s="5" t="s">
        <v>62</v>
      </c>
      <c r="F330" s="6"/>
      <c r="G330" s="7"/>
      <c r="H330" s="7"/>
      <c r="I330" s="7"/>
      <c r="J330" s="7"/>
      <c r="K330" s="8">
        <f t="shared" si="1460"/>
        <v>0</v>
      </c>
      <c r="M330" s="6"/>
      <c r="N330" s="7"/>
      <c r="O330" s="7"/>
      <c r="P330" s="7"/>
      <c r="Q330" s="7"/>
      <c r="R330" s="8">
        <f t="shared" si="1461"/>
        <v>0</v>
      </c>
      <c r="T330" s="6"/>
      <c r="U330" s="7"/>
      <c r="V330" s="7"/>
      <c r="W330" s="7"/>
      <c r="X330" s="7"/>
      <c r="Y330" s="8">
        <f t="shared" si="1462"/>
        <v>0</v>
      </c>
      <c r="AA330" s="6"/>
      <c r="AB330" s="7"/>
      <c r="AC330" s="7"/>
      <c r="AD330" s="7"/>
      <c r="AE330" s="7"/>
      <c r="AF330" s="8">
        <f>SUM(AA330:AE330)</f>
        <v>0</v>
      </c>
      <c r="AH330" s="6"/>
      <c r="AI330" s="7"/>
      <c r="AJ330" s="7"/>
      <c r="AK330" s="7"/>
      <c r="AL330" s="7"/>
      <c r="AM330" s="8">
        <f>SUM(AH330:AL330)</f>
        <v>0</v>
      </c>
      <c r="AO330" s="6"/>
      <c r="AP330" s="7"/>
      <c r="AQ330" s="7"/>
      <c r="AR330" s="7"/>
      <c r="AS330" s="7"/>
      <c r="AT330" s="8">
        <f>SUM(AO330:AS330)</f>
        <v>0</v>
      </c>
      <c r="AV330" s="6"/>
      <c r="AW330" s="7"/>
      <c r="AX330" s="7"/>
      <c r="AY330" s="7"/>
      <c r="AZ330" s="7"/>
      <c r="BA330" s="8">
        <f>SUM(AV330:AZ330)</f>
        <v>0</v>
      </c>
      <c r="BC330" s="6"/>
      <c r="BD330" s="7"/>
      <c r="BE330" s="7"/>
      <c r="BF330" s="7"/>
      <c r="BG330" s="7"/>
      <c r="BH330" s="8">
        <f>SUM(BC330:BG330)</f>
        <v>0</v>
      </c>
      <c r="BJ330" s="6"/>
      <c r="BK330" s="7"/>
      <c r="BL330" s="7"/>
      <c r="BM330" s="7"/>
      <c r="BN330" s="7"/>
      <c r="BO330" s="8">
        <f>SUM(BJ330:BN330)</f>
        <v>0</v>
      </c>
      <c r="BQ330" s="6"/>
      <c r="BR330" s="7"/>
      <c r="BS330" s="7"/>
      <c r="BT330" s="7"/>
      <c r="BU330" s="7"/>
      <c r="BV330" s="8">
        <f>SUM(BQ330:BU330)</f>
        <v>0</v>
      </c>
      <c r="BX330" s="6"/>
      <c r="BY330" s="7"/>
      <c r="BZ330" s="7"/>
      <c r="CA330" s="7"/>
      <c r="CB330" s="7"/>
      <c r="CC330" s="8">
        <f>SUM(BX330:CB330)</f>
        <v>0</v>
      </c>
      <c r="CE330" s="493">
        <f t="shared" si="1455"/>
        <v>0</v>
      </c>
      <c r="CF330" s="494">
        <f t="shared" si="1456"/>
        <v>0</v>
      </c>
      <c r="CG330" s="494">
        <f t="shared" si="1457"/>
        <v>0</v>
      </c>
      <c r="CH330" s="494">
        <f t="shared" si="1458"/>
        <v>0</v>
      </c>
      <c r="CI330" s="494">
        <f t="shared" si="1459"/>
        <v>0</v>
      </c>
      <c r="CJ330" s="495">
        <f>SUM(CE330:CI330)</f>
        <v>0</v>
      </c>
      <c r="CL330" s="6"/>
      <c r="CM330" s="7"/>
      <c r="CN330" s="7"/>
      <c r="CO330" s="7"/>
      <c r="CP330" s="7"/>
      <c r="CQ330" s="8">
        <f>SUM(CL330:CP330)</f>
        <v>0</v>
      </c>
      <c r="CS330" s="6"/>
      <c r="CT330" s="7"/>
      <c r="CU330" s="7"/>
      <c r="CV330" s="7"/>
      <c r="CW330" s="7"/>
      <c r="CX330" s="8">
        <f t="shared" si="1463"/>
        <v>0</v>
      </c>
      <c r="CZ330" s="6"/>
      <c r="DA330" s="7"/>
      <c r="DB330" s="7"/>
      <c r="DC330" s="7"/>
      <c r="DD330" s="7"/>
      <c r="DE330" s="8">
        <f t="shared" si="1464"/>
        <v>0</v>
      </c>
    </row>
    <row r="331" spans="2:109" ht="14" thickBot="1">
      <c r="C331" s="554"/>
      <c r="E331" s="9"/>
      <c r="F331" s="10">
        <f>SUM(F327:F330)</f>
        <v>0</v>
      </c>
      <c r="G331" s="11">
        <f t="shared" ref="G331:J331" si="1465">SUM(G327:G330)</f>
        <v>0</v>
      </c>
      <c r="H331" s="11">
        <f t="shared" si="1465"/>
        <v>0</v>
      </c>
      <c r="I331" s="11">
        <f t="shared" si="1465"/>
        <v>0</v>
      </c>
      <c r="J331" s="61">
        <f t="shared" si="1465"/>
        <v>0</v>
      </c>
      <c r="K331" s="25">
        <f>SUM(K327:K330)</f>
        <v>0</v>
      </c>
      <c r="M331" s="10">
        <f>SUM(M327:M330)</f>
        <v>0</v>
      </c>
      <c r="N331" s="11">
        <f t="shared" ref="N331:Q331" si="1466">SUM(N327:N330)</f>
        <v>0</v>
      </c>
      <c r="O331" s="11">
        <f t="shared" si="1466"/>
        <v>0</v>
      </c>
      <c r="P331" s="11">
        <f t="shared" si="1466"/>
        <v>0</v>
      </c>
      <c r="Q331" s="11">
        <f t="shared" si="1466"/>
        <v>0</v>
      </c>
      <c r="R331" s="25">
        <f>SUM(R327:R330)</f>
        <v>0</v>
      </c>
      <c r="T331" s="10">
        <f>SUM(T327:T330)</f>
        <v>0</v>
      </c>
      <c r="U331" s="11">
        <f t="shared" ref="U331:X331" si="1467">SUM(U327:U330)</f>
        <v>0</v>
      </c>
      <c r="V331" s="11">
        <f t="shared" si="1467"/>
        <v>0</v>
      </c>
      <c r="W331" s="11">
        <f t="shared" si="1467"/>
        <v>0</v>
      </c>
      <c r="X331" s="11">
        <f t="shared" si="1467"/>
        <v>0</v>
      </c>
      <c r="Y331" s="25">
        <f>SUM(Y327:Y330)</f>
        <v>0</v>
      </c>
      <c r="AA331" s="10">
        <f>SUM(AA327:AA330)</f>
        <v>0</v>
      </c>
      <c r="AB331" s="11">
        <f t="shared" ref="AB331:AE331" si="1468">SUM(AB327:AB330)</f>
        <v>0</v>
      </c>
      <c r="AC331" s="11">
        <f t="shared" si="1468"/>
        <v>0</v>
      </c>
      <c r="AD331" s="11">
        <f t="shared" si="1468"/>
        <v>0</v>
      </c>
      <c r="AE331" s="11">
        <f t="shared" si="1468"/>
        <v>0</v>
      </c>
      <c r="AF331" s="25">
        <f>SUM(AF327:AF330)</f>
        <v>0</v>
      </c>
      <c r="AH331" s="10">
        <f t="shared" ref="AH331:AM331" si="1469">SUM(AH327:AH330)</f>
        <v>0</v>
      </c>
      <c r="AI331" s="11">
        <f t="shared" si="1469"/>
        <v>0</v>
      </c>
      <c r="AJ331" s="11">
        <f t="shared" si="1469"/>
        <v>0</v>
      </c>
      <c r="AK331" s="11">
        <f t="shared" si="1469"/>
        <v>0</v>
      </c>
      <c r="AL331" s="11">
        <f t="shared" si="1469"/>
        <v>0</v>
      </c>
      <c r="AM331" s="25">
        <f t="shared" si="1469"/>
        <v>0</v>
      </c>
      <c r="AO331" s="10">
        <f t="shared" ref="AO331:AT331" si="1470">SUM(AO327:AO330)</f>
        <v>0</v>
      </c>
      <c r="AP331" s="11">
        <f t="shared" si="1470"/>
        <v>0</v>
      </c>
      <c r="AQ331" s="11">
        <f t="shared" si="1470"/>
        <v>0</v>
      </c>
      <c r="AR331" s="11">
        <f t="shared" si="1470"/>
        <v>0</v>
      </c>
      <c r="AS331" s="11">
        <f t="shared" si="1470"/>
        <v>0</v>
      </c>
      <c r="AT331" s="25">
        <f t="shared" si="1470"/>
        <v>0</v>
      </c>
      <c r="AV331" s="10">
        <f t="shared" ref="AV331:BA331" si="1471">SUM(AV327:AV330)</f>
        <v>0</v>
      </c>
      <c r="AW331" s="11">
        <f t="shared" si="1471"/>
        <v>0</v>
      </c>
      <c r="AX331" s="11">
        <f t="shared" si="1471"/>
        <v>0</v>
      </c>
      <c r="AY331" s="11">
        <f t="shared" si="1471"/>
        <v>0</v>
      </c>
      <c r="AZ331" s="11">
        <f t="shared" si="1471"/>
        <v>0</v>
      </c>
      <c r="BA331" s="25">
        <f t="shared" si="1471"/>
        <v>0</v>
      </c>
      <c r="BC331" s="10">
        <f t="shared" ref="BC331:BH331" si="1472">SUM(BC327:BC330)</f>
        <v>0</v>
      </c>
      <c r="BD331" s="11">
        <f t="shared" si="1472"/>
        <v>0</v>
      </c>
      <c r="BE331" s="11">
        <f t="shared" si="1472"/>
        <v>0</v>
      </c>
      <c r="BF331" s="11">
        <f t="shared" si="1472"/>
        <v>0</v>
      </c>
      <c r="BG331" s="11">
        <f t="shared" si="1472"/>
        <v>0</v>
      </c>
      <c r="BH331" s="25">
        <f t="shared" si="1472"/>
        <v>0</v>
      </c>
      <c r="BJ331" s="10">
        <f t="shared" ref="BJ331:BO331" si="1473">SUM(BJ327:BJ330)</f>
        <v>0</v>
      </c>
      <c r="BK331" s="11">
        <f t="shared" si="1473"/>
        <v>0</v>
      </c>
      <c r="BL331" s="11">
        <f t="shared" si="1473"/>
        <v>0</v>
      </c>
      <c r="BM331" s="11">
        <f t="shared" si="1473"/>
        <v>0</v>
      </c>
      <c r="BN331" s="11">
        <f t="shared" si="1473"/>
        <v>0</v>
      </c>
      <c r="BO331" s="25">
        <f t="shared" si="1473"/>
        <v>0</v>
      </c>
      <c r="BQ331" s="10">
        <f t="shared" ref="BQ331:BV331" si="1474">SUM(BQ327:BQ330)</f>
        <v>0</v>
      </c>
      <c r="BR331" s="11">
        <f t="shared" si="1474"/>
        <v>0</v>
      </c>
      <c r="BS331" s="11">
        <f t="shared" si="1474"/>
        <v>0</v>
      </c>
      <c r="BT331" s="11">
        <f t="shared" si="1474"/>
        <v>0</v>
      </c>
      <c r="BU331" s="11">
        <f t="shared" si="1474"/>
        <v>0</v>
      </c>
      <c r="BV331" s="25">
        <f t="shared" si="1474"/>
        <v>0</v>
      </c>
      <c r="BX331" s="10">
        <f t="shared" ref="BX331:CC331" si="1475">SUM(BX327:BX330)</f>
        <v>0</v>
      </c>
      <c r="BY331" s="11">
        <f t="shared" si="1475"/>
        <v>0</v>
      </c>
      <c r="BZ331" s="11">
        <f t="shared" si="1475"/>
        <v>0</v>
      </c>
      <c r="CA331" s="11">
        <f t="shared" si="1475"/>
        <v>0</v>
      </c>
      <c r="CB331" s="11">
        <f t="shared" si="1475"/>
        <v>0</v>
      </c>
      <c r="CC331" s="25">
        <f t="shared" si="1475"/>
        <v>0</v>
      </c>
      <c r="CE331" s="62">
        <f t="shared" ref="CE331:CJ331" si="1476">SUM(CE327:CE330)</f>
        <v>0</v>
      </c>
      <c r="CF331" s="63">
        <f t="shared" si="1476"/>
        <v>0</v>
      </c>
      <c r="CG331" s="63">
        <f t="shared" si="1476"/>
        <v>0</v>
      </c>
      <c r="CH331" s="63">
        <f t="shared" si="1476"/>
        <v>0</v>
      </c>
      <c r="CI331" s="63">
        <f t="shared" si="1476"/>
        <v>0</v>
      </c>
      <c r="CJ331" s="25">
        <f t="shared" si="1476"/>
        <v>0</v>
      </c>
      <c r="CL331" s="10">
        <f>SUM(CL327:CL330)</f>
        <v>0</v>
      </c>
      <c r="CM331" s="11">
        <f t="shared" ref="CM331:CQ331" si="1477">SUM(CM327:CM330)</f>
        <v>0</v>
      </c>
      <c r="CN331" s="11">
        <f t="shared" si="1477"/>
        <v>0</v>
      </c>
      <c r="CO331" s="11">
        <f t="shared" si="1477"/>
        <v>0</v>
      </c>
      <c r="CP331" s="11">
        <f t="shared" si="1477"/>
        <v>0</v>
      </c>
      <c r="CQ331" s="25">
        <f t="shared" si="1477"/>
        <v>0</v>
      </c>
      <c r="CS331" s="10">
        <f>SUM(CS327:CS330)</f>
        <v>0</v>
      </c>
      <c r="CT331" s="11">
        <f t="shared" ref="CT331:CW331" si="1478">SUM(CT327:CT330)</f>
        <v>0</v>
      </c>
      <c r="CU331" s="11">
        <f t="shared" si="1478"/>
        <v>0</v>
      </c>
      <c r="CV331" s="11">
        <f t="shared" si="1478"/>
        <v>0</v>
      </c>
      <c r="CW331" s="11">
        <f t="shared" si="1478"/>
        <v>0</v>
      </c>
      <c r="CX331" s="25">
        <f>SUM(CX327:CX330)</f>
        <v>0</v>
      </c>
      <c r="CZ331" s="10">
        <f>SUM(CZ327:CZ330)</f>
        <v>0</v>
      </c>
      <c r="DA331" s="11">
        <f t="shared" ref="DA331:DD331" si="1479">SUM(DA327:DA330)</f>
        <v>0</v>
      </c>
      <c r="DB331" s="11">
        <f t="shared" si="1479"/>
        <v>0</v>
      </c>
      <c r="DC331" s="11">
        <f t="shared" si="1479"/>
        <v>0</v>
      </c>
      <c r="DD331" s="11">
        <f t="shared" si="1479"/>
        <v>0</v>
      </c>
      <c r="DE331" s="25">
        <f>SUM(DE327:DE330)</f>
        <v>0</v>
      </c>
    </row>
    <row r="332" spans="2:109" ht="10.4" customHeight="1" thickBot="1"/>
    <row r="333" spans="2:109">
      <c r="C333" s="553">
        <v>2025</v>
      </c>
      <c r="E333" s="13" t="s">
        <v>59</v>
      </c>
      <c r="F333" s="21">
        <f>CE327</f>
        <v>0</v>
      </c>
      <c r="G333" s="22">
        <f t="shared" ref="G333:G336" si="1480">CF327</f>
        <v>0</v>
      </c>
      <c r="H333" s="22">
        <f t="shared" ref="H333:H336" si="1481">CG327</f>
        <v>0</v>
      </c>
      <c r="I333" s="22">
        <f t="shared" ref="I333:I336" si="1482">CH327</f>
        <v>0</v>
      </c>
      <c r="J333" s="22">
        <f t="shared" ref="J333:J336" si="1483">CI327</f>
        <v>0</v>
      </c>
      <c r="K333" s="15">
        <f>SUM(F333:J333)</f>
        <v>0</v>
      </c>
      <c r="M333" s="2"/>
      <c r="N333" s="3"/>
      <c r="O333" s="3"/>
      <c r="P333" s="3"/>
      <c r="Q333" s="3"/>
      <c r="R333" s="15">
        <f>SUM(M333:Q333)</f>
        <v>0</v>
      </c>
      <c r="T333" s="2"/>
      <c r="U333" s="3"/>
      <c r="V333" s="3"/>
      <c r="W333" s="3"/>
      <c r="X333" s="3"/>
      <c r="Y333" s="15">
        <f>SUM(T333:X333)</f>
        <v>0</v>
      </c>
      <c r="AA333" s="2"/>
      <c r="AB333" s="3"/>
      <c r="AC333" s="3"/>
      <c r="AD333" s="3"/>
      <c r="AE333" s="3"/>
      <c r="AF333" s="15">
        <f>SUM(AA333:AE333)</f>
        <v>0</v>
      </c>
      <c r="AH333" s="2"/>
      <c r="AI333" s="3"/>
      <c r="AJ333" s="3"/>
      <c r="AK333" s="3"/>
      <c r="AL333" s="3"/>
      <c r="AM333" s="15">
        <f>SUM(AH333:AL333)</f>
        <v>0</v>
      </c>
      <c r="AO333" s="2"/>
      <c r="AP333" s="3"/>
      <c r="AQ333" s="3"/>
      <c r="AR333" s="3"/>
      <c r="AS333" s="3"/>
      <c r="AT333" s="15">
        <f>SUM(AO333:AS333)</f>
        <v>0</v>
      </c>
      <c r="AV333" s="2"/>
      <c r="AW333" s="3"/>
      <c r="AX333" s="3"/>
      <c r="AY333" s="3"/>
      <c r="AZ333" s="3"/>
      <c r="BA333" s="15">
        <f>SUM(AV333:AZ333)</f>
        <v>0</v>
      </c>
      <c r="BC333" s="2"/>
      <c r="BD333" s="3"/>
      <c r="BE333" s="3"/>
      <c r="BF333" s="3"/>
      <c r="BG333" s="3"/>
      <c r="BH333" s="15">
        <f>SUM(BC333:BG333)</f>
        <v>0</v>
      </c>
      <c r="BJ333" s="2"/>
      <c r="BK333" s="3"/>
      <c r="BL333" s="3"/>
      <c r="BM333" s="3"/>
      <c r="BN333" s="3"/>
      <c r="BO333" s="15">
        <f>SUM(BJ333:BN333)</f>
        <v>0</v>
      </c>
      <c r="BQ333" s="2"/>
      <c r="BR333" s="3"/>
      <c r="BS333" s="3"/>
      <c r="BT333" s="3"/>
      <c r="BU333" s="3"/>
      <c r="BV333" s="15">
        <f>SUM(BQ333:BU333)</f>
        <v>0</v>
      </c>
      <c r="BX333" s="2"/>
      <c r="BY333" s="3"/>
      <c r="BZ333" s="3"/>
      <c r="CA333" s="3"/>
      <c r="CB333" s="3"/>
      <c r="CC333" s="15">
        <f>SUM(BX333:CB333)</f>
        <v>0</v>
      </c>
      <c r="CE333" s="26">
        <f t="shared" ref="CE333:CE336" si="1484">F333+M333+T333+AA333+AH333+AO333+AV333+BC333+BJ333+BQ333+BX333</f>
        <v>0</v>
      </c>
      <c r="CF333" s="27">
        <f t="shared" ref="CF333:CF336" si="1485">G333+N333+U333+AB333+AI333+AP333+AW333+BD333+BK333+BR333+BY333</f>
        <v>0</v>
      </c>
      <c r="CG333" s="27">
        <f t="shared" ref="CG333:CG336" si="1486">H333+O333+V333+AC333+AJ333+AQ333+AX333+BE333+BL333+BS333+BZ333</f>
        <v>0</v>
      </c>
      <c r="CH333" s="27">
        <f t="shared" ref="CH333:CH336" si="1487">I333+P333+W333+AD333+AK333+AR333+AY333+BF333+BM333+BT333+CA333</f>
        <v>0</v>
      </c>
      <c r="CI333" s="27">
        <f t="shared" ref="CI333:CI336" si="1488">J333+Q333+X333+AE333+AL333+AS333+AZ333+BG333+BN333+BU333+CB333</f>
        <v>0</v>
      </c>
      <c r="CJ333" s="4">
        <f>SUM(CE333:CI333)</f>
        <v>0</v>
      </c>
      <c r="CL333" s="2"/>
      <c r="CM333" s="3"/>
      <c r="CN333" s="3"/>
      <c r="CO333" s="3"/>
      <c r="CP333" s="3"/>
      <c r="CQ333" s="15">
        <f>SUM(CL333:CP333)</f>
        <v>0</v>
      </c>
      <c r="CS333" s="2"/>
      <c r="CT333" s="3"/>
      <c r="CU333" s="3"/>
      <c r="CV333" s="3"/>
      <c r="CW333" s="3"/>
      <c r="CX333" s="15">
        <f>SUM(CS333:CW333)</f>
        <v>0</v>
      </c>
      <c r="CZ333" s="2"/>
      <c r="DA333" s="3"/>
      <c r="DB333" s="3"/>
      <c r="DC333" s="3"/>
      <c r="DD333" s="3"/>
      <c r="DE333" s="15">
        <f>SUM(CZ333:DD333)</f>
        <v>0</v>
      </c>
    </row>
    <row r="334" spans="2:109">
      <c r="C334" s="567"/>
      <c r="E334" s="14" t="s">
        <v>60</v>
      </c>
      <c r="F334" s="23">
        <f t="shared" ref="F334:F336" si="1489">CE328</f>
        <v>0</v>
      </c>
      <c r="G334" s="24">
        <f t="shared" si="1480"/>
        <v>0</v>
      </c>
      <c r="H334" s="24">
        <f t="shared" si="1481"/>
        <v>0</v>
      </c>
      <c r="I334" s="24">
        <f t="shared" si="1482"/>
        <v>0</v>
      </c>
      <c r="J334" s="24">
        <f t="shared" si="1483"/>
        <v>0</v>
      </c>
      <c r="K334" s="16">
        <f t="shared" ref="K334:K336" si="1490">SUM(F334:J334)</f>
        <v>0</v>
      </c>
      <c r="M334" s="6"/>
      <c r="N334" s="7"/>
      <c r="O334" s="7"/>
      <c r="P334" s="7"/>
      <c r="Q334" s="7"/>
      <c r="R334" s="16">
        <f t="shared" ref="R334:R336" si="1491">SUM(M334:Q334)</f>
        <v>0</v>
      </c>
      <c r="T334" s="6"/>
      <c r="U334" s="7"/>
      <c r="V334" s="7"/>
      <c r="W334" s="7"/>
      <c r="X334" s="7"/>
      <c r="Y334" s="16">
        <f t="shared" ref="Y334:Y336" si="1492">SUM(T334:X334)</f>
        <v>0</v>
      </c>
      <c r="AA334" s="6"/>
      <c r="AB334" s="7"/>
      <c r="AC334" s="7"/>
      <c r="AD334" s="7"/>
      <c r="AE334" s="7"/>
      <c r="AF334" s="16">
        <f>SUM(AA334:AE334)</f>
        <v>0</v>
      </c>
      <c r="AH334" s="6"/>
      <c r="AI334" s="7"/>
      <c r="AJ334" s="7"/>
      <c r="AK334" s="7"/>
      <c r="AL334" s="7"/>
      <c r="AM334" s="16">
        <f>SUM(AH334:AL334)</f>
        <v>0</v>
      </c>
      <c r="AO334" s="6"/>
      <c r="AP334" s="7"/>
      <c r="AQ334" s="7"/>
      <c r="AR334" s="7"/>
      <c r="AS334" s="7"/>
      <c r="AT334" s="16">
        <f>SUM(AO334:AS334)</f>
        <v>0</v>
      </c>
      <c r="AV334" s="6"/>
      <c r="AW334" s="7"/>
      <c r="AX334" s="7"/>
      <c r="AY334" s="7"/>
      <c r="AZ334" s="7"/>
      <c r="BA334" s="16">
        <f>SUM(AV334:AZ334)</f>
        <v>0</v>
      </c>
      <c r="BC334" s="6"/>
      <c r="BD334" s="7"/>
      <c r="BE334" s="7"/>
      <c r="BF334" s="7"/>
      <c r="BG334" s="7"/>
      <c r="BH334" s="16">
        <f>SUM(BC334:BG334)</f>
        <v>0</v>
      </c>
      <c r="BJ334" s="6"/>
      <c r="BK334" s="7"/>
      <c r="BL334" s="7"/>
      <c r="BM334" s="7"/>
      <c r="BN334" s="7"/>
      <c r="BO334" s="16">
        <f>SUM(BJ334:BN334)</f>
        <v>0</v>
      </c>
      <c r="BQ334" s="6"/>
      <c r="BR334" s="7"/>
      <c r="BS334" s="7"/>
      <c r="BT334" s="7"/>
      <c r="BU334" s="7"/>
      <c r="BV334" s="16">
        <f>SUM(BQ334:BU334)</f>
        <v>0</v>
      </c>
      <c r="BX334" s="6"/>
      <c r="BY334" s="7"/>
      <c r="BZ334" s="7"/>
      <c r="CA334" s="7"/>
      <c r="CB334" s="7"/>
      <c r="CC334" s="16">
        <f>SUM(BX334:CB334)</f>
        <v>0</v>
      </c>
      <c r="CE334" s="28">
        <f t="shared" si="1484"/>
        <v>0</v>
      </c>
      <c r="CF334" s="29">
        <f t="shared" si="1485"/>
        <v>0</v>
      </c>
      <c r="CG334" s="29">
        <f t="shared" si="1486"/>
        <v>0</v>
      </c>
      <c r="CH334" s="29">
        <f t="shared" si="1487"/>
        <v>0</v>
      </c>
      <c r="CI334" s="29">
        <f t="shared" si="1488"/>
        <v>0</v>
      </c>
      <c r="CJ334" s="8">
        <f>SUM(CE334:CI334)</f>
        <v>0</v>
      </c>
      <c r="CL334" s="6"/>
      <c r="CM334" s="7"/>
      <c r="CN334" s="7"/>
      <c r="CO334" s="7"/>
      <c r="CP334" s="7"/>
      <c r="CQ334" s="16">
        <f>SUM(CL334:CP334)</f>
        <v>0</v>
      </c>
      <c r="CS334" s="6"/>
      <c r="CT334" s="7"/>
      <c r="CU334" s="7"/>
      <c r="CV334" s="7"/>
      <c r="CW334" s="7"/>
      <c r="CX334" s="16">
        <f t="shared" ref="CX334:CX336" si="1493">SUM(CS334:CW334)</f>
        <v>0</v>
      </c>
      <c r="CZ334" s="6"/>
      <c r="DA334" s="7"/>
      <c r="DB334" s="7"/>
      <c r="DC334" s="7"/>
      <c r="DD334" s="7"/>
      <c r="DE334" s="16">
        <f t="shared" ref="DE334:DE336" si="1494">SUM(CZ334:DD334)</f>
        <v>0</v>
      </c>
    </row>
    <row r="335" spans="2:109">
      <c r="C335" s="567"/>
      <c r="E335" s="14" t="s">
        <v>61</v>
      </c>
      <c r="F335" s="23">
        <f t="shared" si="1489"/>
        <v>0</v>
      </c>
      <c r="G335" s="24">
        <f t="shared" si="1480"/>
        <v>0</v>
      </c>
      <c r="H335" s="24">
        <f t="shared" si="1481"/>
        <v>0</v>
      </c>
      <c r="I335" s="24">
        <f t="shared" si="1482"/>
        <v>0</v>
      </c>
      <c r="J335" s="24">
        <f t="shared" si="1483"/>
        <v>0</v>
      </c>
      <c r="K335" s="16">
        <f t="shared" si="1490"/>
        <v>0</v>
      </c>
      <c r="M335" s="6"/>
      <c r="N335" s="7"/>
      <c r="O335" s="7"/>
      <c r="P335" s="7"/>
      <c r="Q335" s="7"/>
      <c r="R335" s="16">
        <f t="shared" si="1491"/>
        <v>0</v>
      </c>
      <c r="T335" s="6"/>
      <c r="U335" s="7"/>
      <c r="V335" s="7"/>
      <c r="W335" s="7"/>
      <c r="X335" s="7"/>
      <c r="Y335" s="16">
        <f t="shared" si="1492"/>
        <v>0</v>
      </c>
      <c r="AA335" s="6"/>
      <c r="AB335" s="7"/>
      <c r="AC335" s="7"/>
      <c r="AD335" s="7"/>
      <c r="AE335" s="7"/>
      <c r="AF335" s="16">
        <f>SUM(AA335:AE335)</f>
        <v>0</v>
      </c>
      <c r="AH335" s="6"/>
      <c r="AI335" s="7"/>
      <c r="AJ335" s="7"/>
      <c r="AK335" s="7"/>
      <c r="AL335" s="7"/>
      <c r="AM335" s="16">
        <f>SUM(AH335:AL335)</f>
        <v>0</v>
      </c>
      <c r="AO335" s="6"/>
      <c r="AP335" s="7"/>
      <c r="AQ335" s="7"/>
      <c r="AR335" s="7"/>
      <c r="AS335" s="7"/>
      <c r="AT335" s="16">
        <f>SUM(AO335:AS335)</f>
        <v>0</v>
      </c>
      <c r="AV335" s="6"/>
      <c r="AW335" s="7"/>
      <c r="AX335" s="7"/>
      <c r="AY335" s="7"/>
      <c r="AZ335" s="7"/>
      <c r="BA335" s="16">
        <f>SUM(AV335:AZ335)</f>
        <v>0</v>
      </c>
      <c r="BC335" s="6"/>
      <c r="BD335" s="7"/>
      <c r="BE335" s="7"/>
      <c r="BF335" s="7"/>
      <c r="BG335" s="7"/>
      <c r="BH335" s="16">
        <f>SUM(BC335:BG335)</f>
        <v>0</v>
      </c>
      <c r="BJ335" s="6"/>
      <c r="BK335" s="7"/>
      <c r="BL335" s="7"/>
      <c r="BM335" s="7"/>
      <c r="BN335" s="7"/>
      <c r="BO335" s="16">
        <f>SUM(BJ335:BN335)</f>
        <v>0</v>
      </c>
      <c r="BQ335" s="6"/>
      <c r="BR335" s="7"/>
      <c r="BS335" s="7"/>
      <c r="BT335" s="7"/>
      <c r="BU335" s="7"/>
      <c r="BV335" s="16">
        <f>SUM(BQ335:BU335)</f>
        <v>0</v>
      </c>
      <c r="BX335" s="6"/>
      <c r="BY335" s="7"/>
      <c r="BZ335" s="7"/>
      <c r="CA335" s="7"/>
      <c r="CB335" s="7"/>
      <c r="CC335" s="16">
        <f>SUM(BX335:CB335)</f>
        <v>0</v>
      </c>
      <c r="CE335" s="28">
        <f t="shared" si="1484"/>
        <v>0</v>
      </c>
      <c r="CF335" s="29">
        <f t="shared" si="1485"/>
        <v>0</v>
      </c>
      <c r="CG335" s="29">
        <f t="shared" si="1486"/>
        <v>0</v>
      </c>
      <c r="CH335" s="29">
        <f t="shared" si="1487"/>
        <v>0</v>
      </c>
      <c r="CI335" s="29">
        <f t="shared" si="1488"/>
        <v>0</v>
      </c>
      <c r="CJ335" s="8">
        <f>SUM(CE335:CI335)</f>
        <v>0</v>
      </c>
      <c r="CL335" s="6"/>
      <c r="CM335" s="7"/>
      <c r="CN335" s="7"/>
      <c r="CO335" s="7"/>
      <c r="CP335" s="7"/>
      <c r="CQ335" s="16">
        <f>SUM(CL335:CP335)</f>
        <v>0</v>
      </c>
      <c r="CS335" s="6"/>
      <c r="CT335" s="7"/>
      <c r="CU335" s="7"/>
      <c r="CV335" s="7"/>
      <c r="CW335" s="7"/>
      <c r="CX335" s="16">
        <f t="shared" si="1493"/>
        <v>0</v>
      </c>
      <c r="CZ335" s="6"/>
      <c r="DA335" s="7"/>
      <c r="DB335" s="7"/>
      <c r="DC335" s="7"/>
      <c r="DD335" s="7"/>
      <c r="DE335" s="16">
        <f t="shared" si="1494"/>
        <v>0</v>
      </c>
    </row>
    <row r="336" spans="2:109" ht="14" thickBot="1">
      <c r="C336" s="567"/>
      <c r="E336" s="14" t="s">
        <v>62</v>
      </c>
      <c r="F336" s="23">
        <f t="shared" si="1489"/>
        <v>0</v>
      </c>
      <c r="G336" s="24">
        <f t="shared" si="1480"/>
        <v>0</v>
      </c>
      <c r="H336" s="24">
        <f t="shared" si="1481"/>
        <v>0</v>
      </c>
      <c r="I336" s="24">
        <f t="shared" si="1482"/>
        <v>0</v>
      </c>
      <c r="J336" s="24">
        <f t="shared" si="1483"/>
        <v>0</v>
      </c>
      <c r="K336" s="16">
        <f t="shared" si="1490"/>
        <v>0</v>
      </c>
      <c r="M336" s="6"/>
      <c r="N336" s="7"/>
      <c r="O336" s="7"/>
      <c r="P336" s="7"/>
      <c r="Q336" s="7"/>
      <c r="R336" s="16">
        <f t="shared" si="1491"/>
        <v>0</v>
      </c>
      <c r="T336" s="6"/>
      <c r="U336" s="7"/>
      <c r="V336" s="7"/>
      <c r="W336" s="7"/>
      <c r="X336" s="7"/>
      <c r="Y336" s="16">
        <f t="shared" si="1492"/>
        <v>0</v>
      </c>
      <c r="AA336" s="6"/>
      <c r="AB336" s="7"/>
      <c r="AC336" s="7"/>
      <c r="AD336" s="7"/>
      <c r="AE336" s="7"/>
      <c r="AF336" s="16">
        <f>SUM(AA336:AE336)</f>
        <v>0</v>
      </c>
      <c r="AH336" s="6"/>
      <c r="AI336" s="7"/>
      <c r="AJ336" s="7"/>
      <c r="AK336" s="7"/>
      <c r="AL336" s="7"/>
      <c r="AM336" s="16">
        <f>SUM(AH336:AL336)</f>
        <v>0</v>
      </c>
      <c r="AO336" s="6"/>
      <c r="AP336" s="7"/>
      <c r="AQ336" s="7"/>
      <c r="AR336" s="7"/>
      <c r="AS336" s="7"/>
      <c r="AT336" s="16">
        <f>SUM(AO336:AS336)</f>
        <v>0</v>
      </c>
      <c r="AV336" s="6"/>
      <c r="AW336" s="7"/>
      <c r="AX336" s="7"/>
      <c r="AY336" s="7"/>
      <c r="AZ336" s="7"/>
      <c r="BA336" s="16">
        <f>SUM(AV336:AZ336)</f>
        <v>0</v>
      </c>
      <c r="BC336" s="6"/>
      <c r="BD336" s="7"/>
      <c r="BE336" s="7"/>
      <c r="BF336" s="7"/>
      <c r="BG336" s="7"/>
      <c r="BH336" s="16">
        <f>SUM(BC336:BG336)</f>
        <v>0</v>
      </c>
      <c r="BJ336" s="6"/>
      <c r="BK336" s="7"/>
      <c r="BL336" s="7"/>
      <c r="BM336" s="7"/>
      <c r="BN336" s="7"/>
      <c r="BO336" s="16">
        <f>SUM(BJ336:BN336)</f>
        <v>0</v>
      </c>
      <c r="BQ336" s="6"/>
      <c r="BR336" s="7"/>
      <c r="BS336" s="7"/>
      <c r="BT336" s="7"/>
      <c r="BU336" s="7"/>
      <c r="BV336" s="16">
        <f>SUM(BQ336:BU336)</f>
        <v>0</v>
      </c>
      <c r="BX336" s="6"/>
      <c r="BY336" s="7"/>
      <c r="BZ336" s="7"/>
      <c r="CA336" s="7"/>
      <c r="CB336" s="7"/>
      <c r="CC336" s="16">
        <f>SUM(BX336:CB336)</f>
        <v>0</v>
      </c>
      <c r="CE336" s="493">
        <f t="shared" si="1484"/>
        <v>0</v>
      </c>
      <c r="CF336" s="494">
        <f t="shared" si="1485"/>
        <v>0</v>
      </c>
      <c r="CG336" s="494">
        <f t="shared" si="1486"/>
        <v>0</v>
      </c>
      <c r="CH336" s="494">
        <f t="shared" si="1487"/>
        <v>0</v>
      </c>
      <c r="CI336" s="494">
        <f t="shared" si="1488"/>
        <v>0</v>
      </c>
      <c r="CJ336" s="495">
        <f>SUM(CE336:CI336)</f>
        <v>0</v>
      </c>
      <c r="CL336" s="6"/>
      <c r="CM336" s="7"/>
      <c r="CN336" s="7"/>
      <c r="CO336" s="7"/>
      <c r="CP336" s="7"/>
      <c r="CQ336" s="16">
        <f>SUM(CL336:CP336)</f>
        <v>0</v>
      </c>
      <c r="CS336" s="6"/>
      <c r="CT336" s="7"/>
      <c r="CU336" s="7"/>
      <c r="CV336" s="7"/>
      <c r="CW336" s="7"/>
      <c r="CX336" s="16">
        <f t="shared" si="1493"/>
        <v>0</v>
      </c>
      <c r="CZ336" s="6"/>
      <c r="DA336" s="7"/>
      <c r="DB336" s="7"/>
      <c r="DC336" s="7"/>
      <c r="DD336" s="7"/>
      <c r="DE336" s="16">
        <f t="shared" si="1494"/>
        <v>0</v>
      </c>
    </row>
    <row r="337" spans="3:109" ht="14" thickBot="1">
      <c r="C337" s="554"/>
      <c r="E337" s="17"/>
      <c r="F337" s="10">
        <f>SUM(F333:F336)</f>
        <v>0</v>
      </c>
      <c r="G337" s="11">
        <f t="shared" ref="G337:J337" si="1495">SUM(G333:G336)</f>
        <v>0</v>
      </c>
      <c r="H337" s="11">
        <f t="shared" si="1495"/>
        <v>0</v>
      </c>
      <c r="I337" s="11">
        <f t="shared" si="1495"/>
        <v>0</v>
      </c>
      <c r="J337" s="11">
        <f t="shared" si="1495"/>
        <v>0</v>
      </c>
      <c r="K337" s="25">
        <f>SUM(K333:K336)</f>
        <v>0</v>
      </c>
      <c r="M337" s="10">
        <f>SUM(M333:M336)</f>
        <v>0</v>
      </c>
      <c r="N337" s="11">
        <f t="shared" ref="N337:Q337" si="1496">SUM(N333:N336)</f>
        <v>0</v>
      </c>
      <c r="O337" s="11">
        <f t="shared" si="1496"/>
        <v>0</v>
      </c>
      <c r="P337" s="11">
        <f t="shared" si="1496"/>
        <v>0</v>
      </c>
      <c r="Q337" s="11">
        <f t="shared" si="1496"/>
        <v>0</v>
      </c>
      <c r="R337" s="25">
        <f>SUM(R333:R336)</f>
        <v>0</v>
      </c>
      <c r="T337" s="10">
        <f>SUM(T333:T336)</f>
        <v>0</v>
      </c>
      <c r="U337" s="11">
        <f t="shared" ref="U337:X337" si="1497">SUM(U333:U336)</f>
        <v>0</v>
      </c>
      <c r="V337" s="11">
        <f t="shared" si="1497"/>
        <v>0</v>
      </c>
      <c r="W337" s="11">
        <f t="shared" si="1497"/>
        <v>0</v>
      </c>
      <c r="X337" s="11">
        <f t="shared" si="1497"/>
        <v>0</v>
      </c>
      <c r="Y337" s="25">
        <f>SUM(Y333:Y336)</f>
        <v>0</v>
      </c>
      <c r="AA337" s="10">
        <f>SUM(AA333:AA336)</f>
        <v>0</v>
      </c>
      <c r="AB337" s="11">
        <f t="shared" ref="AB337:AE337" si="1498">SUM(AB333:AB336)</f>
        <v>0</v>
      </c>
      <c r="AC337" s="11">
        <f t="shared" si="1498"/>
        <v>0</v>
      </c>
      <c r="AD337" s="11">
        <f t="shared" si="1498"/>
        <v>0</v>
      </c>
      <c r="AE337" s="11">
        <f t="shared" si="1498"/>
        <v>0</v>
      </c>
      <c r="AF337" s="25">
        <f>SUM(AF333:AF336)</f>
        <v>0</v>
      </c>
      <c r="AH337" s="10">
        <f t="shared" ref="AH337:AM337" si="1499">SUM(AH333:AH336)</f>
        <v>0</v>
      </c>
      <c r="AI337" s="11">
        <f t="shared" si="1499"/>
        <v>0</v>
      </c>
      <c r="AJ337" s="11">
        <f t="shared" si="1499"/>
        <v>0</v>
      </c>
      <c r="AK337" s="11">
        <f t="shared" si="1499"/>
        <v>0</v>
      </c>
      <c r="AL337" s="11">
        <f t="shared" si="1499"/>
        <v>0</v>
      </c>
      <c r="AM337" s="25">
        <f t="shared" si="1499"/>
        <v>0</v>
      </c>
      <c r="AO337" s="10">
        <f t="shared" ref="AO337:AT337" si="1500">SUM(AO333:AO336)</f>
        <v>0</v>
      </c>
      <c r="AP337" s="11">
        <f t="shared" si="1500"/>
        <v>0</v>
      </c>
      <c r="AQ337" s="11">
        <f t="shared" si="1500"/>
        <v>0</v>
      </c>
      <c r="AR337" s="11">
        <f t="shared" si="1500"/>
        <v>0</v>
      </c>
      <c r="AS337" s="11">
        <f t="shared" si="1500"/>
        <v>0</v>
      </c>
      <c r="AT337" s="25">
        <f t="shared" si="1500"/>
        <v>0</v>
      </c>
      <c r="AV337" s="10">
        <f t="shared" ref="AV337:BA337" si="1501">SUM(AV333:AV336)</f>
        <v>0</v>
      </c>
      <c r="AW337" s="11">
        <f t="shared" si="1501"/>
        <v>0</v>
      </c>
      <c r="AX337" s="11">
        <f t="shared" si="1501"/>
        <v>0</v>
      </c>
      <c r="AY337" s="11">
        <f t="shared" si="1501"/>
        <v>0</v>
      </c>
      <c r="AZ337" s="11">
        <f t="shared" si="1501"/>
        <v>0</v>
      </c>
      <c r="BA337" s="25">
        <f t="shared" si="1501"/>
        <v>0</v>
      </c>
      <c r="BC337" s="10">
        <f t="shared" ref="BC337:BH337" si="1502">SUM(BC333:BC336)</f>
        <v>0</v>
      </c>
      <c r="BD337" s="11">
        <f t="shared" si="1502"/>
        <v>0</v>
      </c>
      <c r="BE337" s="11">
        <f t="shared" si="1502"/>
        <v>0</v>
      </c>
      <c r="BF337" s="11">
        <f t="shared" si="1502"/>
        <v>0</v>
      </c>
      <c r="BG337" s="11">
        <f t="shared" si="1502"/>
        <v>0</v>
      </c>
      <c r="BH337" s="25">
        <f t="shared" si="1502"/>
        <v>0</v>
      </c>
      <c r="BJ337" s="10">
        <f t="shared" ref="BJ337:BO337" si="1503">SUM(BJ333:BJ336)</f>
        <v>0</v>
      </c>
      <c r="BK337" s="11">
        <f t="shared" si="1503"/>
        <v>0</v>
      </c>
      <c r="BL337" s="11">
        <f t="shared" si="1503"/>
        <v>0</v>
      </c>
      <c r="BM337" s="11">
        <f t="shared" si="1503"/>
        <v>0</v>
      </c>
      <c r="BN337" s="11">
        <f t="shared" si="1503"/>
        <v>0</v>
      </c>
      <c r="BO337" s="25">
        <f t="shared" si="1503"/>
        <v>0</v>
      </c>
      <c r="BQ337" s="10">
        <f t="shared" ref="BQ337:BV337" si="1504">SUM(BQ333:BQ336)</f>
        <v>0</v>
      </c>
      <c r="BR337" s="11">
        <f t="shared" si="1504"/>
        <v>0</v>
      </c>
      <c r="BS337" s="11">
        <f t="shared" si="1504"/>
        <v>0</v>
      </c>
      <c r="BT337" s="11">
        <f t="shared" si="1504"/>
        <v>0</v>
      </c>
      <c r="BU337" s="11">
        <f t="shared" si="1504"/>
        <v>0</v>
      </c>
      <c r="BV337" s="25">
        <f t="shared" si="1504"/>
        <v>0</v>
      </c>
      <c r="BX337" s="10">
        <f t="shared" ref="BX337:CC337" si="1505">SUM(BX333:BX336)</f>
        <v>0</v>
      </c>
      <c r="BY337" s="11">
        <f t="shared" si="1505"/>
        <v>0</v>
      </c>
      <c r="BZ337" s="11">
        <f t="shared" si="1505"/>
        <v>0</v>
      </c>
      <c r="CA337" s="11">
        <f t="shared" si="1505"/>
        <v>0</v>
      </c>
      <c r="CB337" s="11">
        <f t="shared" si="1505"/>
        <v>0</v>
      </c>
      <c r="CC337" s="25">
        <f t="shared" si="1505"/>
        <v>0</v>
      </c>
      <c r="CE337" s="62">
        <f t="shared" ref="CE337:CJ337" si="1506">SUM(CE333:CE336)</f>
        <v>0</v>
      </c>
      <c r="CF337" s="63">
        <f t="shared" si="1506"/>
        <v>0</v>
      </c>
      <c r="CG337" s="63">
        <f t="shared" si="1506"/>
        <v>0</v>
      </c>
      <c r="CH337" s="63">
        <f t="shared" si="1506"/>
        <v>0</v>
      </c>
      <c r="CI337" s="63">
        <f t="shared" si="1506"/>
        <v>0</v>
      </c>
      <c r="CJ337" s="25">
        <f t="shared" si="1506"/>
        <v>0</v>
      </c>
      <c r="CL337" s="10">
        <f>SUM(CL333:CL336)</f>
        <v>0</v>
      </c>
      <c r="CM337" s="11">
        <f t="shared" ref="CM337:CQ337" si="1507">SUM(CM333:CM336)</f>
        <v>0</v>
      </c>
      <c r="CN337" s="11">
        <f t="shared" si="1507"/>
        <v>0</v>
      </c>
      <c r="CO337" s="11">
        <f t="shared" si="1507"/>
        <v>0</v>
      </c>
      <c r="CP337" s="11">
        <f t="shared" si="1507"/>
        <v>0</v>
      </c>
      <c r="CQ337" s="25">
        <f t="shared" si="1507"/>
        <v>0</v>
      </c>
      <c r="CS337" s="10">
        <f>SUM(CS333:CS336)</f>
        <v>0</v>
      </c>
      <c r="CT337" s="11">
        <f t="shared" ref="CT337:CW337" si="1508">SUM(CT333:CT336)</f>
        <v>0</v>
      </c>
      <c r="CU337" s="11">
        <f t="shared" si="1508"/>
        <v>0</v>
      </c>
      <c r="CV337" s="11">
        <f t="shared" si="1508"/>
        <v>0</v>
      </c>
      <c r="CW337" s="11">
        <f t="shared" si="1508"/>
        <v>0</v>
      </c>
      <c r="CX337" s="25">
        <f>SUM(CX333:CX336)</f>
        <v>0</v>
      </c>
      <c r="CZ337" s="10">
        <f>SUM(CZ333:CZ336)</f>
        <v>0</v>
      </c>
      <c r="DA337" s="11">
        <f t="shared" ref="DA337:DD337" si="1509">SUM(DA333:DA336)</f>
        <v>0</v>
      </c>
      <c r="DB337" s="11">
        <f t="shared" si="1509"/>
        <v>0</v>
      </c>
      <c r="DC337" s="11">
        <f t="shared" si="1509"/>
        <v>0</v>
      </c>
      <c r="DD337" s="11">
        <f t="shared" si="1509"/>
        <v>0</v>
      </c>
      <c r="DE337" s="25">
        <f>SUM(DE333:DE336)</f>
        <v>0</v>
      </c>
    </row>
    <row r="338" spans="3:109" ht="10.4" customHeight="1" thickBot="1"/>
    <row r="339" spans="3:109">
      <c r="C339" s="553">
        <v>2026</v>
      </c>
      <c r="E339" s="13" t="s">
        <v>59</v>
      </c>
      <c r="F339" s="21">
        <f>CE333</f>
        <v>0</v>
      </c>
      <c r="G339" s="22">
        <f t="shared" ref="G339:G342" si="1510">CF333</f>
        <v>0</v>
      </c>
      <c r="H339" s="22">
        <f t="shared" ref="H339:H342" si="1511">CG333</f>
        <v>0</v>
      </c>
      <c r="I339" s="22">
        <f t="shared" ref="I339:I342" si="1512">CH333</f>
        <v>0</v>
      </c>
      <c r="J339" s="22">
        <f t="shared" ref="J339:J342" si="1513">CI333</f>
        <v>0</v>
      </c>
      <c r="K339" s="4">
        <f>SUM(F339:J339)</f>
        <v>0</v>
      </c>
      <c r="M339" s="2"/>
      <c r="N339" s="3"/>
      <c r="O339" s="3"/>
      <c r="P339" s="3"/>
      <c r="Q339" s="3"/>
      <c r="R339" s="4">
        <f>SUM(M339:Q339)</f>
        <v>0</v>
      </c>
      <c r="T339" s="2"/>
      <c r="U339" s="3"/>
      <c r="V339" s="3"/>
      <c r="W339" s="3"/>
      <c r="X339" s="3"/>
      <c r="Y339" s="4">
        <f>SUM(T339:X339)</f>
        <v>0</v>
      </c>
      <c r="AA339" s="2"/>
      <c r="AB339" s="3"/>
      <c r="AC339" s="3"/>
      <c r="AD339" s="3"/>
      <c r="AE339" s="3"/>
      <c r="AF339" s="4">
        <f>SUM(AA339:AE339)</f>
        <v>0</v>
      </c>
      <c r="AH339" s="2"/>
      <c r="AI339" s="3"/>
      <c r="AJ339" s="3"/>
      <c r="AK339" s="3"/>
      <c r="AL339" s="3"/>
      <c r="AM339" s="4">
        <f>SUM(AH339:AL339)</f>
        <v>0</v>
      </c>
      <c r="AO339" s="2"/>
      <c r="AP339" s="3"/>
      <c r="AQ339" s="3"/>
      <c r="AR339" s="3"/>
      <c r="AS339" s="3"/>
      <c r="AT339" s="4">
        <f>SUM(AO339:AS339)</f>
        <v>0</v>
      </c>
      <c r="AV339" s="2"/>
      <c r="AW339" s="3"/>
      <c r="AX339" s="3"/>
      <c r="AY339" s="3"/>
      <c r="AZ339" s="3"/>
      <c r="BA339" s="4">
        <f>SUM(AV339:AZ339)</f>
        <v>0</v>
      </c>
      <c r="BC339" s="2"/>
      <c r="BD339" s="3"/>
      <c r="BE339" s="3"/>
      <c r="BF339" s="3"/>
      <c r="BG339" s="3"/>
      <c r="BH339" s="4">
        <f>SUM(BC339:BG339)</f>
        <v>0</v>
      </c>
      <c r="BJ339" s="2"/>
      <c r="BK339" s="3"/>
      <c r="BL339" s="3"/>
      <c r="BM339" s="3"/>
      <c r="BN339" s="3"/>
      <c r="BO339" s="4">
        <f>SUM(BJ339:BN339)</f>
        <v>0</v>
      </c>
      <c r="BQ339" s="2"/>
      <c r="BR339" s="3"/>
      <c r="BS339" s="3"/>
      <c r="BT339" s="3"/>
      <c r="BU339" s="3"/>
      <c r="BV339" s="4">
        <f>SUM(BQ339:BU339)</f>
        <v>0</v>
      </c>
      <c r="BX339" s="2"/>
      <c r="BY339" s="3"/>
      <c r="BZ339" s="3"/>
      <c r="CA339" s="3"/>
      <c r="CB339" s="3"/>
      <c r="CC339" s="4">
        <f>SUM(BX339:CB339)</f>
        <v>0</v>
      </c>
      <c r="CE339" s="26">
        <f t="shared" ref="CE339:CE342" si="1514">F339+M339+T339+AA339+AH339+AO339+AV339+BC339+BJ339+BQ339+BX339</f>
        <v>0</v>
      </c>
      <c r="CF339" s="27">
        <f t="shared" ref="CF339:CF342" si="1515">G339+N339+U339+AB339+AI339+AP339+AW339+BD339+BK339+BR339+BY339</f>
        <v>0</v>
      </c>
      <c r="CG339" s="27">
        <f t="shared" ref="CG339:CG342" si="1516">H339+O339+V339+AC339+AJ339+AQ339+AX339+BE339+BL339+BS339+BZ339</f>
        <v>0</v>
      </c>
      <c r="CH339" s="27">
        <f t="shared" ref="CH339:CH342" si="1517">I339+P339+W339+AD339+AK339+AR339+AY339+BF339+BM339+BT339+CA339</f>
        <v>0</v>
      </c>
      <c r="CI339" s="27">
        <f t="shared" ref="CI339:CI342" si="1518">J339+Q339+X339+AE339+AL339+AS339+AZ339+BG339+BN339+BU339+CB339</f>
        <v>0</v>
      </c>
      <c r="CJ339" s="4">
        <f>SUM(CE339:CI339)</f>
        <v>0</v>
      </c>
      <c r="CL339" s="2"/>
      <c r="CM339" s="3"/>
      <c r="CN339" s="3"/>
      <c r="CO339" s="3"/>
      <c r="CP339" s="3"/>
      <c r="CQ339" s="4">
        <f>SUM(CL339:CP339)</f>
        <v>0</v>
      </c>
      <c r="CS339" s="2"/>
      <c r="CT339" s="3"/>
      <c r="CU339" s="3"/>
      <c r="CV339" s="3"/>
      <c r="CW339" s="3"/>
      <c r="CX339" s="4">
        <f>SUM(CS339:CW339)</f>
        <v>0</v>
      </c>
      <c r="CZ339" s="2"/>
      <c r="DA339" s="3"/>
      <c r="DB339" s="3"/>
      <c r="DC339" s="3"/>
      <c r="DD339" s="3"/>
      <c r="DE339" s="4">
        <f>SUM(CZ339:DD339)</f>
        <v>0</v>
      </c>
    </row>
    <row r="340" spans="3:109">
      <c r="C340" s="567"/>
      <c r="E340" s="14" t="s">
        <v>60</v>
      </c>
      <c r="F340" s="23">
        <f t="shared" ref="F340:F342" si="1519">CE334</f>
        <v>0</v>
      </c>
      <c r="G340" s="24">
        <f t="shared" si="1510"/>
        <v>0</v>
      </c>
      <c r="H340" s="24">
        <f t="shared" si="1511"/>
        <v>0</v>
      </c>
      <c r="I340" s="24">
        <f t="shared" si="1512"/>
        <v>0</v>
      </c>
      <c r="J340" s="24">
        <f t="shared" si="1513"/>
        <v>0</v>
      </c>
      <c r="K340" s="8">
        <f t="shared" ref="K340:K342" si="1520">SUM(F340:J340)</f>
        <v>0</v>
      </c>
      <c r="M340" s="6"/>
      <c r="N340" s="7"/>
      <c r="O340" s="7"/>
      <c r="P340" s="7"/>
      <c r="Q340" s="7"/>
      <c r="R340" s="8">
        <f t="shared" ref="R340:R342" si="1521">SUM(M340:Q340)</f>
        <v>0</v>
      </c>
      <c r="T340" s="6"/>
      <c r="U340" s="7"/>
      <c r="V340" s="7"/>
      <c r="W340" s="7"/>
      <c r="X340" s="7"/>
      <c r="Y340" s="8">
        <f t="shared" ref="Y340:Y342" si="1522">SUM(T340:X340)</f>
        <v>0</v>
      </c>
      <c r="AA340" s="6"/>
      <c r="AB340" s="7"/>
      <c r="AC340" s="7"/>
      <c r="AD340" s="7"/>
      <c r="AE340" s="7"/>
      <c r="AF340" s="8">
        <f>SUM(AA340:AE340)</f>
        <v>0</v>
      </c>
      <c r="AH340" s="6"/>
      <c r="AI340" s="7"/>
      <c r="AJ340" s="7"/>
      <c r="AK340" s="7"/>
      <c r="AL340" s="7"/>
      <c r="AM340" s="8">
        <f>SUM(AH340:AL340)</f>
        <v>0</v>
      </c>
      <c r="AO340" s="6"/>
      <c r="AP340" s="7"/>
      <c r="AQ340" s="7"/>
      <c r="AR340" s="7"/>
      <c r="AS340" s="7"/>
      <c r="AT340" s="8">
        <f>SUM(AO340:AS340)</f>
        <v>0</v>
      </c>
      <c r="AV340" s="6"/>
      <c r="AW340" s="7"/>
      <c r="AX340" s="7"/>
      <c r="AY340" s="7"/>
      <c r="AZ340" s="7"/>
      <c r="BA340" s="8">
        <f>SUM(AV340:AZ340)</f>
        <v>0</v>
      </c>
      <c r="BC340" s="6"/>
      <c r="BD340" s="7"/>
      <c r="BE340" s="7"/>
      <c r="BF340" s="7"/>
      <c r="BG340" s="7"/>
      <c r="BH340" s="8">
        <f>SUM(BC340:BG340)</f>
        <v>0</v>
      </c>
      <c r="BJ340" s="6"/>
      <c r="BK340" s="7"/>
      <c r="BL340" s="7"/>
      <c r="BM340" s="7"/>
      <c r="BN340" s="7"/>
      <c r="BO340" s="8">
        <f>SUM(BJ340:BN340)</f>
        <v>0</v>
      </c>
      <c r="BQ340" s="6"/>
      <c r="BR340" s="7"/>
      <c r="BS340" s="7"/>
      <c r="BT340" s="7"/>
      <c r="BU340" s="7"/>
      <c r="BV340" s="8">
        <f>SUM(BQ340:BU340)</f>
        <v>0</v>
      </c>
      <c r="BX340" s="6"/>
      <c r="BY340" s="7"/>
      <c r="BZ340" s="7"/>
      <c r="CA340" s="7"/>
      <c r="CB340" s="7"/>
      <c r="CC340" s="8">
        <f>SUM(BX340:CB340)</f>
        <v>0</v>
      </c>
      <c r="CE340" s="28">
        <f t="shared" si="1514"/>
        <v>0</v>
      </c>
      <c r="CF340" s="29">
        <f t="shared" si="1515"/>
        <v>0</v>
      </c>
      <c r="CG340" s="29">
        <f t="shared" si="1516"/>
        <v>0</v>
      </c>
      <c r="CH340" s="29">
        <f t="shared" si="1517"/>
        <v>0</v>
      </c>
      <c r="CI340" s="29">
        <f t="shared" si="1518"/>
        <v>0</v>
      </c>
      <c r="CJ340" s="8">
        <f>SUM(CE340:CI340)</f>
        <v>0</v>
      </c>
      <c r="CL340" s="6"/>
      <c r="CM340" s="7"/>
      <c r="CN340" s="7"/>
      <c r="CO340" s="7"/>
      <c r="CP340" s="7"/>
      <c r="CQ340" s="8">
        <f>SUM(CL340:CP340)</f>
        <v>0</v>
      </c>
      <c r="CS340" s="6"/>
      <c r="CT340" s="7"/>
      <c r="CU340" s="7"/>
      <c r="CV340" s="7"/>
      <c r="CW340" s="7"/>
      <c r="CX340" s="8">
        <f t="shared" ref="CX340:CX342" si="1523">SUM(CS340:CW340)</f>
        <v>0</v>
      </c>
      <c r="CZ340" s="6"/>
      <c r="DA340" s="7"/>
      <c r="DB340" s="7"/>
      <c r="DC340" s="7"/>
      <c r="DD340" s="7"/>
      <c r="DE340" s="8">
        <f t="shared" ref="DE340:DE342" si="1524">SUM(CZ340:DD340)</f>
        <v>0</v>
      </c>
    </row>
    <row r="341" spans="3:109">
      <c r="C341" s="567"/>
      <c r="E341" s="14" t="s">
        <v>61</v>
      </c>
      <c r="F341" s="23">
        <f t="shared" si="1519"/>
        <v>0</v>
      </c>
      <c r="G341" s="24">
        <f t="shared" si="1510"/>
        <v>0</v>
      </c>
      <c r="H341" s="24">
        <f t="shared" si="1511"/>
        <v>0</v>
      </c>
      <c r="I341" s="24">
        <f t="shared" si="1512"/>
        <v>0</v>
      </c>
      <c r="J341" s="24">
        <f t="shared" si="1513"/>
        <v>0</v>
      </c>
      <c r="K341" s="8">
        <f t="shared" si="1520"/>
        <v>0</v>
      </c>
      <c r="M341" s="6"/>
      <c r="N341" s="7"/>
      <c r="O341" s="7"/>
      <c r="P341" s="7"/>
      <c r="Q341" s="7"/>
      <c r="R341" s="8">
        <f t="shared" si="1521"/>
        <v>0</v>
      </c>
      <c r="T341" s="6"/>
      <c r="U341" s="7"/>
      <c r="V341" s="7"/>
      <c r="W341" s="7"/>
      <c r="X341" s="7"/>
      <c r="Y341" s="8">
        <f t="shared" si="1522"/>
        <v>0</v>
      </c>
      <c r="AA341" s="6"/>
      <c r="AB341" s="7"/>
      <c r="AC341" s="7"/>
      <c r="AD341" s="7"/>
      <c r="AE341" s="7"/>
      <c r="AF341" s="8">
        <f>SUM(AA341:AE341)</f>
        <v>0</v>
      </c>
      <c r="AH341" s="6"/>
      <c r="AI341" s="7"/>
      <c r="AJ341" s="7"/>
      <c r="AK341" s="7"/>
      <c r="AL341" s="7"/>
      <c r="AM341" s="8">
        <f>SUM(AH341:AL341)</f>
        <v>0</v>
      </c>
      <c r="AO341" s="6"/>
      <c r="AP341" s="7"/>
      <c r="AQ341" s="7"/>
      <c r="AR341" s="7"/>
      <c r="AS341" s="7"/>
      <c r="AT341" s="8">
        <f>SUM(AO341:AS341)</f>
        <v>0</v>
      </c>
      <c r="AV341" s="6"/>
      <c r="AW341" s="7"/>
      <c r="AX341" s="7"/>
      <c r="AY341" s="7"/>
      <c r="AZ341" s="7"/>
      <c r="BA341" s="8">
        <f>SUM(AV341:AZ341)</f>
        <v>0</v>
      </c>
      <c r="BC341" s="6"/>
      <c r="BD341" s="7"/>
      <c r="BE341" s="7"/>
      <c r="BF341" s="7"/>
      <c r="BG341" s="7"/>
      <c r="BH341" s="8">
        <f>SUM(BC341:BG341)</f>
        <v>0</v>
      </c>
      <c r="BJ341" s="6"/>
      <c r="BK341" s="7"/>
      <c r="BL341" s="7"/>
      <c r="BM341" s="7"/>
      <c r="BN341" s="7"/>
      <c r="BO341" s="8">
        <f>SUM(BJ341:BN341)</f>
        <v>0</v>
      </c>
      <c r="BQ341" s="6"/>
      <c r="BR341" s="7"/>
      <c r="BS341" s="7"/>
      <c r="BT341" s="7"/>
      <c r="BU341" s="7"/>
      <c r="BV341" s="8">
        <f>SUM(BQ341:BU341)</f>
        <v>0</v>
      </c>
      <c r="BX341" s="6"/>
      <c r="BY341" s="7"/>
      <c r="BZ341" s="7"/>
      <c r="CA341" s="7"/>
      <c r="CB341" s="7"/>
      <c r="CC341" s="8">
        <f>SUM(BX341:CB341)</f>
        <v>0</v>
      </c>
      <c r="CE341" s="28">
        <f t="shared" si="1514"/>
        <v>0</v>
      </c>
      <c r="CF341" s="29">
        <f t="shared" si="1515"/>
        <v>0</v>
      </c>
      <c r="CG341" s="29">
        <f t="shared" si="1516"/>
        <v>0</v>
      </c>
      <c r="CH341" s="29">
        <f t="shared" si="1517"/>
        <v>0</v>
      </c>
      <c r="CI341" s="29">
        <f t="shared" si="1518"/>
        <v>0</v>
      </c>
      <c r="CJ341" s="8">
        <f>SUM(CE341:CI341)</f>
        <v>0</v>
      </c>
      <c r="CL341" s="6"/>
      <c r="CM341" s="7"/>
      <c r="CN341" s="7"/>
      <c r="CO341" s="7"/>
      <c r="CP341" s="7"/>
      <c r="CQ341" s="8">
        <f>SUM(CL341:CP341)</f>
        <v>0</v>
      </c>
      <c r="CS341" s="6"/>
      <c r="CT341" s="7"/>
      <c r="CU341" s="7"/>
      <c r="CV341" s="7"/>
      <c r="CW341" s="7"/>
      <c r="CX341" s="8">
        <f t="shared" si="1523"/>
        <v>0</v>
      </c>
      <c r="CZ341" s="6"/>
      <c r="DA341" s="7"/>
      <c r="DB341" s="7"/>
      <c r="DC341" s="7"/>
      <c r="DD341" s="7"/>
      <c r="DE341" s="8">
        <f t="shared" si="1524"/>
        <v>0</v>
      </c>
    </row>
    <row r="342" spans="3:109" ht="14" thickBot="1">
      <c r="C342" s="567"/>
      <c r="E342" s="14" t="s">
        <v>62</v>
      </c>
      <c r="F342" s="23">
        <f t="shared" si="1519"/>
        <v>0</v>
      </c>
      <c r="G342" s="24">
        <f t="shared" si="1510"/>
        <v>0</v>
      </c>
      <c r="H342" s="24">
        <f t="shared" si="1511"/>
        <v>0</v>
      </c>
      <c r="I342" s="24">
        <f t="shared" si="1512"/>
        <v>0</v>
      </c>
      <c r="J342" s="24">
        <f t="shared" si="1513"/>
        <v>0</v>
      </c>
      <c r="K342" s="8">
        <f t="shared" si="1520"/>
        <v>0</v>
      </c>
      <c r="M342" s="6"/>
      <c r="N342" s="7"/>
      <c r="O342" s="7"/>
      <c r="P342" s="7"/>
      <c r="Q342" s="7"/>
      <c r="R342" s="8">
        <f t="shared" si="1521"/>
        <v>0</v>
      </c>
      <c r="T342" s="6"/>
      <c r="U342" s="7"/>
      <c r="V342" s="7"/>
      <c r="W342" s="7"/>
      <c r="X342" s="7"/>
      <c r="Y342" s="8">
        <f t="shared" si="1522"/>
        <v>0</v>
      </c>
      <c r="AA342" s="6"/>
      <c r="AB342" s="7"/>
      <c r="AC342" s="7"/>
      <c r="AD342" s="7"/>
      <c r="AE342" s="7"/>
      <c r="AF342" s="8">
        <f>SUM(AA342:AE342)</f>
        <v>0</v>
      </c>
      <c r="AH342" s="6"/>
      <c r="AI342" s="7"/>
      <c r="AJ342" s="7"/>
      <c r="AK342" s="7"/>
      <c r="AL342" s="7"/>
      <c r="AM342" s="8">
        <f>SUM(AH342:AL342)</f>
        <v>0</v>
      </c>
      <c r="AO342" s="6"/>
      <c r="AP342" s="7"/>
      <c r="AQ342" s="7"/>
      <c r="AR342" s="7"/>
      <c r="AS342" s="7"/>
      <c r="AT342" s="8">
        <f>SUM(AO342:AS342)</f>
        <v>0</v>
      </c>
      <c r="AV342" s="6"/>
      <c r="AW342" s="7"/>
      <c r="AX342" s="7"/>
      <c r="AY342" s="7"/>
      <c r="AZ342" s="7"/>
      <c r="BA342" s="8">
        <f>SUM(AV342:AZ342)</f>
        <v>0</v>
      </c>
      <c r="BC342" s="6"/>
      <c r="BD342" s="7"/>
      <c r="BE342" s="7"/>
      <c r="BF342" s="7"/>
      <c r="BG342" s="7"/>
      <c r="BH342" s="8">
        <f>SUM(BC342:BG342)</f>
        <v>0</v>
      </c>
      <c r="BJ342" s="6"/>
      <c r="BK342" s="7"/>
      <c r="BL342" s="7"/>
      <c r="BM342" s="7"/>
      <c r="BN342" s="7"/>
      <c r="BO342" s="8">
        <f>SUM(BJ342:BN342)</f>
        <v>0</v>
      </c>
      <c r="BQ342" s="6"/>
      <c r="BR342" s="7"/>
      <c r="BS342" s="7"/>
      <c r="BT342" s="7"/>
      <c r="BU342" s="7"/>
      <c r="BV342" s="8">
        <f>SUM(BQ342:BU342)</f>
        <v>0</v>
      </c>
      <c r="BX342" s="6"/>
      <c r="BY342" s="7"/>
      <c r="BZ342" s="7"/>
      <c r="CA342" s="7"/>
      <c r="CB342" s="7"/>
      <c r="CC342" s="8">
        <f>SUM(BX342:CB342)</f>
        <v>0</v>
      </c>
      <c r="CE342" s="493">
        <f t="shared" si="1514"/>
        <v>0</v>
      </c>
      <c r="CF342" s="494">
        <f t="shared" si="1515"/>
        <v>0</v>
      </c>
      <c r="CG342" s="494">
        <f t="shared" si="1516"/>
        <v>0</v>
      </c>
      <c r="CH342" s="494">
        <f t="shared" si="1517"/>
        <v>0</v>
      </c>
      <c r="CI342" s="494">
        <f t="shared" si="1518"/>
        <v>0</v>
      </c>
      <c r="CJ342" s="495">
        <f>SUM(CE342:CI342)</f>
        <v>0</v>
      </c>
      <c r="CL342" s="6"/>
      <c r="CM342" s="7"/>
      <c r="CN342" s="7"/>
      <c r="CO342" s="7"/>
      <c r="CP342" s="7"/>
      <c r="CQ342" s="8">
        <f>SUM(CL342:CP342)</f>
        <v>0</v>
      </c>
      <c r="CS342" s="6"/>
      <c r="CT342" s="7"/>
      <c r="CU342" s="7"/>
      <c r="CV342" s="7"/>
      <c r="CW342" s="7"/>
      <c r="CX342" s="8">
        <f t="shared" si="1523"/>
        <v>0</v>
      </c>
      <c r="CZ342" s="6"/>
      <c r="DA342" s="7"/>
      <c r="DB342" s="7"/>
      <c r="DC342" s="7"/>
      <c r="DD342" s="7"/>
      <c r="DE342" s="8">
        <f t="shared" si="1524"/>
        <v>0</v>
      </c>
    </row>
    <row r="343" spans="3:109" ht="14" thickBot="1">
      <c r="C343" s="554"/>
      <c r="E343" s="17"/>
      <c r="F343" s="10">
        <f>SUM(F339:F342)</f>
        <v>0</v>
      </c>
      <c r="G343" s="11">
        <f t="shared" ref="G343:J343" si="1525">SUM(G339:G342)</f>
        <v>0</v>
      </c>
      <c r="H343" s="11">
        <f t="shared" si="1525"/>
        <v>0</v>
      </c>
      <c r="I343" s="11">
        <f t="shared" si="1525"/>
        <v>0</v>
      </c>
      <c r="J343" s="11">
        <f t="shared" si="1525"/>
        <v>0</v>
      </c>
      <c r="K343" s="25">
        <f>SUM(K339:K342)</f>
        <v>0</v>
      </c>
      <c r="M343" s="10">
        <f>SUM(M339:M342)</f>
        <v>0</v>
      </c>
      <c r="N343" s="11">
        <f t="shared" ref="N343:Q343" si="1526">SUM(N339:N342)</f>
        <v>0</v>
      </c>
      <c r="O343" s="11">
        <f t="shared" si="1526"/>
        <v>0</v>
      </c>
      <c r="P343" s="11">
        <f t="shared" si="1526"/>
        <v>0</v>
      </c>
      <c r="Q343" s="11">
        <f t="shared" si="1526"/>
        <v>0</v>
      </c>
      <c r="R343" s="25">
        <f>SUM(R339:R342)</f>
        <v>0</v>
      </c>
      <c r="T343" s="10">
        <f>SUM(T339:T342)</f>
        <v>0</v>
      </c>
      <c r="U343" s="11">
        <f t="shared" ref="U343:X343" si="1527">SUM(U339:U342)</f>
        <v>0</v>
      </c>
      <c r="V343" s="11">
        <f t="shared" si="1527"/>
        <v>0</v>
      </c>
      <c r="W343" s="11">
        <f t="shared" si="1527"/>
        <v>0</v>
      </c>
      <c r="X343" s="11">
        <f t="shared" si="1527"/>
        <v>0</v>
      </c>
      <c r="Y343" s="25">
        <f>SUM(Y339:Y342)</f>
        <v>0</v>
      </c>
      <c r="AA343" s="10">
        <f>SUM(AA339:AA342)</f>
        <v>0</v>
      </c>
      <c r="AB343" s="11">
        <f t="shared" ref="AB343:AE343" si="1528">SUM(AB339:AB342)</f>
        <v>0</v>
      </c>
      <c r="AC343" s="11">
        <f t="shared" si="1528"/>
        <v>0</v>
      </c>
      <c r="AD343" s="11">
        <f t="shared" si="1528"/>
        <v>0</v>
      </c>
      <c r="AE343" s="11">
        <f t="shared" si="1528"/>
        <v>0</v>
      </c>
      <c r="AF343" s="25">
        <f>SUM(AF339:AF342)</f>
        <v>0</v>
      </c>
      <c r="AH343" s="10">
        <f t="shared" ref="AH343:AM343" si="1529">SUM(AH339:AH342)</f>
        <v>0</v>
      </c>
      <c r="AI343" s="11">
        <f t="shared" si="1529"/>
        <v>0</v>
      </c>
      <c r="AJ343" s="11">
        <f t="shared" si="1529"/>
        <v>0</v>
      </c>
      <c r="AK343" s="11">
        <f t="shared" si="1529"/>
        <v>0</v>
      </c>
      <c r="AL343" s="11">
        <f t="shared" si="1529"/>
        <v>0</v>
      </c>
      <c r="AM343" s="25">
        <f t="shared" si="1529"/>
        <v>0</v>
      </c>
      <c r="AO343" s="10">
        <f t="shared" ref="AO343:AT343" si="1530">SUM(AO339:AO342)</f>
        <v>0</v>
      </c>
      <c r="AP343" s="11">
        <f t="shared" si="1530"/>
        <v>0</v>
      </c>
      <c r="AQ343" s="11">
        <f t="shared" si="1530"/>
        <v>0</v>
      </c>
      <c r="AR343" s="11">
        <f t="shared" si="1530"/>
        <v>0</v>
      </c>
      <c r="AS343" s="11">
        <f t="shared" si="1530"/>
        <v>0</v>
      </c>
      <c r="AT343" s="25">
        <f t="shared" si="1530"/>
        <v>0</v>
      </c>
      <c r="AV343" s="10">
        <f t="shared" ref="AV343:BA343" si="1531">SUM(AV339:AV342)</f>
        <v>0</v>
      </c>
      <c r="AW343" s="11">
        <f t="shared" si="1531"/>
        <v>0</v>
      </c>
      <c r="AX343" s="11">
        <f t="shared" si="1531"/>
        <v>0</v>
      </c>
      <c r="AY343" s="11">
        <f t="shared" si="1531"/>
        <v>0</v>
      </c>
      <c r="AZ343" s="11">
        <f t="shared" si="1531"/>
        <v>0</v>
      </c>
      <c r="BA343" s="25">
        <f t="shared" si="1531"/>
        <v>0</v>
      </c>
      <c r="BC343" s="10">
        <f t="shared" ref="BC343:BH343" si="1532">SUM(BC339:BC342)</f>
        <v>0</v>
      </c>
      <c r="BD343" s="11">
        <f t="shared" si="1532"/>
        <v>0</v>
      </c>
      <c r="BE343" s="11">
        <f t="shared" si="1532"/>
        <v>0</v>
      </c>
      <c r="BF343" s="11">
        <f t="shared" si="1532"/>
        <v>0</v>
      </c>
      <c r="BG343" s="11">
        <f t="shared" si="1532"/>
        <v>0</v>
      </c>
      <c r="BH343" s="25">
        <f t="shared" si="1532"/>
        <v>0</v>
      </c>
      <c r="BJ343" s="10">
        <f t="shared" ref="BJ343:BO343" si="1533">SUM(BJ339:BJ342)</f>
        <v>0</v>
      </c>
      <c r="BK343" s="11">
        <f t="shared" si="1533"/>
        <v>0</v>
      </c>
      <c r="BL343" s="11">
        <f t="shared" si="1533"/>
        <v>0</v>
      </c>
      <c r="BM343" s="11">
        <f t="shared" si="1533"/>
        <v>0</v>
      </c>
      <c r="BN343" s="11">
        <f t="shared" si="1533"/>
        <v>0</v>
      </c>
      <c r="BO343" s="25">
        <f t="shared" si="1533"/>
        <v>0</v>
      </c>
      <c r="BQ343" s="10">
        <f t="shared" ref="BQ343:BV343" si="1534">SUM(BQ339:BQ342)</f>
        <v>0</v>
      </c>
      <c r="BR343" s="11">
        <f t="shared" si="1534"/>
        <v>0</v>
      </c>
      <c r="BS343" s="11">
        <f t="shared" si="1534"/>
        <v>0</v>
      </c>
      <c r="BT343" s="11">
        <f t="shared" si="1534"/>
        <v>0</v>
      </c>
      <c r="BU343" s="11">
        <f t="shared" si="1534"/>
        <v>0</v>
      </c>
      <c r="BV343" s="25">
        <f t="shared" si="1534"/>
        <v>0</v>
      </c>
      <c r="BX343" s="10">
        <f t="shared" ref="BX343:CC343" si="1535">SUM(BX339:BX342)</f>
        <v>0</v>
      </c>
      <c r="BY343" s="11">
        <f t="shared" si="1535"/>
        <v>0</v>
      </c>
      <c r="BZ343" s="11">
        <f t="shared" si="1535"/>
        <v>0</v>
      </c>
      <c r="CA343" s="11">
        <f t="shared" si="1535"/>
        <v>0</v>
      </c>
      <c r="CB343" s="11">
        <f t="shared" si="1535"/>
        <v>0</v>
      </c>
      <c r="CC343" s="25">
        <f t="shared" si="1535"/>
        <v>0</v>
      </c>
      <c r="CE343" s="62">
        <f t="shared" ref="CE343:CJ343" si="1536">SUM(CE339:CE342)</f>
        <v>0</v>
      </c>
      <c r="CF343" s="63">
        <f t="shared" si="1536"/>
        <v>0</v>
      </c>
      <c r="CG343" s="63">
        <f t="shared" si="1536"/>
        <v>0</v>
      </c>
      <c r="CH343" s="63">
        <f t="shared" si="1536"/>
        <v>0</v>
      </c>
      <c r="CI343" s="63">
        <f t="shared" si="1536"/>
        <v>0</v>
      </c>
      <c r="CJ343" s="25">
        <f t="shared" si="1536"/>
        <v>0</v>
      </c>
      <c r="CL343" s="10">
        <f>SUM(CL339:CL342)</f>
        <v>0</v>
      </c>
      <c r="CM343" s="11">
        <f t="shared" ref="CM343:CQ343" si="1537">SUM(CM339:CM342)</f>
        <v>0</v>
      </c>
      <c r="CN343" s="11">
        <f t="shared" si="1537"/>
        <v>0</v>
      </c>
      <c r="CO343" s="11">
        <f t="shared" si="1537"/>
        <v>0</v>
      </c>
      <c r="CP343" s="11">
        <f t="shared" si="1537"/>
        <v>0</v>
      </c>
      <c r="CQ343" s="25">
        <f t="shared" si="1537"/>
        <v>0</v>
      </c>
      <c r="CS343" s="10">
        <f>SUM(CS339:CS342)</f>
        <v>0</v>
      </c>
      <c r="CT343" s="11">
        <f t="shared" ref="CT343:CW343" si="1538">SUM(CT339:CT342)</f>
        <v>0</v>
      </c>
      <c r="CU343" s="11">
        <f t="shared" si="1538"/>
        <v>0</v>
      </c>
      <c r="CV343" s="11">
        <f t="shared" si="1538"/>
        <v>0</v>
      </c>
      <c r="CW343" s="11">
        <f t="shared" si="1538"/>
        <v>0</v>
      </c>
      <c r="CX343" s="25">
        <f>SUM(CX339:CX342)</f>
        <v>0</v>
      </c>
      <c r="CZ343" s="10">
        <f>SUM(CZ339:CZ342)</f>
        <v>0</v>
      </c>
      <c r="DA343" s="11">
        <f t="shared" ref="DA343:DD343" si="1539">SUM(DA339:DA342)</f>
        <v>0</v>
      </c>
      <c r="DB343" s="11">
        <f t="shared" si="1539"/>
        <v>0</v>
      </c>
      <c r="DC343" s="11">
        <f t="shared" si="1539"/>
        <v>0</v>
      </c>
      <c r="DD343" s="11">
        <f t="shared" si="1539"/>
        <v>0</v>
      </c>
      <c r="DE343" s="25">
        <f>SUM(DE339:DE342)</f>
        <v>0</v>
      </c>
    </row>
    <row r="344" spans="3:109" ht="10.4" customHeight="1" thickBot="1"/>
    <row r="345" spans="3:109">
      <c r="C345" s="553">
        <v>2027</v>
      </c>
      <c r="E345" s="13" t="s">
        <v>59</v>
      </c>
      <c r="F345" s="21">
        <f>CE339</f>
        <v>0</v>
      </c>
      <c r="G345" s="22">
        <f t="shared" ref="G345:G348" si="1540">CF339</f>
        <v>0</v>
      </c>
      <c r="H345" s="22">
        <f t="shared" ref="H345:H348" si="1541">CG339</f>
        <v>0</v>
      </c>
      <c r="I345" s="22">
        <f t="shared" ref="I345:I348" si="1542">CH339</f>
        <v>0</v>
      </c>
      <c r="J345" s="22">
        <f t="shared" ref="J345:J348" si="1543">CI339</f>
        <v>0</v>
      </c>
      <c r="K345" s="4">
        <f>SUM(F345:J345)</f>
        <v>0</v>
      </c>
      <c r="M345" s="2"/>
      <c r="N345" s="3"/>
      <c r="O345" s="3"/>
      <c r="P345" s="3"/>
      <c r="Q345" s="3"/>
      <c r="R345" s="4">
        <f>SUM(M345:Q345)</f>
        <v>0</v>
      </c>
      <c r="T345" s="2"/>
      <c r="U345" s="3"/>
      <c r="V345" s="3"/>
      <c r="W345" s="3"/>
      <c r="X345" s="3"/>
      <c r="Y345" s="4">
        <f>SUM(T345:X345)</f>
        <v>0</v>
      </c>
      <c r="AA345" s="2"/>
      <c r="AB345" s="3"/>
      <c r="AC345" s="3"/>
      <c r="AD345" s="3"/>
      <c r="AE345" s="3"/>
      <c r="AF345" s="4">
        <f>SUM(AA345:AE345)</f>
        <v>0</v>
      </c>
      <c r="AH345" s="2"/>
      <c r="AI345" s="3"/>
      <c r="AJ345" s="3"/>
      <c r="AK345" s="3"/>
      <c r="AL345" s="3"/>
      <c r="AM345" s="4">
        <f>SUM(AH345:AL345)</f>
        <v>0</v>
      </c>
      <c r="AO345" s="2"/>
      <c r="AP345" s="3"/>
      <c r="AQ345" s="3"/>
      <c r="AR345" s="3"/>
      <c r="AS345" s="3"/>
      <c r="AT345" s="4">
        <f>SUM(AO345:AS345)</f>
        <v>0</v>
      </c>
      <c r="AV345" s="2"/>
      <c r="AW345" s="3"/>
      <c r="AX345" s="3"/>
      <c r="AY345" s="3"/>
      <c r="AZ345" s="3"/>
      <c r="BA345" s="4">
        <f>SUM(AV345:AZ345)</f>
        <v>0</v>
      </c>
      <c r="BC345" s="2"/>
      <c r="BD345" s="3"/>
      <c r="BE345" s="3"/>
      <c r="BF345" s="3"/>
      <c r="BG345" s="3"/>
      <c r="BH345" s="4">
        <f>SUM(BC345:BG345)</f>
        <v>0</v>
      </c>
      <c r="BJ345" s="2"/>
      <c r="BK345" s="3"/>
      <c r="BL345" s="3"/>
      <c r="BM345" s="3"/>
      <c r="BN345" s="3"/>
      <c r="BO345" s="4">
        <f>SUM(BJ345:BN345)</f>
        <v>0</v>
      </c>
      <c r="BQ345" s="2"/>
      <c r="BR345" s="3"/>
      <c r="BS345" s="3"/>
      <c r="BT345" s="3"/>
      <c r="BU345" s="3"/>
      <c r="BV345" s="4">
        <f>SUM(BQ345:BU345)</f>
        <v>0</v>
      </c>
      <c r="BX345" s="2"/>
      <c r="BY345" s="3"/>
      <c r="BZ345" s="3"/>
      <c r="CA345" s="3"/>
      <c r="CB345" s="3"/>
      <c r="CC345" s="4">
        <f>SUM(BX345:CB345)</f>
        <v>0</v>
      </c>
      <c r="CE345" s="26">
        <f t="shared" ref="CE345:CE348" si="1544">F345+M345+T345+AA345+AH345+AO345+AV345+BC345+BJ345+BQ345+BX345</f>
        <v>0</v>
      </c>
      <c r="CF345" s="27">
        <f t="shared" ref="CF345:CF348" si="1545">G345+N345+U345+AB345+AI345+AP345+AW345+BD345+BK345+BR345+BY345</f>
        <v>0</v>
      </c>
      <c r="CG345" s="27">
        <f t="shared" ref="CG345:CG348" si="1546">H345+O345+V345+AC345+AJ345+AQ345+AX345+BE345+BL345+BS345+BZ345</f>
        <v>0</v>
      </c>
      <c r="CH345" s="27">
        <f t="shared" ref="CH345:CH348" si="1547">I345+P345+W345+AD345+AK345+AR345+AY345+BF345+BM345+BT345+CA345</f>
        <v>0</v>
      </c>
      <c r="CI345" s="27">
        <f t="shared" ref="CI345:CI348" si="1548">J345+Q345+X345+AE345+AL345+AS345+AZ345+BG345+BN345+BU345+CB345</f>
        <v>0</v>
      </c>
      <c r="CJ345" s="4">
        <f>SUM(CE345:CI345)</f>
        <v>0</v>
      </c>
      <c r="CL345" s="2"/>
      <c r="CM345" s="3"/>
      <c r="CN345" s="3"/>
      <c r="CO345" s="3"/>
      <c r="CP345" s="3"/>
      <c r="CQ345" s="4">
        <f>SUM(CL345:CP345)</f>
        <v>0</v>
      </c>
      <c r="CS345" s="2"/>
      <c r="CT345" s="3"/>
      <c r="CU345" s="3"/>
      <c r="CV345" s="3"/>
      <c r="CW345" s="3"/>
      <c r="CX345" s="4">
        <f>SUM(CS345:CW345)</f>
        <v>0</v>
      </c>
      <c r="CZ345" s="2"/>
      <c r="DA345" s="3"/>
      <c r="DB345" s="3"/>
      <c r="DC345" s="3"/>
      <c r="DD345" s="3"/>
      <c r="DE345" s="4">
        <f>SUM(CZ345:DD345)</f>
        <v>0</v>
      </c>
    </row>
    <row r="346" spans="3:109">
      <c r="C346" s="567"/>
      <c r="E346" s="14" t="s">
        <v>60</v>
      </c>
      <c r="F346" s="23">
        <f t="shared" ref="F346:F348" si="1549">CE340</f>
        <v>0</v>
      </c>
      <c r="G346" s="24">
        <f t="shared" si="1540"/>
        <v>0</v>
      </c>
      <c r="H346" s="24">
        <f t="shared" si="1541"/>
        <v>0</v>
      </c>
      <c r="I346" s="24">
        <f t="shared" si="1542"/>
        <v>0</v>
      </c>
      <c r="J346" s="24">
        <f t="shared" si="1543"/>
        <v>0</v>
      </c>
      <c r="K346" s="8">
        <f t="shared" ref="K346:K348" si="1550">SUM(F346:J346)</f>
        <v>0</v>
      </c>
      <c r="M346" s="6"/>
      <c r="N346" s="7"/>
      <c r="O346" s="7"/>
      <c r="P346" s="7"/>
      <c r="Q346" s="7"/>
      <c r="R346" s="8">
        <f t="shared" ref="R346:R348" si="1551">SUM(M346:Q346)</f>
        <v>0</v>
      </c>
      <c r="T346" s="6"/>
      <c r="U346" s="7"/>
      <c r="V346" s="7"/>
      <c r="W346" s="7"/>
      <c r="X346" s="7"/>
      <c r="Y346" s="8">
        <f t="shared" ref="Y346:Y348" si="1552">SUM(T346:X346)</f>
        <v>0</v>
      </c>
      <c r="AA346" s="6"/>
      <c r="AB346" s="7"/>
      <c r="AC346" s="7"/>
      <c r="AD346" s="7"/>
      <c r="AE346" s="7"/>
      <c r="AF346" s="8">
        <f>SUM(AA346:AE346)</f>
        <v>0</v>
      </c>
      <c r="AH346" s="6"/>
      <c r="AI346" s="7"/>
      <c r="AJ346" s="7"/>
      <c r="AK346" s="7"/>
      <c r="AL346" s="7"/>
      <c r="AM346" s="8">
        <f>SUM(AH346:AL346)</f>
        <v>0</v>
      </c>
      <c r="AO346" s="6"/>
      <c r="AP346" s="7"/>
      <c r="AQ346" s="7"/>
      <c r="AR346" s="7"/>
      <c r="AS346" s="7"/>
      <c r="AT346" s="8">
        <f>SUM(AO346:AS346)</f>
        <v>0</v>
      </c>
      <c r="AV346" s="6"/>
      <c r="AW346" s="7"/>
      <c r="AX346" s="7"/>
      <c r="AY346" s="7"/>
      <c r="AZ346" s="7"/>
      <c r="BA346" s="8">
        <f>SUM(AV346:AZ346)</f>
        <v>0</v>
      </c>
      <c r="BC346" s="6"/>
      <c r="BD346" s="7"/>
      <c r="BE346" s="7"/>
      <c r="BF346" s="7"/>
      <c r="BG346" s="7"/>
      <c r="BH346" s="8">
        <f>SUM(BC346:BG346)</f>
        <v>0</v>
      </c>
      <c r="BJ346" s="6"/>
      <c r="BK346" s="7"/>
      <c r="BL346" s="7"/>
      <c r="BM346" s="7"/>
      <c r="BN346" s="7"/>
      <c r="BO346" s="8">
        <f>SUM(BJ346:BN346)</f>
        <v>0</v>
      </c>
      <c r="BQ346" s="6"/>
      <c r="BR346" s="7"/>
      <c r="BS346" s="7"/>
      <c r="BT346" s="7"/>
      <c r="BU346" s="7"/>
      <c r="BV346" s="8">
        <f>SUM(BQ346:BU346)</f>
        <v>0</v>
      </c>
      <c r="BX346" s="6"/>
      <c r="BY346" s="7"/>
      <c r="BZ346" s="7"/>
      <c r="CA346" s="7"/>
      <c r="CB346" s="7"/>
      <c r="CC346" s="8">
        <f>SUM(BX346:CB346)</f>
        <v>0</v>
      </c>
      <c r="CE346" s="28">
        <f t="shared" si="1544"/>
        <v>0</v>
      </c>
      <c r="CF346" s="29">
        <f t="shared" si="1545"/>
        <v>0</v>
      </c>
      <c r="CG346" s="29">
        <f t="shared" si="1546"/>
        <v>0</v>
      </c>
      <c r="CH346" s="29">
        <f t="shared" si="1547"/>
        <v>0</v>
      </c>
      <c r="CI346" s="29">
        <f t="shared" si="1548"/>
        <v>0</v>
      </c>
      <c r="CJ346" s="8">
        <f>SUM(CE346:CI346)</f>
        <v>0</v>
      </c>
      <c r="CL346" s="6"/>
      <c r="CM346" s="7"/>
      <c r="CN346" s="7"/>
      <c r="CO346" s="7"/>
      <c r="CP346" s="7"/>
      <c r="CQ346" s="8">
        <f>SUM(CL346:CP346)</f>
        <v>0</v>
      </c>
      <c r="CS346" s="6"/>
      <c r="CT346" s="7"/>
      <c r="CU346" s="7"/>
      <c r="CV346" s="7"/>
      <c r="CW346" s="7"/>
      <c r="CX346" s="8">
        <f t="shared" ref="CX346:CX348" si="1553">SUM(CS346:CW346)</f>
        <v>0</v>
      </c>
      <c r="CZ346" s="6"/>
      <c r="DA346" s="7"/>
      <c r="DB346" s="7"/>
      <c r="DC346" s="7"/>
      <c r="DD346" s="7"/>
      <c r="DE346" s="8">
        <f t="shared" ref="DE346:DE348" si="1554">SUM(CZ346:DD346)</f>
        <v>0</v>
      </c>
    </row>
    <row r="347" spans="3:109">
      <c r="C347" s="567"/>
      <c r="E347" s="14" t="s">
        <v>61</v>
      </c>
      <c r="F347" s="23">
        <f t="shared" si="1549"/>
        <v>0</v>
      </c>
      <c r="G347" s="24">
        <f t="shared" si="1540"/>
        <v>0</v>
      </c>
      <c r="H347" s="24">
        <f t="shared" si="1541"/>
        <v>0</v>
      </c>
      <c r="I347" s="24">
        <f t="shared" si="1542"/>
        <v>0</v>
      </c>
      <c r="J347" s="24">
        <f t="shared" si="1543"/>
        <v>0</v>
      </c>
      <c r="K347" s="8">
        <f t="shared" si="1550"/>
        <v>0</v>
      </c>
      <c r="M347" s="6"/>
      <c r="N347" s="7"/>
      <c r="O347" s="7"/>
      <c r="P347" s="7"/>
      <c r="Q347" s="7"/>
      <c r="R347" s="8">
        <f t="shared" si="1551"/>
        <v>0</v>
      </c>
      <c r="T347" s="6"/>
      <c r="U347" s="7"/>
      <c r="V347" s="7"/>
      <c r="W347" s="7"/>
      <c r="X347" s="7"/>
      <c r="Y347" s="8">
        <f t="shared" si="1552"/>
        <v>0</v>
      </c>
      <c r="AA347" s="6"/>
      <c r="AB347" s="7"/>
      <c r="AC347" s="7"/>
      <c r="AD347" s="7"/>
      <c r="AE347" s="7"/>
      <c r="AF347" s="8">
        <f>SUM(AA347:AE347)</f>
        <v>0</v>
      </c>
      <c r="AH347" s="6"/>
      <c r="AI347" s="7"/>
      <c r="AJ347" s="7"/>
      <c r="AK347" s="7"/>
      <c r="AL347" s="7"/>
      <c r="AM347" s="8">
        <f>SUM(AH347:AL347)</f>
        <v>0</v>
      </c>
      <c r="AO347" s="6"/>
      <c r="AP347" s="7"/>
      <c r="AQ347" s="7"/>
      <c r="AR347" s="7"/>
      <c r="AS347" s="7"/>
      <c r="AT347" s="8">
        <f>SUM(AO347:AS347)</f>
        <v>0</v>
      </c>
      <c r="AV347" s="6"/>
      <c r="AW347" s="7"/>
      <c r="AX347" s="7"/>
      <c r="AY347" s="7"/>
      <c r="AZ347" s="7"/>
      <c r="BA347" s="8">
        <f>SUM(AV347:AZ347)</f>
        <v>0</v>
      </c>
      <c r="BC347" s="6"/>
      <c r="BD347" s="7"/>
      <c r="BE347" s="7"/>
      <c r="BF347" s="7"/>
      <c r="BG347" s="7"/>
      <c r="BH347" s="8">
        <f>SUM(BC347:BG347)</f>
        <v>0</v>
      </c>
      <c r="BJ347" s="6"/>
      <c r="BK347" s="7"/>
      <c r="BL347" s="7"/>
      <c r="BM347" s="7"/>
      <c r="BN347" s="7"/>
      <c r="BO347" s="8">
        <f>SUM(BJ347:BN347)</f>
        <v>0</v>
      </c>
      <c r="BQ347" s="6"/>
      <c r="BR347" s="7"/>
      <c r="BS347" s="7"/>
      <c r="BT347" s="7"/>
      <c r="BU347" s="7"/>
      <c r="BV347" s="8">
        <f>SUM(BQ347:BU347)</f>
        <v>0</v>
      </c>
      <c r="BX347" s="6"/>
      <c r="BY347" s="7"/>
      <c r="BZ347" s="7"/>
      <c r="CA347" s="7"/>
      <c r="CB347" s="7"/>
      <c r="CC347" s="8">
        <f>SUM(BX347:CB347)</f>
        <v>0</v>
      </c>
      <c r="CE347" s="28">
        <f t="shared" si="1544"/>
        <v>0</v>
      </c>
      <c r="CF347" s="29">
        <f t="shared" si="1545"/>
        <v>0</v>
      </c>
      <c r="CG347" s="29">
        <f t="shared" si="1546"/>
        <v>0</v>
      </c>
      <c r="CH347" s="29">
        <f t="shared" si="1547"/>
        <v>0</v>
      </c>
      <c r="CI347" s="29">
        <f t="shared" si="1548"/>
        <v>0</v>
      </c>
      <c r="CJ347" s="8">
        <f>SUM(CE347:CI347)</f>
        <v>0</v>
      </c>
      <c r="CL347" s="6"/>
      <c r="CM347" s="7"/>
      <c r="CN347" s="7"/>
      <c r="CO347" s="7"/>
      <c r="CP347" s="7"/>
      <c r="CQ347" s="8">
        <f>SUM(CL347:CP347)</f>
        <v>0</v>
      </c>
      <c r="CS347" s="6"/>
      <c r="CT347" s="7"/>
      <c r="CU347" s="7"/>
      <c r="CV347" s="7"/>
      <c r="CW347" s="7"/>
      <c r="CX347" s="8">
        <f t="shared" si="1553"/>
        <v>0</v>
      </c>
      <c r="CZ347" s="6"/>
      <c r="DA347" s="7"/>
      <c r="DB347" s="7"/>
      <c r="DC347" s="7"/>
      <c r="DD347" s="7"/>
      <c r="DE347" s="8">
        <f t="shared" si="1554"/>
        <v>0</v>
      </c>
    </row>
    <row r="348" spans="3:109" ht="14" thickBot="1">
      <c r="C348" s="567"/>
      <c r="E348" s="14" t="s">
        <v>62</v>
      </c>
      <c r="F348" s="23">
        <f t="shared" si="1549"/>
        <v>0</v>
      </c>
      <c r="G348" s="24">
        <f t="shared" si="1540"/>
        <v>0</v>
      </c>
      <c r="H348" s="24">
        <f t="shared" si="1541"/>
        <v>0</v>
      </c>
      <c r="I348" s="24">
        <f t="shared" si="1542"/>
        <v>0</v>
      </c>
      <c r="J348" s="24">
        <f t="shared" si="1543"/>
        <v>0</v>
      </c>
      <c r="K348" s="8">
        <f t="shared" si="1550"/>
        <v>0</v>
      </c>
      <c r="M348" s="6"/>
      <c r="N348" s="7"/>
      <c r="O348" s="7"/>
      <c r="P348" s="7"/>
      <c r="Q348" s="7"/>
      <c r="R348" s="8">
        <f t="shared" si="1551"/>
        <v>0</v>
      </c>
      <c r="T348" s="6"/>
      <c r="U348" s="7"/>
      <c r="V348" s="7"/>
      <c r="W348" s="7"/>
      <c r="X348" s="7"/>
      <c r="Y348" s="8">
        <f t="shared" si="1552"/>
        <v>0</v>
      </c>
      <c r="AA348" s="6"/>
      <c r="AB348" s="7"/>
      <c r="AC348" s="7"/>
      <c r="AD348" s="7"/>
      <c r="AE348" s="7"/>
      <c r="AF348" s="8">
        <f>SUM(AA348:AE348)</f>
        <v>0</v>
      </c>
      <c r="AH348" s="6"/>
      <c r="AI348" s="7"/>
      <c r="AJ348" s="7"/>
      <c r="AK348" s="7"/>
      <c r="AL348" s="7"/>
      <c r="AM348" s="8">
        <f>SUM(AH348:AL348)</f>
        <v>0</v>
      </c>
      <c r="AO348" s="6"/>
      <c r="AP348" s="7"/>
      <c r="AQ348" s="7"/>
      <c r="AR348" s="7"/>
      <c r="AS348" s="7"/>
      <c r="AT348" s="8">
        <f>SUM(AO348:AS348)</f>
        <v>0</v>
      </c>
      <c r="AV348" s="6"/>
      <c r="AW348" s="7"/>
      <c r="AX348" s="7"/>
      <c r="AY348" s="7"/>
      <c r="AZ348" s="7"/>
      <c r="BA348" s="8">
        <f>SUM(AV348:AZ348)</f>
        <v>0</v>
      </c>
      <c r="BC348" s="6"/>
      <c r="BD348" s="7"/>
      <c r="BE348" s="7"/>
      <c r="BF348" s="7"/>
      <c r="BG348" s="7"/>
      <c r="BH348" s="8">
        <f>SUM(BC348:BG348)</f>
        <v>0</v>
      </c>
      <c r="BJ348" s="6"/>
      <c r="BK348" s="7"/>
      <c r="BL348" s="7"/>
      <c r="BM348" s="7"/>
      <c r="BN348" s="7"/>
      <c r="BO348" s="8">
        <f>SUM(BJ348:BN348)</f>
        <v>0</v>
      </c>
      <c r="BQ348" s="6"/>
      <c r="BR348" s="7"/>
      <c r="BS348" s="7"/>
      <c r="BT348" s="7"/>
      <c r="BU348" s="7"/>
      <c r="BV348" s="8">
        <f>SUM(BQ348:BU348)</f>
        <v>0</v>
      </c>
      <c r="BX348" s="6"/>
      <c r="BY348" s="7"/>
      <c r="BZ348" s="7"/>
      <c r="CA348" s="7"/>
      <c r="CB348" s="7"/>
      <c r="CC348" s="8">
        <f>SUM(BX348:CB348)</f>
        <v>0</v>
      </c>
      <c r="CE348" s="493">
        <f t="shared" si="1544"/>
        <v>0</v>
      </c>
      <c r="CF348" s="494">
        <f t="shared" si="1545"/>
        <v>0</v>
      </c>
      <c r="CG348" s="494">
        <f t="shared" si="1546"/>
        <v>0</v>
      </c>
      <c r="CH348" s="494">
        <f t="shared" si="1547"/>
        <v>0</v>
      </c>
      <c r="CI348" s="494">
        <f t="shared" si="1548"/>
        <v>0</v>
      </c>
      <c r="CJ348" s="495">
        <f>SUM(CE348:CI348)</f>
        <v>0</v>
      </c>
      <c r="CL348" s="6"/>
      <c r="CM348" s="7"/>
      <c r="CN348" s="7"/>
      <c r="CO348" s="7"/>
      <c r="CP348" s="7"/>
      <c r="CQ348" s="8">
        <f>SUM(CL348:CP348)</f>
        <v>0</v>
      </c>
      <c r="CS348" s="6"/>
      <c r="CT348" s="7"/>
      <c r="CU348" s="7"/>
      <c r="CV348" s="7"/>
      <c r="CW348" s="7"/>
      <c r="CX348" s="8">
        <f t="shared" si="1553"/>
        <v>0</v>
      </c>
      <c r="CZ348" s="6"/>
      <c r="DA348" s="7"/>
      <c r="DB348" s="7"/>
      <c r="DC348" s="7"/>
      <c r="DD348" s="7"/>
      <c r="DE348" s="8">
        <f t="shared" si="1554"/>
        <v>0</v>
      </c>
    </row>
    <row r="349" spans="3:109" ht="14" thickBot="1">
      <c r="C349" s="554"/>
      <c r="E349" s="17"/>
      <c r="F349" s="10">
        <f>SUM(F345:F348)</f>
        <v>0</v>
      </c>
      <c r="G349" s="11">
        <f t="shared" ref="G349:J349" si="1555">SUM(G345:G348)</f>
        <v>0</v>
      </c>
      <c r="H349" s="11">
        <f t="shared" si="1555"/>
        <v>0</v>
      </c>
      <c r="I349" s="11">
        <f t="shared" si="1555"/>
        <v>0</v>
      </c>
      <c r="J349" s="11">
        <f t="shared" si="1555"/>
        <v>0</v>
      </c>
      <c r="K349" s="25">
        <f>SUM(K345:K348)</f>
        <v>0</v>
      </c>
      <c r="M349" s="10">
        <f>SUM(M345:M348)</f>
        <v>0</v>
      </c>
      <c r="N349" s="11">
        <f t="shared" ref="N349:Q349" si="1556">SUM(N345:N348)</f>
        <v>0</v>
      </c>
      <c r="O349" s="11">
        <f t="shared" si="1556"/>
        <v>0</v>
      </c>
      <c r="P349" s="11">
        <f t="shared" si="1556"/>
        <v>0</v>
      </c>
      <c r="Q349" s="11">
        <f t="shared" si="1556"/>
        <v>0</v>
      </c>
      <c r="R349" s="25">
        <f>SUM(R345:R348)</f>
        <v>0</v>
      </c>
      <c r="T349" s="10">
        <f>SUM(T345:T348)</f>
        <v>0</v>
      </c>
      <c r="U349" s="11">
        <f t="shared" ref="U349:X349" si="1557">SUM(U345:U348)</f>
        <v>0</v>
      </c>
      <c r="V349" s="11">
        <f t="shared" si="1557"/>
        <v>0</v>
      </c>
      <c r="W349" s="11">
        <f t="shared" si="1557"/>
        <v>0</v>
      </c>
      <c r="X349" s="11">
        <f t="shared" si="1557"/>
        <v>0</v>
      </c>
      <c r="Y349" s="25">
        <f>SUM(Y345:Y348)</f>
        <v>0</v>
      </c>
      <c r="AA349" s="10">
        <f>SUM(AA345:AA348)</f>
        <v>0</v>
      </c>
      <c r="AB349" s="11">
        <f t="shared" ref="AB349:AE349" si="1558">SUM(AB345:AB348)</f>
        <v>0</v>
      </c>
      <c r="AC349" s="11">
        <f t="shared" si="1558"/>
        <v>0</v>
      </c>
      <c r="AD349" s="11">
        <f t="shared" si="1558"/>
        <v>0</v>
      </c>
      <c r="AE349" s="11">
        <f t="shared" si="1558"/>
        <v>0</v>
      </c>
      <c r="AF349" s="25">
        <f>SUM(AF345:AF348)</f>
        <v>0</v>
      </c>
      <c r="AH349" s="10">
        <f t="shared" ref="AH349:AM349" si="1559">SUM(AH345:AH348)</f>
        <v>0</v>
      </c>
      <c r="AI349" s="11">
        <f t="shared" si="1559"/>
        <v>0</v>
      </c>
      <c r="AJ349" s="11">
        <f t="shared" si="1559"/>
        <v>0</v>
      </c>
      <c r="AK349" s="11">
        <f t="shared" si="1559"/>
        <v>0</v>
      </c>
      <c r="AL349" s="11">
        <f t="shared" si="1559"/>
        <v>0</v>
      </c>
      <c r="AM349" s="25">
        <f t="shared" si="1559"/>
        <v>0</v>
      </c>
      <c r="AO349" s="10">
        <f t="shared" ref="AO349:AT349" si="1560">SUM(AO345:AO348)</f>
        <v>0</v>
      </c>
      <c r="AP349" s="11">
        <f t="shared" si="1560"/>
        <v>0</v>
      </c>
      <c r="AQ349" s="11">
        <f t="shared" si="1560"/>
        <v>0</v>
      </c>
      <c r="AR349" s="11">
        <f t="shared" si="1560"/>
        <v>0</v>
      </c>
      <c r="AS349" s="11">
        <f t="shared" si="1560"/>
        <v>0</v>
      </c>
      <c r="AT349" s="25">
        <f t="shared" si="1560"/>
        <v>0</v>
      </c>
      <c r="AV349" s="10">
        <f t="shared" ref="AV349:BA349" si="1561">SUM(AV345:AV348)</f>
        <v>0</v>
      </c>
      <c r="AW349" s="11">
        <f t="shared" si="1561"/>
        <v>0</v>
      </c>
      <c r="AX349" s="11">
        <f t="shared" si="1561"/>
        <v>0</v>
      </c>
      <c r="AY349" s="11">
        <f t="shared" si="1561"/>
        <v>0</v>
      </c>
      <c r="AZ349" s="11">
        <f t="shared" si="1561"/>
        <v>0</v>
      </c>
      <c r="BA349" s="25">
        <f t="shared" si="1561"/>
        <v>0</v>
      </c>
      <c r="BC349" s="10">
        <f t="shared" ref="BC349:BH349" si="1562">SUM(BC345:BC348)</f>
        <v>0</v>
      </c>
      <c r="BD349" s="11">
        <f t="shared" si="1562"/>
        <v>0</v>
      </c>
      <c r="BE349" s="11">
        <f t="shared" si="1562"/>
        <v>0</v>
      </c>
      <c r="BF349" s="11">
        <f t="shared" si="1562"/>
        <v>0</v>
      </c>
      <c r="BG349" s="11">
        <f t="shared" si="1562"/>
        <v>0</v>
      </c>
      <c r="BH349" s="25">
        <f t="shared" si="1562"/>
        <v>0</v>
      </c>
      <c r="BJ349" s="10">
        <f t="shared" ref="BJ349:BO349" si="1563">SUM(BJ345:BJ348)</f>
        <v>0</v>
      </c>
      <c r="BK349" s="11">
        <f t="shared" si="1563"/>
        <v>0</v>
      </c>
      <c r="BL349" s="11">
        <f t="shared" si="1563"/>
        <v>0</v>
      </c>
      <c r="BM349" s="11">
        <f t="shared" si="1563"/>
        <v>0</v>
      </c>
      <c r="BN349" s="11">
        <f t="shared" si="1563"/>
        <v>0</v>
      </c>
      <c r="BO349" s="25">
        <f t="shared" si="1563"/>
        <v>0</v>
      </c>
      <c r="BQ349" s="10">
        <f t="shared" ref="BQ349:BV349" si="1564">SUM(BQ345:BQ348)</f>
        <v>0</v>
      </c>
      <c r="BR349" s="11">
        <f t="shared" si="1564"/>
        <v>0</v>
      </c>
      <c r="BS349" s="11">
        <f t="shared" si="1564"/>
        <v>0</v>
      </c>
      <c r="BT349" s="11">
        <f t="shared" si="1564"/>
        <v>0</v>
      </c>
      <c r="BU349" s="11">
        <f t="shared" si="1564"/>
        <v>0</v>
      </c>
      <c r="BV349" s="25">
        <f t="shared" si="1564"/>
        <v>0</v>
      </c>
      <c r="BX349" s="10">
        <f t="shared" ref="BX349:CC349" si="1565">SUM(BX345:BX348)</f>
        <v>0</v>
      </c>
      <c r="BY349" s="11">
        <f t="shared" si="1565"/>
        <v>0</v>
      </c>
      <c r="BZ349" s="11">
        <f t="shared" si="1565"/>
        <v>0</v>
      </c>
      <c r="CA349" s="11">
        <f t="shared" si="1565"/>
        <v>0</v>
      </c>
      <c r="CB349" s="11">
        <f t="shared" si="1565"/>
        <v>0</v>
      </c>
      <c r="CC349" s="25">
        <f t="shared" si="1565"/>
        <v>0</v>
      </c>
      <c r="CE349" s="62">
        <f t="shared" ref="CE349:CJ349" si="1566">SUM(CE345:CE348)</f>
        <v>0</v>
      </c>
      <c r="CF349" s="63">
        <f t="shared" si="1566"/>
        <v>0</v>
      </c>
      <c r="CG349" s="63">
        <f t="shared" si="1566"/>
        <v>0</v>
      </c>
      <c r="CH349" s="63">
        <f t="shared" si="1566"/>
        <v>0</v>
      </c>
      <c r="CI349" s="63">
        <f t="shared" si="1566"/>
        <v>0</v>
      </c>
      <c r="CJ349" s="25">
        <f t="shared" si="1566"/>
        <v>0</v>
      </c>
      <c r="CL349" s="10">
        <f>SUM(CL345:CL348)</f>
        <v>0</v>
      </c>
      <c r="CM349" s="11">
        <f t="shared" ref="CM349:CQ349" si="1567">SUM(CM345:CM348)</f>
        <v>0</v>
      </c>
      <c r="CN349" s="11">
        <f t="shared" si="1567"/>
        <v>0</v>
      </c>
      <c r="CO349" s="11">
        <f t="shared" si="1567"/>
        <v>0</v>
      </c>
      <c r="CP349" s="11">
        <f t="shared" si="1567"/>
        <v>0</v>
      </c>
      <c r="CQ349" s="25">
        <f t="shared" si="1567"/>
        <v>0</v>
      </c>
      <c r="CS349" s="10">
        <f>SUM(CS345:CS348)</f>
        <v>0</v>
      </c>
      <c r="CT349" s="11">
        <f t="shared" ref="CT349:CW349" si="1568">SUM(CT345:CT348)</f>
        <v>0</v>
      </c>
      <c r="CU349" s="11">
        <f t="shared" si="1568"/>
        <v>0</v>
      </c>
      <c r="CV349" s="11">
        <f t="shared" si="1568"/>
        <v>0</v>
      </c>
      <c r="CW349" s="11">
        <f t="shared" si="1568"/>
        <v>0</v>
      </c>
      <c r="CX349" s="25">
        <f>SUM(CX345:CX348)</f>
        <v>0</v>
      </c>
      <c r="CZ349" s="10">
        <f>SUM(CZ345:CZ348)</f>
        <v>0</v>
      </c>
      <c r="DA349" s="11">
        <f t="shared" ref="DA349:DD349" si="1569">SUM(DA345:DA348)</f>
        <v>0</v>
      </c>
      <c r="DB349" s="11">
        <f t="shared" si="1569"/>
        <v>0</v>
      </c>
      <c r="DC349" s="11">
        <f t="shared" si="1569"/>
        <v>0</v>
      </c>
      <c r="DD349" s="11">
        <f t="shared" si="1569"/>
        <v>0</v>
      </c>
      <c r="DE349" s="25">
        <f>SUM(DE345:DE348)</f>
        <v>0</v>
      </c>
    </row>
    <row r="350" spans="3:109" ht="10.4" customHeight="1" thickBot="1"/>
    <row r="351" spans="3:109">
      <c r="C351" s="553">
        <v>2028</v>
      </c>
      <c r="E351" s="13" t="s">
        <v>59</v>
      </c>
      <c r="F351" s="21">
        <f>CE345</f>
        <v>0</v>
      </c>
      <c r="G351" s="22">
        <f t="shared" ref="G351:G354" si="1570">CF345</f>
        <v>0</v>
      </c>
      <c r="H351" s="22">
        <f t="shared" ref="H351:H354" si="1571">CG345</f>
        <v>0</v>
      </c>
      <c r="I351" s="22">
        <f t="shared" ref="I351:I354" si="1572">CH345</f>
        <v>0</v>
      </c>
      <c r="J351" s="22">
        <f t="shared" ref="J351:J354" si="1573">CI345</f>
        <v>0</v>
      </c>
      <c r="K351" s="4">
        <f>SUM(F351:J351)</f>
        <v>0</v>
      </c>
      <c r="M351" s="2"/>
      <c r="N351" s="3"/>
      <c r="O351" s="3"/>
      <c r="P351" s="3"/>
      <c r="Q351" s="3"/>
      <c r="R351" s="4">
        <f>SUM(M351:Q351)</f>
        <v>0</v>
      </c>
      <c r="T351" s="2"/>
      <c r="U351" s="3"/>
      <c r="V351" s="3"/>
      <c r="W351" s="3"/>
      <c r="X351" s="3"/>
      <c r="Y351" s="4">
        <f>SUM(T351:X351)</f>
        <v>0</v>
      </c>
      <c r="AA351" s="2"/>
      <c r="AB351" s="3"/>
      <c r="AC351" s="3"/>
      <c r="AD351" s="3"/>
      <c r="AE351" s="3"/>
      <c r="AF351" s="4">
        <f>SUM(AA351:AE351)</f>
        <v>0</v>
      </c>
      <c r="AH351" s="2"/>
      <c r="AI351" s="3"/>
      <c r="AJ351" s="3"/>
      <c r="AK351" s="3"/>
      <c r="AL351" s="3"/>
      <c r="AM351" s="4">
        <f>SUM(AH351:AL351)</f>
        <v>0</v>
      </c>
      <c r="AO351" s="2"/>
      <c r="AP351" s="3"/>
      <c r="AQ351" s="3"/>
      <c r="AR351" s="3"/>
      <c r="AS351" s="3"/>
      <c r="AT351" s="4">
        <f>SUM(AO351:AS351)</f>
        <v>0</v>
      </c>
      <c r="AV351" s="2"/>
      <c r="AW351" s="3"/>
      <c r="AX351" s="3"/>
      <c r="AY351" s="3"/>
      <c r="AZ351" s="3"/>
      <c r="BA351" s="4">
        <f>SUM(AV351:AZ351)</f>
        <v>0</v>
      </c>
      <c r="BC351" s="2"/>
      <c r="BD351" s="3"/>
      <c r="BE351" s="3"/>
      <c r="BF351" s="3"/>
      <c r="BG351" s="3"/>
      <c r="BH351" s="4">
        <f>SUM(BC351:BG351)</f>
        <v>0</v>
      </c>
      <c r="BJ351" s="2"/>
      <c r="BK351" s="3"/>
      <c r="BL351" s="3"/>
      <c r="BM351" s="3"/>
      <c r="BN351" s="3"/>
      <c r="BO351" s="4">
        <f>SUM(BJ351:BN351)</f>
        <v>0</v>
      </c>
      <c r="BQ351" s="2"/>
      <c r="BR351" s="3"/>
      <c r="BS351" s="3"/>
      <c r="BT351" s="3"/>
      <c r="BU351" s="3"/>
      <c r="BV351" s="4">
        <f>SUM(BQ351:BU351)</f>
        <v>0</v>
      </c>
      <c r="BX351" s="2"/>
      <c r="BY351" s="3"/>
      <c r="BZ351" s="3"/>
      <c r="CA351" s="3"/>
      <c r="CB351" s="3"/>
      <c r="CC351" s="4">
        <f>SUM(BX351:CB351)</f>
        <v>0</v>
      </c>
      <c r="CE351" s="26">
        <f t="shared" ref="CE351:CE354" si="1574">F351+M351+T351+AA351+AH351+AO351+AV351+BC351+BJ351+BQ351+BX351</f>
        <v>0</v>
      </c>
      <c r="CF351" s="27">
        <f t="shared" ref="CF351:CF354" si="1575">G351+N351+U351+AB351+AI351+AP351+AW351+BD351+BK351+BR351+BY351</f>
        <v>0</v>
      </c>
      <c r="CG351" s="27">
        <f t="shared" ref="CG351:CG354" si="1576">H351+O351+V351+AC351+AJ351+AQ351+AX351+BE351+BL351+BS351+BZ351</f>
        <v>0</v>
      </c>
      <c r="CH351" s="27">
        <f t="shared" ref="CH351:CH354" si="1577">I351+P351+W351+AD351+AK351+AR351+AY351+BF351+BM351+BT351+CA351</f>
        <v>0</v>
      </c>
      <c r="CI351" s="27">
        <f t="shared" ref="CI351:CI354" si="1578">J351+Q351+X351+AE351+AL351+AS351+AZ351+BG351+BN351+BU351+CB351</f>
        <v>0</v>
      </c>
      <c r="CJ351" s="4">
        <f>SUM(CE351:CI351)</f>
        <v>0</v>
      </c>
      <c r="CL351" s="2"/>
      <c r="CM351" s="3"/>
      <c r="CN351" s="3"/>
      <c r="CO351" s="3"/>
      <c r="CP351" s="3"/>
      <c r="CQ351" s="4">
        <f>SUM(CL351:CP351)</f>
        <v>0</v>
      </c>
      <c r="CS351" s="2"/>
      <c r="CT351" s="3"/>
      <c r="CU351" s="3"/>
      <c r="CV351" s="3"/>
      <c r="CW351" s="3"/>
      <c r="CX351" s="4">
        <f>SUM(CS351:CW351)</f>
        <v>0</v>
      </c>
      <c r="CZ351" s="2"/>
      <c r="DA351" s="3"/>
      <c r="DB351" s="3"/>
      <c r="DC351" s="3"/>
      <c r="DD351" s="3"/>
      <c r="DE351" s="4">
        <f>SUM(CZ351:DD351)</f>
        <v>0</v>
      </c>
    </row>
    <row r="352" spans="3:109">
      <c r="C352" s="567"/>
      <c r="E352" s="14" t="s">
        <v>60</v>
      </c>
      <c r="F352" s="23">
        <f t="shared" ref="F352:F354" si="1579">CE346</f>
        <v>0</v>
      </c>
      <c r="G352" s="24">
        <f t="shared" si="1570"/>
        <v>0</v>
      </c>
      <c r="H352" s="24">
        <f t="shared" si="1571"/>
        <v>0</v>
      </c>
      <c r="I352" s="24">
        <f t="shared" si="1572"/>
        <v>0</v>
      </c>
      <c r="J352" s="24">
        <f t="shared" si="1573"/>
        <v>0</v>
      </c>
      <c r="K352" s="8">
        <f t="shared" ref="K352:K354" si="1580">SUM(F352:J352)</f>
        <v>0</v>
      </c>
      <c r="M352" s="6"/>
      <c r="N352" s="7"/>
      <c r="O352" s="7"/>
      <c r="P352" s="7"/>
      <c r="Q352" s="7"/>
      <c r="R352" s="8">
        <f t="shared" ref="R352:R354" si="1581">SUM(M352:Q352)</f>
        <v>0</v>
      </c>
      <c r="T352" s="6"/>
      <c r="U352" s="7"/>
      <c r="V352" s="7"/>
      <c r="W352" s="7"/>
      <c r="X352" s="7"/>
      <c r="Y352" s="8">
        <f t="shared" ref="Y352:Y354" si="1582">SUM(T352:X352)</f>
        <v>0</v>
      </c>
      <c r="AA352" s="6"/>
      <c r="AB352" s="7"/>
      <c r="AC352" s="7"/>
      <c r="AD352" s="7"/>
      <c r="AE352" s="7"/>
      <c r="AF352" s="8">
        <f>SUM(AA352:AE352)</f>
        <v>0</v>
      </c>
      <c r="AH352" s="6"/>
      <c r="AI352" s="7"/>
      <c r="AJ352" s="7"/>
      <c r="AK352" s="7"/>
      <c r="AL352" s="7"/>
      <c r="AM352" s="8">
        <f>SUM(AH352:AL352)</f>
        <v>0</v>
      </c>
      <c r="AO352" s="6"/>
      <c r="AP352" s="7"/>
      <c r="AQ352" s="7"/>
      <c r="AR352" s="7"/>
      <c r="AS352" s="7"/>
      <c r="AT352" s="8">
        <f>SUM(AO352:AS352)</f>
        <v>0</v>
      </c>
      <c r="AV352" s="6"/>
      <c r="AW352" s="7"/>
      <c r="AX352" s="7"/>
      <c r="AY352" s="7"/>
      <c r="AZ352" s="7"/>
      <c r="BA352" s="8">
        <f>SUM(AV352:AZ352)</f>
        <v>0</v>
      </c>
      <c r="BC352" s="6"/>
      <c r="BD352" s="7"/>
      <c r="BE352" s="7"/>
      <c r="BF352" s="7"/>
      <c r="BG352" s="7"/>
      <c r="BH352" s="8">
        <f>SUM(BC352:BG352)</f>
        <v>0</v>
      </c>
      <c r="BJ352" s="6"/>
      <c r="BK352" s="7"/>
      <c r="BL352" s="7"/>
      <c r="BM352" s="7"/>
      <c r="BN352" s="7"/>
      <c r="BO352" s="8">
        <f>SUM(BJ352:BN352)</f>
        <v>0</v>
      </c>
      <c r="BQ352" s="6"/>
      <c r="BR352" s="7"/>
      <c r="BS352" s="7"/>
      <c r="BT352" s="7"/>
      <c r="BU352" s="7"/>
      <c r="BV352" s="8">
        <f>SUM(BQ352:BU352)</f>
        <v>0</v>
      </c>
      <c r="BX352" s="6"/>
      <c r="BY352" s="7"/>
      <c r="BZ352" s="7"/>
      <c r="CA352" s="7"/>
      <c r="CB352" s="7"/>
      <c r="CC352" s="8">
        <f>SUM(BX352:CB352)</f>
        <v>0</v>
      </c>
      <c r="CE352" s="28">
        <f t="shared" si="1574"/>
        <v>0</v>
      </c>
      <c r="CF352" s="29">
        <f t="shared" si="1575"/>
        <v>0</v>
      </c>
      <c r="CG352" s="29">
        <f t="shared" si="1576"/>
        <v>0</v>
      </c>
      <c r="CH352" s="29">
        <f t="shared" si="1577"/>
        <v>0</v>
      </c>
      <c r="CI352" s="29">
        <f t="shared" si="1578"/>
        <v>0</v>
      </c>
      <c r="CJ352" s="8">
        <f>SUM(CE352:CI352)</f>
        <v>0</v>
      </c>
      <c r="CL352" s="6"/>
      <c r="CM352" s="7"/>
      <c r="CN352" s="7"/>
      <c r="CO352" s="7"/>
      <c r="CP352" s="7"/>
      <c r="CQ352" s="8">
        <f>SUM(CL352:CP352)</f>
        <v>0</v>
      </c>
      <c r="CS352" s="6"/>
      <c r="CT352" s="7"/>
      <c r="CU352" s="7"/>
      <c r="CV352" s="7"/>
      <c r="CW352" s="7"/>
      <c r="CX352" s="8">
        <f t="shared" ref="CX352:CX354" si="1583">SUM(CS352:CW352)</f>
        <v>0</v>
      </c>
      <c r="CZ352" s="6"/>
      <c r="DA352" s="7"/>
      <c r="DB352" s="7"/>
      <c r="DC352" s="7"/>
      <c r="DD352" s="7"/>
      <c r="DE352" s="8">
        <f t="shared" ref="DE352:DE354" si="1584">SUM(CZ352:DD352)</f>
        <v>0</v>
      </c>
    </row>
    <row r="353" spans="2:109">
      <c r="C353" s="567"/>
      <c r="E353" s="14" t="s">
        <v>61</v>
      </c>
      <c r="F353" s="23">
        <f t="shared" si="1579"/>
        <v>0</v>
      </c>
      <c r="G353" s="24">
        <f t="shared" si="1570"/>
        <v>0</v>
      </c>
      <c r="H353" s="24">
        <f t="shared" si="1571"/>
        <v>0</v>
      </c>
      <c r="I353" s="24">
        <f t="shared" si="1572"/>
        <v>0</v>
      </c>
      <c r="J353" s="24">
        <f t="shared" si="1573"/>
        <v>0</v>
      </c>
      <c r="K353" s="8">
        <f t="shared" si="1580"/>
        <v>0</v>
      </c>
      <c r="M353" s="6"/>
      <c r="N353" s="7"/>
      <c r="O353" s="7"/>
      <c r="P353" s="7"/>
      <c r="Q353" s="7"/>
      <c r="R353" s="8">
        <f t="shared" si="1581"/>
        <v>0</v>
      </c>
      <c r="T353" s="6"/>
      <c r="U353" s="7"/>
      <c r="V353" s="7"/>
      <c r="W353" s="7"/>
      <c r="X353" s="7"/>
      <c r="Y353" s="8">
        <f t="shared" si="1582"/>
        <v>0</v>
      </c>
      <c r="AA353" s="6"/>
      <c r="AB353" s="7"/>
      <c r="AC353" s="7"/>
      <c r="AD353" s="7"/>
      <c r="AE353" s="7"/>
      <c r="AF353" s="8">
        <f>SUM(AA353:AE353)</f>
        <v>0</v>
      </c>
      <c r="AH353" s="6"/>
      <c r="AI353" s="7"/>
      <c r="AJ353" s="7"/>
      <c r="AK353" s="7"/>
      <c r="AL353" s="7"/>
      <c r="AM353" s="8">
        <f>SUM(AH353:AL353)</f>
        <v>0</v>
      </c>
      <c r="AO353" s="6"/>
      <c r="AP353" s="7"/>
      <c r="AQ353" s="7"/>
      <c r="AR353" s="7"/>
      <c r="AS353" s="7"/>
      <c r="AT353" s="8">
        <f>SUM(AO353:AS353)</f>
        <v>0</v>
      </c>
      <c r="AV353" s="6"/>
      <c r="AW353" s="7"/>
      <c r="AX353" s="7"/>
      <c r="AY353" s="7"/>
      <c r="AZ353" s="7"/>
      <c r="BA353" s="8">
        <f>SUM(AV353:AZ353)</f>
        <v>0</v>
      </c>
      <c r="BC353" s="6"/>
      <c r="BD353" s="7"/>
      <c r="BE353" s="7"/>
      <c r="BF353" s="7"/>
      <c r="BG353" s="7"/>
      <c r="BH353" s="8">
        <f>SUM(BC353:BG353)</f>
        <v>0</v>
      </c>
      <c r="BJ353" s="6"/>
      <c r="BK353" s="7"/>
      <c r="BL353" s="7"/>
      <c r="BM353" s="7"/>
      <c r="BN353" s="7"/>
      <c r="BO353" s="8">
        <f>SUM(BJ353:BN353)</f>
        <v>0</v>
      </c>
      <c r="BQ353" s="6"/>
      <c r="BR353" s="7"/>
      <c r="BS353" s="7"/>
      <c r="BT353" s="7"/>
      <c r="BU353" s="7"/>
      <c r="BV353" s="8">
        <f>SUM(BQ353:BU353)</f>
        <v>0</v>
      </c>
      <c r="BX353" s="6"/>
      <c r="BY353" s="7"/>
      <c r="BZ353" s="7"/>
      <c r="CA353" s="7"/>
      <c r="CB353" s="7"/>
      <c r="CC353" s="8">
        <f>SUM(BX353:CB353)</f>
        <v>0</v>
      </c>
      <c r="CE353" s="28">
        <f t="shared" si="1574"/>
        <v>0</v>
      </c>
      <c r="CF353" s="29">
        <f t="shared" si="1575"/>
        <v>0</v>
      </c>
      <c r="CG353" s="29">
        <f t="shared" si="1576"/>
        <v>0</v>
      </c>
      <c r="CH353" s="29">
        <f t="shared" si="1577"/>
        <v>0</v>
      </c>
      <c r="CI353" s="29">
        <f t="shared" si="1578"/>
        <v>0</v>
      </c>
      <c r="CJ353" s="8">
        <f>SUM(CE353:CI353)</f>
        <v>0</v>
      </c>
      <c r="CL353" s="6"/>
      <c r="CM353" s="7"/>
      <c r="CN353" s="7"/>
      <c r="CO353" s="7"/>
      <c r="CP353" s="7"/>
      <c r="CQ353" s="8">
        <f>SUM(CL353:CP353)</f>
        <v>0</v>
      </c>
      <c r="CS353" s="6"/>
      <c r="CT353" s="7"/>
      <c r="CU353" s="7"/>
      <c r="CV353" s="7"/>
      <c r="CW353" s="7"/>
      <c r="CX353" s="8">
        <f t="shared" si="1583"/>
        <v>0</v>
      </c>
      <c r="CZ353" s="6"/>
      <c r="DA353" s="7"/>
      <c r="DB353" s="7"/>
      <c r="DC353" s="7"/>
      <c r="DD353" s="7"/>
      <c r="DE353" s="8">
        <f t="shared" si="1584"/>
        <v>0</v>
      </c>
    </row>
    <row r="354" spans="2:109" ht="14" thickBot="1">
      <c r="C354" s="567"/>
      <c r="E354" s="14" t="s">
        <v>62</v>
      </c>
      <c r="F354" s="23">
        <f t="shared" si="1579"/>
        <v>0</v>
      </c>
      <c r="G354" s="24">
        <f t="shared" si="1570"/>
        <v>0</v>
      </c>
      <c r="H354" s="24">
        <f t="shared" si="1571"/>
        <v>0</v>
      </c>
      <c r="I354" s="24">
        <f t="shared" si="1572"/>
        <v>0</v>
      </c>
      <c r="J354" s="24">
        <f t="shared" si="1573"/>
        <v>0</v>
      </c>
      <c r="K354" s="8">
        <f t="shared" si="1580"/>
        <v>0</v>
      </c>
      <c r="M354" s="6"/>
      <c r="N354" s="7"/>
      <c r="O354" s="7"/>
      <c r="P354" s="7"/>
      <c r="Q354" s="7"/>
      <c r="R354" s="8">
        <f t="shared" si="1581"/>
        <v>0</v>
      </c>
      <c r="T354" s="6"/>
      <c r="U354" s="7"/>
      <c r="V354" s="7"/>
      <c r="W354" s="7"/>
      <c r="X354" s="7"/>
      <c r="Y354" s="8">
        <f t="shared" si="1582"/>
        <v>0</v>
      </c>
      <c r="AA354" s="6"/>
      <c r="AB354" s="7"/>
      <c r="AC354" s="7"/>
      <c r="AD354" s="7"/>
      <c r="AE354" s="7"/>
      <c r="AF354" s="8">
        <f>SUM(AA354:AE354)</f>
        <v>0</v>
      </c>
      <c r="AH354" s="6"/>
      <c r="AI354" s="7"/>
      <c r="AJ354" s="7"/>
      <c r="AK354" s="7"/>
      <c r="AL354" s="7"/>
      <c r="AM354" s="8">
        <f>SUM(AH354:AL354)</f>
        <v>0</v>
      </c>
      <c r="AO354" s="6"/>
      <c r="AP354" s="7"/>
      <c r="AQ354" s="7"/>
      <c r="AR354" s="7"/>
      <c r="AS354" s="7"/>
      <c r="AT354" s="8">
        <f>SUM(AO354:AS354)</f>
        <v>0</v>
      </c>
      <c r="AV354" s="6"/>
      <c r="AW354" s="7"/>
      <c r="AX354" s="7"/>
      <c r="AY354" s="7"/>
      <c r="AZ354" s="7"/>
      <c r="BA354" s="8">
        <f>SUM(AV354:AZ354)</f>
        <v>0</v>
      </c>
      <c r="BC354" s="6"/>
      <c r="BD354" s="7"/>
      <c r="BE354" s="7"/>
      <c r="BF354" s="7"/>
      <c r="BG354" s="7"/>
      <c r="BH354" s="8">
        <f>SUM(BC354:BG354)</f>
        <v>0</v>
      </c>
      <c r="BJ354" s="6"/>
      <c r="BK354" s="7"/>
      <c r="BL354" s="7"/>
      <c r="BM354" s="7"/>
      <c r="BN354" s="7"/>
      <c r="BO354" s="8">
        <f>SUM(BJ354:BN354)</f>
        <v>0</v>
      </c>
      <c r="BQ354" s="6"/>
      <c r="BR354" s="7"/>
      <c r="BS354" s="7"/>
      <c r="BT354" s="7"/>
      <c r="BU354" s="7"/>
      <c r="BV354" s="8">
        <f>SUM(BQ354:BU354)</f>
        <v>0</v>
      </c>
      <c r="BX354" s="6"/>
      <c r="BY354" s="7"/>
      <c r="BZ354" s="7"/>
      <c r="CA354" s="7"/>
      <c r="CB354" s="7"/>
      <c r="CC354" s="8">
        <f>SUM(BX354:CB354)</f>
        <v>0</v>
      </c>
      <c r="CE354" s="493">
        <f t="shared" si="1574"/>
        <v>0</v>
      </c>
      <c r="CF354" s="494">
        <f t="shared" si="1575"/>
        <v>0</v>
      </c>
      <c r="CG354" s="494">
        <f t="shared" si="1576"/>
        <v>0</v>
      </c>
      <c r="CH354" s="494">
        <f t="shared" si="1577"/>
        <v>0</v>
      </c>
      <c r="CI354" s="494">
        <f t="shared" si="1578"/>
        <v>0</v>
      </c>
      <c r="CJ354" s="495">
        <f>SUM(CE354:CI354)</f>
        <v>0</v>
      </c>
      <c r="CL354" s="6"/>
      <c r="CM354" s="7"/>
      <c r="CN354" s="7"/>
      <c r="CO354" s="7"/>
      <c r="CP354" s="7"/>
      <c r="CQ354" s="8">
        <f>SUM(CL354:CP354)</f>
        <v>0</v>
      </c>
      <c r="CS354" s="6"/>
      <c r="CT354" s="7"/>
      <c r="CU354" s="7"/>
      <c r="CV354" s="7"/>
      <c r="CW354" s="7"/>
      <c r="CX354" s="8">
        <f t="shared" si="1583"/>
        <v>0</v>
      </c>
      <c r="CZ354" s="6"/>
      <c r="DA354" s="7"/>
      <c r="DB354" s="7"/>
      <c r="DC354" s="7"/>
      <c r="DD354" s="7"/>
      <c r="DE354" s="8">
        <f t="shared" si="1584"/>
        <v>0</v>
      </c>
    </row>
    <row r="355" spans="2:109" ht="14" thickBot="1">
      <c r="C355" s="554"/>
      <c r="E355" s="9"/>
      <c r="F355" s="10">
        <f>SUM(F351:F354)</f>
        <v>0</v>
      </c>
      <c r="G355" s="11">
        <f t="shared" ref="G355:J355" si="1585">SUM(G351:G354)</f>
        <v>0</v>
      </c>
      <c r="H355" s="11">
        <f t="shared" si="1585"/>
        <v>0</v>
      </c>
      <c r="I355" s="11">
        <f t="shared" si="1585"/>
        <v>0</v>
      </c>
      <c r="J355" s="11">
        <f t="shared" si="1585"/>
        <v>0</v>
      </c>
      <c r="K355" s="25">
        <f>SUM(K351:K354)</f>
        <v>0</v>
      </c>
      <c r="M355" s="10">
        <f>SUM(M351:M354)</f>
        <v>0</v>
      </c>
      <c r="N355" s="11">
        <f t="shared" ref="N355:Q355" si="1586">SUM(N351:N354)</f>
        <v>0</v>
      </c>
      <c r="O355" s="11">
        <f t="shared" si="1586"/>
        <v>0</v>
      </c>
      <c r="P355" s="11">
        <f t="shared" si="1586"/>
        <v>0</v>
      </c>
      <c r="Q355" s="11">
        <f t="shared" si="1586"/>
        <v>0</v>
      </c>
      <c r="R355" s="25">
        <f>SUM(R351:R354)</f>
        <v>0</v>
      </c>
      <c r="T355" s="10">
        <f>SUM(T351:T354)</f>
        <v>0</v>
      </c>
      <c r="U355" s="11">
        <f t="shared" ref="U355:X355" si="1587">SUM(U351:U354)</f>
        <v>0</v>
      </c>
      <c r="V355" s="11">
        <f t="shared" si="1587"/>
        <v>0</v>
      </c>
      <c r="W355" s="11">
        <f t="shared" si="1587"/>
        <v>0</v>
      </c>
      <c r="X355" s="11">
        <f t="shared" si="1587"/>
        <v>0</v>
      </c>
      <c r="Y355" s="25">
        <f>SUM(Y351:Y354)</f>
        <v>0</v>
      </c>
      <c r="AA355" s="10">
        <f>SUM(AA351:AA354)</f>
        <v>0</v>
      </c>
      <c r="AB355" s="11">
        <f t="shared" ref="AB355:AE355" si="1588">SUM(AB351:AB354)</f>
        <v>0</v>
      </c>
      <c r="AC355" s="11">
        <f t="shared" si="1588"/>
        <v>0</v>
      </c>
      <c r="AD355" s="11">
        <f t="shared" si="1588"/>
        <v>0</v>
      </c>
      <c r="AE355" s="11">
        <f t="shared" si="1588"/>
        <v>0</v>
      </c>
      <c r="AF355" s="25">
        <f>SUM(AF351:AF354)</f>
        <v>0</v>
      </c>
      <c r="AH355" s="10">
        <f t="shared" ref="AH355:AM355" si="1589">SUM(AH351:AH354)</f>
        <v>0</v>
      </c>
      <c r="AI355" s="11">
        <f t="shared" si="1589"/>
        <v>0</v>
      </c>
      <c r="AJ355" s="11">
        <f t="shared" si="1589"/>
        <v>0</v>
      </c>
      <c r="AK355" s="11">
        <f t="shared" si="1589"/>
        <v>0</v>
      </c>
      <c r="AL355" s="11">
        <f t="shared" si="1589"/>
        <v>0</v>
      </c>
      <c r="AM355" s="25">
        <f t="shared" si="1589"/>
        <v>0</v>
      </c>
      <c r="AO355" s="10">
        <f t="shared" ref="AO355:AT355" si="1590">SUM(AO351:AO354)</f>
        <v>0</v>
      </c>
      <c r="AP355" s="11">
        <f t="shared" si="1590"/>
        <v>0</v>
      </c>
      <c r="AQ355" s="11">
        <f t="shared" si="1590"/>
        <v>0</v>
      </c>
      <c r="AR355" s="11">
        <f t="shared" si="1590"/>
        <v>0</v>
      </c>
      <c r="AS355" s="11">
        <f t="shared" si="1590"/>
        <v>0</v>
      </c>
      <c r="AT355" s="25">
        <f t="shared" si="1590"/>
        <v>0</v>
      </c>
      <c r="AV355" s="10">
        <f t="shared" ref="AV355:BA355" si="1591">SUM(AV351:AV354)</f>
        <v>0</v>
      </c>
      <c r="AW355" s="11">
        <f t="shared" si="1591"/>
        <v>0</v>
      </c>
      <c r="AX355" s="11">
        <f t="shared" si="1591"/>
        <v>0</v>
      </c>
      <c r="AY355" s="11">
        <f t="shared" si="1591"/>
        <v>0</v>
      </c>
      <c r="AZ355" s="11">
        <f t="shared" si="1591"/>
        <v>0</v>
      </c>
      <c r="BA355" s="25">
        <f t="shared" si="1591"/>
        <v>0</v>
      </c>
      <c r="BC355" s="10">
        <f t="shared" ref="BC355:BH355" si="1592">SUM(BC351:BC354)</f>
        <v>0</v>
      </c>
      <c r="BD355" s="11">
        <f t="shared" si="1592"/>
        <v>0</v>
      </c>
      <c r="BE355" s="11">
        <f t="shared" si="1592"/>
        <v>0</v>
      </c>
      <c r="BF355" s="11">
        <f t="shared" si="1592"/>
        <v>0</v>
      </c>
      <c r="BG355" s="11">
        <f t="shared" si="1592"/>
        <v>0</v>
      </c>
      <c r="BH355" s="25">
        <f t="shared" si="1592"/>
        <v>0</v>
      </c>
      <c r="BJ355" s="10">
        <f t="shared" ref="BJ355:BO355" si="1593">SUM(BJ351:BJ354)</f>
        <v>0</v>
      </c>
      <c r="BK355" s="11">
        <f t="shared" si="1593"/>
        <v>0</v>
      </c>
      <c r="BL355" s="11">
        <f t="shared" si="1593"/>
        <v>0</v>
      </c>
      <c r="BM355" s="11">
        <f t="shared" si="1593"/>
        <v>0</v>
      </c>
      <c r="BN355" s="11">
        <f t="shared" si="1593"/>
        <v>0</v>
      </c>
      <c r="BO355" s="25">
        <f t="shared" si="1593"/>
        <v>0</v>
      </c>
      <c r="BQ355" s="10">
        <f t="shared" ref="BQ355:BV355" si="1594">SUM(BQ351:BQ354)</f>
        <v>0</v>
      </c>
      <c r="BR355" s="11">
        <f t="shared" si="1594"/>
        <v>0</v>
      </c>
      <c r="BS355" s="11">
        <f t="shared" si="1594"/>
        <v>0</v>
      </c>
      <c r="BT355" s="11">
        <f t="shared" si="1594"/>
        <v>0</v>
      </c>
      <c r="BU355" s="11">
        <f t="shared" si="1594"/>
        <v>0</v>
      </c>
      <c r="BV355" s="25">
        <f t="shared" si="1594"/>
        <v>0</v>
      </c>
      <c r="BX355" s="10">
        <f t="shared" ref="BX355:CC355" si="1595">SUM(BX351:BX354)</f>
        <v>0</v>
      </c>
      <c r="BY355" s="11">
        <f t="shared" si="1595"/>
        <v>0</v>
      </c>
      <c r="BZ355" s="11">
        <f t="shared" si="1595"/>
        <v>0</v>
      </c>
      <c r="CA355" s="11">
        <f t="shared" si="1595"/>
        <v>0</v>
      </c>
      <c r="CB355" s="11">
        <f t="shared" si="1595"/>
        <v>0</v>
      </c>
      <c r="CC355" s="25">
        <f t="shared" si="1595"/>
        <v>0</v>
      </c>
      <c r="CE355" s="62">
        <f t="shared" ref="CE355:CJ355" si="1596">SUM(CE351:CE354)</f>
        <v>0</v>
      </c>
      <c r="CF355" s="63">
        <f t="shared" si="1596"/>
        <v>0</v>
      </c>
      <c r="CG355" s="63">
        <f t="shared" si="1596"/>
        <v>0</v>
      </c>
      <c r="CH355" s="63">
        <f t="shared" si="1596"/>
        <v>0</v>
      </c>
      <c r="CI355" s="63">
        <f t="shared" si="1596"/>
        <v>0</v>
      </c>
      <c r="CJ355" s="25">
        <f t="shared" si="1596"/>
        <v>0</v>
      </c>
      <c r="CL355" s="10">
        <f>SUM(CL351:CL354)</f>
        <v>0</v>
      </c>
      <c r="CM355" s="11">
        <f t="shared" ref="CM355:CQ355" si="1597">SUM(CM351:CM354)</f>
        <v>0</v>
      </c>
      <c r="CN355" s="11">
        <f t="shared" si="1597"/>
        <v>0</v>
      </c>
      <c r="CO355" s="11">
        <f t="shared" si="1597"/>
        <v>0</v>
      </c>
      <c r="CP355" s="11">
        <f t="shared" si="1597"/>
        <v>0</v>
      </c>
      <c r="CQ355" s="25">
        <f t="shared" si="1597"/>
        <v>0</v>
      </c>
      <c r="CS355" s="10">
        <f>SUM(CS351:CS354)</f>
        <v>0</v>
      </c>
      <c r="CT355" s="11">
        <f t="shared" ref="CT355:CW355" si="1598">SUM(CT351:CT354)</f>
        <v>0</v>
      </c>
      <c r="CU355" s="11">
        <f t="shared" si="1598"/>
        <v>0</v>
      </c>
      <c r="CV355" s="11">
        <f t="shared" si="1598"/>
        <v>0</v>
      </c>
      <c r="CW355" s="11">
        <f t="shared" si="1598"/>
        <v>0</v>
      </c>
      <c r="CX355" s="25">
        <f>SUM(CX351:CX354)</f>
        <v>0</v>
      </c>
      <c r="CZ355" s="10">
        <f>SUM(CZ351:CZ354)</f>
        <v>0</v>
      </c>
      <c r="DA355" s="11">
        <f t="shared" ref="DA355:DD355" si="1599">SUM(DA351:DA354)</f>
        <v>0</v>
      </c>
      <c r="DB355" s="11">
        <f t="shared" si="1599"/>
        <v>0</v>
      </c>
      <c r="DC355" s="11">
        <f t="shared" si="1599"/>
        <v>0</v>
      </c>
      <c r="DD355" s="11">
        <f t="shared" si="1599"/>
        <v>0</v>
      </c>
      <c r="DE355" s="25">
        <f>SUM(DE351:DE354)</f>
        <v>0</v>
      </c>
    </row>
    <row r="357" spans="2:109">
      <c r="B357" s="123"/>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L357" s="20"/>
      <c r="CM357" s="20"/>
      <c r="CN357" s="20"/>
      <c r="CO357" s="20"/>
      <c r="CP357" s="20"/>
      <c r="CQ357" s="20"/>
      <c r="CR357" s="20"/>
      <c r="CS357" s="20"/>
      <c r="CT357" s="20"/>
      <c r="CU357" s="20"/>
      <c r="CV357" s="20"/>
      <c r="CW357" s="20"/>
      <c r="CX357" s="20"/>
      <c r="CY357" s="20"/>
      <c r="CZ357" s="20"/>
      <c r="DA357" s="20"/>
      <c r="DB357" s="20"/>
      <c r="DC357" s="20"/>
      <c r="DD357" s="20"/>
      <c r="DE357" s="20"/>
    </row>
    <row r="358" spans="2:109" ht="14" thickBot="1">
      <c r="B358" s="94">
        <v>12</v>
      </c>
      <c r="C358" s="12" t="s">
        <v>73</v>
      </c>
    </row>
    <row r="359" spans="2:109">
      <c r="C359" s="553">
        <v>2024</v>
      </c>
      <c r="E359" s="1" t="s">
        <v>59</v>
      </c>
      <c r="F359" s="2"/>
      <c r="G359" s="3"/>
      <c r="H359" s="3"/>
      <c r="I359" s="3"/>
      <c r="J359" s="3"/>
      <c r="K359" s="4">
        <f>SUM(F359:J359)</f>
        <v>0</v>
      </c>
      <c r="M359" s="2"/>
      <c r="N359" s="3"/>
      <c r="O359" s="3"/>
      <c r="P359" s="3"/>
      <c r="Q359" s="3"/>
      <c r="R359" s="4">
        <f>SUM(M359:Q359)</f>
        <v>0</v>
      </c>
      <c r="T359" s="2"/>
      <c r="U359" s="3"/>
      <c r="V359" s="3"/>
      <c r="W359" s="3"/>
      <c r="X359" s="3"/>
      <c r="Y359" s="4">
        <f>SUM(T359:X359)</f>
        <v>0</v>
      </c>
      <c r="AA359" s="2"/>
      <c r="AB359" s="3"/>
      <c r="AC359" s="3"/>
      <c r="AD359" s="3"/>
      <c r="AE359" s="3"/>
      <c r="AF359" s="4">
        <f>SUM(AA359:AE359)</f>
        <v>0</v>
      </c>
      <c r="AH359" s="2"/>
      <c r="AI359" s="3"/>
      <c r="AJ359" s="3"/>
      <c r="AK359" s="3"/>
      <c r="AL359" s="3"/>
      <c r="AM359" s="4">
        <f>SUM(AH359:AL359)</f>
        <v>0</v>
      </c>
      <c r="AO359" s="2"/>
      <c r="AP359" s="3"/>
      <c r="AQ359" s="3"/>
      <c r="AR359" s="3"/>
      <c r="AS359" s="3"/>
      <c r="AT359" s="4">
        <f>SUM(AO359:AS359)</f>
        <v>0</v>
      </c>
      <c r="AV359" s="2"/>
      <c r="AW359" s="3"/>
      <c r="AX359" s="3"/>
      <c r="AY359" s="3"/>
      <c r="AZ359" s="3"/>
      <c r="BA359" s="4">
        <f>SUM(AV359:AZ359)</f>
        <v>0</v>
      </c>
      <c r="BC359" s="2"/>
      <c r="BD359" s="3"/>
      <c r="BE359" s="3"/>
      <c r="BF359" s="3"/>
      <c r="BG359" s="3"/>
      <c r="BH359" s="4">
        <f>SUM(BC359:BG359)</f>
        <v>0</v>
      </c>
      <c r="BJ359" s="2"/>
      <c r="BK359" s="3"/>
      <c r="BL359" s="3"/>
      <c r="BM359" s="3"/>
      <c r="BN359" s="3"/>
      <c r="BO359" s="4">
        <f>SUM(BJ359:BN359)</f>
        <v>0</v>
      </c>
      <c r="BQ359" s="2"/>
      <c r="BR359" s="3"/>
      <c r="BS359" s="3"/>
      <c r="BT359" s="3"/>
      <c r="BU359" s="3"/>
      <c r="BV359" s="4">
        <f>SUM(BQ359:BU359)</f>
        <v>0</v>
      </c>
      <c r="BX359" s="2"/>
      <c r="BY359" s="3"/>
      <c r="BZ359" s="3"/>
      <c r="CA359" s="3"/>
      <c r="CB359" s="3"/>
      <c r="CC359" s="4">
        <f>SUM(BX359:CB359)</f>
        <v>0</v>
      </c>
      <c r="CE359" s="26">
        <f t="shared" ref="CE359:CE362" si="1600">F359+M359+T359+AA359+AH359+AO359+AV359+BC359+BJ359+BQ359+BX359</f>
        <v>0</v>
      </c>
      <c r="CF359" s="27">
        <f t="shared" ref="CF359:CF362" si="1601">G359+N359+U359+AB359+AI359+AP359+AW359+BD359+BK359+BR359+BY359</f>
        <v>0</v>
      </c>
      <c r="CG359" s="27">
        <f t="shared" ref="CG359:CG362" si="1602">H359+O359+V359+AC359+AJ359+AQ359+AX359+BE359+BL359+BS359+BZ359</f>
        <v>0</v>
      </c>
      <c r="CH359" s="27">
        <f t="shared" ref="CH359:CH362" si="1603">I359+P359+W359+AD359+AK359+AR359+AY359+BF359+BM359+BT359+CA359</f>
        <v>0</v>
      </c>
      <c r="CI359" s="27">
        <f t="shared" ref="CI359:CI362" si="1604">J359+Q359+X359+AE359+AL359+AS359+AZ359+BG359+BN359+BU359+CB359</f>
        <v>0</v>
      </c>
      <c r="CJ359" s="4">
        <f>SUM(CE359:CI359)</f>
        <v>0</v>
      </c>
      <c r="CL359" s="2"/>
      <c r="CM359" s="3"/>
      <c r="CN359" s="3"/>
      <c r="CO359" s="3"/>
      <c r="CP359" s="3"/>
      <c r="CQ359" s="4">
        <f>SUM(CL359:CP359)</f>
        <v>0</v>
      </c>
      <c r="CS359" s="2"/>
      <c r="CT359" s="3"/>
      <c r="CU359" s="3"/>
      <c r="CV359" s="3"/>
      <c r="CW359" s="3"/>
      <c r="CX359" s="4">
        <f>SUM(CS359:CW359)</f>
        <v>0</v>
      </c>
      <c r="CZ359" s="2"/>
      <c r="DA359" s="3"/>
      <c r="DB359" s="3"/>
      <c r="DC359" s="3"/>
      <c r="DD359" s="3"/>
      <c r="DE359" s="4">
        <f>SUM(CZ359:DD359)</f>
        <v>0</v>
      </c>
    </row>
    <row r="360" spans="2:109">
      <c r="C360" s="567"/>
      <c r="E360" s="5" t="s">
        <v>60</v>
      </c>
      <c r="F360" s="6"/>
      <c r="G360" s="7"/>
      <c r="H360" s="7"/>
      <c r="I360" s="7"/>
      <c r="J360" s="7"/>
      <c r="K360" s="8">
        <f t="shared" ref="K360:K362" si="1605">SUM(F360:J360)</f>
        <v>0</v>
      </c>
      <c r="M360" s="6"/>
      <c r="N360" s="7"/>
      <c r="O360" s="7"/>
      <c r="P360" s="7"/>
      <c r="Q360" s="7"/>
      <c r="R360" s="8">
        <f t="shared" ref="R360:R362" si="1606">SUM(M360:Q360)</f>
        <v>0</v>
      </c>
      <c r="T360" s="6"/>
      <c r="U360" s="7"/>
      <c r="V360" s="7"/>
      <c r="W360" s="7"/>
      <c r="X360" s="7"/>
      <c r="Y360" s="8">
        <f t="shared" ref="Y360:Y362" si="1607">SUM(T360:X360)</f>
        <v>0</v>
      </c>
      <c r="AA360" s="6"/>
      <c r="AB360" s="7"/>
      <c r="AC360" s="7"/>
      <c r="AD360" s="7"/>
      <c r="AE360" s="7"/>
      <c r="AF360" s="8">
        <f>SUM(AA360:AE360)</f>
        <v>0</v>
      </c>
      <c r="AH360" s="6"/>
      <c r="AI360" s="7"/>
      <c r="AJ360" s="7"/>
      <c r="AK360" s="7"/>
      <c r="AL360" s="7"/>
      <c r="AM360" s="8">
        <f>SUM(AH360:AL360)</f>
        <v>0</v>
      </c>
      <c r="AO360" s="6"/>
      <c r="AP360" s="7"/>
      <c r="AQ360" s="7"/>
      <c r="AR360" s="7"/>
      <c r="AS360" s="7"/>
      <c r="AT360" s="8">
        <f>SUM(AO360:AS360)</f>
        <v>0</v>
      </c>
      <c r="AV360" s="6"/>
      <c r="AW360" s="7"/>
      <c r="AX360" s="7"/>
      <c r="AY360" s="7"/>
      <c r="AZ360" s="7"/>
      <c r="BA360" s="8">
        <f>SUM(AV360:AZ360)</f>
        <v>0</v>
      </c>
      <c r="BC360" s="6"/>
      <c r="BD360" s="7"/>
      <c r="BE360" s="7"/>
      <c r="BF360" s="7"/>
      <c r="BG360" s="7"/>
      <c r="BH360" s="8">
        <f>SUM(BC360:BG360)</f>
        <v>0</v>
      </c>
      <c r="BJ360" s="6"/>
      <c r="BK360" s="7"/>
      <c r="BL360" s="7"/>
      <c r="BM360" s="7"/>
      <c r="BN360" s="7"/>
      <c r="BO360" s="8">
        <f>SUM(BJ360:BN360)</f>
        <v>0</v>
      </c>
      <c r="BQ360" s="6"/>
      <c r="BR360" s="7"/>
      <c r="BS360" s="7"/>
      <c r="BT360" s="7"/>
      <c r="BU360" s="7"/>
      <c r="BV360" s="8">
        <f>SUM(BQ360:BU360)</f>
        <v>0</v>
      </c>
      <c r="BX360" s="6"/>
      <c r="BY360" s="7"/>
      <c r="BZ360" s="7"/>
      <c r="CA360" s="7"/>
      <c r="CB360" s="7"/>
      <c r="CC360" s="8">
        <f>SUM(BX360:CB360)</f>
        <v>0</v>
      </c>
      <c r="CE360" s="28">
        <f t="shared" si="1600"/>
        <v>0</v>
      </c>
      <c r="CF360" s="29">
        <f t="shared" si="1601"/>
        <v>0</v>
      </c>
      <c r="CG360" s="29">
        <f t="shared" si="1602"/>
        <v>0</v>
      </c>
      <c r="CH360" s="29">
        <f t="shared" si="1603"/>
        <v>0</v>
      </c>
      <c r="CI360" s="29">
        <f t="shared" si="1604"/>
        <v>0</v>
      </c>
      <c r="CJ360" s="8">
        <f>SUM(CE360:CI360)</f>
        <v>0</v>
      </c>
      <c r="CL360" s="6"/>
      <c r="CM360" s="7"/>
      <c r="CN360" s="7"/>
      <c r="CO360" s="7"/>
      <c r="CP360" s="7"/>
      <c r="CQ360" s="8">
        <f>SUM(CL360:CP360)</f>
        <v>0</v>
      </c>
      <c r="CS360" s="6"/>
      <c r="CT360" s="7"/>
      <c r="CU360" s="7"/>
      <c r="CV360" s="7"/>
      <c r="CW360" s="7"/>
      <c r="CX360" s="8">
        <f t="shared" ref="CX360:CX362" si="1608">SUM(CS360:CW360)</f>
        <v>0</v>
      </c>
      <c r="CZ360" s="6"/>
      <c r="DA360" s="7"/>
      <c r="DB360" s="7"/>
      <c r="DC360" s="7"/>
      <c r="DD360" s="7"/>
      <c r="DE360" s="8">
        <f t="shared" ref="DE360:DE362" si="1609">SUM(CZ360:DD360)</f>
        <v>0</v>
      </c>
    </row>
    <row r="361" spans="2:109">
      <c r="C361" s="567"/>
      <c r="E361" s="5" t="s">
        <v>61</v>
      </c>
      <c r="F361" s="6"/>
      <c r="G361" s="7"/>
      <c r="H361" s="7"/>
      <c r="I361" s="7"/>
      <c r="J361" s="7"/>
      <c r="K361" s="8">
        <f t="shared" si="1605"/>
        <v>0</v>
      </c>
      <c r="M361" s="6"/>
      <c r="N361" s="7"/>
      <c r="O361" s="7"/>
      <c r="P361" s="7"/>
      <c r="Q361" s="7"/>
      <c r="R361" s="8">
        <f t="shared" si="1606"/>
        <v>0</v>
      </c>
      <c r="T361" s="6"/>
      <c r="U361" s="7"/>
      <c r="V361" s="7"/>
      <c r="W361" s="7"/>
      <c r="X361" s="7"/>
      <c r="Y361" s="8">
        <f t="shared" si="1607"/>
        <v>0</v>
      </c>
      <c r="AA361" s="6"/>
      <c r="AB361" s="7"/>
      <c r="AC361" s="7"/>
      <c r="AD361" s="7"/>
      <c r="AE361" s="7"/>
      <c r="AF361" s="8">
        <f>SUM(AA361:AE361)</f>
        <v>0</v>
      </c>
      <c r="AH361" s="6"/>
      <c r="AI361" s="7"/>
      <c r="AJ361" s="7"/>
      <c r="AK361" s="7"/>
      <c r="AL361" s="7"/>
      <c r="AM361" s="8">
        <f>SUM(AH361:AL361)</f>
        <v>0</v>
      </c>
      <c r="AO361" s="6"/>
      <c r="AP361" s="7"/>
      <c r="AQ361" s="7"/>
      <c r="AR361" s="7"/>
      <c r="AS361" s="7"/>
      <c r="AT361" s="8">
        <f>SUM(AO361:AS361)</f>
        <v>0</v>
      </c>
      <c r="AV361" s="6"/>
      <c r="AW361" s="7"/>
      <c r="AX361" s="7"/>
      <c r="AY361" s="7"/>
      <c r="AZ361" s="7"/>
      <c r="BA361" s="8">
        <f>SUM(AV361:AZ361)</f>
        <v>0</v>
      </c>
      <c r="BC361" s="6"/>
      <c r="BD361" s="7"/>
      <c r="BE361" s="7"/>
      <c r="BF361" s="7"/>
      <c r="BG361" s="7"/>
      <c r="BH361" s="8">
        <f>SUM(BC361:BG361)</f>
        <v>0</v>
      </c>
      <c r="BJ361" s="6"/>
      <c r="BK361" s="7"/>
      <c r="BL361" s="7"/>
      <c r="BM361" s="7"/>
      <c r="BN361" s="7"/>
      <c r="BO361" s="8">
        <f>SUM(BJ361:BN361)</f>
        <v>0</v>
      </c>
      <c r="BQ361" s="6"/>
      <c r="BR361" s="7"/>
      <c r="BS361" s="7"/>
      <c r="BT361" s="7"/>
      <c r="BU361" s="7"/>
      <c r="BV361" s="8">
        <f>SUM(BQ361:BU361)</f>
        <v>0</v>
      </c>
      <c r="BX361" s="6"/>
      <c r="BY361" s="7"/>
      <c r="BZ361" s="7"/>
      <c r="CA361" s="7"/>
      <c r="CB361" s="7"/>
      <c r="CC361" s="8">
        <f>SUM(BX361:CB361)</f>
        <v>0</v>
      </c>
      <c r="CE361" s="28">
        <f t="shared" si="1600"/>
        <v>0</v>
      </c>
      <c r="CF361" s="29">
        <f t="shared" si="1601"/>
        <v>0</v>
      </c>
      <c r="CG361" s="29">
        <f t="shared" si="1602"/>
        <v>0</v>
      </c>
      <c r="CH361" s="29">
        <f t="shared" si="1603"/>
        <v>0</v>
      </c>
      <c r="CI361" s="29">
        <f t="shared" si="1604"/>
        <v>0</v>
      </c>
      <c r="CJ361" s="8">
        <f>SUM(CE361:CI361)</f>
        <v>0</v>
      </c>
      <c r="CL361" s="6"/>
      <c r="CM361" s="7"/>
      <c r="CN361" s="7"/>
      <c r="CO361" s="7"/>
      <c r="CP361" s="7"/>
      <c r="CQ361" s="8">
        <f>SUM(CL361:CP361)</f>
        <v>0</v>
      </c>
      <c r="CS361" s="6"/>
      <c r="CT361" s="7"/>
      <c r="CU361" s="7"/>
      <c r="CV361" s="7"/>
      <c r="CW361" s="7"/>
      <c r="CX361" s="8">
        <f t="shared" si="1608"/>
        <v>0</v>
      </c>
      <c r="CZ361" s="6"/>
      <c r="DA361" s="7"/>
      <c r="DB361" s="7"/>
      <c r="DC361" s="7"/>
      <c r="DD361" s="7"/>
      <c r="DE361" s="8">
        <f t="shared" si="1609"/>
        <v>0</v>
      </c>
    </row>
    <row r="362" spans="2:109" ht="14" thickBot="1">
      <c r="C362" s="567"/>
      <c r="E362" s="5" t="s">
        <v>62</v>
      </c>
      <c r="F362" s="6"/>
      <c r="G362" s="7"/>
      <c r="H362" s="7"/>
      <c r="I362" s="7"/>
      <c r="J362" s="7"/>
      <c r="K362" s="8">
        <f t="shared" si="1605"/>
        <v>0</v>
      </c>
      <c r="M362" s="6"/>
      <c r="N362" s="7"/>
      <c r="O362" s="7"/>
      <c r="P362" s="7"/>
      <c r="Q362" s="7"/>
      <c r="R362" s="8">
        <f t="shared" si="1606"/>
        <v>0</v>
      </c>
      <c r="T362" s="6"/>
      <c r="U362" s="7"/>
      <c r="V362" s="7"/>
      <c r="W362" s="7"/>
      <c r="X362" s="7"/>
      <c r="Y362" s="8">
        <f t="shared" si="1607"/>
        <v>0</v>
      </c>
      <c r="AA362" s="6"/>
      <c r="AB362" s="7"/>
      <c r="AC362" s="7"/>
      <c r="AD362" s="7"/>
      <c r="AE362" s="7"/>
      <c r="AF362" s="8">
        <f>SUM(AA362:AE362)</f>
        <v>0</v>
      </c>
      <c r="AH362" s="6"/>
      <c r="AI362" s="7"/>
      <c r="AJ362" s="7"/>
      <c r="AK362" s="7"/>
      <c r="AL362" s="7"/>
      <c r="AM362" s="8">
        <f>SUM(AH362:AL362)</f>
        <v>0</v>
      </c>
      <c r="AO362" s="6"/>
      <c r="AP362" s="7"/>
      <c r="AQ362" s="7"/>
      <c r="AR362" s="7"/>
      <c r="AS362" s="7"/>
      <c r="AT362" s="8">
        <f>SUM(AO362:AS362)</f>
        <v>0</v>
      </c>
      <c r="AV362" s="6"/>
      <c r="AW362" s="7"/>
      <c r="AX362" s="7"/>
      <c r="AY362" s="7"/>
      <c r="AZ362" s="7"/>
      <c r="BA362" s="8">
        <f>SUM(AV362:AZ362)</f>
        <v>0</v>
      </c>
      <c r="BC362" s="6"/>
      <c r="BD362" s="7"/>
      <c r="BE362" s="7"/>
      <c r="BF362" s="7"/>
      <c r="BG362" s="7"/>
      <c r="BH362" s="8">
        <f>SUM(BC362:BG362)</f>
        <v>0</v>
      </c>
      <c r="BJ362" s="6"/>
      <c r="BK362" s="7"/>
      <c r="BL362" s="7"/>
      <c r="BM362" s="7"/>
      <c r="BN362" s="7"/>
      <c r="BO362" s="8">
        <f>SUM(BJ362:BN362)</f>
        <v>0</v>
      </c>
      <c r="BQ362" s="6"/>
      <c r="BR362" s="7"/>
      <c r="BS362" s="7"/>
      <c r="BT362" s="7"/>
      <c r="BU362" s="7"/>
      <c r="BV362" s="8">
        <f>SUM(BQ362:BU362)</f>
        <v>0</v>
      </c>
      <c r="BX362" s="6"/>
      <c r="BY362" s="7"/>
      <c r="BZ362" s="7"/>
      <c r="CA362" s="7"/>
      <c r="CB362" s="7"/>
      <c r="CC362" s="8">
        <f>SUM(BX362:CB362)</f>
        <v>0</v>
      </c>
      <c r="CE362" s="493">
        <f t="shared" si="1600"/>
        <v>0</v>
      </c>
      <c r="CF362" s="494">
        <f t="shared" si="1601"/>
        <v>0</v>
      </c>
      <c r="CG362" s="494">
        <f t="shared" si="1602"/>
        <v>0</v>
      </c>
      <c r="CH362" s="494">
        <f t="shared" si="1603"/>
        <v>0</v>
      </c>
      <c r="CI362" s="494">
        <f t="shared" si="1604"/>
        <v>0</v>
      </c>
      <c r="CJ362" s="495">
        <f>SUM(CE362:CI362)</f>
        <v>0</v>
      </c>
      <c r="CL362" s="6"/>
      <c r="CM362" s="7"/>
      <c r="CN362" s="7"/>
      <c r="CO362" s="7"/>
      <c r="CP362" s="7"/>
      <c r="CQ362" s="8">
        <f>SUM(CL362:CP362)</f>
        <v>0</v>
      </c>
      <c r="CS362" s="6"/>
      <c r="CT362" s="7"/>
      <c r="CU362" s="7"/>
      <c r="CV362" s="7"/>
      <c r="CW362" s="7"/>
      <c r="CX362" s="8">
        <f t="shared" si="1608"/>
        <v>0</v>
      </c>
      <c r="CZ362" s="6"/>
      <c r="DA362" s="7"/>
      <c r="DB362" s="7"/>
      <c r="DC362" s="7"/>
      <c r="DD362" s="7"/>
      <c r="DE362" s="8">
        <f t="shared" si="1609"/>
        <v>0</v>
      </c>
    </row>
    <row r="363" spans="2:109" ht="14" thickBot="1">
      <c r="C363" s="554"/>
      <c r="E363" s="9"/>
      <c r="F363" s="10">
        <f>SUM(F359:F362)</f>
        <v>0</v>
      </c>
      <c r="G363" s="11">
        <f t="shared" ref="G363:J363" si="1610">SUM(G359:G362)</f>
        <v>0</v>
      </c>
      <c r="H363" s="11">
        <f t="shared" si="1610"/>
        <v>0</v>
      </c>
      <c r="I363" s="11">
        <f t="shared" si="1610"/>
        <v>0</v>
      </c>
      <c r="J363" s="61">
        <f t="shared" si="1610"/>
        <v>0</v>
      </c>
      <c r="K363" s="25">
        <f>SUM(K359:K362)</f>
        <v>0</v>
      </c>
      <c r="M363" s="10">
        <f>SUM(M359:M362)</f>
        <v>0</v>
      </c>
      <c r="N363" s="11">
        <f t="shared" ref="N363:Q363" si="1611">SUM(N359:N362)</f>
        <v>0</v>
      </c>
      <c r="O363" s="11">
        <f t="shared" si="1611"/>
        <v>0</v>
      </c>
      <c r="P363" s="11">
        <f t="shared" si="1611"/>
        <v>0</v>
      </c>
      <c r="Q363" s="11">
        <f t="shared" si="1611"/>
        <v>0</v>
      </c>
      <c r="R363" s="25">
        <f>SUM(R359:R362)</f>
        <v>0</v>
      </c>
      <c r="T363" s="10">
        <f>SUM(T359:T362)</f>
        <v>0</v>
      </c>
      <c r="U363" s="11">
        <f t="shared" ref="U363:X363" si="1612">SUM(U359:U362)</f>
        <v>0</v>
      </c>
      <c r="V363" s="11">
        <f t="shared" si="1612"/>
        <v>0</v>
      </c>
      <c r="W363" s="11">
        <f t="shared" si="1612"/>
        <v>0</v>
      </c>
      <c r="X363" s="11">
        <f t="shared" si="1612"/>
        <v>0</v>
      </c>
      <c r="Y363" s="25">
        <f>SUM(Y359:Y362)</f>
        <v>0</v>
      </c>
      <c r="AA363" s="10">
        <f>SUM(AA359:AA362)</f>
        <v>0</v>
      </c>
      <c r="AB363" s="11">
        <f t="shared" ref="AB363:AE363" si="1613">SUM(AB359:AB362)</f>
        <v>0</v>
      </c>
      <c r="AC363" s="11">
        <f t="shared" si="1613"/>
        <v>0</v>
      </c>
      <c r="AD363" s="11">
        <f t="shared" si="1613"/>
        <v>0</v>
      </c>
      <c r="AE363" s="11">
        <f t="shared" si="1613"/>
        <v>0</v>
      </c>
      <c r="AF363" s="25">
        <f>SUM(AF359:AF362)</f>
        <v>0</v>
      </c>
      <c r="AH363" s="10">
        <f t="shared" ref="AH363:AM363" si="1614">SUM(AH359:AH362)</f>
        <v>0</v>
      </c>
      <c r="AI363" s="11">
        <f t="shared" si="1614"/>
        <v>0</v>
      </c>
      <c r="AJ363" s="11">
        <f t="shared" si="1614"/>
        <v>0</v>
      </c>
      <c r="AK363" s="11">
        <f t="shared" si="1614"/>
        <v>0</v>
      </c>
      <c r="AL363" s="11">
        <f t="shared" si="1614"/>
        <v>0</v>
      </c>
      <c r="AM363" s="25">
        <f t="shared" si="1614"/>
        <v>0</v>
      </c>
      <c r="AO363" s="10">
        <f t="shared" ref="AO363:AT363" si="1615">SUM(AO359:AO362)</f>
        <v>0</v>
      </c>
      <c r="AP363" s="11">
        <f t="shared" si="1615"/>
        <v>0</v>
      </c>
      <c r="AQ363" s="11">
        <f t="shared" si="1615"/>
        <v>0</v>
      </c>
      <c r="AR363" s="11">
        <f t="shared" si="1615"/>
        <v>0</v>
      </c>
      <c r="AS363" s="11">
        <f t="shared" si="1615"/>
        <v>0</v>
      </c>
      <c r="AT363" s="25">
        <f t="shared" si="1615"/>
        <v>0</v>
      </c>
      <c r="AV363" s="10">
        <f t="shared" ref="AV363:BA363" si="1616">SUM(AV359:AV362)</f>
        <v>0</v>
      </c>
      <c r="AW363" s="11">
        <f t="shared" si="1616"/>
        <v>0</v>
      </c>
      <c r="AX363" s="11">
        <f t="shared" si="1616"/>
        <v>0</v>
      </c>
      <c r="AY363" s="11">
        <f t="shared" si="1616"/>
        <v>0</v>
      </c>
      <c r="AZ363" s="11">
        <f t="shared" si="1616"/>
        <v>0</v>
      </c>
      <c r="BA363" s="25">
        <f t="shared" si="1616"/>
        <v>0</v>
      </c>
      <c r="BC363" s="10">
        <f t="shared" ref="BC363:BH363" si="1617">SUM(BC359:BC362)</f>
        <v>0</v>
      </c>
      <c r="BD363" s="11">
        <f t="shared" si="1617"/>
        <v>0</v>
      </c>
      <c r="BE363" s="11">
        <f t="shared" si="1617"/>
        <v>0</v>
      </c>
      <c r="BF363" s="11">
        <f t="shared" si="1617"/>
        <v>0</v>
      </c>
      <c r="BG363" s="11">
        <f t="shared" si="1617"/>
        <v>0</v>
      </c>
      <c r="BH363" s="25">
        <f t="shared" si="1617"/>
        <v>0</v>
      </c>
      <c r="BJ363" s="10">
        <f t="shared" ref="BJ363:BO363" si="1618">SUM(BJ359:BJ362)</f>
        <v>0</v>
      </c>
      <c r="BK363" s="11">
        <f t="shared" si="1618"/>
        <v>0</v>
      </c>
      <c r="BL363" s="11">
        <f t="shared" si="1618"/>
        <v>0</v>
      </c>
      <c r="BM363" s="11">
        <f t="shared" si="1618"/>
        <v>0</v>
      </c>
      <c r="BN363" s="11">
        <f t="shared" si="1618"/>
        <v>0</v>
      </c>
      <c r="BO363" s="25">
        <f t="shared" si="1618"/>
        <v>0</v>
      </c>
      <c r="BQ363" s="10">
        <f t="shared" ref="BQ363:BV363" si="1619">SUM(BQ359:BQ362)</f>
        <v>0</v>
      </c>
      <c r="BR363" s="11">
        <f t="shared" si="1619"/>
        <v>0</v>
      </c>
      <c r="BS363" s="11">
        <f t="shared" si="1619"/>
        <v>0</v>
      </c>
      <c r="BT363" s="11">
        <f t="shared" si="1619"/>
        <v>0</v>
      </c>
      <c r="BU363" s="11">
        <f t="shared" si="1619"/>
        <v>0</v>
      </c>
      <c r="BV363" s="25">
        <f t="shared" si="1619"/>
        <v>0</v>
      </c>
      <c r="BX363" s="10">
        <f t="shared" ref="BX363:CC363" si="1620">SUM(BX359:BX362)</f>
        <v>0</v>
      </c>
      <c r="BY363" s="11">
        <f t="shared" si="1620"/>
        <v>0</v>
      </c>
      <c r="BZ363" s="11">
        <f t="shared" si="1620"/>
        <v>0</v>
      </c>
      <c r="CA363" s="11">
        <f t="shared" si="1620"/>
        <v>0</v>
      </c>
      <c r="CB363" s="11">
        <f t="shared" si="1620"/>
        <v>0</v>
      </c>
      <c r="CC363" s="25">
        <f t="shared" si="1620"/>
        <v>0</v>
      </c>
      <c r="CE363" s="62">
        <f t="shared" ref="CE363:CJ363" si="1621">SUM(CE359:CE362)</f>
        <v>0</v>
      </c>
      <c r="CF363" s="63">
        <f t="shared" si="1621"/>
        <v>0</v>
      </c>
      <c r="CG363" s="63">
        <f t="shared" si="1621"/>
        <v>0</v>
      </c>
      <c r="CH363" s="63">
        <f t="shared" si="1621"/>
        <v>0</v>
      </c>
      <c r="CI363" s="63">
        <f t="shared" si="1621"/>
        <v>0</v>
      </c>
      <c r="CJ363" s="25">
        <f t="shared" si="1621"/>
        <v>0</v>
      </c>
      <c r="CL363" s="10">
        <f>SUM(CL359:CL362)</f>
        <v>0</v>
      </c>
      <c r="CM363" s="11">
        <f t="shared" ref="CM363:CQ363" si="1622">SUM(CM359:CM362)</f>
        <v>0</v>
      </c>
      <c r="CN363" s="11">
        <f t="shared" si="1622"/>
        <v>0</v>
      </c>
      <c r="CO363" s="11">
        <f t="shared" si="1622"/>
        <v>0</v>
      </c>
      <c r="CP363" s="11">
        <f t="shared" si="1622"/>
        <v>0</v>
      </c>
      <c r="CQ363" s="25">
        <f t="shared" si="1622"/>
        <v>0</v>
      </c>
      <c r="CS363" s="10">
        <f>SUM(CS359:CS362)</f>
        <v>0</v>
      </c>
      <c r="CT363" s="11">
        <f t="shared" ref="CT363:CW363" si="1623">SUM(CT359:CT362)</f>
        <v>0</v>
      </c>
      <c r="CU363" s="11">
        <f t="shared" si="1623"/>
        <v>0</v>
      </c>
      <c r="CV363" s="11">
        <f t="shared" si="1623"/>
        <v>0</v>
      </c>
      <c r="CW363" s="11">
        <f t="shared" si="1623"/>
        <v>0</v>
      </c>
      <c r="CX363" s="25">
        <f>SUM(CX359:CX362)</f>
        <v>0</v>
      </c>
      <c r="CZ363" s="10">
        <f>SUM(CZ359:CZ362)</f>
        <v>0</v>
      </c>
      <c r="DA363" s="11">
        <f t="shared" ref="DA363:DD363" si="1624">SUM(DA359:DA362)</f>
        <v>0</v>
      </c>
      <c r="DB363" s="11">
        <f t="shared" si="1624"/>
        <v>0</v>
      </c>
      <c r="DC363" s="11">
        <f t="shared" si="1624"/>
        <v>0</v>
      </c>
      <c r="DD363" s="11">
        <f t="shared" si="1624"/>
        <v>0</v>
      </c>
      <c r="DE363" s="25">
        <f>SUM(DE359:DE362)</f>
        <v>0</v>
      </c>
    </row>
    <row r="364" spans="2:109" ht="10.4" customHeight="1" thickBot="1"/>
    <row r="365" spans="2:109">
      <c r="C365" s="553">
        <v>2025</v>
      </c>
      <c r="E365" s="13" t="s">
        <v>59</v>
      </c>
      <c r="F365" s="21">
        <f>CE359</f>
        <v>0</v>
      </c>
      <c r="G365" s="22">
        <f t="shared" ref="G365:G368" si="1625">CF359</f>
        <v>0</v>
      </c>
      <c r="H365" s="22">
        <f t="shared" ref="H365:H368" si="1626">CG359</f>
        <v>0</v>
      </c>
      <c r="I365" s="22">
        <f t="shared" ref="I365:I368" si="1627">CH359</f>
        <v>0</v>
      </c>
      <c r="J365" s="22">
        <f t="shared" ref="J365:J368" si="1628">CI359</f>
        <v>0</v>
      </c>
      <c r="K365" s="15">
        <f>SUM(F365:J365)</f>
        <v>0</v>
      </c>
      <c r="M365" s="2"/>
      <c r="N365" s="3"/>
      <c r="O365" s="3"/>
      <c r="P365" s="3"/>
      <c r="Q365" s="3"/>
      <c r="R365" s="15">
        <f>SUM(M365:Q365)</f>
        <v>0</v>
      </c>
      <c r="T365" s="2"/>
      <c r="U365" s="3"/>
      <c r="V365" s="3"/>
      <c r="W365" s="3"/>
      <c r="X365" s="3"/>
      <c r="Y365" s="15">
        <f>SUM(T365:X365)</f>
        <v>0</v>
      </c>
      <c r="AA365" s="2"/>
      <c r="AB365" s="3"/>
      <c r="AC365" s="3"/>
      <c r="AD365" s="3"/>
      <c r="AE365" s="3"/>
      <c r="AF365" s="15">
        <f>SUM(AA365:AE365)</f>
        <v>0</v>
      </c>
      <c r="AH365" s="2"/>
      <c r="AI365" s="3"/>
      <c r="AJ365" s="3"/>
      <c r="AK365" s="3"/>
      <c r="AL365" s="3"/>
      <c r="AM365" s="15">
        <f>SUM(AH365:AL365)</f>
        <v>0</v>
      </c>
      <c r="AO365" s="2"/>
      <c r="AP365" s="3"/>
      <c r="AQ365" s="3"/>
      <c r="AR365" s="3"/>
      <c r="AS365" s="3"/>
      <c r="AT365" s="15">
        <f>SUM(AO365:AS365)</f>
        <v>0</v>
      </c>
      <c r="AV365" s="2"/>
      <c r="AW365" s="3"/>
      <c r="AX365" s="3"/>
      <c r="AY365" s="3"/>
      <c r="AZ365" s="3"/>
      <c r="BA365" s="15">
        <f>SUM(AV365:AZ365)</f>
        <v>0</v>
      </c>
      <c r="BC365" s="2"/>
      <c r="BD365" s="3"/>
      <c r="BE365" s="3"/>
      <c r="BF365" s="3"/>
      <c r="BG365" s="3"/>
      <c r="BH365" s="15">
        <f>SUM(BC365:BG365)</f>
        <v>0</v>
      </c>
      <c r="BJ365" s="2"/>
      <c r="BK365" s="3"/>
      <c r="BL365" s="3"/>
      <c r="BM365" s="3"/>
      <c r="BN365" s="3"/>
      <c r="BO365" s="15">
        <f>SUM(BJ365:BN365)</f>
        <v>0</v>
      </c>
      <c r="BQ365" s="2"/>
      <c r="BR365" s="3"/>
      <c r="BS365" s="3"/>
      <c r="BT365" s="3"/>
      <c r="BU365" s="3"/>
      <c r="BV365" s="15">
        <f>SUM(BQ365:BU365)</f>
        <v>0</v>
      </c>
      <c r="BX365" s="2"/>
      <c r="BY365" s="3"/>
      <c r="BZ365" s="3"/>
      <c r="CA365" s="3"/>
      <c r="CB365" s="3"/>
      <c r="CC365" s="15">
        <f>SUM(BX365:CB365)</f>
        <v>0</v>
      </c>
      <c r="CE365" s="26">
        <f t="shared" ref="CE365:CE368" si="1629">F365+M365+T365+AA365+AH365+AO365+AV365+BC365+BJ365+BQ365+BX365</f>
        <v>0</v>
      </c>
      <c r="CF365" s="27">
        <f t="shared" ref="CF365:CF368" si="1630">G365+N365+U365+AB365+AI365+AP365+AW365+BD365+BK365+BR365+BY365</f>
        <v>0</v>
      </c>
      <c r="CG365" s="27">
        <f t="shared" ref="CG365:CG368" si="1631">H365+O365+V365+AC365+AJ365+AQ365+AX365+BE365+BL365+BS365+BZ365</f>
        <v>0</v>
      </c>
      <c r="CH365" s="27">
        <f t="shared" ref="CH365:CH368" si="1632">I365+P365+W365+AD365+AK365+AR365+AY365+BF365+BM365+BT365+CA365</f>
        <v>0</v>
      </c>
      <c r="CI365" s="27">
        <f t="shared" ref="CI365:CI368" si="1633">J365+Q365+X365+AE365+AL365+AS365+AZ365+BG365+BN365+BU365+CB365</f>
        <v>0</v>
      </c>
      <c r="CJ365" s="4">
        <f>SUM(CE365:CI365)</f>
        <v>0</v>
      </c>
      <c r="CL365" s="2"/>
      <c r="CM365" s="3"/>
      <c r="CN365" s="3"/>
      <c r="CO365" s="3"/>
      <c r="CP365" s="3"/>
      <c r="CQ365" s="15">
        <f>SUM(CL365:CP365)</f>
        <v>0</v>
      </c>
      <c r="CS365" s="2"/>
      <c r="CT365" s="3"/>
      <c r="CU365" s="3"/>
      <c r="CV365" s="3"/>
      <c r="CW365" s="3"/>
      <c r="CX365" s="15">
        <f>SUM(CS365:CW365)</f>
        <v>0</v>
      </c>
      <c r="CZ365" s="2"/>
      <c r="DA365" s="3"/>
      <c r="DB365" s="3"/>
      <c r="DC365" s="3"/>
      <c r="DD365" s="3"/>
      <c r="DE365" s="15">
        <f>SUM(CZ365:DD365)</f>
        <v>0</v>
      </c>
    </row>
    <row r="366" spans="2:109">
      <c r="C366" s="567"/>
      <c r="E366" s="14" t="s">
        <v>60</v>
      </c>
      <c r="F366" s="23">
        <f t="shared" ref="F366:F368" si="1634">CE360</f>
        <v>0</v>
      </c>
      <c r="G366" s="24">
        <f t="shared" si="1625"/>
        <v>0</v>
      </c>
      <c r="H366" s="24">
        <f t="shared" si="1626"/>
        <v>0</v>
      </c>
      <c r="I366" s="24">
        <f t="shared" si="1627"/>
        <v>0</v>
      </c>
      <c r="J366" s="24">
        <f t="shared" si="1628"/>
        <v>0</v>
      </c>
      <c r="K366" s="16">
        <f t="shared" ref="K366:K368" si="1635">SUM(F366:J366)</f>
        <v>0</v>
      </c>
      <c r="M366" s="6"/>
      <c r="N366" s="7"/>
      <c r="O366" s="7"/>
      <c r="P366" s="7"/>
      <c r="Q366" s="7"/>
      <c r="R366" s="16">
        <f t="shared" ref="R366:R368" si="1636">SUM(M366:Q366)</f>
        <v>0</v>
      </c>
      <c r="T366" s="6"/>
      <c r="U366" s="7"/>
      <c r="V366" s="7"/>
      <c r="W366" s="7"/>
      <c r="X366" s="7"/>
      <c r="Y366" s="16">
        <f t="shared" ref="Y366:Y368" si="1637">SUM(T366:X366)</f>
        <v>0</v>
      </c>
      <c r="AA366" s="6"/>
      <c r="AB366" s="7"/>
      <c r="AC366" s="7"/>
      <c r="AD366" s="7"/>
      <c r="AE366" s="7"/>
      <c r="AF366" s="16">
        <f>SUM(AA366:AE366)</f>
        <v>0</v>
      </c>
      <c r="AH366" s="6"/>
      <c r="AI366" s="7"/>
      <c r="AJ366" s="7"/>
      <c r="AK366" s="7"/>
      <c r="AL366" s="7"/>
      <c r="AM366" s="16">
        <f>SUM(AH366:AL366)</f>
        <v>0</v>
      </c>
      <c r="AO366" s="6"/>
      <c r="AP366" s="7"/>
      <c r="AQ366" s="7"/>
      <c r="AR366" s="7"/>
      <c r="AS366" s="7"/>
      <c r="AT366" s="16">
        <f>SUM(AO366:AS366)</f>
        <v>0</v>
      </c>
      <c r="AV366" s="6"/>
      <c r="AW366" s="7"/>
      <c r="AX366" s="7"/>
      <c r="AY366" s="7"/>
      <c r="AZ366" s="7"/>
      <c r="BA366" s="16">
        <f>SUM(AV366:AZ366)</f>
        <v>0</v>
      </c>
      <c r="BC366" s="6"/>
      <c r="BD366" s="7"/>
      <c r="BE366" s="7"/>
      <c r="BF366" s="7"/>
      <c r="BG366" s="7"/>
      <c r="BH366" s="16">
        <f>SUM(BC366:BG366)</f>
        <v>0</v>
      </c>
      <c r="BJ366" s="6"/>
      <c r="BK366" s="7"/>
      <c r="BL366" s="7"/>
      <c r="BM366" s="7"/>
      <c r="BN366" s="7"/>
      <c r="BO366" s="16">
        <f>SUM(BJ366:BN366)</f>
        <v>0</v>
      </c>
      <c r="BQ366" s="6"/>
      <c r="BR366" s="7"/>
      <c r="BS366" s="7"/>
      <c r="BT366" s="7"/>
      <c r="BU366" s="7"/>
      <c r="BV366" s="16">
        <f>SUM(BQ366:BU366)</f>
        <v>0</v>
      </c>
      <c r="BX366" s="6"/>
      <c r="BY366" s="7"/>
      <c r="BZ366" s="7"/>
      <c r="CA366" s="7"/>
      <c r="CB366" s="7"/>
      <c r="CC366" s="16">
        <f>SUM(BX366:CB366)</f>
        <v>0</v>
      </c>
      <c r="CE366" s="28">
        <f t="shared" si="1629"/>
        <v>0</v>
      </c>
      <c r="CF366" s="29">
        <f t="shared" si="1630"/>
        <v>0</v>
      </c>
      <c r="CG366" s="29">
        <f t="shared" si="1631"/>
        <v>0</v>
      </c>
      <c r="CH366" s="29">
        <f t="shared" si="1632"/>
        <v>0</v>
      </c>
      <c r="CI366" s="29">
        <f t="shared" si="1633"/>
        <v>0</v>
      </c>
      <c r="CJ366" s="8">
        <f>SUM(CE366:CI366)</f>
        <v>0</v>
      </c>
      <c r="CL366" s="6"/>
      <c r="CM366" s="7"/>
      <c r="CN366" s="7"/>
      <c r="CO366" s="7"/>
      <c r="CP366" s="7"/>
      <c r="CQ366" s="16">
        <f>SUM(CL366:CP366)</f>
        <v>0</v>
      </c>
      <c r="CS366" s="6"/>
      <c r="CT366" s="7"/>
      <c r="CU366" s="7"/>
      <c r="CV366" s="7"/>
      <c r="CW366" s="7"/>
      <c r="CX366" s="16">
        <f t="shared" ref="CX366:CX368" si="1638">SUM(CS366:CW366)</f>
        <v>0</v>
      </c>
      <c r="CZ366" s="6"/>
      <c r="DA366" s="7"/>
      <c r="DB366" s="7"/>
      <c r="DC366" s="7"/>
      <c r="DD366" s="7"/>
      <c r="DE366" s="16">
        <f t="shared" ref="DE366:DE368" si="1639">SUM(CZ366:DD366)</f>
        <v>0</v>
      </c>
    </row>
    <row r="367" spans="2:109">
      <c r="C367" s="567"/>
      <c r="E367" s="14" t="s">
        <v>61</v>
      </c>
      <c r="F367" s="23">
        <f t="shared" si="1634"/>
        <v>0</v>
      </c>
      <c r="G367" s="24">
        <f t="shared" si="1625"/>
        <v>0</v>
      </c>
      <c r="H367" s="24">
        <f t="shared" si="1626"/>
        <v>0</v>
      </c>
      <c r="I367" s="24">
        <f t="shared" si="1627"/>
        <v>0</v>
      </c>
      <c r="J367" s="24">
        <f t="shared" si="1628"/>
        <v>0</v>
      </c>
      <c r="K367" s="16">
        <f t="shared" si="1635"/>
        <v>0</v>
      </c>
      <c r="M367" s="6"/>
      <c r="N367" s="7"/>
      <c r="O367" s="7"/>
      <c r="P367" s="7"/>
      <c r="Q367" s="7"/>
      <c r="R367" s="16">
        <f t="shared" si="1636"/>
        <v>0</v>
      </c>
      <c r="T367" s="6"/>
      <c r="U367" s="7"/>
      <c r="V367" s="7"/>
      <c r="W367" s="7"/>
      <c r="X367" s="7"/>
      <c r="Y367" s="16">
        <f t="shared" si="1637"/>
        <v>0</v>
      </c>
      <c r="AA367" s="6"/>
      <c r="AB367" s="7"/>
      <c r="AC367" s="7"/>
      <c r="AD367" s="7"/>
      <c r="AE367" s="7"/>
      <c r="AF367" s="16">
        <f>SUM(AA367:AE367)</f>
        <v>0</v>
      </c>
      <c r="AH367" s="6"/>
      <c r="AI367" s="7"/>
      <c r="AJ367" s="7"/>
      <c r="AK367" s="7"/>
      <c r="AL367" s="7"/>
      <c r="AM367" s="16">
        <f>SUM(AH367:AL367)</f>
        <v>0</v>
      </c>
      <c r="AO367" s="6"/>
      <c r="AP367" s="7"/>
      <c r="AQ367" s="7"/>
      <c r="AR367" s="7"/>
      <c r="AS367" s="7"/>
      <c r="AT367" s="16">
        <f>SUM(AO367:AS367)</f>
        <v>0</v>
      </c>
      <c r="AV367" s="6"/>
      <c r="AW367" s="7"/>
      <c r="AX367" s="7"/>
      <c r="AY367" s="7"/>
      <c r="AZ367" s="7"/>
      <c r="BA367" s="16">
        <f>SUM(AV367:AZ367)</f>
        <v>0</v>
      </c>
      <c r="BC367" s="6"/>
      <c r="BD367" s="7"/>
      <c r="BE367" s="7"/>
      <c r="BF367" s="7"/>
      <c r="BG367" s="7"/>
      <c r="BH367" s="16">
        <f>SUM(BC367:BG367)</f>
        <v>0</v>
      </c>
      <c r="BJ367" s="6"/>
      <c r="BK367" s="7"/>
      <c r="BL367" s="7"/>
      <c r="BM367" s="7"/>
      <c r="BN367" s="7"/>
      <c r="BO367" s="16">
        <f>SUM(BJ367:BN367)</f>
        <v>0</v>
      </c>
      <c r="BQ367" s="6"/>
      <c r="BR367" s="7"/>
      <c r="BS367" s="7"/>
      <c r="BT367" s="7"/>
      <c r="BU367" s="7"/>
      <c r="BV367" s="16">
        <f>SUM(BQ367:BU367)</f>
        <v>0</v>
      </c>
      <c r="BX367" s="6"/>
      <c r="BY367" s="7"/>
      <c r="BZ367" s="7"/>
      <c r="CA367" s="7"/>
      <c r="CB367" s="7"/>
      <c r="CC367" s="16">
        <f>SUM(BX367:CB367)</f>
        <v>0</v>
      </c>
      <c r="CE367" s="28">
        <f t="shared" si="1629"/>
        <v>0</v>
      </c>
      <c r="CF367" s="29">
        <f t="shared" si="1630"/>
        <v>0</v>
      </c>
      <c r="CG367" s="29">
        <f t="shared" si="1631"/>
        <v>0</v>
      </c>
      <c r="CH367" s="29">
        <f t="shared" si="1632"/>
        <v>0</v>
      </c>
      <c r="CI367" s="29">
        <f t="shared" si="1633"/>
        <v>0</v>
      </c>
      <c r="CJ367" s="8">
        <f>SUM(CE367:CI367)</f>
        <v>0</v>
      </c>
      <c r="CL367" s="6"/>
      <c r="CM367" s="7"/>
      <c r="CN367" s="7"/>
      <c r="CO367" s="7"/>
      <c r="CP367" s="7"/>
      <c r="CQ367" s="16">
        <f>SUM(CL367:CP367)</f>
        <v>0</v>
      </c>
      <c r="CS367" s="6"/>
      <c r="CT367" s="7"/>
      <c r="CU367" s="7"/>
      <c r="CV367" s="7"/>
      <c r="CW367" s="7"/>
      <c r="CX367" s="16">
        <f t="shared" si="1638"/>
        <v>0</v>
      </c>
      <c r="CZ367" s="6"/>
      <c r="DA367" s="7"/>
      <c r="DB367" s="7"/>
      <c r="DC367" s="7"/>
      <c r="DD367" s="7"/>
      <c r="DE367" s="16">
        <f t="shared" si="1639"/>
        <v>0</v>
      </c>
    </row>
    <row r="368" spans="2:109" ht="14" thickBot="1">
      <c r="C368" s="567"/>
      <c r="E368" s="14" t="s">
        <v>62</v>
      </c>
      <c r="F368" s="23">
        <f t="shared" si="1634"/>
        <v>0</v>
      </c>
      <c r="G368" s="24">
        <f t="shared" si="1625"/>
        <v>0</v>
      </c>
      <c r="H368" s="24">
        <f t="shared" si="1626"/>
        <v>0</v>
      </c>
      <c r="I368" s="24">
        <f t="shared" si="1627"/>
        <v>0</v>
      </c>
      <c r="J368" s="24">
        <f t="shared" si="1628"/>
        <v>0</v>
      </c>
      <c r="K368" s="16">
        <f t="shared" si="1635"/>
        <v>0</v>
      </c>
      <c r="M368" s="6"/>
      <c r="N368" s="7"/>
      <c r="O368" s="7"/>
      <c r="P368" s="7"/>
      <c r="Q368" s="7"/>
      <c r="R368" s="16">
        <f t="shared" si="1636"/>
        <v>0</v>
      </c>
      <c r="T368" s="6"/>
      <c r="U368" s="7"/>
      <c r="V368" s="7"/>
      <c r="W368" s="7"/>
      <c r="X368" s="7"/>
      <c r="Y368" s="16">
        <f t="shared" si="1637"/>
        <v>0</v>
      </c>
      <c r="AA368" s="6"/>
      <c r="AB368" s="7"/>
      <c r="AC368" s="7"/>
      <c r="AD368" s="7"/>
      <c r="AE368" s="7"/>
      <c r="AF368" s="16">
        <f>SUM(AA368:AE368)</f>
        <v>0</v>
      </c>
      <c r="AH368" s="6"/>
      <c r="AI368" s="7"/>
      <c r="AJ368" s="7"/>
      <c r="AK368" s="7"/>
      <c r="AL368" s="7"/>
      <c r="AM368" s="16">
        <f>SUM(AH368:AL368)</f>
        <v>0</v>
      </c>
      <c r="AO368" s="6"/>
      <c r="AP368" s="7"/>
      <c r="AQ368" s="7"/>
      <c r="AR368" s="7"/>
      <c r="AS368" s="7"/>
      <c r="AT368" s="16">
        <f>SUM(AO368:AS368)</f>
        <v>0</v>
      </c>
      <c r="AV368" s="6"/>
      <c r="AW368" s="7"/>
      <c r="AX368" s="7"/>
      <c r="AY368" s="7"/>
      <c r="AZ368" s="7"/>
      <c r="BA368" s="16">
        <f>SUM(AV368:AZ368)</f>
        <v>0</v>
      </c>
      <c r="BC368" s="6"/>
      <c r="BD368" s="7"/>
      <c r="BE368" s="7"/>
      <c r="BF368" s="7"/>
      <c r="BG368" s="7"/>
      <c r="BH368" s="16">
        <f>SUM(BC368:BG368)</f>
        <v>0</v>
      </c>
      <c r="BJ368" s="6"/>
      <c r="BK368" s="7"/>
      <c r="BL368" s="7"/>
      <c r="BM368" s="7"/>
      <c r="BN368" s="7"/>
      <c r="BO368" s="16">
        <f>SUM(BJ368:BN368)</f>
        <v>0</v>
      </c>
      <c r="BQ368" s="6"/>
      <c r="BR368" s="7"/>
      <c r="BS368" s="7"/>
      <c r="BT368" s="7"/>
      <c r="BU368" s="7"/>
      <c r="BV368" s="16">
        <f>SUM(BQ368:BU368)</f>
        <v>0</v>
      </c>
      <c r="BX368" s="6"/>
      <c r="BY368" s="7"/>
      <c r="BZ368" s="7"/>
      <c r="CA368" s="7"/>
      <c r="CB368" s="7"/>
      <c r="CC368" s="16">
        <f>SUM(BX368:CB368)</f>
        <v>0</v>
      </c>
      <c r="CE368" s="493">
        <f t="shared" si="1629"/>
        <v>0</v>
      </c>
      <c r="CF368" s="494">
        <f t="shared" si="1630"/>
        <v>0</v>
      </c>
      <c r="CG368" s="494">
        <f t="shared" si="1631"/>
        <v>0</v>
      </c>
      <c r="CH368" s="494">
        <f t="shared" si="1632"/>
        <v>0</v>
      </c>
      <c r="CI368" s="494">
        <f t="shared" si="1633"/>
        <v>0</v>
      </c>
      <c r="CJ368" s="495">
        <f>SUM(CE368:CI368)</f>
        <v>0</v>
      </c>
      <c r="CL368" s="6"/>
      <c r="CM368" s="7"/>
      <c r="CN368" s="7"/>
      <c r="CO368" s="7"/>
      <c r="CP368" s="7"/>
      <c r="CQ368" s="16">
        <f>SUM(CL368:CP368)</f>
        <v>0</v>
      </c>
      <c r="CS368" s="6"/>
      <c r="CT368" s="7"/>
      <c r="CU368" s="7"/>
      <c r="CV368" s="7"/>
      <c r="CW368" s="7"/>
      <c r="CX368" s="16">
        <f t="shared" si="1638"/>
        <v>0</v>
      </c>
      <c r="CZ368" s="6"/>
      <c r="DA368" s="7"/>
      <c r="DB368" s="7"/>
      <c r="DC368" s="7"/>
      <c r="DD368" s="7"/>
      <c r="DE368" s="16">
        <f t="shared" si="1639"/>
        <v>0</v>
      </c>
    </row>
    <row r="369" spans="3:109" ht="14" thickBot="1">
      <c r="C369" s="554"/>
      <c r="E369" s="17"/>
      <c r="F369" s="10">
        <f>SUM(F365:F368)</f>
        <v>0</v>
      </c>
      <c r="G369" s="11">
        <f t="shared" ref="G369:J369" si="1640">SUM(G365:G368)</f>
        <v>0</v>
      </c>
      <c r="H369" s="11">
        <f t="shared" si="1640"/>
        <v>0</v>
      </c>
      <c r="I369" s="11">
        <f t="shared" si="1640"/>
        <v>0</v>
      </c>
      <c r="J369" s="11">
        <f t="shared" si="1640"/>
        <v>0</v>
      </c>
      <c r="K369" s="25">
        <f>SUM(K365:K368)</f>
        <v>0</v>
      </c>
      <c r="M369" s="10">
        <f>SUM(M365:M368)</f>
        <v>0</v>
      </c>
      <c r="N369" s="11">
        <f t="shared" ref="N369:Q369" si="1641">SUM(N365:N368)</f>
        <v>0</v>
      </c>
      <c r="O369" s="11">
        <f t="shared" si="1641"/>
        <v>0</v>
      </c>
      <c r="P369" s="11">
        <f t="shared" si="1641"/>
        <v>0</v>
      </c>
      <c r="Q369" s="11">
        <f t="shared" si="1641"/>
        <v>0</v>
      </c>
      <c r="R369" s="25">
        <f>SUM(R365:R368)</f>
        <v>0</v>
      </c>
      <c r="T369" s="10">
        <f>SUM(T365:T368)</f>
        <v>0</v>
      </c>
      <c r="U369" s="11">
        <f t="shared" ref="U369:X369" si="1642">SUM(U365:U368)</f>
        <v>0</v>
      </c>
      <c r="V369" s="11">
        <f t="shared" si="1642"/>
        <v>0</v>
      </c>
      <c r="W369" s="11">
        <f t="shared" si="1642"/>
        <v>0</v>
      </c>
      <c r="X369" s="11">
        <f t="shared" si="1642"/>
        <v>0</v>
      </c>
      <c r="Y369" s="25">
        <f>SUM(Y365:Y368)</f>
        <v>0</v>
      </c>
      <c r="AA369" s="10">
        <f>SUM(AA365:AA368)</f>
        <v>0</v>
      </c>
      <c r="AB369" s="11">
        <f t="shared" ref="AB369:AE369" si="1643">SUM(AB365:AB368)</f>
        <v>0</v>
      </c>
      <c r="AC369" s="11">
        <f t="shared" si="1643"/>
        <v>0</v>
      </c>
      <c r="AD369" s="11">
        <f t="shared" si="1643"/>
        <v>0</v>
      </c>
      <c r="AE369" s="11">
        <f t="shared" si="1643"/>
        <v>0</v>
      </c>
      <c r="AF369" s="25">
        <f>SUM(AF365:AF368)</f>
        <v>0</v>
      </c>
      <c r="AH369" s="10">
        <f t="shared" ref="AH369:AM369" si="1644">SUM(AH365:AH368)</f>
        <v>0</v>
      </c>
      <c r="AI369" s="11">
        <f t="shared" si="1644"/>
        <v>0</v>
      </c>
      <c r="AJ369" s="11">
        <f t="shared" si="1644"/>
        <v>0</v>
      </c>
      <c r="AK369" s="11">
        <f t="shared" si="1644"/>
        <v>0</v>
      </c>
      <c r="AL369" s="11">
        <f t="shared" si="1644"/>
        <v>0</v>
      </c>
      <c r="AM369" s="25">
        <f t="shared" si="1644"/>
        <v>0</v>
      </c>
      <c r="AO369" s="10">
        <f t="shared" ref="AO369:AT369" si="1645">SUM(AO365:AO368)</f>
        <v>0</v>
      </c>
      <c r="AP369" s="11">
        <f t="shared" si="1645"/>
        <v>0</v>
      </c>
      <c r="AQ369" s="11">
        <f t="shared" si="1645"/>
        <v>0</v>
      </c>
      <c r="AR369" s="11">
        <f t="shared" si="1645"/>
        <v>0</v>
      </c>
      <c r="AS369" s="11">
        <f t="shared" si="1645"/>
        <v>0</v>
      </c>
      <c r="AT369" s="25">
        <f t="shared" si="1645"/>
        <v>0</v>
      </c>
      <c r="AV369" s="10">
        <f t="shared" ref="AV369:BA369" si="1646">SUM(AV365:AV368)</f>
        <v>0</v>
      </c>
      <c r="AW369" s="11">
        <f t="shared" si="1646"/>
        <v>0</v>
      </c>
      <c r="AX369" s="11">
        <f t="shared" si="1646"/>
        <v>0</v>
      </c>
      <c r="AY369" s="11">
        <f t="shared" si="1646"/>
        <v>0</v>
      </c>
      <c r="AZ369" s="11">
        <f t="shared" si="1646"/>
        <v>0</v>
      </c>
      <c r="BA369" s="25">
        <f t="shared" si="1646"/>
        <v>0</v>
      </c>
      <c r="BC369" s="10">
        <f t="shared" ref="BC369:BH369" si="1647">SUM(BC365:BC368)</f>
        <v>0</v>
      </c>
      <c r="BD369" s="11">
        <f t="shared" si="1647"/>
        <v>0</v>
      </c>
      <c r="BE369" s="11">
        <f t="shared" si="1647"/>
        <v>0</v>
      </c>
      <c r="BF369" s="11">
        <f t="shared" si="1647"/>
        <v>0</v>
      </c>
      <c r="BG369" s="11">
        <f t="shared" si="1647"/>
        <v>0</v>
      </c>
      <c r="BH369" s="25">
        <f t="shared" si="1647"/>
        <v>0</v>
      </c>
      <c r="BJ369" s="10">
        <f t="shared" ref="BJ369:BO369" si="1648">SUM(BJ365:BJ368)</f>
        <v>0</v>
      </c>
      <c r="BK369" s="11">
        <f t="shared" si="1648"/>
        <v>0</v>
      </c>
      <c r="BL369" s="11">
        <f t="shared" si="1648"/>
        <v>0</v>
      </c>
      <c r="BM369" s="11">
        <f t="shared" si="1648"/>
        <v>0</v>
      </c>
      <c r="BN369" s="11">
        <f t="shared" si="1648"/>
        <v>0</v>
      </c>
      <c r="BO369" s="25">
        <f t="shared" si="1648"/>
        <v>0</v>
      </c>
      <c r="BQ369" s="10">
        <f t="shared" ref="BQ369:BV369" si="1649">SUM(BQ365:BQ368)</f>
        <v>0</v>
      </c>
      <c r="BR369" s="11">
        <f t="shared" si="1649"/>
        <v>0</v>
      </c>
      <c r="BS369" s="11">
        <f t="shared" si="1649"/>
        <v>0</v>
      </c>
      <c r="BT369" s="11">
        <f t="shared" si="1649"/>
        <v>0</v>
      </c>
      <c r="BU369" s="11">
        <f t="shared" si="1649"/>
        <v>0</v>
      </c>
      <c r="BV369" s="25">
        <f t="shared" si="1649"/>
        <v>0</v>
      </c>
      <c r="BX369" s="10">
        <f t="shared" ref="BX369:CC369" si="1650">SUM(BX365:BX368)</f>
        <v>0</v>
      </c>
      <c r="BY369" s="11">
        <f t="shared" si="1650"/>
        <v>0</v>
      </c>
      <c r="BZ369" s="11">
        <f t="shared" si="1650"/>
        <v>0</v>
      </c>
      <c r="CA369" s="11">
        <f t="shared" si="1650"/>
        <v>0</v>
      </c>
      <c r="CB369" s="11">
        <f t="shared" si="1650"/>
        <v>0</v>
      </c>
      <c r="CC369" s="25">
        <f t="shared" si="1650"/>
        <v>0</v>
      </c>
      <c r="CE369" s="62">
        <f t="shared" ref="CE369:CJ369" si="1651">SUM(CE365:CE368)</f>
        <v>0</v>
      </c>
      <c r="CF369" s="63">
        <f t="shared" si="1651"/>
        <v>0</v>
      </c>
      <c r="CG369" s="63">
        <f t="shared" si="1651"/>
        <v>0</v>
      </c>
      <c r="CH369" s="63">
        <f t="shared" si="1651"/>
        <v>0</v>
      </c>
      <c r="CI369" s="63">
        <f t="shared" si="1651"/>
        <v>0</v>
      </c>
      <c r="CJ369" s="25">
        <f t="shared" si="1651"/>
        <v>0</v>
      </c>
      <c r="CL369" s="10">
        <f>SUM(CL365:CL368)</f>
        <v>0</v>
      </c>
      <c r="CM369" s="11">
        <f t="shared" ref="CM369:CQ369" si="1652">SUM(CM365:CM368)</f>
        <v>0</v>
      </c>
      <c r="CN369" s="11">
        <f t="shared" si="1652"/>
        <v>0</v>
      </c>
      <c r="CO369" s="11">
        <f t="shared" si="1652"/>
        <v>0</v>
      </c>
      <c r="CP369" s="11">
        <f t="shared" si="1652"/>
        <v>0</v>
      </c>
      <c r="CQ369" s="25">
        <f t="shared" si="1652"/>
        <v>0</v>
      </c>
      <c r="CS369" s="10">
        <f>SUM(CS365:CS368)</f>
        <v>0</v>
      </c>
      <c r="CT369" s="11">
        <f t="shared" ref="CT369:CW369" si="1653">SUM(CT365:CT368)</f>
        <v>0</v>
      </c>
      <c r="CU369" s="11">
        <f t="shared" si="1653"/>
        <v>0</v>
      </c>
      <c r="CV369" s="11">
        <f t="shared" si="1653"/>
        <v>0</v>
      </c>
      <c r="CW369" s="11">
        <f t="shared" si="1653"/>
        <v>0</v>
      </c>
      <c r="CX369" s="25">
        <f>SUM(CX365:CX368)</f>
        <v>0</v>
      </c>
      <c r="CZ369" s="10">
        <f>SUM(CZ365:CZ368)</f>
        <v>0</v>
      </c>
      <c r="DA369" s="11">
        <f t="shared" ref="DA369:DD369" si="1654">SUM(DA365:DA368)</f>
        <v>0</v>
      </c>
      <c r="DB369" s="11">
        <f t="shared" si="1654"/>
        <v>0</v>
      </c>
      <c r="DC369" s="11">
        <f t="shared" si="1654"/>
        <v>0</v>
      </c>
      <c r="DD369" s="11">
        <f t="shared" si="1654"/>
        <v>0</v>
      </c>
      <c r="DE369" s="25">
        <f>SUM(DE365:DE368)</f>
        <v>0</v>
      </c>
    </row>
    <row r="370" spans="3:109" ht="10.4" customHeight="1" thickBot="1"/>
    <row r="371" spans="3:109">
      <c r="C371" s="553">
        <v>2026</v>
      </c>
      <c r="E371" s="13" t="s">
        <v>59</v>
      </c>
      <c r="F371" s="21">
        <f>CE365</f>
        <v>0</v>
      </c>
      <c r="G371" s="22">
        <f t="shared" ref="G371:G374" si="1655">CF365</f>
        <v>0</v>
      </c>
      <c r="H371" s="22">
        <f t="shared" ref="H371:H374" si="1656">CG365</f>
        <v>0</v>
      </c>
      <c r="I371" s="22">
        <f t="shared" ref="I371:I374" si="1657">CH365</f>
        <v>0</v>
      </c>
      <c r="J371" s="22">
        <f t="shared" ref="J371:J374" si="1658">CI365</f>
        <v>0</v>
      </c>
      <c r="K371" s="4">
        <f>SUM(F371:J371)</f>
        <v>0</v>
      </c>
      <c r="M371" s="2"/>
      <c r="N371" s="3"/>
      <c r="O371" s="3"/>
      <c r="P371" s="3"/>
      <c r="Q371" s="3"/>
      <c r="R371" s="4">
        <f>SUM(M371:Q371)</f>
        <v>0</v>
      </c>
      <c r="T371" s="2"/>
      <c r="U371" s="3"/>
      <c r="V371" s="3"/>
      <c r="W371" s="3"/>
      <c r="X371" s="3"/>
      <c r="Y371" s="4">
        <f>SUM(T371:X371)</f>
        <v>0</v>
      </c>
      <c r="AA371" s="2"/>
      <c r="AB371" s="3"/>
      <c r="AC371" s="3"/>
      <c r="AD371" s="3"/>
      <c r="AE371" s="3"/>
      <c r="AF371" s="4">
        <f>SUM(AA371:AE371)</f>
        <v>0</v>
      </c>
      <c r="AH371" s="2"/>
      <c r="AI371" s="3"/>
      <c r="AJ371" s="3"/>
      <c r="AK371" s="3"/>
      <c r="AL371" s="3"/>
      <c r="AM371" s="4">
        <f>SUM(AH371:AL371)</f>
        <v>0</v>
      </c>
      <c r="AO371" s="2"/>
      <c r="AP371" s="3"/>
      <c r="AQ371" s="3"/>
      <c r="AR371" s="3"/>
      <c r="AS371" s="3"/>
      <c r="AT371" s="4">
        <f>SUM(AO371:AS371)</f>
        <v>0</v>
      </c>
      <c r="AV371" s="2"/>
      <c r="AW371" s="3"/>
      <c r="AX371" s="3"/>
      <c r="AY371" s="3"/>
      <c r="AZ371" s="3"/>
      <c r="BA371" s="4">
        <f>SUM(AV371:AZ371)</f>
        <v>0</v>
      </c>
      <c r="BC371" s="2"/>
      <c r="BD371" s="3"/>
      <c r="BE371" s="3"/>
      <c r="BF371" s="3"/>
      <c r="BG371" s="3"/>
      <c r="BH371" s="4">
        <f>SUM(BC371:BG371)</f>
        <v>0</v>
      </c>
      <c r="BJ371" s="2"/>
      <c r="BK371" s="3"/>
      <c r="BL371" s="3"/>
      <c r="BM371" s="3"/>
      <c r="BN371" s="3"/>
      <c r="BO371" s="4">
        <f>SUM(BJ371:BN371)</f>
        <v>0</v>
      </c>
      <c r="BQ371" s="2"/>
      <c r="BR371" s="3"/>
      <c r="BS371" s="3"/>
      <c r="BT371" s="3"/>
      <c r="BU371" s="3"/>
      <c r="BV371" s="4">
        <f>SUM(BQ371:BU371)</f>
        <v>0</v>
      </c>
      <c r="BX371" s="2"/>
      <c r="BY371" s="3"/>
      <c r="BZ371" s="3"/>
      <c r="CA371" s="3"/>
      <c r="CB371" s="3"/>
      <c r="CC371" s="4">
        <f>SUM(BX371:CB371)</f>
        <v>0</v>
      </c>
      <c r="CE371" s="26">
        <f t="shared" ref="CE371:CE374" si="1659">F371+M371+T371+AA371+AH371+AO371+AV371+BC371+BJ371+BQ371+BX371</f>
        <v>0</v>
      </c>
      <c r="CF371" s="27">
        <f t="shared" ref="CF371:CF374" si="1660">G371+N371+U371+AB371+AI371+AP371+AW371+BD371+BK371+BR371+BY371</f>
        <v>0</v>
      </c>
      <c r="CG371" s="27">
        <f t="shared" ref="CG371:CG374" si="1661">H371+O371+V371+AC371+AJ371+AQ371+AX371+BE371+BL371+BS371+BZ371</f>
        <v>0</v>
      </c>
      <c r="CH371" s="27">
        <f t="shared" ref="CH371:CH374" si="1662">I371+P371+W371+AD371+AK371+AR371+AY371+BF371+BM371+BT371+CA371</f>
        <v>0</v>
      </c>
      <c r="CI371" s="27">
        <f t="shared" ref="CI371:CI374" si="1663">J371+Q371+X371+AE371+AL371+AS371+AZ371+BG371+BN371+BU371+CB371</f>
        <v>0</v>
      </c>
      <c r="CJ371" s="4">
        <f>SUM(CE371:CI371)</f>
        <v>0</v>
      </c>
      <c r="CL371" s="2"/>
      <c r="CM371" s="3"/>
      <c r="CN371" s="3"/>
      <c r="CO371" s="3"/>
      <c r="CP371" s="3"/>
      <c r="CQ371" s="4">
        <f>SUM(CL371:CP371)</f>
        <v>0</v>
      </c>
      <c r="CS371" s="2"/>
      <c r="CT371" s="3"/>
      <c r="CU371" s="3"/>
      <c r="CV371" s="3"/>
      <c r="CW371" s="3"/>
      <c r="CX371" s="4">
        <f>SUM(CS371:CW371)</f>
        <v>0</v>
      </c>
      <c r="CZ371" s="2"/>
      <c r="DA371" s="3"/>
      <c r="DB371" s="3"/>
      <c r="DC371" s="3"/>
      <c r="DD371" s="3"/>
      <c r="DE371" s="4">
        <f>SUM(CZ371:DD371)</f>
        <v>0</v>
      </c>
    </row>
    <row r="372" spans="3:109">
      <c r="C372" s="567"/>
      <c r="E372" s="14" t="s">
        <v>60</v>
      </c>
      <c r="F372" s="23">
        <f t="shared" ref="F372:F374" si="1664">CE366</f>
        <v>0</v>
      </c>
      <c r="G372" s="24">
        <f t="shared" si="1655"/>
        <v>0</v>
      </c>
      <c r="H372" s="24">
        <f t="shared" si="1656"/>
        <v>0</v>
      </c>
      <c r="I372" s="24">
        <f t="shared" si="1657"/>
        <v>0</v>
      </c>
      <c r="J372" s="24">
        <f t="shared" si="1658"/>
        <v>0</v>
      </c>
      <c r="K372" s="8">
        <f t="shared" ref="K372:K374" si="1665">SUM(F372:J372)</f>
        <v>0</v>
      </c>
      <c r="M372" s="6"/>
      <c r="N372" s="7"/>
      <c r="O372" s="7"/>
      <c r="P372" s="7"/>
      <c r="Q372" s="7"/>
      <c r="R372" s="8">
        <f t="shared" ref="R372:R374" si="1666">SUM(M372:Q372)</f>
        <v>0</v>
      </c>
      <c r="T372" s="6"/>
      <c r="U372" s="7"/>
      <c r="V372" s="7"/>
      <c r="W372" s="7"/>
      <c r="X372" s="7"/>
      <c r="Y372" s="8">
        <f t="shared" ref="Y372:Y374" si="1667">SUM(T372:X372)</f>
        <v>0</v>
      </c>
      <c r="AA372" s="6"/>
      <c r="AB372" s="7"/>
      <c r="AC372" s="7"/>
      <c r="AD372" s="7"/>
      <c r="AE372" s="7"/>
      <c r="AF372" s="8">
        <f>SUM(AA372:AE372)</f>
        <v>0</v>
      </c>
      <c r="AH372" s="6"/>
      <c r="AI372" s="7"/>
      <c r="AJ372" s="7"/>
      <c r="AK372" s="7"/>
      <c r="AL372" s="7"/>
      <c r="AM372" s="8">
        <f>SUM(AH372:AL372)</f>
        <v>0</v>
      </c>
      <c r="AO372" s="6"/>
      <c r="AP372" s="7"/>
      <c r="AQ372" s="7"/>
      <c r="AR372" s="7"/>
      <c r="AS372" s="7"/>
      <c r="AT372" s="8">
        <f>SUM(AO372:AS372)</f>
        <v>0</v>
      </c>
      <c r="AV372" s="6"/>
      <c r="AW372" s="7"/>
      <c r="AX372" s="7"/>
      <c r="AY372" s="7"/>
      <c r="AZ372" s="7"/>
      <c r="BA372" s="8">
        <f>SUM(AV372:AZ372)</f>
        <v>0</v>
      </c>
      <c r="BC372" s="6"/>
      <c r="BD372" s="7"/>
      <c r="BE372" s="7"/>
      <c r="BF372" s="7"/>
      <c r="BG372" s="7"/>
      <c r="BH372" s="8">
        <f>SUM(BC372:BG372)</f>
        <v>0</v>
      </c>
      <c r="BJ372" s="6"/>
      <c r="BK372" s="7"/>
      <c r="BL372" s="7"/>
      <c r="BM372" s="7"/>
      <c r="BN372" s="7"/>
      <c r="BO372" s="8">
        <f>SUM(BJ372:BN372)</f>
        <v>0</v>
      </c>
      <c r="BQ372" s="6"/>
      <c r="BR372" s="7"/>
      <c r="BS372" s="7"/>
      <c r="BT372" s="7"/>
      <c r="BU372" s="7"/>
      <c r="BV372" s="8">
        <f>SUM(BQ372:BU372)</f>
        <v>0</v>
      </c>
      <c r="BX372" s="6"/>
      <c r="BY372" s="7"/>
      <c r="BZ372" s="7"/>
      <c r="CA372" s="7"/>
      <c r="CB372" s="7"/>
      <c r="CC372" s="8">
        <f>SUM(BX372:CB372)</f>
        <v>0</v>
      </c>
      <c r="CE372" s="28">
        <f t="shared" si="1659"/>
        <v>0</v>
      </c>
      <c r="CF372" s="29">
        <f t="shared" si="1660"/>
        <v>0</v>
      </c>
      <c r="CG372" s="29">
        <f t="shared" si="1661"/>
        <v>0</v>
      </c>
      <c r="CH372" s="29">
        <f t="shared" si="1662"/>
        <v>0</v>
      </c>
      <c r="CI372" s="29">
        <f t="shared" si="1663"/>
        <v>0</v>
      </c>
      <c r="CJ372" s="8">
        <f>SUM(CE372:CI372)</f>
        <v>0</v>
      </c>
      <c r="CL372" s="6"/>
      <c r="CM372" s="7"/>
      <c r="CN372" s="7"/>
      <c r="CO372" s="7"/>
      <c r="CP372" s="7"/>
      <c r="CQ372" s="8">
        <f>SUM(CL372:CP372)</f>
        <v>0</v>
      </c>
      <c r="CS372" s="6"/>
      <c r="CT372" s="7"/>
      <c r="CU372" s="7"/>
      <c r="CV372" s="7"/>
      <c r="CW372" s="7"/>
      <c r="CX372" s="8">
        <f t="shared" ref="CX372:CX374" si="1668">SUM(CS372:CW372)</f>
        <v>0</v>
      </c>
      <c r="CZ372" s="6"/>
      <c r="DA372" s="7"/>
      <c r="DB372" s="7"/>
      <c r="DC372" s="7"/>
      <c r="DD372" s="7"/>
      <c r="DE372" s="8">
        <f t="shared" ref="DE372:DE374" si="1669">SUM(CZ372:DD372)</f>
        <v>0</v>
      </c>
    </row>
    <row r="373" spans="3:109">
      <c r="C373" s="567"/>
      <c r="E373" s="14" t="s">
        <v>61</v>
      </c>
      <c r="F373" s="23">
        <f t="shared" si="1664"/>
        <v>0</v>
      </c>
      <c r="G373" s="24">
        <f t="shared" si="1655"/>
        <v>0</v>
      </c>
      <c r="H373" s="24">
        <f t="shared" si="1656"/>
        <v>0</v>
      </c>
      <c r="I373" s="24">
        <f t="shared" si="1657"/>
        <v>0</v>
      </c>
      <c r="J373" s="24">
        <f t="shared" si="1658"/>
        <v>0</v>
      </c>
      <c r="K373" s="8">
        <f t="shared" si="1665"/>
        <v>0</v>
      </c>
      <c r="M373" s="6"/>
      <c r="N373" s="7"/>
      <c r="O373" s="7"/>
      <c r="P373" s="7"/>
      <c r="Q373" s="7"/>
      <c r="R373" s="8">
        <f t="shared" si="1666"/>
        <v>0</v>
      </c>
      <c r="T373" s="6"/>
      <c r="U373" s="7"/>
      <c r="V373" s="7"/>
      <c r="W373" s="7"/>
      <c r="X373" s="7"/>
      <c r="Y373" s="8">
        <f t="shared" si="1667"/>
        <v>0</v>
      </c>
      <c r="AA373" s="6"/>
      <c r="AB373" s="7"/>
      <c r="AC373" s="7"/>
      <c r="AD373" s="7"/>
      <c r="AE373" s="7"/>
      <c r="AF373" s="8">
        <f>SUM(AA373:AE373)</f>
        <v>0</v>
      </c>
      <c r="AH373" s="6"/>
      <c r="AI373" s="7"/>
      <c r="AJ373" s="7"/>
      <c r="AK373" s="7"/>
      <c r="AL373" s="7"/>
      <c r="AM373" s="8">
        <f>SUM(AH373:AL373)</f>
        <v>0</v>
      </c>
      <c r="AO373" s="6"/>
      <c r="AP373" s="7"/>
      <c r="AQ373" s="7"/>
      <c r="AR373" s="7"/>
      <c r="AS373" s="7"/>
      <c r="AT373" s="8">
        <f>SUM(AO373:AS373)</f>
        <v>0</v>
      </c>
      <c r="AV373" s="6"/>
      <c r="AW373" s="7"/>
      <c r="AX373" s="7"/>
      <c r="AY373" s="7"/>
      <c r="AZ373" s="7"/>
      <c r="BA373" s="8">
        <f>SUM(AV373:AZ373)</f>
        <v>0</v>
      </c>
      <c r="BC373" s="6"/>
      <c r="BD373" s="7"/>
      <c r="BE373" s="7"/>
      <c r="BF373" s="7"/>
      <c r="BG373" s="7"/>
      <c r="BH373" s="8">
        <f>SUM(BC373:BG373)</f>
        <v>0</v>
      </c>
      <c r="BJ373" s="6"/>
      <c r="BK373" s="7"/>
      <c r="BL373" s="7"/>
      <c r="BM373" s="7"/>
      <c r="BN373" s="7"/>
      <c r="BO373" s="8">
        <f>SUM(BJ373:BN373)</f>
        <v>0</v>
      </c>
      <c r="BQ373" s="6"/>
      <c r="BR373" s="7"/>
      <c r="BS373" s="7"/>
      <c r="BT373" s="7"/>
      <c r="BU373" s="7"/>
      <c r="BV373" s="8">
        <f>SUM(BQ373:BU373)</f>
        <v>0</v>
      </c>
      <c r="BX373" s="6"/>
      <c r="BY373" s="7"/>
      <c r="BZ373" s="7"/>
      <c r="CA373" s="7"/>
      <c r="CB373" s="7"/>
      <c r="CC373" s="8">
        <f>SUM(BX373:CB373)</f>
        <v>0</v>
      </c>
      <c r="CE373" s="28">
        <f t="shared" si="1659"/>
        <v>0</v>
      </c>
      <c r="CF373" s="29">
        <f t="shared" si="1660"/>
        <v>0</v>
      </c>
      <c r="CG373" s="29">
        <f t="shared" si="1661"/>
        <v>0</v>
      </c>
      <c r="CH373" s="29">
        <f t="shared" si="1662"/>
        <v>0</v>
      </c>
      <c r="CI373" s="29">
        <f t="shared" si="1663"/>
        <v>0</v>
      </c>
      <c r="CJ373" s="8">
        <f>SUM(CE373:CI373)</f>
        <v>0</v>
      </c>
      <c r="CL373" s="6"/>
      <c r="CM373" s="7"/>
      <c r="CN373" s="7"/>
      <c r="CO373" s="7"/>
      <c r="CP373" s="7"/>
      <c r="CQ373" s="8">
        <f>SUM(CL373:CP373)</f>
        <v>0</v>
      </c>
      <c r="CS373" s="6"/>
      <c r="CT373" s="7"/>
      <c r="CU373" s="7"/>
      <c r="CV373" s="7"/>
      <c r="CW373" s="7"/>
      <c r="CX373" s="8">
        <f t="shared" si="1668"/>
        <v>0</v>
      </c>
      <c r="CZ373" s="6"/>
      <c r="DA373" s="7"/>
      <c r="DB373" s="7"/>
      <c r="DC373" s="7"/>
      <c r="DD373" s="7"/>
      <c r="DE373" s="8">
        <f t="shared" si="1669"/>
        <v>0</v>
      </c>
    </row>
    <row r="374" spans="3:109" ht="14" thickBot="1">
      <c r="C374" s="567"/>
      <c r="E374" s="14" t="s">
        <v>62</v>
      </c>
      <c r="F374" s="23">
        <f t="shared" si="1664"/>
        <v>0</v>
      </c>
      <c r="G374" s="24">
        <f t="shared" si="1655"/>
        <v>0</v>
      </c>
      <c r="H374" s="24">
        <f t="shared" si="1656"/>
        <v>0</v>
      </c>
      <c r="I374" s="24">
        <f t="shared" si="1657"/>
        <v>0</v>
      </c>
      <c r="J374" s="24">
        <f t="shared" si="1658"/>
        <v>0</v>
      </c>
      <c r="K374" s="8">
        <f t="shared" si="1665"/>
        <v>0</v>
      </c>
      <c r="M374" s="6"/>
      <c r="N374" s="7"/>
      <c r="O374" s="7"/>
      <c r="P374" s="7"/>
      <c r="Q374" s="7"/>
      <c r="R374" s="8">
        <f t="shared" si="1666"/>
        <v>0</v>
      </c>
      <c r="T374" s="6"/>
      <c r="U374" s="7"/>
      <c r="V374" s="7"/>
      <c r="W374" s="7"/>
      <c r="X374" s="7"/>
      <c r="Y374" s="8">
        <f t="shared" si="1667"/>
        <v>0</v>
      </c>
      <c r="AA374" s="6"/>
      <c r="AB374" s="7"/>
      <c r="AC374" s="7"/>
      <c r="AD374" s="7"/>
      <c r="AE374" s="7"/>
      <c r="AF374" s="8">
        <f>SUM(AA374:AE374)</f>
        <v>0</v>
      </c>
      <c r="AH374" s="6"/>
      <c r="AI374" s="7"/>
      <c r="AJ374" s="7"/>
      <c r="AK374" s="7"/>
      <c r="AL374" s="7"/>
      <c r="AM374" s="8">
        <f>SUM(AH374:AL374)</f>
        <v>0</v>
      </c>
      <c r="AO374" s="6"/>
      <c r="AP374" s="7"/>
      <c r="AQ374" s="7"/>
      <c r="AR374" s="7"/>
      <c r="AS374" s="7"/>
      <c r="AT374" s="8">
        <f>SUM(AO374:AS374)</f>
        <v>0</v>
      </c>
      <c r="AV374" s="6"/>
      <c r="AW374" s="7"/>
      <c r="AX374" s="7"/>
      <c r="AY374" s="7"/>
      <c r="AZ374" s="7"/>
      <c r="BA374" s="8">
        <f>SUM(AV374:AZ374)</f>
        <v>0</v>
      </c>
      <c r="BC374" s="6"/>
      <c r="BD374" s="7"/>
      <c r="BE374" s="7"/>
      <c r="BF374" s="7"/>
      <c r="BG374" s="7"/>
      <c r="BH374" s="8">
        <f>SUM(BC374:BG374)</f>
        <v>0</v>
      </c>
      <c r="BJ374" s="6"/>
      <c r="BK374" s="7"/>
      <c r="BL374" s="7"/>
      <c r="BM374" s="7"/>
      <c r="BN374" s="7"/>
      <c r="BO374" s="8">
        <f>SUM(BJ374:BN374)</f>
        <v>0</v>
      </c>
      <c r="BQ374" s="6"/>
      <c r="BR374" s="7"/>
      <c r="BS374" s="7"/>
      <c r="BT374" s="7"/>
      <c r="BU374" s="7"/>
      <c r="BV374" s="8">
        <f>SUM(BQ374:BU374)</f>
        <v>0</v>
      </c>
      <c r="BX374" s="6"/>
      <c r="BY374" s="7"/>
      <c r="BZ374" s="7"/>
      <c r="CA374" s="7"/>
      <c r="CB374" s="7"/>
      <c r="CC374" s="8">
        <f>SUM(BX374:CB374)</f>
        <v>0</v>
      </c>
      <c r="CE374" s="493">
        <f t="shared" si="1659"/>
        <v>0</v>
      </c>
      <c r="CF374" s="494">
        <f t="shared" si="1660"/>
        <v>0</v>
      </c>
      <c r="CG374" s="494">
        <f t="shared" si="1661"/>
        <v>0</v>
      </c>
      <c r="CH374" s="494">
        <f t="shared" si="1662"/>
        <v>0</v>
      </c>
      <c r="CI374" s="494">
        <f t="shared" si="1663"/>
        <v>0</v>
      </c>
      <c r="CJ374" s="495">
        <f>SUM(CE374:CI374)</f>
        <v>0</v>
      </c>
      <c r="CL374" s="6"/>
      <c r="CM374" s="7"/>
      <c r="CN374" s="7"/>
      <c r="CO374" s="7"/>
      <c r="CP374" s="7"/>
      <c r="CQ374" s="8">
        <f>SUM(CL374:CP374)</f>
        <v>0</v>
      </c>
      <c r="CS374" s="6"/>
      <c r="CT374" s="7"/>
      <c r="CU374" s="7"/>
      <c r="CV374" s="7"/>
      <c r="CW374" s="7"/>
      <c r="CX374" s="8">
        <f t="shared" si="1668"/>
        <v>0</v>
      </c>
      <c r="CZ374" s="6"/>
      <c r="DA374" s="7"/>
      <c r="DB374" s="7"/>
      <c r="DC374" s="7"/>
      <c r="DD374" s="7"/>
      <c r="DE374" s="8">
        <f t="shared" si="1669"/>
        <v>0</v>
      </c>
    </row>
    <row r="375" spans="3:109" ht="14" thickBot="1">
      <c r="C375" s="554"/>
      <c r="E375" s="17"/>
      <c r="F375" s="10">
        <f>SUM(F371:F374)</f>
        <v>0</v>
      </c>
      <c r="G375" s="11">
        <f t="shared" ref="G375:J375" si="1670">SUM(G371:G374)</f>
        <v>0</v>
      </c>
      <c r="H375" s="11">
        <f t="shared" si="1670"/>
        <v>0</v>
      </c>
      <c r="I375" s="11">
        <f t="shared" si="1670"/>
        <v>0</v>
      </c>
      <c r="J375" s="11">
        <f t="shared" si="1670"/>
        <v>0</v>
      </c>
      <c r="K375" s="25">
        <f>SUM(K371:K374)</f>
        <v>0</v>
      </c>
      <c r="M375" s="10">
        <f>SUM(M371:M374)</f>
        <v>0</v>
      </c>
      <c r="N375" s="11">
        <f t="shared" ref="N375:Q375" si="1671">SUM(N371:N374)</f>
        <v>0</v>
      </c>
      <c r="O375" s="11">
        <f t="shared" si="1671"/>
        <v>0</v>
      </c>
      <c r="P375" s="11">
        <f t="shared" si="1671"/>
        <v>0</v>
      </c>
      <c r="Q375" s="11">
        <f t="shared" si="1671"/>
        <v>0</v>
      </c>
      <c r="R375" s="25">
        <f>SUM(R371:R374)</f>
        <v>0</v>
      </c>
      <c r="T375" s="10">
        <f>SUM(T371:T374)</f>
        <v>0</v>
      </c>
      <c r="U375" s="11">
        <f t="shared" ref="U375:X375" si="1672">SUM(U371:U374)</f>
        <v>0</v>
      </c>
      <c r="V375" s="11">
        <f t="shared" si="1672"/>
        <v>0</v>
      </c>
      <c r="W375" s="11">
        <f t="shared" si="1672"/>
        <v>0</v>
      </c>
      <c r="X375" s="11">
        <f t="shared" si="1672"/>
        <v>0</v>
      </c>
      <c r="Y375" s="25">
        <f>SUM(Y371:Y374)</f>
        <v>0</v>
      </c>
      <c r="AA375" s="10">
        <f>SUM(AA371:AA374)</f>
        <v>0</v>
      </c>
      <c r="AB375" s="11">
        <f t="shared" ref="AB375:AE375" si="1673">SUM(AB371:AB374)</f>
        <v>0</v>
      </c>
      <c r="AC375" s="11">
        <f t="shared" si="1673"/>
        <v>0</v>
      </c>
      <c r="AD375" s="11">
        <f t="shared" si="1673"/>
        <v>0</v>
      </c>
      <c r="AE375" s="11">
        <f t="shared" si="1673"/>
        <v>0</v>
      </c>
      <c r="AF375" s="25">
        <f>SUM(AF371:AF374)</f>
        <v>0</v>
      </c>
      <c r="AH375" s="10">
        <f t="shared" ref="AH375:AM375" si="1674">SUM(AH371:AH374)</f>
        <v>0</v>
      </c>
      <c r="AI375" s="11">
        <f t="shared" si="1674"/>
        <v>0</v>
      </c>
      <c r="AJ375" s="11">
        <f t="shared" si="1674"/>
        <v>0</v>
      </c>
      <c r="AK375" s="11">
        <f t="shared" si="1674"/>
        <v>0</v>
      </c>
      <c r="AL375" s="11">
        <f t="shared" si="1674"/>
        <v>0</v>
      </c>
      <c r="AM375" s="25">
        <f t="shared" si="1674"/>
        <v>0</v>
      </c>
      <c r="AO375" s="10">
        <f t="shared" ref="AO375:AT375" si="1675">SUM(AO371:AO374)</f>
        <v>0</v>
      </c>
      <c r="AP375" s="11">
        <f t="shared" si="1675"/>
        <v>0</v>
      </c>
      <c r="AQ375" s="11">
        <f t="shared" si="1675"/>
        <v>0</v>
      </c>
      <c r="AR375" s="11">
        <f t="shared" si="1675"/>
        <v>0</v>
      </c>
      <c r="AS375" s="11">
        <f t="shared" si="1675"/>
        <v>0</v>
      </c>
      <c r="AT375" s="25">
        <f t="shared" si="1675"/>
        <v>0</v>
      </c>
      <c r="AV375" s="10">
        <f t="shared" ref="AV375:BA375" si="1676">SUM(AV371:AV374)</f>
        <v>0</v>
      </c>
      <c r="AW375" s="11">
        <f t="shared" si="1676"/>
        <v>0</v>
      </c>
      <c r="AX375" s="11">
        <f t="shared" si="1676"/>
        <v>0</v>
      </c>
      <c r="AY375" s="11">
        <f t="shared" si="1676"/>
        <v>0</v>
      </c>
      <c r="AZ375" s="11">
        <f t="shared" si="1676"/>
        <v>0</v>
      </c>
      <c r="BA375" s="25">
        <f t="shared" si="1676"/>
        <v>0</v>
      </c>
      <c r="BC375" s="10">
        <f t="shared" ref="BC375:BH375" si="1677">SUM(BC371:BC374)</f>
        <v>0</v>
      </c>
      <c r="BD375" s="11">
        <f t="shared" si="1677"/>
        <v>0</v>
      </c>
      <c r="BE375" s="11">
        <f t="shared" si="1677"/>
        <v>0</v>
      </c>
      <c r="BF375" s="11">
        <f t="shared" si="1677"/>
        <v>0</v>
      </c>
      <c r="BG375" s="11">
        <f t="shared" si="1677"/>
        <v>0</v>
      </c>
      <c r="BH375" s="25">
        <f t="shared" si="1677"/>
        <v>0</v>
      </c>
      <c r="BJ375" s="10">
        <f t="shared" ref="BJ375:BO375" si="1678">SUM(BJ371:BJ374)</f>
        <v>0</v>
      </c>
      <c r="BK375" s="11">
        <f t="shared" si="1678"/>
        <v>0</v>
      </c>
      <c r="BL375" s="11">
        <f t="shared" si="1678"/>
        <v>0</v>
      </c>
      <c r="BM375" s="11">
        <f t="shared" si="1678"/>
        <v>0</v>
      </c>
      <c r="BN375" s="11">
        <f t="shared" si="1678"/>
        <v>0</v>
      </c>
      <c r="BO375" s="25">
        <f t="shared" si="1678"/>
        <v>0</v>
      </c>
      <c r="BQ375" s="10">
        <f t="shared" ref="BQ375:BV375" si="1679">SUM(BQ371:BQ374)</f>
        <v>0</v>
      </c>
      <c r="BR375" s="11">
        <f t="shared" si="1679"/>
        <v>0</v>
      </c>
      <c r="BS375" s="11">
        <f t="shared" si="1679"/>
        <v>0</v>
      </c>
      <c r="BT375" s="11">
        <f t="shared" si="1679"/>
        <v>0</v>
      </c>
      <c r="BU375" s="11">
        <f t="shared" si="1679"/>
        <v>0</v>
      </c>
      <c r="BV375" s="25">
        <f t="shared" si="1679"/>
        <v>0</v>
      </c>
      <c r="BX375" s="10">
        <f t="shared" ref="BX375:CC375" si="1680">SUM(BX371:BX374)</f>
        <v>0</v>
      </c>
      <c r="BY375" s="11">
        <f t="shared" si="1680"/>
        <v>0</v>
      </c>
      <c r="BZ375" s="11">
        <f t="shared" si="1680"/>
        <v>0</v>
      </c>
      <c r="CA375" s="11">
        <f t="shared" si="1680"/>
        <v>0</v>
      </c>
      <c r="CB375" s="11">
        <f t="shared" si="1680"/>
        <v>0</v>
      </c>
      <c r="CC375" s="25">
        <f t="shared" si="1680"/>
        <v>0</v>
      </c>
      <c r="CE375" s="62">
        <f t="shared" ref="CE375:CJ375" si="1681">SUM(CE371:CE374)</f>
        <v>0</v>
      </c>
      <c r="CF375" s="63">
        <f t="shared" si="1681"/>
        <v>0</v>
      </c>
      <c r="CG375" s="63">
        <f t="shared" si="1681"/>
        <v>0</v>
      </c>
      <c r="CH375" s="63">
        <f t="shared" si="1681"/>
        <v>0</v>
      </c>
      <c r="CI375" s="63">
        <f t="shared" si="1681"/>
        <v>0</v>
      </c>
      <c r="CJ375" s="25">
        <f t="shared" si="1681"/>
        <v>0</v>
      </c>
      <c r="CL375" s="10">
        <f>SUM(CL371:CL374)</f>
        <v>0</v>
      </c>
      <c r="CM375" s="11">
        <f t="shared" ref="CM375:CQ375" si="1682">SUM(CM371:CM374)</f>
        <v>0</v>
      </c>
      <c r="CN375" s="11">
        <f t="shared" si="1682"/>
        <v>0</v>
      </c>
      <c r="CO375" s="11">
        <f t="shared" si="1682"/>
        <v>0</v>
      </c>
      <c r="CP375" s="11">
        <f t="shared" si="1682"/>
        <v>0</v>
      </c>
      <c r="CQ375" s="25">
        <f t="shared" si="1682"/>
        <v>0</v>
      </c>
      <c r="CS375" s="10">
        <f>SUM(CS371:CS374)</f>
        <v>0</v>
      </c>
      <c r="CT375" s="11">
        <f t="shared" ref="CT375:CW375" si="1683">SUM(CT371:CT374)</f>
        <v>0</v>
      </c>
      <c r="CU375" s="11">
        <f t="shared" si="1683"/>
        <v>0</v>
      </c>
      <c r="CV375" s="11">
        <f t="shared" si="1683"/>
        <v>0</v>
      </c>
      <c r="CW375" s="11">
        <f t="shared" si="1683"/>
        <v>0</v>
      </c>
      <c r="CX375" s="25">
        <f>SUM(CX371:CX374)</f>
        <v>0</v>
      </c>
      <c r="CZ375" s="10">
        <f>SUM(CZ371:CZ374)</f>
        <v>0</v>
      </c>
      <c r="DA375" s="11">
        <f t="shared" ref="DA375:DD375" si="1684">SUM(DA371:DA374)</f>
        <v>0</v>
      </c>
      <c r="DB375" s="11">
        <f t="shared" si="1684"/>
        <v>0</v>
      </c>
      <c r="DC375" s="11">
        <f t="shared" si="1684"/>
        <v>0</v>
      </c>
      <c r="DD375" s="11">
        <f t="shared" si="1684"/>
        <v>0</v>
      </c>
      <c r="DE375" s="25">
        <f>SUM(DE371:DE374)</f>
        <v>0</v>
      </c>
    </row>
    <row r="376" spans="3:109" ht="10.4" customHeight="1" thickBot="1"/>
    <row r="377" spans="3:109">
      <c r="C377" s="553">
        <v>2027</v>
      </c>
      <c r="E377" s="13" t="s">
        <v>59</v>
      </c>
      <c r="F377" s="21">
        <f>CE371</f>
        <v>0</v>
      </c>
      <c r="G377" s="22">
        <f t="shared" ref="G377:G380" si="1685">CF371</f>
        <v>0</v>
      </c>
      <c r="H377" s="22">
        <f t="shared" ref="H377:H380" si="1686">CG371</f>
        <v>0</v>
      </c>
      <c r="I377" s="22">
        <f t="shared" ref="I377:I380" si="1687">CH371</f>
        <v>0</v>
      </c>
      <c r="J377" s="22">
        <f t="shared" ref="J377:J380" si="1688">CI371</f>
        <v>0</v>
      </c>
      <c r="K377" s="4">
        <f>SUM(F377:J377)</f>
        <v>0</v>
      </c>
      <c r="M377" s="2"/>
      <c r="N377" s="3"/>
      <c r="O377" s="3"/>
      <c r="P377" s="3"/>
      <c r="Q377" s="3"/>
      <c r="R377" s="4">
        <f>SUM(M377:Q377)</f>
        <v>0</v>
      </c>
      <c r="T377" s="2"/>
      <c r="U377" s="3"/>
      <c r="V377" s="3"/>
      <c r="W377" s="3"/>
      <c r="X377" s="3"/>
      <c r="Y377" s="4">
        <f>SUM(T377:X377)</f>
        <v>0</v>
      </c>
      <c r="AA377" s="2"/>
      <c r="AB377" s="3"/>
      <c r="AC377" s="3"/>
      <c r="AD377" s="3"/>
      <c r="AE377" s="3"/>
      <c r="AF377" s="4">
        <f>SUM(AA377:AE377)</f>
        <v>0</v>
      </c>
      <c r="AH377" s="2"/>
      <c r="AI377" s="3"/>
      <c r="AJ377" s="3"/>
      <c r="AK377" s="3"/>
      <c r="AL377" s="3"/>
      <c r="AM377" s="4">
        <f>SUM(AH377:AL377)</f>
        <v>0</v>
      </c>
      <c r="AO377" s="2"/>
      <c r="AP377" s="3"/>
      <c r="AQ377" s="3"/>
      <c r="AR377" s="3"/>
      <c r="AS377" s="3"/>
      <c r="AT377" s="4">
        <f>SUM(AO377:AS377)</f>
        <v>0</v>
      </c>
      <c r="AV377" s="2"/>
      <c r="AW377" s="3"/>
      <c r="AX377" s="3"/>
      <c r="AY377" s="3"/>
      <c r="AZ377" s="3"/>
      <c r="BA377" s="4">
        <f>SUM(AV377:AZ377)</f>
        <v>0</v>
      </c>
      <c r="BC377" s="2"/>
      <c r="BD377" s="3"/>
      <c r="BE377" s="3"/>
      <c r="BF377" s="3"/>
      <c r="BG377" s="3"/>
      <c r="BH377" s="4">
        <f>SUM(BC377:BG377)</f>
        <v>0</v>
      </c>
      <c r="BJ377" s="2"/>
      <c r="BK377" s="3"/>
      <c r="BL377" s="3"/>
      <c r="BM377" s="3"/>
      <c r="BN377" s="3"/>
      <c r="BO377" s="4">
        <f>SUM(BJ377:BN377)</f>
        <v>0</v>
      </c>
      <c r="BQ377" s="2"/>
      <c r="BR377" s="3"/>
      <c r="BS377" s="3"/>
      <c r="BT377" s="3"/>
      <c r="BU377" s="3"/>
      <c r="BV377" s="4">
        <f>SUM(BQ377:BU377)</f>
        <v>0</v>
      </c>
      <c r="BX377" s="2"/>
      <c r="BY377" s="3"/>
      <c r="BZ377" s="3"/>
      <c r="CA377" s="3"/>
      <c r="CB377" s="3"/>
      <c r="CC377" s="4">
        <f>SUM(BX377:CB377)</f>
        <v>0</v>
      </c>
      <c r="CE377" s="26">
        <f t="shared" ref="CE377:CE380" si="1689">F377+M377+T377+AA377+AH377+AO377+AV377+BC377+BJ377+BQ377+BX377</f>
        <v>0</v>
      </c>
      <c r="CF377" s="27">
        <f t="shared" ref="CF377:CF380" si="1690">G377+N377+U377+AB377+AI377+AP377+AW377+BD377+BK377+BR377+BY377</f>
        <v>0</v>
      </c>
      <c r="CG377" s="27">
        <f t="shared" ref="CG377:CG380" si="1691">H377+O377+V377+AC377+AJ377+AQ377+AX377+BE377+BL377+BS377+BZ377</f>
        <v>0</v>
      </c>
      <c r="CH377" s="27">
        <f t="shared" ref="CH377:CH380" si="1692">I377+P377+W377+AD377+AK377+AR377+AY377+BF377+BM377+BT377+CA377</f>
        <v>0</v>
      </c>
      <c r="CI377" s="27">
        <f t="shared" ref="CI377:CI380" si="1693">J377+Q377+X377+AE377+AL377+AS377+AZ377+BG377+BN377+BU377+CB377</f>
        <v>0</v>
      </c>
      <c r="CJ377" s="4">
        <f>SUM(CE377:CI377)</f>
        <v>0</v>
      </c>
      <c r="CL377" s="2"/>
      <c r="CM377" s="3"/>
      <c r="CN377" s="3"/>
      <c r="CO377" s="3"/>
      <c r="CP377" s="3"/>
      <c r="CQ377" s="4">
        <f>SUM(CL377:CP377)</f>
        <v>0</v>
      </c>
      <c r="CS377" s="2"/>
      <c r="CT377" s="3"/>
      <c r="CU377" s="3"/>
      <c r="CV377" s="3"/>
      <c r="CW377" s="3"/>
      <c r="CX377" s="4">
        <f>SUM(CS377:CW377)</f>
        <v>0</v>
      </c>
      <c r="CZ377" s="2"/>
      <c r="DA377" s="3"/>
      <c r="DB377" s="3"/>
      <c r="DC377" s="3"/>
      <c r="DD377" s="3"/>
      <c r="DE377" s="4">
        <f>SUM(CZ377:DD377)</f>
        <v>0</v>
      </c>
    </row>
    <row r="378" spans="3:109">
      <c r="C378" s="567"/>
      <c r="E378" s="14" t="s">
        <v>60</v>
      </c>
      <c r="F378" s="23">
        <f t="shared" ref="F378:F380" si="1694">CE372</f>
        <v>0</v>
      </c>
      <c r="G378" s="24">
        <f t="shared" si="1685"/>
        <v>0</v>
      </c>
      <c r="H378" s="24">
        <f t="shared" si="1686"/>
        <v>0</v>
      </c>
      <c r="I378" s="24">
        <f t="shared" si="1687"/>
        <v>0</v>
      </c>
      <c r="J378" s="24">
        <f t="shared" si="1688"/>
        <v>0</v>
      </c>
      <c r="K378" s="8">
        <f t="shared" ref="K378:K380" si="1695">SUM(F378:J378)</f>
        <v>0</v>
      </c>
      <c r="M378" s="6"/>
      <c r="N378" s="7"/>
      <c r="O378" s="7"/>
      <c r="P378" s="7"/>
      <c r="Q378" s="7"/>
      <c r="R378" s="8">
        <f t="shared" ref="R378:R380" si="1696">SUM(M378:Q378)</f>
        <v>0</v>
      </c>
      <c r="T378" s="6"/>
      <c r="U378" s="7"/>
      <c r="V378" s="7"/>
      <c r="W378" s="7"/>
      <c r="X378" s="7"/>
      <c r="Y378" s="8">
        <f t="shared" ref="Y378:Y380" si="1697">SUM(T378:X378)</f>
        <v>0</v>
      </c>
      <c r="AA378" s="6"/>
      <c r="AB378" s="7"/>
      <c r="AC378" s="7"/>
      <c r="AD378" s="7"/>
      <c r="AE378" s="7"/>
      <c r="AF378" s="8">
        <f>SUM(AA378:AE378)</f>
        <v>0</v>
      </c>
      <c r="AH378" s="6"/>
      <c r="AI378" s="7"/>
      <c r="AJ378" s="7"/>
      <c r="AK378" s="7"/>
      <c r="AL378" s="7"/>
      <c r="AM378" s="8">
        <f>SUM(AH378:AL378)</f>
        <v>0</v>
      </c>
      <c r="AO378" s="6"/>
      <c r="AP378" s="7"/>
      <c r="AQ378" s="7"/>
      <c r="AR378" s="7"/>
      <c r="AS378" s="7"/>
      <c r="AT378" s="8">
        <f>SUM(AO378:AS378)</f>
        <v>0</v>
      </c>
      <c r="AV378" s="6"/>
      <c r="AW378" s="7"/>
      <c r="AX378" s="7"/>
      <c r="AY378" s="7"/>
      <c r="AZ378" s="7"/>
      <c r="BA378" s="8">
        <f>SUM(AV378:AZ378)</f>
        <v>0</v>
      </c>
      <c r="BC378" s="6"/>
      <c r="BD378" s="7"/>
      <c r="BE378" s="7"/>
      <c r="BF378" s="7"/>
      <c r="BG378" s="7"/>
      <c r="BH378" s="8">
        <f>SUM(BC378:BG378)</f>
        <v>0</v>
      </c>
      <c r="BJ378" s="6"/>
      <c r="BK378" s="7"/>
      <c r="BL378" s="7"/>
      <c r="BM378" s="7"/>
      <c r="BN378" s="7"/>
      <c r="BO378" s="8">
        <f>SUM(BJ378:BN378)</f>
        <v>0</v>
      </c>
      <c r="BQ378" s="6"/>
      <c r="BR378" s="7"/>
      <c r="BS378" s="7"/>
      <c r="BT378" s="7"/>
      <c r="BU378" s="7"/>
      <c r="BV378" s="8">
        <f>SUM(BQ378:BU378)</f>
        <v>0</v>
      </c>
      <c r="BX378" s="6"/>
      <c r="BY378" s="7"/>
      <c r="BZ378" s="7"/>
      <c r="CA378" s="7"/>
      <c r="CB378" s="7"/>
      <c r="CC378" s="8">
        <f>SUM(BX378:CB378)</f>
        <v>0</v>
      </c>
      <c r="CE378" s="28">
        <f t="shared" si="1689"/>
        <v>0</v>
      </c>
      <c r="CF378" s="29">
        <f t="shared" si="1690"/>
        <v>0</v>
      </c>
      <c r="CG378" s="29">
        <f t="shared" si="1691"/>
        <v>0</v>
      </c>
      <c r="CH378" s="29">
        <f t="shared" si="1692"/>
        <v>0</v>
      </c>
      <c r="CI378" s="29">
        <f t="shared" si="1693"/>
        <v>0</v>
      </c>
      <c r="CJ378" s="8">
        <f>SUM(CE378:CI378)</f>
        <v>0</v>
      </c>
      <c r="CL378" s="6"/>
      <c r="CM378" s="7"/>
      <c r="CN378" s="7"/>
      <c r="CO378" s="7"/>
      <c r="CP378" s="7"/>
      <c r="CQ378" s="8">
        <f>SUM(CL378:CP378)</f>
        <v>0</v>
      </c>
      <c r="CS378" s="6"/>
      <c r="CT378" s="7"/>
      <c r="CU378" s="7"/>
      <c r="CV378" s="7"/>
      <c r="CW378" s="7"/>
      <c r="CX378" s="8">
        <f t="shared" ref="CX378:CX380" si="1698">SUM(CS378:CW378)</f>
        <v>0</v>
      </c>
      <c r="CZ378" s="6"/>
      <c r="DA378" s="7"/>
      <c r="DB378" s="7"/>
      <c r="DC378" s="7"/>
      <c r="DD378" s="7"/>
      <c r="DE378" s="8">
        <f t="shared" ref="DE378:DE380" si="1699">SUM(CZ378:DD378)</f>
        <v>0</v>
      </c>
    </row>
    <row r="379" spans="3:109">
      <c r="C379" s="567"/>
      <c r="E379" s="14" t="s">
        <v>61</v>
      </c>
      <c r="F379" s="23">
        <f t="shared" si="1694"/>
        <v>0</v>
      </c>
      <c r="G379" s="24">
        <f t="shared" si="1685"/>
        <v>0</v>
      </c>
      <c r="H379" s="24">
        <f t="shared" si="1686"/>
        <v>0</v>
      </c>
      <c r="I379" s="24">
        <f t="shared" si="1687"/>
        <v>0</v>
      </c>
      <c r="J379" s="24">
        <f t="shared" si="1688"/>
        <v>0</v>
      </c>
      <c r="K379" s="8">
        <f t="shared" si="1695"/>
        <v>0</v>
      </c>
      <c r="M379" s="6"/>
      <c r="N379" s="7"/>
      <c r="O379" s="7"/>
      <c r="P379" s="7"/>
      <c r="Q379" s="7"/>
      <c r="R379" s="8">
        <f t="shared" si="1696"/>
        <v>0</v>
      </c>
      <c r="T379" s="6"/>
      <c r="U379" s="7"/>
      <c r="V379" s="7"/>
      <c r="W379" s="7"/>
      <c r="X379" s="7"/>
      <c r="Y379" s="8">
        <f t="shared" si="1697"/>
        <v>0</v>
      </c>
      <c r="AA379" s="6"/>
      <c r="AB379" s="7"/>
      <c r="AC379" s="7"/>
      <c r="AD379" s="7"/>
      <c r="AE379" s="7"/>
      <c r="AF379" s="8">
        <f>SUM(AA379:AE379)</f>
        <v>0</v>
      </c>
      <c r="AH379" s="6"/>
      <c r="AI379" s="7"/>
      <c r="AJ379" s="7"/>
      <c r="AK379" s="7"/>
      <c r="AL379" s="7"/>
      <c r="AM379" s="8">
        <f>SUM(AH379:AL379)</f>
        <v>0</v>
      </c>
      <c r="AO379" s="6"/>
      <c r="AP379" s="7"/>
      <c r="AQ379" s="7"/>
      <c r="AR379" s="7"/>
      <c r="AS379" s="7"/>
      <c r="AT379" s="8">
        <f>SUM(AO379:AS379)</f>
        <v>0</v>
      </c>
      <c r="AV379" s="6"/>
      <c r="AW379" s="7"/>
      <c r="AX379" s="7"/>
      <c r="AY379" s="7"/>
      <c r="AZ379" s="7"/>
      <c r="BA379" s="8">
        <f>SUM(AV379:AZ379)</f>
        <v>0</v>
      </c>
      <c r="BC379" s="6"/>
      <c r="BD379" s="7"/>
      <c r="BE379" s="7"/>
      <c r="BF379" s="7"/>
      <c r="BG379" s="7"/>
      <c r="BH379" s="8">
        <f>SUM(BC379:BG379)</f>
        <v>0</v>
      </c>
      <c r="BJ379" s="6"/>
      <c r="BK379" s="7"/>
      <c r="BL379" s="7"/>
      <c r="BM379" s="7"/>
      <c r="BN379" s="7"/>
      <c r="BO379" s="8">
        <f>SUM(BJ379:BN379)</f>
        <v>0</v>
      </c>
      <c r="BQ379" s="6"/>
      <c r="BR379" s="7"/>
      <c r="BS379" s="7"/>
      <c r="BT379" s="7"/>
      <c r="BU379" s="7"/>
      <c r="BV379" s="8">
        <f>SUM(BQ379:BU379)</f>
        <v>0</v>
      </c>
      <c r="BX379" s="6"/>
      <c r="BY379" s="7"/>
      <c r="BZ379" s="7"/>
      <c r="CA379" s="7"/>
      <c r="CB379" s="7"/>
      <c r="CC379" s="8">
        <f>SUM(BX379:CB379)</f>
        <v>0</v>
      </c>
      <c r="CE379" s="28">
        <f t="shared" si="1689"/>
        <v>0</v>
      </c>
      <c r="CF379" s="29">
        <f t="shared" si="1690"/>
        <v>0</v>
      </c>
      <c r="CG379" s="29">
        <f t="shared" si="1691"/>
        <v>0</v>
      </c>
      <c r="CH379" s="29">
        <f t="shared" si="1692"/>
        <v>0</v>
      </c>
      <c r="CI379" s="29">
        <f t="shared" si="1693"/>
        <v>0</v>
      </c>
      <c r="CJ379" s="8">
        <f>SUM(CE379:CI379)</f>
        <v>0</v>
      </c>
      <c r="CL379" s="6"/>
      <c r="CM379" s="7"/>
      <c r="CN379" s="7"/>
      <c r="CO379" s="7"/>
      <c r="CP379" s="7"/>
      <c r="CQ379" s="8">
        <f>SUM(CL379:CP379)</f>
        <v>0</v>
      </c>
      <c r="CS379" s="6"/>
      <c r="CT379" s="7"/>
      <c r="CU379" s="7"/>
      <c r="CV379" s="7"/>
      <c r="CW379" s="7"/>
      <c r="CX379" s="8">
        <f t="shared" si="1698"/>
        <v>0</v>
      </c>
      <c r="CZ379" s="6"/>
      <c r="DA379" s="7"/>
      <c r="DB379" s="7"/>
      <c r="DC379" s="7"/>
      <c r="DD379" s="7"/>
      <c r="DE379" s="8">
        <f t="shared" si="1699"/>
        <v>0</v>
      </c>
    </row>
    <row r="380" spans="3:109" ht="14" thickBot="1">
      <c r="C380" s="567"/>
      <c r="E380" s="14" t="s">
        <v>62</v>
      </c>
      <c r="F380" s="23">
        <f t="shared" si="1694"/>
        <v>0</v>
      </c>
      <c r="G380" s="24">
        <f t="shared" si="1685"/>
        <v>0</v>
      </c>
      <c r="H380" s="24">
        <f t="shared" si="1686"/>
        <v>0</v>
      </c>
      <c r="I380" s="24">
        <f t="shared" si="1687"/>
        <v>0</v>
      </c>
      <c r="J380" s="24">
        <f t="shared" si="1688"/>
        <v>0</v>
      </c>
      <c r="K380" s="8">
        <f t="shared" si="1695"/>
        <v>0</v>
      </c>
      <c r="M380" s="6"/>
      <c r="N380" s="7"/>
      <c r="O380" s="7"/>
      <c r="P380" s="7"/>
      <c r="Q380" s="7"/>
      <c r="R380" s="8">
        <f t="shared" si="1696"/>
        <v>0</v>
      </c>
      <c r="T380" s="6"/>
      <c r="U380" s="7"/>
      <c r="V380" s="7"/>
      <c r="W380" s="7"/>
      <c r="X380" s="7"/>
      <c r="Y380" s="8">
        <f t="shared" si="1697"/>
        <v>0</v>
      </c>
      <c r="AA380" s="6"/>
      <c r="AB380" s="7"/>
      <c r="AC380" s="7"/>
      <c r="AD380" s="7"/>
      <c r="AE380" s="7"/>
      <c r="AF380" s="8">
        <f>SUM(AA380:AE380)</f>
        <v>0</v>
      </c>
      <c r="AH380" s="6"/>
      <c r="AI380" s="7"/>
      <c r="AJ380" s="7"/>
      <c r="AK380" s="7"/>
      <c r="AL380" s="7"/>
      <c r="AM380" s="8">
        <f>SUM(AH380:AL380)</f>
        <v>0</v>
      </c>
      <c r="AO380" s="6"/>
      <c r="AP380" s="7"/>
      <c r="AQ380" s="7"/>
      <c r="AR380" s="7"/>
      <c r="AS380" s="7"/>
      <c r="AT380" s="8">
        <f>SUM(AO380:AS380)</f>
        <v>0</v>
      </c>
      <c r="AV380" s="6"/>
      <c r="AW380" s="7"/>
      <c r="AX380" s="7"/>
      <c r="AY380" s="7"/>
      <c r="AZ380" s="7"/>
      <c r="BA380" s="8">
        <f>SUM(AV380:AZ380)</f>
        <v>0</v>
      </c>
      <c r="BC380" s="6"/>
      <c r="BD380" s="7"/>
      <c r="BE380" s="7"/>
      <c r="BF380" s="7"/>
      <c r="BG380" s="7"/>
      <c r="BH380" s="8">
        <f>SUM(BC380:BG380)</f>
        <v>0</v>
      </c>
      <c r="BJ380" s="6"/>
      <c r="BK380" s="7"/>
      <c r="BL380" s="7"/>
      <c r="BM380" s="7"/>
      <c r="BN380" s="7"/>
      <c r="BO380" s="8">
        <f>SUM(BJ380:BN380)</f>
        <v>0</v>
      </c>
      <c r="BQ380" s="6"/>
      <c r="BR380" s="7"/>
      <c r="BS380" s="7"/>
      <c r="BT380" s="7"/>
      <c r="BU380" s="7"/>
      <c r="BV380" s="8">
        <f>SUM(BQ380:BU380)</f>
        <v>0</v>
      </c>
      <c r="BX380" s="6"/>
      <c r="BY380" s="7"/>
      <c r="BZ380" s="7"/>
      <c r="CA380" s="7"/>
      <c r="CB380" s="7"/>
      <c r="CC380" s="8">
        <f>SUM(BX380:CB380)</f>
        <v>0</v>
      </c>
      <c r="CE380" s="493">
        <f t="shared" si="1689"/>
        <v>0</v>
      </c>
      <c r="CF380" s="494">
        <f t="shared" si="1690"/>
        <v>0</v>
      </c>
      <c r="CG380" s="494">
        <f t="shared" si="1691"/>
        <v>0</v>
      </c>
      <c r="CH380" s="494">
        <f t="shared" si="1692"/>
        <v>0</v>
      </c>
      <c r="CI380" s="494">
        <f t="shared" si="1693"/>
        <v>0</v>
      </c>
      <c r="CJ380" s="495">
        <f>SUM(CE380:CI380)</f>
        <v>0</v>
      </c>
      <c r="CL380" s="6"/>
      <c r="CM380" s="7"/>
      <c r="CN380" s="7"/>
      <c r="CO380" s="7"/>
      <c r="CP380" s="7"/>
      <c r="CQ380" s="8">
        <f>SUM(CL380:CP380)</f>
        <v>0</v>
      </c>
      <c r="CS380" s="6"/>
      <c r="CT380" s="7"/>
      <c r="CU380" s="7"/>
      <c r="CV380" s="7"/>
      <c r="CW380" s="7"/>
      <c r="CX380" s="8">
        <f t="shared" si="1698"/>
        <v>0</v>
      </c>
      <c r="CZ380" s="6"/>
      <c r="DA380" s="7"/>
      <c r="DB380" s="7"/>
      <c r="DC380" s="7"/>
      <c r="DD380" s="7"/>
      <c r="DE380" s="8">
        <f t="shared" si="1699"/>
        <v>0</v>
      </c>
    </row>
    <row r="381" spans="3:109" ht="14" thickBot="1">
      <c r="C381" s="554"/>
      <c r="E381" s="17"/>
      <c r="F381" s="10">
        <f>SUM(F377:F380)</f>
        <v>0</v>
      </c>
      <c r="G381" s="11">
        <f t="shared" ref="G381:J381" si="1700">SUM(G377:G380)</f>
        <v>0</v>
      </c>
      <c r="H381" s="11">
        <f t="shared" si="1700"/>
        <v>0</v>
      </c>
      <c r="I381" s="11">
        <f t="shared" si="1700"/>
        <v>0</v>
      </c>
      <c r="J381" s="11">
        <f t="shared" si="1700"/>
        <v>0</v>
      </c>
      <c r="K381" s="25">
        <f>SUM(K377:K380)</f>
        <v>0</v>
      </c>
      <c r="M381" s="10">
        <f>SUM(M377:M380)</f>
        <v>0</v>
      </c>
      <c r="N381" s="11">
        <f t="shared" ref="N381:Q381" si="1701">SUM(N377:N380)</f>
        <v>0</v>
      </c>
      <c r="O381" s="11">
        <f t="shared" si="1701"/>
        <v>0</v>
      </c>
      <c r="P381" s="11">
        <f t="shared" si="1701"/>
        <v>0</v>
      </c>
      <c r="Q381" s="11">
        <f t="shared" si="1701"/>
        <v>0</v>
      </c>
      <c r="R381" s="25">
        <f>SUM(R377:R380)</f>
        <v>0</v>
      </c>
      <c r="T381" s="10">
        <f>SUM(T377:T380)</f>
        <v>0</v>
      </c>
      <c r="U381" s="11">
        <f t="shared" ref="U381:X381" si="1702">SUM(U377:U380)</f>
        <v>0</v>
      </c>
      <c r="V381" s="11">
        <f t="shared" si="1702"/>
        <v>0</v>
      </c>
      <c r="W381" s="11">
        <f t="shared" si="1702"/>
        <v>0</v>
      </c>
      <c r="X381" s="11">
        <f t="shared" si="1702"/>
        <v>0</v>
      </c>
      <c r="Y381" s="25">
        <f>SUM(Y377:Y380)</f>
        <v>0</v>
      </c>
      <c r="AA381" s="10">
        <f>SUM(AA377:AA380)</f>
        <v>0</v>
      </c>
      <c r="AB381" s="11">
        <f t="shared" ref="AB381:AE381" si="1703">SUM(AB377:AB380)</f>
        <v>0</v>
      </c>
      <c r="AC381" s="11">
        <f t="shared" si="1703"/>
        <v>0</v>
      </c>
      <c r="AD381" s="11">
        <f t="shared" si="1703"/>
        <v>0</v>
      </c>
      <c r="AE381" s="11">
        <f t="shared" si="1703"/>
        <v>0</v>
      </c>
      <c r="AF381" s="25">
        <f>SUM(AF377:AF380)</f>
        <v>0</v>
      </c>
      <c r="AH381" s="10">
        <f t="shared" ref="AH381:AM381" si="1704">SUM(AH377:AH380)</f>
        <v>0</v>
      </c>
      <c r="AI381" s="11">
        <f t="shared" si="1704"/>
        <v>0</v>
      </c>
      <c r="AJ381" s="11">
        <f t="shared" si="1704"/>
        <v>0</v>
      </c>
      <c r="AK381" s="11">
        <f t="shared" si="1704"/>
        <v>0</v>
      </c>
      <c r="AL381" s="11">
        <f t="shared" si="1704"/>
        <v>0</v>
      </c>
      <c r="AM381" s="25">
        <f t="shared" si="1704"/>
        <v>0</v>
      </c>
      <c r="AO381" s="10">
        <f t="shared" ref="AO381:AT381" si="1705">SUM(AO377:AO380)</f>
        <v>0</v>
      </c>
      <c r="AP381" s="11">
        <f t="shared" si="1705"/>
        <v>0</v>
      </c>
      <c r="AQ381" s="11">
        <f t="shared" si="1705"/>
        <v>0</v>
      </c>
      <c r="AR381" s="11">
        <f t="shared" si="1705"/>
        <v>0</v>
      </c>
      <c r="AS381" s="11">
        <f t="shared" si="1705"/>
        <v>0</v>
      </c>
      <c r="AT381" s="25">
        <f t="shared" si="1705"/>
        <v>0</v>
      </c>
      <c r="AV381" s="10">
        <f t="shared" ref="AV381:BA381" si="1706">SUM(AV377:AV380)</f>
        <v>0</v>
      </c>
      <c r="AW381" s="11">
        <f t="shared" si="1706"/>
        <v>0</v>
      </c>
      <c r="AX381" s="11">
        <f t="shared" si="1706"/>
        <v>0</v>
      </c>
      <c r="AY381" s="11">
        <f t="shared" si="1706"/>
        <v>0</v>
      </c>
      <c r="AZ381" s="11">
        <f t="shared" si="1706"/>
        <v>0</v>
      </c>
      <c r="BA381" s="25">
        <f t="shared" si="1706"/>
        <v>0</v>
      </c>
      <c r="BC381" s="10">
        <f t="shared" ref="BC381:BH381" si="1707">SUM(BC377:BC380)</f>
        <v>0</v>
      </c>
      <c r="BD381" s="11">
        <f t="shared" si="1707"/>
        <v>0</v>
      </c>
      <c r="BE381" s="11">
        <f t="shared" si="1707"/>
        <v>0</v>
      </c>
      <c r="BF381" s="11">
        <f t="shared" si="1707"/>
        <v>0</v>
      </c>
      <c r="BG381" s="11">
        <f t="shared" si="1707"/>
        <v>0</v>
      </c>
      <c r="BH381" s="25">
        <f t="shared" si="1707"/>
        <v>0</v>
      </c>
      <c r="BJ381" s="10">
        <f t="shared" ref="BJ381:BO381" si="1708">SUM(BJ377:BJ380)</f>
        <v>0</v>
      </c>
      <c r="BK381" s="11">
        <f t="shared" si="1708"/>
        <v>0</v>
      </c>
      <c r="BL381" s="11">
        <f t="shared" si="1708"/>
        <v>0</v>
      </c>
      <c r="BM381" s="11">
        <f t="shared" si="1708"/>
        <v>0</v>
      </c>
      <c r="BN381" s="11">
        <f t="shared" si="1708"/>
        <v>0</v>
      </c>
      <c r="BO381" s="25">
        <f t="shared" si="1708"/>
        <v>0</v>
      </c>
      <c r="BQ381" s="10">
        <f t="shared" ref="BQ381:BV381" si="1709">SUM(BQ377:BQ380)</f>
        <v>0</v>
      </c>
      <c r="BR381" s="11">
        <f t="shared" si="1709"/>
        <v>0</v>
      </c>
      <c r="BS381" s="11">
        <f t="shared" si="1709"/>
        <v>0</v>
      </c>
      <c r="BT381" s="11">
        <f t="shared" si="1709"/>
        <v>0</v>
      </c>
      <c r="BU381" s="11">
        <f t="shared" si="1709"/>
        <v>0</v>
      </c>
      <c r="BV381" s="25">
        <f t="shared" si="1709"/>
        <v>0</v>
      </c>
      <c r="BX381" s="10">
        <f t="shared" ref="BX381:CC381" si="1710">SUM(BX377:BX380)</f>
        <v>0</v>
      </c>
      <c r="BY381" s="11">
        <f t="shared" si="1710"/>
        <v>0</v>
      </c>
      <c r="BZ381" s="11">
        <f t="shared" si="1710"/>
        <v>0</v>
      </c>
      <c r="CA381" s="11">
        <f t="shared" si="1710"/>
        <v>0</v>
      </c>
      <c r="CB381" s="11">
        <f t="shared" si="1710"/>
        <v>0</v>
      </c>
      <c r="CC381" s="25">
        <f t="shared" si="1710"/>
        <v>0</v>
      </c>
      <c r="CE381" s="62">
        <f t="shared" ref="CE381:CJ381" si="1711">SUM(CE377:CE380)</f>
        <v>0</v>
      </c>
      <c r="CF381" s="63">
        <f t="shared" si="1711"/>
        <v>0</v>
      </c>
      <c r="CG381" s="63">
        <f t="shared" si="1711"/>
        <v>0</v>
      </c>
      <c r="CH381" s="63">
        <f t="shared" si="1711"/>
        <v>0</v>
      </c>
      <c r="CI381" s="63">
        <f t="shared" si="1711"/>
        <v>0</v>
      </c>
      <c r="CJ381" s="25">
        <f t="shared" si="1711"/>
        <v>0</v>
      </c>
      <c r="CL381" s="10">
        <f>SUM(CL377:CL380)</f>
        <v>0</v>
      </c>
      <c r="CM381" s="11">
        <f t="shared" ref="CM381:CQ381" si="1712">SUM(CM377:CM380)</f>
        <v>0</v>
      </c>
      <c r="CN381" s="11">
        <f t="shared" si="1712"/>
        <v>0</v>
      </c>
      <c r="CO381" s="11">
        <f t="shared" si="1712"/>
        <v>0</v>
      </c>
      <c r="CP381" s="11">
        <f t="shared" si="1712"/>
        <v>0</v>
      </c>
      <c r="CQ381" s="25">
        <f t="shared" si="1712"/>
        <v>0</v>
      </c>
      <c r="CS381" s="10">
        <f>SUM(CS377:CS380)</f>
        <v>0</v>
      </c>
      <c r="CT381" s="11">
        <f t="shared" ref="CT381:CW381" si="1713">SUM(CT377:CT380)</f>
        <v>0</v>
      </c>
      <c r="CU381" s="11">
        <f t="shared" si="1713"/>
        <v>0</v>
      </c>
      <c r="CV381" s="11">
        <f t="shared" si="1713"/>
        <v>0</v>
      </c>
      <c r="CW381" s="11">
        <f t="shared" si="1713"/>
        <v>0</v>
      </c>
      <c r="CX381" s="25">
        <f>SUM(CX377:CX380)</f>
        <v>0</v>
      </c>
      <c r="CZ381" s="10">
        <f>SUM(CZ377:CZ380)</f>
        <v>0</v>
      </c>
      <c r="DA381" s="11">
        <f t="shared" ref="DA381:DD381" si="1714">SUM(DA377:DA380)</f>
        <v>0</v>
      </c>
      <c r="DB381" s="11">
        <f t="shared" si="1714"/>
        <v>0</v>
      </c>
      <c r="DC381" s="11">
        <f t="shared" si="1714"/>
        <v>0</v>
      </c>
      <c r="DD381" s="11">
        <f t="shared" si="1714"/>
        <v>0</v>
      </c>
      <c r="DE381" s="25">
        <f>SUM(DE377:DE380)</f>
        <v>0</v>
      </c>
    </row>
    <row r="382" spans="3:109" ht="10.4" customHeight="1" thickBot="1"/>
    <row r="383" spans="3:109">
      <c r="C383" s="553">
        <v>2028</v>
      </c>
      <c r="E383" s="13" t="s">
        <v>59</v>
      </c>
      <c r="F383" s="21">
        <f>CE377</f>
        <v>0</v>
      </c>
      <c r="G383" s="22">
        <f t="shared" ref="G383:G386" si="1715">CF377</f>
        <v>0</v>
      </c>
      <c r="H383" s="22">
        <f t="shared" ref="H383:H386" si="1716">CG377</f>
        <v>0</v>
      </c>
      <c r="I383" s="22">
        <f t="shared" ref="I383:I386" si="1717">CH377</f>
        <v>0</v>
      </c>
      <c r="J383" s="22">
        <f t="shared" ref="J383:J386" si="1718">CI377</f>
        <v>0</v>
      </c>
      <c r="K383" s="4">
        <f>SUM(F383:J383)</f>
        <v>0</v>
      </c>
      <c r="M383" s="2"/>
      <c r="N383" s="3"/>
      <c r="O383" s="3"/>
      <c r="P383" s="3"/>
      <c r="Q383" s="3"/>
      <c r="R383" s="4">
        <f>SUM(M383:Q383)</f>
        <v>0</v>
      </c>
      <c r="T383" s="2"/>
      <c r="U383" s="3"/>
      <c r="V383" s="3"/>
      <c r="W383" s="3"/>
      <c r="X383" s="3"/>
      <c r="Y383" s="4">
        <f>SUM(T383:X383)</f>
        <v>0</v>
      </c>
      <c r="AA383" s="2"/>
      <c r="AB383" s="3"/>
      <c r="AC383" s="3"/>
      <c r="AD383" s="3"/>
      <c r="AE383" s="3"/>
      <c r="AF383" s="4">
        <f>SUM(AA383:AE383)</f>
        <v>0</v>
      </c>
      <c r="AH383" s="2"/>
      <c r="AI383" s="3"/>
      <c r="AJ383" s="3"/>
      <c r="AK383" s="3"/>
      <c r="AL383" s="3"/>
      <c r="AM383" s="4">
        <f>SUM(AH383:AL383)</f>
        <v>0</v>
      </c>
      <c r="AO383" s="2"/>
      <c r="AP383" s="3"/>
      <c r="AQ383" s="3"/>
      <c r="AR383" s="3"/>
      <c r="AS383" s="3"/>
      <c r="AT383" s="4">
        <f>SUM(AO383:AS383)</f>
        <v>0</v>
      </c>
      <c r="AV383" s="2"/>
      <c r="AW383" s="3"/>
      <c r="AX383" s="3"/>
      <c r="AY383" s="3"/>
      <c r="AZ383" s="3"/>
      <c r="BA383" s="4">
        <f>SUM(AV383:AZ383)</f>
        <v>0</v>
      </c>
      <c r="BC383" s="2"/>
      <c r="BD383" s="3"/>
      <c r="BE383" s="3"/>
      <c r="BF383" s="3"/>
      <c r="BG383" s="3"/>
      <c r="BH383" s="4">
        <f>SUM(BC383:BG383)</f>
        <v>0</v>
      </c>
      <c r="BJ383" s="2"/>
      <c r="BK383" s="3"/>
      <c r="BL383" s="3"/>
      <c r="BM383" s="3"/>
      <c r="BN383" s="3"/>
      <c r="BO383" s="4">
        <f>SUM(BJ383:BN383)</f>
        <v>0</v>
      </c>
      <c r="BQ383" s="2"/>
      <c r="BR383" s="3"/>
      <c r="BS383" s="3"/>
      <c r="BT383" s="3"/>
      <c r="BU383" s="3"/>
      <c r="BV383" s="4">
        <f>SUM(BQ383:BU383)</f>
        <v>0</v>
      </c>
      <c r="BX383" s="2"/>
      <c r="BY383" s="3"/>
      <c r="BZ383" s="3"/>
      <c r="CA383" s="3"/>
      <c r="CB383" s="3"/>
      <c r="CC383" s="4">
        <f>SUM(BX383:CB383)</f>
        <v>0</v>
      </c>
      <c r="CE383" s="26">
        <f t="shared" ref="CE383:CE386" si="1719">F383+M383+T383+AA383+AH383+AO383+AV383+BC383+BJ383+BQ383+BX383</f>
        <v>0</v>
      </c>
      <c r="CF383" s="27">
        <f t="shared" ref="CF383:CF386" si="1720">G383+N383+U383+AB383+AI383+AP383+AW383+BD383+BK383+BR383+BY383</f>
        <v>0</v>
      </c>
      <c r="CG383" s="27">
        <f t="shared" ref="CG383:CG386" si="1721">H383+O383+V383+AC383+AJ383+AQ383+AX383+BE383+BL383+BS383+BZ383</f>
        <v>0</v>
      </c>
      <c r="CH383" s="27">
        <f t="shared" ref="CH383:CH386" si="1722">I383+P383+W383+AD383+AK383+AR383+AY383+BF383+BM383+BT383+CA383</f>
        <v>0</v>
      </c>
      <c r="CI383" s="27">
        <f t="shared" ref="CI383:CI386" si="1723">J383+Q383+X383+AE383+AL383+AS383+AZ383+BG383+BN383+BU383+CB383</f>
        <v>0</v>
      </c>
      <c r="CJ383" s="4">
        <f>SUM(CE383:CI383)</f>
        <v>0</v>
      </c>
      <c r="CL383" s="2"/>
      <c r="CM383" s="3"/>
      <c r="CN383" s="3"/>
      <c r="CO383" s="3"/>
      <c r="CP383" s="3"/>
      <c r="CQ383" s="4">
        <f>SUM(CL383:CP383)</f>
        <v>0</v>
      </c>
      <c r="CS383" s="2"/>
      <c r="CT383" s="3"/>
      <c r="CU383" s="3"/>
      <c r="CV383" s="3"/>
      <c r="CW383" s="3"/>
      <c r="CX383" s="4">
        <f>SUM(CS383:CW383)</f>
        <v>0</v>
      </c>
      <c r="CZ383" s="2"/>
      <c r="DA383" s="3"/>
      <c r="DB383" s="3"/>
      <c r="DC383" s="3"/>
      <c r="DD383" s="3"/>
      <c r="DE383" s="4">
        <f>SUM(CZ383:DD383)</f>
        <v>0</v>
      </c>
    </row>
    <row r="384" spans="3:109">
      <c r="C384" s="567"/>
      <c r="E384" s="14" t="s">
        <v>60</v>
      </c>
      <c r="F384" s="23">
        <f t="shared" ref="F384:F386" si="1724">CE378</f>
        <v>0</v>
      </c>
      <c r="G384" s="24">
        <f t="shared" si="1715"/>
        <v>0</v>
      </c>
      <c r="H384" s="24">
        <f t="shared" si="1716"/>
        <v>0</v>
      </c>
      <c r="I384" s="24">
        <f t="shared" si="1717"/>
        <v>0</v>
      </c>
      <c r="J384" s="24">
        <f t="shared" si="1718"/>
        <v>0</v>
      </c>
      <c r="K384" s="8">
        <f t="shared" ref="K384:K386" si="1725">SUM(F384:J384)</f>
        <v>0</v>
      </c>
      <c r="M384" s="6"/>
      <c r="N384" s="7"/>
      <c r="O384" s="7"/>
      <c r="P384" s="7"/>
      <c r="Q384" s="7"/>
      <c r="R384" s="8">
        <f t="shared" ref="R384:R386" si="1726">SUM(M384:Q384)</f>
        <v>0</v>
      </c>
      <c r="T384" s="6"/>
      <c r="U384" s="7"/>
      <c r="V384" s="7"/>
      <c r="W384" s="7"/>
      <c r="X384" s="7"/>
      <c r="Y384" s="8">
        <f t="shared" ref="Y384:Y386" si="1727">SUM(T384:X384)</f>
        <v>0</v>
      </c>
      <c r="AA384" s="6"/>
      <c r="AB384" s="7"/>
      <c r="AC384" s="7"/>
      <c r="AD384" s="7"/>
      <c r="AE384" s="7"/>
      <c r="AF384" s="8">
        <f>SUM(AA384:AE384)</f>
        <v>0</v>
      </c>
      <c r="AH384" s="6"/>
      <c r="AI384" s="7"/>
      <c r="AJ384" s="7"/>
      <c r="AK384" s="7"/>
      <c r="AL384" s="7"/>
      <c r="AM384" s="8">
        <f>SUM(AH384:AL384)</f>
        <v>0</v>
      </c>
      <c r="AO384" s="6"/>
      <c r="AP384" s="7"/>
      <c r="AQ384" s="7"/>
      <c r="AR384" s="7"/>
      <c r="AS384" s="7"/>
      <c r="AT384" s="8">
        <f>SUM(AO384:AS384)</f>
        <v>0</v>
      </c>
      <c r="AV384" s="6"/>
      <c r="AW384" s="7"/>
      <c r="AX384" s="7"/>
      <c r="AY384" s="7"/>
      <c r="AZ384" s="7"/>
      <c r="BA384" s="8">
        <f>SUM(AV384:AZ384)</f>
        <v>0</v>
      </c>
      <c r="BC384" s="6"/>
      <c r="BD384" s="7"/>
      <c r="BE384" s="7"/>
      <c r="BF384" s="7"/>
      <c r="BG384" s="7"/>
      <c r="BH384" s="8">
        <f>SUM(BC384:BG384)</f>
        <v>0</v>
      </c>
      <c r="BJ384" s="6"/>
      <c r="BK384" s="7"/>
      <c r="BL384" s="7"/>
      <c r="BM384" s="7"/>
      <c r="BN384" s="7"/>
      <c r="BO384" s="8">
        <f>SUM(BJ384:BN384)</f>
        <v>0</v>
      </c>
      <c r="BQ384" s="6"/>
      <c r="BR384" s="7"/>
      <c r="BS384" s="7"/>
      <c r="BT384" s="7"/>
      <c r="BU384" s="7"/>
      <c r="BV384" s="8">
        <f>SUM(BQ384:BU384)</f>
        <v>0</v>
      </c>
      <c r="BX384" s="6"/>
      <c r="BY384" s="7"/>
      <c r="BZ384" s="7"/>
      <c r="CA384" s="7"/>
      <c r="CB384" s="7"/>
      <c r="CC384" s="8">
        <f>SUM(BX384:CB384)</f>
        <v>0</v>
      </c>
      <c r="CE384" s="28">
        <f t="shared" si="1719"/>
        <v>0</v>
      </c>
      <c r="CF384" s="29">
        <f t="shared" si="1720"/>
        <v>0</v>
      </c>
      <c r="CG384" s="29">
        <f t="shared" si="1721"/>
        <v>0</v>
      </c>
      <c r="CH384" s="29">
        <f t="shared" si="1722"/>
        <v>0</v>
      </c>
      <c r="CI384" s="29">
        <f t="shared" si="1723"/>
        <v>0</v>
      </c>
      <c r="CJ384" s="8">
        <f>SUM(CE384:CI384)</f>
        <v>0</v>
      </c>
      <c r="CL384" s="6"/>
      <c r="CM384" s="7"/>
      <c r="CN384" s="7"/>
      <c r="CO384" s="7"/>
      <c r="CP384" s="7"/>
      <c r="CQ384" s="8">
        <f>SUM(CL384:CP384)</f>
        <v>0</v>
      </c>
      <c r="CS384" s="6"/>
      <c r="CT384" s="7"/>
      <c r="CU384" s="7"/>
      <c r="CV384" s="7"/>
      <c r="CW384" s="7"/>
      <c r="CX384" s="8">
        <f t="shared" ref="CX384:CX386" si="1728">SUM(CS384:CW384)</f>
        <v>0</v>
      </c>
      <c r="CZ384" s="6"/>
      <c r="DA384" s="7"/>
      <c r="DB384" s="7"/>
      <c r="DC384" s="7"/>
      <c r="DD384" s="7"/>
      <c r="DE384" s="8">
        <f t="shared" ref="DE384:DE386" si="1729">SUM(CZ384:DD384)</f>
        <v>0</v>
      </c>
    </row>
    <row r="385" spans="2:109">
      <c r="C385" s="567"/>
      <c r="E385" s="14" t="s">
        <v>61</v>
      </c>
      <c r="F385" s="23">
        <f t="shared" si="1724"/>
        <v>0</v>
      </c>
      <c r="G385" s="24">
        <f t="shared" si="1715"/>
        <v>0</v>
      </c>
      <c r="H385" s="24">
        <f t="shared" si="1716"/>
        <v>0</v>
      </c>
      <c r="I385" s="24">
        <f t="shared" si="1717"/>
        <v>0</v>
      </c>
      <c r="J385" s="24">
        <f t="shared" si="1718"/>
        <v>0</v>
      </c>
      <c r="K385" s="8">
        <f t="shared" si="1725"/>
        <v>0</v>
      </c>
      <c r="M385" s="6"/>
      <c r="N385" s="7"/>
      <c r="O385" s="7"/>
      <c r="P385" s="7"/>
      <c r="Q385" s="7"/>
      <c r="R385" s="8">
        <f t="shared" si="1726"/>
        <v>0</v>
      </c>
      <c r="T385" s="6"/>
      <c r="U385" s="7"/>
      <c r="V385" s="7"/>
      <c r="W385" s="7"/>
      <c r="X385" s="7"/>
      <c r="Y385" s="8">
        <f t="shared" si="1727"/>
        <v>0</v>
      </c>
      <c r="AA385" s="6"/>
      <c r="AB385" s="7"/>
      <c r="AC385" s="7"/>
      <c r="AD385" s="7"/>
      <c r="AE385" s="7"/>
      <c r="AF385" s="8">
        <f>SUM(AA385:AE385)</f>
        <v>0</v>
      </c>
      <c r="AH385" s="6"/>
      <c r="AI385" s="7"/>
      <c r="AJ385" s="7"/>
      <c r="AK385" s="7"/>
      <c r="AL385" s="7"/>
      <c r="AM385" s="8">
        <f>SUM(AH385:AL385)</f>
        <v>0</v>
      </c>
      <c r="AO385" s="6"/>
      <c r="AP385" s="7"/>
      <c r="AQ385" s="7"/>
      <c r="AR385" s="7"/>
      <c r="AS385" s="7"/>
      <c r="AT385" s="8">
        <f>SUM(AO385:AS385)</f>
        <v>0</v>
      </c>
      <c r="AV385" s="6"/>
      <c r="AW385" s="7"/>
      <c r="AX385" s="7"/>
      <c r="AY385" s="7"/>
      <c r="AZ385" s="7"/>
      <c r="BA385" s="8">
        <f>SUM(AV385:AZ385)</f>
        <v>0</v>
      </c>
      <c r="BC385" s="6"/>
      <c r="BD385" s="7"/>
      <c r="BE385" s="7"/>
      <c r="BF385" s="7"/>
      <c r="BG385" s="7"/>
      <c r="BH385" s="8">
        <f>SUM(BC385:BG385)</f>
        <v>0</v>
      </c>
      <c r="BJ385" s="6"/>
      <c r="BK385" s="7"/>
      <c r="BL385" s="7"/>
      <c r="BM385" s="7"/>
      <c r="BN385" s="7"/>
      <c r="BO385" s="8">
        <f>SUM(BJ385:BN385)</f>
        <v>0</v>
      </c>
      <c r="BQ385" s="6"/>
      <c r="BR385" s="7"/>
      <c r="BS385" s="7"/>
      <c r="BT385" s="7"/>
      <c r="BU385" s="7"/>
      <c r="BV385" s="8">
        <f>SUM(BQ385:BU385)</f>
        <v>0</v>
      </c>
      <c r="BX385" s="6"/>
      <c r="BY385" s="7"/>
      <c r="BZ385" s="7"/>
      <c r="CA385" s="7"/>
      <c r="CB385" s="7"/>
      <c r="CC385" s="8">
        <f>SUM(BX385:CB385)</f>
        <v>0</v>
      </c>
      <c r="CE385" s="28">
        <f t="shared" si="1719"/>
        <v>0</v>
      </c>
      <c r="CF385" s="29">
        <f t="shared" si="1720"/>
        <v>0</v>
      </c>
      <c r="CG385" s="29">
        <f t="shared" si="1721"/>
        <v>0</v>
      </c>
      <c r="CH385" s="29">
        <f t="shared" si="1722"/>
        <v>0</v>
      </c>
      <c r="CI385" s="29">
        <f t="shared" si="1723"/>
        <v>0</v>
      </c>
      <c r="CJ385" s="8">
        <f>SUM(CE385:CI385)</f>
        <v>0</v>
      </c>
      <c r="CL385" s="6"/>
      <c r="CM385" s="7"/>
      <c r="CN385" s="7"/>
      <c r="CO385" s="7"/>
      <c r="CP385" s="7"/>
      <c r="CQ385" s="8">
        <f>SUM(CL385:CP385)</f>
        <v>0</v>
      </c>
      <c r="CS385" s="6"/>
      <c r="CT385" s="7"/>
      <c r="CU385" s="7"/>
      <c r="CV385" s="7"/>
      <c r="CW385" s="7"/>
      <c r="CX385" s="8">
        <f t="shared" si="1728"/>
        <v>0</v>
      </c>
      <c r="CZ385" s="6"/>
      <c r="DA385" s="7"/>
      <c r="DB385" s="7"/>
      <c r="DC385" s="7"/>
      <c r="DD385" s="7"/>
      <c r="DE385" s="8">
        <f t="shared" si="1729"/>
        <v>0</v>
      </c>
    </row>
    <row r="386" spans="2:109" ht="14" thickBot="1">
      <c r="C386" s="567"/>
      <c r="E386" s="14" t="s">
        <v>62</v>
      </c>
      <c r="F386" s="23">
        <f t="shared" si="1724"/>
        <v>0</v>
      </c>
      <c r="G386" s="24">
        <f t="shared" si="1715"/>
        <v>0</v>
      </c>
      <c r="H386" s="24">
        <f t="shared" si="1716"/>
        <v>0</v>
      </c>
      <c r="I386" s="24">
        <f t="shared" si="1717"/>
        <v>0</v>
      </c>
      <c r="J386" s="24">
        <f t="shared" si="1718"/>
        <v>0</v>
      </c>
      <c r="K386" s="8">
        <f t="shared" si="1725"/>
        <v>0</v>
      </c>
      <c r="M386" s="6"/>
      <c r="N386" s="7"/>
      <c r="O386" s="7"/>
      <c r="P386" s="7"/>
      <c r="Q386" s="7"/>
      <c r="R386" s="8">
        <f t="shared" si="1726"/>
        <v>0</v>
      </c>
      <c r="T386" s="6"/>
      <c r="U386" s="7"/>
      <c r="V386" s="7"/>
      <c r="W386" s="7"/>
      <c r="X386" s="7"/>
      <c r="Y386" s="8">
        <f t="shared" si="1727"/>
        <v>0</v>
      </c>
      <c r="AA386" s="6"/>
      <c r="AB386" s="7"/>
      <c r="AC386" s="7"/>
      <c r="AD386" s="7"/>
      <c r="AE386" s="7"/>
      <c r="AF386" s="8">
        <f>SUM(AA386:AE386)</f>
        <v>0</v>
      </c>
      <c r="AH386" s="6"/>
      <c r="AI386" s="7"/>
      <c r="AJ386" s="7"/>
      <c r="AK386" s="7"/>
      <c r="AL386" s="7"/>
      <c r="AM386" s="8">
        <f>SUM(AH386:AL386)</f>
        <v>0</v>
      </c>
      <c r="AO386" s="6"/>
      <c r="AP386" s="7"/>
      <c r="AQ386" s="7"/>
      <c r="AR386" s="7"/>
      <c r="AS386" s="7"/>
      <c r="AT386" s="8">
        <f>SUM(AO386:AS386)</f>
        <v>0</v>
      </c>
      <c r="AV386" s="6"/>
      <c r="AW386" s="7"/>
      <c r="AX386" s="7"/>
      <c r="AY386" s="7"/>
      <c r="AZ386" s="7"/>
      <c r="BA386" s="8">
        <f>SUM(AV386:AZ386)</f>
        <v>0</v>
      </c>
      <c r="BC386" s="6"/>
      <c r="BD386" s="7"/>
      <c r="BE386" s="7"/>
      <c r="BF386" s="7"/>
      <c r="BG386" s="7"/>
      <c r="BH386" s="8">
        <f>SUM(BC386:BG386)</f>
        <v>0</v>
      </c>
      <c r="BJ386" s="6"/>
      <c r="BK386" s="7"/>
      <c r="BL386" s="7"/>
      <c r="BM386" s="7"/>
      <c r="BN386" s="7"/>
      <c r="BO386" s="8">
        <f>SUM(BJ386:BN386)</f>
        <v>0</v>
      </c>
      <c r="BQ386" s="6"/>
      <c r="BR386" s="7"/>
      <c r="BS386" s="7"/>
      <c r="BT386" s="7"/>
      <c r="BU386" s="7"/>
      <c r="BV386" s="8">
        <f>SUM(BQ386:BU386)</f>
        <v>0</v>
      </c>
      <c r="BX386" s="6"/>
      <c r="BY386" s="7"/>
      <c r="BZ386" s="7"/>
      <c r="CA386" s="7"/>
      <c r="CB386" s="7"/>
      <c r="CC386" s="8">
        <f>SUM(BX386:CB386)</f>
        <v>0</v>
      </c>
      <c r="CE386" s="493">
        <f t="shared" si="1719"/>
        <v>0</v>
      </c>
      <c r="CF386" s="494">
        <f t="shared" si="1720"/>
        <v>0</v>
      </c>
      <c r="CG386" s="494">
        <f t="shared" si="1721"/>
        <v>0</v>
      </c>
      <c r="CH386" s="494">
        <f t="shared" si="1722"/>
        <v>0</v>
      </c>
      <c r="CI386" s="494">
        <f t="shared" si="1723"/>
        <v>0</v>
      </c>
      <c r="CJ386" s="495">
        <f>SUM(CE386:CI386)</f>
        <v>0</v>
      </c>
      <c r="CL386" s="6"/>
      <c r="CM386" s="7"/>
      <c r="CN386" s="7"/>
      <c r="CO386" s="7"/>
      <c r="CP386" s="7"/>
      <c r="CQ386" s="8">
        <f>SUM(CL386:CP386)</f>
        <v>0</v>
      </c>
      <c r="CS386" s="6"/>
      <c r="CT386" s="7"/>
      <c r="CU386" s="7"/>
      <c r="CV386" s="7"/>
      <c r="CW386" s="7"/>
      <c r="CX386" s="8">
        <f t="shared" si="1728"/>
        <v>0</v>
      </c>
      <c r="CZ386" s="6"/>
      <c r="DA386" s="7"/>
      <c r="DB386" s="7"/>
      <c r="DC386" s="7"/>
      <c r="DD386" s="7"/>
      <c r="DE386" s="8">
        <f t="shared" si="1729"/>
        <v>0</v>
      </c>
    </row>
    <row r="387" spans="2:109" ht="14" thickBot="1">
      <c r="C387" s="554"/>
      <c r="E387" s="9"/>
      <c r="F387" s="10">
        <f>SUM(F383:F386)</f>
        <v>0</v>
      </c>
      <c r="G387" s="11">
        <f t="shared" ref="G387:J387" si="1730">SUM(G383:G386)</f>
        <v>0</v>
      </c>
      <c r="H387" s="11">
        <f t="shared" si="1730"/>
        <v>0</v>
      </c>
      <c r="I387" s="11">
        <f t="shared" si="1730"/>
        <v>0</v>
      </c>
      <c r="J387" s="11">
        <f t="shared" si="1730"/>
        <v>0</v>
      </c>
      <c r="K387" s="25">
        <f>SUM(K383:K386)</f>
        <v>0</v>
      </c>
      <c r="M387" s="10">
        <f>SUM(M383:M386)</f>
        <v>0</v>
      </c>
      <c r="N387" s="11">
        <f t="shared" ref="N387:Q387" si="1731">SUM(N383:N386)</f>
        <v>0</v>
      </c>
      <c r="O387" s="11">
        <f t="shared" si="1731"/>
        <v>0</v>
      </c>
      <c r="P387" s="11">
        <f t="shared" si="1731"/>
        <v>0</v>
      </c>
      <c r="Q387" s="11">
        <f t="shared" si="1731"/>
        <v>0</v>
      </c>
      <c r="R387" s="25">
        <f>SUM(R383:R386)</f>
        <v>0</v>
      </c>
      <c r="T387" s="10">
        <f>SUM(T383:T386)</f>
        <v>0</v>
      </c>
      <c r="U387" s="11">
        <f t="shared" ref="U387:X387" si="1732">SUM(U383:U386)</f>
        <v>0</v>
      </c>
      <c r="V387" s="11">
        <f t="shared" si="1732"/>
        <v>0</v>
      </c>
      <c r="W387" s="11">
        <f t="shared" si="1732"/>
        <v>0</v>
      </c>
      <c r="X387" s="11">
        <f t="shared" si="1732"/>
        <v>0</v>
      </c>
      <c r="Y387" s="25">
        <f>SUM(Y383:Y386)</f>
        <v>0</v>
      </c>
      <c r="AA387" s="10">
        <f>SUM(AA383:AA386)</f>
        <v>0</v>
      </c>
      <c r="AB387" s="11">
        <f t="shared" ref="AB387:AE387" si="1733">SUM(AB383:AB386)</f>
        <v>0</v>
      </c>
      <c r="AC387" s="11">
        <f t="shared" si="1733"/>
        <v>0</v>
      </c>
      <c r="AD387" s="11">
        <f t="shared" si="1733"/>
        <v>0</v>
      </c>
      <c r="AE387" s="11">
        <f t="shared" si="1733"/>
        <v>0</v>
      </c>
      <c r="AF387" s="25">
        <f>SUM(AF383:AF386)</f>
        <v>0</v>
      </c>
      <c r="AH387" s="10">
        <f t="shared" ref="AH387:AM387" si="1734">SUM(AH383:AH386)</f>
        <v>0</v>
      </c>
      <c r="AI387" s="11">
        <f t="shared" si="1734"/>
        <v>0</v>
      </c>
      <c r="AJ387" s="11">
        <f t="shared" si="1734"/>
        <v>0</v>
      </c>
      <c r="AK387" s="11">
        <f t="shared" si="1734"/>
        <v>0</v>
      </c>
      <c r="AL387" s="11">
        <f t="shared" si="1734"/>
        <v>0</v>
      </c>
      <c r="AM387" s="25">
        <f t="shared" si="1734"/>
        <v>0</v>
      </c>
      <c r="AO387" s="10">
        <f t="shared" ref="AO387:AT387" si="1735">SUM(AO383:AO386)</f>
        <v>0</v>
      </c>
      <c r="AP387" s="11">
        <f t="shared" si="1735"/>
        <v>0</v>
      </c>
      <c r="AQ387" s="11">
        <f t="shared" si="1735"/>
        <v>0</v>
      </c>
      <c r="AR387" s="11">
        <f t="shared" si="1735"/>
        <v>0</v>
      </c>
      <c r="AS387" s="11">
        <f t="shared" si="1735"/>
        <v>0</v>
      </c>
      <c r="AT387" s="25">
        <f t="shared" si="1735"/>
        <v>0</v>
      </c>
      <c r="AV387" s="10">
        <f t="shared" ref="AV387:BA387" si="1736">SUM(AV383:AV386)</f>
        <v>0</v>
      </c>
      <c r="AW387" s="11">
        <f t="shared" si="1736"/>
        <v>0</v>
      </c>
      <c r="AX387" s="11">
        <f t="shared" si="1736"/>
        <v>0</v>
      </c>
      <c r="AY387" s="11">
        <f t="shared" si="1736"/>
        <v>0</v>
      </c>
      <c r="AZ387" s="11">
        <f t="shared" si="1736"/>
        <v>0</v>
      </c>
      <c r="BA387" s="25">
        <f t="shared" si="1736"/>
        <v>0</v>
      </c>
      <c r="BC387" s="10">
        <f t="shared" ref="BC387:BH387" si="1737">SUM(BC383:BC386)</f>
        <v>0</v>
      </c>
      <c r="BD387" s="11">
        <f t="shared" si="1737"/>
        <v>0</v>
      </c>
      <c r="BE387" s="11">
        <f t="shared" si="1737"/>
        <v>0</v>
      </c>
      <c r="BF387" s="11">
        <f t="shared" si="1737"/>
        <v>0</v>
      </c>
      <c r="BG387" s="11">
        <f t="shared" si="1737"/>
        <v>0</v>
      </c>
      <c r="BH387" s="25">
        <f t="shared" si="1737"/>
        <v>0</v>
      </c>
      <c r="BJ387" s="10">
        <f t="shared" ref="BJ387:BO387" si="1738">SUM(BJ383:BJ386)</f>
        <v>0</v>
      </c>
      <c r="BK387" s="11">
        <f t="shared" si="1738"/>
        <v>0</v>
      </c>
      <c r="BL387" s="11">
        <f t="shared" si="1738"/>
        <v>0</v>
      </c>
      <c r="BM387" s="11">
        <f t="shared" si="1738"/>
        <v>0</v>
      </c>
      <c r="BN387" s="11">
        <f t="shared" si="1738"/>
        <v>0</v>
      </c>
      <c r="BO387" s="25">
        <f t="shared" si="1738"/>
        <v>0</v>
      </c>
      <c r="BQ387" s="10">
        <f t="shared" ref="BQ387:BV387" si="1739">SUM(BQ383:BQ386)</f>
        <v>0</v>
      </c>
      <c r="BR387" s="11">
        <f t="shared" si="1739"/>
        <v>0</v>
      </c>
      <c r="BS387" s="11">
        <f t="shared" si="1739"/>
        <v>0</v>
      </c>
      <c r="BT387" s="11">
        <f t="shared" si="1739"/>
        <v>0</v>
      </c>
      <c r="BU387" s="11">
        <f t="shared" si="1739"/>
        <v>0</v>
      </c>
      <c r="BV387" s="25">
        <f t="shared" si="1739"/>
        <v>0</v>
      </c>
      <c r="BX387" s="10">
        <f t="shared" ref="BX387:CC387" si="1740">SUM(BX383:BX386)</f>
        <v>0</v>
      </c>
      <c r="BY387" s="11">
        <f t="shared" si="1740"/>
        <v>0</v>
      </c>
      <c r="BZ387" s="11">
        <f t="shared" si="1740"/>
        <v>0</v>
      </c>
      <c r="CA387" s="11">
        <f t="shared" si="1740"/>
        <v>0</v>
      </c>
      <c r="CB387" s="11">
        <f t="shared" si="1740"/>
        <v>0</v>
      </c>
      <c r="CC387" s="25">
        <f t="shared" si="1740"/>
        <v>0</v>
      </c>
      <c r="CE387" s="62">
        <f t="shared" ref="CE387:CJ387" si="1741">SUM(CE383:CE386)</f>
        <v>0</v>
      </c>
      <c r="CF387" s="63">
        <f t="shared" si="1741"/>
        <v>0</v>
      </c>
      <c r="CG387" s="63">
        <f t="shared" si="1741"/>
        <v>0</v>
      </c>
      <c r="CH387" s="63">
        <f t="shared" si="1741"/>
        <v>0</v>
      </c>
      <c r="CI387" s="63">
        <f t="shared" si="1741"/>
        <v>0</v>
      </c>
      <c r="CJ387" s="25">
        <f t="shared" si="1741"/>
        <v>0</v>
      </c>
      <c r="CL387" s="10">
        <f>SUM(CL383:CL386)</f>
        <v>0</v>
      </c>
      <c r="CM387" s="11">
        <f t="shared" ref="CM387:CQ387" si="1742">SUM(CM383:CM386)</f>
        <v>0</v>
      </c>
      <c r="CN387" s="11">
        <f t="shared" si="1742"/>
        <v>0</v>
      </c>
      <c r="CO387" s="11">
        <f t="shared" si="1742"/>
        <v>0</v>
      </c>
      <c r="CP387" s="11">
        <f t="shared" si="1742"/>
        <v>0</v>
      </c>
      <c r="CQ387" s="25">
        <f t="shared" si="1742"/>
        <v>0</v>
      </c>
      <c r="CS387" s="10">
        <f>SUM(CS383:CS386)</f>
        <v>0</v>
      </c>
      <c r="CT387" s="11">
        <f t="shared" ref="CT387:CW387" si="1743">SUM(CT383:CT386)</f>
        <v>0</v>
      </c>
      <c r="CU387" s="11">
        <f t="shared" si="1743"/>
        <v>0</v>
      </c>
      <c r="CV387" s="11">
        <f t="shared" si="1743"/>
        <v>0</v>
      </c>
      <c r="CW387" s="11">
        <f t="shared" si="1743"/>
        <v>0</v>
      </c>
      <c r="CX387" s="25">
        <f>SUM(CX383:CX386)</f>
        <v>0</v>
      </c>
      <c r="CZ387" s="10">
        <f>SUM(CZ383:CZ386)</f>
        <v>0</v>
      </c>
      <c r="DA387" s="11">
        <f t="shared" ref="DA387:DD387" si="1744">SUM(DA383:DA386)</f>
        <v>0</v>
      </c>
      <c r="DB387" s="11">
        <f t="shared" si="1744"/>
        <v>0</v>
      </c>
      <c r="DC387" s="11">
        <f t="shared" si="1744"/>
        <v>0</v>
      </c>
      <c r="DD387" s="11">
        <f t="shared" si="1744"/>
        <v>0</v>
      </c>
      <c r="DE387" s="25">
        <f>SUM(DE383:DE386)</f>
        <v>0</v>
      </c>
    </row>
    <row r="389" spans="2:109">
      <c r="B389" s="123"/>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L389" s="20"/>
      <c r="CM389" s="20"/>
      <c r="CN389" s="20"/>
      <c r="CO389" s="20"/>
      <c r="CP389" s="20"/>
      <c r="CQ389" s="20"/>
      <c r="CR389" s="20"/>
      <c r="CS389" s="20"/>
      <c r="CT389" s="20"/>
      <c r="CU389" s="20"/>
      <c r="CV389" s="20"/>
      <c r="CW389" s="20"/>
      <c r="CX389" s="20"/>
      <c r="CY389" s="20"/>
      <c r="CZ389" s="20"/>
      <c r="DA389" s="20"/>
      <c r="DB389" s="20"/>
      <c r="DC389" s="20"/>
      <c r="DD389" s="20"/>
      <c r="DE389" s="20"/>
    </row>
    <row r="390" spans="2:109" ht="14" thickBot="1">
      <c r="B390" s="94">
        <v>13</v>
      </c>
      <c r="C390" s="12" t="s">
        <v>74</v>
      </c>
    </row>
    <row r="391" spans="2:109">
      <c r="C391" s="553">
        <v>2024</v>
      </c>
      <c r="E391" s="1" t="s">
        <v>59</v>
      </c>
      <c r="F391" s="2"/>
      <c r="G391" s="3"/>
      <c r="H391" s="3"/>
      <c r="I391" s="3"/>
      <c r="J391" s="3"/>
      <c r="K391" s="4">
        <f>SUM(F391:J391)</f>
        <v>0</v>
      </c>
      <c r="M391" s="2"/>
      <c r="N391" s="3"/>
      <c r="O391" s="3"/>
      <c r="P391" s="3"/>
      <c r="Q391" s="3"/>
      <c r="R391" s="4">
        <f>SUM(M391:Q391)</f>
        <v>0</v>
      </c>
      <c r="T391" s="2"/>
      <c r="U391" s="3"/>
      <c r="V391" s="3"/>
      <c r="W391" s="3"/>
      <c r="X391" s="3"/>
      <c r="Y391" s="4">
        <f>SUM(T391:X391)</f>
        <v>0</v>
      </c>
      <c r="AA391" s="2"/>
      <c r="AB391" s="3"/>
      <c r="AC391" s="3"/>
      <c r="AD391" s="3"/>
      <c r="AE391" s="3"/>
      <c r="AF391" s="4">
        <f>SUM(AA391:AE391)</f>
        <v>0</v>
      </c>
      <c r="AH391" s="2"/>
      <c r="AI391" s="3"/>
      <c r="AJ391" s="3"/>
      <c r="AK391" s="3"/>
      <c r="AL391" s="3"/>
      <c r="AM391" s="4">
        <f>SUM(AH391:AL391)</f>
        <v>0</v>
      </c>
      <c r="AO391" s="2"/>
      <c r="AP391" s="3"/>
      <c r="AQ391" s="3"/>
      <c r="AR391" s="3"/>
      <c r="AS391" s="3"/>
      <c r="AT391" s="4">
        <f>SUM(AO391:AS391)</f>
        <v>0</v>
      </c>
      <c r="AV391" s="2"/>
      <c r="AW391" s="3"/>
      <c r="AX391" s="3"/>
      <c r="AY391" s="3"/>
      <c r="AZ391" s="3"/>
      <c r="BA391" s="4">
        <f>SUM(AV391:AZ391)</f>
        <v>0</v>
      </c>
      <c r="BC391" s="2"/>
      <c r="BD391" s="3"/>
      <c r="BE391" s="3"/>
      <c r="BF391" s="3"/>
      <c r="BG391" s="3"/>
      <c r="BH391" s="4">
        <f>SUM(BC391:BG391)</f>
        <v>0</v>
      </c>
      <c r="BJ391" s="2"/>
      <c r="BK391" s="3"/>
      <c r="BL391" s="3"/>
      <c r="BM391" s="3"/>
      <c r="BN391" s="3"/>
      <c r="BO391" s="4">
        <f>SUM(BJ391:BN391)</f>
        <v>0</v>
      </c>
      <c r="BQ391" s="2"/>
      <c r="BR391" s="3"/>
      <c r="BS391" s="3"/>
      <c r="BT391" s="3"/>
      <c r="BU391" s="3"/>
      <c r="BV391" s="4">
        <f>SUM(BQ391:BU391)</f>
        <v>0</v>
      </c>
      <c r="BX391" s="2"/>
      <c r="BY391" s="3"/>
      <c r="BZ391" s="3"/>
      <c r="CA391" s="3"/>
      <c r="CB391" s="3"/>
      <c r="CC391" s="4">
        <f>SUM(BX391:CB391)</f>
        <v>0</v>
      </c>
      <c r="CE391" s="26">
        <f t="shared" ref="CE391:CE394" si="1745">F391+M391+T391+AA391+AH391+AO391+AV391+BC391+BJ391+BQ391+BX391</f>
        <v>0</v>
      </c>
      <c r="CF391" s="27">
        <f t="shared" ref="CF391:CF394" si="1746">G391+N391+U391+AB391+AI391+AP391+AW391+BD391+BK391+BR391+BY391</f>
        <v>0</v>
      </c>
      <c r="CG391" s="27">
        <f t="shared" ref="CG391:CG394" si="1747">H391+O391+V391+AC391+AJ391+AQ391+AX391+BE391+BL391+BS391+BZ391</f>
        <v>0</v>
      </c>
      <c r="CH391" s="27">
        <f t="shared" ref="CH391:CH394" si="1748">I391+P391+W391+AD391+AK391+AR391+AY391+BF391+BM391+BT391+CA391</f>
        <v>0</v>
      </c>
      <c r="CI391" s="27">
        <f t="shared" ref="CI391:CI394" si="1749">J391+Q391+X391+AE391+AL391+AS391+AZ391+BG391+BN391+BU391+CB391</f>
        <v>0</v>
      </c>
      <c r="CJ391" s="4">
        <f>SUM(CE391:CI391)</f>
        <v>0</v>
      </c>
      <c r="CL391" s="2"/>
      <c r="CM391" s="3"/>
      <c r="CN391" s="3"/>
      <c r="CO391" s="3"/>
      <c r="CP391" s="3"/>
      <c r="CQ391" s="4">
        <f>SUM(CL391:CP391)</f>
        <v>0</v>
      </c>
      <c r="CS391" s="2"/>
      <c r="CT391" s="3"/>
      <c r="CU391" s="3"/>
      <c r="CV391" s="3"/>
      <c r="CW391" s="3"/>
      <c r="CX391" s="4">
        <f>SUM(CS391:CW391)</f>
        <v>0</v>
      </c>
      <c r="CZ391" s="2"/>
      <c r="DA391" s="3"/>
      <c r="DB391" s="3"/>
      <c r="DC391" s="3"/>
      <c r="DD391" s="3"/>
      <c r="DE391" s="4">
        <f>SUM(CZ391:DD391)</f>
        <v>0</v>
      </c>
    </row>
    <row r="392" spans="2:109">
      <c r="C392" s="567"/>
      <c r="E392" s="5" t="s">
        <v>60</v>
      </c>
      <c r="F392" s="6"/>
      <c r="G392" s="7"/>
      <c r="H392" s="7"/>
      <c r="I392" s="7"/>
      <c r="J392" s="7"/>
      <c r="K392" s="8">
        <f t="shared" ref="K392:K394" si="1750">SUM(F392:J392)</f>
        <v>0</v>
      </c>
      <c r="M392" s="6"/>
      <c r="N392" s="7"/>
      <c r="O392" s="7"/>
      <c r="P392" s="7"/>
      <c r="Q392" s="7"/>
      <c r="R392" s="8">
        <f t="shared" ref="R392:R394" si="1751">SUM(M392:Q392)</f>
        <v>0</v>
      </c>
      <c r="T392" s="6"/>
      <c r="U392" s="7"/>
      <c r="V392" s="7"/>
      <c r="W392" s="7"/>
      <c r="X392" s="7"/>
      <c r="Y392" s="8">
        <f t="shared" ref="Y392:Y394" si="1752">SUM(T392:X392)</f>
        <v>0</v>
      </c>
      <c r="AA392" s="6"/>
      <c r="AB392" s="7"/>
      <c r="AC392" s="7"/>
      <c r="AD392" s="7"/>
      <c r="AE392" s="7"/>
      <c r="AF392" s="8">
        <f>SUM(AA392:AE392)</f>
        <v>0</v>
      </c>
      <c r="AH392" s="6"/>
      <c r="AI392" s="7"/>
      <c r="AJ392" s="7"/>
      <c r="AK392" s="7"/>
      <c r="AL392" s="7"/>
      <c r="AM392" s="8">
        <f>SUM(AH392:AL392)</f>
        <v>0</v>
      </c>
      <c r="AO392" s="6"/>
      <c r="AP392" s="7"/>
      <c r="AQ392" s="7"/>
      <c r="AR392" s="7"/>
      <c r="AS392" s="7"/>
      <c r="AT392" s="8">
        <f>SUM(AO392:AS392)</f>
        <v>0</v>
      </c>
      <c r="AV392" s="6"/>
      <c r="AW392" s="7"/>
      <c r="AX392" s="7"/>
      <c r="AY392" s="7"/>
      <c r="AZ392" s="7"/>
      <c r="BA392" s="8">
        <f>SUM(AV392:AZ392)</f>
        <v>0</v>
      </c>
      <c r="BC392" s="6"/>
      <c r="BD392" s="7"/>
      <c r="BE392" s="7"/>
      <c r="BF392" s="7"/>
      <c r="BG392" s="7"/>
      <c r="BH392" s="8">
        <f>SUM(BC392:BG392)</f>
        <v>0</v>
      </c>
      <c r="BJ392" s="6"/>
      <c r="BK392" s="7"/>
      <c r="BL392" s="7"/>
      <c r="BM392" s="7"/>
      <c r="BN392" s="7"/>
      <c r="BO392" s="8">
        <f>SUM(BJ392:BN392)</f>
        <v>0</v>
      </c>
      <c r="BQ392" s="6"/>
      <c r="BR392" s="7"/>
      <c r="BS392" s="7"/>
      <c r="BT392" s="7"/>
      <c r="BU392" s="7"/>
      <c r="BV392" s="8">
        <f>SUM(BQ392:BU392)</f>
        <v>0</v>
      </c>
      <c r="BX392" s="6"/>
      <c r="BY392" s="7"/>
      <c r="BZ392" s="7"/>
      <c r="CA392" s="7"/>
      <c r="CB392" s="7"/>
      <c r="CC392" s="8">
        <f>SUM(BX392:CB392)</f>
        <v>0</v>
      </c>
      <c r="CE392" s="28">
        <f t="shared" si="1745"/>
        <v>0</v>
      </c>
      <c r="CF392" s="29">
        <f t="shared" si="1746"/>
        <v>0</v>
      </c>
      <c r="CG392" s="29">
        <f t="shared" si="1747"/>
        <v>0</v>
      </c>
      <c r="CH392" s="29">
        <f t="shared" si="1748"/>
        <v>0</v>
      </c>
      <c r="CI392" s="29">
        <f t="shared" si="1749"/>
        <v>0</v>
      </c>
      <c r="CJ392" s="8">
        <f>SUM(CE392:CI392)</f>
        <v>0</v>
      </c>
      <c r="CL392" s="6"/>
      <c r="CM392" s="7"/>
      <c r="CN392" s="7"/>
      <c r="CO392" s="7"/>
      <c r="CP392" s="7"/>
      <c r="CQ392" s="8">
        <f>SUM(CL392:CP392)</f>
        <v>0</v>
      </c>
      <c r="CS392" s="6"/>
      <c r="CT392" s="7"/>
      <c r="CU392" s="7"/>
      <c r="CV392" s="7"/>
      <c r="CW392" s="7"/>
      <c r="CX392" s="8">
        <f t="shared" ref="CX392:CX394" si="1753">SUM(CS392:CW392)</f>
        <v>0</v>
      </c>
      <c r="CZ392" s="6"/>
      <c r="DA392" s="7"/>
      <c r="DB392" s="7"/>
      <c r="DC392" s="7"/>
      <c r="DD392" s="7"/>
      <c r="DE392" s="8">
        <f t="shared" ref="DE392:DE394" si="1754">SUM(CZ392:DD392)</f>
        <v>0</v>
      </c>
    </row>
    <row r="393" spans="2:109">
      <c r="C393" s="567"/>
      <c r="E393" s="5" t="s">
        <v>61</v>
      </c>
      <c r="F393" s="6"/>
      <c r="G393" s="7"/>
      <c r="H393" s="7"/>
      <c r="I393" s="7"/>
      <c r="J393" s="7"/>
      <c r="K393" s="8">
        <f t="shared" si="1750"/>
        <v>0</v>
      </c>
      <c r="M393" s="6"/>
      <c r="N393" s="7"/>
      <c r="O393" s="7"/>
      <c r="P393" s="7"/>
      <c r="Q393" s="7"/>
      <c r="R393" s="8">
        <f t="shared" si="1751"/>
        <v>0</v>
      </c>
      <c r="T393" s="6"/>
      <c r="U393" s="7"/>
      <c r="V393" s="7"/>
      <c r="W393" s="7"/>
      <c r="X393" s="7"/>
      <c r="Y393" s="8">
        <f t="shared" si="1752"/>
        <v>0</v>
      </c>
      <c r="AA393" s="6"/>
      <c r="AB393" s="7"/>
      <c r="AC393" s="7"/>
      <c r="AD393" s="7"/>
      <c r="AE393" s="7"/>
      <c r="AF393" s="8">
        <f>SUM(AA393:AE393)</f>
        <v>0</v>
      </c>
      <c r="AH393" s="6"/>
      <c r="AI393" s="7"/>
      <c r="AJ393" s="7"/>
      <c r="AK393" s="7"/>
      <c r="AL393" s="7"/>
      <c r="AM393" s="8">
        <f>SUM(AH393:AL393)</f>
        <v>0</v>
      </c>
      <c r="AO393" s="6"/>
      <c r="AP393" s="7"/>
      <c r="AQ393" s="7"/>
      <c r="AR393" s="7"/>
      <c r="AS393" s="7"/>
      <c r="AT393" s="8">
        <f>SUM(AO393:AS393)</f>
        <v>0</v>
      </c>
      <c r="AV393" s="6"/>
      <c r="AW393" s="7"/>
      <c r="AX393" s="7"/>
      <c r="AY393" s="7"/>
      <c r="AZ393" s="7"/>
      <c r="BA393" s="8">
        <f>SUM(AV393:AZ393)</f>
        <v>0</v>
      </c>
      <c r="BC393" s="6"/>
      <c r="BD393" s="7"/>
      <c r="BE393" s="7"/>
      <c r="BF393" s="7"/>
      <c r="BG393" s="7"/>
      <c r="BH393" s="8">
        <f>SUM(BC393:BG393)</f>
        <v>0</v>
      </c>
      <c r="BJ393" s="6"/>
      <c r="BK393" s="7"/>
      <c r="BL393" s="7"/>
      <c r="BM393" s="7"/>
      <c r="BN393" s="7"/>
      <c r="BO393" s="8">
        <f>SUM(BJ393:BN393)</f>
        <v>0</v>
      </c>
      <c r="BQ393" s="6"/>
      <c r="BR393" s="7"/>
      <c r="BS393" s="7"/>
      <c r="BT393" s="7"/>
      <c r="BU393" s="7"/>
      <c r="BV393" s="8">
        <f>SUM(BQ393:BU393)</f>
        <v>0</v>
      </c>
      <c r="BX393" s="6"/>
      <c r="BY393" s="7"/>
      <c r="BZ393" s="7"/>
      <c r="CA393" s="7"/>
      <c r="CB393" s="7"/>
      <c r="CC393" s="8">
        <f>SUM(BX393:CB393)</f>
        <v>0</v>
      </c>
      <c r="CE393" s="28">
        <f t="shared" si="1745"/>
        <v>0</v>
      </c>
      <c r="CF393" s="29">
        <f t="shared" si="1746"/>
        <v>0</v>
      </c>
      <c r="CG393" s="29">
        <f t="shared" si="1747"/>
        <v>0</v>
      </c>
      <c r="CH393" s="29">
        <f t="shared" si="1748"/>
        <v>0</v>
      </c>
      <c r="CI393" s="29">
        <f t="shared" si="1749"/>
        <v>0</v>
      </c>
      <c r="CJ393" s="8">
        <f>SUM(CE393:CI393)</f>
        <v>0</v>
      </c>
      <c r="CL393" s="6"/>
      <c r="CM393" s="7"/>
      <c r="CN393" s="7"/>
      <c r="CO393" s="7"/>
      <c r="CP393" s="7"/>
      <c r="CQ393" s="8">
        <f>SUM(CL393:CP393)</f>
        <v>0</v>
      </c>
      <c r="CS393" s="6"/>
      <c r="CT393" s="7"/>
      <c r="CU393" s="7"/>
      <c r="CV393" s="7"/>
      <c r="CW393" s="7"/>
      <c r="CX393" s="8">
        <f t="shared" si="1753"/>
        <v>0</v>
      </c>
      <c r="CZ393" s="6"/>
      <c r="DA393" s="7"/>
      <c r="DB393" s="7"/>
      <c r="DC393" s="7"/>
      <c r="DD393" s="7"/>
      <c r="DE393" s="8">
        <f t="shared" si="1754"/>
        <v>0</v>
      </c>
    </row>
    <row r="394" spans="2:109" ht="14" thickBot="1">
      <c r="C394" s="567"/>
      <c r="E394" s="5" t="s">
        <v>62</v>
      </c>
      <c r="F394" s="6"/>
      <c r="G394" s="7"/>
      <c r="H394" s="7"/>
      <c r="I394" s="7"/>
      <c r="J394" s="7"/>
      <c r="K394" s="8">
        <f t="shared" si="1750"/>
        <v>0</v>
      </c>
      <c r="M394" s="6"/>
      <c r="N394" s="7"/>
      <c r="O394" s="7"/>
      <c r="P394" s="7"/>
      <c r="Q394" s="7"/>
      <c r="R394" s="8">
        <f t="shared" si="1751"/>
        <v>0</v>
      </c>
      <c r="T394" s="6"/>
      <c r="U394" s="7"/>
      <c r="V394" s="7"/>
      <c r="W394" s="7"/>
      <c r="X394" s="7"/>
      <c r="Y394" s="8">
        <f t="shared" si="1752"/>
        <v>0</v>
      </c>
      <c r="AA394" s="6"/>
      <c r="AB394" s="7"/>
      <c r="AC394" s="7"/>
      <c r="AD394" s="7"/>
      <c r="AE394" s="7"/>
      <c r="AF394" s="8">
        <f>SUM(AA394:AE394)</f>
        <v>0</v>
      </c>
      <c r="AH394" s="6"/>
      <c r="AI394" s="7"/>
      <c r="AJ394" s="7"/>
      <c r="AK394" s="7"/>
      <c r="AL394" s="7"/>
      <c r="AM394" s="8">
        <f>SUM(AH394:AL394)</f>
        <v>0</v>
      </c>
      <c r="AO394" s="6"/>
      <c r="AP394" s="7"/>
      <c r="AQ394" s="7"/>
      <c r="AR394" s="7"/>
      <c r="AS394" s="7"/>
      <c r="AT394" s="8">
        <f>SUM(AO394:AS394)</f>
        <v>0</v>
      </c>
      <c r="AV394" s="6"/>
      <c r="AW394" s="7"/>
      <c r="AX394" s="7"/>
      <c r="AY394" s="7"/>
      <c r="AZ394" s="7"/>
      <c r="BA394" s="8">
        <f>SUM(AV394:AZ394)</f>
        <v>0</v>
      </c>
      <c r="BC394" s="6"/>
      <c r="BD394" s="7"/>
      <c r="BE394" s="7"/>
      <c r="BF394" s="7"/>
      <c r="BG394" s="7"/>
      <c r="BH394" s="8">
        <f>SUM(BC394:BG394)</f>
        <v>0</v>
      </c>
      <c r="BJ394" s="6"/>
      <c r="BK394" s="7"/>
      <c r="BL394" s="7"/>
      <c r="BM394" s="7"/>
      <c r="BN394" s="7"/>
      <c r="BO394" s="8">
        <f>SUM(BJ394:BN394)</f>
        <v>0</v>
      </c>
      <c r="BQ394" s="6"/>
      <c r="BR394" s="7"/>
      <c r="BS394" s="7"/>
      <c r="BT394" s="7"/>
      <c r="BU394" s="7"/>
      <c r="BV394" s="8">
        <f>SUM(BQ394:BU394)</f>
        <v>0</v>
      </c>
      <c r="BX394" s="6"/>
      <c r="BY394" s="7"/>
      <c r="BZ394" s="7"/>
      <c r="CA394" s="7"/>
      <c r="CB394" s="7"/>
      <c r="CC394" s="8">
        <f>SUM(BX394:CB394)</f>
        <v>0</v>
      </c>
      <c r="CE394" s="493">
        <f t="shared" si="1745"/>
        <v>0</v>
      </c>
      <c r="CF394" s="494">
        <f t="shared" si="1746"/>
        <v>0</v>
      </c>
      <c r="CG394" s="494">
        <f t="shared" si="1747"/>
        <v>0</v>
      </c>
      <c r="CH394" s="494">
        <f t="shared" si="1748"/>
        <v>0</v>
      </c>
      <c r="CI394" s="494">
        <f t="shared" si="1749"/>
        <v>0</v>
      </c>
      <c r="CJ394" s="495">
        <f>SUM(CE394:CI394)</f>
        <v>0</v>
      </c>
      <c r="CL394" s="6"/>
      <c r="CM394" s="7"/>
      <c r="CN394" s="7"/>
      <c r="CO394" s="7"/>
      <c r="CP394" s="7"/>
      <c r="CQ394" s="8">
        <f>SUM(CL394:CP394)</f>
        <v>0</v>
      </c>
      <c r="CS394" s="6"/>
      <c r="CT394" s="7"/>
      <c r="CU394" s="7"/>
      <c r="CV394" s="7"/>
      <c r="CW394" s="7"/>
      <c r="CX394" s="8">
        <f t="shared" si="1753"/>
        <v>0</v>
      </c>
      <c r="CZ394" s="6"/>
      <c r="DA394" s="7"/>
      <c r="DB394" s="7"/>
      <c r="DC394" s="7"/>
      <c r="DD394" s="7"/>
      <c r="DE394" s="8">
        <f t="shared" si="1754"/>
        <v>0</v>
      </c>
    </row>
    <row r="395" spans="2:109" ht="14" thickBot="1">
      <c r="C395" s="554"/>
      <c r="E395" s="9"/>
      <c r="F395" s="10">
        <f>SUM(F391:F394)</f>
        <v>0</v>
      </c>
      <c r="G395" s="11">
        <f t="shared" ref="G395:J395" si="1755">SUM(G391:G394)</f>
        <v>0</v>
      </c>
      <c r="H395" s="11">
        <f t="shared" si="1755"/>
        <v>0</v>
      </c>
      <c r="I395" s="11">
        <f t="shared" si="1755"/>
        <v>0</v>
      </c>
      <c r="J395" s="61">
        <f t="shared" si="1755"/>
        <v>0</v>
      </c>
      <c r="K395" s="25">
        <f>SUM(K391:K394)</f>
        <v>0</v>
      </c>
      <c r="M395" s="10">
        <f>SUM(M391:M394)</f>
        <v>0</v>
      </c>
      <c r="N395" s="11">
        <f t="shared" ref="N395:Q395" si="1756">SUM(N391:N394)</f>
        <v>0</v>
      </c>
      <c r="O395" s="11">
        <f t="shared" si="1756"/>
        <v>0</v>
      </c>
      <c r="P395" s="11">
        <f t="shared" si="1756"/>
        <v>0</v>
      </c>
      <c r="Q395" s="11">
        <f t="shared" si="1756"/>
        <v>0</v>
      </c>
      <c r="R395" s="25">
        <f>SUM(R391:R394)</f>
        <v>0</v>
      </c>
      <c r="T395" s="10">
        <f>SUM(T391:T394)</f>
        <v>0</v>
      </c>
      <c r="U395" s="11">
        <f t="shared" ref="U395:X395" si="1757">SUM(U391:U394)</f>
        <v>0</v>
      </c>
      <c r="V395" s="11">
        <f t="shared" si="1757"/>
        <v>0</v>
      </c>
      <c r="W395" s="11">
        <f t="shared" si="1757"/>
        <v>0</v>
      </c>
      <c r="X395" s="11">
        <f t="shared" si="1757"/>
        <v>0</v>
      </c>
      <c r="Y395" s="25">
        <f>SUM(Y391:Y394)</f>
        <v>0</v>
      </c>
      <c r="AA395" s="10">
        <f>SUM(AA391:AA394)</f>
        <v>0</v>
      </c>
      <c r="AB395" s="11">
        <f t="shared" ref="AB395:AE395" si="1758">SUM(AB391:AB394)</f>
        <v>0</v>
      </c>
      <c r="AC395" s="11">
        <f t="shared" si="1758"/>
        <v>0</v>
      </c>
      <c r="AD395" s="11">
        <f t="shared" si="1758"/>
        <v>0</v>
      </c>
      <c r="AE395" s="11">
        <f t="shared" si="1758"/>
        <v>0</v>
      </c>
      <c r="AF395" s="25">
        <f>SUM(AF391:AF394)</f>
        <v>0</v>
      </c>
      <c r="AH395" s="10">
        <f t="shared" ref="AH395:AM395" si="1759">SUM(AH391:AH394)</f>
        <v>0</v>
      </c>
      <c r="AI395" s="11">
        <f t="shared" si="1759"/>
        <v>0</v>
      </c>
      <c r="AJ395" s="11">
        <f t="shared" si="1759"/>
        <v>0</v>
      </c>
      <c r="AK395" s="11">
        <f t="shared" si="1759"/>
        <v>0</v>
      </c>
      <c r="AL395" s="11">
        <f t="shared" si="1759"/>
        <v>0</v>
      </c>
      <c r="AM395" s="25">
        <f t="shared" si="1759"/>
        <v>0</v>
      </c>
      <c r="AO395" s="10">
        <f t="shared" ref="AO395:AT395" si="1760">SUM(AO391:AO394)</f>
        <v>0</v>
      </c>
      <c r="AP395" s="11">
        <f t="shared" si="1760"/>
        <v>0</v>
      </c>
      <c r="AQ395" s="11">
        <f t="shared" si="1760"/>
        <v>0</v>
      </c>
      <c r="AR395" s="11">
        <f t="shared" si="1760"/>
        <v>0</v>
      </c>
      <c r="AS395" s="11">
        <f t="shared" si="1760"/>
        <v>0</v>
      </c>
      <c r="AT395" s="25">
        <f t="shared" si="1760"/>
        <v>0</v>
      </c>
      <c r="AV395" s="10">
        <f t="shared" ref="AV395:BA395" si="1761">SUM(AV391:AV394)</f>
        <v>0</v>
      </c>
      <c r="AW395" s="11">
        <f t="shared" si="1761"/>
        <v>0</v>
      </c>
      <c r="AX395" s="11">
        <f t="shared" si="1761"/>
        <v>0</v>
      </c>
      <c r="AY395" s="11">
        <f t="shared" si="1761"/>
        <v>0</v>
      </c>
      <c r="AZ395" s="11">
        <f t="shared" si="1761"/>
        <v>0</v>
      </c>
      <c r="BA395" s="25">
        <f t="shared" si="1761"/>
        <v>0</v>
      </c>
      <c r="BC395" s="10">
        <f t="shared" ref="BC395:BH395" si="1762">SUM(BC391:BC394)</f>
        <v>0</v>
      </c>
      <c r="BD395" s="11">
        <f t="shared" si="1762"/>
        <v>0</v>
      </c>
      <c r="BE395" s="11">
        <f t="shared" si="1762"/>
        <v>0</v>
      </c>
      <c r="BF395" s="11">
        <f t="shared" si="1762"/>
        <v>0</v>
      </c>
      <c r="BG395" s="11">
        <f t="shared" si="1762"/>
        <v>0</v>
      </c>
      <c r="BH395" s="25">
        <f t="shared" si="1762"/>
        <v>0</v>
      </c>
      <c r="BJ395" s="10">
        <f t="shared" ref="BJ395:BO395" si="1763">SUM(BJ391:BJ394)</f>
        <v>0</v>
      </c>
      <c r="BK395" s="11">
        <f t="shared" si="1763"/>
        <v>0</v>
      </c>
      <c r="BL395" s="11">
        <f t="shared" si="1763"/>
        <v>0</v>
      </c>
      <c r="BM395" s="11">
        <f t="shared" si="1763"/>
        <v>0</v>
      </c>
      <c r="BN395" s="11">
        <f t="shared" si="1763"/>
        <v>0</v>
      </c>
      <c r="BO395" s="25">
        <f t="shared" si="1763"/>
        <v>0</v>
      </c>
      <c r="BQ395" s="10">
        <f t="shared" ref="BQ395:BV395" si="1764">SUM(BQ391:BQ394)</f>
        <v>0</v>
      </c>
      <c r="BR395" s="11">
        <f t="shared" si="1764"/>
        <v>0</v>
      </c>
      <c r="BS395" s="11">
        <f t="shared" si="1764"/>
        <v>0</v>
      </c>
      <c r="BT395" s="11">
        <f t="shared" si="1764"/>
        <v>0</v>
      </c>
      <c r="BU395" s="11">
        <f t="shared" si="1764"/>
        <v>0</v>
      </c>
      <c r="BV395" s="25">
        <f t="shared" si="1764"/>
        <v>0</v>
      </c>
      <c r="BX395" s="10">
        <f t="shared" ref="BX395:CC395" si="1765">SUM(BX391:BX394)</f>
        <v>0</v>
      </c>
      <c r="BY395" s="11">
        <f t="shared" si="1765"/>
        <v>0</v>
      </c>
      <c r="BZ395" s="11">
        <f t="shared" si="1765"/>
        <v>0</v>
      </c>
      <c r="CA395" s="11">
        <f t="shared" si="1765"/>
        <v>0</v>
      </c>
      <c r="CB395" s="11">
        <f t="shared" si="1765"/>
        <v>0</v>
      </c>
      <c r="CC395" s="25">
        <f t="shared" si="1765"/>
        <v>0</v>
      </c>
      <c r="CE395" s="62">
        <f t="shared" ref="CE395:CJ395" si="1766">SUM(CE391:CE394)</f>
        <v>0</v>
      </c>
      <c r="CF395" s="63">
        <f t="shared" si="1766"/>
        <v>0</v>
      </c>
      <c r="CG395" s="63">
        <f t="shared" si="1766"/>
        <v>0</v>
      </c>
      <c r="CH395" s="63">
        <f t="shared" si="1766"/>
        <v>0</v>
      </c>
      <c r="CI395" s="63">
        <f t="shared" si="1766"/>
        <v>0</v>
      </c>
      <c r="CJ395" s="25">
        <f t="shared" si="1766"/>
        <v>0</v>
      </c>
      <c r="CL395" s="10">
        <f>SUM(CL391:CL394)</f>
        <v>0</v>
      </c>
      <c r="CM395" s="11">
        <f t="shared" ref="CM395:CQ395" si="1767">SUM(CM391:CM394)</f>
        <v>0</v>
      </c>
      <c r="CN395" s="11">
        <f t="shared" si="1767"/>
        <v>0</v>
      </c>
      <c r="CO395" s="11">
        <f t="shared" si="1767"/>
        <v>0</v>
      </c>
      <c r="CP395" s="11">
        <f t="shared" si="1767"/>
        <v>0</v>
      </c>
      <c r="CQ395" s="25">
        <f t="shared" si="1767"/>
        <v>0</v>
      </c>
      <c r="CS395" s="10">
        <f>SUM(CS391:CS394)</f>
        <v>0</v>
      </c>
      <c r="CT395" s="11">
        <f t="shared" ref="CT395:CW395" si="1768">SUM(CT391:CT394)</f>
        <v>0</v>
      </c>
      <c r="CU395" s="11">
        <f t="shared" si="1768"/>
        <v>0</v>
      </c>
      <c r="CV395" s="11">
        <f t="shared" si="1768"/>
        <v>0</v>
      </c>
      <c r="CW395" s="11">
        <f t="shared" si="1768"/>
        <v>0</v>
      </c>
      <c r="CX395" s="25">
        <f>SUM(CX391:CX394)</f>
        <v>0</v>
      </c>
      <c r="CZ395" s="10">
        <f>SUM(CZ391:CZ394)</f>
        <v>0</v>
      </c>
      <c r="DA395" s="11">
        <f t="shared" ref="DA395:DD395" si="1769">SUM(DA391:DA394)</f>
        <v>0</v>
      </c>
      <c r="DB395" s="11">
        <f t="shared" si="1769"/>
        <v>0</v>
      </c>
      <c r="DC395" s="11">
        <f t="shared" si="1769"/>
        <v>0</v>
      </c>
      <c r="DD395" s="11">
        <f t="shared" si="1769"/>
        <v>0</v>
      </c>
      <c r="DE395" s="25">
        <f>SUM(DE391:DE394)</f>
        <v>0</v>
      </c>
    </row>
    <row r="396" spans="2:109" ht="10.4" customHeight="1" thickBot="1"/>
    <row r="397" spans="2:109">
      <c r="C397" s="553">
        <v>2025</v>
      </c>
      <c r="E397" s="13" t="s">
        <v>59</v>
      </c>
      <c r="F397" s="21">
        <f>CE391</f>
        <v>0</v>
      </c>
      <c r="G397" s="22">
        <f t="shared" ref="G397:G400" si="1770">CF391</f>
        <v>0</v>
      </c>
      <c r="H397" s="22">
        <f t="shared" ref="H397:H400" si="1771">CG391</f>
        <v>0</v>
      </c>
      <c r="I397" s="22">
        <f t="shared" ref="I397:I400" si="1772">CH391</f>
        <v>0</v>
      </c>
      <c r="J397" s="22">
        <f t="shared" ref="J397:J400" si="1773">CI391</f>
        <v>0</v>
      </c>
      <c r="K397" s="15">
        <f>SUM(F397:J397)</f>
        <v>0</v>
      </c>
      <c r="M397" s="2"/>
      <c r="N397" s="3"/>
      <c r="O397" s="3"/>
      <c r="P397" s="3"/>
      <c r="Q397" s="3"/>
      <c r="R397" s="15">
        <f>SUM(M397:Q397)</f>
        <v>0</v>
      </c>
      <c r="T397" s="2"/>
      <c r="U397" s="3"/>
      <c r="V397" s="3"/>
      <c r="W397" s="3"/>
      <c r="X397" s="3"/>
      <c r="Y397" s="15">
        <f>SUM(T397:X397)</f>
        <v>0</v>
      </c>
      <c r="AA397" s="2"/>
      <c r="AB397" s="3"/>
      <c r="AC397" s="3"/>
      <c r="AD397" s="3"/>
      <c r="AE397" s="3"/>
      <c r="AF397" s="15">
        <f>SUM(AA397:AE397)</f>
        <v>0</v>
      </c>
      <c r="AH397" s="2"/>
      <c r="AI397" s="3"/>
      <c r="AJ397" s="3"/>
      <c r="AK397" s="3"/>
      <c r="AL397" s="3"/>
      <c r="AM397" s="15">
        <f>SUM(AH397:AL397)</f>
        <v>0</v>
      </c>
      <c r="AO397" s="2"/>
      <c r="AP397" s="3"/>
      <c r="AQ397" s="3"/>
      <c r="AR397" s="3"/>
      <c r="AS397" s="3"/>
      <c r="AT397" s="15">
        <f>SUM(AO397:AS397)</f>
        <v>0</v>
      </c>
      <c r="AV397" s="2"/>
      <c r="AW397" s="3"/>
      <c r="AX397" s="3"/>
      <c r="AY397" s="3"/>
      <c r="AZ397" s="3"/>
      <c r="BA397" s="15">
        <f>SUM(AV397:AZ397)</f>
        <v>0</v>
      </c>
      <c r="BC397" s="2"/>
      <c r="BD397" s="3"/>
      <c r="BE397" s="3"/>
      <c r="BF397" s="3"/>
      <c r="BG397" s="3"/>
      <c r="BH397" s="15">
        <f>SUM(BC397:BG397)</f>
        <v>0</v>
      </c>
      <c r="BJ397" s="2"/>
      <c r="BK397" s="3"/>
      <c r="BL397" s="3"/>
      <c r="BM397" s="3"/>
      <c r="BN397" s="3"/>
      <c r="BO397" s="15">
        <f>SUM(BJ397:BN397)</f>
        <v>0</v>
      </c>
      <c r="BQ397" s="2"/>
      <c r="BR397" s="3"/>
      <c r="BS397" s="3"/>
      <c r="BT397" s="3"/>
      <c r="BU397" s="3"/>
      <c r="BV397" s="15">
        <f>SUM(BQ397:BU397)</f>
        <v>0</v>
      </c>
      <c r="BX397" s="2"/>
      <c r="BY397" s="3"/>
      <c r="BZ397" s="3"/>
      <c r="CA397" s="3"/>
      <c r="CB397" s="3"/>
      <c r="CC397" s="15">
        <f>SUM(BX397:CB397)</f>
        <v>0</v>
      </c>
      <c r="CE397" s="26">
        <f t="shared" ref="CE397:CE400" si="1774">F397+M397+T397+AA397+AH397+AO397+AV397+BC397+BJ397+BQ397+BX397</f>
        <v>0</v>
      </c>
      <c r="CF397" s="27">
        <f t="shared" ref="CF397:CF400" si="1775">G397+N397+U397+AB397+AI397+AP397+AW397+BD397+BK397+BR397+BY397</f>
        <v>0</v>
      </c>
      <c r="CG397" s="27">
        <f t="shared" ref="CG397:CG400" si="1776">H397+O397+V397+AC397+AJ397+AQ397+AX397+BE397+BL397+BS397+BZ397</f>
        <v>0</v>
      </c>
      <c r="CH397" s="27">
        <f t="shared" ref="CH397:CH400" si="1777">I397+P397+W397+AD397+AK397+AR397+AY397+BF397+BM397+BT397+CA397</f>
        <v>0</v>
      </c>
      <c r="CI397" s="27">
        <f t="shared" ref="CI397:CI400" si="1778">J397+Q397+X397+AE397+AL397+AS397+AZ397+BG397+BN397+BU397+CB397</f>
        <v>0</v>
      </c>
      <c r="CJ397" s="4">
        <f>SUM(CE397:CI397)</f>
        <v>0</v>
      </c>
      <c r="CL397" s="2"/>
      <c r="CM397" s="3"/>
      <c r="CN397" s="3"/>
      <c r="CO397" s="3"/>
      <c r="CP397" s="3"/>
      <c r="CQ397" s="15">
        <f>SUM(CL397:CP397)</f>
        <v>0</v>
      </c>
      <c r="CS397" s="2"/>
      <c r="CT397" s="3"/>
      <c r="CU397" s="3"/>
      <c r="CV397" s="3"/>
      <c r="CW397" s="3"/>
      <c r="CX397" s="15">
        <f>SUM(CS397:CW397)</f>
        <v>0</v>
      </c>
      <c r="CZ397" s="2"/>
      <c r="DA397" s="3"/>
      <c r="DB397" s="3"/>
      <c r="DC397" s="3"/>
      <c r="DD397" s="3"/>
      <c r="DE397" s="15">
        <f>SUM(CZ397:DD397)</f>
        <v>0</v>
      </c>
    </row>
    <row r="398" spans="2:109">
      <c r="C398" s="567"/>
      <c r="E398" s="14" t="s">
        <v>60</v>
      </c>
      <c r="F398" s="23">
        <f t="shared" ref="F398:F400" si="1779">CE392</f>
        <v>0</v>
      </c>
      <c r="G398" s="24">
        <f t="shared" si="1770"/>
        <v>0</v>
      </c>
      <c r="H398" s="24">
        <f t="shared" si="1771"/>
        <v>0</v>
      </c>
      <c r="I398" s="24">
        <f t="shared" si="1772"/>
        <v>0</v>
      </c>
      <c r="J398" s="24">
        <f t="shared" si="1773"/>
        <v>0</v>
      </c>
      <c r="K398" s="16">
        <f t="shared" ref="K398:K400" si="1780">SUM(F398:J398)</f>
        <v>0</v>
      </c>
      <c r="M398" s="6"/>
      <c r="N398" s="7"/>
      <c r="O398" s="7"/>
      <c r="P398" s="7"/>
      <c r="Q398" s="7"/>
      <c r="R398" s="16">
        <f t="shared" ref="R398:R400" si="1781">SUM(M398:Q398)</f>
        <v>0</v>
      </c>
      <c r="T398" s="6"/>
      <c r="U398" s="7"/>
      <c r="V398" s="7"/>
      <c r="W398" s="7"/>
      <c r="X398" s="7"/>
      <c r="Y398" s="16">
        <f t="shared" ref="Y398:Y400" si="1782">SUM(T398:X398)</f>
        <v>0</v>
      </c>
      <c r="AA398" s="6"/>
      <c r="AB398" s="7"/>
      <c r="AC398" s="7"/>
      <c r="AD398" s="7"/>
      <c r="AE398" s="7"/>
      <c r="AF398" s="16">
        <f>SUM(AA398:AE398)</f>
        <v>0</v>
      </c>
      <c r="AH398" s="6"/>
      <c r="AI398" s="7"/>
      <c r="AJ398" s="7"/>
      <c r="AK398" s="7"/>
      <c r="AL398" s="7"/>
      <c r="AM398" s="16">
        <f>SUM(AH398:AL398)</f>
        <v>0</v>
      </c>
      <c r="AO398" s="6"/>
      <c r="AP398" s="7"/>
      <c r="AQ398" s="7"/>
      <c r="AR398" s="7"/>
      <c r="AS398" s="7"/>
      <c r="AT398" s="16">
        <f>SUM(AO398:AS398)</f>
        <v>0</v>
      </c>
      <c r="AV398" s="6"/>
      <c r="AW398" s="7"/>
      <c r="AX398" s="7"/>
      <c r="AY398" s="7"/>
      <c r="AZ398" s="7"/>
      <c r="BA398" s="16">
        <f>SUM(AV398:AZ398)</f>
        <v>0</v>
      </c>
      <c r="BC398" s="6"/>
      <c r="BD398" s="7"/>
      <c r="BE398" s="7"/>
      <c r="BF398" s="7"/>
      <c r="BG398" s="7"/>
      <c r="BH398" s="16">
        <f>SUM(BC398:BG398)</f>
        <v>0</v>
      </c>
      <c r="BJ398" s="6"/>
      <c r="BK398" s="7"/>
      <c r="BL398" s="7"/>
      <c r="BM398" s="7"/>
      <c r="BN398" s="7"/>
      <c r="BO398" s="16">
        <f>SUM(BJ398:BN398)</f>
        <v>0</v>
      </c>
      <c r="BQ398" s="6"/>
      <c r="BR398" s="7"/>
      <c r="BS398" s="7"/>
      <c r="BT398" s="7"/>
      <c r="BU398" s="7"/>
      <c r="BV398" s="16">
        <f>SUM(BQ398:BU398)</f>
        <v>0</v>
      </c>
      <c r="BX398" s="6"/>
      <c r="BY398" s="7"/>
      <c r="BZ398" s="7"/>
      <c r="CA398" s="7"/>
      <c r="CB398" s="7"/>
      <c r="CC398" s="16">
        <f>SUM(BX398:CB398)</f>
        <v>0</v>
      </c>
      <c r="CE398" s="28">
        <f t="shared" si="1774"/>
        <v>0</v>
      </c>
      <c r="CF398" s="29">
        <f t="shared" si="1775"/>
        <v>0</v>
      </c>
      <c r="CG398" s="29">
        <f t="shared" si="1776"/>
        <v>0</v>
      </c>
      <c r="CH398" s="29">
        <f t="shared" si="1777"/>
        <v>0</v>
      </c>
      <c r="CI398" s="29">
        <f t="shared" si="1778"/>
        <v>0</v>
      </c>
      <c r="CJ398" s="8">
        <f>SUM(CE398:CI398)</f>
        <v>0</v>
      </c>
      <c r="CL398" s="6"/>
      <c r="CM398" s="7"/>
      <c r="CN398" s="7"/>
      <c r="CO398" s="7"/>
      <c r="CP398" s="7"/>
      <c r="CQ398" s="16">
        <f>SUM(CL398:CP398)</f>
        <v>0</v>
      </c>
      <c r="CS398" s="6"/>
      <c r="CT398" s="7"/>
      <c r="CU398" s="7"/>
      <c r="CV398" s="7"/>
      <c r="CW398" s="7"/>
      <c r="CX398" s="16">
        <f t="shared" ref="CX398:CX400" si="1783">SUM(CS398:CW398)</f>
        <v>0</v>
      </c>
      <c r="CZ398" s="6"/>
      <c r="DA398" s="7"/>
      <c r="DB398" s="7"/>
      <c r="DC398" s="7"/>
      <c r="DD398" s="7"/>
      <c r="DE398" s="16">
        <f t="shared" ref="DE398:DE400" si="1784">SUM(CZ398:DD398)</f>
        <v>0</v>
      </c>
    </row>
    <row r="399" spans="2:109">
      <c r="C399" s="567"/>
      <c r="E399" s="14" t="s">
        <v>61</v>
      </c>
      <c r="F399" s="23">
        <f t="shared" si="1779"/>
        <v>0</v>
      </c>
      <c r="G399" s="24">
        <f t="shared" si="1770"/>
        <v>0</v>
      </c>
      <c r="H399" s="24">
        <f t="shared" si="1771"/>
        <v>0</v>
      </c>
      <c r="I399" s="24">
        <f t="shared" si="1772"/>
        <v>0</v>
      </c>
      <c r="J399" s="24">
        <f t="shared" si="1773"/>
        <v>0</v>
      </c>
      <c r="K399" s="16">
        <f t="shared" si="1780"/>
        <v>0</v>
      </c>
      <c r="M399" s="6"/>
      <c r="N399" s="7"/>
      <c r="O399" s="7"/>
      <c r="P399" s="7"/>
      <c r="Q399" s="7"/>
      <c r="R399" s="16">
        <f t="shared" si="1781"/>
        <v>0</v>
      </c>
      <c r="T399" s="6"/>
      <c r="U399" s="7"/>
      <c r="V399" s="7"/>
      <c r="W399" s="7"/>
      <c r="X399" s="7"/>
      <c r="Y399" s="16">
        <f t="shared" si="1782"/>
        <v>0</v>
      </c>
      <c r="AA399" s="6"/>
      <c r="AB399" s="7"/>
      <c r="AC399" s="7"/>
      <c r="AD399" s="7"/>
      <c r="AE399" s="7"/>
      <c r="AF399" s="16">
        <f>SUM(AA399:AE399)</f>
        <v>0</v>
      </c>
      <c r="AH399" s="6"/>
      <c r="AI399" s="7"/>
      <c r="AJ399" s="7"/>
      <c r="AK399" s="7"/>
      <c r="AL399" s="7"/>
      <c r="AM399" s="16">
        <f>SUM(AH399:AL399)</f>
        <v>0</v>
      </c>
      <c r="AO399" s="6"/>
      <c r="AP399" s="7"/>
      <c r="AQ399" s="7"/>
      <c r="AR399" s="7"/>
      <c r="AS399" s="7"/>
      <c r="AT399" s="16">
        <f>SUM(AO399:AS399)</f>
        <v>0</v>
      </c>
      <c r="AV399" s="6"/>
      <c r="AW399" s="7"/>
      <c r="AX399" s="7"/>
      <c r="AY399" s="7"/>
      <c r="AZ399" s="7"/>
      <c r="BA399" s="16">
        <f>SUM(AV399:AZ399)</f>
        <v>0</v>
      </c>
      <c r="BC399" s="6"/>
      <c r="BD399" s="7"/>
      <c r="BE399" s="7"/>
      <c r="BF399" s="7"/>
      <c r="BG399" s="7"/>
      <c r="BH399" s="16">
        <f>SUM(BC399:BG399)</f>
        <v>0</v>
      </c>
      <c r="BJ399" s="6"/>
      <c r="BK399" s="7"/>
      <c r="BL399" s="7"/>
      <c r="BM399" s="7"/>
      <c r="BN399" s="7"/>
      <c r="BO399" s="16">
        <f>SUM(BJ399:BN399)</f>
        <v>0</v>
      </c>
      <c r="BQ399" s="6"/>
      <c r="BR399" s="7"/>
      <c r="BS399" s="7"/>
      <c r="BT399" s="7"/>
      <c r="BU399" s="7"/>
      <c r="BV399" s="16">
        <f>SUM(BQ399:BU399)</f>
        <v>0</v>
      </c>
      <c r="BX399" s="6"/>
      <c r="BY399" s="7"/>
      <c r="BZ399" s="7"/>
      <c r="CA399" s="7"/>
      <c r="CB399" s="7"/>
      <c r="CC399" s="16">
        <f>SUM(BX399:CB399)</f>
        <v>0</v>
      </c>
      <c r="CE399" s="28">
        <f t="shared" si="1774"/>
        <v>0</v>
      </c>
      <c r="CF399" s="29">
        <f t="shared" si="1775"/>
        <v>0</v>
      </c>
      <c r="CG399" s="29">
        <f t="shared" si="1776"/>
        <v>0</v>
      </c>
      <c r="CH399" s="29">
        <f t="shared" si="1777"/>
        <v>0</v>
      </c>
      <c r="CI399" s="29">
        <f t="shared" si="1778"/>
        <v>0</v>
      </c>
      <c r="CJ399" s="8">
        <f>SUM(CE399:CI399)</f>
        <v>0</v>
      </c>
      <c r="CL399" s="6"/>
      <c r="CM399" s="7"/>
      <c r="CN399" s="7"/>
      <c r="CO399" s="7"/>
      <c r="CP399" s="7"/>
      <c r="CQ399" s="16">
        <f>SUM(CL399:CP399)</f>
        <v>0</v>
      </c>
      <c r="CS399" s="6"/>
      <c r="CT399" s="7"/>
      <c r="CU399" s="7"/>
      <c r="CV399" s="7"/>
      <c r="CW399" s="7"/>
      <c r="CX399" s="16">
        <f t="shared" si="1783"/>
        <v>0</v>
      </c>
      <c r="CZ399" s="6"/>
      <c r="DA399" s="7"/>
      <c r="DB399" s="7"/>
      <c r="DC399" s="7"/>
      <c r="DD399" s="7"/>
      <c r="DE399" s="16">
        <f t="shared" si="1784"/>
        <v>0</v>
      </c>
    </row>
    <row r="400" spans="2:109" ht="14" thickBot="1">
      <c r="C400" s="567"/>
      <c r="E400" s="14" t="s">
        <v>62</v>
      </c>
      <c r="F400" s="23">
        <f t="shared" si="1779"/>
        <v>0</v>
      </c>
      <c r="G400" s="24">
        <f t="shared" si="1770"/>
        <v>0</v>
      </c>
      <c r="H400" s="24">
        <f t="shared" si="1771"/>
        <v>0</v>
      </c>
      <c r="I400" s="24">
        <f t="shared" si="1772"/>
        <v>0</v>
      </c>
      <c r="J400" s="24">
        <f t="shared" si="1773"/>
        <v>0</v>
      </c>
      <c r="K400" s="16">
        <f t="shared" si="1780"/>
        <v>0</v>
      </c>
      <c r="M400" s="6"/>
      <c r="N400" s="7"/>
      <c r="O400" s="7"/>
      <c r="P400" s="7"/>
      <c r="Q400" s="7"/>
      <c r="R400" s="16">
        <f t="shared" si="1781"/>
        <v>0</v>
      </c>
      <c r="T400" s="6"/>
      <c r="U400" s="7"/>
      <c r="V400" s="7"/>
      <c r="W400" s="7"/>
      <c r="X400" s="7"/>
      <c r="Y400" s="16">
        <f t="shared" si="1782"/>
        <v>0</v>
      </c>
      <c r="AA400" s="6"/>
      <c r="AB400" s="7"/>
      <c r="AC400" s="7"/>
      <c r="AD400" s="7"/>
      <c r="AE400" s="7"/>
      <c r="AF400" s="16">
        <f>SUM(AA400:AE400)</f>
        <v>0</v>
      </c>
      <c r="AH400" s="6"/>
      <c r="AI400" s="7"/>
      <c r="AJ400" s="7"/>
      <c r="AK400" s="7"/>
      <c r="AL400" s="7"/>
      <c r="AM400" s="16">
        <f>SUM(AH400:AL400)</f>
        <v>0</v>
      </c>
      <c r="AO400" s="6"/>
      <c r="AP400" s="7"/>
      <c r="AQ400" s="7"/>
      <c r="AR400" s="7"/>
      <c r="AS400" s="7"/>
      <c r="AT400" s="16">
        <f>SUM(AO400:AS400)</f>
        <v>0</v>
      </c>
      <c r="AV400" s="6"/>
      <c r="AW400" s="7"/>
      <c r="AX400" s="7"/>
      <c r="AY400" s="7"/>
      <c r="AZ400" s="7"/>
      <c r="BA400" s="16">
        <f>SUM(AV400:AZ400)</f>
        <v>0</v>
      </c>
      <c r="BC400" s="6"/>
      <c r="BD400" s="7"/>
      <c r="BE400" s="7"/>
      <c r="BF400" s="7"/>
      <c r="BG400" s="7"/>
      <c r="BH400" s="16">
        <f>SUM(BC400:BG400)</f>
        <v>0</v>
      </c>
      <c r="BJ400" s="6"/>
      <c r="BK400" s="7"/>
      <c r="BL400" s="7"/>
      <c r="BM400" s="7"/>
      <c r="BN400" s="7"/>
      <c r="BO400" s="16">
        <f>SUM(BJ400:BN400)</f>
        <v>0</v>
      </c>
      <c r="BQ400" s="6"/>
      <c r="BR400" s="7"/>
      <c r="BS400" s="7"/>
      <c r="BT400" s="7"/>
      <c r="BU400" s="7"/>
      <c r="BV400" s="16">
        <f>SUM(BQ400:BU400)</f>
        <v>0</v>
      </c>
      <c r="BX400" s="6"/>
      <c r="BY400" s="7"/>
      <c r="BZ400" s="7"/>
      <c r="CA400" s="7"/>
      <c r="CB400" s="7"/>
      <c r="CC400" s="16">
        <f>SUM(BX400:CB400)</f>
        <v>0</v>
      </c>
      <c r="CE400" s="493">
        <f t="shared" si="1774"/>
        <v>0</v>
      </c>
      <c r="CF400" s="494">
        <f t="shared" si="1775"/>
        <v>0</v>
      </c>
      <c r="CG400" s="494">
        <f t="shared" si="1776"/>
        <v>0</v>
      </c>
      <c r="CH400" s="494">
        <f t="shared" si="1777"/>
        <v>0</v>
      </c>
      <c r="CI400" s="494">
        <f t="shared" si="1778"/>
        <v>0</v>
      </c>
      <c r="CJ400" s="495">
        <f>SUM(CE400:CI400)</f>
        <v>0</v>
      </c>
      <c r="CL400" s="6"/>
      <c r="CM400" s="7"/>
      <c r="CN400" s="7"/>
      <c r="CO400" s="7"/>
      <c r="CP400" s="7"/>
      <c r="CQ400" s="16">
        <f>SUM(CL400:CP400)</f>
        <v>0</v>
      </c>
      <c r="CS400" s="6"/>
      <c r="CT400" s="7"/>
      <c r="CU400" s="7"/>
      <c r="CV400" s="7"/>
      <c r="CW400" s="7"/>
      <c r="CX400" s="16">
        <f t="shared" si="1783"/>
        <v>0</v>
      </c>
      <c r="CZ400" s="6"/>
      <c r="DA400" s="7"/>
      <c r="DB400" s="7"/>
      <c r="DC400" s="7"/>
      <c r="DD400" s="7"/>
      <c r="DE400" s="16">
        <f t="shared" si="1784"/>
        <v>0</v>
      </c>
    </row>
    <row r="401" spans="3:109" ht="14" thickBot="1">
      <c r="C401" s="554"/>
      <c r="E401" s="17"/>
      <c r="F401" s="10">
        <f>SUM(F397:F400)</f>
        <v>0</v>
      </c>
      <c r="G401" s="11">
        <f t="shared" ref="G401:J401" si="1785">SUM(G397:G400)</f>
        <v>0</v>
      </c>
      <c r="H401" s="11">
        <f t="shared" si="1785"/>
        <v>0</v>
      </c>
      <c r="I401" s="11">
        <f t="shared" si="1785"/>
        <v>0</v>
      </c>
      <c r="J401" s="11">
        <f t="shared" si="1785"/>
        <v>0</v>
      </c>
      <c r="K401" s="25">
        <f>SUM(K397:K400)</f>
        <v>0</v>
      </c>
      <c r="M401" s="10">
        <f>SUM(M397:M400)</f>
        <v>0</v>
      </c>
      <c r="N401" s="11">
        <f t="shared" ref="N401:Q401" si="1786">SUM(N397:N400)</f>
        <v>0</v>
      </c>
      <c r="O401" s="11">
        <f t="shared" si="1786"/>
        <v>0</v>
      </c>
      <c r="P401" s="11">
        <f t="shared" si="1786"/>
        <v>0</v>
      </c>
      <c r="Q401" s="11">
        <f t="shared" si="1786"/>
        <v>0</v>
      </c>
      <c r="R401" s="25">
        <f>SUM(R397:R400)</f>
        <v>0</v>
      </c>
      <c r="T401" s="10">
        <f>SUM(T397:T400)</f>
        <v>0</v>
      </c>
      <c r="U401" s="11">
        <f t="shared" ref="U401:X401" si="1787">SUM(U397:U400)</f>
        <v>0</v>
      </c>
      <c r="V401" s="11">
        <f t="shared" si="1787"/>
        <v>0</v>
      </c>
      <c r="W401" s="11">
        <f t="shared" si="1787"/>
        <v>0</v>
      </c>
      <c r="X401" s="11">
        <f t="shared" si="1787"/>
        <v>0</v>
      </c>
      <c r="Y401" s="25">
        <f>SUM(Y397:Y400)</f>
        <v>0</v>
      </c>
      <c r="AA401" s="10">
        <f>SUM(AA397:AA400)</f>
        <v>0</v>
      </c>
      <c r="AB401" s="11">
        <f t="shared" ref="AB401:AE401" si="1788">SUM(AB397:AB400)</f>
        <v>0</v>
      </c>
      <c r="AC401" s="11">
        <f t="shared" si="1788"/>
        <v>0</v>
      </c>
      <c r="AD401" s="11">
        <f t="shared" si="1788"/>
        <v>0</v>
      </c>
      <c r="AE401" s="11">
        <f t="shared" si="1788"/>
        <v>0</v>
      </c>
      <c r="AF401" s="25">
        <f>SUM(AF397:AF400)</f>
        <v>0</v>
      </c>
      <c r="AH401" s="10">
        <f t="shared" ref="AH401:AM401" si="1789">SUM(AH397:AH400)</f>
        <v>0</v>
      </c>
      <c r="AI401" s="11">
        <f t="shared" si="1789"/>
        <v>0</v>
      </c>
      <c r="AJ401" s="11">
        <f t="shared" si="1789"/>
        <v>0</v>
      </c>
      <c r="AK401" s="11">
        <f t="shared" si="1789"/>
        <v>0</v>
      </c>
      <c r="AL401" s="11">
        <f t="shared" si="1789"/>
        <v>0</v>
      </c>
      <c r="AM401" s="25">
        <f t="shared" si="1789"/>
        <v>0</v>
      </c>
      <c r="AO401" s="10">
        <f t="shared" ref="AO401:AT401" si="1790">SUM(AO397:AO400)</f>
        <v>0</v>
      </c>
      <c r="AP401" s="11">
        <f t="shared" si="1790"/>
        <v>0</v>
      </c>
      <c r="AQ401" s="11">
        <f t="shared" si="1790"/>
        <v>0</v>
      </c>
      <c r="AR401" s="11">
        <f t="shared" si="1790"/>
        <v>0</v>
      </c>
      <c r="AS401" s="11">
        <f t="shared" si="1790"/>
        <v>0</v>
      </c>
      <c r="AT401" s="25">
        <f t="shared" si="1790"/>
        <v>0</v>
      </c>
      <c r="AV401" s="10">
        <f t="shared" ref="AV401:BA401" si="1791">SUM(AV397:AV400)</f>
        <v>0</v>
      </c>
      <c r="AW401" s="11">
        <f t="shared" si="1791"/>
        <v>0</v>
      </c>
      <c r="AX401" s="11">
        <f t="shared" si="1791"/>
        <v>0</v>
      </c>
      <c r="AY401" s="11">
        <f t="shared" si="1791"/>
        <v>0</v>
      </c>
      <c r="AZ401" s="11">
        <f t="shared" si="1791"/>
        <v>0</v>
      </c>
      <c r="BA401" s="25">
        <f t="shared" si="1791"/>
        <v>0</v>
      </c>
      <c r="BC401" s="10">
        <f t="shared" ref="BC401:BH401" si="1792">SUM(BC397:BC400)</f>
        <v>0</v>
      </c>
      <c r="BD401" s="11">
        <f t="shared" si="1792"/>
        <v>0</v>
      </c>
      <c r="BE401" s="11">
        <f t="shared" si="1792"/>
        <v>0</v>
      </c>
      <c r="BF401" s="11">
        <f t="shared" si="1792"/>
        <v>0</v>
      </c>
      <c r="BG401" s="11">
        <f t="shared" si="1792"/>
        <v>0</v>
      </c>
      <c r="BH401" s="25">
        <f t="shared" si="1792"/>
        <v>0</v>
      </c>
      <c r="BJ401" s="10">
        <f t="shared" ref="BJ401:BO401" si="1793">SUM(BJ397:BJ400)</f>
        <v>0</v>
      </c>
      <c r="BK401" s="11">
        <f t="shared" si="1793"/>
        <v>0</v>
      </c>
      <c r="BL401" s="11">
        <f t="shared" si="1793"/>
        <v>0</v>
      </c>
      <c r="BM401" s="11">
        <f t="shared" si="1793"/>
        <v>0</v>
      </c>
      <c r="BN401" s="11">
        <f t="shared" si="1793"/>
        <v>0</v>
      </c>
      <c r="BO401" s="25">
        <f t="shared" si="1793"/>
        <v>0</v>
      </c>
      <c r="BQ401" s="10">
        <f t="shared" ref="BQ401:BV401" si="1794">SUM(BQ397:BQ400)</f>
        <v>0</v>
      </c>
      <c r="BR401" s="11">
        <f t="shared" si="1794"/>
        <v>0</v>
      </c>
      <c r="BS401" s="11">
        <f t="shared" si="1794"/>
        <v>0</v>
      </c>
      <c r="BT401" s="11">
        <f t="shared" si="1794"/>
        <v>0</v>
      </c>
      <c r="BU401" s="11">
        <f t="shared" si="1794"/>
        <v>0</v>
      </c>
      <c r="BV401" s="25">
        <f t="shared" si="1794"/>
        <v>0</v>
      </c>
      <c r="BX401" s="10">
        <f t="shared" ref="BX401:CC401" si="1795">SUM(BX397:BX400)</f>
        <v>0</v>
      </c>
      <c r="BY401" s="11">
        <f t="shared" si="1795"/>
        <v>0</v>
      </c>
      <c r="BZ401" s="11">
        <f t="shared" si="1795"/>
        <v>0</v>
      </c>
      <c r="CA401" s="11">
        <f t="shared" si="1795"/>
        <v>0</v>
      </c>
      <c r="CB401" s="11">
        <f t="shared" si="1795"/>
        <v>0</v>
      </c>
      <c r="CC401" s="25">
        <f t="shared" si="1795"/>
        <v>0</v>
      </c>
      <c r="CE401" s="62">
        <f t="shared" ref="CE401:CJ401" si="1796">SUM(CE397:CE400)</f>
        <v>0</v>
      </c>
      <c r="CF401" s="63">
        <f t="shared" si="1796"/>
        <v>0</v>
      </c>
      <c r="CG401" s="63">
        <f t="shared" si="1796"/>
        <v>0</v>
      </c>
      <c r="CH401" s="63">
        <f t="shared" si="1796"/>
        <v>0</v>
      </c>
      <c r="CI401" s="63">
        <f t="shared" si="1796"/>
        <v>0</v>
      </c>
      <c r="CJ401" s="25">
        <f t="shared" si="1796"/>
        <v>0</v>
      </c>
      <c r="CL401" s="10">
        <f>SUM(CL397:CL400)</f>
        <v>0</v>
      </c>
      <c r="CM401" s="11">
        <f t="shared" ref="CM401:CQ401" si="1797">SUM(CM397:CM400)</f>
        <v>0</v>
      </c>
      <c r="CN401" s="11">
        <f t="shared" si="1797"/>
        <v>0</v>
      </c>
      <c r="CO401" s="11">
        <f t="shared" si="1797"/>
        <v>0</v>
      </c>
      <c r="CP401" s="11">
        <f t="shared" si="1797"/>
        <v>0</v>
      </c>
      <c r="CQ401" s="25">
        <f t="shared" si="1797"/>
        <v>0</v>
      </c>
      <c r="CS401" s="10">
        <f>SUM(CS397:CS400)</f>
        <v>0</v>
      </c>
      <c r="CT401" s="11">
        <f t="shared" ref="CT401:CW401" si="1798">SUM(CT397:CT400)</f>
        <v>0</v>
      </c>
      <c r="CU401" s="11">
        <f t="shared" si="1798"/>
        <v>0</v>
      </c>
      <c r="CV401" s="11">
        <f t="shared" si="1798"/>
        <v>0</v>
      </c>
      <c r="CW401" s="11">
        <f t="shared" si="1798"/>
        <v>0</v>
      </c>
      <c r="CX401" s="25">
        <f>SUM(CX397:CX400)</f>
        <v>0</v>
      </c>
      <c r="CZ401" s="10">
        <f>SUM(CZ397:CZ400)</f>
        <v>0</v>
      </c>
      <c r="DA401" s="11">
        <f t="shared" ref="DA401:DD401" si="1799">SUM(DA397:DA400)</f>
        <v>0</v>
      </c>
      <c r="DB401" s="11">
        <f t="shared" si="1799"/>
        <v>0</v>
      </c>
      <c r="DC401" s="11">
        <f t="shared" si="1799"/>
        <v>0</v>
      </c>
      <c r="DD401" s="11">
        <f t="shared" si="1799"/>
        <v>0</v>
      </c>
      <c r="DE401" s="25">
        <f>SUM(DE397:DE400)</f>
        <v>0</v>
      </c>
    </row>
    <row r="402" spans="3:109" ht="10.4" customHeight="1" thickBot="1"/>
    <row r="403" spans="3:109">
      <c r="C403" s="553">
        <v>2026</v>
      </c>
      <c r="E403" s="13" t="s">
        <v>59</v>
      </c>
      <c r="F403" s="21">
        <f>CE397</f>
        <v>0</v>
      </c>
      <c r="G403" s="22">
        <f t="shared" ref="G403:G406" si="1800">CF397</f>
        <v>0</v>
      </c>
      <c r="H403" s="22">
        <f t="shared" ref="H403:H406" si="1801">CG397</f>
        <v>0</v>
      </c>
      <c r="I403" s="22">
        <f t="shared" ref="I403:I406" si="1802">CH397</f>
        <v>0</v>
      </c>
      <c r="J403" s="22">
        <f t="shared" ref="J403:J406" si="1803">CI397</f>
        <v>0</v>
      </c>
      <c r="K403" s="4">
        <f>SUM(F403:J403)</f>
        <v>0</v>
      </c>
      <c r="M403" s="2"/>
      <c r="N403" s="3"/>
      <c r="O403" s="3"/>
      <c r="P403" s="3"/>
      <c r="Q403" s="3"/>
      <c r="R403" s="4">
        <f>SUM(M403:Q403)</f>
        <v>0</v>
      </c>
      <c r="T403" s="2"/>
      <c r="U403" s="3"/>
      <c r="V403" s="3"/>
      <c r="W403" s="3"/>
      <c r="X403" s="3"/>
      <c r="Y403" s="4">
        <f>SUM(T403:X403)</f>
        <v>0</v>
      </c>
      <c r="AA403" s="2"/>
      <c r="AB403" s="3"/>
      <c r="AC403" s="3"/>
      <c r="AD403" s="3"/>
      <c r="AE403" s="3"/>
      <c r="AF403" s="4">
        <f>SUM(AA403:AE403)</f>
        <v>0</v>
      </c>
      <c r="AH403" s="2"/>
      <c r="AI403" s="3"/>
      <c r="AJ403" s="3"/>
      <c r="AK403" s="3"/>
      <c r="AL403" s="3"/>
      <c r="AM403" s="4">
        <f>SUM(AH403:AL403)</f>
        <v>0</v>
      </c>
      <c r="AO403" s="2"/>
      <c r="AP403" s="3"/>
      <c r="AQ403" s="3"/>
      <c r="AR403" s="3"/>
      <c r="AS403" s="3"/>
      <c r="AT403" s="4">
        <f>SUM(AO403:AS403)</f>
        <v>0</v>
      </c>
      <c r="AV403" s="2"/>
      <c r="AW403" s="3"/>
      <c r="AX403" s="3"/>
      <c r="AY403" s="3"/>
      <c r="AZ403" s="3"/>
      <c r="BA403" s="4">
        <f>SUM(AV403:AZ403)</f>
        <v>0</v>
      </c>
      <c r="BC403" s="2"/>
      <c r="BD403" s="3"/>
      <c r="BE403" s="3"/>
      <c r="BF403" s="3"/>
      <c r="BG403" s="3"/>
      <c r="BH403" s="4">
        <f>SUM(BC403:BG403)</f>
        <v>0</v>
      </c>
      <c r="BJ403" s="2"/>
      <c r="BK403" s="3"/>
      <c r="BL403" s="3"/>
      <c r="BM403" s="3"/>
      <c r="BN403" s="3"/>
      <c r="BO403" s="4">
        <f>SUM(BJ403:BN403)</f>
        <v>0</v>
      </c>
      <c r="BQ403" s="2"/>
      <c r="BR403" s="3"/>
      <c r="BS403" s="3"/>
      <c r="BT403" s="3"/>
      <c r="BU403" s="3"/>
      <c r="BV403" s="4">
        <f>SUM(BQ403:BU403)</f>
        <v>0</v>
      </c>
      <c r="BX403" s="2"/>
      <c r="BY403" s="3"/>
      <c r="BZ403" s="3"/>
      <c r="CA403" s="3"/>
      <c r="CB403" s="3"/>
      <c r="CC403" s="4">
        <f>SUM(BX403:CB403)</f>
        <v>0</v>
      </c>
      <c r="CE403" s="26">
        <f t="shared" ref="CE403:CE406" si="1804">F403+M403+T403+AA403+AH403+AO403+AV403+BC403+BJ403+BQ403+BX403</f>
        <v>0</v>
      </c>
      <c r="CF403" s="27">
        <f t="shared" ref="CF403:CF406" si="1805">G403+N403+U403+AB403+AI403+AP403+AW403+BD403+BK403+BR403+BY403</f>
        <v>0</v>
      </c>
      <c r="CG403" s="27">
        <f t="shared" ref="CG403:CG406" si="1806">H403+O403+V403+AC403+AJ403+AQ403+AX403+BE403+BL403+BS403+BZ403</f>
        <v>0</v>
      </c>
      <c r="CH403" s="27">
        <f t="shared" ref="CH403:CH406" si="1807">I403+P403+W403+AD403+AK403+AR403+AY403+BF403+BM403+BT403+CA403</f>
        <v>0</v>
      </c>
      <c r="CI403" s="27">
        <f t="shared" ref="CI403:CI406" si="1808">J403+Q403+X403+AE403+AL403+AS403+AZ403+BG403+BN403+BU403+CB403</f>
        <v>0</v>
      </c>
      <c r="CJ403" s="4">
        <f>SUM(CE403:CI403)</f>
        <v>0</v>
      </c>
      <c r="CL403" s="2"/>
      <c r="CM403" s="3"/>
      <c r="CN403" s="3"/>
      <c r="CO403" s="3"/>
      <c r="CP403" s="3"/>
      <c r="CQ403" s="4">
        <f>SUM(CL403:CP403)</f>
        <v>0</v>
      </c>
      <c r="CS403" s="2"/>
      <c r="CT403" s="3"/>
      <c r="CU403" s="3"/>
      <c r="CV403" s="3"/>
      <c r="CW403" s="3"/>
      <c r="CX403" s="4">
        <f>SUM(CS403:CW403)</f>
        <v>0</v>
      </c>
      <c r="CZ403" s="2"/>
      <c r="DA403" s="3"/>
      <c r="DB403" s="3"/>
      <c r="DC403" s="3"/>
      <c r="DD403" s="3"/>
      <c r="DE403" s="4">
        <f>SUM(CZ403:DD403)</f>
        <v>0</v>
      </c>
    </row>
    <row r="404" spans="3:109">
      <c r="C404" s="567"/>
      <c r="E404" s="14" t="s">
        <v>60</v>
      </c>
      <c r="F404" s="23">
        <f t="shared" ref="F404:F406" si="1809">CE398</f>
        <v>0</v>
      </c>
      <c r="G404" s="24">
        <f t="shared" si="1800"/>
        <v>0</v>
      </c>
      <c r="H404" s="24">
        <f t="shared" si="1801"/>
        <v>0</v>
      </c>
      <c r="I404" s="24">
        <f t="shared" si="1802"/>
        <v>0</v>
      </c>
      <c r="J404" s="24">
        <f t="shared" si="1803"/>
        <v>0</v>
      </c>
      <c r="K404" s="8">
        <f t="shared" ref="K404:K406" si="1810">SUM(F404:J404)</f>
        <v>0</v>
      </c>
      <c r="M404" s="6"/>
      <c r="N404" s="7"/>
      <c r="O404" s="7"/>
      <c r="P404" s="7"/>
      <c r="Q404" s="7"/>
      <c r="R404" s="8">
        <f t="shared" ref="R404:R406" si="1811">SUM(M404:Q404)</f>
        <v>0</v>
      </c>
      <c r="T404" s="6"/>
      <c r="U404" s="7"/>
      <c r="V404" s="7"/>
      <c r="W404" s="7"/>
      <c r="X404" s="7"/>
      <c r="Y404" s="8">
        <f t="shared" ref="Y404:Y406" si="1812">SUM(T404:X404)</f>
        <v>0</v>
      </c>
      <c r="AA404" s="6"/>
      <c r="AB404" s="7"/>
      <c r="AC404" s="7"/>
      <c r="AD404" s="7"/>
      <c r="AE404" s="7"/>
      <c r="AF404" s="8">
        <f>SUM(AA404:AE404)</f>
        <v>0</v>
      </c>
      <c r="AH404" s="6"/>
      <c r="AI404" s="7"/>
      <c r="AJ404" s="7"/>
      <c r="AK404" s="7"/>
      <c r="AL404" s="7"/>
      <c r="AM404" s="8">
        <f>SUM(AH404:AL404)</f>
        <v>0</v>
      </c>
      <c r="AO404" s="6"/>
      <c r="AP404" s="7"/>
      <c r="AQ404" s="7"/>
      <c r="AR404" s="7"/>
      <c r="AS404" s="7"/>
      <c r="AT404" s="8">
        <f>SUM(AO404:AS404)</f>
        <v>0</v>
      </c>
      <c r="AV404" s="6"/>
      <c r="AW404" s="7"/>
      <c r="AX404" s="7"/>
      <c r="AY404" s="7"/>
      <c r="AZ404" s="7"/>
      <c r="BA404" s="8">
        <f>SUM(AV404:AZ404)</f>
        <v>0</v>
      </c>
      <c r="BC404" s="6"/>
      <c r="BD404" s="7"/>
      <c r="BE404" s="7"/>
      <c r="BF404" s="7"/>
      <c r="BG404" s="7"/>
      <c r="BH404" s="8">
        <f>SUM(BC404:BG404)</f>
        <v>0</v>
      </c>
      <c r="BJ404" s="6"/>
      <c r="BK404" s="7"/>
      <c r="BL404" s="7"/>
      <c r="BM404" s="7"/>
      <c r="BN404" s="7"/>
      <c r="BO404" s="8">
        <f>SUM(BJ404:BN404)</f>
        <v>0</v>
      </c>
      <c r="BQ404" s="6"/>
      <c r="BR404" s="7"/>
      <c r="BS404" s="7"/>
      <c r="BT404" s="7"/>
      <c r="BU404" s="7"/>
      <c r="BV404" s="8">
        <f>SUM(BQ404:BU404)</f>
        <v>0</v>
      </c>
      <c r="BX404" s="6"/>
      <c r="BY404" s="7"/>
      <c r="BZ404" s="7"/>
      <c r="CA404" s="7"/>
      <c r="CB404" s="7"/>
      <c r="CC404" s="8">
        <f>SUM(BX404:CB404)</f>
        <v>0</v>
      </c>
      <c r="CE404" s="28">
        <f t="shared" si="1804"/>
        <v>0</v>
      </c>
      <c r="CF404" s="29">
        <f t="shared" si="1805"/>
        <v>0</v>
      </c>
      <c r="CG404" s="29">
        <f t="shared" si="1806"/>
        <v>0</v>
      </c>
      <c r="CH404" s="29">
        <f t="shared" si="1807"/>
        <v>0</v>
      </c>
      <c r="CI404" s="29">
        <f t="shared" si="1808"/>
        <v>0</v>
      </c>
      <c r="CJ404" s="8">
        <f>SUM(CE404:CI404)</f>
        <v>0</v>
      </c>
      <c r="CL404" s="6"/>
      <c r="CM404" s="7"/>
      <c r="CN404" s="7"/>
      <c r="CO404" s="7"/>
      <c r="CP404" s="7"/>
      <c r="CQ404" s="8">
        <f>SUM(CL404:CP404)</f>
        <v>0</v>
      </c>
      <c r="CS404" s="6"/>
      <c r="CT404" s="7"/>
      <c r="CU404" s="7"/>
      <c r="CV404" s="7"/>
      <c r="CW404" s="7"/>
      <c r="CX404" s="8">
        <f t="shared" ref="CX404:CX406" si="1813">SUM(CS404:CW404)</f>
        <v>0</v>
      </c>
      <c r="CZ404" s="6"/>
      <c r="DA404" s="7"/>
      <c r="DB404" s="7"/>
      <c r="DC404" s="7"/>
      <c r="DD404" s="7"/>
      <c r="DE404" s="8">
        <f t="shared" ref="DE404:DE406" si="1814">SUM(CZ404:DD404)</f>
        <v>0</v>
      </c>
    </row>
    <row r="405" spans="3:109">
      <c r="C405" s="567"/>
      <c r="E405" s="14" t="s">
        <v>61</v>
      </c>
      <c r="F405" s="23">
        <f t="shared" si="1809"/>
        <v>0</v>
      </c>
      <c r="G405" s="24">
        <f t="shared" si="1800"/>
        <v>0</v>
      </c>
      <c r="H405" s="24">
        <f t="shared" si="1801"/>
        <v>0</v>
      </c>
      <c r="I405" s="24">
        <f t="shared" si="1802"/>
        <v>0</v>
      </c>
      <c r="J405" s="24">
        <f t="shared" si="1803"/>
        <v>0</v>
      </c>
      <c r="K405" s="8">
        <f t="shared" si="1810"/>
        <v>0</v>
      </c>
      <c r="M405" s="6"/>
      <c r="N405" s="7"/>
      <c r="O405" s="7"/>
      <c r="P405" s="7"/>
      <c r="Q405" s="7"/>
      <c r="R405" s="8">
        <f t="shared" si="1811"/>
        <v>0</v>
      </c>
      <c r="T405" s="6"/>
      <c r="U405" s="7"/>
      <c r="V405" s="7"/>
      <c r="W405" s="7"/>
      <c r="X405" s="7"/>
      <c r="Y405" s="8">
        <f t="shared" si="1812"/>
        <v>0</v>
      </c>
      <c r="AA405" s="6"/>
      <c r="AB405" s="7"/>
      <c r="AC405" s="7"/>
      <c r="AD405" s="7"/>
      <c r="AE405" s="7"/>
      <c r="AF405" s="8">
        <f>SUM(AA405:AE405)</f>
        <v>0</v>
      </c>
      <c r="AH405" s="6"/>
      <c r="AI405" s="7"/>
      <c r="AJ405" s="7"/>
      <c r="AK405" s="7"/>
      <c r="AL405" s="7"/>
      <c r="AM405" s="8">
        <f>SUM(AH405:AL405)</f>
        <v>0</v>
      </c>
      <c r="AO405" s="6"/>
      <c r="AP405" s="7"/>
      <c r="AQ405" s="7"/>
      <c r="AR405" s="7"/>
      <c r="AS405" s="7"/>
      <c r="AT405" s="8">
        <f>SUM(AO405:AS405)</f>
        <v>0</v>
      </c>
      <c r="AV405" s="6"/>
      <c r="AW405" s="7"/>
      <c r="AX405" s="7"/>
      <c r="AY405" s="7"/>
      <c r="AZ405" s="7"/>
      <c r="BA405" s="8">
        <f>SUM(AV405:AZ405)</f>
        <v>0</v>
      </c>
      <c r="BC405" s="6"/>
      <c r="BD405" s="7"/>
      <c r="BE405" s="7"/>
      <c r="BF405" s="7"/>
      <c r="BG405" s="7"/>
      <c r="BH405" s="8">
        <f>SUM(BC405:BG405)</f>
        <v>0</v>
      </c>
      <c r="BJ405" s="6"/>
      <c r="BK405" s="7"/>
      <c r="BL405" s="7"/>
      <c r="BM405" s="7"/>
      <c r="BN405" s="7"/>
      <c r="BO405" s="8">
        <f>SUM(BJ405:BN405)</f>
        <v>0</v>
      </c>
      <c r="BQ405" s="6"/>
      <c r="BR405" s="7"/>
      <c r="BS405" s="7"/>
      <c r="BT405" s="7"/>
      <c r="BU405" s="7"/>
      <c r="BV405" s="8">
        <f>SUM(BQ405:BU405)</f>
        <v>0</v>
      </c>
      <c r="BX405" s="6"/>
      <c r="BY405" s="7"/>
      <c r="BZ405" s="7"/>
      <c r="CA405" s="7"/>
      <c r="CB405" s="7"/>
      <c r="CC405" s="8">
        <f>SUM(BX405:CB405)</f>
        <v>0</v>
      </c>
      <c r="CE405" s="28">
        <f t="shared" si="1804"/>
        <v>0</v>
      </c>
      <c r="CF405" s="29">
        <f t="shared" si="1805"/>
        <v>0</v>
      </c>
      <c r="CG405" s="29">
        <f t="shared" si="1806"/>
        <v>0</v>
      </c>
      <c r="CH405" s="29">
        <f t="shared" si="1807"/>
        <v>0</v>
      </c>
      <c r="CI405" s="29">
        <f t="shared" si="1808"/>
        <v>0</v>
      </c>
      <c r="CJ405" s="8">
        <f>SUM(CE405:CI405)</f>
        <v>0</v>
      </c>
      <c r="CL405" s="6"/>
      <c r="CM405" s="7"/>
      <c r="CN405" s="7"/>
      <c r="CO405" s="7"/>
      <c r="CP405" s="7"/>
      <c r="CQ405" s="8">
        <f>SUM(CL405:CP405)</f>
        <v>0</v>
      </c>
      <c r="CS405" s="6"/>
      <c r="CT405" s="7"/>
      <c r="CU405" s="7"/>
      <c r="CV405" s="7"/>
      <c r="CW405" s="7"/>
      <c r="CX405" s="8">
        <f t="shared" si="1813"/>
        <v>0</v>
      </c>
      <c r="CZ405" s="6"/>
      <c r="DA405" s="7"/>
      <c r="DB405" s="7"/>
      <c r="DC405" s="7"/>
      <c r="DD405" s="7"/>
      <c r="DE405" s="8">
        <f t="shared" si="1814"/>
        <v>0</v>
      </c>
    </row>
    <row r="406" spans="3:109" ht="14" thickBot="1">
      <c r="C406" s="567"/>
      <c r="E406" s="14" t="s">
        <v>62</v>
      </c>
      <c r="F406" s="23">
        <f t="shared" si="1809"/>
        <v>0</v>
      </c>
      <c r="G406" s="24">
        <f t="shared" si="1800"/>
        <v>0</v>
      </c>
      <c r="H406" s="24">
        <f t="shared" si="1801"/>
        <v>0</v>
      </c>
      <c r="I406" s="24">
        <f t="shared" si="1802"/>
        <v>0</v>
      </c>
      <c r="J406" s="24">
        <f t="shared" si="1803"/>
        <v>0</v>
      </c>
      <c r="K406" s="8">
        <f t="shared" si="1810"/>
        <v>0</v>
      </c>
      <c r="M406" s="6"/>
      <c r="N406" s="7"/>
      <c r="O406" s="7"/>
      <c r="P406" s="7"/>
      <c r="Q406" s="7"/>
      <c r="R406" s="8">
        <f t="shared" si="1811"/>
        <v>0</v>
      </c>
      <c r="T406" s="6"/>
      <c r="U406" s="7"/>
      <c r="V406" s="7"/>
      <c r="W406" s="7"/>
      <c r="X406" s="7"/>
      <c r="Y406" s="8">
        <f t="shared" si="1812"/>
        <v>0</v>
      </c>
      <c r="AA406" s="6"/>
      <c r="AB406" s="7"/>
      <c r="AC406" s="7"/>
      <c r="AD406" s="7"/>
      <c r="AE406" s="7"/>
      <c r="AF406" s="8">
        <f>SUM(AA406:AE406)</f>
        <v>0</v>
      </c>
      <c r="AH406" s="6"/>
      <c r="AI406" s="7"/>
      <c r="AJ406" s="7"/>
      <c r="AK406" s="7"/>
      <c r="AL406" s="7"/>
      <c r="AM406" s="8">
        <f>SUM(AH406:AL406)</f>
        <v>0</v>
      </c>
      <c r="AO406" s="6"/>
      <c r="AP406" s="7"/>
      <c r="AQ406" s="7"/>
      <c r="AR406" s="7"/>
      <c r="AS406" s="7"/>
      <c r="AT406" s="8">
        <f>SUM(AO406:AS406)</f>
        <v>0</v>
      </c>
      <c r="AV406" s="6"/>
      <c r="AW406" s="7"/>
      <c r="AX406" s="7"/>
      <c r="AY406" s="7"/>
      <c r="AZ406" s="7"/>
      <c r="BA406" s="8">
        <f>SUM(AV406:AZ406)</f>
        <v>0</v>
      </c>
      <c r="BC406" s="6"/>
      <c r="BD406" s="7"/>
      <c r="BE406" s="7"/>
      <c r="BF406" s="7"/>
      <c r="BG406" s="7"/>
      <c r="BH406" s="8">
        <f>SUM(BC406:BG406)</f>
        <v>0</v>
      </c>
      <c r="BJ406" s="6"/>
      <c r="BK406" s="7"/>
      <c r="BL406" s="7"/>
      <c r="BM406" s="7"/>
      <c r="BN406" s="7"/>
      <c r="BO406" s="8">
        <f>SUM(BJ406:BN406)</f>
        <v>0</v>
      </c>
      <c r="BQ406" s="6"/>
      <c r="BR406" s="7"/>
      <c r="BS406" s="7"/>
      <c r="BT406" s="7"/>
      <c r="BU406" s="7"/>
      <c r="BV406" s="8">
        <f>SUM(BQ406:BU406)</f>
        <v>0</v>
      </c>
      <c r="BX406" s="6"/>
      <c r="BY406" s="7"/>
      <c r="BZ406" s="7"/>
      <c r="CA406" s="7"/>
      <c r="CB406" s="7"/>
      <c r="CC406" s="8">
        <f>SUM(BX406:CB406)</f>
        <v>0</v>
      </c>
      <c r="CE406" s="493">
        <f t="shared" si="1804"/>
        <v>0</v>
      </c>
      <c r="CF406" s="494">
        <f t="shared" si="1805"/>
        <v>0</v>
      </c>
      <c r="CG406" s="494">
        <f t="shared" si="1806"/>
        <v>0</v>
      </c>
      <c r="CH406" s="494">
        <f t="shared" si="1807"/>
        <v>0</v>
      </c>
      <c r="CI406" s="494">
        <f t="shared" si="1808"/>
        <v>0</v>
      </c>
      <c r="CJ406" s="495">
        <f>SUM(CE406:CI406)</f>
        <v>0</v>
      </c>
      <c r="CL406" s="6"/>
      <c r="CM406" s="7"/>
      <c r="CN406" s="7"/>
      <c r="CO406" s="7"/>
      <c r="CP406" s="7"/>
      <c r="CQ406" s="8">
        <f>SUM(CL406:CP406)</f>
        <v>0</v>
      </c>
      <c r="CS406" s="6"/>
      <c r="CT406" s="7"/>
      <c r="CU406" s="7"/>
      <c r="CV406" s="7"/>
      <c r="CW406" s="7"/>
      <c r="CX406" s="8">
        <f t="shared" si="1813"/>
        <v>0</v>
      </c>
      <c r="CZ406" s="6"/>
      <c r="DA406" s="7"/>
      <c r="DB406" s="7"/>
      <c r="DC406" s="7"/>
      <c r="DD406" s="7"/>
      <c r="DE406" s="8">
        <f t="shared" si="1814"/>
        <v>0</v>
      </c>
    </row>
    <row r="407" spans="3:109" ht="14" thickBot="1">
      <c r="C407" s="554"/>
      <c r="E407" s="17"/>
      <c r="F407" s="10">
        <f>SUM(F403:F406)</f>
        <v>0</v>
      </c>
      <c r="G407" s="11">
        <f t="shared" ref="G407:J407" si="1815">SUM(G403:G406)</f>
        <v>0</v>
      </c>
      <c r="H407" s="11">
        <f t="shared" si="1815"/>
        <v>0</v>
      </c>
      <c r="I407" s="11">
        <f t="shared" si="1815"/>
        <v>0</v>
      </c>
      <c r="J407" s="11">
        <f t="shared" si="1815"/>
        <v>0</v>
      </c>
      <c r="K407" s="25">
        <f>SUM(K403:K406)</f>
        <v>0</v>
      </c>
      <c r="M407" s="10">
        <f>SUM(M403:M406)</f>
        <v>0</v>
      </c>
      <c r="N407" s="11">
        <f t="shared" ref="N407:Q407" si="1816">SUM(N403:N406)</f>
        <v>0</v>
      </c>
      <c r="O407" s="11">
        <f t="shared" si="1816"/>
        <v>0</v>
      </c>
      <c r="P407" s="11">
        <f t="shared" si="1816"/>
        <v>0</v>
      </c>
      <c r="Q407" s="11">
        <f t="shared" si="1816"/>
        <v>0</v>
      </c>
      <c r="R407" s="25">
        <f>SUM(R403:R406)</f>
        <v>0</v>
      </c>
      <c r="T407" s="10">
        <f>SUM(T403:T406)</f>
        <v>0</v>
      </c>
      <c r="U407" s="11">
        <f t="shared" ref="U407:X407" si="1817">SUM(U403:U406)</f>
        <v>0</v>
      </c>
      <c r="V407" s="11">
        <f t="shared" si="1817"/>
        <v>0</v>
      </c>
      <c r="W407" s="11">
        <f t="shared" si="1817"/>
        <v>0</v>
      </c>
      <c r="X407" s="11">
        <f t="shared" si="1817"/>
        <v>0</v>
      </c>
      <c r="Y407" s="25">
        <f>SUM(Y403:Y406)</f>
        <v>0</v>
      </c>
      <c r="AA407" s="10">
        <f>SUM(AA403:AA406)</f>
        <v>0</v>
      </c>
      <c r="AB407" s="11">
        <f t="shared" ref="AB407:AE407" si="1818">SUM(AB403:AB406)</f>
        <v>0</v>
      </c>
      <c r="AC407" s="11">
        <f t="shared" si="1818"/>
        <v>0</v>
      </c>
      <c r="AD407" s="11">
        <f t="shared" si="1818"/>
        <v>0</v>
      </c>
      <c r="AE407" s="11">
        <f t="shared" si="1818"/>
        <v>0</v>
      </c>
      <c r="AF407" s="25">
        <f>SUM(AF403:AF406)</f>
        <v>0</v>
      </c>
      <c r="AH407" s="10">
        <f t="shared" ref="AH407:AM407" si="1819">SUM(AH403:AH406)</f>
        <v>0</v>
      </c>
      <c r="AI407" s="11">
        <f t="shared" si="1819"/>
        <v>0</v>
      </c>
      <c r="AJ407" s="11">
        <f t="shared" si="1819"/>
        <v>0</v>
      </c>
      <c r="AK407" s="11">
        <f t="shared" si="1819"/>
        <v>0</v>
      </c>
      <c r="AL407" s="11">
        <f t="shared" si="1819"/>
        <v>0</v>
      </c>
      <c r="AM407" s="25">
        <f t="shared" si="1819"/>
        <v>0</v>
      </c>
      <c r="AO407" s="10">
        <f t="shared" ref="AO407:AT407" si="1820">SUM(AO403:AO406)</f>
        <v>0</v>
      </c>
      <c r="AP407" s="11">
        <f t="shared" si="1820"/>
        <v>0</v>
      </c>
      <c r="AQ407" s="11">
        <f t="shared" si="1820"/>
        <v>0</v>
      </c>
      <c r="AR407" s="11">
        <f t="shared" si="1820"/>
        <v>0</v>
      </c>
      <c r="AS407" s="11">
        <f t="shared" si="1820"/>
        <v>0</v>
      </c>
      <c r="AT407" s="25">
        <f t="shared" si="1820"/>
        <v>0</v>
      </c>
      <c r="AV407" s="10">
        <f t="shared" ref="AV407:BA407" si="1821">SUM(AV403:AV406)</f>
        <v>0</v>
      </c>
      <c r="AW407" s="11">
        <f t="shared" si="1821"/>
        <v>0</v>
      </c>
      <c r="AX407" s="11">
        <f t="shared" si="1821"/>
        <v>0</v>
      </c>
      <c r="AY407" s="11">
        <f t="shared" si="1821"/>
        <v>0</v>
      </c>
      <c r="AZ407" s="11">
        <f t="shared" si="1821"/>
        <v>0</v>
      </c>
      <c r="BA407" s="25">
        <f t="shared" si="1821"/>
        <v>0</v>
      </c>
      <c r="BC407" s="10">
        <f t="shared" ref="BC407:BH407" si="1822">SUM(BC403:BC406)</f>
        <v>0</v>
      </c>
      <c r="BD407" s="11">
        <f t="shared" si="1822"/>
        <v>0</v>
      </c>
      <c r="BE407" s="11">
        <f t="shared" si="1822"/>
        <v>0</v>
      </c>
      <c r="BF407" s="11">
        <f t="shared" si="1822"/>
        <v>0</v>
      </c>
      <c r="BG407" s="11">
        <f t="shared" si="1822"/>
        <v>0</v>
      </c>
      <c r="BH407" s="25">
        <f t="shared" si="1822"/>
        <v>0</v>
      </c>
      <c r="BJ407" s="10">
        <f t="shared" ref="BJ407:BO407" si="1823">SUM(BJ403:BJ406)</f>
        <v>0</v>
      </c>
      <c r="BK407" s="11">
        <f t="shared" si="1823"/>
        <v>0</v>
      </c>
      <c r="BL407" s="11">
        <f t="shared" si="1823"/>
        <v>0</v>
      </c>
      <c r="BM407" s="11">
        <f t="shared" si="1823"/>
        <v>0</v>
      </c>
      <c r="BN407" s="11">
        <f t="shared" si="1823"/>
        <v>0</v>
      </c>
      <c r="BO407" s="25">
        <f t="shared" si="1823"/>
        <v>0</v>
      </c>
      <c r="BQ407" s="10">
        <f t="shared" ref="BQ407:BV407" si="1824">SUM(BQ403:BQ406)</f>
        <v>0</v>
      </c>
      <c r="BR407" s="11">
        <f t="shared" si="1824"/>
        <v>0</v>
      </c>
      <c r="BS407" s="11">
        <f t="shared" si="1824"/>
        <v>0</v>
      </c>
      <c r="BT407" s="11">
        <f t="shared" si="1824"/>
        <v>0</v>
      </c>
      <c r="BU407" s="11">
        <f t="shared" si="1824"/>
        <v>0</v>
      </c>
      <c r="BV407" s="25">
        <f t="shared" si="1824"/>
        <v>0</v>
      </c>
      <c r="BX407" s="10">
        <f t="shared" ref="BX407:CC407" si="1825">SUM(BX403:BX406)</f>
        <v>0</v>
      </c>
      <c r="BY407" s="11">
        <f t="shared" si="1825"/>
        <v>0</v>
      </c>
      <c r="BZ407" s="11">
        <f t="shared" si="1825"/>
        <v>0</v>
      </c>
      <c r="CA407" s="11">
        <f t="shared" si="1825"/>
        <v>0</v>
      </c>
      <c r="CB407" s="11">
        <f t="shared" si="1825"/>
        <v>0</v>
      </c>
      <c r="CC407" s="25">
        <f t="shared" si="1825"/>
        <v>0</v>
      </c>
      <c r="CE407" s="62">
        <f t="shared" ref="CE407:CJ407" si="1826">SUM(CE403:CE406)</f>
        <v>0</v>
      </c>
      <c r="CF407" s="63">
        <f t="shared" si="1826"/>
        <v>0</v>
      </c>
      <c r="CG407" s="63">
        <f t="shared" si="1826"/>
        <v>0</v>
      </c>
      <c r="CH407" s="63">
        <f t="shared" si="1826"/>
        <v>0</v>
      </c>
      <c r="CI407" s="63">
        <f t="shared" si="1826"/>
        <v>0</v>
      </c>
      <c r="CJ407" s="25">
        <f t="shared" si="1826"/>
        <v>0</v>
      </c>
      <c r="CL407" s="10">
        <f>SUM(CL403:CL406)</f>
        <v>0</v>
      </c>
      <c r="CM407" s="11">
        <f t="shared" ref="CM407:CQ407" si="1827">SUM(CM403:CM406)</f>
        <v>0</v>
      </c>
      <c r="CN407" s="11">
        <f t="shared" si="1827"/>
        <v>0</v>
      </c>
      <c r="CO407" s="11">
        <f t="shared" si="1827"/>
        <v>0</v>
      </c>
      <c r="CP407" s="11">
        <f t="shared" si="1827"/>
        <v>0</v>
      </c>
      <c r="CQ407" s="25">
        <f t="shared" si="1827"/>
        <v>0</v>
      </c>
      <c r="CS407" s="10">
        <f>SUM(CS403:CS406)</f>
        <v>0</v>
      </c>
      <c r="CT407" s="11">
        <f t="shared" ref="CT407:CW407" si="1828">SUM(CT403:CT406)</f>
        <v>0</v>
      </c>
      <c r="CU407" s="11">
        <f t="shared" si="1828"/>
        <v>0</v>
      </c>
      <c r="CV407" s="11">
        <f t="shared" si="1828"/>
        <v>0</v>
      </c>
      <c r="CW407" s="11">
        <f t="shared" si="1828"/>
        <v>0</v>
      </c>
      <c r="CX407" s="25">
        <f>SUM(CX403:CX406)</f>
        <v>0</v>
      </c>
      <c r="CZ407" s="10">
        <f>SUM(CZ403:CZ406)</f>
        <v>0</v>
      </c>
      <c r="DA407" s="11">
        <f t="shared" ref="DA407:DD407" si="1829">SUM(DA403:DA406)</f>
        <v>0</v>
      </c>
      <c r="DB407" s="11">
        <f t="shared" si="1829"/>
        <v>0</v>
      </c>
      <c r="DC407" s="11">
        <f t="shared" si="1829"/>
        <v>0</v>
      </c>
      <c r="DD407" s="11">
        <f t="shared" si="1829"/>
        <v>0</v>
      </c>
      <c r="DE407" s="25">
        <f>SUM(DE403:DE406)</f>
        <v>0</v>
      </c>
    </row>
    <row r="408" spans="3:109" ht="10.4" customHeight="1" thickBot="1"/>
    <row r="409" spans="3:109">
      <c r="C409" s="553">
        <v>2027</v>
      </c>
      <c r="E409" s="13" t="s">
        <v>59</v>
      </c>
      <c r="F409" s="21">
        <f>CE403</f>
        <v>0</v>
      </c>
      <c r="G409" s="22">
        <f t="shared" ref="G409:G412" si="1830">CF403</f>
        <v>0</v>
      </c>
      <c r="H409" s="22">
        <f t="shared" ref="H409:H412" si="1831">CG403</f>
        <v>0</v>
      </c>
      <c r="I409" s="22">
        <f t="shared" ref="I409:I412" si="1832">CH403</f>
        <v>0</v>
      </c>
      <c r="J409" s="22">
        <f t="shared" ref="J409:J412" si="1833">CI403</f>
        <v>0</v>
      </c>
      <c r="K409" s="4">
        <f>SUM(F409:J409)</f>
        <v>0</v>
      </c>
      <c r="M409" s="2"/>
      <c r="N409" s="3"/>
      <c r="O409" s="3"/>
      <c r="P409" s="3"/>
      <c r="Q409" s="3"/>
      <c r="R409" s="4">
        <f>SUM(M409:Q409)</f>
        <v>0</v>
      </c>
      <c r="T409" s="2"/>
      <c r="U409" s="3"/>
      <c r="V409" s="3"/>
      <c r="W409" s="3"/>
      <c r="X409" s="3"/>
      <c r="Y409" s="4">
        <f>SUM(T409:X409)</f>
        <v>0</v>
      </c>
      <c r="AA409" s="2"/>
      <c r="AB409" s="3"/>
      <c r="AC409" s="3"/>
      <c r="AD409" s="3"/>
      <c r="AE409" s="3"/>
      <c r="AF409" s="4">
        <f>SUM(AA409:AE409)</f>
        <v>0</v>
      </c>
      <c r="AH409" s="2"/>
      <c r="AI409" s="3"/>
      <c r="AJ409" s="3"/>
      <c r="AK409" s="3"/>
      <c r="AL409" s="3"/>
      <c r="AM409" s="4">
        <f>SUM(AH409:AL409)</f>
        <v>0</v>
      </c>
      <c r="AO409" s="2"/>
      <c r="AP409" s="3"/>
      <c r="AQ409" s="3"/>
      <c r="AR409" s="3"/>
      <c r="AS409" s="3"/>
      <c r="AT409" s="4">
        <f>SUM(AO409:AS409)</f>
        <v>0</v>
      </c>
      <c r="AV409" s="2"/>
      <c r="AW409" s="3"/>
      <c r="AX409" s="3"/>
      <c r="AY409" s="3"/>
      <c r="AZ409" s="3"/>
      <c r="BA409" s="4">
        <f>SUM(AV409:AZ409)</f>
        <v>0</v>
      </c>
      <c r="BC409" s="2"/>
      <c r="BD409" s="3"/>
      <c r="BE409" s="3"/>
      <c r="BF409" s="3"/>
      <c r="BG409" s="3"/>
      <c r="BH409" s="4">
        <f>SUM(BC409:BG409)</f>
        <v>0</v>
      </c>
      <c r="BJ409" s="2"/>
      <c r="BK409" s="3"/>
      <c r="BL409" s="3"/>
      <c r="BM409" s="3"/>
      <c r="BN409" s="3"/>
      <c r="BO409" s="4">
        <f>SUM(BJ409:BN409)</f>
        <v>0</v>
      </c>
      <c r="BQ409" s="2"/>
      <c r="BR409" s="3"/>
      <c r="BS409" s="3"/>
      <c r="BT409" s="3"/>
      <c r="BU409" s="3"/>
      <c r="BV409" s="4">
        <f>SUM(BQ409:BU409)</f>
        <v>0</v>
      </c>
      <c r="BX409" s="2"/>
      <c r="BY409" s="3"/>
      <c r="BZ409" s="3"/>
      <c r="CA409" s="3"/>
      <c r="CB409" s="3"/>
      <c r="CC409" s="4">
        <f>SUM(BX409:CB409)</f>
        <v>0</v>
      </c>
      <c r="CE409" s="26">
        <f t="shared" ref="CE409:CE412" si="1834">F409+M409+T409+AA409+AH409+AO409+AV409+BC409+BJ409+BQ409+BX409</f>
        <v>0</v>
      </c>
      <c r="CF409" s="27">
        <f t="shared" ref="CF409:CF412" si="1835">G409+N409+U409+AB409+AI409+AP409+AW409+BD409+BK409+BR409+BY409</f>
        <v>0</v>
      </c>
      <c r="CG409" s="27">
        <f t="shared" ref="CG409:CG412" si="1836">H409+O409+V409+AC409+AJ409+AQ409+AX409+BE409+BL409+BS409+BZ409</f>
        <v>0</v>
      </c>
      <c r="CH409" s="27">
        <f t="shared" ref="CH409:CH412" si="1837">I409+P409+W409+AD409+AK409+AR409+AY409+BF409+BM409+BT409+CA409</f>
        <v>0</v>
      </c>
      <c r="CI409" s="27">
        <f t="shared" ref="CI409:CI412" si="1838">J409+Q409+X409+AE409+AL409+AS409+AZ409+BG409+BN409+BU409+CB409</f>
        <v>0</v>
      </c>
      <c r="CJ409" s="4">
        <f>SUM(CE409:CI409)</f>
        <v>0</v>
      </c>
      <c r="CL409" s="2"/>
      <c r="CM409" s="3"/>
      <c r="CN409" s="3"/>
      <c r="CO409" s="3"/>
      <c r="CP409" s="3"/>
      <c r="CQ409" s="4">
        <f>SUM(CL409:CP409)</f>
        <v>0</v>
      </c>
      <c r="CS409" s="2"/>
      <c r="CT409" s="3"/>
      <c r="CU409" s="3"/>
      <c r="CV409" s="3"/>
      <c r="CW409" s="3"/>
      <c r="CX409" s="4">
        <f>SUM(CS409:CW409)</f>
        <v>0</v>
      </c>
      <c r="CZ409" s="2"/>
      <c r="DA409" s="3"/>
      <c r="DB409" s="3"/>
      <c r="DC409" s="3"/>
      <c r="DD409" s="3"/>
      <c r="DE409" s="4">
        <f>SUM(CZ409:DD409)</f>
        <v>0</v>
      </c>
    </row>
    <row r="410" spans="3:109">
      <c r="C410" s="567"/>
      <c r="E410" s="14" t="s">
        <v>60</v>
      </c>
      <c r="F410" s="23">
        <f t="shared" ref="F410:F412" si="1839">CE404</f>
        <v>0</v>
      </c>
      <c r="G410" s="24">
        <f t="shared" si="1830"/>
        <v>0</v>
      </c>
      <c r="H410" s="24">
        <f t="shared" si="1831"/>
        <v>0</v>
      </c>
      <c r="I410" s="24">
        <f t="shared" si="1832"/>
        <v>0</v>
      </c>
      <c r="J410" s="24">
        <f t="shared" si="1833"/>
        <v>0</v>
      </c>
      <c r="K410" s="8">
        <f t="shared" ref="K410:K412" si="1840">SUM(F410:J410)</f>
        <v>0</v>
      </c>
      <c r="M410" s="6"/>
      <c r="N410" s="7"/>
      <c r="O410" s="7"/>
      <c r="P410" s="7"/>
      <c r="Q410" s="7"/>
      <c r="R410" s="8">
        <f t="shared" ref="R410:R412" si="1841">SUM(M410:Q410)</f>
        <v>0</v>
      </c>
      <c r="T410" s="6"/>
      <c r="U410" s="7"/>
      <c r="V410" s="7"/>
      <c r="W410" s="7"/>
      <c r="X410" s="7"/>
      <c r="Y410" s="8">
        <f t="shared" ref="Y410:Y412" si="1842">SUM(T410:X410)</f>
        <v>0</v>
      </c>
      <c r="AA410" s="6"/>
      <c r="AB410" s="7"/>
      <c r="AC410" s="7"/>
      <c r="AD410" s="7"/>
      <c r="AE410" s="7"/>
      <c r="AF410" s="8">
        <f>SUM(AA410:AE410)</f>
        <v>0</v>
      </c>
      <c r="AH410" s="6"/>
      <c r="AI410" s="7"/>
      <c r="AJ410" s="7"/>
      <c r="AK410" s="7"/>
      <c r="AL410" s="7"/>
      <c r="AM410" s="8">
        <f>SUM(AH410:AL410)</f>
        <v>0</v>
      </c>
      <c r="AO410" s="6"/>
      <c r="AP410" s="7"/>
      <c r="AQ410" s="7"/>
      <c r="AR410" s="7"/>
      <c r="AS410" s="7"/>
      <c r="AT410" s="8">
        <f>SUM(AO410:AS410)</f>
        <v>0</v>
      </c>
      <c r="AV410" s="6"/>
      <c r="AW410" s="7"/>
      <c r="AX410" s="7"/>
      <c r="AY410" s="7"/>
      <c r="AZ410" s="7"/>
      <c r="BA410" s="8">
        <f>SUM(AV410:AZ410)</f>
        <v>0</v>
      </c>
      <c r="BC410" s="6"/>
      <c r="BD410" s="7"/>
      <c r="BE410" s="7"/>
      <c r="BF410" s="7"/>
      <c r="BG410" s="7"/>
      <c r="BH410" s="8">
        <f>SUM(BC410:BG410)</f>
        <v>0</v>
      </c>
      <c r="BJ410" s="6"/>
      <c r="BK410" s="7"/>
      <c r="BL410" s="7"/>
      <c r="BM410" s="7"/>
      <c r="BN410" s="7"/>
      <c r="BO410" s="8">
        <f>SUM(BJ410:BN410)</f>
        <v>0</v>
      </c>
      <c r="BQ410" s="6"/>
      <c r="BR410" s="7"/>
      <c r="BS410" s="7"/>
      <c r="BT410" s="7"/>
      <c r="BU410" s="7"/>
      <c r="BV410" s="8">
        <f>SUM(BQ410:BU410)</f>
        <v>0</v>
      </c>
      <c r="BX410" s="6"/>
      <c r="BY410" s="7"/>
      <c r="BZ410" s="7"/>
      <c r="CA410" s="7"/>
      <c r="CB410" s="7"/>
      <c r="CC410" s="8">
        <f>SUM(BX410:CB410)</f>
        <v>0</v>
      </c>
      <c r="CE410" s="28">
        <f t="shared" si="1834"/>
        <v>0</v>
      </c>
      <c r="CF410" s="29">
        <f t="shared" si="1835"/>
        <v>0</v>
      </c>
      <c r="CG410" s="29">
        <f t="shared" si="1836"/>
        <v>0</v>
      </c>
      <c r="CH410" s="29">
        <f t="shared" si="1837"/>
        <v>0</v>
      </c>
      <c r="CI410" s="29">
        <f t="shared" si="1838"/>
        <v>0</v>
      </c>
      <c r="CJ410" s="8">
        <f>SUM(CE410:CI410)</f>
        <v>0</v>
      </c>
      <c r="CL410" s="6"/>
      <c r="CM410" s="7"/>
      <c r="CN410" s="7"/>
      <c r="CO410" s="7"/>
      <c r="CP410" s="7"/>
      <c r="CQ410" s="8">
        <f>SUM(CL410:CP410)</f>
        <v>0</v>
      </c>
      <c r="CS410" s="6"/>
      <c r="CT410" s="7"/>
      <c r="CU410" s="7"/>
      <c r="CV410" s="7"/>
      <c r="CW410" s="7"/>
      <c r="CX410" s="8">
        <f t="shared" ref="CX410:CX412" si="1843">SUM(CS410:CW410)</f>
        <v>0</v>
      </c>
      <c r="CZ410" s="6"/>
      <c r="DA410" s="7"/>
      <c r="DB410" s="7"/>
      <c r="DC410" s="7"/>
      <c r="DD410" s="7"/>
      <c r="DE410" s="8">
        <f t="shared" ref="DE410:DE412" si="1844">SUM(CZ410:DD410)</f>
        <v>0</v>
      </c>
    </row>
    <row r="411" spans="3:109">
      <c r="C411" s="567"/>
      <c r="E411" s="14" t="s">
        <v>61</v>
      </c>
      <c r="F411" s="23">
        <f t="shared" si="1839"/>
        <v>0</v>
      </c>
      <c r="G411" s="24">
        <f t="shared" si="1830"/>
        <v>0</v>
      </c>
      <c r="H411" s="24">
        <f t="shared" si="1831"/>
        <v>0</v>
      </c>
      <c r="I411" s="24">
        <f t="shared" si="1832"/>
        <v>0</v>
      </c>
      <c r="J411" s="24">
        <f t="shared" si="1833"/>
        <v>0</v>
      </c>
      <c r="K411" s="8">
        <f t="shared" si="1840"/>
        <v>0</v>
      </c>
      <c r="M411" s="6"/>
      <c r="N411" s="7"/>
      <c r="O411" s="7"/>
      <c r="P411" s="7"/>
      <c r="Q411" s="7"/>
      <c r="R411" s="8">
        <f t="shared" si="1841"/>
        <v>0</v>
      </c>
      <c r="T411" s="6"/>
      <c r="U411" s="7"/>
      <c r="V411" s="7"/>
      <c r="W411" s="7"/>
      <c r="X411" s="7"/>
      <c r="Y411" s="8">
        <f t="shared" si="1842"/>
        <v>0</v>
      </c>
      <c r="AA411" s="6"/>
      <c r="AB411" s="7"/>
      <c r="AC411" s="7"/>
      <c r="AD411" s="7"/>
      <c r="AE411" s="7"/>
      <c r="AF411" s="8">
        <f>SUM(AA411:AE411)</f>
        <v>0</v>
      </c>
      <c r="AH411" s="6"/>
      <c r="AI411" s="7"/>
      <c r="AJ411" s="7"/>
      <c r="AK411" s="7"/>
      <c r="AL411" s="7"/>
      <c r="AM411" s="8">
        <f>SUM(AH411:AL411)</f>
        <v>0</v>
      </c>
      <c r="AO411" s="6"/>
      <c r="AP411" s="7"/>
      <c r="AQ411" s="7"/>
      <c r="AR411" s="7"/>
      <c r="AS411" s="7"/>
      <c r="AT411" s="8">
        <f>SUM(AO411:AS411)</f>
        <v>0</v>
      </c>
      <c r="AV411" s="6"/>
      <c r="AW411" s="7"/>
      <c r="AX411" s="7"/>
      <c r="AY411" s="7"/>
      <c r="AZ411" s="7"/>
      <c r="BA411" s="8">
        <f>SUM(AV411:AZ411)</f>
        <v>0</v>
      </c>
      <c r="BC411" s="6"/>
      <c r="BD411" s="7"/>
      <c r="BE411" s="7"/>
      <c r="BF411" s="7"/>
      <c r="BG411" s="7"/>
      <c r="BH411" s="8">
        <f>SUM(BC411:BG411)</f>
        <v>0</v>
      </c>
      <c r="BJ411" s="6"/>
      <c r="BK411" s="7"/>
      <c r="BL411" s="7"/>
      <c r="BM411" s="7"/>
      <c r="BN411" s="7"/>
      <c r="BO411" s="8">
        <f>SUM(BJ411:BN411)</f>
        <v>0</v>
      </c>
      <c r="BQ411" s="6"/>
      <c r="BR411" s="7"/>
      <c r="BS411" s="7"/>
      <c r="BT411" s="7"/>
      <c r="BU411" s="7"/>
      <c r="BV411" s="8">
        <f>SUM(BQ411:BU411)</f>
        <v>0</v>
      </c>
      <c r="BX411" s="6"/>
      <c r="BY411" s="7"/>
      <c r="BZ411" s="7"/>
      <c r="CA411" s="7"/>
      <c r="CB411" s="7"/>
      <c r="CC411" s="8">
        <f>SUM(BX411:CB411)</f>
        <v>0</v>
      </c>
      <c r="CE411" s="28">
        <f t="shared" si="1834"/>
        <v>0</v>
      </c>
      <c r="CF411" s="29">
        <f t="shared" si="1835"/>
        <v>0</v>
      </c>
      <c r="CG411" s="29">
        <f t="shared" si="1836"/>
        <v>0</v>
      </c>
      <c r="CH411" s="29">
        <f t="shared" si="1837"/>
        <v>0</v>
      </c>
      <c r="CI411" s="29">
        <f t="shared" si="1838"/>
        <v>0</v>
      </c>
      <c r="CJ411" s="8">
        <f>SUM(CE411:CI411)</f>
        <v>0</v>
      </c>
      <c r="CL411" s="6"/>
      <c r="CM411" s="7"/>
      <c r="CN411" s="7"/>
      <c r="CO411" s="7"/>
      <c r="CP411" s="7"/>
      <c r="CQ411" s="8">
        <f>SUM(CL411:CP411)</f>
        <v>0</v>
      </c>
      <c r="CS411" s="6"/>
      <c r="CT411" s="7"/>
      <c r="CU411" s="7"/>
      <c r="CV411" s="7"/>
      <c r="CW411" s="7"/>
      <c r="CX411" s="8">
        <f t="shared" si="1843"/>
        <v>0</v>
      </c>
      <c r="CZ411" s="6"/>
      <c r="DA411" s="7"/>
      <c r="DB411" s="7"/>
      <c r="DC411" s="7"/>
      <c r="DD411" s="7"/>
      <c r="DE411" s="8">
        <f t="shared" si="1844"/>
        <v>0</v>
      </c>
    </row>
    <row r="412" spans="3:109" ht="14" thickBot="1">
      <c r="C412" s="567"/>
      <c r="E412" s="14" t="s">
        <v>62</v>
      </c>
      <c r="F412" s="23">
        <f t="shared" si="1839"/>
        <v>0</v>
      </c>
      <c r="G412" s="24">
        <f t="shared" si="1830"/>
        <v>0</v>
      </c>
      <c r="H412" s="24">
        <f t="shared" si="1831"/>
        <v>0</v>
      </c>
      <c r="I412" s="24">
        <f t="shared" si="1832"/>
        <v>0</v>
      </c>
      <c r="J412" s="24">
        <f t="shared" si="1833"/>
        <v>0</v>
      </c>
      <c r="K412" s="8">
        <f t="shared" si="1840"/>
        <v>0</v>
      </c>
      <c r="M412" s="6"/>
      <c r="N412" s="7"/>
      <c r="O412" s="7"/>
      <c r="P412" s="7"/>
      <c r="Q412" s="7"/>
      <c r="R412" s="8">
        <f t="shared" si="1841"/>
        <v>0</v>
      </c>
      <c r="T412" s="6"/>
      <c r="U412" s="7"/>
      <c r="V412" s="7"/>
      <c r="W412" s="7"/>
      <c r="X412" s="7"/>
      <c r="Y412" s="8">
        <f t="shared" si="1842"/>
        <v>0</v>
      </c>
      <c r="AA412" s="6"/>
      <c r="AB412" s="7"/>
      <c r="AC412" s="7"/>
      <c r="AD412" s="7"/>
      <c r="AE412" s="7"/>
      <c r="AF412" s="8">
        <f>SUM(AA412:AE412)</f>
        <v>0</v>
      </c>
      <c r="AH412" s="6"/>
      <c r="AI412" s="7"/>
      <c r="AJ412" s="7"/>
      <c r="AK412" s="7"/>
      <c r="AL412" s="7"/>
      <c r="AM412" s="8">
        <f>SUM(AH412:AL412)</f>
        <v>0</v>
      </c>
      <c r="AO412" s="6"/>
      <c r="AP412" s="7"/>
      <c r="AQ412" s="7"/>
      <c r="AR412" s="7"/>
      <c r="AS412" s="7"/>
      <c r="AT412" s="8">
        <f>SUM(AO412:AS412)</f>
        <v>0</v>
      </c>
      <c r="AV412" s="6"/>
      <c r="AW412" s="7"/>
      <c r="AX412" s="7"/>
      <c r="AY412" s="7"/>
      <c r="AZ412" s="7"/>
      <c r="BA412" s="8">
        <f>SUM(AV412:AZ412)</f>
        <v>0</v>
      </c>
      <c r="BC412" s="6"/>
      <c r="BD412" s="7"/>
      <c r="BE412" s="7"/>
      <c r="BF412" s="7"/>
      <c r="BG412" s="7"/>
      <c r="BH412" s="8">
        <f>SUM(BC412:BG412)</f>
        <v>0</v>
      </c>
      <c r="BJ412" s="6"/>
      <c r="BK412" s="7"/>
      <c r="BL412" s="7"/>
      <c r="BM412" s="7"/>
      <c r="BN412" s="7"/>
      <c r="BO412" s="8">
        <f>SUM(BJ412:BN412)</f>
        <v>0</v>
      </c>
      <c r="BQ412" s="6"/>
      <c r="BR412" s="7"/>
      <c r="BS412" s="7"/>
      <c r="BT412" s="7"/>
      <c r="BU412" s="7"/>
      <c r="BV412" s="8">
        <f>SUM(BQ412:BU412)</f>
        <v>0</v>
      </c>
      <c r="BX412" s="6"/>
      <c r="BY412" s="7"/>
      <c r="BZ412" s="7"/>
      <c r="CA412" s="7"/>
      <c r="CB412" s="7"/>
      <c r="CC412" s="8">
        <f>SUM(BX412:CB412)</f>
        <v>0</v>
      </c>
      <c r="CE412" s="493">
        <f t="shared" si="1834"/>
        <v>0</v>
      </c>
      <c r="CF412" s="494">
        <f t="shared" si="1835"/>
        <v>0</v>
      </c>
      <c r="CG412" s="494">
        <f t="shared" si="1836"/>
        <v>0</v>
      </c>
      <c r="CH412" s="494">
        <f t="shared" si="1837"/>
        <v>0</v>
      </c>
      <c r="CI412" s="494">
        <f t="shared" si="1838"/>
        <v>0</v>
      </c>
      <c r="CJ412" s="495">
        <f>SUM(CE412:CI412)</f>
        <v>0</v>
      </c>
      <c r="CL412" s="6"/>
      <c r="CM412" s="7"/>
      <c r="CN412" s="7"/>
      <c r="CO412" s="7"/>
      <c r="CP412" s="7"/>
      <c r="CQ412" s="8">
        <f>SUM(CL412:CP412)</f>
        <v>0</v>
      </c>
      <c r="CS412" s="6"/>
      <c r="CT412" s="7"/>
      <c r="CU412" s="7"/>
      <c r="CV412" s="7"/>
      <c r="CW412" s="7"/>
      <c r="CX412" s="8">
        <f t="shared" si="1843"/>
        <v>0</v>
      </c>
      <c r="CZ412" s="6"/>
      <c r="DA412" s="7"/>
      <c r="DB412" s="7"/>
      <c r="DC412" s="7"/>
      <c r="DD412" s="7"/>
      <c r="DE412" s="8">
        <f t="shared" si="1844"/>
        <v>0</v>
      </c>
    </row>
    <row r="413" spans="3:109" ht="14" thickBot="1">
      <c r="C413" s="554"/>
      <c r="E413" s="17"/>
      <c r="F413" s="10">
        <f>SUM(F409:F412)</f>
        <v>0</v>
      </c>
      <c r="G413" s="11">
        <f t="shared" ref="G413:J413" si="1845">SUM(G409:G412)</f>
        <v>0</v>
      </c>
      <c r="H413" s="11">
        <f t="shared" si="1845"/>
        <v>0</v>
      </c>
      <c r="I413" s="11">
        <f t="shared" si="1845"/>
        <v>0</v>
      </c>
      <c r="J413" s="11">
        <f t="shared" si="1845"/>
        <v>0</v>
      </c>
      <c r="K413" s="25">
        <f>SUM(K409:K412)</f>
        <v>0</v>
      </c>
      <c r="M413" s="10">
        <f>SUM(M409:M412)</f>
        <v>0</v>
      </c>
      <c r="N413" s="11">
        <f t="shared" ref="N413:Q413" si="1846">SUM(N409:N412)</f>
        <v>0</v>
      </c>
      <c r="O413" s="11">
        <f t="shared" si="1846"/>
        <v>0</v>
      </c>
      <c r="P413" s="11">
        <f t="shared" si="1846"/>
        <v>0</v>
      </c>
      <c r="Q413" s="11">
        <f t="shared" si="1846"/>
        <v>0</v>
      </c>
      <c r="R413" s="25">
        <f>SUM(R409:R412)</f>
        <v>0</v>
      </c>
      <c r="T413" s="10">
        <f>SUM(T409:T412)</f>
        <v>0</v>
      </c>
      <c r="U413" s="11">
        <f t="shared" ref="U413:X413" si="1847">SUM(U409:U412)</f>
        <v>0</v>
      </c>
      <c r="V413" s="11">
        <f t="shared" si="1847"/>
        <v>0</v>
      </c>
      <c r="W413" s="11">
        <f t="shared" si="1847"/>
        <v>0</v>
      </c>
      <c r="X413" s="11">
        <f t="shared" si="1847"/>
        <v>0</v>
      </c>
      <c r="Y413" s="25">
        <f>SUM(Y409:Y412)</f>
        <v>0</v>
      </c>
      <c r="AA413" s="10">
        <f>SUM(AA409:AA412)</f>
        <v>0</v>
      </c>
      <c r="AB413" s="11">
        <f t="shared" ref="AB413:AE413" si="1848">SUM(AB409:AB412)</f>
        <v>0</v>
      </c>
      <c r="AC413" s="11">
        <f t="shared" si="1848"/>
        <v>0</v>
      </c>
      <c r="AD413" s="11">
        <f t="shared" si="1848"/>
        <v>0</v>
      </c>
      <c r="AE413" s="11">
        <f t="shared" si="1848"/>
        <v>0</v>
      </c>
      <c r="AF413" s="25">
        <f>SUM(AF409:AF412)</f>
        <v>0</v>
      </c>
      <c r="AH413" s="10">
        <f t="shared" ref="AH413:AM413" si="1849">SUM(AH409:AH412)</f>
        <v>0</v>
      </c>
      <c r="AI413" s="11">
        <f t="shared" si="1849"/>
        <v>0</v>
      </c>
      <c r="AJ413" s="11">
        <f t="shared" si="1849"/>
        <v>0</v>
      </c>
      <c r="AK413" s="11">
        <f t="shared" si="1849"/>
        <v>0</v>
      </c>
      <c r="AL413" s="11">
        <f t="shared" si="1849"/>
        <v>0</v>
      </c>
      <c r="AM413" s="25">
        <f t="shared" si="1849"/>
        <v>0</v>
      </c>
      <c r="AO413" s="10">
        <f t="shared" ref="AO413:AT413" si="1850">SUM(AO409:AO412)</f>
        <v>0</v>
      </c>
      <c r="AP413" s="11">
        <f t="shared" si="1850"/>
        <v>0</v>
      </c>
      <c r="AQ413" s="11">
        <f t="shared" si="1850"/>
        <v>0</v>
      </c>
      <c r="AR413" s="11">
        <f t="shared" si="1850"/>
        <v>0</v>
      </c>
      <c r="AS413" s="11">
        <f t="shared" si="1850"/>
        <v>0</v>
      </c>
      <c r="AT413" s="25">
        <f t="shared" si="1850"/>
        <v>0</v>
      </c>
      <c r="AV413" s="10">
        <f t="shared" ref="AV413:BA413" si="1851">SUM(AV409:AV412)</f>
        <v>0</v>
      </c>
      <c r="AW413" s="11">
        <f t="shared" si="1851"/>
        <v>0</v>
      </c>
      <c r="AX413" s="11">
        <f t="shared" si="1851"/>
        <v>0</v>
      </c>
      <c r="AY413" s="11">
        <f t="shared" si="1851"/>
        <v>0</v>
      </c>
      <c r="AZ413" s="11">
        <f t="shared" si="1851"/>
        <v>0</v>
      </c>
      <c r="BA413" s="25">
        <f t="shared" si="1851"/>
        <v>0</v>
      </c>
      <c r="BC413" s="10">
        <f t="shared" ref="BC413:BH413" si="1852">SUM(BC409:BC412)</f>
        <v>0</v>
      </c>
      <c r="BD413" s="11">
        <f t="shared" si="1852"/>
        <v>0</v>
      </c>
      <c r="BE413" s="11">
        <f t="shared" si="1852"/>
        <v>0</v>
      </c>
      <c r="BF413" s="11">
        <f t="shared" si="1852"/>
        <v>0</v>
      </c>
      <c r="BG413" s="11">
        <f t="shared" si="1852"/>
        <v>0</v>
      </c>
      <c r="BH413" s="25">
        <f t="shared" si="1852"/>
        <v>0</v>
      </c>
      <c r="BJ413" s="10">
        <f t="shared" ref="BJ413:BO413" si="1853">SUM(BJ409:BJ412)</f>
        <v>0</v>
      </c>
      <c r="BK413" s="11">
        <f t="shared" si="1853"/>
        <v>0</v>
      </c>
      <c r="BL413" s="11">
        <f t="shared" si="1853"/>
        <v>0</v>
      </c>
      <c r="BM413" s="11">
        <f t="shared" si="1853"/>
        <v>0</v>
      </c>
      <c r="BN413" s="11">
        <f t="shared" si="1853"/>
        <v>0</v>
      </c>
      <c r="BO413" s="25">
        <f t="shared" si="1853"/>
        <v>0</v>
      </c>
      <c r="BQ413" s="10">
        <f t="shared" ref="BQ413:BV413" si="1854">SUM(BQ409:BQ412)</f>
        <v>0</v>
      </c>
      <c r="BR413" s="11">
        <f t="shared" si="1854"/>
        <v>0</v>
      </c>
      <c r="BS413" s="11">
        <f t="shared" si="1854"/>
        <v>0</v>
      </c>
      <c r="BT413" s="11">
        <f t="shared" si="1854"/>
        <v>0</v>
      </c>
      <c r="BU413" s="11">
        <f t="shared" si="1854"/>
        <v>0</v>
      </c>
      <c r="BV413" s="25">
        <f t="shared" si="1854"/>
        <v>0</v>
      </c>
      <c r="BX413" s="10">
        <f t="shared" ref="BX413:CC413" si="1855">SUM(BX409:BX412)</f>
        <v>0</v>
      </c>
      <c r="BY413" s="11">
        <f t="shared" si="1855"/>
        <v>0</v>
      </c>
      <c r="BZ413" s="11">
        <f t="shared" si="1855"/>
        <v>0</v>
      </c>
      <c r="CA413" s="11">
        <f t="shared" si="1855"/>
        <v>0</v>
      </c>
      <c r="CB413" s="11">
        <f t="shared" si="1855"/>
        <v>0</v>
      </c>
      <c r="CC413" s="25">
        <f t="shared" si="1855"/>
        <v>0</v>
      </c>
      <c r="CE413" s="62">
        <f t="shared" ref="CE413:CJ413" si="1856">SUM(CE409:CE412)</f>
        <v>0</v>
      </c>
      <c r="CF413" s="63">
        <f t="shared" si="1856"/>
        <v>0</v>
      </c>
      <c r="CG413" s="63">
        <f t="shared" si="1856"/>
        <v>0</v>
      </c>
      <c r="CH413" s="63">
        <f t="shared" si="1856"/>
        <v>0</v>
      </c>
      <c r="CI413" s="63">
        <f t="shared" si="1856"/>
        <v>0</v>
      </c>
      <c r="CJ413" s="25">
        <f t="shared" si="1856"/>
        <v>0</v>
      </c>
      <c r="CL413" s="10">
        <f>SUM(CL409:CL412)</f>
        <v>0</v>
      </c>
      <c r="CM413" s="11">
        <f t="shared" ref="CM413:CQ413" si="1857">SUM(CM409:CM412)</f>
        <v>0</v>
      </c>
      <c r="CN413" s="11">
        <f t="shared" si="1857"/>
        <v>0</v>
      </c>
      <c r="CO413" s="11">
        <f t="shared" si="1857"/>
        <v>0</v>
      </c>
      <c r="CP413" s="11">
        <f t="shared" si="1857"/>
        <v>0</v>
      </c>
      <c r="CQ413" s="25">
        <f t="shared" si="1857"/>
        <v>0</v>
      </c>
      <c r="CS413" s="10">
        <f>SUM(CS409:CS412)</f>
        <v>0</v>
      </c>
      <c r="CT413" s="11">
        <f t="shared" ref="CT413:CW413" si="1858">SUM(CT409:CT412)</f>
        <v>0</v>
      </c>
      <c r="CU413" s="11">
        <f t="shared" si="1858"/>
        <v>0</v>
      </c>
      <c r="CV413" s="11">
        <f t="shared" si="1858"/>
        <v>0</v>
      </c>
      <c r="CW413" s="11">
        <f t="shared" si="1858"/>
        <v>0</v>
      </c>
      <c r="CX413" s="25">
        <f>SUM(CX409:CX412)</f>
        <v>0</v>
      </c>
      <c r="CZ413" s="10">
        <f>SUM(CZ409:CZ412)</f>
        <v>0</v>
      </c>
      <c r="DA413" s="11">
        <f t="shared" ref="DA413:DD413" si="1859">SUM(DA409:DA412)</f>
        <v>0</v>
      </c>
      <c r="DB413" s="11">
        <f t="shared" si="1859"/>
        <v>0</v>
      </c>
      <c r="DC413" s="11">
        <f t="shared" si="1859"/>
        <v>0</v>
      </c>
      <c r="DD413" s="11">
        <f t="shared" si="1859"/>
        <v>0</v>
      </c>
      <c r="DE413" s="25">
        <f>SUM(DE409:DE412)</f>
        <v>0</v>
      </c>
    </row>
    <row r="414" spans="3:109" ht="10.4" customHeight="1" thickBot="1"/>
    <row r="415" spans="3:109">
      <c r="C415" s="553">
        <v>2028</v>
      </c>
      <c r="E415" s="13" t="s">
        <v>59</v>
      </c>
      <c r="F415" s="21">
        <f>CE409</f>
        <v>0</v>
      </c>
      <c r="G415" s="22">
        <f t="shared" ref="G415:G418" si="1860">CF409</f>
        <v>0</v>
      </c>
      <c r="H415" s="22">
        <f t="shared" ref="H415:H418" si="1861">CG409</f>
        <v>0</v>
      </c>
      <c r="I415" s="22">
        <f t="shared" ref="I415:I418" si="1862">CH409</f>
        <v>0</v>
      </c>
      <c r="J415" s="22">
        <f t="shared" ref="J415:J418" si="1863">CI409</f>
        <v>0</v>
      </c>
      <c r="K415" s="4">
        <f>SUM(F415:J415)</f>
        <v>0</v>
      </c>
      <c r="M415" s="2"/>
      <c r="N415" s="3"/>
      <c r="O415" s="3"/>
      <c r="P415" s="3"/>
      <c r="Q415" s="3"/>
      <c r="R415" s="4">
        <f>SUM(M415:Q415)</f>
        <v>0</v>
      </c>
      <c r="T415" s="2"/>
      <c r="U415" s="3"/>
      <c r="V415" s="3"/>
      <c r="W415" s="3"/>
      <c r="X415" s="3"/>
      <c r="Y415" s="4">
        <f>SUM(T415:X415)</f>
        <v>0</v>
      </c>
      <c r="AA415" s="2"/>
      <c r="AB415" s="3"/>
      <c r="AC415" s="3"/>
      <c r="AD415" s="3"/>
      <c r="AE415" s="3"/>
      <c r="AF415" s="4">
        <f>SUM(AA415:AE415)</f>
        <v>0</v>
      </c>
      <c r="AH415" s="2"/>
      <c r="AI415" s="3"/>
      <c r="AJ415" s="3"/>
      <c r="AK415" s="3"/>
      <c r="AL415" s="3"/>
      <c r="AM415" s="4">
        <f>SUM(AH415:AL415)</f>
        <v>0</v>
      </c>
      <c r="AO415" s="2"/>
      <c r="AP415" s="3"/>
      <c r="AQ415" s="3"/>
      <c r="AR415" s="3"/>
      <c r="AS415" s="3"/>
      <c r="AT415" s="4">
        <f>SUM(AO415:AS415)</f>
        <v>0</v>
      </c>
      <c r="AV415" s="2"/>
      <c r="AW415" s="3"/>
      <c r="AX415" s="3"/>
      <c r="AY415" s="3"/>
      <c r="AZ415" s="3"/>
      <c r="BA415" s="4">
        <f>SUM(AV415:AZ415)</f>
        <v>0</v>
      </c>
      <c r="BC415" s="2"/>
      <c r="BD415" s="3"/>
      <c r="BE415" s="3"/>
      <c r="BF415" s="3"/>
      <c r="BG415" s="3"/>
      <c r="BH415" s="4">
        <f>SUM(BC415:BG415)</f>
        <v>0</v>
      </c>
      <c r="BJ415" s="2"/>
      <c r="BK415" s="3"/>
      <c r="BL415" s="3"/>
      <c r="BM415" s="3"/>
      <c r="BN415" s="3"/>
      <c r="BO415" s="4">
        <f>SUM(BJ415:BN415)</f>
        <v>0</v>
      </c>
      <c r="BQ415" s="2"/>
      <c r="BR415" s="3"/>
      <c r="BS415" s="3"/>
      <c r="BT415" s="3"/>
      <c r="BU415" s="3"/>
      <c r="BV415" s="4">
        <f>SUM(BQ415:BU415)</f>
        <v>0</v>
      </c>
      <c r="BX415" s="2"/>
      <c r="BY415" s="3"/>
      <c r="BZ415" s="3"/>
      <c r="CA415" s="3"/>
      <c r="CB415" s="3"/>
      <c r="CC415" s="4">
        <f>SUM(BX415:CB415)</f>
        <v>0</v>
      </c>
      <c r="CE415" s="26">
        <f t="shared" ref="CE415:CE418" si="1864">F415+M415+T415+AA415+AH415+AO415+AV415+BC415+BJ415+BQ415+BX415</f>
        <v>0</v>
      </c>
      <c r="CF415" s="27">
        <f t="shared" ref="CF415:CF418" si="1865">G415+N415+U415+AB415+AI415+AP415+AW415+BD415+BK415+BR415+BY415</f>
        <v>0</v>
      </c>
      <c r="CG415" s="27">
        <f t="shared" ref="CG415:CG418" si="1866">H415+O415+V415+AC415+AJ415+AQ415+AX415+BE415+BL415+BS415+BZ415</f>
        <v>0</v>
      </c>
      <c r="CH415" s="27">
        <f t="shared" ref="CH415:CH418" si="1867">I415+P415+W415+AD415+AK415+AR415+AY415+BF415+BM415+BT415+CA415</f>
        <v>0</v>
      </c>
      <c r="CI415" s="27">
        <f t="shared" ref="CI415:CI418" si="1868">J415+Q415+X415+AE415+AL415+AS415+AZ415+BG415+BN415+BU415+CB415</f>
        <v>0</v>
      </c>
      <c r="CJ415" s="4">
        <f>SUM(CE415:CI415)</f>
        <v>0</v>
      </c>
      <c r="CL415" s="2"/>
      <c r="CM415" s="3"/>
      <c r="CN415" s="3"/>
      <c r="CO415" s="3"/>
      <c r="CP415" s="3"/>
      <c r="CQ415" s="4">
        <f>SUM(CL415:CP415)</f>
        <v>0</v>
      </c>
      <c r="CS415" s="2"/>
      <c r="CT415" s="3"/>
      <c r="CU415" s="3"/>
      <c r="CV415" s="3"/>
      <c r="CW415" s="3"/>
      <c r="CX415" s="4">
        <f>SUM(CS415:CW415)</f>
        <v>0</v>
      </c>
      <c r="CZ415" s="2"/>
      <c r="DA415" s="3"/>
      <c r="DB415" s="3"/>
      <c r="DC415" s="3"/>
      <c r="DD415" s="3"/>
      <c r="DE415" s="4">
        <f>SUM(CZ415:DD415)</f>
        <v>0</v>
      </c>
    </row>
    <row r="416" spans="3:109">
      <c r="C416" s="567"/>
      <c r="E416" s="14" t="s">
        <v>60</v>
      </c>
      <c r="F416" s="23">
        <f t="shared" ref="F416:F418" si="1869">CE410</f>
        <v>0</v>
      </c>
      <c r="G416" s="24">
        <f t="shared" si="1860"/>
        <v>0</v>
      </c>
      <c r="H416" s="24">
        <f t="shared" si="1861"/>
        <v>0</v>
      </c>
      <c r="I416" s="24">
        <f t="shared" si="1862"/>
        <v>0</v>
      </c>
      <c r="J416" s="24">
        <f t="shared" si="1863"/>
        <v>0</v>
      </c>
      <c r="K416" s="8">
        <f t="shared" ref="K416:K418" si="1870">SUM(F416:J416)</f>
        <v>0</v>
      </c>
      <c r="M416" s="6"/>
      <c r="N416" s="7"/>
      <c r="O416" s="7"/>
      <c r="P416" s="7"/>
      <c r="Q416" s="7"/>
      <c r="R416" s="8">
        <f t="shared" ref="R416:R418" si="1871">SUM(M416:Q416)</f>
        <v>0</v>
      </c>
      <c r="T416" s="6"/>
      <c r="U416" s="7"/>
      <c r="V416" s="7"/>
      <c r="W416" s="7"/>
      <c r="X416" s="7"/>
      <c r="Y416" s="8">
        <f t="shared" ref="Y416:Y418" si="1872">SUM(T416:X416)</f>
        <v>0</v>
      </c>
      <c r="AA416" s="6"/>
      <c r="AB416" s="7"/>
      <c r="AC416" s="7"/>
      <c r="AD416" s="7"/>
      <c r="AE416" s="7"/>
      <c r="AF416" s="8">
        <f>SUM(AA416:AE416)</f>
        <v>0</v>
      </c>
      <c r="AH416" s="6"/>
      <c r="AI416" s="7"/>
      <c r="AJ416" s="7"/>
      <c r="AK416" s="7"/>
      <c r="AL416" s="7"/>
      <c r="AM416" s="8">
        <f>SUM(AH416:AL416)</f>
        <v>0</v>
      </c>
      <c r="AO416" s="6"/>
      <c r="AP416" s="7"/>
      <c r="AQ416" s="7"/>
      <c r="AR416" s="7"/>
      <c r="AS416" s="7"/>
      <c r="AT416" s="8">
        <f>SUM(AO416:AS416)</f>
        <v>0</v>
      </c>
      <c r="AV416" s="6"/>
      <c r="AW416" s="7"/>
      <c r="AX416" s="7"/>
      <c r="AY416" s="7"/>
      <c r="AZ416" s="7"/>
      <c r="BA416" s="8">
        <f>SUM(AV416:AZ416)</f>
        <v>0</v>
      </c>
      <c r="BC416" s="6"/>
      <c r="BD416" s="7"/>
      <c r="BE416" s="7"/>
      <c r="BF416" s="7"/>
      <c r="BG416" s="7"/>
      <c r="BH416" s="8">
        <f>SUM(BC416:BG416)</f>
        <v>0</v>
      </c>
      <c r="BJ416" s="6"/>
      <c r="BK416" s="7"/>
      <c r="BL416" s="7"/>
      <c r="BM416" s="7"/>
      <c r="BN416" s="7"/>
      <c r="BO416" s="8">
        <f>SUM(BJ416:BN416)</f>
        <v>0</v>
      </c>
      <c r="BQ416" s="6"/>
      <c r="BR416" s="7"/>
      <c r="BS416" s="7"/>
      <c r="BT416" s="7"/>
      <c r="BU416" s="7"/>
      <c r="BV416" s="8">
        <f>SUM(BQ416:BU416)</f>
        <v>0</v>
      </c>
      <c r="BX416" s="6"/>
      <c r="BY416" s="7"/>
      <c r="BZ416" s="7"/>
      <c r="CA416" s="7"/>
      <c r="CB416" s="7"/>
      <c r="CC416" s="8">
        <f>SUM(BX416:CB416)</f>
        <v>0</v>
      </c>
      <c r="CE416" s="28">
        <f t="shared" si="1864"/>
        <v>0</v>
      </c>
      <c r="CF416" s="29">
        <f t="shared" si="1865"/>
        <v>0</v>
      </c>
      <c r="CG416" s="29">
        <f t="shared" si="1866"/>
        <v>0</v>
      </c>
      <c r="CH416" s="29">
        <f t="shared" si="1867"/>
        <v>0</v>
      </c>
      <c r="CI416" s="29">
        <f t="shared" si="1868"/>
        <v>0</v>
      </c>
      <c r="CJ416" s="8">
        <f>SUM(CE416:CI416)</f>
        <v>0</v>
      </c>
      <c r="CL416" s="6"/>
      <c r="CM416" s="7"/>
      <c r="CN416" s="7"/>
      <c r="CO416" s="7"/>
      <c r="CP416" s="7"/>
      <c r="CQ416" s="8">
        <f>SUM(CL416:CP416)</f>
        <v>0</v>
      </c>
      <c r="CS416" s="6"/>
      <c r="CT416" s="7"/>
      <c r="CU416" s="7"/>
      <c r="CV416" s="7"/>
      <c r="CW416" s="7"/>
      <c r="CX416" s="8">
        <f t="shared" ref="CX416:CX418" si="1873">SUM(CS416:CW416)</f>
        <v>0</v>
      </c>
      <c r="CZ416" s="6"/>
      <c r="DA416" s="7"/>
      <c r="DB416" s="7"/>
      <c r="DC416" s="7"/>
      <c r="DD416" s="7"/>
      <c r="DE416" s="8">
        <f t="shared" ref="DE416:DE418" si="1874">SUM(CZ416:DD416)</f>
        <v>0</v>
      </c>
    </row>
    <row r="417" spans="2:109">
      <c r="C417" s="567"/>
      <c r="E417" s="14" t="s">
        <v>61</v>
      </c>
      <c r="F417" s="23">
        <f t="shared" si="1869"/>
        <v>0</v>
      </c>
      <c r="G417" s="24">
        <f t="shared" si="1860"/>
        <v>0</v>
      </c>
      <c r="H417" s="24">
        <f t="shared" si="1861"/>
        <v>0</v>
      </c>
      <c r="I417" s="24">
        <f t="shared" si="1862"/>
        <v>0</v>
      </c>
      <c r="J417" s="24">
        <f t="shared" si="1863"/>
        <v>0</v>
      </c>
      <c r="K417" s="8">
        <f t="shared" si="1870"/>
        <v>0</v>
      </c>
      <c r="M417" s="6"/>
      <c r="N417" s="7"/>
      <c r="O417" s="7"/>
      <c r="P417" s="7"/>
      <c r="Q417" s="7"/>
      <c r="R417" s="8">
        <f t="shared" si="1871"/>
        <v>0</v>
      </c>
      <c r="T417" s="6"/>
      <c r="U417" s="7"/>
      <c r="V417" s="7"/>
      <c r="W417" s="7"/>
      <c r="X417" s="7"/>
      <c r="Y417" s="8">
        <f t="shared" si="1872"/>
        <v>0</v>
      </c>
      <c r="AA417" s="6"/>
      <c r="AB417" s="7"/>
      <c r="AC417" s="7"/>
      <c r="AD417" s="7"/>
      <c r="AE417" s="7"/>
      <c r="AF417" s="8">
        <f>SUM(AA417:AE417)</f>
        <v>0</v>
      </c>
      <c r="AH417" s="6"/>
      <c r="AI417" s="7"/>
      <c r="AJ417" s="7"/>
      <c r="AK417" s="7"/>
      <c r="AL417" s="7"/>
      <c r="AM417" s="8">
        <f>SUM(AH417:AL417)</f>
        <v>0</v>
      </c>
      <c r="AO417" s="6"/>
      <c r="AP417" s="7"/>
      <c r="AQ417" s="7"/>
      <c r="AR417" s="7"/>
      <c r="AS417" s="7"/>
      <c r="AT417" s="8">
        <f>SUM(AO417:AS417)</f>
        <v>0</v>
      </c>
      <c r="AV417" s="6"/>
      <c r="AW417" s="7"/>
      <c r="AX417" s="7"/>
      <c r="AY417" s="7"/>
      <c r="AZ417" s="7"/>
      <c r="BA417" s="8">
        <f>SUM(AV417:AZ417)</f>
        <v>0</v>
      </c>
      <c r="BC417" s="6"/>
      <c r="BD417" s="7"/>
      <c r="BE417" s="7"/>
      <c r="BF417" s="7"/>
      <c r="BG417" s="7"/>
      <c r="BH417" s="8">
        <f>SUM(BC417:BG417)</f>
        <v>0</v>
      </c>
      <c r="BJ417" s="6"/>
      <c r="BK417" s="7"/>
      <c r="BL417" s="7"/>
      <c r="BM417" s="7"/>
      <c r="BN417" s="7"/>
      <c r="BO417" s="8">
        <f>SUM(BJ417:BN417)</f>
        <v>0</v>
      </c>
      <c r="BQ417" s="6"/>
      <c r="BR417" s="7"/>
      <c r="BS417" s="7"/>
      <c r="BT417" s="7"/>
      <c r="BU417" s="7"/>
      <c r="BV417" s="8">
        <f>SUM(BQ417:BU417)</f>
        <v>0</v>
      </c>
      <c r="BX417" s="6"/>
      <c r="BY417" s="7"/>
      <c r="BZ417" s="7"/>
      <c r="CA417" s="7"/>
      <c r="CB417" s="7"/>
      <c r="CC417" s="8">
        <f>SUM(BX417:CB417)</f>
        <v>0</v>
      </c>
      <c r="CE417" s="28">
        <f t="shared" si="1864"/>
        <v>0</v>
      </c>
      <c r="CF417" s="29">
        <f t="shared" si="1865"/>
        <v>0</v>
      </c>
      <c r="CG417" s="29">
        <f t="shared" si="1866"/>
        <v>0</v>
      </c>
      <c r="CH417" s="29">
        <f t="shared" si="1867"/>
        <v>0</v>
      </c>
      <c r="CI417" s="29">
        <f t="shared" si="1868"/>
        <v>0</v>
      </c>
      <c r="CJ417" s="8">
        <f>SUM(CE417:CI417)</f>
        <v>0</v>
      </c>
      <c r="CL417" s="6"/>
      <c r="CM417" s="7"/>
      <c r="CN417" s="7"/>
      <c r="CO417" s="7"/>
      <c r="CP417" s="7"/>
      <c r="CQ417" s="8">
        <f>SUM(CL417:CP417)</f>
        <v>0</v>
      </c>
      <c r="CS417" s="6"/>
      <c r="CT417" s="7"/>
      <c r="CU417" s="7"/>
      <c r="CV417" s="7"/>
      <c r="CW417" s="7"/>
      <c r="CX417" s="8">
        <f t="shared" si="1873"/>
        <v>0</v>
      </c>
      <c r="CZ417" s="6"/>
      <c r="DA417" s="7"/>
      <c r="DB417" s="7"/>
      <c r="DC417" s="7"/>
      <c r="DD417" s="7"/>
      <c r="DE417" s="8">
        <f t="shared" si="1874"/>
        <v>0</v>
      </c>
    </row>
    <row r="418" spans="2:109" ht="14" thickBot="1">
      <c r="C418" s="567"/>
      <c r="E418" s="14" t="s">
        <v>62</v>
      </c>
      <c r="F418" s="23">
        <f t="shared" si="1869"/>
        <v>0</v>
      </c>
      <c r="G418" s="24">
        <f t="shared" si="1860"/>
        <v>0</v>
      </c>
      <c r="H418" s="24">
        <f t="shared" si="1861"/>
        <v>0</v>
      </c>
      <c r="I418" s="24">
        <f t="shared" si="1862"/>
        <v>0</v>
      </c>
      <c r="J418" s="24">
        <f t="shared" si="1863"/>
        <v>0</v>
      </c>
      <c r="K418" s="8">
        <f t="shared" si="1870"/>
        <v>0</v>
      </c>
      <c r="M418" s="6"/>
      <c r="N418" s="7"/>
      <c r="O418" s="7"/>
      <c r="P418" s="7"/>
      <c r="Q418" s="7"/>
      <c r="R418" s="8">
        <f t="shared" si="1871"/>
        <v>0</v>
      </c>
      <c r="T418" s="6"/>
      <c r="U418" s="7"/>
      <c r="V418" s="7"/>
      <c r="W418" s="7"/>
      <c r="X418" s="7"/>
      <c r="Y418" s="8">
        <f t="shared" si="1872"/>
        <v>0</v>
      </c>
      <c r="AA418" s="6"/>
      <c r="AB418" s="7"/>
      <c r="AC418" s="7"/>
      <c r="AD418" s="7"/>
      <c r="AE418" s="7"/>
      <c r="AF418" s="8">
        <f>SUM(AA418:AE418)</f>
        <v>0</v>
      </c>
      <c r="AH418" s="6"/>
      <c r="AI418" s="7"/>
      <c r="AJ418" s="7"/>
      <c r="AK418" s="7"/>
      <c r="AL418" s="7"/>
      <c r="AM418" s="8">
        <f>SUM(AH418:AL418)</f>
        <v>0</v>
      </c>
      <c r="AO418" s="6"/>
      <c r="AP418" s="7"/>
      <c r="AQ418" s="7"/>
      <c r="AR418" s="7"/>
      <c r="AS418" s="7"/>
      <c r="AT418" s="8">
        <f>SUM(AO418:AS418)</f>
        <v>0</v>
      </c>
      <c r="AV418" s="6"/>
      <c r="AW418" s="7"/>
      <c r="AX418" s="7"/>
      <c r="AY418" s="7"/>
      <c r="AZ418" s="7"/>
      <c r="BA418" s="8">
        <f>SUM(AV418:AZ418)</f>
        <v>0</v>
      </c>
      <c r="BC418" s="6"/>
      <c r="BD418" s="7"/>
      <c r="BE418" s="7"/>
      <c r="BF418" s="7"/>
      <c r="BG418" s="7"/>
      <c r="BH418" s="8">
        <f>SUM(BC418:BG418)</f>
        <v>0</v>
      </c>
      <c r="BJ418" s="6"/>
      <c r="BK418" s="7"/>
      <c r="BL418" s="7"/>
      <c r="BM418" s="7"/>
      <c r="BN418" s="7"/>
      <c r="BO418" s="8">
        <f>SUM(BJ418:BN418)</f>
        <v>0</v>
      </c>
      <c r="BQ418" s="6"/>
      <c r="BR418" s="7"/>
      <c r="BS418" s="7"/>
      <c r="BT418" s="7"/>
      <c r="BU418" s="7"/>
      <c r="BV418" s="8">
        <f>SUM(BQ418:BU418)</f>
        <v>0</v>
      </c>
      <c r="BX418" s="6"/>
      <c r="BY418" s="7"/>
      <c r="BZ418" s="7"/>
      <c r="CA418" s="7"/>
      <c r="CB418" s="7"/>
      <c r="CC418" s="8">
        <f>SUM(BX418:CB418)</f>
        <v>0</v>
      </c>
      <c r="CE418" s="493">
        <f t="shared" si="1864"/>
        <v>0</v>
      </c>
      <c r="CF418" s="494">
        <f t="shared" si="1865"/>
        <v>0</v>
      </c>
      <c r="CG418" s="494">
        <f t="shared" si="1866"/>
        <v>0</v>
      </c>
      <c r="CH418" s="494">
        <f t="shared" si="1867"/>
        <v>0</v>
      </c>
      <c r="CI418" s="494">
        <f t="shared" si="1868"/>
        <v>0</v>
      </c>
      <c r="CJ418" s="495">
        <f>SUM(CE418:CI418)</f>
        <v>0</v>
      </c>
      <c r="CL418" s="6"/>
      <c r="CM418" s="7"/>
      <c r="CN418" s="7"/>
      <c r="CO418" s="7"/>
      <c r="CP418" s="7"/>
      <c r="CQ418" s="8">
        <f>SUM(CL418:CP418)</f>
        <v>0</v>
      </c>
      <c r="CS418" s="6"/>
      <c r="CT418" s="7"/>
      <c r="CU418" s="7"/>
      <c r="CV418" s="7"/>
      <c r="CW418" s="7"/>
      <c r="CX418" s="8">
        <f t="shared" si="1873"/>
        <v>0</v>
      </c>
      <c r="CZ418" s="6"/>
      <c r="DA418" s="7"/>
      <c r="DB418" s="7"/>
      <c r="DC418" s="7"/>
      <c r="DD418" s="7"/>
      <c r="DE418" s="8">
        <f t="shared" si="1874"/>
        <v>0</v>
      </c>
    </row>
    <row r="419" spans="2:109" ht="14" thickBot="1">
      <c r="C419" s="554"/>
      <c r="E419" s="9"/>
      <c r="F419" s="10">
        <f>SUM(F415:F418)</f>
        <v>0</v>
      </c>
      <c r="G419" s="11">
        <f t="shared" ref="G419:J419" si="1875">SUM(G415:G418)</f>
        <v>0</v>
      </c>
      <c r="H419" s="11">
        <f t="shared" si="1875"/>
        <v>0</v>
      </c>
      <c r="I419" s="11">
        <f t="shared" si="1875"/>
        <v>0</v>
      </c>
      <c r="J419" s="11">
        <f t="shared" si="1875"/>
        <v>0</v>
      </c>
      <c r="K419" s="25">
        <f>SUM(K415:K418)</f>
        <v>0</v>
      </c>
      <c r="M419" s="10">
        <f>SUM(M415:M418)</f>
        <v>0</v>
      </c>
      <c r="N419" s="11">
        <f t="shared" ref="N419:Q419" si="1876">SUM(N415:N418)</f>
        <v>0</v>
      </c>
      <c r="O419" s="11">
        <f t="shared" si="1876"/>
        <v>0</v>
      </c>
      <c r="P419" s="11">
        <f t="shared" si="1876"/>
        <v>0</v>
      </c>
      <c r="Q419" s="11">
        <f t="shared" si="1876"/>
        <v>0</v>
      </c>
      <c r="R419" s="25">
        <f>SUM(R415:R418)</f>
        <v>0</v>
      </c>
      <c r="T419" s="10">
        <f>SUM(T415:T418)</f>
        <v>0</v>
      </c>
      <c r="U419" s="11">
        <f t="shared" ref="U419:X419" si="1877">SUM(U415:U418)</f>
        <v>0</v>
      </c>
      <c r="V419" s="11">
        <f t="shared" si="1877"/>
        <v>0</v>
      </c>
      <c r="W419" s="11">
        <f t="shared" si="1877"/>
        <v>0</v>
      </c>
      <c r="X419" s="11">
        <f t="shared" si="1877"/>
        <v>0</v>
      </c>
      <c r="Y419" s="25">
        <f>SUM(Y415:Y418)</f>
        <v>0</v>
      </c>
      <c r="AA419" s="10">
        <f>SUM(AA415:AA418)</f>
        <v>0</v>
      </c>
      <c r="AB419" s="11">
        <f t="shared" ref="AB419:AE419" si="1878">SUM(AB415:AB418)</f>
        <v>0</v>
      </c>
      <c r="AC419" s="11">
        <f t="shared" si="1878"/>
        <v>0</v>
      </c>
      <c r="AD419" s="11">
        <f t="shared" si="1878"/>
        <v>0</v>
      </c>
      <c r="AE419" s="11">
        <f t="shared" si="1878"/>
        <v>0</v>
      </c>
      <c r="AF419" s="25">
        <f>SUM(AF415:AF418)</f>
        <v>0</v>
      </c>
      <c r="AH419" s="10">
        <f t="shared" ref="AH419:AM419" si="1879">SUM(AH415:AH418)</f>
        <v>0</v>
      </c>
      <c r="AI419" s="11">
        <f t="shared" si="1879"/>
        <v>0</v>
      </c>
      <c r="AJ419" s="11">
        <f t="shared" si="1879"/>
        <v>0</v>
      </c>
      <c r="AK419" s="11">
        <f t="shared" si="1879"/>
        <v>0</v>
      </c>
      <c r="AL419" s="11">
        <f t="shared" si="1879"/>
        <v>0</v>
      </c>
      <c r="AM419" s="25">
        <f t="shared" si="1879"/>
        <v>0</v>
      </c>
      <c r="AO419" s="10">
        <f t="shared" ref="AO419:AT419" si="1880">SUM(AO415:AO418)</f>
        <v>0</v>
      </c>
      <c r="AP419" s="11">
        <f t="shared" si="1880"/>
        <v>0</v>
      </c>
      <c r="AQ419" s="11">
        <f t="shared" si="1880"/>
        <v>0</v>
      </c>
      <c r="AR419" s="11">
        <f t="shared" si="1880"/>
        <v>0</v>
      </c>
      <c r="AS419" s="11">
        <f t="shared" si="1880"/>
        <v>0</v>
      </c>
      <c r="AT419" s="25">
        <f t="shared" si="1880"/>
        <v>0</v>
      </c>
      <c r="AV419" s="10">
        <f t="shared" ref="AV419:BA419" si="1881">SUM(AV415:AV418)</f>
        <v>0</v>
      </c>
      <c r="AW419" s="11">
        <f t="shared" si="1881"/>
        <v>0</v>
      </c>
      <c r="AX419" s="11">
        <f t="shared" si="1881"/>
        <v>0</v>
      </c>
      <c r="AY419" s="11">
        <f t="shared" si="1881"/>
        <v>0</v>
      </c>
      <c r="AZ419" s="11">
        <f t="shared" si="1881"/>
        <v>0</v>
      </c>
      <c r="BA419" s="25">
        <f t="shared" si="1881"/>
        <v>0</v>
      </c>
      <c r="BC419" s="10">
        <f t="shared" ref="BC419:BH419" si="1882">SUM(BC415:BC418)</f>
        <v>0</v>
      </c>
      <c r="BD419" s="11">
        <f t="shared" si="1882"/>
        <v>0</v>
      </c>
      <c r="BE419" s="11">
        <f t="shared" si="1882"/>
        <v>0</v>
      </c>
      <c r="BF419" s="11">
        <f t="shared" si="1882"/>
        <v>0</v>
      </c>
      <c r="BG419" s="11">
        <f t="shared" si="1882"/>
        <v>0</v>
      </c>
      <c r="BH419" s="25">
        <f t="shared" si="1882"/>
        <v>0</v>
      </c>
      <c r="BJ419" s="10">
        <f t="shared" ref="BJ419:BO419" si="1883">SUM(BJ415:BJ418)</f>
        <v>0</v>
      </c>
      <c r="BK419" s="11">
        <f t="shared" si="1883"/>
        <v>0</v>
      </c>
      <c r="BL419" s="11">
        <f t="shared" si="1883"/>
        <v>0</v>
      </c>
      <c r="BM419" s="11">
        <f t="shared" si="1883"/>
        <v>0</v>
      </c>
      <c r="BN419" s="11">
        <f t="shared" si="1883"/>
        <v>0</v>
      </c>
      <c r="BO419" s="25">
        <f t="shared" si="1883"/>
        <v>0</v>
      </c>
      <c r="BQ419" s="10">
        <f t="shared" ref="BQ419:BV419" si="1884">SUM(BQ415:BQ418)</f>
        <v>0</v>
      </c>
      <c r="BR419" s="11">
        <f t="shared" si="1884"/>
        <v>0</v>
      </c>
      <c r="BS419" s="11">
        <f t="shared" si="1884"/>
        <v>0</v>
      </c>
      <c r="BT419" s="11">
        <f t="shared" si="1884"/>
        <v>0</v>
      </c>
      <c r="BU419" s="11">
        <f t="shared" si="1884"/>
        <v>0</v>
      </c>
      <c r="BV419" s="25">
        <f t="shared" si="1884"/>
        <v>0</v>
      </c>
      <c r="BX419" s="10">
        <f t="shared" ref="BX419:CC419" si="1885">SUM(BX415:BX418)</f>
        <v>0</v>
      </c>
      <c r="BY419" s="11">
        <f t="shared" si="1885"/>
        <v>0</v>
      </c>
      <c r="BZ419" s="11">
        <f t="shared" si="1885"/>
        <v>0</v>
      </c>
      <c r="CA419" s="11">
        <f t="shared" si="1885"/>
        <v>0</v>
      </c>
      <c r="CB419" s="11">
        <f t="shared" si="1885"/>
        <v>0</v>
      </c>
      <c r="CC419" s="25">
        <f t="shared" si="1885"/>
        <v>0</v>
      </c>
      <c r="CE419" s="62">
        <f t="shared" ref="CE419:CJ419" si="1886">SUM(CE415:CE418)</f>
        <v>0</v>
      </c>
      <c r="CF419" s="63">
        <f t="shared" si="1886"/>
        <v>0</v>
      </c>
      <c r="CG419" s="63">
        <f t="shared" si="1886"/>
        <v>0</v>
      </c>
      <c r="CH419" s="63">
        <f t="shared" si="1886"/>
        <v>0</v>
      </c>
      <c r="CI419" s="63">
        <f t="shared" si="1886"/>
        <v>0</v>
      </c>
      <c r="CJ419" s="25">
        <f t="shared" si="1886"/>
        <v>0</v>
      </c>
      <c r="CL419" s="10">
        <f>SUM(CL415:CL418)</f>
        <v>0</v>
      </c>
      <c r="CM419" s="11">
        <f t="shared" ref="CM419:CQ419" si="1887">SUM(CM415:CM418)</f>
        <v>0</v>
      </c>
      <c r="CN419" s="11">
        <f t="shared" si="1887"/>
        <v>0</v>
      </c>
      <c r="CO419" s="11">
        <f t="shared" si="1887"/>
        <v>0</v>
      </c>
      <c r="CP419" s="11">
        <f t="shared" si="1887"/>
        <v>0</v>
      </c>
      <c r="CQ419" s="25">
        <f t="shared" si="1887"/>
        <v>0</v>
      </c>
      <c r="CS419" s="10">
        <f>SUM(CS415:CS418)</f>
        <v>0</v>
      </c>
      <c r="CT419" s="11">
        <f t="shared" ref="CT419:CW419" si="1888">SUM(CT415:CT418)</f>
        <v>0</v>
      </c>
      <c r="CU419" s="11">
        <f t="shared" si="1888"/>
        <v>0</v>
      </c>
      <c r="CV419" s="11">
        <f t="shared" si="1888"/>
        <v>0</v>
      </c>
      <c r="CW419" s="11">
        <f t="shared" si="1888"/>
        <v>0</v>
      </c>
      <c r="CX419" s="25">
        <f>SUM(CX415:CX418)</f>
        <v>0</v>
      </c>
      <c r="CZ419" s="10">
        <f>SUM(CZ415:CZ418)</f>
        <v>0</v>
      </c>
      <c r="DA419" s="11">
        <f t="shared" ref="DA419:DD419" si="1889">SUM(DA415:DA418)</f>
        <v>0</v>
      </c>
      <c r="DB419" s="11">
        <f t="shared" si="1889"/>
        <v>0</v>
      </c>
      <c r="DC419" s="11">
        <f t="shared" si="1889"/>
        <v>0</v>
      </c>
      <c r="DD419" s="11">
        <f t="shared" si="1889"/>
        <v>0</v>
      </c>
      <c r="DE419" s="25">
        <f>SUM(DE415:DE418)</f>
        <v>0</v>
      </c>
    </row>
    <row r="421" spans="2:109">
      <c r="B421" s="123"/>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L421" s="20"/>
      <c r="CM421" s="20"/>
      <c r="CN421" s="20"/>
      <c r="CO421" s="20"/>
      <c r="CP421" s="20"/>
      <c r="CQ421" s="20"/>
      <c r="CR421" s="20"/>
      <c r="CS421" s="20"/>
      <c r="CT421" s="20"/>
      <c r="CU421" s="20"/>
      <c r="CV421" s="20"/>
      <c r="CW421" s="20"/>
      <c r="CX421" s="20"/>
      <c r="CY421" s="20"/>
      <c r="CZ421" s="20"/>
      <c r="DA421" s="20"/>
      <c r="DB421" s="20"/>
      <c r="DC421" s="20"/>
      <c r="DD421" s="20"/>
      <c r="DE421" s="20"/>
    </row>
    <row r="422" spans="2:109" ht="14" thickBot="1">
      <c r="B422" s="94">
        <v>14</v>
      </c>
      <c r="C422" s="12" t="s">
        <v>75</v>
      </c>
    </row>
    <row r="423" spans="2:109">
      <c r="C423" s="553">
        <v>2024</v>
      </c>
      <c r="E423" s="1" t="s">
        <v>59</v>
      </c>
      <c r="F423" s="2"/>
      <c r="G423" s="3"/>
      <c r="H423" s="3"/>
      <c r="I423" s="3"/>
      <c r="J423" s="3"/>
      <c r="K423" s="4">
        <f>SUM(F423:J423)</f>
        <v>0</v>
      </c>
      <c r="M423" s="2"/>
      <c r="N423" s="3"/>
      <c r="O423" s="3"/>
      <c r="P423" s="3"/>
      <c r="Q423" s="3"/>
      <c r="R423" s="4">
        <f>SUM(M423:Q423)</f>
        <v>0</v>
      </c>
      <c r="T423" s="2"/>
      <c r="U423" s="3"/>
      <c r="V423" s="3"/>
      <c r="W423" s="3"/>
      <c r="X423" s="3"/>
      <c r="Y423" s="4">
        <f>SUM(T423:X423)</f>
        <v>0</v>
      </c>
      <c r="AA423" s="2"/>
      <c r="AB423" s="3"/>
      <c r="AC423" s="3"/>
      <c r="AD423" s="3"/>
      <c r="AE423" s="3"/>
      <c r="AF423" s="4">
        <f>SUM(AA423:AE423)</f>
        <v>0</v>
      </c>
      <c r="AH423" s="2"/>
      <c r="AI423" s="3"/>
      <c r="AJ423" s="3"/>
      <c r="AK423" s="3"/>
      <c r="AL423" s="3"/>
      <c r="AM423" s="4">
        <f>SUM(AH423:AL423)</f>
        <v>0</v>
      </c>
      <c r="AO423" s="2"/>
      <c r="AP423" s="3"/>
      <c r="AQ423" s="3"/>
      <c r="AR423" s="3"/>
      <c r="AS423" s="3"/>
      <c r="AT423" s="4">
        <f>SUM(AO423:AS423)</f>
        <v>0</v>
      </c>
      <c r="AV423" s="2"/>
      <c r="AW423" s="3"/>
      <c r="AX423" s="3"/>
      <c r="AY423" s="3"/>
      <c r="AZ423" s="3"/>
      <c r="BA423" s="4">
        <f>SUM(AV423:AZ423)</f>
        <v>0</v>
      </c>
      <c r="BC423" s="2"/>
      <c r="BD423" s="3"/>
      <c r="BE423" s="3"/>
      <c r="BF423" s="3"/>
      <c r="BG423" s="3"/>
      <c r="BH423" s="4">
        <f>SUM(BC423:BG423)</f>
        <v>0</v>
      </c>
      <c r="BJ423" s="2"/>
      <c r="BK423" s="3"/>
      <c r="BL423" s="3"/>
      <c r="BM423" s="3"/>
      <c r="BN423" s="3"/>
      <c r="BO423" s="4">
        <f>SUM(BJ423:BN423)</f>
        <v>0</v>
      </c>
      <c r="BQ423" s="2"/>
      <c r="BR423" s="3"/>
      <c r="BS423" s="3"/>
      <c r="BT423" s="3"/>
      <c r="BU423" s="3"/>
      <c r="BV423" s="4">
        <f>SUM(BQ423:BU423)</f>
        <v>0</v>
      </c>
      <c r="BX423" s="2"/>
      <c r="BY423" s="3"/>
      <c r="BZ423" s="3"/>
      <c r="CA423" s="3"/>
      <c r="CB423" s="3"/>
      <c r="CC423" s="4">
        <f>SUM(BX423:CB423)</f>
        <v>0</v>
      </c>
      <c r="CE423" s="26">
        <f t="shared" ref="CE423:CE426" si="1890">F423+M423+T423+AA423+AH423+AO423+AV423+BC423+BJ423+BQ423+BX423</f>
        <v>0</v>
      </c>
      <c r="CF423" s="27">
        <f t="shared" ref="CF423:CF426" si="1891">G423+N423+U423+AB423+AI423+AP423+AW423+BD423+BK423+BR423+BY423</f>
        <v>0</v>
      </c>
      <c r="CG423" s="27">
        <f t="shared" ref="CG423:CG426" si="1892">H423+O423+V423+AC423+AJ423+AQ423+AX423+BE423+BL423+BS423+BZ423</f>
        <v>0</v>
      </c>
      <c r="CH423" s="27">
        <f t="shared" ref="CH423:CH426" si="1893">I423+P423+W423+AD423+AK423+AR423+AY423+BF423+BM423+BT423+CA423</f>
        <v>0</v>
      </c>
      <c r="CI423" s="27">
        <f t="shared" ref="CI423:CI426" si="1894">J423+Q423+X423+AE423+AL423+AS423+AZ423+BG423+BN423+BU423+CB423</f>
        <v>0</v>
      </c>
      <c r="CJ423" s="4">
        <f>SUM(CE423:CI423)</f>
        <v>0</v>
      </c>
      <c r="CL423" s="2"/>
      <c r="CM423" s="3"/>
      <c r="CN423" s="3"/>
      <c r="CO423" s="3"/>
      <c r="CP423" s="3"/>
      <c r="CQ423" s="4">
        <f>SUM(CL423:CP423)</f>
        <v>0</v>
      </c>
      <c r="CS423" s="2"/>
      <c r="CT423" s="3"/>
      <c r="CU423" s="3"/>
      <c r="CV423" s="3"/>
      <c r="CW423" s="3"/>
      <c r="CX423" s="4">
        <f>SUM(CS423:CW423)</f>
        <v>0</v>
      </c>
      <c r="CZ423" s="2"/>
      <c r="DA423" s="3"/>
      <c r="DB423" s="3"/>
      <c r="DC423" s="3"/>
      <c r="DD423" s="3"/>
      <c r="DE423" s="4">
        <f>SUM(CZ423:DD423)</f>
        <v>0</v>
      </c>
    </row>
    <row r="424" spans="2:109">
      <c r="C424" s="567"/>
      <c r="E424" s="5" t="s">
        <v>60</v>
      </c>
      <c r="F424" s="6"/>
      <c r="G424" s="7"/>
      <c r="H424" s="7"/>
      <c r="I424" s="7"/>
      <c r="J424" s="7"/>
      <c r="K424" s="8">
        <f t="shared" ref="K424:K426" si="1895">SUM(F424:J424)</f>
        <v>0</v>
      </c>
      <c r="M424" s="6"/>
      <c r="N424" s="7"/>
      <c r="O424" s="7"/>
      <c r="P424" s="7"/>
      <c r="Q424" s="7"/>
      <c r="R424" s="8">
        <f t="shared" ref="R424:R426" si="1896">SUM(M424:Q424)</f>
        <v>0</v>
      </c>
      <c r="T424" s="6"/>
      <c r="U424" s="7"/>
      <c r="V424" s="7"/>
      <c r="W424" s="7"/>
      <c r="X424" s="7"/>
      <c r="Y424" s="8">
        <f t="shared" ref="Y424:Y426" si="1897">SUM(T424:X424)</f>
        <v>0</v>
      </c>
      <c r="AA424" s="6"/>
      <c r="AB424" s="7"/>
      <c r="AC424" s="7"/>
      <c r="AD424" s="7"/>
      <c r="AE424" s="7"/>
      <c r="AF424" s="8">
        <f t="shared" ref="AF424:AF426" si="1898">SUM(AA424:AE424)</f>
        <v>0</v>
      </c>
      <c r="AH424" s="6"/>
      <c r="AI424" s="7"/>
      <c r="AJ424" s="7"/>
      <c r="AK424" s="7"/>
      <c r="AL424" s="7"/>
      <c r="AM424" s="8">
        <f t="shared" ref="AM424:AM426" si="1899">SUM(AH424:AL424)</f>
        <v>0</v>
      </c>
      <c r="AO424" s="6"/>
      <c r="AP424" s="7"/>
      <c r="AQ424" s="7"/>
      <c r="AR424" s="7"/>
      <c r="AS424" s="7"/>
      <c r="AT424" s="8">
        <f t="shared" ref="AT424:AT426" si="1900">SUM(AO424:AS424)</f>
        <v>0</v>
      </c>
      <c r="AV424" s="6"/>
      <c r="AW424" s="7"/>
      <c r="AX424" s="7"/>
      <c r="AY424" s="7"/>
      <c r="AZ424" s="7"/>
      <c r="BA424" s="8">
        <f t="shared" ref="BA424:BA426" si="1901">SUM(AV424:AZ424)</f>
        <v>0</v>
      </c>
      <c r="BC424" s="6"/>
      <c r="BD424" s="7"/>
      <c r="BE424" s="7"/>
      <c r="BF424" s="7"/>
      <c r="BG424" s="7"/>
      <c r="BH424" s="8">
        <f t="shared" ref="BH424:BH426" si="1902">SUM(BC424:BG424)</f>
        <v>0</v>
      </c>
      <c r="BJ424" s="6"/>
      <c r="BK424" s="7"/>
      <c r="BL424" s="7"/>
      <c r="BM424" s="7"/>
      <c r="BN424" s="7"/>
      <c r="BO424" s="8">
        <f t="shared" ref="BO424:BO426" si="1903">SUM(BJ424:BN424)</f>
        <v>0</v>
      </c>
      <c r="BQ424" s="6"/>
      <c r="BR424" s="7"/>
      <c r="BS424" s="7"/>
      <c r="BT424" s="7"/>
      <c r="BU424" s="7"/>
      <c r="BV424" s="8">
        <f t="shared" ref="BV424:BV426" si="1904">SUM(BQ424:BU424)</f>
        <v>0</v>
      </c>
      <c r="BX424" s="6"/>
      <c r="BY424" s="7"/>
      <c r="BZ424" s="7"/>
      <c r="CA424" s="7"/>
      <c r="CB424" s="7"/>
      <c r="CC424" s="8">
        <f t="shared" ref="CC424:CC426" si="1905">SUM(BX424:CB424)</f>
        <v>0</v>
      </c>
      <c r="CE424" s="28">
        <f t="shared" si="1890"/>
        <v>0</v>
      </c>
      <c r="CF424" s="29">
        <f t="shared" si="1891"/>
        <v>0</v>
      </c>
      <c r="CG424" s="29">
        <f t="shared" si="1892"/>
        <v>0</v>
      </c>
      <c r="CH424" s="29">
        <f t="shared" si="1893"/>
        <v>0</v>
      </c>
      <c r="CI424" s="29">
        <f t="shared" si="1894"/>
        <v>0</v>
      </c>
      <c r="CJ424" s="8">
        <f>SUM(CE424:CI424)</f>
        <v>0</v>
      </c>
      <c r="CL424" s="6"/>
      <c r="CM424" s="7"/>
      <c r="CN424" s="7"/>
      <c r="CO424" s="7"/>
      <c r="CP424" s="7"/>
      <c r="CQ424" s="8">
        <f t="shared" ref="CQ424:CQ426" si="1906">SUM(CL424:CP424)</f>
        <v>0</v>
      </c>
      <c r="CS424" s="6"/>
      <c r="CT424" s="7"/>
      <c r="CU424" s="7"/>
      <c r="CV424" s="7"/>
      <c r="CW424" s="7"/>
      <c r="CX424" s="8">
        <f t="shared" ref="CX424:CX426" si="1907">SUM(CS424:CW424)</f>
        <v>0</v>
      </c>
      <c r="CZ424" s="6"/>
      <c r="DA424" s="7"/>
      <c r="DB424" s="7"/>
      <c r="DC424" s="7"/>
      <c r="DD424" s="7"/>
      <c r="DE424" s="8">
        <f t="shared" ref="DE424:DE426" si="1908">SUM(CZ424:DD424)</f>
        <v>0</v>
      </c>
    </row>
    <row r="425" spans="2:109">
      <c r="C425" s="567"/>
      <c r="E425" s="5" t="s">
        <v>61</v>
      </c>
      <c r="F425" s="6"/>
      <c r="G425" s="7"/>
      <c r="H425" s="7"/>
      <c r="I425" s="7"/>
      <c r="J425" s="7"/>
      <c r="K425" s="8">
        <f t="shared" si="1895"/>
        <v>0</v>
      </c>
      <c r="M425" s="6"/>
      <c r="N425" s="7"/>
      <c r="O425" s="7"/>
      <c r="P425" s="7"/>
      <c r="Q425" s="7"/>
      <c r="R425" s="8">
        <f t="shared" si="1896"/>
        <v>0</v>
      </c>
      <c r="T425" s="6"/>
      <c r="U425" s="7"/>
      <c r="V425" s="7"/>
      <c r="W425" s="7"/>
      <c r="X425" s="7"/>
      <c r="Y425" s="8">
        <f t="shared" si="1897"/>
        <v>0</v>
      </c>
      <c r="AA425" s="6"/>
      <c r="AB425" s="7"/>
      <c r="AC425" s="7"/>
      <c r="AD425" s="7"/>
      <c r="AE425" s="7"/>
      <c r="AF425" s="8">
        <f t="shared" si="1898"/>
        <v>0</v>
      </c>
      <c r="AH425" s="6"/>
      <c r="AI425" s="7"/>
      <c r="AJ425" s="7"/>
      <c r="AK425" s="7"/>
      <c r="AL425" s="7"/>
      <c r="AM425" s="8">
        <f t="shared" si="1899"/>
        <v>0</v>
      </c>
      <c r="AO425" s="6"/>
      <c r="AP425" s="7"/>
      <c r="AQ425" s="7"/>
      <c r="AR425" s="7"/>
      <c r="AS425" s="7"/>
      <c r="AT425" s="8">
        <f t="shared" si="1900"/>
        <v>0</v>
      </c>
      <c r="AV425" s="6"/>
      <c r="AW425" s="7"/>
      <c r="AX425" s="7"/>
      <c r="AY425" s="7"/>
      <c r="AZ425" s="7"/>
      <c r="BA425" s="8">
        <f t="shared" si="1901"/>
        <v>0</v>
      </c>
      <c r="BC425" s="6"/>
      <c r="BD425" s="7"/>
      <c r="BE425" s="7"/>
      <c r="BF425" s="7"/>
      <c r="BG425" s="7"/>
      <c r="BH425" s="8">
        <f t="shared" si="1902"/>
        <v>0</v>
      </c>
      <c r="BJ425" s="6"/>
      <c r="BK425" s="7"/>
      <c r="BL425" s="7"/>
      <c r="BM425" s="7"/>
      <c r="BN425" s="7"/>
      <c r="BO425" s="8">
        <f t="shared" si="1903"/>
        <v>0</v>
      </c>
      <c r="BQ425" s="6"/>
      <c r="BR425" s="7"/>
      <c r="BS425" s="7"/>
      <c r="BT425" s="7"/>
      <c r="BU425" s="7"/>
      <c r="BV425" s="8">
        <f t="shared" si="1904"/>
        <v>0</v>
      </c>
      <c r="BX425" s="6"/>
      <c r="BY425" s="7"/>
      <c r="BZ425" s="7"/>
      <c r="CA425" s="7"/>
      <c r="CB425" s="7"/>
      <c r="CC425" s="8">
        <f t="shared" si="1905"/>
        <v>0</v>
      </c>
      <c r="CE425" s="28">
        <f t="shared" si="1890"/>
        <v>0</v>
      </c>
      <c r="CF425" s="29">
        <f t="shared" si="1891"/>
        <v>0</v>
      </c>
      <c r="CG425" s="29">
        <f t="shared" si="1892"/>
        <v>0</v>
      </c>
      <c r="CH425" s="29">
        <f t="shared" si="1893"/>
        <v>0</v>
      </c>
      <c r="CI425" s="29">
        <f t="shared" si="1894"/>
        <v>0</v>
      </c>
      <c r="CJ425" s="8">
        <f>SUM(CE425:CI425)</f>
        <v>0</v>
      </c>
      <c r="CL425" s="6"/>
      <c r="CM425" s="7"/>
      <c r="CN425" s="7"/>
      <c r="CO425" s="7"/>
      <c r="CP425" s="7"/>
      <c r="CQ425" s="8">
        <f t="shared" si="1906"/>
        <v>0</v>
      </c>
      <c r="CS425" s="6"/>
      <c r="CT425" s="7"/>
      <c r="CU425" s="7"/>
      <c r="CV425" s="7"/>
      <c r="CW425" s="7"/>
      <c r="CX425" s="8">
        <f t="shared" si="1907"/>
        <v>0</v>
      </c>
      <c r="CZ425" s="6"/>
      <c r="DA425" s="7"/>
      <c r="DB425" s="7"/>
      <c r="DC425" s="7"/>
      <c r="DD425" s="7"/>
      <c r="DE425" s="8">
        <f t="shared" si="1908"/>
        <v>0</v>
      </c>
    </row>
    <row r="426" spans="2:109" ht="14" thickBot="1">
      <c r="C426" s="567"/>
      <c r="E426" s="5" t="s">
        <v>62</v>
      </c>
      <c r="F426" s="6"/>
      <c r="G426" s="7"/>
      <c r="H426" s="7"/>
      <c r="I426" s="7"/>
      <c r="J426" s="7"/>
      <c r="K426" s="8">
        <f t="shared" si="1895"/>
        <v>0</v>
      </c>
      <c r="M426" s="6"/>
      <c r="N426" s="7"/>
      <c r="O426" s="7"/>
      <c r="P426" s="7"/>
      <c r="Q426" s="7"/>
      <c r="R426" s="8">
        <f t="shared" si="1896"/>
        <v>0</v>
      </c>
      <c r="T426" s="6"/>
      <c r="U426" s="7"/>
      <c r="V426" s="7"/>
      <c r="W426" s="7"/>
      <c r="X426" s="7"/>
      <c r="Y426" s="8">
        <f t="shared" si="1897"/>
        <v>0</v>
      </c>
      <c r="AA426" s="6"/>
      <c r="AB426" s="7"/>
      <c r="AC426" s="7"/>
      <c r="AD426" s="7"/>
      <c r="AE426" s="7"/>
      <c r="AF426" s="8">
        <f t="shared" si="1898"/>
        <v>0</v>
      </c>
      <c r="AH426" s="6"/>
      <c r="AI426" s="7"/>
      <c r="AJ426" s="7"/>
      <c r="AK426" s="7"/>
      <c r="AL426" s="7"/>
      <c r="AM426" s="8">
        <f t="shared" si="1899"/>
        <v>0</v>
      </c>
      <c r="AO426" s="6"/>
      <c r="AP426" s="7"/>
      <c r="AQ426" s="7"/>
      <c r="AR426" s="7"/>
      <c r="AS426" s="7"/>
      <c r="AT426" s="8">
        <f t="shared" si="1900"/>
        <v>0</v>
      </c>
      <c r="AV426" s="6"/>
      <c r="AW426" s="7"/>
      <c r="AX426" s="7"/>
      <c r="AY426" s="7"/>
      <c r="AZ426" s="7"/>
      <c r="BA426" s="8">
        <f t="shared" si="1901"/>
        <v>0</v>
      </c>
      <c r="BC426" s="6"/>
      <c r="BD426" s="7"/>
      <c r="BE426" s="7"/>
      <c r="BF426" s="7"/>
      <c r="BG426" s="7"/>
      <c r="BH426" s="8">
        <f t="shared" si="1902"/>
        <v>0</v>
      </c>
      <c r="BJ426" s="6"/>
      <c r="BK426" s="7"/>
      <c r="BL426" s="7"/>
      <c r="BM426" s="7"/>
      <c r="BN426" s="7"/>
      <c r="BO426" s="8">
        <f t="shared" si="1903"/>
        <v>0</v>
      </c>
      <c r="BQ426" s="6"/>
      <c r="BR426" s="7"/>
      <c r="BS426" s="7"/>
      <c r="BT426" s="7"/>
      <c r="BU426" s="7"/>
      <c r="BV426" s="8">
        <f t="shared" si="1904"/>
        <v>0</v>
      </c>
      <c r="BX426" s="6"/>
      <c r="BY426" s="7"/>
      <c r="BZ426" s="7"/>
      <c r="CA426" s="7"/>
      <c r="CB426" s="7"/>
      <c r="CC426" s="8">
        <f t="shared" si="1905"/>
        <v>0</v>
      </c>
      <c r="CE426" s="493">
        <f t="shared" si="1890"/>
        <v>0</v>
      </c>
      <c r="CF426" s="494">
        <f t="shared" si="1891"/>
        <v>0</v>
      </c>
      <c r="CG426" s="494">
        <f t="shared" si="1892"/>
        <v>0</v>
      </c>
      <c r="CH426" s="494">
        <f t="shared" si="1893"/>
        <v>0</v>
      </c>
      <c r="CI426" s="494">
        <f t="shared" si="1894"/>
        <v>0</v>
      </c>
      <c r="CJ426" s="495">
        <f>SUM(CE426:CI426)</f>
        <v>0</v>
      </c>
      <c r="CL426" s="6"/>
      <c r="CM426" s="7"/>
      <c r="CN426" s="7"/>
      <c r="CO426" s="7"/>
      <c r="CP426" s="7"/>
      <c r="CQ426" s="8">
        <f t="shared" si="1906"/>
        <v>0</v>
      </c>
      <c r="CS426" s="6"/>
      <c r="CT426" s="7"/>
      <c r="CU426" s="7"/>
      <c r="CV426" s="7"/>
      <c r="CW426" s="7"/>
      <c r="CX426" s="8">
        <f t="shared" si="1907"/>
        <v>0</v>
      </c>
      <c r="CZ426" s="6"/>
      <c r="DA426" s="7"/>
      <c r="DB426" s="7"/>
      <c r="DC426" s="7"/>
      <c r="DD426" s="7"/>
      <c r="DE426" s="8">
        <f t="shared" si="1908"/>
        <v>0</v>
      </c>
    </row>
    <row r="427" spans="2:109" ht="14" thickBot="1">
      <c r="C427" s="554"/>
      <c r="E427" s="9"/>
      <c r="F427" s="10">
        <f>SUM(F423:F426)</f>
        <v>0</v>
      </c>
      <c r="G427" s="11">
        <f t="shared" ref="G427:J427" si="1909">SUM(G423:G426)</f>
        <v>0</v>
      </c>
      <c r="H427" s="11">
        <f t="shared" si="1909"/>
        <v>0</v>
      </c>
      <c r="I427" s="11">
        <f t="shared" si="1909"/>
        <v>0</v>
      </c>
      <c r="J427" s="61">
        <f t="shared" si="1909"/>
        <v>0</v>
      </c>
      <c r="K427" s="25">
        <f>SUM(K423:K426)</f>
        <v>0</v>
      </c>
      <c r="M427" s="10">
        <f>SUM(M423:M426)</f>
        <v>0</v>
      </c>
      <c r="N427" s="11">
        <f t="shared" ref="N427:Q427" si="1910">SUM(N423:N426)</f>
        <v>0</v>
      </c>
      <c r="O427" s="11">
        <f t="shared" si="1910"/>
        <v>0</v>
      </c>
      <c r="P427" s="11">
        <f t="shared" si="1910"/>
        <v>0</v>
      </c>
      <c r="Q427" s="11">
        <f t="shared" si="1910"/>
        <v>0</v>
      </c>
      <c r="R427" s="25">
        <f>SUM(R423:R426)</f>
        <v>0</v>
      </c>
      <c r="T427" s="10">
        <f>SUM(T423:T426)</f>
        <v>0</v>
      </c>
      <c r="U427" s="11">
        <f t="shared" ref="U427:X427" si="1911">SUM(U423:U426)</f>
        <v>0</v>
      </c>
      <c r="V427" s="11">
        <f t="shared" si="1911"/>
        <v>0</v>
      </c>
      <c r="W427" s="11">
        <f t="shared" si="1911"/>
        <v>0</v>
      </c>
      <c r="X427" s="11">
        <f t="shared" si="1911"/>
        <v>0</v>
      </c>
      <c r="Y427" s="25">
        <f>SUM(Y423:Y426)</f>
        <v>0</v>
      </c>
      <c r="AA427" s="10">
        <f>SUM(AA423:AA426)</f>
        <v>0</v>
      </c>
      <c r="AB427" s="11">
        <f t="shared" ref="AB427:AE427" si="1912">SUM(AB423:AB426)</f>
        <v>0</v>
      </c>
      <c r="AC427" s="11">
        <f t="shared" si="1912"/>
        <v>0</v>
      </c>
      <c r="AD427" s="11">
        <f t="shared" si="1912"/>
        <v>0</v>
      </c>
      <c r="AE427" s="11">
        <f t="shared" si="1912"/>
        <v>0</v>
      </c>
      <c r="AF427" s="25">
        <f>SUM(AF423:AF426)</f>
        <v>0</v>
      </c>
      <c r="AH427" s="10">
        <f>SUM(AH423:AH426)</f>
        <v>0</v>
      </c>
      <c r="AI427" s="11">
        <f t="shared" ref="AI427:AL427" si="1913">SUM(AI423:AI426)</f>
        <v>0</v>
      </c>
      <c r="AJ427" s="11">
        <f t="shared" si="1913"/>
        <v>0</v>
      </c>
      <c r="AK427" s="11">
        <f t="shared" si="1913"/>
        <v>0</v>
      </c>
      <c r="AL427" s="11">
        <f t="shared" si="1913"/>
        <v>0</v>
      </c>
      <c r="AM427" s="25">
        <f>SUM(AM423:AM426)</f>
        <v>0</v>
      </c>
      <c r="AO427" s="10">
        <f>SUM(AO423:AO426)</f>
        <v>0</v>
      </c>
      <c r="AP427" s="11">
        <f t="shared" ref="AP427:AS427" si="1914">SUM(AP423:AP426)</f>
        <v>0</v>
      </c>
      <c r="AQ427" s="11">
        <f t="shared" si="1914"/>
        <v>0</v>
      </c>
      <c r="AR427" s="11">
        <f t="shared" si="1914"/>
        <v>0</v>
      </c>
      <c r="AS427" s="11">
        <f t="shared" si="1914"/>
        <v>0</v>
      </c>
      <c r="AT427" s="25">
        <f>SUM(AT423:AT426)</f>
        <v>0</v>
      </c>
      <c r="AV427" s="10">
        <f>SUM(AV423:AV426)</f>
        <v>0</v>
      </c>
      <c r="AW427" s="11">
        <f t="shared" ref="AW427:AZ427" si="1915">SUM(AW423:AW426)</f>
        <v>0</v>
      </c>
      <c r="AX427" s="11">
        <f t="shared" si="1915"/>
        <v>0</v>
      </c>
      <c r="AY427" s="11">
        <f t="shared" si="1915"/>
        <v>0</v>
      </c>
      <c r="AZ427" s="11">
        <f t="shared" si="1915"/>
        <v>0</v>
      </c>
      <c r="BA427" s="25">
        <f>SUM(BA423:BA426)</f>
        <v>0</v>
      </c>
      <c r="BC427" s="10">
        <f>SUM(BC423:BC426)</f>
        <v>0</v>
      </c>
      <c r="BD427" s="11">
        <f t="shared" ref="BD427:BG427" si="1916">SUM(BD423:BD426)</f>
        <v>0</v>
      </c>
      <c r="BE427" s="11">
        <f t="shared" si="1916"/>
        <v>0</v>
      </c>
      <c r="BF427" s="11">
        <f t="shared" si="1916"/>
        <v>0</v>
      </c>
      <c r="BG427" s="11">
        <f t="shared" si="1916"/>
        <v>0</v>
      </c>
      <c r="BH427" s="25">
        <f>SUM(BH423:BH426)</f>
        <v>0</v>
      </c>
      <c r="BJ427" s="10">
        <f>SUM(BJ423:BJ426)</f>
        <v>0</v>
      </c>
      <c r="BK427" s="11">
        <f t="shared" ref="BK427:BN427" si="1917">SUM(BK423:BK426)</f>
        <v>0</v>
      </c>
      <c r="BL427" s="11">
        <f t="shared" si="1917"/>
        <v>0</v>
      </c>
      <c r="BM427" s="11">
        <f t="shared" si="1917"/>
        <v>0</v>
      </c>
      <c r="BN427" s="11">
        <f t="shared" si="1917"/>
        <v>0</v>
      </c>
      <c r="BO427" s="25">
        <f>SUM(BO423:BO426)</f>
        <v>0</v>
      </c>
      <c r="BQ427" s="10">
        <f>SUM(BQ423:BQ426)</f>
        <v>0</v>
      </c>
      <c r="BR427" s="11">
        <f t="shared" ref="BR427:BU427" si="1918">SUM(BR423:BR426)</f>
        <v>0</v>
      </c>
      <c r="BS427" s="11">
        <f t="shared" si="1918"/>
        <v>0</v>
      </c>
      <c r="BT427" s="11">
        <f t="shared" si="1918"/>
        <v>0</v>
      </c>
      <c r="BU427" s="11">
        <f t="shared" si="1918"/>
        <v>0</v>
      </c>
      <c r="BV427" s="25">
        <f>SUM(BV423:BV426)</f>
        <v>0</v>
      </c>
      <c r="BX427" s="10">
        <f>SUM(BX423:BX426)</f>
        <v>0</v>
      </c>
      <c r="BY427" s="11">
        <f t="shared" ref="BY427:CB427" si="1919">SUM(BY423:BY426)</f>
        <v>0</v>
      </c>
      <c r="BZ427" s="11">
        <f t="shared" si="1919"/>
        <v>0</v>
      </c>
      <c r="CA427" s="11">
        <f t="shared" si="1919"/>
        <v>0</v>
      </c>
      <c r="CB427" s="11">
        <f t="shared" si="1919"/>
        <v>0</v>
      </c>
      <c r="CC427" s="25">
        <f>SUM(CC423:CC426)</f>
        <v>0</v>
      </c>
      <c r="CE427" s="62">
        <f t="shared" ref="CE427:CJ427" si="1920">SUM(CE423:CE426)</f>
        <v>0</v>
      </c>
      <c r="CF427" s="63">
        <f t="shared" si="1920"/>
        <v>0</v>
      </c>
      <c r="CG427" s="63">
        <f t="shared" si="1920"/>
        <v>0</v>
      </c>
      <c r="CH427" s="63">
        <f t="shared" si="1920"/>
        <v>0</v>
      </c>
      <c r="CI427" s="63">
        <f t="shared" si="1920"/>
        <v>0</v>
      </c>
      <c r="CJ427" s="25">
        <f t="shared" si="1920"/>
        <v>0</v>
      </c>
      <c r="CL427" s="10">
        <f>SUM(CL423:CL426)</f>
        <v>0</v>
      </c>
      <c r="CM427" s="11">
        <f t="shared" ref="CM427:CP427" si="1921">SUM(CM423:CM426)</f>
        <v>0</v>
      </c>
      <c r="CN427" s="11">
        <f t="shared" si="1921"/>
        <v>0</v>
      </c>
      <c r="CO427" s="11">
        <f t="shared" si="1921"/>
        <v>0</v>
      </c>
      <c r="CP427" s="11">
        <f t="shared" si="1921"/>
        <v>0</v>
      </c>
      <c r="CQ427" s="25">
        <f>SUM(CQ423:CQ426)</f>
        <v>0</v>
      </c>
      <c r="CS427" s="10">
        <f>SUM(CS423:CS426)</f>
        <v>0</v>
      </c>
      <c r="CT427" s="11">
        <f t="shared" ref="CT427:CW427" si="1922">SUM(CT423:CT426)</f>
        <v>0</v>
      </c>
      <c r="CU427" s="11">
        <f t="shared" si="1922"/>
        <v>0</v>
      </c>
      <c r="CV427" s="11">
        <f t="shared" si="1922"/>
        <v>0</v>
      </c>
      <c r="CW427" s="11">
        <f t="shared" si="1922"/>
        <v>0</v>
      </c>
      <c r="CX427" s="25">
        <f>SUM(CX423:CX426)</f>
        <v>0</v>
      </c>
      <c r="CZ427" s="10">
        <f>SUM(CZ423:CZ426)</f>
        <v>0</v>
      </c>
      <c r="DA427" s="11">
        <f t="shared" ref="DA427:DD427" si="1923">SUM(DA423:DA426)</f>
        <v>0</v>
      </c>
      <c r="DB427" s="11">
        <f t="shared" si="1923"/>
        <v>0</v>
      </c>
      <c r="DC427" s="11">
        <f t="shared" si="1923"/>
        <v>0</v>
      </c>
      <c r="DD427" s="11">
        <f t="shared" si="1923"/>
        <v>0</v>
      </c>
      <c r="DE427" s="25">
        <f>SUM(DE423:DE426)</f>
        <v>0</v>
      </c>
    </row>
    <row r="428" spans="2:109" ht="10.4" customHeight="1" thickBot="1"/>
    <row r="429" spans="2:109">
      <c r="C429" s="553">
        <v>2025</v>
      </c>
      <c r="E429" s="13" t="s">
        <v>59</v>
      </c>
      <c r="F429" s="21">
        <f>CE423</f>
        <v>0</v>
      </c>
      <c r="G429" s="22">
        <f t="shared" ref="G429:G432" si="1924">CF423</f>
        <v>0</v>
      </c>
      <c r="H429" s="22">
        <f t="shared" ref="H429:H432" si="1925">CG423</f>
        <v>0</v>
      </c>
      <c r="I429" s="22">
        <f t="shared" ref="I429:I432" si="1926">CH423</f>
        <v>0</v>
      </c>
      <c r="J429" s="22">
        <f t="shared" ref="J429:J432" si="1927">CI423</f>
        <v>0</v>
      </c>
      <c r="K429" s="15">
        <f>SUM(F429:J429)</f>
        <v>0</v>
      </c>
      <c r="M429" s="2"/>
      <c r="N429" s="3"/>
      <c r="O429" s="3"/>
      <c r="P429" s="3"/>
      <c r="Q429" s="3"/>
      <c r="R429" s="15">
        <f>SUM(M429:Q429)</f>
        <v>0</v>
      </c>
      <c r="T429" s="2"/>
      <c r="U429" s="3"/>
      <c r="V429" s="3"/>
      <c r="W429" s="3"/>
      <c r="X429" s="3"/>
      <c r="Y429" s="15">
        <f>SUM(T429:X429)</f>
        <v>0</v>
      </c>
      <c r="AA429" s="2"/>
      <c r="AB429" s="3"/>
      <c r="AC429" s="3"/>
      <c r="AD429" s="3"/>
      <c r="AE429" s="3"/>
      <c r="AF429" s="15">
        <f>SUM(AA429:AE429)</f>
        <v>0</v>
      </c>
      <c r="AH429" s="2"/>
      <c r="AI429" s="3"/>
      <c r="AJ429" s="3"/>
      <c r="AK429" s="3"/>
      <c r="AL429" s="3"/>
      <c r="AM429" s="15">
        <f>SUM(AH429:AL429)</f>
        <v>0</v>
      </c>
      <c r="AO429" s="2"/>
      <c r="AP429" s="3"/>
      <c r="AQ429" s="3"/>
      <c r="AR429" s="3"/>
      <c r="AS429" s="3"/>
      <c r="AT429" s="15">
        <f>SUM(AO429:AS429)</f>
        <v>0</v>
      </c>
      <c r="AV429" s="2"/>
      <c r="AW429" s="3"/>
      <c r="AX429" s="3"/>
      <c r="AY429" s="3"/>
      <c r="AZ429" s="3"/>
      <c r="BA429" s="15">
        <f>SUM(AV429:AZ429)</f>
        <v>0</v>
      </c>
      <c r="BC429" s="2"/>
      <c r="BD429" s="3"/>
      <c r="BE429" s="3"/>
      <c r="BF429" s="3"/>
      <c r="BG429" s="3"/>
      <c r="BH429" s="15">
        <f>SUM(BC429:BG429)</f>
        <v>0</v>
      </c>
      <c r="BJ429" s="2"/>
      <c r="BK429" s="3"/>
      <c r="BL429" s="3"/>
      <c r="BM429" s="3"/>
      <c r="BN429" s="3"/>
      <c r="BO429" s="15">
        <f>SUM(BJ429:BN429)</f>
        <v>0</v>
      </c>
      <c r="BQ429" s="2"/>
      <c r="BR429" s="3"/>
      <c r="BS429" s="3"/>
      <c r="BT429" s="3"/>
      <c r="BU429" s="3"/>
      <c r="BV429" s="15">
        <f>SUM(BQ429:BU429)</f>
        <v>0</v>
      </c>
      <c r="BX429" s="2"/>
      <c r="BY429" s="3"/>
      <c r="BZ429" s="3"/>
      <c r="CA429" s="3"/>
      <c r="CB429" s="3"/>
      <c r="CC429" s="15">
        <f>SUM(BX429:CB429)</f>
        <v>0</v>
      </c>
      <c r="CE429" s="26">
        <f t="shared" ref="CE429:CE432" si="1928">F429+M429+T429+AA429+AH429+AO429+AV429+BC429+BJ429+BQ429+BX429</f>
        <v>0</v>
      </c>
      <c r="CF429" s="27">
        <f t="shared" ref="CF429:CF432" si="1929">G429+N429+U429+AB429+AI429+AP429+AW429+BD429+BK429+BR429+BY429</f>
        <v>0</v>
      </c>
      <c r="CG429" s="27">
        <f t="shared" ref="CG429:CG432" si="1930">H429+O429+V429+AC429+AJ429+AQ429+AX429+BE429+BL429+BS429+BZ429</f>
        <v>0</v>
      </c>
      <c r="CH429" s="27">
        <f t="shared" ref="CH429:CH432" si="1931">I429+P429+W429+AD429+AK429+AR429+AY429+BF429+BM429+BT429+CA429</f>
        <v>0</v>
      </c>
      <c r="CI429" s="27">
        <f t="shared" ref="CI429:CI432" si="1932">J429+Q429+X429+AE429+AL429+AS429+AZ429+BG429+BN429+BU429+CB429</f>
        <v>0</v>
      </c>
      <c r="CJ429" s="4">
        <f>SUM(CE429:CI429)</f>
        <v>0</v>
      </c>
      <c r="CL429" s="2"/>
      <c r="CM429" s="3"/>
      <c r="CN429" s="3"/>
      <c r="CO429" s="3"/>
      <c r="CP429" s="3"/>
      <c r="CQ429" s="15">
        <f>SUM(CL429:CP429)</f>
        <v>0</v>
      </c>
      <c r="CS429" s="2"/>
      <c r="CT429" s="3"/>
      <c r="CU429" s="3"/>
      <c r="CV429" s="3"/>
      <c r="CW429" s="3"/>
      <c r="CX429" s="15">
        <f>SUM(CS429:CW429)</f>
        <v>0</v>
      </c>
      <c r="CZ429" s="2"/>
      <c r="DA429" s="3"/>
      <c r="DB429" s="3"/>
      <c r="DC429" s="3"/>
      <c r="DD429" s="3"/>
      <c r="DE429" s="15">
        <f>SUM(CZ429:DD429)</f>
        <v>0</v>
      </c>
    </row>
    <row r="430" spans="2:109">
      <c r="C430" s="567"/>
      <c r="E430" s="14" t="s">
        <v>60</v>
      </c>
      <c r="F430" s="23">
        <f t="shared" ref="F430:F432" si="1933">CE424</f>
        <v>0</v>
      </c>
      <c r="G430" s="24">
        <f t="shared" si="1924"/>
        <v>0</v>
      </c>
      <c r="H430" s="24">
        <f t="shared" si="1925"/>
        <v>0</v>
      </c>
      <c r="I430" s="24">
        <f t="shared" si="1926"/>
        <v>0</v>
      </c>
      <c r="J430" s="24">
        <f t="shared" si="1927"/>
        <v>0</v>
      </c>
      <c r="K430" s="16">
        <f t="shared" ref="K430:K432" si="1934">SUM(F430:J430)</f>
        <v>0</v>
      </c>
      <c r="M430" s="6"/>
      <c r="N430" s="7"/>
      <c r="O430" s="7"/>
      <c r="P430" s="7"/>
      <c r="Q430" s="7"/>
      <c r="R430" s="16">
        <f t="shared" ref="R430:R432" si="1935">SUM(M430:Q430)</f>
        <v>0</v>
      </c>
      <c r="T430" s="6"/>
      <c r="U430" s="7"/>
      <c r="V430" s="7"/>
      <c r="W430" s="7"/>
      <c r="X430" s="7"/>
      <c r="Y430" s="16">
        <f t="shared" ref="Y430:Y432" si="1936">SUM(T430:X430)</f>
        <v>0</v>
      </c>
      <c r="AA430" s="6"/>
      <c r="AB430" s="7"/>
      <c r="AC430" s="7"/>
      <c r="AD430" s="7"/>
      <c r="AE430" s="7"/>
      <c r="AF430" s="16">
        <f t="shared" ref="AF430:AF432" si="1937">SUM(AA430:AE430)</f>
        <v>0</v>
      </c>
      <c r="AH430" s="6"/>
      <c r="AI430" s="7"/>
      <c r="AJ430" s="7"/>
      <c r="AK430" s="7"/>
      <c r="AL430" s="7"/>
      <c r="AM430" s="16">
        <f t="shared" ref="AM430:AM432" si="1938">SUM(AH430:AL430)</f>
        <v>0</v>
      </c>
      <c r="AO430" s="6"/>
      <c r="AP430" s="7"/>
      <c r="AQ430" s="7"/>
      <c r="AR430" s="7"/>
      <c r="AS430" s="7"/>
      <c r="AT430" s="16">
        <f t="shared" ref="AT430:AT432" si="1939">SUM(AO430:AS430)</f>
        <v>0</v>
      </c>
      <c r="AV430" s="6"/>
      <c r="AW430" s="7"/>
      <c r="AX430" s="7"/>
      <c r="AY430" s="7"/>
      <c r="AZ430" s="7"/>
      <c r="BA430" s="16">
        <f t="shared" ref="BA430:BA432" si="1940">SUM(AV430:AZ430)</f>
        <v>0</v>
      </c>
      <c r="BC430" s="6"/>
      <c r="BD430" s="7"/>
      <c r="BE430" s="7"/>
      <c r="BF430" s="7"/>
      <c r="BG430" s="7"/>
      <c r="BH430" s="16">
        <f t="shared" ref="BH430:BH432" si="1941">SUM(BC430:BG430)</f>
        <v>0</v>
      </c>
      <c r="BJ430" s="6"/>
      <c r="BK430" s="7"/>
      <c r="BL430" s="7"/>
      <c r="BM430" s="7"/>
      <c r="BN430" s="7"/>
      <c r="BO430" s="16">
        <f t="shared" ref="BO430:BO432" si="1942">SUM(BJ430:BN430)</f>
        <v>0</v>
      </c>
      <c r="BQ430" s="6"/>
      <c r="BR430" s="7"/>
      <c r="BS430" s="7"/>
      <c r="BT430" s="7"/>
      <c r="BU430" s="7"/>
      <c r="BV430" s="16">
        <f t="shared" ref="BV430:BV432" si="1943">SUM(BQ430:BU430)</f>
        <v>0</v>
      </c>
      <c r="BX430" s="6"/>
      <c r="BY430" s="7"/>
      <c r="BZ430" s="7"/>
      <c r="CA430" s="7"/>
      <c r="CB430" s="7"/>
      <c r="CC430" s="16">
        <f t="shared" ref="CC430:CC432" si="1944">SUM(BX430:CB430)</f>
        <v>0</v>
      </c>
      <c r="CE430" s="28">
        <f t="shared" si="1928"/>
        <v>0</v>
      </c>
      <c r="CF430" s="29">
        <f t="shared" si="1929"/>
        <v>0</v>
      </c>
      <c r="CG430" s="29">
        <f t="shared" si="1930"/>
        <v>0</v>
      </c>
      <c r="CH430" s="29">
        <f t="shared" si="1931"/>
        <v>0</v>
      </c>
      <c r="CI430" s="29">
        <f t="shared" si="1932"/>
        <v>0</v>
      </c>
      <c r="CJ430" s="8">
        <f>SUM(CE430:CI430)</f>
        <v>0</v>
      </c>
      <c r="CL430" s="6"/>
      <c r="CM430" s="7"/>
      <c r="CN430" s="7"/>
      <c r="CO430" s="7"/>
      <c r="CP430" s="7"/>
      <c r="CQ430" s="16">
        <f t="shared" ref="CQ430:CQ432" si="1945">SUM(CL430:CP430)</f>
        <v>0</v>
      </c>
      <c r="CS430" s="6"/>
      <c r="CT430" s="7"/>
      <c r="CU430" s="7"/>
      <c r="CV430" s="7"/>
      <c r="CW430" s="7"/>
      <c r="CX430" s="16">
        <f t="shared" ref="CX430:CX432" si="1946">SUM(CS430:CW430)</f>
        <v>0</v>
      </c>
      <c r="CZ430" s="6"/>
      <c r="DA430" s="7"/>
      <c r="DB430" s="7"/>
      <c r="DC430" s="7"/>
      <c r="DD430" s="7"/>
      <c r="DE430" s="16">
        <f t="shared" ref="DE430:DE432" si="1947">SUM(CZ430:DD430)</f>
        <v>0</v>
      </c>
    </row>
    <row r="431" spans="2:109">
      <c r="C431" s="567"/>
      <c r="E431" s="14" t="s">
        <v>61</v>
      </c>
      <c r="F431" s="23">
        <f t="shared" si="1933"/>
        <v>0</v>
      </c>
      <c r="G431" s="24">
        <f t="shared" si="1924"/>
        <v>0</v>
      </c>
      <c r="H431" s="24">
        <f t="shared" si="1925"/>
        <v>0</v>
      </c>
      <c r="I431" s="24">
        <f t="shared" si="1926"/>
        <v>0</v>
      </c>
      <c r="J431" s="24">
        <f t="shared" si="1927"/>
        <v>0</v>
      </c>
      <c r="K431" s="16">
        <f t="shared" si="1934"/>
        <v>0</v>
      </c>
      <c r="M431" s="6"/>
      <c r="N431" s="7"/>
      <c r="O431" s="7"/>
      <c r="P431" s="7"/>
      <c r="Q431" s="7"/>
      <c r="R431" s="16">
        <f t="shared" si="1935"/>
        <v>0</v>
      </c>
      <c r="T431" s="6"/>
      <c r="U431" s="7"/>
      <c r="V431" s="7"/>
      <c r="W431" s="7"/>
      <c r="X431" s="7"/>
      <c r="Y431" s="16">
        <f t="shared" si="1936"/>
        <v>0</v>
      </c>
      <c r="AA431" s="6"/>
      <c r="AB431" s="7"/>
      <c r="AC431" s="7"/>
      <c r="AD431" s="7"/>
      <c r="AE431" s="7"/>
      <c r="AF431" s="16">
        <f t="shared" si="1937"/>
        <v>0</v>
      </c>
      <c r="AH431" s="6"/>
      <c r="AI431" s="7"/>
      <c r="AJ431" s="7"/>
      <c r="AK431" s="7"/>
      <c r="AL431" s="7"/>
      <c r="AM431" s="16">
        <f t="shared" si="1938"/>
        <v>0</v>
      </c>
      <c r="AO431" s="6"/>
      <c r="AP431" s="7"/>
      <c r="AQ431" s="7"/>
      <c r="AR431" s="7"/>
      <c r="AS431" s="7"/>
      <c r="AT431" s="16">
        <f t="shared" si="1939"/>
        <v>0</v>
      </c>
      <c r="AV431" s="6"/>
      <c r="AW431" s="7"/>
      <c r="AX431" s="7"/>
      <c r="AY431" s="7"/>
      <c r="AZ431" s="7"/>
      <c r="BA431" s="16">
        <f t="shared" si="1940"/>
        <v>0</v>
      </c>
      <c r="BC431" s="6"/>
      <c r="BD431" s="7"/>
      <c r="BE431" s="7"/>
      <c r="BF431" s="7"/>
      <c r="BG431" s="7"/>
      <c r="BH431" s="16">
        <f t="shared" si="1941"/>
        <v>0</v>
      </c>
      <c r="BJ431" s="6"/>
      <c r="BK431" s="7"/>
      <c r="BL431" s="7"/>
      <c r="BM431" s="7"/>
      <c r="BN431" s="7"/>
      <c r="BO431" s="16">
        <f t="shared" si="1942"/>
        <v>0</v>
      </c>
      <c r="BQ431" s="6"/>
      <c r="BR431" s="7"/>
      <c r="BS431" s="7"/>
      <c r="BT431" s="7"/>
      <c r="BU431" s="7"/>
      <c r="BV431" s="16">
        <f t="shared" si="1943"/>
        <v>0</v>
      </c>
      <c r="BX431" s="6"/>
      <c r="BY431" s="7"/>
      <c r="BZ431" s="7"/>
      <c r="CA431" s="7"/>
      <c r="CB431" s="7"/>
      <c r="CC431" s="16">
        <f t="shared" si="1944"/>
        <v>0</v>
      </c>
      <c r="CE431" s="28">
        <f t="shared" si="1928"/>
        <v>0</v>
      </c>
      <c r="CF431" s="29">
        <f t="shared" si="1929"/>
        <v>0</v>
      </c>
      <c r="CG431" s="29">
        <f t="shared" si="1930"/>
        <v>0</v>
      </c>
      <c r="CH431" s="29">
        <f t="shared" si="1931"/>
        <v>0</v>
      </c>
      <c r="CI431" s="29">
        <f t="shared" si="1932"/>
        <v>0</v>
      </c>
      <c r="CJ431" s="8">
        <f>SUM(CE431:CI431)</f>
        <v>0</v>
      </c>
      <c r="CL431" s="6"/>
      <c r="CM431" s="7"/>
      <c r="CN431" s="7"/>
      <c r="CO431" s="7"/>
      <c r="CP431" s="7"/>
      <c r="CQ431" s="16">
        <f t="shared" si="1945"/>
        <v>0</v>
      </c>
      <c r="CS431" s="6"/>
      <c r="CT431" s="7"/>
      <c r="CU431" s="7"/>
      <c r="CV431" s="7"/>
      <c r="CW431" s="7"/>
      <c r="CX431" s="16">
        <f t="shared" si="1946"/>
        <v>0</v>
      </c>
      <c r="CZ431" s="6"/>
      <c r="DA431" s="7"/>
      <c r="DB431" s="7"/>
      <c r="DC431" s="7"/>
      <c r="DD431" s="7"/>
      <c r="DE431" s="16">
        <f t="shared" si="1947"/>
        <v>0</v>
      </c>
    </row>
    <row r="432" spans="2:109" ht="14" thickBot="1">
      <c r="C432" s="567"/>
      <c r="E432" s="14" t="s">
        <v>62</v>
      </c>
      <c r="F432" s="23">
        <f t="shared" si="1933"/>
        <v>0</v>
      </c>
      <c r="G432" s="24">
        <f t="shared" si="1924"/>
        <v>0</v>
      </c>
      <c r="H432" s="24">
        <f t="shared" si="1925"/>
        <v>0</v>
      </c>
      <c r="I432" s="24">
        <f t="shared" si="1926"/>
        <v>0</v>
      </c>
      <c r="J432" s="24">
        <f t="shared" si="1927"/>
        <v>0</v>
      </c>
      <c r="K432" s="16">
        <f t="shared" si="1934"/>
        <v>0</v>
      </c>
      <c r="M432" s="6"/>
      <c r="N432" s="7"/>
      <c r="O432" s="7"/>
      <c r="P432" s="7"/>
      <c r="Q432" s="7"/>
      <c r="R432" s="16">
        <f t="shared" si="1935"/>
        <v>0</v>
      </c>
      <c r="T432" s="6"/>
      <c r="U432" s="7"/>
      <c r="V432" s="7"/>
      <c r="W432" s="7"/>
      <c r="X432" s="7"/>
      <c r="Y432" s="16">
        <f t="shared" si="1936"/>
        <v>0</v>
      </c>
      <c r="AA432" s="6"/>
      <c r="AB432" s="7"/>
      <c r="AC432" s="7"/>
      <c r="AD432" s="7"/>
      <c r="AE432" s="7"/>
      <c r="AF432" s="16">
        <f t="shared" si="1937"/>
        <v>0</v>
      </c>
      <c r="AH432" s="6"/>
      <c r="AI432" s="7"/>
      <c r="AJ432" s="7"/>
      <c r="AK432" s="7"/>
      <c r="AL432" s="7"/>
      <c r="AM432" s="16">
        <f t="shared" si="1938"/>
        <v>0</v>
      </c>
      <c r="AO432" s="6"/>
      <c r="AP432" s="7"/>
      <c r="AQ432" s="7"/>
      <c r="AR432" s="7"/>
      <c r="AS432" s="7"/>
      <c r="AT432" s="16">
        <f t="shared" si="1939"/>
        <v>0</v>
      </c>
      <c r="AV432" s="6"/>
      <c r="AW432" s="7"/>
      <c r="AX432" s="7"/>
      <c r="AY432" s="7"/>
      <c r="AZ432" s="7"/>
      <c r="BA432" s="16">
        <f t="shared" si="1940"/>
        <v>0</v>
      </c>
      <c r="BC432" s="6"/>
      <c r="BD432" s="7"/>
      <c r="BE432" s="7"/>
      <c r="BF432" s="7"/>
      <c r="BG432" s="7"/>
      <c r="BH432" s="16">
        <f t="shared" si="1941"/>
        <v>0</v>
      </c>
      <c r="BJ432" s="6"/>
      <c r="BK432" s="7"/>
      <c r="BL432" s="7"/>
      <c r="BM432" s="7"/>
      <c r="BN432" s="7"/>
      <c r="BO432" s="16">
        <f t="shared" si="1942"/>
        <v>0</v>
      </c>
      <c r="BQ432" s="6"/>
      <c r="BR432" s="7"/>
      <c r="BS432" s="7"/>
      <c r="BT432" s="7"/>
      <c r="BU432" s="7"/>
      <c r="BV432" s="16">
        <f t="shared" si="1943"/>
        <v>0</v>
      </c>
      <c r="BX432" s="6"/>
      <c r="BY432" s="7"/>
      <c r="BZ432" s="7"/>
      <c r="CA432" s="7"/>
      <c r="CB432" s="7"/>
      <c r="CC432" s="16">
        <f t="shared" si="1944"/>
        <v>0</v>
      </c>
      <c r="CE432" s="493">
        <f t="shared" si="1928"/>
        <v>0</v>
      </c>
      <c r="CF432" s="494">
        <f t="shared" si="1929"/>
        <v>0</v>
      </c>
      <c r="CG432" s="494">
        <f t="shared" si="1930"/>
        <v>0</v>
      </c>
      <c r="CH432" s="494">
        <f t="shared" si="1931"/>
        <v>0</v>
      </c>
      <c r="CI432" s="494">
        <f t="shared" si="1932"/>
        <v>0</v>
      </c>
      <c r="CJ432" s="495">
        <f>SUM(CE432:CI432)</f>
        <v>0</v>
      </c>
      <c r="CL432" s="6"/>
      <c r="CM432" s="7"/>
      <c r="CN432" s="7"/>
      <c r="CO432" s="7"/>
      <c r="CP432" s="7"/>
      <c r="CQ432" s="16">
        <f t="shared" si="1945"/>
        <v>0</v>
      </c>
      <c r="CS432" s="6"/>
      <c r="CT432" s="7"/>
      <c r="CU432" s="7"/>
      <c r="CV432" s="7"/>
      <c r="CW432" s="7"/>
      <c r="CX432" s="16">
        <f t="shared" si="1946"/>
        <v>0</v>
      </c>
      <c r="CZ432" s="6"/>
      <c r="DA432" s="7"/>
      <c r="DB432" s="7"/>
      <c r="DC432" s="7"/>
      <c r="DD432" s="7"/>
      <c r="DE432" s="16">
        <f t="shared" si="1947"/>
        <v>0</v>
      </c>
    </row>
    <row r="433" spans="3:109" ht="14" thickBot="1">
      <c r="C433" s="554"/>
      <c r="E433" s="17"/>
      <c r="F433" s="10">
        <f>SUM(F429:F432)</f>
        <v>0</v>
      </c>
      <c r="G433" s="11">
        <f t="shared" ref="G433:J433" si="1948">SUM(G429:G432)</f>
        <v>0</v>
      </c>
      <c r="H433" s="11">
        <f t="shared" si="1948"/>
        <v>0</v>
      </c>
      <c r="I433" s="11">
        <f t="shared" si="1948"/>
        <v>0</v>
      </c>
      <c r="J433" s="11">
        <f t="shared" si="1948"/>
        <v>0</v>
      </c>
      <c r="K433" s="25">
        <f>SUM(K429:K432)</f>
        <v>0</v>
      </c>
      <c r="M433" s="10">
        <f>SUM(M429:M432)</f>
        <v>0</v>
      </c>
      <c r="N433" s="11">
        <f t="shared" ref="N433:Q433" si="1949">SUM(N429:N432)</f>
        <v>0</v>
      </c>
      <c r="O433" s="11">
        <f t="shared" si="1949"/>
        <v>0</v>
      </c>
      <c r="P433" s="11">
        <f t="shared" si="1949"/>
        <v>0</v>
      </c>
      <c r="Q433" s="11">
        <f t="shared" si="1949"/>
        <v>0</v>
      </c>
      <c r="R433" s="25">
        <f>SUM(R429:R432)</f>
        <v>0</v>
      </c>
      <c r="T433" s="10">
        <f>SUM(T429:T432)</f>
        <v>0</v>
      </c>
      <c r="U433" s="11">
        <f t="shared" ref="U433:X433" si="1950">SUM(U429:U432)</f>
        <v>0</v>
      </c>
      <c r="V433" s="11">
        <f t="shared" si="1950"/>
        <v>0</v>
      </c>
      <c r="W433" s="11">
        <f t="shared" si="1950"/>
        <v>0</v>
      </c>
      <c r="X433" s="11">
        <f t="shared" si="1950"/>
        <v>0</v>
      </c>
      <c r="Y433" s="25">
        <f>SUM(Y429:Y432)</f>
        <v>0</v>
      </c>
      <c r="AA433" s="10">
        <f>SUM(AA429:AA432)</f>
        <v>0</v>
      </c>
      <c r="AB433" s="11">
        <f t="shared" ref="AB433:AE433" si="1951">SUM(AB429:AB432)</f>
        <v>0</v>
      </c>
      <c r="AC433" s="11">
        <f t="shared" si="1951"/>
        <v>0</v>
      </c>
      <c r="AD433" s="11">
        <f t="shared" si="1951"/>
        <v>0</v>
      </c>
      <c r="AE433" s="11">
        <f t="shared" si="1951"/>
        <v>0</v>
      </c>
      <c r="AF433" s="25">
        <f>SUM(AF429:AF432)</f>
        <v>0</v>
      </c>
      <c r="AH433" s="10">
        <f>SUM(AH429:AH432)</f>
        <v>0</v>
      </c>
      <c r="AI433" s="11">
        <f t="shared" ref="AI433:AL433" si="1952">SUM(AI429:AI432)</f>
        <v>0</v>
      </c>
      <c r="AJ433" s="11">
        <f t="shared" si="1952"/>
        <v>0</v>
      </c>
      <c r="AK433" s="11">
        <f t="shared" si="1952"/>
        <v>0</v>
      </c>
      <c r="AL433" s="11">
        <f t="shared" si="1952"/>
        <v>0</v>
      </c>
      <c r="AM433" s="25">
        <f>SUM(AM429:AM432)</f>
        <v>0</v>
      </c>
      <c r="AO433" s="10">
        <f>SUM(AO429:AO432)</f>
        <v>0</v>
      </c>
      <c r="AP433" s="11">
        <f t="shared" ref="AP433:AS433" si="1953">SUM(AP429:AP432)</f>
        <v>0</v>
      </c>
      <c r="AQ433" s="11">
        <f t="shared" si="1953"/>
        <v>0</v>
      </c>
      <c r="AR433" s="11">
        <f t="shared" si="1953"/>
        <v>0</v>
      </c>
      <c r="AS433" s="11">
        <f t="shared" si="1953"/>
        <v>0</v>
      </c>
      <c r="AT433" s="25">
        <f>SUM(AT429:AT432)</f>
        <v>0</v>
      </c>
      <c r="AV433" s="10">
        <f>SUM(AV429:AV432)</f>
        <v>0</v>
      </c>
      <c r="AW433" s="11">
        <f t="shared" ref="AW433:AZ433" si="1954">SUM(AW429:AW432)</f>
        <v>0</v>
      </c>
      <c r="AX433" s="11">
        <f t="shared" si="1954"/>
        <v>0</v>
      </c>
      <c r="AY433" s="11">
        <f t="shared" si="1954"/>
        <v>0</v>
      </c>
      <c r="AZ433" s="11">
        <f t="shared" si="1954"/>
        <v>0</v>
      </c>
      <c r="BA433" s="25">
        <f>SUM(BA429:BA432)</f>
        <v>0</v>
      </c>
      <c r="BC433" s="10">
        <f>SUM(BC429:BC432)</f>
        <v>0</v>
      </c>
      <c r="BD433" s="11">
        <f t="shared" ref="BD433:BG433" si="1955">SUM(BD429:BD432)</f>
        <v>0</v>
      </c>
      <c r="BE433" s="11">
        <f t="shared" si="1955"/>
        <v>0</v>
      </c>
      <c r="BF433" s="11">
        <f t="shared" si="1955"/>
        <v>0</v>
      </c>
      <c r="BG433" s="11">
        <f t="shared" si="1955"/>
        <v>0</v>
      </c>
      <c r="BH433" s="25">
        <f>SUM(BH429:BH432)</f>
        <v>0</v>
      </c>
      <c r="BJ433" s="10">
        <f>SUM(BJ429:BJ432)</f>
        <v>0</v>
      </c>
      <c r="BK433" s="11">
        <f t="shared" ref="BK433:BN433" si="1956">SUM(BK429:BK432)</f>
        <v>0</v>
      </c>
      <c r="BL433" s="11">
        <f t="shared" si="1956"/>
        <v>0</v>
      </c>
      <c r="BM433" s="11">
        <f t="shared" si="1956"/>
        <v>0</v>
      </c>
      <c r="BN433" s="11">
        <f t="shared" si="1956"/>
        <v>0</v>
      </c>
      <c r="BO433" s="25">
        <f>SUM(BO429:BO432)</f>
        <v>0</v>
      </c>
      <c r="BQ433" s="10">
        <f>SUM(BQ429:BQ432)</f>
        <v>0</v>
      </c>
      <c r="BR433" s="11">
        <f t="shared" ref="BR433:BU433" si="1957">SUM(BR429:BR432)</f>
        <v>0</v>
      </c>
      <c r="BS433" s="11">
        <f t="shared" si="1957"/>
        <v>0</v>
      </c>
      <c r="BT433" s="11">
        <f t="shared" si="1957"/>
        <v>0</v>
      </c>
      <c r="BU433" s="11">
        <f t="shared" si="1957"/>
        <v>0</v>
      </c>
      <c r="BV433" s="25">
        <f>SUM(BV429:BV432)</f>
        <v>0</v>
      </c>
      <c r="BX433" s="10">
        <f>SUM(BX429:BX432)</f>
        <v>0</v>
      </c>
      <c r="BY433" s="11">
        <f t="shared" ref="BY433:CB433" si="1958">SUM(BY429:BY432)</f>
        <v>0</v>
      </c>
      <c r="BZ433" s="11">
        <f t="shared" si="1958"/>
        <v>0</v>
      </c>
      <c r="CA433" s="11">
        <f t="shared" si="1958"/>
        <v>0</v>
      </c>
      <c r="CB433" s="11">
        <f t="shared" si="1958"/>
        <v>0</v>
      </c>
      <c r="CC433" s="25">
        <f>SUM(CC429:CC432)</f>
        <v>0</v>
      </c>
      <c r="CE433" s="62">
        <f t="shared" ref="CE433:CJ433" si="1959">SUM(CE429:CE432)</f>
        <v>0</v>
      </c>
      <c r="CF433" s="63">
        <f t="shared" si="1959"/>
        <v>0</v>
      </c>
      <c r="CG433" s="63">
        <f t="shared" si="1959"/>
        <v>0</v>
      </c>
      <c r="CH433" s="63">
        <f t="shared" si="1959"/>
        <v>0</v>
      </c>
      <c r="CI433" s="63">
        <f t="shared" si="1959"/>
        <v>0</v>
      </c>
      <c r="CJ433" s="25">
        <f t="shared" si="1959"/>
        <v>0</v>
      </c>
      <c r="CL433" s="10">
        <f>SUM(CL429:CL432)</f>
        <v>0</v>
      </c>
      <c r="CM433" s="11">
        <f t="shared" ref="CM433:CP433" si="1960">SUM(CM429:CM432)</f>
        <v>0</v>
      </c>
      <c r="CN433" s="11">
        <f t="shared" si="1960"/>
        <v>0</v>
      </c>
      <c r="CO433" s="11">
        <f t="shared" si="1960"/>
        <v>0</v>
      </c>
      <c r="CP433" s="11">
        <f t="shared" si="1960"/>
        <v>0</v>
      </c>
      <c r="CQ433" s="25">
        <f>SUM(CQ429:CQ432)</f>
        <v>0</v>
      </c>
      <c r="CS433" s="10">
        <f>SUM(CS429:CS432)</f>
        <v>0</v>
      </c>
      <c r="CT433" s="11">
        <f t="shared" ref="CT433:CW433" si="1961">SUM(CT429:CT432)</f>
        <v>0</v>
      </c>
      <c r="CU433" s="11">
        <f t="shared" si="1961"/>
        <v>0</v>
      </c>
      <c r="CV433" s="11">
        <f t="shared" si="1961"/>
        <v>0</v>
      </c>
      <c r="CW433" s="11">
        <f t="shared" si="1961"/>
        <v>0</v>
      </c>
      <c r="CX433" s="25">
        <f>SUM(CX429:CX432)</f>
        <v>0</v>
      </c>
      <c r="CZ433" s="10">
        <f>SUM(CZ429:CZ432)</f>
        <v>0</v>
      </c>
      <c r="DA433" s="11">
        <f t="shared" ref="DA433:DD433" si="1962">SUM(DA429:DA432)</f>
        <v>0</v>
      </c>
      <c r="DB433" s="11">
        <f t="shared" si="1962"/>
        <v>0</v>
      </c>
      <c r="DC433" s="11">
        <f t="shared" si="1962"/>
        <v>0</v>
      </c>
      <c r="DD433" s="11">
        <f t="shared" si="1962"/>
        <v>0</v>
      </c>
      <c r="DE433" s="25">
        <f>SUM(DE429:DE432)</f>
        <v>0</v>
      </c>
    </row>
    <row r="434" spans="3:109" ht="10.4" customHeight="1" thickBot="1"/>
    <row r="435" spans="3:109">
      <c r="C435" s="553">
        <v>2026</v>
      </c>
      <c r="E435" s="13" t="s">
        <v>59</v>
      </c>
      <c r="F435" s="21">
        <f>CE429</f>
        <v>0</v>
      </c>
      <c r="G435" s="22">
        <f t="shared" ref="G435:G438" si="1963">CF429</f>
        <v>0</v>
      </c>
      <c r="H435" s="22">
        <f t="shared" ref="H435:H438" si="1964">CG429</f>
        <v>0</v>
      </c>
      <c r="I435" s="22">
        <f t="shared" ref="I435:I438" si="1965">CH429</f>
        <v>0</v>
      </c>
      <c r="J435" s="22">
        <f t="shared" ref="J435:J438" si="1966">CI429</f>
        <v>0</v>
      </c>
      <c r="K435" s="4">
        <f>SUM(F435:J435)</f>
        <v>0</v>
      </c>
      <c r="M435" s="2"/>
      <c r="N435" s="3"/>
      <c r="O435" s="3"/>
      <c r="P435" s="3"/>
      <c r="Q435" s="3"/>
      <c r="R435" s="4">
        <f>SUM(M435:Q435)</f>
        <v>0</v>
      </c>
      <c r="T435" s="2"/>
      <c r="U435" s="3"/>
      <c r="V435" s="3"/>
      <c r="W435" s="3"/>
      <c r="X435" s="3"/>
      <c r="Y435" s="4">
        <f>SUM(T435:X435)</f>
        <v>0</v>
      </c>
      <c r="AA435" s="2"/>
      <c r="AB435" s="3"/>
      <c r="AC435" s="3"/>
      <c r="AD435" s="3"/>
      <c r="AE435" s="3"/>
      <c r="AF435" s="4">
        <f>SUM(AA435:AE435)</f>
        <v>0</v>
      </c>
      <c r="AH435" s="2"/>
      <c r="AI435" s="3"/>
      <c r="AJ435" s="3"/>
      <c r="AK435" s="3"/>
      <c r="AL435" s="3"/>
      <c r="AM435" s="4">
        <f>SUM(AH435:AL435)</f>
        <v>0</v>
      </c>
      <c r="AO435" s="2"/>
      <c r="AP435" s="3"/>
      <c r="AQ435" s="3"/>
      <c r="AR435" s="3"/>
      <c r="AS435" s="3"/>
      <c r="AT435" s="4">
        <f>SUM(AO435:AS435)</f>
        <v>0</v>
      </c>
      <c r="AV435" s="2"/>
      <c r="AW435" s="3"/>
      <c r="AX435" s="3"/>
      <c r="AY435" s="3"/>
      <c r="AZ435" s="3"/>
      <c r="BA435" s="4">
        <f>SUM(AV435:AZ435)</f>
        <v>0</v>
      </c>
      <c r="BC435" s="2"/>
      <c r="BD435" s="3"/>
      <c r="BE435" s="3"/>
      <c r="BF435" s="3"/>
      <c r="BG435" s="3"/>
      <c r="BH435" s="4">
        <f>SUM(BC435:BG435)</f>
        <v>0</v>
      </c>
      <c r="BJ435" s="2"/>
      <c r="BK435" s="3"/>
      <c r="BL435" s="3"/>
      <c r="BM435" s="3"/>
      <c r="BN435" s="3"/>
      <c r="BO435" s="4">
        <f>SUM(BJ435:BN435)</f>
        <v>0</v>
      </c>
      <c r="BQ435" s="2"/>
      <c r="BR435" s="3"/>
      <c r="BS435" s="3"/>
      <c r="BT435" s="3"/>
      <c r="BU435" s="3"/>
      <c r="BV435" s="4">
        <f>SUM(BQ435:BU435)</f>
        <v>0</v>
      </c>
      <c r="BX435" s="2"/>
      <c r="BY435" s="3"/>
      <c r="BZ435" s="3"/>
      <c r="CA435" s="3"/>
      <c r="CB435" s="3"/>
      <c r="CC435" s="4">
        <f>SUM(BX435:CB435)</f>
        <v>0</v>
      </c>
      <c r="CE435" s="26">
        <f t="shared" ref="CE435:CE438" si="1967">F435+M435+T435+AA435+AH435+AO435+AV435+BC435+BJ435+BQ435+BX435</f>
        <v>0</v>
      </c>
      <c r="CF435" s="27">
        <f t="shared" ref="CF435:CF438" si="1968">G435+N435+U435+AB435+AI435+AP435+AW435+BD435+BK435+BR435+BY435</f>
        <v>0</v>
      </c>
      <c r="CG435" s="27">
        <f t="shared" ref="CG435:CG438" si="1969">H435+O435+V435+AC435+AJ435+AQ435+AX435+BE435+BL435+BS435+BZ435</f>
        <v>0</v>
      </c>
      <c r="CH435" s="27">
        <f t="shared" ref="CH435:CH438" si="1970">I435+P435+W435+AD435+AK435+AR435+AY435+BF435+BM435+BT435+CA435</f>
        <v>0</v>
      </c>
      <c r="CI435" s="27">
        <f t="shared" ref="CI435:CI438" si="1971">J435+Q435+X435+AE435+AL435+AS435+AZ435+BG435+BN435+BU435+CB435</f>
        <v>0</v>
      </c>
      <c r="CJ435" s="4">
        <f>SUM(CE435:CI435)</f>
        <v>0</v>
      </c>
      <c r="CL435" s="2"/>
      <c r="CM435" s="3"/>
      <c r="CN435" s="3"/>
      <c r="CO435" s="3"/>
      <c r="CP435" s="3"/>
      <c r="CQ435" s="4">
        <f>SUM(CL435:CP435)</f>
        <v>0</v>
      </c>
      <c r="CS435" s="2"/>
      <c r="CT435" s="3"/>
      <c r="CU435" s="3"/>
      <c r="CV435" s="3"/>
      <c r="CW435" s="3"/>
      <c r="CX435" s="4">
        <f>SUM(CS435:CW435)</f>
        <v>0</v>
      </c>
      <c r="CZ435" s="2"/>
      <c r="DA435" s="3"/>
      <c r="DB435" s="3"/>
      <c r="DC435" s="3"/>
      <c r="DD435" s="3"/>
      <c r="DE435" s="4">
        <f>SUM(CZ435:DD435)</f>
        <v>0</v>
      </c>
    </row>
    <row r="436" spans="3:109">
      <c r="C436" s="567"/>
      <c r="E436" s="14" t="s">
        <v>60</v>
      </c>
      <c r="F436" s="23">
        <f t="shared" ref="F436:F438" si="1972">CE430</f>
        <v>0</v>
      </c>
      <c r="G436" s="24">
        <f t="shared" si="1963"/>
        <v>0</v>
      </c>
      <c r="H436" s="24">
        <f t="shared" si="1964"/>
        <v>0</v>
      </c>
      <c r="I436" s="24">
        <f t="shared" si="1965"/>
        <v>0</v>
      </c>
      <c r="J436" s="24">
        <f t="shared" si="1966"/>
        <v>0</v>
      </c>
      <c r="K436" s="8">
        <f t="shared" ref="K436:K438" si="1973">SUM(F436:J436)</f>
        <v>0</v>
      </c>
      <c r="M436" s="6"/>
      <c r="N436" s="7"/>
      <c r="O436" s="7"/>
      <c r="P436" s="7"/>
      <c r="Q436" s="7"/>
      <c r="R436" s="8">
        <f t="shared" ref="R436:R438" si="1974">SUM(M436:Q436)</f>
        <v>0</v>
      </c>
      <c r="T436" s="6"/>
      <c r="U436" s="7"/>
      <c r="V436" s="7"/>
      <c r="W436" s="7"/>
      <c r="X436" s="7"/>
      <c r="Y436" s="8">
        <f t="shared" ref="Y436:Y438" si="1975">SUM(T436:X436)</f>
        <v>0</v>
      </c>
      <c r="AA436" s="6"/>
      <c r="AB436" s="7"/>
      <c r="AC436" s="7"/>
      <c r="AD436" s="7"/>
      <c r="AE436" s="7"/>
      <c r="AF436" s="8">
        <f t="shared" ref="AF436:AF438" si="1976">SUM(AA436:AE436)</f>
        <v>0</v>
      </c>
      <c r="AH436" s="6"/>
      <c r="AI436" s="7"/>
      <c r="AJ436" s="7"/>
      <c r="AK436" s="7"/>
      <c r="AL436" s="7"/>
      <c r="AM436" s="8">
        <f t="shared" ref="AM436:AM438" si="1977">SUM(AH436:AL436)</f>
        <v>0</v>
      </c>
      <c r="AO436" s="6"/>
      <c r="AP436" s="7"/>
      <c r="AQ436" s="7"/>
      <c r="AR436" s="7"/>
      <c r="AS436" s="7"/>
      <c r="AT436" s="8">
        <f t="shared" ref="AT436:AT438" si="1978">SUM(AO436:AS436)</f>
        <v>0</v>
      </c>
      <c r="AV436" s="6"/>
      <c r="AW436" s="7"/>
      <c r="AX436" s="7"/>
      <c r="AY436" s="7"/>
      <c r="AZ436" s="7"/>
      <c r="BA436" s="8">
        <f t="shared" ref="BA436:BA438" si="1979">SUM(AV436:AZ436)</f>
        <v>0</v>
      </c>
      <c r="BC436" s="6"/>
      <c r="BD436" s="7"/>
      <c r="BE436" s="7"/>
      <c r="BF436" s="7"/>
      <c r="BG436" s="7"/>
      <c r="BH436" s="8">
        <f t="shared" ref="BH436:BH438" si="1980">SUM(BC436:BG436)</f>
        <v>0</v>
      </c>
      <c r="BJ436" s="6"/>
      <c r="BK436" s="7"/>
      <c r="BL436" s="7"/>
      <c r="BM436" s="7"/>
      <c r="BN436" s="7"/>
      <c r="BO436" s="8">
        <f t="shared" ref="BO436:BO438" si="1981">SUM(BJ436:BN436)</f>
        <v>0</v>
      </c>
      <c r="BQ436" s="6"/>
      <c r="BR436" s="7"/>
      <c r="BS436" s="7"/>
      <c r="BT436" s="7"/>
      <c r="BU436" s="7"/>
      <c r="BV436" s="8">
        <f t="shared" ref="BV436:BV438" si="1982">SUM(BQ436:BU436)</f>
        <v>0</v>
      </c>
      <c r="BX436" s="6"/>
      <c r="BY436" s="7"/>
      <c r="BZ436" s="7"/>
      <c r="CA436" s="7"/>
      <c r="CB436" s="7"/>
      <c r="CC436" s="8">
        <f t="shared" ref="CC436:CC438" si="1983">SUM(BX436:CB436)</f>
        <v>0</v>
      </c>
      <c r="CE436" s="28">
        <f t="shared" si="1967"/>
        <v>0</v>
      </c>
      <c r="CF436" s="29">
        <f t="shared" si="1968"/>
        <v>0</v>
      </c>
      <c r="CG436" s="29">
        <f t="shared" si="1969"/>
        <v>0</v>
      </c>
      <c r="CH436" s="29">
        <f t="shared" si="1970"/>
        <v>0</v>
      </c>
      <c r="CI436" s="29">
        <f t="shared" si="1971"/>
        <v>0</v>
      </c>
      <c r="CJ436" s="8">
        <f>SUM(CE436:CI436)</f>
        <v>0</v>
      </c>
      <c r="CL436" s="6"/>
      <c r="CM436" s="7"/>
      <c r="CN436" s="7"/>
      <c r="CO436" s="7"/>
      <c r="CP436" s="7"/>
      <c r="CQ436" s="8">
        <f t="shared" ref="CQ436:CQ438" si="1984">SUM(CL436:CP436)</f>
        <v>0</v>
      </c>
      <c r="CS436" s="6"/>
      <c r="CT436" s="7"/>
      <c r="CU436" s="7"/>
      <c r="CV436" s="7"/>
      <c r="CW436" s="7"/>
      <c r="CX436" s="8">
        <f t="shared" ref="CX436:CX438" si="1985">SUM(CS436:CW436)</f>
        <v>0</v>
      </c>
      <c r="CZ436" s="6"/>
      <c r="DA436" s="7"/>
      <c r="DB436" s="7"/>
      <c r="DC436" s="7"/>
      <c r="DD436" s="7"/>
      <c r="DE436" s="8">
        <f t="shared" ref="DE436:DE438" si="1986">SUM(CZ436:DD436)</f>
        <v>0</v>
      </c>
    </row>
    <row r="437" spans="3:109">
      <c r="C437" s="567"/>
      <c r="E437" s="14" t="s">
        <v>61</v>
      </c>
      <c r="F437" s="23">
        <f t="shared" si="1972"/>
        <v>0</v>
      </c>
      <c r="G437" s="24">
        <f t="shared" si="1963"/>
        <v>0</v>
      </c>
      <c r="H437" s="24">
        <f t="shared" si="1964"/>
        <v>0</v>
      </c>
      <c r="I437" s="24">
        <f t="shared" si="1965"/>
        <v>0</v>
      </c>
      <c r="J437" s="24">
        <f t="shared" si="1966"/>
        <v>0</v>
      </c>
      <c r="K437" s="8">
        <f t="shared" si="1973"/>
        <v>0</v>
      </c>
      <c r="M437" s="6"/>
      <c r="N437" s="7"/>
      <c r="O437" s="7"/>
      <c r="P437" s="7"/>
      <c r="Q437" s="7"/>
      <c r="R437" s="8">
        <f t="shared" si="1974"/>
        <v>0</v>
      </c>
      <c r="T437" s="6"/>
      <c r="U437" s="7"/>
      <c r="V437" s="7"/>
      <c r="W437" s="7"/>
      <c r="X437" s="7"/>
      <c r="Y437" s="8">
        <f t="shared" si="1975"/>
        <v>0</v>
      </c>
      <c r="AA437" s="6"/>
      <c r="AB437" s="7"/>
      <c r="AC437" s="7"/>
      <c r="AD437" s="7"/>
      <c r="AE437" s="7"/>
      <c r="AF437" s="8">
        <f t="shared" si="1976"/>
        <v>0</v>
      </c>
      <c r="AH437" s="6"/>
      <c r="AI437" s="7"/>
      <c r="AJ437" s="7"/>
      <c r="AK437" s="7"/>
      <c r="AL437" s="7"/>
      <c r="AM437" s="8">
        <f t="shared" si="1977"/>
        <v>0</v>
      </c>
      <c r="AO437" s="6"/>
      <c r="AP437" s="7"/>
      <c r="AQ437" s="7"/>
      <c r="AR437" s="7"/>
      <c r="AS437" s="7"/>
      <c r="AT437" s="8">
        <f t="shared" si="1978"/>
        <v>0</v>
      </c>
      <c r="AV437" s="6"/>
      <c r="AW437" s="7"/>
      <c r="AX437" s="7"/>
      <c r="AY437" s="7"/>
      <c r="AZ437" s="7"/>
      <c r="BA437" s="8">
        <f t="shared" si="1979"/>
        <v>0</v>
      </c>
      <c r="BC437" s="6"/>
      <c r="BD437" s="7"/>
      <c r="BE437" s="7"/>
      <c r="BF437" s="7"/>
      <c r="BG437" s="7"/>
      <c r="BH437" s="8">
        <f t="shared" si="1980"/>
        <v>0</v>
      </c>
      <c r="BJ437" s="6"/>
      <c r="BK437" s="7"/>
      <c r="BL437" s="7"/>
      <c r="BM437" s="7"/>
      <c r="BN437" s="7"/>
      <c r="BO437" s="8">
        <f t="shared" si="1981"/>
        <v>0</v>
      </c>
      <c r="BQ437" s="6"/>
      <c r="BR437" s="7"/>
      <c r="BS437" s="7"/>
      <c r="BT437" s="7"/>
      <c r="BU437" s="7"/>
      <c r="BV437" s="8">
        <f t="shared" si="1982"/>
        <v>0</v>
      </c>
      <c r="BX437" s="6"/>
      <c r="BY437" s="7"/>
      <c r="BZ437" s="7"/>
      <c r="CA437" s="7"/>
      <c r="CB437" s="7"/>
      <c r="CC437" s="8">
        <f t="shared" si="1983"/>
        <v>0</v>
      </c>
      <c r="CE437" s="28">
        <f t="shared" si="1967"/>
        <v>0</v>
      </c>
      <c r="CF437" s="29">
        <f t="shared" si="1968"/>
        <v>0</v>
      </c>
      <c r="CG437" s="29">
        <f t="shared" si="1969"/>
        <v>0</v>
      </c>
      <c r="CH437" s="29">
        <f t="shared" si="1970"/>
        <v>0</v>
      </c>
      <c r="CI437" s="29">
        <f t="shared" si="1971"/>
        <v>0</v>
      </c>
      <c r="CJ437" s="8">
        <f>SUM(CE437:CI437)</f>
        <v>0</v>
      </c>
      <c r="CL437" s="6"/>
      <c r="CM437" s="7"/>
      <c r="CN437" s="7"/>
      <c r="CO437" s="7"/>
      <c r="CP437" s="7"/>
      <c r="CQ437" s="8">
        <f t="shared" si="1984"/>
        <v>0</v>
      </c>
      <c r="CS437" s="6"/>
      <c r="CT437" s="7"/>
      <c r="CU437" s="7"/>
      <c r="CV437" s="7"/>
      <c r="CW437" s="7"/>
      <c r="CX437" s="8">
        <f t="shared" si="1985"/>
        <v>0</v>
      </c>
      <c r="CZ437" s="6"/>
      <c r="DA437" s="7"/>
      <c r="DB437" s="7"/>
      <c r="DC437" s="7"/>
      <c r="DD437" s="7"/>
      <c r="DE437" s="8">
        <f t="shared" si="1986"/>
        <v>0</v>
      </c>
    </row>
    <row r="438" spans="3:109" ht="14" thickBot="1">
      <c r="C438" s="567"/>
      <c r="E438" s="14" t="s">
        <v>62</v>
      </c>
      <c r="F438" s="23">
        <f t="shared" si="1972"/>
        <v>0</v>
      </c>
      <c r="G438" s="24">
        <f t="shared" si="1963"/>
        <v>0</v>
      </c>
      <c r="H438" s="24">
        <f t="shared" si="1964"/>
        <v>0</v>
      </c>
      <c r="I438" s="24">
        <f t="shared" si="1965"/>
        <v>0</v>
      </c>
      <c r="J438" s="24">
        <f t="shared" si="1966"/>
        <v>0</v>
      </c>
      <c r="K438" s="8">
        <f t="shared" si="1973"/>
        <v>0</v>
      </c>
      <c r="M438" s="6"/>
      <c r="N438" s="7"/>
      <c r="O438" s="7"/>
      <c r="P438" s="7"/>
      <c r="Q438" s="7"/>
      <c r="R438" s="8">
        <f t="shared" si="1974"/>
        <v>0</v>
      </c>
      <c r="T438" s="6"/>
      <c r="U438" s="7"/>
      <c r="V438" s="7"/>
      <c r="W438" s="7"/>
      <c r="X438" s="7"/>
      <c r="Y438" s="8">
        <f t="shared" si="1975"/>
        <v>0</v>
      </c>
      <c r="AA438" s="6"/>
      <c r="AB438" s="7"/>
      <c r="AC438" s="7"/>
      <c r="AD438" s="7"/>
      <c r="AE438" s="7"/>
      <c r="AF438" s="8">
        <f t="shared" si="1976"/>
        <v>0</v>
      </c>
      <c r="AH438" s="6"/>
      <c r="AI438" s="7"/>
      <c r="AJ438" s="7"/>
      <c r="AK438" s="7"/>
      <c r="AL438" s="7"/>
      <c r="AM438" s="8">
        <f t="shared" si="1977"/>
        <v>0</v>
      </c>
      <c r="AO438" s="6"/>
      <c r="AP438" s="7"/>
      <c r="AQ438" s="7"/>
      <c r="AR438" s="7"/>
      <c r="AS438" s="7"/>
      <c r="AT438" s="8">
        <f t="shared" si="1978"/>
        <v>0</v>
      </c>
      <c r="AV438" s="6"/>
      <c r="AW438" s="7"/>
      <c r="AX438" s="7"/>
      <c r="AY438" s="7"/>
      <c r="AZ438" s="7"/>
      <c r="BA438" s="8">
        <f t="shared" si="1979"/>
        <v>0</v>
      </c>
      <c r="BC438" s="6"/>
      <c r="BD438" s="7"/>
      <c r="BE438" s="7"/>
      <c r="BF438" s="7"/>
      <c r="BG438" s="7"/>
      <c r="BH438" s="8">
        <f t="shared" si="1980"/>
        <v>0</v>
      </c>
      <c r="BJ438" s="6"/>
      <c r="BK438" s="7"/>
      <c r="BL438" s="7"/>
      <c r="BM438" s="7"/>
      <c r="BN438" s="7"/>
      <c r="BO438" s="8">
        <f t="shared" si="1981"/>
        <v>0</v>
      </c>
      <c r="BQ438" s="6"/>
      <c r="BR438" s="7"/>
      <c r="BS438" s="7"/>
      <c r="BT438" s="7"/>
      <c r="BU438" s="7"/>
      <c r="BV438" s="8">
        <f t="shared" si="1982"/>
        <v>0</v>
      </c>
      <c r="BX438" s="6"/>
      <c r="BY438" s="7"/>
      <c r="BZ438" s="7"/>
      <c r="CA438" s="7"/>
      <c r="CB438" s="7"/>
      <c r="CC438" s="8">
        <f t="shared" si="1983"/>
        <v>0</v>
      </c>
      <c r="CE438" s="493">
        <f t="shared" si="1967"/>
        <v>0</v>
      </c>
      <c r="CF438" s="494">
        <f t="shared" si="1968"/>
        <v>0</v>
      </c>
      <c r="CG438" s="494">
        <f t="shared" si="1969"/>
        <v>0</v>
      </c>
      <c r="CH438" s="494">
        <f t="shared" si="1970"/>
        <v>0</v>
      </c>
      <c r="CI438" s="494">
        <f t="shared" si="1971"/>
        <v>0</v>
      </c>
      <c r="CJ438" s="495">
        <f>SUM(CE438:CI438)</f>
        <v>0</v>
      </c>
      <c r="CL438" s="6"/>
      <c r="CM438" s="7"/>
      <c r="CN438" s="7"/>
      <c r="CO438" s="7"/>
      <c r="CP438" s="7"/>
      <c r="CQ438" s="8">
        <f t="shared" si="1984"/>
        <v>0</v>
      </c>
      <c r="CS438" s="6"/>
      <c r="CT438" s="7"/>
      <c r="CU438" s="7"/>
      <c r="CV438" s="7"/>
      <c r="CW438" s="7"/>
      <c r="CX438" s="8">
        <f t="shared" si="1985"/>
        <v>0</v>
      </c>
      <c r="CZ438" s="6"/>
      <c r="DA438" s="7"/>
      <c r="DB438" s="7"/>
      <c r="DC438" s="7"/>
      <c r="DD438" s="7"/>
      <c r="DE438" s="8">
        <f t="shared" si="1986"/>
        <v>0</v>
      </c>
    </row>
    <row r="439" spans="3:109" ht="14" thickBot="1">
      <c r="C439" s="554"/>
      <c r="E439" s="17"/>
      <c r="F439" s="10">
        <f>SUM(F435:F438)</f>
        <v>0</v>
      </c>
      <c r="G439" s="11">
        <f t="shared" ref="G439:J439" si="1987">SUM(G435:G438)</f>
        <v>0</v>
      </c>
      <c r="H439" s="11">
        <f t="shared" si="1987"/>
        <v>0</v>
      </c>
      <c r="I439" s="11">
        <f t="shared" si="1987"/>
        <v>0</v>
      </c>
      <c r="J439" s="11">
        <f t="shared" si="1987"/>
        <v>0</v>
      </c>
      <c r="K439" s="25">
        <f>SUM(K435:K438)</f>
        <v>0</v>
      </c>
      <c r="M439" s="10">
        <f>SUM(M435:M438)</f>
        <v>0</v>
      </c>
      <c r="N439" s="11">
        <f t="shared" ref="N439:Q439" si="1988">SUM(N435:N438)</f>
        <v>0</v>
      </c>
      <c r="O439" s="11">
        <f t="shared" si="1988"/>
        <v>0</v>
      </c>
      <c r="P439" s="11">
        <f t="shared" si="1988"/>
        <v>0</v>
      </c>
      <c r="Q439" s="11">
        <f t="shared" si="1988"/>
        <v>0</v>
      </c>
      <c r="R439" s="25">
        <f>SUM(R435:R438)</f>
        <v>0</v>
      </c>
      <c r="T439" s="10">
        <f>SUM(T435:T438)</f>
        <v>0</v>
      </c>
      <c r="U439" s="11">
        <f t="shared" ref="U439:X439" si="1989">SUM(U435:U438)</f>
        <v>0</v>
      </c>
      <c r="V439" s="11">
        <f t="shared" si="1989"/>
        <v>0</v>
      </c>
      <c r="W439" s="11">
        <f t="shared" si="1989"/>
        <v>0</v>
      </c>
      <c r="X439" s="11">
        <f t="shared" si="1989"/>
        <v>0</v>
      </c>
      <c r="Y439" s="25">
        <f>SUM(Y435:Y438)</f>
        <v>0</v>
      </c>
      <c r="AA439" s="10">
        <f>SUM(AA435:AA438)</f>
        <v>0</v>
      </c>
      <c r="AB439" s="11">
        <f t="shared" ref="AB439:AE439" si="1990">SUM(AB435:AB438)</f>
        <v>0</v>
      </c>
      <c r="AC439" s="11">
        <f t="shared" si="1990"/>
        <v>0</v>
      </c>
      <c r="AD439" s="11">
        <f t="shared" si="1990"/>
        <v>0</v>
      </c>
      <c r="AE439" s="11">
        <f t="shared" si="1990"/>
        <v>0</v>
      </c>
      <c r="AF439" s="25">
        <f>SUM(AF435:AF438)</f>
        <v>0</v>
      </c>
      <c r="AH439" s="10">
        <f>SUM(AH435:AH438)</f>
        <v>0</v>
      </c>
      <c r="AI439" s="11">
        <f t="shared" ref="AI439:AL439" si="1991">SUM(AI435:AI438)</f>
        <v>0</v>
      </c>
      <c r="AJ439" s="11">
        <f t="shared" si="1991"/>
        <v>0</v>
      </c>
      <c r="AK439" s="11">
        <f t="shared" si="1991"/>
        <v>0</v>
      </c>
      <c r="AL439" s="11">
        <f t="shared" si="1991"/>
        <v>0</v>
      </c>
      <c r="AM439" s="25">
        <f>SUM(AM435:AM438)</f>
        <v>0</v>
      </c>
      <c r="AO439" s="10">
        <f>SUM(AO435:AO438)</f>
        <v>0</v>
      </c>
      <c r="AP439" s="11">
        <f t="shared" ref="AP439:AS439" si="1992">SUM(AP435:AP438)</f>
        <v>0</v>
      </c>
      <c r="AQ439" s="11">
        <f t="shared" si="1992"/>
        <v>0</v>
      </c>
      <c r="AR439" s="11">
        <f t="shared" si="1992"/>
        <v>0</v>
      </c>
      <c r="AS439" s="11">
        <f t="shared" si="1992"/>
        <v>0</v>
      </c>
      <c r="AT439" s="25">
        <f>SUM(AT435:AT438)</f>
        <v>0</v>
      </c>
      <c r="AV439" s="10">
        <f>SUM(AV435:AV438)</f>
        <v>0</v>
      </c>
      <c r="AW439" s="11">
        <f t="shared" ref="AW439:AZ439" si="1993">SUM(AW435:AW438)</f>
        <v>0</v>
      </c>
      <c r="AX439" s="11">
        <f t="shared" si="1993"/>
        <v>0</v>
      </c>
      <c r="AY439" s="11">
        <f t="shared" si="1993"/>
        <v>0</v>
      </c>
      <c r="AZ439" s="11">
        <f t="shared" si="1993"/>
        <v>0</v>
      </c>
      <c r="BA439" s="25">
        <f>SUM(BA435:BA438)</f>
        <v>0</v>
      </c>
      <c r="BC439" s="10">
        <f>SUM(BC435:BC438)</f>
        <v>0</v>
      </c>
      <c r="BD439" s="11">
        <f t="shared" ref="BD439:BG439" si="1994">SUM(BD435:BD438)</f>
        <v>0</v>
      </c>
      <c r="BE439" s="11">
        <f t="shared" si="1994"/>
        <v>0</v>
      </c>
      <c r="BF439" s="11">
        <f t="shared" si="1994"/>
        <v>0</v>
      </c>
      <c r="BG439" s="11">
        <f t="shared" si="1994"/>
        <v>0</v>
      </c>
      <c r="BH439" s="25">
        <f>SUM(BH435:BH438)</f>
        <v>0</v>
      </c>
      <c r="BJ439" s="10">
        <f>SUM(BJ435:BJ438)</f>
        <v>0</v>
      </c>
      <c r="BK439" s="11">
        <f t="shared" ref="BK439:BN439" si="1995">SUM(BK435:BK438)</f>
        <v>0</v>
      </c>
      <c r="BL439" s="11">
        <f t="shared" si="1995"/>
        <v>0</v>
      </c>
      <c r="BM439" s="11">
        <f t="shared" si="1995"/>
        <v>0</v>
      </c>
      <c r="BN439" s="11">
        <f t="shared" si="1995"/>
        <v>0</v>
      </c>
      <c r="BO439" s="25">
        <f>SUM(BO435:BO438)</f>
        <v>0</v>
      </c>
      <c r="BQ439" s="10">
        <f>SUM(BQ435:BQ438)</f>
        <v>0</v>
      </c>
      <c r="BR439" s="11">
        <f t="shared" ref="BR439:BU439" si="1996">SUM(BR435:BR438)</f>
        <v>0</v>
      </c>
      <c r="BS439" s="11">
        <f t="shared" si="1996"/>
        <v>0</v>
      </c>
      <c r="BT439" s="11">
        <f t="shared" si="1996"/>
        <v>0</v>
      </c>
      <c r="BU439" s="11">
        <f t="shared" si="1996"/>
        <v>0</v>
      </c>
      <c r="BV439" s="25">
        <f>SUM(BV435:BV438)</f>
        <v>0</v>
      </c>
      <c r="BX439" s="10">
        <f>SUM(BX435:BX438)</f>
        <v>0</v>
      </c>
      <c r="BY439" s="11">
        <f t="shared" ref="BY439:CB439" si="1997">SUM(BY435:BY438)</f>
        <v>0</v>
      </c>
      <c r="BZ439" s="11">
        <f t="shared" si="1997"/>
        <v>0</v>
      </c>
      <c r="CA439" s="11">
        <f t="shared" si="1997"/>
        <v>0</v>
      </c>
      <c r="CB439" s="11">
        <f t="shared" si="1997"/>
        <v>0</v>
      </c>
      <c r="CC439" s="25">
        <f>SUM(CC435:CC438)</f>
        <v>0</v>
      </c>
      <c r="CE439" s="62">
        <f t="shared" ref="CE439:CJ439" si="1998">SUM(CE435:CE438)</f>
        <v>0</v>
      </c>
      <c r="CF439" s="63">
        <f t="shared" si="1998"/>
        <v>0</v>
      </c>
      <c r="CG439" s="63">
        <f t="shared" si="1998"/>
        <v>0</v>
      </c>
      <c r="CH439" s="63">
        <f t="shared" si="1998"/>
        <v>0</v>
      </c>
      <c r="CI439" s="63">
        <f t="shared" si="1998"/>
        <v>0</v>
      </c>
      <c r="CJ439" s="25">
        <f t="shared" si="1998"/>
        <v>0</v>
      </c>
      <c r="CL439" s="10">
        <f>SUM(CL435:CL438)</f>
        <v>0</v>
      </c>
      <c r="CM439" s="11">
        <f t="shared" ref="CM439:CP439" si="1999">SUM(CM435:CM438)</f>
        <v>0</v>
      </c>
      <c r="CN439" s="11">
        <f t="shared" si="1999"/>
        <v>0</v>
      </c>
      <c r="CO439" s="11">
        <f t="shared" si="1999"/>
        <v>0</v>
      </c>
      <c r="CP439" s="11">
        <f t="shared" si="1999"/>
        <v>0</v>
      </c>
      <c r="CQ439" s="25">
        <f>SUM(CQ435:CQ438)</f>
        <v>0</v>
      </c>
      <c r="CS439" s="10">
        <f>SUM(CS435:CS438)</f>
        <v>0</v>
      </c>
      <c r="CT439" s="11">
        <f t="shared" ref="CT439:CW439" si="2000">SUM(CT435:CT438)</f>
        <v>0</v>
      </c>
      <c r="CU439" s="11">
        <f t="shared" si="2000"/>
        <v>0</v>
      </c>
      <c r="CV439" s="11">
        <f t="shared" si="2000"/>
        <v>0</v>
      </c>
      <c r="CW439" s="11">
        <f t="shared" si="2000"/>
        <v>0</v>
      </c>
      <c r="CX439" s="25">
        <f>SUM(CX435:CX438)</f>
        <v>0</v>
      </c>
      <c r="CZ439" s="10">
        <f>SUM(CZ435:CZ438)</f>
        <v>0</v>
      </c>
      <c r="DA439" s="11">
        <f t="shared" ref="DA439:DD439" si="2001">SUM(DA435:DA438)</f>
        <v>0</v>
      </c>
      <c r="DB439" s="11">
        <f t="shared" si="2001"/>
        <v>0</v>
      </c>
      <c r="DC439" s="11">
        <f t="shared" si="2001"/>
        <v>0</v>
      </c>
      <c r="DD439" s="11">
        <f t="shared" si="2001"/>
        <v>0</v>
      </c>
      <c r="DE439" s="25">
        <f>SUM(DE435:DE438)</f>
        <v>0</v>
      </c>
    </row>
    <row r="440" spans="3:109" ht="10.4" customHeight="1" thickBot="1"/>
    <row r="441" spans="3:109">
      <c r="C441" s="553">
        <v>2027</v>
      </c>
      <c r="E441" s="13" t="s">
        <v>59</v>
      </c>
      <c r="F441" s="21">
        <f>CE435</f>
        <v>0</v>
      </c>
      <c r="G441" s="22">
        <f t="shared" ref="G441:G444" si="2002">CF435</f>
        <v>0</v>
      </c>
      <c r="H441" s="22">
        <f t="shared" ref="H441:H444" si="2003">CG435</f>
        <v>0</v>
      </c>
      <c r="I441" s="22">
        <f t="shared" ref="I441:I444" si="2004">CH435</f>
        <v>0</v>
      </c>
      <c r="J441" s="22">
        <f t="shared" ref="J441:J444" si="2005">CI435</f>
        <v>0</v>
      </c>
      <c r="K441" s="4">
        <f>SUM(F441:J441)</f>
        <v>0</v>
      </c>
      <c r="M441" s="2"/>
      <c r="N441" s="3"/>
      <c r="O441" s="3"/>
      <c r="P441" s="3"/>
      <c r="Q441" s="3"/>
      <c r="R441" s="4">
        <f>SUM(M441:Q441)</f>
        <v>0</v>
      </c>
      <c r="T441" s="2"/>
      <c r="U441" s="3"/>
      <c r="V441" s="3"/>
      <c r="W441" s="3"/>
      <c r="X441" s="3"/>
      <c r="Y441" s="4">
        <f>SUM(T441:X441)</f>
        <v>0</v>
      </c>
      <c r="AA441" s="2"/>
      <c r="AB441" s="3"/>
      <c r="AC441" s="3"/>
      <c r="AD441" s="3"/>
      <c r="AE441" s="3"/>
      <c r="AF441" s="4">
        <f>SUM(AA441:AE441)</f>
        <v>0</v>
      </c>
      <c r="AH441" s="2"/>
      <c r="AI441" s="3"/>
      <c r="AJ441" s="3"/>
      <c r="AK441" s="3"/>
      <c r="AL441" s="3"/>
      <c r="AM441" s="4">
        <f>SUM(AH441:AL441)</f>
        <v>0</v>
      </c>
      <c r="AO441" s="2"/>
      <c r="AP441" s="3"/>
      <c r="AQ441" s="3"/>
      <c r="AR441" s="3"/>
      <c r="AS441" s="3"/>
      <c r="AT441" s="4">
        <f>SUM(AO441:AS441)</f>
        <v>0</v>
      </c>
      <c r="AV441" s="2"/>
      <c r="AW441" s="3"/>
      <c r="AX441" s="3"/>
      <c r="AY441" s="3"/>
      <c r="AZ441" s="3"/>
      <c r="BA441" s="4">
        <f>SUM(AV441:AZ441)</f>
        <v>0</v>
      </c>
      <c r="BC441" s="2"/>
      <c r="BD441" s="3"/>
      <c r="BE441" s="3"/>
      <c r="BF441" s="3"/>
      <c r="BG441" s="3"/>
      <c r="BH441" s="4">
        <f>SUM(BC441:BG441)</f>
        <v>0</v>
      </c>
      <c r="BJ441" s="2"/>
      <c r="BK441" s="3"/>
      <c r="BL441" s="3"/>
      <c r="BM441" s="3"/>
      <c r="BN441" s="3"/>
      <c r="BO441" s="4">
        <f>SUM(BJ441:BN441)</f>
        <v>0</v>
      </c>
      <c r="BQ441" s="2"/>
      <c r="BR441" s="3"/>
      <c r="BS441" s="3"/>
      <c r="BT441" s="3"/>
      <c r="BU441" s="3"/>
      <c r="BV441" s="4">
        <f>SUM(BQ441:BU441)</f>
        <v>0</v>
      </c>
      <c r="BX441" s="2"/>
      <c r="BY441" s="3"/>
      <c r="BZ441" s="3"/>
      <c r="CA441" s="3"/>
      <c r="CB441" s="3"/>
      <c r="CC441" s="4">
        <f>SUM(BX441:CB441)</f>
        <v>0</v>
      </c>
      <c r="CE441" s="26">
        <f t="shared" ref="CE441:CE444" si="2006">F441+M441+T441+AA441+AH441+AO441+AV441+BC441+BJ441+BQ441+BX441</f>
        <v>0</v>
      </c>
      <c r="CF441" s="27">
        <f t="shared" ref="CF441:CF444" si="2007">G441+N441+U441+AB441+AI441+AP441+AW441+BD441+BK441+BR441+BY441</f>
        <v>0</v>
      </c>
      <c r="CG441" s="27">
        <f t="shared" ref="CG441:CG444" si="2008">H441+O441+V441+AC441+AJ441+AQ441+AX441+BE441+BL441+BS441+BZ441</f>
        <v>0</v>
      </c>
      <c r="CH441" s="27">
        <f t="shared" ref="CH441:CH444" si="2009">I441+P441+W441+AD441+AK441+AR441+AY441+BF441+BM441+BT441+CA441</f>
        <v>0</v>
      </c>
      <c r="CI441" s="27">
        <f t="shared" ref="CI441:CI444" si="2010">J441+Q441+X441+AE441+AL441+AS441+AZ441+BG441+BN441+BU441+CB441</f>
        <v>0</v>
      </c>
      <c r="CJ441" s="4">
        <f>SUM(CE441:CI441)</f>
        <v>0</v>
      </c>
      <c r="CL441" s="2"/>
      <c r="CM441" s="3"/>
      <c r="CN441" s="3"/>
      <c r="CO441" s="3"/>
      <c r="CP441" s="3"/>
      <c r="CQ441" s="4">
        <f>SUM(CL441:CP441)</f>
        <v>0</v>
      </c>
      <c r="CS441" s="2"/>
      <c r="CT441" s="3"/>
      <c r="CU441" s="3"/>
      <c r="CV441" s="3"/>
      <c r="CW441" s="3"/>
      <c r="CX441" s="4">
        <f>SUM(CS441:CW441)</f>
        <v>0</v>
      </c>
      <c r="CZ441" s="2"/>
      <c r="DA441" s="3"/>
      <c r="DB441" s="3"/>
      <c r="DC441" s="3"/>
      <c r="DD441" s="3"/>
      <c r="DE441" s="4">
        <f>SUM(CZ441:DD441)</f>
        <v>0</v>
      </c>
    </row>
    <row r="442" spans="3:109">
      <c r="C442" s="567"/>
      <c r="E442" s="14" t="s">
        <v>60</v>
      </c>
      <c r="F442" s="23">
        <f t="shared" ref="F442:F444" si="2011">CE436</f>
        <v>0</v>
      </c>
      <c r="G442" s="24">
        <f t="shared" si="2002"/>
        <v>0</v>
      </c>
      <c r="H442" s="24">
        <f t="shared" si="2003"/>
        <v>0</v>
      </c>
      <c r="I442" s="24">
        <f t="shared" si="2004"/>
        <v>0</v>
      </c>
      <c r="J442" s="24">
        <f t="shared" si="2005"/>
        <v>0</v>
      </c>
      <c r="K442" s="8">
        <f t="shared" ref="K442:K444" si="2012">SUM(F442:J442)</f>
        <v>0</v>
      </c>
      <c r="M442" s="6"/>
      <c r="N442" s="7"/>
      <c r="O442" s="7"/>
      <c r="P442" s="7"/>
      <c r="Q442" s="7"/>
      <c r="R442" s="8">
        <f t="shared" ref="R442:R444" si="2013">SUM(M442:Q442)</f>
        <v>0</v>
      </c>
      <c r="T442" s="6"/>
      <c r="U442" s="7"/>
      <c r="V442" s="7"/>
      <c r="W442" s="7"/>
      <c r="X442" s="7"/>
      <c r="Y442" s="8">
        <f t="shared" ref="Y442:Y444" si="2014">SUM(T442:X442)</f>
        <v>0</v>
      </c>
      <c r="AA442" s="6"/>
      <c r="AB442" s="7"/>
      <c r="AC442" s="7"/>
      <c r="AD442" s="7"/>
      <c r="AE442" s="7"/>
      <c r="AF442" s="8">
        <f t="shared" ref="AF442:AF444" si="2015">SUM(AA442:AE442)</f>
        <v>0</v>
      </c>
      <c r="AH442" s="6"/>
      <c r="AI442" s="7"/>
      <c r="AJ442" s="7"/>
      <c r="AK442" s="7"/>
      <c r="AL442" s="7"/>
      <c r="AM442" s="8">
        <f t="shared" ref="AM442:AM444" si="2016">SUM(AH442:AL442)</f>
        <v>0</v>
      </c>
      <c r="AO442" s="6"/>
      <c r="AP442" s="7"/>
      <c r="AQ442" s="7"/>
      <c r="AR442" s="7"/>
      <c r="AS442" s="7"/>
      <c r="AT442" s="8">
        <f t="shared" ref="AT442:AT444" si="2017">SUM(AO442:AS442)</f>
        <v>0</v>
      </c>
      <c r="AV442" s="6"/>
      <c r="AW442" s="7"/>
      <c r="AX442" s="7"/>
      <c r="AY442" s="7"/>
      <c r="AZ442" s="7"/>
      <c r="BA442" s="8">
        <f t="shared" ref="BA442:BA444" si="2018">SUM(AV442:AZ442)</f>
        <v>0</v>
      </c>
      <c r="BC442" s="6"/>
      <c r="BD442" s="7"/>
      <c r="BE442" s="7"/>
      <c r="BF442" s="7"/>
      <c r="BG442" s="7"/>
      <c r="BH442" s="8">
        <f t="shared" ref="BH442:BH444" si="2019">SUM(BC442:BG442)</f>
        <v>0</v>
      </c>
      <c r="BJ442" s="6"/>
      <c r="BK442" s="7"/>
      <c r="BL442" s="7"/>
      <c r="BM442" s="7"/>
      <c r="BN442" s="7"/>
      <c r="BO442" s="8">
        <f t="shared" ref="BO442:BO444" si="2020">SUM(BJ442:BN442)</f>
        <v>0</v>
      </c>
      <c r="BQ442" s="6"/>
      <c r="BR442" s="7"/>
      <c r="BS442" s="7"/>
      <c r="BT442" s="7"/>
      <c r="BU442" s="7"/>
      <c r="BV442" s="8">
        <f t="shared" ref="BV442:BV444" si="2021">SUM(BQ442:BU442)</f>
        <v>0</v>
      </c>
      <c r="BX442" s="6"/>
      <c r="BY442" s="7"/>
      <c r="BZ442" s="7"/>
      <c r="CA442" s="7"/>
      <c r="CB442" s="7"/>
      <c r="CC442" s="8">
        <f t="shared" ref="CC442:CC444" si="2022">SUM(BX442:CB442)</f>
        <v>0</v>
      </c>
      <c r="CE442" s="28">
        <f t="shared" si="2006"/>
        <v>0</v>
      </c>
      <c r="CF442" s="29">
        <f t="shared" si="2007"/>
        <v>0</v>
      </c>
      <c r="CG442" s="29">
        <f t="shared" si="2008"/>
        <v>0</v>
      </c>
      <c r="CH442" s="29">
        <f t="shared" si="2009"/>
        <v>0</v>
      </c>
      <c r="CI442" s="29">
        <f t="shared" si="2010"/>
        <v>0</v>
      </c>
      <c r="CJ442" s="8">
        <f>SUM(CE442:CI442)</f>
        <v>0</v>
      </c>
      <c r="CL442" s="6"/>
      <c r="CM442" s="7"/>
      <c r="CN442" s="7"/>
      <c r="CO442" s="7"/>
      <c r="CP442" s="7"/>
      <c r="CQ442" s="8">
        <f t="shared" ref="CQ442:CQ444" si="2023">SUM(CL442:CP442)</f>
        <v>0</v>
      </c>
      <c r="CS442" s="6"/>
      <c r="CT442" s="7"/>
      <c r="CU442" s="7"/>
      <c r="CV442" s="7"/>
      <c r="CW442" s="7"/>
      <c r="CX442" s="8">
        <f t="shared" ref="CX442:CX444" si="2024">SUM(CS442:CW442)</f>
        <v>0</v>
      </c>
      <c r="CZ442" s="6"/>
      <c r="DA442" s="7"/>
      <c r="DB442" s="7"/>
      <c r="DC442" s="7"/>
      <c r="DD442" s="7"/>
      <c r="DE442" s="8">
        <f t="shared" ref="DE442:DE444" si="2025">SUM(CZ442:DD442)</f>
        <v>0</v>
      </c>
    </row>
    <row r="443" spans="3:109">
      <c r="C443" s="567"/>
      <c r="E443" s="14" t="s">
        <v>61</v>
      </c>
      <c r="F443" s="23">
        <f t="shared" si="2011"/>
        <v>0</v>
      </c>
      <c r="G443" s="24">
        <f t="shared" si="2002"/>
        <v>0</v>
      </c>
      <c r="H443" s="24">
        <f t="shared" si="2003"/>
        <v>0</v>
      </c>
      <c r="I443" s="24">
        <f t="shared" si="2004"/>
        <v>0</v>
      </c>
      <c r="J443" s="24">
        <f t="shared" si="2005"/>
        <v>0</v>
      </c>
      <c r="K443" s="8">
        <f t="shared" si="2012"/>
        <v>0</v>
      </c>
      <c r="M443" s="6"/>
      <c r="N443" s="7"/>
      <c r="O443" s="7"/>
      <c r="P443" s="7"/>
      <c r="Q443" s="7"/>
      <c r="R443" s="8">
        <f t="shared" si="2013"/>
        <v>0</v>
      </c>
      <c r="T443" s="6"/>
      <c r="U443" s="7"/>
      <c r="V443" s="7"/>
      <c r="W443" s="7"/>
      <c r="X443" s="7"/>
      <c r="Y443" s="8">
        <f t="shared" si="2014"/>
        <v>0</v>
      </c>
      <c r="AA443" s="6"/>
      <c r="AB443" s="7"/>
      <c r="AC443" s="7"/>
      <c r="AD443" s="7"/>
      <c r="AE443" s="7"/>
      <c r="AF443" s="8">
        <f t="shared" si="2015"/>
        <v>0</v>
      </c>
      <c r="AH443" s="6"/>
      <c r="AI443" s="7"/>
      <c r="AJ443" s="7"/>
      <c r="AK443" s="7"/>
      <c r="AL443" s="7"/>
      <c r="AM443" s="8">
        <f t="shared" si="2016"/>
        <v>0</v>
      </c>
      <c r="AO443" s="6"/>
      <c r="AP443" s="7"/>
      <c r="AQ443" s="7"/>
      <c r="AR443" s="7"/>
      <c r="AS443" s="7"/>
      <c r="AT443" s="8">
        <f t="shared" si="2017"/>
        <v>0</v>
      </c>
      <c r="AV443" s="6"/>
      <c r="AW443" s="7"/>
      <c r="AX443" s="7"/>
      <c r="AY443" s="7"/>
      <c r="AZ443" s="7"/>
      <c r="BA443" s="8">
        <f t="shared" si="2018"/>
        <v>0</v>
      </c>
      <c r="BC443" s="6"/>
      <c r="BD443" s="7"/>
      <c r="BE443" s="7"/>
      <c r="BF443" s="7"/>
      <c r="BG443" s="7"/>
      <c r="BH443" s="8">
        <f t="shared" si="2019"/>
        <v>0</v>
      </c>
      <c r="BJ443" s="6"/>
      <c r="BK443" s="7"/>
      <c r="BL443" s="7"/>
      <c r="BM443" s="7"/>
      <c r="BN443" s="7"/>
      <c r="BO443" s="8">
        <f t="shared" si="2020"/>
        <v>0</v>
      </c>
      <c r="BQ443" s="6"/>
      <c r="BR443" s="7"/>
      <c r="BS443" s="7"/>
      <c r="BT443" s="7"/>
      <c r="BU443" s="7"/>
      <c r="BV443" s="8">
        <f t="shared" si="2021"/>
        <v>0</v>
      </c>
      <c r="BX443" s="6"/>
      <c r="BY443" s="7"/>
      <c r="BZ443" s="7"/>
      <c r="CA443" s="7"/>
      <c r="CB443" s="7"/>
      <c r="CC443" s="8">
        <f t="shared" si="2022"/>
        <v>0</v>
      </c>
      <c r="CE443" s="28">
        <f t="shared" si="2006"/>
        <v>0</v>
      </c>
      <c r="CF443" s="29">
        <f t="shared" si="2007"/>
        <v>0</v>
      </c>
      <c r="CG443" s="29">
        <f t="shared" si="2008"/>
        <v>0</v>
      </c>
      <c r="CH443" s="29">
        <f t="shared" si="2009"/>
        <v>0</v>
      </c>
      <c r="CI443" s="29">
        <f t="shared" si="2010"/>
        <v>0</v>
      </c>
      <c r="CJ443" s="8">
        <f>SUM(CE443:CI443)</f>
        <v>0</v>
      </c>
      <c r="CL443" s="6"/>
      <c r="CM443" s="7"/>
      <c r="CN443" s="7"/>
      <c r="CO443" s="7"/>
      <c r="CP443" s="7"/>
      <c r="CQ443" s="8">
        <f t="shared" si="2023"/>
        <v>0</v>
      </c>
      <c r="CS443" s="6"/>
      <c r="CT443" s="7"/>
      <c r="CU443" s="7"/>
      <c r="CV443" s="7"/>
      <c r="CW443" s="7"/>
      <c r="CX443" s="8">
        <f t="shared" si="2024"/>
        <v>0</v>
      </c>
      <c r="CZ443" s="6"/>
      <c r="DA443" s="7"/>
      <c r="DB443" s="7"/>
      <c r="DC443" s="7"/>
      <c r="DD443" s="7"/>
      <c r="DE443" s="8">
        <f t="shared" si="2025"/>
        <v>0</v>
      </c>
    </row>
    <row r="444" spans="3:109" ht="14" thickBot="1">
      <c r="C444" s="567"/>
      <c r="E444" s="14" t="s">
        <v>62</v>
      </c>
      <c r="F444" s="23">
        <f t="shared" si="2011"/>
        <v>0</v>
      </c>
      <c r="G444" s="24">
        <f t="shared" si="2002"/>
        <v>0</v>
      </c>
      <c r="H444" s="24">
        <f t="shared" si="2003"/>
        <v>0</v>
      </c>
      <c r="I444" s="24">
        <f t="shared" si="2004"/>
        <v>0</v>
      </c>
      <c r="J444" s="24">
        <f t="shared" si="2005"/>
        <v>0</v>
      </c>
      <c r="K444" s="8">
        <f t="shared" si="2012"/>
        <v>0</v>
      </c>
      <c r="M444" s="6"/>
      <c r="N444" s="7"/>
      <c r="O444" s="7"/>
      <c r="P444" s="7"/>
      <c r="Q444" s="7"/>
      <c r="R444" s="8">
        <f t="shared" si="2013"/>
        <v>0</v>
      </c>
      <c r="T444" s="6"/>
      <c r="U444" s="7"/>
      <c r="V444" s="7"/>
      <c r="W444" s="7"/>
      <c r="X444" s="7"/>
      <c r="Y444" s="8">
        <f t="shared" si="2014"/>
        <v>0</v>
      </c>
      <c r="AA444" s="6"/>
      <c r="AB444" s="7"/>
      <c r="AC444" s="7"/>
      <c r="AD444" s="7"/>
      <c r="AE444" s="7"/>
      <c r="AF444" s="8">
        <f t="shared" si="2015"/>
        <v>0</v>
      </c>
      <c r="AH444" s="6"/>
      <c r="AI444" s="7"/>
      <c r="AJ444" s="7"/>
      <c r="AK444" s="7"/>
      <c r="AL444" s="7"/>
      <c r="AM444" s="8">
        <f t="shared" si="2016"/>
        <v>0</v>
      </c>
      <c r="AO444" s="6"/>
      <c r="AP444" s="7"/>
      <c r="AQ444" s="7"/>
      <c r="AR444" s="7"/>
      <c r="AS444" s="7"/>
      <c r="AT444" s="8">
        <f t="shared" si="2017"/>
        <v>0</v>
      </c>
      <c r="AV444" s="6"/>
      <c r="AW444" s="7"/>
      <c r="AX444" s="7"/>
      <c r="AY444" s="7"/>
      <c r="AZ444" s="7"/>
      <c r="BA444" s="8">
        <f t="shared" si="2018"/>
        <v>0</v>
      </c>
      <c r="BC444" s="6"/>
      <c r="BD444" s="7"/>
      <c r="BE444" s="7"/>
      <c r="BF444" s="7"/>
      <c r="BG444" s="7"/>
      <c r="BH444" s="8">
        <f t="shared" si="2019"/>
        <v>0</v>
      </c>
      <c r="BJ444" s="6"/>
      <c r="BK444" s="7"/>
      <c r="BL444" s="7"/>
      <c r="BM444" s="7"/>
      <c r="BN444" s="7"/>
      <c r="BO444" s="8">
        <f t="shared" si="2020"/>
        <v>0</v>
      </c>
      <c r="BQ444" s="6"/>
      <c r="BR444" s="7"/>
      <c r="BS444" s="7"/>
      <c r="BT444" s="7"/>
      <c r="BU444" s="7"/>
      <c r="BV444" s="8">
        <f t="shared" si="2021"/>
        <v>0</v>
      </c>
      <c r="BX444" s="6"/>
      <c r="BY444" s="7"/>
      <c r="BZ444" s="7"/>
      <c r="CA444" s="7"/>
      <c r="CB444" s="7"/>
      <c r="CC444" s="8">
        <f t="shared" si="2022"/>
        <v>0</v>
      </c>
      <c r="CE444" s="493">
        <f t="shared" si="2006"/>
        <v>0</v>
      </c>
      <c r="CF444" s="494">
        <f t="shared" si="2007"/>
        <v>0</v>
      </c>
      <c r="CG444" s="494">
        <f t="shared" si="2008"/>
        <v>0</v>
      </c>
      <c r="CH444" s="494">
        <f t="shared" si="2009"/>
        <v>0</v>
      </c>
      <c r="CI444" s="494">
        <f t="shared" si="2010"/>
        <v>0</v>
      </c>
      <c r="CJ444" s="495">
        <f>SUM(CE444:CI444)</f>
        <v>0</v>
      </c>
      <c r="CL444" s="6"/>
      <c r="CM444" s="7"/>
      <c r="CN444" s="7"/>
      <c r="CO444" s="7"/>
      <c r="CP444" s="7"/>
      <c r="CQ444" s="8">
        <f t="shared" si="2023"/>
        <v>0</v>
      </c>
      <c r="CS444" s="6"/>
      <c r="CT444" s="7"/>
      <c r="CU444" s="7"/>
      <c r="CV444" s="7"/>
      <c r="CW444" s="7"/>
      <c r="CX444" s="8">
        <f t="shared" si="2024"/>
        <v>0</v>
      </c>
      <c r="CZ444" s="6"/>
      <c r="DA444" s="7"/>
      <c r="DB444" s="7"/>
      <c r="DC444" s="7"/>
      <c r="DD444" s="7"/>
      <c r="DE444" s="8">
        <f t="shared" si="2025"/>
        <v>0</v>
      </c>
    </row>
    <row r="445" spans="3:109" ht="14" thickBot="1">
      <c r="C445" s="554"/>
      <c r="E445" s="17"/>
      <c r="F445" s="10">
        <f>SUM(F441:F444)</f>
        <v>0</v>
      </c>
      <c r="G445" s="11">
        <f t="shared" ref="G445:J445" si="2026">SUM(G441:G444)</f>
        <v>0</v>
      </c>
      <c r="H445" s="11">
        <f t="shared" si="2026"/>
        <v>0</v>
      </c>
      <c r="I445" s="11">
        <f t="shared" si="2026"/>
        <v>0</v>
      </c>
      <c r="J445" s="11">
        <f t="shared" si="2026"/>
        <v>0</v>
      </c>
      <c r="K445" s="25">
        <f>SUM(K441:K444)</f>
        <v>0</v>
      </c>
      <c r="M445" s="10">
        <f>SUM(M441:M444)</f>
        <v>0</v>
      </c>
      <c r="N445" s="11">
        <f t="shared" ref="N445:Q445" si="2027">SUM(N441:N444)</f>
        <v>0</v>
      </c>
      <c r="O445" s="11">
        <f t="shared" si="2027"/>
        <v>0</v>
      </c>
      <c r="P445" s="11">
        <f t="shared" si="2027"/>
        <v>0</v>
      </c>
      <c r="Q445" s="11">
        <f t="shared" si="2027"/>
        <v>0</v>
      </c>
      <c r="R445" s="25">
        <f>SUM(R441:R444)</f>
        <v>0</v>
      </c>
      <c r="T445" s="10">
        <f>SUM(T441:T444)</f>
        <v>0</v>
      </c>
      <c r="U445" s="11">
        <f t="shared" ref="U445:X445" si="2028">SUM(U441:U444)</f>
        <v>0</v>
      </c>
      <c r="V445" s="11">
        <f t="shared" si="2028"/>
        <v>0</v>
      </c>
      <c r="W445" s="11">
        <f t="shared" si="2028"/>
        <v>0</v>
      </c>
      <c r="X445" s="11">
        <f t="shared" si="2028"/>
        <v>0</v>
      </c>
      <c r="Y445" s="25">
        <f>SUM(Y441:Y444)</f>
        <v>0</v>
      </c>
      <c r="AA445" s="10">
        <f>SUM(AA441:AA444)</f>
        <v>0</v>
      </c>
      <c r="AB445" s="11">
        <f t="shared" ref="AB445:AE445" si="2029">SUM(AB441:AB444)</f>
        <v>0</v>
      </c>
      <c r="AC445" s="11">
        <f t="shared" si="2029"/>
        <v>0</v>
      </c>
      <c r="AD445" s="11">
        <f t="shared" si="2029"/>
        <v>0</v>
      </c>
      <c r="AE445" s="11">
        <f t="shared" si="2029"/>
        <v>0</v>
      </c>
      <c r="AF445" s="25">
        <f>SUM(AF441:AF444)</f>
        <v>0</v>
      </c>
      <c r="AH445" s="10">
        <f>SUM(AH441:AH444)</f>
        <v>0</v>
      </c>
      <c r="AI445" s="11">
        <f t="shared" ref="AI445:AL445" si="2030">SUM(AI441:AI444)</f>
        <v>0</v>
      </c>
      <c r="AJ445" s="11">
        <f t="shared" si="2030"/>
        <v>0</v>
      </c>
      <c r="AK445" s="11">
        <f t="shared" si="2030"/>
        <v>0</v>
      </c>
      <c r="AL445" s="11">
        <f t="shared" si="2030"/>
        <v>0</v>
      </c>
      <c r="AM445" s="25">
        <f>SUM(AM441:AM444)</f>
        <v>0</v>
      </c>
      <c r="AO445" s="10">
        <f>SUM(AO441:AO444)</f>
        <v>0</v>
      </c>
      <c r="AP445" s="11">
        <f t="shared" ref="AP445:AS445" si="2031">SUM(AP441:AP444)</f>
        <v>0</v>
      </c>
      <c r="AQ445" s="11">
        <f t="shared" si="2031"/>
        <v>0</v>
      </c>
      <c r="AR445" s="11">
        <f t="shared" si="2031"/>
        <v>0</v>
      </c>
      <c r="AS445" s="11">
        <f t="shared" si="2031"/>
        <v>0</v>
      </c>
      <c r="AT445" s="25">
        <f>SUM(AT441:AT444)</f>
        <v>0</v>
      </c>
      <c r="AV445" s="10">
        <f>SUM(AV441:AV444)</f>
        <v>0</v>
      </c>
      <c r="AW445" s="11">
        <f t="shared" ref="AW445:AZ445" si="2032">SUM(AW441:AW444)</f>
        <v>0</v>
      </c>
      <c r="AX445" s="11">
        <f t="shared" si="2032"/>
        <v>0</v>
      </c>
      <c r="AY445" s="11">
        <f t="shared" si="2032"/>
        <v>0</v>
      </c>
      <c r="AZ445" s="11">
        <f t="shared" si="2032"/>
        <v>0</v>
      </c>
      <c r="BA445" s="25">
        <f>SUM(BA441:BA444)</f>
        <v>0</v>
      </c>
      <c r="BC445" s="10">
        <f>SUM(BC441:BC444)</f>
        <v>0</v>
      </c>
      <c r="BD445" s="11">
        <f t="shared" ref="BD445:BG445" si="2033">SUM(BD441:BD444)</f>
        <v>0</v>
      </c>
      <c r="BE445" s="11">
        <f t="shared" si="2033"/>
        <v>0</v>
      </c>
      <c r="BF445" s="11">
        <f t="shared" si="2033"/>
        <v>0</v>
      </c>
      <c r="BG445" s="11">
        <f t="shared" si="2033"/>
        <v>0</v>
      </c>
      <c r="BH445" s="25">
        <f>SUM(BH441:BH444)</f>
        <v>0</v>
      </c>
      <c r="BJ445" s="10">
        <f>SUM(BJ441:BJ444)</f>
        <v>0</v>
      </c>
      <c r="BK445" s="11">
        <f t="shared" ref="BK445:BN445" si="2034">SUM(BK441:BK444)</f>
        <v>0</v>
      </c>
      <c r="BL445" s="11">
        <f t="shared" si="2034"/>
        <v>0</v>
      </c>
      <c r="BM445" s="11">
        <f t="shared" si="2034"/>
        <v>0</v>
      </c>
      <c r="BN445" s="11">
        <f t="shared" si="2034"/>
        <v>0</v>
      </c>
      <c r="BO445" s="25">
        <f>SUM(BO441:BO444)</f>
        <v>0</v>
      </c>
      <c r="BQ445" s="10">
        <f>SUM(BQ441:BQ444)</f>
        <v>0</v>
      </c>
      <c r="BR445" s="11">
        <f t="shared" ref="BR445:BU445" si="2035">SUM(BR441:BR444)</f>
        <v>0</v>
      </c>
      <c r="BS445" s="11">
        <f t="shared" si="2035"/>
        <v>0</v>
      </c>
      <c r="BT445" s="11">
        <f t="shared" si="2035"/>
        <v>0</v>
      </c>
      <c r="BU445" s="11">
        <f t="shared" si="2035"/>
        <v>0</v>
      </c>
      <c r="BV445" s="25">
        <f>SUM(BV441:BV444)</f>
        <v>0</v>
      </c>
      <c r="BX445" s="10">
        <f>SUM(BX441:BX444)</f>
        <v>0</v>
      </c>
      <c r="BY445" s="11">
        <f t="shared" ref="BY445:CB445" si="2036">SUM(BY441:BY444)</f>
        <v>0</v>
      </c>
      <c r="BZ445" s="11">
        <f t="shared" si="2036"/>
        <v>0</v>
      </c>
      <c r="CA445" s="11">
        <f t="shared" si="2036"/>
        <v>0</v>
      </c>
      <c r="CB445" s="11">
        <f t="shared" si="2036"/>
        <v>0</v>
      </c>
      <c r="CC445" s="25">
        <f>SUM(CC441:CC444)</f>
        <v>0</v>
      </c>
      <c r="CE445" s="62">
        <f t="shared" ref="CE445:CJ445" si="2037">SUM(CE441:CE444)</f>
        <v>0</v>
      </c>
      <c r="CF445" s="63">
        <f t="shared" si="2037"/>
        <v>0</v>
      </c>
      <c r="CG445" s="63">
        <f t="shared" si="2037"/>
        <v>0</v>
      </c>
      <c r="CH445" s="63">
        <f t="shared" si="2037"/>
        <v>0</v>
      </c>
      <c r="CI445" s="63">
        <f t="shared" si="2037"/>
        <v>0</v>
      </c>
      <c r="CJ445" s="25">
        <f t="shared" si="2037"/>
        <v>0</v>
      </c>
      <c r="CL445" s="10">
        <f>SUM(CL441:CL444)</f>
        <v>0</v>
      </c>
      <c r="CM445" s="11">
        <f t="shared" ref="CM445:CP445" si="2038">SUM(CM441:CM444)</f>
        <v>0</v>
      </c>
      <c r="CN445" s="11">
        <f t="shared" si="2038"/>
        <v>0</v>
      </c>
      <c r="CO445" s="11">
        <f t="shared" si="2038"/>
        <v>0</v>
      </c>
      <c r="CP445" s="11">
        <f t="shared" si="2038"/>
        <v>0</v>
      </c>
      <c r="CQ445" s="25">
        <f>SUM(CQ441:CQ444)</f>
        <v>0</v>
      </c>
      <c r="CS445" s="10">
        <f>SUM(CS441:CS444)</f>
        <v>0</v>
      </c>
      <c r="CT445" s="11">
        <f t="shared" ref="CT445:CW445" si="2039">SUM(CT441:CT444)</f>
        <v>0</v>
      </c>
      <c r="CU445" s="11">
        <f t="shared" si="2039"/>
        <v>0</v>
      </c>
      <c r="CV445" s="11">
        <f t="shared" si="2039"/>
        <v>0</v>
      </c>
      <c r="CW445" s="11">
        <f t="shared" si="2039"/>
        <v>0</v>
      </c>
      <c r="CX445" s="25">
        <f>SUM(CX441:CX444)</f>
        <v>0</v>
      </c>
      <c r="CZ445" s="10">
        <f>SUM(CZ441:CZ444)</f>
        <v>0</v>
      </c>
      <c r="DA445" s="11">
        <f t="shared" ref="DA445:DD445" si="2040">SUM(DA441:DA444)</f>
        <v>0</v>
      </c>
      <c r="DB445" s="11">
        <f t="shared" si="2040"/>
        <v>0</v>
      </c>
      <c r="DC445" s="11">
        <f t="shared" si="2040"/>
        <v>0</v>
      </c>
      <c r="DD445" s="11">
        <f t="shared" si="2040"/>
        <v>0</v>
      </c>
      <c r="DE445" s="25">
        <f>SUM(DE441:DE444)</f>
        <v>0</v>
      </c>
    </row>
    <row r="446" spans="3:109" ht="10.4" customHeight="1" thickBot="1"/>
    <row r="447" spans="3:109">
      <c r="C447" s="553">
        <v>2028</v>
      </c>
      <c r="E447" s="13" t="s">
        <v>59</v>
      </c>
      <c r="F447" s="21">
        <f>CE441</f>
        <v>0</v>
      </c>
      <c r="G447" s="22">
        <f t="shared" ref="G447:G450" si="2041">CF441</f>
        <v>0</v>
      </c>
      <c r="H447" s="22">
        <f t="shared" ref="H447:H450" si="2042">CG441</f>
        <v>0</v>
      </c>
      <c r="I447" s="22">
        <f t="shared" ref="I447:I450" si="2043">CH441</f>
        <v>0</v>
      </c>
      <c r="J447" s="22">
        <f t="shared" ref="J447:J450" si="2044">CI441</f>
        <v>0</v>
      </c>
      <c r="K447" s="4">
        <f>SUM(F447:J447)</f>
        <v>0</v>
      </c>
      <c r="M447" s="2"/>
      <c r="N447" s="3"/>
      <c r="O447" s="3"/>
      <c r="P447" s="3"/>
      <c r="Q447" s="3"/>
      <c r="R447" s="4">
        <f>SUM(M447:Q447)</f>
        <v>0</v>
      </c>
      <c r="T447" s="2"/>
      <c r="U447" s="3"/>
      <c r="V447" s="3"/>
      <c r="W447" s="3"/>
      <c r="X447" s="3"/>
      <c r="Y447" s="4">
        <f>SUM(T447:X447)</f>
        <v>0</v>
      </c>
      <c r="AA447" s="2"/>
      <c r="AB447" s="3"/>
      <c r="AC447" s="3"/>
      <c r="AD447" s="3"/>
      <c r="AE447" s="3"/>
      <c r="AF447" s="4">
        <f>SUM(AA447:AE447)</f>
        <v>0</v>
      </c>
      <c r="AH447" s="2"/>
      <c r="AI447" s="3"/>
      <c r="AJ447" s="3"/>
      <c r="AK447" s="3"/>
      <c r="AL447" s="3"/>
      <c r="AM447" s="4">
        <f>SUM(AH447:AL447)</f>
        <v>0</v>
      </c>
      <c r="AO447" s="2"/>
      <c r="AP447" s="3"/>
      <c r="AQ447" s="3"/>
      <c r="AR447" s="3"/>
      <c r="AS447" s="3"/>
      <c r="AT447" s="4">
        <f>SUM(AO447:AS447)</f>
        <v>0</v>
      </c>
      <c r="AV447" s="2"/>
      <c r="AW447" s="3"/>
      <c r="AX447" s="3"/>
      <c r="AY447" s="3"/>
      <c r="AZ447" s="3"/>
      <c r="BA447" s="4">
        <f>SUM(AV447:AZ447)</f>
        <v>0</v>
      </c>
      <c r="BC447" s="2"/>
      <c r="BD447" s="3"/>
      <c r="BE447" s="3"/>
      <c r="BF447" s="3"/>
      <c r="BG447" s="3"/>
      <c r="BH447" s="4">
        <f>SUM(BC447:BG447)</f>
        <v>0</v>
      </c>
      <c r="BJ447" s="2"/>
      <c r="BK447" s="3"/>
      <c r="BL447" s="3"/>
      <c r="BM447" s="3"/>
      <c r="BN447" s="3"/>
      <c r="BO447" s="4">
        <f>SUM(BJ447:BN447)</f>
        <v>0</v>
      </c>
      <c r="BQ447" s="2"/>
      <c r="BR447" s="3"/>
      <c r="BS447" s="3"/>
      <c r="BT447" s="3"/>
      <c r="BU447" s="3"/>
      <c r="BV447" s="4">
        <f>SUM(BQ447:BU447)</f>
        <v>0</v>
      </c>
      <c r="BX447" s="2"/>
      <c r="BY447" s="3"/>
      <c r="BZ447" s="3"/>
      <c r="CA447" s="3"/>
      <c r="CB447" s="3"/>
      <c r="CC447" s="4">
        <f>SUM(BX447:CB447)</f>
        <v>0</v>
      </c>
      <c r="CE447" s="26">
        <f t="shared" ref="CE447:CE450" si="2045">F447+M447+T447+AA447+AH447+AO447+AV447+BC447+BJ447+BQ447+BX447</f>
        <v>0</v>
      </c>
      <c r="CF447" s="27">
        <f t="shared" ref="CF447:CF450" si="2046">G447+N447+U447+AB447+AI447+AP447+AW447+BD447+BK447+BR447+BY447</f>
        <v>0</v>
      </c>
      <c r="CG447" s="27">
        <f t="shared" ref="CG447:CG450" si="2047">H447+O447+V447+AC447+AJ447+AQ447+AX447+BE447+BL447+BS447+BZ447</f>
        <v>0</v>
      </c>
      <c r="CH447" s="27">
        <f t="shared" ref="CH447:CH450" si="2048">I447+P447+W447+AD447+AK447+AR447+AY447+BF447+BM447+BT447+CA447</f>
        <v>0</v>
      </c>
      <c r="CI447" s="27">
        <f t="shared" ref="CI447:CI450" si="2049">J447+Q447+X447+AE447+AL447+AS447+AZ447+BG447+BN447+BU447+CB447</f>
        <v>0</v>
      </c>
      <c r="CJ447" s="4">
        <f>SUM(CE447:CI447)</f>
        <v>0</v>
      </c>
      <c r="CL447" s="2"/>
      <c r="CM447" s="3"/>
      <c r="CN447" s="3"/>
      <c r="CO447" s="3"/>
      <c r="CP447" s="3"/>
      <c r="CQ447" s="4">
        <f>SUM(CL447:CP447)</f>
        <v>0</v>
      </c>
      <c r="CS447" s="2"/>
      <c r="CT447" s="3"/>
      <c r="CU447" s="3"/>
      <c r="CV447" s="3"/>
      <c r="CW447" s="3"/>
      <c r="CX447" s="4">
        <f>SUM(CS447:CW447)</f>
        <v>0</v>
      </c>
      <c r="CZ447" s="2"/>
      <c r="DA447" s="3"/>
      <c r="DB447" s="3"/>
      <c r="DC447" s="3"/>
      <c r="DD447" s="3"/>
      <c r="DE447" s="4">
        <f>SUM(CZ447:DD447)</f>
        <v>0</v>
      </c>
    </row>
    <row r="448" spans="3:109">
      <c r="C448" s="567"/>
      <c r="E448" s="14" t="s">
        <v>60</v>
      </c>
      <c r="F448" s="23">
        <f t="shared" ref="F448:F450" si="2050">CE442</f>
        <v>0</v>
      </c>
      <c r="G448" s="24">
        <f t="shared" si="2041"/>
        <v>0</v>
      </c>
      <c r="H448" s="24">
        <f t="shared" si="2042"/>
        <v>0</v>
      </c>
      <c r="I448" s="24">
        <f t="shared" si="2043"/>
        <v>0</v>
      </c>
      <c r="J448" s="24">
        <f t="shared" si="2044"/>
        <v>0</v>
      </c>
      <c r="K448" s="8">
        <f t="shared" ref="K448:K450" si="2051">SUM(F448:J448)</f>
        <v>0</v>
      </c>
      <c r="M448" s="6"/>
      <c r="N448" s="7"/>
      <c r="O448" s="7"/>
      <c r="P448" s="7"/>
      <c r="Q448" s="7"/>
      <c r="R448" s="8">
        <f t="shared" ref="R448:R450" si="2052">SUM(M448:Q448)</f>
        <v>0</v>
      </c>
      <c r="T448" s="6"/>
      <c r="U448" s="7"/>
      <c r="V448" s="7"/>
      <c r="W448" s="7"/>
      <c r="X448" s="7"/>
      <c r="Y448" s="8">
        <f t="shared" ref="Y448:Y450" si="2053">SUM(T448:X448)</f>
        <v>0</v>
      </c>
      <c r="AA448" s="6"/>
      <c r="AB448" s="7"/>
      <c r="AC448" s="7"/>
      <c r="AD448" s="7"/>
      <c r="AE448" s="7"/>
      <c r="AF448" s="8">
        <f t="shared" ref="AF448:AF450" si="2054">SUM(AA448:AE448)</f>
        <v>0</v>
      </c>
      <c r="AH448" s="6"/>
      <c r="AI448" s="7"/>
      <c r="AJ448" s="7"/>
      <c r="AK448" s="7"/>
      <c r="AL448" s="7"/>
      <c r="AM448" s="8">
        <f t="shared" ref="AM448:AM450" si="2055">SUM(AH448:AL448)</f>
        <v>0</v>
      </c>
      <c r="AO448" s="6"/>
      <c r="AP448" s="7"/>
      <c r="AQ448" s="7"/>
      <c r="AR448" s="7"/>
      <c r="AS448" s="7"/>
      <c r="AT448" s="8">
        <f t="shared" ref="AT448:AT450" si="2056">SUM(AO448:AS448)</f>
        <v>0</v>
      </c>
      <c r="AV448" s="6"/>
      <c r="AW448" s="7"/>
      <c r="AX448" s="7"/>
      <c r="AY448" s="7"/>
      <c r="AZ448" s="7"/>
      <c r="BA448" s="8">
        <f t="shared" ref="BA448:BA450" si="2057">SUM(AV448:AZ448)</f>
        <v>0</v>
      </c>
      <c r="BC448" s="6"/>
      <c r="BD448" s="7"/>
      <c r="BE448" s="7"/>
      <c r="BF448" s="7"/>
      <c r="BG448" s="7"/>
      <c r="BH448" s="8">
        <f t="shared" ref="BH448:BH450" si="2058">SUM(BC448:BG448)</f>
        <v>0</v>
      </c>
      <c r="BJ448" s="6"/>
      <c r="BK448" s="7"/>
      <c r="BL448" s="7"/>
      <c r="BM448" s="7"/>
      <c r="BN448" s="7"/>
      <c r="BO448" s="8">
        <f t="shared" ref="BO448:BO450" si="2059">SUM(BJ448:BN448)</f>
        <v>0</v>
      </c>
      <c r="BQ448" s="6"/>
      <c r="BR448" s="7"/>
      <c r="BS448" s="7"/>
      <c r="BT448" s="7"/>
      <c r="BU448" s="7"/>
      <c r="BV448" s="8">
        <f t="shared" ref="BV448:BV450" si="2060">SUM(BQ448:BU448)</f>
        <v>0</v>
      </c>
      <c r="BX448" s="6"/>
      <c r="BY448" s="7"/>
      <c r="BZ448" s="7"/>
      <c r="CA448" s="7"/>
      <c r="CB448" s="7"/>
      <c r="CC448" s="8">
        <f t="shared" ref="CC448:CC450" si="2061">SUM(BX448:CB448)</f>
        <v>0</v>
      </c>
      <c r="CE448" s="28">
        <f t="shared" si="2045"/>
        <v>0</v>
      </c>
      <c r="CF448" s="29">
        <f t="shared" si="2046"/>
        <v>0</v>
      </c>
      <c r="CG448" s="29">
        <f t="shared" si="2047"/>
        <v>0</v>
      </c>
      <c r="CH448" s="29">
        <f t="shared" si="2048"/>
        <v>0</v>
      </c>
      <c r="CI448" s="29">
        <f t="shared" si="2049"/>
        <v>0</v>
      </c>
      <c r="CJ448" s="8">
        <f>SUM(CE448:CI448)</f>
        <v>0</v>
      </c>
      <c r="CL448" s="6"/>
      <c r="CM448" s="7"/>
      <c r="CN448" s="7"/>
      <c r="CO448" s="7"/>
      <c r="CP448" s="7"/>
      <c r="CQ448" s="8">
        <f t="shared" ref="CQ448:CQ450" si="2062">SUM(CL448:CP448)</f>
        <v>0</v>
      </c>
      <c r="CS448" s="6"/>
      <c r="CT448" s="7"/>
      <c r="CU448" s="7"/>
      <c r="CV448" s="7"/>
      <c r="CW448" s="7"/>
      <c r="CX448" s="8">
        <f t="shared" ref="CX448:CX450" si="2063">SUM(CS448:CW448)</f>
        <v>0</v>
      </c>
      <c r="CZ448" s="6"/>
      <c r="DA448" s="7"/>
      <c r="DB448" s="7"/>
      <c r="DC448" s="7"/>
      <c r="DD448" s="7"/>
      <c r="DE448" s="8">
        <f t="shared" ref="DE448:DE450" si="2064">SUM(CZ448:DD448)</f>
        <v>0</v>
      </c>
    </row>
    <row r="449" spans="2:109">
      <c r="C449" s="567"/>
      <c r="E449" s="14" t="s">
        <v>61</v>
      </c>
      <c r="F449" s="23">
        <f t="shared" si="2050"/>
        <v>0</v>
      </c>
      <c r="G449" s="24">
        <f t="shared" si="2041"/>
        <v>0</v>
      </c>
      <c r="H449" s="24">
        <f t="shared" si="2042"/>
        <v>0</v>
      </c>
      <c r="I449" s="24">
        <f t="shared" si="2043"/>
        <v>0</v>
      </c>
      <c r="J449" s="24">
        <f t="shared" si="2044"/>
        <v>0</v>
      </c>
      <c r="K449" s="8">
        <f t="shared" si="2051"/>
        <v>0</v>
      </c>
      <c r="M449" s="6"/>
      <c r="N449" s="7"/>
      <c r="O449" s="7"/>
      <c r="P449" s="7"/>
      <c r="Q449" s="7"/>
      <c r="R449" s="8">
        <f t="shared" si="2052"/>
        <v>0</v>
      </c>
      <c r="T449" s="6"/>
      <c r="U449" s="7"/>
      <c r="V449" s="7"/>
      <c r="W449" s="7"/>
      <c r="X449" s="7"/>
      <c r="Y449" s="8">
        <f t="shared" si="2053"/>
        <v>0</v>
      </c>
      <c r="AA449" s="6"/>
      <c r="AB449" s="7"/>
      <c r="AC449" s="7"/>
      <c r="AD449" s="7"/>
      <c r="AE449" s="7"/>
      <c r="AF449" s="8">
        <f t="shared" si="2054"/>
        <v>0</v>
      </c>
      <c r="AH449" s="6"/>
      <c r="AI449" s="7"/>
      <c r="AJ449" s="7"/>
      <c r="AK449" s="7"/>
      <c r="AL449" s="7"/>
      <c r="AM449" s="8">
        <f t="shared" si="2055"/>
        <v>0</v>
      </c>
      <c r="AO449" s="6"/>
      <c r="AP449" s="7"/>
      <c r="AQ449" s="7"/>
      <c r="AR449" s="7"/>
      <c r="AS449" s="7"/>
      <c r="AT449" s="8">
        <f t="shared" si="2056"/>
        <v>0</v>
      </c>
      <c r="AV449" s="6"/>
      <c r="AW449" s="7"/>
      <c r="AX449" s="7"/>
      <c r="AY449" s="7"/>
      <c r="AZ449" s="7"/>
      <c r="BA449" s="8">
        <f t="shared" si="2057"/>
        <v>0</v>
      </c>
      <c r="BC449" s="6"/>
      <c r="BD449" s="7"/>
      <c r="BE449" s="7"/>
      <c r="BF449" s="7"/>
      <c r="BG449" s="7"/>
      <c r="BH449" s="8">
        <f t="shared" si="2058"/>
        <v>0</v>
      </c>
      <c r="BJ449" s="6"/>
      <c r="BK449" s="7"/>
      <c r="BL449" s="7"/>
      <c r="BM449" s="7"/>
      <c r="BN449" s="7"/>
      <c r="BO449" s="8">
        <f t="shared" si="2059"/>
        <v>0</v>
      </c>
      <c r="BQ449" s="6"/>
      <c r="BR449" s="7"/>
      <c r="BS449" s="7"/>
      <c r="BT449" s="7"/>
      <c r="BU449" s="7"/>
      <c r="BV449" s="8">
        <f t="shared" si="2060"/>
        <v>0</v>
      </c>
      <c r="BX449" s="6"/>
      <c r="BY449" s="7"/>
      <c r="BZ449" s="7"/>
      <c r="CA449" s="7"/>
      <c r="CB449" s="7"/>
      <c r="CC449" s="8">
        <f t="shared" si="2061"/>
        <v>0</v>
      </c>
      <c r="CE449" s="28">
        <f t="shared" si="2045"/>
        <v>0</v>
      </c>
      <c r="CF449" s="29">
        <f t="shared" si="2046"/>
        <v>0</v>
      </c>
      <c r="CG449" s="29">
        <f t="shared" si="2047"/>
        <v>0</v>
      </c>
      <c r="CH449" s="29">
        <f t="shared" si="2048"/>
        <v>0</v>
      </c>
      <c r="CI449" s="29">
        <f t="shared" si="2049"/>
        <v>0</v>
      </c>
      <c r="CJ449" s="8">
        <f>SUM(CE449:CI449)</f>
        <v>0</v>
      </c>
      <c r="CL449" s="6"/>
      <c r="CM449" s="7"/>
      <c r="CN449" s="7"/>
      <c r="CO449" s="7"/>
      <c r="CP449" s="7"/>
      <c r="CQ449" s="8">
        <f t="shared" si="2062"/>
        <v>0</v>
      </c>
      <c r="CS449" s="6"/>
      <c r="CT449" s="7"/>
      <c r="CU449" s="7"/>
      <c r="CV449" s="7"/>
      <c r="CW449" s="7"/>
      <c r="CX449" s="8">
        <f t="shared" si="2063"/>
        <v>0</v>
      </c>
      <c r="CZ449" s="6"/>
      <c r="DA449" s="7"/>
      <c r="DB449" s="7"/>
      <c r="DC449" s="7"/>
      <c r="DD449" s="7"/>
      <c r="DE449" s="8">
        <f t="shared" si="2064"/>
        <v>0</v>
      </c>
    </row>
    <row r="450" spans="2:109" ht="14" thickBot="1">
      <c r="C450" s="567"/>
      <c r="E450" s="14" t="s">
        <v>62</v>
      </c>
      <c r="F450" s="23">
        <f t="shared" si="2050"/>
        <v>0</v>
      </c>
      <c r="G450" s="24">
        <f t="shared" si="2041"/>
        <v>0</v>
      </c>
      <c r="H450" s="24">
        <f t="shared" si="2042"/>
        <v>0</v>
      </c>
      <c r="I450" s="24">
        <f t="shared" si="2043"/>
        <v>0</v>
      </c>
      <c r="J450" s="24">
        <f t="shared" si="2044"/>
        <v>0</v>
      </c>
      <c r="K450" s="8">
        <f t="shared" si="2051"/>
        <v>0</v>
      </c>
      <c r="M450" s="6"/>
      <c r="N450" s="7"/>
      <c r="O450" s="7"/>
      <c r="P450" s="7"/>
      <c r="Q450" s="7"/>
      <c r="R450" s="8">
        <f t="shared" si="2052"/>
        <v>0</v>
      </c>
      <c r="T450" s="6"/>
      <c r="U450" s="7"/>
      <c r="V450" s="7"/>
      <c r="W450" s="7"/>
      <c r="X450" s="7"/>
      <c r="Y450" s="8">
        <f t="shared" si="2053"/>
        <v>0</v>
      </c>
      <c r="AA450" s="6"/>
      <c r="AB450" s="7"/>
      <c r="AC450" s="7"/>
      <c r="AD450" s="7"/>
      <c r="AE450" s="7"/>
      <c r="AF450" s="8">
        <f t="shared" si="2054"/>
        <v>0</v>
      </c>
      <c r="AH450" s="6"/>
      <c r="AI450" s="7"/>
      <c r="AJ450" s="7"/>
      <c r="AK450" s="7"/>
      <c r="AL450" s="7"/>
      <c r="AM450" s="8">
        <f t="shared" si="2055"/>
        <v>0</v>
      </c>
      <c r="AO450" s="6"/>
      <c r="AP450" s="7"/>
      <c r="AQ450" s="7"/>
      <c r="AR450" s="7"/>
      <c r="AS450" s="7"/>
      <c r="AT450" s="8">
        <f t="shared" si="2056"/>
        <v>0</v>
      </c>
      <c r="AV450" s="6"/>
      <c r="AW450" s="7"/>
      <c r="AX450" s="7"/>
      <c r="AY450" s="7"/>
      <c r="AZ450" s="7"/>
      <c r="BA450" s="8">
        <f t="shared" si="2057"/>
        <v>0</v>
      </c>
      <c r="BC450" s="6"/>
      <c r="BD450" s="7"/>
      <c r="BE450" s="7"/>
      <c r="BF450" s="7"/>
      <c r="BG450" s="7"/>
      <c r="BH450" s="8">
        <f t="shared" si="2058"/>
        <v>0</v>
      </c>
      <c r="BJ450" s="6"/>
      <c r="BK450" s="7"/>
      <c r="BL450" s="7"/>
      <c r="BM450" s="7"/>
      <c r="BN450" s="7"/>
      <c r="BO450" s="8">
        <f t="shared" si="2059"/>
        <v>0</v>
      </c>
      <c r="BQ450" s="6"/>
      <c r="BR450" s="7"/>
      <c r="BS450" s="7"/>
      <c r="BT450" s="7"/>
      <c r="BU450" s="7"/>
      <c r="BV450" s="8">
        <f t="shared" si="2060"/>
        <v>0</v>
      </c>
      <c r="BX450" s="6"/>
      <c r="BY450" s="7"/>
      <c r="BZ450" s="7"/>
      <c r="CA450" s="7"/>
      <c r="CB450" s="7"/>
      <c r="CC450" s="8">
        <f t="shared" si="2061"/>
        <v>0</v>
      </c>
      <c r="CE450" s="493">
        <f t="shared" si="2045"/>
        <v>0</v>
      </c>
      <c r="CF450" s="494">
        <f t="shared" si="2046"/>
        <v>0</v>
      </c>
      <c r="CG450" s="494">
        <f t="shared" si="2047"/>
        <v>0</v>
      </c>
      <c r="CH450" s="494">
        <f t="shared" si="2048"/>
        <v>0</v>
      </c>
      <c r="CI450" s="494">
        <f t="shared" si="2049"/>
        <v>0</v>
      </c>
      <c r="CJ450" s="495">
        <f>SUM(CE450:CI450)</f>
        <v>0</v>
      </c>
      <c r="CL450" s="6"/>
      <c r="CM450" s="7"/>
      <c r="CN450" s="7"/>
      <c r="CO450" s="7"/>
      <c r="CP450" s="7"/>
      <c r="CQ450" s="8">
        <f t="shared" si="2062"/>
        <v>0</v>
      </c>
      <c r="CS450" s="6"/>
      <c r="CT450" s="7"/>
      <c r="CU450" s="7"/>
      <c r="CV450" s="7"/>
      <c r="CW450" s="7"/>
      <c r="CX450" s="8">
        <f t="shared" si="2063"/>
        <v>0</v>
      </c>
      <c r="CZ450" s="6"/>
      <c r="DA450" s="7"/>
      <c r="DB450" s="7"/>
      <c r="DC450" s="7"/>
      <c r="DD450" s="7"/>
      <c r="DE450" s="8">
        <f t="shared" si="2064"/>
        <v>0</v>
      </c>
    </row>
    <row r="451" spans="2:109" ht="14" thickBot="1">
      <c r="C451" s="554"/>
      <c r="E451" s="9"/>
      <c r="F451" s="10">
        <f>SUM(F447:F450)</f>
        <v>0</v>
      </c>
      <c r="G451" s="11">
        <f t="shared" ref="G451:J451" si="2065">SUM(G447:G450)</f>
        <v>0</v>
      </c>
      <c r="H451" s="11">
        <f t="shared" si="2065"/>
        <v>0</v>
      </c>
      <c r="I451" s="11">
        <f t="shared" si="2065"/>
        <v>0</v>
      </c>
      <c r="J451" s="11">
        <f t="shared" si="2065"/>
        <v>0</v>
      </c>
      <c r="K451" s="25">
        <f>SUM(K447:K450)</f>
        <v>0</v>
      </c>
      <c r="M451" s="10">
        <f>SUM(M447:M450)</f>
        <v>0</v>
      </c>
      <c r="N451" s="11">
        <f t="shared" ref="N451:Q451" si="2066">SUM(N447:N450)</f>
        <v>0</v>
      </c>
      <c r="O451" s="11">
        <f t="shared" si="2066"/>
        <v>0</v>
      </c>
      <c r="P451" s="11">
        <f t="shared" si="2066"/>
        <v>0</v>
      </c>
      <c r="Q451" s="11">
        <f t="shared" si="2066"/>
        <v>0</v>
      </c>
      <c r="R451" s="25">
        <f>SUM(R447:R450)</f>
        <v>0</v>
      </c>
      <c r="T451" s="10">
        <f>SUM(T447:T450)</f>
        <v>0</v>
      </c>
      <c r="U451" s="11">
        <f t="shared" ref="U451:X451" si="2067">SUM(U447:U450)</f>
        <v>0</v>
      </c>
      <c r="V451" s="11">
        <f t="shared" si="2067"/>
        <v>0</v>
      </c>
      <c r="W451" s="11">
        <f t="shared" si="2067"/>
        <v>0</v>
      </c>
      <c r="X451" s="11">
        <f t="shared" si="2067"/>
        <v>0</v>
      </c>
      <c r="Y451" s="25">
        <f>SUM(Y447:Y450)</f>
        <v>0</v>
      </c>
      <c r="AA451" s="10">
        <f>SUM(AA447:AA450)</f>
        <v>0</v>
      </c>
      <c r="AB451" s="11">
        <f t="shared" ref="AB451:AE451" si="2068">SUM(AB447:AB450)</f>
        <v>0</v>
      </c>
      <c r="AC451" s="11">
        <f t="shared" si="2068"/>
        <v>0</v>
      </c>
      <c r="AD451" s="11">
        <f t="shared" si="2068"/>
        <v>0</v>
      </c>
      <c r="AE451" s="11">
        <f t="shared" si="2068"/>
        <v>0</v>
      </c>
      <c r="AF451" s="25">
        <f>SUM(AF447:AF450)</f>
        <v>0</v>
      </c>
      <c r="AH451" s="10">
        <f>SUM(AH447:AH450)</f>
        <v>0</v>
      </c>
      <c r="AI451" s="11">
        <f t="shared" ref="AI451:AL451" si="2069">SUM(AI447:AI450)</f>
        <v>0</v>
      </c>
      <c r="AJ451" s="11">
        <f t="shared" si="2069"/>
        <v>0</v>
      </c>
      <c r="AK451" s="11">
        <f t="shared" si="2069"/>
        <v>0</v>
      </c>
      <c r="AL451" s="11">
        <f t="shared" si="2069"/>
        <v>0</v>
      </c>
      <c r="AM451" s="25">
        <f>SUM(AM447:AM450)</f>
        <v>0</v>
      </c>
      <c r="AO451" s="10">
        <f>SUM(AO447:AO450)</f>
        <v>0</v>
      </c>
      <c r="AP451" s="11">
        <f t="shared" ref="AP451:AS451" si="2070">SUM(AP447:AP450)</f>
        <v>0</v>
      </c>
      <c r="AQ451" s="11">
        <f t="shared" si="2070"/>
        <v>0</v>
      </c>
      <c r="AR451" s="11">
        <f t="shared" si="2070"/>
        <v>0</v>
      </c>
      <c r="AS451" s="11">
        <f t="shared" si="2070"/>
        <v>0</v>
      </c>
      <c r="AT451" s="25">
        <f>SUM(AT447:AT450)</f>
        <v>0</v>
      </c>
      <c r="AV451" s="10">
        <f>SUM(AV447:AV450)</f>
        <v>0</v>
      </c>
      <c r="AW451" s="11">
        <f t="shared" ref="AW451:AZ451" si="2071">SUM(AW447:AW450)</f>
        <v>0</v>
      </c>
      <c r="AX451" s="11">
        <f t="shared" si="2071"/>
        <v>0</v>
      </c>
      <c r="AY451" s="11">
        <f t="shared" si="2071"/>
        <v>0</v>
      </c>
      <c r="AZ451" s="11">
        <f t="shared" si="2071"/>
        <v>0</v>
      </c>
      <c r="BA451" s="25">
        <f>SUM(BA447:BA450)</f>
        <v>0</v>
      </c>
      <c r="BC451" s="10">
        <f>SUM(BC447:BC450)</f>
        <v>0</v>
      </c>
      <c r="BD451" s="11">
        <f t="shared" ref="BD451:BG451" si="2072">SUM(BD447:BD450)</f>
        <v>0</v>
      </c>
      <c r="BE451" s="11">
        <f t="shared" si="2072"/>
        <v>0</v>
      </c>
      <c r="BF451" s="11">
        <f t="shared" si="2072"/>
        <v>0</v>
      </c>
      <c r="BG451" s="11">
        <f t="shared" si="2072"/>
        <v>0</v>
      </c>
      <c r="BH451" s="25">
        <f>SUM(BH447:BH450)</f>
        <v>0</v>
      </c>
      <c r="BJ451" s="10">
        <f>SUM(BJ447:BJ450)</f>
        <v>0</v>
      </c>
      <c r="BK451" s="11">
        <f t="shared" ref="BK451:BN451" si="2073">SUM(BK447:BK450)</f>
        <v>0</v>
      </c>
      <c r="BL451" s="11">
        <f t="shared" si="2073"/>
        <v>0</v>
      </c>
      <c r="BM451" s="11">
        <f t="shared" si="2073"/>
        <v>0</v>
      </c>
      <c r="BN451" s="11">
        <f t="shared" si="2073"/>
        <v>0</v>
      </c>
      <c r="BO451" s="25">
        <f>SUM(BO447:BO450)</f>
        <v>0</v>
      </c>
      <c r="BQ451" s="10">
        <f>SUM(BQ447:BQ450)</f>
        <v>0</v>
      </c>
      <c r="BR451" s="11">
        <f t="shared" ref="BR451:BU451" si="2074">SUM(BR447:BR450)</f>
        <v>0</v>
      </c>
      <c r="BS451" s="11">
        <f t="shared" si="2074"/>
        <v>0</v>
      </c>
      <c r="BT451" s="11">
        <f t="shared" si="2074"/>
        <v>0</v>
      </c>
      <c r="BU451" s="11">
        <f t="shared" si="2074"/>
        <v>0</v>
      </c>
      <c r="BV451" s="25">
        <f>SUM(BV447:BV450)</f>
        <v>0</v>
      </c>
      <c r="BX451" s="10">
        <f>SUM(BX447:BX450)</f>
        <v>0</v>
      </c>
      <c r="BY451" s="11">
        <f t="shared" ref="BY451:CB451" si="2075">SUM(BY447:BY450)</f>
        <v>0</v>
      </c>
      <c r="BZ451" s="11">
        <f t="shared" si="2075"/>
        <v>0</v>
      </c>
      <c r="CA451" s="11">
        <f t="shared" si="2075"/>
        <v>0</v>
      </c>
      <c r="CB451" s="11">
        <f t="shared" si="2075"/>
        <v>0</v>
      </c>
      <c r="CC451" s="25">
        <f>SUM(CC447:CC450)</f>
        <v>0</v>
      </c>
      <c r="CE451" s="62">
        <f t="shared" ref="CE451:CJ451" si="2076">SUM(CE447:CE450)</f>
        <v>0</v>
      </c>
      <c r="CF451" s="63">
        <f t="shared" si="2076"/>
        <v>0</v>
      </c>
      <c r="CG451" s="63">
        <f t="shared" si="2076"/>
        <v>0</v>
      </c>
      <c r="CH451" s="63">
        <f t="shared" si="2076"/>
        <v>0</v>
      </c>
      <c r="CI451" s="63">
        <f t="shared" si="2076"/>
        <v>0</v>
      </c>
      <c r="CJ451" s="25">
        <f t="shared" si="2076"/>
        <v>0</v>
      </c>
      <c r="CL451" s="10">
        <f>SUM(CL447:CL450)</f>
        <v>0</v>
      </c>
      <c r="CM451" s="11">
        <f t="shared" ref="CM451:CP451" si="2077">SUM(CM447:CM450)</f>
        <v>0</v>
      </c>
      <c r="CN451" s="11">
        <f t="shared" si="2077"/>
        <v>0</v>
      </c>
      <c r="CO451" s="11">
        <f t="shared" si="2077"/>
        <v>0</v>
      </c>
      <c r="CP451" s="11">
        <f t="shared" si="2077"/>
        <v>0</v>
      </c>
      <c r="CQ451" s="25">
        <f>SUM(CQ447:CQ450)</f>
        <v>0</v>
      </c>
      <c r="CS451" s="10">
        <f>SUM(CS447:CS450)</f>
        <v>0</v>
      </c>
      <c r="CT451" s="11">
        <f t="shared" ref="CT451:CW451" si="2078">SUM(CT447:CT450)</f>
        <v>0</v>
      </c>
      <c r="CU451" s="11">
        <f t="shared" si="2078"/>
        <v>0</v>
      </c>
      <c r="CV451" s="11">
        <f t="shared" si="2078"/>
        <v>0</v>
      </c>
      <c r="CW451" s="11">
        <f t="shared" si="2078"/>
        <v>0</v>
      </c>
      <c r="CX451" s="25">
        <f>SUM(CX447:CX450)</f>
        <v>0</v>
      </c>
      <c r="CZ451" s="10">
        <f>SUM(CZ447:CZ450)</f>
        <v>0</v>
      </c>
      <c r="DA451" s="11">
        <f t="shared" ref="DA451:DD451" si="2079">SUM(DA447:DA450)</f>
        <v>0</v>
      </c>
      <c r="DB451" s="11">
        <f t="shared" si="2079"/>
        <v>0</v>
      </c>
      <c r="DC451" s="11">
        <f t="shared" si="2079"/>
        <v>0</v>
      </c>
      <c r="DD451" s="11">
        <f t="shared" si="2079"/>
        <v>0</v>
      </c>
      <c r="DE451" s="25">
        <f>SUM(DE447:DE450)</f>
        <v>0</v>
      </c>
    </row>
    <row r="453" spans="2:109">
      <c r="B453" s="123"/>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L453" s="20"/>
      <c r="CM453" s="20"/>
      <c r="CN453" s="20"/>
      <c r="CO453" s="20"/>
      <c r="CP453" s="20"/>
      <c r="CQ453" s="20"/>
      <c r="CR453" s="20"/>
      <c r="CS453" s="20"/>
      <c r="CT453" s="20"/>
      <c r="CU453" s="20"/>
      <c r="CV453" s="20"/>
      <c r="CW453" s="20"/>
      <c r="CX453" s="20"/>
      <c r="CY453" s="20"/>
      <c r="CZ453" s="20"/>
      <c r="DA453" s="20"/>
      <c r="DB453" s="20"/>
      <c r="DC453" s="20"/>
      <c r="DD453" s="20"/>
      <c r="DE453" s="20"/>
    </row>
    <row r="454" spans="2:109" ht="14" thickBot="1">
      <c r="B454" s="94">
        <v>15</v>
      </c>
      <c r="C454" s="12" t="s">
        <v>76</v>
      </c>
    </row>
    <row r="455" spans="2:109">
      <c r="C455" s="553">
        <v>2024</v>
      </c>
      <c r="E455" s="1" t="s">
        <v>59</v>
      </c>
      <c r="F455" s="2"/>
      <c r="G455" s="3"/>
      <c r="H455" s="3"/>
      <c r="I455" s="3"/>
      <c r="J455" s="3"/>
      <c r="K455" s="4">
        <f>SUM(F455:J455)</f>
        <v>0</v>
      </c>
      <c r="M455" s="2"/>
      <c r="N455" s="3"/>
      <c r="O455" s="3"/>
      <c r="P455" s="3"/>
      <c r="Q455" s="3"/>
      <c r="R455" s="4">
        <f>SUM(M455:Q455)</f>
        <v>0</v>
      </c>
      <c r="T455" s="2"/>
      <c r="U455" s="3"/>
      <c r="V455" s="3"/>
      <c r="W455" s="3"/>
      <c r="X455" s="3"/>
      <c r="Y455" s="4">
        <f>SUM(T455:X455)</f>
        <v>0</v>
      </c>
      <c r="AA455" s="2"/>
      <c r="AB455" s="3"/>
      <c r="AC455" s="3"/>
      <c r="AD455" s="3"/>
      <c r="AE455" s="3"/>
      <c r="AF455" s="4">
        <f>SUM(AA455:AE455)</f>
        <v>0</v>
      </c>
      <c r="AH455" s="2"/>
      <c r="AI455" s="3"/>
      <c r="AJ455" s="3"/>
      <c r="AK455" s="3"/>
      <c r="AL455" s="3"/>
      <c r="AM455" s="4">
        <f>SUM(AH455:AL455)</f>
        <v>0</v>
      </c>
      <c r="AO455" s="2"/>
      <c r="AP455" s="3"/>
      <c r="AQ455" s="3"/>
      <c r="AR455" s="3"/>
      <c r="AS455" s="3"/>
      <c r="AT455" s="4">
        <f>SUM(AO455:AS455)</f>
        <v>0</v>
      </c>
      <c r="AV455" s="2"/>
      <c r="AW455" s="3"/>
      <c r="AX455" s="3"/>
      <c r="AY455" s="3"/>
      <c r="AZ455" s="3"/>
      <c r="BA455" s="4">
        <f>SUM(AV455:AZ455)</f>
        <v>0</v>
      </c>
      <c r="BC455" s="2"/>
      <c r="BD455" s="3"/>
      <c r="BE455" s="3"/>
      <c r="BF455" s="3"/>
      <c r="BG455" s="3"/>
      <c r="BH455" s="4">
        <f>SUM(BC455:BG455)</f>
        <v>0</v>
      </c>
      <c r="BJ455" s="2"/>
      <c r="BK455" s="3"/>
      <c r="BL455" s="3"/>
      <c r="BM455" s="3"/>
      <c r="BN455" s="3"/>
      <c r="BO455" s="4">
        <f>SUM(BJ455:BN455)</f>
        <v>0</v>
      </c>
      <c r="BQ455" s="2"/>
      <c r="BR455" s="3"/>
      <c r="BS455" s="3"/>
      <c r="BT455" s="3"/>
      <c r="BU455" s="3"/>
      <c r="BV455" s="4">
        <f>SUM(BQ455:BU455)</f>
        <v>0</v>
      </c>
      <c r="BX455" s="2"/>
      <c r="BY455" s="3"/>
      <c r="BZ455" s="3"/>
      <c r="CA455" s="3"/>
      <c r="CB455" s="3"/>
      <c r="CC455" s="4">
        <f>SUM(BX455:CB455)</f>
        <v>0</v>
      </c>
      <c r="CE455" s="26">
        <f t="shared" ref="CE455:CE458" si="2080">F455+M455+T455+AA455+AH455+AO455+AV455+BC455+BJ455+BQ455+BX455</f>
        <v>0</v>
      </c>
      <c r="CF455" s="27">
        <f t="shared" ref="CF455:CF458" si="2081">G455+N455+U455+AB455+AI455+AP455+AW455+BD455+BK455+BR455+BY455</f>
        <v>0</v>
      </c>
      <c r="CG455" s="27">
        <f t="shared" ref="CG455:CG458" si="2082">H455+O455+V455+AC455+AJ455+AQ455+AX455+BE455+BL455+BS455+BZ455</f>
        <v>0</v>
      </c>
      <c r="CH455" s="27">
        <f t="shared" ref="CH455:CH458" si="2083">I455+P455+W455+AD455+AK455+AR455+AY455+BF455+BM455+BT455+CA455</f>
        <v>0</v>
      </c>
      <c r="CI455" s="27">
        <f t="shared" ref="CI455:CI458" si="2084">J455+Q455+X455+AE455+AL455+AS455+AZ455+BG455+BN455+BU455+CB455</f>
        <v>0</v>
      </c>
      <c r="CJ455" s="4">
        <f>SUM(CE455:CI455)</f>
        <v>0</v>
      </c>
      <c r="CL455" s="2"/>
      <c r="CM455" s="3"/>
      <c r="CN455" s="3"/>
      <c r="CO455" s="3"/>
      <c r="CP455" s="3"/>
      <c r="CQ455" s="4">
        <f>SUM(CL455:CP455)</f>
        <v>0</v>
      </c>
      <c r="CS455" s="2"/>
      <c r="CT455" s="3"/>
      <c r="CU455" s="3"/>
      <c r="CV455" s="3"/>
      <c r="CW455" s="3"/>
      <c r="CX455" s="4">
        <f>SUM(CS455:CW455)</f>
        <v>0</v>
      </c>
      <c r="CZ455" s="2"/>
      <c r="DA455" s="3"/>
      <c r="DB455" s="3"/>
      <c r="DC455" s="3"/>
      <c r="DD455" s="3"/>
      <c r="DE455" s="4">
        <f>SUM(CZ455:DD455)</f>
        <v>0</v>
      </c>
    </row>
    <row r="456" spans="2:109">
      <c r="C456" s="567"/>
      <c r="E456" s="5" t="s">
        <v>60</v>
      </c>
      <c r="F456" s="6"/>
      <c r="G456" s="7"/>
      <c r="H456" s="7"/>
      <c r="I456" s="7"/>
      <c r="J456" s="7"/>
      <c r="K456" s="8">
        <f t="shared" ref="K456:K458" si="2085">SUM(F456:J456)</f>
        <v>0</v>
      </c>
      <c r="M456" s="6"/>
      <c r="N456" s="7"/>
      <c r="O456" s="7"/>
      <c r="P456" s="7"/>
      <c r="Q456" s="7"/>
      <c r="R456" s="8">
        <f t="shared" ref="R456:R458" si="2086">SUM(M456:Q456)</f>
        <v>0</v>
      </c>
      <c r="T456" s="6"/>
      <c r="U456" s="7"/>
      <c r="V456" s="7"/>
      <c r="W456" s="7"/>
      <c r="X456" s="7"/>
      <c r="Y456" s="8">
        <f t="shared" ref="Y456:Y458" si="2087">SUM(T456:X456)</f>
        <v>0</v>
      </c>
      <c r="AA456" s="6"/>
      <c r="AB456" s="7"/>
      <c r="AC456" s="7"/>
      <c r="AD456" s="7"/>
      <c r="AE456" s="7"/>
      <c r="AF456" s="8">
        <f>SUM(AA456:AE456)</f>
        <v>0</v>
      </c>
      <c r="AH456" s="6"/>
      <c r="AI456" s="7"/>
      <c r="AJ456" s="7"/>
      <c r="AK456" s="7"/>
      <c r="AL456" s="7"/>
      <c r="AM456" s="8">
        <f>SUM(AH456:AL456)</f>
        <v>0</v>
      </c>
      <c r="AO456" s="6"/>
      <c r="AP456" s="7"/>
      <c r="AQ456" s="7"/>
      <c r="AR456" s="7"/>
      <c r="AS456" s="7"/>
      <c r="AT456" s="8">
        <f>SUM(AO456:AS456)</f>
        <v>0</v>
      </c>
      <c r="AV456" s="6"/>
      <c r="AW456" s="7"/>
      <c r="AX456" s="7"/>
      <c r="AY456" s="7"/>
      <c r="AZ456" s="7"/>
      <c r="BA456" s="8">
        <f>SUM(AV456:AZ456)</f>
        <v>0</v>
      </c>
      <c r="BC456" s="6"/>
      <c r="BD456" s="7"/>
      <c r="BE456" s="7"/>
      <c r="BF456" s="7"/>
      <c r="BG456" s="7"/>
      <c r="BH456" s="8">
        <f>SUM(BC456:BG456)</f>
        <v>0</v>
      </c>
      <c r="BJ456" s="6"/>
      <c r="BK456" s="7"/>
      <c r="BL456" s="7"/>
      <c r="BM456" s="7"/>
      <c r="BN456" s="7"/>
      <c r="BO456" s="8">
        <f>SUM(BJ456:BN456)</f>
        <v>0</v>
      </c>
      <c r="BQ456" s="6"/>
      <c r="BR456" s="7"/>
      <c r="BS456" s="7"/>
      <c r="BT456" s="7"/>
      <c r="BU456" s="7"/>
      <c r="BV456" s="8">
        <f>SUM(BQ456:BU456)</f>
        <v>0</v>
      </c>
      <c r="BX456" s="6"/>
      <c r="BY456" s="7"/>
      <c r="BZ456" s="7"/>
      <c r="CA456" s="7"/>
      <c r="CB456" s="7"/>
      <c r="CC456" s="8">
        <f>SUM(BX456:CB456)</f>
        <v>0</v>
      </c>
      <c r="CE456" s="28">
        <f t="shared" si="2080"/>
        <v>0</v>
      </c>
      <c r="CF456" s="29">
        <f t="shared" si="2081"/>
        <v>0</v>
      </c>
      <c r="CG456" s="29">
        <f t="shared" si="2082"/>
        <v>0</v>
      </c>
      <c r="CH456" s="29">
        <f t="shared" si="2083"/>
        <v>0</v>
      </c>
      <c r="CI456" s="29">
        <f t="shared" si="2084"/>
        <v>0</v>
      </c>
      <c r="CJ456" s="8">
        <f>SUM(CE456:CI456)</f>
        <v>0</v>
      </c>
      <c r="CL456" s="6"/>
      <c r="CM456" s="7"/>
      <c r="CN456" s="7"/>
      <c r="CO456" s="7"/>
      <c r="CP456" s="7"/>
      <c r="CQ456" s="8">
        <f>SUM(CL456:CP456)</f>
        <v>0</v>
      </c>
      <c r="CS456" s="6"/>
      <c r="CT456" s="7"/>
      <c r="CU456" s="7"/>
      <c r="CV456" s="7"/>
      <c r="CW456" s="7"/>
      <c r="CX456" s="8">
        <f t="shared" ref="CX456:CX458" si="2088">SUM(CS456:CW456)</f>
        <v>0</v>
      </c>
      <c r="CZ456" s="6"/>
      <c r="DA456" s="7"/>
      <c r="DB456" s="7"/>
      <c r="DC456" s="7"/>
      <c r="DD456" s="7"/>
      <c r="DE456" s="8">
        <f t="shared" ref="DE456:DE458" si="2089">SUM(CZ456:DD456)</f>
        <v>0</v>
      </c>
    </row>
    <row r="457" spans="2:109">
      <c r="C457" s="567"/>
      <c r="E457" s="5" t="s">
        <v>61</v>
      </c>
      <c r="F457" s="6"/>
      <c r="G457" s="7"/>
      <c r="H457" s="7"/>
      <c r="I457" s="7"/>
      <c r="J457" s="7"/>
      <c r="K457" s="8">
        <f t="shared" si="2085"/>
        <v>0</v>
      </c>
      <c r="M457" s="6"/>
      <c r="N457" s="7"/>
      <c r="O457" s="7"/>
      <c r="P457" s="7"/>
      <c r="Q457" s="7"/>
      <c r="R457" s="8">
        <f t="shared" si="2086"/>
        <v>0</v>
      </c>
      <c r="T457" s="6"/>
      <c r="U457" s="7"/>
      <c r="V457" s="7"/>
      <c r="W457" s="7"/>
      <c r="X457" s="7"/>
      <c r="Y457" s="8">
        <f t="shared" si="2087"/>
        <v>0</v>
      </c>
      <c r="AA457" s="6"/>
      <c r="AB457" s="7"/>
      <c r="AC457" s="7"/>
      <c r="AD457" s="7"/>
      <c r="AE457" s="7"/>
      <c r="AF457" s="8">
        <f>SUM(AA457:AE457)</f>
        <v>0</v>
      </c>
      <c r="AH457" s="6"/>
      <c r="AI457" s="7"/>
      <c r="AJ457" s="7"/>
      <c r="AK457" s="7"/>
      <c r="AL457" s="7"/>
      <c r="AM457" s="8">
        <f>SUM(AH457:AL457)</f>
        <v>0</v>
      </c>
      <c r="AO457" s="6"/>
      <c r="AP457" s="7"/>
      <c r="AQ457" s="7"/>
      <c r="AR457" s="7"/>
      <c r="AS457" s="7"/>
      <c r="AT457" s="8">
        <f>SUM(AO457:AS457)</f>
        <v>0</v>
      </c>
      <c r="AV457" s="6"/>
      <c r="AW457" s="7"/>
      <c r="AX457" s="7"/>
      <c r="AY457" s="7"/>
      <c r="AZ457" s="7"/>
      <c r="BA457" s="8">
        <f>SUM(AV457:AZ457)</f>
        <v>0</v>
      </c>
      <c r="BC457" s="6"/>
      <c r="BD457" s="7"/>
      <c r="BE457" s="7"/>
      <c r="BF457" s="7"/>
      <c r="BG457" s="7"/>
      <c r="BH457" s="8">
        <f>SUM(BC457:BG457)</f>
        <v>0</v>
      </c>
      <c r="BJ457" s="6"/>
      <c r="BK457" s="7"/>
      <c r="BL457" s="7"/>
      <c r="BM457" s="7"/>
      <c r="BN457" s="7"/>
      <c r="BO457" s="8">
        <f>SUM(BJ457:BN457)</f>
        <v>0</v>
      </c>
      <c r="BQ457" s="6"/>
      <c r="BR457" s="7"/>
      <c r="BS457" s="7"/>
      <c r="BT457" s="7"/>
      <c r="BU457" s="7"/>
      <c r="BV457" s="8">
        <f>SUM(BQ457:BU457)</f>
        <v>0</v>
      </c>
      <c r="BX457" s="6"/>
      <c r="BY457" s="7"/>
      <c r="BZ457" s="7"/>
      <c r="CA457" s="7"/>
      <c r="CB457" s="7"/>
      <c r="CC457" s="8">
        <f>SUM(BX457:CB457)</f>
        <v>0</v>
      </c>
      <c r="CE457" s="28">
        <f t="shared" si="2080"/>
        <v>0</v>
      </c>
      <c r="CF457" s="29">
        <f t="shared" si="2081"/>
        <v>0</v>
      </c>
      <c r="CG457" s="29">
        <f t="shared" si="2082"/>
        <v>0</v>
      </c>
      <c r="CH457" s="29">
        <f t="shared" si="2083"/>
        <v>0</v>
      </c>
      <c r="CI457" s="29">
        <f t="shared" si="2084"/>
        <v>0</v>
      </c>
      <c r="CJ457" s="8">
        <f>SUM(CE457:CI457)</f>
        <v>0</v>
      </c>
      <c r="CL457" s="6"/>
      <c r="CM457" s="7"/>
      <c r="CN457" s="7"/>
      <c r="CO457" s="7"/>
      <c r="CP457" s="7"/>
      <c r="CQ457" s="8">
        <f>SUM(CL457:CP457)</f>
        <v>0</v>
      </c>
      <c r="CS457" s="6"/>
      <c r="CT457" s="7"/>
      <c r="CU457" s="7"/>
      <c r="CV457" s="7"/>
      <c r="CW457" s="7"/>
      <c r="CX457" s="8">
        <f t="shared" si="2088"/>
        <v>0</v>
      </c>
      <c r="CZ457" s="6"/>
      <c r="DA457" s="7"/>
      <c r="DB457" s="7"/>
      <c r="DC457" s="7"/>
      <c r="DD457" s="7"/>
      <c r="DE457" s="8">
        <f t="shared" si="2089"/>
        <v>0</v>
      </c>
    </row>
    <row r="458" spans="2:109" ht="14" thickBot="1">
      <c r="C458" s="567"/>
      <c r="E458" s="5" t="s">
        <v>62</v>
      </c>
      <c r="F458" s="6"/>
      <c r="G458" s="7"/>
      <c r="H458" s="7"/>
      <c r="I458" s="7"/>
      <c r="J458" s="7"/>
      <c r="K458" s="8">
        <f t="shared" si="2085"/>
        <v>0</v>
      </c>
      <c r="M458" s="6"/>
      <c r="N458" s="7"/>
      <c r="O458" s="7"/>
      <c r="P458" s="7"/>
      <c r="Q458" s="7"/>
      <c r="R458" s="8">
        <f t="shared" si="2086"/>
        <v>0</v>
      </c>
      <c r="T458" s="6"/>
      <c r="U458" s="7"/>
      <c r="V458" s="7"/>
      <c r="W458" s="7"/>
      <c r="X458" s="7"/>
      <c r="Y458" s="8">
        <f t="shared" si="2087"/>
        <v>0</v>
      </c>
      <c r="AA458" s="6"/>
      <c r="AB458" s="7"/>
      <c r="AC458" s="7"/>
      <c r="AD458" s="7"/>
      <c r="AE458" s="7"/>
      <c r="AF458" s="8">
        <f>SUM(AA458:AE458)</f>
        <v>0</v>
      </c>
      <c r="AH458" s="6"/>
      <c r="AI458" s="7"/>
      <c r="AJ458" s="7"/>
      <c r="AK458" s="7"/>
      <c r="AL458" s="7"/>
      <c r="AM458" s="8">
        <f>SUM(AH458:AL458)</f>
        <v>0</v>
      </c>
      <c r="AO458" s="6"/>
      <c r="AP458" s="7"/>
      <c r="AQ458" s="7"/>
      <c r="AR458" s="7"/>
      <c r="AS458" s="7"/>
      <c r="AT458" s="8">
        <f>SUM(AO458:AS458)</f>
        <v>0</v>
      </c>
      <c r="AV458" s="6"/>
      <c r="AW458" s="7"/>
      <c r="AX458" s="7"/>
      <c r="AY458" s="7"/>
      <c r="AZ458" s="7"/>
      <c r="BA458" s="8">
        <f>SUM(AV458:AZ458)</f>
        <v>0</v>
      </c>
      <c r="BC458" s="6"/>
      <c r="BD458" s="7"/>
      <c r="BE458" s="7"/>
      <c r="BF458" s="7"/>
      <c r="BG458" s="7"/>
      <c r="BH458" s="8">
        <f>SUM(BC458:BG458)</f>
        <v>0</v>
      </c>
      <c r="BJ458" s="6"/>
      <c r="BK458" s="7"/>
      <c r="BL458" s="7"/>
      <c r="BM458" s="7"/>
      <c r="BN458" s="7"/>
      <c r="BO458" s="8">
        <f>SUM(BJ458:BN458)</f>
        <v>0</v>
      </c>
      <c r="BQ458" s="6"/>
      <c r="BR458" s="7"/>
      <c r="BS458" s="7"/>
      <c r="BT458" s="7"/>
      <c r="BU458" s="7"/>
      <c r="BV458" s="8">
        <f>SUM(BQ458:BU458)</f>
        <v>0</v>
      </c>
      <c r="BX458" s="6"/>
      <c r="BY458" s="7"/>
      <c r="BZ458" s="7"/>
      <c r="CA458" s="7"/>
      <c r="CB458" s="7"/>
      <c r="CC458" s="8">
        <f>SUM(BX458:CB458)</f>
        <v>0</v>
      </c>
      <c r="CE458" s="493">
        <f t="shared" si="2080"/>
        <v>0</v>
      </c>
      <c r="CF458" s="494">
        <f t="shared" si="2081"/>
        <v>0</v>
      </c>
      <c r="CG458" s="494">
        <f t="shared" si="2082"/>
        <v>0</v>
      </c>
      <c r="CH458" s="494">
        <f t="shared" si="2083"/>
        <v>0</v>
      </c>
      <c r="CI458" s="494">
        <f t="shared" si="2084"/>
        <v>0</v>
      </c>
      <c r="CJ458" s="495">
        <f>SUM(CE458:CI458)</f>
        <v>0</v>
      </c>
      <c r="CL458" s="6"/>
      <c r="CM458" s="7"/>
      <c r="CN458" s="7"/>
      <c r="CO458" s="7"/>
      <c r="CP458" s="7"/>
      <c r="CQ458" s="8">
        <f>SUM(CL458:CP458)</f>
        <v>0</v>
      </c>
      <c r="CS458" s="6"/>
      <c r="CT458" s="7"/>
      <c r="CU458" s="7"/>
      <c r="CV458" s="7"/>
      <c r="CW458" s="7"/>
      <c r="CX458" s="8">
        <f t="shared" si="2088"/>
        <v>0</v>
      </c>
      <c r="CZ458" s="6"/>
      <c r="DA458" s="7"/>
      <c r="DB458" s="7"/>
      <c r="DC458" s="7"/>
      <c r="DD458" s="7"/>
      <c r="DE458" s="8">
        <f t="shared" si="2089"/>
        <v>0</v>
      </c>
    </row>
    <row r="459" spans="2:109" ht="14" thickBot="1">
      <c r="C459" s="554"/>
      <c r="E459" s="9"/>
      <c r="F459" s="10">
        <f>SUM(F455:F458)</f>
        <v>0</v>
      </c>
      <c r="G459" s="11">
        <f t="shared" ref="G459:J459" si="2090">SUM(G455:G458)</f>
        <v>0</v>
      </c>
      <c r="H459" s="11">
        <f t="shared" si="2090"/>
        <v>0</v>
      </c>
      <c r="I459" s="11">
        <f t="shared" si="2090"/>
        <v>0</v>
      </c>
      <c r="J459" s="61">
        <f t="shared" si="2090"/>
        <v>0</v>
      </c>
      <c r="K459" s="25">
        <f>SUM(K455:K458)</f>
        <v>0</v>
      </c>
      <c r="M459" s="10">
        <f>SUM(M455:M458)</f>
        <v>0</v>
      </c>
      <c r="N459" s="11">
        <f t="shared" ref="N459:Q459" si="2091">SUM(N455:N458)</f>
        <v>0</v>
      </c>
      <c r="O459" s="11">
        <f t="shared" si="2091"/>
        <v>0</v>
      </c>
      <c r="P459" s="11">
        <f t="shared" si="2091"/>
        <v>0</v>
      </c>
      <c r="Q459" s="11">
        <f t="shared" si="2091"/>
        <v>0</v>
      </c>
      <c r="R459" s="25">
        <f>SUM(R455:R458)</f>
        <v>0</v>
      </c>
      <c r="T459" s="10">
        <f>SUM(T455:T458)</f>
        <v>0</v>
      </c>
      <c r="U459" s="11">
        <f t="shared" ref="U459:X459" si="2092">SUM(U455:U458)</f>
        <v>0</v>
      </c>
      <c r="V459" s="11">
        <f t="shared" si="2092"/>
        <v>0</v>
      </c>
      <c r="W459" s="11">
        <f t="shared" si="2092"/>
        <v>0</v>
      </c>
      <c r="X459" s="11">
        <f t="shared" si="2092"/>
        <v>0</v>
      </c>
      <c r="Y459" s="25">
        <f>SUM(Y455:Y458)</f>
        <v>0</v>
      </c>
      <c r="AA459" s="10">
        <f>SUM(AA455:AA458)</f>
        <v>0</v>
      </c>
      <c r="AB459" s="11">
        <f t="shared" ref="AB459:AE459" si="2093">SUM(AB455:AB458)</f>
        <v>0</v>
      </c>
      <c r="AC459" s="11">
        <f t="shared" si="2093"/>
        <v>0</v>
      </c>
      <c r="AD459" s="11">
        <f t="shared" si="2093"/>
        <v>0</v>
      </c>
      <c r="AE459" s="11">
        <f t="shared" si="2093"/>
        <v>0</v>
      </c>
      <c r="AF459" s="25">
        <f>SUM(AF455:AF458)</f>
        <v>0</v>
      </c>
      <c r="AH459" s="10">
        <f>SUM(AH455:AH458)</f>
        <v>0</v>
      </c>
      <c r="AI459" s="11">
        <f t="shared" ref="AI459:AL459" si="2094">SUM(AI455:AI458)</f>
        <v>0</v>
      </c>
      <c r="AJ459" s="11">
        <f t="shared" si="2094"/>
        <v>0</v>
      </c>
      <c r="AK459" s="11">
        <f t="shared" si="2094"/>
        <v>0</v>
      </c>
      <c r="AL459" s="11">
        <f t="shared" si="2094"/>
        <v>0</v>
      </c>
      <c r="AM459" s="25">
        <f>SUM(AM455:AM458)</f>
        <v>0</v>
      </c>
      <c r="AO459" s="10">
        <f>SUM(AO455:AO458)</f>
        <v>0</v>
      </c>
      <c r="AP459" s="11">
        <f t="shared" ref="AP459:AS459" si="2095">SUM(AP455:AP458)</f>
        <v>0</v>
      </c>
      <c r="AQ459" s="11">
        <f t="shared" si="2095"/>
        <v>0</v>
      </c>
      <c r="AR459" s="11">
        <f t="shared" si="2095"/>
        <v>0</v>
      </c>
      <c r="AS459" s="11">
        <f t="shared" si="2095"/>
        <v>0</v>
      </c>
      <c r="AT459" s="25">
        <f>SUM(AT455:AT458)</f>
        <v>0</v>
      </c>
      <c r="AV459" s="10">
        <f>SUM(AV455:AV458)</f>
        <v>0</v>
      </c>
      <c r="AW459" s="11">
        <f t="shared" ref="AW459:AZ459" si="2096">SUM(AW455:AW458)</f>
        <v>0</v>
      </c>
      <c r="AX459" s="11">
        <f t="shared" si="2096"/>
        <v>0</v>
      </c>
      <c r="AY459" s="11">
        <f t="shared" si="2096"/>
        <v>0</v>
      </c>
      <c r="AZ459" s="11">
        <f t="shared" si="2096"/>
        <v>0</v>
      </c>
      <c r="BA459" s="25">
        <f>SUM(BA455:BA458)</f>
        <v>0</v>
      </c>
      <c r="BC459" s="10">
        <f>SUM(BC455:BC458)</f>
        <v>0</v>
      </c>
      <c r="BD459" s="11">
        <f t="shared" ref="BD459:BG459" si="2097">SUM(BD455:BD458)</f>
        <v>0</v>
      </c>
      <c r="BE459" s="11">
        <f t="shared" si="2097"/>
        <v>0</v>
      </c>
      <c r="BF459" s="11">
        <f t="shared" si="2097"/>
        <v>0</v>
      </c>
      <c r="BG459" s="11">
        <f t="shared" si="2097"/>
        <v>0</v>
      </c>
      <c r="BH459" s="25">
        <f>SUM(BH455:BH458)</f>
        <v>0</v>
      </c>
      <c r="BJ459" s="10">
        <f>SUM(BJ455:BJ458)</f>
        <v>0</v>
      </c>
      <c r="BK459" s="11">
        <f t="shared" ref="BK459:BN459" si="2098">SUM(BK455:BK458)</f>
        <v>0</v>
      </c>
      <c r="BL459" s="11">
        <f t="shared" si="2098"/>
        <v>0</v>
      </c>
      <c r="BM459" s="11">
        <f t="shared" si="2098"/>
        <v>0</v>
      </c>
      <c r="BN459" s="11">
        <f t="shared" si="2098"/>
        <v>0</v>
      </c>
      <c r="BO459" s="25">
        <f>SUM(BO455:BO458)</f>
        <v>0</v>
      </c>
      <c r="BQ459" s="10">
        <f>SUM(BQ455:BQ458)</f>
        <v>0</v>
      </c>
      <c r="BR459" s="11">
        <f t="shared" ref="BR459:BU459" si="2099">SUM(BR455:BR458)</f>
        <v>0</v>
      </c>
      <c r="BS459" s="11">
        <f t="shared" si="2099"/>
        <v>0</v>
      </c>
      <c r="BT459" s="11">
        <f t="shared" si="2099"/>
        <v>0</v>
      </c>
      <c r="BU459" s="11">
        <f t="shared" si="2099"/>
        <v>0</v>
      </c>
      <c r="BV459" s="25">
        <f>SUM(BV455:BV458)</f>
        <v>0</v>
      </c>
      <c r="BX459" s="10">
        <f>SUM(BX455:BX458)</f>
        <v>0</v>
      </c>
      <c r="BY459" s="11">
        <f t="shared" ref="BY459:CB459" si="2100">SUM(BY455:BY458)</f>
        <v>0</v>
      </c>
      <c r="BZ459" s="11">
        <f t="shared" si="2100"/>
        <v>0</v>
      </c>
      <c r="CA459" s="11">
        <f t="shared" si="2100"/>
        <v>0</v>
      </c>
      <c r="CB459" s="11">
        <f t="shared" si="2100"/>
        <v>0</v>
      </c>
      <c r="CC459" s="25">
        <f>SUM(CC455:CC458)</f>
        <v>0</v>
      </c>
      <c r="CE459" s="62">
        <f t="shared" ref="CE459:CJ459" si="2101">SUM(CE455:CE458)</f>
        <v>0</v>
      </c>
      <c r="CF459" s="63">
        <f t="shared" si="2101"/>
        <v>0</v>
      </c>
      <c r="CG459" s="63">
        <f t="shared" si="2101"/>
        <v>0</v>
      </c>
      <c r="CH459" s="63">
        <f t="shared" si="2101"/>
        <v>0</v>
      </c>
      <c r="CI459" s="63">
        <f t="shared" si="2101"/>
        <v>0</v>
      </c>
      <c r="CJ459" s="25">
        <f t="shared" si="2101"/>
        <v>0</v>
      </c>
      <c r="CL459" s="10">
        <f>SUM(CL455:CL458)</f>
        <v>0</v>
      </c>
      <c r="CM459" s="11">
        <f t="shared" ref="CM459:CP459" si="2102">SUM(CM455:CM458)</f>
        <v>0</v>
      </c>
      <c r="CN459" s="11">
        <f t="shared" si="2102"/>
        <v>0</v>
      </c>
      <c r="CO459" s="11">
        <f t="shared" si="2102"/>
        <v>0</v>
      </c>
      <c r="CP459" s="11">
        <f t="shared" si="2102"/>
        <v>0</v>
      </c>
      <c r="CQ459" s="25">
        <f>SUM(CQ455:CQ458)</f>
        <v>0</v>
      </c>
      <c r="CS459" s="10">
        <f>SUM(CS455:CS458)</f>
        <v>0</v>
      </c>
      <c r="CT459" s="11">
        <f t="shared" ref="CT459:CW459" si="2103">SUM(CT455:CT458)</f>
        <v>0</v>
      </c>
      <c r="CU459" s="11">
        <f t="shared" si="2103"/>
        <v>0</v>
      </c>
      <c r="CV459" s="11">
        <f t="shared" si="2103"/>
        <v>0</v>
      </c>
      <c r="CW459" s="11">
        <f t="shared" si="2103"/>
        <v>0</v>
      </c>
      <c r="CX459" s="25">
        <f>SUM(CX455:CX458)</f>
        <v>0</v>
      </c>
      <c r="CZ459" s="10">
        <f>SUM(CZ455:CZ458)</f>
        <v>0</v>
      </c>
      <c r="DA459" s="11">
        <f t="shared" ref="DA459:DD459" si="2104">SUM(DA455:DA458)</f>
        <v>0</v>
      </c>
      <c r="DB459" s="11">
        <f t="shared" si="2104"/>
        <v>0</v>
      </c>
      <c r="DC459" s="11">
        <f t="shared" si="2104"/>
        <v>0</v>
      </c>
      <c r="DD459" s="11">
        <f t="shared" si="2104"/>
        <v>0</v>
      </c>
      <c r="DE459" s="25">
        <f>SUM(DE455:DE458)</f>
        <v>0</v>
      </c>
    </row>
    <row r="460" spans="2:109" ht="10.4" customHeight="1" thickBot="1"/>
    <row r="461" spans="2:109">
      <c r="C461" s="553">
        <v>2025</v>
      </c>
      <c r="E461" s="13" t="s">
        <v>59</v>
      </c>
      <c r="F461" s="21">
        <f>CE455</f>
        <v>0</v>
      </c>
      <c r="G461" s="22">
        <f t="shared" ref="G461:G464" si="2105">CF455</f>
        <v>0</v>
      </c>
      <c r="H461" s="22">
        <f t="shared" ref="H461:H464" si="2106">CG455</f>
        <v>0</v>
      </c>
      <c r="I461" s="22">
        <f t="shared" ref="I461:I464" si="2107">CH455</f>
        <v>0</v>
      </c>
      <c r="J461" s="22">
        <f t="shared" ref="J461:J464" si="2108">CI455</f>
        <v>0</v>
      </c>
      <c r="K461" s="15">
        <f>SUM(F461:J461)</f>
        <v>0</v>
      </c>
      <c r="M461" s="2"/>
      <c r="N461" s="3"/>
      <c r="O461" s="3"/>
      <c r="P461" s="3"/>
      <c r="Q461" s="3"/>
      <c r="R461" s="15">
        <f>SUM(M461:Q461)</f>
        <v>0</v>
      </c>
      <c r="T461" s="2"/>
      <c r="U461" s="3"/>
      <c r="V461" s="3"/>
      <c r="W461" s="3"/>
      <c r="X461" s="3"/>
      <c r="Y461" s="15">
        <f>SUM(T461:X461)</f>
        <v>0</v>
      </c>
      <c r="AA461" s="2"/>
      <c r="AB461" s="3"/>
      <c r="AC461" s="3"/>
      <c r="AD461" s="3"/>
      <c r="AE461" s="3"/>
      <c r="AF461" s="15">
        <f>SUM(AA461:AE461)</f>
        <v>0</v>
      </c>
      <c r="AH461" s="2"/>
      <c r="AI461" s="3"/>
      <c r="AJ461" s="3"/>
      <c r="AK461" s="3"/>
      <c r="AL461" s="3"/>
      <c r="AM461" s="15">
        <f>SUM(AH461:AL461)</f>
        <v>0</v>
      </c>
      <c r="AO461" s="2"/>
      <c r="AP461" s="3"/>
      <c r="AQ461" s="3"/>
      <c r="AR461" s="3"/>
      <c r="AS461" s="3"/>
      <c r="AT461" s="15">
        <f>SUM(AO461:AS461)</f>
        <v>0</v>
      </c>
      <c r="AV461" s="2"/>
      <c r="AW461" s="3"/>
      <c r="AX461" s="3"/>
      <c r="AY461" s="3"/>
      <c r="AZ461" s="3"/>
      <c r="BA461" s="15">
        <f>SUM(AV461:AZ461)</f>
        <v>0</v>
      </c>
      <c r="BC461" s="2"/>
      <c r="BD461" s="3"/>
      <c r="BE461" s="3"/>
      <c r="BF461" s="3"/>
      <c r="BG461" s="3"/>
      <c r="BH461" s="15">
        <f>SUM(BC461:BG461)</f>
        <v>0</v>
      </c>
      <c r="BJ461" s="2"/>
      <c r="BK461" s="3"/>
      <c r="BL461" s="3"/>
      <c r="BM461" s="3"/>
      <c r="BN461" s="3"/>
      <c r="BO461" s="15">
        <f>SUM(BJ461:BN461)</f>
        <v>0</v>
      </c>
      <c r="BQ461" s="2"/>
      <c r="BR461" s="3"/>
      <c r="BS461" s="3"/>
      <c r="BT461" s="3"/>
      <c r="BU461" s="3"/>
      <c r="BV461" s="15">
        <f>SUM(BQ461:BU461)</f>
        <v>0</v>
      </c>
      <c r="BX461" s="2"/>
      <c r="BY461" s="3"/>
      <c r="BZ461" s="3"/>
      <c r="CA461" s="3"/>
      <c r="CB461" s="3"/>
      <c r="CC461" s="15">
        <f>SUM(BX461:CB461)</f>
        <v>0</v>
      </c>
      <c r="CE461" s="26">
        <f t="shared" ref="CE461:CE464" si="2109">F461+M461+T461+AA461+AH461+AO461+AV461+BC461+BJ461+BQ461+BX461</f>
        <v>0</v>
      </c>
      <c r="CF461" s="27">
        <f t="shared" ref="CF461:CF464" si="2110">G461+N461+U461+AB461+AI461+AP461+AW461+BD461+BK461+BR461+BY461</f>
        <v>0</v>
      </c>
      <c r="CG461" s="27">
        <f t="shared" ref="CG461:CG464" si="2111">H461+O461+V461+AC461+AJ461+AQ461+AX461+BE461+BL461+BS461+BZ461</f>
        <v>0</v>
      </c>
      <c r="CH461" s="27">
        <f t="shared" ref="CH461:CH464" si="2112">I461+P461+W461+AD461+AK461+AR461+AY461+BF461+BM461+BT461+CA461</f>
        <v>0</v>
      </c>
      <c r="CI461" s="27">
        <f t="shared" ref="CI461:CI464" si="2113">J461+Q461+X461+AE461+AL461+AS461+AZ461+BG461+BN461+BU461+CB461</f>
        <v>0</v>
      </c>
      <c r="CJ461" s="4">
        <f>SUM(CE461:CI461)</f>
        <v>0</v>
      </c>
      <c r="CL461" s="2"/>
      <c r="CM461" s="3"/>
      <c r="CN461" s="3"/>
      <c r="CO461" s="3"/>
      <c r="CP461" s="3"/>
      <c r="CQ461" s="15">
        <f>SUM(CL461:CP461)</f>
        <v>0</v>
      </c>
      <c r="CS461" s="2"/>
      <c r="CT461" s="3"/>
      <c r="CU461" s="3"/>
      <c r="CV461" s="3"/>
      <c r="CW461" s="3"/>
      <c r="CX461" s="15">
        <f>SUM(CS461:CW461)</f>
        <v>0</v>
      </c>
      <c r="CZ461" s="2"/>
      <c r="DA461" s="3"/>
      <c r="DB461" s="3"/>
      <c r="DC461" s="3"/>
      <c r="DD461" s="3"/>
      <c r="DE461" s="15">
        <f>SUM(CZ461:DD461)</f>
        <v>0</v>
      </c>
    </row>
    <row r="462" spans="2:109">
      <c r="C462" s="567"/>
      <c r="E462" s="14" t="s">
        <v>60</v>
      </c>
      <c r="F462" s="23">
        <f t="shared" ref="F462:F464" si="2114">CE456</f>
        <v>0</v>
      </c>
      <c r="G462" s="24">
        <f t="shared" si="2105"/>
        <v>0</v>
      </c>
      <c r="H462" s="24">
        <f t="shared" si="2106"/>
        <v>0</v>
      </c>
      <c r="I462" s="24">
        <f t="shared" si="2107"/>
        <v>0</v>
      </c>
      <c r="J462" s="24">
        <f t="shared" si="2108"/>
        <v>0</v>
      </c>
      <c r="K462" s="16">
        <f t="shared" ref="K462:K464" si="2115">SUM(F462:J462)</f>
        <v>0</v>
      </c>
      <c r="M462" s="6"/>
      <c r="N462" s="7"/>
      <c r="O462" s="7"/>
      <c r="P462" s="7"/>
      <c r="Q462" s="7"/>
      <c r="R462" s="16">
        <f t="shared" ref="R462:R464" si="2116">SUM(M462:Q462)</f>
        <v>0</v>
      </c>
      <c r="T462" s="6"/>
      <c r="U462" s="7"/>
      <c r="V462" s="7"/>
      <c r="W462" s="7"/>
      <c r="X462" s="7"/>
      <c r="Y462" s="16">
        <f t="shared" ref="Y462:Y464" si="2117">SUM(T462:X462)</f>
        <v>0</v>
      </c>
      <c r="AA462" s="6"/>
      <c r="AB462" s="7"/>
      <c r="AC462" s="7"/>
      <c r="AD462" s="7"/>
      <c r="AE462" s="7"/>
      <c r="AF462" s="16">
        <f>SUM(AA462:AE462)</f>
        <v>0</v>
      </c>
      <c r="AH462" s="6"/>
      <c r="AI462" s="7"/>
      <c r="AJ462" s="7"/>
      <c r="AK462" s="7"/>
      <c r="AL462" s="7"/>
      <c r="AM462" s="16">
        <f>SUM(AH462:AL462)</f>
        <v>0</v>
      </c>
      <c r="AO462" s="6"/>
      <c r="AP462" s="7"/>
      <c r="AQ462" s="7"/>
      <c r="AR462" s="7"/>
      <c r="AS462" s="7"/>
      <c r="AT462" s="16">
        <f>SUM(AO462:AS462)</f>
        <v>0</v>
      </c>
      <c r="AV462" s="6"/>
      <c r="AW462" s="7"/>
      <c r="AX462" s="7"/>
      <c r="AY462" s="7"/>
      <c r="AZ462" s="7"/>
      <c r="BA462" s="16">
        <f>SUM(AV462:AZ462)</f>
        <v>0</v>
      </c>
      <c r="BC462" s="6"/>
      <c r="BD462" s="7"/>
      <c r="BE462" s="7"/>
      <c r="BF462" s="7"/>
      <c r="BG462" s="7"/>
      <c r="BH462" s="16">
        <f>SUM(BC462:BG462)</f>
        <v>0</v>
      </c>
      <c r="BJ462" s="6"/>
      <c r="BK462" s="7"/>
      <c r="BL462" s="7"/>
      <c r="BM462" s="7"/>
      <c r="BN462" s="7"/>
      <c r="BO462" s="16">
        <f>SUM(BJ462:BN462)</f>
        <v>0</v>
      </c>
      <c r="BQ462" s="6"/>
      <c r="BR462" s="7"/>
      <c r="BS462" s="7"/>
      <c r="BT462" s="7"/>
      <c r="BU462" s="7"/>
      <c r="BV462" s="16">
        <f>SUM(BQ462:BU462)</f>
        <v>0</v>
      </c>
      <c r="BX462" s="6"/>
      <c r="BY462" s="7"/>
      <c r="BZ462" s="7"/>
      <c r="CA462" s="7"/>
      <c r="CB462" s="7"/>
      <c r="CC462" s="16">
        <f>SUM(BX462:CB462)</f>
        <v>0</v>
      </c>
      <c r="CE462" s="28">
        <f t="shared" si="2109"/>
        <v>0</v>
      </c>
      <c r="CF462" s="29">
        <f t="shared" si="2110"/>
        <v>0</v>
      </c>
      <c r="CG462" s="29">
        <f t="shared" si="2111"/>
        <v>0</v>
      </c>
      <c r="CH462" s="29">
        <f t="shared" si="2112"/>
        <v>0</v>
      </c>
      <c r="CI462" s="29">
        <f t="shared" si="2113"/>
        <v>0</v>
      </c>
      <c r="CJ462" s="8">
        <f>SUM(CE462:CI462)</f>
        <v>0</v>
      </c>
      <c r="CL462" s="6"/>
      <c r="CM462" s="7"/>
      <c r="CN462" s="7"/>
      <c r="CO462" s="7"/>
      <c r="CP462" s="7"/>
      <c r="CQ462" s="16">
        <f>SUM(CL462:CP462)</f>
        <v>0</v>
      </c>
      <c r="CS462" s="6"/>
      <c r="CT462" s="7"/>
      <c r="CU462" s="7"/>
      <c r="CV462" s="7"/>
      <c r="CW462" s="7"/>
      <c r="CX462" s="16">
        <f t="shared" ref="CX462:CX464" si="2118">SUM(CS462:CW462)</f>
        <v>0</v>
      </c>
      <c r="CZ462" s="6"/>
      <c r="DA462" s="7"/>
      <c r="DB462" s="7"/>
      <c r="DC462" s="7"/>
      <c r="DD462" s="7"/>
      <c r="DE462" s="16">
        <f t="shared" ref="DE462:DE464" si="2119">SUM(CZ462:DD462)</f>
        <v>0</v>
      </c>
    </row>
    <row r="463" spans="2:109">
      <c r="C463" s="567"/>
      <c r="E463" s="14" t="s">
        <v>61</v>
      </c>
      <c r="F463" s="23">
        <f t="shared" si="2114"/>
        <v>0</v>
      </c>
      <c r="G463" s="24">
        <f t="shared" si="2105"/>
        <v>0</v>
      </c>
      <c r="H463" s="24">
        <f t="shared" si="2106"/>
        <v>0</v>
      </c>
      <c r="I463" s="24">
        <f t="shared" si="2107"/>
        <v>0</v>
      </c>
      <c r="J463" s="24">
        <f t="shared" si="2108"/>
        <v>0</v>
      </c>
      <c r="K463" s="16">
        <f t="shared" si="2115"/>
        <v>0</v>
      </c>
      <c r="M463" s="6"/>
      <c r="N463" s="7"/>
      <c r="O463" s="7"/>
      <c r="P463" s="7"/>
      <c r="Q463" s="7"/>
      <c r="R463" s="16">
        <f t="shared" si="2116"/>
        <v>0</v>
      </c>
      <c r="T463" s="6"/>
      <c r="U463" s="7"/>
      <c r="V463" s="7"/>
      <c r="W463" s="7"/>
      <c r="X463" s="7"/>
      <c r="Y463" s="16">
        <f t="shared" si="2117"/>
        <v>0</v>
      </c>
      <c r="AA463" s="6"/>
      <c r="AB463" s="7"/>
      <c r="AC463" s="7"/>
      <c r="AD463" s="7"/>
      <c r="AE463" s="7"/>
      <c r="AF463" s="16">
        <f>SUM(AA463:AE463)</f>
        <v>0</v>
      </c>
      <c r="AH463" s="6"/>
      <c r="AI463" s="7"/>
      <c r="AJ463" s="7"/>
      <c r="AK463" s="7"/>
      <c r="AL463" s="7"/>
      <c r="AM463" s="16">
        <f>SUM(AH463:AL463)</f>
        <v>0</v>
      </c>
      <c r="AO463" s="6"/>
      <c r="AP463" s="7"/>
      <c r="AQ463" s="7"/>
      <c r="AR463" s="7"/>
      <c r="AS463" s="7"/>
      <c r="AT463" s="16">
        <f>SUM(AO463:AS463)</f>
        <v>0</v>
      </c>
      <c r="AV463" s="6"/>
      <c r="AW463" s="7"/>
      <c r="AX463" s="7"/>
      <c r="AY463" s="7"/>
      <c r="AZ463" s="7"/>
      <c r="BA463" s="16">
        <f>SUM(AV463:AZ463)</f>
        <v>0</v>
      </c>
      <c r="BC463" s="6"/>
      <c r="BD463" s="7"/>
      <c r="BE463" s="7"/>
      <c r="BF463" s="7"/>
      <c r="BG463" s="7"/>
      <c r="BH463" s="16">
        <f>SUM(BC463:BG463)</f>
        <v>0</v>
      </c>
      <c r="BJ463" s="6"/>
      <c r="BK463" s="7"/>
      <c r="BL463" s="7"/>
      <c r="BM463" s="7"/>
      <c r="BN463" s="7"/>
      <c r="BO463" s="16">
        <f>SUM(BJ463:BN463)</f>
        <v>0</v>
      </c>
      <c r="BQ463" s="6"/>
      <c r="BR463" s="7"/>
      <c r="BS463" s="7"/>
      <c r="BT463" s="7"/>
      <c r="BU463" s="7"/>
      <c r="BV463" s="16">
        <f>SUM(BQ463:BU463)</f>
        <v>0</v>
      </c>
      <c r="BX463" s="6"/>
      <c r="BY463" s="7"/>
      <c r="BZ463" s="7"/>
      <c r="CA463" s="7"/>
      <c r="CB463" s="7"/>
      <c r="CC463" s="16">
        <f>SUM(BX463:CB463)</f>
        <v>0</v>
      </c>
      <c r="CE463" s="28">
        <f t="shared" si="2109"/>
        <v>0</v>
      </c>
      <c r="CF463" s="29">
        <f t="shared" si="2110"/>
        <v>0</v>
      </c>
      <c r="CG463" s="29">
        <f t="shared" si="2111"/>
        <v>0</v>
      </c>
      <c r="CH463" s="29">
        <f t="shared" si="2112"/>
        <v>0</v>
      </c>
      <c r="CI463" s="29">
        <f t="shared" si="2113"/>
        <v>0</v>
      </c>
      <c r="CJ463" s="8">
        <f>SUM(CE463:CI463)</f>
        <v>0</v>
      </c>
      <c r="CL463" s="6"/>
      <c r="CM463" s="7"/>
      <c r="CN463" s="7"/>
      <c r="CO463" s="7"/>
      <c r="CP463" s="7"/>
      <c r="CQ463" s="16">
        <f>SUM(CL463:CP463)</f>
        <v>0</v>
      </c>
      <c r="CS463" s="6"/>
      <c r="CT463" s="7"/>
      <c r="CU463" s="7"/>
      <c r="CV463" s="7"/>
      <c r="CW463" s="7"/>
      <c r="CX463" s="16">
        <f t="shared" si="2118"/>
        <v>0</v>
      </c>
      <c r="CZ463" s="6"/>
      <c r="DA463" s="7"/>
      <c r="DB463" s="7"/>
      <c r="DC463" s="7"/>
      <c r="DD463" s="7"/>
      <c r="DE463" s="16">
        <f t="shared" si="2119"/>
        <v>0</v>
      </c>
    </row>
    <row r="464" spans="2:109" ht="14" thickBot="1">
      <c r="C464" s="567"/>
      <c r="E464" s="14" t="s">
        <v>62</v>
      </c>
      <c r="F464" s="23">
        <f t="shared" si="2114"/>
        <v>0</v>
      </c>
      <c r="G464" s="24">
        <f t="shared" si="2105"/>
        <v>0</v>
      </c>
      <c r="H464" s="24">
        <f t="shared" si="2106"/>
        <v>0</v>
      </c>
      <c r="I464" s="24">
        <f t="shared" si="2107"/>
        <v>0</v>
      </c>
      <c r="J464" s="24">
        <f t="shared" si="2108"/>
        <v>0</v>
      </c>
      <c r="K464" s="16">
        <f t="shared" si="2115"/>
        <v>0</v>
      </c>
      <c r="M464" s="6"/>
      <c r="N464" s="7"/>
      <c r="O464" s="7"/>
      <c r="P464" s="7"/>
      <c r="Q464" s="7"/>
      <c r="R464" s="16">
        <f t="shared" si="2116"/>
        <v>0</v>
      </c>
      <c r="T464" s="6"/>
      <c r="U464" s="7"/>
      <c r="V464" s="7"/>
      <c r="W464" s="7"/>
      <c r="X464" s="7"/>
      <c r="Y464" s="16">
        <f t="shared" si="2117"/>
        <v>0</v>
      </c>
      <c r="AA464" s="6"/>
      <c r="AB464" s="7"/>
      <c r="AC464" s="7"/>
      <c r="AD464" s="7"/>
      <c r="AE464" s="7"/>
      <c r="AF464" s="16">
        <f>SUM(AA464:AE464)</f>
        <v>0</v>
      </c>
      <c r="AH464" s="6"/>
      <c r="AI464" s="7"/>
      <c r="AJ464" s="7"/>
      <c r="AK464" s="7"/>
      <c r="AL464" s="7"/>
      <c r="AM464" s="16">
        <f>SUM(AH464:AL464)</f>
        <v>0</v>
      </c>
      <c r="AO464" s="6"/>
      <c r="AP464" s="7"/>
      <c r="AQ464" s="7"/>
      <c r="AR464" s="7"/>
      <c r="AS464" s="7"/>
      <c r="AT464" s="16">
        <f>SUM(AO464:AS464)</f>
        <v>0</v>
      </c>
      <c r="AV464" s="6"/>
      <c r="AW464" s="7"/>
      <c r="AX464" s="7"/>
      <c r="AY464" s="7"/>
      <c r="AZ464" s="7"/>
      <c r="BA464" s="16">
        <f>SUM(AV464:AZ464)</f>
        <v>0</v>
      </c>
      <c r="BC464" s="6"/>
      <c r="BD464" s="7"/>
      <c r="BE464" s="7"/>
      <c r="BF464" s="7"/>
      <c r="BG464" s="7"/>
      <c r="BH464" s="16">
        <f>SUM(BC464:BG464)</f>
        <v>0</v>
      </c>
      <c r="BJ464" s="6"/>
      <c r="BK464" s="7"/>
      <c r="BL464" s="7"/>
      <c r="BM464" s="7"/>
      <c r="BN464" s="7"/>
      <c r="BO464" s="16">
        <f>SUM(BJ464:BN464)</f>
        <v>0</v>
      </c>
      <c r="BQ464" s="6"/>
      <c r="BR464" s="7"/>
      <c r="BS464" s="7"/>
      <c r="BT464" s="7"/>
      <c r="BU464" s="7"/>
      <c r="BV464" s="16">
        <f>SUM(BQ464:BU464)</f>
        <v>0</v>
      </c>
      <c r="BX464" s="6"/>
      <c r="BY464" s="7"/>
      <c r="BZ464" s="7"/>
      <c r="CA464" s="7"/>
      <c r="CB464" s="7"/>
      <c r="CC464" s="16">
        <f>SUM(BX464:CB464)</f>
        <v>0</v>
      </c>
      <c r="CE464" s="493">
        <f t="shared" si="2109"/>
        <v>0</v>
      </c>
      <c r="CF464" s="494">
        <f t="shared" si="2110"/>
        <v>0</v>
      </c>
      <c r="CG464" s="494">
        <f t="shared" si="2111"/>
        <v>0</v>
      </c>
      <c r="CH464" s="494">
        <f t="shared" si="2112"/>
        <v>0</v>
      </c>
      <c r="CI464" s="494">
        <f t="shared" si="2113"/>
        <v>0</v>
      </c>
      <c r="CJ464" s="495">
        <f>SUM(CE464:CI464)</f>
        <v>0</v>
      </c>
      <c r="CL464" s="6"/>
      <c r="CM464" s="7"/>
      <c r="CN464" s="7"/>
      <c r="CO464" s="7"/>
      <c r="CP464" s="7"/>
      <c r="CQ464" s="16">
        <f>SUM(CL464:CP464)</f>
        <v>0</v>
      </c>
      <c r="CS464" s="6"/>
      <c r="CT464" s="7"/>
      <c r="CU464" s="7"/>
      <c r="CV464" s="7"/>
      <c r="CW464" s="7"/>
      <c r="CX464" s="16">
        <f t="shared" si="2118"/>
        <v>0</v>
      </c>
      <c r="CZ464" s="6"/>
      <c r="DA464" s="7"/>
      <c r="DB464" s="7"/>
      <c r="DC464" s="7"/>
      <c r="DD464" s="7"/>
      <c r="DE464" s="16">
        <f t="shared" si="2119"/>
        <v>0</v>
      </c>
    </row>
    <row r="465" spans="3:109" ht="14" thickBot="1">
      <c r="C465" s="554"/>
      <c r="E465" s="17"/>
      <c r="F465" s="10">
        <f>SUM(F461:F464)</f>
        <v>0</v>
      </c>
      <c r="G465" s="11">
        <f t="shared" ref="G465:J465" si="2120">SUM(G461:G464)</f>
        <v>0</v>
      </c>
      <c r="H465" s="11">
        <f t="shared" si="2120"/>
        <v>0</v>
      </c>
      <c r="I465" s="11">
        <f t="shared" si="2120"/>
        <v>0</v>
      </c>
      <c r="J465" s="11">
        <f t="shared" si="2120"/>
        <v>0</v>
      </c>
      <c r="K465" s="25">
        <f>SUM(K461:K464)</f>
        <v>0</v>
      </c>
      <c r="M465" s="10">
        <f>SUM(M461:M464)</f>
        <v>0</v>
      </c>
      <c r="N465" s="11">
        <f t="shared" ref="N465:Q465" si="2121">SUM(N461:N464)</f>
        <v>0</v>
      </c>
      <c r="O465" s="11">
        <f t="shared" si="2121"/>
        <v>0</v>
      </c>
      <c r="P465" s="11">
        <f t="shared" si="2121"/>
        <v>0</v>
      </c>
      <c r="Q465" s="11">
        <f t="shared" si="2121"/>
        <v>0</v>
      </c>
      <c r="R465" s="25">
        <f>SUM(R461:R464)</f>
        <v>0</v>
      </c>
      <c r="T465" s="10">
        <f>SUM(T461:T464)</f>
        <v>0</v>
      </c>
      <c r="U465" s="11">
        <f t="shared" ref="U465:X465" si="2122">SUM(U461:U464)</f>
        <v>0</v>
      </c>
      <c r="V465" s="11">
        <f t="shared" si="2122"/>
        <v>0</v>
      </c>
      <c r="W465" s="11">
        <f t="shared" si="2122"/>
        <v>0</v>
      </c>
      <c r="X465" s="11">
        <f t="shared" si="2122"/>
        <v>0</v>
      </c>
      <c r="Y465" s="25">
        <f>SUM(Y461:Y464)</f>
        <v>0</v>
      </c>
      <c r="AA465" s="10">
        <f>SUM(AA461:AA464)</f>
        <v>0</v>
      </c>
      <c r="AB465" s="11">
        <f t="shared" ref="AB465:AE465" si="2123">SUM(AB461:AB464)</f>
        <v>0</v>
      </c>
      <c r="AC465" s="11">
        <f t="shared" si="2123"/>
        <v>0</v>
      </c>
      <c r="AD465" s="11">
        <f t="shared" si="2123"/>
        <v>0</v>
      </c>
      <c r="AE465" s="11">
        <f t="shared" si="2123"/>
        <v>0</v>
      </c>
      <c r="AF465" s="25">
        <f>SUM(AF461:AF464)</f>
        <v>0</v>
      </c>
      <c r="AH465" s="10">
        <f>SUM(AH461:AH464)</f>
        <v>0</v>
      </c>
      <c r="AI465" s="11">
        <f t="shared" ref="AI465:AL465" si="2124">SUM(AI461:AI464)</f>
        <v>0</v>
      </c>
      <c r="AJ465" s="11">
        <f t="shared" si="2124"/>
        <v>0</v>
      </c>
      <c r="AK465" s="11">
        <f t="shared" si="2124"/>
        <v>0</v>
      </c>
      <c r="AL465" s="11">
        <f t="shared" si="2124"/>
        <v>0</v>
      </c>
      <c r="AM465" s="25">
        <f>SUM(AM461:AM464)</f>
        <v>0</v>
      </c>
      <c r="AO465" s="10">
        <f>SUM(AO461:AO464)</f>
        <v>0</v>
      </c>
      <c r="AP465" s="11">
        <f t="shared" ref="AP465:AS465" si="2125">SUM(AP461:AP464)</f>
        <v>0</v>
      </c>
      <c r="AQ465" s="11">
        <f t="shared" si="2125"/>
        <v>0</v>
      </c>
      <c r="AR465" s="11">
        <f t="shared" si="2125"/>
        <v>0</v>
      </c>
      <c r="AS465" s="11">
        <f t="shared" si="2125"/>
        <v>0</v>
      </c>
      <c r="AT465" s="25">
        <f>SUM(AT461:AT464)</f>
        <v>0</v>
      </c>
      <c r="AV465" s="10">
        <f>SUM(AV461:AV464)</f>
        <v>0</v>
      </c>
      <c r="AW465" s="11">
        <f t="shared" ref="AW465:AZ465" si="2126">SUM(AW461:AW464)</f>
        <v>0</v>
      </c>
      <c r="AX465" s="11">
        <f t="shared" si="2126"/>
        <v>0</v>
      </c>
      <c r="AY465" s="11">
        <f t="shared" si="2126"/>
        <v>0</v>
      </c>
      <c r="AZ465" s="11">
        <f t="shared" si="2126"/>
        <v>0</v>
      </c>
      <c r="BA465" s="25">
        <f>SUM(BA461:BA464)</f>
        <v>0</v>
      </c>
      <c r="BC465" s="10">
        <f>SUM(BC461:BC464)</f>
        <v>0</v>
      </c>
      <c r="BD465" s="11">
        <f t="shared" ref="BD465:BG465" si="2127">SUM(BD461:BD464)</f>
        <v>0</v>
      </c>
      <c r="BE465" s="11">
        <f t="shared" si="2127"/>
        <v>0</v>
      </c>
      <c r="BF465" s="11">
        <f t="shared" si="2127"/>
        <v>0</v>
      </c>
      <c r="BG465" s="11">
        <f t="shared" si="2127"/>
        <v>0</v>
      </c>
      <c r="BH465" s="25">
        <f>SUM(BH461:BH464)</f>
        <v>0</v>
      </c>
      <c r="BJ465" s="10">
        <f>SUM(BJ461:BJ464)</f>
        <v>0</v>
      </c>
      <c r="BK465" s="11">
        <f t="shared" ref="BK465:BN465" si="2128">SUM(BK461:BK464)</f>
        <v>0</v>
      </c>
      <c r="BL465" s="11">
        <f t="shared" si="2128"/>
        <v>0</v>
      </c>
      <c r="BM465" s="11">
        <f t="shared" si="2128"/>
        <v>0</v>
      </c>
      <c r="BN465" s="11">
        <f t="shared" si="2128"/>
        <v>0</v>
      </c>
      <c r="BO465" s="25">
        <f>SUM(BO461:BO464)</f>
        <v>0</v>
      </c>
      <c r="BQ465" s="10">
        <f>SUM(BQ461:BQ464)</f>
        <v>0</v>
      </c>
      <c r="BR465" s="11">
        <f t="shared" ref="BR465:BU465" si="2129">SUM(BR461:BR464)</f>
        <v>0</v>
      </c>
      <c r="BS465" s="11">
        <f t="shared" si="2129"/>
        <v>0</v>
      </c>
      <c r="BT465" s="11">
        <f t="shared" si="2129"/>
        <v>0</v>
      </c>
      <c r="BU465" s="11">
        <f t="shared" si="2129"/>
        <v>0</v>
      </c>
      <c r="BV465" s="25">
        <f>SUM(BV461:BV464)</f>
        <v>0</v>
      </c>
      <c r="BX465" s="10">
        <f>SUM(BX461:BX464)</f>
        <v>0</v>
      </c>
      <c r="BY465" s="11">
        <f t="shared" ref="BY465:CB465" si="2130">SUM(BY461:BY464)</f>
        <v>0</v>
      </c>
      <c r="BZ465" s="11">
        <f t="shared" si="2130"/>
        <v>0</v>
      </c>
      <c r="CA465" s="11">
        <f t="shared" si="2130"/>
        <v>0</v>
      </c>
      <c r="CB465" s="11">
        <f t="shared" si="2130"/>
        <v>0</v>
      </c>
      <c r="CC465" s="25">
        <f>SUM(CC461:CC464)</f>
        <v>0</v>
      </c>
      <c r="CE465" s="62">
        <f t="shared" ref="CE465:CJ465" si="2131">SUM(CE461:CE464)</f>
        <v>0</v>
      </c>
      <c r="CF465" s="63">
        <f t="shared" si="2131"/>
        <v>0</v>
      </c>
      <c r="CG465" s="63">
        <f t="shared" si="2131"/>
        <v>0</v>
      </c>
      <c r="CH465" s="63">
        <f t="shared" si="2131"/>
        <v>0</v>
      </c>
      <c r="CI465" s="63">
        <f t="shared" si="2131"/>
        <v>0</v>
      </c>
      <c r="CJ465" s="25">
        <f t="shared" si="2131"/>
        <v>0</v>
      </c>
      <c r="CL465" s="10">
        <f>SUM(CL461:CL464)</f>
        <v>0</v>
      </c>
      <c r="CM465" s="11">
        <f t="shared" ref="CM465:CP465" si="2132">SUM(CM461:CM464)</f>
        <v>0</v>
      </c>
      <c r="CN465" s="11">
        <f t="shared" si="2132"/>
        <v>0</v>
      </c>
      <c r="CO465" s="11">
        <f t="shared" si="2132"/>
        <v>0</v>
      </c>
      <c r="CP465" s="11">
        <f t="shared" si="2132"/>
        <v>0</v>
      </c>
      <c r="CQ465" s="25">
        <f>SUM(CQ461:CQ464)</f>
        <v>0</v>
      </c>
      <c r="CS465" s="10">
        <f>SUM(CS461:CS464)</f>
        <v>0</v>
      </c>
      <c r="CT465" s="11">
        <f t="shared" ref="CT465:CW465" si="2133">SUM(CT461:CT464)</f>
        <v>0</v>
      </c>
      <c r="CU465" s="11">
        <f t="shared" si="2133"/>
        <v>0</v>
      </c>
      <c r="CV465" s="11">
        <f t="shared" si="2133"/>
        <v>0</v>
      </c>
      <c r="CW465" s="11">
        <f t="shared" si="2133"/>
        <v>0</v>
      </c>
      <c r="CX465" s="25">
        <f>SUM(CX461:CX464)</f>
        <v>0</v>
      </c>
      <c r="CZ465" s="10">
        <f>SUM(CZ461:CZ464)</f>
        <v>0</v>
      </c>
      <c r="DA465" s="11">
        <f t="shared" ref="DA465:DD465" si="2134">SUM(DA461:DA464)</f>
        <v>0</v>
      </c>
      <c r="DB465" s="11">
        <f t="shared" si="2134"/>
        <v>0</v>
      </c>
      <c r="DC465" s="11">
        <f t="shared" si="2134"/>
        <v>0</v>
      </c>
      <c r="DD465" s="11">
        <f t="shared" si="2134"/>
        <v>0</v>
      </c>
      <c r="DE465" s="25">
        <f>SUM(DE461:DE464)</f>
        <v>0</v>
      </c>
    </row>
    <row r="466" spans="3:109" ht="10.4" customHeight="1" thickBot="1"/>
    <row r="467" spans="3:109">
      <c r="C467" s="553">
        <v>2026</v>
      </c>
      <c r="E467" s="13" t="s">
        <v>59</v>
      </c>
      <c r="F467" s="21">
        <f>CE461</f>
        <v>0</v>
      </c>
      <c r="G467" s="22">
        <f t="shared" ref="G467:G470" si="2135">CF461</f>
        <v>0</v>
      </c>
      <c r="H467" s="22">
        <f t="shared" ref="H467:H470" si="2136">CG461</f>
        <v>0</v>
      </c>
      <c r="I467" s="22">
        <f t="shared" ref="I467:I470" si="2137">CH461</f>
        <v>0</v>
      </c>
      <c r="J467" s="22">
        <f t="shared" ref="J467:J470" si="2138">CI461</f>
        <v>0</v>
      </c>
      <c r="K467" s="4">
        <f>SUM(F467:J467)</f>
        <v>0</v>
      </c>
      <c r="M467" s="2"/>
      <c r="N467" s="3"/>
      <c r="O467" s="3"/>
      <c r="P467" s="3"/>
      <c r="Q467" s="3"/>
      <c r="R467" s="4">
        <f>SUM(M467:Q467)</f>
        <v>0</v>
      </c>
      <c r="T467" s="2"/>
      <c r="U467" s="3"/>
      <c r="V467" s="3"/>
      <c r="W467" s="3"/>
      <c r="X467" s="3"/>
      <c r="Y467" s="4">
        <f>SUM(T467:X467)</f>
        <v>0</v>
      </c>
      <c r="AA467" s="2"/>
      <c r="AB467" s="3"/>
      <c r="AC467" s="3"/>
      <c r="AD467" s="3"/>
      <c r="AE467" s="3"/>
      <c r="AF467" s="4">
        <f>SUM(AA467:AE467)</f>
        <v>0</v>
      </c>
      <c r="AH467" s="2"/>
      <c r="AI467" s="3"/>
      <c r="AJ467" s="3"/>
      <c r="AK467" s="3"/>
      <c r="AL467" s="3"/>
      <c r="AM467" s="4">
        <f>SUM(AH467:AL467)</f>
        <v>0</v>
      </c>
      <c r="AO467" s="2"/>
      <c r="AP467" s="3"/>
      <c r="AQ467" s="3"/>
      <c r="AR467" s="3"/>
      <c r="AS467" s="3"/>
      <c r="AT467" s="4">
        <f>SUM(AO467:AS467)</f>
        <v>0</v>
      </c>
      <c r="AV467" s="2"/>
      <c r="AW467" s="3"/>
      <c r="AX467" s="3"/>
      <c r="AY467" s="3"/>
      <c r="AZ467" s="3"/>
      <c r="BA467" s="4">
        <f>SUM(AV467:AZ467)</f>
        <v>0</v>
      </c>
      <c r="BC467" s="2"/>
      <c r="BD467" s="3"/>
      <c r="BE467" s="3"/>
      <c r="BF467" s="3"/>
      <c r="BG467" s="3"/>
      <c r="BH467" s="4">
        <f>SUM(BC467:BG467)</f>
        <v>0</v>
      </c>
      <c r="BJ467" s="2"/>
      <c r="BK467" s="3"/>
      <c r="BL467" s="3"/>
      <c r="BM467" s="3"/>
      <c r="BN467" s="3"/>
      <c r="BO467" s="4">
        <f>SUM(BJ467:BN467)</f>
        <v>0</v>
      </c>
      <c r="BQ467" s="2"/>
      <c r="BR467" s="3"/>
      <c r="BS467" s="3"/>
      <c r="BT467" s="3"/>
      <c r="BU467" s="3"/>
      <c r="BV467" s="4">
        <f>SUM(BQ467:BU467)</f>
        <v>0</v>
      </c>
      <c r="BX467" s="2"/>
      <c r="BY467" s="3"/>
      <c r="BZ467" s="3"/>
      <c r="CA467" s="3"/>
      <c r="CB467" s="3"/>
      <c r="CC467" s="4">
        <f>SUM(BX467:CB467)</f>
        <v>0</v>
      </c>
      <c r="CE467" s="26">
        <f t="shared" ref="CE467:CE470" si="2139">F467+M467+T467+AA467+AH467+AO467+AV467+BC467+BJ467+BQ467+BX467</f>
        <v>0</v>
      </c>
      <c r="CF467" s="27">
        <f t="shared" ref="CF467:CF470" si="2140">G467+N467+U467+AB467+AI467+AP467+AW467+BD467+BK467+BR467+BY467</f>
        <v>0</v>
      </c>
      <c r="CG467" s="27">
        <f t="shared" ref="CG467:CG470" si="2141">H467+O467+V467+AC467+AJ467+AQ467+AX467+BE467+BL467+BS467+BZ467</f>
        <v>0</v>
      </c>
      <c r="CH467" s="27">
        <f t="shared" ref="CH467:CH470" si="2142">I467+P467+W467+AD467+AK467+AR467+AY467+BF467+BM467+BT467+CA467</f>
        <v>0</v>
      </c>
      <c r="CI467" s="27">
        <f t="shared" ref="CI467:CI470" si="2143">J467+Q467+X467+AE467+AL467+AS467+AZ467+BG467+BN467+BU467+CB467</f>
        <v>0</v>
      </c>
      <c r="CJ467" s="4">
        <f>SUM(CE467:CI467)</f>
        <v>0</v>
      </c>
      <c r="CL467" s="2"/>
      <c r="CM467" s="3"/>
      <c r="CN467" s="3"/>
      <c r="CO467" s="3"/>
      <c r="CP467" s="3"/>
      <c r="CQ467" s="4">
        <f>SUM(CL467:CP467)</f>
        <v>0</v>
      </c>
      <c r="CS467" s="2"/>
      <c r="CT467" s="3"/>
      <c r="CU467" s="3"/>
      <c r="CV467" s="3"/>
      <c r="CW467" s="3"/>
      <c r="CX467" s="4">
        <f>SUM(CS467:CW467)</f>
        <v>0</v>
      </c>
      <c r="CZ467" s="2"/>
      <c r="DA467" s="3"/>
      <c r="DB467" s="3"/>
      <c r="DC467" s="3"/>
      <c r="DD467" s="3"/>
      <c r="DE467" s="4">
        <f>SUM(CZ467:DD467)</f>
        <v>0</v>
      </c>
    </row>
    <row r="468" spans="3:109">
      <c r="C468" s="567"/>
      <c r="E468" s="14" t="s">
        <v>60</v>
      </c>
      <c r="F468" s="23">
        <f t="shared" ref="F468:F470" si="2144">CE462</f>
        <v>0</v>
      </c>
      <c r="G468" s="24">
        <f t="shared" si="2135"/>
        <v>0</v>
      </c>
      <c r="H468" s="24">
        <f t="shared" si="2136"/>
        <v>0</v>
      </c>
      <c r="I468" s="24">
        <f t="shared" si="2137"/>
        <v>0</v>
      </c>
      <c r="J468" s="24">
        <f t="shared" si="2138"/>
        <v>0</v>
      </c>
      <c r="K468" s="8">
        <f t="shared" ref="K468:K470" si="2145">SUM(F468:J468)</f>
        <v>0</v>
      </c>
      <c r="M468" s="6"/>
      <c r="N468" s="7"/>
      <c r="O468" s="7"/>
      <c r="P468" s="7"/>
      <c r="Q468" s="7"/>
      <c r="R468" s="8">
        <f t="shared" ref="R468:R470" si="2146">SUM(M468:Q468)</f>
        <v>0</v>
      </c>
      <c r="T468" s="6"/>
      <c r="U468" s="7"/>
      <c r="V468" s="7"/>
      <c r="W468" s="7"/>
      <c r="X468" s="7"/>
      <c r="Y468" s="8">
        <f t="shared" ref="Y468:Y470" si="2147">SUM(T468:X468)</f>
        <v>0</v>
      </c>
      <c r="AA468" s="6"/>
      <c r="AB468" s="7"/>
      <c r="AC468" s="7"/>
      <c r="AD468" s="7"/>
      <c r="AE468" s="7"/>
      <c r="AF468" s="8">
        <f>SUM(AA468:AE468)</f>
        <v>0</v>
      </c>
      <c r="AH468" s="6"/>
      <c r="AI468" s="7"/>
      <c r="AJ468" s="7"/>
      <c r="AK468" s="7"/>
      <c r="AL468" s="7"/>
      <c r="AM468" s="8">
        <f>SUM(AH468:AL468)</f>
        <v>0</v>
      </c>
      <c r="AO468" s="6"/>
      <c r="AP468" s="7"/>
      <c r="AQ468" s="7"/>
      <c r="AR468" s="7"/>
      <c r="AS468" s="7"/>
      <c r="AT468" s="8">
        <f>SUM(AO468:AS468)</f>
        <v>0</v>
      </c>
      <c r="AV468" s="6"/>
      <c r="AW468" s="7"/>
      <c r="AX468" s="7"/>
      <c r="AY468" s="7"/>
      <c r="AZ468" s="7"/>
      <c r="BA468" s="8">
        <f>SUM(AV468:AZ468)</f>
        <v>0</v>
      </c>
      <c r="BC468" s="6"/>
      <c r="BD468" s="7"/>
      <c r="BE468" s="7"/>
      <c r="BF468" s="7"/>
      <c r="BG468" s="7"/>
      <c r="BH468" s="8">
        <f>SUM(BC468:BG468)</f>
        <v>0</v>
      </c>
      <c r="BJ468" s="6"/>
      <c r="BK468" s="7"/>
      <c r="BL468" s="7"/>
      <c r="BM468" s="7"/>
      <c r="BN468" s="7"/>
      <c r="BO468" s="8">
        <f>SUM(BJ468:BN468)</f>
        <v>0</v>
      </c>
      <c r="BQ468" s="6"/>
      <c r="BR468" s="7"/>
      <c r="BS468" s="7"/>
      <c r="BT468" s="7"/>
      <c r="BU468" s="7"/>
      <c r="BV468" s="8">
        <f>SUM(BQ468:BU468)</f>
        <v>0</v>
      </c>
      <c r="BX468" s="6"/>
      <c r="BY468" s="7"/>
      <c r="BZ468" s="7"/>
      <c r="CA468" s="7"/>
      <c r="CB468" s="7"/>
      <c r="CC468" s="8">
        <f>SUM(BX468:CB468)</f>
        <v>0</v>
      </c>
      <c r="CE468" s="28">
        <f t="shared" si="2139"/>
        <v>0</v>
      </c>
      <c r="CF468" s="29">
        <f t="shared" si="2140"/>
        <v>0</v>
      </c>
      <c r="CG468" s="29">
        <f t="shared" si="2141"/>
        <v>0</v>
      </c>
      <c r="CH468" s="29">
        <f t="shared" si="2142"/>
        <v>0</v>
      </c>
      <c r="CI468" s="29">
        <f t="shared" si="2143"/>
        <v>0</v>
      </c>
      <c r="CJ468" s="8">
        <f>SUM(CE468:CI468)</f>
        <v>0</v>
      </c>
      <c r="CL468" s="6"/>
      <c r="CM468" s="7"/>
      <c r="CN468" s="7"/>
      <c r="CO468" s="7"/>
      <c r="CP468" s="7"/>
      <c r="CQ468" s="8">
        <f>SUM(CL468:CP468)</f>
        <v>0</v>
      </c>
      <c r="CS468" s="6"/>
      <c r="CT468" s="7"/>
      <c r="CU468" s="7"/>
      <c r="CV468" s="7"/>
      <c r="CW468" s="7"/>
      <c r="CX468" s="8">
        <f t="shared" ref="CX468:CX470" si="2148">SUM(CS468:CW468)</f>
        <v>0</v>
      </c>
      <c r="CZ468" s="6"/>
      <c r="DA468" s="7"/>
      <c r="DB468" s="7"/>
      <c r="DC468" s="7"/>
      <c r="DD468" s="7"/>
      <c r="DE468" s="8">
        <f t="shared" ref="DE468:DE470" si="2149">SUM(CZ468:DD468)</f>
        <v>0</v>
      </c>
    </row>
    <row r="469" spans="3:109">
      <c r="C469" s="567"/>
      <c r="E469" s="14" t="s">
        <v>61</v>
      </c>
      <c r="F469" s="23">
        <f t="shared" si="2144"/>
        <v>0</v>
      </c>
      <c r="G469" s="24">
        <f t="shared" si="2135"/>
        <v>0</v>
      </c>
      <c r="H469" s="24">
        <f t="shared" si="2136"/>
        <v>0</v>
      </c>
      <c r="I469" s="24">
        <f t="shared" si="2137"/>
        <v>0</v>
      </c>
      <c r="J469" s="24">
        <f t="shared" si="2138"/>
        <v>0</v>
      </c>
      <c r="K469" s="8">
        <f t="shared" si="2145"/>
        <v>0</v>
      </c>
      <c r="M469" s="6"/>
      <c r="N469" s="7"/>
      <c r="O469" s="7"/>
      <c r="P469" s="7"/>
      <c r="Q469" s="7"/>
      <c r="R469" s="8">
        <f t="shared" si="2146"/>
        <v>0</v>
      </c>
      <c r="T469" s="6"/>
      <c r="U469" s="7"/>
      <c r="V469" s="7"/>
      <c r="W469" s="7"/>
      <c r="X469" s="7"/>
      <c r="Y469" s="8">
        <f t="shared" si="2147"/>
        <v>0</v>
      </c>
      <c r="AA469" s="6"/>
      <c r="AB469" s="7"/>
      <c r="AC469" s="7"/>
      <c r="AD469" s="7"/>
      <c r="AE469" s="7"/>
      <c r="AF469" s="8">
        <f>SUM(AA469:AE469)</f>
        <v>0</v>
      </c>
      <c r="AH469" s="6"/>
      <c r="AI469" s="7"/>
      <c r="AJ469" s="7"/>
      <c r="AK469" s="7"/>
      <c r="AL469" s="7"/>
      <c r="AM469" s="8">
        <f>SUM(AH469:AL469)</f>
        <v>0</v>
      </c>
      <c r="AO469" s="6"/>
      <c r="AP469" s="7"/>
      <c r="AQ469" s="7"/>
      <c r="AR469" s="7"/>
      <c r="AS469" s="7"/>
      <c r="AT469" s="8">
        <f>SUM(AO469:AS469)</f>
        <v>0</v>
      </c>
      <c r="AV469" s="6"/>
      <c r="AW469" s="7"/>
      <c r="AX469" s="7"/>
      <c r="AY469" s="7"/>
      <c r="AZ469" s="7"/>
      <c r="BA469" s="8">
        <f>SUM(AV469:AZ469)</f>
        <v>0</v>
      </c>
      <c r="BC469" s="6"/>
      <c r="BD469" s="7"/>
      <c r="BE469" s="7"/>
      <c r="BF469" s="7"/>
      <c r="BG469" s="7"/>
      <c r="BH469" s="8">
        <f>SUM(BC469:BG469)</f>
        <v>0</v>
      </c>
      <c r="BJ469" s="6"/>
      <c r="BK469" s="7"/>
      <c r="BL469" s="7"/>
      <c r="BM469" s="7"/>
      <c r="BN469" s="7"/>
      <c r="BO469" s="8">
        <f>SUM(BJ469:BN469)</f>
        <v>0</v>
      </c>
      <c r="BQ469" s="6"/>
      <c r="BR469" s="7"/>
      <c r="BS469" s="7"/>
      <c r="BT469" s="7"/>
      <c r="BU469" s="7"/>
      <c r="BV469" s="8">
        <f>SUM(BQ469:BU469)</f>
        <v>0</v>
      </c>
      <c r="BX469" s="6"/>
      <c r="BY469" s="7"/>
      <c r="BZ469" s="7"/>
      <c r="CA469" s="7"/>
      <c r="CB469" s="7"/>
      <c r="CC469" s="8">
        <f>SUM(BX469:CB469)</f>
        <v>0</v>
      </c>
      <c r="CE469" s="28">
        <f t="shared" si="2139"/>
        <v>0</v>
      </c>
      <c r="CF469" s="29">
        <f t="shared" si="2140"/>
        <v>0</v>
      </c>
      <c r="CG469" s="29">
        <f t="shared" si="2141"/>
        <v>0</v>
      </c>
      <c r="CH469" s="29">
        <f t="shared" si="2142"/>
        <v>0</v>
      </c>
      <c r="CI469" s="29">
        <f t="shared" si="2143"/>
        <v>0</v>
      </c>
      <c r="CJ469" s="8">
        <f>SUM(CE469:CI469)</f>
        <v>0</v>
      </c>
      <c r="CL469" s="6"/>
      <c r="CM469" s="7"/>
      <c r="CN469" s="7"/>
      <c r="CO469" s="7"/>
      <c r="CP469" s="7"/>
      <c r="CQ469" s="8">
        <f>SUM(CL469:CP469)</f>
        <v>0</v>
      </c>
      <c r="CS469" s="6"/>
      <c r="CT469" s="7"/>
      <c r="CU469" s="7"/>
      <c r="CV469" s="7"/>
      <c r="CW469" s="7"/>
      <c r="CX469" s="8">
        <f t="shared" si="2148"/>
        <v>0</v>
      </c>
      <c r="CZ469" s="6"/>
      <c r="DA469" s="7"/>
      <c r="DB469" s="7"/>
      <c r="DC469" s="7"/>
      <c r="DD469" s="7"/>
      <c r="DE469" s="8">
        <f t="shared" si="2149"/>
        <v>0</v>
      </c>
    </row>
    <row r="470" spans="3:109" ht="14" thickBot="1">
      <c r="C470" s="567"/>
      <c r="E470" s="14" t="s">
        <v>62</v>
      </c>
      <c r="F470" s="23">
        <f t="shared" si="2144"/>
        <v>0</v>
      </c>
      <c r="G470" s="24">
        <f t="shared" si="2135"/>
        <v>0</v>
      </c>
      <c r="H470" s="24">
        <f t="shared" si="2136"/>
        <v>0</v>
      </c>
      <c r="I470" s="24">
        <f t="shared" si="2137"/>
        <v>0</v>
      </c>
      <c r="J470" s="24">
        <f t="shared" si="2138"/>
        <v>0</v>
      </c>
      <c r="K470" s="8">
        <f t="shared" si="2145"/>
        <v>0</v>
      </c>
      <c r="M470" s="6"/>
      <c r="N470" s="7"/>
      <c r="O470" s="7"/>
      <c r="P470" s="7"/>
      <c r="Q470" s="7"/>
      <c r="R470" s="8">
        <f t="shared" si="2146"/>
        <v>0</v>
      </c>
      <c r="T470" s="6"/>
      <c r="U470" s="7"/>
      <c r="V470" s="7"/>
      <c r="W470" s="7"/>
      <c r="X470" s="7"/>
      <c r="Y470" s="8">
        <f t="shared" si="2147"/>
        <v>0</v>
      </c>
      <c r="AA470" s="6"/>
      <c r="AB470" s="7"/>
      <c r="AC470" s="7"/>
      <c r="AD470" s="7"/>
      <c r="AE470" s="7"/>
      <c r="AF470" s="8">
        <f>SUM(AA470:AE470)</f>
        <v>0</v>
      </c>
      <c r="AH470" s="6"/>
      <c r="AI470" s="7"/>
      <c r="AJ470" s="7"/>
      <c r="AK470" s="7"/>
      <c r="AL470" s="7"/>
      <c r="AM470" s="8">
        <f>SUM(AH470:AL470)</f>
        <v>0</v>
      </c>
      <c r="AO470" s="6"/>
      <c r="AP470" s="7"/>
      <c r="AQ470" s="7"/>
      <c r="AR470" s="7"/>
      <c r="AS470" s="7"/>
      <c r="AT470" s="8">
        <f>SUM(AO470:AS470)</f>
        <v>0</v>
      </c>
      <c r="AV470" s="6"/>
      <c r="AW470" s="7"/>
      <c r="AX470" s="7"/>
      <c r="AY470" s="7"/>
      <c r="AZ470" s="7"/>
      <c r="BA470" s="8">
        <f>SUM(AV470:AZ470)</f>
        <v>0</v>
      </c>
      <c r="BC470" s="6"/>
      <c r="BD470" s="7"/>
      <c r="BE470" s="7"/>
      <c r="BF470" s="7"/>
      <c r="BG470" s="7"/>
      <c r="BH470" s="8">
        <f>SUM(BC470:BG470)</f>
        <v>0</v>
      </c>
      <c r="BJ470" s="6"/>
      <c r="BK470" s="7"/>
      <c r="BL470" s="7"/>
      <c r="BM470" s="7"/>
      <c r="BN470" s="7"/>
      <c r="BO470" s="8">
        <f>SUM(BJ470:BN470)</f>
        <v>0</v>
      </c>
      <c r="BQ470" s="6"/>
      <c r="BR470" s="7"/>
      <c r="BS470" s="7"/>
      <c r="BT470" s="7"/>
      <c r="BU470" s="7"/>
      <c r="BV470" s="8">
        <f>SUM(BQ470:BU470)</f>
        <v>0</v>
      </c>
      <c r="BX470" s="6"/>
      <c r="BY470" s="7"/>
      <c r="BZ470" s="7"/>
      <c r="CA470" s="7"/>
      <c r="CB470" s="7"/>
      <c r="CC470" s="8">
        <f>SUM(BX470:CB470)</f>
        <v>0</v>
      </c>
      <c r="CE470" s="493">
        <f t="shared" si="2139"/>
        <v>0</v>
      </c>
      <c r="CF470" s="494">
        <f t="shared" si="2140"/>
        <v>0</v>
      </c>
      <c r="CG470" s="494">
        <f t="shared" si="2141"/>
        <v>0</v>
      </c>
      <c r="CH470" s="494">
        <f t="shared" si="2142"/>
        <v>0</v>
      </c>
      <c r="CI470" s="494">
        <f t="shared" si="2143"/>
        <v>0</v>
      </c>
      <c r="CJ470" s="495">
        <f>SUM(CE470:CI470)</f>
        <v>0</v>
      </c>
      <c r="CL470" s="6"/>
      <c r="CM470" s="7"/>
      <c r="CN470" s="7"/>
      <c r="CO470" s="7"/>
      <c r="CP470" s="7"/>
      <c r="CQ470" s="8">
        <f>SUM(CL470:CP470)</f>
        <v>0</v>
      </c>
      <c r="CS470" s="6"/>
      <c r="CT470" s="7"/>
      <c r="CU470" s="7"/>
      <c r="CV470" s="7"/>
      <c r="CW470" s="7"/>
      <c r="CX470" s="8">
        <f t="shared" si="2148"/>
        <v>0</v>
      </c>
      <c r="CZ470" s="6"/>
      <c r="DA470" s="7"/>
      <c r="DB470" s="7"/>
      <c r="DC470" s="7"/>
      <c r="DD470" s="7"/>
      <c r="DE470" s="8">
        <f t="shared" si="2149"/>
        <v>0</v>
      </c>
    </row>
    <row r="471" spans="3:109" ht="14" thickBot="1">
      <c r="C471" s="554"/>
      <c r="E471" s="17"/>
      <c r="F471" s="10">
        <f>SUM(F467:F470)</f>
        <v>0</v>
      </c>
      <c r="G471" s="11">
        <f t="shared" ref="G471:J471" si="2150">SUM(G467:G470)</f>
        <v>0</v>
      </c>
      <c r="H471" s="11">
        <f t="shared" si="2150"/>
        <v>0</v>
      </c>
      <c r="I471" s="11">
        <f t="shared" si="2150"/>
        <v>0</v>
      </c>
      <c r="J471" s="11">
        <f t="shared" si="2150"/>
        <v>0</v>
      </c>
      <c r="K471" s="25">
        <f>SUM(K467:K470)</f>
        <v>0</v>
      </c>
      <c r="M471" s="10">
        <f>SUM(M467:M470)</f>
        <v>0</v>
      </c>
      <c r="N471" s="11">
        <f t="shared" ref="N471:Q471" si="2151">SUM(N467:N470)</f>
        <v>0</v>
      </c>
      <c r="O471" s="11">
        <f t="shared" si="2151"/>
        <v>0</v>
      </c>
      <c r="P471" s="11">
        <f t="shared" si="2151"/>
        <v>0</v>
      </c>
      <c r="Q471" s="11">
        <f t="shared" si="2151"/>
        <v>0</v>
      </c>
      <c r="R471" s="25">
        <f>SUM(R467:R470)</f>
        <v>0</v>
      </c>
      <c r="T471" s="10">
        <f>SUM(T467:T470)</f>
        <v>0</v>
      </c>
      <c r="U471" s="11">
        <f t="shared" ref="U471:X471" si="2152">SUM(U467:U470)</f>
        <v>0</v>
      </c>
      <c r="V471" s="11">
        <f t="shared" si="2152"/>
        <v>0</v>
      </c>
      <c r="W471" s="11">
        <f t="shared" si="2152"/>
        <v>0</v>
      </c>
      <c r="X471" s="11">
        <f t="shared" si="2152"/>
        <v>0</v>
      </c>
      <c r="Y471" s="25">
        <f>SUM(Y467:Y470)</f>
        <v>0</v>
      </c>
      <c r="AA471" s="10">
        <f>SUM(AA467:AA470)</f>
        <v>0</v>
      </c>
      <c r="AB471" s="11">
        <f t="shared" ref="AB471:AE471" si="2153">SUM(AB467:AB470)</f>
        <v>0</v>
      </c>
      <c r="AC471" s="11">
        <f t="shared" si="2153"/>
        <v>0</v>
      </c>
      <c r="AD471" s="11">
        <f t="shared" si="2153"/>
        <v>0</v>
      </c>
      <c r="AE471" s="11">
        <f t="shared" si="2153"/>
        <v>0</v>
      </c>
      <c r="AF471" s="25">
        <f>SUM(AF467:AF470)</f>
        <v>0</v>
      </c>
      <c r="AH471" s="10">
        <f>SUM(AH467:AH470)</f>
        <v>0</v>
      </c>
      <c r="AI471" s="11">
        <f t="shared" ref="AI471:AL471" si="2154">SUM(AI467:AI470)</f>
        <v>0</v>
      </c>
      <c r="AJ471" s="11">
        <f t="shared" si="2154"/>
        <v>0</v>
      </c>
      <c r="AK471" s="11">
        <f t="shared" si="2154"/>
        <v>0</v>
      </c>
      <c r="AL471" s="11">
        <f t="shared" si="2154"/>
        <v>0</v>
      </c>
      <c r="AM471" s="25">
        <f>SUM(AM467:AM470)</f>
        <v>0</v>
      </c>
      <c r="AO471" s="10">
        <f>SUM(AO467:AO470)</f>
        <v>0</v>
      </c>
      <c r="AP471" s="11">
        <f t="shared" ref="AP471:AS471" si="2155">SUM(AP467:AP470)</f>
        <v>0</v>
      </c>
      <c r="AQ471" s="11">
        <f t="shared" si="2155"/>
        <v>0</v>
      </c>
      <c r="AR471" s="11">
        <f t="shared" si="2155"/>
        <v>0</v>
      </c>
      <c r="AS471" s="11">
        <f t="shared" si="2155"/>
        <v>0</v>
      </c>
      <c r="AT471" s="25">
        <f>SUM(AT467:AT470)</f>
        <v>0</v>
      </c>
      <c r="AV471" s="10">
        <f>SUM(AV467:AV470)</f>
        <v>0</v>
      </c>
      <c r="AW471" s="11">
        <f t="shared" ref="AW471:AZ471" si="2156">SUM(AW467:AW470)</f>
        <v>0</v>
      </c>
      <c r="AX471" s="11">
        <f t="shared" si="2156"/>
        <v>0</v>
      </c>
      <c r="AY471" s="11">
        <f t="shared" si="2156"/>
        <v>0</v>
      </c>
      <c r="AZ471" s="11">
        <f t="shared" si="2156"/>
        <v>0</v>
      </c>
      <c r="BA471" s="25">
        <f>SUM(BA467:BA470)</f>
        <v>0</v>
      </c>
      <c r="BC471" s="10">
        <f>SUM(BC467:BC470)</f>
        <v>0</v>
      </c>
      <c r="BD471" s="11">
        <f t="shared" ref="BD471:BG471" si="2157">SUM(BD467:BD470)</f>
        <v>0</v>
      </c>
      <c r="BE471" s="11">
        <f t="shared" si="2157"/>
        <v>0</v>
      </c>
      <c r="BF471" s="11">
        <f t="shared" si="2157"/>
        <v>0</v>
      </c>
      <c r="BG471" s="11">
        <f t="shared" si="2157"/>
        <v>0</v>
      </c>
      <c r="BH471" s="25">
        <f>SUM(BH467:BH470)</f>
        <v>0</v>
      </c>
      <c r="BJ471" s="10">
        <f>SUM(BJ467:BJ470)</f>
        <v>0</v>
      </c>
      <c r="BK471" s="11">
        <f t="shared" ref="BK471:BN471" si="2158">SUM(BK467:BK470)</f>
        <v>0</v>
      </c>
      <c r="BL471" s="11">
        <f t="shared" si="2158"/>
        <v>0</v>
      </c>
      <c r="BM471" s="11">
        <f t="shared" si="2158"/>
        <v>0</v>
      </c>
      <c r="BN471" s="11">
        <f t="shared" si="2158"/>
        <v>0</v>
      </c>
      <c r="BO471" s="25">
        <f>SUM(BO467:BO470)</f>
        <v>0</v>
      </c>
      <c r="BQ471" s="10">
        <f>SUM(BQ467:BQ470)</f>
        <v>0</v>
      </c>
      <c r="BR471" s="11">
        <f t="shared" ref="BR471:BU471" si="2159">SUM(BR467:BR470)</f>
        <v>0</v>
      </c>
      <c r="BS471" s="11">
        <f t="shared" si="2159"/>
        <v>0</v>
      </c>
      <c r="BT471" s="11">
        <f t="shared" si="2159"/>
        <v>0</v>
      </c>
      <c r="BU471" s="11">
        <f t="shared" si="2159"/>
        <v>0</v>
      </c>
      <c r="BV471" s="25">
        <f>SUM(BV467:BV470)</f>
        <v>0</v>
      </c>
      <c r="BX471" s="10">
        <f>SUM(BX467:BX470)</f>
        <v>0</v>
      </c>
      <c r="BY471" s="11">
        <f t="shared" ref="BY471:CB471" si="2160">SUM(BY467:BY470)</f>
        <v>0</v>
      </c>
      <c r="BZ471" s="11">
        <f t="shared" si="2160"/>
        <v>0</v>
      </c>
      <c r="CA471" s="11">
        <f t="shared" si="2160"/>
        <v>0</v>
      </c>
      <c r="CB471" s="11">
        <f t="shared" si="2160"/>
        <v>0</v>
      </c>
      <c r="CC471" s="25">
        <f>SUM(CC467:CC470)</f>
        <v>0</v>
      </c>
      <c r="CE471" s="62">
        <f t="shared" ref="CE471:CJ471" si="2161">SUM(CE467:CE470)</f>
        <v>0</v>
      </c>
      <c r="CF471" s="63">
        <f t="shared" si="2161"/>
        <v>0</v>
      </c>
      <c r="CG471" s="63">
        <f t="shared" si="2161"/>
        <v>0</v>
      </c>
      <c r="CH471" s="63">
        <f t="shared" si="2161"/>
        <v>0</v>
      </c>
      <c r="CI471" s="63">
        <f t="shared" si="2161"/>
        <v>0</v>
      </c>
      <c r="CJ471" s="25">
        <f t="shared" si="2161"/>
        <v>0</v>
      </c>
      <c r="CL471" s="10">
        <f>SUM(CL467:CL470)</f>
        <v>0</v>
      </c>
      <c r="CM471" s="11">
        <f t="shared" ref="CM471:CP471" si="2162">SUM(CM467:CM470)</f>
        <v>0</v>
      </c>
      <c r="CN471" s="11">
        <f t="shared" si="2162"/>
        <v>0</v>
      </c>
      <c r="CO471" s="11">
        <f t="shared" si="2162"/>
        <v>0</v>
      </c>
      <c r="CP471" s="11">
        <f t="shared" si="2162"/>
        <v>0</v>
      </c>
      <c r="CQ471" s="25">
        <f>SUM(CQ467:CQ470)</f>
        <v>0</v>
      </c>
      <c r="CS471" s="10">
        <f>SUM(CS467:CS470)</f>
        <v>0</v>
      </c>
      <c r="CT471" s="11">
        <f t="shared" ref="CT471:CW471" si="2163">SUM(CT467:CT470)</f>
        <v>0</v>
      </c>
      <c r="CU471" s="11">
        <f t="shared" si="2163"/>
        <v>0</v>
      </c>
      <c r="CV471" s="11">
        <f t="shared" si="2163"/>
        <v>0</v>
      </c>
      <c r="CW471" s="11">
        <f t="shared" si="2163"/>
        <v>0</v>
      </c>
      <c r="CX471" s="25">
        <f>SUM(CX467:CX470)</f>
        <v>0</v>
      </c>
      <c r="CZ471" s="10">
        <f>SUM(CZ467:CZ470)</f>
        <v>0</v>
      </c>
      <c r="DA471" s="11">
        <f t="shared" ref="DA471:DD471" si="2164">SUM(DA467:DA470)</f>
        <v>0</v>
      </c>
      <c r="DB471" s="11">
        <f t="shared" si="2164"/>
        <v>0</v>
      </c>
      <c r="DC471" s="11">
        <f t="shared" si="2164"/>
        <v>0</v>
      </c>
      <c r="DD471" s="11">
        <f t="shared" si="2164"/>
        <v>0</v>
      </c>
      <c r="DE471" s="25">
        <f>SUM(DE467:DE470)</f>
        <v>0</v>
      </c>
    </row>
    <row r="472" spans="3:109" ht="10.4" customHeight="1" thickBot="1"/>
    <row r="473" spans="3:109">
      <c r="C473" s="553">
        <v>2027</v>
      </c>
      <c r="E473" s="13" t="s">
        <v>59</v>
      </c>
      <c r="F473" s="21">
        <f>CE467</f>
        <v>0</v>
      </c>
      <c r="G473" s="22">
        <f t="shared" ref="G473:G476" si="2165">CF467</f>
        <v>0</v>
      </c>
      <c r="H473" s="22">
        <f t="shared" ref="H473:H476" si="2166">CG467</f>
        <v>0</v>
      </c>
      <c r="I473" s="22">
        <f t="shared" ref="I473:I476" si="2167">CH467</f>
        <v>0</v>
      </c>
      <c r="J473" s="22">
        <f t="shared" ref="J473:J476" si="2168">CI467</f>
        <v>0</v>
      </c>
      <c r="K473" s="4">
        <f>SUM(F473:J473)</f>
        <v>0</v>
      </c>
      <c r="M473" s="2"/>
      <c r="N473" s="3"/>
      <c r="O473" s="3"/>
      <c r="P473" s="3"/>
      <c r="Q473" s="3"/>
      <c r="R473" s="4">
        <f>SUM(M473:Q473)</f>
        <v>0</v>
      </c>
      <c r="T473" s="2"/>
      <c r="U473" s="3"/>
      <c r="V473" s="3"/>
      <c r="W473" s="3"/>
      <c r="X473" s="3"/>
      <c r="Y473" s="4">
        <f>SUM(T473:X473)</f>
        <v>0</v>
      </c>
      <c r="AA473" s="2"/>
      <c r="AB473" s="3"/>
      <c r="AC473" s="3"/>
      <c r="AD473" s="3"/>
      <c r="AE473" s="3"/>
      <c r="AF473" s="4">
        <f>SUM(AA473:AE473)</f>
        <v>0</v>
      </c>
      <c r="AH473" s="2"/>
      <c r="AI473" s="3"/>
      <c r="AJ473" s="3"/>
      <c r="AK473" s="3"/>
      <c r="AL473" s="3"/>
      <c r="AM473" s="4">
        <f>SUM(AH473:AL473)</f>
        <v>0</v>
      </c>
      <c r="AO473" s="2"/>
      <c r="AP473" s="3"/>
      <c r="AQ473" s="3"/>
      <c r="AR473" s="3"/>
      <c r="AS473" s="3"/>
      <c r="AT473" s="4">
        <f>SUM(AO473:AS473)</f>
        <v>0</v>
      </c>
      <c r="AV473" s="2"/>
      <c r="AW473" s="3"/>
      <c r="AX473" s="3"/>
      <c r="AY473" s="3"/>
      <c r="AZ473" s="3"/>
      <c r="BA473" s="4">
        <f>SUM(AV473:AZ473)</f>
        <v>0</v>
      </c>
      <c r="BC473" s="2"/>
      <c r="BD473" s="3"/>
      <c r="BE473" s="3"/>
      <c r="BF473" s="3"/>
      <c r="BG473" s="3"/>
      <c r="BH473" s="4">
        <f>SUM(BC473:BG473)</f>
        <v>0</v>
      </c>
      <c r="BJ473" s="2"/>
      <c r="BK473" s="3"/>
      <c r="BL473" s="3"/>
      <c r="BM473" s="3"/>
      <c r="BN473" s="3"/>
      <c r="BO473" s="4">
        <f>SUM(BJ473:BN473)</f>
        <v>0</v>
      </c>
      <c r="BQ473" s="2"/>
      <c r="BR473" s="3"/>
      <c r="BS473" s="3"/>
      <c r="BT473" s="3"/>
      <c r="BU473" s="3"/>
      <c r="BV473" s="4">
        <f>SUM(BQ473:BU473)</f>
        <v>0</v>
      </c>
      <c r="BX473" s="2"/>
      <c r="BY473" s="3"/>
      <c r="BZ473" s="3"/>
      <c r="CA473" s="3"/>
      <c r="CB473" s="3"/>
      <c r="CC473" s="4">
        <f>SUM(BX473:CB473)</f>
        <v>0</v>
      </c>
      <c r="CE473" s="26">
        <f t="shared" ref="CE473:CE476" si="2169">F473+M473+T473+AA473+AH473+AO473+AV473+BC473+BJ473+BQ473+BX473</f>
        <v>0</v>
      </c>
      <c r="CF473" s="27">
        <f t="shared" ref="CF473:CF476" si="2170">G473+N473+U473+AB473+AI473+AP473+AW473+BD473+BK473+BR473+BY473</f>
        <v>0</v>
      </c>
      <c r="CG473" s="27">
        <f t="shared" ref="CG473:CG476" si="2171">H473+O473+V473+AC473+AJ473+AQ473+AX473+BE473+BL473+BS473+BZ473</f>
        <v>0</v>
      </c>
      <c r="CH473" s="27">
        <f t="shared" ref="CH473:CH476" si="2172">I473+P473+W473+AD473+AK473+AR473+AY473+BF473+BM473+BT473+CA473</f>
        <v>0</v>
      </c>
      <c r="CI473" s="27">
        <f t="shared" ref="CI473:CI476" si="2173">J473+Q473+X473+AE473+AL473+AS473+AZ473+BG473+BN473+BU473+CB473</f>
        <v>0</v>
      </c>
      <c r="CJ473" s="4">
        <f>SUM(CE473:CI473)</f>
        <v>0</v>
      </c>
      <c r="CL473" s="2"/>
      <c r="CM473" s="3"/>
      <c r="CN473" s="3"/>
      <c r="CO473" s="3"/>
      <c r="CP473" s="3"/>
      <c r="CQ473" s="4">
        <f>SUM(CL473:CP473)</f>
        <v>0</v>
      </c>
      <c r="CS473" s="2"/>
      <c r="CT473" s="3"/>
      <c r="CU473" s="3"/>
      <c r="CV473" s="3"/>
      <c r="CW473" s="3"/>
      <c r="CX473" s="4">
        <f>SUM(CS473:CW473)</f>
        <v>0</v>
      </c>
      <c r="CZ473" s="2"/>
      <c r="DA473" s="3"/>
      <c r="DB473" s="3"/>
      <c r="DC473" s="3"/>
      <c r="DD473" s="3"/>
      <c r="DE473" s="4">
        <f>SUM(CZ473:DD473)</f>
        <v>0</v>
      </c>
    </row>
    <row r="474" spans="3:109">
      <c r="C474" s="567"/>
      <c r="E474" s="14" t="s">
        <v>60</v>
      </c>
      <c r="F474" s="23">
        <f t="shared" ref="F474:F476" si="2174">CE468</f>
        <v>0</v>
      </c>
      <c r="G474" s="24">
        <f t="shared" si="2165"/>
        <v>0</v>
      </c>
      <c r="H474" s="24">
        <f t="shared" si="2166"/>
        <v>0</v>
      </c>
      <c r="I474" s="24">
        <f t="shared" si="2167"/>
        <v>0</v>
      </c>
      <c r="J474" s="24">
        <f t="shared" si="2168"/>
        <v>0</v>
      </c>
      <c r="K474" s="8">
        <f t="shared" ref="K474:K476" si="2175">SUM(F474:J474)</f>
        <v>0</v>
      </c>
      <c r="M474" s="6"/>
      <c r="N474" s="7"/>
      <c r="O474" s="7"/>
      <c r="P474" s="7"/>
      <c r="Q474" s="7"/>
      <c r="R474" s="8">
        <f t="shared" ref="R474:R476" si="2176">SUM(M474:Q474)</f>
        <v>0</v>
      </c>
      <c r="T474" s="6"/>
      <c r="U474" s="7"/>
      <c r="V474" s="7"/>
      <c r="W474" s="7"/>
      <c r="X474" s="7"/>
      <c r="Y474" s="8">
        <f t="shared" ref="Y474:Y476" si="2177">SUM(T474:X474)</f>
        <v>0</v>
      </c>
      <c r="AA474" s="6"/>
      <c r="AB474" s="7"/>
      <c r="AC474" s="7"/>
      <c r="AD474" s="7"/>
      <c r="AE474" s="7"/>
      <c r="AF474" s="8">
        <f>SUM(AA474:AE474)</f>
        <v>0</v>
      </c>
      <c r="AH474" s="6"/>
      <c r="AI474" s="7"/>
      <c r="AJ474" s="7"/>
      <c r="AK474" s="7"/>
      <c r="AL474" s="7"/>
      <c r="AM474" s="8">
        <f>SUM(AH474:AL474)</f>
        <v>0</v>
      </c>
      <c r="AO474" s="6"/>
      <c r="AP474" s="7"/>
      <c r="AQ474" s="7"/>
      <c r="AR474" s="7"/>
      <c r="AS474" s="7"/>
      <c r="AT474" s="8">
        <f>SUM(AO474:AS474)</f>
        <v>0</v>
      </c>
      <c r="AV474" s="6"/>
      <c r="AW474" s="7"/>
      <c r="AX474" s="7"/>
      <c r="AY474" s="7"/>
      <c r="AZ474" s="7"/>
      <c r="BA474" s="8">
        <f>SUM(AV474:AZ474)</f>
        <v>0</v>
      </c>
      <c r="BC474" s="6"/>
      <c r="BD474" s="7"/>
      <c r="BE474" s="7"/>
      <c r="BF474" s="7"/>
      <c r="BG474" s="7"/>
      <c r="BH474" s="8">
        <f>SUM(BC474:BG474)</f>
        <v>0</v>
      </c>
      <c r="BJ474" s="6"/>
      <c r="BK474" s="7"/>
      <c r="BL474" s="7"/>
      <c r="BM474" s="7"/>
      <c r="BN474" s="7"/>
      <c r="BO474" s="8">
        <f>SUM(BJ474:BN474)</f>
        <v>0</v>
      </c>
      <c r="BQ474" s="6"/>
      <c r="BR474" s="7"/>
      <c r="BS474" s="7"/>
      <c r="BT474" s="7"/>
      <c r="BU474" s="7"/>
      <c r="BV474" s="8">
        <f>SUM(BQ474:BU474)</f>
        <v>0</v>
      </c>
      <c r="BX474" s="6"/>
      <c r="BY474" s="7"/>
      <c r="BZ474" s="7"/>
      <c r="CA474" s="7"/>
      <c r="CB474" s="7"/>
      <c r="CC474" s="8">
        <f>SUM(BX474:CB474)</f>
        <v>0</v>
      </c>
      <c r="CE474" s="28">
        <f t="shared" si="2169"/>
        <v>0</v>
      </c>
      <c r="CF474" s="29">
        <f t="shared" si="2170"/>
        <v>0</v>
      </c>
      <c r="CG474" s="29">
        <f t="shared" si="2171"/>
        <v>0</v>
      </c>
      <c r="CH474" s="29">
        <f t="shared" si="2172"/>
        <v>0</v>
      </c>
      <c r="CI474" s="29">
        <f t="shared" si="2173"/>
        <v>0</v>
      </c>
      <c r="CJ474" s="8">
        <f>SUM(CE474:CI474)</f>
        <v>0</v>
      </c>
      <c r="CL474" s="6"/>
      <c r="CM474" s="7"/>
      <c r="CN474" s="7"/>
      <c r="CO474" s="7"/>
      <c r="CP474" s="7"/>
      <c r="CQ474" s="8">
        <f>SUM(CL474:CP474)</f>
        <v>0</v>
      </c>
      <c r="CS474" s="6"/>
      <c r="CT474" s="7"/>
      <c r="CU474" s="7"/>
      <c r="CV474" s="7"/>
      <c r="CW474" s="7"/>
      <c r="CX474" s="8">
        <f t="shared" ref="CX474:CX476" si="2178">SUM(CS474:CW474)</f>
        <v>0</v>
      </c>
      <c r="CZ474" s="6"/>
      <c r="DA474" s="7"/>
      <c r="DB474" s="7"/>
      <c r="DC474" s="7"/>
      <c r="DD474" s="7"/>
      <c r="DE474" s="8">
        <f t="shared" ref="DE474:DE476" si="2179">SUM(CZ474:DD474)</f>
        <v>0</v>
      </c>
    </row>
    <row r="475" spans="3:109">
      <c r="C475" s="567"/>
      <c r="E475" s="14" t="s">
        <v>61</v>
      </c>
      <c r="F475" s="23">
        <f t="shared" si="2174"/>
        <v>0</v>
      </c>
      <c r="G475" s="24">
        <f t="shared" si="2165"/>
        <v>0</v>
      </c>
      <c r="H475" s="24">
        <f t="shared" si="2166"/>
        <v>0</v>
      </c>
      <c r="I475" s="24">
        <f t="shared" si="2167"/>
        <v>0</v>
      </c>
      <c r="J475" s="24">
        <f t="shared" si="2168"/>
        <v>0</v>
      </c>
      <c r="K475" s="8">
        <f t="shared" si="2175"/>
        <v>0</v>
      </c>
      <c r="M475" s="6"/>
      <c r="N475" s="7"/>
      <c r="O475" s="7"/>
      <c r="P475" s="7"/>
      <c r="Q475" s="7"/>
      <c r="R475" s="8">
        <f t="shared" si="2176"/>
        <v>0</v>
      </c>
      <c r="T475" s="6"/>
      <c r="U475" s="7"/>
      <c r="V475" s="7"/>
      <c r="W475" s="7"/>
      <c r="X475" s="7"/>
      <c r="Y475" s="8">
        <f t="shared" si="2177"/>
        <v>0</v>
      </c>
      <c r="AA475" s="6"/>
      <c r="AB475" s="7"/>
      <c r="AC475" s="7"/>
      <c r="AD475" s="7"/>
      <c r="AE475" s="7"/>
      <c r="AF475" s="8">
        <f>SUM(AA475:AE475)</f>
        <v>0</v>
      </c>
      <c r="AH475" s="6"/>
      <c r="AI475" s="7"/>
      <c r="AJ475" s="7"/>
      <c r="AK475" s="7"/>
      <c r="AL475" s="7"/>
      <c r="AM475" s="8">
        <f>SUM(AH475:AL475)</f>
        <v>0</v>
      </c>
      <c r="AO475" s="6"/>
      <c r="AP475" s="7"/>
      <c r="AQ475" s="7"/>
      <c r="AR475" s="7"/>
      <c r="AS475" s="7"/>
      <c r="AT475" s="8">
        <f>SUM(AO475:AS475)</f>
        <v>0</v>
      </c>
      <c r="AV475" s="6"/>
      <c r="AW475" s="7"/>
      <c r="AX475" s="7"/>
      <c r="AY475" s="7"/>
      <c r="AZ475" s="7"/>
      <c r="BA475" s="8">
        <f>SUM(AV475:AZ475)</f>
        <v>0</v>
      </c>
      <c r="BC475" s="6"/>
      <c r="BD475" s="7"/>
      <c r="BE475" s="7"/>
      <c r="BF475" s="7"/>
      <c r="BG475" s="7"/>
      <c r="BH475" s="8">
        <f>SUM(BC475:BG475)</f>
        <v>0</v>
      </c>
      <c r="BJ475" s="6"/>
      <c r="BK475" s="7"/>
      <c r="BL475" s="7"/>
      <c r="BM475" s="7"/>
      <c r="BN475" s="7"/>
      <c r="BO475" s="8">
        <f>SUM(BJ475:BN475)</f>
        <v>0</v>
      </c>
      <c r="BQ475" s="6"/>
      <c r="BR475" s="7"/>
      <c r="BS475" s="7"/>
      <c r="BT475" s="7"/>
      <c r="BU475" s="7"/>
      <c r="BV475" s="8">
        <f>SUM(BQ475:BU475)</f>
        <v>0</v>
      </c>
      <c r="BX475" s="6"/>
      <c r="BY475" s="7"/>
      <c r="BZ475" s="7"/>
      <c r="CA475" s="7"/>
      <c r="CB475" s="7"/>
      <c r="CC475" s="8">
        <f>SUM(BX475:CB475)</f>
        <v>0</v>
      </c>
      <c r="CE475" s="28">
        <f t="shared" si="2169"/>
        <v>0</v>
      </c>
      <c r="CF475" s="29">
        <f t="shared" si="2170"/>
        <v>0</v>
      </c>
      <c r="CG475" s="29">
        <f t="shared" si="2171"/>
        <v>0</v>
      </c>
      <c r="CH475" s="29">
        <f t="shared" si="2172"/>
        <v>0</v>
      </c>
      <c r="CI475" s="29">
        <f t="shared" si="2173"/>
        <v>0</v>
      </c>
      <c r="CJ475" s="8">
        <f>SUM(CE475:CI475)</f>
        <v>0</v>
      </c>
      <c r="CL475" s="6"/>
      <c r="CM475" s="7"/>
      <c r="CN475" s="7"/>
      <c r="CO475" s="7"/>
      <c r="CP475" s="7"/>
      <c r="CQ475" s="8">
        <f>SUM(CL475:CP475)</f>
        <v>0</v>
      </c>
      <c r="CS475" s="6"/>
      <c r="CT475" s="7"/>
      <c r="CU475" s="7"/>
      <c r="CV475" s="7"/>
      <c r="CW475" s="7"/>
      <c r="CX475" s="8">
        <f t="shared" si="2178"/>
        <v>0</v>
      </c>
      <c r="CZ475" s="6"/>
      <c r="DA475" s="7"/>
      <c r="DB475" s="7"/>
      <c r="DC475" s="7"/>
      <c r="DD475" s="7"/>
      <c r="DE475" s="8">
        <f t="shared" si="2179"/>
        <v>0</v>
      </c>
    </row>
    <row r="476" spans="3:109" ht="14" thickBot="1">
      <c r="C476" s="567"/>
      <c r="E476" s="14" t="s">
        <v>62</v>
      </c>
      <c r="F476" s="23">
        <f t="shared" si="2174"/>
        <v>0</v>
      </c>
      <c r="G476" s="24">
        <f t="shared" si="2165"/>
        <v>0</v>
      </c>
      <c r="H476" s="24">
        <f t="shared" si="2166"/>
        <v>0</v>
      </c>
      <c r="I476" s="24">
        <f t="shared" si="2167"/>
        <v>0</v>
      </c>
      <c r="J476" s="24">
        <f t="shared" si="2168"/>
        <v>0</v>
      </c>
      <c r="K476" s="8">
        <f t="shared" si="2175"/>
        <v>0</v>
      </c>
      <c r="M476" s="6"/>
      <c r="N476" s="7"/>
      <c r="O476" s="7"/>
      <c r="P476" s="7"/>
      <c r="Q476" s="7"/>
      <c r="R476" s="8">
        <f t="shared" si="2176"/>
        <v>0</v>
      </c>
      <c r="T476" s="6"/>
      <c r="U476" s="7"/>
      <c r="V476" s="7"/>
      <c r="W476" s="7"/>
      <c r="X476" s="7"/>
      <c r="Y476" s="8">
        <f t="shared" si="2177"/>
        <v>0</v>
      </c>
      <c r="AA476" s="6"/>
      <c r="AB476" s="7"/>
      <c r="AC476" s="7"/>
      <c r="AD476" s="7"/>
      <c r="AE476" s="7"/>
      <c r="AF476" s="8">
        <f>SUM(AA476:AE476)</f>
        <v>0</v>
      </c>
      <c r="AH476" s="6"/>
      <c r="AI476" s="7"/>
      <c r="AJ476" s="7"/>
      <c r="AK476" s="7"/>
      <c r="AL476" s="7"/>
      <c r="AM476" s="8">
        <f>SUM(AH476:AL476)</f>
        <v>0</v>
      </c>
      <c r="AO476" s="6"/>
      <c r="AP476" s="7"/>
      <c r="AQ476" s="7"/>
      <c r="AR476" s="7"/>
      <c r="AS476" s="7"/>
      <c r="AT476" s="8">
        <f>SUM(AO476:AS476)</f>
        <v>0</v>
      </c>
      <c r="AV476" s="6"/>
      <c r="AW476" s="7"/>
      <c r="AX476" s="7"/>
      <c r="AY476" s="7"/>
      <c r="AZ476" s="7"/>
      <c r="BA476" s="8">
        <f>SUM(AV476:AZ476)</f>
        <v>0</v>
      </c>
      <c r="BC476" s="6"/>
      <c r="BD476" s="7"/>
      <c r="BE476" s="7"/>
      <c r="BF476" s="7"/>
      <c r="BG476" s="7"/>
      <c r="BH476" s="8">
        <f>SUM(BC476:BG476)</f>
        <v>0</v>
      </c>
      <c r="BJ476" s="6"/>
      <c r="BK476" s="7"/>
      <c r="BL476" s="7"/>
      <c r="BM476" s="7"/>
      <c r="BN476" s="7"/>
      <c r="BO476" s="8">
        <f>SUM(BJ476:BN476)</f>
        <v>0</v>
      </c>
      <c r="BQ476" s="6"/>
      <c r="BR476" s="7"/>
      <c r="BS476" s="7"/>
      <c r="BT476" s="7"/>
      <c r="BU476" s="7"/>
      <c r="BV476" s="8">
        <f>SUM(BQ476:BU476)</f>
        <v>0</v>
      </c>
      <c r="BX476" s="6"/>
      <c r="BY476" s="7"/>
      <c r="BZ476" s="7"/>
      <c r="CA476" s="7"/>
      <c r="CB476" s="7"/>
      <c r="CC476" s="8">
        <f>SUM(BX476:CB476)</f>
        <v>0</v>
      </c>
      <c r="CE476" s="493">
        <f t="shared" si="2169"/>
        <v>0</v>
      </c>
      <c r="CF476" s="494">
        <f t="shared" si="2170"/>
        <v>0</v>
      </c>
      <c r="CG476" s="494">
        <f t="shared" si="2171"/>
        <v>0</v>
      </c>
      <c r="CH476" s="494">
        <f t="shared" si="2172"/>
        <v>0</v>
      </c>
      <c r="CI476" s="494">
        <f t="shared" si="2173"/>
        <v>0</v>
      </c>
      <c r="CJ476" s="495">
        <f>SUM(CE476:CI476)</f>
        <v>0</v>
      </c>
      <c r="CL476" s="6"/>
      <c r="CM476" s="7"/>
      <c r="CN476" s="7"/>
      <c r="CO476" s="7"/>
      <c r="CP476" s="7"/>
      <c r="CQ476" s="8">
        <f>SUM(CL476:CP476)</f>
        <v>0</v>
      </c>
      <c r="CS476" s="6"/>
      <c r="CT476" s="7"/>
      <c r="CU476" s="7"/>
      <c r="CV476" s="7"/>
      <c r="CW476" s="7"/>
      <c r="CX476" s="8">
        <f t="shared" si="2178"/>
        <v>0</v>
      </c>
      <c r="CZ476" s="6"/>
      <c r="DA476" s="7"/>
      <c r="DB476" s="7"/>
      <c r="DC476" s="7"/>
      <c r="DD476" s="7"/>
      <c r="DE476" s="8">
        <f t="shared" si="2179"/>
        <v>0</v>
      </c>
    </row>
    <row r="477" spans="3:109" ht="14" thickBot="1">
      <c r="C477" s="554"/>
      <c r="E477" s="17"/>
      <c r="F477" s="10">
        <f>SUM(F473:F476)</f>
        <v>0</v>
      </c>
      <c r="G477" s="11">
        <f t="shared" ref="G477:J477" si="2180">SUM(G473:G476)</f>
        <v>0</v>
      </c>
      <c r="H477" s="11">
        <f t="shared" si="2180"/>
        <v>0</v>
      </c>
      <c r="I477" s="11">
        <f t="shared" si="2180"/>
        <v>0</v>
      </c>
      <c r="J477" s="11">
        <f t="shared" si="2180"/>
        <v>0</v>
      </c>
      <c r="K477" s="25">
        <f>SUM(K473:K476)</f>
        <v>0</v>
      </c>
      <c r="M477" s="10">
        <f>SUM(M473:M476)</f>
        <v>0</v>
      </c>
      <c r="N477" s="11">
        <f t="shared" ref="N477:Q477" si="2181">SUM(N473:N476)</f>
        <v>0</v>
      </c>
      <c r="O477" s="11">
        <f t="shared" si="2181"/>
        <v>0</v>
      </c>
      <c r="P477" s="11">
        <f t="shared" si="2181"/>
        <v>0</v>
      </c>
      <c r="Q477" s="11">
        <f t="shared" si="2181"/>
        <v>0</v>
      </c>
      <c r="R477" s="25">
        <f>SUM(R473:R476)</f>
        <v>0</v>
      </c>
      <c r="T477" s="10">
        <f>SUM(T473:T476)</f>
        <v>0</v>
      </c>
      <c r="U477" s="11">
        <f t="shared" ref="U477:X477" si="2182">SUM(U473:U476)</f>
        <v>0</v>
      </c>
      <c r="V477" s="11">
        <f t="shared" si="2182"/>
        <v>0</v>
      </c>
      <c r="W477" s="11">
        <f t="shared" si="2182"/>
        <v>0</v>
      </c>
      <c r="X477" s="11">
        <f t="shared" si="2182"/>
        <v>0</v>
      </c>
      <c r="Y477" s="25">
        <f>SUM(Y473:Y476)</f>
        <v>0</v>
      </c>
      <c r="AA477" s="10">
        <f>SUM(AA473:AA476)</f>
        <v>0</v>
      </c>
      <c r="AB477" s="11">
        <f t="shared" ref="AB477:AE477" si="2183">SUM(AB473:AB476)</f>
        <v>0</v>
      </c>
      <c r="AC477" s="11">
        <f t="shared" si="2183"/>
        <v>0</v>
      </c>
      <c r="AD477" s="11">
        <f t="shared" si="2183"/>
        <v>0</v>
      </c>
      <c r="AE477" s="11">
        <f t="shared" si="2183"/>
        <v>0</v>
      </c>
      <c r="AF477" s="25">
        <f>SUM(AF473:AF476)</f>
        <v>0</v>
      </c>
      <c r="AH477" s="10">
        <f>SUM(AH473:AH476)</f>
        <v>0</v>
      </c>
      <c r="AI477" s="11">
        <f t="shared" ref="AI477:AL477" si="2184">SUM(AI473:AI476)</f>
        <v>0</v>
      </c>
      <c r="AJ477" s="11">
        <f t="shared" si="2184"/>
        <v>0</v>
      </c>
      <c r="AK477" s="11">
        <f t="shared" si="2184"/>
        <v>0</v>
      </c>
      <c r="AL477" s="11">
        <f t="shared" si="2184"/>
        <v>0</v>
      </c>
      <c r="AM477" s="25">
        <f>SUM(AM473:AM476)</f>
        <v>0</v>
      </c>
      <c r="AO477" s="10">
        <f>SUM(AO473:AO476)</f>
        <v>0</v>
      </c>
      <c r="AP477" s="11">
        <f t="shared" ref="AP477:AS477" si="2185">SUM(AP473:AP476)</f>
        <v>0</v>
      </c>
      <c r="AQ477" s="11">
        <f t="shared" si="2185"/>
        <v>0</v>
      </c>
      <c r="AR477" s="11">
        <f t="shared" si="2185"/>
        <v>0</v>
      </c>
      <c r="AS477" s="11">
        <f t="shared" si="2185"/>
        <v>0</v>
      </c>
      <c r="AT477" s="25">
        <f>SUM(AT473:AT476)</f>
        <v>0</v>
      </c>
      <c r="AV477" s="10">
        <f>SUM(AV473:AV476)</f>
        <v>0</v>
      </c>
      <c r="AW477" s="11">
        <f t="shared" ref="AW477:AZ477" si="2186">SUM(AW473:AW476)</f>
        <v>0</v>
      </c>
      <c r="AX477" s="11">
        <f t="shared" si="2186"/>
        <v>0</v>
      </c>
      <c r="AY477" s="11">
        <f t="shared" si="2186"/>
        <v>0</v>
      </c>
      <c r="AZ477" s="11">
        <f t="shared" si="2186"/>
        <v>0</v>
      </c>
      <c r="BA477" s="25">
        <f>SUM(BA473:BA476)</f>
        <v>0</v>
      </c>
      <c r="BC477" s="10">
        <f>SUM(BC473:BC476)</f>
        <v>0</v>
      </c>
      <c r="BD477" s="11">
        <f t="shared" ref="BD477:BG477" si="2187">SUM(BD473:BD476)</f>
        <v>0</v>
      </c>
      <c r="BE477" s="11">
        <f t="shared" si="2187"/>
        <v>0</v>
      </c>
      <c r="BF477" s="11">
        <f t="shared" si="2187"/>
        <v>0</v>
      </c>
      <c r="BG477" s="11">
        <f t="shared" si="2187"/>
        <v>0</v>
      </c>
      <c r="BH477" s="25">
        <f>SUM(BH473:BH476)</f>
        <v>0</v>
      </c>
      <c r="BJ477" s="10">
        <f>SUM(BJ473:BJ476)</f>
        <v>0</v>
      </c>
      <c r="BK477" s="11">
        <f t="shared" ref="BK477:BN477" si="2188">SUM(BK473:BK476)</f>
        <v>0</v>
      </c>
      <c r="BL477" s="11">
        <f t="shared" si="2188"/>
        <v>0</v>
      </c>
      <c r="BM477" s="11">
        <f t="shared" si="2188"/>
        <v>0</v>
      </c>
      <c r="BN477" s="11">
        <f t="shared" si="2188"/>
        <v>0</v>
      </c>
      <c r="BO477" s="25">
        <f>SUM(BO473:BO476)</f>
        <v>0</v>
      </c>
      <c r="BQ477" s="10">
        <f>SUM(BQ473:BQ476)</f>
        <v>0</v>
      </c>
      <c r="BR477" s="11">
        <f t="shared" ref="BR477:BU477" si="2189">SUM(BR473:BR476)</f>
        <v>0</v>
      </c>
      <c r="BS477" s="11">
        <f t="shared" si="2189"/>
        <v>0</v>
      </c>
      <c r="BT477" s="11">
        <f t="shared" si="2189"/>
        <v>0</v>
      </c>
      <c r="BU477" s="11">
        <f t="shared" si="2189"/>
        <v>0</v>
      </c>
      <c r="BV477" s="25">
        <f>SUM(BV473:BV476)</f>
        <v>0</v>
      </c>
      <c r="BX477" s="10">
        <f>SUM(BX473:BX476)</f>
        <v>0</v>
      </c>
      <c r="BY477" s="11">
        <f t="shared" ref="BY477:CB477" si="2190">SUM(BY473:BY476)</f>
        <v>0</v>
      </c>
      <c r="BZ477" s="11">
        <f t="shared" si="2190"/>
        <v>0</v>
      </c>
      <c r="CA477" s="11">
        <f t="shared" si="2190"/>
        <v>0</v>
      </c>
      <c r="CB477" s="11">
        <f t="shared" si="2190"/>
        <v>0</v>
      </c>
      <c r="CC477" s="25">
        <f>SUM(CC473:CC476)</f>
        <v>0</v>
      </c>
      <c r="CE477" s="62">
        <f t="shared" ref="CE477:CJ477" si="2191">SUM(CE473:CE476)</f>
        <v>0</v>
      </c>
      <c r="CF477" s="63">
        <f t="shared" si="2191"/>
        <v>0</v>
      </c>
      <c r="CG477" s="63">
        <f t="shared" si="2191"/>
        <v>0</v>
      </c>
      <c r="CH477" s="63">
        <f t="shared" si="2191"/>
        <v>0</v>
      </c>
      <c r="CI477" s="63">
        <f t="shared" si="2191"/>
        <v>0</v>
      </c>
      <c r="CJ477" s="25">
        <f t="shared" si="2191"/>
        <v>0</v>
      </c>
      <c r="CL477" s="10">
        <f>SUM(CL473:CL476)</f>
        <v>0</v>
      </c>
      <c r="CM477" s="11">
        <f t="shared" ref="CM477:CP477" si="2192">SUM(CM473:CM476)</f>
        <v>0</v>
      </c>
      <c r="CN477" s="11">
        <f t="shared" si="2192"/>
        <v>0</v>
      </c>
      <c r="CO477" s="11">
        <f t="shared" si="2192"/>
        <v>0</v>
      </c>
      <c r="CP477" s="11">
        <f t="shared" si="2192"/>
        <v>0</v>
      </c>
      <c r="CQ477" s="25">
        <f>SUM(CQ473:CQ476)</f>
        <v>0</v>
      </c>
      <c r="CS477" s="10">
        <f>SUM(CS473:CS476)</f>
        <v>0</v>
      </c>
      <c r="CT477" s="11">
        <f t="shared" ref="CT477:CW477" si="2193">SUM(CT473:CT476)</f>
        <v>0</v>
      </c>
      <c r="CU477" s="11">
        <f t="shared" si="2193"/>
        <v>0</v>
      </c>
      <c r="CV477" s="11">
        <f t="shared" si="2193"/>
        <v>0</v>
      </c>
      <c r="CW477" s="11">
        <f t="shared" si="2193"/>
        <v>0</v>
      </c>
      <c r="CX477" s="25">
        <f>SUM(CX473:CX476)</f>
        <v>0</v>
      </c>
      <c r="CZ477" s="10">
        <f>SUM(CZ473:CZ476)</f>
        <v>0</v>
      </c>
      <c r="DA477" s="11">
        <f t="shared" ref="DA477:DD477" si="2194">SUM(DA473:DA476)</f>
        <v>0</v>
      </c>
      <c r="DB477" s="11">
        <f t="shared" si="2194"/>
        <v>0</v>
      </c>
      <c r="DC477" s="11">
        <f t="shared" si="2194"/>
        <v>0</v>
      </c>
      <c r="DD477" s="11">
        <f t="shared" si="2194"/>
        <v>0</v>
      </c>
      <c r="DE477" s="25">
        <f>SUM(DE473:DE476)</f>
        <v>0</v>
      </c>
    </row>
    <row r="478" spans="3:109" ht="10.4" customHeight="1" thickBot="1"/>
    <row r="479" spans="3:109">
      <c r="C479" s="553">
        <v>2028</v>
      </c>
      <c r="E479" s="13" t="s">
        <v>59</v>
      </c>
      <c r="F479" s="21">
        <f>CE473</f>
        <v>0</v>
      </c>
      <c r="G479" s="22">
        <f t="shared" ref="G479:G482" si="2195">CF473</f>
        <v>0</v>
      </c>
      <c r="H479" s="22">
        <f t="shared" ref="H479:H482" si="2196">CG473</f>
        <v>0</v>
      </c>
      <c r="I479" s="22">
        <f t="shared" ref="I479:I482" si="2197">CH473</f>
        <v>0</v>
      </c>
      <c r="J479" s="22">
        <f t="shared" ref="J479:J482" si="2198">CI473</f>
        <v>0</v>
      </c>
      <c r="K479" s="4">
        <f>SUM(F479:J479)</f>
        <v>0</v>
      </c>
      <c r="M479" s="2"/>
      <c r="N479" s="3"/>
      <c r="O479" s="3"/>
      <c r="P479" s="3"/>
      <c r="Q479" s="3"/>
      <c r="R479" s="4">
        <f>SUM(M479:Q479)</f>
        <v>0</v>
      </c>
      <c r="T479" s="2"/>
      <c r="U479" s="3"/>
      <c r="V479" s="3"/>
      <c r="W479" s="3"/>
      <c r="X479" s="3"/>
      <c r="Y479" s="4">
        <f>SUM(T479:X479)</f>
        <v>0</v>
      </c>
      <c r="AA479" s="2"/>
      <c r="AB479" s="3"/>
      <c r="AC479" s="3"/>
      <c r="AD479" s="3"/>
      <c r="AE479" s="3"/>
      <c r="AF479" s="4">
        <f>SUM(AA479:AE479)</f>
        <v>0</v>
      </c>
      <c r="AH479" s="2"/>
      <c r="AI479" s="3"/>
      <c r="AJ479" s="3"/>
      <c r="AK479" s="3"/>
      <c r="AL479" s="3"/>
      <c r="AM479" s="4">
        <f>SUM(AH479:AL479)</f>
        <v>0</v>
      </c>
      <c r="AO479" s="2"/>
      <c r="AP479" s="3"/>
      <c r="AQ479" s="3"/>
      <c r="AR479" s="3"/>
      <c r="AS479" s="3"/>
      <c r="AT479" s="4">
        <f>SUM(AO479:AS479)</f>
        <v>0</v>
      </c>
      <c r="AV479" s="2"/>
      <c r="AW479" s="3"/>
      <c r="AX479" s="3"/>
      <c r="AY479" s="3"/>
      <c r="AZ479" s="3"/>
      <c r="BA479" s="4">
        <f>SUM(AV479:AZ479)</f>
        <v>0</v>
      </c>
      <c r="BC479" s="2"/>
      <c r="BD479" s="3"/>
      <c r="BE479" s="3"/>
      <c r="BF479" s="3"/>
      <c r="BG479" s="3"/>
      <c r="BH479" s="4">
        <f>SUM(BC479:BG479)</f>
        <v>0</v>
      </c>
      <c r="BJ479" s="2"/>
      <c r="BK479" s="3"/>
      <c r="BL479" s="3"/>
      <c r="BM479" s="3"/>
      <c r="BN479" s="3"/>
      <c r="BO479" s="4">
        <f>SUM(BJ479:BN479)</f>
        <v>0</v>
      </c>
      <c r="BQ479" s="2"/>
      <c r="BR479" s="3"/>
      <c r="BS479" s="3"/>
      <c r="BT479" s="3"/>
      <c r="BU479" s="3"/>
      <c r="BV479" s="4">
        <f>SUM(BQ479:BU479)</f>
        <v>0</v>
      </c>
      <c r="BX479" s="2"/>
      <c r="BY479" s="3"/>
      <c r="BZ479" s="3"/>
      <c r="CA479" s="3"/>
      <c r="CB479" s="3"/>
      <c r="CC479" s="4">
        <f>SUM(BX479:CB479)</f>
        <v>0</v>
      </c>
      <c r="CE479" s="26">
        <f t="shared" ref="CE479:CE482" si="2199">F479+M479+T479+AA479+AH479+AO479+AV479+BC479+BJ479+BQ479+BX479</f>
        <v>0</v>
      </c>
      <c r="CF479" s="27">
        <f t="shared" ref="CF479:CF482" si="2200">G479+N479+U479+AB479+AI479+AP479+AW479+BD479+BK479+BR479+BY479</f>
        <v>0</v>
      </c>
      <c r="CG479" s="27">
        <f t="shared" ref="CG479:CG482" si="2201">H479+O479+V479+AC479+AJ479+AQ479+AX479+BE479+BL479+BS479+BZ479</f>
        <v>0</v>
      </c>
      <c r="CH479" s="27">
        <f t="shared" ref="CH479:CH482" si="2202">I479+P479+W479+AD479+AK479+AR479+AY479+BF479+BM479+BT479+CA479</f>
        <v>0</v>
      </c>
      <c r="CI479" s="27">
        <f t="shared" ref="CI479:CI482" si="2203">J479+Q479+X479+AE479+AL479+AS479+AZ479+BG479+BN479+BU479+CB479</f>
        <v>0</v>
      </c>
      <c r="CJ479" s="4">
        <f>SUM(CE479:CI479)</f>
        <v>0</v>
      </c>
      <c r="CL479" s="2"/>
      <c r="CM479" s="3"/>
      <c r="CN479" s="3"/>
      <c r="CO479" s="3"/>
      <c r="CP479" s="3"/>
      <c r="CQ479" s="4">
        <f>SUM(CL479:CP479)</f>
        <v>0</v>
      </c>
      <c r="CS479" s="2"/>
      <c r="CT479" s="3"/>
      <c r="CU479" s="3"/>
      <c r="CV479" s="3"/>
      <c r="CW479" s="3"/>
      <c r="CX479" s="4">
        <f>SUM(CS479:CW479)</f>
        <v>0</v>
      </c>
      <c r="CZ479" s="2"/>
      <c r="DA479" s="3"/>
      <c r="DB479" s="3"/>
      <c r="DC479" s="3"/>
      <c r="DD479" s="3"/>
      <c r="DE479" s="4">
        <f>SUM(CZ479:DD479)</f>
        <v>0</v>
      </c>
    </row>
    <row r="480" spans="3:109">
      <c r="C480" s="567"/>
      <c r="E480" s="14" t="s">
        <v>60</v>
      </c>
      <c r="F480" s="23">
        <f t="shared" ref="F480:F482" si="2204">CE474</f>
        <v>0</v>
      </c>
      <c r="G480" s="24">
        <f t="shared" si="2195"/>
        <v>0</v>
      </c>
      <c r="H480" s="24">
        <f t="shared" si="2196"/>
        <v>0</v>
      </c>
      <c r="I480" s="24">
        <f t="shared" si="2197"/>
        <v>0</v>
      </c>
      <c r="J480" s="24">
        <f t="shared" si="2198"/>
        <v>0</v>
      </c>
      <c r="K480" s="8">
        <f t="shared" ref="K480:K482" si="2205">SUM(F480:J480)</f>
        <v>0</v>
      </c>
      <c r="M480" s="6"/>
      <c r="N480" s="7"/>
      <c r="O480" s="7"/>
      <c r="P480" s="7"/>
      <c r="Q480" s="7"/>
      <c r="R480" s="8">
        <f t="shared" ref="R480:R482" si="2206">SUM(M480:Q480)</f>
        <v>0</v>
      </c>
      <c r="T480" s="6"/>
      <c r="U480" s="7"/>
      <c r="V480" s="7"/>
      <c r="W480" s="7"/>
      <c r="X480" s="7"/>
      <c r="Y480" s="8">
        <f t="shared" ref="Y480:Y482" si="2207">SUM(T480:X480)</f>
        <v>0</v>
      </c>
      <c r="AA480" s="6"/>
      <c r="AB480" s="7"/>
      <c r="AC480" s="7"/>
      <c r="AD480" s="7"/>
      <c r="AE480" s="7"/>
      <c r="AF480" s="8">
        <f>SUM(AA480:AE480)</f>
        <v>0</v>
      </c>
      <c r="AH480" s="6"/>
      <c r="AI480" s="7"/>
      <c r="AJ480" s="7"/>
      <c r="AK480" s="7"/>
      <c r="AL480" s="7"/>
      <c r="AM480" s="8">
        <f>SUM(AH480:AL480)</f>
        <v>0</v>
      </c>
      <c r="AO480" s="6"/>
      <c r="AP480" s="7"/>
      <c r="AQ480" s="7"/>
      <c r="AR480" s="7"/>
      <c r="AS480" s="7"/>
      <c r="AT480" s="8">
        <f>SUM(AO480:AS480)</f>
        <v>0</v>
      </c>
      <c r="AV480" s="6"/>
      <c r="AW480" s="7"/>
      <c r="AX480" s="7"/>
      <c r="AY480" s="7"/>
      <c r="AZ480" s="7"/>
      <c r="BA480" s="8">
        <f>SUM(AV480:AZ480)</f>
        <v>0</v>
      </c>
      <c r="BC480" s="6"/>
      <c r="BD480" s="7"/>
      <c r="BE480" s="7"/>
      <c r="BF480" s="7"/>
      <c r="BG480" s="7"/>
      <c r="BH480" s="8">
        <f>SUM(BC480:BG480)</f>
        <v>0</v>
      </c>
      <c r="BJ480" s="6"/>
      <c r="BK480" s="7"/>
      <c r="BL480" s="7"/>
      <c r="BM480" s="7"/>
      <c r="BN480" s="7"/>
      <c r="BO480" s="8">
        <f>SUM(BJ480:BN480)</f>
        <v>0</v>
      </c>
      <c r="BQ480" s="6"/>
      <c r="BR480" s="7"/>
      <c r="BS480" s="7"/>
      <c r="BT480" s="7"/>
      <c r="BU480" s="7"/>
      <c r="BV480" s="8">
        <f>SUM(BQ480:BU480)</f>
        <v>0</v>
      </c>
      <c r="BX480" s="6"/>
      <c r="BY480" s="7"/>
      <c r="BZ480" s="7"/>
      <c r="CA480" s="7"/>
      <c r="CB480" s="7"/>
      <c r="CC480" s="8">
        <f>SUM(BX480:CB480)</f>
        <v>0</v>
      </c>
      <c r="CE480" s="28">
        <f t="shared" si="2199"/>
        <v>0</v>
      </c>
      <c r="CF480" s="29">
        <f t="shared" si="2200"/>
        <v>0</v>
      </c>
      <c r="CG480" s="29">
        <f t="shared" si="2201"/>
        <v>0</v>
      </c>
      <c r="CH480" s="29">
        <f t="shared" si="2202"/>
        <v>0</v>
      </c>
      <c r="CI480" s="29">
        <f t="shared" si="2203"/>
        <v>0</v>
      </c>
      <c r="CJ480" s="8">
        <f>SUM(CE480:CI480)</f>
        <v>0</v>
      </c>
      <c r="CL480" s="6"/>
      <c r="CM480" s="7"/>
      <c r="CN480" s="7"/>
      <c r="CO480" s="7"/>
      <c r="CP480" s="7"/>
      <c r="CQ480" s="8">
        <f>SUM(CL480:CP480)</f>
        <v>0</v>
      </c>
      <c r="CS480" s="6"/>
      <c r="CT480" s="7"/>
      <c r="CU480" s="7"/>
      <c r="CV480" s="7"/>
      <c r="CW480" s="7"/>
      <c r="CX480" s="8">
        <f t="shared" ref="CX480:CX482" si="2208">SUM(CS480:CW480)</f>
        <v>0</v>
      </c>
      <c r="CZ480" s="6"/>
      <c r="DA480" s="7"/>
      <c r="DB480" s="7"/>
      <c r="DC480" s="7"/>
      <c r="DD480" s="7"/>
      <c r="DE480" s="8">
        <f t="shared" ref="DE480:DE482" si="2209">SUM(CZ480:DD480)</f>
        <v>0</v>
      </c>
    </row>
    <row r="481" spans="2:109">
      <c r="C481" s="567"/>
      <c r="E481" s="14" t="s">
        <v>61</v>
      </c>
      <c r="F481" s="23">
        <f t="shared" si="2204"/>
        <v>0</v>
      </c>
      <c r="G481" s="24">
        <f t="shared" si="2195"/>
        <v>0</v>
      </c>
      <c r="H481" s="24">
        <f t="shared" si="2196"/>
        <v>0</v>
      </c>
      <c r="I481" s="24">
        <f t="shared" si="2197"/>
        <v>0</v>
      </c>
      <c r="J481" s="24">
        <f t="shared" si="2198"/>
        <v>0</v>
      </c>
      <c r="K481" s="8">
        <f t="shared" si="2205"/>
        <v>0</v>
      </c>
      <c r="M481" s="6"/>
      <c r="N481" s="7"/>
      <c r="O481" s="7"/>
      <c r="P481" s="7"/>
      <c r="Q481" s="7"/>
      <c r="R481" s="8">
        <f t="shared" si="2206"/>
        <v>0</v>
      </c>
      <c r="T481" s="6"/>
      <c r="U481" s="7"/>
      <c r="V481" s="7"/>
      <c r="W481" s="7"/>
      <c r="X481" s="7"/>
      <c r="Y481" s="8">
        <f t="shared" si="2207"/>
        <v>0</v>
      </c>
      <c r="AA481" s="6"/>
      <c r="AB481" s="7"/>
      <c r="AC481" s="7"/>
      <c r="AD481" s="7"/>
      <c r="AE481" s="7"/>
      <c r="AF481" s="8">
        <f>SUM(AA481:AE481)</f>
        <v>0</v>
      </c>
      <c r="AH481" s="6"/>
      <c r="AI481" s="7"/>
      <c r="AJ481" s="7"/>
      <c r="AK481" s="7"/>
      <c r="AL481" s="7"/>
      <c r="AM481" s="8">
        <f>SUM(AH481:AL481)</f>
        <v>0</v>
      </c>
      <c r="AO481" s="6"/>
      <c r="AP481" s="7"/>
      <c r="AQ481" s="7"/>
      <c r="AR481" s="7"/>
      <c r="AS481" s="7"/>
      <c r="AT481" s="8">
        <f>SUM(AO481:AS481)</f>
        <v>0</v>
      </c>
      <c r="AV481" s="6"/>
      <c r="AW481" s="7"/>
      <c r="AX481" s="7"/>
      <c r="AY481" s="7"/>
      <c r="AZ481" s="7"/>
      <c r="BA481" s="8">
        <f>SUM(AV481:AZ481)</f>
        <v>0</v>
      </c>
      <c r="BC481" s="6"/>
      <c r="BD481" s="7"/>
      <c r="BE481" s="7"/>
      <c r="BF481" s="7"/>
      <c r="BG481" s="7"/>
      <c r="BH481" s="8">
        <f>SUM(BC481:BG481)</f>
        <v>0</v>
      </c>
      <c r="BJ481" s="6"/>
      <c r="BK481" s="7"/>
      <c r="BL481" s="7"/>
      <c r="BM481" s="7"/>
      <c r="BN481" s="7"/>
      <c r="BO481" s="8">
        <f>SUM(BJ481:BN481)</f>
        <v>0</v>
      </c>
      <c r="BQ481" s="6"/>
      <c r="BR481" s="7"/>
      <c r="BS481" s="7"/>
      <c r="BT481" s="7"/>
      <c r="BU481" s="7"/>
      <c r="BV481" s="8">
        <f>SUM(BQ481:BU481)</f>
        <v>0</v>
      </c>
      <c r="BX481" s="6"/>
      <c r="BY481" s="7"/>
      <c r="BZ481" s="7"/>
      <c r="CA481" s="7"/>
      <c r="CB481" s="7"/>
      <c r="CC481" s="8">
        <f>SUM(BX481:CB481)</f>
        <v>0</v>
      </c>
      <c r="CE481" s="28">
        <f t="shared" si="2199"/>
        <v>0</v>
      </c>
      <c r="CF481" s="29">
        <f t="shared" si="2200"/>
        <v>0</v>
      </c>
      <c r="CG481" s="29">
        <f t="shared" si="2201"/>
        <v>0</v>
      </c>
      <c r="CH481" s="29">
        <f t="shared" si="2202"/>
        <v>0</v>
      </c>
      <c r="CI481" s="29">
        <f t="shared" si="2203"/>
        <v>0</v>
      </c>
      <c r="CJ481" s="8">
        <f>SUM(CE481:CI481)</f>
        <v>0</v>
      </c>
      <c r="CL481" s="6"/>
      <c r="CM481" s="7"/>
      <c r="CN481" s="7"/>
      <c r="CO481" s="7"/>
      <c r="CP481" s="7"/>
      <c r="CQ481" s="8">
        <f>SUM(CL481:CP481)</f>
        <v>0</v>
      </c>
      <c r="CS481" s="6"/>
      <c r="CT481" s="7"/>
      <c r="CU481" s="7"/>
      <c r="CV481" s="7"/>
      <c r="CW481" s="7"/>
      <c r="CX481" s="8">
        <f t="shared" si="2208"/>
        <v>0</v>
      </c>
      <c r="CZ481" s="6"/>
      <c r="DA481" s="7"/>
      <c r="DB481" s="7"/>
      <c r="DC481" s="7"/>
      <c r="DD481" s="7"/>
      <c r="DE481" s="8">
        <f t="shared" si="2209"/>
        <v>0</v>
      </c>
    </row>
    <row r="482" spans="2:109" ht="14" thickBot="1">
      <c r="C482" s="567"/>
      <c r="E482" s="14" t="s">
        <v>62</v>
      </c>
      <c r="F482" s="23">
        <f t="shared" si="2204"/>
        <v>0</v>
      </c>
      <c r="G482" s="24">
        <f t="shared" si="2195"/>
        <v>0</v>
      </c>
      <c r="H482" s="24">
        <f t="shared" si="2196"/>
        <v>0</v>
      </c>
      <c r="I482" s="24">
        <f t="shared" si="2197"/>
        <v>0</v>
      </c>
      <c r="J482" s="24">
        <f t="shared" si="2198"/>
        <v>0</v>
      </c>
      <c r="K482" s="8">
        <f t="shared" si="2205"/>
        <v>0</v>
      </c>
      <c r="M482" s="6"/>
      <c r="N482" s="7"/>
      <c r="O482" s="7"/>
      <c r="P482" s="7"/>
      <c r="Q482" s="7"/>
      <c r="R482" s="8">
        <f t="shared" si="2206"/>
        <v>0</v>
      </c>
      <c r="T482" s="6"/>
      <c r="U482" s="7"/>
      <c r="V482" s="7"/>
      <c r="W482" s="7"/>
      <c r="X482" s="7"/>
      <c r="Y482" s="8">
        <f t="shared" si="2207"/>
        <v>0</v>
      </c>
      <c r="AA482" s="6"/>
      <c r="AB482" s="7"/>
      <c r="AC482" s="7"/>
      <c r="AD482" s="7"/>
      <c r="AE482" s="7"/>
      <c r="AF482" s="8">
        <f>SUM(AA482:AE482)</f>
        <v>0</v>
      </c>
      <c r="AH482" s="6"/>
      <c r="AI482" s="7"/>
      <c r="AJ482" s="7"/>
      <c r="AK482" s="7"/>
      <c r="AL482" s="7"/>
      <c r="AM482" s="8">
        <f>SUM(AH482:AL482)</f>
        <v>0</v>
      </c>
      <c r="AO482" s="6"/>
      <c r="AP482" s="7"/>
      <c r="AQ482" s="7"/>
      <c r="AR482" s="7"/>
      <c r="AS482" s="7"/>
      <c r="AT482" s="8">
        <f>SUM(AO482:AS482)</f>
        <v>0</v>
      </c>
      <c r="AV482" s="6"/>
      <c r="AW482" s="7"/>
      <c r="AX482" s="7"/>
      <c r="AY482" s="7"/>
      <c r="AZ482" s="7"/>
      <c r="BA482" s="8">
        <f>SUM(AV482:AZ482)</f>
        <v>0</v>
      </c>
      <c r="BC482" s="6"/>
      <c r="BD482" s="7"/>
      <c r="BE482" s="7"/>
      <c r="BF482" s="7"/>
      <c r="BG482" s="7"/>
      <c r="BH482" s="8">
        <f>SUM(BC482:BG482)</f>
        <v>0</v>
      </c>
      <c r="BJ482" s="6"/>
      <c r="BK482" s="7"/>
      <c r="BL482" s="7"/>
      <c r="BM482" s="7"/>
      <c r="BN482" s="7"/>
      <c r="BO482" s="8">
        <f>SUM(BJ482:BN482)</f>
        <v>0</v>
      </c>
      <c r="BQ482" s="6"/>
      <c r="BR482" s="7"/>
      <c r="BS482" s="7"/>
      <c r="BT482" s="7"/>
      <c r="BU482" s="7"/>
      <c r="BV482" s="8">
        <f>SUM(BQ482:BU482)</f>
        <v>0</v>
      </c>
      <c r="BX482" s="6"/>
      <c r="BY482" s="7"/>
      <c r="BZ482" s="7"/>
      <c r="CA482" s="7"/>
      <c r="CB482" s="7"/>
      <c r="CC482" s="8">
        <f>SUM(BX482:CB482)</f>
        <v>0</v>
      </c>
      <c r="CE482" s="493">
        <f t="shared" si="2199"/>
        <v>0</v>
      </c>
      <c r="CF482" s="494">
        <f t="shared" si="2200"/>
        <v>0</v>
      </c>
      <c r="CG482" s="494">
        <f t="shared" si="2201"/>
        <v>0</v>
      </c>
      <c r="CH482" s="494">
        <f t="shared" si="2202"/>
        <v>0</v>
      </c>
      <c r="CI482" s="494">
        <f t="shared" si="2203"/>
        <v>0</v>
      </c>
      <c r="CJ482" s="495">
        <f>SUM(CE482:CI482)</f>
        <v>0</v>
      </c>
      <c r="CL482" s="6"/>
      <c r="CM482" s="7"/>
      <c r="CN482" s="7"/>
      <c r="CO482" s="7"/>
      <c r="CP482" s="7"/>
      <c r="CQ482" s="8">
        <f>SUM(CL482:CP482)</f>
        <v>0</v>
      </c>
      <c r="CS482" s="6"/>
      <c r="CT482" s="7"/>
      <c r="CU482" s="7"/>
      <c r="CV482" s="7"/>
      <c r="CW482" s="7"/>
      <c r="CX482" s="8">
        <f t="shared" si="2208"/>
        <v>0</v>
      </c>
      <c r="CZ482" s="6"/>
      <c r="DA482" s="7"/>
      <c r="DB482" s="7"/>
      <c r="DC482" s="7"/>
      <c r="DD482" s="7"/>
      <c r="DE482" s="8">
        <f t="shared" si="2209"/>
        <v>0</v>
      </c>
    </row>
    <row r="483" spans="2:109" ht="14" thickBot="1">
      <c r="C483" s="554"/>
      <c r="E483" s="9"/>
      <c r="F483" s="10">
        <f>SUM(F479:F482)</f>
        <v>0</v>
      </c>
      <c r="G483" s="11">
        <f t="shared" ref="G483:J483" si="2210">SUM(G479:G482)</f>
        <v>0</v>
      </c>
      <c r="H483" s="11">
        <f t="shared" si="2210"/>
        <v>0</v>
      </c>
      <c r="I483" s="11">
        <f t="shared" si="2210"/>
        <v>0</v>
      </c>
      <c r="J483" s="11">
        <f t="shared" si="2210"/>
        <v>0</v>
      </c>
      <c r="K483" s="25">
        <f>SUM(K479:K482)</f>
        <v>0</v>
      </c>
      <c r="M483" s="10">
        <f>SUM(M479:M482)</f>
        <v>0</v>
      </c>
      <c r="N483" s="11">
        <f t="shared" ref="N483:Q483" si="2211">SUM(N479:N482)</f>
        <v>0</v>
      </c>
      <c r="O483" s="11">
        <f t="shared" si="2211"/>
        <v>0</v>
      </c>
      <c r="P483" s="11">
        <f t="shared" si="2211"/>
        <v>0</v>
      </c>
      <c r="Q483" s="11">
        <f t="shared" si="2211"/>
        <v>0</v>
      </c>
      <c r="R483" s="25">
        <f>SUM(R479:R482)</f>
        <v>0</v>
      </c>
      <c r="T483" s="10">
        <f>SUM(T479:T482)</f>
        <v>0</v>
      </c>
      <c r="U483" s="11">
        <f t="shared" ref="U483:X483" si="2212">SUM(U479:U482)</f>
        <v>0</v>
      </c>
      <c r="V483" s="11">
        <f t="shared" si="2212"/>
        <v>0</v>
      </c>
      <c r="W483" s="11">
        <f t="shared" si="2212"/>
        <v>0</v>
      </c>
      <c r="X483" s="11">
        <f t="shared" si="2212"/>
        <v>0</v>
      </c>
      <c r="Y483" s="25">
        <f>SUM(Y479:Y482)</f>
        <v>0</v>
      </c>
      <c r="AA483" s="10">
        <f>SUM(AA479:AA482)</f>
        <v>0</v>
      </c>
      <c r="AB483" s="11">
        <f t="shared" ref="AB483:AE483" si="2213">SUM(AB479:AB482)</f>
        <v>0</v>
      </c>
      <c r="AC483" s="11">
        <f t="shared" si="2213"/>
        <v>0</v>
      </c>
      <c r="AD483" s="11">
        <f t="shared" si="2213"/>
        <v>0</v>
      </c>
      <c r="AE483" s="11">
        <f t="shared" si="2213"/>
        <v>0</v>
      </c>
      <c r="AF483" s="25">
        <f>SUM(AF479:AF482)</f>
        <v>0</v>
      </c>
      <c r="AH483" s="10">
        <f>SUM(AH479:AH482)</f>
        <v>0</v>
      </c>
      <c r="AI483" s="11">
        <f t="shared" ref="AI483:AL483" si="2214">SUM(AI479:AI482)</f>
        <v>0</v>
      </c>
      <c r="AJ483" s="11">
        <f t="shared" si="2214"/>
        <v>0</v>
      </c>
      <c r="AK483" s="11">
        <f t="shared" si="2214"/>
        <v>0</v>
      </c>
      <c r="AL483" s="11">
        <f t="shared" si="2214"/>
        <v>0</v>
      </c>
      <c r="AM483" s="25">
        <f>SUM(AM479:AM482)</f>
        <v>0</v>
      </c>
      <c r="AO483" s="10">
        <f>SUM(AO479:AO482)</f>
        <v>0</v>
      </c>
      <c r="AP483" s="11">
        <f t="shared" ref="AP483:AS483" si="2215">SUM(AP479:AP482)</f>
        <v>0</v>
      </c>
      <c r="AQ483" s="11">
        <f t="shared" si="2215"/>
        <v>0</v>
      </c>
      <c r="AR483" s="11">
        <f t="shared" si="2215"/>
        <v>0</v>
      </c>
      <c r="AS483" s="11">
        <f t="shared" si="2215"/>
        <v>0</v>
      </c>
      <c r="AT483" s="25">
        <f>SUM(AT479:AT482)</f>
        <v>0</v>
      </c>
      <c r="AV483" s="10">
        <f>SUM(AV479:AV482)</f>
        <v>0</v>
      </c>
      <c r="AW483" s="11">
        <f t="shared" ref="AW483:AZ483" si="2216">SUM(AW479:AW482)</f>
        <v>0</v>
      </c>
      <c r="AX483" s="11">
        <f t="shared" si="2216"/>
        <v>0</v>
      </c>
      <c r="AY483" s="11">
        <f t="shared" si="2216"/>
        <v>0</v>
      </c>
      <c r="AZ483" s="11">
        <f t="shared" si="2216"/>
        <v>0</v>
      </c>
      <c r="BA483" s="25">
        <f>SUM(BA479:BA482)</f>
        <v>0</v>
      </c>
      <c r="BC483" s="10">
        <f>SUM(BC479:BC482)</f>
        <v>0</v>
      </c>
      <c r="BD483" s="11">
        <f t="shared" ref="BD483:BG483" si="2217">SUM(BD479:BD482)</f>
        <v>0</v>
      </c>
      <c r="BE483" s="11">
        <f t="shared" si="2217"/>
        <v>0</v>
      </c>
      <c r="BF483" s="11">
        <f t="shared" si="2217"/>
        <v>0</v>
      </c>
      <c r="BG483" s="11">
        <f t="shared" si="2217"/>
        <v>0</v>
      </c>
      <c r="BH483" s="25">
        <f>SUM(BH479:BH482)</f>
        <v>0</v>
      </c>
      <c r="BJ483" s="10">
        <f>SUM(BJ479:BJ482)</f>
        <v>0</v>
      </c>
      <c r="BK483" s="11">
        <f t="shared" ref="BK483:BN483" si="2218">SUM(BK479:BK482)</f>
        <v>0</v>
      </c>
      <c r="BL483" s="11">
        <f t="shared" si="2218"/>
        <v>0</v>
      </c>
      <c r="BM483" s="11">
        <f t="shared" si="2218"/>
        <v>0</v>
      </c>
      <c r="BN483" s="11">
        <f t="shared" si="2218"/>
        <v>0</v>
      </c>
      <c r="BO483" s="25">
        <f>SUM(BO479:BO482)</f>
        <v>0</v>
      </c>
      <c r="BQ483" s="10">
        <f>SUM(BQ479:BQ482)</f>
        <v>0</v>
      </c>
      <c r="BR483" s="11">
        <f t="shared" ref="BR483:BU483" si="2219">SUM(BR479:BR482)</f>
        <v>0</v>
      </c>
      <c r="BS483" s="11">
        <f t="shared" si="2219"/>
        <v>0</v>
      </c>
      <c r="BT483" s="11">
        <f t="shared" si="2219"/>
        <v>0</v>
      </c>
      <c r="BU483" s="11">
        <f t="shared" si="2219"/>
        <v>0</v>
      </c>
      <c r="BV483" s="25">
        <f>SUM(BV479:BV482)</f>
        <v>0</v>
      </c>
      <c r="BX483" s="10">
        <f>SUM(BX479:BX482)</f>
        <v>0</v>
      </c>
      <c r="BY483" s="11">
        <f t="shared" ref="BY483:CB483" si="2220">SUM(BY479:BY482)</f>
        <v>0</v>
      </c>
      <c r="BZ483" s="11">
        <f t="shared" si="2220"/>
        <v>0</v>
      </c>
      <c r="CA483" s="11">
        <f t="shared" si="2220"/>
        <v>0</v>
      </c>
      <c r="CB483" s="11">
        <f t="shared" si="2220"/>
        <v>0</v>
      </c>
      <c r="CC483" s="25">
        <f>SUM(CC479:CC482)</f>
        <v>0</v>
      </c>
      <c r="CE483" s="62">
        <f t="shared" ref="CE483:CJ483" si="2221">SUM(CE479:CE482)</f>
        <v>0</v>
      </c>
      <c r="CF483" s="63">
        <f t="shared" si="2221"/>
        <v>0</v>
      </c>
      <c r="CG483" s="63">
        <f t="shared" si="2221"/>
        <v>0</v>
      </c>
      <c r="CH483" s="63">
        <f t="shared" si="2221"/>
        <v>0</v>
      </c>
      <c r="CI483" s="63">
        <f t="shared" si="2221"/>
        <v>0</v>
      </c>
      <c r="CJ483" s="25">
        <f t="shared" si="2221"/>
        <v>0</v>
      </c>
      <c r="CL483" s="10">
        <f>SUM(CL479:CL482)</f>
        <v>0</v>
      </c>
      <c r="CM483" s="11">
        <f t="shared" ref="CM483:CP483" si="2222">SUM(CM479:CM482)</f>
        <v>0</v>
      </c>
      <c r="CN483" s="11">
        <f t="shared" si="2222"/>
        <v>0</v>
      </c>
      <c r="CO483" s="11">
        <f t="shared" si="2222"/>
        <v>0</v>
      </c>
      <c r="CP483" s="11">
        <f t="shared" si="2222"/>
        <v>0</v>
      </c>
      <c r="CQ483" s="25">
        <f>SUM(CQ479:CQ482)</f>
        <v>0</v>
      </c>
      <c r="CS483" s="10">
        <f>SUM(CS479:CS482)</f>
        <v>0</v>
      </c>
      <c r="CT483" s="11">
        <f t="shared" ref="CT483:CW483" si="2223">SUM(CT479:CT482)</f>
        <v>0</v>
      </c>
      <c r="CU483" s="11">
        <f t="shared" si="2223"/>
        <v>0</v>
      </c>
      <c r="CV483" s="11">
        <f t="shared" si="2223"/>
        <v>0</v>
      </c>
      <c r="CW483" s="11">
        <f t="shared" si="2223"/>
        <v>0</v>
      </c>
      <c r="CX483" s="25">
        <f>SUM(CX479:CX482)</f>
        <v>0</v>
      </c>
      <c r="CZ483" s="10">
        <f>SUM(CZ479:CZ482)</f>
        <v>0</v>
      </c>
      <c r="DA483" s="11">
        <f t="shared" ref="DA483:DD483" si="2224">SUM(DA479:DA482)</f>
        <v>0</v>
      </c>
      <c r="DB483" s="11">
        <f t="shared" si="2224"/>
        <v>0</v>
      </c>
      <c r="DC483" s="11">
        <f t="shared" si="2224"/>
        <v>0</v>
      </c>
      <c r="DD483" s="11">
        <f t="shared" si="2224"/>
        <v>0</v>
      </c>
      <c r="DE483" s="25">
        <f>SUM(DE479:DE482)</f>
        <v>0</v>
      </c>
    </row>
    <row r="485" spans="2:109">
      <c r="B485" s="123"/>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c r="CC485" s="20"/>
      <c r="CD485" s="20"/>
      <c r="CE485" s="20"/>
      <c r="CF485" s="20"/>
      <c r="CG485" s="20"/>
      <c r="CH485" s="20"/>
      <c r="CI485" s="20"/>
      <c r="CJ485" s="20"/>
      <c r="CL485" s="20"/>
      <c r="CM485" s="20"/>
      <c r="CN485" s="20"/>
      <c r="CO485" s="20"/>
      <c r="CP485" s="20"/>
      <c r="CQ485" s="20"/>
      <c r="CR485" s="20"/>
      <c r="CS485" s="20"/>
      <c r="CT485" s="20"/>
      <c r="CU485" s="20"/>
      <c r="CV485" s="20"/>
      <c r="CW485" s="20"/>
      <c r="CX485" s="20"/>
      <c r="CY485" s="20"/>
      <c r="CZ485" s="20"/>
      <c r="DA485" s="20"/>
      <c r="DB485" s="20"/>
      <c r="DC485" s="20"/>
      <c r="DD485" s="20"/>
      <c r="DE485" s="20"/>
    </row>
    <row r="486" spans="2:109" ht="14" thickBot="1">
      <c r="B486" s="94">
        <v>16</v>
      </c>
      <c r="C486" s="12" t="s">
        <v>174</v>
      </c>
    </row>
    <row r="487" spans="2:109">
      <c r="C487" s="553">
        <v>2024</v>
      </c>
      <c r="E487" s="1" t="s">
        <v>59</v>
      </c>
      <c r="F487" s="2"/>
      <c r="G487" s="3"/>
      <c r="H487" s="3"/>
      <c r="I487" s="3"/>
      <c r="J487" s="3"/>
      <c r="K487" s="4">
        <f>SUM(F487:J487)</f>
        <v>0</v>
      </c>
      <c r="M487" s="2"/>
      <c r="N487" s="3"/>
      <c r="O487" s="3"/>
      <c r="P487" s="3"/>
      <c r="Q487" s="3"/>
      <c r="R487" s="4">
        <f>SUM(M487:Q487)</f>
        <v>0</v>
      </c>
      <c r="T487" s="2"/>
      <c r="U487" s="3"/>
      <c r="V487" s="3"/>
      <c r="W487" s="3"/>
      <c r="X487" s="3"/>
      <c r="Y487" s="4">
        <f>SUM(T487:X487)</f>
        <v>0</v>
      </c>
      <c r="AA487" s="2"/>
      <c r="AB487" s="3"/>
      <c r="AC487" s="3"/>
      <c r="AD487" s="3"/>
      <c r="AE487" s="3"/>
      <c r="AF487" s="4">
        <f>SUM(AA487:AE487)</f>
        <v>0</v>
      </c>
      <c r="AH487" s="2"/>
      <c r="AI487" s="3"/>
      <c r="AJ487" s="3"/>
      <c r="AK487" s="3"/>
      <c r="AL487" s="3"/>
      <c r="AM487" s="4">
        <f>SUM(AH487:AL487)</f>
        <v>0</v>
      </c>
      <c r="AO487" s="2"/>
      <c r="AP487" s="3"/>
      <c r="AQ487" s="3"/>
      <c r="AR487" s="3"/>
      <c r="AS487" s="3"/>
      <c r="AT487" s="4">
        <f>SUM(AO487:AS487)</f>
        <v>0</v>
      </c>
      <c r="AV487" s="2"/>
      <c r="AW487" s="3"/>
      <c r="AX487" s="3"/>
      <c r="AY487" s="3"/>
      <c r="AZ487" s="3"/>
      <c r="BA487" s="4">
        <f>SUM(AV487:AZ487)</f>
        <v>0</v>
      </c>
      <c r="BC487" s="2"/>
      <c r="BD487" s="3"/>
      <c r="BE487" s="3"/>
      <c r="BF487" s="3"/>
      <c r="BG487" s="3"/>
      <c r="BH487" s="4">
        <f>SUM(BC487:BG487)</f>
        <v>0</v>
      </c>
      <c r="BJ487" s="2"/>
      <c r="BK487" s="3"/>
      <c r="BL487" s="3"/>
      <c r="BM487" s="3"/>
      <c r="BN487" s="3"/>
      <c r="BO487" s="4">
        <f>SUM(BJ487:BN487)</f>
        <v>0</v>
      </c>
      <c r="BQ487" s="2"/>
      <c r="BR487" s="3"/>
      <c r="BS487" s="3"/>
      <c r="BT487" s="3"/>
      <c r="BU487" s="3"/>
      <c r="BV487" s="4">
        <f>SUM(BQ487:BU487)</f>
        <v>0</v>
      </c>
      <c r="BX487" s="2"/>
      <c r="BY487" s="3"/>
      <c r="BZ487" s="3"/>
      <c r="CA487" s="3"/>
      <c r="CB487" s="3"/>
      <c r="CC487" s="4">
        <f>SUM(BX487:CB487)</f>
        <v>0</v>
      </c>
      <c r="CE487" s="26">
        <f t="shared" ref="CE487:CE490" si="2225">F487+M487+T487+AA487+AH487+AO487+AV487+BC487+BJ487+BQ487+BX487</f>
        <v>0</v>
      </c>
      <c r="CF487" s="27">
        <f t="shared" ref="CF487:CF490" si="2226">G487+N487+U487+AB487+AI487+AP487+AW487+BD487+BK487+BR487+BY487</f>
        <v>0</v>
      </c>
      <c r="CG487" s="27">
        <f t="shared" ref="CG487:CG490" si="2227">H487+O487+V487+AC487+AJ487+AQ487+AX487+BE487+BL487+BS487+BZ487</f>
        <v>0</v>
      </c>
      <c r="CH487" s="27">
        <f t="shared" ref="CH487:CH490" si="2228">I487+P487+W487+AD487+AK487+AR487+AY487+BF487+BM487+BT487+CA487</f>
        <v>0</v>
      </c>
      <c r="CI487" s="27">
        <f t="shared" ref="CI487:CI490" si="2229">J487+Q487+X487+AE487+AL487+AS487+AZ487+BG487+BN487+BU487+CB487</f>
        <v>0</v>
      </c>
      <c r="CJ487" s="4">
        <f>SUM(CE487:CI487)</f>
        <v>0</v>
      </c>
      <c r="CL487" s="2"/>
      <c r="CM487" s="3"/>
      <c r="CN487" s="3"/>
      <c r="CO487" s="3"/>
      <c r="CP487" s="3"/>
      <c r="CQ487" s="4">
        <f>SUM(CL487:CP487)</f>
        <v>0</v>
      </c>
      <c r="CS487" s="2"/>
      <c r="CT487" s="3"/>
      <c r="CU487" s="3"/>
      <c r="CV487" s="3"/>
      <c r="CW487" s="3"/>
      <c r="CX487" s="4">
        <f>SUM(CS487:CW487)</f>
        <v>0</v>
      </c>
      <c r="CZ487" s="2"/>
      <c r="DA487" s="3"/>
      <c r="DB487" s="3"/>
      <c r="DC487" s="3"/>
      <c r="DD487" s="3"/>
      <c r="DE487" s="4">
        <f>SUM(CZ487:DD487)</f>
        <v>0</v>
      </c>
    </row>
    <row r="488" spans="2:109">
      <c r="C488" s="567"/>
      <c r="E488" s="5" t="s">
        <v>60</v>
      </c>
      <c r="F488" s="6"/>
      <c r="G488" s="7"/>
      <c r="H488" s="7"/>
      <c r="I488" s="7"/>
      <c r="J488" s="7"/>
      <c r="K488" s="8">
        <f t="shared" ref="K488:K490" si="2230">SUM(F488:J488)</f>
        <v>0</v>
      </c>
      <c r="M488" s="6"/>
      <c r="N488" s="7"/>
      <c r="O488" s="7"/>
      <c r="P488" s="7"/>
      <c r="Q488" s="7"/>
      <c r="R488" s="8">
        <f t="shared" ref="R488:R490" si="2231">SUM(M488:Q488)</f>
        <v>0</v>
      </c>
      <c r="T488" s="6"/>
      <c r="U488" s="7"/>
      <c r="V488" s="7"/>
      <c r="W488" s="7"/>
      <c r="X488" s="7"/>
      <c r="Y488" s="8">
        <f t="shared" ref="Y488:Y490" si="2232">SUM(T488:X488)</f>
        <v>0</v>
      </c>
      <c r="AA488" s="6"/>
      <c r="AB488" s="7"/>
      <c r="AC488" s="7"/>
      <c r="AD488" s="7"/>
      <c r="AE488" s="7"/>
      <c r="AF488" s="8">
        <f>SUM(AA488:AE488)</f>
        <v>0</v>
      </c>
      <c r="AH488" s="6"/>
      <c r="AI488" s="7"/>
      <c r="AJ488" s="7"/>
      <c r="AK488" s="7"/>
      <c r="AL488" s="7"/>
      <c r="AM488" s="8">
        <f>SUM(AH488:AL488)</f>
        <v>0</v>
      </c>
      <c r="AO488" s="6"/>
      <c r="AP488" s="7"/>
      <c r="AQ488" s="7"/>
      <c r="AR488" s="7"/>
      <c r="AS488" s="7"/>
      <c r="AT488" s="8">
        <f>SUM(AO488:AS488)</f>
        <v>0</v>
      </c>
      <c r="AV488" s="6"/>
      <c r="AW488" s="7"/>
      <c r="AX488" s="7"/>
      <c r="AY488" s="7"/>
      <c r="AZ488" s="7"/>
      <c r="BA488" s="8">
        <f>SUM(AV488:AZ488)</f>
        <v>0</v>
      </c>
      <c r="BC488" s="6"/>
      <c r="BD488" s="7"/>
      <c r="BE488" s="7"/>
      <c r="BF488" s="7"/>
      <c r="BG488" s="7"/>
      <c r="BH488" s="8">
        <f>SUM(BC488:BG488)</f>
        <v>0</v>
      </c>
      <c r="BJ488" s="6"/>
      <c r="BK488" s="7"/>
      <c r="BL488" s="7"/>
      <c r="BM488" s="7"/>
      <c r="BN488" s="7"/>
      <c r="BO488" s="8">
        <f>SUM(BJ488:BN488)</f>
        <v>0</v>
      </c>
      <c r="BQ488" s="6"/>
      <c r="BR488" s="7"/>
      <c r="BS488" s="7"/>
      <c r="BT488" s="7"/>
      <c r="BU488" s="7"/>
      <c r="BV488" s="8">
        <f>SUM(BQ488:BU488)</f>
        <v>0</v>
      </c>
      <c r="BX488" s="6"/>
      <c r="BY488" s="7"/>
      <c r="BZ488" s="7"/>
      <c r="CA488" s="7"/>
      <c r="CB488" s="7"/>
      <c r="CC488" s="8">
        <f>SUM(BX488:CB488)</f>
        <v>0</v>
      </c>
      <c r="CE488" s="28">
        <f t="shared" si="2225"/>
        <v>0</v>
      </c>
      <c r="CF488" s="29">
        <f t="shared" si="2226"/>
        <v>0</v>
      </c>
      <c r="CG488" s="29">
        <f t="shared" si="2227"/>
        <v>0</v>
      </c>
      <c r="CH488" s="29">
        <f t="shared" si="2228"/>
        <v>0</v>
      </c>
      <c r="CI488" s="29">
        <f t="shared" si="2229"/>
        <v>0</v>
      </c>
      <c r="CJ488" s="8">
        <f>SUM(CE488:CI488)</f>
        <v>0</v>
      </c>
      <c r="CL488" s="6"/>
      <c r="CM488" s="7"/>
      <c r="CN488" s="7"/>
      <c r="CO488" s="7"/>
      <c r="CP488" s="7"/>
      <c r="CQ488" s="8">
        <f>SUM(CL488:CP488)</f>
        <v>0</v>
      </c>
      <c r="CS488" s="6"/>
      <c r="CT488" s="7"/>
      <c r="CU488" s="7"/>
      <c r="CV488" s="7"/>
      <c r="CW488" s="7"/>
      <c r="CX488" s="8">
        <f t="shared" ref="CX488:CX490" si="2233">SUM(CS488:CW488)</f>
        <v>0</v>
      </c>
      <c r="CZ488" s="6"/>
      <c r="DA488" s="7"/>
      <c r="DB488" s="7"/>
      <c r="DC488" s="7"/>
      <c r="DD488" s="7"/>
      <c r="DE488" s="8">
        <f t="shared" ref="DE488:DE490" si="2234">SUM(CZ488:DD488)</f>
        <v>0</v>
      </c>
    </row>
    <row r="489" spans="2:109">
      <c r="C489" s="567"/>
      <c r="E489" s="5" t="s">
        <v>61</v>
      </c>
      <c r="F489" s="6"/>
      <c r="G489" s="7"/>
      <c r="H489" s="7"/>
      <c r="I489" s="7"/>
      <c r="J489" s="7"/>
      <c r="K489" s="8">
        <f t="shared" si="2230"/>
        <v>0</v>
      </c>
      <c r="M489" s="6"/>
      <c r="N489" s="7"/>
      <c r="O489" s="7"/>
      <c r="P489" s="7"/>
      <c r="Q489" s="7"/>
      <c r="R489" s="8">
        <f t="shared" si="2231"/>
        <v>0</v>
      </c>
      <c r="T489" s="6"/>
      <c r="U489" s="7"/>
      <c r="V489" s="7"/>
      <c r="W489" s="7"/>
      <c r="X489" s="7"/>
      <c r="Y489" s="8">
        <f t="shared" si="2232"/>
        <v>0</v>
      </c>
      <c r="AA489" s="6"/>
      <c r="AB489" s="7"/>
      <c r="AC489" s="7"/>
      <c r="AD489" s="7"/>
      <c r="AE489" s="7"/>
      <c r="AF489" s="8">
        <f>SUM(AA489:AE489)</f>
        <v>0</v>
      </c>
      <c r="AH489" s="6"/>
      <c r="AI489" s="7"/>
      <c r="AJ489" s="7"/>
      <c r="AK489" s="7"/>
      <c r="AL489" s="7"/>
      <c r="AM489" s="8">
        <f>SUM(AH489:AL489)</f>
        <v>0</v>
      </c>
      <c r="AO489" s="6"/>
      <c r="AP489" s="7"/>
      <c r="AQ489" s="7"/>
      <c r="AR489" s="7"/>
      <c r="AS489" s="7"/>
      <c r="AT489" s="8">
        <f>SUM(AO489:AS489)</f>
        <v>0</v>
      </c>
      <c r="AV489" s="6"/>
      <c r="AW489" s="7"/>
      <c r="AX489" s="7"/>
      <c r="AY489" s="7"/>
      <c r="AZ489" s="7"/>
      <c r="BA489" s="8">
        <f>SUM(AV489:AZ489)</f>
        <v>0</v>
      </c>
      <c r="BC489" s="6"/>
      <c r="BD489" s="7"/>
      <c r="BE489" s="7"/>
      <c r="BF489" s="7"/>
      <c r="BG489" s="7"/>
      <c r="BH489" s="8">
        <f>SUM(BC489:BG489)</f>
        <v>0</v>
      </c>
      <c r="BJ489" s="6"/>
      <c r="BK489" s="7"/>
      <c r="BL489" s="7"/>
      <c r="BM489" s="7"/>
      <c r="BN489" s="7"/>
      <c r="BO489" s="8">
        <f>SUM(BJ489:BN489)</f>
        <v>0</v>
      </c>
      <c r="BQ489" s="6"/>
      <c r="BR489" s="7"/>
      <c r="BS489" s="7"/>
      <c r="BT489" s="7"/>
      <c r="BU489" s="7"/>
      <c r="BV489" s="8">
        <f>SUM(BQ489:BU489)</f>
        <v>0</v>
      </c>
      <c r="BX489" s="6"/>
      <c r="BY489" s="7"/>
      <c r="BZ489" s="7"/>
      <c r="CA489" s="7"/>
      <c r="CB489" s="7"/>
      <c r="CC489" s="8">
        <f>SUM(BX489:CB489)</f>
        <v>0</v>
      </c>
      <c r="CE489" s="28">
        <f t="shared" si="2225"/>
        <v>0</v>
      </c>
      <c r="CF489" s="29">
        <f t="shared" si="2226"/>
        <v>0</v>
      </c>
      <c r="CG489" s="29">
        <f t="shared" si="2227"/>
        <v>0</v>
      </c>
      <c r="CH489" s="29">
        <f t="shared" si="2228"/>
        <v>0</v>
      </c>
      <c r="CI489" s="29">
        <f t="shared" si="2229"/>
        <v>0</v>
      </c>
      <c r="CJ489" s="8">
        <f>SUM(CE489:CI489)</f>
        <v>0</v>
      </c>
      <c r="CL489" s="6"/>
      <c r="CM489" s="7"/>
      <c r="CN489" s="7"/>
      <c r="CO489" s="7"/>
      <c r="CP489" s="7"/>
      <c r="CQ489" s="8">
        <f>SUM(CL489:CP489)</f>
        <v>0</v>
      </c>
      <c r="CS489" s="6"/>
      <c r="CT489" s="7"/>
      <c r="CU489" s="7"/>
      <c r="CV489" s="7"/>
      <c r="CW489" s="7"/>
      <c r="CX489" s="8">
        <f t="shared" si="2233"/>
        <v>0</v>
      </c>
      <c r="CZ489" s="6"/>
      <c r="DA489" s="7"/>
      <c r="DB489" s="7"/>
      <c r="DC489" s="7"/>
      <c r="DD489" s="7"/>
      <c r="DE489" s="8">
        <f t="shared" si="2234"/>
        <v>0</v>
      </c>
    </row>
    <row r="490" spans="2:109" ht="14" thickBot="1">
      <c r="C490" s="567"/>
      <c r="E490" s="5" t="s">
        <v>62</v>
      </c>
      <c r="F490" s="6"/>
      <c r="G490" s="7"/>
      <c r="H490" s="7"/>
      <c r="I490" s="7"/>
      <c r="J490" s="7"/>
      <c r="K490" s="8">
        <f t="shared" si="2230"/>
        <v>0</v>
      </c>
      <c r="M490" s="6"/>
      <c r="N490" s="7"/>
      <c r="O490" s="7"/>
      <c r="P490" s="7"/>
      <c r="Q490" s="7"/>
      <c r="R490" s="8">
        <f t="shared" si="2231"/>
        <v>0</v>
      </c>
      <c r="T490" s="6"/>
      <c r="U490" s="7"/>
      <c r="V490" s="7"/>
      <c r="W490" s="7"/>
      <c r="X490" s="7"/>
      <c r="Y490" s="8">
        <f t="shared" si="2232"/>
        <v>0</v>
      </c>
      <c r="AA490" s="6"/>
      <c r="AB490" s="7"/>
      <c r="AC490" s="7"/>
      <c r="AD490" s="7"/>
      <c r="AE490" s="7"/>
      <c r="AF490" s="8">
        <f>SUM(AA490:AE490)</f>
        <v>0</v>
      </c>
      <c r="AH490" s="6"/>
      <c r="AI490" s="7"/>
      <c r="AJ490" s="7"/>
      <c r="AK490" s="7"/>
      <c r="AL490" s="7"/>
      <c r="AM490" s="8">
        <f>SUM(AH490:AL490)</f>
        <v>0</v>
      </c>
      <c r="AO490" s="6"/>
      <c r="AP490" s="7"/>
      <c r="AQ490" s="7"/>
      <c r="AR490" s="7"/>
      <c r="AS490" s="7"/>
      <c r="AT490" s="8">
        <f>SUM(AO490:AS490)</f>
        <v>0</v>
      </c>
      <c r="AV490" s="6"/>
      <c r="AW490" s="7"/>
      <c r="AX490" s="7"/>
      <c r="AY490" s="7"/>
      <c r="AZ490" s="7"/>
      <c r="BA490" s="8">
        <f>SUM(AV490:AZ490)</f>
        <v>0</v>
      </c>
      <c r="BC490" s="6"/>
      <c r="BD490" s="7"/>
      <c r="BE490" s="7"/>
      <c r="BF490" s="7"/>
      <c r="BG490" s="7"/>
      <c r="BH490" s="8">
        <f>SUM(BC490:BG490)</f>
        <v>0</v>
      </c>
      <c r="BJ490" s="6"/>
      <c r="BK490" s="7"/>
      <c r="BL490" s="7"/>
      <c r="BM490" s="7"/>
      <c r="BN490" s="7"/>
      <c r="BO490" s="8">
        <f>SUM(BJ490:BN490)</f>
        <v>0</v>
      </c>
      <c r="BQ490" s="6"/>
      <c r="BR490" s="7"/>
      <c r="BS490" s="7"/>
      <c r="BT490" s="7"/>
      <c r="BU490" s="7"/>
      <c r="BV490" s="8">
        <f>SUM(BQ490:BU490)</f>
        <v>0</v>
      </c>
      <c r="BX490" s="6"/>
      <c r="BY490" s="7"/>
      <c r="BZ490" s="7"/>
      <c r="CA490" s="7"/>
      <c r="CB490" s="7"/>
      <c r="CC490" s="8">
        <f>SUM(BX490:CB490)</f>
        <v>0</v>
      </c>
      <c r="CE490" s="493">
        <f t="shared" si="2225"/>
        <v>0</v>
      </c>
      <c r="CF490" s="494">
        <f t="shared" si="2226"/>
        <v>0</v>
      </c>
      <c r="CG490" s="494">
        <f t="shared" si="2227"/>
        <v>0</v>
      </c>
      <c r="CH490" s="494">
        <f t="shared" si="2228"/>
        <v>0</v>
      </c>
      <c r="CI490" s="494">
        <f t="shared" si="2229"/>
        <v>0</v>
      </c>
      <c r="CJ490" s="495">
        <f>SUM(CE490:CI490)</f>
        <v>0</v>
      </c>
      <c r="CL490" s="6"/>
      <c r="CM490" s="7"/>
      <c r="CN490" s="7"/>
      <c r="CO490" s="7"/>
      <c r="CP490" s="7"/>
      <c r="CQ490" s="8">
        <f>SUM(CL490:CP490)</f>
        <v>0</v>
      </c>
      <c r="CS490" s="6"/>
      <c r="CT490" s="7"/>
      <c r="CU490" s="7"/>
      <c r="CV490" s="7"/>
      <c r="CW490" s="7"/>
      <c r="CX490" s="8">
        <f t="shared" si="2233"/>
        <v>0</v>
      </c>
      <c r="CZ490" s="6"/>
      <c r="DA490" s="7"/>
      <c r="DB490" s="7"/>
      <c r="DC490" s="7"/>
      <c r="DD490" s="7"/>
      <c r="DE490" s="8">
        <f t="shared" si="2234"/>
        <v>0</v>
      </c>
    </row>
    <row r="491" spans="2:109" ht="14" thickBot="1">
      <c r="C491" s="554"/>
      <c r="E491" s="9"/>
      <c r="F491" s="10">
        <f>SUM(F487:F490)</f>
        <v>0</v>
      </c>
      <c r="G491" s="11">
        <f t="shared" ref="G491:J491" si="2235">SUM(G487:G490)</f>
        <v>0</v>
      </c>
      <c r="H491" s="11">
        <f t="shared" si="2235"/>
        <v>0</v>
      </c>
      <c r="I491" s="11">
        <f t="shared" si="2235"/>
        <v>0</v>
      </c>
      <c r="J491" s="61">
        <f t="shared" si="2235"/>
        <v>0</v>
      </c>
      <c r="K491" s="25">
        <f>SUM(K487:K490)</f>
        <v>0</v>
      </c>
      <c r="M491" s="10">
        <f>SUM(M487:M490)</f>
        <v>0</v>
      </c>
      <c r="N491" s="11">
        <f t="shared" ref="N491:Q491" si="2236">SUM(N487:N490)</f>
        <v>0</v>
      </c>
      <c r="O491" s="11">
        <f t="shared" si="2236"/>
        <v>0</v>
      </c>
      <c r="P491" s="11">
        <f t="shared" si="2236"/>
        <v>0</v>
      </c>
      <c r="Q491" s="11">
        <f t="shared" si="2236"/>
        <v>0</v>
      </c>
      <c r="R491" s="25">
        <f>SUM(R487:R490)</f>
        <v>0</v>
      </c>
      <c r="T491" s="10">
        <f>SUM(T487:T490)</f>
        <v>0</v>
      </c>
      <c r="U491" s="11">
        <f t="shared" ref="U491:X491" si="2237">SUM(U487:U490)</f>
        <v>0</v>
      </c>
      <c r="V491" s="11">
        <f t="shared" si="2237"/>
        <v>0</v>
      </c>
      <c r="W491" s="11">
        <f t="shared" si="2237"/>
        <v>0</v>
      </c>
      <c r="X491" s="11">
        <f t="shared" si="2237"/>
        <v>0</v>
      </c>
      <c r="Y491" s="25">
        <f>SUM(Y487:Y490)</f>
        <v>0</v>
      </c>
      <c r="AA491" s="10">
        <f>SUM(AA487:AA490)</f>
        <v>0</v>
      </c>
      <c r="AB491" s="11">
        <f t="shared" ref="AB491:AE491" si="2238">SUM(AB487:AB490)</f>
        <v>0</v>
      </c>
      <c r="AC491" s="11">
        <f t="shared" si="2238"/>
        <v>0</v>
      </c>
      <c r="AD491" s="11">
        <f t="shared" si="2238"/>
        <v>0</v>
      </c>
      <c r="AE491" s="11">
        <f t="shared" si="2238"/>
        <v>0</v>
      </c>
      <c r="AF491" s="25">
        <f>SUM(AF487:AF490)</f>
        <v>0</v>
      </c>
      <c r="AH491" s="10">
        <f>SUM(AH487:AH490)</f>
        <v>0</v>
      </c>
      <c r="AI491" s="11">
        <f t="shared" ref="AI491:AL491" si="2239">SUM(AI487:AI490)</f>
        <v>0</v>
      </c>
      <c r="AJ491" s="11">
        <f t="shared" si="2239"/>
        <v>0</v>
      </c>
      <c r="AK491" s="11">
        <f t="shared" si="2239"/>
        <v>0</v>
      </c>
      <c r="AL491" s="11">
        <f t="shared" si="2239"/>
        <v>0</v>
      </c>
      <c r="AM491" s="25">
        <f>SUM(AM487:AM490)</f>
        <v>0</v>
      </c>
      <c r="AO491" s="10">
        <f>SUM(AO487:AO490)</f>
        <v>0</v>
      </c>
      <c r="AP491" s="11">
        <f t="shared" ref="AP491:AS491" si="2240">SUM(AP487:AP490)</f>
        <v>0</v>
      </c>
      <c r="AQ491" s="11">
        <f t="shared" si="2240"/>
        <v>0</v>
      </c>
      <c r="AR491" s="11">
        <f t="shared" si="2240"/>
        <v>0</v>
      </c>
      <c r="AS491" s="11">
        <f t="shared" si="2240"/>
        <v>0</v>
      </c>
      <c r="AT491" s="25">
        <f>SUM(AT487:AT490)</f>
        <v>0</v>
      </c>
      <c r="AV491" s="10">
        <f>SUM(AV487:AV490)</f>
        <v>0</v>
      </c>
      <c r="AW491" s="11">
        <f t="shared" ref="AW491:AZ491" si="2241">SUM(AW487:AW490)</f>
        <v>0</v>
      </c>
      <c r="AX491" s="11">
        <f t="shared" si="2241"/>
        <v>0</v>
      </c>
      <c r="AY491" s="11">
        <f t="shared" si="2241"/>
        <v>0</v>
      </c>
      <c r="AZ491" s="11">
        <f t="shared" si="2241"/>
        <v>0</v>
      </c>
      <c r="BA491" s="25">
        <f>SUM(BA487:BA490)</f>
        <v>0</v>
      </c>
      <c r="BC491" s="10">
        <f>SUM(BC487:BC490)</f>
        <v>0</v>
      </c>
      <c r="BD491" s="11">
        <f t="shared" ref="BD491:BG491" si="2242">SUM(BD487:BD490)</f>
        <v>0</v>
      </c>
      <c r="BE491" s="11">
        <f t="shared" si="2242"/>
        <v>0</v>
      </c>
      <c r="BF491" s="11">
        <f t="shared" si="2242"/>
        <v>0</v>
      </c>
      <c r="BG491" s="11">
        <f t="shared" si="2242"/>
        <v>0</v>
      </c>
      <c r="BH491" s="25">
        <f>SUM(BH487:BH490)</f>
        <v>0</v>
      </c>
      <c r="BJ491" s="10">
        <f>SUM(BJ487:BJ490)</f>
        <v>0</v>
      </c>
      <c r="BK491" s="11">
        <f t="shared" ref="BK491:BN491" si="2243">SUM(BK487:BK490)</f>
        <v>0</v>
      </c>
      <c r="BL491" s="11">
        <f t="shared" si="2243"/>
        <v>0</v>
      </c>
      <c r="BM491" s="11">
        <f t="shared" si="2243"/>
        <v>0</v>
      </c>
      <c r="BN491" s="11">
        <f t="shared" si="2243"/>
        <v>0</v>
      </c>
      <c r="BO491" s="25">
        <f>SUM(BO487:BO490)</f>
        <v>0</v>
      </c>
      <c r="BQ491" s="10">
        <f>SUM(BQ487:BQ490)</f>
        <v>0</v>
      </c>
      <c r="BR491" s="11">
        <f t="shared" ref="BR491:BU491" si="2244">SUM(BR487:BR490)</f>
        <v>0</v>
      </c>
      <c r="BS491" s="11">
        <f t="shared" si="2244"/>
        <v>0</v>
      </c>
      <c r="BT491" s="11">
        <f t="shared" si="2244"/>
        <v>0</v>
      </c>
      <c r="BU491" s="11">
        <f t="shared" si="2244"/>
        <v>0</v>
      </c>
      <c r="BV491" s="25">
        <f>SUM(BV487:BV490)</f>
        <v>0</v>
      </c>
      <c r="BX491" s="10">
        <f>SUM(BX487:BX490)</f>
        <v>0</v>
      </c>
      <c r="BY491" s="11">
        <f t="shared" ref="BY491:CB491" si="2245">SUM(BY487:BY490)</f>
        <v>0</v>
      </c>
      <c r="BZ491" s="11">
        <f t="shared" si="2245"/>
        <v>0</v>
      </c>
      <c r="CA491" s="11">
        <f t="shared" si="2245"/>
        <v>0</v>
      </c>
      <c r="CB491" s="11">
        <f t="shared" si="2245"/>
        <v>0</v>
      </c>
      <c r="CC491" s="25">
        <f>SUM(CC487:CC490)</f>
        <v>0</v>
      </c>
      <c r="CE491" s="62">
        <f t="shared" ref="CE491:CJ491" si="2246">SUM(CE487:CE490)</f>
        <v>0</v>
      </c>
      <c r="CF491" s="63">
        <f t="shared" si="2246"/>
        <v>0</v>
      </c>
      <c r="CG491" s="63">
        <f t="shared" si="2246"/>
        <v>0</v>
      </c>
      <c r="CH491" s="63">
        <f t="shared" si="2246"/>
        <v>0</v>
      </c>
      <c r="CI491" s="63">
        <f t="shared" si="2246"/>
        <v>0</v>
      </c>
      <c r="CJ491" s="25">
        <f t="shared" si="2246"/>
        <v>0</v>
      </c>
      <c r="CL491" s="10">
        <f>SUM(CL487:CL490)</f>
        <v>0</v>
      </c>
      <c r="CM491" s="11">
        <f t="shared" ref="CM491:CP491" si="2247">SUM(CM487:CM490)</f>
        <v>0</v>
      </c>
      <c r="CN491" s="11">
        <f t="shared" si="2247"/>
        <v>0</v>
      </c>
      <c r="CO491" s="11">
        <f t="shared" si="2247"/>
        <v>0</v>
      </c>
      <c r="CP491" s="11">
        <f t="shared" si="2247"/>
        <v>0</v>
      </c>
      <c r="CQ491" s="25">
        <f>SUM(CQ487:CQ490)</f>
        <v>0</v>
      </c>
      <c r="CS491" s="10">
        <f>SUM(CS487:CS490)</f>
        <v>0</v>
      </c>
      <c r="CT491" s="11">
        <f t="shared" ref="CT491:CW491" si="2248">SUM(CT487:CT490)</f>
        <v>0</v>
      </c>
      <c r="CU491" s="11">
        <f t="shared" si="2248"/>
        <v>0</v>
      </c>
      <c r="CV491" s="11">
        <f t="shared" si="2248"/>
        <v>0</v>
      </c>
      <c r="CW491" s="11">
        <f t="shared" si="2248"/>
        <v>0</v>
      </c>
      <c r="CX491" s="25">
        <f>SUM(CX487:CX490)</f>
        <v>0</v>
      </c>
      <c r="CZ491" s="10">
        <f>SUM(CZ487:CZ490)</f>
        <v>0</v>
      </c>
      <c r="DA491" s="11">
        <f t="shared" ref="DA491:DD491" si="2249">SUM(DA487:DA490)</f>
        <v>0</v>
      </c>
      <c r="DB491" s="11">
        <f t="shared" si="2249"/>
        <v>0</v>
      </c>
      <c r="DC491" s="11">
        <f t="shared" si="2249"/>
        <v>0</v>
      </c>
      <c r="DD491" s="11">
        <f t="shared" si="2249"/>
        <v>0</v>
      </c>
      <c r="DE491" s="25">
        <f>SUM(DE487:DE490)</f>
        <v>0</v>
      </c>
    </row>
    <row r="492" spans="2:109" ht="10.4" customHeight="1" thickBot="1"/>
    <row r="493" spans="2:109">
      <c r="C493" s="553">
        <v>2025</v>
      </c>
      <c r="E493" s="13" t="s">
        <v>59</v>
      </c>
      <c r="F493" s="21">
        <f>CE487</f>
        <v>0</v>
      </c>
      <c r="G493" s="22">
        <f t="shared" ref="G493:G496" si="2250">CF487</f>
        <v>0</v>
      </c>
      <c r="H493" s="22">
        <f t="shared" ref="H493:H496" si="2251">CG487</f>
        <v>0</v>
      </c>
      <c r="I493" s="22">
        <f t="shared" ref="I493:I496" si="2252">CH487</f>
        <v>0</v>
      </c>
      <c r="J493" s="22">
        <f t="shared" ref="J493:J496" si="2253">CI487</f>
        <v>0</v>
      </c>
      <c r="K493" s="15">
        <f>SUM(F493:J493)</f>
        <v>0</v>
      </c>
      <c r="M493" s="2"/>
      <c r="N493" s="3"/>
      <c r="O493" s="3"/>
      <c r="P493" s="3"/>
      <c r="Q493" s="3"/>
      <c r="R493" s="15">
        <f>SUM(M493:Q493)</f>
        <v>0</v>
      </c>
      <c r="T493" s="2"/>
      <c r="U493" s="3"/>
      <c r="V493" s="3"/>
      <c r="W493" s="3"/>
      <c r="X493" s="3"/>
      <c r="Y493" s="15">
        <f>SUM(T493:X493)</f>
        <v>0</v>
      </c>
      <c r="AA493" s="2"/>
      <c r="AB493" s="3"/>
      <c r="AC493" s="3"/>
      <c r="AD493" s="3"/>
      <c r="AE493" s="3"/>
      <c r="AF493" s="15">
        <f>SUM(AA493:AE493)</f>
        <v>0</v>
      </c>
      <c r="AH493" s="2"/>
      <c r="AI493" s="3"/>
      <c r="AJ493" s="3"/>
      <c r="AK493" s="3"/>
      <c r="AL493" s="3"/>
      <c r="AM493" s="15">
        <f>SUM(AH493:AL493)</f>
        <v>0</v>
      </c>
      <c r="AO493" s="2"/>
      <c r="AP493" s="3"/>
      <c r="AQ493" s="3"/>
      <c r="AR493" s="3"/>
      <c r="AS493" s="3"/>
      <c r="AT493" s="15">
        <f>SUM(AO493:AS493)</f>
        <v>0</v>
      </c>
      <c r="AV493" s="2"/>
      <c r="AW493" s="3"/>
      <c r="AX493" s="3"/>
      <c r="AY493" s="3"/>
      <c r="AZ493" s="3"/>
      <c r="BA493" s="15">
        <f>SUM(AV493:AZ493)</f>
        <v>0</v>
      </c>
      <c r="BC493" s="2"/>
      <c r="BD493" s="3"/>
      <c r="BE493" s="3"/>
      <c r="BF493" s="3"/>
      <c r="BG493" s="3"/>
      <c r="BH493" s="15">
        <f>SUM(BC493:BG493)</f>
        <v>0</v>
      </c>
      <c r="BJ493" s="2"/>
      <c r="BK493" s="3"/>
      <c r="BL493" s="3"/>
      <c r="BM493" s="3"/>
      <c r="BN493" s="3"/>
      <c r="BO493" s="15">
        <f>SUM(BJ493:BN493)</f>
        <v>0</v>
      </c>
      <c r="BQ493" s="2"/>
      <c r="BR493" s="3"/>
      <c r="BS493" s="3"/>
      <c r="BT493" s="3"/>
      <c r="BU493" s="3"/>
      <c r="BV493" s="15">
        <f>SUM(BQ493:BU493)</f>
        <v>0</v>
      </c>
      <c r="BX493" s="2"/>
      <c r="BY493" s="3"/>
      <c r="BZ493" s="3"/>
      <c r="CA493" s="3"/>
      <c r="CB493" s="3"/>
      <c r="CC493" s="15">
        <f>SUM(BX493:CB493)</f>
        <v>0</v>
      </c>
      <c r="CE493" s="26">
        <f t="shared" ref="CE493:CE496" si="2254">F493+M493+T493+AA493+AH493+AO493+AV493+BC493+BJ493+BQ493+BX493</f>
        <v>0</v>
      </c>
      <c r="CF493" s="27">
        <f t="shared" ref="CF493:CF496" si="2255">G493+N493+U493+AB493+AI493+AP493+AW493+BD493+BK493+BR493+BY493</f>
        <v>0</v>
      </c>
      <c r="CG493" s="27">
        <f t="shared" ref="CG493:CG496" si="2256">H493+O493+V493+AC493+AJ493+AQ493+AX493+BE493+BL493+BS493+BZ493</f>
        <v>0</v>
      </c>
      <c r="CH493" s="27">
        <f t="shared" ref="CH493:CH496" si="2257">I493+P493+W493+AD493+AK493+AR493+AY493+BF493+BM493+BT493+CA493</f>
        <v>0</v>
      </c>
      <c r="CI493" s="27">
        <f t="shared" ref="CI493:CI496" si="2258">J493+Q493+X493+AE493+AL493+AS493+AZ493+BG493+BN493+BU493+CB493</f>
        <v>0</v>
      </c>
      <c r="CJ493" s="4">
        <f>SUM(CE493:CI493)</f>
        <v>0</v>
      </c>
      <c r="CL493" s="2"/>
      <c r="CM493" s="3"/>
      <c r="CN493" s="3"/>
      <c r="CO493" s="3"/>
      <c r="CP493" s="3"/>
      <c r="CQ493" s="15">
        <f>SUM(CL493:CP493)</f>
        <v>0</v>
      </c>
      <c r="CS493" s="2"/>
      <c r="CT493" s="3"/>
      <c r="CU493" s="3"/>
      <c r="CV493" s="3"/>
      <c r="CW493" s="3"/>
      <c r="CX493" s="4">
        <f>SUM(CS493:CW493)</f>
        <v>0</v>
      </c>
      <c r="CZ493" s="2"/>
      <c r="DA493" s="3"/>
      <c r="DB493" s="3"/>
      <c r="DC493" s="3"/>
      <c r="DD493" s="3"/>
      <c r="DE493" s="15">
        <f>SUM(CZ493:DD493)</f>
        <v>0</v>
      </c>
    </row>
    <row r="494" spans="2:109">
      <c r="C494" s="567"/>
      <c r="E494" s="14" t="s">
        <v>60</v>
      </c>
      <c r="F494" s="23">
        <f t="shared" ref="F494:F496" si="2259">CE488</f>
        <v>0</v>
      </c>
      <c r="G494" s="24">
        <f t="shared" si="2250"/>
        <v>0</v>
      </c>
      <c r="H494" s="24">
        <f t="shared" si="2251"/>
        <v>0</v>
      </c>
      <c r="I494" s="24">
        <f t="shared" si="2252"/>
        <v>0</v>
      </c>
      <c r="J494" s="24">
        <f t="shared" si="2253"/>
        <v>0</v>
      </c>
      <c r="K494" s="16">
        <f t="shared" ref="K494:K496" si="2260">SUM(F494:J494)</f>
        <v>0</v>
      </c>
      <c r="M494" s="6"/>
      <c r="N494" s="7"/>
      <c r="O494" s="7"/>
      <c r="P494" s="7"/>
      <c r="Q494" s="7"/>
      <c r="R494" s="16">
        <f t="shared" ref="R494:R496" si="2261">SUM(M494:Q494)</f>
        <v>0</v>
      </c>
      <c r="T494" s="6"/>
      <c r="U494" s="7"/>
      <c r="V494" s="7"/>
      <c r="W494" s="7"/>
      <c r="X494" s="7"/>
      <c r="Y494" s="16">
        <f t="shared" ref="Y494:Y496" si="2262">SUM(T494:X494)</f>
        <v>0</v>
      </c>
      <c r="AA494" s="6"/>
      <c r="AB494" s="7"/>
      <c r="AC494" s="7"/>
      <c r="AD494" s="7"/>
      <c r="AE494" s="7"/>
      <c r="AF494" s="16">
        <f>SUM(AA494:AE494)</f>
        <v>0</v>
      </c>
      <c r="AH494" s="6"/>
      <c r="AI494" s="7"/>
      <c r="AJ494" s="7"/>
      <c r="AK494" s="7"/>
      <c r="AL494" s="7"/>
      <c r="AM494" s="16">
        <f>SUM(AH494:AL494)</f>
        <v>0</v>
      </c>
      <c r="AO494" s="6"/>
      <c r="AP494" s="7"/>
      <c r="AQ494" s="7"/>
      <c r="AR494" s="7"/>
      <c r="AS494" s="7"/>
      <c r="AT494" s="16">
        <f>SUM(AO494:AS494)</f>
        <v>0</v>
      </c>
      <c r="AV494" s="6"/>
      <c r="AW494" s="7"/>
      <c r="AX494" s="7"/>
      <c r="AY494" s="7"/>
      <c r="AZ494" s="7"/>
      <c r="BA494" s="16">
        <f>SUM(AV494:AZ494)</f>
        <v>0</v>
      </c>
      <c r="BC494" s="6"/>
      <c r="BD494" s="7"/>
      <c r="BE494" s="7"/>
      <c r="BF494" s="7"/>
      <c r="BG494" s="7"/>
      <c r="BH494" s="16">
        <f>SUM(BC494:BG494)</f>
        <v>0</v>
      </c>
      <c r="BJ494" s="6"/>
      <c r="BK494" s="7"/>
      <c r="BL494" s="7"/>
      <c r="BM494" s="7"/>
      <c r="BN494" s="7"/>
      <c r="BO494" s="16">
        <f>SUM(BJ494:BN494)</f>
        <v>0</v>
      </c>
      <c r="BQ494" s="6"/>
      <c r="BR494" s="7"/>
      <c r="BS494" s="7"/>
      <c r="BT494" s="7"/>
      <c r="BU494" s="7"/>
      <c r="BV494" s="16">
        <f>SUM(BQ494:BU494)</f>
        <v>0</v>
      </c>
      <c r="BX494" s="6"/>
      <c r="BY494" s="7"/>
      <c r="BZ494" s="7"/>
      <c r="CA494" s="7"/>
      <c r="CB494" s="7"/>
      <c r="CC494" s="16">
        <f>SUM(BX494:CB494)</f>
        <v>0</v>
      </c>
      <c r="CE494" s="28">
        <f t="shared" si="2254"/>
        <v>0</v>
      </c>
      <c r="CF494" s="29">
        <f t="shared" si="2255"/>
        <v>0</v>
      </c>
      <c r="CG494" s="29">
        <f t="shared" si="2256"/>
        <v>0</v>
      </c>
      <c r="CH494" s="29">
        <f t="shared" si="2257"/>
        <v>0</v>
      </c>
      <c r="CI494" s="29">
        <f t="shared" si="2258"/>
        <v>0</v>
      </c>
      <c r="CJ494" s="8">
        <f>SUM(CE494:CI494)</f>
        <v>0</v>
      </c>
      <c r="CL494" s="6"/>
      <c r="CM494" s="7"/>
      <c r="CN494" s="7"/>
      <c r="CO494" s="7"/>
      <c r="CP494" s="7"/>
      <c r="CQ494" s="16">
        <f>SUM(CL494:CP494)</f>
        <v>0</v>
      </c>
      <c r="CS494" s="6"/>
      <c r="CT494" s="7"/>
      <c r="CU494" s="7"/>
      <c r="CV494" s="7"/>
      <c r="CW494" s="7"/>
      <c r="CX494" s="8">
        <f t="shared" ref="CX494:CX496" si="2263">SUM(CS494:CW494)</f>
        <v>0</v>
      </c>
      <c r="CZ494" s="6"/>
      <c r="DA494" s="7"/>
      <c r="DB494" s="7"/>
      <c r="DC494" s="7"/>
      <c r="DD494" s="7"/>
      <c r="DE494" s="16">
        <f t="shared" ref="DE494:DE496" si="2264">SUM(CZ494:DD494)</f>
        <v>0</v>
      </c>
    </row>
    <row r="495" spans="2:109">
      <c r="C495" s="567"/>
      <c r="E495" s="14" t="s">
        <v>61</v>
      </c>
      <c r="F495" s="23">
        <f t="shared" si="2259"/>
        <v>0</v>
      </c>
      <c r="G495" s="24">
        <f t="shared" si="2250"/>
        <v>0</v>
      </c>
      <c r="H495" s="24">
        <f t="shared" si="2251"/>
        <v>0</v>
      </c>
      <c r="I495" s="24">
        <f t="shared" si="2252"/>
        <v>0</v>
      </c>
      <c r="J495" s="24">
        <f t="shared" si="2253"/>
        <v>0</v>
      </c>
      <c r="K495" s="16">
        <f t="shared" si="2260"/>
        <v>0</v>
      </c>
      <c r="M495" s="6"/>
      <c r="N495" s="7"/>
      <c r="O495" s="7"/>
      <c r="P495" s="7"/>
      <c r="Q495" s="7"/>
      <c r="R495" s="16">
        <f t="shared" si="2261"/>
        <v>0</v>
      </c>
      <c r="T495" s="6"/>
      <c r="U495" s="7"/>
      <c r="V495" s="7"/>
      <c r="W495" s="7"/>
      <c r="X495" s="7"/>
      <c r="Y495" s="16">
        <f t="shared" si="2262"/>
        <v>0</v>
      </c>
      <c r="AA495" s="6"/>
      <c r="AB495" s="7"/>
      <c r="AC495" s="7"/>
      <c r="AD495" s="7"/>
      <c r="AE495" s="7"/>
      <c r="AF495" s="16">
        <f>SUM(AA495:AE495)</f>
        <v>0</v>
      </c>
      <c r="AH495" s="6"/>
      <c r="AI495" s="7"/>
      <c r="AJ495" s="7"/>
      <c r="AK495" s="7"/>
      <c r="AL495" s="7"/>
      <c r="AM495" s="16">
        <f>SUM(AH495:AL495)</f>
        <v>0</v>
      </c>
      <c r="AO495" s="6"/>
      <c r="AP495" s="7"/>
      <c r="AQ495" s="7"/>
      <c r="AR495" s="7"/>
      <c r="AS495" s="7"/>
      <c r="AT495" s="16">
        <f>SUM(AO495:AS495)</f>
        <v>0</v>
      </c>
      <c r="AV495" s="6"/>
      <c r="AW495" s="7"/>
      <c r="AX495" s="7"/>
      <c r="AY495" s="7"/>
      <c r="AZ495" s="7"/>
      <c r="BA495" s="16">
        <f>SUM(AV495:AZ495)</f>
        <v>0</v>
      </c>
      <c r="BC495" s="6"/>
      <c r="BD495" s="7"/>
      <c r="BE495" s="7"/>
      <c r="BF495" s="7"/>
      <c r="BG495" s="7"/>
      <c r="BH495" s="16">
        <f>SUM(BC495:BG495)</f>
        <v>0</v>
      </c>
      <c r="BJ495" s="6"/>
      <c r="BK495" s="7"/>
      <c r="BL495" s="7"/>
      <c r="BM495" s="7"/>
      <c r="BN495" s="7"/>
      <c r="BO495" s="16">
        <f>SUM(BJ495:BN495)</f>
        <v>0</v>
      </c>
      <c r="BQ495" s="6"/>
      <c r="BR495" s="7"/>
      <c r="BS495" s="7"/>
      <c r="BT495" s="7"/>
      <c r="BU495" s="7"/>
      <c r="BV495" s="16">
        <f>SUM(BQ495:BU495)</f>
        <v>0</v>
      </c>
      <c r="BX495" s="6"/>
      <c r="BY495" s="7"/>
      <c r="BZ495" s="7"/>
      <c r="CA495" s="7"/>
      <c r="CB495" s="7"/>
      <c r="CC495" s="16">
        <f>SUM(BX495:CB495)</f>
        <v>0</v>
      </c>
      <c r="CE495" s="28">
        <f t="shared" si="2254"/>
        <v>0</v>
      </c>
      <c r="CF495" s="29">
        <f t="shared" si="2255"/>
        <v>0</v>
      </c>
      <c r="CG495" s="29">
        <f t="shared" si="2256"/>
        <v>0</v>
      </c>
      <c r="CH495" s="29">
        <f t="shared" si="2257"/>
        <v>0</v>
      </c>
      <c r="CI495" s="29">
        <f t="shared" si="2258"/>
        <v>0</v>
      </c>
      <c r="CJ495" s="8">
        <f>SUM(CE495:CI495)</f>
        <v>0</v>
      </c>
      <c r="CL495" s="6"/>
      <c r="CM495" s="7"/>
      <c r="CN495" s="7"/>
      <c r="CO495" s="7"/>
      <c r="CP495" s="7"/>
      <c r="CQ495" s="16">
        <f>SUM(CL495:CP495)</f>
        <v>0</v>
      </c>
      <c r="CS495" s="6"/>
      <c r="CT495" s="7"/>
      <c r="CU495" s="7"/>
      <c r="CV495" s="7"/>
      <c r="CW495" s="7"/>
      <c r="CX495" s="8">
        <f t="shared" si="2263"/>
        <v>0</v>
      </c>
      <c r="CZ495" s="6"/>
      <c r="DA495" s="7"/>
      <c r="DB495" s="7"/>
      <c r="DC495" s="7"/>
      <c r="DD495" s="7"/>
      <c r="DE495" s="16">
        <f t="shared" si="2264"/>
        <v>0</v>
      </c>
    </row>
    <row r="496" spans="2:109" ht="14" thickBot="1">
      <c r="C496" s="567"/>
      <c r="E496" s="14" t="s">
        <v>62</v>
      </c>
      <c r="F496" s="23">
        <f t="shared" si="2259"/>
        <v>0</v>
      </c>
      <c r="G496" s="24">
        <f t="shared" si="2250"/>
        <v>0</v>
      </c>
      <c r="H496" s="24">
        <f t="shared" si="2251"/>
        <v>0</v>
      </c>
      <c r="I496" s="24">
        <f t="shared" si="2252"/>
        <v>0</v>
      </c>
      <c r="J496" s="24">
        <f t="shared" si="2253"/>
        <v>0</v>
      </c>
      <c r="K496" s="16">
        <f t="shared" si="2260"/>
        <v>0</v>
      </c>
      <c r="M496" s="6"/>
      <c r="N496" s="7"/>
      <c r="O496" s="7"/>
      <c r="P496" s="7"/>
      <c r="Q496" s="7"/>
      <c r="R496" s="16">
        <f t="shared" si="2261"/>
        <v>0</v>
      </c>
      <c r="T496" s="6"/>
      <c r="U496" s="7"/>
      <c r="V496" s="7"/>
      <c r="W496" s="7"/>
      <c r="X496" s="7"/>
      <c r="Y496" s="16">
        <f t="shared" si="2262"/>
        <v>0</v>
      </c>
      <c r="AA496" s="6"/>
      <c r="AB496" s="7"/>
      <c r="AC496" s="7"/>
      <c r="AD496" s="7"/>
      <c r="AE496" s="7"/>
      <c r="AF496" s="16">
        <f>SUM(AA496:AE496)</f>
        <v>0</v>
      </c>
      <c r="AH496" s="6"/>
      <c r="AI496" s="7"/>
      <c r="AJ496" s="7"/>
      <c r="AK496" s="7"/>
      <c r="AL496" s="7"/>
      <c r="AM496" s="16">
        <f>SUM(AH496:AL496)</f>
        <v>0</v>
      </c>
      <c r="AO496" s="6"/>
      <c r="AP496" s="7"/>
      <c r="AQ496" s="7"/>
      <c r="AR496" s="7"/>
      <c r="AS496" s="7"/>
      <c r="AT496" s="16">
        <f>SUM(AO496:AS496)</f>
        <v>0</v>
      </c>
      <c r="AV496" s="6"/>
      <c r="AW496" s="7"/>
      <c r="AX496" s="7"/>
      <c r="AY496" s="7"/>
      <c r="AZ496" s="7"/>
      <c r="BA496" s="16">
        <f>SUM(AV496:AZ496)</f>
        <v>0</v>
      </c>
      <c r="BC496" s="6"/>
      <c r="BD496" s="7"/>
      <c r="BE496" s="7"/>
      <c r="BF496" s="7"/>
      <c r="BG496" s="7"/>
      <c r="BH496" s="16">
        <f>SUM(BC496:BG496)</f>
        <v>0</v>
      </c>
      <c r="BJ496" s="6"/>
      <c r="BK496" s="7"/>
      <c r="BL496" s="7"/>
      <c r="BM496" s="7"/>
      <c r="BN496" s="7"/>
      <c r="BO496" s="16">
        <f>SUM(BJ496:BN496)</f>
        <v>0</v>
      </c>
      <c r="BQ496" s="6"/>
      <c r="BR496" s="7"/>
      <c r="BS496" s="7"/>
      <c r="BT496" s="7"/>
      <c r="BU496" s="7"/>
      <c r="BV496" s="16">
        <f>SUM(BQ496:BU496)</f>
        <v>0</v>
      </c>
      <c r="BX496" s="6"/>
      <c r="BY496" s="7"/>
      <c r="BZ496" s="7"/>
      <c r="CA496" s="7"/>
      <c r="CB496" s="7"/>
      <c r="CC496" s="16">
        <f>SUM(BX496:CB496)</f>
        <v>0</v>
      </c>
      <c r="CE496" s="493">
        <f t="shared" si="2254"/>
        <v>0</v>
      </c>
      <c r="CF496" s="494">
        <f t="shared" si="2255"/>
        <v>0</v>
      </c>
      <c r="CG496" s="494">
        <f t="shared" si="2256"/>
        <v>0</v>
      </c>
      <c r="CH496" s="494">
        <f t="shared" si="2257"/>
        <v>0</v>
      </c>
      <c r="CI496" s="494">
        <f t="shared" si="2258"/>
        <v>0</v>
      </c>
      <c r="CJ496" s="495">
        <f>SUM(CE496:CI496)</f>
        <v>0</v>
      </c>
      <c r="CL496" s="6"/>
      <c r="CM496" s="7"/>
      <c r="CN496" s="7"/>
      <c r="CO496" s="7"/>
      <c r="CP496" s="7"/>
      <c r="CQ496" s="16">
        <f>SUM(CL496:CP496)</f>
        <v>0</v>
      </c>
      <c r="CS496" s="6"/>
      <c r="CT496" s="7"/>
      <c r="CU496" s="7"/>
      <c r="CV496" s="7"/>
      <c r="CW496" s="7"/>
      <c r="CX496" s="8">
        <f t="shared" si="2263"/>
        <v>0</v>
      </c>
      <c r="CZ496" s="6"/>
      <c r="DA496" s="7"/>
      <c r="DB496" s="7"/>
      <c r="DC496" s="7"/>
      <c r="DD496" s="7"/>
      <c r="DE496" s="16">
        <f t="shared" si="2264"/>
        <v>0</v>
      </c>
    </row>
    <row r="497" spans="3:109" ht="14" thickBot="1">
      <c r="C497" s="554"/>
      <c r="E497" s="17"/>
      <c r="F497" s="10">
        <f>SUM(F493:F496)</f>
        <v>0</v>
      </c>
      <c r="G497" s="11">
        <f t="shared" ref="G497:J497" si="2265">SUM(G493:G496)</f>
        <v>0</v>
      </c>
      <c r="H497" s="11">
        <f t="shared" si="2265"/>
        <v>0</v>
      </c>
      <c r="I497" s="11">
        <f t="shared" si="2265"/>
        <v>0</v>
      </c>
      <c r="J497" s="11">
        <f t="shared" si="2265"/>
        <v>0</v>
      </c>
      <c r="K497" s="25">
        <f>SUM(K493:K496)</f>
        <v>0</v>
      </c>
      <c r="M497" s="10">
        <f>SUM(M493:M496)</f>
        <v>0</v>
      </c>
      <c r="N497" s="11">
        <f t="shared" ref="N497:Q497" si="2266">SUM(N493:N496)</f>
        <v>0</v>
      </c>
      <c r="O497" s="11">
        <f t="shared" si="2266"/>
        <v>0</v>
      </c>
      <c r="P497" s="11">
        <f t="shared" si="2266"/>
        <v>0</v>
      </c>
      <c r="Q497" s="11">
        <f t="shared" si="2266"/>
        <v>0</v>
      </c>
      <c r="R497" s="25">
        <f>SUM(R493:R496)</f>
        <v>0</v>
      </c>
      <c r="T497" s="10">
        <f>SUM(T493:T496)</f>
        <v>0</v>
      </c>
      <c r="U497" s="11">
        <f t="shared" ref="U497:X497" si="2267">SUM(U493:U496)</f>
        <v>0</v>
      </c>
      <c r="V497" s="11">
        <f t="shared" si="2267"/>
        <v>0</v>
      </c>
      <c r="W497" s="11">
        <f t="shared" si="2267"/>
        <v>0</v>
      </c>
      <c r="X497" s="11">
        <f t="shared" si="2267"/>
        <v>0</v>
      </c>
      <c r="Y497" s="25">
        <f>SUM(Y493:Y496)</f>
        <v>0</v>
      </c>
      <c r="AA497" s="10">
        <f>SUM(AA493:AA496)</f>
        <v>0</v>
      </c>
      <c r="AB497" s="11">
        <f t="shared" ref="AB497:AE497" si="2268">SUM(AB493:AB496)</f>
        <v>0</v>
      </c>
      <c r="AC497" s="11">
        <f t="shared" si="2268"/>
        <v>0</v>
      </c>
      <c r="AD497" s="11">
        <f t="shared" si="2268"/>
        <v>0</v>
      </c>
      <c r="AE497" s="11">
        <f t="shared" si="2268"/>
        <v>0</v>
      </c>
      <c r="AF497" s="25">
        <f>SUM(AF493:AF496)</f>
        <v>0</v>
      </c>
      <c r="AH497" s="10">
        <f>SUM(AH493:AH496)</f>
        <v>0</v>
      </c>
      <c r="AI497" s="11">
        <f t="shared" ref="AI497:AL497" si="2269">SUM(AI493:AI496)</f>
        <v>0</v>
      </c>
      <c r="AJ497" s="11">
        <f t="shared" si="2269"/>
        <v>0</v>
      </c>
      <c r="AK497" s="11">
        <f t="shared" si="2269"/>
        <v>0</v>
      </c>
      <c r="AL497" s="11">
        <f t="shared" si="2269"/>
        <v>0</v>
      </c>
      <c r="AM497" s="25">
        <f>SUM(AM493:AM496)</f>
        <v>0</v>
      </c>
      <c r="AO497" s="10">
        <f>SUM(AO493:AO496)</f>
        <v>0</v>
      </c>
      <c r="AP497" s="11">
        <f t="shared" ref="AP497:AS497" si="2270">SUM(AP493:AP496)</f>
        <v>0</v>
      </c>
      <c r="AQ497" s="11">
        <f t="shared" si="2270"/>
        <v>0</v>
      </c>
      <c r="AR497" s="11">
        <f t="shared" si="2270"/>
        <v>0</v>
      </c>
      <c r="AS497" s="11">
        <f t="shared" si="2270"/>
        <v>0</v>
      </c>
      <c r="AT497" s="25">
        <f>SUM(AT493:AT496)</f>
        <v>0</v>
      </c>
      <c r="AV497" s="10">
        <f>SUM(AV493:AV496)</f>
        <v>0</v>
      </c>
      <c r="AW497" s="11">
        <f t="shared" ref="AW497:AZ497" si="2271">SUM(AW493:AW496)</f>
        <v>0</v>
      </c>
      <c r="AX497" s="11">
        <f t="shared" si="2271"/>
        <v>0</v>
      </c>
      <c r="AY497" s="11">
        <f t="shared" si="2271"/>
        <v>0</v>
      </c>
      <c r="AZ497" s="11">
        <f t="shared" si="2271"/>
        <v>0</v>
      </c>
      <c r="BA497" s="25">
        <f>SUM(BA493:BA496)</f>
        <v>0</v>
      </c>
      <c r="BC497" s="10">
        <f>SUM(BC493:BC496)</f>
        <v>0</v>
      </c>
      <c r="BD497" s="11">
        <f t="shared" ref="BD497:BG497" si="2272">SUM(BD493:BD496)</f>
        <v>0</v>
      </c>
      <c r="BE497" s="11">
        <f t="shared" si="2272"/>
        <v>0</v>
      </c>
      <c r="BF497" s="11">
        <f t="shared" si="2272"/>
        <v>0</v>
      </c>
      <c r="BG497" s="11">
        <f t="shared" si="2272"/>
        <v>0</v>
      </c>
      <c r="BH497" s="25">
        <f>SUM(BH493:BH496)</f>
        <v>0</v>
      </c>
      <c r="BJ497" s="10">
        <f>SUM(BJ493:BJ496)</f>
        <v>0</v>
      </c>
      <c r="BK497" s="11">
        <f t="shared" ref="BK497:BN497" si="2273">SUM(BK493:BK496)</f>
        <v>0</v>
      </c>
      <c r="BL497" s="11">
        <f t="shared" si="2273"/>
        <v>0</v>
      </c>
      <c r="BM497" s="11">
        <f t="shared" si="2273"/>
        <v>0</v>
      </c>
      <c r="BN497" s="11">
        <f t="shared" si="2273"/>
        <v>0</v>
      </c>
      <c r="BO497" s="25">
        <f>SUM(BO493:BO496)</f>
        <v>0</v>
      </c>
      <c r="BQ497" s="10">
        <f>SUM(BQ493:BQ496)</f>
        <v>0</v>
      </c>
      <c r="BR497" s="11">
        <f t="shared" ref="BR497:BU497" si="2274">SUM(BR493:BR496)</f>
        <v>0</v>
      </c>
      <c r="BS497" s="11">
        <f t="shared" si="2274"/>
        <v>0</v>
      </c>
      <c r="BT497" s="11">
        <f t="shared" si="2274"/>
        <v>0</v>
      </c>
      <c r="BU497" s="11">
        <f t="shared" si="2274"/>
        <v>0</v>
      </c>
      <c r="BV497" s="25">
        <f>SUM(BV493:BV496)</f>
        <v>0</v>
      </c>
      <c r="BX497" s="10">
        <f>SUM(BX493:BX496)</f>
        <v>0</v>
      </c>
      <c r="BY497" s="11">
        <f t="shared" ref="BY497:CB497" si="2275">SUM(BY493:BY496)</f>
        <v>0</v>
      </c>
      <c r="BZ497" s="11">
        <f t="shared" si="2275"/>
        <v>0</v>
      </c>
      <c r="CA497" s="11">
        <f t="shared" si="2275"/>
        <v>0</v>
      </c>
      <c r="CB497" s="11">
        <f t="shared" si="2275"/>
        <v>0</v>
      </c>
      <c r="CC497" s="25">
        <f>SUM(CC493:CC496)</f>
        <v>0</v>
      </c>
      <c r="CE497" s="62">
        <f t="shared" ref="CE497:CJ497" si="2276">SUM(CE493:CE496)</f>
        <v>0</v>
      </c>
      <c r="CF497" s="63">
        <f t="shared" si="2276"/>
        <v>0</v>
      </c>
      <c r="CG497" s="63">
        <f t="shared" si="2276"/>
        <v>0</v>
      </c>
      <c r="CH497" s="63">
        <f t="shared" si="2276"/>
        <v>0</v>
      </c>
      <c r="CI497" s="63">
        <f t="shared" si="2276"/>
        <v>0</v>
      </c>
      <c r="CJ497" s="25">
        <f t="shared" si="2276"/>
        <v>0</v>
      </c>
      <c r="CL497" s="10">
        <f>SUM(CL493:CL496)</f>
        <v>0</v>
      </c>
      <c r="CM497" s="11">
        <f t="shared" ref="CM497:CP497" si="2277">SUM(CM493:CM496)</f>
        <v>0</v>
      </c>
      <c r="CN497" s="11">
        <f t="shared" si="2277"/>
        <v>0</v>
      </c>
      <c r="CO497" s="11">
        <f t="shared" si="2277"/>
        <v>0</v>
      </c>
      <c r="CP497" s="11">
        <f t="shared" si="2277"/>
        <v>0</v>
      </c>
      <c r="CQ497" s="25">
        <f>SUM(CQ493:CQ496)</f>
        <v>0</v>
      </c>
      <c r="CS497" s="10">
        <f>SUM(CS493:CS496)</f>
        <v>0</v>
      </c>
      <c r="CT497" s="11">
        <f t="shared" ref="CT497:CW497" si="2278">SUM(CT493:CT496)</f>
        <v>0</v>
      </c>
      <c r="CU497" s="11">
        <f t="shared" si="2278"/>
        <v>0</v>
      </c>
      <c r="CV497" s="11">
        <f t="shared" si="2278"/>
        <v>0</v>
      </c>
      <c r="CW497" s="11">
        <f t="shared" si="2278"/>
        <v>0</v>
      </c>
      <c r="CX497" s="25">
        <f>SUM(CX493:CX496)</f>
        <v>0</v>
      </c>
      <c r="CZ497" s="10">
        <f>SUM(CZ493:CZ496)</f>
        <v>0</v>
      </c>
      <c r="DA497" s="11">
        <f t="shared" ref="DA497:DD497" si="2279">SUM(DA493:DA496)</f>
        <v>0</v>
      </c>
      <c r="DB497" s="11">
        <f t="shared" si="2279"/>
        <v>0</v>
      </c>
      <c r="DC497" s="11">
        <f t="shared" si="2279"/>
        <v>0</v>
      </c>
      <c r="DD497" s="11">
        <f t="shared" si="2279"/>
        <v>0</v>
      </c>
      <c r="DE497" s="25">
        <f>SUM(DE493:DE496)</f>
        <v>0</v>
      </c>
    </row>
    <row r="498" spans="3:109" ht="10.4" customHeight="1" thickBot="1"/>
    <row r="499" spans="3:109">
      <c r="C499" s="553">
        <v>2026</v>
      </c>
      <c r="E499" s="13" t="s">
        <v>59</v>
      </c>
      <c r="F499" s="21">
        <f>CE493</f>
        <v>0</v>
      </c>
      <c r="G499" s="22">
        <f t="shared" ref="G499:G502" si="2280">CF493</f>
        <v>0</v>
      </c>
      <c r="H499" s="22">
        <f t="shared" ref="H499:H502" si="2281">CG493</f>
        <v>0</v>
      </c>
      <c r="I499" s="22">
        <f t="shared" ref="I499:I502" si="2282">CH493</f>
        <v>0</v>
      </c>
      <c r="J499" s="22">
        <f t="shared" ref="J499:J502" si="2283">CI493</f>
        <v>0</v>
      </c>
      <c r="K499" s="4">
        <f>SUM(F499:J499)</f>
        <v>0</v>
      </c>
      <c r="M499" s="2"/>
      <c r="N499" s="3"/>
      <c r="O499" s="3"/>
      <c r="P499" s="3"/>
      <c r="Q499" s="3"/>
      <c r="R499" s="4">
        <f>SUM(M499:Q499)</f>
        <v>0</v>
      </c>
      <c r="T499" s="2"/>
      <c r="U499" s="3"/>
      <c r="V499" s="3"/>
      <c r="W499" s="3"/>
      <c r="X499" s="3"/>
      <c r="Y499" s="4">
        <f>SUM(T499:X499)</f>
        <v>0</v>
      </c>
      <c r="AA499" s="2"/>
      <c r="AB499" s="3"/>
      <c r="AC499" s="3"/>
      <c r="AD499" s="3"/>
      <c r="AE499" s="3"/>
      <c r="AF499" s="4">
        <f>SUM(AA499:AE499)</f>
        <v>0</v>
      </c>
      <c r="AH499" s="2"/>
      <c r="AI499" s="3"/>
      <c r="AJ499" s="3"/>
      <c r="AK499" s="3"/>
      <c r="AL499" s="3"/>
      <c r="AM499" s="4">
        <f>SUM(AH499:AL499)</f>
        <v>0</v>
      </c>
      <c r="AO499" s="2"/>
      <c r="AP499" s="3"/>
      <c r="AQ499" s="3"/>
      <c r="AR499" s="3"/>
      <c r="AS499" s="3"/>
      <c r="AT499" s="4">
        <f>SUM(AO499:AS499)</f>
        <v>0</v>
      </c>
      <c r="AV499" s="2"/>
      <c r="AW499" s="3"/>
      <c r="AX499" s="3"/>
      <c r="AY499" s="3"/>
      <c r="AZ499" s="3"/>
      <c r="BA499" s="4">
        <f>SUM(AV499:AZ499)</f>
        <v>0</v>
      </c>
      <c r="BC499" s="2"/>
      <c r="BD499" s="3"/>
      <c r="BE499" s="3"/>
      <c r="BF499" s="3"/>
      <c r="BG499" s="3"/>
      <c r="BH499" s="4">
        <f>SUM(BC499:BG499)</f>
        <v>0</v>
      </c>
      <c r="BJ499" s="2"/>
      <c r="BK499" s="3"/>
      <c r="BL499" s="3"/>
      <c r="BM499" s="3"/>
      <c r="BN499" s="3"/>
      <c r="BO499" s="4">
        <f>SUM(BJ499:BN499)</f>
        <v>0</v>
      </c>
      <c r="BQ499" s="2"/>
      <c r="BR499" s="3"/>
      <c r="BS499" s="3"/>
      <c r="BT499" s="3"/>
      <c r="BU499" s="3"/>
      <c r="BV499" s="4">
        <f>SUM(BQ499:BU499)</f>
        <v>0</v>
      </c>
      <c r="BX499" s="2"/>
      <c r="BY499" s="3"/>
      <c r="BZ499" s="3"/>
      <c r="CA499" s="3"/>
      <c r="CB499" s="3"/>
      <c r="CC499" s="4">
        <f>SUM(BX499:CB499)</f>
        <v>0</v>
      </c>
      <c r="CE499" s="26">
        <f t="shared" ref="CE499:CE502" si="2284">F499+M499+T499+AA499+AH499+AO499+AV499+BC499+BJ499+BQ499+BX499</f>
        <v>0</v>
      </c>
      <c r="CF499" s="27">
        <f t="shared" ref="CF499:CF502" si="2285">G499+N499+U499+AB499+AI499+AP499+AW499+BD499+BK499+BR499+BY499</f>
        <v>0</v>
      </c>
      <c r="CG499" s="27">
        <f t="shared" ref="CG499:CG502" si="2286">H499+O499+V499+AC499+AJ499+AQ499+AX499+BE499+BL499+BS499+BZ499</f>
        <v>0</v>
      </c>
      <c r="CH499" s="27">
        <f t="shared" ref="CH499:CH502" si="2287">I499+P499+W499+AD499+AK499+AR499+AY499+BF499+BM499+BT499+CA499</f>
        <v>0</v>
      </c>
      <c r="CI499" s="27">
        <f t="shared" ref="CI499:CI502" si="2288">J499+Q499+X499+AE499+AL499+AS499+AZ499+BG499+BN499+BU499+CB499</f>
        <v>0</v>
      </c>
      <c r="CJ499" s="4">
        <f>SUM(CE499:CI499)</f>
        <v>0</v>
      </c>
      <c r="CL499" s="2"/>
      <c r="CM499" s="3"/>
      <c r="CN499" s="3"/>
      <c r="CO499" s="3"/>
      <c r="CP499" s="3"/>
      <c r="CQ499" s="4">
        <f>SUM(CL499:CP499)</f>
        <v>0</v>
      </c>
      <c r="CS499" s="2"/>
      <c r="CT499" s="3"/>
      <c r="CU499" s="3"/>
      <c r="CV499" s="3"/>
      <c r="CW499" s="3"/>
      <c r="CX499" s="4">
        <f>SUM(CS499:CW499)</f>
        <v>0</v>
      </c>
      <c r="CZ499" s="2"/>
      <c r="DA499" s="3"/>
      <c r="DB499" s="3"/>
      <c r="DC499" s="3"/>
      <c r="DD499" s="3"/>
      <c r="DE499" s="4">
        <f>SUM(CZ499:DD499)</f>
        <v>0</v>
      </c>
    </row>
    <row r="500" spans="3:109">
      <c r="C500" s="567"/>
      <c r="E500" s="14" t="s">
        <v>60</v>
      </c>
      <c r="F500" s="23">
        <f t="shared" ref="F500:F502" si="2289">CE494</f>
        <v>0</v>
      </c>
      <c r="G500" s="24">
        <f t="shared" si="2280"/>
        <v>0</v>
      </c>
      <c r="H500" s="24">
        <f t="shared" si="2281"/>
        <v>0</v>
      </c>
      <c r="I500" s="24">
        <f t="shared" si="2282"/>
        <v>0</v>
      </c>
      <c r="J500" s="24">
        <f t="shared" si="2283"/>
        <v>0</v>
      </c>
      <c r="K500" s="8">
        <f t="shared" ref="K500:K502" si="2290">SUM(F500:J500)</f>
        <v>0</v>
      </c>
      <c r="M500" s="6"/>
      <c r="N500" s="7"/>
      <c r="O500" s="7"/>
      <c r="P500" s="7"/>
      <c r="Q500" s="7"/>
      <c r="R500" s="8">
        <f t="shared" ref="R500:R502" si="2291">SUM(M500:Q500)</f>
        <v>0</v>
      </c>
      <c r="T500" s="6"/>
      <c r="U500" s="7"/>
      <c r="V500" s="7"/>
      <c r="W500" s="7"/>
      <c r="X500" s="7"/>
      <c r="Y500" s="8">
        <f t="shared" ref="Y500:Y502" si="2292">SUM(T500:X500)</f>
        <v>0</v>
      </c>
      <c r="AA500" s="6"/>
      <c r="AB500" s="7"/>
      <c r="AC500" s="7"/>
      <c r="AD500" s="7"/>
      <c r="AE500" s="7"/>
      <c r="AF500" s="8">
        <f>SUM(AA500:AE500)</f>
        <v>0</v>
      </c>
      <c r="AH500" s="6"/>
      <c r="AI500" s="7"/>
      <c r="AJ500" s="7"/>
      <c r="AK500" s="7"/>
      <c r="AL500" s="7"/>
      <c r="AM500" s="8">
        <f>SUM(AH500:AL500)</f>
        <v>0</v>
      </c>
      <c r="AO500" s="6"/>
      <c r="AP500" s="7"/>
      <c r="AQ500" s="7"/>
      <c r="AR500" s="7"/>
      <c r="AS500" s="7"/>
      <c r="AT500" s="8">
        <f>SUM(AO500:AS500)</f>
        <v>0</v>
      </c>
      <c r="AV500" s="6"/>
      <c r="AW500" s="7"/>
      <c r="AX500" s="7"/>
      <c r="AY500" s="7"/>
      <c r="AZ500" s="7"/>
      <c r="BA500" s="8">
        <f>SUM(AV500:AZ500)</f>
        <v>0</v>
      </c>
      <c r="BC500" s="6"/>
      <c r="BD500" s="7"/>
      <c r="BE500" s="7"/>
      <c r="BF500" s="7"/>
      <c r="BG500" s="7"/>
      <c r="BH500" s="8">
        <f>SUM(BC500:BG500)</f>
        <v>0</v>
      </c>
      <c r="BJ500" s="6"/>
      <c r="BK500" s="7"/>
      <c r="BL500" s="7"/>
      <c r="BM500" s="7"/>
      <c r="BN500" s="7"/>
      <c r="BO500" s="8">
        <f>SUM(BJ500:BN500)</f>
        <v>0</v>
      </c>
      <c r="BQ500" s="6"/>
      <c r="BR500" s="7"/>
      <c r="BS500" s="7"/>
      <c r="BT500" s="7"/>
      <c r="BU500" s="7"/>
      <c r="BV500" s="8">
        <f>SUM(BQ500:BU500)</f>
        <v>0</v>
      </c>
      <c r="BX500" s="6"/>
      <c r="BY500" s="7"/>
      <c r="BZ500" s="7"/>
      <c r="CA500" s="7"/>
      <c r="CB500" s="7"/>
      <c r="CC500" s="8">
        <f>SUM(BX500:CB500)</f>
        <v>0</v>
      </c>
      <c r="CE500" s="28">
        <f t="shared" si="2284"/>
        <v>0</v>
      </c>
      <c r="CF500" s="29">
        <f t="shared" si="2285"/>
        <v>0</v>
      </c>
      <c r="CG500" s="29">
        <f t="shared" si="2286"/>
        <v>0</v>
      </c>
      <c r="CH500" s="29">
        <f t="shared" si="2287"/>
        <v>0</v>
      </c>
      <c r="CI500" s="29">
        <f t="shared" si="2288"/>
        <v>0</v>
      </c>
      <c r="CJ500" s="8">
        <f>SUM(CE500:CI500)</f>
        <v>0</v>
      </c>
      <c r="CL500" s="6"/>
      <c r="CM500" s="7"/>
      <c r="CN500" s="7"/>
      <c r="CO500" s="7"/>
      <c r="CP500" s="7"/>
      <c r="CQ500" s="8">
        <f>SUM(CL500:CP500)</f>
        <v>0</v>
      </c>
      <c r="CS500" s="6"/>
      <c r="CT500" s="7"/>
      <c r="CU500" s="7"/>
      <c r="CV500" s="7"/>
      <c r="CW500" s="7"/>
      <c r="CX500" s="8">
        <f t="shared" ref="CX500:CX502" si="2293">SUM(CS500:CW500)</f>
        <v>0</v>
      </c>
      <c r="CZ500" s="6"/>
      <c r="DA500" s="7"/>
      <c r="DB500" s="7"/>
      <c r="DC500" s="7"/>
      <c r="DD500" s="7"/>
      <c r="DE500" s="8">
        <f t="shared" ref="DE500:DE502" si="2294">SUM(CZ500:DD500)</f>
        <v>0</v>
      </c>
    </row>
    <row r="501" spans="3:109">
      <c r="C501" s="567"/>
      <c r="E501" s="14" t="s">
        <v>61</v>
      </c>
      <c r="F501" s="23">
        <f t="shared" si="2289"/>
        <v>0</v>
      </c>
      <c r="G501" s="24">
        <f t="shared" si="2280"/>
        <v>0</v>
      </c>
      <c r="H501" s="24">
        <f t="shared" si="2281"/>
        <v>0</v>
      </c>
      <c r="I501" s="24">
        <f t="shared" si="2282"/>
        <v>0</v>
      </c>
      <c r="J501" s="24">
        <f t="shared" si="2283"/>
        <v>0</v>
      </c>
      <c r="K501" s="8">
        <f t="shared" si="2290"/>
        <v>0</v>
      </c>
      <c r="M501" s="6"/>
      <c r="N501" s="7"/>
      <c r="O501" s="7"/>
      <c r="P501" s="7"/>
      <c r="Q501" s="7"/>
      <c r="R501" s="8">
        <f t="shared" si="2291"/>
        <v>0</v>
      </c>
      <c r="T501" s="6"/>
      <c r="U501" s="7"/>
      <c r="V501" s="7"/>
      <c r="W501" s="7"/>
      <c r="X501" s="7"/>
      <c r="Y501" s="8">
        <f t="shared" si="2292"/>
        <v>0</v>
      </c>
      <c r="AA501" s="6"/>
      <c r="AB501" s="7"/>
      <c r="AC501" s="7"/>
      <c r="AD501" s="7"/>
      <c r="AE501" s="7"/>
      <c r="AF501" s="8">
        <f>SUM(AA501:AE501)</f>
        <v>0</v>
      </c>
      <c r="AH501" s="6"/>
      <c r="AI501" s="7"/>
      <c r="AJ501" s="7"/>
      <c r="AK501" s="7"/>
      <c r="AL501" s="7"/>
      <c r="AM501" s="8">
        <f>SUM(AH501:AL501)</f>
        <v>0</v>
      </c>
      <c r="AO501" s="6"/>
      <c r="AP501" s="7"/>
      <c r="AQ501" s="7"/>
      <c r="AR501" s="7"/>
      <c r="AS501" s="7"/>
      <c r="AT501" s="8">
        <f>SUM(AO501:AS501)</f>
        <v>0</v>
      </c>
      <c r="AV501" s="6"/>
      <c r="AW501" s="7"/>
      <c r="AX501" s="7"/>
      <c r="AY501" s="7"/>
      <c r="AZ501" s="7"/>
      <c r="BA501" s="8">
        <f>SUM(AV501:AZ501)</f>
        <v>0</v>
      </c>
      <c r="BC501" s="6"/>
      <c r="BD501" s="7"/>
      <c r="BE501" s="7"/>
      <c r="BF501" s="7"/>
      <c r="BG501" s="7"/>
      <c r="BH501" s="8">
        <f>SUM(BC501:BG501)</f>
        <v>0</v>
      </c>
      <c r="BJ501" s="6"/>
      <c r="BK501" s="7"/>
      <c r="BL501" s="7"/>
      <c r="BM501" s="7"/>
      <c r="BN501" s="7"/>
      <c r="BO501" s="8">
        <f>SUM(BJ501:BN501)</f>
        <v>0</v>
      </c>
      <c r="BQ501" s="6"/>
      <c r="BR501" s="7"/>
      <c r="BS501" s="7"/>
      <c r="BT501" s="7"/>
      <c r="BU501" s="7"/>
      <c r="BV501" s="8">
        <f>SUM(BQ501:BU501)</f>
        <v>0</v>
      </c>
      <c r="BX501" s="6"/>
      <c r="BY501" s="7"/>
      <c r="BZ501" s="7"/>
      <c r="CA501" s="7"/>
      <c r="CB501" s="7"/>
      <c r="CC501" s="8">
        <f>SUM(BX501:CB501)</f>
        <v>0</v>
      </c>
      <c r="CE501" s="28">
        <f t="shared" si="2284"/>
        <v>0</v>
      </c>
      <c r="CF501" s="29">
        <f t="shared" si="2285"/>
        <v>0</v>
      </c>
      <c r="CG501" s="29">
        <f t="shared" si="2286"/>
        <v>0</v>
      </c>
      <c r="CH501" s="29">
        <f t="shared" si="2287"/>
        <v>0</v>
      </c>
      <c r="CI501" s="29">
        <f t="shared" si="2288"/>
        <v>0</v>
      </c>
      <c r="CJ501" s="8">
        <f>SUM(CE501:CI501)</f>
        <v>0</v>
      </c>
      <c r="CL501" s="6"/>
      <c r="CM501" s="7"/>
      <c r="CN501" s="7"/>
      <c r="CO501" s="7"/>
      <c r="CP501" s="7"/>
      <c r="CQ501" s="8">
        <f>SUM(CL501:CP501)</f>
        <v>0</v>
      </c>
      <c r="CS501" s="6"/>
      <c r="CT501" s="7"/>
      <c r="CU501" s="7"/>
      <c r="CV501" s="7"/>
      <c r="CW501" s="7"/>
      <c r="CX501" s="8">
        <f t="shared" si="2293"/>
        <v>0</v>
      </c>
      <c r="CZ501" s="6"/>
      <c r="DA501" s="7"/>
      <c r="DB501" s="7"/>
      <c r="DC501" s="7"/>
      <c r="DD501" s="7"/>
      <c r="DE501" s="8">
        <f t="shared" si="2294"/>
        <v>0</v>
      </c>
    </row>
    <row r="502" spans="3:109" ht="14" thickBot="1">
      <c r="C502" s="567"/>
      <c r="E502" s="14" t="s">
        <v>62</v>
      </c>
      <c r="F502" s="23">
        <f t="shared" si="2289"/>
        <v>0</v>
      </c>
      <c r="G502" s="24">
        <f t="shared" si="2280"/>
        <v>0</v>
      </c>
      <c r="H502" s="24">
        <f t="shared" si="2281"/>
        <v>0</v>
      </c>
      <c r="I502" s="24">
        <f t="shared" si="2282"/>
        <v>0</v>
      </c>
      <c r="J502" s="24">
        <f t="shared" si="2283"/>
        <v>0</v>
      </c>
      <c r="K502" s="8">
        <f t="shared" si="2290"/>
        <v>0</v>
      </c>
      <c r="M502" s="6"/>
      <c r="N502" s="7"/>
      <c r="O502" s="7"/>
      <c r="P502" s="7"/>
      <c r="Q502" s="7"/>
      <c r="R502" s="8">
        <f t="shared" si="2291"/>
        <v>0</v>
      </c>
      <c r="T502" s="6"/>
      <c r="U502" s="7"/>
      <c r="V502" s="7"/>
      <c r="W502" s="7"/>
      <c r="X502" s="7"/>
      <c r="Y502" s="8">
        <f t="shared" si="2292"/>
        <v>0</v>
      </c>
      <c r="AA502" s="6"/>
      <c r="AB502" s="7"/>
      <c r="AC502" s="7"/>
      <c r="AD502" s="7"/>
      <c r="AE502" s="7"/>
      <c r="AF502" s="8">
        <f>SUM(AA502:AE502)</f>
        <v>0</v>
      </c>
      <c r="AH502" s="6"/>
      <c r="AI502" s="7"/>
      <c r="AJ502" s="7"/>
      <c r="AK502" s="7"/>
      <c r="AL502" s="7"/>
      <c r="AM502" s="8">
        <f>SUM(AH502:AL502)</f>
        <v>0</v>
      </c>
      <c r="AO502" s="6"/>
      <c r="AP502" s="7"/>
      <c r="AQ502" s="7"/>
      <c r="AR502" s="7"/>
      <c r="AS502" s="7"/>
      <c r="AT502" s="8">
        <f>SUM(AO502:AS502)</f>
        <v>0</v>
      </c>
      <c r="AV502" s="6"/>
      <c r="AW502" s="7"/>
      <c r="AX502" s="7"/>
      <c r="AY502" s="7"/>
      <c r="AZ502" s="7"/>
      <c r="BA502" s="8">
        <f>SUM(AV502:AZ502)</f>
        <v>0</v>
      </c>
      <c r="BC502" s="6"/>
      <c r="BD502" s="7"/>
      <c r="BE502" s="7"/>
      <c r="BF502" s="7"/>
      <c r="BG502" s="7"/>
      <c r="BH502" s="8">
        <f>SUM(BC502:BG502)</f>
        <v>0</v>
      </c>
      <c r="BJ502" s="6"/>
      <c r="BK502" s="7"/>
      <c r="BL502" s="7"/>
      <c r="BM502" s="7"/>
      <c r="BN502" s="7"/>
      <c r="BO502" s="8">
        <f>SUM(BJ502:BN502)</f>
        <v>0</v>
      </c>
      <c r="BQ502" s="6"/>
      <c r="BR502" s="7"/>
      <c r="BS502" s="7"/>
      <c r="BT502" s="7"/>
      <c r="BU502" s="7"/>
      <c r="BV502" s="8">
        <f>SUM(BQ502:BU502)</f>
        <v>0</v>
      </c>
      <c r="BX502" s="6"/>
      <c r="BY502" s="7"/>
      <c r="BZ502" s="7"/>
      <c r="CA502" s="7"/>
      <c r="CB502" s="7"/>
      <c r="CC502" s="8">
        <f>SUM(BX502:CB502)</f>
        <v>0</v>
      </c>
      <c r="CE502" s="493">
        <f t="shared" si="2284"/>
        <v>0</v>
      </c>
      <c r="CF502" s="494">
        <f t="shared" si="2285"/>
        <v>0</v>
      </c>
      <c r="CG502" s="494">
        <f t="shared" si="2286"/>
        <v>0</v>
      </c>
      <c r="CH502" s="494">
        <f t="shared" si="2287"/>
        <v>0</v>
      </c>
      <c r="CI502" s="494">
        <f t="shared" si="2288"/>
        <v>0</v>
      </c>
      <c r="CJ502" s="495">
        <f>SUM(CE502:CI502)</f>
        <v>0</v>
      </c>
      <c r="CL502" s="6"/>
      <c r="CM502" s="7"/>
      <c r="CN502" s="7"/>
      <c r="CO502" s="7"/>
      <c r="CP502" s="7"/>
      <c r="CQ502" s="8">
        <f>SUM(CL502:CP502)</f>
        <v>0</v>
      </c>
      <c r="CS502" s="6"/>
      <c r="CT502" s="7"/>
      <c r="CU502" s="7"/>
      <c r="CV502" s="7"/>
      <c r="CW502" s="7"/>
      <c r="CX502" s="8">
        <f t="shared" si="2293"/>
        <v>0</v>
      </c>
      <c r="CZ502" s="6"/>
      <c r="DA502" s="7"/>
      <c r="DB502" s="7"/>
      <c r="DC502" s="7"/>
      <c r="DD502" s="7"/>
      <c r="DE502" s="8">
        <f t="shared" si="2294"/>
        <v>0</v>
      </c>
    </row>
    <row r="503" spans="3:109" ht="14" thickBot="1">
      <c r="C503" s="554"/>
      <c r="E503" s="17"/>
      <c r="F503" s="10">
        <f>SUM(F499:F502)</f>
        <v>0</v>
      </c>
      <c r="G503" s="11">
        <f t="shared" ref="G503:J503" si="2295">SUM(G499:G502)</f>
        <v>0</v>
      </c>
      <c r="H503" s="11">
        <f t="shared" si="2295"/>
        <v>0</v>
      </c>
      <c r="I503" s="11">
        <f t="shared" si="2295"/>
        <v>0</v>
      </c>
      <c r="J503" s="11">
        <f t="shared" si="2295"/>
        <v>0</v>
      </c>
      <c r="K503" s="25">
        <f>SUM(K499:K502)</f>
        <v>0</v>
      </c>
      <c r="M503" s="10">
        <f>SUM(M499:M502)</f>
        <v>0</v>
      </c>
      <c r="N503" s="11">
        <f t="shared" ref="N503:Q503" si="2296">SUM(N499:N502)</f>
        <v>0</v>
      </c>
      <c r="O503" s="11">
        <f t="shared" si="2296"/>
        <v>0</v>
      </c>
      <c r="P503" s="11">
        <f t="shared" si="2296"/>
        <v>0</v>
      </c>
      <c r="Q503" s="11">
        <f t="shared" si="2296"/>
        <v>0</v>
      </c>
      <c r="R503" s="25">
        <f>SUM(R499:R502)</f>
        <v>0</v>
      </c>
      <c r="T503" s="10">
        <f>SUM(T499:T502)</f>
        <v>0</v>
      </c>
      <c r="U503" s="11">
        <f t="shared" ref="U503:X503" si="2297">SUM(U499:U502)</f>
        <v>0</v>
      </c>
      <c r="V503" s="11">
        <f t="shared" si="2297"/>
        <v>0</v>
      </c>
      <c r="W503" s="11">
        <f t="shared" si="2297"/>
        <v>0</v>
      </c>
      <c r="X503" s="11">
        <f t="shared" si="2297"/>
        <v>0</v>
      </c>
      <c r="Y503" s="25">
        <f>SUM(Y499:Y502)</f>
        <v>0</v>
      </c>
      <c r="AA503" s="10">
        <f>SUM(AA499:AA502)</f>
        <v>0</v>
      </c>
      <c r="AB503" s="11">
        <f t="shared" ref="AB503:AE503" si="2298">SUM(AB499:AB502)</f>
        <v>0</v>
      </c>
      <c r="AC503" s="11">
        <f t="shared" si="2298"/>
        <v>0</v>
      </c>
      <c r="AD503" s="11">
        <f t="shared" si="2298"/>
        <v>0</v>
      </c>
      <c r="AE503" s="11">
        <f t="shared" si="2298"/>
        <v>0</v>
      </c>
      <c r="AF503" s="25">
        <f>SUM(AF499:AF502)</f>
        <v>0</v>
      </c>
      <c r="AH503" s="10">
        <f>SUM(AH499:AH502)</f>
        <v>0</v>
      </c>
      <c r="AI503" s="11">
        <f t="shared" ref="AI503:AL503" si="2299">SUM(AI499:AI502)</f>
        <v>0</v>
      </c>
      <c r="AJ503" s="11">
        <f t="shared" si="2299"/>
        <v>0</v>
      </c>
      <c r="AK503" s="11">
        <f t="shared" si="2299"/>
        <v>0</v>
      </c>
      <c r="AL503" s="11">
        <f t="shared" si="2299"/>
        <v>0</v>
      </c>
      <c r="AM503" s="25">
        <f>SUM(AM499:AM502)</f>
        <v>0</v>
      </c>
      <c r="AO503" s="10">
        <f>SUM(AO499:AO502)</f>
        <v>0</v>
      </c>
      <c r="AP503" s="11">
        <f t="shared" ref="AP503:AS503" si="2300">SUM(AP499:AP502)</f>
        <v>0</v>
      </c>
      <c r="AQ503" s="11">
        <f t="shared" si="2300"/>
        <v>0</v>
      </c>
      <c r="AR503" s="11">
        <f t="shared" si="2300"/>
        <v>0</v>
      </c>
      <c r="AS503" s="11">
        <f t="shared" si="2300"/>
        <v>0</v>
      </c>
      <c r="AT503" s="25">
        <f>SUM(AT499:AT502)</f>
        <v>0</v>
      </c>
      <c r="AV503" s="10">
        <f>SUM(AV499:AV502)</f>
        <v>0</v>
      </c>
      <c r="AW503" s="11">
        <f t="shared" ref="AW503:AZ503" si="2301">SUM(AW499:AW502)</f>
        <v>0</v>
      </c>
      <c r="AX503" s="11">
        <f t="shared" si="2301"/>
        <v>0</v>
      </c>
      <c r="AY503" s="11">
        <f t="shared" si="2301"/>
        <v>0</v>
      </c>
      <c r="AZ503" s="11">
        <f t="shared" si="2301"/>
        <v>0</v>
      </c>
      <c r="BA503" s="25">
        <f>SUM(BA499:BA502)</f>
        <v>0</v>
      </c>
      <c r="BC503" s="10">
        <f>SUM(BC499:BC502)</f>
        <v>0</v>
      </c>
      <c r="BD503" s="11">
        <f t="shared" ref="BD503:BG503" si="2302">SUM(BD499:BD502)</f>
        <v>0</v>
      </c>
      <c r="BE503" s="11">
        <f t="shared" si="2302"/>
        <v>0</v>
      </c>
      <c r="BF503" s="11">
        <f t="shared" si="2302"/>
        <v>0</v>
      </c>
      <c r="BG503" s="11">
        <f t="shared" si="2302"/>
        <v>0</v>
      </c>
      <c r="BH503" s="25">
        <f>SUM(BH499:BH502)</f>
        <v>0</v>
      </c>
      <c r="BJ503" s="10">
        <f>SUM(BJ499:BJ502)</f>
        <v>0</v>
      </c>
      <c r="BK503" s="11">
        <f t="shared" ref="BK503:BN503" si="2303">SUM(BK499:BK502)</f>
        <v>0</v>
      </c>
      <c r="BL503" s="11">
        <f t="shared" si="2303"/>
        <v>0</v>
      </c>
      <c r="BM503" s="11">
        <f t="shared" si="2303"/>
        <v>0</v>
      </c>
      <c r="BN503" s="11">
        <f t="shared" si="2303"/>
        <v>0</v>
      </c>
      <c r="BO503" s="25">
        <f>SUM(BO499:BO502)</f>
        <v>0</v>
      </c>
      <c r="BQ503" s="10">
        <f>SUM(BQ499:BQ502)</f>
        <v>0</v>
      </c>
      <c r="BR503" s="11">
        <f t="shared" ref="BR503:BU503" si="2304">SUM(BR499:BR502)</f>
        <v>0</v>
      </c>
      <c r="BS503" s="11">
        <f t="shared" si="2304"/>
        <v>0</v>
      </c>
      <c r="BT503" s="11">
        <f t="shared" si="2304"/>
        <v>0</v>
      </c>
      <c r="BU503" s="11">
        <f t="shared" si="2304"/>
        <v>0</v>
      </c>
      <c r="BV503" s="25">
        <f>SUM(BV499:BV502)</f>
        <v>0</v>
      </c>
      <c r="BX503" s="10">
        <f>SUM(BX499:BX502)</f>
        <v>0</v>
      </c>
      <c r="BY503" s="11">
        <f t="shared" ref="BY503:CB503" si="2305">SUM(BY499:BY502)</f>
        <v>0</v>
      </c>
      <c r="BZ503" s="11">
        <f t="shared" si="2305"/>
        <v>0</v>
      </c>
      <c r="CA503" s="11">
        <f t="shared" si="2305"/>
        <v>0</v>
      </c>
      <c r="CB503" s="11">
        <f t="shared" si="2305"/>
        <v>0</v>
      </c>
      <c r="CC503" s="25">
        <f>SUM(CC499:CC502)</f>
        <v>0</v>
      </c>
      <c r="CE503" s="62">
        <f t="shared" ref="CE503:CJ503" si="2306">SUM(CE499:CE502)</f>
        <v>0</v>
      </c>
      <c r="CF503" s="63">
        <f t="shared" si="2306"/>
        <v>0</v>
      </c>
      <c r="CG503" s="63">
        <f t="shared" si="2306"/>
        <v>0</v>
      </c>
      <c r="CH503" s="63">
        <f t="shared" si="2306"/>
        <v>0</v>
      </c>
      <c r="CI503" s="63">
        <f t="shared" si="2306"/>
        <v>0</v>
      </c>
      <c r="CJ503" s="25">
        <f t="shared" si="2306"/>
        <v>0</v>
      </c>
      <c r="CL503" s="10">
        <f>SUM(CL499:CL502)</f>
        <v>0</v>
      </c>
      <c r="CM503" s="11">
        <f t="shared" ref="CM503:CP503" si="2307">SUM(CM499:CM502)</f>
        <v>0</v>
      </c>
      <c r="CN503" s="11">
        <f t="shared" si="2307"/>
        <v>0</v>
      </c>
      <c r="CO503" s="11">
        <f t="shared" si="2307"/>
        <v>0</v>
      </c>
      <c r="CP503" s="11">
        <f t="shared" si="2307"/>
        <v>0</v>
      </c>
      <c r="CQ503" s="25">
        <f>SUM(CQ499:CQ502)</f>
        <v>0</v>
      </c>
      <c r="CS503" s="10">
        <f>SUM(CS499:CS502)</f>
        <v>0</v>
      </c>
      <c r="CT503" s="11">
        <f t="shared" ref="CT503:CW503" si="2308">SUM(CT499:CT502)</f>
        <v>0</v>
      </c>
      <c r="CU503" s="11">
        <f t="shared" si="2308"/>
        <v>0</v>
      </c>
      <c r="CV503" s="11">
        <f t="shared" si="2308"/>
        <v>0</v>
      </c>
      <c r="CW503" s="11">
        <f t="shared" si="2308"/>
        <v>0</v>
      </c>
      <c r="CX503" s="25">
        <f>SUM(CX499:CX502)</f>
        <v>0</v>
      </c>
      <c r="CZ503" s="10">
        <f>SUM(CZ499:CZ502)</f>
        <v>0</v>
      </c>
      <c r="DA503" s="11">
        <f t="shared" ref="DA503:DD503" si="2309">SUM(DA499:DA502)</f>
        <v>0</v>
      </c>
      <c r="DB503" s="11">
        <f t="shared" si="2309"/>
        <v>0</v>
      </c>
      <c r="DC503" s="11">
        <f t="shared" si="2309"/>
        <v>0</v>
      </c>
      <c r="DD503" s="11">
        <f t="shared" si="2309"/>
        <v>0</v>
      </c>
      <c r="DE503" s="25">
        <f>SUM(DE499:DE502)</f>
        <v>0</v>
      </c>
    </row>
    <row r="504" spans="3:109" ht="10.4" customHeight="1" thickBot="1"/>
    <row r="505" spans="3:109">
      <c r="C505" s="553">
        <v>2027</v>
      </c>
      <c r="E505" s="13" t="s">
        <v>59</v>
      </c>
      <c r="F505" s="21">
        <f>CE499</f>
        <v>0</v>
      </c>
      <c r="G505" s="22">
        <f t="shared" ref="G505:G508" si="2310">CF499</f>
        <v>0</v>
      </c>
      <c r="H505" s="22">
        <f t="shared" ref="H505:H508" si="2311">CG499</f>
        <v>0</v>
      </c>
      <c r="I505" s="22">
        <f t="shared" ref="I505:I508" si="2312">CH499</f>
        <v>0</v>
      </c>
      <c r="J505" s="22">
        <f t="shared" ref="J505:J508" si="2313">CI499</f>
        <v>0</v>
      </c>
      <c r="K505" s="4">
        <f>SUM(F505:J505)</f>
        <v>0</v>
      </c>
      <c r="M505" s="2"/>
      <c r="N505" s="3"/>
      <c r="O505" s="3"/>
      <c r="P505" s="3"/>
      <c r="Q505" s="3"/>
      <c r="R505" s="4">
        <f>SUM(M505:Q505)</f>
        <v>0</v>
      </c>
      <c r="T505" s="2"/>
      <c r="U505" s="3"/>
      <c r="V505" s="3"/>
      <c r="W505" s="3"/>
      <c r="X505" s="3"/>
      <c r="Y505" s="4">
        <f>SUM(T505:X505)</f>
        <v>0</v>
      </c>
      <c r="AA505" s="2"/>
      <c r="AB505" s="3"/>
      <c r="AC505" s="3"/>
      <c r="AD505" s="3"/>
      <c r="AE505" s="3"/>
      <c r="AF505" s="4">
        <f>SUM(AA505:AE505)</f>
        <v>0</v>
      </c>
      <c r="AH505" s="2"/>
      <c r="AI505" s="3"/>
      <c r="AJ505" s="3"/>
      <c r="AK505" s="3"/>
      <c r="AL505" s="3"/>
      <c r="AM505" s="4">
        <f>SUM(AH505:AL505)</f>
        <v>0</v>
      </c>
      <c r="AO505" s="2"/>
      <c r="AP505" s="3"/>
      <c r="AQ505" s="3"/>
      <c r="AR505" s="3"/>
      <c r="AS505" s="3"/>
      <c r="AT505" s="4">
        <f>SUM(AO505:AS505)</f>
        <v>0</v>
      </c>
      <c r="AV505" s="2"/>
      <c r="AW505" s="3"/>
      <c r="AX505" s="3"/>
      <c r="AY505" s="3"/>
      <c r="AZ505" s="3"/>
      <c r="BA505" s="4">
        <f>SUM(AV505:AZ505)</f>
        <v>0</v>
      </c>
      <c r="BC505" s="2"/>
      <c r="BD505" s="3"/>
      <c r="BE505" s="3"/>
      <c r="BF505" s="3"/>
      <c r="BG505" s="3"/>
      <c r="BH505" s="4">
        <f>SUM(BC505:BG505)</f>
        <v>0</v>
      </c>
      <c r="BJ505" s="2"/>
      <c r="BK505" s="3"/>
      <c r="BL505" s="3"/>
      <c r="BM505" s="3"/>
      <c r="BN505" s="3"/>
      <c r="BO505" s="4">
        <f>SUM(BJ505:BN505)</f>
        <v>0</v>
      </c>
      <c r="BQ505" s="2"/>
      <c r="BR505" s="3"/>
      <c r="BS505" s="3"/>
      <c r="BT505" s="3"/>
      <c r="BU505" s="3"/>
      <c r="BV505" s="4">
        <f>SUM(BQ505:BU505)</f>
        <v>0</v>
      </c>
      <c r="BX505" s="2"/>
      <c r="BY505" s="3"/>
      <c r="BZ505" s="3"/>
      <c r="CA505" s="3"/>
      <c r="CB505" s="3"/>
      <c r="CC505" s="4">
        <f>SUM(BX505:CB505)</f>
        <v>0</v>
      </c>
      <c r="CE505" s="26">
        <f t="shared" ref="CE505:CE508" si="2314">F505+M505+T505+AA505+AH505+AO505+AV505+BC505+BJ505+BQ505+BX505</f>
        <v>0</v>
      </c>
      <c r="CF505" s="27">
        <f t="shared" ref="CF505:CF508" si="2315">G505+N505+U505+AB505+AI505+AP505+AW505+BD505+BK505+BR505+BY505</f>
        <v>0</v>
      </c>
      <c r="CG505" s="27">
        <f t="shared" ref="CG505:CG508" si="2316">H505+O505+V505+AC505+AJ505+AQ505+AX505+BE505+BL505+BS505+BZ505</f>
        <v>0</v>
      </c>
      <c r="CH505" s="27">
        <f t="shared" ref="CH505:CH508" si="2317">I505+P505+W505+AD505+AK505+AR505+AY505+BF505+BM505+BT505+CA505</f>
        <v>0</v>
      </c>
      <c r="CI505" s="27">
        <f t="shared" ref="CI505:CI508" si="2318">J505+Q505+X505+AE505+AL505+AS505+AZ505+BG505+BN505+BU505+CB505</f>
        <v>0</v>
      </c>
      <c r="CJ505" s="4">
        <f>SUM(CE505:CI505)</f>
        <v>0</v>
      </c>
      <c r="CL505" s="2"/>
      <c r="CM505" s="3"/>
      <c r="CN505" s="3"/>
      <c r="CO505" s="3"/>
      <c r="CP505" s="3"/>
      <c r="CQ505" s="4">
        <f>SUM(CL505:CP505)</f>
        <v>0</v>
      </c>
      <c r="CS505" s="2"/>
      <c r="CT505" s="3"/>
      <c r="CU505" s="3"/>
      <c r="CV505" s="3"/>
      <c r="CW505" s="3"/>
      <c r="CX505" s="4">
        <f>SUM(CS505:CW505)</f>
        <v>0</v>
      </c>
      <c r="CZ505" s="2"/>
      <c r="DA505" s="3"/>
      <c r="DB505" s="3"/>
      <c r="DC505" s="3"/>
      <c r="DD505" s="3"/>
      <c r="DE505" s="4">
        <f>SUM(CZ505:DD505)</f>
        <v>0</v>
      </c>
    </row>
    <row r="506" spans="3:109">
      <c r="C506" s="567"/>
      <c r="E506" s="14" t="s">
        <v>60</v>
      </c>
      <c r="F506" s="23">
        <f t="shared" ref="F506:F508" si="2319">CE500</f>
        <v>0</v>
      </c>
      <c r="G506" s="24">
        <f t="shared" si="2310"/>
        <v>0</v>
      </c>
      <c r="H506" s="24">
        <f t="shared" si="2311"/>
        <v>0</v>
      </c>
      <c r="I506" s="24">
        <f t="shared" si="2312"/>
        <v>0</v>
      </c>
      <c r="J506" s="24">
        <f t="shared" si="2313"/>
        <v>0</v>
      </c>
      <c r="K506" s="8">
        <f t="shared" ref="K506:K508" si="2320">SUM(F506:J506)</f>
        <v>0</v>
      </c>
      <c r="M506" s="6"/>
      <c r="N506" s="7"/>
      <c r="O506" s="7"/>
      <c r="P506" s="7"/>
      <c r="Q506" s="7"/>
      <c r="R506" s="8">
        <f t="shared" ref="R506:R508" si="2321">SUM(M506:Q506)</f>
        <v>0</v>
      </c>
      <c r="T506" s="6"/>
      <c r="U506" s="7"/>
      <c r="V506" s="7"/>
      <c r="W506" s="7"/>
      <c r="X506" s="7"/>
      <c r="Y506" s="8">
        <f t="shared" ref="Y506:Y508" si="2322">SUM(T506:X506)</f>
        <v>0</v>
      </c>
      <c r="AA506" s="6"/>
      <c r="AB506" s="7"/>
      <c r="AC506" s="7"/>
      <c r="AD506" s="7"/>
      <c r="AE506" s="7"/>
      <c r="AF506" s="8">
        <f>SUM(AA506:AE506)</f>
        <v>0</v>
      </c>
      <c r="AH506" s="6"/>
      <c r="AI506" s="7"/>
      <c r="AJ506" s="7"/>
      <c r="AK506" s="7"/>
      <c r="AL506" s="7"/>
      <c r="AM506" s="8">
        <f>SUM(AH506:AL506)</f>
        <v>0</v>
      </c>
      <c r="AO506" s="6"/>
      <c r="AP506" s="7"/>
      <c r="AQ506" s="7"/>
      <c r="AR506" s="7"/>
      <c r="AS506" s="7"/>
      <c r="AT506" s="8">
        <f>SUM(AO506:AS506)</f>
        <v>0</v>
      </c>
      <c r="AV506" s="6"/>
      <c r="AW506" s="7"/>
      <c r="AX506" s="7"/>
      <c r="AY506" s="7"/>
      <c r="AZ506" s="7"/>
      <c r="BA506" s="8">
        <f>SUM(AV506:AZ506)</f>
        <v>0</v>
      </c>
      <c r="BC506" s="6"/>
      <c r="BD506" s="7"/>
      <c r="BE506" s="7"/>
      <c r="BF506" s="7"/>
      <c r="BG506" s="7"/>
      <c r="BH506" s="8">
        <f>SUM(BC506:BG506)</f>
        <v>0</v>
      </c>
      <c r="BJ506" s="6"/>
      <c r="BK506" s="7"/>
      <c r="BL506" s="7"/>
      <c r="BM506" s="7"/>
      <c r="BN506" s="7"/>
      <c r="BO506" s="8">
        <f>SUM(BJ506:BN506)</f>
        <v>0</v>
      </c>
      <c r="BQ506" s="6"/>
      <c r="BR506" s="7"/>
      <c r="BS506" s="7"/>
      <c r="BT506" s="7"/>
      <c r="BU506" s="7"/>
      <c r="BV506" s="8">
        <f>SUM(BQ506:BU506)</f>
        <v>0</v>
      </c>
      <c r="BX506" s="6"/>
      <c r="BY506" s="7"/>
      <c r="BZ506" s="7"/>
      <c r="CA506" s="7"/>
      <c r="CB506" s="7"/>
      <c r="CC506" s="8">
        <f>SUM(BX506:CB506)</f>
        <v>0</v>
      </c>
      <c r="CE506" s="28">
        <f t="shared" si="2314"/>
        <v>0</v>
      </c>
      <c r="CF506" s="29">
        <f t="shared" si="2315"/>
        <v>0</v>
      </c>
      <c r="CG506" s="29">
        <f t="shared" si="2316"/>
        <v>0</v>
      </c>
      <c r="CH506" s="29">
        <f t="shared" si="2317"/>
        <v>0</v>
      </c>
      <c r="CI506" s="29">
        <f t="shared" si="2318"/>
        <v>0</v>
      </c>
      <c r="CJ506" s="8">
        <f>SUM(CE506:CI506)</f>
        <v>0</v>
      </c>
      <c r="CL506" s="6"/>
      <c r="CM506" s="7"/>
      <c r="CN506" s="7"/>
      <c r="CO506" s="7"/>
      <c r="CP506" s="7"/>
      <c r="CQ506" s="8">
        <f>SUM(CL506:CP506)</f>
        <v>0</v>
      </c>
      <c r="CS506" s="6"/>
      <c r="CT506" s="7"/>
      <c r="CU506" s="7"/>
      <c r="CV506" s="7"/>
      <c r="CW506" s="7"/>
      <c r="CX506" s="8">
        <f t="shared" ref="CX506:CX508" si="2323">SUM(CS506:CW506)</f>
        <v>0</v>
      </c>
      <c r="CZ506" s="6"/>
      <c r="DA506" s="7"/>
      <c r="DB506" s="7"/>
      <c r="DC506" s="7"/>
      <c r="DD506" s="7"/>
      <c r="DE506" s="8">
        <f t="shared" ref="DE506:DE508" si="2324">SUM(CZ506:DD506)</f>
        <v>0</v>
      </c>
    </row>
    <row r="507" spans="3:109">
      <c r="C507" s="567"/>
      <c r="E507" s="14" t="s">
        <v>61</v>
      </c>
      <c r="F507" s="23">
        <f t="shared" si="2319"/>
        <v>0</v>
      </c>
      <c r="G507" s="24">
        <f t="shared" si="2310"/>
        <v>0</v>
      </c>
      <c r="H507" s="24">
        <f t="shared" si="2311"/>
        <v>0</v>
      </c>
      <c r="I507" s="24">
        <f t="shared" si="2312"/>
        <v>0</v>
      </c>
      <c r="J507" s="24">
        <f t="shared" si="2313"/>
        <v>0</v>
      </c>
      <c r="K507" s="8">
        <f t="shared" si="2320"/>
        <v>0</v>
      </c>
      <c r="M507" s="6"/>
      <c r="N507" s="7"/>
      <c r="O507" s="7"/>
      <c r="P507" s="7"/>
      <c r="Q507" s="7"/>
      <c r="R507" s="8">
        <f t="shared" si="2321"/>
        <v>0</v>
      </c>
      <c r="T507" s="6"/>
      <c r="U507" s="7"/>
      <c r="V507" s="7"/>
      <c r="W507" s="7"/>
      <c r="X507" s="7"/>
      <c r="Y507" s="8">
        <f t="shared" si="2322"/>
        <v>0</v>
      </c>
      <c r="AA507" s="6"/>
      <c r="AB507" s="7"/>
      <c r="AC507" s="7"/>
      <c r="AD507" s="7"/>
      <c r="AE507" s="7"/>
      <c r="AF507" s="8">
        <f>SUM(AA507:AE507)</f>
        <v>0</v>
      </c>
      <c r="AH507" s="6"/>
      <c r="AI507" s="7"/>
      <c r="AJ507" s="7"/>
      <c r="AK507" s="7"/>
      <c r="AL507" s="7"/>
      <c r="AM507" s="8">
        <f>SUM(AH507:AL507)</f>
        <v>0</v>
      </c>
      <c r="AO507" s="6"/>
      <c r="AP507" s="7"/>
      <c r="AQ507" s="7"/>
      <c r="AR507" s="7"/>
      <c r="AS507" s="7"/>
      <c r="AT507" s="8">
        <f>SUM(AO507:AS507)</f>
        <v>0</v>
      </c>
      <c r="AV507" s="6"/>
      <c r="AW507" s="7"/>
      <c r="AX507" s="7"/>
      <c r="AY507" s="7"/>
      <c r="AZ507" s="7"/>
      <c r="BA507" s="8">
        <f>SUM(AV507:AZ507)</f>
        <v>0</v>
      </c>
      <c r="BC507" s="6"/>
      <c r="BD507" s="7"/>
      <c r="BE507" s="7"/>
      <c r="BF507" s="7"/>
      <c r="BG507" s="7"/>
      <c r="BH507" s="8">
        <f>SUM(BC507:BG507)</f>
        <v>0</v>
      </c>
      <c r="BJ507" s="6"/>
      <c r="BK507" s="7"/>
      <c r="BL507" s="7"/>
      <c r="BM507" s="7"/>
      <c r="BN507" s="7"/>
      <c r="BO507" s="8">
        <f>SUM(BJ507:BN507)</f>
        <v>0</v>
      </c>
      <c r="BQ507" s="6"/>
      <c r="BR507" s="7"/>
      <c r="BS507" s="7"/>
      <c r="BT507" s="7"/>
      <c r="BU507" s="7"/>
      <c r="BV507" s="8">
        <f>SUM(BQ507:BU507)</f>
        <v>0</v>
      </c>
      <c r="BX507" s="6"/>
      <c r="BY507" s="7"/>
      <c r="BZ507" s="7"/>
      <c r="CA507" s="7"/>
      <c r="CB507" s="7"/>
      <c r="CC507" s="8">
        <f>SUM(BX507:CB507)</f>
        <v>0</v>
      </c>
      <c r="CE507" s="28">
        <f t="shared" si="2314"/>
        <v>0</v>
      </c>
      <c r="CF507" s="29">
        <f t="shared" si="2315"/>
        <v>0</v>
      </c>
      <c r="CG507" s="29">
        <f t="shared" si="2316"/>
        <v>0</v>
      </c>
      <c r="CH507" s="29">
        <f t="shared" si="2317"/>
        <v>0</v>
      </c>
      <c r="CI507" s="29">
        <f t="shared" si="2318"/>
        <v>0</v>
      </c>
      <c r="CJ507" s="8">
        <f>SUM(CE507:CI507)</f>
        <v>0</v>
      </c>
      <c r="CL507" s="6"/>
      <c r="CM507" s="7"/>
      <c r="CN507" s="7"/>
      <c r="CO507" s="7"/>
      <c r="CP507" s="7"/>
      <c r="CQ507" s="8">
        <f>SUM(CL507:CP507)</f>
        <v>0</v>
      </c>
      <c r="CS507" s="6"/>
      <c r="CT507" s="7"/>
      <c r="CU507" s="7"/>
      <c r="CV507" s="7"/>
      <c r="CW507" s="7"/>
      <c r="CX507" s="8">
        <f t="shared" si="2323"/>
        <v>0</v>
      </c>
      <c r="CZ507" s="6"/>
      <c r="DA507" s="7"/>
      <c r="DB507" s="7"/>
      <c r="DC507" s="7"/>
      <c r="DD507" s="7"/>
      <c r="DE507" s="8">
        <f t="shared" si="2324"/>
        <v>0</v>
      </c>
    </row>
    <row r="508" spans="3:109" ht="14" thickBot="1">
      <c r="C508" s="567"/>
      <c r="E508" s="14" t="s">
        <v>62</v>
      </c>
      <c r="F508" s="23">
        <f t="shared" si="2319"/>
        <v>0</v>
      </c>
      <c r="G508" s="24">
        <f t="shared" si="2310"/>
        <v>0</v>
      </c>
      <c r="H508" s="24">
        <f t="shared" si="2311"/>
        <v>0</v>
      </c>
      <c r="I508" s="24">
        <f t="shared" si="2312"/>
        <v>0</v>
      </c>
      <c r="J508" s="24">
        <f t="shared" si="2313"/>
        <v>0</v>
      </c>
      <c r="K508" s="8">
        <f t="shared" si="2320"/>
        <v>0</v>
      </c>
      <c r="M508" s="6"/>
      <c r="N508" s="7"/>
      <c r="O508" s="7"/>
      <c r="P508" s="7"/>
      <c r="Q508" s="7"/>
      <c r="R508" s="8">
        <f t="shared" si="2321"/>
        <v>0</v>
      </c>
      <c r="T508" s="6"/>
      <c r="U508" s="7"/>
      <c r="V508" s="7"/>
      <c r="W508" s="7"/>
      <c r="X508" s="7"/>
      <c r="Y508" s="8">
        <f t="shared" si="2322"/>
        <v>0</v>
      </c>
      <c r="AA508" s="6"/>
      <c r="AB508" s="7"/>
      <c r="AC508" s="7"/>
      <c r="AD508" s="7"/>
      <c r="AE508" s="7"/>
      <c r="AF508" s="8">
        <f>SUM(AA508:AE508)</f>
        <v>0</v>
      </c>
      <c r="AH508" s="6"/>
      <c r="AI508" s="7"/>
      <c r="AJ508" s="7"/>
      <c r="AK508" s="7"/>
      <c r="AL508" s="7"/>
      <c r="AM508" s="8">
        <f>SUM(AH508:AL508)</f>
        <v>0</v>
      </c>
      <c r="AO508" s="6"/>
      <c r="AP508" s="7"/>
      <c r="AQ508" s="7"/>
      <c r="AR508" s="7"/>
      <c r="AS508" s="7"/>
      <c r="AT508" s="8">
        <f>SUM(AO508:AS508)</f>
        <v>0</v>
      </c>
      <c r="AV508" s="6"/>
      <c r="AW508" s="7"/>
      <c r="AX508" s="7"/>
      <c r="AY508" s="7"/>
      <c r="AZ508" s="7"/>
      <c r="BA508" s="8">
        <f>SUM(AV508:AZ508)</f>
        <v>0</v>
      </c>
      <c r="BC508" s="6"/>
      <c r="BD508" s="7"/>
      <c r="BE508" s="7"/>
      <c r="BF508" s="7"/>
      <c r="BG508" s="7"/>
      <c r="BH508" s="8">
        <f>SUM(BC508:BG508)</f>
        <v>0</v>
      </c>
      <c r="BJ508" s="6"/>
      <c r="BK508" s="7"/>
      <c r="BL508" s="7"/>
      <c r="BM508" s="7"/>
      <c r="BN508" s="7"/>
      <c r="BO508" s="8">
        <f>SUM(BJ508:BN508)</f>
        <v>0</v>
      </c>
      <c r="BQ508" s="6"/>
      <c r="BR508" s="7"/>
      <c r="BS508" s="7"/>
      <c r="BT508" s="7"/>
      <c r="BU508" s="7"/>
      <c r="BV508" s="8">
        <f>SUM(BQ508:BU508)</f>
        <v>0</v>
      </c>
      <c r="BX508" s="6"/>
      <c r="BY508" s="7"/>
      <c r="BZ508" s="7"/>
      <c r="CA508" s="7"/>
      <c r="CB508" s="7"/>
      <c r="CC508" s="8">
        <f>SUM(BX508:CB508)</f>
        <v>0</v>
      </c>
      <c r="CE508" s="493">
        <f t="shared" si="2314"/>
        <v>0</v>
      </c>
      <c r="CF508" s="494">
        <f t="shared" si="2315"/>
        <v>0</v>
      </c>
      <c r="CG508" s="494">
        <f t="shared" si="2316"/>
        <v>0</v>
      </c>
      <c r="CH508" s="494">
        <f t="shared" si="2317"/>
        <v>0</v>
      </c>
      <c r="CI508" s="494">
        <f t="shared" si="2318"/>
        <v>0</v>
      </c>
      <c r="CJ508" s="495">
        <f>SUM(CE508:CI508)</f>
        <v>0</v>
      </c>
      <c r="CL508" s="6"/>
      <c r="CM508" s="7"/>
      <c r="CN508" s="7"/>
      <c r="CO508" s="7"/>
      <c r="CP508" s="7"/>
      <c r="CQ508" s="8">
        <f>SUM(CL508:CP508)</f>
        <v>0</v>
      </c>
      <c r="CS508" s="6"/>
      <c r="CT508" s="7"/>
      <c r="CU508" s="7"/>
      <c r="CV508" s="7"/>
      <c r="CW508" s="7"/>
      <c r="CX508" s="8">
        <f t="shared" si="2323"/>
        <v>0</v>
      </c>
      <c r="CZ508" s="6"/>
      <c r="DA508" s="7"/>
      <c r="DB508" s="7"/>
      <c r="DC508" s="7"/>
      <c r="DD508" s="7"/>
      <c r="DE508" s="8">
        <f t="shared" si="2324"/>
        <v>0</v>
      </c>
    </row>
    <row r="509" spans="3:109" ht="14" thickBot="1">
      <c r="C509" s="554"/>
      <c r="E509" s="17"/>
      <c r="F509" s="10">
        <f>SUM(F505:F508)</f>
        <v>0</v>
      </c>
      <c r="G509" s="11">
        <f t="shared" ref="G509:J509" si="2325">SUM(G505:G508)</f>
        <v>0</v>
      </c>
      <c r="H509" s="11">
        <f t="shared" si="2325"/>
        <v>0</v>
      </c>
      <c r="I509" s="11">
        <f t="shared" si="2325"/>
        <v>0</v>
      </c>
      <c r="J509" s="11">
        <f t="shared" si="2325"/>
        <v>0</v>
      </c>
      <c r="K509" s="25">
        <f>SUM(K505:K508)</f>
        <v>0</v>
      </c>
      <c r="M509" s="10">
        <f>SUM(M505:M508)</f>
        <v>0</v>
      </c>
      <c r="N509" s="11">
        <f t="shared" ref="N509:Q509" si="2326">SUM(N505:N508)</f>
        <v>0</v>
      </c>
      <c r="O509" s="11">
        <f t="shared" si="2326"/>
        <v>0</v>
      </c>
      <c r="P509" s="11">
        <f t="shared" si="2326"/>
        <v>0</v>
      </c>
      <c r="Q509" s="11">
        <f t="shared" si="2326"/>
        <v>0</v>
      </c>
      <c r="R509" s="25">
        <f>SUM(R505:R508)</f>
        <v>0</v>
      </c>
      <c r="T509" s="10">
        <f>SUM(T505:T508)</f>
        <v>0</v>
      </c>
      <c r="U509" s="11">
        <f t="shared" ref="U509:X509" si="2327">SUM(U505:U508)</f>
        <v>0</v>
      </c>
      <c r="V509" s="11">
        <f t="shared" si="2327"/>
        <v>0</v>
      </c>
      <c r="W509" s="11">
        <f t="shared" si="2327"/>
        <v>0</v>
      </c>
      <c r="X509" s="11">
        <f t="shared" si="2327"/>
        <v>0</v>
      </c>
      <c r="Y509" s="25">
        <f>SUM(Y505:Y508)</f>
        <v>0</v>
      </c>
      <c r="AA509" s="10">
        <f>SUM(AA505:AA508)</f>
        <v>0</v>
      </c>
      <c r="AB509" s="11">
        <f t="shared" ref="AB509:AE509" si="2328">SUM(AB505:AB508)</f>
        <v>0</v>
      </c>
      <c r="AC509" s="11">
        <f t="shared" si="2328"/>
        <v>0</v>
      </c>
      <c r="AD509" s="11">
        <f t="shared" si="2328"/>
        <v>0</v>
      </c>
      <c r="AE509" s="11">
        <f t="shared" si="2328"/>
        <v>0</v>
      </c>
      <c r="AF509" s="25">
        <f>SUM(AF505:AF508)</f>
        <v>0</v>
      </c>
      <c r="AH509" s="10">
        <f>SUM(AH505:AH508)</f>
        <v>0</v>
      </c>
      <c r="AI509" s="11">
        <f t="shared" ref="AI509:AL509" si="2329">SUM(AI505:AI508)</f>
        <v>0</v>
      </c>
      <c r="AJ509" s="11">
        <f t="shared" si="2329"/>
        <v>0</v>
      </c>
      <c r="AK509" s="11">
        <f t="shared" si="2329"/>
        <v>0</v>
      </c>
      <c r="AL509" s="11">
        <f t="shared" si="2329"/>
        <v>0</v>
      </c>
      <c r="AM509" s="25">
        <f>SUM(AM505:AM508)</f>
        <v>0</v>
      </c>
      <c r="AO509" s="10">
        <f>SUM(AO505:AO508)</f>
        <v>0</v>
      </c>
      <c r="AP509" s="11">
        <f t="shared" ref="AP509:AS509" si="2330">SUM(AP505:AP508)</f>
        <v>0</v>
      </c>
      <c r="AQ509" s="11">
        <f t="shared" si="2330"/>
        <v>0</v>
      </c>
      <c r="AR509" s="11">
        <f t="shared" si="2330"/>
        <v>0</v>
      </c>
      <c r="AS509" s="11">
        <f t="shared" si="2330"/>
        <v>0</v>
      </c>
      <c r="AT509" s="25">
        <f>SUM(AT505:AT508)</f>
        <v>0</v>
      </c>
      <c r="AV509" s="10">
        <f>SUM(AV505:AV508)</f>
        <v>0</v>
      </c>
      <c r="AW509" s="11">
        <f t="shared" ref="AW509:AZ509" si="2331">SUM(AW505:AW508)</f>
        <v>0</v>
      </c>
      <c r="AX509" s="11">
        <f t="shared" si="2331"/>
        <v>0</v>
      </c>
      <c r="AY509" s="11">
        <f t="shared" si="2331"/>
        <v>0</v>
      </c>
      <c r="AZ509" s="11">
        <f t="shared" si="2331"/>
        <v>0</v>
      </c>
      <c r="BA509" s="25">
        <f>SUM(BA505:BA508)</f>
        <v>0</v>
      </c>
      <c r="BC509" s="10">
        <f>SUM(BC505:BC508)</f>
        <v>0</v>
      </c>
      <c r="BD509" s="11">
        <f t="shared" ref="BD509:BG509" si="2332">SUM(BD505:BD508)</f>
        <v>0</v>
      </c>
      <c r="BE509" s="11">
        <f t="shared" si="2332"/>
        <v>0</v>
      </c>
      <c r="BF509" s="11">
        <f t="shared" si="2332"/>
        <v>0</v>
      </c>
      <c r="BG509" s="11">
        <f t="shared" si="2332"/>
        <v>0</v>
      </c>
      <c r="BH509" s="25">
        <f>SUM(BH505:BH508)</f>
        <v>0</v>
      </c>
      <c r="BJ509" s="10">
        <f>SUM(BJ505:BJ508)</f>
        <v>0</v>
      </c>
      <c r="BK509" s="11">
        <f t="shared" ref="BK509:BN509" si="2333">SUM(BK505:BK508)</f>
        <v>0</v>
      </c>
      <c r="BL509" s="11">
        <f t="shared" si="2333"/>
        <v>0</v>
      </c>
      <c r="BM509" s="11">
        <f t="shared" si="2333"/>
        <v>0</v>
      </c>
      <c r="BN509" s="11">
        <f t="shared" si="2333"/>
        <v>0</v>
      </c>
      <c r="BO509" s="25">
        <f>SUM(BO505:BO508)</f>
        <v>0</v>
      </c>
      <c r="BQ509" s="10">
        <f>SUM(BQ505:BQ508)</f>
        <v>0</v>
      </c>
      <c r="BR509" s="11">
        <f t="shared" ref="BR509:BU509" si="2334">SUM(BR505:BR508)</f>
        <v>0</v>
      </c>
      <c r="BS509" s="11">
        <f t="shared" si="2334"/>
        <v>0</v>
      </c>
      <c r="BT509" s="11">
        <f t="shared" si="2334"/>
        <v>0</v>
      </c>
      <c r="BU509" s="11">
        <f t="shared" si="2334"/>
        <v>0</v>
      </c>
      <c r="BV509" s="25">
        <f>SUM(BV505:BV508)</f>
        <v>0</v>
      </c>
      <c r="BX509" s="10">
        <f>SUM(BX505:BX508)</f>
        <v>0</v>
      </c>
      <c r="BY509" s="11">
        <f t="shared" ref="BY509:CB509" si="2335">SUM(BY505:BY508)</f>
        <v>0</v>
      </c>
      <c r="BZ509" s="11">
        <f t="shared" si="2335"/>
        <v>0</v>
      </c>
      <c r="CA509" s="11">
        <f t="shared" si="2335"/>
        <v>0</v>
      </c>
      <c r="CB509" s="11">
        <f t="shared" si="2335"/>
        <v>0</v>
      </c>
      <c r="CC509" s="25">
        <f>SUM(CC505:CC508)</f>
        <v>0</v>
      </c>
      <c r="CE509" s="62">
        <f t="shared" ref="CE509:CJ509" si="2336">SUM(CE505:CE508)</f>
        <v>0</v>
      </c>
      <c r="CF509" s="63">
        <f t="shared" si="2336"/>
        <v>0</v>
      </c>
      <c r="CG509" s="63">
        <f t="shared" si="2336"/>
        <v>0</v>
      </c>
      <c r="CH509" s="63">
        <f t="shared" si="2336"/>
        <v>0</v>
      </c>
      <c r="CI509" s="63">
        <f t="shared" si="2336"/>
        <v>0</v>
      </c>
      <c r="CJ509" s="25">
        <f t="shared" si="2336"/>
        <v>0</v>
      </c>
      <c r="CL509" s="10">
        <f>SUM(CL505:CL508)</f>
        <v>0</v>
      </c>
      <c r="CM509" s="11">
        <f t="shared" ref="CM509:CP509" si="2337">SUM(CM505:CM508)</f>
        <v>0</v>
      </c>
      <c r="CN509" s="11">
        <f t="shared" si="2337"/>
        <v>0</v>
      </c>
      <c r="CO509" s="11">
        <f t="shared" si="2337"/>
        <v>0</v>
      </c>
      <c r="CP509" s="11">
        <f t="shared" si="2337"/>
        <v>0</v>
      </c>
      <c r="CQ509" s="25">
        <f>SUM(CQ505:CQ508)</f>
        <v>0</v>
      </c>
      <c r="CS509" s="10">
        <f>SUM(CS505:CS508)</f>
        <v>0</v>
      </c>
      <c r="CT509" s="11">
        <f t="shared" ref="CT509:CW509" si="2338">SUM(CT505:CT508)</f>
        <v>0</v>
      </c>
      <c r="CU509" s="11">
        <f t="shared" si="2338"/>
        <v>0</v>
      </c>
      <c r="CV509" s="11">
        <f t="shared" si="2338"/>
        <v>0</v>
      </c>
      <c r="CW509" s="11">
        <f t="shared" si="2338"/>
        <v>0</v>
      </c>
      <c r="CX509" s="25">
        <f>SUM(CX505:CX508)</f>
        <v>0</v>
      </c>
      <c r="CZ509" s="10">
        <f>SUM(CZ505:CZ508)</f>
        <v>0</v>
      </c>
      <c r="DA509" s="11">
        <f t="shared" ref="DA509:DD509" si="2339">SUM(DA505:DA508)</f>
        <v>0</v>
      </c>
      <c r="DB509" s="11">
        <f t="shared" si="2339"/>
        <v>0</v>
      </c>
      <c r="DC509" s="11">
        <f t="shared" si="2339"/>
        <v>0</v>
      </c>
      <c r="DD509" s="11">
        <f t="shared" si="2339"/>
        <v>0</v>
      </c>
      <c r="DE509" s="25">
        <f>SUM(DE505:DE508)</f>
        <v>0</v>
      </c>
    </row>
    <row r="510" spans="3:109" ht="10.4" customHeight="1" thickBot="1"/>
    <row r="511" spans="3:109">
      <c r="C511" s="553">
        <v>2028</v>
      </c>
      <c r="E511" s="13" t="s">
        <v>59</v>
      </c>
      <c r="F511" s="21">
        <f>CE505</f>
        <v>0</v>
      </c>
      <c r="G511" s="22">
        <f t="shared" ref="G511:G514" si="2340">CF505</f>
        <v>0</v>
      </c>
      <c r="H511" s="22">
        <f t="shared" ref="H511:H514" si="2341">CG505</f>
        <v>0</v>
      </c>
      <c r="I511" s="22">
        <f t="shared" ref="I511:I514" si="2342">CH505</f>
        <v>0</v>
      </c>
      <c r="J511" s="22">
        <f t="shared" ref="J511:J514" si="2343">CI505</f>
        <v>0</v>
      </c>
      <c r="K511" s="4">
        <f>SUM(F511:J511)</f>
        <v>0</v>
      </c>
      <c r="M511" s="2"/>
      <c r="N511" s="3"/>
      <c r="O511" s="3"/>
      <c r="P511" s="3"/>
      <c r="Q511" s="3"/>
      <c r="R511" s="4">
        <f>SUM(M511:Q511)</f>
        <v>0</v>
      </c>
      <c r="T511" s="2"/>
      <c r="U511" s="3"/>
      <c r="V511" s="3"/>
      <c r="W511" s="3"/>
      <c r="X511" s="3"/>
      <c r="Y511" s="4">
        <f>SUM(T511:X511)</f>
        <v>0</v>
      </c>
      <c r="AA511" s="2"/>
      <c r="AB511" s="3"/>
      <c r="AC511" s="3"/>
      <c r="AD511" s="3"/>
      <c r="AE511" s="3"/>
      <c r="AF511" s="4">
        <f>SUM(AA511:AE511)</f>
        <v>0</v>
      </c>
      <c r="AH511" s="2"/>
      <c r="AI511" s="3"/>
      <c r="AJ511" s="3"/>
      <c r="AK511" s="3"/>
      <c r="AL511" s="3"/>
      <c r="AM511" s="4">
        <f>SUM(AH511:AL511)</f>
        <v>0</v>
      </c>
      <c r="AO511" s="2"/>
      <c r="AP511" s="3"/>
      <c r="AQ511" s="3"/>
      <c r="AR511" s="3"/>
      <c r="AS511" s="3"/>
      <c r="AT511" s="4">
        <f>SUM(AO511:AS511)</f>
        <v>0</v>
      </c>
      <c r="AV511" s="2"/>
      <c r="AW511" s="3"/>
      <c r="AX511" s="3"/>
      <c r="AY511" s="3"/>
      <c r="AZ511" s="3"/>
      <c r="BA511" s="4">
        <f>SUM(AV511:AZ511)</f>
        <v>0</v>
      </c>
      <c r="BC511" s="2"/>
      <c r="BD511" s="3"/>
      <c r="BE511" s="3"/>
      <c r="BF511" s="3"/>
      <c r="BG511" s="3"/>
      <c r="BH511" s="4">
        <f>SUM(BC511:BG511)</f>
        <v>0</v>
      </c>
      <c r="BJ511" s="2"/>
      <c r="BK511" s="3"/>
      <c r="BL511" s="3"/>
      <c r="BM511" s="3"/>
      <c r="BN511" s="3"/>
      <c r="BO511" s="4">
        <f>SUM(BJ511:BN511)</f>
        <v>0</v>
      </c>
      <c r="BQ511" s="2"/>
      <c r="BR511" s="3"/>
      <c r="BS511" s="3"/>
      <c r="BT511" s="3"/>
      <c r="BU511" s="3"/>
      <c r="BV511" s="4">
        <f>SUM(BQ511:BU511)</f>
        <v>0</v>
      </c>
      <c r="BX511" s="2"/>
      <c r="BY511" s="3"/>
      <c r="BZ511" s="3"/>
      <c r="CA511" s="3"/>
      <c r="CB511" s="3"/>
      <c r="CC511" s="4">
        <f>SUM(BX511:CB511)</f>
        <v>0</v>
      </c>
      <c r="CE511" s="26">
        <f t="shared" ref="CE511:CE514" si="2344">F511+M511+T511+AA511+AH511+AO511+AV511+BC511+BJ511+BQ511+BX511</f>
        <v>0</v>
      </c>
      <c r="CF511" s="27">
        <f t="shared" ref="CF511:CF514" si="2345">G511+N511+U511+AB511+AI511+AP511+AW511+BD511+BK511+BR511+BY511</f>
        <v>0</v>
      </c>
      <c r="CG511" s="27">
        <f t="shared" ref="CG511:CG514" si="2346">H511+O511+V511+AC511+AJ511+AQ511+AX511+BE511+BL511+BS511+BZ511</f>
        <v>0</v>
      </c>
      <c r="CH511" s="27">
        <f t="shared" ref="CH511:CH514" si="2347">I511+P511+W511+AD511+AK511+AR511+AY511+BF511+BM511+BT511+CA511</f>
        <v>0</v>
      </c>
      <c r="CI511" s="27">
        <f t="shared" ref="CI511:CI514" si="2348">J511+Q511+X511+AE511+AL511+AS511+AZ511+BG511+BN511+BU511+CB511</f>
        <v>0</v>
      </c>
      <c r="CJ511" s="4">
        <f>SUM(CE511:CI511)</f>
        <v>0</v>
      </c>
      <c r="CL511" s="2"/>
      <c r="CM511" s="3"/>
      <c r="CN511" s="3"/>
      <c r="CO511" s="3"/>
      <c r="CP511" s="3"/>
      <c r="CQ511" s="4">
        <f>SUM(CL511:CP511)</f>
        <v>0</v>
      </c>
      <c r="CS511" s="2"/>
      <c r="CT511" s="3"/>
      <c r="CU511" s="3"/>
      <c r="CV511" s="3"/>
      <c r="CW511" s="3"/>
      <c r="CX511" s="4">
        <f>SUM(CS511:CW511)</f>
        <v>0</v>
      </c>
      <c r="CZ511" s="2"/>
      <c r="DA511" s="3"/>
      <c r="DB511" s="3"/>
      <c r="DC511" s="3"/>
      <c r="DD511" s="3"/>
      <c r="DE511" s="4">
        <f>SUM(CZ511:DD511)</f>
        <v>0</v>
      </c>
    </row>
    <row r="512" spans="3:109">
      <c r="C512" s="567"/>
      <c r="E512" s="14" t="s">
        <v>60</v>
      </c>
      <c r="F512" s="23">
        <f t="shared" ref="F512:F514" si="2349">CE506</f>
        <v>0</v>
      </c>
      <c r="G512" s="24">
        <f t="shared" si="2340"/>
        <v>0</v>
      </c>
      <c r="H512" s="24">
        <f t="shared" si="2341"/>
        <v>0</v>
      </c>
      <c r="I512" s="24">
        <f t="shared" si="2342"/>
        <v>0</v>
      </c>
      <c r="J512" s="24">
        <f t="shared" si="2343"/>
        <v>0</v>
      </c>
      <c r="K512" s="8">
        <f t="shared" ref="K512:K514" si="2350">SUM(F512:J512)</f>
        <v>0</v>
      </c>
      <c r="M512" s="6"/>
      <c r="N512" s="7"/>
      <c r="O512" s="7"/>
      <c r="P512" s="7"/>
      <c r="Q512" s="7"/>
      <c r="R512" s="8">
        <f t="shared" ref="R512:R514" si="2351">SUM(M512:Q512)</f>
        <v>0</v>
      </c>
      <c r="T512" s="6"/>
      <c r="U512" s="7"/>
      <c r="V512" s="7"/>
      <c r="W512" s="7"/>
      <c r="X512" s="7"/>
      <c r="Y512" s="8">
        <f t="shared" ref="Y512:Y514" si="2352">SUM(T512:X512)</f>
        <v>0</v>
      </c>
      <c r="AA512" s="6"/>
      <c r="AB512" s="7"/>
      <c r="AC512" s="7"/>
      <c r="AD512" s="7"/>
      <c r="AE512" s="7"/>
      <c r="AF512" s="8">
        <f>SUM(AA512:AE512)</f>
        <v>0</v>
      </c>
      <c r="AH512" s="6"/>
      <c r="AI512" s="7"/>
      <c r="AJ512" s="7"/>
      <c r="AK512" s="7"/>
      <c r="AL512" s="7"/>
      <c r="AM512" s="8">
        <f>SUM(AH512:AL512)</f>
        <v>0</v>
      </c>
      <c r="AO512" s="6"/>
      <c r="AP512" s="7"/>
      <c r="AQ512" s="7"/>
      <c r="AR512" s="7"/>
      <c r="AS512" s="7"/>
      <c r="AT512" s="8">
        <f>SUM(AO512:AS512)</f>
        <v>0</v>
      </c>
      <c r="AV512" s="6"/>
      <c r="AW512" s="7"/>
      <c r="AX512" s="7"/>
      <c r="AY512" s="7"/>
      <c r="AZ512" s="7"/>
      <c r="BA512" s="8">
        <f>SUM(AV512:AZ512)</f>
        <v>0</v>
      </c>
      <c r="BC512" s="6"/>
      <c r="BD512" s="7"/>
      <c r="BE512" s="7"/>
      <c r="BF512" s="7"/>
      <c r="BG512" s="7"/>
      <c r="BH512" s="8">
        <f>SUM(BC512:BG512)</f>
        <v>0</v>
      </c>
      <c r="BJ512" s="6"/>
      <c r="BK512" s="7"/>
      <c r="BL512" s="7"/>
      <c r="BM512" s="7"/>
      <c r="BN512" s="7"/>
      <c r="BO512" s="8">
        <f>SUM(BJ512:BN512)</f>
        <v>0</v>
      </c>
      <c r="BQ512" s="6"/>
      <c r="BR512" s="7"/>
      <c r="BS512" s="7"/>
      <c r="BT512" s="7"/>
      <c r="BU512" s="7"/>
      <c r="BV512" s="8">
        <f>SUM(BQ512:BU512)</f>
        <v>0</v>
      </c>
      <c r="BX512" s="6"/>
      <c r="BY512" s="7"/>
      <c r="BZ512" s="7"/>
      <c r="CA512" s="7"/>
      <c r="CB512" s="7"/>
      <c r="CC512" s="8">
        <f>SUM(BX512:CB512)</f>
        <v>0</v>
      </c>
      <c r="CE512" s="28">
        <f t="shared" si="2344"/>
        <v>0</v>
      </c>
      <c r="CF512" s="29">
        <f t="shared" si="2345"/>
        <v>0</v>
      </c>
      <c r="CG512" s="29">
        <f t="shared" si="2346"/>
        <v>0</v>
      </c>
      <c r="CH512" s="29">
        <f t="shared" si="2347"/>
        <v>0</v>
      </c>
      <c r="CI512" s="29">
        <f t="shared" si="2348"/>
        <v>0</v>
      </c>
      <c r="CJ512" s="8">
        <f>SUM(CE512:CI512)</f>
        <v>0</v>
      </c>
      <c r="CL512" s="6"/>
      <c r="CM512" s="7"/>
      <c r="CN512" s="7"/>
      <c r="CO512" s="7"/>
      <c r="CP512" s="7"/>
      <c r="CQ512" s="8">
        <f>SUM(CL512:CP512)</f>
        <v>0</v>
      </c>
      <c r="CS512" s="6"/>
      <c r="CT512" s="7"/>
      <c r="CU512" s="7"/>
      <c r="CV512" s="7"/>
      <c r="CW512" s="7"/>
      <c r="CX512" s="8">
        <f t="shared" ref="CX512:CX514" si="2353">SUM(CS512:CW512)</f>
        <v>0</v>
      </c>
      <c r="CZ512" s="6"/>
      <c r="DA512" s="7"/>
      <c r="DB512" s="7"/>
      <c r="DC512" s="7"/>
      <c r="DD512" s="7"/>
      <c r="DE512" s="8">
        <f t="shared" ref="DE512:DE514" si="2354">SUM(CZ512:DD512)</f>
        <v>0</v>
      </c>
    </row>
    <row r="513" spans="2:109">
      <c r="C513" s="567"/>
      <c r="E513" s="14" t="s">
        <v>61</v>
      </c>
      <c r="F513" s="23">
        <f t="shared" si="2349"/>
        <v>0</v>
      </c>
      <c r="G513" s="24">
        <f t="shared" si="2340"/>
        <v>0</v>
      </c>
      <c r="H513" s="24">
        <f t="shared" si="2341"/>
        <v>0</v>
      </c>
      <c r="I513" s="24">
        <f t="shared" si="2342"/>
        <v>0</v>
      </c>
      <c r="J513" s="24">
        <f t="shared" si="2343"/>
        <v>0</v>
      </c>
      <c r="K513" s="8">
        <f t="shared" si="2350"/>
        <v>0</v>
      </c>
      <c r="M513" s="6"/>
      <c r="N513" s="7"/>
      <c r="O513" s="7"/>
      <c r="P513" s="7"/>
      <c r="Q513" s="7"/>
      <c r="R513" s="8">
        <f t="shared" si="2351"/>
        <v>0</v>
      </c>
      <c r="T513" s="6"/>
      <c r="U513" s="7"/>
      <c r="V513" s="7"/>
      <c r="W513" s="7"/>
      <c r="X513" s="7"/>
      <c r="Y513" s="8">
        <f t="shared" si="2352"/>
        <v>0</v>
      </c>
      <c r="AA513" s="6"/>
      <c r="AB513" s="7"/>
      <c r="AC513" s="7"/>
      <c r="AD513" s="7"/>
      <c r="AE513" s="7"/>
      <c r="AF513" s="8">
        <f>SUM(AA513:AE513)</f>
        <v>0</v>
      </c>
      <c r="AH513" s="6"/>
      <c r="AI513" s="7"/>
      <c r="AJ513" s="7"/>
      <c r="AK513" s="7"/>
      <c r="AL513" s="7"/>
      <c r="AM513" s="8">
        <f>SUM(AH513:AL513)</f>
        <v>0</v>
      </c>
      <c r="AO513" s="6"/>
      <c r="AP513" s="7"/>
      <c r="AQ513" s="7"/>
      <c r="AR513" s="7"/>
      <c r="AS513" s="7"/>
      <c r="AT513" s="8">
        <f>SUM(AO513:AS513)</f>
        <v>0</v>
      </c>
      <c r="AV513" s="6"/>
      <c r="AW513" s="7"/>
      <c r="AX513" s="7"/>
      <c r="AY513" s="7"/>
      <c r="AZ513" s="7"/>
      <c r="BA513" s="8">
        <f>SUM(AV513:AZ513)</f>
        <v>0</v>
      </c>
      <c r="BC513" s="6"/>
      <c r="BD513" s="7"/>
      <c r="BE513" s="7"/>
      <c r="BF513" s="7"/>
      <c r="BG513" s="7"/>
      <c r="BH513" s="8">
        <f>SUM(BC513:BG513)</f>
        <v>0</v>
      </c>
      <c r="BJ513" s="6"/>
      <c r="BK513" s="7"/>
      <c r="BL513" s="7"/>
      <c r="BM513" s="7"/>
      <c r="BN513" s="7"/>
      <c r="BO513" s="8">
        <f>SUM(BJ513:BN513)</f>
        <v>0</v>
      </c>
      <c r="BQ513" s="6"/>
      <c r="BR513" s="7"/>
      <c r="BS513" s="7"/>
      <c r="BT513" s="7"/>
      <c r="BU513" s="7"/>
      <c r="BV513" s="8">
        <f>SUM(BQ513:BU513)</f>
        <v>0</v>
      </c>
      <c r="BX513" s="6"/>
      <c r="BY513" s="7"/>
      <c r="BZ513" s="7"/>
      <c r="CA513" s="7"/>
      <c r="CB513" s="7"/>
      <c r="CC513" s="8">
        <f>SUM(BX513:CB513)</f>
        <v>0</v>
      </c>
      <c r="CE513" s="28">
        <f t="shared" si="2344"/>
        <v>0</v>
      </c>
      <c r="CF513" s="29">
        <f t="shared" si="2345"/>
        <v>0</v>
      </c>
      <c r="CG513" s="29">
        <f t="shared" si="2346"/>
        <v>0</v>
      </c>
      <c r="CH513" s="29">
        <f t="shared" si="2347"/>
        <v>0</v>
      </c>
      <c r="CI513" s="29">
        <f t="shared" si="2348"/>
        <v>0</v>
      </c>
      <c r="CJ513" s="8">
        <f>SUM(CE513:CI513)</f>
        <v>0</v>
      </c>
      <c r="CL513" s="6"/>
      <c r="CM513" s="7"/>
      <c r="CN513" s="7"/>
      <c r="CO513" s="7"/>
      <c r="CP513" s="7"/>
      <c r="CQ513" s="8">
        <f>SUM(CL513:CP513)</f>
        <v>0</v>
      </c>
      <c r="CS513" s="6"/>
      <c r="CT513" s="7"/>
      <c r="CU513" s="7"/>
      <c r="CV513" s="7"/>
      <c r="CW513" s="7"/>
      <c r="CX513" s="8">
        <f t="shared" si="2353"/>
        <v>0</v>
      </c>
      <c r="CZ513" s="6"/>
      <c r="DA513" s="7"/>
      <c r="DB513" s="7"/>
      <c r="DC513" s="7"/>
      <c r="DD513" s="7"/>
      <c r="DE513" s="8">
        <f t="shared" si="2354"/>
        <v>0</v>
      </c>
    </row>
    <row r="514" spans="2:109" ht="14" thickBot="1">
      <c r="C514" s="567"/>
      <c r="E514" s="14" t="s">
        <v>62</v>
      </c>
      <c r="F514" s="23">
        <f t="shared" si="2349"/>
        <v>0</v>
      </c>
      <c r="G514" s="24">
        <f t="shared" si="2340"/>
        <v>0</v>
      </c>
      <c r="H514" s="24">
        <f t="shared" si="2341"/>
        <v>0</v>
      </c>
      <c r="I514" s="24">
        <f t="shared" si="2342"/>
        <v>0</v>
      </c>
      <c r="J514" s="24">
        <f t="shared" si="2343"/>
        <v>0</v>
      </c>
      <c r="K514" s="8">
        <f t="shared" si="2350"/>
        <v>0</v>
      </c>
      <c r="M514" s="6"/>
      <c r="N514" s="7"/>
      <c r="O514" s="7"/>
      <c r="P514" s="7"/>
      <c r="Q514" s="7"/>
      <c r="R514" s="8">
        <f t="shared" si="2351"/>
        <v>0</v>
      </c>
      <c r="T514" s="6"/>
      <c r="U514" s="7"/>
      <c r="V514" s="7"/>
      <c r="W514" s="7"/>
      <c r="X514" s="7"/>
      <c r="Y514" s="8">
        <f t="shared" si="2352"/>
        <v>0</v>
      </c>
      <c r="AA514" s="6"/>
      <c r="AB514" s="7"/>
      <c r="AC514" s="7"/>
      <c r="AD514" s="7"/>
      <c r="AE514" s="7"/>
      <c r="AF514" s="8">
        <f>SUM(AA514:AE514)</f>
        <v>0</v>
      </c>
      <c r="AH514" s="6"/>
      <c r="AI514" s="7"/>
      <c r="AJ514" s="7"/>
      <c r="AK514" s="7"/>
      <c r="AL514" s="7"/>
      <c r="AM514" s="8">
        <f>SUM(AH514:AL514)</f>
        <v>0</v>
      </c>
      <c r="AO514" s="6"/>
      <c r="AP514" s="7"/>
      <c r="AQ514" s="7"/>
      <c r="AR514" s="7"/>
      <c r="AS514" s="7"/>
      <c r="AT514" s="8">
        <f>SUM(AO514:AS514)</f>
        <v>0</v>
      </c>
      <c r="AV514" s="6"/>
      <c r="AW514" s="7"/>
      <c r="AX514" s="7"/>
      <c r="AY514" s="7"/>
      <c r="AZ514" s="7"/>
      <c r="BA514" s="8">
        <f>SUM(AV514:AZ514)</f>
        <v>0</v>
      </c>
      <c r="BC514" s="6"/>
      <c r="BD514" s="7"/>
      <c r="BE514" s="7"/>
      <c r="BF514" s="7"/>
      <c r="BG514" s="7"/>
      <c r="BH514" s="8">
        <f>SUM(BC514:BG514)</f>
        <v>0</v>
      </c>
      <c r="BJ514" s="6"/>
      <c r="BK514" s="7"/>
      <c r="BL514" s="7"/>
      <c r="BM514" s="7"/>
      <c r="BN514" s="7"/>
      <c r="BO514" s="8">
        <f>SUM(BJ514:BN514)</f>
        <v>0</v>
      </c>
      <c r="BQ514" s="6"/>
      <c r="BR514" s="7"/>
      <c r="BS514" s="7"/>
      <c r="BT514" s="7"/>
      <c r="BU514" s="7"/>
      <c r="BV514" s="8">
        <f>SUM(BQ514:BU514)</f>
        <v>0</v>
      </c>
      <c r="BX514" s="6"/>
      <c r="BY514" s="7"/>
      <c r="BZ514" s="7"/>
      <c r="CA514" s="7"/>
      <c r="CB514" s="7"/>
      <c r="CC514" s="8">
        <f>SUM(BX514:CB514)</f>
        <v>0</v>
      </c>
      <c r="CE514" s="493">
        <f t="shared" si="2344"/>
        <v>0</v>
      </c>
      <c r="CF514" s="494">
        <f t="shared" si="2345"/>
        <v>0</v>
      </c>
      <c r="CG514" s="494">
        <f t="shared" si="2346"/>
        <v>0</v>
      </c>
      <c r="CH514" s="494">
        <f t="shared" si="2347"/>
        <v>0</v>
      </c>
      <c r="CI514" s="494">
        <f t="shared" si="2348"/>
        <v>0</v>
      </c>
      <c r="CJ514" s="495">
        <f>SUM(CE514:CI514)</f>
        <v>0</v>
      </c>
      <c r="CL514" s="6"/>
      <c r="CM514" s="7"/>
      <c r="CN514" s="7"/>
      <c r="CO514" s="7"/>
      <c r="CP514" s="7"/>
      <c r="CQ514" s="8">
        <f>SUM(CL514:CP514)</f>
        <v>0</v>
      </c>
      <c r="CS514" s="6"/>
      <c r="CT514" s="7"/>
      <c r="CU514" s="7"/>
      <c r="CV514" s="7"/>
      <c r="CW514" s="7"/>
      <c r="CX514" s="8">
        <f t="shared" si="2353"/>
        <v>0</v>
      </c>
      <c r="CZ514" s="6"/>
      <c r="DA514" s="7"/>
      <c r="DB514" s="7"/>
      <c r="DC514" s="7"/>
      <c r="DD514" s="7"/>
      <c r="DE514" s="8">
        <f t="shared" si="2354"/>
        <v>0</v>
      </c>
    </row>
    <row r="515" spans="2:109" ht="14" thickBot="1">
      <c r="C515" s="554"/>
      <c r="E515" s="9"/>
      <c r="F515" s="10">
        <f>SUM(F511:F514)</f>
        <v>0</v>
      </c>
      <c r="G515" s="11">
        <f t="shared" ref="G515:J515" si="2355">SUM(G511:G514)</f>
        <v>0</v>
      </c>
      <c r="H515" s="11">
        <f t="shared" si="2355"/>
        <v>0</v>
      </c>
      <c r="I515" s="11">
        <f t="shared" si="2355"/>
        <v>0</v>
      </c>
      <c r="J515" s="11">
        <f t="shared" si="2355"/>
        <v>0</v>
      </c>
      <c r="K515" s="25">
        <f>SUM(K511:K514)</f>
        <v>0</v>
      </c>
      <c r="M515" s="10">
        <f>SUM(M511:M514)</f>
        <v>0</v>
      </c>
      <c r="N515" s="11">
        <f t="shared" ref="N515:Q515" si="2356">SUM(N511:N514)</f>
        <v>0</v>
      </c>
      <c r="O515" s="11">
        <f t="shared" si="2356"/>
        <v>0</v>
      </c>
      <c r="P515" s="11">
        <f t="shared" si="2356"/>
        <v>0</v>
      </c>
      <c r="Q515" s="11">
        <f t="shared" si="2356"/>
        <v>0</v>
      </c>
      <c r="R515" s="25">
        <f>SUM(R511:R514)</f>
        <v>0</v>
      </c>
      <c r="T515" s="10">
        <f>SUM(T511:T514)</f>
        <v>0</v>
      </c>
      <c r="U515" s="11">
        <f t="shared" ref="U515:X515" si="2357">SUM(U511:U514)</f>
        <v>0</v>
      </c>
      <c r="V515" s="11">
        <f t="shared" si="2357"/>
        <v>0</v>
      </c>
      <c r="W515" s="11">
        <f t="shared" si="2357"/>
        <v>0</v>
      </c>
      <c r="X515" s="11">
        <f t="shared" si="2357"/>
        <v>0</v>
      </c>
      <c r="Y515" s="25">
        <f>SUM(Y511:Y514)</f>
        <v>0</v>
      </c>
      <c r="AA515" s="10">
        <f>SUM(AA511:AA514)</f>
        <v>0</v>
      </c>
      <c r="AB515" s="11">
        <f t="shared" ref="AB515:AE515" si="2358">SUM(AB511:AB514)</f>
        <v>0</v>
      </c>
      <c r="AC515" s="11">
        <f t="shared" si="2358"/>
        <v>0</v>
      </c>
      <c r="AD515" s="11">
        <f t="shared" si="2358"/>
        <v>0</v>
      </c>
      <c r="AE515" s="11">
        <f t="shared" si="2358"/>
        <v>0</v>
      </c>
      <c r="AF515" s="25">
        <f>SUM(AF511:AF514)</f>
        <v>0</v>
      </c>
      <c r="AH515" s="10">
        <f>SUM(AH511:AH514)</f>
        <v>0</v>
      </c>
      <c r="AI515" s="11">
        <f t="shared" ref="AI515:AL515" si="2359">SUM(AI511:AI514)</f>
        <v>0</v>
      </c>
      <c r="AJ515" s="11">
        <f t="shared" si="2359"/>
        <v>0</v>
      </c>
      <c r="AK515" s="11">
        <f t="shared" si="2359"/>
        <v>0</v>
      </c>
      <c r="AL515" s="11">
        <f t="shared" si="2359"/>
        <v>0</v>
      </c>
      <c r="AM515" s="25">
        <f>SUM(AM511:AM514)</f>
        <v>0</v>
      </c>
      <c r="AO515" s="10">
        <f>SUM(AO511:AO514)</f>
        <v>0</v>
      </c>
      <c r="AP515" s="11">
        <f t="shared" ref="AP515:AS515" si="2360">SUM(AP511:AP514)</f>
        <v>0</v>
      </c>
      <c r="AQ515" s="11">
        <f t="shared" si="2360"/>
        <v>0</v>
      </c>
      <c r="AR515" s="11">
        <f t="shared" si="2360"/>
        <v>0</v>
      </c>
      <c r="AS515" s="11">
        <f t="shared" si="2360"/>
        <v>0</v>
      </c>
      <c r="AT515" s="25">
        <f>SUM(AT511:AT514)</f>
        <v>0</v>
      </c>
      <c r="AV515" s="10">
        <f>SUM(AV511:AV514)</f>
        <v>0</v>
      </c>
      <c r="AW515" s="11">
        <f t="shared" ref="AW515:AZ515" si="2361">SUM(AW511:AW514)</f>
        <v>0</v>
      </c>
      <c r="AX515" s="11">
        <f t="shared" si="2361"/>
        <v>0</v>
      </c>
      <c r="AY515" s="11">
        <f t="shared" si="2361"/>
        <v>0</v>
      </c>
      <c r="AZ515" s="11">
        <f t="shared" si="2361"/>
        <v>0</v>
      </c>
      <c r="BA515" s="25">
        <f>SUM(BA511:BA514)</f>
        <v>0</v>
      </c>
      <c r="BC515" s="10">
        <f>SUM(BC511:BC514)</f>
        <v>0</v>
      </c>
      <c r="BD515" s="11">
        <f t="shared" ref="BD515:BG515" si="2362">SUM(BD511:BD514)</f>
        <v>0</v>
      </c>
      <c r="BE515" s="11">
        <f t="shared" si="2362"/>
        <v>0</v>
      </c>
      <c r="BF515" s="11">
        <f t="shared" si="2362"/>
        <v>0</v>
      </c>
      <c r="BG515" s="11">
        <f t="shared" si="2362"/>
        <v>0</v>
      </c>
      <c r="BH515" s="25">
        <f>SUM(BH511:BH514)</f>
        <v>0</v>
      </c>
      <c r="BJ515" s="10">
        <f>SUM(BJ511:BJ514)</f>
        <v>0</v>
      </c>
      <c r="BK515" s="11">
        <f t="shared" ref="BK515:BN515" si="2363">SUM(BK511:BK514)</f>
        <v>0</v>
      </c>
      <c r="BL515" s="11">
        <f t="shared" si="2363"/>
        <v>0</v>
      </c>
      <c r="BM515" s="11">
        <f t="shared" si="2363"/>
        <v>0</v>
      </c>
      <c r="BN515" s="11">
        <f t="shared" si="2363"/>
        <v>0</v>
      </c>
      <c r="BO515" s="25">
        <f>SUM(BO511:BO514)</f>
        <v>0</v>
      </c>
      <c r="BQ515" s="10">
        <f>SUM(BQ511:BQ514)</f>
        <v>0</v>
      </c>
      <c r="BR515" s="11">
        <f t="shared" ref="BR515:BU515" si="2364">SUM(BR511:BR514)</f>
        <v>0</v>
      </c>
      <c r="BS515" s="11">
        <f t="shared" si="2364"/>
        <v>0</v>
      </c>
      <c r="BT515" s="11">
        <f t="shared" si="2364"/>
        <v>0</v>
      </c>
      <c r="BU515" s="11">
        <f t="shared" si="2364"/>
        <v>0</v>
      </c>
      <c r="BV515" s="25">
        <f>SUM(BV511:BV514)</f>
        <v>0</v>
      </c>
      <c r="BX515" s="10">
        <f>SUM(BX511:BX514)</f>
        <v>0</v>
      </c>
      <c r="BY515" s="11">
        <f t="shared" ref="BY515:CB515" si="2365">SUM(BY511:BY514)</f>
        <v>0</v>
      </c>
      <c r="BZ515" s="11">
        <f t="shared" si="2365"/>
        <v>0</v>
      </c>
      <c r="CA515" s="11">
        <f t="shared" si="2365"/>
        <v>0</v>
      </c>
      <c r="CB515" s="11">
        <f t="shared" si="2365"/>
        <v>0</v>
      </c>
      <c r="CC515" s="25">
        <f>SUM(CC511:CC514)</f>
        <v>0</v>
      </c>
      <c r="CE515" s="62">
        <f t="shared" ref="CE515:CJ515" si="2366">SUM(CE511:CE514)</f>
        <v>0</v>
      </c>
      <c r="CF515" s="63">
        <f t="shared" si="2366"/>
        <v>0</v>
      </c>
      <c r="CG515" s="63">
        <f t="shared" si="2366"/>
        <v>0</v>
      </c>
      <c r="CH515" s="63">
        <f t="shared" si="2366"/>
        <v>0</v>
      </c>
      <c r="CI515" s="63">
        <f t="shared" si="2366"/>
        <v>0</v>
      </c>
      <c r="CJ515" s="25">
        <f t="shared" si="2366"/>
        <v>0</v>
      </c>
      <c r="CL515" s="10">
        <f>SUM(CL511:CL514)</f>
        <v>0</v>
      </c>
      <c r="CM515" s="11">
        <f t="shared" ref="CM515:CP515" si="2367">SUM(CM511:CM514)</f>
        <v>0</v>
      </c>
      <c r="CN515" s="11">
        <f t="shared" si="2367"/>
        <v>0</v>
      </c>
      <c r="CO515" s="11">
        <f t="shared" si="2367"/>
        <v>0</v>
      </c>
      <c r="CP515" s="11">
        <f t="shared" si="2367"/>
        <v>0</v>
      </c>
      <c r="CQ515" s="25">
        <f>SUM(CQ511:CQ514)</f>
        <v>0</v>
      </c>
      <c r="CS515" s="10">
        <f>SUM(CS511:CS514)</f>
        <v>0</v>
      </c>
      <c r="CT515" s="11">
        <f t="shared" ref="CT515:CW515" si="2368">SUM(CT511:CT514)</f>
        <v>0</v>
      </c>
      <c r="CU515" s="11">
        <f t="shared" si="2368"/>
        <v>0</v>
      </c>
      <c r="CV515" s="11">
        <f t="shared" si="2368"/>
        <v>0</v>
      </c>
      <c r="CW515" s="11">
        <f t="shared" si="2368"/>
        <v>0</v>
      </c>
      <c r="CX515" s="25">
        <f>SUM(CX511:CX514)</f>
        <v>0</v>
      </c>
      <c r="CZ515" s="10">
        <f>SUM(CZ511:CZ514)</f>
        <v>0</v>
      </c>
      <c r="DA515" s="11">
        <f t="shared" ref="DA515:DD515" si="2369">SUM(DA511:DA514)</f>
        <v>0</v>
      </c>
      <c r="DB515" s="11">
        <f t="shared" si="2369"/>
        <v>0</v>
      </c>
      <c r="DC515" s="11">
        <f t="shared" si="2369"/>
        <v>0</v>
      </c>
      <c r="DD515" s="11">
        <f t="shared" si="2369"/>
        <v>0</v>
      </c>
      <c r="DE515" s="25">
        <f>SUM(DE511:DE514)</f>
        <v>0</v>
      </c>
    </row>
    <row r="517" spans="2:109">
      <c r="B517" s="123"/>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20"/>
      <c r="BQ517" s="20"/>
      <c r="BR517" s="20"/>
      <c r="BS517" s="20"/>
      <c r="BT517" s="20"/>
      <c r="BU517" s="20"/>
      <c r="BV517" s="20"/>
      <c r="BW517" s="20"/>
      <c r="BX517" s="20"/>
      <c r="BY517" s="20"/>
      <c r="BZ517" s="20"/>
      <c r="CA517" s="20"/>
      <c r="CB517" s="20"/>
      <c r="CC517" s="20"/>
      <c r="CD517" s="20"/>
      <c r="CE517" s="20"/>
      <c r="CF517" s="20"/>
      <c r="CG517" s="20"/>
      <c r="CH517" s="20"/>
      <c r="CI517" s="20"/>
      <c r="CJ517" s="20"/>
      <c r="CL517" s="20"/>
      <c r="CM517" s="20"/>
      <c r="CN517" s="20"/>
      <c r="CO517" s="20"/>
      <c r="CP517" s="20"/>
      <c r="CQ517" s="20"/>
      <c r="CR517" s="20"/>
      <c r="CS517" s="20"/>
      <c r="CT517" s="20"/>
      <c r="CU517" s="20"/>
      <c r="CV517" s="20"/>
      <c r="CW517" s="20"/>
      <c r="CX517" s="20"/>
      <c r="CY517" s="20"/>
      <c r="CZ517" s="20"/>
      <c r="DA517" s="20"/>
      <c r="DB517" s="20"/>
      <c r="DC517" s="20"/>
      <c r="DD517" s="20"/>
      <c r="DE517" s="20"/>
    </row>
    <row r="518" spans="2:109" ht="14" thickBot="1">
      <c r="B518" s="94">
        <v>17</v>
      </c>
      <c r="C518" s="12" t="s">
        <v>78</v>
      </c>
    </row>
    <row r="519" spans="2:109">
      <c r="C519" s="553">
        <v>2024</v>
      </c>
      <c r="E519" s="1" t="s">
        <v>59</v>
      </c>
      <c r="F519" s="2"/>
      <c r="G519" s="3"/>
      <c r="H519" s="3"/>
      <c r="I519" s="3"/>
      <c r="J519" s="3"/>
      <c r="K519" s="4">
        <f>SUM(F519:J519)</f>
        <v>0</v>
      </c>
      <c r="M519" s="2"/>
      <c r="N519" s="3"/>
      <c r="O519" s="3"/>
      <c r="P519" s="3"/>
      <c r="Q519" s="3"/>
      <c r="R519" s="4">
        <f>SUM(M519:Q519)</f>
        <v>0</v>
      </c>
      <c r="T519" s="2"/>
      <c r="U519" s="3"/>
      <c r="V519" s="3"/>
      <c r="W519" s="3"/>
      <c r="X519" s="3"/>
      <c r="Y519" s="4">
        <f>SUM(T519:X519)</f>
        <v>0</v>
      </c>
      <c r="AA519" s="2"/>
      <c r="AB519" s="3"/>
      <c r="AC519" s="3"/>
      <c r="AD519" s="3"/>
      <c r="AE519" s="3"/>
      <c r="AF519" s="4">
        <f>SUM(AA519:AE519)</f>
        <v>0</v>
      </c>
      <c r="AH519" s="2"/>
      <c r="AI519" s="3"/>
      <c r="AJ519" s="3"/>
      <c r="AK519" s="3"/>
      <c r="AL519" s="3"/>
      <c r="AM519" s="4">
        <f>SUM(AH519:AL519)</f>
        <v>0</v>
      </c>
      <c r="AO519" s="2"/>
      <c r="AP519" s="3"/>
      <c r="AQ519" s="3"/>
      <c r="AR519" s="3"/>
      <c r="AS519" s="3"/>
      <c r="AT519" s="4">
        <f>SUM(AO519:AS519)</f>
        <v>0</v>
      </c>
      <c r="AV519" s="2"/>
      <c r="AW519" s="3"/>
      <c r="AX519" s="3"/>
      <c r="AY519" s="3"/>
      <c r="AZ519" s="3"/>
      <c r="BA519" s="4">
        <f>SUM(AV519:AZ519)</f>
        <v>0</v>
      </c>
      <c r="BC519" s="2"/>
      <c r="BD519" s="3"/>
      <c r="BE519" s="3"/>
      <c r="BF519" s="3"/>
      <c r="BG519" s="3"/>
      <c r="BH519" s="4">
        <f>SUM(BC519:BG519)</f>
        <v>0</v>
      </c>
      <c r="BJ519" s="2"/>
      <c r="BK519" s="3"/>
      <c r="BL519" s="3"/>
      <c r="BM519" s="3"/>
      <c r="BN519" s="3"/>
      <c r="BO519" s="4">
        <f>SUM(BJ519:BN519)</f>
        <v>0</v>
      </c>
      <c r="BQ519" s="2"/>
      <c r="BR519" s="3"/>
      <c r="BS519" s="3"/>
      <c r="BT519" s="3"/>
      <c r="BU519" s="3"/>
      <c r="BV519" s="4">
        <f>SUM(BQ519:BU519)</f>
        <v>0</v>
      </c>
      <c r="BX519" s="2"/>
      <c r="BY519" s="3"/>
      <c r="BZ519" s="3"/>
      <c r="CA519" s="3"/>
      <c r="CB519" s="3"/>
      <c r="CC519" s="4">
        <f>SUM(BX519:CB519)</f>
        <v>0</v>
      </c>
      <c r="CE519" s="26">
        <f t="shared" ref="CE519:CE522" si="2370">F519+M519+T519+AA519+AH519+AO519+AV519+BC519+BJ519+BQ519+BX519</f>
        <v>0</v>
      </c>
      <c r="CF519" s="27">
        <f t="shared" ref="CF519:CF522" si="2371">G519+N519+U519+AB519+AI519+AP519+AW519+BD519+BK519+BR519+BY519</f>
        <v>0</v>
      </c>
      <c r="CG519" s="27">
        <f t="shared" ref="CG519:CG522" si="2372">H519+O519+V519+AC519+AJ519+AQ519+AX519+BE519+BL519+BS519+BZ519</f>
        <v>0</v>
      </c>
      <c r="CH519" s="27">
        <f t="shared" ref="CH519:CH522" si="2373">I519+P519+W519+AD519+AK519+AR519+AY519+BF519+BM519+BT519+CA519</f>
        <v>0</v>
      </c>
      <c r="CI519" s="27">
        <f t="shared" ref="CI519:CI522" si="2374">J519+Q519+X519+AE519+AL519+AS519+AZ519+BG519+BN519+BU519+CB519</f>
        <v>0</v>
      </c>
      <c r="CJ519" s="4">
        <f>SUM(CE519:CI519)</f>
        <v>0</v>
      </c>
      <c r="CL519" s="2"/>
      <c r="CM519" s="3"/>
      <c r="CN519" s="3"/>
      <c r="CO519" s="3"/>
      <c r="CP519" s="3"/>
      <c r="CQ519" s="4">
        <f>SUM(CL519:CP519)</f>
        <v>0</v>
      </c>
      <c r="CS519" s="2"/>
      <c r="CT519" s="3"/>
      <c r="CU519" s="3"/>
      <c r="CV519" s="3"/>
      <c r="CW519" s="3"/>
      <c r="CX519" s="4">
        <f>SUM(CS519:CW519)</f>
        <v>0</v>
      </c>
      <c r="CZ519" s="2"/>
      <c r="DA519" s="3"/>
      <c r="DB519" s="3"/>
      <c r="DC519" s="3"/>
      <c r="DD519" s="3"/>
      <c r="DE519" s="4">
        <f>SUM(CZ519:DD519)</f>
        <v>0</v>
      </c>
    </row>
    <row r="520" spans="2:109">
      <c r="C520" s="567"/>
      <c r="E520" s="5" t="s">
        <v>60</v>
      </c>
      <c r="F520" s="6"/>
      <c r="G520" s="7"/>
      <c r="H520" s="7"/>
      <c r="I520" s="7"/>
      <c r="J520" s="7"/>
      <c r="K520" s="8">
        <f t="shared" ref="K520:K522" si="2375">SUM(F520:J520)</f>
        <v>0</v>
      </c>
      <c r="M520" s="6"/>
      <c r="N520" s="7"/>
      <c r="O520" s="7"/>
      <c r="P520" s="7"/>
      <c r="Q520" s="7"/>
      <c r="R520" s="8">
        <f t="shared" ref="R520:R522" si="2376">SUM(M520:Q520)</f>
        <v>0</v>
      </c>
      <c r="T520" s="6"/>
      <c r="U520" s="7"/>
      <c r="V520" s="7"/>
      <c r="W520" s="7"/>
      <c r="X520" s="7"/>
      <c r="Y520" s="8">
        <f t="shared" ref="Y520:Y522" si="2377">SUM(T520:X520)</f>
        <v>0</v>
      </c>
      <c r="AA520" s="6"/>
      <c r="AB520" s="7"/>
      <c r="AC520" s="7"/>
      <c r="AD520" s="7"/>
      <c r="AE520" s="7"/>
      <c r="AF520" s="8">
        <f>SUM(AA520:AE520)</f>
        <v>0</v>
      </c>
      <c r="AH520" s="6"/>
      <c r="AI520" s="7"/>
      <c r="AJ520" s="7"/>
      <c r="AK520" s="7"/>
      <c r="AL520" s="7"/>
      <c r="AM520" s="8">
        <f>SUM(AH520:AL520)</f>
        <v>0</v>
      </c>
      <c r="AO520" s="6"/>
      <c r="AP520" s="7"/>
      <c r="AQ520" s="7"/>
      <c r="AR520" s="7"/>
      <c r="AS520" s="7"/>
      <c r="AT520" s="8">
        <f>SUM(AO520:AS520)</f>
        <v>0</v>
      </c>
      <c r="AV520" s="6"/>
      <c r="AW520" s="7"/>
      <c r="AX520" s="7"/>
      <c r="AY520" s="7"/>
      <c r="AZ520" s="7"/>
      <c r="BA520" s="8">
        <f>SUM(AV520:AZ520)</f>
        <v>0</v>
      </c>
      <c r="BC520" s="6"/>
      <c r="BD520" s="7"/>
      <c r="BE520" s="7"/>
      <c r="BF520" s="7"/>
      <c r="BG520" s="7"/>
      <c r="BH520" s="8">
        <f>SUM(BC520:BG520)</f>
        <v>0</v>
      </c>
      <c r="BJ520" s="6"/>
      <c r="BK520" s="7"/>
      <c r="BL520" s="7"/>
      <c r="BM520" s="7"/>
      <c r="BN520" s="7"/>
      <c r="BO520" s="8">
        <f>SUM(BJ520:BN520)</f>
        <v>0</v>
      </c>
      <c r="BQ520" s="6"/>
      <c r="BR520" s="7"/>
      <c r="BS520" s="7"/>
      <c r="BT520" s="7"/>
      <c r="BU520" s="7"/>
      <c r="BV520" s="8">
        <f>SUM(BQ520:BU520)</f>
        <v>0</v>
      </c>
      <c r="BX520" s="6"/>
      <c r="BY520" s="7"/>
      <c r="BZ520" s="7"/>
      <c r="CA520" s="7"/>
      <c r="CB520" s="7"/>
      <c r="CC520" s="8">
        <f>SUM(BX520:CB520)</f>
        <v>0</v>
      </c>
      <c r="CE520" s="28">
        <f t="shared" si="2370"/>
        <v>0</v>
      </c>
      <c r="CF520" s="29">
        <f t="shared" si="2371"/>
        <v>0</v>
      </c>
      <c r="CG520" s="29">
        <f t="shared" si="2372"/>
        <v>0</v>
      </c>
      <c r="CH520" s="29">
        <f t="shared" si="2373"/>
        <v>0</v>
      </c>
      <c r="CI520" s="29">
        <f t="shared" si="2374"/>
        <v>0</v>
      </c>
      <c r="CJ520" s="8">
        <f>SUM(CE520:CI520)</f>
        <v>0</v>
      </c>
      <c r="CL520" s="6"/>
      <c r="CM520" s="7"/>
      <c r="CN520" s="7"/>
      <c r="CO520" s="7"/>
      <c r="CP520" s="7"/>
      <c r="CQ520" s="8">
        <f>SUM(CL520:CP520)</f>
        <v>0</v>
      </c>
      <c r="CS520" s="6"/>
      <c r="CT520" s="7"/>
      <c r="CU520" s="7"/>
      <c r="CV520" s="7"/>
      <c r="CW520" s="7"/>
      <c r="CX520" s="8">
        <f t="shared" ref="CX520:CX522" si="2378">SUM(CS520:CW520)</f>
        <v>0</v>
      </c>
      <c r="CZ520" s="6"/>
      <c r="DA520" s="7"/>
      <c r="DB520" s="7"/>
      <c r="DC520" s="7"/>
      <c r="DD520" s="7"/>
      <c r="DE520" s="8">
        <f t="shared" ref="DE520:DE522" si="2379">SUM(CZ520:DD520)</f>
        <v>0</v>
      </c>
    </row>
    <row r="521" spans="2:109">
      <c r="C521" s="567"/>
      <c r="E521" s="5" t="s">
        <v>61</v>
      </c>
      <c r="F521" s="6"/>
      <c r="G521" s="7"/>
      <c r="H521" s="7"/>
      <c r="I521" s="7"/>
      <c r="J521" s="7"/>
      <c r="K521" s="8">
        <f t="shared" si="2375"/>
        <v>0</v>
      </c>
      <c r="M521" s="6"/>
      <c r="N521" s="7"/>
      <c r="O521" s="7"/>
      <c r="P521" s="7"/>
      <c r="Q521" s="7"/>
      <c r="R521" s="8">
        <f t="shared" si="2376"/>
        <v>0</v>
      </c>
      <c r="T521" s="6"/>
      <c r="U521" s="7"/>
      <c r="V521" s="7"/>
      <c r="W521" s="7"/>
      <c r="X521" s="7"/>
      <c r="Y521" s="8">
        <f t="shared" si="2377"/>
        <v>0</v>
      </c>
      <c r="AA521" s="6"/>
      <c r="AB521" s="7"/>
      <c r="AC521" s="7"/>
      <c r="AD521" s="7"/>
      <c r="AE521" s="7"/>
      <c r="AF521" s="8">
        <f>SUM(AA521:AE521)</f>
        <v>0</v>
      </c>
      <c r="AH521" s="6"/>
      <c r="AI521" s="7"/>
      <c r="AJ521" s="7"/>
      <c r="AK521" s="7"/>
      <c r="AL521" s="7"/>
      <c r="AM521" s="8">
        <f>SUM(AH521:AL521)</f>
        <v>0</v>
      </c>
      <c r="AO521" s="6"/>
      <c r="AP521" s="7"/>
      <c r="AQ521" s="7"/>
      <c r="AR521" s="7"/>
      <c r="AS521" s="7"/>
      <c r="AT521" s="8">
        <f>SUM(AO521:AS521)</f>
        <v>0</v>
      </c>
      <c r="AV521" s="6"/>
      <c r="AW521" s="7"/>
      <c r="AX521" s="7"/>
      <c r="AY521" s="7"/>
      <c r="AZ521" s="7"/>
      <c r="BA521" s="8">
        <f>SUM(AV521:AZ521)</f>
        <v>0</v>
      </c>
      <c r="BC521" s="6"/>
      <c r="BD521" s="7"/>
      <c r="BE521" s="7"/>
      <c r="BF521" s="7"/>
      <c r="BG521" s="7"/>
      <c r="BH521" s="8">
        <f>SUM(BC521:BG521)</f>
        <v>0</v>
      </c>
      <c r="BJ521" s="6"/>
      <c r="BK521" s="7"/>
      <c r="BL521" s="7"/>
      <c r="BM521" s="7"/>
      <c r="BN521" s="7"/>
      <c r="BO521" s="8">
        <f>SUM(BJ521:BN521)</f>
        <v>0</v>
      </c>
      <c r="BQ521" s="6"/>
      <c r="BR521" s="7"/>
      <c r="BS521" s="7"/>
      <c r="BT521" s="7"/>
      <c r="BU521" s="7"/>
      <c r="BV521" s="8">
        <f>SUM(BQ521:BU521)</f>
        <v>0</v>
      </c>
      <c r="BX521" s="6"/>
      <c r="BY521" s="7"/>
      <c r="BZ521" s="7"/>
      <c r="CA521" s="7"/>
      <c r="CB521" s="7"/>
      <c r="CC521" s="8">
        <f>SUM(BX521:CB521)</f>
        <v>0</v>
      </c>
      <c r="CE521" s="28">
        <f t="shared" si="2370"/>
        <v>0</v>
      </c>
      <c r="CF521" s="29">
        <f t="shared" si="2371"/>
        <v>0</v>
      </c>
      <c r="CG521" s="29">
        <f t="shared" si="2372"/>
        <v>0</v>
      </c>
      <c r="CH521" s="29">
        <f t="shared" si="2373"/>
        <v>0</v>
      </c>
      <c r="CI521" s="29">
        <f t="shared" si="2374"/>
        <v>0</v>
      </c>
      <c r="CJ521" s="8">
        <f>SUM(CE521:CI521)</f>
        <v>0</v>
      </c>
      <c r="CL521" s="6"/>
      <c r="CM521" s="7"/>
      <c r="CN521" s="7"/>
      <c r="CO521" s="7"/>
      <c r="CP521" s="7"/>
      <c r="CQ521" s="8">
        <f>SUM(CL521:CP521)</f>
        <v>0</v>
      </c>
      <c r="CS521" s="6"/>
      <c r="CT521" s="7"/>
      <c r="CU521" s="7"/>
      <c r="CV521" s="7"/>
      <c r="CW521" s="7"/>
      <c r="CX521" s="8">
        <f t="shared" si="2378"/>
        <v>0</v>
      </c>
      <c r="CZ521" s="6"/>
      <c r="DA521" s="7"/>
      <c r="DB521" s="7"/>
      <c r="DC521" s="7"/>
      <c r="DD521" s="7"/>
      <c r="DE521" s="8">
        <f t="shared" si="2379"/>
        <v>0</v>
      </c>
    </row>
    <row r="522" spans="2:109" ht="14" thickBot="1">
      <c r="C522" s="567"/>
      <c r="E522" s="5" t="s">
        <v>62</v>
      </c>
      <c r="F522" s="6"/>
      <c r="G522" s="7"/>
      <c r="H522" s="7"/>
      <c r="I522" s="7"/>
      <c r="J522" s="7"/>
      <c r="K522" s="8">
        <f t="shared" si="2375"/>
        <v>0</v>
      </c>
      <c r="M522" s="6"/>
      <c r="N522" s="7"/>
      <c r="O522" s="7"/>
      <c r="P522" s="7"/>
      <c r="Q522" s="7"/>
      <c r="R522" s="8">
        <f t="shared" si="2376"/>
        <v>0</v>
      </c>
      <c r="T522" s="6"/>
      <c r="U522" s="7"/>
      <c r="V522" s="7"/>
      <c r="W522" s="7"/>
      <c r="X522" s="7"/>
      <c r="Y522" s="8">
        <f t="shared" si="2377"/>
        <v>0</v>
      </c>
      <c r="AA522" s="6"/>
      <c r="AB522" s="7"/>
      <c r="AC522" s="7"/>
      <c r="AD522" s="7"/>
      <c r="AE522" s="7"/>
      <c r="AF522" s="8">
        <f>SUM(AA522:AE522)</f>
        <v>0</v>
      </c>
      <c r="AH522" s="6"/>
      <c r="AI522" s="7"/>
      <c r="AJ522" s="7"/>
      <c r="AK522" s="7"/>
      <c r="AL522" s="7"/>
      <c r="AM522" s="8">
        <f>SUM(AH522:AL522)</f>
        <v>0</v>
      </c>
      <c r="AO522" s="6"/>
      <c r="AP522" s="7"/>
      <c r="AQ522" s="7"/>
      <c r="AR522" s="7"/>
      <c r="AS522" s="7"/>
      <c r="AT522" s="8">
        <f>SUM(AO522:AS522)</f>
        <v>0</v>
      </c>
      <c r="AV522" s="6"/>
      <c r="AW522" s="7"/>
      <c r="AX522" s="7"/>
      <c r="AY522" s="7"/>
      <c r="AZ522" s="7"/>
      <c r="BA522" s="8">
        <f>SUM(AV522:AZ522)</f>
        <v>0</v>
      </c>
      <c r="BC522" s="6"/>
      <c r="BD522" s="7"/>
      <c r="BE522" s="7"/>
      <c r="BF522" s="7"/>
      <c r="BG522" s="7"/>
      <c r="BH522" s="8">
        <f>SUM(BC522:BG522)</f>
        <v>0</v>
      </c>
      <c r="BJ522" s="6"/>
      <c r="BK522" s="7"/>
      <c r="BL522" s="7"/>
      <c r="BM522" s="7"/>
      <c r="BN522" s="7"/>
      <c r="BO522" s="8">
        <f>SUM(BJ522:BN522)</f>
        <v>0</v>
      </c>
      <c r="BQ522" s="6"/>
      <c r="BR522" s="7"/>
      <c r="BS522" s="7"/>
      <c r="BT522" s="7"/>
      <c r="BU522" s="7"/>
      <c r="BV522" s="8">
        <f>SUM(BQ522:BU522)</f>
        <v>0</v>
      </c>
      <c r="BX522" s="6"/>
      <c r="BY522" s="7"/>
      <c r="BZ522" s="7"/>
      <c r="CA522" s="7"/>
      <c r="CB522" s="7"/>
      <c r="CC522" s="8">
        <f>SUM(BX522:CB522)</f>
        <v>0</v>
      </c>
      <c r="CE522" s="493">
        <f t="shared" si="2370"/>
        <v>0</v>
      </c>
      <c r="CF522" s="494">
        <f t="shared" si="2371"/>
        <v>0</v>
      </c>
      <c r="CG522" s="494">
        <f t="shared" si="2372"/>
        <v>0</v>
      </c>
      <c r="CH522" s="494">
        <f t="shared" si="2373"/>
        <v>0</v>
      </c>
      <c r="CI522" s="494">
        <f t="shared" si="2374"/>
        <v>0</v>
      </c>
      <c r="CJ522" s="495">
        <f>SUM(CE522:CI522)</f>
        <v>0</v>
      </c>
      <c r="CL522" s="6"/>
      <c r="CM522" s="7"/>
      <c r="CN522" s="7"/>
      <c r="CO522" s="7"/>
      <c r="CP522" s="7"/>
      <c r="CQ522" s="8">
        <f>SUM(CL522:CP522)</f>
        <v>0</v>
      </c>
      <c r="CS522" s="6"/>
      <c r="CT522" s="7"/>
      <c r="CU522" s="7"/>
      <c r="CV522" s="7"/>
      <c r="CW522" s="7"/>
      <c r="CX522" s="8">
        <f t="shared" si="2378"/>
        <v>0</v>
      </c>
      <c r="CZ522" s="6"/>
      <c r="DA522" s="7"/>
      <c r="DB522" s="7"/>
      <c r="DC522" s="7"/>
      <c r="DD522" s="7"/>
      <c r="DE522" s="8">
        <f t="shared" si="2379"/>
        <v>0</v>
      </c>
    </row>
    <row r="523" spans="2:109" ht="14" thickBot="1">
      <c r="C523" s="554"/>
      <c r="E523" s="9"/>
      <c r="F523" s="10">
        <f>SUM(F519:F522)</f>
        <v>0</v>
      </c>
      <c r="G523" s="11">
        <f t="shared" ref="G523:J523" si="2380">SUM(G519:G522)</f>
        <v>0</v>
      </c>
      <c r="H523" s="11">
        <f t="shared" si="2380"/>
        <v>0</v>
      </c>
      <c r="I523" s="11">
        <f t="shared" si="2380"/>
        <v>0</v>
      </c>
      <c r="J523" s="61">
        <f t="shared" si="2380"/>
        <v>0</v>
      </c>
      <c r="K523" s="25">
        <f>SUM(K519:K522)</f>
        <v>0</v>
      </c>
      <c r="M523" s="10">
        <f>SUM(M519:M522)</f>
        <v>0</v>
      </c>
      <c r="N523" s="11">
        <f t="shared" ref="N523:Q523" si="2381">SUM(N519:N522)</f>
        <v>0</v>
      </c>
      <c r="O523" s="11">
        <f t="shared" si="2381"/>
        <v>0</v>
      </c>
      <c r="P523" s="11">
        <f t="shared" si="2381"/>
        <v>0</v>
      </c>
      <c r="Q523" s="11">
        <f t="shared" si="2381"/>
        <v>0</v>
      </c>
      <c r="R523" s="25">
        <f>SUM(R519:R522)</f>
        <v>0</v>
      </c>
      <c r="T523" s="10">
        <f>SUM(T519:T522)</f>
        <v>0</v>
      </c>
      <c r="U523" s="11">
        <f t="shared" ref="U523:X523" si="2382">SUM(U519:U522)</f>
        <v>0</v>
      </c>
      <c r="V523" s="11">
        <f t="shared" si="2382"/>
        <v>0</v>
      </c>
      <c r="W523" s="11">
        <f t="shared" si="2382"/>
        <v>0</v>
      </c>
      <c r="X523" s="11">
        <f t="shared" si="2382"/>
        <v>0</v>
      </c>
      <c r="Y523" s="25">
        <f>SUM(Y519:Y522)</f>
        <v>0</v>
      </c>
      <c r="AA523" s="10">
        <f>SUM(AA519:AA522)</f>
        <v>0</v>
      </c>
      <c r="AB523" s="11">
        <f t="shared" ref="AB523:AE523" si="2383">SUM(AB519:AB522)</f>
        <v>0</v>
      </c>
      <c r="AC523" s="11">
        <f t="shared" si="2383"/>
        <v>0</v>
      </c>
      <c r="AD523" s="11">
        <f t="shared" si="2383"/>
        <v>0</v>
      </c>
      <c r="AE523" s="11">
        <f t="shared" si="2383"/>
        <v>0</v>
      </c>
      <c r="AF523" s="25">
        <f>SUM(AF519:AF522)</f>
        <v>0</v>
      </c>
      <c r="AH523" s="10">
        <f>SUM(AH519:AH522)</f>
        <v>0</v>
      </c>
      <c r="AI523" s="11">
        <f t="shared" ref="AI523:AL523" si="2384">SUM(AI519:AI522)</f>
        <v>0</v>
      </c>
      <c r="AJ523" s="11">
        <f t="shared" si="2384"/>
        <v>0</v>
      </c>
      <c r="AK523" s="11">
        <f t="shared" si="2384"/>
        <v>0</v>
      </c>
      <c r="AL523" s="11">
        <f t="shared" si="2384"/>
        <v>0</v>
      </c>
      <c r="AM523" s="25">
        <f>SUM(AM519:AM522)</f>
        <v>0</v>
      </c>
      <c r="AO523" s="10">
        <f>SUM(AO519:AO522)</f>
        <v>0</v>
      </c>
      <c r="AP523" s="11">
        <f t="shared" ref="AP523:AS523" si="2385">SUM(AP519:AP522)</f>
        <v>0</v>
      </c>
      <c r="AQ523" s="11">
        <f t="shared" si="2385"/>
        <v>0</v>
      </c>
      <c r="AR523" s="11">
        <f t="shared" si="2385"/>
        <v>0</v>
      </c>
      <c r="AS523" s="11">
        <f t="shared" si="2385"/>
        <v>0</v>
      </c>
      <c r="AT523" s="25">
        <f>SUM(AT519:AT522)</f>
        <v>0</v>
      </c>
      <c r="AV523" s="10">
        <f>SUM(AV519:AV522)</f>
        <v>0</v>
      </c>
      <c r="AW523" s="11">
        <f t="shared" ref="AW523:AZ523" si="2386">SUM(AW519:AW522)</f>
        <v>0</v>
      </c>
      <c r="AX523" s="11">
        <f t="shared" si="2386"/>
        <v>0</v>
      </c>
      <c r="AY523" s="11">
        <f t="shared" si="2386"/>
        <v>0</v>
      </c>
      <c r="AZ523" s="11">
        <f t="shared" si="2386"/>
        <v>0</v>
      </c>
      <c r="BA523" s="25">
        <f>SUM(BA519:BA522)</f>
        <v>0</v>
      </c>
      <c r="BC523" s="10">
        <f>SUM(BC519:BC522)</f>
        <v>0</v>
      </c>
      <c r="BD523" s="11">
        <f t="shared" ref="BD523:BG523" si="2387">SUM(BD519:BD522)</f>
        <v>0</v>
      </c>
      <c r="BE523" s="11">
        <f t="shared" si="2387"/>
        <v>0</v>
      </c>
      <c r="BF523" s="11">
        <f t="shared" si="2387"/>
        <v>0</v>
      </c>
      <c r="BG523" s="11">
        <f t="shared" si="2387"/>
        <v>0</v>
      </c>
      <c r="BH523" s="25">
        <f>SUM(BH519:BH522)</f>
        <v>0</v>
      </c>
      <c r="BJ523" s="10">
        <f>SUM(BJ519:BJ522)</f>
        <v>0</v>
      </c>
      <c r="BK523" s="11">
        <f t="shared" ref="BK523:BN523" si="2388">SUM(BK519:BK522)</f>
        <v>0</v>
      </c>
      <c r="BL523" s="11">
        <f t="shared" si="2388"/>
        <v>0</v>
      </c>
      <c r="BM523" s="11">
        <f t="shared" si="2388"/>
        <v>0</v>
      </c>
      <c r="BN523" s="11">
        <f t="shared" si="2388"/>
        <v>0</v>
      </c>
      <c r="BO523" s="25">
        <f>SUM(BO519:BO522)</f>
        <v>0</v>
      </c>
      <c r="BQ523" s="10">
        <f>SUM(BQ519:BQ522)</f>
        <v>0</v>
      </c>
      <c r="BR523" s="11">
        <f t="shared" ref="BR523:BU523" si="2389">SUM(BR519:BR522)</f>
        <v>0</v>
      </c>
      <c r="BS523" s="11">
        <f t="shared" si="2389"/>
        <v>0</v>
      </c>
      <c r="BT523" s="11">
        <f t="shared" si="2389"/>
        <v>0</v>
      </c>
      <c r="BU523" s="11">
        <f t="shared" si="2389"/>
        <v>0</v>
      </c>
      <c r="BV523" s="25">
        <f>SUM(BV519:BV522)</f>
        <v>0</v>
      </c>
      <c r="BX523" s="10">
        <f>SUM(BX519:BX522)</f>
        <v>0</v>
      </c>
      <c r="BY523" s="11">
        <f t="shared" ref="BY523:CB523" si="2390">SUM(BY519:BY522)</f>
        <v>0</v>
      </c>
      <c r="BZ523" s="11">
        <f t="shared" si="2390"/>
        <v>0</v>
      </c>
      <c r="CA523" s="11">
        <f t="shared" si="2390"/>
        <v>0</v>
      </c>
      <c r="CB523" s="11">
        <f t="shared" si="2390"/>
        <v>0</v>
      </c>
      <c r="CC523" s="25">
        <f>SUM(CC519:CC522)</f>
        <v>0</v>
      </c>
      <c r="CE523" s="62">
        <f t="shared" ref="CE523:CJ523" si="2391">SUM(CE519:CE522)</f>
        <v>0</v>
      </c>
      <c r="CF523" s="63">
        <f t="shared" si="2391"/>
        <v>0</v>
      </c>
      <c r="CG523" s="63">
        <f t="shared" si="2391"/>
        <v>0</v>
      </c>
      <c r="CH523" s="63">
        <f t="shared" si="2391"/>
        <v>0</v>
      </c>
      <c r="CI523" s="63">
        <f t="shared" si="2391"/>
        <v>0</v>
      </c>
      <c r="CJ523" s="25">
        <f t="shared" si="2391"/>
        <v>0</v>
      </c>
      <c r="CL523" s="10">
        <f>SUM(CL519:CL522)</f>
        <v>0</v>
      </c>
      <c r="CM523" s="11">
        <f t="shared" ref="CM523:CP523" si="2392">SUM(CM519:CM522)</f>
        <v>0</v>
      </c>
      <c r="CN523" s="11">
        <f t="shared" si="2392"/>
        <v>0</v>
      </c>
      <c r="CO523" s="11">
        <f t="shared" si="2392"/>
        <v>0</v>
      </c>
      <c r="CP523" s="11">
        <f t="shared" si="2392"/>
        <v>0</v>
      </c>
      <c r="CQ523" s="25">
        <f>SUM(CQ519:CQ522)</f>
        <v>0</v>
      </c>
      <c r="CS523" s="10">
        <f>SUM(CS519:CS522)</f>
        <v>0</v>
      </c>
      <c r="CT523" s="11">
        <f t="shared" ref="CT523:CW523" si="2393">SUM(CT519:CT522)</f>
        <v>0</v>
      </c>
      <c r="CU523" s="11">
        <f t="shared" si="2393"/>
        <v>0</v>
      </c>
      <c r="CV523" s="11">
        <f t="shared" si="2393"/>
        <v>0</v>
      </c>
      <c r="CW523" s="11">
        <f t="shared" si="2393"/>
        <v>0</v>
      </c>
      <c r="CX523" s="25">
        <f>SUM(CX519:CX522)</f>
        <v>0</v>
      </c>
      <c r="CZ523" s="10">
        <f>SUM(CZ519:CZ522)</f>
        <v>0</v>
      </c>
      <c r="DA523" s="11">
        <f t="shared" ref="DA523:DD523" si="2394">SUM(DA519:DA522)</f>
        <v>0</v>
      </c>
      <c r="DB523" s="11">
        <f t="shared" si="2394"/>
        <v>0</v>
      </c>
      <c r="DC523" s="11">
        <f t="shared" si="2394"/>
        <v>0</v>
      </c>
      <c r="DD523" s="11">
        <f t="shared" si="2394"/>
        <v>0</v>
      </c>
      <c r="DE523" s="25">
        <f>SUM(DE519:DE522)</f>
        <v>0</v>
      </c>
    </row>
    <row r="524" spans="2:109" ht="10.4" customHeight="1" thickBot="1"/>
    <row r="525" spans="2:109">
      <c r="C525" s="553">
        <v>2025</v>
      </c>
      <c r="E525" s="13" t="s">
        <v>59</v>
      </c>
      <c r="F525" s="21">
        <f>CE519</f>
        <v>0</v>
      </c>
      <c r="G525" s="22">
        <f t="shared" ref="G525:G528" si="2395">CF519</f>
        <v>0</v>
      </c>
      <c r="H525" s="22">
        <f t="shared" ref="H525:H528" si="2396">CG519</f>
        <v>0</v>
      </c>
      <c r="I525" s="22">
        <f t="shared" ref="I525:I528" si="2397">CH519</f>
        <v>0</v>
      </c>
      <c r="J525" s="22">
        <f t="shared" ref="J525:J528" si="2398">CI519</f>
        <v>0</v>
      </c>
      <c r="K525" s="15">
        <f>SUM(F525:J525)</f>
        <v>0</v>
      </c>
      <c r="M525" s="2"/>
      <c r="N525" s="3"/>
      <c r="O525" s="3"/>
      <c r="P525" s="3"/>
      <c r="Q525" s="3"/>
      <c r="R525" s="15">
        <f>SUM(M525:Q525)</f>
        <v>0</v>
      </c>
      <c r="T525" s="2"/>
      <c r="U525" s="3"/>
      <c r="V525" s="3"/>
      <c r="W525" s="3"/>
      <c r="X525" s="3"/>
      <c r="Y525" s="15">
        <f>SUM(T525:X525)</f>
        <v>0</v>
      </c>
      <c r="AA525" s="2"/>
      <c r="AB525" s="3"/>
      <c r="AC525" s="3"/>
      <c r="AD525" s="3"/>
      <c r="AE525" s="3"/>
      <c r="AF525" s="15">
        <f>SUM(AA525:AE525)</f>
        <v>0</v>
      </c>
      <c r="AH525" s="2"/>
      <c r="AI525" s="3"/>
      <c r="AJ525" s="3"/>
      <c r="AK525" s="3"/>
      <c r="AL525" s="3"/>
      <c r="AM525" s="15">
        <f>SUM(AH525:AL525)</f>
        <v>0</v>
      </c>
      <c r="AO525" s="2"/>
      <c r="AP525" s="3"/>
      <c r="AQ525" s="3"/>
      <c r="AR525" s="3"/>
      <c r="AS525" s="3"/>
      <c r="AT525" s="15">
        <f>SUM(AO525:AS525)</f>
        <v>0</v>
      </c>
      <c r="AV525" s="2"/>
      <c r="AW525" s="3"/>
      <c r="AX525" s="3"/>
      <c r="AY525" s="3"/>
      <c r="AZ525" s="3"/>
      <c r="BA525" s="15">
        <f>SUM(AV525:AZ525)</f>
        <v>0</v>
      </c>
      <c r="BC525" s="2"/>
      <c r="BD525" s="3"/>
      <c r="BE525" s="3"/>
      <c r="BF525" s="3"/>
      <c r="BG525" s="3"/>
      <c r="BH525" s="15">
        <f>SUM(BC525:BG525)</f>
        <v>0</v>
      </c>
      <c r="BJ525" s="2"/>
      <c r="BK525" s="3"/>
      <c r="BL525" s="3"/>
      <c r="BM525" s="3"/>
      <c r="BN525" s="3"/>
      <c r="BO525" s="15">
        <f>SUM(BJ525:BN525)</f>
        <v>0</v>
      </c>
      <c r="BQ525" s="2"/>
      <c r="BR525" s="3"/>
      <c r="BS525" s="3"/>
      <c r="BT525" s="3"/>
      <c r="BU525" s="3"/>
      <c r="BV525" s="15">
        <f>SUM(BQ525:BU525)</f>
        <v>0</v>
      </c>
      <c r="BX525" s="2"/>
      <c r="BY525" s="3"/>
      <c r="BZ525" s="3"/>
      <c r="CA525" s="3"/>
      <c r="CB525" s="3"/>
      <c r="CC525" s="15">
        <f>SUM(BX525:CB525)</f>
        <v>0</v>
      </c>
      <c r="CE525" s="26">
        <f t="shared" ref="CE525:CE528" si="2399">F525+M525+T525+AA525+AH525+AO525+AV525+BC525+BJ525+BQ525+BX525</f>
        <v>0</v>
      </c>
      <c r="CF525" s="27">
        <f t="shared" ref="CF525:CF528" si="2400">G525+N525+U525+AB525+AI525+AP525+AW525+BD525+BK525+BR525+BY525</f>
        <v>0</v>
      </c>
      <c r="CG525" s="27">
        <f t="shared" ref="CG525:CG528" si="2401">H525+O525+V525+AC525+AJ525+AQ525+AX525+BE525+BL525+BS525+BZ525</f>
        <v>0</v>
      </c>
      <c r="CH525" s="27">
        <f t="shared" ref="CH525:CH528" si="2402">I525+P525+W525+AD525+AK525+AR525+AY525+BF525+BM525+BT525+CA525</f>
        <v>0</v>
      </c>
      <c r="CI525" s="27">
        <f t="shared" ref="CI525:CI528" si="2403">J525+Q525+X525+AE525+AL525+AS525+AZ525+BG525+BN525+BU525+CB525</f>
        <v>0</v>
      </c>
      <c r="CJ525" s="4">
        <f>SUM(CE525:CI525)</f>
        <v>0</v>
      </c>
      <c r="CL525" s="2"/>
      <c r="CM525" s="3"/>
      <c r="CN525" s="3"/>
      <c r="CO525" s="3"/>
      <c r="CP525" s="3"/>
      <c r="CQ525" s="15">
        <f>SUM(CL525:CP525)</f>
        <v>0</v>
      </c>
      <c r="CS525" s="2"/>
      <c r="CT525" s="3"/>
      <c r="CU525" s="3"/>
      <c r="CV525" s="3"/>
      <c r="CW525" s="3"/>
      <c r="CX525" s="4">
        <f>SUM(CS525:CW525)</f>
        <v>0</v>
      </c>
      <c r="CZ525" s="2"/>
      <c r="DA525" s="3"/>
      <c r="DB525" s="3"/>
      <c r="DC525" s="3"/>
      <c r="DD525" s="3"/>
      <c r="DE525" s="15">
        <f>SUM(CZ525:DD525)</f>
        <v>0</v>
      </c>
    </row>
    <row r="526" spans="2:109">
      <c r="C526" s="567"/>
      <c r="E526" s="14" t="s">
        <v>60</v>
      </c>
      <c r="F526" s="23">
        <f t="shared" ref="F526:F528" si="2404">CE520</f>
        <v>0</v>
      </c>
      <c r="G526" s="24">
        <f t="shared" si="2395"/>
        <v>0</v>
      </c>
      <c r="H526" s="24">
        <f t="shared" si="2396"/>
        <v>0</v>
      </c>
      <c r="I526" s="24">
        <f t="shared" si="2397"/>
        <v>0</v>
      </c>
      <c r="J526" s="24">
        <f t="shared" si="2398"/>
        <v>0</v>
      </c>
      <c r="K526" s="16">
        <f t="shared" ref="K526:K528" si="2405">SUM(F526:J526)</f>
        <v>0</v>
      </c>
      <c r="M526" s="6"/>
      <c r="N526" s="7"/>
      <c r="O526" s="7"/>
      <c r="P526" s="7"/>
      <c r="Q526" s="7"/>
      <c r="R526" s="16">
        <f t="shared" ref="R526:R528" si="2406">SUM(M526:Q526)</f>
        <v>0</v>
      </c>
      <c r="T526" s="6"/>
      <c r="U526" s="7"/>
      <c r="V526" s="7"/>
      <c r="W526" s="7"/>
      <c r="X526" s="7"/>
      <c r="Y526" s="16">
        <f t="shared" ref="Y526:Y528" si="2407">SUM(T526:X526)</f>
        <v>0</v>
      </c>
      <c r="AA526" s="6"/>
      <c r="AB526" s="7"/>
      <c r="AC526" s="7"/>
      <c r="AD526" s="7"/>
      <c r="AE526" s="7"/>
      <c r="AF526" s="16">
        <f>SUM(AA526:AE526)</f>
        <v>0</v>
      </c>
      <c r="AH526" s="6"/>
      <c r="AI526" s="7"/>
      <c r="AJ526" s="7"/>
      <c r="AK526" s="7"/>
      <c r="AL526" s="7"/>
      <c r="AM526" s="16">
        <f>SUM(AH526:AL526)</f>
        <v>0</v>
      </c>
      <c r="AO526" s="6"/>
      <c r="AP526" s="7"/>
      <c r="AQ526" s="7"/>
      <c r="AR526" s="7"/>
      <c r="AS526" s="7"/>
      <c r="AT526" s="16">
        <f>SUM(AO526:AS526)</f>
        <v>0</v>
      </c>
      <c r="AV526" s="6"/>
      <c r="AW526" s="7"/>
      <c r="AX526" s="7"/>
      <c r="AY526" s="7"/>
      <c r="AZ526" s="7"/>
      <c r="BA526" s="16">
        <f>SUM(AV526:AZ526)</f>
        <v>0</v>
      </c>
      <c r="BC526" s="6"/>
      <c r="BD526" s="7"/>
      <c r="BE526" s="7"/>
      <c r="BF526" s="7"/>
      <c r="BG526" s="7"/>
      <c r="BH526" s="16">
        <f>SUM(BC526:BG526)</f>
        <v>0</v>
      </c>
      <c r="BJ526" s="6"/>
      <c r="BK526" s="7"/>
      <c r="BL526" s="7"/>
      <c r="BM526" s="7"/>
      <c r="BN526" s="7"/>
      <c r="BO526" s="16">
        <f>SUM(BJ526:BN526)</f>
        <v>0</v>
      </c>
      <c r="BQ526" s="6"/>
      <c r="BR526" s="7"/>
      <c r="BS526" s="7"/>
      <c r="BT526" s="7"/>
      <c r="BU526" s="7"/>
      <c r="BV526" s="16">
        <f>SUM(BQ526:BU526)</f>
        <v>0</v>
      </c>
      <c r="BX526" s="6"/>
      <c r="BY526" s="7"/>
      <c r="BZ526" s="7"/>
      <c r="CA526" s="7"/>
      <c r="CB526" s="7"/>
      <c r="CC526" s="16">
        <f>SUM(BX526:CB526)</f>
        <v>0</v>
      </c>
      <c r="CE526" s="28">
        <f t="shared" si="2399"/>
        <v>0</v>
      </c>
      <c r="CF526" s="29">
        <f t="shared" si="2400"/>
        <v>0</v>
      </c>
      <c r="CG526" s="29">
        <f t="shared" si="2401"/>
        <v>0</v>
      </c>
      <c r="CH526" s="29">
        <f t="shared" si="2402"/>
        <v>0</v>
      </c>
      <c r="CI526" s="29">
        <f t="shared" si="2403"/>
        <v>0</v>
      </c>
      <c r="CJ526" s="8">
        <f>SUM(CE526:CI526)</f>
        <v>0</v>
      </c>
      <c r="CL526" s="6"/>
      <c r="CM526" s="7"/>
      <c r="CN526" s="7"/>
      <c r="CO526" s="7"/>
      <c r="CP526" s="7"/>
      <c r="CQ526" s="16">
        <f>SUM(CL526:CP526)</f>
        <v>0</v>
      </c>
      <c r="CS526" s="6"/>
      <c r="CT526" s="7"/>
      <c r="CU526" s="7"/>
      <c r="CV526" s="7"/>
      <c r="CW526" s="7"/>
      <c r="CX526" s="8">
        <f t="shared" ref="CX526:CX528" si="2408">SUM(CS526:CW526)</f>
        <v>0</v>
      </c>
      <c r="CZ526" s="6"/>
      <c r="DA526" s="7"/>
      <c r="DB526" s="7"/>
      <c r="DC526" s="7"/>
      <c r="DD526" s="7"/>
      <c r="DE526" s="16">
        <f t="shared" ref="DE526:DE528" si="2409">SUM(CZ526:DD526)</f>
        <v>0</v>
      </c>
    </row>
    <row r="527" spans="2:109">
      <c r="C527" s="567"/>
      <c r="E527" s="14" t="s">
        <v>61</v>
      </c>
      <c r="F527" s="23">
        <f t="shared" si="2404"/>
        <v>0</v>
      </c>
      <c r="G527" s="24">
        <f t="shared" si="2395"/>
        <v>0</v>
      </c>
      <c r="H527" s="24">
        <f t="shared" si="2396"/>
        <v>0</v>
      </c>
      <c r="I527" s="24">
        <f t="shared" si="2397"/>
        <v>0</v>
      </c>
      <c r="J527" s="24">
        <f t="shared" si="2398"/>
        <v>0</v>
      </c>
      <c r="K527" s="16">
        <f t="shared" si="2405"/>
        <v>0</v>
      </c>
      <c r="M527" s="6"/>
      <c r="N527" s="7"/>
      <c r="O527" s="7"/>
      <c r="P527" s="7"/>
      <c r="Q527" s="7"/>
      <c r="R527" s="16">
        <f t="shared" si="2406"/>
        <v>0</v>
      </c>
      <c r="T527" s="6"/>
      <c r="U527" s="7"/>
      <c r="V527" s="7"/>
      <c r="W527" s="7"/>
      <c r="X527" s="7"/>
      <c r="Y527" s="16">
        <f t="shared" si="2407"/>
        <v>0</v>
      </c>
      <c r="AA527" s="6"/>
      <c r="AB527" s="7"/>
      <c r="AC527" s="7"/>
      <c r="AD527" s="7"/>
      <c r="AE527" s="7"/>
      <c r="AF527" s="16">
        <f>SUM(AA527:AE527)</f>
        <v>0</v>
      </c>
      <c r="AH527" s="6"/>
      <c r="AI527" s="7"/>
      <c r="AJ527" s="7"/>
      <c r="AK527" s="7"/>
      <c r="AL527" s="7"/>
      <c r="AM527" s="16">
        <f>SUM(AH527:AL527)</f>
        <v>0</v>
      </c>
      <c r="AO527" s="6"/>
      <c r="AP527" s="7"/>
      <c r="AQ527" s="7"/>
      <c r="AR527" s="7"/>
      <c r="AS527" s="7"/>
      <c r="AT527" s="16">
        <f>SUM(AO527:AS527)</f>
        <v>0</v>
      </c>
      <c r="AV527" s="6"/>
      <c r="AW527" s="7"/>
      <c r="AX527" s="7"/>
      <c r="AY527" s="7"/>
      <c r="AZ527" s="7"/>
      <c r="BA527" s="16">
        <f>SUM(AV527:AZ527)</f>
        <v>0</v>
      </c>
      <c r="BC527" s="6"/>
      <c r="BD527" s="7"/>
      <c r="BE527" s="7"/>
      <c r="BF527" s="7"/>
      <c r="BG527" s="7"/>
      <c r="BH527" s="16">
        <f>SUM(BC527:BG527)</f>
        <v>0</v>
      </c>
      <c r="BJ527" s="6"/>
      <c r="BK527" s="7"/>
      <c r="BL527" s="7"/>
      <c r="BM527" s="7"/>
      <c r="BN527" s="7"/>
      <c r="BO527" s="16">
        <f>SUM(BJ527:BN527)</f>
        <v>0</v>
      </c>
      <c r="BQ527" s="6"/>
      <c r="BR527" s="7"/>
      <c r="BS527" s="7"/>
      <c r="BT527" s="7"/>
      <c r="BU527" s="7"/>
      <c r="BV527" s="16">
        <f>SUM(BQ527:BU527)</f>
        <v>0</v>
      </c>
      <c r="BX527" s="6"/>
      <c r="BY527" s="7"/>
      <c r="BZ527" s="7"/>
      <c r="CA527" s="7"/>
      <c r="CB527" s="7"/>
      <c r="CC527" s="16">
        <f>SUM(BX527:CB527)</f>
        <v>0</v>
      </c>
      <c r="CE527" s="28">
        <f t="shared" si="2399"/>
        <v>0</v>
      </c>
      <c r="CF527" s="29">
        <f t="shared" si="2400"/>
        <v>0</v>
      </c>
      <c r="CG527" s="29">
        <f t="shared" si="2401"/>
        <v>0</v>
      </c>
      <c r="CH527" s="29">
        <f t="shared" si="2402"/>
        <v>0</v>
      </c>
      <c r="CI527" s="29">
        <f t="shared" si="2403"/>
        <v>0</v>
      </c>
      <c r="CJ527" s="8">
        <f>SUM(CE527:CI527)</f>
        <v>0</v>
      </c>
      <c r="CL527" s="6"/>
      <c r="CM527" s="7"/>
      <c r="CN527" s="7"/>
      <c r="CO527" s="7"/>
      <c r="CP527" s="7"/>
      <c r="CQ527" s="16">
        <f>SUM(CL527:CP527)</f>
        <v>0</v>
      </c>
      <c r="CS527" s="6"/>
      <c r="CT527" s="7"/>
      <c r="CU527" s="7"/>
      <c r="CV527" s="7"/>
      <c r="CW527" s="7"/>
      <c r="CX527" s="8">
        <f t="shared" si="2408"/>
        <v>0</v>
      </c>
      <c r="CZ527" s="6"/>
      <c r="DA527" s="7"/>
      <c r="DB527" s="7"/>
      <c r="DC527" s="7"/>
      <c r="DD527" s="7"/>
      <c r="DE527" s="16">
        <f t="shared" si="2409"/>
        <v>0</v>
      </c>
    </row>
    <row r="528" spans="2:109" ht="14" thickBot="1">
      <c r="C528" s="567"/>
      <c r="E528" s="14" t="s">
        <v>62</v>
      </c>
      <c r="F528" s="23">
        <f t="shared" si="2404"/>
        <v>0</v>
      </c>
      <c r="G528" s="24">
        <f t="shared" si="2395"/>
        <v>0</v>
      </c>
      <c r="H528" s="24">
        <f t="shared" si="2396"/>
        <v>0</v>
      </c>
      <c r="I528" s="24">
        <f t="shared" si="2397"/>
        <v>0</v>
      </c>
      <c r="J528" s="24">
        <f t="shared" si="2398"/>
        <v>0</v>
      </c>
      <c r="K528" s="16">
        <f t="shared" si="2405"/>
        <v>0</v>
      </c>
      <c r="M528" s="6"/>
      <c r="N528" s="7"/>
      <c r="O528" s="7"/>
      <c r="P528" s="7"/>
      <c r="Q528" s="7"/>
      <c r="R528" s="16">
        <f t="shared" si="2406"/>
        <v>0</v>
      </c>
      <c r="T528" s="6"/>
      <c r="U528" s="7"/>
      <c r="V528" s="7"/>
      <c r="W528" s="7"/>
      <c r="X528" s="7"/>
      <c r="Y528" s="16">
        <f t="shared" si="2407"/>
        <v>0</v>
      </c>
      <c r="AA528" s="6"/>
      <c r="AB528" s="7"/>
      <c r="AC528" s="7"/>
      <c r="AD528" s="7"/>
      <c r="AE528" s="7"/>
      <c r="AF528" s="16">
        <f>SUM(AA528:AE528)</f>
        <v>0</v>
      </c>
      <c r="AH528" s="6"/>
      <c r="AI528" s="7"/>
      <c r="AJ528" s="7"/>
      <c r="AK528" s="7"/>
      <c r="AL528" s="7"/>
      <c r="AM528" s="16">
        <f>SUM(AH528:AL528)</f>
        <v>0</v>
      </c>
      <c r="AO528" s="6"/>
      <c r="AP528" s="7"/>
      <c r="AQ528" s="7"/>
      <c r="AR528" s="7"/>
      <c r="AS528" s="7"/>
      <c r="AT528" s="16">
        <f>SUM(AO528:AS528)</f>
        <v>0</v>
      </c>
      <c r="AV528" s="6"/>
      <c r="AW528" s="7"/>
      <c r="AX528" s="7"/>
      <c r="AY528" s="7"/>
      <c r="AZ528" s="7"/>
      <c r="BA528" s="16">
        <f>SUM(AV528:AZ528)</f>
        <v>0</v>
      </c>
      <c r="BC528" s="6"/>
      <c r="BD528" s="7"/>
      <c r="BE528" s="7"/>
      <c r="BF528" s="7"/>
      <c r="BG528" s="7"/>
      <c r="BH528" s="16">
        <f>SUM(BC528:BG528)</f>
        <v>0</v>
      </c>
      <c r="BJ528" s="6"/>
      <c r="BK528" s="7"/>
      <c r="BL528" s="7"/>
      <c r="BM528" s="7"/>
      <c r="BN528" s="7"/>
      <c r="BO528" s="16">
        <f>SUM(BJ528:BN528)</f>
        <v>0</v>
      </c>
      <c r="BQ528" s="6"/>
      <c r="BR528" s="7"/>
      <c r="BS528" s="7"/>
      <c r="BT528" s="7"/>
      <c r="BU528" s="7"/>
      <c r="BV528" s="16">
        <f>SUM(BQ528:BU528)</f>
        <v>0</v>
      </c>
      <c r="BX528" s="6"/>
      <c r="BY528" s="7"/>
      <c r="BZ528" s="7"/>
      <c r="CA528" s="7"/>
      <c r="CB528" s="7"/>
      <c r="CC528" s="16">
        <f>SUM(BX528:CB528)</f>
        <v>0</v>
      </c>
      <c r="CE528" s="493">
        <f t="shared" si="2399"/>
        <v>0</v>
      </c>
      <c r="CF528" s="494">
        <f t="shared" si="2400"/>
        <v>0</v>
      </c>
      <c r="CG528" s="494">
        <f t="shared" si="2401"/>
        <v>0</v>
      </c>
      <c r="CH528" s="494">
        <f t="shared" si="2402"/>
        <v>0</v>
      </c>
      <c r="CI528" s="494">
        <f t="shared" si="2403"/>
        <v>0</v>
      </c>
      <c r="CJ528" s="495">
        <f>SUM(CE528:CI528)</f>
        <v>0</v>
      </c>
      <c r="CL528" s="6"/>
      <c r="CM528" s="7"/>
      <c r="CN528" s="7"/>
      <c r="CO528" s="7"/>
      <c r="CP528" s="7"/>
      <c r="CQ528" s="16">
        <f>SUM(CL528:CP528)</f>
        <v>0</v>
      </c>
      <c r="CS528" s="6"/>
      <c r="CT528" s="7"/>
      <c r="CU528" s="7"/>
      <c r="CV528" s="7"/>
      <c r="CW528" s="7"/>
      <c r="CX528" s="8">
        <f t="shared" si="2408"/>
        <v>0</v>
      </c>
      <c r="CZ528" s="6"/>
      <c r="DA528" s="7"/>
      <c r="DB528" s="7"/>
      <c r="DC528" s="7"/>
      <c r="DD528" s="7"/>
      <c r="DE528" s="16">
        <f t="shared" si="2409"/>
        <v>0</v>
      </c>
    </row>
    <row r="529" spans="3:109" ht="14" thickBot="1">
      <c r="C529" s="554"/>
      <c r="E529" s="17"/>
      <c r="F529" s="10">
        <f>SUM(F525:F528)</f>
        <v>0</v>
      </c>
      <c r="G529" s="11">
        <f t="shared" ref="G529:J529" si="2410">SUM(G525:G528)</f>
        <v>0</v>
      </c>
      <c r="H529" s="11">
        <f t="shared" si="2410"/>
        <v>0</v>
      </c>
      <c r="I529" s="11">
        <f t="shared" si="2410"/>
        <v>0</v>
      </c>
      <c r="J529" s="11">
        <f t="shared" si="2410"/>
        <v>0</v>
      </c>
      <c r="K529" s="25">
        <f>SUM(K525:K528)</f>
        <v>0</v>
      </c>
      <c r="M529" s="10">
        <f>SUM(M525:M528)</f>
        <v>0</v>
      </c>
      <c r="N529" s="11">
        <f t="shared" ref="N529:Q529" si="2411">SUM(N525:N528)</f>
        <v>0</v>
      </c>
      <c r="O529" s="11">
        <f t="shared" si="2411"/>
        <v>0</v>
      </c>
      <c r="P529" s="11">
        <f t="shared" si="2411"/>
        <v>0</v>
      </c>
      <c r="Q529" s="11">
        <f t="shared" si="2411"/>
        <v>0</v>
      </c>
      <c r="R529" s="25">
        <f>SUM(R525:R528)</f>
        <v>0</v>
      </c>
      <c r="T529" s="10">
        <f>SUM(T525:T528)</f>
        <v>0</v>
      </c>
      <c r="U529" s="11">
        <f t="shared" ref="U529:X529" si="2412">SUM(U525:U528)</f>
        <v>0</v>
      </c>
      <c r="V529" s="11">
        <f t="shared" si="2412"/>
        <v>0</v>
      </c>
      <c r="W529" s="11">
        <f t="shared" si="2412"/>
        <v>0</v>
      </c>
      <c r="X529" s="11">
        <f t="shared" si="2412"/>
        <v>0</v>
      </c>
      <c r="Y529" s="25">
        <f>SUM(Y525:Y528)</f>
        <v>0</v>
      </c>
      <c r="AA529" s="10">
        <f>SUM(AA525:AA528)</f>
        <v>0</v>
      </c>
      <c r="AB529" s="11">
        <f t="shared" ref="AB529:AE529" si="2413">SUM(AB525:AB528)</f>
        <v>0</v>
      </c>
      <c r="AC529" s="11">
        <f t="shared" si="2413"/>
        <v>0</v>
      </c>
      <c r="AD529" s="11">
        <f t="shared" si="2413"/>
        <v>0</v>
      </c>
      <c r="AE529" s="11">
        <f t="shared" si="2413"/>
        <v>0</v>
      </c>
      <c r="AF529" s="25">
        <f>SUM(AF525:AF528)</f>
        <v>0</v>
      </c>
      <c r="AH529" s="10">
        <f>SUM(AH525:AH528)</f>
        <v>0</v>
      </c>
      <c r="AI529" s="11">
        <f t="shared" ref="AI529:AL529" si="2414">SUM(AI525:AI528)</f>
        <v>0</v>
      </c>
      <c r="AJ529" s="11">
        <f t="shared" si="2414"/>
        <v>0</v>
      </c>
      <c r="AK529" s="11">
        <f t="shared" si="2414"/>
        <v>0</v>
      </c>
      <c r="AL529" s="11">
        <f t="shared" si="2414"/>
        <v>0</v>
      </c>
      <c r="AM529" s="25">
        <f>SUM(AM525:AM528)</f>
        <v>0</v>
      </c>
      <c r="AO529" s="10">
        <f>SUM(AO525:AO528)</f>
        <v>0</v>
      </c>
      <c r="AP529" s="11">
        <f t="shared" ref="AP529:AS529" si="2415">SUM(AP525:AP528)</f>
        <v>0</v>
      </c>
      <c r="AQ529" s="11">
        <f t="shared" si="2415"/>
        <v>0</v>
      </c>
      <c r="AR529" s="11">
        <f t="shared" si="2415"/>
        <v>0</v>
      </c>
      <c r="AS529" s="11">
        <f t="shared" si="2415"/>
        <v>0</v>
      </c>
      <c r="AT529" s="25">
        <f>SUM(AT525:AT528)</f>
        <v>0</v>
      </c>
      <c r="AV529" s="10">
        <f>SUM(AV525:AV528)</f>
        <v>0</v>
      </c>
      <c r="AW529" s="11">
        <f t="shared" ref="AW529:AZ529" si="2416">SUM(AW525:AW528)</f>
        <v>0</v>
      </c>
      <c r="AX529" s="11">
        <f t="shared" si="2416"/>
        <v>0</v>
      </c>
      <c r="AY529" s="11">
        <f t="shared" si="2416"/>
        <v>0</v>
      </c>
      <c r="AZ529" s="11">
        <f t="shared" si="2416"/>
        <v>0</v>
      </c>
      <c r="BA529" s="25">
        <f>SUM(BA525:BA528)</f>
        <v>0</v>
      </c>
      <c r="BC529" s="10">
        <f>SUM(BC525:BC528)</f>
        <v>0</v>
      </c>
      <c r="BD529" s="11">
        <f t="shared" ref="BD529:BG529" si="2417">SUM(BD525:BD528)</f>
        <v>0</v>
      </c>
      <c r="BE529" s="11">
        <f t="shared" si="2417"/>
        <v>0</v>
      </c>
      <c r="BF529" s="11">
        <f t="shared" si="2417"/>
        <v>0</v>
      </c>
      <c r="BG529" s="11">
        <f t="shared" si="2417"/>
        <v>0</v>
      </c>
      <c r="BH529" s="25">
        <f>SUM(BH525:BH528)</f>
        <v>0</v>
      </c>
      <c r="BJ529" s="10">
        <f>SUM(BJ525:BJ528)</f>
        <v>0</v>
      </c>
      <c r="BK529" s="11">
        <f t="shared" ref="BK529:BN529" si="2418">SUM(BK525:BK528)</f>
        <v>0</v>
      </c>
      <c r="BL529" s="11">
        <f t="shared" si="2418"/>
        <v>0</v>
      </c>
      <c r="BM529" s="11">
        <f t="shared" si="2418"/>
        <v>0</v>
      </c>
      <c r="BN529" s="11">
        <f t="shared" si="2418"/>
        <v>0</v>
      </c>
      <c r="BO529" s="25">
        <f>SUM(BO525:BO528)</f>
        <v>0</v>
      </c>
      <c r="BQ529" s="10">
        <f>SUM(BQ525:BQ528)</f>
        <v>0</v>
      </c>
      <c r="BR529" s="11">
        <f t="shared" ref="BR529:BU529" si="2419">SUM(BR525:BR528)</f>
        <v>0</v>
      </c>
      <c r="BS529" s="11">
        <f t="shared" si="2419"/>
        <v>0</v>
      </c>
      <c r="BT529" s="11">
        <f t="shared" si="2419"/>
        <v>0</v>
      </c>
      <c r="BU529" s="11">
        <f t="shared" si="2419"/>
        <v>0</v>
      </c>
      <c r="BV529" s="25">
        <f>SUM(BV525:BV528)</f>
        <v>0</v>
      </c>
      <c r="BX529" s="10">
        <f>SUM(BX525:BX528)</f>
        <v>0</v>
      </c>
      <c r="BY529" s="11">
        <f t="shared" ref="BY529:CB529" si="2420">SUM(BY525:BY528)</f>
        <v>0</v>
      </c>
      <c r="BZ529" s="11">
        <f t="shared" si="2420"/>
        <v>0</v>
      </c>
      <c r="CA529" s="11">
        <f t="shared" si="2420"/>
        <v>0</v>
      </c>
      <c r="CB529" s="11">
        <f t="shared" si="2420"/>
        <v>0</v>
      </c>
      <c r="CC529" s="25">
        <f>SUM(CC525:CC528)</f>
        <v>0</v>
      </c>
      <c r="CE529" s="62">
        <f t="shared" ref="CE529:CJ529" si="2421">SUM(CE525:CE528)</f>
        <v>0</v>
      </c>
      <c r="CF529" s="63">
        <f t="shared" si="2421"/>
        <v>0</v>
      </c>
      <c r="CG529" s="63">
        <f t="shared" si="2421"/>
        <v>0</v>
      </c>
      <c r="CH529" s="63">
        <f t="shared" si="2421"/>
        <v>0</v>
      </c>
      <c r="CI529" s="63">
        <f t="shared" si="2421"/>
        <v>0</v>
      </c>
      <c r="CJ529" s="25">
        <f t="shared" si="2421"/>
        <v>0</v>
      </c>
      <c r="CL529" s="10">
        <f>SUM(CL525:CL528)</f>
        <v>0</v>
      </c>
      <c r="CM529" s="11">
        <f t="shared" ref="CM529:CP529" si="2422">SUM(CM525:CM528)</f>
        <v>0</v>
      </c>
      <c r="CN529" s="11">
        <f t="shared" si="2422"/>
        <v>0</v>
      </c>
      <c r="CO529" s="11">
        <f t="shared" si="2422"/>
        <v>0</v>
      </c>
      <c r="CP529" s="11">
        <f t="shared" si="2422"/>
        <v>0</v>
      </c>
      <c r="CQ529" s="25">
        <f>SUM(CQ525:CQ528)</f>
        <v>0</v>
      </c>
      <c r="CS529" s="10">
        <f>SUM(CS525:CS528)</f>
        <v>0</v>
      </c>
      <c r="CT529" s="11">
        <f t="shared" ref="CT529:CW529" si="2423">SUM(CT525:CT528)</f>
        <v>0</v>
      </c>
      <c r="CU529" s="11">
        <f t="shared" si="2423"/>
        <v>0</v>
      </c>
      <c r="CV529" s="11">
        <f t="shared" si="2423"/>
        <v>0</v>
      </c>
      <c r="CW529" s="11">
        <f t="shared" si="2423"/>
        <v>0</v>
      </c>
      <c r="CX529" s="25">
        <f>SUM(CX525:CX528)</f>
        <v>0</v>
      </c>
      <c r="CZ529" s="10">
        <f>SUM(CZ525:CZ528)</f>
        <v>0</v>
      </c>
      <c r="DA529" s="11">
        <f t="shared" ref="DA529:DD529" si="2424">SUM(DA525:DA528)</f>
        <v>0</v>
      </c>
      <c r="DB529" s="11">
        <f t="shared" si="2424"/>
        <v>0</v>
      </c>
      <c r="DC529" s="11">
        <f t="shared" si="2424"/>
        <v>0</v>
      </c>
      <c r="DD529" s="11">
        <f t="shared" si="2424"/>
        <v>0</v>
      </c>
      <c r="DE529" s="25">
        <f>SUM(DE525:DE528)</f>
        <v>0</v>
      </c>
    </row>
    <row r="530" spans="3:109" ht="10.4" customHeight="1" thickBot="1"/>
    <row r="531" spans="3:109">
      <c r="C531" s="553">
        <v>2026</v>
      </c>
      <c r="E531" s="13" t="s">
        <v>59</v>
      </c>
      <c r="F531" s="21">
        <f>CE525</f>
        <v>0</v>
      </c>
      <c r="G531" s="22">
        <f t="shared" ref="G531:G534" si="2425">CF525</f>
        <v>0</v>
      </c>
      <c r="H531" s="22">
        <f t="shared" ref="H531:H534" si="2426">CG525</f>
        <v>0</v>
      </c>
      <c r="I531" s="22">
        <f t="shared" ref="I531:I534" si="2427">CH525</f>
        <v>0</v>
      </c>
      <c r="J531" s="22">
        <f t="shared" ref="J531:J534" si="2428">CI525</f>
        <v>0</v>
      </c>
      <c r="K531" s="4">
        <f>SUM(F531:J531)</f>
        <v>0</v>
      </c>
      <c r="M531" s="2"/>
      <c r="N531" s="3"/>
      <c r="O531" s="3"/>
      <c r="P531" s="3"/>
      <c r="Q531" s="3"/>
      <c r="R531" s="4">
        <f>SUM(M531:Q531)</f>
        <v>0</v>
      </c>
      <c r="T531" s="2"/>
      <c r="U531" s="3"/>
      <c r="V531" s="3"/>
      <c r="W531" s="3"/>
      <c r="X531" s="3"/>
      <c r="Y531" s="4">
        <f>SUM(T531:X531)</f>
        <v>0</v>
      </c>
      <c r="AA531" s="2"/>
      <c r="AB531" s="3"/>
      <c r="AC531" s="3"/>
      <c r="AD531" s="3"/>
      <c r="AE531" s="3"/>
      <c r="AF531" s="4">
        <f>SUM(AA531:AE531)</f>
        <v>0</v>
      </c>
      <c r="AH531" s="2"/>
      <c r="AI531" s="3"/>
      <c r="AJ531" s="3"/>
      <c r="AK531" s="3"/>
      <c r="AL531" s="3"/>
      <c r="AM531" s="4">
        <f>SUM(AH531:AL531)</f>
        <v>0</v>
      </c>
      <c r="AO531" s="2"/>
      <c r="AP531" s="3"/>
      <c r="AQ531" s="3"/>
      <c r="AR531" s="3"/>
      <c r="AS531" s="3"/>
      <c r="AT531" s="4">
        <f>SUM(AO531:AS531)</f>
        <v>0</v>
      </c>
      <c r="AV531" s="2"/>
      <c r="AW531" s="3"/>
      <c r="AX531" s="3"/>
      <c r="AY531" s="3"/>
      <c r="AZ531" s="3"/>
      <c r="BA531" s="4">
        <f>SUM(AV531:AZ531)</f>
        <v>0</v>
      </c>
      <c r="BC531" s="2"/>
      <c r="BD531" s="3"/>
      <c r="BE531" s="3"/>
      <c r="BF531" s="3"/>
      <c r="BG531" s="3"/>
      <c r="BH531" s="4">
        <f>SUM(BC531:BG531)</f>
        <v>0</v>
      </c>
      <c r="BJ531" s="2"/>
      <c r="BK531" s="3"/>
      <c r="BL531" s="3"/>
      <c r="BM531" s="3"/>
      <c r="BN531" s="3"/>
      <c r="BO531" s="4">
        <f>SUM(BJ531:BN531)</f>
        <v>0</v>
      </c>
      <c r="BQ531" s="2"/>
      <c r="BR531" s="3"/>
      <c r="BS531" s="3"/>
      <c r="BT531" s="3"/>
      <c r="BU531" s="3"/>
      <c r="BV531" s="4">
        <f>SUM(BQ531:BU531)</f>
        <v>0</v>
      </c>
      <c r="BX531" s="2"/>
      <c r="BY531" s="3"/>
      <c r="BZ531" s="3"/>
      <c r="CA531" s="3"/>
      <c r="CB531" s="3"/>
      <c r="CC531" s="4">
        <f>SUM(BX531:CB531)</f>
        <v>0</v>
      </c>
      <c r="CE531" s="26">
        <f t="shared" ref="CE531:CE534" si="2429">F531+M531+T531+AA531+AH531+AO531+AV531+BC531+BJ531+BQ531+BX531</f>
        <v>0</v>
      </c>
      <c r="CF531" s="27">
        <f t="shared" ref="CF531:CF534" si="2430">G531+N531+U531+AB531+AI531+AP531+AW531+BD531+BK531+BR531+BY531</f>
        <v>0</v>
      </c>
      <c r="CG531" s="27">
        <f t="shared" ref="CG531:CG534" si="2431">H531+O531+V531+AC531+AJ531+AQ531+AX531+BE531+BL531+BS531+BZ531</f>
        <v>0</v>
      </c>
      <c r="CH531" s="27">
        <f t="shared" ref="CH531:CH534" si="2432">I531+P531+W531+AD531+AK531+AR531+AY531+BF531+BM531+BT531+CA531</f>
        <v>0</v>
      </c>
      <c r="CI531" s="27">
        <f t="shared" ref="CI531:CI534" si="2433">J531+Q531+X531+AE531+AL531+AS531+AZ531+BG531+BN531+BU531+CB531</f>
        <v>0</v>
      </c>
      <c r="CJ531" s="4">
        <f>SUM(CE531:CI531)</f>
        <v>0</v>
      </c>
      <c r="CL531" s="2"/>
      <c r="CM531" s="3"/>
      <c r="CN531" s="3"/>
      <c r="CO531" s="3"/>
      <c r="CP531" s="3"/>
      <c r="CQ531" s="4">
        <f>SUM(CL531:CP531)</f>
        <v>0</v>
      </c>
      <c r="CS531" s="2"/>
      <c r="CT531" s="3"/>
      <c r="CU531" s="3"/>
      <c r="CV531" s="3"/>
      <c r="CW531" s="3"/>
      <c r="CX531" s="4">
        <f>SUM(CS531:CW531)</f>
        <v>0</v>
      </c>
      <c r="CZ531" s="2"/>
      <c r="DA531" s="3"/>
      <c r="DB531" s="3"/>
      <c r="DC531" s="3"/>
      <c r="DD531" s="3"/>
      <c r="DE531" s="4">
        <f>SUM(CZ531:DD531)</f>
        <v>0</v>
      </c>
    </row>
    <row r="532" spans="3:109">
      <c r="C532" s="567"/>
      <c r="E532" s="14" t="s">
        <v>60</v>
      </c>
      <c r="F532" s="23">
        <f t="shared" ref="F532:F534" si="2434">CE526</f>
        <v>0</v>
      </c>
      <c r="G532" s="24">
        <f t="shared" si="2425"/>
        <v>0</v>
      </c>
      <c r="H532" s="24">
        <f t="shared" si="2426"/>
        <v>0</v>
      </c>
      <c r="I532" s="24">
        <f t="shared" si="2427"/>
        <v>0</v>
      </c>
      <c r="J532" s="24">
        <f t="shared" si="2428"/>
        <v>0</v>
      </c>
      <c r="K532" s="8">
        <f t="shared" ref="K532:K534" si="2435">SUM(F532:J532)</f>
        <v>0</v>
      </c>
      <c r="M532" s="6"/>
      <c r="N532" s="7"/>
      <c r="O532" s="7"/>
      <c r="P532" s="7"/>
      <c r="Q532" s="7"/>
      <c r="R532" s="8">
        <f t="shared" ref="R532:R534" si="2436">SUM(M532:Q532)</f>
        <v>0</v>
      </c>
      <c r="T532" s="6"/>
      <c r="U532" s="7"/>
      <c r="V532" s="7"/>
      <c r="W532" s="7"/>
      <c r="X532" s="7"/>
      <c r="Y532" s="8">
        <f t="shared" ref="Y532:Y534" si="2437">SUM(T532:X532)</f>
        <v>0</v>
      </c>
      <c r="AA532" s="6"/>
      <c r="AB532" s="7"/>
      <c r="AC532" s="7"/>
      <c r="AD532" s="7"/>
      <c r="AE532" s="7"/>
      <c r="AF532" s="8">
        <f>SUM(AA532:AE532)</f>
        <v>0</v>
      </c>
      <c r="AH532" s="6"/>
      <c r="AI532" s="7"/>
      <c r="AJ532" s="7"/>
      <c r="AK532" s="7"/>
      <c r="AL532" s="7"/>
      <c r="AM532" s="8">
        <f>SUM(AH532:AL532)</f>
        <v>0</v>
      </c>
      <c r="AO532" s="6"/>
      <c r="AP532" s="7"/>
      <c r="AQ532" s="7"/>
      <c r="AR532" s="7"/>
      <c r="AS532" s="7"/>
      <c r="AT532" s="8">
        <f>SUM(AO532:AS532)</f>
        <v>0</v>
      </c>
      <c r="AV532" s="6"/>
      <c r="AW532" s="7"/>
      <c r="AX532" s="7"/>
      <c r="AY532" s="7"/>
      <c r="AZ532" s="7"/>
      <c r="BA532" s="8">
        <f>SUM(AV532:AZ532)</f>
        <v>0</v>
      </c>
      <c r="BC532" s="6"/>
      <c r="BD532" s="7"/>
      <c r="BE532" s="7"/>
      <c r="BF532" s="7"/>
      <c r="BG532" s="7"/>
      <c r="BH532" s="8">
        <f>SUM(BC532:BG532)</f>
        <v>0</v>
      </c>
      <c r="BJ532" s="6"/>
      <c r="BK532" s="7"/>
      <c r="BL532" s="7"/>
      <c r="BM532" s="7"/>
      <c r="BN532" s="7"/>
      <c r="BO532" s="8">
        <f>SUM(BJ532:BN532)</f>
        <v>0</v>
      </c>
      <c r="BQ532" s="6"/>
      <c r="BR532" s="7"/>
      <c r="BS532" s="7"/>
      <c r="BT532" s="7"/>
      <c r="BU532" s="7"/>
      <c r="BV532" s="8">
        <f>SUM(BQ532:BU532)</f>
        <v>0</v>
      </c>
      <c r="BX532" s="6"/>
      <c r="BY532" s="7"/>
      <c r="BZ532" s="7"/>
      <c r="CA532" s="7"/>
      <c r="CB532" s="7"/>
      <c r="CC532" s="8">
        <f>SUM(BX532:CB532)</f>
        <v>0</v>
      </c>
      <c r="CE532" s="28">
        <f t="shared" si="2429"/>
        <v>0</v>
      </c>
      <c r="CF532" s="29">
        <f t="shared" si="2430"/>
        <v>0</v>
      </c>
      <c r="CG532" s="29">
        <f t="shared" si="2431"/>
        <v>0</v>
      </c>
      <c r="CH532" s="29">
        <f t="shared" si="2432"/>
        <v>0</v>
      </c>
      <c r="CI532" s="29">
        <f t="shared" si="2433"/>
        <v>0</v>
      </c>
      <c r="CJ532" s="8">
        <f>SUM(CE532:CI532)</f>
        <v>0</v>
      </c>
      <c r="CL532" s="6"/>
      <c r="CM532" s="7"/>
      <c r="CN532" s="7"/>
      <c r="CO532" s="7"/>
      <c r="CP532" s="7"/>
      <c r="CQ532" s="8">
        <f>SUM(CL532:CP532)</f>
        <v>0</v>
      </c>
      <c r="CS532" s="6"/>
      <c r="CT532" s="7"/>
      <c r="CU532" s="7"/>
      <c r="CV532" s="7"/>
      <c r="CW532" s="7"/>
      <c r="CX532" s="8">
        <f t="shared" ref="CX532:CX534" si="2438">SUM(CS532:CW532)</f>
        <v>0</v>
      </c>
      <c r="CZ532" s="6"/>
      <c r="DA532" s="7"/>
      <c r="DB532" s="7"/>
      <c r="DC532" s="7"/>
      <c r="DD532" s="7"/>
      <c r="DE532" s="8">
        <f t="shared" ref="DE532:DE534" si="2439">SUM(CZ532:DD532)</f>
        <v>0</v>
      </c>
    </row>
    <row r="533" spans="3:109">
      <c r="C533" s="567"/>
      <c r="E533" s="14" t="s">
        <v>61</v>
      </c>
      <c r="F533" s="23">
        <f t="shared" si="2434"/>
        <v>0</v>
      </c>
      <c r="G533" s="24">
        <f t="shared" si="2425"/>
        <v>0</v>
      </c>
      <c r="H533" s="24">
        <f t="shared" si="2426"/>
        <v>0</v>
      </c>
      <c r="I533" s="24">
        <f t="shared" si="2427"/>
        <v>0</v>
      </c>
      <c r="J533" s="24">
        <f t="shared" si="2428"/>
        <v>0</v>
      </c>
      <c r="K533" s="8">
        <f t="shared" si="2435"/>
        <v>0</v>
      </c>
      <c r="M533" s="6"/>
      <c r="N533" s="7"/>
      <c r="O533" s="7"/>
      <c r="P533" s="7"/>
      <c r="Q533" s="7"/>
      <c r="R533" s="8">
        <f t="shared" si="2436"/>
        <v>0</v>
      </c>
      <c r="T533" s="6"/>
      <c r="U533" s="7"/>
      <c r="V533" s="7"/>
      <c r="W533" s="7"/>
      <c r="X533" s="7"/>
      <c r="Y533" s="8">
        <f t="shared" si="2437"/>
        <v>0</v>
      </c>
      <c r="AA533" s="6"/>
      <c r="AB533" s="7"/>
      <c r="AC533" s="7"/>
      <c r="AD533" s="7"/>
      <c r="AE533" s="7"/>
      <c r="AF533" s="8">
        <f>SUM(AA533:AE533)</f>
        <v>0</v>
      </c>
      <c r="AH533" s="6"/>
      <c r="AI533" s="7"/>
      <c r="AJ533" s="7"/>
      <c r="AK533" s="7"/>
      <c r="AL533" s="7"/>
      <c r="AM533" s="8">
        <f>SUM(AH533:AL533)</f>
        <v>0</v>
      </c>
      <c r="AO533" s="6"/>
      <c r="AP533" s="7"/>
      <c r="AQ533" s="7"/>
      <c r="AR533" s="7"/>
      <c r="AS533" s="7"/>
      <c r="AT533" s="8">
        <f>SUM(AO533:AS533)</f>
        <v>0</v>
      </c>
      <c r="AV533" s="6"/>
      <c r="AW533" s="7"/>
      <c r="AX533" s="7"/>
      <c r="AY533" s="7"/>
      <c r="AZ533" s="7"/>
      <c r="BA533" s="8">
        <f>SUM(AV533:AZ533)</f>
        <v>0</v>
      </c>
      <c r="BC533" s="6"/>
      <c r="BD533" s="7"/>
      <c r="BE533" s="7"/>
      <c r="BF533" s="7"/>
      <c r="BG533" s="7"/>
      <c r="BH533" s="8">
        <f>SUM(BC533:BG533)</f>
        <v>0</v>
      </c>
      <c r="BJ533" s="6"/>
      <c r="BK533" s="7"/>
      <c r="BL533" s="7"/>
      <c r="BM533" s="7"/>
      <c r="BN533" s="7"/>
      <c r="BO533" s="8">
        <f>SUM(BJ533:BN533)</f>
        <v>0</v>
      </c>
      <c r="BQ533" s="6"/>
      <c r="BR533" s="7"/>
      <c r="BS533" s="7"/>
      <c r="BT533" s="7"/>
      <c r="BU533" s="7"/>
      <c r="BV533" s="8">
        <f>SUM(BQ533:BU533)</f>
        <v>0</v>
      </c>
      <c r="BX533" s="6"/>
      <c r="BY533" s="7"/>
      <c r="BZ533" s="7"/>
      <c r="CA533" s="7"/>
      <c r="CB533" s="7"/>
      <c r="CC533" s="8">
        <f>SUM(BX533:CB533)</f>
        <v>0</v>
      </c>
      <c r="CE533" s="28">
        <f t="shared" si="2429"/>
        <v>0</v>
      </c>
      <c r="CF533" s="29">
        <f t="shared" si="2430"/>
        <v>0</v>
      </c>
      <c r="CG533" s="29">
        <f t="shared" si="2431"/>
        <v>0</v>
      </c>
      <c r="CH533" s="29">
        <f t="shared" si="2432"/>
        <v>0</v>
      </c>
      <c r="CI533" s="29">
        <f t="shared" si="2433"/>
        <v>0</v>
      </c>
      <c r="CJ533" s="8">
        <f>SUM(CE533:CI533)</f>
        <v>0</v>
      </c>
      <c r="CL533" s="6"/>
      <c r="CM533" s="7"/>
      <c r="CN533" s="7"/>
      <c r="CO533" s="7"/>
      <c r="CP533" s="7"/>
      <c r="CQ533" s="8">
        <f>SUM(CL533:CP533)</f>
        <v>0</v>
      </c>
      <c r="CS533" s="6"/>
      <c r="CT533" s="7"/>
      <c r="CU533" s="7"/>
      <c r="CV533" s="7"/>
      <c r="CW533" s="7"/>
      <c r="CX533" s="8">
        <f t="shared" si="2438"/>
        <v>0</v>
      </c>
      <c r="CZ533" s="6"/>
      <c r="DA533" s="7"/>
      <c r="DB533" s="7"/>
      <c r="DC533" s="7"/>
      <c r="DD533" s="7"/>
      <c r="DE533" s="8">
        <f t="shared" si="2439"/>
        <v>0</v>
      </c>
    </row>
    <row r="534" spans="3:109" ht="14" thickBot="1">
      <c r="C534" s="567"/>
      <c r="E534" s="14" t="s">
        <v>62</v>
      </c>
      <c r="F534" s="23">
        <f t="shared" si="2434"/>
        <v>0</v>
      </c>
      <c r="G534" s="24">
        <f t="shared" si="2425"/>
        <v>0</v>
      </c>
      <c r="H534" s="24">
        <f t="shared" si="2426"/>
        <v>0</v>
      </c>
      <c r="I534" s="24">
        <f t="shared" si="2427"/>
        <v>0</v>
      </c>
      <c r="J534" s="24">
        <f t="shared" si="2428"/>
        <v>0</v>
      </c>
      <c r="K534" s="8">
        <f t="shared" si="2435"/>
        <v>0</v>
      </c>
      <c r="M534" s="6"/>
      <c r="N534" s="7"/>
      <c r="O534" s="7"/>
      <c r="P534" s="7"/>
      <c r="Q534" s="7"/>
      <c r="R534" s="8">
        <f t="shared" si="2436"/>
        <v>0</v>
      </c>
      <c r="T534" s="6"/>
      <c r="U534" s="7"/>
      <c r="V534" s="7"/>
      <c r="W534" s="7"/>
      <c r="X534" s="7"/>
      <c r="Y534" s="8">
        <f t="shared" si="2437"/>
        <v>0</v>
      </c>
      <c r="AA534" s="6"/>
      <c r="AB534" s="7"/>
      <c r="AC534" s="7"/>
      <c r="AD534" s="7"/>
      <c r="AE534" s="7"/>
      <c r="AF534" s="8">
        <f>SUM(AA534:AE534)</f>
        <v>0</v>
      </c>
      <c r="AH534" s="6"/>
      <c r="AI534" s="7"/>
      <c r="AJ534" s="7"/>
      <c r="AK534" s="7"/>
      <c r="AL534" s="7"/>
      <c r="AM534" s="8">
        <f>SUM(AH534:AL534)</f>
        <v>0</v>
      </c>
      <c r="AO534" s="6"/>
      <c r="AP534" s="7"/>
      <c r="AQ534" s="7"/>
      <c r="AR534" s="7"/>
      <c r="AS534" s="7"/>
      <c r="AT534" s="8">
        <f>SUM(AO534:AS534)</f>
        <v>0</v>
      </c>
      <c r="AV534" s="6"/>
      <c r="AW534" s="7"/>
      <c r="AX534" s="7"/>
      <c r="AY534" s="7"/>
      <c r="AZ534" s="7"/>
      <c r="BA534" s="8">
        <f>SUM(AV534:AZ534)</f>
        <v>0</v>
      </c>
      <c r="BC534" s="6"/>
      <c r="BD534" s="7"/>
      <c r="BE534" s="7"/>
      <c r="BF534" s="7"/>
      <c r="BG534" s="7"/>
      <c r="BH534" s="8">
        <f>SUM(BC534:BG534)</f>
        <v>0</v>
      </c>
      <c r="BJ534" s="6"/>
      <c r="BK534" s="7"/>
      <c r="BL534" s="7"/>
      <c r="BM534" s="7"/>
      <c r="BN534" s="7"/>
      <c r="BO534" s="8">
        <f>SUM(BJ534:BN534)</f>
        <v>0</v>
      </c>
      <c r="BQ534" s="6"/>
      <c r="BR534" s="7"/>
      <c r="BS534" s="7"/>
      <c r="BT534" s="7"/>
      <c r="BU534" s="7"/>
      <c r="BV534" s="8">
        <f>SUM(BQ534:BU534)</f>
        <v>0</v>
      </c>
      <c r="BX534" s="6"/>
      <c r="BY534" s="7"/>
      <c r="BZ534" s="7"/>
      <c r="CA534" s="7"/>
      <c r="CB534" s="7"/>
      <c r="CC534" s="8">
        <f>SUM(BX534:CB534)</f>
        <v>0</v>
      </c>
      <c r="CE534" s="493">
        <f t="shared" si="2429"/>
        <v>0</v>
      </c>
      <c r="CF534" s="494">
        <f t="shared" si="2430"/>
        <v>0</v>
      </c>
      <c r="CG534" s="494">
        <f t="shared" si="2431"/>
        <v>0</v>
      </c>
      <c r="CH534" s="494">
        <f t="shared" si="2432"/>
        <v>0</v>
      </c>
      <c r="CI534" s="494">
        <f t="shared" si="2433"/>
        <v>0</v>
      </c>
      <c r="CJ534" s="495">
        <f>SUM(CE534:CI534)</f>
        <v>0</v>
      </c>
      <c r="CL534" s="6"/>
      <c r="CM534" s="7"/>
      <c r="CN534" s="7"/>
      <c r="CO534" s="7"/>
      <c r="CP534" s="7"/>
      <c r="CQ534" s="8">
        <f>SUM(CL534:CP534)</f>
        <v>0</v>
      </c>
      <c r="CS534" s="6"/>
      <c r="CT534" s="7"/>
      <c r="CU534" s="7"/>
      <c r="CV534" s="7"/>
      <c r="CW534" s="7"/>
      <c r="CX534" s="8">
        <f t="shared" si="2438"/>
        <v>0</v>
      </c>
      <c r="CZ534" s="6"/>
      <c r="DA534" s="7"/>
      <c r="DB534" s="7"/>
      <c r="DC534" s="7"/>
      <c r="DD534" s="7"/>
      <c r="DE534" s="8">
        <f t="shared" si="2439"/>
        <v>0</v>
      </c>
    </row>
    <row r="535" spans="3:109" ht="14" thickBot="1">
      <c r="C535" s="554"/>
      <c r="E535" s="17"/>
      <c r="F535" s="10">
        <f>SUM(F531:F534)</f>
        <v>0</v>
      </c>
      <c r="G535" s="11">
        <f t="shared" ref="G535:J535" si="2440">SUM(G531:G534)</f>
        <v>0</v>
      </c>
      <c r="H535" s="11">
        <f t="shared" si="2440"/>
        <v>0</v>
      </c>
      <c r="I535" s="11">
        <f t="shared" si="2440"/>
        <v>0</v>
      </c>
      <c r="J535" s="11">
        <f t="shared" si="2440"/>
        <v>0</v>
      </c>
      <c r="K535" s="25">
        <f>SUM(K531:K534)</f>
        <v>0</v>
      </c>
      <c r="M535" s="10">
        <f>SUM(M531:M534)</f>
        <v>0</v>
      </c>
      <c r="N535" s="11">
        <f t="shared" ref="N535:Q535" si="2441">SUM(N531:N534)</f>
        <v>0</v>
      </c>
      <c r="O535" s="11">
        <f t="shared" si="2441"/>
        <v>0</v>
      </c>
      <c r="P535" s="11">
        <f t="shared" si="2441"/>
        <v>0</v>
      </c>
      <c r="Q535" s="11">
        <f t="shared" si="2441"/>
        <v>0</v>
      </c>
      <c r="R535" s="25">
        <f>SUM(R531:R534)</f>
        <v>0</v>
      </c>
      <c r="T535" s="10">
        <f>SUM(T531:T534)</f>
        <v>0</v>
      </c>
      <c r="U535" s="11">
        <f t="shared" ref="U535:X535" si="2442">SUM(U531:U534)</f>
        <v>0</v>
      </c>
      <c r="V535" s="11">
        <f t="shared" si="2442"/>
        <v>0</v>
      </c>
      <c r="W535" s="11">
        <f t="shared" si="2442"/>
        <v>0</v>
      </c>
      <c r="X535" s="11">
        <f t="shared" si="2442"/>
        <v>0</v>
      </c>
      <c r="Y535" s="25">
        <f>SUM(Y531:Y534)</f>
        <v>0</v>
      </c>
      <c r="AA535" s="10">
        <f>SUM(AA531:AA534)</f>
        <v>0</v>
      </c>
      <c r="AB535" s="11">
        <f t="shared" ref="AB535:AE535" si="2443">SUM(AB531:AB534)</f>
        <v>0</v>
      </c>
      <c r="AC535" s="11">
        <f t="shared" si="2443"/>
        <v>0</v>
      </c>
      <c r="AD535" s="11">
        <f t="shared" si="2443"/>
        <v>0</v>
      </c>
      <c r="AE535" s="11">
        <f t="shared" si="2443"/>
        <v>0</v>
      </c>
      <c r="AF535" s="25">
        <f>SUM(AF531:AF534)</f>
        <v>0</v>
      </c>
      <c r="AH535" s="10">
        <f>SUM(AH531:AH534)</f>
        <v>0</v>
      </c>
      <c r="AI535" s="11">
        <f t="shared" ref="AI535:AL535" si="2444">SUM(AI531:AI534)</f>
        <v>0</v>
      </c>
      <c r="AJ535" s="11">
        <f t="shared" si="2444"/>
        <v>0</v>
      </c>
      <c r="AK535" s="11">
        <f t="shared" si="2444"/>
        <v>0</v>
      </c>
      <c r="AL535" s="11">
        <f t="shared" si="2444"/>
        <v>0</v>
      </c>
      <c r="AM535" s="25">
        <f>SUM(AM531:AM534)</f>
        <v>0</v>
      </c>
      <c r="AO535" s="10">
        <f>SUM(AO531:AO534)</f>
        <v>0</v>
      </c>
      <c r="AP535" s="11">
        <f t="shared" ref="AP535:AS535" si="2445">SUM(AP531:AP534)</f>
        <v>0</v>
      </c>
      <c r="AQ535" s="11">
        <f t="shared" si="2445"/>
        <v>0</v>
      </c>
      <c r="AR535" s="11">
        <f t="shared" si="2445"/>
        <v>0</v>
      </c>
      <c r="AS535" s="11">
        <f t="shared" si="2445"/>
        <v>0</v>
      </c>
      <c r="AT535" s="25">
        <f>SUM(AT531:AT534)</f>
        <v>0</v>
      </c>
      <c r="AV535" s="10">
        <f>SUM(AV531:AV534)</f>
        <v>0</v>
      </c>
      <c r="AW535" s="11">
        <f t="shared" ref="AW535:AZ535" si="2446">SUM(AW531:AW534)</f>
        <v>0</v>
      </c>
      <c r="AX535" s="11">
        <f t="shared" si="2446"/>
        <v>0</v>
      </c>
      <c r="AY535" s="11">
        <f t="shared" si="2446"/>
        <v>0</v>
      </c>
      <c r="AZ535" s="11">
        <f t="shared" si="2446"/>
        <v>0</v>
      </c>
      <c r="BA535" s="25">
        <f>SUM(BA531:BA534)</f>
        <v>0</v>
      </c>
      <c r="BC535" s="10">
        <f>SUM(BC531:BC534)</f>
        <v>0</v>
      </c>
      <c r="BD535" s="11">
        <f t="shared" ref="BD535:BG535" si="2447">SUM(BD531:BD534)</f>
        <v>0</v>
      </c>
      <c r="BE535" s="11">
        <f t="shared" si="2447"/>
        <v>0</v>
      </c>
      <c r="BF535" s="11">
        <f t="shared" si="2447"/>
        <v>0</v>
      </c>
      <c r="BG535" s="11">
        <f t="shared" si="2447"/>
        <v>0</v>
      </c>
      <c r="BH535" s="25">
        <f>SUM(BH531:BH534)</f>
        <v>0</v>
      </c>
      <c r="BJ535" s="10">
        <f>SUM(BJ531:BJ534)</f>
        <v>0</v>
      </c>
      <c r="BK535" s="11">
        <f t="shared" ref="BK535:BN535" si="2448">SUM(BK531:BK534)</f>
        <v>0</v>
      </c>
      <c r="BL535" s="11">
        <f t="shared" si="2448"/>
        <v>0</v>
      </c>
      <c r="BM535" s="11">
        <f t="shared" si="2448"/>
        <v>0</v>
      </c>
      <c r="BN535" s="11">
        <f t="shared" si="2448"/>
        <v>0</v>
      </c>
      <c r="BO535" s="25">
        <f>SUM(BO531:BO534)</f>
        <v>0</v>
      </c>
      <c r="BQ535" s="10">
        <f>SUM(BQ531:BQ534)</f>
        <v>0</v>
      </c>
      <c r="BR535" s="11">
        <f t="shared" ref="BR535:BU535" si="2449">SUM(BR531:BR534)</f>
        <v>0</v>
      </c>
      <c r="BS535" s="11">
        <f t="shared" si="2449"/>
        <v>0</v>
      </c>
      <c r="BT535" s="11">
        <f t="shared" si="2449"/>
        <v>0</v>
      </c>
      <c r="BU535" s="11">
        <f t="shared" si="2449"/>
        <v>0</v>
      </c>
      <c r="BV535" s="25">
        <f>SUM(BV531:BV534)</f>
        <v>0</v>
      </c>
      <c r="BX535" s="10">
        <f>SUM(BX531:BX534)</f>
        <v>0</v>
      </c>
      <c r="BY535" s="11">
        <f t="shared" ref="BY535:CB535" si="2450">SUM(BY531:BY534)</f>
        <v>0</v>
      </c>
      <c r="BZ535" s="11">
        <f t="shared" si="2450"/>
        <v>0</v>
      </c>
      <c r="CA535" s="11">
        <f t="shared" si="2450"/>
        <v>0</v>
      </c>
      <c r="CB535" s="11">
        <f t="shared" si="2450"/>
        <v>0</v>
      </c>
      <c r="CC535" s="25">
        <f>SUM(CC531:CC534)</f>
        <v>0</v>
      </c>
      <c r="CE535" s="62">
        <f t="shared" ref="CE535:CJ535" si="2451">SUM(CE531:CE534)</f>
        <v>0</v>
      </c>
      <c r="CF535" s="63">
        <f t="shared" si="2451"/>
        <v>0</v>
      </c>
      <c r="CG535" s="63">
        <f t="shared" si="2451"/>
        <v>0</v>
      </c>
      <c r="CH535" s="63">
        <f t="shared" si="2451"/>
        <v>0</v>
      </c>
      <c r="CI535" s="63">
        <f t="shared" si="2451"/>
        <v>0</v>
      </c>
      <c r="CJ535" s="25">
        <f t="shared" si="2451"/>
        <v>0</v>
      </c>
      <c r="CL535" s="10">
        <f>SUM(CL531:CL534)</f>
        <v>0</v>
      </c>
      <c r="CM535" s="11">
        <f t="shared" ref="CM535:CP535" si="2452">SUM(CM531:CM534)</f>
        <v>0</v>
      </c>
      <c r="CN535" s="11">
        <f t="shared" si="2452"/>
        <v>0</v>
      </c>
      <c r="CO535" s="11">
        <f t="shared" si="2452"/>
        <v>0</v>
      </c>
      <c r="CP535" s="11">
        <f t="shared" si="2452"/>
        <v>0</v>
      </c>
      <c r="CQ535" s="25">
        <f>SUM(CQ531:CQ534)</f>
        <v>0</v>
      </c>
      <c r="CS535" s="10">
        <f>SUM(CS531:CS534)</f>
        <v>0</v>
      </c>
      <c r="CT535" s="11">
        <f t="shared" ref="CT535:CW535" si="2453">SUM(CT531:CT534)</f>
        <v>0</v>
      </c>
      <c r="CU535" s="11">
        <f t="shared" si="2453"/>
        <v>0</v>
      </c>
      <c r="CV535" s="11">
        <f t="shared" si="2453"/>
        <v>0</v>
      </c>
      <c r="CW535" s="11">
        <f t="shared" si="2453"/>
        <v>0</v>
      </c>
      <c r="CX535" s="25">
        <f>SUM(CX531:CX534)</f>
        <v>0</v>
      </c>
      <c r="CZ535" s="10">
        <f>SUM(CZ531:CZ534)</f>
        <v>0</v>
      </c>
      <c r="DA535" s="11">
        <f t="shared" ref="DA535:DD535" si="2454">SUM(DA531:DA534)</f>
        <v>0</v>
      </c>
      <c r="DB535" s="11">
        <f t="shared" si="2454"/>
        <v>0</v>
      </c>
      <c r="DC535" s="11">
        <f t="shared" si="2454"/>
        <v>0</v>
      </c>
      <c r="DD535" s="11">
        <f t="shared" si="2454"/>
        <v>0</v>
      </c>
      <c r="DE535" s="25">
        <f>SUM(DE531:DE534)</f>
        <v>0</v>
      </c>
    </row>
    <row r="536" spans="3:109" ht="10.4" customHeight="1" thickBot="1"/>
    <row r="537" spans="3:109">
      <c r="C537" s="553">
        <v>2027</v>
      </c>
      <c r="E537" s="13" t="s">
        <v>59</v>
      </c>
      <c r="F537" s="21">
        <f>CE531</f>
        <v>0</v>
      </c>
      <c r="G537" s="22">
        <f t="shared" ref="G537:G540" si="2455">CF531</f>
        <v>0</v>
      </c>
      <c r="H537" s="22">
        <f t="shared" ref="H537:H540" si="2456">CG531</f>
        <v>0</v>
      </c>
      <c r="I537" s="22">
        <f t="shared" ref="I537:I540" si="2457">CH531</f>
        <v>0</v>
      </c>
      <c r="J537" s="22">
        <f t="shared" ref="J537:J540" si="2458">CI531</f>
        <v>0</v>
      </c>
      <c r="K537" s="4">
        <f>SUM(F537:J537)</f>
        <v>0</v>
      </c>
      <c r="M537" s="2"/>
      <c r="N537" s="3"/>
      <c r="O537" s="3"/>
      <c r="P537" s="3"/>
      <c r="Q537" s="3"/>
      <c r="R537" s="4">
        <f>SUM(M537:Q537)</f>
        <v>0</v>
      </c>
      <c r="T537" s="2"/>
      <c r="U537" s="3"/>
      <c r="V537" s="3"/>
      <c r="W537" s="3"/>
      <c r="X537" s="3"/>
      <c r="Y537" s="4">
        <f>SUM(T537:X537)</f>
        <v>0</v>
      </c>
      <c r="AA537" s="2"/>
      <c r="AB537" s="3"/>
      <c r="AC537" s="3"/>
      <c r="AD537" s="3"/>
      <c r="AE537" s="3"/>
      <c r="AF537" s="4">
        <f>SUM(AA537:AE537)</f>
        <v>0</v>
      </c>
      <c r="AH537" s="2"/>
      <c r="AI537" s="3"/>
      <c r="AJ537" s="3"/>
      <c r="AK537" s="3"/>
      <c r="AL537" s="3"/>
      <c r="AM537" s="4">
        <f>SUM(AH537:AL537)</f>
        <v>0</v>
      </c>
      <c r="AO537" s="2"/>
      <c r="AP537" s="3"/>
      <c r="AQ537" s="3"/>
      <c r="AR537" s="3"/>
      <c r="AS537" s="3"/>
      <c r="AT537" s="4">
        <f>SUM(AO537:AS537)</f>
        <v>0</v>
      </c>
      <c r="AV537" s="2"/>
      <c r="AW537" s="3"/>
      <c r="AX537" s="3"/>
      <c r="AY537" s="3"/>
      <c r="AZ537" s="3"/>
      <c r="BA537" s="4">
        <f>SUM(AV537:AZ537)</f>
        <v>0</v>
      </c>
      <c r="BC537" s="2"/>
      <c r="BD537" s="3"/>
      <c r="BE537" s="3"/>
      <c r="BF537" s="3"/>
      <c r="BG537" s="3"/>
      <c r="BH537" s="4">
        <f>SUM(BC537:BG537)</f>
        <v>0</v>
      </c>
      <c r="BJ537" s="2"/>
      <c r="BK537" s="3"/>
      <c r="BL537" s="3"/>
      <c r="BM537" s="3"/>
      <c r="BN537" s="3"/>
      <c r="BO537" s="4">
        <f>SUM(BJ537:BN537)</f>
        <v>0</v>
      </c>
      <c r="BQ537" s="2"/>
      <c r="BR537" s="3"/>
      <c r="BS537" s="3"/>
      <c r="BT537" s="3"/>
      <c r="BU537" s="3"/>
      <c r="BV537" s="4">
        <f>SUM(BQ537:BU537)</f>
        <v>0</v>
      </c>
      <c r="BX537" s="2"/>
      <c r="BY537" s="3"/>
      <c r="BZ537" s="3"/>
      <c r="CA537" s="3"/>
      <c r="CB537" s="3"/>
      <c r="CC537" s="4">
        <f>SUM(BX537:CB537)</f>
        <v>0</v>
      </c>
      <c r="CE537" s="26">
        <f t="shared" ref="CE537:CE540" si="2459">F537+M537+T537+AA537+AH537+AO537+AV537+BC537+BJ537+BQ537+BX537</f>
        <v>0</v>
      </c>
      <c r="CF537" s="27">
        <f t="shared" ref="CF537:CF540" si="2460">G537+N537+U537+AB537+AI537+AP537+AW537+BD537+BK537+BR537+BY537</f>
        <v>0</v>
      </c>
      <c r="CG537" s="27">
        <f t="shared" ref="CG537:CG540" si="2461">H537+O537+V537+AC537+AJ537+AQ537+AX537+BE537+BL537+BS537+BZ537</f>
        <v>0</v>
      </c>
      <c r="CH537" s="27">
        <f t="shared" ref="CH537:CH540" si="2462">I537+P537+W537+AD537+AK537+AR537+AY537+BF537+BM537+BT537+CA537</f>
        <v>0</v>
      </c>
      <c r="CI537" s="27">
        <f t="shared" ref="CI537:CI540" si="2463">J537+Q537+X537+AE537+AL537+AS537+AZ537+BG537+BN537+BU537+CB537</f>
        <v>0</v>
      </c>
      <c r="CJ537" s="4">
        <f>SUM(CE537:CI537)</f>
        <v>0</v>
      </c>
      <c r="CL537" s="2"/>
      <c r="CM537" s="3"/>
      <c r="CN537" s="3"/>
      <c r="CO537" s="3"/>
      <c r="CP537" s="3"/>
      <c r="CQ537" s="4">
        <f>SUM(CL537:CP537)</f>
        <v>0</v>
      </c>
      <c r="CS537" s="2"/>
      <c r="CT537" s="3"/>
      <c r="CU537" s="3"/>
      <c r="CV537" s="3"/>
      <c r="CW537" s="3"/>
      <c r="CX537" s="4">
        <f>SUM(CS537:CW537)</f>
        <v>0</v>
      </c>
      <c r="CZ537" s="2"/>
      <c r="DA537" s="3"/>
      <c r="DB537" s="3"/>
      <c r="DC537" s="3"/>
      <c r="DD537" s="3"/>
      <c r="DE537" s="4">
        <f>SUM(CZ537:DD537)</f>
        <v>0</v>
      </c>
    </row>
    <row r="538" spans="3:109">
      <c r="C538" s="567"/>
      <c r="E538" s="14" t="s">
        <v>60</v>
      </c>
      <c r="F538" s="23">
        <f t="shared" ref="F538:F540" si="2464">CE532</f>
        <v>0</v>
      </c>
      <c r="G538" s="24">
        <f t="shared" si="2455"/>
        <v>0</v>
      </c>
      <c r="H538" s="24">
        <f t="shared" si="2456"/>
        <v>0</v>
      </c>
      <c r="I538" s="24">
        <f t="shared" si="2457"/>
        <v>0</v>
      </c>
      <c r="J538" s="24">
        <f t="shared" si="2458"/>
        <v>0</v>
      </c>
      <c r="K538" s="8">
        <f t="shared" ref="K538:K540" si="2465">SUM(F538:J538)</f>
        <v>0</v>
      </c>
      <c r="M538" s="6"/>
      <c r="N538" s="7"/>
      <c r="O538" s="7"/>
      <c r="P538" s="7"/>
      <c r="Q538" s="7"/>
      <c r="R538" s="8">
        <f t="shared" ref="R538:R540" si="2466">SUM(M538:Q538)</f>
        <v>0</v>
      </c>
      <c r="T538" s="6"/>
      <c r="U538" s="7"/>
      <c r="V538" s="7"/>
      <c r="W538" s="7"/>
      <c r="X538" s="7"/>
      <c r="Y538" s="8">
        <f t="shared" ref="Y538:Y540" si="2467">SUM(T538:X538)</f>
        <v>0</v>
      </c>
      <c r="AA538" s="6"/>
      <c r="AB538" s="7"/>
      <c r="AC538" s="7"/>
      <c r="AD538" s="7"/>
      <c r="AE538" s="7"/>
      <c r="AF538" s="8">
        <f>SUM(AA538:AE538)</f>
        <v>0</v>
      </c>
      <c r="AH538" s="6"/>
      <c r="AI538" s="7"/>
      <c r="AJ538" s="7"/>
      <c r="AK538" s="7"/>
      <c r="AL538" s="7"/>
      <c r="AM538" s="8">
        <f>SUM(AH538:AL538)</f>
        <v>0</v>
      </c>
      <c r="AO538" s="6"/>
      <c r="AP538" s="7"/>
      <c r="AQ538" s="7"/>
      <c r="AR538" s="7"/>
      <c r="AS538" s="7"/>
      <c r="AT538" s="8">
        <f>SUM(AO538:AS538)</f>
        <v>0</v>
      </c>
      <c r="AV538" s="6"/>
      <c r="AW538" s="7"/>
      <c r="AX538" s="7"/>
      <c r="AY538" s="7"/>
      <c r="AZ538" s="7"/>
      <c r="BA538" s="8">
        <f>SUM(AV538:AZ538)</f>
        <v>0</v>
      </c>
      <c r="BC538" s="6"/>
      <c r="BD538" s="7"/>
      <c r="BE538" s="7"/>
      <c r="BF538" s="7"/>
      <c r="BG538" s="7"/>
      <c r="BH538" s="8">
        <f>SUM(BC538:BG538)</f>
        <v>0</v>
      </c>
      <c r="BJ538" s="6"/>
      <c r="BK538" s="7"/>
      <c r="BL538" s="7"/>
      <c r="BM538" s="7"/>
      <c r="BN538" s="7"/>
      <c r="BO538" s="8">
        <f>SUM(BJ538:BN538)</f>
        <v>0</v>
      </c>
      <c r="BQ538" s="6"/>
      <c r="BR538" s="7"/>
      <c r="BS538" s="7"/>
      <c r="BT538" s="7"/>
      <c r="BU538" s="7"/>
      <c r="BV538" s="8">
        <f>SUM(BQ538:BU538)</f>
        <v>0</v>
      </c>
      <c r="BX538" s="6"/>
      <c r="BY538" s="7"/>
      <c r="BZ538" s="7"/>
      <c r="CA538" s="7"/>
      <c r="CB538" s="7"/>
      <c r="CC538" s="8">
        <f>SUM(BX538:CB538)</f>
        <v>0</v>
      </c>
      <c r="CE538" s="28">
        <f t="shared" si="2459"/>
        <v>0</v>
      </c>
      <c r="CF538" s="29">
        <f t="shared" si="2460"/>
        <v>0</v>
      </c>
      <c r="CG538" s="29">
        <f t="shared" si="2461"/>
        <v>0</v>
      </c>
      <c r="CH538" s="29">
        <f t="shared" si="2462"/>
        <v>0</v>
      </c>
      <c r="CI538" s="29">
        <f t="shared" si="2463"/>
        <v>0</v>
      </c>
      <c r="CJ538" s="8">
        <f>SUM(CE538:CI538)</f>
        <v>0</v>
      </c>
      <c r="CL538" s="6"/>
      <c r="CM538" s="7"/>
      <c r="CN538" s="7"/>
      <c r="CO538" s="7"/>
      <c r="CP538" s="7"/>
      <c r="CQ538" s="8">
        <f>SUM(CL538:CP538)</f>
        <v>0</v>
      </c>
      <c r="CS538" s="6"/>
      <c r="CT538" s="7"/>
      <c r="CU538" s="7"/>
      <c r="CV538" s="7"/>
      <c r="CW538" s="7"/>
      <c r="CX538" s="8">
        <f t="shared" ref="CX538:CX540" si="2468">SUM(CS538:CW538)</f>
        <v>0</v>
      </c>
      <c r="CZ538" s="6"/>
      <c r="DA538" s="7"/>
      <c r="DB538" s="7"/>
      <c r="DC538" s="7"/>
      <c r="DD538" s="7"/>
      <c r="DE538" s="8">
        <f t="shared" ref="DE538:DE540" si="2469">SUM(CZ538:DD538)</f>
        <v>0</v>
      </c>
    </row>
    <row r="539" spans="3:109">
      <c r="C539" s="567"/>
      <c r="E539" s="14" t="s">
        <v>61</v>
      </c>
      <c r="F539" s="23">
        <f t="shared" si="2464"/>
        <v>0</v>
      </c>
      <c r="G539" s="24">
        <f t="shared" si="2455"/>
        <v>0</v>
      </c>
      <c r="H539" s="24">
        <f t="shared" si="2456"/>
        <v>0</v>
      </c>
      <c r="I539" s="24">
        <f t="shared" si="2457"/>
        <v>0</v>
      </c>
      <c r="J539" s="24">
        <f t="shared" si="2458"/>
        <v>0</v>
      </c>
      <c r="K539" s="8">
        <f t="shared" si="2465"/>
        <v>0</v>
      </c>
      <c r="M539" s="6"/>
      <c r="N539" s="7"/>
      <c r="O539" s="7"/>
      <c r="P539" s="7"/>
      <c r="Q539" s="7"/>
      <c r="R539" s="8">
        <f t="shared" si="2466"/>
        <v>0</v>
      </c>
      <c r="T539" s="6"/>
      <c r="U539" s="7"/>
      <c r="V539" s="7"/>
      <c r="W539" s="7"/>
      <c r="X539" s="7"/>
      <c r="Y539" s="8">
        <f t="shared" si="2467"/>
        <v>0</v>
      </c>
      <c r="AA539" s="6"/>
      <c r="AB539" s="7"/>
      <c r="AC539" s="7"/>
      <c r="AD539" s="7"/>
      <c r="AE539" s="7"/>
      <c r="AF539" s="8">
        <f>SUM(AA539:AE539)</f>
        <v>0</v>
      </c>
      <c r="AH539" s="6"/>
      <c r="AI539" s="7"/>
      <c r="AJ539" s="7"/>
      <c r="AK539" s="7"/>
      <c r="AL539" s="7"/>
      <c r="AM539" s="8">
        <f>SUM(AH539:AL539)</f>
        <v>0</v>
      </c>
      <c r="AO539" s="6"/>
      <c r="AP539" s="7"/>
      <c r="AQ539" s="7"/>
      <c r="AR539" s="7"/>
      <c r="AS539" s="7"/>
      <c r="AT539" s="8">
        <f>SUM(AO539:AS539)</f>
        <v>0</v>
      </c>
      <c r="AV539" s="6"/>
      <c r="AW539" s="7"/>
      <c r="AX539" s="7"/>
      <c r="AY539" s="7"/>
      <c r="AZ539" s="7"/>
      <c r="BA539" s="8">
        <f>SUM(AV539:AZ539)</f>
        <v>0</v>
      </c>
      <c r="BC539" s="6"/>
      <c r="BD539" s="7"/>
      <c r="BE539" s="7"/>
      <c r="BF539" s="7"/>
      <c r="BG539" s="7"/>
      <c r="BH539" s="8">
        <f>SUM(BC539:BG539)</f>
        <v>0</v>
      </c>
      <c r="BJ539" s="6"/>
      <c r="BK539" s="7"/>
      <c r="BL539" s="7"/>
      <c r="BM539" s="7"/>
      <c r="BN539" s="7"/>
      <c r="BO539" s="8">
        <f>SUM(BJ539:BN539)</f>
        <v>0</v>
      </c>
      <c r="BQ539" s="6"/>
      <c r="BR539" s="7"/>
      <c r="BS539" s="7"/>
      <c r="BT539" s="7"/>
      <c r="BU539" s="7"/>
      <c r="BV539" s="8">
        <f>SUM(BQ539:BU539)</f>
        <v>0</v>
      </c>
      <c r="BX539" s="6"/>
      <c r="BY539" s="7"/>
      <c r="BZ539" s="7"/>
      <c r="CA539" s="7"/>
      <c r="CB539" s="7"/>
      <c r="CC539" s="8">
        <f>SUM(BX539:CB539)</f>
        <v>0</v>
      </c>
      <c r="CE539" s="28">
        <f t="shared" si="2459"/>
        <v>0</v>
      </c>
      <c r="CF539" s="29">
        <f t="shared" si="2460"/>
        <v>0</v>
      </c>
      <c r="CG539" s="29">
        <f t="shared" si="2461"/>
        <v>0</v>
      </c>
      <c r="CH539" s="29">
        <f t="shared" si="2462"/>
        <v>0</v>
      </c>
      <c r="CI539" s="29">
        <f t="shared" si="2463"/>
        <v>0</v>
      </c>
      <c r="CJ539" s="8">
        <f>SUM(CE539:CI539)</f>
        <v>0</v>
      </c>
      <c r="CL539" s="6"/>
      <c r="CM539" s="7"/>
      <c r="CN539" s="7"/>
      <c r="CO539" s="7"/>
      <c r="CP539" s="7"/>
      <c r="CQ539" s="8">
        <f>SUM(CL539:CP539)</f>
        <v>0</v>
      </c>
      <c r="CS539" s="6"/>
      <c r="CT539" s="7"/>
      <c r="CU539" s="7"/>
      <c r="CV539" s="7"/>
      <c r="CW539" s="7"/>
      <c r="CX539" s="8">
        <f t="shared" si="2468"/>
        <v>0</v>
      </c>
      <c r="CZ539" s="6"/>
      <c r="DA539" s="7"/>
      <c r="DB539" s="7"/>
      <c r="DC539" s="7"/>
      <c r="DD539" s="7"/>
      <c r="DE539" s="8">
        <f t="shared" si="2469"/>
        <v>0</v>
      </c>
    </row>
    <row r="540" spans="3:109" ht="14" thickBot="1">
      <c r="C540" s="567"/>
      <c r="E540" s="14" t="s">
        <v>62</v>
      </c>
      <c r="F540" s="23">
        <f t="shared" si="2464"/>
        <v>0</v>
      </c>
      <c r="G540" s="24">
        <f t="shared" si="2455"/>
        <v>0</v>
      </c>
      <c r="H540" s="24">
        <f t="shared" si="2456"/>
        <v>0</v>
      </c>
      <c r="I540" s="24">
        <f t="shared" si="2457"/>
        <v>0</v>
      </c>
      <c r="J540" s="24">
        <f t="shared" si="2458"/>
        <v>0</v>
      </c>
      <c r="K540" s="8">
        <f t="shared" si="2465"/>
        <v>0</v>
      </c>
      <c r="M540" s="6"/>
      <c r="N540" s="7"/>
      <c r="O540" s="7"/>
      <c r="P540" s="7"/>
      <c r="Q540" s="7"/>
      <c r="R540" s="8">
        <f t="shared" si="2466"/>
        <v>0</v>
      </c>
      <c r="T540" s="6"/>
      <c r="U540" s="7"/>
      <c r="V540" s="7"/>
      <c r="W540" s="7"/>
      <c r="X540" s="7"/>
      <c r="Y540" s="8">
        <f t="shared" si="2467"/>
        <v>0</v>
      </c>
      <c r="AA540" s="6"/>
      <c r="AB540" s="7"/>
      <c r="AC540" s="7"/>
      <c r="AD540" s="7"/>
      <c r="AE540" s="7"/>
      <c r="AF540" s="8">
        <f>SUM(AA540:AE540)</f>
        <v>0</v>
      </c>
      <c r="AH540" s="6"/>
      <c r="AI540" s="7"/>
      <c r="AJ540" s="7"/>
      <c r="AK540" s="7"/>
      <c r="AL540" s="7"/>
      <c r="AM540" s="8">
        <f>SUM(AH540:AL540)</f>
        <v>0</v>
      </c>
      <c r="AO540" s="6"/>
      <c r="AP540" s="7"/>
      <c r="AQ540" s="7"/>
      <c r="AR540" s="7"/>
      <c r="AS540" s="7"/>
      <c r="AT540" s="8">
        <f>SUM(AO540:AS540)</f>
        <v>0</v>
      </c>
      <c r="AV540" s="6"/>
      <c r="AW540" s="7"/>
      <c r="AX540" s="7"/>
      <c r="AY540" s="7"/>
      <c r="AZ540" s="7"/>
      <c r="BA540" s="8">
        <f>SUM(AV540:AZ540)</f>
        <v>0</v>
      </c>
      <c r="BC540" s="6"/>
      <c r="BD540" s="7"/>
      <c r="BE540" s="7"/>
      <c r="BF540" s="7"/>
      <c r="BG540" s="7"/>
      <c r="BH540" s="8">
        <f>SUM(BC540:BG540)</f>
        <v>0</v>
      </c>
      <c r="BJ540" s="6"/>
      <c r="BK540" s="7"/>
      <c r="BL540" s="7"/>
      <c r="BM540" s="7"/>
      <c r="BN540" s="7"/>
      <c r="BO540" s="8">
        <f>SUM(BJ540:BN540)</f>
        <v>0</v>
      </c>
      <c r="BQ540" s="6"/>
      <c r="BR540" s="7"/>
      <c r="BS540" s="7"/>
      <c r="BT540" s="7"/>
      <c r="BU540" s="7"/>
      <c r="BV540" s="8">
        <f>SUM(BQ540:BU540)</f>
        <v>0</v>
      </c>
      <c r="BX540" s="6"/>
      <c r="BY540" s="7"/>
      <c r="BZ540" s="7"/>
      <c r="CA540" s="7"/>
      <c r="CB540" s="7"/>
      <c r="CC540" s="8">
        <f>SUM(BX540:CB540)</f>
        <v>0</v>
      </c>
      <c r="CE540" s="493">
        <f t="shared" si="2459"/>
        <v>0</v>
      </c>
      <c r="CF540" s="494">
        <f t="shared" si="2460"/>
        <v>0</v>
      </c>
      <c r="CG540" s="494">
        <f t="shared" si="2461"/>
        <v>0</v>
      </c>
      <c r="CH540" s="494">
        <f t="shared" si="2462"/>
        <v>0</v>
      </c>
      <c r="CI540" s="494">
        <f t="shared" si="2463"/>
        <v>0</v>
      </c>
      <c r="CJ540" s="495">
        <f>SUM(CE540:CI540)</f>
        <v>0</v>
      </c>
      <c r="CL540" s="6"/>
      <c r="CM540" s="7"/>
      <c r="CN540" s="7"/>
      <c r="CO540" s="7"/>
      <c r="CP540" s="7"/>
      <c r="CQ540" s="8">
        <f>SUM(CL540:CP540)</f>
        <v>0</v>
      </c>
      <c r="CS540" s="6"/>
      <c r="CT540" s="7"/>
      <c r="CU540" s="7"/>
      <c r="CV540" s="7"/>
      <c r="CW540" s="7"/>
      <c r="CX540" s="8">
        <f t="shared" si="2468"/>
        <v>0</v>
      </c>
      <c r="CZ540" s="6"/>
      <c r="DA540" s="7"/>
      <c r="DB540" s="7"/>
      <c r="DC540" s="7"/>
      <c r="DD540" s="7"/>
      <c r="DE540" s="8">
        <f t="shared" si="2469"/>
        <v>0</v>
      </c>
    </row>
    <row r="541" spans="3:109" ht="14" thickBot="1">
      <c r="C541" s="554"/>
      <c r="E541" s="17"/>
      <c r="F541" s="10">
        <f>SUM(F537:F540)</f>
        <v>0</v>
      </c>
      <c r="G541" s="11">
        <f t="shared" ref="G541:J541" si="2470">SUM(G537:G540)</f>
        <v>0</v>
      </c>
      <c r="H541" s="11">
        <f t="shared" si="2470"/>
        <v>0</v>
      </c>
      <c r="I541" s="11">
        <f t="shared" si="2470"/>
        <v>0</v>
      </c>
      <c r="J541" s="11">
        <f t="shared" si="2470"/>
        <v>0</v>
      </c>
      <c r="K541" s="25">
        <f>SUM(K537:K540)</f>
        <v>0</v>
      </c>
      <c r="M541" s="10">
        <f>SUM(M537:M540)</f>
        <v>0</v>
      </c>
      <c r="N541" s="11">
        <f t="shared" ref="N541:Q541" si="2471">SUM(N537:N540)</f>
        <v>0</v>
      </c>
      <c r="O541" s="11">
        <f t="shared" si="2471"/>
        <v>0</v>
      </c>
      <c r="P541" s="11">
        <f t="shared" si="2471"/>
        <v>0</v>
      </c>
      <c r="Q541" s="11">
        <f t="shared" si="2471"/>
        <v>0</v>
      </c>
      <c r="R541" s="25">
        <f>SUM(R537:R540)</f>
        <v>0</v>
      </c>
      <c r="T541" s="10">
        <f>SUM(T537:T540)</f>
        <v>0</v>
      </c>
      <c r="U541" s="11">
        <f t="shared" ref="U541:X541" si="2472">SUM(U537:U540)</f>
        <v>0</v>
      </c>
      <c r="V541" s="11">
        <f t="shared" si="2472"/>
        <v>0</v>
      </c>
      <c r="W541" s="11">
        <f t="shared" si="2472"/>
        <v>0</v>
      </c>
      <c r="X541" s="11">
        <f t="shared" si="2472"/>
        <v>0</v>
      </c>
      <c r="Y541" s="25">
        <f>SUM(Y537:Y540)</f>
        <v>0</v>
      </c>
      <c r="AA541" s="10">
        <f>SUM(AA537:AA540)</f>
        <v>0</v>
      </c>
      <c r="AB541" s="11">
        <f t="shared" ref="AB541:AE541" si="2473">SUM(AB537:AB540)</f>
        <v>0</v>
      </c>
      <c r="AC541" s="11">
        <f t="shared" si="2473"/>
        <v>0</v>
      </c>
      <c r="AD541" s="11">
        <f t="shared" si="2473"/>
        <v>0</v>
      </c>
      <c r="AE541" s="11">
        <f t="shared" si="2473"/>
        <v>0</v>
      </c>
      <c r="AF541" s="25">
        <f>SUM(AF537:AF540)</f>
        <v>0</v>
      </c>
      <c r="AH541" s="10">
        <f>SUM(AH537:AH540)</f>
        <v>0</v>
      </c>
      <c r="AI541" s="11">
        <f t="shared" ref="AI541:AL541" si="2474">SUM(AI537:AI540)</f>
        <v>0</v>
      </c>
      <c r="AJ541" s="11">
        <f t="shared" si="2474"/>
        <v>0</v>
      </c>
      <c r="AK541" s="11">
        <f t="shared" si="2474"/>
        <v>0</v>
      </c>
      <c r="AL541" s="11">
        <f t="shared" si="2474"/>
        <v>0</v>
      </c>
      <c r="AM541" s="25">
        <f>SUM(AM537:AM540)</f>
        <v>0</v>
      </c>
      <c r="AO541" s="10">
        <f>SUM(AO537:AO540)</f>
        <v>0</v>
      </c>
      <c r="AP541" s="11">
        <f t="shared" ref="AP541:AS541" si="2475">SUM(AP537:AP540)</f>
        <v>0</v>
      </c>
      <c r="AQ541" s="11">
        <f t="shared" si="2475"/>
        <v>0</v>
      </c>
      <c r="AR541" s="11">
        <f t="shared" si="2475"/>
        <v>0</v>
      </c>
      <c r="AS541" s="11">
        <f t="shared" si="2475"/>
        <v>0</v>
      </c>
      <c r="AT541" s="25">
        <f>SUM(AT537:AT540)</f>
        <v>0</v>
      </c>
      <c r="AV541" s="10">
        <f>SUM(AV537:AV540)</f>
        <v>0</v>
      </c>
      <c r="AW541" s="11">
        <f t="shared" ref="AW541:AZ541" si="2476">SUM(AW537:AW540)</f>
        <v>0</v>
      </c>
      <c r="AX541" s="11">
        <f t="shared" si="2476"/>
        <v>0</v>
      </c>
      <c r="AY541" s="11">
        <f t="shared" si="2476"/>
        <v>0</v>
      </c>
      <c r="AZ541" s="11">
        <f t="shared" si="2476"/>
        <v>0</v>
      </c>
      <c r="BA541" s="25">
        <f>SUM(BA537:BA540)</f>
        <v>0</v>
      </c>
      <c r="BC541" s="10">
        <f>SUM(BC537:BC540)</f>
        <v>0</v>
      </c>
      <c r="BD541" s="11">
        <f t="shared" ref="BD541:BG541" si="2477">SUM(BD537:BD540)</f>
        <v>0</v>
      </c>
      <c r="BE541" s="11">
        <f t="shared" si="2477"/>
        <v>0</v>
      </c>
      <c r="BF541" s="11">
        <f t="shared" si="2477"/>
        <v>0</v>
      </c>
      <c r="BG541" s="11">
        <f t="shared" si="2477"/>
        <v>0</v>
      </c>
      <c r="BH541" s="25">
        <f>SUM(BH537:BH540)</f>
        <v>0</v>
      </c>
      <c r="BJ541" s="10">
        <f>SUM(BJ537:BJ540)</f>
        <v>0</v>
      </c>
      <c r="BK541" s="11">
        <f t="shared" ref="BK541:BN541" si="2478">SUM(BK537:BK540)</f>
        <v>0</v>
      </c>
      <c r="BL541" s="11">
        <f t="shared" si="2478"/>
        <v>0</v>
      </c>
      <c r="BM541" s="11">
        <f t="shared" si="2478"/>
        <v>0</v>
      </c>
      <c r="BN541" s="11">
        <f t="shared" si="2478"/>
        <v>0</v>
      </c>
      <c r="BO541" s="25">
        <f>SUM(BO537:BO540)</f>
        <v>0</v>
      </c>
      <c r="BQ541" s="10">
        <f>SUM(BQ537:BQ540)</f>
        <v>0</v>
      </c>
      <c r="BR541" s="11">
        <f t="shared" ref="BR541:BU541" si="2479">SUM(BR537:BR540)</f>
        <v>0</v>
      </c>
      <c r="BS541" s="11">
        <f t="shared" si="2479"/>
        <v>0</v>
      </c>
      <c r="BT541" s="11">
        <f t="shared" si="2479"/>
        <v>0</v>
      </c>
      <c r="BU541" s="11">
        <f t="shared" si="2479"/>
        <v>0</v>
      </c>
      <c r="BV541" s="25">
        <f>SUM(BV537:BV540)</f>
        <v>0</v>
      </c>
      <c r="BX541" s="10">
        <f>SUM(BX537:BX540)</f>
        <v>0</v>
      </c>
      <c r="BY541" s="11">
        <f t="shared" ref="BY541:CB541" si="2480">SUM(BY537:BY540)</f>
        <v>0</v>
      </c>
      <c r="BZ541" s="11">
        <f t="shared" si="2480"/>
        <v>0</v>
      </c>
      <c r="CA541" s="11">
        <f t="shared" si="2480"/>
        <v>0</v>
      </c>
      <c r="CB541" s="11">
        <f t="shared" si="2480"/>
        <v>0</v>
      </c>
      <c r="CC541" s="25">
        <f>SUM(CC537:CC540)</f>
        <v>0</v>
      </c>
      <c r="CE541" s="62">
        <f t="shared" ref="CE541:CJ541" si="2481">SUM(CE537:CE540)</f>
        <v>0</v>
      </c>
      <c r="CF541" s="63">
        <f t="shared" si="2481"/>
        <v>0</v>
      </c>
      <c r="CG541" s="63">
        <f t="shared" si="2481"/>
        <v>0</v>
      </c>
      <c r="CH541" s="63">
        <f t="shared" si="2481"/>
        <v>0</v>
      </c>
      <c r="CI541" s="63">
        <f t="shared" si="2481"/>
        <v>0</v>
      </c>
      <c r="CJ541" s="25">
        <f t="shared" si="2481"/>
        <v>0</v>
      </c>
      <c r="CL541" s="10">
        <f>SUM(CL537:CL540)</f>
        <v>0</v>
      </c>
      <c r="CM541" s="11">
        <f t="shared" ref="CM541:CP541" si="2482">SUM(CM537:CM540)</f>
        <v>0</v>
      </c>
      <c r="CN541" s="11">
        <f t="shared" si="2482"/>
        <v>0</v>
      </c>
      <c r="CO541" s="11">
        <f t="shared" si="2482"/>
        <v>0</v>
      </c>
      <c r="CP541" s="11">
        <f t="shared" si="2482"/>
        <v>0</v>
      </c>
      <c r="CQ541" s="25">
        <f>SUM(CQ537:CQ540)</f>
        <v>0</v>
      </c>
      <c r="CS541" s="10">
        <f>SUM(CS537:CS540)</f>
        <v>0</v>
      </c>
      <c r="CT541" s="11">
        <f t="shared" ref="CT541:CW541" si="2483">SUM(CT537:CT540)</f>
        <v>0</v>
      </c>
      <c r="CU541" s="11">
        <f t="shared" si="2483"/>
        <v>0</v>
      </c>
      <c r="CV541" s="11">
        <f t="shared" si="2483"/>
        <v>0</v>
      </c>
      <c r="CW541" s="11">
        <f t="shared" si="2483"/>
        <v>0</v>
      </c>
      <c r="CX541" s="25">
        <f>SUM(CX537:CX540)</f>
        <v>0</v>
      </c>
      <c r="CZ541" s="10">
        <f>SUM(CZ537:CZ540)</f>
        <v>0</v>
      </c>
      <c r="DA541" s="11">
        <f t="shared" ref="DA541:DD541" si="2484">SUM(DA537:DA540)</f>
        <v>0</v>
      </c>
      <c r="DB541" s="11">
        <f t="shared" si="2484"/>
        <v>0</v>
      </c>
      <c r="DC541" s="11">
        <f t="shared" si="2484"/>
        <v>0</v>
      </c>
      <c r="DD541" s="11">
        <f t="shared" si="2484"/>
        <v>0</v>
      </c>
      <c r="DE541" s="25">
        <f>SUM(DE537:DE540)</f>
        <v>0</v>
      </c>
    </row>
    <row r="542" spans="3:109" ht="10.4" customHeight="1" thickBot="1"/>
    <row r="543" spans="3:109">
      <c r="C543" s="553">
        <v>2028</v>
      </c>
      <c r="E543" s="13" t="s">
        <v>59</v>
      </c>
      <c r="F543" s="21">
        <f>CE537</f>
        <v>0</v>
      </c>
      <c r="G543" s="22">
        <f t="shared" ref="G543:G546" si="2485">CF537</f>
        <v>0</v>
      </c>
      <c r="H543" s="22">
        <f t="shared" ref="H543:H546" si="2486">CG537</f>
        <v>0</v>
      </c>
      <c r="I543" s="22">
        <f t="shared" ref="I543:I546" si="2487">CH537</f>
        <v>0</v>
      </c>
      <c r="J543" s="22">
        <f t="shared" ref="J543:J546" si="2488">CI537</f>
        <v>0</v>
      </c>
      <c r="K543" s="4">
        <f>SUM(F543:J543)</f>
        <v>0</v>
      </c>
      <c r="M543" s="2"/>
      <c r="N543" s="3"/>
      <c r="O543" s="3"/>
      <c r="P543" s="3"/>
      <c r="Q543" s="3"/>
      <c r="R543" s="4">
        <f>SUM(M543:Q543)</f>
        <v>0</v>
      </c>
      <c r="T543" s="2"/>
      <c r="U543" s="3"/>
      <c r="V543" s="3"/>
      <c r="W543" s="3"/>
      <c r="X543" s="3"/>
      <c r="Y543" s="4">
        <f>SUM(T543:X543)</f>
        <v>0</v>
      </c>
      <c r="AA543" s="2"/>
      <c r="AB543" s="3"/>
      <c r="AC543" s="3"/>
      <c r="AD543" s="3"/>
      <c r="AE543" s="3"/>
      <c r="AF543" s="4">
        <f>SUM(AA543:AE543)</f>
        <v>0</v>
      </c>
      <c r="AH543" s="2"/>
      <c r="AI543" s="3"/>
      <c r="AJ543" s="3"/>
      <c r="AK543" s="3"/>
      <c r="AL543" s="3"/>
      <c r="AM543" s="4">
        <f>SUM(AH543:AL543)</f>
        <v>0</v>
      </c>
      <c r="AO543" s="2"/>
      <c r="AP543" s="3"/>
      <c r="AQ543" s="3"/>
      <c r="AR543" s="3"/>
      <c r="AS543" s="3"/>
      <c r="AT543" s="4">
        <f>SUM(AO543:AS543)</f>
        <v>0</v>
      </c>
      <c r="AV543" s="2"/>
      <c r="AW543" s="3"/>
      <c r="AX543" s="3"/>
      <c r="AY543" s="3"/>
      <c r="AZ543" s="3"/>
      <c r="BA543" s="4">
        <f>SUM(AV543:AZ543)</f>
        <v>0</v>
      </c>
      <c r="BC543" s="2"/>
      <c r="BD543" s="3"/>
      <c r="BE543" s="3"/>
      <c r="BF543" s="3"/>
      <c r="BG543" s="3"/>
      <c r="BH543" s="4">
        <f>SUM(BC543:BG543)</f>
        <v>0</v>
      </c>
      <c r="BJ543" s="2"/>
      <c r="BK543" s="3"/>
      <c r="BL543" s="3"/>
      <c r="BM543" s="3"/>
      <c r="BN543" s="3"/>
      <c r="BO543" s="4">
        <f>SUM(BJ543:BN543)</f>
        <v>0</v>
      </c>
      <c r="BQ543" s="2"/>
      <c r="BR543" s="3"/>
      <c r="BS543" s="3"/>
      <c r="BT543" s="3"/>
      <c r="BU543" s="3"/>
      <c r="BV543" s="4">
        <f>SUM(BQ543:BU543)</f>
        <v>0</v>
      </c>
      <c r="BX543" s="2"/>
      <c r="BY543" s="3"/>
      <c r="BZ543" s="3"/>
      <c r="CA543" s="3"/>
      <c r="CB543" s="3"/>
      <c r="CC543" s="4">
        <f>SUM(BX543:CB543)</f>
        <v>0</v>
      </c>
      <c r="CE543" s="26">
        <f t="shared" ref="CE543:CE546" si="2489">F543+M543+T543+AA543+AH543+AO543+AV543+BC543+BJ543+BQ543+BX543</f>
        <v>0</v>
      </c>
      <c r="CF543" s="27">
        <f t="shared" ref="CF543:CF546" si="2490">G543+N543+U543+AB543+AI543+AP543+AW543+BD543+BK543+BR543+BY543</f>
        <v>0</v>
      </c>
      <c r="CG543" s="27">
        <f t="shared" ref="CG543:CG546" si="2491">H543+O543+V543+AC543+AJ543+AQ543+AX543+BE543+BL543+BS543+BZ543</f>
        <v>0</v>
      </c>
      <c r="CH543" s="27">
        <f t="shared" ref="CH543:CH546" si="2492">I543+P543+W543+AD543+AK543+AR543+AY543+BF543+BM543+BT543+CA543</f>
        <v>0</v>
      </c>
      <c r="CI543" s="27">
        <f t="shared" ref="CI543:CI546" si="2493">J543+Q543+X543+AE543+AL543+AS543+AZ543+BG543+BN543+BU543+CB543</f>
        <v>0</v>
      </c>
      <c r="CJ543" s="4">
        <f>SUM(CE543:CI543)</f>
        <v>0</v>
      </c>
      <c r="CL543" s="2"/>
      <c r="CM543" s="3"/>
      <c r="CN543" s="3"/>
      <c r="CO543" s="3"/>
      <c r="CP543" s="3"/>
      <c r="CQ543" s="4">
        <f>SUM(CL543:CP543)</f>
        <v>0</v>
      </c>
      <c r="CS543" s="2"/>
      <c r="CT543" s="3"/>
      <c r="CU543" s="3"/>
      <c r="CV543" s="3"/>
      <c r="CW543" s="3"/>
      <c r="CX543" s="4">
        <f>SUM(CS543:CW543)</f>
        <v>0</v>
      </c>
      <c r="CZ543" s="2"/>
      <c r="DA543" s="3"/>
      <c r="DB543" s="3"/>
      <c r="DC543" s="3"/>
      <c r="DD543" s="3"/>
      <c r="DE543" s="4">
        <f>SUM(CZ543:DD543)</f>
        <v>0</v>
      </c>
    </row>
    <row r="544" spans="3:109">
      <c r="C544" s="567"/>
      <c r="E544" s="14" t="s">
        <v>60</v>
      </c>
      <c r="F544" s="23">
        <f t="shared" ref="F544:F546" si="2494">CE538</f>
        <v>0</v>
      </c>
      <c r="G544" s="24">
        <f t="shared" si="2485"/>
        <v>0</v>
      </c>
      <c r="H544" s="24">
        <f t="shared" si="2486"/>
        <v>0</v>
      </c>
      <c r="I544" s="24">
        <f t="shared" si="2487"/>
        <v>0</v>
      </c>
      <c r="J544" s="24">
        <f t="shared" si="2488"/>
        <v>0</v>
      </c>
      <c r="K544" s="8">
        <f t="shared" ref="K544:K546" si="2495">SUM(F544:J544)</f>
        <v>0</v>
      </c>
      <c r="M544" s="6"/>
      <c r="N544" s="7"/>
      <c r="O544" s="7"/>
      <c r="P544" s="7"/>
      <c r="Q544" s="7"/>
      <c r="R544" s="8">
        <f t="shared" ref="R544:R546" si="2496">SUM(M544:Q544)</f>
        <v>0</v>
      </c>
      <c r="T544" s="6"/>
      <c r="U544" s="7"/>
      <c r="V544" s="7"/>
      <c r="W544" s="7"/>
      <c r="X544" s="7"/>
      <c r="Y544" s="8">
        <f t="shared" ref="Y544:Y546" si="2497">SUM(T544:X544)</f>
        <v>0</v>
      </c>
      <c r="AA544" s="6"/>
      <c r="AB544" s="7"/>
      <c r="AC544" s="7"/>
      <c r="AD544" s="7"/>
      <c r="AE544" s="7"/>
      <c r="AF544" s="8">
        <f>SUM(AA544:AE544)</f>
        <v>0</v>
      </c>
      <c r="AH544" s="6"/>
      <c r="AI544" s="7"/>
      <c r="AJ544" s="7"/>
      <c r="AK544" s="7"/>
      <c r="AL544" s="7"/>
      <c r="AM544" s="8">
        <f>SUM(AH544:AL544)</f>
        <v>0</v>
      </c>
      <c r="AO544" s="6"/>
      <c r="AP544" s="7"/>
      <c r="AQ544" s="7"/>
      <c r="AR544" s="7"/>
      <c r="AS544" s="7"/>
      <c r="AT544" s="8">
        <f>SUM(AO544:AS544)</f>
        <v>0</v>
      </c>
      <c r="AV544" s="6"/>
      <c r="AW544" s="7"/>
      <c r="AX544" s="7"/>
      <c r="AY544" s="7"/>
      <c r="AZ544" s="7"/>
      <c r="BA544" s="8">
        <f>SUM(AV544:AZ544)</f>
        <v>0</v>
      </c>
      <c r="BC544" s="6"/>
      <c r="BD544" s="7"/>
      <c r="BE544" s="7"/>
      <c r="BF544" s="7"/>
      <c r="BG544" s="7"/>
      <c r="BH544" s="8">
        <f>SUM(BC544:BG544)</f>
        <v>0</v>
      </c>
      <c r="BJ544" s="6"/>
      <c r="BK544" s="7"/>
      <c r="BL544" s="7"/>
      <c r="BM544" s="7"/>
      <c r="BN544" s="7"/>
      <c r="BO544" s="8">
        <f>SUM(BJ544:BN544)</f>
        <v>0</v>
      </c>
      <c r="BQ544" s="6"/>
      <c r="BR544" s="7"/>
      <c r="BS544" s="7"/>
      <c r="BT544" s="7"/>
      <c r="BU544" s="7"/>
      <c r="BV544" s="8">
        <f>SUM(BQ544:BU544)</f>
        <v>0</v>
      </c>
      <c r="BX544" s="6"/>
      <c r="BY544" s="7"/>
      <c r="BZ544" s="7"/>
      <c r="CA544" s="7"/>
      <c r="CB544" s="7"/>
      <c r="CC544" s="8">
        <f>SUM(BX544:CB544)</f>
        <v>0</v>
      </c>
      <c r="CE544" s="28">
        <f t="shared" si="2489"/>
        <v>0</v>
      </c>
      <c r="CF544" s="29">
        <f t="shared" si="2490"/>
        <v>0</v>
      </c>
      <c r="CG544" s="29">
        <f t="shared" si="2491"/>
        <v>0</v>
      </c>
      <c r="CH544" s="29">
        <f t="shared" si="2492"/>
        <v>0</v>
      </c>
      <c r="CI544" s="29">
        <f t="shared" si="2493"/>
        <v>0</v>
      </c>
      <c r="CJ544" s="8">
        <f>SUM(CE544:CI544)</f>
        <v>0</v>
      </c>
      <c r="CL544" s="6"/>
      <c r="CM544" s="7"/>
      <c r="CN544" s="7"/>
      <c r="CO544" s="7"/>
      <c r="CP544" s="7"/>
      <c r="CQ544" s="8">
        <f>SUM(CL544:CP544)</f>
        <v>0</v>
      </c>
      <c r="CS544" s="6"/>
      <c r="CT544" s="7"/>
      <c r="CU544" s="7"/>
      <c r="CV544" s="7"/>
      <c r="CW544" s="7"/>
      <c r="CX544" s="8">
        <f t="shared" ref="CX544:CX546" si="2498">SUM(CS544:CW544)</f>
        <v>0</v>
      </c>
      <c r="CZ544" s="6"/>
      <c r="DA544" s="7"/>
      <c r="DB544" s="7"/>
      <c r="DC544" s="7"/>
      <c r="DD544" s="7"/>
      <c r="DE544" s="8">
        <f t="shared" ref="DE544:DE546" si="2499">SUM(CZ544:DD544)</f>
        <v>0</v>
      </c>
    </row>
    <row r="545" spans="2:109">
      <c r="C545" s="567"/>
      <c r="E545" s="14" t="s">
        <v>61</v>
      </c>
      <c r="F545" s="23">
        <f t="shared" si="2494"/>
        <v>0</v>
      </c>
      <c r="G545" s="24">
        <f t="shared" si="2485"/>
        <v>0</v>
      </c>
      <c r="H545" s="24">
        <f t="shared" si="2486"/>
        <v>0</v>
      </c>
      <c r="I545" s="24">
        <f t="shared" si="2487"/>
        <v>0</v>
      </c>
      <c r="J545" s="24">
        <f t="shared" si="2488"/>
        <v>0</v>
      </c>
      <c r="K545" s="8">
        <f t="shared" si="2495"/>
        <v>0</v>
      </c>
      <c r="M545" s="6"/>
      <c r="N545" s="7"/>
      <c r="O545" s="7"/>
      <c r="P545" s="7"/>
      <c r="Q545" s="7"/>
      <c r="R545" s="8">
        <f t="shared" si="2496"/>
        <v>0</v>
      </c>
      <c r="T545" s="6"/>
      <c r="U545" s="7"/>
      <c r="V545" s="7"/>
      <c r="W545" s="7"/>
      <c r="X545" s="7"/>
      <c r="Y545" s="8">
        <f t="shared" si="2497"/>
        <v>0</v>
      </c>
      <c r="AA545" s="6"/>
      <c r="AB545" s="7"/>
      <c r="AC545" s="7"/>
      <c r="AD545" s="7"/>
      <c r="AE545" s="7"/>
      <c r="AF545" s="8">
        <f>SUM(AA545:AE545)</f>
        <v>0</v>
      </c>
      <c r="AH545" s="6"/>
      <c r="AI545" s="7"/>
      <c r="AJ545" s="7"/>
      <c r="AK545" s="7"/>
      <c r="AL545" s="7"/>
      <c r="AM545" s="8">
        <f>SUM(AH545:AL545)</f>
        <v>0</v>
      </c>
      <c r="AO545" s="6"/>
      <c r="AP545" s="7"/>
      <c r="AQ545" s="7"/>
      <c r="AR545" s="7"/>
      <c r="AS545" s="7"/>
      <c r="AT545" s="8">
        <f>SUM(AO545:AS545)</f>
        <v>0</v>
      </c>
      <c r="AV545" s="6"/>
      <c r="AW545" s="7"/>
      <c r="AX545" s="7"/>
      <c r="AY545" s="7"/>
      <c r="AZ545" s="7"/>
      <c r="BA545" s="8">
        <f>SUM(AV545:AZ545)</f>
        <v>0</v>
      </c>
      <c r="BC545" s="6"/>
      <c r="BD545" s="7"/>
      <c r="BE545" s="7"/>
      <c r="BF545" s="7"/>
      <c r="BG545" s="7"/>
      <c r="BH545" s="8">
        <f>SUM(BC545:BG545)</f>
        <v>0</v>
      </c>
      <c r="BJ545" s="6"/>
      <c r="BK545" s="7"/>
      <c r="BL545" s="7"/>
      <c r="BM545" s="7"/>
      <c r="BN545" s="7"/>
      <c r="BO545" s="8">
        <f>SUM(BJ545:BN545)</f>
        <v>0</v>
      </c>
      <c r="BQ545" s="6"/>
      <c r="BR545" s="7"/>
      <c r="BS545" s="7"/>
      <c r="BT545" s="7"/>
      <c r="BU545" s="7"/>
      <c r="BV545" s="8">
        <f>SUM(BQ545:BU545)</f>
        <v>0</v>
      </c>
      <c r="BX545" s="6"/>
      <c r="BY545" s="7"/>
      <c r="BZ545" s="7"/>
      <c r="CA545" s="7"/>
      <c r="CB545" s="7"/>
      <c r="CC545" s="8">
        <f>SUM(BX545:CB545)</f>
        <v>0</v>
      </c>
      <c r="CE545" s="28">
        <f t="shared" si="2489"/>
        <v>0</v>
      </c>
      <c r="CF545" s="29">
        <f t="shared" si="2490"/>
        <v>0</v>
      </c>
      <c r="CG545" s="29">
        <f t="shared" si="2491"/>
        <v>0</v>
      </c>
      <c r="CH545" s="29">
        <f t="shared" si="2492"/>
        <v>0</v>
      </c>
      <c r="CI545" s="29">
        <f t="shared" si="2493"/>
        <v>0</v>
      </c>
      <c r="CJ545" s="8">
        <f>SUM(CE545:CI545)</f>
        <v>0</v>
      </c>
      <c r="CL545" s="6"/>
      <c r="CM545" s="7"/>
      <c r="CN545" s="7"/>
      <c r="CO545" s="7"/>
      <c r="CP545" s="7"/>
      <c r="CQ545" s="8">
        <f>SUM(CL545:CP545)</f>
        <v>0</v>
      </c>
      <c r="CS545" s="6"/>
      <c r="CT545" s="7"/>
      <c r="CU545" s="7"/>
      <c r="CV545" s="7"/>
      <c r="CW545" s="7"/>
      <c r="CX545" s="8">
        <f t="shared" si="2498"/>
        <v>0</v>
      </c>
      <c r="CZ545" s="6"/>
      <c r="DA545" s="7"/>
      <c r="DB545" s="7"/>
      <c r="DC545" s="7"/>
      <c r="DD545" s="7"/>
      <c r="DE545" s="8">
        <f t="shared" si="2499"/>
        <v>0</v>
      </c>
    </row>
    <row r="546" spans="2:109" ht="14" thickBot="1">
      <c r="C546" s="567"/>
      <c r="E546" s="14" t="s">
        <v>62</v>
      </c>
      <c r="F546" s="23">
        <f t="shared" si="2494"/>
        <v>0</v>
      </c>
      <c r="G546" s="24">
        <f t="shared" si="2485"/>
        <v>0</v>
      </c>
      <c r="H546" s="24">
        <f t="shared" si="2486"/>
        <v>0</v>
      </c>
      <c r="I546" s="24">
        <f t="shared" si="2487"/>
        <v>0</v>
      </c>
      <c r="J546" s="24">
        <f t="shared" si="2488"/>
        <v>0</v>
      </c>
      <c r="K546" s="8">
        <f t="shared" si="2495"/>
        <v>0</v>
      </c>
      <c r="M546" s="6"/>
      <c r="N546" s="7"/>
      <c r="O546" s="7"/>
      <c r="P546" s="7"/>
      <c r="Q546" s="7"/>
      <c r="R546" s="8">
        <f t="shared" si="2496"/>
        <v>0</v>
      </c>
      <c r="T546" s="6"/>
      <c r="U546" s="7"/>
      <c r="V546" s="7"/>
      <c r="W546" s="7"/>
      <c r="X546" s="7"/>
      <c r="Y546" s="8">
        <f t="shared" si="2497"/>
        <v>0</v>
      </c>
      <c r="AA546" s="6"/>
      <c r="AB546" s="7"/>
      <c r="AC546" s="7"/>
      <c r="AD546" s="7"/>
      <c r="AE546" s="7"/>
      <c r="AF546" s="8">
        <f>SUM(AA546:AE546)</f>
        <v>0</v>
      </c>
      <c r="AH546" s="6"/>
      <c r="AI546" s="7"/>
      <c r="AJ546" s="7"/>
      <c r="AK546" s="7"/>
      <c r="AL546" s="7"/>
      <c r="AM546" s="8">
        <f>SUM(AH546:AL546)</f>
        <v>0</v>
      </c>
      <c r="AO546" s="6"/>
      <c r="AP546" s="7"/>
      <c r="AQ546" s="7"/>
      <c r="AR546" s="7"/>
      <c r="AS546" s="7"/>
      <c r="AT546" s="8">
        <f>SUM(AO546:AS546)</f>
        <v>0</v>
      </c>
      <c r="AV546" s="6"/>
      <c r="AW546" s="7"/>
      <c r="AX546" s="7"/>
      <c r="AY546" s="7"/>
      <c r="AZ546" s="7"/>
      <c r="BA546" s="8">
        <f>SUM(AV546:AZ546)</f>
        <v>0</v>
      </c>
      <c r="BC546" s="6"/>
      <c r="BD546" s="7"/>
      <c r="BE546" s="7"/>
      <c r="BF546" s="7"/>
      <c r="BG546" s="7"/>
      <c r="BH546" s="8">
        <f>SUM(BC546:BG546)</f>
        <v>0</v>
      </c>
      <c r="BJ546" s="6"/>
      <c r="BK546" s="7"/>
      <c r="BL546" s="7"/>
      <c r="BM546" s="7"/>
      <c r="BN546" s="7"/>
      <c r="BO546" s="8">
        <f>SUM(BJ546:BN546)</f>
        <v>0</v>
      </c>
      <c r="BQ546" s="6"/>
      <c r="BR546" s="7"/>
      <c r="BS546" s="7"/>
      <c r="BT546" s="7"/>
      <c r="BU546" s="7"/>
      <c r="BV546" s="8">
        <f>SUM(BQ546:BU546)</f>
        <v>0</v>
      </c>
      <c r="BX546" s="6"/>
      <c r="BY546" s="7"/>
      <c r="BZ546" s="7"/>
      <c r="CA546" s="7"/>
      <c r="CB546" s="7"/>
      <c r="CC546" s="8">
        <f>SUM(BX546:CB546)</f>
        <v>0</v>
      </c>
      <c r="CE546" s="493">
        <f t="shared" si="2489"/>
        <v>0</v>
      </c>
      <c r="CF546" s="494">
        <f t="shared" si="2490"/>
        <v>0</v>
      </c>
      <c r="CG546" s="494">
        <f t="shared" si="2491"/>
        <v>0</v>
      </c>
      <c r="CH546" s="494">
        <f t="shared" si="2492"/>
        <v>0</v>
      </c>
      <c r="CI546" s="494">
        <f t="shared" si="2493"/>
        <v>0</v>
      </c>
      <c r="CJ546" s="495">
        <f>SUM(CE546:CI546)</f>
        <v>0</v>
      </c>
      <c r="CL546" s="6"/>
      <c r="CM546" s="7"/>
      <c r="CN546" s="7"/>
      <c r="CO546" s="7"/>
      <c r="CP546" s="7"/>
      <c r="CQ546" s="8">
        <f>SUM(CL546:CP546)</f>
        <v>0</v>
      </c>
      <c r="CS546" s="6"/>
      <c r="CT546" s="7"/>
      <c r="CU546" s="7"/>
      <c r="CV546" s="7"/>
      <c r="CW546" s="7"/>
      <c r="CX546" s="8">
        <f t="shared" si="2498"/>
        <v>0</v>
      </c>
      <c r="CZ546" s="6"/>
      <c r="DA546" s="7"/>
      <c r="DB546" s="7"/>
      <c r="DC546" s="7"/>
      <c r="DD546" s="7"/>
      <c r="DE546" s="8">
        <f t="shared" si="2499"/>
        <v>0</v>
      </c>
    </row>
    <row r="547" spans="2:109" ht="14" thickBot="1">
      <c r="C547" s="554"/>
      <c r="E547" s="9"/>
      <c r="F547" s="10">
        <f>SUM(F543:F546)</f>
        <v>0</v>
      </c>
      <c r="G547" s="11">
        <f t="shared" ref="G547:J547" si="2500">SUM(G543:G546)</f>
        <v>0</v>
      </c>
      <c r="H547" s="11">
        <f t="shared" si="2500"/>
        <v>0</v>
      </c>
      <c r="I547" s="11">
        <f t="shared" si="2500"/>
        <v>0</v>
      </c>
      <c r="J547" s="11">
        <f t="shared" si="2500"/>
        <v>0</v>
      </c>
      <c r="K547" s="25">
        <f>SUM(K543:K546)</f>
        <v>0</v>
      </c>
      <c r="M547" s="10">
        <f>SUM(M543:M546)</f>
        <v>0</v>
      </c>
      <c r="N547" s="11">
        <f t="shared" ref="N547:Q547" si="2501">SUM(N543:N546)</f>
        <v>0</v>
      </c>
      <c r="O547" s="11">
        <f t="shared" si="2501"/>
        <v>0</v>
      </c>
      <c r="P547" s="11">
        <f t="shared" si="2501"/>
        <v>0</v>
      </c>
      <c r="Q547" s="11">
        <f t="shared" si="2501"/>
        <v>0</v>
      </c>
      <c r="R547" s="25">
        <f>SUM(R543:R546)</f>
        <v>0</v>
      </c>
      <c r="T547" s="10">
        <f>SUM(T543:T546)</f>
        <v>0</v>
      </c>
      <c r="U547" s="11">
        <f t="shared" ref="U547:X547" si="2502">SUM(U543:U546)</f>
        <v>0</v>
      </c>
      <c r="V547" s="11">
        <f t="shared" si="2502"/>
        <v>0</v>
      </c>
      <c r="W547" s="11">
        <f t="shared" si="2502"/>
        <v>0</v>
      </c>
      <c r="X547" s="11">
        <f t="shared" si="2502"/>
        <v>0</v>
      </c>
      <c r="Y547" s="25">
        <f>SUM(Y543:Y546)</f>
        <v>0</v>
      </c>
      <c r="AA547" s="10">
        <f>SUM(AA543:AA546)</f>
        <v>0</v>
      </c>
      <c r="AB547" s="11">
        <f t="shared" ref="AB547:AE547" si="2503">SUM(AB543:AB546)</f>
        <v>0</v>
      </c>
      <c r="AC547" s="11">
        <f t="shared" si="2503"/>
        <v>0</v>
      </c>
      <c r="AD547" s="11">
        <f t="shared" si="2503"/>
        <v>0</v>
      </c>
      <c r="AE547" s="11">
        <f t="shared" si="2503"/>
        <v>0</v>
      </c>
      <c r="AF547" s="25">
        <f>SUM(AF543:AF546)</f>
        <v>0</v>
      </c>
      <c r="AH547" s="10">
        <f>SUM(AH543:AH546)</f>
        <v>0</v>
      </c>
      <c r="AI547" s="11">
        <f t="shared" ref="AI547:AL547" si="2504">SUM(AI543:AI546)</f>
        <v>0</v>
      </c>
      <c r="AJ547" s="11">
        <f t="shared" si="2504"/>
        <v>0</v>
      </c>
      <c r="AK547" s="11">
        <f t="shared" si="2504"/>
        <v>0</v>
      </c>
      <c r="AL547" s="11">
        <f t="shared" si="2504"/>
        <v>0</v>
      </c>
      <c r="AM547" s="25">
        <f>SUM(AM543:AM546)</f>
        <v>0</v>
      </c>
      <c r="AO547" s="10">
        <f>SUM(AO543:AO546)</f>
        <v>0</v>
      </c>
      <c r="AP547" s="11">
        <f t="shared" ref="AP547:AS547" si="2505">SUM(AP543:AP546)</f>
        <v>0</v>
      </c>
      <c r="AQ547" s="11">
        <f t="shared" si="2505"/>
        <v>0</v>
      </c>
      <c r="AR547" s="11">
        <f t="shared" si="2505"/>
        <v>0</v>
      </c>
      <c r="AS547" s="11">
        <f t="shared" si="2505"/>
        <v>0</v>
      </c>
      <c r="AT547" s="25">
        <f>SUM(AT543:AT546)</f>
        <v>0</v>
      </c>
      <c r="AV547" s="10">
        <f>SUM(AV543:AV546)</f>
        <v>0</v>
      </c>
      <c r="AW547" s="11">
        <f t="shared" ref="AW547:AZ547" si="2506">SUM(AW543:AW546)</f>
        <v>0</v>
      </c>
      <c r="AX547" s="11">
        <f t="shared" si="2506"/>
        <v>0</v>
      </c>
      <c r="AY547" s="11">
        <f t="shared" si="2506"/>
        <v>0</v>
      </c>
      <c r="AZ547" s="11">
        <f t="shared" si="2506"/>
        <v>0</v>
      </c>
      <c r="BA547" s="25">
        <f>SUM(BA543:BA546)</f>
        <v>0</v>
      </c>
      <c r="BC547" s="10">
        <f>SUM(BC543:BC546)</f>
        <v>0</v>
      </c>
      <c r="BD547" s="11">
        <f t="shared" ref="BD547:BG547" si="2507">SUM(BD543:BD546)</f>
        <v>0</v>
      </c>
      <c r="BE547" s="11">
        <f t="shared" si="2507"/>
        <v>0</v>
      </c>
      <c r="BF547" s="11">
        <f t="shared" si="2507"/>
        <v>0</v>
      </c>
      <c r="BG547" s="11">
        <f t="shared" si="2507"/>
        <v>0</v>
      </c>
      <c r="BH547" s="25">
        <f>SUM(BH543:BH546)</f>
        <v>0</v>
      </c>
      <c r="BJ547" s="10">
        <f>SUM(BJ543:BJ546)</f>
        <v>0</v>
      </c>
      <c r="BK547" s="11">
        <f t="shared" ref="BK547:BN547" si="2508">SUM(BK543:BK546)</f>
        <v>0</v>
      </c>
      <c r="BL547" s="11">
        <f t="shared" si="2508"/>
        <v>0</v>
      </c>
      <c r="BM547" s="11">
        <f t="shared" si="2508"/>
        <v>0</v>
      </c>
      <c r="BN547" s="11">
        <f t="shared" si="2508"/>
        <v>0</v>
      </c>
      <c r="BO547" s="25">
        <f>SUM(BO543:BO546)</f>
        <v>0</v>
      </c>
      <c r="BQ547" s="10">
        <f>SUM(BQ543:BQ546)</f>
        <v>0</v>
      </c>
      <c r="BR547" s="11">
        <f t="shared" ref="BR547:BU547" si="2509">SUM(BR543:BR546)</f>
        <v>0</v>
      </c>
      <c r="BS547" s="11">
        <f t="shared" si="2509"/>
        <v>0</v>
      </c>
      <c r="BT547" s="11">
        <f t="shared" si="2509"/>
        <v>0</v>
      </c>
      <c r="BU547" s="11">
        <f t="shared" si="2509"/>
        <v>0</v>
      </c>
      <c r="BV547" s="25">
        <f>SUM(BV543:BV546)</f>
        <v>0</v>
      </c>
      <c r="BX547" s="10">
        <f>SUM(BX543:BX546)</f>
        <v>0</v>
      </c>
      <c r="BY547" s="11">
        <f t="shared" ref="BY547:CB547" si="2510">SUM(BY543:BY546)</f>
        <v>0</v>
      </c>
      <c r="BZ547" s="11">
        <f t="shared" si="2510"/>
        <v>0</v>
      </c>
      <c r="CA547" s="11">
        <f t="shared" si="2510"/>
        <v>0</v>
      </c>
      <c r="CB547" s="11">
        <f t="shared" si="2510"/>
        <v>0</v>
      </c>
      <c r="CC547" s="25">
        <f>SUM(CC543:CC546)</f>
        <v>0</v>
      </c>
      <c r="CE547" s="62">
        <f t="shared" ref="CE547:CJ547" si="2511">SUM(CE543:CE546)</f>
        <v>0</v>
      </c>
      <c r="CF547" s="63">
        <f t="shared" si="2511"/>
        <v>0</v>
      </c>
      <c r="CG547" s="63">
        <f t="shared" si="2511"/>
        <v>0</v>
      </c>
      <c r="CH547" s="63">
        <f t="shared" si="2511"/>
        <v>0</v>
      </c>
      <c r="CI547" s="63">
        <f t="shared" si="2511"/>
        <v>0</v>
      </c>
      <c r="CJ547" s="25">
        <f t="shared" si="2511"/>
        <v>0</v>
      </c>
      <c r="CL547" s="10">
        <f>SUM(CL543:CL546)</f>
        <v>0</v>
      </c>
      <c r="CM547" s="11">
        <f t="shared" ref="CM547:CP547" si="2512">SUM(CM543:CM546)</f>
        <v>0</v>
      </c>
      <c r="CN547" s="11">
        <f t="shared" si="2512"/>
        <v>0</v>
      </c>
      <c r="CO547" s="11">
        <f t="shared" si="2512"/>
        <v>0</v>
      </c>
      <c r="CP547" s="11">
        <f t="shared" si="2512"/>
        <v>0</v>
      </c>
      <c r="CQ547" s="25">
        <f>SUM(CQ543:CQ546)</f>
        <v>0</v>
      </c>
      <c r="CS547" s="10">
        <f>SUM(CS543:CS546)</f>
        <v>0</v>
      </c>
      <c r="CT547" s="11">
        <f t="shared" ref="CT547:CW547" si="2513">SUM(CT543:CT546)</f>
        <v>0</v>
      </c>
      <c r="CU547" s="11">
        <f t="shared" si="2513"/>
        <v>0</v>
      </c>
      <c r="CV547" s="11">
        <f t="shared" si="2513"/>
        <v>0</v>
      </c>
      <c r="CW547" s="11">
        <f t="shared" si="2513"/>
        <v>0</v>
      </c>
      <c r="CX547" s="25">
        <f>SUM(CX543:CX546)</f>
        <v>0</v>
      </c>
      <c r="CZ547" s="10">
        <f>SUM(CZ543:CZ546)</f>
        <v>0</v>
      </c>
      <c r="DA547" s="11">
        <f t="shared" ref="DA547:DD547" si="2514">SUM(DA543:DA546)</f>
        <v>0</v>
      </c>
      <c r="DB547" s="11">
        <f t="shared" si="2514"/>
        <v>0</v>
      </c>
      <c r="DC547" s="11">
        <f t="shared" si="2514"/>
        <v>0</v>
      </c>
      <c r="DD547" s="11">
        <f t="shared" si="2514"/>
        <v>0</v>
      </c>
      <c r="DE547" s="25">
        <f>SUM(DE543:DE546)</f>
        <v>0</v>
      </c>
    </row>
    <row r="549" spans="2:109" ht="14" thickBot="1">
      <c r="B549" s="123"/>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c r="CC549" s="20"/>
      <c r="CD549" s="20"/>
      <c r="CE549" s="20"/>
      <c r="CF549" s="20"/>
      <c r="CG549" s="20"/>
      <c r="CH549" s="20"/>
      <c r="CI549" s="20"/>
      <c r="CJ549" s="20"/>
      <c r="CL549" s="20"/>
      <c r="CM549" s="20"/>
      <c r="CN549" s="20"/>
      <c r="CO549" s="20"/>
      <c r="CP549" s="20"/>
      <c r="CQ549" s="20"/>
      <c r="CR549" s="20"/>
      <c r="CS549" s="20"/>
      <c r="CT549" s="20"/>
      <c r="CU549" s="20"/>
      <c r="CV549" s="20"/>
      <c r="CW549" s="20"/>
      <c r="CX549" s="20"/>
      <c r="CY549" s="20"/>
      <c r="CZ549" s="20"/>
      <c r="DA549" s="20"/>
      <c r="DB549" s="20"/>
      <c r="DC549" s="20"/>
      <c r="DD549" s="20"/>
      <c r="DE549" s="20"/>
    </row>
    <row r="550" spans="2:109" ht="14" thickBot="1">
      <c r="B550" s="94">
        <v>18</v>
      </c>
      <c r="C550" s="12" t="s">
        <v>79</v>
      </c>
      <c r="F550" s="18"/>
      <c r="G550" s="19"/>
      <c r="H550" s="19"/>
      <c r="I550" s="19"/>
      <c r="J550" s="19"/>
      <c r="K550" s="492"/>
    </row>
    <row r="551" spans="2:109">
      <c r="C551" s="553">
        <v>2024</v>
      </c>
      <c r="E551" s="1" t="s">
        <v>59</v>
      </c>
      <c r="F551" s="85"/>
      <c r="G551" s="86"/>
      <c r="H551" s="86"/>
      <c r="I551" s="86"/>
      <c r="J551" s="86"/>
      <c r="K551" s="4">
        <f>SUM(F551:J551)</f>
        <v>0</v>
      </c>
      <c r="M551" s="2"/>
      <c r="N551" s="3"/>
      <c r="O551" s="3"/>
      <c r="P551" s="3"/>
      <c r="Q551" s="3"/>
      <c r="R551" s="4">
        <f>SUM(M551:Q551)</f>
        <v>0</v>
      </c>
      <c r="T551" s="2"/>
      <c r="U551" s="3"/>
      <c r="V551" s="3"/>
      <c r="W551" s="3"/>
      <c r="X551" s="3"/>
      <c r="Y551" s="4">
        <f>SUM(T551:X551)</f>
        <v>0</v>
      </c>
      <c r="AA551" s="2"/>
      <c r="AB551" s="3"/>
      <c r="AC551" s="3"/>
      <c r="AD551" s="3"/>
      <c r="AE551" s="3"/>
      <c r="AF551" s="4">
        <f>SUM(AA551:AE551)</f>
        <v>0</v>
      </c>
      <c r="AH551" s="2"/>
      <c r="AI551" s="3"/>
      <c r="AJ551" s="3"/>
      <c r="AK551" s="3"/>
      <c r="AL551" s="3"/>
      <c r="AM551" s="4">
        <f>SUM(AH551:AL551)</f>
        <v>0</v>
      </c>
      <c r="AO551" s="2"/>
      <c r="AP551" s="3"/>
      <c r="AQ551" s="3"/>
      <c r="AR551" s="3"/>
      <c r="AS551" s="3"/>
      <c r="AT551" s="4">
        <f>SUM(AO551:AS551)</f>
        <v>0</v>
      </c>
      <c r="AV551" s="2"/>
      <c r="AW551" s="3"/>
      <c r="AX551" s="3"/>
      <c r="AY551" s="3"/>
      <c r="AZ551" s="3"/>
      <c r="BA551" s="4">
        <f>SUM(AV551:AZ551)</f>
        <v>0</v>
      </c>
      <c r="BC551" s="2"/>
      <c r="BD551" s="3"/>
      <c r="BE551" s="3"/>
      <c r="BF551" s="3"/>
      <c r="BG551" s="3"/>
      <c r="BH551" s="4">
        <f>SUM(BC551:BG551)</f>
        <v>0</v>
      </c>
      <c r="BJ551" s="2"/>
      <c r="BK551" s="3"/>
      <c r="BL551" s="3"/>
      <c r="BM551" s="3"/>
      <c r="BN551" s="3"/>
      <c r="BO551" s="4">
        <f>SUM(BJ551:BN551)</f>
        <v>0</v>
      </c>
      <c r="BQ551" s="2"/>
      <c r="BR551" s="3"/>
      <c r="BS551" s="3"/>
      <c r="BT551" s="3"/>
      <c r="BU551" s="3"/>
      <c r="BV551" s="4">
        <f>SUM(BQ551:BU551)</f>
        <v>0</v>
      </c>
      <c r="BX551" s="2"/>
      <c r="BY551" s="3"/>
      <c r="BZ551" s="3"/>
      <c r="CA551" s="3"/>
      <c r="CB551" s="3"/>
      <c r="CC551" s="4">
        <f>SUM(BX551:CB551)</f>
        <v>0</v>
      </c>
      <c r="CE551" s="26">
        <f t="shared" ref="CE551:CE554" si="2515">F551+M551+T551+AA551+AH551+AO551+AV551+BC551+BJ551+BQ551+BX551</f>
        <v>0</v>
      </c>
      <c r="CF551" s="27">
        <f t="shared" ref="CF551:CF554" si="2516">G551+N551+U551+AB551+AI551+AP551+AW551+BD551+BK551+BR551+BY551</f>
        <v>0</v>
      </c>
      <c r="CG551" s="27">
        <f t="shared" ref="CG551:CG554" si="2517">H551+O551+V551+AC551+AJ551+AQ551+AX551+BE551+BL551+BS551+BZ551</f>
        <v>0</v>
      </c>
      <c r="CH551" s="27">
        <f t="shared" ref="CH551:CH554" si="2518">I551+P551+W551+AD551+AK551+AR551+AY551+BF551+BM551+BT551+CA551</f>
        <v>0</v>
      </c>
      <c r="CI551" s="27">
        <f t="shared" ref="CI551:CI554" si="2519">J551+Q551+X551+AE551+AL551+AS551+AZ551+BG551+BN551+BU551+CB551</f>
        <v>0</v>
      </c>
      <c r="CJ551" s="4">
        <f>SUM(CE551:CI551)</f>
        <v>0</v>
      </c>
      <c r="CL551" s="2"/>
      <c r="CM551" s="3"/>
      <c r="CN551" s="3"/>
      <c r="CO551" s="3"/>
      <c r="CP551" s="3"/>
      <c r="CQ551" s="4">
        <f>SUM(CL551:CP551)</f>
        <v>0</v>
      </c>
      <c r="CS551" s="2"/>
      <c r="CT551" s="3"/>
      <c r="CU551" s="3"/>
      <c r="CV551" s="3"/>
      <c r="CW551" s="3"/>
      <c r="CX551" s="4">
        <f>SUM(CS551:CW551)</f>
        <v>0</v>
      </c>
      <c r="CZ551" s="2"/>
      <c r="DA551" s="3"/>
      <c r="DB551" s="3"/>
      <c r="DC551" s="3"/>
      <c r="DD551" s="3"/>
      <c r="DE551" s="4">
        <f>SUM(CZ551:DD551)</f>
        <v>0</v>
      </c>
    </row>
    <row r="552" spans="2:109">
      <c r="C552" s="567"/>
      <c r="E552" s="5" t="s">
        <v>60</v>
      </c>
      <c r="F552" s="87"/>
      <c r="G552" s="88"/>
      <c r="H552" s="88"/>
      <c r="I552" s="88"/>
      <c r="J552" s="88"/>
      <c r="K552" s="8">
        <f t="shared" ref="K552:K554" si="2520">SUM(F552:J552)</f>
        <v>0</v>
      </c>
      <c r="M552" s="6"/>
      <c r="N552" s="7"/>
      <c r="O552" s="7"/>
      <c r="P552" s="7"/>
      <c r="Q552" s="7"/>
      <c r="R552" s="8">
        <f t="shared" ref="R552:R554" si="2521">SUM(M552:Q552)</f>
        <v>0</v>
      </c>
      <c r="T552" s="6"/>
      <c r="U552" s="7"/>
      <c r="V552" s="7"/>
      <c r="W552" s="7"/>
      <c r="X552" s="7"/>
      <c r="Y552" s="8">
        <f t="shared" ref="Y552:Y554" si="2522">SUM(T552:X552)</f>
        <v>0</v>
      </c>
      <c r="AA552" s="6"/>
      <c r="AB552" s="7"/>
      <c r="AC552" s="7"/>
      <c r="AD552" s="7"/>
      <c r="AE552" s="7"/>
      <c r="AF552" s="8">
        <f>SUM(AA552:AE552)</f>
        <v>0</v>
      </c>
      <c r="AH552" s="6"/>
      <c r="AI552" s="7"/>
      <c r="AJ552" s="7"/>
      <c r="AK552" s="7"/>
      <c r="AL552" s="7"/>
      <c r="AM552" s="8">
        <f>SUM(AH552:AL552)</f>
        <v>0</v>
      </c>
      <c r="AO552" s="6"/>
      <c r="AP552" s="7"/>
      <c r="AQ552" s="7"/>
      <c r="AR552" s="7"/>
      <c r="AS552" s="7"/>
      <c r="AT552" s="8">
        <f>SUM(AO552:AS552)</f>
        <v>0</v>
      </c>
      <c r="AV552" s="6"/>
      <c r="AW552" s="7"/>
      <c r="AX552" s="7"/>
      <c r="AY552" s="7"/>
      <c r="AZ552" s="7"/>
      <c r="BA552" s="8">
        <f>SUM(AV552:AZ552)</f>
        <v>0</v>
      </c>
      <c r="BC552" s="6"/>
      <c r="BD552" s="7"/>
      <c r="BE552" s="7"/>
      <c r="BF552" s="7"/>
      <c r="BG552" s="7"/>
      <c r="BH552" s="8">
        <f>SUM(BC552:BG552)</f>
        <v>0</v>
      </c>
      <c r="BJ552" s="6"/>
      <c r="BK552" s="7"/>
      <c r="BL552" s="7"/>
      <c r="BM552" s="7"/>
      <c r="BN552" s="7"/>
      <c r="BO552" s="8">
        <f>SUM(BJ552:BN552)</f>
        <v>0</v>
      </c>
      <c r="BQ552" s="6"/>
      <c r="BR552" s="7"/>
      <c r="BS552" s="7"/>
      <c r="BT552" s="7"/>
      <c r="BU552" s="7"/>
      <c r="BV552" s="8">
        <f>SUM(BQ552:BU552)</f>
        <v>0</v>
      </c>
      <c r="BX552" s="6"/>
      <c r="BY552" s="7"/>
      <c r="BZ552" s="7"/>
      <c r="CA552" s="7"/>
      <c r="CB552" s="7"/>
      <c r="CC552" s="8">
        <f>SUM(BX552:CB552)</f>
        <v>0</v>
      </c>
      <c r="CE552" s="28">
        <f t="shared" si="2515"/>
        <v>0</v>
      </c>
      <c r="CF552" s="29">
        <f t="shared" si="2516"/>
        <v>0</v>
      </c>
      <c r="CG552" s="29">
        <f t="shared" si="2517"/>
        <v>0</v>
      </c>
      <c r="CH552" s="29">
        <f t="shared" si="2518"/>
        <v>0</v>
      </c>
      <c r="CI552" s="29">
        <f t="shared" si="2519"/>
        <v>0</v>
      </c>
      <c r="CJ552" s="8">
        <f>SUM(CE552:CI552)</f>
        <v>0</v>
      </c>
      <c r="CL552" s="6"/>
      <c r="CM552" s="7"/>
      <c r="CN552" s="7"/>
      <c r="CO552" s="7"/>
      <c r="CP552" s="7"/>
      <c r="CQ552" s="8">
        <f>SUM(CL552:CP552)</f>
        <v>0</v>
      </c>
      <c r="CS552" s="6"/>
      <c r="CT552" s="7"/>
      <c r="CU552" s="7"/>
      <c r="CV552" s="7"/>
      <c r="CW552" s="7"/>
      <c r="CX552" s="8">
        <f t="shared" ref="CX552:CX554" si="2523">SUM(CS552:CW552)</f>
        <v>0</v>
      </c>
      <c r="CZ552" s="6"/>
      <c r="DA552" s="7"/>
      <c r="DB552" s="7"/>
      <c r="DC552" s="7"/>
      <c r="DD552" s="7"/>
      <c r="DE552" s="8">
        <f t="shared" ref="DE552:DE554" si="2524">SUM(CZ552:DD552)</f>
        <v>0</v>
      </c>
    </row>
    <row r="553" spans="2:109">
      <c r="C553" s="567"/>
      <c r="E553" s="5" t="s">
        <v>61</v>
      </c>
      <c r="F553" s="87"/>
      <c r="G553" s="88"/>
      <c r="H553" s="88"/>
      <c r="I553" s="88"/>
      <c r="J553" s="88"/>
      <c r="K553" s="8">
        <f t="shared" si="2520"/>
        <v>0</v>
      </c>
      <c r="M553" s="6"/>
      <c r="N553" s="7"/>
      <c r="O553" s="7"/>
      <c r="P553" s="7"/>
      <c r="Q553" s="7"/>
      <c r="R553" s="8">
        <f t="shared" si="2521"/>
        <v>0</v>
      </c>
      <c r="T553" s="6"/>
      <c r="U553" s="7"/>
      <c r="V553" s="7"/>
      <c r="W553" s="7"/>
      <c r="X553" s="7"/>
      <c r="Y553" s="8">
        <f t="shared" si="2522"/>
        <v>0</v>
      </c>
      <c r="AA553" s="6"/>
      <c r="AB553" s="7"/>
      <c r="AC553" s="7"/>
      <c r="AD553" s="7"/>
      <c r="AE553" s="7"/>
      <c r="AF553" s="8">
        <f>SUM(AA553:AE553)</f>
        <v>0</v>
      </c>
      <c r="AH553" s="6"/>
      <c r="AI553" s="7"/>
      <c r="AJ553" s="7"/>
      <c r="AK553" s="7"/>
      <c r="AL553" s="7"/>
      <c r="AM553" s="8">
        <f>SUM(AH553:AL553)</f>
        <v>0</v>
      </c>
      <c r="AO553" s="6"/>
      <c r="AP553" s="7"/>
      <c r="AQ553" s="7"/>
      <c r="AR553" s="7"/>
      <c r="AS553" s="7"/>
      <c r="AT553" s="8">
        <f>SUM(AO553:AS553)</f>
        <v>0</v>
      </c>
      <c r="AV553" s="6"/>
      <c r="AW553" s="7"/>
      <c r="AX553" s="7"/>
      <c r="AY553" s="7"/>
      <c r="AZ553" s="7"/>
      <c r="BA553" s="8">
        <f>SUM(AV553:AZ553)</f>
        <v>0</v>
      </c>
      <c r="BC553" s="6"/>
      <c r="BD553" s="7"/>
      <c r="BE553" s="7"/>
      <c r="BF553" s="7"/>
      <c r="BG553" s="7"/>
      <c r="BH553" s="8">
        <f>SUM(BC553:BG553)</f>
        <v>0</v>
      </c>
      <c r="BJ553" s="6"/>
      <c r="BK553" s="7"/>
      <c r="BL553" s="7"/>
      <c r="BM553" s="7"/>
      <c r="BN553" s="7"/>
      <c r="BO553" s="8">
        <f>SUM(BJ553:BN553)</f>
        <v>0</v>
      </c>
      <c r="BQ553" s="6"/>
      <c r="BR553" s="7"/>
      <c r="BS553" s="7"/>
      <c r="BT553" s="7"/>
      <c r="BU553" s="7"/>
      <c r="BV553" s="8">
        <f>SUM(BQ553:BU553)</f>
        <v>0</v>
      </c>
      <c r="BX553" s="6"/>
      <c r="BY553" s="7"/>
      <c r="BZ553" s="7"/>
      <c r="CA553" s="7"/>
      <c r="CB553" s="7"/>
      <c r="CC553" s="8">
        <f>SUM(BX553:CB553)</f>
        <v>0</v>
      </c>
      <c r="CE553" s="28">
        <f t="shared" si="2515"/>
        <v>0</v>
      </c>
      <c r="CF553" s="29">
        <f t="shared" si="2516"/>
        <v>0</v>
      </c>
      <c r="CG553" s="29">
        <f t="shared" si="2517"/>
        <v>0</v>
      </c>
      <c r="CH553" s="29">
        <f t="shared" si="2518"/>
        <v>0</v>
      </c>
      <c r="CI553" s="29">
        <f t="shared" si="2519"/>
        <v>0</v>
      </c>
      <c r="CJ553" s="8">
        <f>SUM(CE553:CI553)</f>
        <v>0</v>
      </c>
      <c r="CL553" s="6"/>
      <c r="CM553" s="7"/>
      <c r="CN553" s="7"/>
      <c r="CO553" s="7"/>
      <c r="CP553" s="7"/>
      <c r="CQ553" s="8">
        <f>SUM(CL553:CP553)</f>
        <v>0</v>
      </c>
      <c r="CS553" s="6"/>
      <c r="CT553" s="7"/>
      <c r="CU553" s="7"/>
      <c r="CV553" s="7"/>
      <c r="CW553" s="7"/>
      <c r="CX553" s="8">
        <f t="shared" si="2523"/>
        <v>0</v>
      </c>
      <c r="CZ553" s="6"/>
      <c r="DA553" s="7"/>
      <c r="DB553" s="7"/>
      <c r="DC553" s="7"/>
      <c r="DD553" s="7"/>
      <c r="DE553" s="8">
        <f t="shared" si="2524"/>
        <v>0</v>
      </c>
    </row>
    <row r="554" spans="2:109" ht="14" thickBot="1">
      <c r="C554" s="567"/>
      <c r="E554" s="5" t="s">
        <v>62</v>
      </c>
      <c r="F554" s="87"/>
      <c r="G554" s="88"/>
      <c r="H554" s="88"/>
      <c r="I554" s="88"/>
      <c r="J554" s="88"/>
      <c r="K554" s="495">
        <f t="shared" si="2520"/>
        <v>0</v>
      </c>
      <c r="M554" s="6"/>
      <c r="N554" s="7"/>
      <c r="O554" s="7"/>
      <c r="P554" s="7"/>
      <c r="Q554" s="7"/>
      <c r="R554" s="8">
        <f t="shared" si="2521"/>
        <v>0</v>
      </c>
      <c r="T554" s="6"/>
      <c r="U554" s="7"/>
      <c r="V554" s="7"/>
      <c r="W554" s="7"/>
      <c r="X554" s="7"/>
      <c r="Y554" s="8">
        <f t="shared" si="2522"/>
        <v>0</v>
      </c>
      <c r="AA554" s="6"/>
      <c r="AB554" s="7"/>
      <c r="AC554" s="7"/>
      <c r="AD554" s="7"/>
      <c r="AE554" s="7"/>
      <c r="AF554" s="8">
        <f>SUM(AA554:AE554)</f>
        <v>0</v>
      </c>
      <c r="AH554" s="6"/>
      <c r="AI554" s="7"/>
      <c r="AJ554" s="7"/>
      <c r="AK554" s="7"/>
      <c r="AL554" s="7"/>
      <c r="AM554" s="8">
        <f>SUM(AH554:AL554)</f>
        <v>0</v>
      </c>
      <c r="AO554" s="6"/>
      <c r="AP554" s="7"/>
      <c r="AQ554" s="7"/>
      <c r="AR554" s="7"/>
      <c r="AS554" s="7"/>
      <c r="AT554" s="8">
        <f>SUM(AO554:AS554)</f>
        <v>0</v>
      </c>
      <c r="AV554" s="6"/>
      <c r="AW554" s="7"/>
      <c r="AX554" s="7"/>
      <c r="AY554" s="7"/>
      <c r="AZ554" s="7"/>
      <c r="BA554" s="8">
        <f>SUM(AV554:AZ554)</f>
        <v>0</v>
      </c>
      <c r="BC554" s="6"/>
      <c r="BD554" s="7"/>
      <c r="BE554" s="7"/>
      <c r="BF554" s="7"/>
      <c r="BG554" s="7"/>
      <c r="BH554" s="8">
        <f>SUM(BC554:BG554)</f>
        <v>0</v>
      </c>
      <c r="BJ554" s="6"/>
      <c r="BK554" s="7"/>
      <c r="BL554" s="7"/>
      <c r="BM554" s="7"/>
      <c r="BN554" s="7"/>
      <c r="BO554" s="8">
        <f>SUM(BJ554:BN554)</f>
        <v>0</v>
      </c>
      <c r="BQ554" s="6"/>
      <c r="BR554" s="7"/>
      <c r="BS554" s="7"/>
      <c r="BT554" s="7"/>
      <c r="BU554" s="7"/>
      <c r="BV554" s="8">
        <f>SUM(BQ554:BU554)</f>
        <v>0</v>
      </c>
      <c r="BX554" s="6"/>
      <c r="BY554" s="7"/>
      <c r="BZ554" s="7"/>
      <c r="CA554" s="7"/>
      <c r="CB554" s="7"/>
      <c r="CC554" s="8">
        <f>SUM(BX554:CB554)</f>
        <v>0</v>
      </c>
      <c r="CE554" s="493">
        <f t="shared" si="2515"/>
        <v>0</v>
      </c>
      <c r="CF554" s="494">
        <f t="shared" si="2516"/>
        <v>0</v>
      </c>
      <c r="CG554" s="494">
        <f t="shared" si="2517"/>
        <v>0</v>
      </c>
      <c r="CH554" s="494">
        <f t="shared" si="2518"/>
        <v>0</v>
      </c>
      <c r="CI554" s="494">
        <f t="shared" si="2519"/>
        <v>0</v>
      </c>
      <c r="CJ554" s="495">
        <f>SUM(CE554:CI554)</f>
        <v>0</v>
      </c>
      <c r="CL554" s="6"/>
      <c r="CM554" s="7"/>
      <c r="CN554" s="7"/>
      <c r="CO554" s="7"/>
      <c r="CP554" s="7"/>
      <c r="CQ554" s="8">
        <f>SUM(CL554:CP554)</f>
        <v>0</v>
      </c>
      <c r="CS554" s="6"/>
      <c r="CT554" s="7"/>
      <c r="CU554" s="7"/>
      <c r="CV554" s="7"/>
      <c r="CW554" s="7"/>
      <c r="CX554" s="8">
        <f t="shared" si="2523"/>
        <v>0</v>
      </c>
      <c r="CZ554" s="6"/>
      <c r="DA554" s="7"/>
      <c r="DB554" s="7"/>
      <c r="DC554" s="7"/>
      <c r="DD554" s="7"/>
      <c r="DE554" s="8">
        <f t="shared" si="2524"/>
        <v>0</v>
      </c>
    </row>
    <row r="555" spans="2:109" ht="14" thickBot="1">
      <c r="C555" s="554"/>
      <c r="E555" s="9"/>
      <c r="F555" s="10">
        <f>SUM(F551:F554)</f>
        <v>0</v>
      </c>
      <c r="G555" s="11">
        <f t="shared" ref="G555:J555" si="2525">SUM(G551:G554)</f>
        <v>0</v>
      </c>
      <c r="H555" s="11">
        <f t="shared" si="2525"/>
        <v>0</v>
      </c>
      <c r="I555" s="11">
        <f t="shared" si="2525"/>
        <v>0</v>
      </c>
      <c r="J555" s="61">
        <f t="shared" si="2525"/>
        <v>0</v>
      </c>
      <c r="K555" s="25">
        <f>SUM(K551:K554)</f>
        <v>0</v>
      </c>
      <c r="M555" s="10">
        <f>SUM(M551:M554)</f>
        <v>0</v>
      </c>
      <c r="N555" s="11">
        <f t="shared" ref="N555:Q555" si="2526">SUM(N551:N554)</f>
        <v>0</v>
      </c>
      <c r="O555" s="11">
        <f t="shared" si="2526"/>
        <v>0</v>
      </c>
      <c r="P555" s="11">
        <f t="shared" si="2526"/>
        <v>0</v>
      </c>
      <c r="Q555" s="11">
        <f t="shared" si="2526"/>
        <v>0</v>
      </c>
      <c r="R555" s="25">
        <f>SUM(R551:R554)</f>
        <v>0</v>
      </c>
      <c r="T555" s="10">
        <f>SUM(T551:T554)</f>
        <v>0</v>
      </c>
      <c r="U555" s="11">
        <f t="shared" ref="U555:X555" si="2527">SUM(U551:U554)</f>
        <v>0</v>
      </c>
      <c r="V555" s="11">
        <f t="shared" si="2527"/>
        <v>0</v>
      </c>
      <c r="W555" s="11">
        <f t="shared" si="2527"/>
        <v>0</v>
      </c>
      <c r="X555" s="11">
        <f t="shared" si="2527"/>
        <v>0</v>
      </c>
      <c r="Y555" s="25">
        <f>SUM(Y551:Y554)</f>
        <v>0</v>
      </c>
      <c r="AA555" s="10">
        <f>SUM(AA551:AA554)</f>
        <v>0</v>
      </c>
      <c r="AB555" s="11">
        <f t="shared" ref="AB555:AE555" si="2528">SUM(AB551:AB554)</f>
        <v>0</v>
      </c>
      <c r="AC555" s="11">
        <f t="shared" si="2528"/>
        <v>0</v>
      </c>
      <c r="AD555" s="11">
        <f t="shared" si="2528"/>
        <v>0</v>
      </c>
      <c r="AE555" s="11">
        <f t="shared" si="2528"/>
        <v>0</v>
      </c>
      <c r="AF555" s="25">
        <f>SUM(AF551:AF554)</f>
        <v>0</v>
      </c>
      <c r="AH555" s="10">
        <f>SUM(AH551:AH554)</f>
        <v>0</v>
      </c>
      <c r="AI555" s="11">
        <f t="shared" ref="AI555:AL555" si="2529">SUM(AI551:AI554)</f>
        <v>0</v>
      </c>
      <c r="AJ555" s="11">
        <f t="shared" si="2529"/>
        <v>0</v>
      </c>
      <c r="AK555" s="11">
        <f t="shared" si="2529"/>
        <v>0</v>
      </c>
      <c r="AL555" s="11">
        <f t="shared" si="2529"/>
        <v>0</v>
      </c>
      <c r="AM555" s="25">
        <f>SUM(AM551:AM554)</f>
        <v>0</v>
      </c>
      <c r="AO555" s="10">
        <f>SUM(AO551:AO554)</f>
        <v>0</v>
      </c>
      <c r="AP555" s="11">
        <f t="shared" ref="AP555:AS555" si="2530">SUM(AP551:AP554)</f>
        <v>0</v>
      </c>
      <c r="AQ555" s="11">
        <f t="shared" si="2530"/>
        <v>0</v>
      </c>
      <c r="AR555" s="11">
        <f t="shared" si="2530"/>
        <v>0</v>
      </c>
      <c r="AS555" s="11">
        <f t="shared" si="2530"/>
        <v>0</v>
      </c>
      <c r="AT555" s="25">
        <f>SUM(AT551:AT554)</f>
        <v>0</v>
      </c>
      <c r="AV555" s="10">
        <f>SUM(AV551:AV554)</f>
        <v>0</v>
      </c>
      <c r="AW555" s="11">
        <f t="shared" ref="AW555:AZ555" si="2531">SUM(AW551:AW554)</f>
        <v>0</v>
      </c>
      <c r="AX555" s="11">
        <f t="shared" si="2531"/>
        <v>0</v>
      </c>
      <c r="AY555" s="11">
        <f t="shared" si="2531"/>
        <v>0</v>
      </c>
      <c r="AZ555" s="11">
        <f t="shared" si="2531"/>
        <v>0</v>
      </c>
      <c r="BA555" s="25">
        <f>SUM(BA551:BA554)</f>
        <v>0</v>
      </c>
      <c r="BC555" s="10">
        <f>SUM(BC551:BC554)</f>
        <v>0</v>
      </c>
      <c r="BD555" s="11">
        <f t="shared" ref="BD555:BG555" si="2532">SUM(BD551:BD554)</f>
        <v>0</v>
      </c>
      <c r="BE555" s="11">
        <f t="shared" si="2532"/>
        <v>0</v>
      </c>
      <c r="BF555" s="11">
        <f t="shared" si="2532"/>
        <v>0</v>
      </c>
      <c r="BG555" s="11">
        <f t="shared" si="2532"/>
        <v>0</v>
      </c>
      <c r="BH555" s="25">
        <f>SUM(BH551:BH554)</f>
        <v>0</v>
      </c>
      <c r="BJ555" s="10">
        <f>SUM(BJ551:BJ554)</f>
        <v>0</v>
      </c>
      <c r="BK555" s="11">
        <f t="shared" ref="BK555:BN555" si="2533">SUM(BK551:BK554)</f>
        <v>0</v>
      </c>
      <c r="BL555" s="11">
        <f t="shared" si="2533"/>
        <v>0</v>
      </c>
      <c r="BM555" s="11">
        <f t="shared" si="2533"/>
        <v>0</v>
      </c>
      <c r="BN555" s="11">
        <f t="shared" si="2533"/>
        <v>0</v>
      </c>
      <c r="BO555" s="25">
        <f>SUM(BO551:BO554)</f>
        <v>0</v>
      </c>
      <c r="BQ555" s="10">
        <f>SUM(BQ551:BQ554)</f>
        <v>0</v>
      </c>
      <c r="BR555" s="11">
        <f t="shared" ref="BR555:BU555" si="2534">SUM(BR551:BR554)</f>
        <v>0</v>
      </c>
      <c r="BS555" s="11">
        <f t="shared" si="2534"/>
        <v>0</v>
      </c>
      <c r="BT555" s="11">
        <f t="shared" si="2534"/>
        <v>0</v>
      </c>
      <c r="BU555" s="11">
        <f t="shared" si="2534"/>
        <v>0</v>
      </c>
      <c r="BV555" s="25">
        <f>SUM(BV551:BV554)</f>
        <v>0</v>
      </c>
      <c r="BX555" s="10">
        <f>SUM(BX551:BX554)</f>
        <v>0</v>
      </c>
      <c r="BY555" s="11">
        <f t="shared" ref="BY555:CB555" si="2535">SUM(BY551:BY554)</f>
        <v>0</v>
      </c>
      <c r="BZ555" s="11">
        <f t="shared" si="2535"/>
        <v>0</v>
      </c>
      <c r="CA555" s="11">
        <f t="shared" si="2535"/>
        <v>0</v>
      </c>
      <c r="CB555" s="11">
        <f t="shared" si="2535"/>
        <v>0</v>
      </c>
      <c r="CC555" s="25">
        <f>SUM(CC551:CC554)</f>
        <v>0</v>
      </c>
      <c r="CE555" s="62">
        <f t="shared" ref="CE555:CJ555" si="2536">SUM(CE551:CE554)</f>
        <v>0</v>
      </c>
      <c r="CF555" s="63">
        <f t="shared" si="2536"/>
        <v>0</v>
      </c>
      <c r="CG555" s="63">
        <f t="shared" si="2536"/>
        <v>0</v>
      </c>
      <c r="CH555" s="63">
        <f t="shared" si="2536"/>
        <v>0</v>
      </c>
      <c r="CI555" s="63">
        <f t="shared" si="2536"/>
        <v>0</v>
      </c>
      <c r="CJ555" s="25">
        <f t="shared" si="2536"/>
        <v>0</v>
      </c>
      <c r="CL555" s="10">
        <f>SUM(CL551:CL554)</f>
        <v>0</v>
      </c>
      <c r="CM555" s="11">
        <f t="shared" ref="CM555:CP555" si="2537">SUM(CM551:CM554)</f>
        <v>0</v>
      </c>
      <c r="CN555" s="11">
        <f t="shared" si="2537"/>
        <v>0</v>
      </c>
      <c r="CO555" s="11">
        <f t="shared" si="2537"/>
        <v>0</v>
      </c>
      <c r="CP555" s="11">
        <f t="shared" si="2537"/>
        <v>0</v>
      </c>
      <c r="CQ555" s="25">
        <f>SUM(CQ551:CQ554)</f>
        <v>0</v>
      </c>
      <c r="CS555" s="10">
        <f>SUM(CS551:CS554)</f>
        <v>0</v>
      </c>
      <c r="CT555" s="11">
        <f t="shared" ref="CT555:CW555" si="2538">SUM(CT551:CT554)</f>
        <v>0</v>
      </c>
      <c r="CU555" s="11">
        <f t="shared" si="2538"/>
        <v>0</v>
      </c>
      <c r="CV555" s="11">
        <f t="shared" si="2538"/>
        <v>0</v>
      </c>
      <c r="CW555" s="11">
        <f t="shared" si="2538"/>
        <v>0</v>
      </c>
      <c r="CX555" s="25">
        <f>SUM(CX551:CX554)</f>
        <v>0</v>
      </c>
      <c r="CZ555" s="10">
        <f>SUM(CZ551:CZ554)</f>
        <v>0</v>
      </c>
      <c r="DA555" s="11">
        <f t="shared" ref="DA555:DD555" si="2539">SUM(DA551:DA554)</f>
        <v>0</v>
      </c>
      <c r="DB555" s="11">
        <f t="shared" si="2539"/>
        <v>0</v>
      </c>
      <c r="DC555" s="11">
        <f t="shared" si="2539"/>
        <v>0</v>
      </c>
      <c r="DD555" s="11">
        <f t="shared" si="2539"/>
        <v>0</v>
      </c>
      <c r="DE555" s="25">
        <f>SUM(DE551:DE554)</f>
        <v>0</v>
      </c>
    </row>
    <row r="556" spans="2:109" ht="10.4" customHeight="1" thickBot="1"/>
    <row r="557" spans="2:109">
      <c r="C557" s="553">
        <v>2025</v>
      </c>
      <c r="E557" s="13" t="s">
        <v>59</v>
      </c>
      <c r="F557" s="21">
        <f>CE551</f>
        <v>0</v>
      </c>
      <c r="G557" s="22">
        <f t="shared" ref="G557:G560" si="2540">CF551</f>
        <v>0</v>
      </c>
      <c r="H557" s="22">
        <f t="shared" ref="H557:H560" si="2541">CG551</f>
        <v>0</v>
      </c>
      <c r="I557" s="22">
        <f t="shared" ref="I557:I560" si="2542">CH551</f>
        <v>0</v>
      </c>
      <c r="J557" s="22">
        <f t="shared" ref="J557:J560" si="2543">CI551</f>
        <v>0</v>
      </c>
      <c r="K557" s="15">
        <f>SUM(F557:J557)</f>
        <v>0</v>
      </c>
      <c r="M557" s="2"/>
      <c r="N557" s="3"/>
      <c r="O557" s="3"/>
      <c r="P557" s="3"/>
      <c r="Q557" s="3"/>
      <c r="R557" s="15">
        <f>SUM(M557:Q557)</f>
        <v>0</v>
      </c>
      <c r="T557" s="2"/>
      <c r="U557" s="3"/>
      <c r="V557" s="3"/>
      <c r="W557" s="3"/>
      <c r="X557" s="3"/>
      <c r="Y557" s="15">
        <f>SUM(T557:X557)</f>
        <v>0</v>
      </c>
      <c r="AA557" s="2"/>
      <c r="AB557" s="3"/>
      <c r="AC557" s="3"/>
      <c r="AD557" s="3"/>
      <c r="AE557" s="3"/>
      <c r="AF557" s="15">
        <f>SUM(AA557:AE557)</f>
        <v>0</v>
      </c>
      <c r="AH557" s="2"/>
      <c r="AI557" s="3"/>
      <c r="AJ557" s="3"/>
      <c r="AK557" s="3"/>
      <c r="AL557" s="3"/>
      <c r="AM557" s="15">
        <f>SUM(AH557:AL557)</f>
        <v>0</v>
      </c>
      <c r="AO557" s="2"/>
      <c r="AP557" s="3"/>
      <c r="AQ557" s="3"/>
      <c r="AR557" s="3"/>
      <c r="AS557" s="3"/>
      <c r="AT557" s="15">
        <f>SUM(AO557:AS557)</f>
        <v>0</v>
      </c>
      <c r="AV557" s="2"/>
      <c r="AW557" s="3"/>
      <c r="AX557" s="3"/>
      <c r="AY557" s="3"/>
      <c r="AZ557" s="3"/>
      <c r="BA557" s="15">
        <f>SUM(AV557:AZ557)</f>
        <v>0</v>
      </c>
      <c r="BC557" s="2"/>
      <c r="BD557" s="3"/>
      <c r="BE557" s="3"/>
      <c r="BF557" s="3"/>
      <c r="BG557" s="3"/>
      <c r="BH557" s="15">
        <f>SUM(BC557:BG557)</f>
        <v>0</v>
      </c>
      <c r="BJ557" s="2"/>
      <c r="BK557" s="3"/>
      <c r="BL557" s="3"/>
      <c r="BM557" s="3"/>
      <c r="BN557" s="3"/>
      <c r="BO557" s="15">
        <f>SUM(BJ557:BN557)</f>
        <v>0</v>
      </c>
      <c r="BQ557" s="2"/>
      <c r="BR557" s="3"/>
      <c r="BS557" s="3"/>
      <c r="BT557" s="3"/>
      <c r="BU557" s="3"/>
      <c r="BV557" s="15">
        <f>SUM(BQ557:BU557)</f>
        <v>0</v>
      </c>
      <c r="BX557" s="2"/>
      <c r="BY557" s="3"/>
      <c r="BZ557" s="3"/>
      <c r="CA557" s="3"/>
      <c r="CB557" s="3"/>
      <c r="CC557" s="15">
        <f>SUM(BX557:CB557)</f>
        <v>0</v>
      </c>
      <c r="CE557" s="26">
        <f t="shared" ref="CE557:CE560" si="2544">F557+M557+T557+AA557+AH557+AO557+AV557+BC557+BJ557+BQ557+BX557</f>
        <v>0</v>
      </c>
      <c r="CF557" s="27">
        <f t="shared" ref="CF557:CF560" si="2545">G557+N557+U557+AB557+AI557+AP557+AW557+BD557+BK557+BR557+BY557</f>
        <v>0</v>
      </c>
      <c r="CG557" s="27">
        <f t="shared" ref="CG557:CG560" si="2546">H557+O557+V557+AC557+AJ557+AQ557+AX557+BE557+BL557+BS557+BZ557</f>
        <v>0</v>
      </c>
      <c r="CH557" s="27">
        <f t="shared" ref="CH557:CH560" si="2547">I557+P557+W557+AD557+AK557+AR557+AY557+BF557+BM557+BT557+CA557</f>
        <v>0</v>
      </c>
      <c r="CI557" s="27">
        <f t="shared" ref="CI557:CI560" si="2548">J557+Q557+X557+AE557+AL557+AS557+AZ557+BG557+BN557+BU557+CB557</f>
        <v>0</v>
      </c>
      <c r="CJ557" s="4">
        <f>SUM(CE557:CI557)</f>
        <v>0</v>
      </c>
      <c r="CL557" s="2"/>
      <c r="CM557" s="3"/>
      <c r="CN557" s="3"/>
      <c r="CO557" s="3"/>
      <c r="CP557" s="3"/>
      <c r="CQ557" s="15">
        <f>SUM(CL557:CP557)</f>
        <v>0</v>
      </c>
      <c r="CS557" s="2"/>
      <c r="CT557" s="3"/>
      <c r="CU557" s="3"/>
      <c r="CV557" s="3"/>
      <c r="CW557" s="3"/>
      <c r="CX557" s="4">
        <f>SUM(CS557:CW557)</f>
        <v>0</v>
      </c>
      <c r="CZ557" s="2"/>
      <c r="DA557" s="3"/>
      <c r="DB557" s="3"/>
      <c r="DC557" s="3"/>
      <c r="DD557" s="3"/>
      <c r="DE557" s="15">
        <f>SUM(CZ557:DD557)</f>
        <v>0</v>
      </c>
    </row>
    <row r="558" spans="2:109">
      <c r="C558" s="567"/>
      <c r="E558" s="14" t="s">
        <v>60</v>
      </c>
      <c r="F558" s="23">
        <f t="shared" ref="F558:F560" si="2549">CE552</f>
        <v>0</v>
      </c>
      <c r="G558" s="24">
        <f t="shared" si="2540"/>
        <v>0</v>
      </c>
      <c r="H558" s="24">
        <f t="shared" si="2541"/>
        <v>0</v>
      </c>
      <c r="I558" s="24">
        <f t="shared" si="2542"/>
        <v>0</v>
      </c>
      <c r="J558" s="24">
        <f t="shared" si="2543"/>
        <v>0</v>
      </c>
      <c r="K558" s="16">
        <f t="shared" ref="K558:K560" si="2550">SUM(F558:J558)</f>
        <v>0</v>
      </c>
      <c r="M558" s="6"/>
      <c r="N558" s="7"/>
      <c r="O558" s="7"/>
      <c r="P558" s="7"/>
      <c r="Q558" s="7"/>
      <c r="R558" s="16">
        <f t="shared" ref="R558:R560" si="2551">SUM(M558:Q558)</f>
        <v>0</v>
      </c>
      <c r="T558" s="6"/>
      <c r="U558" s="7"/>
      <c r="V558" s="7"/>
      <c r="W558" s="7"/>
      <c r="X558" s="7"/>
      <c r="Y558" s="16">
        <f t="shared" ref="Y558:Y560" si="2552">SUM(T558:X558)</f>
        <v>0</v>
      </c>
      <c r="AA558" s="6"/>
      <c r="AB558" s="7"/>
      <c r="AC558" s="7"/>
      <c r="AD558" s="7"/>
      <c r="AE558" s="7"/>
      <c r="AF558" s="16">
        <f>SUM(AA558:AE558)</f>
        <v>0</v>
      </c>
      <c r="AH558" s="6"/>
      <c r="AI558" s="7"/>
      <c r="AJ558" s="7"/>
      <c r="AK558" s="7"/>
      <c r="AL558" s="7"/>
      <c r="AM558" s="16">
        <f>SUM(AH558:AL558)</f>
        <v>0</v>
      </c>
      <c r="AO558" s="6"/>
      <c r="AP558" s="7"/>
      <c r="AQ558" s="7"/>
      <c r="AR558" s="7"/>
      <c r="AS558" s="7"/>
      <c r="AT558" s="16">
        <f>SUM(AO558:AS558)</f>
        <v>0</v>
      </c>
      <c r="AV558" s="6"/>
      <c r="AW558" s="7"/>
      <c r="AX558" s="7"/>
      <c r="AY558" s="7"/>
      <c r="AZ558" s="7"/>
      <c r="BA558" s="16">
        <f>SUM(AV558:AZ558)</f>
        <v>0</v>
      </c>
      <c r="BC558" s="6"/>
      <c r="BD558" s="7"/>
      <c r="BE558" s="7"/>
      <c r="BF558" s="7"/>
      <c r="BG558" s="7"/>
      <c r="BH558" s="16">
        <f>SUM(BC558:BG558)</f>
        <v>0</v>
      </c>
      <c r="BJ558" s="6"/>
      <c r="BK558" s="7"/>
      <c r="BL558" s="7"/>
      <c r="BM558" s="7"/>
      <c r="BN558" s="7"/>
      <c r="BO558" s="16">
        <f>SUM(BJ558:BN558)</f>
        <v>0</v>
      </c>
      <c r="BQ558" s="6"/>
      <c r="BR558" s="7"/>
      <c r="BS558" s="7"/>
      <c r="BT558" s="7"/>
      <c r="BU558" s="7"/>
      <c r="BV558" s="16">
        <f>SUM(BQ558:BU558)</f>
        <v>0</v>
      </c>
      <c r="BX558" s="6"/>
      <c r="BY558" s="7"/>
      <c r="BZ558" s="7"/>
      <c r="CA558" s="7"/>
      <c r="CB558" s="7"/>
      <c r="CC558" s="16">
        <f>SUM(BX558:CB558)</f>
        <v>0</v>
      </c>
      <c r="CE558" s="28">
        <f t="shared" si="2544"/>
        <v>0</v>
      </c>
      <c r="CF558" s="29">
        <f t="shared" si="2545"/>
        <v>0</v>
      </c>
      <c r="CG558" s="29">
        <f t="shared" si="2546"/>
        <v>0</v>
      </c>
      <c r="CH558" s="29">
        <f t="shared" si="2547"/>
        <v>0</v>
      </c>
      <c r="CI558" s="29">
        <f t="shared" si="2548"/>
        <v>0</v>
      </c>
      <c r="CJ558" s="8">
        <f>SUM(CE558:CI558)</f>
        <v>0</v>
      </c>
      <c r="CL558" s="6"/>
      <c r="CM558" s="7"/>
      <c r="CN558" s="7"/>
      <c r="CO558" s="7"/>
      <c r="CP558" s="7"/>
      <c r="CQ558" s="16">
        <f>SUM(CL558:CP558)</f>
        <v>0</v>
      </c>
      <c r="CS558" s="6"/>
      <c r="CT558" s="7"/>
      <c r="CU558" s="7"/>
      <c r="CV558" s="7"/>
      <c r="CW558" s="7"/>
      <c r="CX558" s="8">
        <f t="shared" ref="CX558:CX560" si="2553">SUM(CS558:CW558)</f>
        <v>0</v>
      </c>
      <c r="CZ558" s="6"/>
      <c r="DA558" s="7"/>
      <c r="DB558" s="7"/>
      <c r="DC558" s="7"/>
      <c r="DD558" s="7"/>
      <c r="DE558" s="16">
        <f t="shared" ref="DE558:DE560" si="2554">SUM(CZ558:DD558)</f>
        <v>0</v>
      </c>
    </row>
    <row r="559" spans="2:109">
      <c r="C559" s="567"/>
      <c r="E559" s="14" t="s">
        <v>61</v>
      </c>
      <c r="F559" s="23">
        <f t="shared" si="2549"/>
        <v>0</v>
      </c>
      <c r="G559" s="24">
        <f t="shared" si="2540"/>
        <v>0</v>
      </c>
      <c r="H559" s="24">
        <f t="shared" si="2541"/>
        <v>0</v>
      </c>
      <c r="I559" s="24">
        <f t="shared" si="2542"/>
        <v>0</v>
      </c>
      <c r="J559" s="24">
        <f t="shared" si="2543"/>
        <v>0</v>
      </c>
      <c r="K559" s="16">
        <f t="shared" si="2550"/>
        <v>0</v>
      </c>
      <c r="M559" s="6"/>
      <c r="N559" s="7"/>
      <c r="O559" s="7"/>
      <c r="P559" s="7"/>
      <c r="Q559" s="7"/>
      <c r="R559" s="16">
        <f t="shared" si="2551"/>
        <v>0</v>
      </c>
      <c r="T559" s="6"/>
      <c r="U559" s="7"/>
      <c r="V559" s="7"/>
      <c r="W559" s="7"/>
      <c r="X559" s="7"/>
      <c r="Y559" s="16">
        <f t="shared" si="2552"/>
        <v>0</v>
      </c>
      <c r="AA559" s="6"/>
      <c r="AB559" s="7"/>
      <c r="AC559" s="7"/>
      <c r="AD559" s="7"/>
      <c r="AE559" s="7"/>
      <c r="AF559" s="16">
        <f>SUM(AA559:AE559)</f>
        <v>0</v>
      </c>
      <c r="AH559" s="6"/>
      <c r="AI559" s="7"/>
      <c r="AJ559" s="7"/>
      <c r="AK559" s="7"/>
      <c r="AL559" s="7"/>
      <c r="AM559" s="16">
        <f>SUM(AH559:AL559)</f>
        <v>0</v>
      </c>
      <c r="AO559" s="6"/>
      <c r="AP559" s="7"/>
      <c r="AQ559" s="7"/>
      <c r="AR559" s="7"/>
      <c r="AS559" s="7"/>
      <c r="AT559" s="16">
        <f>SUM(AO559:AS559)</f>
        <v>0</v>
      </c>
      <c r="AV559" s="6"/>
      <c r="AW559" s="7"/>
      <c r="AX559" s="7"/>
      <c r="AY559" s="7"/>
      <c r="AZ559" s="7"/>
      <c r="BA559" s="16">
        <f>SUM(AV559:AZ559)</f>
        <v>0</v>
      </c>
      <c r="BC559" s="6"/>
      <c r="BD559" s="7"/>
      <c r="BE559" s="7"/>
      <c r="BF559" s="7"/>
      <c r="BG559" s="7"/>
      <c r="BH559" s="16">
        <f>SUM(BC559:BG559)</f>
        <v>0</v>
      </c>
      <c r="BJ559" s="6"/>
      <c r="BK559" s="7"/>
      <c r="BL559" s="7"/>
      <c r="BM559" s="7"/>
      <c r="BN559" s="7"/>
      <c r="BO559" s="16">
        <f>SUM(BJ559:BN559)</f>
        <v>0</v>
      </c>
      <c r="BQ559" s="6"/>
      <c r="BR559" s="7"/>
      <c r="BS559" s="7"/>
      <c r="BT559" s="7"/>
      <c r="BU559" s="7"/>
      <c r="BV559" s="16">
        <f>SUM(BQ559:BU559)</f>
        <v>0</v>
      </c>
      <c r="BX559" s="6"/>
      <c r="BY559" s="7"/>
      <c r="BZ559" s="7"/>
      <c r="CA559" s="7"/>
      <c r="CB559" s="7"/>
      <c r="CC559" s="16">
        <f>SUM(BX559:CB559)</f>
        <v>0</v>
      </c>
      <c r="CE559" s="28">
        <f t="shared" si="2544"/>
        <v>0</v>
      </c>
      <c r="CF559" s="29">
        <f t="shared" si="2545"/>
        <v>0</v>
      </c>
      <c r="CG559" s="29">
        <f t="shared" si="2546"/>
        <v>0</v>
      </c>
      <c r="CH559" s="29">
        <f t="shared" si="2547"/>
        <v>0</v>
      </c>
      <c r="CI559" s="29">
        <f t="shared" si="2548"/>
        <v>0</v>
      </c>
      <c r="CJ559" s="8">
        <f>SUM(CE559:CI559)</f>
        <v>0</v>
      </c>
      <c r="CL559" s="6"/>
      <c r="CM559" s="7"/>
      <c r="CN559" s="7"/>
      <c r="CO559" s="7"/>
      <c r="CP559" s="7"/>
      <c r="CQ559" s="16">
        <f>SUM(CL559:CP559)</f>
        <v>0</v>
      </c>
      <c r="CS559" s="6"/>
      <c r="CT559" s="7"/>
      <c r="CU559" s="7"/>
      <c r="CV559" s="7"/>
      <c r="CW559" s="7"/>
      <c r="CX559" s="8">
        <f t="shared" si="2553"/>
        <v>0</v>
      </c>
      <c r="CZ559" s="6"/>
      <c r="DA559" s="7"/>
      <c r="DB559" s="7"/>
      <c r="DC559" s="7"/>
      <c r="DD559" s="7"/>
      <c r="DE559" s="16">
        <f t="shared" si="2554"/>
        <v>0</v>
      </c>
    </row>
    <row r="560" spans="2:109" ht="14" thickBot="1">
      <c r="C560" s="567"/>
      <c r="E560" s="14" t="s">
        <v>62</v>
      </c>
      <c r="F560" s="23">
        <f t="shared" si="2549"/>
        <v>0</v>
      </c>
      <c r="G560" s="24">
        <f t="shared" si="2540"/>
        <v>0</v>
      </c>
      <c r="H560" s="24">
        <f t="shared" si="2541"/>
        <v>0</v>
      </c>
      <c r="I560" s="24">
        <f t="shared" si="2542"/>
        <v>0</v>
      </c>
      <c r="J560" s="24">
        <f t="shared" si="2543"/>
        <v>0</v>
      </c>
      <c r="K560" s="16">
        <f t="shared" si="2550"/>
        <v>0</v>
      </c>
      <c r="M560" s="6"/>
      <c r="N560" s="7"/>
      <c r="O560" s="7"/>
      <c r="P560" s="7"/>
      <c r="Q560" s="7"/>
      <c r="R560" s="16">
        <f t="shared" si="2551"/>
        <v>0</v>
      </c>
      <c r="T560" s="6"/>
      <c r="U560" s="7"/>
      <c r="V560" s="7"/>
      <c r="W560" s="7"/>
      <c r="X560" s="7"/>
      <c r="Y560" s="16">
        <f t="shared" si="2552"/>
        <v>0</v>
      </c>
      <c r="AA560" s="6"/>
      <c r="AB560" s="7"/>
      <c r="AC560" s="7"/>
      <c r="AD560" s="7"/>
      <c r="AE560" s="7"/>
      <c r="AF560" s="16">
        <f>SUM(AA560:AE560)</f>
        <v>0</v>
      </c>
      <c r="AH560" s="6"/>
      <c r="AI560" s="7"/>
      <c r="AJ560" s="7"/>
      <c r="AK560" s="7"/>
      <c r="AL560" s="7"/>
      <c r="AM560" s="16">
        <f>SUM(AH560:AL560)</f>
        <v>0</v>
      </c>
      <c r="AO560" s="6"/>
      <c r="AP560" s="7"/>
      <c r="AQ560" s="7"/>
      <c r="AR560" s="7"/>
      <c r="AS560" s="7"/>
      <c r="AT560" s="16">
        <f>SUM(AO560:AS560)</f>
        <v>0</v>
      </c>
      <c r="AV560" s="6"/>
      <c r="AW560" s="7"/>
      <c r="AX560" s="7"/>
      <c r="AY560" s="7"/>
      <c r="AZ560" s="7"/>
      <c r="BA560" s="16">
        <f>SUM(AV560:AZ560)</f>
        <v>0</v>
      </c>
      <c r="BC560" s="6"/>
      <c r="BD560" s="7"/>
      <c r="BE560" s="7"/>
      <c r="BF560" s="7"/>
      <c r="BG560" s="7"/>
      <c r="BH560" s="16">
        <f>SUM(BC560:BG560)</f>
        <v>0</v>
      </c>
      <c r="BJ560" s="6"/>
      <c r="BK560" s="7"/>
      <c r="BL560" s="7"/>
      <c r="BM560" s="7"/>
      <c r="BN560" s="7"/>
      <c r="BO560" s="16">
        <f>SUM(BJ560:BN560)</f>
        <v>0</v>
      </c>
      <c r="BQ560" s="6"/>
      <c r="BR560" s="7"/>
      <c r="BS560" s="7"/>
      <c r="BT560" s="7"/>
      <c r="BU560" s="7"/>
      <c r="BV560" s="16">
        <f>SUM(BQ560:BU560)</f>
        <v>0</v>
      </c>
      <c r="BX560" s="6"/>
      <c r="BY560" s="7"/>
      <c r="BZ560" s="7"/>
      <c r="CA560" s="7"/>
      <c r="CB560" s="7"/>
      <c r="CC560" s="16">
        <f>SUM(BX560:CB560)</f>
        <v>0</v>
      </c>
      <c r="CE560" s="493">
        <f t="shared" si="2544"/>
        <v>0</v>
      </c>
      <c r="CF560" s="494">
        <f t="shared" si="2545"/>
        <v>0</v>
      </c>
      <c r="CG560" s="494">
        <f t="shared" si="2546"/>
        <v>0</v>
      </c>
      <c r="CH560" s="494">
        <f t="shared" si="2547"/>
        <v>0</v>
      </c>
      <c r="CI560" s="494">
        <f t="shared" si="2548"/>
        <v>0</v>
      </c>
      <c r="CJ560" s="495">
        <f>SUM(CE560:CI560)</f>
        <v>0</v>
      </c>
      <c r="CL560" s="6"/>
      <c r="CM560" s="7"/>
      <c r="CN560" s="7"/>
      <c r="CO560" s="7"/>
      <c r="CP560" s="7"/>
      <c r="CQ560" s="16">
        <f>SUM(CL560:CP560)</f>
        <v>0</v>
      </c>
      <c r="CS560" s="6"/>
      <c r="CT560" s="7"/>
      <c r="CU560" s="7"/>
      <c r="CV560" s="7"/>
      <c r="CW560" s="7"/>
      <c r="CX560" s="8">
        <f t="shared" si="2553"/>
        <v>0</v>
      </c>
      <c r="CZ560" s="6"/>
      <c r="DA560" s="7"/>
      <c r="DB560" s="7"/>
      <c r="DC560" s="7"/>
      <c r="DD560" s="7"/>
      <c r="DE560" s="16">
        <f t="shared" si="2554"/>
        <v>0</v>
      </c>
    </row>
    <row r="561" spans="3:109" ht="14" thickBot="1">
      <c r="C561" s="554"/>
      <c r="E561" s="17"/>
      <c r="F561" s="10">
        <f>SUM(F557:F560)</f>
        <v>0</v>
      </c>
      <c r="G561" s="11">
        <f t="shared" ref="G561:J561" si="2555">SUM(G557:G560)</f>
        <v>0</v>
      </c>
      <c r="H561" s="11">
        <f t="shared" si="2555"/>
        <v>0</v>
      </c>
      <c r="I561" s="11">
        <f t="shared" si="2555"/>
        <v>0</v>
      </c>
      <c r="J561" s="11">
        <f t="shared" si="2555"/>
        <v>0</v>
      </c>
      <c r="K561" s="25">
        <f>SUM(K557:K560)</f>
        <v>0</v>
      </c>
      <c r="M561" s="10">
        <f>SUM(M557:M560)</f>
        <v>0</v>
      </c>
      <c r="N561" s="11">
        <f t="shared" ref="N561:Q561" si="2556">SUM(N557:N560)</f>
        <v>0</v>
      </c>
      <c r="O561" s="11">
        <f t="shared" si="2556"/>
        <v>0</v>
      </c>
      <c r="P561" s="11">
        <f t="shared" si="2556"/>
        <v>0</v>
      </c>
      <c r="Q561" s="11">
        <f t="shared" si="2556"/>
        <v>0</v>
      </c>
      <c r="R561" s="25">
        <f>SUM(R557:R560)</f>
        <v>0</v>
      </c>
      <c r="T561" s="10">
        <f>SUM(T557:T560)</f>
        <v>0</v>
      </c>
      <c r="U561" s="11">
        <f t="shared" ref="U561:X561" si="2557">SUM(U557:U560)</f>
        <v>0</v>
      </c>
      <c r="V561" s="11">
        <f t="shared" si="2557"/>
        <v>0</v>
      </c>
      <c r="W561" s="11">
        <f t="shared" si="2557"/>
        <v>0</v>
      </c>
      <c r="X561" s="11">
        <f t="shared" si="2557"/>
        <v>0</v>
      </c>
      <c r="Y561" s="25">
        <f>SUM(Y557:Y560)</f>
        <v>0</v>
      </c>
      <c r="AA561" s="10">
        <f>SUM(AA557:AA560)</f>
        <v>0</v>
      </c>
      <c r="AB561" s="11">
        <f t="shared" ref="AB561:AE561" si="2558">SUM(AB557:AB560)</f>
        <v>0</v>
      </c>
      <c r="AC561" s="11">
        <f t="shared" si="2558"/>
        <v>0</v>
      </c>
      <c r="AD561" s="11">
        <f t="shared" si="2558"/>
        <v>0</v>
      </c>
      <c r="AE561" s="11">
        <f t="shared" si="2558"/>
        <v>0</v>
      </c>
      <c r="AF561" s="25">
        <f>SUM(AF557:AF560)</f>
        <v>0</v>
      </c>
      <c r="AH561" s="10">
        <f>SUM(AH557:AH560)</f>
        <v>0</v>
      </c>
      <c r="AI561" s="11">
        <f t="shared" ref="AI561:AL561" si="2559">SUM(AI557:AI560)</f>
        <v>0</v>
      </c>
      <c r="AJ561" s="11">
        <f t="shared" si="2559"/>
        <v>0</v>
      </c>
      <c r="AK561" s="11">
        <f t="shared" si="2559"/>
        <v>0</v>
      </c>
      <c r="AL561" s="11">
        <f t="shared" si="2559"/>
        <v>0</v>
      </c>
      <c r="AM561" s="25">
        <f>SUM(AM557:AM560)</f>
        <v>0</v>
      </c>
      <c r="AO561" s="10">
        <f>SUM(AO557:AO560)</f>
        <v>0</v>
      </c>
      <c r="AP561" s="11">
        <f t="shared" ref="AP561:AS561" si="2560">SUM(AP557:AP560)</f>
        <v>0</v>
      </c>
      <c r="AQ561" s="11">
        <f t="shared" si="2560"/>
        <v>0</v>
      </c>
      <c r="AR561" s="11">
        <f t="shared" si="2560"/>
        <v>0</v>
      </c>
      <c r="AS561" s="11">
        <f t="shared" si="2560"/>
        <v>0</v>
      </c>
      <c r="AT561" s="25">
        <f>SUM(AT557:AT560)</f>
        <v>0</v>
      </c>
      <c r="AV561" s="10">
        <f>SUM(AV557:AV560)</f>
        <v>0</v>
      </c>
      <c r="AW561" s="11">
        <f t="shared" ref="AW561:AZ561" si="2561">SUM(AW557:AW560)</f>
        <v>0</v>
      </c>
      <c r="AX561" s="11">
        <f t="shared" si="2561"/>
        <v>0</v>
      </c>
      <c r="AY561" s="11">
        <f t="shared" si="2561"/>
        <v>0</v>
      </c>
      <c r="AZ561" s="11">
        <f t="shared" si="2561"/>
        <v>0</v>
      </c>
      <c r="BA561" s="25">
        <f>SUM(BA557:BA560)</f>
        <v>0</v>
      </c>
      <c r="BC561" s="10">
        <f>SUM(BC557:BC560)</f>
        <v>0</v>
      </c>
      <c r="BD561" s="11">
        <f t="shared" ref="BD561:BG561" si="2562">SUM(BD557:BD560)</f>
        <v>0</v>
      </c>
      <c r="BE561" s="11">
        <f t="shared" si="2562"/>
        <v>0</v>
      </c>
      <c r="BF561" s="11">
        <f t="shared" si="2562"/>
        <v>0</v>
      </c>
      <c r="BG561" s="11">
        <f t="shared" si="2562"/>
        <v>0</v>
      </c>
      <c r="BH561" s="25">
        <f>SUM(BH557:BH560)</f>
        <v>0</v>
      </c>
      <c r="BJ561" s="10">
        <f>SUM(BJ557:BJ560)</f>
        <v>0</v>
      </c>
      <c r="BK561" s="11">
        <f t="shared" ref="BK561:BN561" si="2563">SUM(BK557:BK560)</f>
        <v>0</v>
      </c>
      <c r="BL561" s="11">
        <f t="shared" si="2563"/>
        <v>0</v>
      </c>
      <c r="BM561" s="11">
        <f t="shared" si="2563"/>
        <v>0</v>
      </c>
      <c r="BN561" s="11">
        <f t="shared" si="2563"/>
        <v>0</v>
      </c>
      <c r="BO561" s="25">
        <f>SUM(BO557:BO560)</f>
        <v>0</v>
      </c>
      <c r="BQ561" s="10">
        <f>SUM(BQ557:BQ560)</f>
        <v>0</v>
      </c>
      <c r="BR561" s="11">
        <f t="shared" ref="BR561:BU561" si="2564">SUM(BR557:BR560)</f>
        <v>0</v>
      </c>
      <c r="BS561" s="11">
        <f t="shared" si="2564"/>
        <v>0</v>
      </c>
      <c r="BT561" s="11">
        <f t="shared" si="2564"/>
        <v>0</v>
      </c>
      <c r="BU561" s="11">
        <f t="shared" si="2564"/>
        <v>0</v>
      </c>
      <c r="BV561" s="25">
        <f>SUM(BV557:BV560)</f>
        <v>0</v>
      </c>
      <c r="BX561" s="10">
        <f>SUM(BX557:BX560)</f>
        <v>0</v>
      </c>
      <c r="BY561" s="11">
        <f t="shared" ref="BY561:CB561" si="2565">SUM(BY557:BY560)</f>
        <v>0</v>
      </c>
      <c r="BZ561" s="11">
        <f t="shared" si="2565"/>
        <v>0</v>
      </c>
      <c r="CA561" s="11">
        <f t="shared" si="2565"/>
        <v>0</v>
      </c>
      <c r="CB561" s="11">
        <f t="shared" si="2565"/>
        <v>0</v>
      </c>
      <c r="CC561" s="25">
        <f>SUM(CC557:CC560)</f>
        <v>0</v>
      </c>
      <c r="CE561" s="62">
        <f t="shared" ref="CE561:CJ561" si="2566">SUM(CE557:CE560)</f>
        <v>0</v>
      </c>
      <c r="CF561" s="63">
        <f t="shared" si="2566"/>
        <v>0</v>
      </c>
      <c r="CG561" s="63">
        <f t="shared" si="2566"/>
        <v>0</v>
      </c>
      <c r="CH561" s="63">
        <f t="shared" si="2566"/>
        <v>0</v>
      </c>
      <c r="CI561" s="63">
        <f t="shared" si="2566"/>
        <v>0</v>
      </c>
      <c r="CJ561" s="25">
        <f t="shared" si="2566"/>
        <v>0</v>
      </c>
      <c r="CL561" s="10">
        <f>SUM(CL557:CL560)</f>
        <v>0</v>
      </c>
      <c r="CM561" s="11">
        <f t="shared" ref="CM561:CP561" si="2567">SUM(CM557:CM560)</f>
        <v>0</v>
      </c>
      <c r="CN561" s="11">
        <f t="shared" si="2567"/>
        <v>0</v>
      </c>
      <c r="CO561" s="11">
        <f t="shared" si="2567"/>
        <v>0</v>
      </c>
      <c r="CP561" s="11">
        <f t="shared" si="2567"/>
        <v>0</v>
      </c>
      <c r="CQ561" s="25">
        <f>SUM(CQ557:CQ560)</f>
        <v>0</v>
      </c>
      <c r="CS561" s="10">
        <f>SUM(CS557:CS560)</f>
        <v>0</v>
      </c>
      <c r="CT561" s="11">
        <f t="shared" ref="CT561:CW561" si="2568">SUM(CT557:CT560)</f>
        <v>0</v>
      </c>
      <c r="CU561" s="11">
        <f t="shared" si="2568"/>
        <v>0</v>
      </c>
      <c r="CV561" s="11">
        <f t="shared" si="2568"/>
        <v>0</v>
      </c>
      <c r="CW561" s="11">
        <f t="shared" si="2568"/>
        <v>0</v>
      </c>
      <c r="CX561" s="25">
        <f>SUM(CX557:CX560)</f>
        <v>0</v>
      </c>
      <c r="CZ561" s="10">
        <f>SUM(CZ557:CZ560)</f>
        <v>0</v>
      </c>
      <c r="DA561" s="11">
        <f t="shared" ref="DA561:DD561" si="2569">SUM(DA557:DA560)</f>
        <v>0</v>
      </c>
      <c r="DB561" s="11">
        <f t="shared" si="2569"/>
        <v>0</v>
      </c>
      <c r="DC561" s="11">
        <f t="shared" si="2569"/>
        <v>0</v>
      </c>
      <c r="DD561" s="11">
        <f t="shared" si="2569"/>
        <v>0</v>
      </c>
      <c r="DE561" s="25">
        <f>SUM(DE557:DE560)</f>
        <v>0</v>
      </c>
    </row>
    <row r="562" spans="3:109" ht="10.4" customHeight="1" thickBot="1"/>
    <row r="563" spans="3:109">
      <c r="C563" s="553">
        <v>2026</v>
      </c>
      <c r="E563" s="13" t="s">
        <v>59</v>
      </c>
      <c r="F563" s="21">
        <f>CE557</f>
        <v>0</v>
      </c>
      <c r="G563" s="22">
        <f t="shared" ref="G563:G566" si="2570">CF557</f>
        <v>0</v>
      </c>
      <c r="H563" s="22">
        <f t="shared" ref="H563:H566" si="2571">CG557</f>
        <v>0</v>
      </c>
      <c r="I563" s="22">
        <f t="shared" ref="I563:I566" si="2572">CH557</f>
        <v>0</v>
      </c>
      <c r="J563" s="22">
        <f t="shared" ref="J563:J566" si="2573">CI557</f>
        <v>0</v>
      </c>
      <c r="K563" s="4">
        <f>SUM(F563:J563)</f>
        <v>0</v>
      </c>
      <c r="M563" s="2"/>
      <c r="N563" s="3"/>
      <c r="O563" s="3"/>
      <c r="P563" s="3"/>
      <c r="Q563" s="3"/>
      <c r="R563" s="4">
        <f>SUM(M563:Q563)</f>
        <v>0</v>
      </c>
      <c r="T563" s="2"/>
      <c r="U563" s="3"/>
      <c r="V563" s="3"/>
      <c r="W563" s="3"/>
      <c r="X563" s="3"/>
      <c r="Y563" s="4">
        <f>SUM(T563:X563)</f>
        <v>0</v>
      </c>
      <c r="AA563" s="2"/>
      <c r="AB563" s="3"/>
      <c r="AC563" s="3"/>
      <c r="AD563" s="3"/>
      <c r="AE563" s="3"/>
      <c r="AF563" s="4">
        <f>SUM(AA563:AE563)</f>
        <v>0</v>
      </c>
      <c r="AH563" s="2"/>
      <c r="AI563" s="3"/>
      <c r="AJ563" s="3"/>
      <c r="AK563" s="3"/>
      <c r="AL563" s="3"/>
      <c r="AM563" s="4">
        <f>SUM(AH563:AL563)</f>
        <v>0</v>
      </c>
      <c r="AO563" s="2"/>
      <c r="AP563" s="3"/>
      <c r="AQ563" s="3"/>
      <c r="AR563" s="3"/>
      <c r="AS563" s="3"/>
      <c r="AT563" s="4">
        <f>SUM(AO563:AS563)</f>
        <v>0</v>
      </c>
      <c r="AV563" s="2"/>
      <c r="AW563" s="3"/>
      <c r="AX563" s="3"/>
      <c r="AY563" s="3"/>
      <c r="AZ563" s="3"/>
      <c r="BA563" s="4">
        <f>SUM(AV563:AZ563)</f>
        <v>0</v>
      </c>
      <c r="BC563" s="2"/>
      <c r="BD563" s="3"/>
      <c r="BE563" s="3"/>
      <c r="BF563" s="3"/>
      <c r="BG563" s="3"/>
      <c r="BH563" s="4">
        <f>SUM(BC563:BG563)</f>
        <v>0</v>
      </c>
      <c r="BJ563" s="2"/>
      <c r="BK563" s="3"/>
      <c r="BL563" s="3"/>
      <c r="BM563" s="3"/>
      <c r="BN563" s="3"/>
      <c r="BO563" s="4">
        <f>SUM(BJ563:BN563)</f>
        <v>0</v>
      </c>
      <c r="BQ563" s="2"/>
      <c r="BR563" s="3"/>
      <c r="BS563" s="3"/>
      <c r="BT563" s="3"/>
      <c r="BU563" s="3"/>
      <c r="BV563" s="4">
        <f>SUM(BQ563:BU563)</f>
        <v>0</v>
      </c>
      <c r="BX563" s="2"/>
      <c r="BY563" s="3"/>
      <c r="BZ563" s="3"/>
      <c r="CA563" s="3"/>
      <c r="CB563" s="3"/>
      <c r="CC563" s="4">
        <f>SUM(BX563:CB563)</f>
        <v>0</v>
      </c>
      <c r="CE563" s="26">
        <f t="shared" ref="CE563:CE566" si="2574">F563+M563+T563+AA563+AH563+AO563+AV563+BC563+BJ563+BQ563+BX563</f>
        <v>0</v>
      </c>
      <c r="CF563" s="27">
        <f t="shared" ref="CF563:CF566" si="2575">G563+N563+U563+AB563+AI563+AP563+AW563+BD563+BK563+BR563+BY563</f>
        <v>0</v>
      </c>
      <c r="CG563" s="27">
        <f t="shared" ref="CG563:CG566" si="2576">H563+O563+V563+AC563+AJ563+AQ563+AX563+BE563+BL563+BS563+BZ563</f>
        <v>0</v>
      </c>
      <c r="CH563" s="27">
        <f t="shared" ref="CH563:CH566" si="2577">I563+P563+W563+AD563+AK563+AR563+AY563+BF563+BM563+BT563+CA563</f>
        <v>0</v>
      </c>
      <c r="CI563" s="27">
        <f t="shared" ref="CI563:CI566" si="2578">J563+Q563+X563+AE563+AL563+AS563+AZ563+BG563+BN563+BU563+CB563</f>
        <v>0</v>
      </c>
      <c r="CJ563" s="4">
        <f>SUM(CE563:CI563)</f>
        <v>0</v>
      </c>
      <c r="CL563" s="2"/>
      <c r="CM563" s="3"/>
      <c r="CN563" s="3"/>
      <c r="CO563" s="3"/>
      <c r="CP563" s="3"/>
      <c r="CQ563" s="4">
        <f>SUM(CL563:CP563)</f>
        <v>0</v>
      </c>
      <c r="CS563" s="2"/>
      <c r="CT563" s="3"/>
      <c r="CU563" s="3"/>
      <c r="CV563" s="3"/>
      <c r="CW563" s="3"/>
      <c r="CX563" s="4">
        <f>SUM(CS563:CW563)</f>
        <v>0</v>
      </c>
      <c r="CZ563" s="2"/>
      <c r="DA563" s="3"/>
      <c r="DB563" s="3"/>
      <c r="DC563" s="3"/>
      <c r="DD563" s="3"/>
      <c r="DE563" s="4">
        <f>SUM(CZ563:DD563)</f>
        <v>0</v>
      </c>
    </row>
    <row r="564" spans="3:109">
      <c r="C564" s="567"/>
      <c r="E564" s="14" t="s">
        <v>60</v>
      </c>
      <c r="F564" s="23">
        <f t="shared" ref="F564:F566" si="2579">CE558</f>
        <v>0</v>
      </c>
      <c r="G564" s="24">
        <f t="shared" si="2570"/>
        <v>0</v>
      </c>
      <c r="H564" s="24">
        <f t="shared" si="2571"/>
        <v>0</v>
      </c>
      <c r="I564" s="24">
        <f t="shared" si="2572"/>
        <v>0</v>
      </c>
      <c r="J564" s="24">
        <f t="shared" si="2573"/>
        <v>0</v>
      </c>
      <c r="K564" s="8">
        <f t="shared" ref="K564:K566" si="2580">SUM(F564:J564)</f>
        <v>0</v>
      </c>
      <c r="M564" s="6"/>
      <c r="N564" s="7"/>
      <c r="O564" s="7"/>
      <c r="P564" s="7"/>
      <c r="Q564" s="7"/>
      <c r="R564" s="8">
        <f t="shared" ref="R564:R566" si="2581">SUM(M564:Q564)</f>
        <v>0</v>
      </c>
      <c r="T564" s="6"/>
      <c r="U564" s="7"/>
      <c r="V564" s="7"/>
      <c r="W564" s="7"/>
      <c r="X564" s="7"/>
      <c r="Y564" s="8">
        <f t="shared" ref="Y564:Y566" si="2582">SUM(T564:X564)</f>
        <v>0</v>
      </c>
      <c r="AA564" s="6"/>
      <c r="AB564" s="7"/>
      <c r="AC564" s="7"/>
      <c r="AD564" s="7"/>
      <c r="AE564" s="7"/>
      <c r="AF564" s="8">
        <f>SUM(AA564:AE564)</f>
        <v>0</v>
      </c>
      <c r="AH564" s="6"/>
      <c r="AI564" s="7"/>
      <c r="AJ564" s="7"/>
      <c r="AK564" s="7"/>
      <c r="AL564" s="7"/>
      <c r="AM564" s="8">
        <f>SUM(AH564:AL564)</f>
        <v>0</v>
      </c>
      <c r="AO564" s="6"/>
      <c r="AP564" s="7"/>
      <c r="AQ564" s="7"/>
      <c r="AR564" s="7"/>
      <c r="AS564" s="7"/>
      <c r="AT564" s="8">
        <f>SUM(AO564:AS564)</f>
        <v>0</v>
      </c>
      <c r="AV564" s="6"/>
      <c r="AW564" s="7"/>
      <c r="AX564" s="7"/>
      <c r="AY564" s="7"/>
      <c r="AZ564" s="7"/>
      <c r="BA564" s="8">
        <f>SUM(AV564:AZ564)</f>
        <v>0</v>
      </c>
      <c r="BC564" s="6"/>
      <c r="BD564" s="7"/>
      <c r="BE564" s="7"/>
      <c r="BF564" s="7"/>
      <c r="BG564" s="7"/>
      <c r="BH564" s="8">
        <f>SUM(BC564:BG564)</f>
        <v>0</v>
      </c>
      <c r="BJ564" s="6"/>
      <c r="BK564" s="7"/>
      <c r="BL564" s="7"/>
      <c r="BM564" s="7"/>
      <c r="BN564" s="7"/>
      <c r="BO564" s="8">
        <f>SUM(BJ564:BN564)</f>
        <v>0</v>
      </c>
      <c r="BQ564" s="6"/>
      <c r="BR564" s="7"/>
      <c r="BS564" s="7"/>
      <c r="BT564" s="7"/>
      <c r="BU564" s="7"/>
      <c r="BV564" s="8">
        <f>SUM(BQ564:BU564)</f>
        <v>0</v>
      </c>
      <c r="BX564" s="6"/>
      <c r="BY564" s="7"/>
      <c r="BZ564" s="7"/>
      <c r="CA564" s="7"/>
      <c r="CB564" s="7"/>
      <c r="CC564" s="8">
        <f>SUM(BX564:CB564)</f>
        <v>0</v>
      </c>
      <c r="CE564" s="28">
        <f t="shared" si="2574"/>
        <v>0</v>
      </c>
      <c r="CF564" s="29">
        <f t="shared" si="2575"/>
        <v>0</v>
      </c>
      <c r="CG564" s="29">
        <f t="shared" si="2576"/>
        <v>0</v>
      </c>
      <c r="CH564" s="29">
        <f t="shared" si="2577"/>
        <v>0</v>
      </c>
      <c r="CI564" s="29">
        <f t="shared" si="2578"/>
        <v>0</v>
      </c>
      <c r="CJ564" s="8">
        <f>SUM(CE564:CI564)</f>
        <v>0</v>
      </c>
      <c r="CL564" s="6"/>
      <c r="CM564" s="7"/>
      <c r="CN564" s="7"/>
      <c r="CO564" s="7"/>
      <c r="CP564" s="7"/>
      <c r="CQ564" s="8">
        <f>SUM(CL564:CP564)</f>
        <v>0</v>
      </c>
      <c r="CS564" s="6"/>
      <c r="CT564" s="7"/>
      <c r="CU564" s="7"/>
      <c r="CV564" s="7"/>
      <c r="CW564" s="7"/>
      <c r="CX564" s="8">
        <f t="shared" ref="CX564:CX566" si="2583">SUM(CS564:CW564)</f>
        <v>0</v>
      </c>
      <c r="CZ564" s="6"/>
      <c r="DA564" s="7"/>
      <c r="DB564" s="7"/>
      <c r="DC564" s="7"/>
      <c r="DD564" s="7"/>
      <c r="DE564" s="8">
        <f t="shared" ref="DE564:DE566" si="2584">SUM(CZ564:DD564)</f>
        <v>0</v>
      </c>
    </row>
    <row r="565" spans="3:109">
      <c r="C565" s="567"/>
      <c r="E565" s="14" t="s">
        <v>61</v>
      </c>
      <c r="F565" s="23">
        <f t="shared" si="2579"/>
        <v>0</v>
      </c>
      <c r="G565" s="24">
        <f t="shared" si="2570"/>
        <v>0</v>
      </c>
      <c r="H565" s="24">
        <f t="shared" si="2571"/>
        <v>0</v>
      </c>
      <c r="I565" s="24">
        <f t="shared" si="2572"/>
        <v>0</v>
      </c>
      <c r="J565" s="24">
        <f t="shared" si="2573"/>
        <v>0</v>
      </c>
      <c r="K565" s="8">
        <f t="shared" si="2580"/>
        <v>0</v>
      </c>
      <c r="M565" s="6"/>
      <c r="N565" s="7"/>
      <c r="O565" s="7"/>
      <c r="P565" s="7"/>
      <c r="Q565" s="7"/>
      <c r="R565" s="8">
        <f t="shared" si="2581"/>
        <v>0</v>
      </c>
      <c r="T565" s="6"/>
      <c r="U565" s="7"/>
      <c r="V565" s="7"/>
      <c r="W565" s="7"/>
      <c r="X565" s="7"/>
      <c r="Y565" s="8">
        <f t="shared" si="2582"/>
        <v>0</v>
      </c>
      <c r="AA565" s="6"/>
      <c r="AB565" s="7"/>
      <c r="AC565" s="7"/>
      <c r="AD565" s="7"/>
      <c r="AE565" s="7"/>
      <c r="AF565" s="8">
        <f>SUM(AA565:AE565)</f>
        <v>0</v>
      </c>
      <c r="AH565" s="6"/>
      <c r="AI565" s="7"/>
      <c r="AJ565" s="7"/>
      <c r="AK565" s="7"/>
      <c r="AL565" s="7"/>
      <c r="AM565" s="8">
        <f>SUM(AH565:AL565)</f>
        <v>0</v>
      </c>
      <c r="AO565" s="6"/>
      <c r="AP565" s="7"/>
      <c r="AQ565" s="7"/>
      <c r="AR565" s="7"/>
      <c r="AS565" s="7"/>
      <c r="AT565" s="8">
        <f>SUM(AO565:AS565)</f>
        <v>0</v>
      </c>
      <c r="AV565" s="6"/>
      <c r="AW565" s="7"/>
      <c r="AX565" s="7"/>
      <c r="AY565" s="7"/>
      <c r="AZ565" s="7"/>
      <c r="BA565" s="8">
        <f>SUM(AV565:AZ565)</f>
        <v>0</v>
      </c>
      <c r="BC565" s="6"/>
      <c r="BD565" s="7"/>
      <c r="BE565" s="7"/>
      <c r="BF565" s="7"/>
      <c r="BG565" s="7"/>
      <c r="BH565" s="8">
        <f>SUM(BC565:BG565)</f>
        <v>0</v>
      </c>
      <c r="BJ565" s="6"/>
      <c r="BK565" s="7"/>
      <c r="BL565" s="7"/>
      <c r="BM565" s="7"/>
      <c r="BN565" s="7"/>
      <c r="BO565" s="8">
        <f>SUM(BJ565:BN565)</f>
        <v>0</v>
      </c>
      <c r="BQ565" s="6"/>
      <c r="BR565" s="7"/>
      <c r="BS565" s="7"/>
      <c r="BT565" s="7"/>
      <c r="BU565" s="7"/>
      <c r="BV565" s="8">
        <f>SUM(BQ565:BU565)</f>
        <v>0</v>
      </c>
      <c r="BX565" s="6"/>
      <c r="BY565" s="7"/>
      <c r="BZ565" s="7"/>
      <c r="CA565" s="7"/>
      <c r="CB565" s="7"/>
      <c r="CC565" s="8">
        <f>SUM(BX565:CB565)</f>
        <v>0</v>
      </c>
      <c r="CE565" s="28">
        <f t="shared" si="2574"/>
        <v>0</v>
      </c>
      <c r="CF565" s="29">
        <f t="shared" si="2575"/>
        <v>0</v>
      </c>
      <c r="CG565" s="29">
        <f t="shared" si="2576"/>
        <v>0</v>
      </c>
      <c r="CH565" s="29">
        <f t="shared" si="2577"/>
        <v>0</v>
      </c>
      <c r="CI565" s="29">
        <f t="shared" si="2578"/>
        <v>0</v>
      </c>
      <c r="CJ565" s="8">
        <f>SUM(CE565:CI565)</f>
        <v>0</v>
      </c>
      <c r="CL565" s="6"/>
      <c r="CM565" s="7"/>
      <c r="CN565" s="7"/>
      <c r="CO565" s="7"/>
      <c r="CP565" s="7"/>
      <c r="CQ565" s="8">
        <f>SUM(CL565:CP565)</f>
        <v>0</v>
      </c>
      <c r="CS565" s="6"/>
      <c r="CT565" s="7"/>
      <c r="CU565" s="7"/>
      <c r="CV565" s="7"/>
      <c r="CW565" s="7"/>
      <c r="CX565" s="8">
        <f t="shared" si="2583"/>
        <v>0</v>
      </c>
      <c r="CZ565" s="6"/>
      <c r="DA565" s="7"/>
      <c r="DB565" s="7"/>
      <c r="DC565" s="7"/>
      <c r="DD565" s="7"/>
      <c r="DE565" s="8">
        <f t="shared" si="2584"/>
        <v>0</v>
      </c>
    </row>
    <row r="566" spans="3:109" ht="14" thickBot="1">
      <c r="C566" s="567"/>
      <c r="E566" s="14" t="s">
        <v>62</v>
      </c>
      <c r="F566" s="23">
        <f t="shared" si="2579"/>
        <v>0</v>
      </c>
      <c r="G566" s="24">
        <f t="shared" si="2570"/>
        <v>0</v>
      </c>
      <c r="H566" s="24">
        <f t="shared" si="2571"/>
        <v>0</v>
      </c>
      <c r="I566" s="24">
        <f t="shared" si="2572"/>
        <v>0</v>
      </c>
      <c r="J566" s="24">
        <f t="shared" si="2573"/>
        <v>0</v>
      </c>
      <c r="K566" s="8">
        <f t="shared" si="2580"/>
        <v>0</v>
      </c>
      <c r="M566" s="6"/>
      <c r="N566" s="7"/>
      <c r="O566" s="7"/>
      <c r="P566" s="7"/>
      <c r="Q566" s="7"/>
      <c r="R566" s="8">
        <f t="shared" si="2581"/>
        <v>0</v>
      </c>
      <c r="T566" s="6"/>
      <c r="U566" s="7"/>
      <c r="V566" s="7"/>
      <c r="W566" s="7"/>
      <c r="X566" s="7"/>
      <c r="Y566" s="8">
        <f t="shared" si="2582"/>
        <v>0</v>
      </c>
      <c r="AA566" s="6"/>
      <c r="AB566" s="7"/>
      <c r="AC566" s="7"/>
      <c r="AD566" s="7"/>
      <c r="AE566" s="7"/>
      <c r="AF566" s="8">
        <f>SUM(AA566:AE566)</f>
        <v>0</v>
      </c>
      <c r="AH566" s="6"/>
      <c r="AI566" s="7"/>
      <c r="AJ566" s="7"/>
      <c r="AK566" s="7"/>
      <c r="AL566" s="7"/>
      <c r="AM566" s="8">
        <f>SUM(AH566:AL566)</f>
        <v>0</v>
      </c>
      <c r="AO566" s="6"/>
      <c r="AP566" s="7"/>
      <c r="AQ566" s="7"/>
      <c r="AR566" s="7"/>
      <c r="AS566" s="7"/>
      <c r="AT566" s="8">
        <f>SUM(AO566:AS566)</f>
        <v>0</v>
      </c>
      <c r="AV566" s="6"/>
      <c r="AW566" s="7"/>
      <c r="AX566" s="7"/>
      <c r="AY566" s="7"/>
      <c r="AZ566" s="7"/>
      <c r="BA566" s="8">
        <f>SUM(AV566:AZ566)</f>
        <v>0</v>
      </c>
      <c r="BC566" s="6"/>
      <c r="BD566" s="7"/>
      <c r="BE566" s="7"/>
      <c r="BF566" s="7"/>
      <c r="BG566" s="7"/>
      <c r="BH566" s="8">
        <f>SUM(BC566:BG566)</f>
        <v>0</v>
      </c>
      <c r="BJ566" s="6"/>
      <c r="BK566" s="7"/>
      <c r="BL566" s="7"/>
      <c r="BM566" s="7"/>
      <c r="BN566" s="7"/>
      <c r="BO566" s="8">
        <f>SUM(BJ566:BN566)</f>
        <v>0</v>
      </c>
      <c r="BQ566" s="6"/>
      <c r="BR566" s="7"/>
      <c r="BS566" s="7"/>
      <c r="BT566" s="7"/>
      <c r="BU566" s="7"/>
      <c r="BV566" s="8">
        <f>SUM(BQ566:BU566)</f>
        <v>0</v>
      </c>
      <c r="BX566" s="6"/>
      <c r="BY566" s="7"/>
      <c r="BZ566" s="7"/>
      <c r="CA566" s="7"/>
      <c r="CB566" s="7"/>
      <c r="CC566" s="8">
        <f>SUM(BX566:CB566)</f>
        <v>0</v>
      </c>
      <c r="CE566" s="493">
        <f t="shared" si="2574"/>
        <v>0</v>
      </c>
      <c r="CF566" s="494">
        <f t="shared" si="2575"/>
        <v>0</v>
      </c>
      <c r="CG566" s="494">
        <f t="shared" si="2576"/>
        <v>0</v>
      </c>
      <c r="CH566" s="494">
        <f t="shared" si="2577"/>
        <v>0</v>
      </c>
      <c r="CI566" s="494">
        <f t="shared" si="2578"/>
        <v>0</v>
      </c>
      <c r="CJ566" s="495">
        <f>SUM(CE566:CI566)</f>
        <v>0</v>
      </c>
      <c r="CL566" s="6"/>
      <c r="CM566" s="7"/>
      <c r="CN566" s="7"/>
      <c r="CO566" s="7"/>
      <c r="CP566" s="7"/>
      <c r="CQ566" s="8">
        <f>SUM(CL566:CP566)</f>
        <v>0</v>
      </c>
      <c r="CS566" s="6"/>
      <c r="CT566" s="7"/>
      <c r="CU566" s="7"/>
      <c r="CV566" s="7"/>
      <c r="CW566" s="7"/>
      <c r="CX566" s="8">
        <f t="shared" si="2583"/>
        <v>0</v>
      </c>
      <c r="CZ566" s="6"/>
      <c r="DA566" s="7"/>
      <c r="DB566" s="7"/>
      <c r="DC566" s="7"/>
      <c r="DD566" s="7"/>
      <c r="DE566" s="8">
        <f t="shared" si="2584"/>
        <v>0</v>
      </c>
    </row>
    <row r="567" spans="3:109" ht="14" thickBot="1">
      <c r="C567" s="554"/>
      <c r="E567" s="17"/>
      <c r="F567" s="10">
        <f>SUM(F563:F566)</f>
        <v>0</v>
      </c>
      <c r="G567" s="11">
        <f t="shared" ref="G567:J567" si="2585">SUM(G563:G566)</f>
        <v>0</v>
      </c>
      <c r="H567" s="11">
        <f t="shared" si="2585"/>
        <v>0</v>
      </c>
      <c r="I567" s="11">
        <f t="shared" si="2585"/>
        <v>0</v>
      </c>
      <c r="J567" s="11">
        <f t="shared" si="2585"/>
        <v>0</v>
      </c>
      <c r="K567" s="25">
        <f>SUM(K563:K566)</f>
        <v>0</v>
      </c>
      <c r="M567" s="10">
        <f>SUM(M563:M566)</f>
        <v>0</v>
      </c>
      <c r="N567" s="11">
        <f t="shared" ref="N567:Q567" si="2586">SUM(N563:N566)</f>
        <v>0</v>
      </c>
      <c r="O567" s="11">
        <f t="shared" si="2586"/>
        <v>0</v>
      </c>
      <c r="P567" s="11">
        <f t="shared" si="2586"/>
        <v>0</v>
      </c>
      <c r="Q567" s="11">
        <f t="shared" si="2586"/>
        <v>0</v>
      </c>
      <c r="R567" s="25">
        <f>SUM(R563:R566)</f>
        <v>0</v>
      </c>
      <c r="T567" s="10">
        <f>SUM(T563:T566)</f>
        <v>0</v>
      </c>
      <c r="U567" s="11">
        <f t="shared" ref="U567:X567" si="2587">SUM(U563:U566)</f>
        <v>0</v>
      </c>
      <c r="V567" s="11">
        <f t="shared" si="2587"/>
        <v>0</v>
      </c>
      <c r="W567" s="11">
        <f t="shared" si="2587"/>
        <v>0</v>
      </c>
      <c r="X567" s="11">
        <f t="shared" si="2587"/>
        <v>0</v>
      </c>
      <c r="Y567" s="25">
        <f>SUM(Y563:Y566)</f>
        <v>0</v>
      </c>
      <c r="AA567" s="10">
        <f>SUM(AA563:AA566)</f>
        <v>0</v>
      </c>
      <c r="AB567" s="11">
        <f t="shared" ref="AB567:AE567" si="2588">SUM(AB563:AB566)</f>
        <v>0</v>
      </c>
      <c r="AC567" s="11">
        <f t="shared" si="2588"/>
        <v>0</v>
      </c>
      <c r="AD567" s="11">
        <f t="shared" si="2588"/>
        <v>0</v>
      </c>
      <c r="AE567" s="11">
        <f t="shared" si="2588"/>
        <v>0</v>
      </c>
      <c r="AF567" s="25">
        <f>SUM(AF563:AF566)</f>
        <v>0</v>
      </c>
      <c r="AH567" s="10">
        <f>SUM(AH563:AH566)</f>
        <v>0</v>
      </c>
      <c r="AI567" s="11">
        <f t="shared" ref="AI567:AL567" si="2589">SUM(AI563:AI566)</f>
        <v>0</v>
      </c>
      <c r="AJ567" s="11">
        <f t="shared" si="2589"/>
        <v>0</v>
      </c>
      <c r="AK567" s="11">
        <f t="shared" si="2589"/>
        <v>0</v>
      </c>
      <c r="AL567" s="11">
        <f t="shared" si="2589"/>
        <v>0</v>
      </c>
      <c r="AM567" s="25">
        <f>SUM(AM563:AM566)</f>
        <v>0</v>
      </c>
      <c r="AO567" s="10">
        <f>SUM(AO563:AO566)</f>
        <v>0</v>
      </c>
      <c r="AP567" s="11">
        <f t="shared" ref="AP567:AS567" si="2590">SUM(AP563:AP566)</f>
        <v>0</v>
      </c>
      <c r="AQ567" s="11">
        <f t="shared" si="2590"/>
        <v>0</v>
      </c>
      <c r="AR567" s="11">
        <f t="shared" si="2590"/>
        <v>0</v>
      </c>
      <c r="AS567" s="11">
        <f t="shared" si="2590"/>
        <v>0</v>
      </c>
      <c r="AT567" s="25">
        <f>SUM(AT563:AT566)</f>
        <v>0</v>
      </c>
      <c r="AV567" s="10">
        <f>SUM(AV563:AV566)</f>
        <v>0</v>
      </c>
      <c r="AW567" s="11">
        <f t="shared" ref="AW567:AZ567" si="2591">SUM(AW563:AW566)</f>
        <v>0</v>
      </c>
      <c r="AX567" s="11">
        <f t="shared" si="2591"/>
        <v>0</v>
      </c>
      <c r="AY567" s="11">
        <f t="shared" si="2591"/>
        <v>0</v>
      </c>
      <c r="AZ567" s="11">
        <f t="shared" si="2591"/>
        <v>0</v>
      </c>
      <c r="BA567" s="25">
        <f>SUM(BA563:BA566)</f>
        <v>0</v>
      </c>
      <c r="BC567" s="10">
        <f>SUM(BC563:BC566)</f>
        <v>0</v>
      </c>
      <c r="BD567" s="11">
        <f t="shared" ref="BD567:BG567" si="2592">SUM(BD563:BD566)</f>
        <v>0</v>
      </c>
      <c r="BE567" s="11">
        <f t="shared" si="2592"/>
        <v>0</v>
      </c>
      <c r="BF567" s="11">
        <f t="shared" si="2592"/>
        <v>0</v>
      </c>
      <c r="BG567" s="11">
        <f t="shared" si="2592"/>
        <v>0</v>
      </c>
      <c r="BH567" s="25">
        <f>SUM(BH563:BH566)</f>
        <v>0</v>
      </c>
      <c r="BJ567" s="10">
        <f>SUM(BJ563:BJ566)</f>
        <v>0</v>
      </c>
      <c r="BK567" s="11">
        <f t="shared" ref="BK567:BN567" si="2593">SUM(BK563:BK566)</f>
        <v>0</v>
      </c>
      <c r="BL567" s="11">
        <f t="shared" si="2593"/>
        <v>0</v>
      </c>
      <c r="BM567" s="11">
        <f t="shared" si="2593"/>
        <v>0</v>
      </c>
      <c r="BN567" s="11">
        <f t="shared" si="2593"/>
        <v>0</v>
      </c>
      <c r="BO567" s="25">
        <f>SUM(BO563:BO566)</f>
        <v>0</v>
      </c>
      <c r="BQ567" s="10">
        <f>SUM(BQ563:BQ566)</f>
        <v>0</v>
      </c>
      <c r="BR567" s="11">
        <f t="shared" ref="BR567:BU567" si="2594">SUM(BR563:BR566)</f>
        <v>0</v>
      </c>
      <c r="BS567" s="11">
        <f t="shared" si="2594"/>
        <v>0</v>
      </c>
      <c r="BT567" s="11">
        <f t="shared" si="2594"/>
        <v>0</v>
      </c>
      <c r="BU567" s="11">
        <f t="shared" si="2594"/>
        <v>0</v>
      </c>
      <c r="BV567" s="25">
        <f>SUM(BV563:BV566)</f>
        <v>0</v>
      </c>
      <c r="BX567" s="10">
        <f>SUM(BX563:BX566)</f>
        <v>0</v>
      </c>
      <c r="BY567" s="11">
        <f t="shared" ref="BY567:CB567" si="2595">SUM(BY563:BY566)</f>
        <v>0</v>
      </c>
      <c r="BZ567" s="11">
        <f t="shared" si="2595"/>
        <v>0</v>
      </c>
      <c r="CA567" s="11">
        <f t="shared" si="2595"/>
        <v>0</v>
      </c>
      <c r="CB567" s="11">
        <f t="shared" si="2595"/>
        <v>0</v>
      </c>
      <c r="CC567" s="25">
        <f>SUM(CC563:CC566)</f>
        <v>0</v>
      </c>
      <c r="CE567" s="62">
        <f t="shared" ref="CE567:CJ567" si="2596">SUM(CE563:CE566)</f>
        <v>0</v>
      </c>
      <c r="CF567" s="63">
        <f t="shared" si="2596"/>
        <v>0</v>
      </c>
      <c r="CG567" s="63">
        <f t="shared" si="2596"/>
        <v>0</v>
      </c>
      <c r="CH567" s="63">
        <f t="shared" si="2596"/>
        <v>0</v>
      </c>
      <c r="CI567" s="63">
        <f t="shared" si="2596"/>
        <v>0</v>
      </c>
      <c r="CJ567" s="25">
        <f t="shared" si="2596"/>
        <v>0</v>
      </c>
      <c r="CL567" s="10">
        <f>SUM(CL563:CL566)</f>
        <v>0</v>
      </c>
      <c r="CM567" s="11">
        <f t="shared" ref="CM567:CP567" si="2597">SUM(CM563:CM566)</f>
        <v>0</v>
      </c>
      <c r="CN567" s="11">
        <f t="shared" si="2597"/>
        <v>0</v>
      </c>
      <c r="CO567" s="11">
        <f t="shared" si="2597"/>
        <v>0</v>
      </c>
      <c r="CP567" s="11">
        <f t="shared" si="2597"/>
        <v>0</v>
      </c>
      <c r="CQ567" s="25">
        <f>SUM(CQ563:CQ566)</f>
        <v>0</v>
      </c>
      <c r="CS567" s="10">
        <f>SUM(CS563:CS566)</f>
        <v>0</v>
      </c>
      <c r="CT567" s="11">
        <f t="shared" ref="CT567:CW567" si="2598">SUM(CT563:CT566)</f>
        <v>0</v>
      </c>
      <c r="CU567" s="11">
        <f t="shared" si="2598"/>
        <v>0</v>
      </c>
      <c r="CV567" s="11">
        <f t="shared" si="2598"/>
        <v>0</v>
      </c>
      <c r="CW567" s="11">
        <f t="shared" si="2598"/>
        <v>0</v>
      </c>
      <c r="CX567" s="25">
        <f>SUM(CX563:CX566)</f>
        <v>0</v>
      </c>
      <c r="CZ567" s="10">
        <f>SUM(CZ563:CZ566)</f>
        <v>0</v>
      </c>
      <c r="DA567" s="11">
        <f t="shared" ref="DA567:DD567" si="2599">SUM(DA563:DA566)</f>
        <v>0</v>
      </c>
      <c r="DB567" s="11">
        <f t="shared" si="2599"/>
        <v>0</v>
      </c>
      <c r="DC567" s="11">
        <f t="shared" si="2599"/>
        <v>0</v>
      </c>
      <c r="DD567" s="11">
        <f t="shared" si="2599"/>
        <v>0</v>
      </c>
      <c r="DE567" s="25">
        <f>SUM(DE563:DE566)</f>
        <v>0</v>
      </c>
    </row>
    <row r="568" spans="3:109" ht="10.4" customHeight="1" thickBot="1"/>
    <row r="569" spans="3:109">
      <c r="C569" s="553">
        <v>2027</v>
      </c>
      <c r="E569" s="13" t="s">
        <v>59</v>
      </c>
      <c r="F569" s="21">
        <f>CE563</f>
        <v>0</v>
      </c>
      <c r="G569" s="22">
        <f t="shared" ref="G569:G572" si="2600">CF563</f>
        <v>0</v>
      </c>
      <c r="H569" s="22">
        <f t="shared" ref="H569:H572" si="2601">CG563</f>
        <v>0</v>
      </c>
      <c r="I569" s="22">
        <f t="shared" ref="I569:I572" si="2602">CH563</f>
        <v>0</v>
      </c>
      <c r="J569" s="22">
        <f t="shared" ref="J569:J572" si="2603">CI563</f>
        <v>0</v>
      </c>
      <c r="K569" s="4">
        <f>SUM(F569:J569)</f>
        <v>0</v>
      </c>
      <c r="M569" s="2"/>
      <c r="N569" s="3"/>
      <c r="O569" s="3"/>
      <c r="P569" s="3"/>
      <c r="Q569" s="3"/>
      <c r="R569" s="4">
        <f>SUM(M569:Q569)</f>
        <v>0</v>
      </c>
      <c r="T569" s="2"/>
      <c r="U569" s="3"/>
      <c r="V569" s="3"/>
      <c r="W569" s="3"/>
      <c r="X569" s="3"/>
      <c r="Y569" s="4">
        <f>SUM(T569:X569)</f>
        <v>0</v>
      </c>
      <c r="AA569" s="2"/>
      <c r="AB569" s="3"/>
      <c r="AC569" s="3"/>
      <c r="AD569" s="3"/>
      <c r="AE569" s="3"/>
      <c r="AF569" s="4">
        <f>SUM(AA569:AE569)</f>
        <v>0</v>
      </c>
      <c r="AH569" s="2"/>
      <c r="AI569" s="3"/>
      <c r="AJ569" s="3"/>
      <c r="AK569" s="3"/>
      <c r="AL569" s="3"/>
      <c r="AM569" s="4">
        <f>SUM(AH569:AL569)</f>
        <v>0</v>
      </c>
      <c r="AO569" s="2"/>
      <c r="AP569" s="3"/>
      <c r="AQ569" s="3"/>
      <c r="AR569" s="3"/>
      <c r="AS569" s="3"/>
      <c r="AT569" s="4">
        <f>SUM(AO569:AS569)</f>
        <v>0</v>
      </c>
      <c r="AV569" s="2"/>
      <c r="AW569" s="3"/>
      <c r="AX569" s="3"/>
      <c r="AY569" s="3"/>
      <c r="AZ569" s="3"/>
      <c r="BA569" s="4">
        <f>SUM(AV569:AZ569)</f>
        <v>0</v>
      </c>
      <c r="BC569" s="2"/>
      <c r="BD569" s="3"/>
      <c r="BE569" s="3"/>
      <c r="BF569" s="3"/>
      <c r="BG569" s="3"/>
      <c r="BH569" s="4">
        <f>SUM(BC569:BG569)</f>
        <v>0</v>
      </c>
      <c r="BJ569" s="2"/>
      <c r="BK569" s="3"/>
      <c r="BL569" s="3"/>
      <c r="BM569" s="3"/>
      <c r="BN569" s="3"/>
      <c r="BO569" s="4">
        <f>SUM(BJ569:BN569)</f>
        <v>0</v>
      </c>
      <c r="BQ569" s="2"/>
      <c r="BR569" s="3"/>
      <c r="BS569" s="3"/>
      <c r="BT569" s="3"/>
      <c r="BU569" s="3"/>
      <c r="BV569" s="4">
        <f>SUM(BQ569:BU569)</f>
        <v>0</v>
      </c>
      <c r="BX569" s="2"/>
      <c r="BY569" s="3"/>
      <c r="BZ569" s="3"/>
      <c r="CA569" s="3"/>
      <c r="CB569" s="3"/>
      <c r="CC569" s="4">
        <f>SUM(BX569:CB569)</f>
        <v>0</v>
      </c>
      <c r="CE569" s="26">
        <f t="shared" ref="CE569:CE572" si="2604">F569+M569+T569+AA569+AH569+AO569+AV569+BC569+BJ569+BQ569+BX569</f>
        <v>0</v>
      </c>
      <c r="CF569" s="27">
        <f t="shared" ref="CF569:CF572" si="2605">G569+N569+U569+AB569+AI569+AP569+AW569+BD569+BK569+BR569+BY569</f>
        <v>0</v>
      </c>
      <c r="CG569" s="27">
        <f t="shared" ref="CG569:CG572" si="2606">H569+O569+V569+AC569+AJ569+AQ569+AX569+BE569+BL569+BS569+BZ569</f>
        <v>0</v>
      </c>
      <c r="CH569" s="27">
        <f t="shared" ref="CH569:CH572" si="2607">I569+P569+W569+AD569+AK569+AR569+AY569+BF569+BM569+BT569+CA569</f>
        <v>0</v>
      </c>
      <c r="CI569" s="27">
        <f t="shared" ref="CI569:CI572" si="2608">J569+Q569+X569+AE569+AL569+AS569+AZ569+BG569+BN569+BU569+CB569</f>
        <v>0</v>
      </c>
      <c r="CJ569" s="4">
        <f>SUM(CE569:CI569)</f>
        <v>0</v>
      </c>
      <c r="CL569" s="2"/>
      <c r="CM569" s="3"/>
      <c r="CN569" s="3"/>
      <c r="CO569" s="3"/>
      <c r="CP569" s="3"/>
      <c r="CQ569" s="4">
        <f>SUM(CL569:CP569)</f>
        <v>0</v>
      </c>
      <c r="CS569" s="2"/>
      <c r="CT569" s="3"/>
      <c r="CU569" s="3"/>
      <c r="CV569" s="3"/>
      <c r="CW569" s="3"/>
      <c r="CX569" s="4">
        <f>SUM(CS569:CW569)</f>
        <v>0</v>
      </c>
      <c r="CZ569" s="2"/>
      <c r="DA569" s="3"/>
      <c r="DB569" s="3"/>
      <c r="DC569" s="3"/>
      <c r="DD569" s="3"/>
      <c r="DE569" s="4">
        <f>SUM(CZ569:DD569)</f>
        <v>0</v>
      </c>
    </row>
    <row r="570" spans="3:109">
      <c r="C570" s="567"/>
      <c r="E570" s="14" t="s">
        <v>60</v>
      </c>
      <c r="F570" s="23">
        <f t="shared" ref="F570:F572" si="2609">CE564</f>
        <v>0</v>
      </c>
      <c r="G570" s="24">
        <f t="shared" si="2600"/>
        <v>0</v>
      </c>
      <c r="H570" s="24">
        <f t="shared" si="2601"/>
        <v>0</v>
      </c>
      <c r="I570" s="24">
        <f t="shared" si="2602"/>
        <v>0</v>
      </c>
      <c r="J570" s="24">
        <f t="shared" si="2603"/>
        <v>0</v>
      </c>
      <c r="K570" s="8">
        <f t="shared" ref="K570:K572" si="2610">SUM(F570:J570)</f>
        <v>0</v>
      </c>
      <c r="M570" s="6"/>
      <c r="N570" s="7"/>
      <c r="O570" s="7"/>
      <c r="P570" s="7"/>
      <c r="Q570" s="7"/>
      <c r="R570" s="8">
        <f t="shared" ref="R570:R572" si="2611">SUM(M570:Q570)</f>
        <v>0</v>
      </c>
      <c r="T570" s="6"/>
      <c r="U570" s="7"/>
      <c r="V570" s="7"/>
      <c r="W570" s="7"/>
      <c r="X570" s="7"/>
      <c r="Y570" s="8">
        <f t="shared" ref="Y570:Y572" si="2612">SUM(T570:X570)</f>
        <v>0</v>
      </c>
      <c r="AA570" s="6"/>
      <c r="AB570" s="7"/>
      <c r="AC570" s="7"/>
      <c r="AD570" s="7"/>
      <c r="AE570" s="7"/>
      <c r="AF570" s="8">
        <f>SUM(AA570:AE570)</f>
        <v>0</v>
      </c>
      <c r="AH570" s="6"/>
      <c r="AI570" s="7"/>
      <c r="AJ570" s="7"/>
      <c r="AK570" s="7"/>
      <c r="AL570" s="7"/>
      <c r="AM570" s="8">
        <f>SUM(AH570:AL570)</f>
        <v>0</v>
      </c>
      <c r="AO570" s="6"/>
      <c r="AP570" s="7"/>
      <c r="AQ570" s="7"/>
      <c r="AR570" s="7"/>
      <c r="AS570" s="7"/>
      <c r="AT570" s="8">
        <f>SUM(AO570:AS570)</f>
        <v>0</v>
      </c>
      <c r="AV570" s="6"/>
      <c r="AW570" s="7"/>
      <c r="AX570" s="7"/>
      <c r="AY570" s="7"/>
      <c r="AZ570" s="7"/>
      <c r="BA570" s="8">
        <f>SUM(AV570:AZ570)</f>
        <v>0</v>
      </c>
      <c r="BC570" s="6"/>
      <c r="BD570" s="7"/>
      <c r="BE570" s="7"/>
      <c r="BF570" s="7"/>
      <c r="BG570" s="7"/>
      <c r="BH570" s="8">
        <f>SUM(BC570:BG570)</f>
        <v>0</v>
      </c>
      <c r="BJ570" s="6"/>
      <c r="BK570" s="7"/>
      <c r="BL570" s="7"/>
      <c r="BM570" s="7"/>
      <c r="BN570" s="7"/>
      <c r="BO570" s="8">
        <f>SUM(BJ570:BN570)</f>
        <v>0</v>
      </c>
      <c r="BQ570" s="6"/>
      <c r="BR570" s="7"/>
      <c r="BS570" s="7"/>
      <c r="BT570" s="7"/>
      <c r="BU570" s="7"/>
      <c r="BV570" s="8">
        <f>SUM(BQ570:BU570)</f>
        <v>0</v>
      </c>
      <c r="BX570" s="6"/>
      <c r="BY570" s="7"/>
      <c r="BZ570" s="7"/>
      <c r="CA570" s="7"/>
      <c r="CB570" s="7"/>
      <c r="CC570" s="8">
        <f>SUM(BX570:CB570)</f>
        <v>0</v>
      </c>
      <c r="CE570" s="28">
        <f t="shared" si="2604"/>
        <v>0</v>
      </c>
      <c r="CF570" s="29">
        <f t="shared" si="2605"/>
        <v>0</v>
      </c>
      <c r="CG570" s="29">
        <f t="shared" si="2606"/>
        <v>0</v>
      </c>
      <c r="CH570" s="29">
        <f t="shared" si="2607"/>
        <v>0</v>
      </c>
      <c r="CI570" s="29">
        <f t="shared" si="2608"/>
        <v>0</v>
      </c>
      <c r="CJ570" s="8">
        <f>SUM(CE570:CI570)</f>
        <v>0</v>
      </c>
      <c r="CL570" s="6"/>
      <c r="CM570" s="7"/>
      <c r="CN570" s="7"/>
      <c r="CO570" s="7"/>
      <c r="CP570" s="7"/>
      <c r="CQ570" s="8">
        <f>SUM(CL570:CP570)</f>
        <v>0</v>
      </c>
      <c r="CS570" s="6"/>
      <c r="CT570" s="7"/>
      <c r="CU570" s="7"/>
      <c r="CV570" s="7"/>
      <c r="CW570" s="7"/>
      <c r="CX570" s="8">
        <f t="shared" ref="CX570:CX572" si="2613">SUM(CS570:CW570)</f>
        <v>0</v>
      </c>
      <c r="CZ570" s="6"/>
      <c r="DA570" s="7"/>
      <c r="DB570" s="7"/>
      <c r="DC570" s="7"/>
      <c r="DD570" s="7"/>
      <c r="DE570" s="8">
        <f t="shared" ref="DE570:DE572" si="2614">SUM(CZ570:DD570)</f>
        <v>0</v>
      </c>
    </row>
    <row r="571" spans="3:109">
      <c r="C571" s="567"/>
      <c r="E571" s="14" t="s">
        <v>61</v>
      </c>
      <c r="F571" s="23">
        <f t="shared" si="2609"/>
        <v>0</v>
      </c>
      <c r="G571" s="24">
        <f t="shared" si="2600"/>
        <v>0</v>
      </c>
      <c r="H571" s="24">
        <f t="shared" si="2601"/>
        <v>0</v>
      </c>
      <c r="I571" s="24">
        <f t="shared" si="2602"/>
        <v>0</v>
      </c>
      <c r="J571" s="24">
        <f t="shared" si="2603"/>
        <v>0</v>
      </c>
      <c r="K571" s="8">
        <f t="shared" si="2610"/>
        <v>0</v>
      </c>
      <c r="M571" s="6"/>
      <c r="N571" s="7"/>
      <c r="O571" s="7"/>
      <c r="P571" s="7"/>
      <c r="Q571" s="7"/>
      <c r="R571" s="8">
        <f t="shared" si="2611"/>
        <v>0</v>
      </c>
      <c r="T571" s="6"/>
      <c r="U571" s="7"/>
      <c r="V571" s="7"/>
      <c r="W571" s="7"/>
      <c r="X571" s="7"/>
      <c r="Y571" s="8">
        <f t="shared" si="2612"/>
        <v>0</v>
      </c>
      <c r="AA571" s="6"/>
      <c r="AB571" s="7"/>
      <c r="AC571" s="7"/>
      <c r="AD571" s="7"/>
      <c r="AE571" s="7"/>
      <c r="AF571" s="8">
        <f>SUM(AA571:AE571)</f>
        <v>0</v>
      </c>
      <c r="AH571" s="6"/>
      <c r="AI571" s="7"/>
      <c r="AJ571" s="7"/>
      <c r="AK571" s="7"/>
      <c r="AL571" s="7"/>
      <c r="AM571" s="8">
        <f>SUM(AH571:AL571)</f>
        <v>0</v>
      </c>
      <c r="AO571" s="6"/>
      <c r="AP571" s="7"/>
      <c r="AQ571" s="7"/>
      <c r="AR571" s="7"/>
      <c r="AS571" s="7"/>
      <c r="AT571" s="8">
        <f>SUM(AO571:AS571)</f>
        <v>0</v>
      </c>
      <c r="AV571" s="6"/>
      <c r="AW571" s="7"/>
      <c r="AX571" s="7"/>
      <c r="AY571" s="7"/>
      <c r="AZ571" s="7"/>
      <c r="BA571" s="8">
        <f>SUM(AV571:AZ571)</f>
        <v>0</v>
      </c>
      <c r="BC571" s="6"/>
      <c r="BD571" s="7"/>
      <c r="BE571" s="7"/>
      <c r="BF571" s="7"/>
      <c r="BG571" s="7"/>
      <c r="BH571" s="8">
        <f>SUM(BC571:BG571)</f>
        <v>0</v>
      </c>
      <c r="BJ571" s="6"/>
      <c r="BK571" s="7"/>
      <c r="BL571" s="7"/>
      <c r="BM571" s="7"/>
      <c r="BN571" s="7"/>
      <c r="BO571" s="8">
        <f>SUM(BJ571:BN571)</f>
        <v>0</v>
      </c>
      <c r="BQ571" s="6"/>
      <c r="BR571" s="7"/>
      <c r="BS571" s="7"/>
      <c r="BT571" s="7"/>
      <c r="BU571" s="7"/>
      <c r="BV571" s="8">
        <f>SUM(BQ571:BU571)</f>
        <v>0</v>
      </c>
      <c r="BX571" s="6"/>
      <c r="BY571" s="7"/>
      <c r="BZ571" s="7"/>
      <c r="CA571" s="7"/>
      <c r="CB571" s="7"/>
      <c r="CC571" s="8">
        <f>SUM(BX571:CB571)</f>
        <v>0</v>
      </c>
      <c r="CE571" s="28">
        <f t="shared" si="2604"/>
        <v>0</v>
      </c>
      <c r="CF571" s="29">
        <f t="shared" si="2605"/>
        <v>0</v>
      </c>
      <c r="CG571" s="29">
        <f t="shared" si="2606"/>
        <v>0</v>
      </c>
      <c r="CH571" s="29">
        <f t="shared" si="2607"/>
        <v>0</v>
      </c>
      <c r="CI571" s="29">
        <f t="shared" si="2608"/>
        <v>0</v>
      </c>
      <c r="CJ571" s="8">
        <f>SUM(CE571:CI571)</f>
        <v>0</v>
      </c>
      <c r="CL571" s="6"/>
      <c r="CM571" s="7"/>
      <c r="CN571" s="7"/>
      <c r="CO571" s="7"/>
      <c r="CP571" s="7"/>
      <c r="CQ571" s="8">
        <f>SUM(CL571:CP571)</f>
        <v>0</v>
      </c>
      <c r="CS571" s="6"/>
      <c r="CT571" s="7"/>
      <c r="CU571" s="7"/>
      <c r="CV571" s="7"/>
      <c r="CW571" s="7"/>
      <c r="CX571" s="8">
        <f t="shared" si="2613"/>
        <v>0</v>
      </c>
      <c r="CZ571" s="6"/>
      <c r="DA571" s="7"/>
      <c r="DB571" s="7"/>
      <c r="DC571" s="7"/>
      <c r="DD571" s="7"/>
      <c r="DE571" s="8">
        <f t="shared" si="2614"/>
        <v>0</v>
      </c>
    </row>
    <row r="572" spans="3:109" ht="14" thickBot="1">
      <c r="C572" s="567"/>
      <c r="E572" s="14" t="s">
        <v>62</v>
      </c>
      <c r="F572" s="23">
        <f t="shared" si="2609"/>
        <v>0</v>
      </c>
      <c r="G572" s="24">
        <f t="shared" si="2600"/>
        <v>0</v>
      </c>
      <c r="H572" s="24">
        <f t="shared" si="2601"/>
        <v>0</v>
      </c>
      <c r="I572" s="24">
        <f t="shared" si="2602"/>
        <v>0</v>
      </c>
      <c r="J572" s="24">
        <f t="shared" si="2603"/>
        <v>0</v>
      </c>
      <c r="K572" s="8">
        <f t="shared" si="2610"/>
        <v>0</v>
      </c>
      <c r="M572" s="6"/>
      <c r="N572" s="7"/>
      <c r="O572" s="7"/>
      <c r="P572" s="7"/>
      <c r="Q572" s="7"/>
      <c r="R572" s="8">
        <f t="shared" si="2611"/>
        <v>0</v>
      </c>
      <c r="T572" s="6"/>
      <c r="U572" s="7"/>
      <c r="V572" s="7"/>
      <c r="W572" s="7"/>
      <c r="X572" s="7"/>
      <c r="Y572" s="8">
        <f t="shared" si="2612"/>
        <v>0</v>
      </c>
      <c r="AA572" s="6"/>
      <c r="AB572" s="7"/>
      <c r="AC572" s="7"/>
      <c r="AD572" s="7"/>
      <c r="AE572" s="7"/>
      <c r="AF572" s="8">
        <f>SUM(AA572:AE572)</f>
        <v>0</v>
      </c>
      <c r="AH572" s="6"/>
      <c r="AI572" s="7"/>
      <c r="AJ572" s="7"/>
      <c r="AK572" s="7"/>
      <c r="AL572" s="7"/>
      <c r="AM572" s="8">
        <f>SUM(AH572:AL572)</f>
        <v>0</v>
      </c>
      <c r="AO572" s="6"/>
      <c r="AP572" s="7"/>
      <c r="AQ572" s="7"/>
      <c r="AR572" s="7"/>
      <c r="AS572" s="7"/>
      <c r="AT572" s="8">
        <f>SUM(AO572:AS572)</f>
        <v>0</v>
      </c>
      <c r="AV572" s="6"/>
      <c r="AW572" s="7"/>
      <c r="AX572" s="7"/>
      <c r="AY572" s="7"/>
      <c r="AZ572" s="7"/>
      <c r="BA572" s="8">
        <f>SUM(AV572:AZ572)</f>
        <v>0</v>
      </c>
      <c r="BC572" s="6"/>
      <c r="BD572" s="7"/>
      <c r="BE572" s="7"/>
      <c r="BF572" s="7"/>
      <c r="BG572" s="7"/>
      <c r="BH572" s="8">
        <f>SUM(BC572:BG572)</f>
        <v>0</v>
      </c>
      <c r="BJ572" s="6"/>
      <c r="BK572" s="7"/>
      <c r="BL572" s="7"/>
      <c r="BM572" s="7"/>
      <c r="BN572" s="7"/>
      <c r="BO572" s="8">
        <f>SUM(BJ572:BN572)</f>
        <v>0</v>
      </c>
      <c r="BQ572" s="6"/>
      <c r="BR572" s="7"/>
      <c r="BS572" s="7"/>
      <c r="BT572" s="7"/>
      <c r="BU572" s="7"/>
      <c r="BV572" s="8">
        <f>SUM(BQ572:BU572)</f>
        <v>0</v>
      </c>
      <c r="BX572" s="6"/>
      <c r="BY572" s="7"/>
      <c r="BZ572" s="7"/>
      <c r="CA572" s="7"/>
      <c r="CB572" s="7"/>
      <c r="CC572" s="8">
        <f>SUM(BX572:CB572)</f>
        <v>0</v>
      </c>
      <c r="CE572" s="493">
        <f t="shared" si="2604"/>
        <v>0</v>
      </c>
      <c r="CF572" s="494">
        <f t="shared" si="2605"/>
        <v>0</v>
      </c>
      <c r="CG572" s="494">
        <f t="shared" si="2606"/>
        <v>0</v>
      </c>
      <c r="CH572" s="494">
        <f t="shared" si="2607"/>
        <v>0</v>
      </c>
      <c r="CI572" s="494">
        <f t="shared" si="2608"/>
        <v>0</v>
      </c>
      <c r="CJ572" s="495">
        <f>SUM(CE572:CI572)</f>
        <v>0</v>
      </c>
      <c r="CL572" s="6"/>
      <c r="CM572" s="7"/>
      <c r="CN572" s="7"/>
      <c r="CO572" s="7"/>
      <c r="CP572" s="7"/>
      <c r="CQ572" s="8">
        <f>SUM(CL572:CP572)</f>
        <v>0</v>
      </c>
      <c r="CS572" s="6"/>
      <c r="CT572" s="7"/>
      <c r="CU572" s="7"/>
      <c r="CV572" s="7"/>
      <c r="CW572" s="7"/>
      <c r="CX572" s="8">
        <f t="shared" si="2613"/>
        <v>0</v>
      </c>
      <c r="CZ572" s="6"/>
      <c r="DA572" s="7"/>
      <c r="DB572" s="7"/>
      <c r="DC572" s="7"/>
      <c r="DD572" s="7"/>
      <c r="DE572" s="8">
        <f t="shared" si="2614"/>
        <v>0</v>
      </c>
    </row>
    <row r="573" spans="3:109" ht="14" thickBot="1">
      <c r="C573" s="554"/>
      <c r="E573" s="17"/>
      <c r="F573" s="10">
        <f>SUM(F569:F572)</f>
        <v>0</v>
      </c>
      <c r="G573" s="11">
        <f t="shared" ref="G573:J573" si="2615">SUM(G569:G572)</f>
        <v>0</v>
      </c>
      <c r="H573" s="11">
        <f t="shared" si="2615"/>
        <v>0</v>
      </c>
      <c r="I573" s="11">
        <f t="shared" si="2615"/>
        <v>0</v>
      </c>
      <c r="J573" s="11">
        <f t="shared" si="2615"/>
        <v>0</v>
      </c>
      <c r="K573" s="25">
        <f>SUM(K569:K572)</f>
        <v>0</v>
      </c>
      <c r="M573" s="10">
        <f>SUM(M569:M572)</f>
        <v>0</v>
      </c>
      <c r="N573" s="11">
        <f t="shared" ref="N573:Q573" si="2616">SUM(N569:N572)</f>
        <v>0</v>
      </c>
      <c r="O573" s="11">
        <f t="shared" si="2616"/>
        <v>0</v>
      </c>
      <c r="P573" s="11">
        <f t="shared" si="2616"/>
        <v>0</v>
      </c>
      <c r="Q573" s="11">
        <f t="shared" si="2616"/>
        <v>0</v>
      </c>
      <c r="R573" s="25">
        <f>SUM(R569:R572)</f>
        <v>0</v>
      </c>
      <c r="T573" s="10">
        <f>SUM(T569:T572)</f>
        <v>0</v>
      </c>
      <c r="U573" s="11">
        <f t="shared" ref="U573:X573" si="2617">SUM(U569:U572)</f>
        <v>0</v>
      </c>
      <c r="V573" s="11">
        <f t="shared" si="2617"/>
        <v>0</v>
      </c>
      <c r="W573" s="11">
        <f t="shared" si="2617"/>
        <v>0</v>
      </c>
      <c r="X573" s="11">
        <f t="shared" si="2617"/>
        <v>0</v>
      </c>
      <c r="Y573" s="25">
        <f>SUM(Y569:Y572)</f>
        <v>0</v>
      </c>
      <c r="AA573" s="10">
        <f>SUM(AA569:AA572)</f>
        <v>0</v>
      </c>
      <c r="AB573" s="11">
        <f t="shared" ref="AB573:AE573" si="2618">SUM(AB569:AB572)</f>
        <v>0</v>
      </c>
      <c r="AC573" s="11">
        <f t="shared" si="2618"/>
        <v>0</v>
      </c>
      <c r="AD573" s="11">
        <f t="shared" si="2618"/>
        <v>0</v>
      </c>
      <c r="AE573" s="11">
        <f t="shared" si="2618"/>
        <v>0</v>
      </c>
      <c r="AF573" s="25">
        <f>SUM(AF569:AF572)</f>
        <v>0</v>
      </c>
      <c r="AH573" s="10">
        <f>SUM(AH569:AH572)</f>
        <v>0</v>
      </c>
      <c r="AI573" s="11">
        <f t="shared" ref="AI573:AL573" si="2619">SUM(AI569:AI572)</f>
        <v>0</v>
      </c>
      <c r="AJ573" s="11">
        <f t="shared" si="2619"/>
        <v>0</v>
      </c>
      <c r="AK573" s="11">
        <f t="shared" si="2619"/>
        <v>0</v>
      </c>
      <c r="AL573" s="11">
        <f t="shared" si="2619"/>
        <v>0</v>
      </c>
      <c r="AM573" s="25">
        <f>SUM(AM569:AM572)</f>
        <v>0</v>
      </c>
      <c r="AO573" s="10">
        <f>SUM(AO569:AO572)</f>
        <v>0</v>
      </c>
      <c r="AP573" s="11">
        <f t="shared" ref="AP573:AS573" si="2620">SUM(AP569:AP572)</f>
        <v>0</v>
      </c>
      <c r="AQ573" s="11">
        <f t="shared" si="2620"/>
        <v>0</v>
      </c>
      <c r="AR573" s="11">
        <f t="shared" si="2620"/>
        <v>0</v>
      </c>
      <c r="AS573" s="11">
        <f t="shared" si="2620"/>
        <v>0</v>
      </c>
      <c r="AT573" s="25">
        <f>SUM(AT569:AT572)</f>
        <v>0</v>
      </c>
      <c r="AV573" s="10">
        <f>SUM(AV569:AV572)</f>
        <v>0</v>
      </c>
      <c r="AW573" s="11">
        <f t="shared" ref="AW573:AZ573" si="2621">SUM(AW569:AW572)</f>
        <v>0</v>
      </c>
      <c r="AX573" s="11">
        <f t="shared" si="2621"/>
        <v>0</v>
      </c>
      <c r="AY573" s="11">
        <f t="shared" si="2621"/>
        <v>0</v>
      </c>
      <c r="AZ573" s="11">
        <f t="shared" si="2621"/>
        <v>0</v>
      </c>
      <c r="BA573" s="25">
        <f>SUM(BA569:BA572)</f>
        <v>0</v>
      </c>
      <c r="BC573" s="10">
        <f>SUM(BC569:BC572)</f>
        <v>0</v>
      </c>
      <c r="BD573" s="11">
        <f t="shared" ref="BD573:BG573" si="2622">SUM(BD569:BD572)</f>
        <v>0</v>
      </c>
      <c r="BE573" s="11">
        <f t="shared" si="2622"/>
        <v>0</v>
      </c>
      <c r="BF573" s="11">
        <f t="shared" si="2622"/>
        <v>0</v>
      </c>
      <c r="BG573" s="11">
        <f t="shared" si="2622"/>
        <v>0</v>
      </c>
      <c r="BH573" s="25">
        <f>SUM(BH569:BH572)</f>
        <v>0</v>
      </c>
      <c r="BJ573" s="10">
        <f>SUM(BJ569:BJ572)</f>
        <v>0</v>
      </c>
      <c r="BK573" s="11">
        <f t="shared" ref="BK573:BN573" si="2623">SUM(BK569:BK572)</f>
        <v>0</v>
      </c>
      <c r="BL573" s="11">
        <f t="shared" si="2623"/>
        <v>0</v>
      </c>
      <c r="BM573" s="11">
        <f t="shared" si="2623"/>
        <v>0</v>
      </c>
      <c r="BN573" s="11">
        <f t="shared" si="2623"/>
        <v>0</v>
      </c>
      <c r="BO573" s="25">
        <f>SUM(BO569:BO572)</f>
        <v>0</v>
      </c>
      <c r="BQ573" s="10">
        <f>SUM(BQ569:BQ572)</f>
        <v>0</v>
      </c>
      <c r="BR573" s="11">
        <f t="shared" ref="BR573:BU573" si="2624">SUM(BR569:BR572)</f>
        <v>0</v>
      </c>
      <c r="BS573" s="11">
        <f t="shared" si="2624"/>
        <v>0</v>
      </c>
      <c r="BT573" s="11">
        <f t="shared" si="2624"/>
        <v>0</v>
      </c>
      <c r="BU573" s="11">
        <f t="shared" si="2624"/>
        <v>0</v>
      </c>
      <c r="BV573" s="25">
        <f>SUM(BV569:BV572)</f>
        <v>0</v>
      </c>
      <c r="BX573" s="10">
        <f>SUM(BX569:BX572)</f>
        <v>0</v>
      </c>
      <c r="BY573" s="11">
        <f t="shared" ref="BY573:CB573" si="2625">SUM(BY569:BY572)</f>
        <v>0</v>
      </c>
      <c r="BZ573" s="11">
        <f t="shared" si="2625"/>
        <v>0</v>
      </c>
      <c r="CA573" s="11">
        <f t="shared" si="2625"/>
        <v>0</v>
      </c>
      <c r="CB573" s="11">
        <f t="shared" si="2625"/>
        <v>0</v>
      </c>
      <c r="CC573" s="25">
        <f>SUM(CC569:CC572)</f>
        <v>0</v>
      </c>
      <c r="CE573" s="62">
        <f t="shared" ref="CE573:CJ573" si="2626">SUM(CE569:CE572)</f>
        <v>0</v>
      </c>
      <c r="CF573" s="63">
        <f t="shared" si="2626"/>
        <v>0</v>
      </c>
      <c r="CG573" s="63">
        <f t="shared" si="2626"/>
        <v>0</v>
      </c>
      <c r="CH573" s="63">
        <f t="shared" si="2626"/>
        <v>0</v>
      </c>
      <c r="CI573" s="63">
        <f t="shared" si="2626"/>
        <v>0</v>
      </c>
      <c r="CJ573" s="25">
        <f t="shared" si="2626"/>
        <v>0</v>
      </c>
      <c r="CL573" s="10">
        <f>SUM(CL569:CL572)</f>
        <v>0</v>
      </c>
      <c r="CM573" s="11">
        <f t="shared" ref="CM573:CP573" si="2627">SUM(CM569:CM572)</f>
        <v>0</v>
      </c>
      <c r="CN573" s="11">
        <f t="shared" si="2627"/>
        <v>0</v>
      </c>
      <c r="CO573" s="11">
        <f t="shared" si="2627"/>
        <v>0</v>
      </c>
      <c r="CP573" s="11">
        <f t="shared" si="2627"/>
        <v>0</v>
      </c>
      <c r="CQ573" s="25">
        <f>SUM(CQ569:CQ572)</f>
        <v>0</v>
      </c>
      <c r="CS573" s="10">
        <f>SUM(CS569:CS572)</f>
        <v>0</v>
      </c>
      <c r="CT573" s="11">
        <f t="shared" ref="CT573:CW573" si="2628">SUM(CT569:CT572)</f>
        <v>0</v>
      </c>
      <c r="CU573" s="11">
        <f t="shared" si="2628"/>
        <v>0</v>
      </c>
      <c r="CV573" s="11">
        <f t="shared" si="2628"/>
        <v>0</v>
      </c>
      <c r="CW573" s="11">
        <f t="shared" si="2628"/>
        <v>0</v>
      </c>
      <c r="CX573" s="25">
        <f>SUM(CX569:CX572)</f>
        <v>0</v>
      </c>
      <c r="CZ573" s="10">
        <f>SUM(CZ569:CZ572)</f>
        <v>0</v>
      </c>
      <c r="DA573" s="11">
        <f t="shared" ref="DA573:DD573" si="2629">SUM(DA569:DA572)</f>
        <v>0</v>
      </c>
      <c r="DB573" s="11">
        <f t="shared" si="2629"/>
        <v>0</v>
      </c>
      <c r="DC573" s="11">
        <f t="shared" si="2629"/>
        <v>0</v>
      </c>
      <c r="DD573" s="11">
        <f t="shared" si="2629"/>
        <v>0</v>
      </c>
      <c r="DE573" s="25">
        <f>SUM(DE569:DE572)</f>
        <v>0</v>
      </c>
    </row>
    <row r="574" spans="3:109" ht="10.4" customHeight="1" thickBot="1"/>
    <row r="575" spans="3:109">
      <c r="C575" s="553">
        <v>2028</v>
      </c>
      <c r="E575" s="13" t="s">
        <v>59</v>
      </c>
      <c r="F575" s="21">
        <f>CE569</f>
        <v>0</v>
      </c>
      <c r="G575" s="22">
        <f t="shared" ref="G575:G578" si="2630">CF569</f>
        <v>0</v>
      </c>
      <c r="H575" s="22">
        <f t="shared" ref="H575:H578" si="2631">CG569</f>
        <v>0</v>
      </c>
      <c r="I575" s="22">
        <f t="shared" ref="I575:I578" si="2632">CH569</f>
        <v>0</v>
      </c>
      <c r="J575" s="22">
        <f t="shared" ref="J575:J578" si="2633">CI569</f>
        <v>0</v>
      </c>
      <c r="K575" s="4">
        <f>SUM(F575:J575)</f>
        <v>0</v>
      </c>
      <c r="M575" s="2"/>
      <c r="N575" s="3"/>
      <c r="O575" s="3"/>
      <c r="P575" s="3"/>
      <c r="Q575" s="3"/>
      <c r="R575" s="4">
        <f>SUM(M575:Q575)</f>
        <v>0</v>
      </c>
      <c r="T575" s="2"/>
      <c r="U575" s="3"/>
      <c r="V575" s="3"/>
      <c r="W575" s="3"/>
      <c r="X575" s="3"/>
      <c r="Y575" s="4">
        <f>SUM(T575:X575)</f>
        <v>0</v>
      </c>
      <c r="AA575" s="2"/>
      <c r="AB575" s="3"/>
      <c r="AC575" s="3"/>
      <c r="AD575" s="3"/>
      <c r="AE575" s="3"/>
      <c r="AF575" s="4">
        <f>SUM(AA575:AE575)</f>
        <v>0</v>
      </c>
      <c r="AH575" s="2"/>
      <c r="AI575" s="3"/>
      <c r="AJ575" s="3"/>
      <c r="AK575" s="3"/>
      <c r="AL575" s="3"/>
      <c r="AM575" s="4">
        <f>SUM(AH575:AL575)</f>
        <v>0</v>
      </c>
      <c r="AO575" s="2"/>
      <c r="AP575" s="3"/>
      <c r="AQ575" s="3"/>
      <c r="AR575" s="3"/>
      <c r="AS575" s="3"/>
      <c r="AT575" s="4">
        <f>SUM(AO575:AS575)</f>
        <v>0</v>
      </c>
      <c r="AV575" s="2"/>
      <c r="AW575" s="3"/>
      <c r="AX575" s="3"/>
      <c r="AY575" s="3"/>
      <c r="AZ575" s="3"/>
      <c r="BA575" s="4">
        <f>SUM(AV575:AZ575)</f>
        <v>0</v>
      </c>
      <c r="BC575" s="2"/>
      <c r="BD575" s="3"/>
      <c r="BE575" s="3"/>
      <c r="BF575" s="3"/>
      <c r="BG575" s="3"/>
      <c r="BH575" s="4">
        <f>SUM(BC575:BG575)</f>
        <v>0</v>
      </c>
      <c r="BJ575" s="2"/>
      <c r="BK575" s="3"/>
      <c r="BL575" s="3"/>
      <c r="BM575" s="3"/>
      <c r="BN575" s="3"/>
      <c r="BO575" s="4">
        <f>SUM(BJ575:BN575)</f>
        <v>0</v>
      </c>
      <c r="BQ575" s="2"/>
      <c r="BR575" s="3"/>
      <c r="BS575" s="3"/>
      <c r="BT575" s="3"/>
      <c r="BU575" s="3"/>
      <c r="BV575" s="4">
        <f>SUM(BQ575:BU575)</f>
        <v>0</v>
      </c>
      <c r="BX575" s="2"/>
      <c r="BY575" s="3"/>
      <c r="BZ575" s="3"/>
      <c r="CA575" s="3"/>
      <c r="CB575" s="3"/>
      <c r="CC575" s="4">
        <f>SUM(BX575:CB575)</f>
        <v>0</v>
      </c>
      <c r="CE575" s="26">
        <f t="shared" ref="CE575:CE578" si="2634">F575+M575+T575+AA575+AH575+AO575+AV575+BC575+BJ575+BQ575+BX575</f>
        <v>0</v>
      </c>
      <c r="CF575" s="27">
        <f t="shared" ref="CF575:CF578" si="2635">G575+N575+U575+AB575+AI575+AP575+AW575+BD575+BK575+BR575+BY575</f>
        <v>0</v>
      </c>
      <c r="CG575" s="27">
        <f t="shared" ref="CG575:CG578" si="2636">H575+O575+V575+AC575+AJ575+AQ575+AX575+BE575+BL575+BS575+BZ575</f>
        <v>0</v>
      </c>
      <c r="CH575" s="27">
        <f t="shared" ref="CH575:CH578" si="2637">I575+P575+W575+AD575+AK575+AR575+AY575+BF575+BM575+BT575+CA575</f>
        <v>0</v>
      </c>
      <c r="CI575" s="27">
        <f t="shared" ref="CI575:CI578" si="2638">J575+Q575+X575+AE575+AL575+AS575+AZ575+BG575+BN575+BU575+CB575</f>
        <v>0</v>
      </c>
      <c r="CJ575" s="4">
        <f>SUM(CE575:CI575)</f>
        <v>0</v>
      </c>
      <c r="CL575" s="2"/>
      <c r="CM575" s="3"/>
      <c r="CN575" s="3"/>
      <c r="CO575" s="3"/>
      <c r="CP575" s="3"/>
      <c r="CQ575" s="4">
        <f>SUM(CL575:CP575)</f>
        <v>0</v>
      </c>
      <c r="CS575" s="2"/>
      <c r="CT575" s="3"/>
      <c r="CU575" s="3"/>
      <c r="CV575" s="3"/>
      <c r="CW575" s="3"/>
      <c r="CX575" s="4">
        <f>SUM(CS575:CW575)</f>
        <v>0</v>
      </c>
      <c r="CZ575" s="2"/>
      <c r="DA575" s="3"/>
      <c r="DB575" s="3"/>
      <c r="DC575" s="3"/>
      <c r="DD575" s="3"/>
      <c r="DE575" s="4">
        <f>SUM(CZ575:DD575)</f>
        <v>0</v>
      </c>
    </row>
    <row r="576" spans="3:109">
      <c r="C576" s="567"/>
      <c r="E576" s="14" t="s">
        <v>60</v>
      </c>
      <c r="F576" s="23">
        <f t="shared" ref="F576:F578" si="2639">CE570</f>
        <v>0</v>
      </c>
      <c r="G576" s="24">
        <f t="shared" si="2630"/>
        <v>0</v>
      </c>
      <c r="H576" s="24">
        <f t="shared" si="2631"/>
        <v>0</v>
      </c>
      <c r="I576" s="24">
        <f t="shared" si="2632"/>
        <v>0</v>
      </c>
      <c r="J576" s="24">
        <f t="shared" si="2633"/>
        <v>0</v>
      </c>
      <c r="K576" s="8">
        <f t="shared" ref="K576:K578" si="2640">SUM(F576:J576)</f>
        <v>0</v>
      </c>
      <c r="M576" s="6"/>
      <c r="N576" s="7"/>
      <c r="O576" s="7"/>
      <c r="P576" s="7"/>
      <c r="Q576" s="7"/>
      <c r="R576" s="8">
        <f t="shared" ref="R576:R578" si="2641">SUM(M576:Q576)</f>
        <v>0</v>
      </c>
      <c r="T576" s="6"/>
      <c r="U576" s="7"/>
      <c r="V576" s="7"/>
      <c r="W576" s="7"/>
      <c r="X576" s="7"/>
      <c r="Y576" s="8">
        <f t="shared" ref="Y576:Y578" si="2642">SUM(T576:X576)</f>
        <v>0</v>
      </c>
      <c r="AA576" s="6"/>
      <c r="AB576" s="7"/>
      <c r="AC576" s="7"/>
      <c r="AD576" s="7"/>
      <c r="AE576" s="7"/>
      <c r="AF576" s="8">
        <f>SUM(AA576:AE576)</f>
        <v>0</v>
      </c>
      <c r="AH576" s="6"/>
      <c r="AI576" s="7"/>
      <c r="AJ576" s="7"/>
      <c r="AK576" s="7"/>
      <c r="AL576" s="7"/>
      <c r="AM576" s="8">
        <f>SUM(AH576:AL576)</f>
        <v>0</v>
      </c>
      <c r="AO576" s="6"/>
      <c r="AP576" s="7"/>
      <c r="AQ576" s="7"/>
      <c r="AR576" s="7"/>
      <c r="AS576" s="7"/>
      <c r="AT576" s="8">
        <f>SUM(AO576:AS576)</f>
        <v>0</v>
      </c>
      <c r="AV576" s="6"/>
      <c r="AW576" s="7"/>
      <c r="AX576" s="7"/>
      <c r="AY576" s="7"/>
      <c r="AZ576" s="7"/>
      <c r="BA576" s="8">
        <f>SUM(AV576:AZ576)</f>
        <v>0</v>
      </c>
      <c r="BC576" s="6"/>
      <c r="BD576" s="7"/>
      <c r="BE576" s="7"/>
      <c r="BF576" s="7"/>
      <c r="BG576" s="7"/>
      <c r="BH576" s="8">
        <f>SUM(BC576:BG576)</f>
        <v>0</v>
      </c>
      <c r="BJ576" s="6"/>
      <c r="BK576" s="7"/>
      <c r="BL576" s="7"/>
      <c r="BM576" s="7"/>
      <c r="BN576" s="7"/>
      <c r="BO576" s="8">
        <f>SUM(BJ576:BN576)</f>
        <v>0</v>
      </c>
      <c r="BQ576" s="6"/>
      <c r="BR576" s="7"/>
      <c r="BS576" s="7"/>
      <c r="BT576" s="7"/>
      <c r="BU576" s="7"/>
      <c r="BV576" s="8">
        <f>SUM(BQ576:BU576)</f>
        <v>0</v>
      </c>
      <c r="BX576" s="6"/>
      <c r="BY576" s="7"/>
      <c r="BZ576" s="7"/>
      <c r="CA576" s="7"/>
      <c r="CB576" s="7"/>
      <c r="CC576" s="8">
        <f>SUM(BX576:CB576)</f>
        <v>0</v>
      </c>
      <c r="CE576" s="28">
        <f t="shared" si="2634"/>
        <v>0</v>
      </c>
      <c r="CF576" s="29">
        <f t="shared" si="2635"/>
        <v>0</v>
      </c>
      <c r="CG576" s="29">
        <f t="shared" si="2636"/>
        <v>0</v>
      </c>
      <c r="CH576" s="29">
        <f t="shared" si="2637"/>
        <v>0</v>
      </c>
      <c r="CI576" s="29">
        <f t="shared" si="2638"/>
        <v>0</v>
      </c>
      <c r="CJ576" s="8">
        <f>SUM(CE576:CI576)</f>
        <v>0</v>
      </c>
      <c r="CL576" s="6"/>
      <c r="CM576" s="7"/>
      <c r="CN576" s="7"/>
      <c r="CO576" s="7"/>
      <c r="CP576" s="7"/>
      <c r="CQ576" s="8">
        <f>SUM(CL576:CP576)</f>
        <v>0</v>
      </c>
      <c r="CS576" s="6"/>
      <c r="CT576" s="7"/>
      <c r="CU576" s="7"/>
      <c r="CV576" s="7"/>
      <c r="CW576" s="7"/>
      <c r="CX576" s="8">
        <f t="shared" ref="CX576:CX578" si="2643">SUM(CS576:CW576)</f>
        <v>0</v>
      </c>
      <c r="CZ576" s="6"/>
      <c r="DA576" s="7"/>
      <c r="DB576" s="7"/>
      <c r="DC576" s="7"/>
      <c r="DD576" s="7"/>
      <c r="DE576" s="8">
        <f t="shared" ref="DE576:DE578" si="2644">SUM(CZ576:DD576)</f>
        <v>0</v>
      </c>
    </row>
    <row r="577" spans="2:110">
      <c r="C577" s="567"/>
      <c r="E577" s="14" t="s">
        <v>61</v>
      </c>
      <c r="F577" s="23">
        <f t="shared" si="2639"/>
        <v>0</v>
      </c>
      <c r="G577" s="24">
        <f t="shared" si="2630"/>
        <v>0</v>
      </c>
      <c r="H577" s="24">
        <f t="shared" si="2631"/>
        <v>0</v>
      </c>
      <c r="I577" s="24">
        <f t="shared" si="2632"/>
        <v>0</v>
      </c>
      <c r="J577" s="24">
        <f t="shared" si="2633"/>
        <v>0</v>
      </c>
      <c r="K577" s="8">
        <f t="shared" si="2640"/>
        <v>0</v>
      </c>
      <c r="M577" s="6"/>
      <c r="N577" s="7"/>
      <c r="O577" s="7"/>
      <c r="P577" s="7"/>
      <c r="Q577" s="7"/>
      <c r="R577" s="8">
        <f t="shared" si="2641"/>
        <v>0</v>
      </c>
      <c r="T577" s="6"/>
      <c r="U577" s="7"/>
      <c r="V577" s="7"/>
      <c r="W577" s="7"/>
      <c r="X577" s="7"/>
      <c r="Y577" s="8">
        <f t="shared" si="2642"/>
        <v>0</v>
      </c>
      <c r="AA577" s="6"/>
      <c r="AB577" s="7"/>
      <c r="AC577" s="7"/>
      <c r="AD577" s="7"/>
      <c r="AE577" s="7"/>
      <c r="AF577" s="8">
        <f>SUM(AA577:AE577)</f>
        <v>0</v>
      </c>
      <c r="AH577" s="6"/>
      <c r="AI577" s="7"/>
      <c r="AJ577" s="7"/>
      <c r="AK577" s="7"/>
      <c r="AL577" s="7"/>
      <c r="AM577" s="8">
        <f>SUM(AH577:AL577)</f>
        <v>0</v>
      </c>
      <c r="AO577" s="6"/>
      <c r="AP577" s="7"/>
      <c r="AQ577" s="7"/>
      <c r="AR577" s="7"/>
      <c r="AS577" s="7"/>
      <c r="AT577" s="8">
        <f>SUM(AO577:AS577)</f>
        <v>0</v>
      </c>
      <c r="AV577" s="6"/>
      <c r="AW577" s="7"/>
      <c r="AX577" s="7"/>
      <c r="AY577" s="7"/>
      <c r="AZ577" s="7"/>
      <c r="BA577" s="8">
        <f>SUM(AV577:AZ577)</f>
        <v>0</v>
      </c>
      <c r="BC577" s="6"/>
      <c r="BD577" s="7"/>
      <c r="BE577" s="7"/>
      <c r="BF577" s="7"/>
      <c r="BG577" s="7"/>
      <c r="BH577" s="8">
        <f>SUM(BC577:BG577)</f>
        <v>0</v>
      </c>
      <c r="BJ577" s="6"/>
      <c r="BK577" s="7"/>
      <c r="BL577" s="7"/>
      <c r="BM577" s="7"/>
      <c r="BN577" s="7"/>
      <c r="BO577" s="8">
        <f>SUM(BJ577:BN577)</f>
        <v>0</v>
      </c>
      <c r="BQ577" s="6"/>
      <c r="BR577" s="7"/>
      <c r="BS577" s="7"/>
      <c r="BT577" s="7"/>
      <c r="BU577" s="7"/>
      <c r="BV577" s="8">
        <f>SUM(BQ577:BU577)</f>
        <v>0</v>
      </c>
      <c r="BX577" s="6"/>
      <c r="BY577" s="7"/>
      <c r="BZ577" s="7"/>
      <c r="CA577" s="7"/>
      <c r="CB577" s="7"/>
      <c r="CC577" s="8">
        <f>SUM(BX577:CB577)</f>
        <v>0</v>
      </c>
      <c r="CE577" s="28">
        <f t="shared" si="2634"/>
        <v>0</v>
      </c>
      <c r="CF577" s="29">
        <f t="shared" si="2635"/>
        <v>0</v>
      </c>
      <c r="CG577" s="29">
        <f t="shared" si="2636"/>
        <v>0</v>
      </c>
      <c r="CH577" s="29">
        <f t="shared" si="2637"/>
        <v>0</v>
      </c>
      <c r="CI577" s="29">
        <f t="shared" si="2638"/>
        <v>0</v>
      </c>
      <c r="CJ577" s="8">
        <f>SUM(CE577:CI577)</f>
        <v>0</v>
      </c>
      <c r="CL577" s="6"/>
      <c r="CM577" s="7"/>
      <c r="CN577" s="7"/>
      <c r="CO577" s="7"/>
      <c r="CP577" s="7"/>
      <c r="CQ577" s="8">
        <f>SUM(CL577:CP577)</f>
        <v>0</v>
      </c>
      <c r="CS577" s="6"/>
      <c r="CT577" s="7"/>
      <c r="CU577" s="7"/>
      <c r="CV577" s="7"/>
      <c r="CW577" s="7"/>
      <c r="CX577" s="8">
        <f t="shared" si="2643"/>
        <v>0</v>
      </c>
      <c r="CZ577" s="6"/>
      <c r="DA577" s="7"/>
      <c r="DB577" s="7"/>
      <c r="DC577" s="7"/>
      <c r="DD577" s="7"/>
      <c r="DE577" s="8">
        <f t="shared" si="2644"/>
        <v>0</v>
      </c>
    </row>
    <row r="578" spans="2:110" ht="14" thickBot="1">
      <c r="C578" s="567"/>
      <c r="E578" s="14" t="s">
        <v>62</v>
      </c>
      <c r="F578" s="23">
        <f t="shared" si="2639"/>
        <v>0</v>
      </c>
      <c r="G578" s="24">
        <f t="shared" si="2630"/>
        <v>0</v>
      </c>
      <c r="H578" s="24">
        <f t="shared" si="2631"/>
        <v>0</v>
      </c>
      <c r="I578" s="24">
        <f t="shared" si="2632"/>
        <v>0</v>
      </c>
      <c r="J578" s="24">
        <f t="shared" si="2633"/>
        <v>0</v>
      </c>
      <c r="K578" s="8">
        <f t="shared" si="2640"/>
        <v>0</v>
      </c>
      <c r="M578" s="6"/>
      <c r="N578" s="7"/>
      <c r="O578" s="7"/>
      <c r="P578" s="7"/>
      <c r="Q578" s="7"/>
      <c r="R578" s="8">
        <f t="shared" si="2641"/>
        <v>0</v>
      </c>
      <c r="T578" s="6"/>
      <c r="U578" s="7"/>
      <c r="V578" s="7"/>
      <c r="W578" s="7"/>
      <c r="X578" s="7"/>
      <c r="Y578" s="8">
        <f t="shared" si="2642"/>
        <v>0</v>
      </c>
      <c r="AA578" s="6"/>
      <c r="AB578" s="7"/>
      <c r="AC578" s="7"/>
      <c r="AD578" s="7"/>
      <c r="AE578" s="7"/>
      <c r="AF578" s="8">
        <f>SUM(AA578:AE578)</f>
        <v>0</v>
      </c>
      <c r="AH578" s="6"/>
      <c r="AI578" s="7"/>
      <c r="AJ578" s="7"/>
      <c r="AK578" s="7"/>
      <c r="AL578" s="7"/>
      <c r="AM578" s="8">
        <f>SUM(AH578:AL578)</f>
        <v>0</v>
      </c>
      <c r="AO578" s="6"/>
      <c r="AP578" s="7"/>
      <c r="AQ578" s="7"/>
      <c r="AR578" s="7"/>
      <c r="AS578" s="7"/>
      <c r="AT578" s="8">
        <f>SUM(AO578:AS578)</f>
        <v>0</v>
      </c>
      <c r="AV578" s="6"/>
      <c r="AW578" s="7"/>
      <c r="AX578" s="7"/>
      <c r="AY578" s="7"/>
      <c r="AZ578" s="7"/>
      <c r="BA578" s="8">
        <f>SUM(AV578:AZ578)</f>
        <v>0</v>
      </c>
      <c r="BC578" s="6"/>
      <c r="BD578" s="7"/>
      <c r="BE578" s="7"/>
      <c r="BF578" s="7"/>
      <c r="BG578" s="7"/>
      <c r="BH578" s="8">
        <f>SUM(BC578:BG578)</f>
        <v>0</v>
      </c>
      <c r="BJ578" s="6"/>
      <c r="BK578" s="7"/>
      <c r="BL578" s="7"/>
      <c r="BM578" s="7"/>
      <c r="BN578" s="7"/>
      <c r="BO578" s="8">
        <f>SUM(BJ578:BN578)</f>
        <v>0</v>
      </c>
      <c r="BQ578" s="6"/>
      <c r="BR578" s="7"/>
      <c r="BS578" s="7"/>
      <c r="BT578" s="7"/>
      <c r="BU578" s="7"/>
      <c r="BV578" s="8">
        <f>SUM(BQ578:BU578)</f>
        <v>0</v>
      </c>
      <c r="BX578" s="6"/>
      <c r="BY578" s="7"/>
      <c r="BZ578" s="7"/>
      <c r="CA578" s="7"/>
      <c r="CB578" s="7"/>
      <c r="CC578" s="8">
        <f>SUM(BX578:CB578)</f>
        <v>0</v>
      </c>
      <c r="CE578" s="493">
        <f t="shared" si="2634"/>
        <v>0</v>
      </c>
      <c r="CF578" s="494">
        <f t="shared" si="2635"/>
        <v>0</v>
      </c>
      <c r="CG578" s="494">
        <f t="shared" si="2636"/>
        <v>0</v>
      </c>
      <c r="CH578" s="494">
        <f t="shared" si="2637"/>
        <v>0</v>
      </c>
      <c r="CI578" s="494">
        <f t="shared" si="2638"/>
        <v>0</v>
      </c>
      <c r="CJ578" s="495">
        <f>SUM(CE578:CI578)</f>
        <v>0</v>
      </c>
      <c r="CL578" s="6"/>
      <c r="CM578" s="7"/>
      <c r="CN578" s="7"/>
      <c r="CO578" s="7"/>
      <c r="CP578" s="7"/>
      <c r="CQ578" s="8">
        <f>SUM(CL578:CP578)</f>
        <v>0</v>
      </c>
      <c r="CS578" s="6"/>
      <c r="CT578" s="7"/>
      <c r="CU578" s="7"/>
      <c r="CV578" s="7"/>
      <c r="CW578" s="7"/>
      <c r="CX578" s="8">
        <f t="shared" si="2643"/>
        <v>0</v>
      </c>
      <c r="CZ578" s="6"/>
      <c r="DA578" s="7"/>
      <c r="DB578" s="7"/>
      <c r="DC578" s="7"/>
      <c r="DD578" s="7"/>
      <c r="DE578" s="8">
        <f t="shared" si="2644"/>
        <v>0</v>
      </c>
    </row>
    <row r="579" spans="2:110" ht="14" thickBot="1">
      <c r="C579" s="554"/>
      <c r="E579" s="9"/>
      <c r="F579" s="10">
        <f>SUM(F575:F578)</f>
        <v>0</v>
      </c>
      <c r="G579" s="11">
        <f t="shared" ref="G579:J579" si="2645">SUM(G575:G578)</f>
        <v>0</v>
      </c>
      <c r="H579" s="11">
        <f t="shared" si="2645"/>
        <v>0</v>
      </c>
      <c r="I579" s="11">
        <f t="shared" si="2645"/>
        <v>0</v>
      </c>
      <c r="J579" s="11">
        <f t="shared" si="2645"/>
        <v>0</v>
      </c>
      <c r="K579" s="25">
        <f>SUM(K575:K578)</f>
        <v>0</v>
      </c>
      <c r="M579" s="10">
        <f>SUM(M575:M578)</f>
        <v>0</v>
      </c>
      <c r="N579" s="11">
        <f t="shared" ref="N579:Q579" si="2646">SUM(N575:N578)</f>
        <v>0</v>
      </c>
      <c r="O579" s="11">
        <f t="shared" si="2646"/>
        <v>0</v>
      </c>
      <c r="P579" s="11">
        <f t="shared" si="2646"/>
        <v>0</v>
      </c>
      <c r="Q579" s="11">
        <f t="shared" si="2646"/>
        <v>0</v>
      </c>
      <c r="R579" s="25">
        <f>SUM(R575:R578)</f>
        <v>0</v>
      </c>
      <c r="T579" s="10">
        <f>SUM(T575:T578)</f>
        <v>0</v>
      </c>
      <c r="U579" s="11">
        <f t="shared" ref="U579:X579" si="2647">SUM(U575:U578)</f>
        <v>0</v>
      </c>
      <c r="V579" s="11">
        <f t="shared" si="2647"/>
        <v>0</v>
      </c>
      <c r="W579" s="11">
        <f t="shared" si="2647"/>
        <v>0</v>
      </c>
      <c r="X579" s="11">
        <f t="shared" si="2647"/>
        <v>0</v>
      </c>
      <c r="Y579" s="25">
        <f>SUM(Y575:Y578)</f>
        <v>0</v>
      </c>
      <c r="AA579" s="10">
        <f>SUM(AA575:AA578)</f>
        <v>0</v>
      </c>
      <c r="AB579" s="11">
        <f t="shared" ref="AB579:AE579" si="2648">SUM(AB575:AB578)</f>
        <v>0</v>
      </c>
      <c r="AC579" s="11">
        <f t="shared" si="2648"/>
        <v>0</v>
      </c>
      <c r="AD579" s="11">
        <f t="shared" si="2648"/>
        <v>0</v>
      </c>
      <c r="AE579" s="11">
        <f t="shared" si="2648"/>
        <v>0</v>
      </c>
      <c r="AF579" s="25">
        <f>SUM(AF575:AF578)</f>
        <v>0</v>
      </c>
      <c r="AH579" s="10">
        <f>SUM(AH575:AH578)</f>
        <v>0</v>
      </c>
      <c r="AI579" s="11">
        <f t="shared" ref="AI579:AL579" si="2649">SUM(AI575:AI578)</f>
        <v>0</v>
      </c>
      <c r="AJ579" s="11">
        <f t="shared" si="2649"/>
        <v>0</v>
      </c>
      <c r="AK579" s="11">
        <f t="shared" si="2649"/>
        <v>0</v>
      </c>
      <c r="AL579" s="11">
        <f t="shared" si="2649"/>
        <v>0</v>
      </c>
      <c r="AM579" s="25">
        <f>SUM(AM575:AM578)</f>
        <v>0</v>
      </c>
      <c r="AO579" s="10">
        <f>SUM(AO575:AO578)</f>
        <v>0</v>
      </c>
      <c r="AP579" s="11">
        <f t="shared" ref="AP579:AS579" si="2650">SUM(AP575:AP578)</f>
        <v>0</v>
      </c>
      <c r="AQ579" s="11">
        <f t="shared" si="2650"/>
        <v>0</v>
      </c>
      <c r="AR579" s="11">
        <f t="shared" si="2650"/>
        <v>0</v>
      </c>
      <c r="AS579" s="11">
        <f t="shared" si="2650"/>
        <v>0</v>
      </c>
      <c r="AT579" s="25">
        <f>SUM(AT575:AT578)</f>
        <v>0</v>
      </c>
      <c r="AV579" s="10">
        <f>SUM(AV575:AV578)</f>
        <v>0</v>
      </c>
      <c r="AW579" s="11">
        <f t="shared" ref="AW579:AZ579" si="2651">SUM(AW575:AW578)</f>
        <v>0</v>
      </c>
      <c r="AX579" s="11">
        <f t="shared" si="2651"/>
        <v>0</v>
      </c>
      <c r="AY579" s="11">
        <f t="shared" si="2651"/>
        <v>0</v>
      </c>
      <c r="AZ579" s="11">
        <f t="shared" si="2651"/>
        <v>0</v>
      </c>
      <c r="BA579" s="25">
        <f>SUM(BA575:BA578)</f>
        <v>0</v>
      </c>
      <c r="BC579" s="10">
        <f>SUM(BC575:BC578)</f>
        <v>0</v>
      </c>
      <c r="BD579" s="11">
        <f t="shared" ref="BD579:BG579" si="2652">SUM(BD575:BD578)</f>
        <v>0</v>
      </c>
      <c r="BE579" s="11">
        <f t="shared" si="2652"/>
        <v>0</v>
      </c>
      <c r="BF579" s="11">
        <f t="shared" si="2652"/>
        <v>0</v>
      </c>
      <c r="BG579" s="11">
        <f t="shared" si="2652"/>
        <v>0</v>
      </c>
      <c r="BH579" s="25">
        <f>SUM(BH575:BH578)</f>
        <v>0</v>
      </c>
      <c r="BJ579" s="10">
        <f>SUM(BJ575:BJ578)</f>
        <v>0</v>
      </c>
      <c r="BK579" s="11">
        <f t="shared" ref="BK579:BN579" si="2653">SUM(BK575:BK578)</f>
        <v>0</v>
      </c>
      <c r="BL579" s="11">
        <f t="shared" si="2653"/>
        <v>0</v>
      </c>
      <c r="BM579" s="11">
        <f t="shared" si="2653"/>
        <v>0</v>
      </c>
      <c r="BN579" s="11">
        <f t="shared" si="2653"/>
        <v>0</v>
      </c>
      <c r="BO579" s="25">
        <f>SUM(BO575:BO578)</f>
        <v>0</v>
      </c>
      <c r="BQ579" s="10">
        <f>SUM(BQ575:BQ578)</f>
        <v>0</v>
      </c>
      <c r="BR579" s="11">
        <f t="shared" ref="BR579:BU579" si="2654">SUM(BR575:BR578)</f>
        <v>0</v>
      </c>
      <c r="BS579" s="11">
        <f t="shared" si="2654"/>
        <v>0</v>
      </c>
      <c r="BT579" s="11">
        <f t="shared" si="2654"/>
        <v>0</v>
      </c>
      <c r="BU579" s="11">
        <f t="shared" si="2654"/>
        <v>0</v>
      </c>
      <c r="BV579" s="25">
        <f>SUM(BV575:BV578)</f>
        <v>0</v>
      </c>
      <c r="BX579" s="10">
        <f>SUM(BX575:BX578)</f>
        <v>0</v>
      </c>
      <c r="BY579" s="11">
        <f t="shared" ref="BY579:CB579" si="2655">SUM(BY575:BY578)</f>
        <v>0</v>
      </c>
      <c r="BZ579" s="11">
        <f t="shared" si="2655"/>
        <v>0</v>
      </c>
      <c r="CA579" s="11">
        <f t="shared" si="2655"/>
        <v>0</v>
      </c>
      <c r="CB579" s="11">
        <f t="shared" si="2655"/>
        <v>0</v>
      </c>
      <c r="CC579" s="25">
        <f>SUM(CC575:CC578)</f>
        <v>0</v>
      </c>
      <c r="CE579" s="62">
        <f t="shared" ref="CE579:CJ579" si="2656">SUM(CE575:CE578)</f>
        <v>0</v>
      </c>
      <c r="CF579" s="63">
        <f t="shared" si="2656"/>
        <v>0</v>
      </c>
      <c r="CG579" s="63">
        <f t="shared" si="2656"/>
        <v>0</v>
      </c>
      <c r="CH579" s="63">
        <f t="shared" si="2656"/>
        <v>0</v>
      </c>
      <c r="CI579" s="63">
        <f t="shared" si="2656"/>
        <v>0</v>
      </c>
      <c r="CJ579" s="25">
        <f t="shared" si="2656"/>
        <v>0</v>
      </c>
      <c r="CL579" s="10">
        <f>SUM(CL575:CL578)</f>
        <v>0</v>
      </c>
      <c r="CM579" s="11">
        <f t="shared" ref="CM579:CP579" si="2657">SUM(CM575:CM578)</f>
        <v>0</v>
      </c>
      <c r="CN579" s="11">
        <f t="shared" si="2657"/>
        <v>0</v>
      </c>
      <c r="CO579" s="11">
        <f t="shared" si="2657"/>
        <v>0</v>
      </c>
      <c r="CP579" s="11">
        <f t="shared" si="2657"/>
        <v>0</v>
      </c>
      <c r="CQ579" s="25">
        <f>SUM(CQ575:CQ578)</f>
        <v>0</v>
      </c>
      <c r="CS579" s="10">
        <f>SUM(CS575:CS578)</f>
        <v>0</v>
      </c>
      <c r="CT579" s="11">
        <f t="shared" ref="CT579:CW579" si="2658">SUM(CT575:CT578)</f>
        <v>0</v>
      </c>
      <c r="CU579" s="11">
        <f t="shared" si="2658"/>
        <v>0</v>
      </c>
      <c r="CV579" s="11">
        <f t="shared" si="2658"/>
        <v>0</v>
      </c>
      <c r="CW579" s="11">
        <f t="shared" si="2658"/>
        <v>0</v>
      </c>
      <c r="CX579" s="25">
        <f>SUM(CX575:CX578)</f>
        <v>0</v>
      </c>
      <c r="CZ579" s="10">
        <f>SUM(CZ575:CZ578)</f>
        <v>0</v>
      </c>
      <c r="DA579" s="11">
        <f t="shared" ref="DA579:DD579" si="2659">SUM(DA575:DA578)</f>
        <v>0</v>
      </c>
      <c r="DB579" s="11">
        <f t="shared" si="2659"/>
        <v>0</v>
      </c>
      <c r="DC579" s="11">
        <f t="shared" si="2659"/>
        <v>0</v>
      </c>
      <c r="DD579" s="11">
        <f t="shared" si="2659"/>
        <v>0</v>
      </c>
      <c r="DE579" s="25">
        <f>SUM(DE575:DE578)</f>
        <v>0</v>
      </c>
    </row>
    <row r="581" spans="2:110">
      <c r="B581" s="123"/>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row>
    <row r="582" spans="2:110" ht="14" thickBot="1">
      <c r="B582" s="94">
        <v>19</v>
      </c>
      <c r="C582" s="12" t="s">
        <v>80</v>
      </c>
    </row>
    <row r="583" spans="2:110">
      <c r="C583" s="553">
        <v>2024</v>
      </c>
      <c r="E583" s="1" t="s">
        <v>59</v>
      </c>
      <c r="F583" s="2"/>
      <c r="G583" s="3"/>
      <c r="H583" s="3"/>
      <c r="I583" s="3"/>
      <c r="J583" s="3"/>
      <c r="K583" s="4">
        <f>SUM(F583:J583)</f>
        <v>0</v>
      </c>
      <c r="M583" s="2"/>
      <c r="N583" s="3"/>
      <c r="O583" s="3"/>
      <c r="P583" s="3"/>
      <c r="Q583" s="3"/>
      <c r="R583" s="4">
        <f>SUM(M583:Q583)</f>
        <v>0</v>
      </c>
      <c r="T583" s="2"/>
      <c r="U583" s="3"/>
      <c r="V583" s="3"/>
      <c r="W583" s="3"/>
      <c r="X583" s="3"/>
      <c r="Y583" s="4">
        <f>SUM(T583:X583)</f>
        <v>0</v>
      </c>
      <c r="AA583" s="2"/>
      <c r="AB583" s="3"/>
      <c r="AC583" s="3"/>
      <c r="AD583" s="3"/>
      <c r="AE583" s="3"/>
      <c r="AF583" s="4">
        <f>SUM(AA583:AE583)</f>
        <v>0</v>
      </c>
      <c r="AH583" s="2"/>
      <c r="AI583" s="3"/>
      <c r="AJ583" s="3"/>
      <c r="AK583" s="3"/>
      <c r="AL583" s="3"/>
      <c r="AM583" s="4">
        <f>SUM(AH583:AL583)</f>
        <v>0</v>
      </c>
      <c r="AO583" s="2"/>
      <c r="AP583" s="3"/>
      <c r="AQ583" s="3"/>
      <c r="AR583" s="3"/>
      <c r="AS583" s="3"/>
      <c r="AT583" s="4">
        <f>SUM(AO583:AS583)</f>
        <v>0</v>
      </c>
      <c r="AV583" s="2"/>
      <c r="AW583" s="3"/>
      <c r="AX583" s="3"/>
      <c r="AY583" s="3"/>
      <c r="AZ583" s="3"/>
      <c r="BA583" s="4">
        <f>SUM(AV583:AZ583)</f>
        <v>0</v>
      </c>
      <c r="BC583" s="2"/>
      <c r="BD583" s="3"/>
      <c r="BE583" s="3"/>
      <c r="BF583" s="3"/>
      <c r="BG583" s="3"/>
      <c r="BH583" s="4">
        <f>SUM(BC583:BG583)</f>
        <v>0</v>
      </c>
      <c r="BJ583" s="2"/>
      <c r="BK583" s="3"/>
      <c r="BL583" s="3"/>
      <c r="BM583" s="3"/>
      <c r="BN583" s="3"/>
      <c r="BO583" s="4">
        <f>SUM(BJ583:BN583)</f>
        <v>0</v>
      </c>
      <c r="BQ583" s="2"/>
      <c r="BR583" s="3"/>
      <c r="BS583" s="3"/>
      <c r="BT583" s="3"/>
      <c r="BU583" s="3"/>
      <c r="BV583" s="4">
        <f>SUM(BQ583:BU583)</f>
        <v>0</v>
      </c>
      <c r="BX583" s="2"/>
      <c r="BY583" s="3"/>
      <c r="BZ583" s="3"/>
      <c r="CA583" s="3"/>
      <c r="CB583" s="3"/>
      <c r="CC583" s="4">
        <f>SUM(BX583:CB583)</f>
        <v>0</v>
      </c>
      <c r="CE583" s="26">
        <f t="shared" ref="CE583:CE586" si="2660">F583+M583+T583+AA583+AH583+AO583+AV583+BC583+BJ583+BQ583+BX583</f>
        <v>0</v>
      </c>
      <c r="CF583" s="27">
        <f t="shared" ref="CF583:CF586" si="2661">G583+N583+U583+AB583+AI583+AP583+AW583+BD583+BK583+BR583+BY583</f>
        <v>0</v>
      </c>
      <c r="CG583" s="27">
        <f t="shared" ref="CG583:CG586" si="2662">H583+O583+V583+AC583+AJ583+AQ583+AX583+BE583+BL583+BS583+BZ583</f>
        <v>0</v>
      </c>
      <c r="CH583" s="27">
        <f t="shared" ref="CH583:CH586" si="2663">I583+P583+W583+AD583+AK583+AR583+AY583+BF583+BM583+BT583+CA583</f>
        <v>0</v>
      </c>
      <c r="CI583" s="27">
        <f t="shared" ref="CI583:CI586" si="2664">J583+Q583+X583+AE583+AL583+AS583+AZ583+BG583+BN583+BU583+CB583</f>
        <v>0</v>
      </c>
      <c r="CJ583" s="4">
        <f>SUM(CE583:CI583)</f>
        <v>0</v>
      </c>
      <c r="CL583" s="2"/>
      <c r="CM583" s="3"/>
      <c r="CN583" s="3"/>
      <c r="CO583" s="3"/>
      <c r="CP583" s="3"/>
      <c r="CQ583" s="4">
        <f>SUM(CL583:CP583)</f>
        <v>0</v>
      </c>
      <c r="CS583" s="2"/>
      <c r="CT583" s="3"/>
      <c r="CU583" s="3"/>
      <c r="CV583" s="3"/>
      <c r="CW583" s="3"/>
      <c r="CX583" s="4">
        <f>SUM(CS583:CW583)</f>
        <v>0</v>
      </c>
      <c r="CZ583" s="2"/>
      <c r="DA583" s="3"/>
      <c r="DB583" s="3"/>
      <c r="DC583" s="3"/>
      <c r="DD583" s="3"/>
      <c r="DE583" s="4">
        <f>SUM(CZ583:DD583)</f>
        <v>0</v>
      </c>
    </row>
    <row r="584" spans="2:110">
      <c r="C584" s="567"/>
      <c r="E584" s="5" t="s">
        <v>60</v>
      </c>
      <c r="F584" s="6"/>
      <c r="G584" s="7"/>
      <c r="H584" s="7"/>
      <c r="I584" s="7"/>
      <c r="J584" s="7"/>
      <c r="K584" s="8">
        <f t="shared" ref="K584:K586" si="2665">SUM(F584:J584)</f>
        <v>0</v>
      </c>
      <c r="M584" s="6"/>
      <c r="N584" s="7"/>
      <c r="O584" s="7"/>
      <c r="P584" s="7"/>
      <c r="Q584" s="7"/>
      <c r="R584" s="8">
        <f t="shared" ref="R584:R586" si="2666">SUM(M584:Q584)</f>
        <v>0</v>
      </c>
      <c r="T584" s="6"/>
      <c r="U584" s="7"/>
      <c r="V584" s="7"/>
      <c r="W584" s="7"/>
      <c r="X584" s="7"/>
      <c r="Y584" s="8">
        <f t="shared" ref="Y584:Y586" si="2667">SUM(T584:X584)</f>
        <v>0</v>
      </c>
      <c r="AA584" s="6"/>
      <c r="AB584" s="7"/>
      <c r="AC584" s="7"/>
      <c r="AD584" s="7"/>
      <c r="AE584" s="7"/>
      <c r="AF584" s="8">
        <f>SUM(AA584:AE584)</f>
        <v>0</v>
      </c>
      <c r="AH584" s="6"/>
      <c r="AI584" s="7"/>
      <c r="AJ584" s="7"/>
      <c r="AK584" s="7"/>
      <c r="AL584" s="7"/>
      <c r="AM584" s="8">
        <f>SUM(AH584:AL584)</f>
        <v>0</v>
      </c>
      <c r="AO584" s="6"/>
      <c r="AP584" s="7"/>
      <c r="AQ584" s="7"/>
      <c r="AR584" s="7"/>
      <c r="AS584" s="7"/>
      <c r="AT584" s="8">
        <f>SUM(AO584:AS584)</f>
        <v>0</v>
      </c>
      <c r="AV584" s="6"/>
      <c r="AW584" s="7"/>
      <c r="AX584" s="7"/>
      <c r="AY584" s="7"/>
      <c r="AZ584" s="7"/>
      <c r="BA584" s="8">
        <f>SUM(AV584:AZ584)</f>
        <v>0</v>
      </c>
      <c r="BC584" s="6"/>
      <c r="BD584" s="7"/>
      <c r="BE584" s="7"/>
      <c r="BF584" s="7"/>
      <c r="BG584" s="7"/>
      <c r="BH584" s="8">
        <f>SUM(BC584:BG584)</f>
        <v>0</v>
      </c>
      <c r="BJ584" s="6"/>
      <c r="BK584" s="7"/>
      <c r="BL584" s="7"/>
      <c r="BM584" s="7"/>
      <c r="BN584" s="7"/>
      <c r="BO584" s="8">
        <f>SUM(BJ584:BN584)</f>
        <v>0</v>
      </c>
      <c r="BQ584" s="6"/>
      <c r="BR584" s="7"/>
      <c r="BS584" s="7"/>
      <c r="BT584" s="7"/>
      <c r="BU584" s="7"/>
      <c r="BV584" s="8">
        <f>SUM(BQ584:BU584)</f>
        <v>0</v>
      </c>
      <c r="BX584" s="6"/>
      <c r="BY584" s="7"/>
      <c r="BZ584" s="7"/>
      <c r="CA584" s="7"/>
      <c r="CB584" s="7"/>
      <c r="CC584" s="8">
        <f>SUM(BX584:CB584)</f>
        <v>0</v>
      </c>
      <c r="CE584" s="28">
        <f t="shared" si="2660"/>
        <v>0</v>
      </c>
      <c r="CF584" s="29">
        <f t="shared" si="2661"/>
        <v>0</v>
      </c>
      <c r="CG584" s="29">
        <f t="shared" si="2662"/>
        <v>0</v>
      </c>
      <c r="CH584" s="29">
        <f t="shared" si="2663"/>
        <v>0</v>
      </c>
      <c r="CI584" s="29">
        <f t="shared" si="2664"/>
        <v>0</v>
      </c>
      <c r="CJ584" s="8">
        <f>SUM(CE584:CI584)</f>
        <v>0</v>
      </c>
      <c r="CL584" s="6"/>
      <c r="CM584" s="7"/>
      <c r="CN584" s="7"/>
      <c r="CO584" s="7"/>
      <c r="CP584" s="7"/>
      <c r="CQ584" s="8">
        <f>SUM(CL584:CP584)</f>
        <v>0</v>
      </c>
      <c r="CS584" s="6"/>
      <c r="CT584" s="7"/>
      <c r="CU584" s="7"/>
      <c r="CV584" s="7"/>
      <c r="CW584" s="7"/>
      <c r="CX584" s="8">
        <f t="shared" ref="CX584:CX586" si="2668">SUM(CS584:CW584)</f>
        <v>0</v>
      </c>
      <c r="CZ584" s="6"/>
      <c r="DA584" s="7"/>
      <c r="DB584" s="7"/>
      <c r="DC584" s="7"/>
      <c r="DD584" s="7"/>
      <c r="DE584" s="8">
        <f t="shared" ref="DE584:DE586" si="2669">SUM(CZ584:DD584)</f>
        <v>0</v>
      </c>
    </row>
    <row r="585" spans="2:110">
      <c r="C585" s="567"/>
      <c r="E585" s="5" t="s">
        <v>61</v>
      </c>
      <c r="F585" s="6"/>
      <c r="G585" s="7"/>
      <c r="H585" s="7"/>
      <c r="I585" s="7"/>
      <c r="J585" s="7"/>
      <c r="K585" s="8">
        <f t="shared" si="2665"/>
        <v>0</v>
      </c>
      <c r="M585" s="6"/>
      <c r="N585" s="7"/>
      <c r="O585" s="7"/>
      <c r="P585" s="7"/>
      <c r="Q585" s="7"/>
      <c r="R585" s="8">
        <f t="shared" si="2666"/>
        <v>0</v>
      </c>
      <c r="T585" s="6"/>
      <c r="U585" s="7"/>
      <c r="V585" s="7"/>
      <c r="W585" s="7"/>
      <c r="X585" s="7"/>
      <c r="Y585" s="8">
        <f t="shared" si="2667"/>
        <v>0</v>
      </c>
      <c r="AA585" s="6"/>
      <c r="AB585" s="7"/>
      <c r="AC585" s="7"/>
      <c r="AD585" s="7"/>
      <c r="AE585" s="7"/>
      <c r="AF585" s="8">
        <f>SUM(AA585:AE585)</f>
        <v>0</v>
      </c>
      <c r="AH585" s="6"/>
      <c r="AI585" s="7"/>
      <c r="AJ585" s="7"/>
      <c r="AK585" s="7"/>
      <c r="AL585" s="7"/>
      <c r="AM585" s="8">
        <f>SUM(AH585:AL585)</f>
        <v>0</v>
      </c>
      <c r="AO585" s="6"/>
      <c r="AP585" s="7"/>
      <c r="AQ585" s="7"/>
      <c r="AR585" s="7"/>
      <c r="AS585" s="7"/>
      <c r="AT585" s="8">
        <f>SUM(AO585:AS585)</f>
        <v>0</v>
      </c>
      <c r="AV585" s="6"/>
      <c r="AW585" s="7"/>
      <c r="AX585" s="7"/>
      <c r="AY585" s="7"/>
      <c r="AZ585" s="7"/>
      <c r="BA585" s="8">
        <f>SUM(AV585:AZ585)</f>
        <v>0</v>
      </c>
      <c r="BC585" s="6"/>
      <c r="BD585" s="7"/>
      <c r="BE585" s="7"/>
      <c r="BF585" s="7"/>
      <c r="BG585" s="7"/>
      <c r="BH585" s="8">
        <f>SUM(BC585:BG585)</f>
        <v>0</v>
      </c>
      <c r="BJ585" s="6"/>
      <c r="BK585" s="7"/>
      <c r="BL585" s="7"/>
      <c r="BM585" s="7"/>
      <c r="BN585" s="7"/>
      <c r="BO585" s="8">
        <f>SUM(BJ585:BN585)</f>
        <v>0</v>
      </c>
      <c r="BQ585" s="6"/>
      <c r="BR585" s="7"/>
      <c r="BS585" s="7"/>
      <c r="BT585" s="7"/>
      <c r="BU585" s="7"/>
      <c r="BV585" s="8">
        <f>SUM(BQ585:BU585)</f>
        <v>0</v>
      </c>
      <c r="BX585" s="6"/>
      <c r="BY585" s="7"/>
      <c r="BZ585" s="7"/>
      <c r="CA585" s="7"/>
      <c r="CB585" s="7"/>
      <c r="CC585" s="8">
        <f>SUM(BX585:CB585)</f>
        <v>0</v>
      </c>
      <c r="CE585" s="28">
        <f t="shared" si="2660"/>
        <v>0</v>
      </c>
      <c r="CF585" s="29">
        <f t="shared" si="2661"/>
        <v>0</v>
      </c>
      <c r="CG585" s="29">
        <f t="shared" si="2662"/>
        <v>0</v>
      </c>
      <c r="CH585" s="29">
        <f t="shared" si="2663"/>
        <v>0</v>
      </c>
      <c r="CI585" s="29">
        <f t="shared" si="2664"/>
        <v>0</v>
      </c>
      <c r="CJ585" s="8">
        <f>SUM(CE585:CI585)</f>
        <v>0</v>
      </c>
      <c r="CL585" s="6"/>
      <c r="CM585" s="7"/>
      <c r="CN585" s="7"/>
      <c r="CO585" s="7"/>
      <c r="CP585" s="7"/>
      <c r="CQ585" s="8">
        <f>SUM(CL585:CP585)</f>
        <v>0</v>
      </c>
      <c r="CS585" s="6"/>
      <c r="CT585" s="7"/>
      <c r="CU585" s="7"/>
      <c r="CV585" s="7"/>
      <c r="CW585" s="7"/>
      <c r="CX585" s="8">
        <f t="shared" si="2668"/>
        <v>0</v>
      </c>
      <c r="CZ585" s="6"/>
      <c r="DA585" s="7"/>
      <c r="DB585" s="7"/>
      <c r="DC585" s="7"/>
      <c r="DD585" s="7"/>
      <c r="DE585" s="8">
        <f t="shared" si="2669"/>
        <v>0</v>
      </c>
    </row>
    <row r="586" spans="2:110" ht="14" thickBot="1">
      <c r="C586" s="567"/>
      <c r="E586" s="5" t="s">
        <v>62</v>
      </c>
      <c r="F586" s="6"/>
      <c r="G586" s="7"/>
      <c r="H586" s="7"/>
      <c r="I586" s="7"/>
      <c r="J586" s="7"/>
      <c r="K586" s="8">
        <f t="shared" si="2665"/>
        <v>0</v>
      </c>
      <c r="M586" s="6"/>
      <c r="N586" s="7"/>
      <c r="O586" s="7"/>
      <c r="P586" s="7"/>
      <c r="Q586" s="7"/>
      <c r="R586" s="8">
        <f t="shared" si="2666"/>
        <v>0</v>
      </c>
      <c r="T586" s="6"/>
      <c r="U586" s="7"/>
      <c r="V586" s="7"/>
      <c r="W586" s="7"/>
      <c r="X586" s="7"/>
      <c r="Y586" s="8">
        <f t="shared" si="2667"/>
        <v>0</v>
      </c>
      <c r="AA586" s="6"/>
      <c r="AB586" s="7"/>
      <c r="AC586" s="7"/>
      <c r="AD586" s="7"/>
      <c r="AE586" s="7"/>
      <c r="AF586" s="8">
        <f>SUM(AA586:AE586)</f>
        <v>0</v>
      </c>
      <c r="AH586" s="6"/>
      <c r="AI586" s="7"/>
      <c r="AJ586" s="7"/>
      <c r="AK586" s="7"/>
      <c r="AL586" s="7"/>
      <c r="AM586" s="8">
        <f>SUM(AH586:AL586)</f>
        <v>0</v>
      </c>
      <c r="AO586" s="6"/>
      <c r="AP586" s="7"/>
      <c r="AQ586" s="7"/>
      <c r="AR586" s="7"/>
      <c r="AS586" s="7"/>
      <c r="AT586" s="8">
        <f>SUM(AO586:AS586)</f>
        <v>0</v>
      </c>
      <c r="AV586" s="6"/>
      <c r="AW586" s="7"/>
      <c r="AX586" s="7"/>
      <c r="AY586" s="7"/>
      <c r="AZ586" s="7"/>
      <c r="BA586" s="8">
        <f>SUM(AV586:AZ586)</f>
        <v>0</v>
      </c>
      <c r="BC586" s="6"/>
      <c r="BD586" s="7"/>
      <c r="BE586" s="7"/>
      <c r="BF586" s="7"/>
      <c r="BG586" s="7"/>
      <c r="BH586" s="8">
        <f>SUM(BC586:BG586)</f>
        <v>0</v>
      </c>
      <c r="BJ586" s="6"/>
      <c r="BK586" s="7"/>
      <c r="BL586" s="7"/>
      <c r="BM586" s="7"/>
      <c r="BN586" s="7"/>
      <c r="BO586" s="8">
        <f>SUM(BJ586:BN586)</f>
        <v>0</v>
      </c>
      <c r="BQ586" s="6"/>
      <c r="BR586" s="7"/>
      <c r="BS586" s="7"/>
      <c r="BT586" s="7"/>
      <c r="BU586" s="7"/>
      <c r="BV586" s="8">
        <f>SUM(BQ586:BU586)</f>
        <v>0</v>
      </c>
      <c r="BX586" s="6"/>
      <c r="BY586" s="7"/>
      <c r="BZ586" s="7"/>
      <c r="CA586" s="7"/>
      <c r="CB586" s="7"/>
      <c r="CC586" s="8">
        <f>SUM(BX586:CB586)</f>
        <v>0</v>
      </c>
      <c r="CE586" s="493">
        <f t="shared" si="2660"/>
        <v>0</v>
      </c>
      <c r="CF586" s="494">
        <f t="shared" si="2661"/>
        <v>0</v>
      </c>
      <c r="CG586" s="494">
        <f t="shared" si="2662"/>
        <v>0</v>
      </c>
      <c r="CH586" s="494">
        <f t="shared" si="2663"/>
        <v>0</v>
      </c>
      <c r="CI586" s="494">
        <f t="shared" si="2664"/>
        <v>0</v>
      </c>
      <c r="CJ586" s="495">
        <f>SUM(CE586:CI586)</f>
        <v>0</v>
      </c>
      <c r="CL586" s="6"/>
      <c r="CM586" s="7"/>
      <c r="CN586" s="7"/>
      <c r="CO586" s="7"/>
      <c r="CP586" s="7"/>
      <c r="CQ586" s="8">
        <f>SUM(CL586:CP586)</f>
        <v>0</v>
      </c>
      <c r="CS586" s="6"/>
      <c r="CT586" s="7"/>
      <c r="CU586" s="7"/>
      <c r="CV586" s="7"/>
      <c r="CW586" s="7"/>
      <c r="CX586" s="8">
        <f t="shared" si="2668"/>
        <v>0</v>
      </c>
      <c r="CZ586" s="6"/>
      <c r="DA586" s="7"/>
      <c r="DB586" s="7"/>
      <c r="DC586" s="7"/>
      <c r="DD586" s="7"/>
      <c r="DE586" s="8">
        <f t="shared" si="2669"/>
        <v>0</v>
      </c>
    </row>
    <row r="587" spans="2:110" ht="14" thickBot="1">
      <c r="C587" s="554"/>
      <c r="E587" s="9"/>
      <c r="F587" s="10">
        <f>SUM(F583:F586)</f>
        <v>0</v>
      </c>
      <c r="G587" s="11">
        <f t="shared" ref="G587:J587" si="2670">SUM(G583:G586)</f>
        <v>0</v>
      </c>
      <c r="H587" s="11">
        <f t="shared" si="2670"/>
        <v>0</v>
      </c>
      <c r="I587" s="11">
        <f t="shared" si="2670"/>
        <v>0</v>
      </c>
      <c r="J587" s="61">
        <f t="shared" si="2670"/>
        <v>0</v>
      </c>
      <c r="K587" s="25">
        <f>SUM(K583:K586)</f>
        <v>0</v>
      </c>
      <c r="M587" s="10">
        <f>SUM(M583:M586)</f>
        <v>0</v>
      </c>
      <c r="N587" s="11">
        <f t="shared" ref="N587:Q587" si="2671">SUM(N583:N586)</f>
        <v>0</v>
      </c>
      <c r="O587" s="11">
        <f t="shared" si="2671"/>
        <v>0</v>
      </c>
      <c r="P587" s="11">
        <f t="shared" si="2671"/>
        <v>0</v>
      </c>
      <c r="Q587" s="11">
        <f t="shared" si="2671"/>
        <v>0</v>
      </c>
      <c r="R587" s="25">
        <f>SUM(R583:R586)</f>
        <v>0</v>
      </c>
      <c r="T587" s="10">
        <f>SUM(T583:T586)</f>
        <v>0</v>
      </c>
      <c r="U587" s="11">
        <f t="shared" ref="U587:X587" si="2672">SUM(U583:U586)</f>
        <v>0</v>
      </c>
      <c r="V587" s="11">
        <f t="shared" si="2672"/>
        <v>0</v>
      </c>
      <c r="W587" s="11">
        <f t="shared" si="2672"/>
        <v>0</v>
      </c>
      <c r="X587" s="11">
        <f t="shared" si="2672"/>
        <v>0</v>
      </c>
      <c r="Y587" s="25">
        <f>SUM(Y583:Y586)</f>
        <v>0</v>
      </c>
      <c r="AA587" s="10">
        <f>SUM(AA583:AA586)</f>
        <v>0</v>
      </c>
      <c r="AB587" s="11">
        <f t="shared" ref="AB587:AE587" si="2673">SUM(AB583:AB586)</f>
        <v>0</v>
      </c>
      <c r="AC587" s="11">
        <f t="shared" si="2673"/>
        <v>0</v>
      </c>
      <c r="AD587" s="11">
        <f t="shared" si="2673"/>
        <v>0</v>
      </c>
      <c r="AE587" s="11">
        <f t="shared" si="2673"/>
        <v>0</v>
      </c>
      <c r="AF587" s="25">
        <f>SUM(AF583:AF586)</f>
        <v>0</v>
      </c>
      <c r="AH587" s="10">
        <f t="shared" ref="AH587:AM587" si="2674">SUM(AH583:AH586)</f>
        <v>0</v>
      </c>
      <c r="AI587" s="11">
        <f t="shared" si="2674"/>
        <v>0</v>
      </c>
      <c r="AJ587" s="11">
        <f t="shared" si="2674"/>
        <v>0</v>
      </c>
      <c r="AK587" s="11">
        <f t="shared" si="2674"/>
        <v>0</v>
      </c>
      <c r="AL587" s="11">
        <f t="shared" si="2674"/>
        <v>0</v>
      </c>
      <c r="AM587" s="25">
        <f t="shared" si="2674"/>
        <v>0</v>
      </c>
      <c r="AO587" s="10">
        <f t="shared" ref="AO587:AT587" si="2675">SUM(AO583:AO586)</f>
        <v>0</v>
      </c>
      <c r="AP587" s="11">
        <f t="shared" si="2675"/>
        <v>0</v>
      </c>
      <c r="AQ587" s="11">
        <f t="shared" si="2675"/>
        <v>0</v>
      </c>
      <c r="AR587" s="11">
        <f t="shared" si="2675"/>
        <v>0</v>
      </c>
      <c r="AS587" s="11">
        <f t="shared" si="2675"/>
        <v>0</v>
      </c>
      <c r="AT587" s="25">
        <f t="shared" si="2675"/>
        <v>0</v>
      </c>
      <c r="AV587" s="10">
        <f t="shared" ref="AV587:BA587" si="2676">SUM(AV583:AV586)</f>
        <v>0</v>
      </c>
      <c r="AW587" s="11">
        <f t="shared" si="2676"/>
        <v>0</v>
      </c>
      <c r="AX587" s="11">
        <f t="shared" si="2676"/>
        <v>0</v>
      </c>
      <c r="AY587" s="11">
        <f t="shared" si="2676"/>
        <v>0</v>
      </c>
      <c r="AZ587" s="11">
        <f t="shared" si="2676"/>
        <v>0</v>
      </c>
      <c r="BA587" s="25">
        <f t="shared" si="2676"/>
        <v>0</v>
      </c>
      <c r="BC587" s="10">
        <f t="shared" ref="BC587:BH587" si="2677">SUM(BC583:BC586)</f>
        <v>0</v>
      </c>
      <c r="BD587" s="11">
        <f t="shared" si="2677"/>
        <v>0</v>
      </c>
      <c r="BE587" s="11">
        <f t="shared" si="2677"/>
        <v>0</v>
      </c>
      <c r="BF587" s="11">
        <f t="shared" si="2677"/>
        <v>0</v>
      </c>
      <c r="BG587" s="11">
        <f t="shared" si="2677"/>
        <v>0</v>
      </c>
      <c r="BH587" s="25">
        <f t="shared" si="2677"/>
        <v>0</v>
      </c>
      <c r="BJ587" s="10">
        <f t="shared" ref="BJ587:BO587" si="2678">SUM(BJ583:BJ586)</f>
        <v>0</v>
      </c>
      <c r="BK587" s="11">
        <f t="shared" si="2678"/>
        <v>0</v>
      </c>
      <c r="BL587" s="11">
        <f t="shared" si="2678"/>
        <v>0</v>
      </c>
      <c r="BM587" s="11">
        <f t="shared" si="2678"/>
        <v>0</v>
      </c>
      <c r="BN587" s="11">
        <f t="shared" si="2678"/>
        <v>0</v>
      </c>
      <c r="BO587" s="25">
        <f t="shared" si="2678"/>
        <v>0</v>
      </c>
      <c r="BQ587" s="10">
        <f t="shared" ref="BQ587:BV587" si="2679">SUM(BQ583:BQ586)</f>
        <v>0</v>
      </c>
      <c r="BR587" s="11">
        <f t="shared" si="2679"/>
        <v>0</v>
      </c>
      <c r="BS587" s="11">
        <f t="shared" si="2679"/>
        <v>0</v>
      </c>
      <c r="BT587" s="11">
        <f t="shared" si="2679"/>
        <v>0</v>
      </c>
      <c r="BU587" s="11">
        <f t="shared" si="2679"/>
        <v>0</v>
      </c>
      <c r="BV587" s="25">
        <f t="shared" si="2679"/>
        <v>0</v>
      </c>
      <c r="BX587" s="10">
        <f t="shared" ref="BX587:CC587" si="2680">SUM(BX583:BX586)</f>
        <v>0</v>
      </c>
      <c r="BY587" s="11">
        <f t="shared" si="2680"/>
        <v>0</v>
      </c>
      <c r="BZ587" s="11">
        <f t="shared" si="2680"/>
        <v>0</v>
      </c>
      <c r="CA587" s="11">
        <f t="shared" si="2680"/>
        <v>0</v>
      </c>
      <c r="CB587" s="11">
        <f t="shared" si="2680"/>
        <v>0</v>
      </c>
      <c r="CC587" s="25">
        <f t="shared" si="2680"/>
        <v>0</v>
      </c>
      <c r="CE587" s="62">
        <f t="shared" ref="CE587:CJ587" si="2681">SUM(CE583:CE586)</f>
        <v>0</v>
      </c>
      <c r="CF587" s="63">
        <f t="shared" si="2681"/>
        <v>0</v>
      </c>
      <c r="CG587" s="63">
        <f t="shared" si="2681"/>
        <v>0</v>
      </c>
      <c r="CH587" s="63">
        <f t="shared" si="2681"/>
        <v>0</v>
      </c>
      <c r="CI587" s="63">
        <f t="shared" si="2681"/>
        <v>0</v>
      </c>
      <c r="CJ587" s="25">
        <f t="shared" si="2681"/>
        <v>0</v>
      </c>
      <c r="CL587" s="10">
        <f>SUM(CL583:CL586)</f>
        <v>0</v>
      </c>
      <c r="CM587" s="11">
        <f t="shared" ref="CM587:CQ587" si="2682">SUM(CM583:CM586)</f>
        <v>0</v>
      </c>
      <c r="CN587" s="11">
        <f t="shared" si="2682"/>
        <v>0</v>
      </c>
      <c r="CO587" s="11">
        <f t="shared" si="2682"/>
        <v>0</v>
      </c>
      <c r="CP587" s="11">
        <f t="shared" si="2682"/>
        <v>0</v>
      </c>
      <c r="CQ587" s="25">
        <f t="shared" si="2682"/>
        <v>0</v>
      </c>
      <c r="CS587" s="10">
        <f>SUM(CS583:CS586)</f>
        <v>0</v>
      </c>
      <c r="CT587" s="11">
        <f t="shared" ref="CT587:CW587" si="2683">SUM(CT583:CT586)</f>
        <v>0</v>
      </c>
      <c r="CU587" s="11">
        <f t="shared" si="2683"/>
        <v>0</v>
      </c>
      <c r="CV587" s="11">
        <f t="shared" si="2683"/>
        <v>0</v>
      </c>
      <c r="CW587" s="11">
        <f t="shared" si="2683"/>
        <v>0</v>
      </c>
      <c r="CX587" s="25">
        <f>SUM(CX583:CX586)</f>
        <v>0</v>
      </c>
      <c r="CZ587" s="10">
        <f>SUM(CZ583:CZ586)</f>
        <v>0</v>
      </c>
      <c r="DA587" s="11">
        <f t="shared" ref="DA587:DD587" si="2684">SUM(DA583:DA586)</f>
        <v>0</v>
      </c>
      <c r="DB587" s="11">
        <f t="shared" si="2684"/>
        <v>0</v>
      </c>
      <c r="DC587" s="11">
        <f t="shared" si="2684"/>
        <v>0</v>
      </c>
      <c r="DD587" s="11">
        <f t="shared" si="2684"/>
        <v>0</v>
      </c>
      <c r="DE587" s="25">
        <f>SUM(DE583:DE586)</f>
        <v>0</v>
      </c>
    </row>
    <row r="588" spans="2:110" ht="10.4" customHeight="1" thickBot="1"/>
    <row r="589" spans="2:110">
      <c r="C589" s="553">
        <v>2025</v>
      </c>
      <c r="E589" s="13" t="s">
        <v>59</v>
      </c>
      <c r="F589" s="21">
        <f>CE583</f>
        <v>0</v>
      </c>
      <c r="G589" s="22">
        <f t="shared" ref="G589:G592" si="2685">CF583</f>
        <v>0</v>
      </c>
      <c r="H589" s="22">
        <f t="shared" ref="H589:H592" si="2686">CG583</f>
        <v>0</v>
      </c>
      <c r="I589" s="22">
        <f t="shared" ref="I589:I592" si="2687">CH583</f>
        <v>0</v>
      </c>
      <c r="J589" s="22">
        <f t="shared" ref="J589:J592" si="2688">CI583</f>
        <v>0</v>
      </c>
      <c r="K589" s="15">
        <f>SUM(F589:J589)</f>
        <v>0</v>
      </c>
      <c r="M589" s="2"/>
      <c r="N589" s="3"/>
      <c r="O589" s="3"/>
      <c r="P589" s="3"/>
      <c r="Q589" s="3"/>
      <c r="R589" s="15">
        <f>SUM(M589:Q589)</f>
        <v>0</v>
      </c>
      <c r="T589" s="2"/>
      <c r="U589" s="3"/>
      <c r="V589" s="3"/>
      <c r="W589" s="3"/>
      <c r="X589" s="3"/>
      <c r="Y589" s="15">
        <f>SUM(T589:X589)</f>
        <v>0</v>
      </c>
      <c r="AA589" s="2"/>
      <c r="AB589" s="3"/>
      <c r="AC589" s="3"/>
      <c r="AD589" s="3"/>
      <c r="AE589" s="3"/>
      <c r="AF589" s="15">
        <f>SUM(AA589:AE589)</f>
        <v>0</v>
      </c>
      <c r="AH589" s="2"/>
      <c r="AI589" s="3"/>
      <c r="AJ589" s="3"/>
      <c r="AK589" s="3"/>
      <c r="AL589" s="3"/>
      <c r="AM589" s="15">
        <f>SUM(AH589:AL589)</f>
        <v>0</v>
      </c>
      <c r="AO589" s="2"/>
      <c r="AP589" s="3"/>
      <c r="AQ589" s="3"/>
      <c r="AR589" s="3"/>
      <c r="AS589" s="3"/>
      <c r="AT589" s="15">
        <f>SUM(AO589:AS589)</f>
        <v>0</v>
      </c>
      <c r="AV589" s="2"/>
      <c r="AW589" s="3"/>
      <c r="AX589" s="3"/>
      <c r="AY589" s="3"/>
      <c r="AZ589" s="3"/>
      <c r="BA589" s="15">
        <f>SUM(AV589:AZ589)</f>
        <v>0</v>
      </c>
      <c r="BC589" s="2"/>
      <c r="BD589" s="3"/>
      <c r="BE589" s="3"/>
      <c r="BF589" s="3"/>
      <c r="BG589" s="3"/>
      <c r="BH589" s="15">
        <f>SUM(BC589:BG589)</f>
        <v>0</v>
      </c>
      <c r="BJ589" s="2"/>
      <c r="BK589" s="3"/>
      <c r="BL589" s="3"/>
      <c r="BM589" s="3"/>
      <c r="BN589" s="3"/>
      <c r="BO589" s="15">
        <f>SUM(BJ589:BN589)</f>
        <v>0</v>
      </c>
      <c r="BQ589" s="2"/>
      <c r="BR589" s="3"/>
      <c r="BS589" s="3"/>
      <c r="BT589" s="3"/>
      <c r="BU589" s="3"/>
      <c r="BV589" s="15">
        <f>SUM(BQ589:BU589)</f>
        <v>0</v>
      </c>
      <c r="BX589" s="2"/>
      <c r="BY589" s="3"/>
      <c r="BZ589" s="3"/>
      <c r="CA589" s="3"/>
      <c r="CB589" s="3"/>
      <c r="CC589" s="15">
        <f>SUM(BX589:CB589)</f>
        <v>0</v>
      </c>
      <c r="CE589" s="26">
        <f t="shared" ref="CE589:CE592" si="2689">F589+M589+T589+AA589+AH589+AO589+AV589+BC589+BJ589+BQ589+BX589</f>
        <v>0</v>
      </c>
      <c r="CF589" s="27">
        <f t="shared" ref="CF589:CF592" si="2690">G589+N589+U589+AB589+AI589+AP589+AW589+BD589+BK589+BR589+BY589</f>
        <v>0</v>
      </c>
      <c r="CG589" s="27">
        <f t="shared" ref="CG589:CG592" si="2691">H589+O589+V589+AC589+AJ589+AQ589+AX589+BE589+BL589+BS589+BZ589</f>
        <v>0</v>
      </c>
      <c r="CH589" s="27">
        <f t="shared" ref="CH589:CH592" si="2692">I589+P589+W589+AD589+AK589+AR589+AY589+BF589+BM589+BT589+CA589</f>
        <v>0</v>
      </c>
      <c r="CI589" s="27">
        <f t="shared" ref="CI589:CI592" si="2693">J589+Q589+X589+AE589+AL589+AS589+AZ589+BG589+BN589+BU589+CB589</f>
        <v>0</v>
      </c>
      <c r="CJ589" s="4">
        <f>SUM(CE589:CI589)</f>
        <v>0</v>
      </c>
      <c r="CL589" s="2"/>
      <c r="CM589" s="3"/>
      <c r="CN589" s="3"/>
      <c r="CO589" s="3"/>
      <c r="CP589" s="3"/>
      <c r="CQ589" s="15">
        <f>SUM(CL589:CP589)</f>
        <v>0</v>
      </c>
      <c r="CS589" s="2"/>
      <c r="CT589" s="3"/>
      <c r="CU589" s="3"/>
      <c r="CV589" s="3"/>
      <c r="CW589" s="3"/>
      <c r="CX589" s="4">
        <f>SUM(CS589:CW589)</f>
        <v>0</v>
      </c>
      <c r="CZ589" s="2"/>
      <c r="DA589" s="3"/>
      <c r="DB589" s="3"/>
      <c r="DC589" s="3"/>
      <c r="DD589" s="3"/>
      <c r="DE589" s="15">
        <f>SUM(CZ589:DD589)</f>
        <v>0</v>
      </c>
    </row>
    <row r="590" spans="2:110">
      <c r="C590" s="567"/>
      <c r="E590" s="14" t="s">
        <v>60</v>
      </c>
      <c r="F590" s="23">
        <f t="shared" ref="F590:F592" si="2694">CE584</f>
        <v>0</v>
      </c>
      <c r="G590" s="24">
        <f t="shared" si="2685"/>
        <v>0</v>
      </c>
      <c r="H590" s="24">
        <f t="shared" si="2686"/>
        <v>0</v>
      </c>
      <c r="I590" s="24">
        <f t="shared" si="2687"/>
        <v>0</v>
      </c>
      <c r="J590" s="24">
        <f t="shared" si="2688"/>
        <v>0</v>
      </c>
      <c r="K590" s="16">
        <f t="shared" ref="K590:K592" si="2695">SUM(F590:J590)</f>
        <v>0</v>
      </c>
      <c r="M590" s="6"/>
      <c r="N590" s="7"/>
      <c r="O590" s="7"/>
      <c r="P590" s="7"/>
      <c r="Q590" s="7"/>
      <c r="R590" s="16">
        <f t="shared" ref="R590:R592" si="2696">SUM(M590:Q590)</f>
        <v>0</v>
      </c>
      <c r="T590" s="6"/>
      <c r="U590" s="7"/>
      <c r="V590" s="7"/>
      <c r="W590" s="7"/>
      <c r="X590" s="7"/>
      <c r="Y590" s="16">
        <f t="shared" ref="Y590:Y592" si="2697">SUM(T590:X590)</f>
        <v>0</v>
      </c>
      <c r="AA590" s="6"/>
      <c r="AB590" s="7"/>
      <c r="AC590" s="7"/>
      <c r="AD590" s="7"/>
      <c r="AE590" s="7"/>
      <c r="AF590" s="16">
        <f>SUM(AA590:AE590)</f>
        <v>0</v>
      </c>
      <c r="AH590" s="6"/>
      <c r="AI590" s="7"/>
      <c r="AJ590" s="7"/>
      <c r="AK590" s="7"/>
      <c r="AL590" s="7"/>
      <c r="AM590" s="16">
        <f>SUM(AH590:AL590)</f>
        <v>0</v>
      </c>
      <c r="AO590" s="6"/>
      <c r="AP590" s="7"/>
      <c r="AQ590" s="7"/>
      <c r="AR590" s="7"/>
      <c r="AS590" s="7"/>
      <c r="AT590" s="16">
        <f>SUM(AO590:AS590)</f>
        <v>0</v>
      </c>
      <c r="AV590" s="6"/>
      <c r="AW590" s="7"/>
      <c r="AX590" s="7"/>
      <c r="AY590" s="7"/>
      <c r="AZ590" s="7"/>
      <c r="BA590" s="16">
        <f>SUM(AV590:AZ590)</f>
        <v>0</v>
      </c>
      <c r="BC590" s="6"/>
      <c r="BD590" s="7"/>
      <c r="BE590" s="7"/>
      <c r="BF590" s="7"/>
      <c r="BG590" s="7"/>
      <c r="BH590" s="16">
        <f>SUM(BC590:BG590)</f>
        <v>0</v>
      </c>
      <c r="BJ590" s="6"/>
      <c r="BK590" s="7"/>
      <c r="BL590" s="7"/>
      <c r="BM590" s="7"/>
      <c r="BN590" s="7"/>
      <c r="BO590" s="16">
        <f>SUM(BJ590:BN590)</f>
        <v>0</v>
      </c>
      <c r="BQ590" s="6"/>
      <c r="BR590" s="7"/>
      <c r="BS590" s="7"/>
      <c r="BT590" s="7"/>
      <c r="BU590" s="7"/>
      <c r="BV590" s="16">
        <f>SUM(BQ590:BU590)</f>
        <v>0</v>
      </c>
      <c r="BX590" s="6"/>
      <c r="BY590" s="7"/>
      <c r="BZ590" s="7"/>
      <c r="CA590" s="7"/>
      <c r="CB590" s="7"/>
      <c r="CC590" s="16">
        <f>SUM(BX590:CB590)</f>
        <v>0</v>
      </c>
      <c r="CE590" s="28">
        <f t="shared" si="2689"/>
        <v>0</v>
      </c>
      <c r="CF590" s="29">
        <f t="shared" si="2690"/>
        <v>0</v>
      </c>
      <c r="CG590" s="29">
        <f t="shared" si="2691"/>
        <v>0</v>
      </c>
      <c r="CH590" s="29">
        <f t="shared" si="2692"/>
        <v>0</v>
      </c>
      <c r="CI590" s="29">
        <f t="shared" si="2693"/>
        <v>0</v>
      </c>
      <c r="CJ590" s="8">
        <f>SUM(CE590:CI590)</f>
        <v>0</v>
      </c>
      <c r="CL590" s="6"/>
      <c r="CM590" s="7"/>
      <c r="CN590" s="7"/>
      <c r="CO590" s="7"/>
      <c r="CP590" s="7"/>
      <c r="CQ590" s="16">
        <f>SUM(CL590:CP590)</f>
        <v>0</v>
      </c>
      <c r="CS590" s="6"/>
      <c r="CT590" s="7"/>
      <c r="CU590" s="7"/>
      <c r="CV590" s="7"/>
      <c r="CW590" s="7"/>
      <c r="CX590" s="8">
        <f t="shared" ref="CX590:CX592" si="2698">SUM(CS590:CW590)</f>
        <v>0</v>
      </c>
      <c r="CZ590" s="6"/>
      <c r="DA590" s="7"/>
      <c r="DB590" s="7"/>
      <c r="DC590" s="7"/>
      <c r="DD590" s="7"/>
      <c r="DE590" s="16">
        <f t="shared" ref="DE590:DE592" si="2699">SUM(CZ590:DD590)</f>
        <v>0</v>
      </c>
    </row>
    <row r="591" spans="2:110">
      <c r="C591" s="567"/>
      <c r="E591" s="14" t="s">
        <v>61</v>
      </c>
      <c r="F591" s="23">
        <f t="shared" si="2694"/>
        <v>0</v>
      </c>
      <c r="G591" s="24">
        <f t="shared" si="2685"/>
        <v>0</v>
      </c>
      <c r="H591" s="24">
        <f t="shared" si="2686"/>
        <v>0</v>
      </c>
      <c r="I591" s="24">
        <f t="shared" si="2687"/>
        <v>0</v>
      </c>
      <c r="J591" s="24">
        <f t="shared" si="2688"/>
        <v>0</v>
      </c>
      <c r="K591" s="16">
        <f t="shared" si="2695"/>
        <v>0</v>
      </c>
      <c r="M591" s="6"/>
      <c r="N591" s="7"/>
      <c r="O591" s="7"/>
      <c r="P591" s="7"/>
      <c r="Q591" s="7"/>
      <c r="R591" s="16">
        <f t="shared" si="2696"/>
        <v>0</v>
      </c>
      <c r="T591" s="6"/>
      <c r="U591" s="7"/>
      <c r="V591" s="7"/>
      <c r="W591" s="7"/>
      <c r="X591" s="7"/>
      <c r="Y591" s="16">
        <f t="shared" si="2697"/>
        <v>0</v>
      </c>
      <c r="AA591" s="6"/>
      <c r="AB591" s="7"/>
      <c r="AC591" s="7"/>
      <c r="AD591" s="7"/>
      <c r="AE591" s="7"/>
      <c r="AF591" s="16">
        <f>SUM(AA591:AE591)</f>
        <v>0</v>
      </c>
      <c r="AH591" s="6"/>
      <c r="AI591" s="7"/>
      <c r="AJ591" s="7"/>
      <c r="AK591" s="7"/>
      <c r="AL591" s="7"/>
      <c r="AM591" s="16">
        <f>SUM(AH591:AL591)</f>
        <v>0</v>
      </c>
      <c r="AO591" s="6"/>
      <c r="AP591" s="7"/>
      <c r="AQ591" s="7"/>
      <c r="AR591" s="7"/>
      <c r="AS591" s="7"/>
      <c r="AT591" s="16">
        <f>SUM(AO591:AS591)</f>
        <v>0</v>
      </c>
      <c r="AV591" s="6"/>
      <c r="AW591" s="7"/>
      <c r="AX591" s="7"/>
      <c r="AY591" s="7"/>
      <c r="AZ591" s="7"/>
      <c r="BA591" s="16">
        <f>SUM(AV591:AZ591)</f>
        <v>0</v>
      </c>
      <c r="BC591" s="6"/>
      <c r="BD591" s="7"/>
      <c r="BE591" s="7"/>
      <c r="BF591" s="7"/>
      <c r="BG591" s="7"/>
      <c r="BH591" s="16">
        <f>SUM(BC591:BG591)</f>
        <v>0</v>
      </c>
      <c r="BJ591" s="6"/>
      <c r="BK591" s="7"/>
      <c r="BL591" s="7"/>
      <c r="BM591" s="7"/>
      <c r="BN591" s="7"/>
      <c r="BO591" s="16">
        <f>SUM(BJ591:BN591)</f>
        <v>0</v>
      </c>
      <c r="BQ591" s="6"/>
      <c r="BR591" s="7"/>
      <c r="BS591" s="7"/>
      <c r="BT591" s="7"/>
      <c r="BU591" s="7"/>
      <c r="BV591" s="16">
        <f>SUM(BQ591:BU591)</f>
        <v>0</v>
      </c>
      <c r="BX591" s="6"/>
      <c r="BY591" s="7"/>
      <c r="BZ591" s="7"/>
      <c r="CA591" s="7"/>
      <c r="CB591" s="7"/>
      <c r="CC591" s="16">
        <f>SUM(BX591:CB591)</f>
        <v>0</v>
      </c>
      <c r="CE591" s="28">
        <f t="shared" si="2689"/>
        <v>0</v>
      </c>
      <c r="CF591" s="29">
        <f t="shared" si="2690"/>
        <v>0</v>
      </c>
      <c r="CG591" s="29">
        <f t="shared" si="2691"/>
        <v>0</v>
      </c>
      <c r="CH591" s="29">
        <f t="shared" si="2692"/>
        <v>0</v>
      </c>
      <c r="CI591" s="29">
        <f t="shared" si="2693"/>
        <v>0</v>
      </c>
      <c r="CJ591" s="8">
        <f>SUM(CE591:CI591)</f>
        <v>0</v>
      </c>
      <c r="CL591" s="6"/>
      <c r="CM591" s="7"/>
      <c r="CN591" s="7"/>
      <c r="CO591" s="7"/>
      <c r="CP591" s="7"/>
      <c r="CQ591" s="16">
        <f>SUM(CL591:CP591)</f>
        <v>0</v>
      </c>
      <c r="CS591" s="6"/>
      <c r="CT591" s="7"/>
      <c r="CU591" s="7"/>
      <c r="CV591" s="7"/>
      <c r="CW591" s="7"/>
      <c r="CX591" s="8">
        <f t="shared" si="2698"/>
        <v>0</v>
      </c>
      <c r="CZ591" s="6"/>
      <c r="DA591" s="7"/>
      <c r="DB591" s="7"/>
      <c r="DC591" s="7"/>
      <c r="DD591" s="7"/>
      <c r="DE591" s="16">
        <f t="shared" si="2699"/>
        <v>0</v>
      </c>
    </row>
    <row r="592" spans="2:110" ht="14" thickBot="1">
      <c r="C592" s="567"/>
      <c r="E592" s="14" t="s">
        <v>62</v>
      </c>
      <c r="F592" s="23">
        <f t="shared" si="2694"/>
        <v>0</v>
      </c>
      <c r="G592" s="24">
        <f t="shared" si="2685"/>
        <v>0</v>
      </c>
      <c r="H592" s="24">
        <f t="shared" si="2686"/>
        <v>0</v>
      </c>
      <c r="I592" s="24">
        <f t="shared" si="2687"/>
        <v>0</v>
      </c>
      <c r="J592" s="24">
        <f t="shared" si="2688"/>
        <v>0</v>
      </c>
      <c r="K592" s="16">
        <f t="shared" si="2695"/>
        <v>0</v>
      </c>
      <c r="M592" s="6"/>
      <c r="N592" s="7"/>
      <c r="O592" s="7"/>
      <c r="P592" s="7"/>
      <c r="Q592" s="7"/>
      <c r="R592" s="16">
        <f t="shared" si="2696"/>
        <v>0</v>
      </c>
      <c r="T592" s="6"/>
      <c r="U592" s="7"/>
      <c r="V592" s="7"/>
      <c r="W592" s="7"/>
      <c r="X592" s="7"/>
      <c r="Y592" s="16">
        <f t="shared" si="2697"/>
        <v>0</v>
      </c>
      <c r="AA592" s="6"/>
      <c r="AB592" s="7"/>
      <c r="AC592" s="7"/>
      <c r="AD592" s="7"/>
      <c r="AE592" s="7"/>
      <c r="AF592" s="16">
        <f>SUM(AA592:AE592)</f>
        <v>0</v>
      </c>
      <c r="AH592" s="6"/>
      <c r="AI592" s="7"/>
      <c r="AJ592" s="7"/>
      <c r="AK592" s="7"/>
      <c r="AL592" s="7"/>
      <c r="AM592" s="16">
        <f>SUM(AH592:AL592)</f>
        <v>0</v>
      </c>
      <c r="AO592" s="6"/>
      <c r="AP592" s="7"/>
      <c r="AQ592" s="7"/>
      <c r="AR592" s="7"/>
      <c r="AS592" s="7"/>
      <c r="AT592" s="16">
        <f>SUM(AO592:AS592)</f>
        <v>0</v>
      </c>
      <c r="AV592" s="6"/>
      <c r="AW592" s="7"/>
      <c r="AX592" s="7"/>
      <c r="AY592" s="7"/>
      <c r="AZ592" s="7"/>
      <c r="BA592" s="16">
        <f>SUM(AV592:AZ592)</f>
        <v>0</v>
      </c>
      <c r="BC592" s="6"/>
      <c r="BD592" s="7"/>
      <c r="BE592" s="7"/>
      <c r="BF592" s="7"/>
      <c r="BG592" s="7"/>
      <c r="BH592" s="16">
        <f>SUM(BC592:BG592)</f>
        <v>0</v>
      </c>
      <c r="BJ592" s="6"/>
      <c r="BK592" s="7"/>
      <c r="BL592" s="7"/>
      <c r="BM592" s="7"/>
      <c r="BN592" s="7"/>
      <c r="BO592" s="16">
        <f>SUM(BJ592:BN592)</f>
        <v>0</v>
      </c>
      <c r="BQ592" s="6"/>
      <c r="BR592" s="7"/>
      <c r="BS592" s="7"/>
      <c r="BT592" s="7"/>
      <c r="BU592" s="7"/>
      <c r="BV592" s="16">
        <f>SUM(BQ592:BU592)</f>
        <v>0</v>
      </c>
      <c r="BX592" s="6"/>
      <c r="BY592" s="7"/>
      <c r="BZ592" s="7"/>
      <c r="CA592" s="7"/>
      <c r="CB592" s="7"/>
      <c r="CC592" s="16">
        <f>SUM(BX592:CB592)</f>
        <v>0</v>
      </c>
      <c r="CE592" s="493">
        <f t="shared" si="2689"/>
        <v>0</v>
      </c>
      <c r="CF592" s="494">
        <f t="shared" si="2690"/>
        <v>0</v>
      </c>
      <c r="CG592" s="494">
        <f t="shared" si="2691"/>
        <v>0</v>
      </c>
      <c r="CH592" s="494">
        <f t="shared" si="2692"/>
        <v>0</v>
      </c>
      <c r="CI592" s="494">
        <f t="shared" si="2693"/>
        <v>0</v>
      </c>
      <c r="CJ592" s="495">
        <f>SUM(CE592:CI592)</f>
        <v>0</v>
      </c>
      <c r="CL592" s="6"/>
      <c r="CM592" s="7"/>
      <c r="CN592" s="7"/>
      <c r="CO592" s="7"/>
      <c r="CP592" s="7"/>
      <c r="CQ592" s="16">
        <f>SUM(CL592:CP592)</f>
        <v>0</v>
      </c>
      <c r="CS592" s="6"/>
      <c r="CT592" s="7"/>
      <c r="CU592" s="7"/>
      <c r="CV592" s="7"/>
      <c r="CW592" s="7"/>
      <c r="CX592" s="8">
        <f t="shared" si="2698"/>
        <v>0</v>
      </c>
      <c r="CZ592" s="6"/>
      <c r="DA592" s="7"/>
      <c r="DB592" s="7"/>
      <c r="DC592" s="7"/>
      <c r="DD592" s="7"/>
      <c r="DE592" s="16">
        <f t="shared" si="2699"/>
        <v>0</v>
      </c>
    </row>
    <row r="593" spans="3:109" ht="14" thickBot="1">
      <c r="C593" s="554"/>
      <c r="E593" s="17"/>
      <c r="F593" s="10">
        <f>SUM(F589:F592)</f>
        <v>0</v>
      </c>
      <c r="G593" s="11">
        <f t="shared" ref="G593:J593" si="2700">SUM(G589:G592)</f>
        <v>0</v>
      </c>
      <c r="H593" s="11">
        <f t="shared" si="2700"/>
        <v>0</v>
      </c>
      <c r="I593" s="11">
        <f t="shared" si="2700"/>
        <v>0</v>
      </c>
      <c r="J593" s="11">
        <f t="shared" si="2700"/>
        <v>0</v>
      </c>
      <c r="K593" s="25">
        <f>SUM(K589:K592)</f>
        <v>0</v>
      </c>
      <c r="M593" s="10">
        <f>SUM(M589:M592)</f>
        <v>0</v>
      </c>
      <c r="N593" s="11">
        <f t="shared" ref="N593:Q593" si="2701">SUM(N589:N592)</f>
        <v>0</v>
      </c>
      <c r="O593" s="11">
        <f t="shared" si="2701"/>
        <v>0</v>
      </c>
      <c r="P593" s="11">
        <f t="shared" si="2701"/>
        <v>0</v>
      </c>
      <c r="Q593" s="11">
        <f t="shared" si="2701"/>
        <v>0</v>
      </c>
      <c r="R593" s="25">
        <f>SUM(R589:R592)</f>
        <v>0</v>
      </c>
      <c r="T593" s="10">
        <f>SUM(T589:T592)</f>
        <v>0</v>
      </c>
      <c r="U593" s="11">
        <f t="shared" ref="U593:X593" si="2702">SUM(U589:U592)</f>
        <v>0</v>
      </c>
      <c r="V593" s="11">
        <f t="shared" si="2702"/>
        <v>0</v>
      </c>
      <c r="W593" s="11">
        <f t="shared" si="2702"/>
        <v>0</v>
      </c>
      <c r="X593" s="11">
        <f t="shared" si="2702"/>
        <v>0</v>
      </c>
      <c r="Y593" s="25">
        <f>SUM(Y589:Y592)</f>
        <v>0</v>
      </c>
      <c r="AA593" s="10">
        <f>SUM(AA589:AA592)</f>
        <v>0</v>
      </c>
      <c r="AB593" s="11">
        <f t="shared" ref="AB593:AE593" si="2703">SUM(AB589:AB592)</f>
        <v>0</v>
      </c>
      <c r="AC593" s="11">
        <f t="shared" si="2703"/>
        <v>0</v>
      </c>
      <c r="AD593" s="11">
        <f t="shared" si="2703"/>
        <v>0</v>
      </c>
      <c r="AE593" s="11">
        <f t="shared" si="2703"/>
        <v>0</v>
      </c>
      <c r="AF593" s="25">
        <f>SUM(AF589:AF592)</f>
        <v>0</v>
      </c>
      <c r="AH593" s="10">
        <f t="shared" ref="AH593:AM593" si="2704">SUM(AH589:AH592)</f>
        <v>0</v>
      </c>
      <c r="AI593" s="11">
        <f t="shared" si="2704"/>
        <v>0</v>
      </c>
      <c r="AJ593" s="11">
        <f t="shared" si="2704"/>
        <v>0</v>
      </c>
      <c r="AK593" s="11">
        <f t="shared" si="2704"/>
        <v>0</v>
      </c>
      <c r="AL593" s="11">
        <f t="shared" si="2704"/>
        <v>0</v>
      </c>
      <c r="AM593" s="25">
        <f t="shared" si="2704"/>
        <v>0</v>
      </c>
      <c r="AO593" s="10">
        <f t="shared" ref="AO593:AT593" si="2705">SUM(AO589:AO592)</f>
        <v>0</v>
      </c>
      <c r="AP593" s="11">
        <f t="shared" si="2705"/>
        <v>0</v>
      </c>
      <c r="AQ593" s="11">
        <f t="shared" si="2705"/>
        <v>0</v>
      </c>
      <c r="AR593" s="11">
        <f t="shared" si="2705"/>
        <v>0</v>
      </c>
      <c r="AS593" s="11">
        <f t="shared" si="2705"/>
        <v>0</v>
      </c>
      <c r="AT593" s="25">
        <f t="shared" si="2705"/>
        <v>0</v>
      </c>
      <c r="AV593" s="10">
        <f t="shared" ref="AV593:BA593" si="2706">SUM(AV589:AV592)</f>
        <v>0</v>
      </c>
      <c r="AW593" s="11">
        <f t="shared" si="2706"/>
        <v>0</v>
      </c>
      <c r="AX593" s="11">
        <f t="shared" si="2706"/>
        <v>0</v>
      </c>
      <c r="AY593" s="11">
        <f t="shared" si="2706"/>
        <v>0</v>
      </c>
      <c r="AZ593" s="11">
        <f t="shared" si="2706"/>
        <v>0</v>
      </c>
      <c r="BA593" s="25">
        <f t="shared" si="2706"/>
        <v>0</v>
      </c>
      <c r="BC593" s="10">
        <f t="shared" ref="BC593:BH593" si="2707">SUM(BC589:BC592)</f>
        <v>0</v>
      </c>
      <c r="BD593" s="11">
        <f t="shared" si="2707"/>
        <v>0</v>
      </c>
      <c r="BE593" s="11">
        <f t="shared" si="2707"/>
        <v>0</v>
      </c>
      <c r="BF593" s="11">
        <f t="shared" si="2707"/>
        <v>0</v>
      </c>
      <c r="BG593" s="11">
        <f t="shared" si="2707"/>
        <v>0</v>
      </c>
      <c r="BH593" s="25">
        <f t="shared" si="2707"/>
        <v>0</v>
      </c>
      <c r="BJ593" s="10">
        <f t="shared" ref="BJ593:BO593" si="2708">SUM(BJ589:BJ592)</f>
        <v>0</v>
      </c>
      <c r="BK593" s="11">
        <f t="shared" si="2708"/>
        <v>0</v>
      </c>
      <c r="BL593" s="11">
        <f t="shared" si="2708"/>
        <v>0</v>
      </c>
      <c r="BM593" s="11">
        <f t="shared" si="2708"/>
        <v>0</v>
      </c>
      <c r="BN593" s="11">
        <f t="shared" si="2708"/>
        <v>0</v>
      </c>
      <c r="BO593" s="25">
        <f t="shared" si="2708"/>
        <v>0</v>
      </c>
      <c r="BQ593" s="10">
        <f t="shared" ref="BQ593:BV593" si="2709">SUM(BQ589:BQ592)</f>
        <v>0</v>
      </c>
      <c r="BR593" s="11">
        <f t="shared" si="2709"/>
        <v>0</v>
      </c>
      <c r="BS593" s="11">
        <f t="shared" si="2709"/>
        <v>0</v>
      </c>
      <c r="BT593" s="11">
        <f t="shared" si="2709"/>
        <v>0</v>
      </c>
      <c r="BU593" s="11">
        <f t="shared" si="2709"/>
        <v>0</v>
      </c>
      <c r="BV593" s="25">
        <f t="shared" si="2709"/>
        <v>0</v>
      </c>
      <c r="BX593" s="10">
        <f t="shared" ref="BX593:CC593" si="2710">SUM(BX589:BX592)</f>
        <v>0</v>
      </c>
      <c r="BY593" s="11">
        <f t="shared" si="2710"/>
        <v>0</v>
      </c>
      <c r="BZ593" s="11">
        <f t="shared" si="2710"/>
        <v>0</v>
      </c>
      <c r="CA593" s="11">
        <f t="shared" si="2710"/>
        <v>0</v>
      </c>
      <c r="CB593" s="11">
        <f t="shared" si="2710"/>
        <v>0</v>
      </c>
      <c r="CC593" s="25">
        <f t="shared" si="2710"/>
        <v>0</v>
      </c>
      <c r="CE593" s="62">
        <f t="shared" ref="CE593:CJ593" si="2711">SUM(CE589:CE592)</f>
        <v>0</v>
      </c>
      <c r="CF593" s="63">
        <f t="shared" si="2711"/>
        <v>0</v>
      </c>
      <c r="CG593" s="63">
        <f t="shared" si="2711"/>
        <v>0</v>
      </c>
      <c r="CH593" s="63">
        <f t="shared" si="2711"/>
        <v>0</v>
      </c>
      <c r="CI593" s="63">
        <f t="shared" si="2711"/>
        <v>0</v>
      </c>
      <c r="CJ593" s="25">
        <f t="shared" si="2711"/>
        <v>0</v>
      </c>
      <c r="CL593" s="10">
        <f>SUM(CL589:CL592)</f>
        <v>0</v>
      </c>
      <c r="CM593" s="11">
        <f t="shared" ref="CM593:CQ593" si="2712">SUM(CM589:CM592)</f>
        <v>0</v>
      </c>
      <c r="CN593" s="11">
        <f t="shared" si="2712"/>
        <v>0</v>
      </c>
      <c r="CO593" s="11">
        <f t="shared" si="2712"/>
        <v>0</v>
      </c>
      <c r="CP593" s="11">
        <f t="shared" si="2712"/>
        <v>0</v>
      </c>
      <c r="CQ593" s="25">
        <f t="shared" si="2712"/>
        <v>0</v>
      </c>
      <c r="CS593" s="10">
        <f>SUM(CS589:CS592)</f>
        <v>0</v>
      </c>
      <c r="CT593" s="11">
        <f t="shared" ref="CT593:CW593" si="2713">SUM(CT589:CT592)</f>
        <v>0</v>
      </c>
      <c r="CU593" s="11">
        <f t="shared" si="2713"/>
        <v>0</v>
      </c>
      <c r="CV593" s="11">
        <f t="shared" si="2713"/>
        <v>0</v>
      </c>
      <c r="CW593" s="11">
        <f t="shared" si="2713"/>
        <v>0</v>
      </c>
      <c r="CX593" s="25">
        <f>SUM(CX589:CX592)</f>
        <v>0</v>
      </c>
      <c r="CZ593" s="10">
        <f>SUM(CZ589:CZ592)</f>
        <v>0</v>
      </c>
      <c r="DA593" s="11">
        <f t="shared" ref="DA593:DD593" si="2714">SUM(DA589:DA592)</f>
        <v>0</v>
      </c>
      <c r="DB593" s="11">
        <f t="shared" si="2714"/>
        <v>0</v>
      </c>
      <c r="DC593" s="11">
        <f t="shared" si="2714"/>
        <v>0</v>
      </c>
      <c r="DD593" s="11">
        <f t="shared" si="2714"/>
        <v>0</v>
      </c>
      <c r="DE593" s="25">
        <f>SUM(DE589:DE592)</f>
        <v>0</v>
      </c>
    </row>
    <row r="594" spans="3:109" ht="10.4" customHeight="1" thickBot="1"/>
    <row r="595" spans="3:109">
      <c r="C595" s="553">
        <v>2026</v>
      </c>
      <c r="E595" s="13" t="s">
        <v>59</v>
      </c>
      <c r="F595" s="21">
        <f>CE589</f>
        <v>0</v>
      </c>
      <c r="G595" s="22">
        <f t="shared" ref="G595:G598" si="2715">CF589</f>
        <v>0</v>
      </c>
      <c r="H595" s="22">
        <f t="shared" ref="H595:H598" si="2716">CG589</f>
        <v>0</v>
      </c>
      <c r="I595" s="22">
        <f t="shared" ref="I595:I598" si="2717">CH589</f>
        <v>0</v>
      </c>
      <c r="J595" s="22">
        <f t="shared" ref="J595:J598" si="2718">CI589</f>
        <v>0</v>
      </c>
      <c r="K595" s="4">
        <f>SUM(F595:J595)</f>
        <v>0</v>
      </c>
      <c r="M595" s="2"/>
      <c r="N595" s="3"/>
      <c r="O595" s="3"/>
      <c r="P595" s="3"/>
      <c r="Q595" s="3"/>
      <c r="R595" s="4">
        <f>SUM(M595:Q595)</f>
        <v>0</v>
      </c>
      <c r="T595" s="2"/>
      <c r="U595" s="3"/>
      <c r="V595" s="3"/>
      <c r="W595" s="3"/>
      <c r="X595" s="3"/>
      <c r="Y595" s="4">
        <f>SUM(T595:X595)</f>
        <v>0</v>
      </c>
      <c r="AA595" s="2"/>
      <c r="AB595" s="3"/>
      <c r="AC595" s="3"/>
      <c r="AD595" s="3"/>
      <c r="AE595" s="3"/>
      <c r="AF595" s="4">
        <f>SUM(AA595:AE595)</f>
        <v>0</v>
      </c>
      <c r="AH595" s="2"/>
      <c r="AI595" s="3"/>
      <c r="AJ595" s="3"/>
      <c r="AK595" s="3"/>
      <c r="AL595" s="3"/>
      <c r="AM595" s="4">
        <f>SUM(AH595:AL595)</f>
        <v>0</v>
      </c>
      <c r="AO595" s="2"/>
      <c r="AP595" s="3"/>
      <c r="AQ595" s="3"/>
      <c r="AR595" s="3"/>
      <c r="AS595" s="3"/>
      <c r="AT595" s="4">
        <f>SUM(AO595:AS595)</f>
        <v>0</v>
      </c>
      <c r="AV595" s="2"/>
      <c r="AW595" s="3"/>
      <c r="AX595" s="3"/>
      <c r="AY595" s="3"/>
      <c r="AZ595" s="3"/>
      <c r="BA595" s="4">
        <f>SUM(AV595:AZ595)</f>
        <v>0</v>
      </c>
      <c r="BC595" s="2"/>
      <c r="BD595" s="3"/>
      <c r="BE595" s="3"/>
      <c r="BF595" s="3"/>
      <c r="BG595" s="3"/>
      <c r="BH595" s="4">
        <f>SUM(BC595:BG595)</f>
        <v>0</v>
      </c>
      <c r="BJ595" s="2"/>
      <c r="BK595" s="3"/>
      <c r="BL595" s="3"/>
      <c r="BM595" s="3"/>
      <c r="BN595" s="3"/>
      <c r="BO595" s="4">
        <f>SUM(BJ595:BN595)</f>
        <v>0</v>
      </c>
      <c r="BQ595" s="2"/>
      <c r="BR595" s="3"/>
      <c r="BS595" s="3"/>
      <c r="BT595" s="3"/>
      <c r="BU595" s="3"/>
      <c r="BV595" s="4">
        <f>SUM(BQ595:BU595)</f>
        <v>0</v>
      </c>
      <c r="BX595" s="2"/>
      <c r="BY595" s="3"/>
      <c r="BZ595" s="3"/>
      <c r="CA595" s="3"/>
      <c r="CB595" s="3"/>
      <c r="CC595" s="4">
        <f>SUM(BX595:CB595)</f>
        <v>0</v>
      </c>
      <c r="CE595" s="26">
        <f t="shared" ref="CE595:CE598" si="2719">F595+M595+T595+AA595+AH595+AO595+AV595+BC595+BJ595+BQ595+BX595</f>
        <v>0</v>
      </c>
      <c r="CF595" s="27">
        <f t="shared" ref="CF595:CF598" si="2720">G595+N595+U595+AB595+AI595+AP595+AW595+BD595+BK595+BR595+BY595</f>
        <v>0</v>
      </c>
      <c r="CG595" s="27">
        <f t="shared" ref="CG595:CG598" si="2721">H595+O595+V595+AC595+AJ595+AQ595+AX595+BE595+BL595+BS595+BZ595</f>
        <v>0</v>
      </c>
      <c r="CH595" s="27">
        <f t="shared" ref="CH595:CH598" si="2722">I595+P595+W595+AD595+AK595+AR595+AY595+BF595+BM595+BT595+CA595</f>
        <v>0</v>
      </c>
      <c r="CI595" s="27">
        <f t="shared" ref="CI595:CI598" si="2723">J595+Q595+X595+AE595+AL595+AS595+AZ595+BG595+BN595+BU595+CB595</f>
        <v>0</v>
      </c>
      <c r="CJ595" s="4">
        <f>SUM(CE595:CI595)</f>
        <v>0</v>
      </c>
      <c r="CL595" s="2"/>
      <c r="CM595" s="3"/>
      <c r="CN595" s="3"/>
      <c r="CO595" s="3"/>
      <c r="CP595" s="3"/>
      <c r="CQ595" s="4">
        <f>SUM(CL595:CP595)</f>
        <v>0</v>
      </c>
      <c r="CS595" s="2"/>
      <c r="CT595" s="3"/>
      <c r="CU595" s="3"/>
      <c r="CV595" s="3"/>
      <c r="CW595" s="3"/>
      <c r="CX595" s="4">
        <f>SUM(CS595:CW595)</f>
        <v>0</v>
      </c>
      <c r="CZ595" s="2"/>
      <c r="DA595" s="3"/>
      <c r="DB595" s="3"/>
      <c r="DC595" s="3"/>
      <c r="DD595" s="3"/>
      <c r="DE595" s="4">
        <f>SUM(CZ595:DD595)</f>
        <v>0</v>
      </c>
    </row>
    <row r="596" spans="3:109">
      <c r="C596" s="567"/>
      <c r="E596" s="14" t="s">
        <v>60</v>
      </c>
      <c r="F596" s="23">
        <f t="shared" ref="F596:F598" si="2724">CE590</f>
        <v>0</v>
      </c>
      <c r="G596" s="24">
        <f t="shared" si="2715"/>
        <v>0</v>
      </c>
      <c r="H596" s="24">
        <f t="shared" si="2716"/>
        <v>0</v>
      </c>
      <c r="I596" s="24">
        <f t="shared" si="2717"/>
        <v>0</v>
      </c>
      <c r="J596" s="24">
        <f t="shared" si="2718"/>
        <v>0</v>
      </c>
      <c r="K596" s="8">
        <f t="shared" ref="K596:K598" si="2725">SUM(F596:J596)</f>
        <v>0</v>
      </c>
      <c r="M596" s="6"/>
      <c r="N596" s="7"/>
      <c r="O596" s="7"/>
      <c r="P596" s="7"/>
      <c r="Q596" s="7"/>
      <c r="R596" s="8">
        <f t="shared" ref="R596:R598" si="2726">SUM(M596:Q596)</f>
        <v>0</v>
      </c>
      <c r="T596" s="6"/>
      <c r="U596" s="7"/>
      <c r="V596" s="7"/>
      <c r="W596" s="7"/>
      <c r="X596" s="7"/>
      <c r="Y596" s="8">
        <f t="shared" ref="Y596:Y598" si="2727">SUM(T596:X596)</f>
        <v>0</v>
      </c>
      <c r="AA596" s="6"/>
      <c r="AB596" s="7"/>
      <c r="AC596" s="7"/>
      <c r="AD596" s="7"/>
      <c r="AE596" s="7"/>
      <c r="AF596" s="8">
        <f>SUM(AA596:AE596)</f>
        <v>0</v>
      </c>
      <c r="AH596" s="6"/>
      <c r="AI596" s="7"/>
      <c r="AJ596" s="7"/>
      <c r="AK596" s="7"/>
      <c r="AL596" s="7"/>
      <c r="AM596" s="8">
        <f>SUM(AH596:AL596)</f>
        <v>0</v>
      </c>
      <c r="AO596" s="6"/>
      <c r="AP596" s="7"/>
      <c r="AQ596" s="7"/>
      <c r="AR596" s="7"/>
      <c r="AS596" s="7"/>
      <c r="AT596" s="8">
        <f>SUM(AO596:AS596)</f>
        <v>0</v>
      </c>
      <c r="AV596" s="6"/>
      <c r="AW596" s="7"/>
      <c r="AX596" s="7"/>
      <c r="AY596" s="7"/>
      <c r="AZ596" s="7"/>
      <c r="BA596" s="8">
        <f>SUM(AV596:AZ596)</f>
        <v>0</v>
      </c>
      <c r="BC596" s="6"/>
      <c r="BD596" s="7"/>
      <c r="BE596" s="7"/>
      <c r="BF596" s="7"/>
      <c r="BG596" s="7"/>
      <c r="BH596" s="8">
        <f>SUM(BC596:BG596)</f>
        <v>0</v>
      </c>
      <c r="BJ596" s="6"/>
      <c r="BK596" s="7"/>
      <c r="BL596" s="7"/>
      <c r="BM596" s="7"/>
      <c r="BN596" s="7"/>
      <c r="BO596" s="8">
        <f>SUM(BJ596:BN596)</f>
        <v>0</v>
      </c>
      <c r="BQ596" s="6"/>
      <c r="BR596" s="7"/>
      <c r="BS596" s="7"/>
      <c r="BT596" s="7"/>
      <c r="BU596" s="7"/>
      <c r="BV596" s="8">
        <f>SUM(BQ596:BU596)</f>
        <v>0</v>
      </c>
      <c r="BX596" s="6"/>
      <c r="BY596" s="7"/>
      <c r="BZ596" s="7"/>
      <c r="CA596" s="7"/>
      <c r="CB596" s="7"/>
      <c r="CC596" s="8">
        <f>SUM(BX596:CB596)</f>
        <v>0</v>
      </c>
      <c r="CE596" s="28">
        <f t="shared" si="2719"/>
        <v>0</v>
      </c>
      <c r="CF596" s="29">
        <f t="shared" si="2720"/>
        <v>0</v>
      </c>
      <c r="CG596" s="29">
        <f t="shared" si="2721"/>
        <v>0</v>
      </c>
      <c r="CH596" s="29">
        <f t="shared" si="2722"/>
        <v>0</v>
      </c>
      <c r="CI596" s="29">
        <f t="shared" si="2723"/>
        <v>0</v>
      </c>
      <c r="CJ596" s="8">
        <f>SUM(CE596:CI596)</f>
        <v>0</v>
      </c>
      <c r="CL596" s="6"/>
      <c r="CM596" s="7"/>
      <c r="CN596" s="7"/>
      <c r="CO596" s="7"/>
      <c r="CP596" s="7"/>
      <c r="CQ596" s="8">
        <f>SUM(CL596:CP596)</f>
        <v>0</v>
      </c>
      <c r="CS596" s="6"/>
      <c r="CT596" s="7"/>
      <c r="CU596" s="7"/>
      <c r="CV596" s="7"/>
      <c r="CW596" s="7"/>
      <c r="CX596" s="8">
        <f t="shared" ref="CX596:CX598" si="2728">SUM(CS596:CW596)</f>
        <v>0</v>
      </c>
      <c r="CZ596" s="6"/>
      <c r="DA596" s="7"/>
      <c r="DB596" s="7"/>
      <c r="DC596" s="7"/>
      <c r="DD596" s="7"/>
      <c r="DE596" s="8">
        <f t="shared" ref="DE596:DE598" si="2729">SUM(CZ596:DD596)</f>
        <v>0</v>
      </c>
    </row>
    <row r="597" spans="3:109">
      <c r="C597" s="567"/>
      <c r="E597" s="14" t="s">
        <v>61</v>
      </c>
      <c r="F597" s="23">
        <f t="shared" si="2724"/>
        <v>0</v>
      </c>
      <c r="G597" s="24">
        <f t="shared" si="2715"/>
        <v>0</v>
      </c>
      <c r="H597" s="24">
        <f t="shared" si="2716"/>
        <v>0</v>
      </c>
      <c r="I597" s="24">
        <f t="shared" si="2717"/>
        <v>0</v>
      </c>
      <c r="J597" s="24">
        <f t="shared" si="2718"/>
        <v>0</v>
      </c>
      <c r="K597" s="8">
        <f t="shared" si="2725"/>
        <v>0</v>
      </c>
      <c r="M597" s="6"/>
      <c r="N597" s="7"/>
      <c r="O597" s="7"/>
      <c r="P597" s="7"/>
      <c r="Q597" s="7"/>
      <c r="R597" s="8">
        <f t="shared" si="2726"/>
        <v>0</v>
      </c>
      <c r="T597" s="6"/>
      <c r="U597" s="7"/>
      <c r="V597" s="7"/>
      <c r="W597" s="7"/>
      <c r="X597" s="7"/>
      <c r="Y597" s="8">
        <f t="shared" si="2727"/>
        <v>0</v>
      </c>
      <c r="AA597" s="6"/>
      <c r="AB597" s="7"/>
      <c r="AC597" s="7"/>
      <c r="AD597" s="7"/>
      <c r="AE597" s="7"/>
      <c r="AF597" s="8">
        <f>SUM(AA597:AE597)</f>
        <v>0</v>
      </c>
      <c r="AH597" s="6"/>
      <c r="AI597" s="7"/>
      <c r="AJ597" s="7"/>
      <c r="AK597" s="7"/>
      <c r="AL597" s="7"/>
      <c r="AM597" s="8">
        <f>SUM(AH597:AL597)</f>
        <v>0</v>
      </c>
      <c r="AO597" s="6"/>
      <c r="AP597" s="7"/>
      <c r="AQ597" s="7"/>
      <c r="AR597" s="7"/>
      <c r="AS597" s="7"/>
      <c r="AT597" s="8">
        <f>SUM(AO597:AS597)</f>
        <v>0</v>
      </c>
      <c r="AV597" s="6"/>
      <c r="AW597" s="7"/>
      <c r="AX597" s="7"/>
      <c r="AY597" s="7"/>
      <c r="AZ597" s="7"/>
      <c r="BA597" s="8">
        <f>SUM(AV597:AZ597)</f>
        <v>0</v>
      </c>
      <c r="BC597" s="6"/>
      <c r="BD597" s="7"/>
      <c r="BE597" s="7"/>
      <c r="BF597" s="7"/>
      <c r="BG597" s="7"/>
      <c r="BH597" s="8">
        <f>SUM(BC597:BG597)</f>
        <v>0</v>
      </c>
      <c r="BJ597" s="6"/>
      <c r="BK597" s="7"/>
      <c r="BL597" s="7"/>
      <c r="BM597" s="7"/>
      <c r="BN597" s="7"/>
      <c r="BO597" s="8">
        <f>SUM(BJ597:BN597)</f>
        <v>0</v>
      </c>
      <c r="BQ597" s="6"/>
      <c r="BR597" s="7"/>
      <c r="BS597" s="7"/>
      <c r="BT597" s="7"/>
      <c r="BU597" s="7"/>
      <c r="BV597" s="8">
        <f>SUM(BQ597:BU597)</f>
        <v>0</v>
      </c>
      <c r="BX597" s="6"/>
      <c r="BY597" s="7"/>
      <c r="BZ597" s="7"/>
      <c r="CA597" s="7"/>
      <c r="CB597" s="7"/>
      <c r="CC597" s="8">
        <f>SUM(BX597:CB597)</f>
        <v>0</v>
      </c>
      <c r="CE597" s="28">
        <f t="shared" si="2719"/>
        <v>0</v>
      </c>
      <c r="CF597" s="29">
        <f t="shared" si="2720"/>
        <v>0</v>
      </c>
      <c r="CG597" s="29">
        <f t="shared" si="2721"/>
        <v>0</v>
      </c>
      <c r="CH597" s="29">
        <f t="shared" si="2722"/>
        <v>0</v>
      </c>
      <c r="CI597" s="29">
        <f t="shared" si="2723"/>
        <v>0</v>
      </c>
      <c r="CJ597" s="8">
        <f>SUM(CE597:CI597)</f>
        <v>0</v>
      </c>
      <c r="CL597" s="6"/>
      <c r="CM597" s="7"/>
      <c r="CN597" s="7"/>
      <c r="CO597" s="7"/>
      <c r="CP597" s="7"/>
      <c r="CQ597" s="8">
        <f>SUM(CL597:CP597)</f>
        <v>0</v>
      </c>
      <c r="CS597" s="6"/>
      <c r="CT597" s="7"/>
      <c r="CU597" s="7"/>
      <c r="CV597" s="7"/>
      <c r="CW597" s="7"/>
      <c r="CX597" s="8">
        <f t="shared" si="2728"/>
        <v>0</v>
      </c>
      <c r="CZ597" s="6"/>
      <c r="DA597" s="7"/>
      <c r="DB597" s="7"/>
      <c r="DC597" s="7"/>
      <c r="DD597" s="7"/>
      <c r="DE597" s="8">
        <f t="shared" si="2729"/>
        <v>0</v>
      </c>
    </row>
    <row r="598" spans="3:109" ht="14" thickBot="1">
      <c r="C598" s="567"/>
      <c r="E598" s="14" t="s">
        <v>62</v>
      </c>
      <c r="F598" s="23">
        <f t="shared" si="2724"/>
        <v>0</v>
      </c>
      <c r="G598" s="24">
        <f t="shared" si="2715"/>
        <v>0</v>
      </c>
      <c r="H598" s="24">
        <f t="shared" si="2716"/>
        <v>0</v>
      </c>
      <c r="I598" s="24">
        <f t="shared" si="2717"/>
        <v>0</v>
      </c>
      <c r="J598" s="24">
        <f t="shared" si="2718"/>
        <v>0</v>
      </c>
      <c r="K598" s="8">
        <f t="shared" si="2725"/>
        <v>0</v>
      </c>
      <c r="M598" s="6"/>
      <c r="N598" s="7"/>
      <c r="O598" s="7"/>
      <c r="P598" s="7"/>
      <c r="Q598" s="7"/>
      <c r="R598" s="8">
        <f t="shared" si="2726"/>
        <v>0</v>
      </c>
      <c r="T598" s="6"/>
      <c r="U598" s="7"/>
      <c r="V598" s="7"/>
      <c r="W598" s="7"/>
      <c r="X598" s="7"/>
      <c r="Y598" s="8">
        <f t="shared" si="2727"/>
        <v>0</v>
      </c>
      <c r="AA598" s="6"/>
      <c r="AB598" s="7"/>
      <c r="AC598" s="7"/>
      <c r="AD598" s="7"/>
      <c r="AE598" s="7"/>
      <c r="AF598" s="8">
        <f>SUM(AA598:AE598)</f>
        <v>0</v>
      </c>
      <c r="AH598" s="6"/>
      <c r="AI598" s="7"/>
      <c r="AJ598" s="7"/>
      <c r="AK598" s="7"/>
      <c r="AL598" s="7"/>
      <c r="AM598" s="8">
        <f>SUM(AH598:AL598)</f>
        <v>0</v>
      </c>
      <c r="AO598" s="6"/>
      <c r="AP598" s="7"/>
      <c r="AQ598" s="7"/>
      <c r="AR598" s="7"/>
      <c r="AS598" s="7"/>
      <c r="AT598" s="8">
        <f>SUM(AO598:AS598)</f>
        <v>0</v>
      </c>
      <c r="AV598" s="6"/>
      <c r="AW598" s="7"/>
      <c r="AX598" s="7"/>
      <c r="AY598" s="7"/>
      <c r="AZ598" s="7"/>
      <c r="BA598" s="8">
        <f>SUM(AV598:AZ598)</f>
        <v>0</v>
      </c>
      <c r="BC598" s="6"/>
      <c r="BD598" s="7"/>
      <c r="BE598" s="7"/>
      <c r="BF598" s="7"/>
      <c r="BG598" s="7"/>
      <c r="BH598" s="8">
        <f>SUM(BC598:BG598)</f>
        <v>0</v>
      </c>
      <c r="BJ598" s="6"/>
      <c r="BK598" s="7"/>
      <c r="BL598" s="7"/>
      <c r="BM598" s="7"/>
      <c r="BN598" s="7"/>
      <c r="BO598" s="8">
        <f>SUM(BJ598:BN598)</f>
        <v>0</v>
      </c>
      <c r="BQ598" s="6"/>
      <c r="BR598" s="7"/>
      <c r="BS598" s="7"/>
      <c r="BT598" s="7"/>
      <c r="BU598" s="7"/>
      <c r="BV598" s="8">
        <f>SUM(BQ598:BU598)</f>
        <v>0</v>
      </c>
      <c r="BX598" s="6"/>
      <c r="BY598" s="7"/>
      <c r="BZ598" s="7"/>
      <c r="CA598" s="7"/>
      <c r="CB598" s="7"/>
      <c r="CC598" s="8">
        <f>SUM(BX598:CB598)</f>
        <v>0</v>
      </c>
      <c r="CE598" s="493">
        <f t="shared" si="2719"/>
        <v>0</v>
      </c>
      <c r="CF598" s="494">
        <f t="shared" si="2720"/>
        <v>0</v>
      </c>
      <c r="CG598" s="494">
        <f t="shared" si="2721"/>
        <v>0</v>
      </c>
      <c r="CH598" s="494">
        <f t="shared" si="2722"/>
        <v>0</v>
      </c>
      <c r="CI598" s="494">
        <f t="shared" si="2723"/>
        <v>0</v>
      </c>
      <c r="CJ598" s="495">
        <f>SUM(CE598:CI598)</f>
        <v>0</v>
      </c>
      <c r="CL598" s="6"/>
      <c r="CM598" s="7"/>
      <c r="CN598" s="7"/>
      <c r="CO598" s="7"/>
      <c r="CP598" s="7"/>
      <c r="CQ598" s="8">
        <f>SUM(CL598:CP598)</f>
        <v>0</v>
      </c>
      <c r="CS598" s="6"/>
      <c r="CT598" s="7"/>
      <c r="CU598" s="7"/>
      <c r="CV598" s="7"/>
      <c r="CW598" s="7"/>
      <c r="CX598" s="8">
        <f t="shared" si="2728"/>
        <v>0</v>
      </c>
      <c r="CZ598" s="6"/>
      <c r="DA598" s="7"/>
      <c r="DB598" s="7"/>
      <c r="DC598" s="7"/>
      <c r="DD598" s="7"/>
      <c r="DE598" s="8">
        <f t="shared" si="2729"/>
        <v>0</v>
      </c>
    </row>
    <row r="599" spans="3:109" ht="14" thickBot="1">
      <c r="C599" s="554"/>
      <c r="E599" s="17"/>
      <c r="F599" s="10">
        <f>SUM(F595:F598)</f>
        <v>0</v>
      </c>
      <c r="G599" s="11">
        <f t="shared" ref="G599:J599" si="2730">SUM(G595:G598)</f>
        <v>0</v>
      </c>
      <c r="H599" s="11">
        <f t="shared" si="2730"/>
        <v>0</v>
      </c>
      <c r="I599" s="11">
        <f t="shared" si="2730"/>
        <v>0</v>
      </c>
      <c r="J599" s="11">
        <f t="shared" si="2730"/>
        <v>0</v>
      </c>
      <c r="K599" s="25">
        <f>SUM(K595:K598)</f>
        <v>0</v>
      </c>
      <c r="M599" s="10">
        <f>SUM(M595:M598)</f>
        <v>0</v>
      </c>
      <c r="N599" s="11">
        <f t="shared" ref="N599:Q599" si="2731">SUM(N595:N598)</f>
        <v>0</v>
      </c>
      <c r="O599" s="11">
        <f t="shared" si="2731"/>
        <v>0</v>
      </c>
      <c r="P599" s="11">
        <f t="shared" si="2731"/>
        <v>0</v>
      </c>
      <c r="Q599" s="11">
        <f t="shared" si="2731"/>
        <v>0</v>
      </c>
      <c r="R599" s="25">
        <f>SUM(R595:R598)</f>
        <v>0</v>
      </c>
      <c r="T599" s="10">
        <f>SUM(T595:T598)</f>
        <v>0</v>
      </c>
      <c r="U599" s="11">
        <f t="shared" ref="U599:X599" si="2732">SUM(U595:U598)</f>
        <v>0</v>
      </c>
      <c r="V599" s="11">
        <f t="shared" si="2732"/>
        <v>0</v>
      </c>
      <c r="W599" s="11">
        <f t="shared" si="2732"/>
        <v>0</v>
      </c>
      <c r="X599" s="11">
        <f t="shared" si="2732"/>
        <v>0</v>
      </c>
      <c r="Y599" s="25">
        <f>SUM(Y595:Y598)</f>
        <v>0</v>
      </c>
      <c r="AA599" s="10">
        <f>SUM(AA595:AA598)</f>
        <v>0</v>
      </c>
      <c r="AB599" s="11">
        <f t="shared" ref="AB599:AE599" si="2733">SUM(AB595:AB598)</f>
        <v>0</v>
      </c>
      <c r="AC599" s="11">
        <f t="shared" si="2733"/>
        <v>0</v>
      </c>
      <c r="AD599" s="11">
        <f t="shared" si="2733"/>
        <v>0</v>
      </c>
      <c r="AE599" s="11">
        <f t="shared" si="2733"/>
        <v>0</v>
      </c>
      <c r="AF599" s="25">
        <f>SUM(AF595:AF598)</f>
        <v>0</v>
      </c>
      <c r="AH599" s="10">
        <f t="shared" ref="AH599:AM599" si="2734">SUM(AH595:AH598)</f>
        <v>0</v>
      </c>
      <c r="AI599" s="11">
        <f t="shared" si="2734"/>
        <v>0</v>
      </c>
      <c r="AJ599" s="11">
        <f t="shared" si="2734"/>
        <v>0</v>
      </c>
      <c r="AK599" s="11">
        <f t="shared" si="2734"/>
        <v>0</v>
      </c>
      <c r="AL599" s="11">
        <f t="shared" si="2734"/>
        <v>0</v>
      </c>
      <c r="AM599" s="25">
        <f t="shared" si="2734"/>
        <v>0</v>
      </c>
      <c r="AO599" s="10">
        <f t="shared" ref="AO599:AT599" si="2735">SUM(AO595:AO598)</f>
        <v>0</v>
      </c>
      <c r="AP599" s="11">
        <f t="shared" si="2735"/>
        <v>0</v>
      </c>
      <c r="AQ599" s="11">
        <f t="shared" si="2735"/>
        <v>0</v>
      </c>
      <c r="AR599" s="11">
        <f t="shared" si="2735"/>
        <v>0</v>
      </c>
      <c r="AS599" s="11">
        <f t="shared" si="2735"/>
        <v>0</v>
      </c>
      <c r="AT599" s="25">
        <f t="shared" si="2735"/>
        <v>0</v>
      </c>
      <c r="AV599" s="10">
        <f t="shared" ref="AV599:BA599" si="2736">SUM(AV595:AV598)</f>
        <v>0</v>
      </c>
      <c r="AW599" s="11">
        <f t="shared" si="2736"/>
        <v>0</v>
      </c>
      <c r="AX599" s="11">
        <f t="shared" si="2736"/>
        <v>0</v>
      </c>
      <c r="AY599" s="11">
        <f t="shared" si="2736"/>
        <v>0</v>
      </c>
      <c r="AZ599" s="11">
        <f t="shared" si="2736"/>
        <v>0</v>
      </c>
      <c r="BA599" s="25">
        <f t="shared" si="2736"/>
        <v>0</v>
      </c>
      <c r="BC599" s="10">
        <f t="shared" ref="BC599:BH599" si="2737">SUM(BC595:BC598)</f>
        <v>0</v>
      </c>
      <c r="BD599" s="11">
        <f t="shared" si="2737"/>
        <v>0</v>
      </c>
      <c r="BE599" s="11">
        <f t="shared" si="2737"/>
        <v>0</v>
      </c>
      <c r="BF599" s="11">
        <f t="shared" si="2737"/>
        <v>0</v>
      </c>
      <c r="BG599" s="11">
        <f t="shared" si="2737"/>
        <v>0</v>
      </c>
      <c r="BH599" s="25">
        <f t="shared" si="2737"/>
        <v>0</v>
      </c>
      <c r="BJ599" s="10">
        <f t="shared" ref="BJ599:BO599" si="2738">SUM(BJ595:BJ598)</f>
        <v>0</v>
      </c>
      <c r="BK599" s="11">
        <f t="shared" si="2738"/>
        <v>0</v>
      </c>
      <c r="BL599" s="11">
        <f t="shared" si="2738"/>
        <v>0</v>
      </c>
      <c r="BM599" s="11">
        <f t="shared" si="2738"/>
        <v>0</v>
      </c>
      <c r="BN599" s="11">
        <f t="shared" si="2738"/>
        <v>0</v>
      </c>
      <c r="BO599" s="25">
        <f t="shared" si="2738"/>
        <v>0</v>
      </c>
      <c r="BQ599" s="10">
        <f t="shared" ref="BQ599:BV599" si="2739">SUM(BQ595:BQ598)</f>
        <v>0</v>
      </c>
      <c r="BR599" s="11">
        <f t="shared" si="2739"/>
        <v>0</v>
      </c>
      <c r="BS599" s="11">
        <f t="shared" si="2739"/>
        <v>0</v>
      </c>
      <c r="BT599" s="11">
        <f t="shared" si="2739"/>
        <v>0</v>
      </c>
      <c r="BU599" s="11">
        <f t="shared" si="2739"/>
        <v>0</v>
      </c>
      <c r="BV599" s="25">
        <f t="shared" si="2739"/>
        <v>0</v>
      </c>
      <c r="BX599" s="10">
        <f t="shared" ref="BX599:CC599" si="2740">SUM(BX595:BX598)</f>
        <v>0</v>
      </c>
      <c r="BY599" s="11">
        <f t="shared" si="2740"/>
        <v>0</v>
      </c>
      <c r="BZ599" s="11">
        <f t="shared" si="2740"/>
        <v>0</v>
      </c>
      <c r="CA599" s="11">
        <f t="shared" si="2740"/>
        <v>0</v>
      </c>
      <c r="CB599" s="11">
        <f t="shared" si="2740"/>
        <v>0</v>
      </c>
      <c r="CC599" s="25">
        <f t="shared" si="2740"/>
        <v>0</v>
      </c>
      <c r="CE599" s="62">
        <f t="shared" ref="CE599:CJ599" si="2741">SUM(CE595:CE598)</f>
        <v>0</v>
      </c>
      <c r="CF599" s="63">
        <f t="shared" si="2741"/>
        <v>0</v>
      </c>
      <c r="CG599" s="63">
        <f t="shared" si="2741"/>
        <v>0</v>
      </c>
      <c r="CH599" s="63">
        <f t="shared" si="2741"/>
        <v>0</v>
      </c>
      <c r="CI599" s="63">
        <f t="shared" si="2741"/>
        <v>0</v>
      </c>
      <c r="CJ599" s="25">
        <f t="shared" si="2741"/>
        <v>0</v>
      </c>
      <c r="CL599" s="10">
        <f>SUM(CL595:CL598)</f>
        <v>0</v>
      </c>
      <c r="CM599" s="11">
        <f t="shared" ref="CM599:CQ599" si="2742">SUM(CM595:CM598)</f>
        <v>0</v>
      </c>
      <c r="CN599" s="11">
        <f t="shared" si="2742"/>
        <v>0</v>
      </c>
      <c r="CO599" s="11">
        <f t="shared" si="2742"/>
        <v>0</v>
      </c>
      <c r="CP599" s="11">
        <f t="shared" si="2742"/>
        <v>0</v>
      </c>
      <c r="CQ599" s="25">
        <f t="shared" si="2742"/>
        <v>0</v>
      </c>
      <c r="CS599" s="10">
        <f>SUM(CS595:CS598)</f>
        <v>0</v>
      </c>
      <c r="CT599" s="11">
        <f t="shared" ref="CT599:CW599" si="2743">SUM(CT595:CT598)</f>
        <v>0</v>
      </c>
      <c r="CU599" s="11">
        <f t="shared" si="2743"/>
        <v>0</v>
      </c>
      <c r="CV599" s="11">
        <f t="shared" si="2743"/>
        <v>0</v>
      </c>
      <c r="CW599" s="11">
        <f t="shared" si="2743"/>
        <v>0</v>
      </c>
      <c r="CX599" s="25">
        <f>SUM(CX595:CX598)</f>
        <v>0</v>
      </c>
      <c r="CZ599" s="10">
        <f>SUM(CZ595:CZ598)</f>
        <v>0</v>
      </c>
      <c r="DA599" s="11">
        <f t="shared" ref="DA599:DD599" si="2744">SUM(DA595:DA598)</f>
        <v>0</v>
      </c>
      <c r="DB599" s="11">
        <f t="shared" si="2744"/>
        <v>0</v>
      </c>
      <c r="DC599" s="11">
        <f t="shared" si="2744"/>
        <v>0</v>
      </c>
      <c r="DD599" s="11">
        <f t="shared" si="2744"/>
        <v>0</v>
      </c>
      <c r="DE599" s="25">
        <f>SUM(DE595:DE598)</f>
        <v>0</v>
      </c>
    </row>
    <row r="600" spans="3:109" ht="10.4" customHeight="1" thickBot="1"/>
    <row r="601" spans="3:109">
      <c r="C601" s="553">
        <v>2027</v>
      </c>
      <c r="E601" s="13" t="s">
        <v>59</v>
      </c>
      <c r="F601" s="21">
        <f>CE595</f>
        <v>0</v>
      </c>
      <c r="G601" s="22">
        <f t="shared" ref="G601:G604" si="2745">CF595</f>
        <v>0</v>
      </c>
      <c r="H601" s="22">
        <f t="shared" ref="H601:H604" si="2746">CG595</f>
        <v>0</v>
      </c>
      <c r="I601" s="22">
        <f t="shared" ref="I601:I604" si="2747">CH595</f>
        <v>0</v>
      </c>
      <c r="J601" s="22">
        <f t="shared" ref="J601:J604" si="2748">CI595</f>
        <v>0</v>
      </c>
      <c r="K601" s="4">
        <f>SUM(F601:J601)</f>
        <v>0</v>
      </c>
      <c r="M601" s="2"/>
      <c r="N601" s="3"/>
      <c r="O601" s="3"/>
      <c r="P601" s="3"/>
      <c r="Q601" s="3"/>
      <c r="R601" s="4">
        <f>SUM(M601:Q601)</f>
        <v>0</v>
      </c>
      <c r="T601" s="2"/>
      <c r="U601" s="3"/>
      <c r="V601" s="3"/>
      <c r="W601" s="3"/>
      <c r="X601" s="3"/>
      <c r="Y601" s="4">
        <f>SUM(T601:X601)</f>
        <v>0</v>
      </c>
      <c r="AA601" s="2"/>
      <c r="AB601" s="3"/>
      <c r="AC601" s="3"/>
      <c r="AD601" s="3"/>
      <c r="AE601" s="3"/>
      <c r="AF601" s="4">
        <f>SUM(AA601:AE601)</f>
        <v>0</v>
      </c>
      <c r="AH601" s="2"/>
      <c r="AI601" s="3"/>
      <c r="AJ601" s="3"/>
      <c r="AK601" s="3"/>
      <c r="AL601" s="3"/>
      <c r="AM601" s="4">
        <f>SUM(AH601:AL601)</f>
        <v>0</v>
      </c>
      <c r="AO601" s="2"/>
      <c r="AP601" s="3"/>
      <c r="AQ601" s="3"/>
      <c r="AR601" s="3"/>
      <c r="AS601" s="3"/>
      <c r="AT601" s="4">
        <f>SUM(AO601:AS601)</f>
        <v>0</v>
      </c>
      <c r="AV601" s="2"/>
      <c r="AW601" s="3"/>
      <c r="AX601" s="3"/>
      <c r="AY601" s="3"/>
      <c r="AZ601" s="3"/>
      <c r="BA601" s="4">
        <f>SUM(AV601:AZ601)</f>
        <v>0</v>
      </c>
      <c r="BC601" s="2"/>
      <c r="BD601" s="3"/>
      <c r="BE601" s="3"/>
      <c r="BF601" s="3"/>
      <c r="BG601" s="3"/>
      <c r="BH601" s="4">
        <f>SUM(BC601:BG601)</f>
        <v>0</v>
      </c>
      <c r="BJ601" s="2"/>
      <c r="BK601" s="3"/>
      <c r="BL601" s="3"/>
      <c r="BM601" s="3"/>
      <c r="BN601" s="3"/>
      <c r="BO601" s="4">
        <f>SUM(BJ601:BN601)</f>
        <v>0</v>
      </c>
      <c r="BQ601" s="2"/>
      <c r="BR601" s="3"/>
      <c r="BS601" s="3"/>
      <c r="BT601" s="3"/>
      <c r="BU601" s="3"/>
      <c r="BV601" s="4">
        <f>SUM(BQ601:BU601)</f>
        <v>0</v>
      </c>
      <c r="BX601" s="2"/>
      <c r="BY601" s="3"/>
      <c r="BZ601" s="3"/>
      <c r="CA601" s="3"/>
      <c r="CB601" s="3"/>
      <c r="CC601" s="4">
        <f>SUM(BX601:CB601)</f>
        <v>0</v>
      </c>
      <c r="CE601" s="26">
        <f t="shared" ref="CE601:CE604" si="2749">F601+M601+T601+AA601+AH601+AO601+AV601+BC601+BJ601+BQ601+BX601</f>
        <v>0</v>
      </c>
      <c r="CF601" s="27">
        <f t="shared" ref="CF601:CF604" si="2750">G601+N601+U601+AB601+AI601+AP601+AW601+BD601+BK601+BR601+BY601</f>
        <v>0</v>
      </c>
      <c r="CG601" s="27">
        <f t="shared" ref="CG601:CG604" si="2751">H601+O601+V601+AC601+AJ601+AQ601+AX601+BE601+BL601+BS601+BZ601</f>
        <v>0</v>
      </c>
      <c r="CH601" s="27">
        <f t="shared" ref="CH601:CH604" si="2752">I601+P601+W601+AD601+AK601+AR601+AY601+BF601+BM601+BT601+CA601</f>
        <v>0</v>
      </c>
      <c r="CI601" s="27">
        <f t="shared" ref="CI601:CI604" si="2753">J601+Q601+X601+AE601+AL601+AS601+AZ601+BG601+BN601+BU601+CB601</f>
        <v>0</v>
      </c>
      <c r="CJ601" s="4">
        <f>SUM(CE601:CI601)</f>
        <v>0</v>
      </c>
      <c r="CL601" s="2"/>
      <c r="CM601" s="3"/>
      <c r="CN601" s="3"/>
      <c r="CO601" s="3"/>
      <c r="CP601" s="3"/>
      <c r="CQ601" s="4">
        <f>SUM(CL601:CP601)</f>
        <v>0</v>
      </c>
      <c r="CS601" s="2"/>
      <c r="CT601" s="3"/>
      <c r="CU601" s="3"/>
      <c r="CV601" s="3"/>
      <c r="CW601" s="3"/>
      <c r="CX601" s="4">
        <f>SUM(CS601:CW601)</f>
        <v>0</v>
      </c>
      <c r="CZ601" s="2"/>
      <c r="DA601" s="3"/>
      <c r="DB601" s="3"/>
      <c r="DC601" s="3"/>
      <c r="DD601" s="3"/>
      <c r="DE601" s="4">
        <f>SUM(CZ601:DD601)</f>
        <v>0</v>
      </c>
    </row>
    <row r="602" spans="3:109">
      <c r="C602" s="567"/>
      <c r="E602" s="14" t="s">
        <v>60</v>
      </c>
      <c r="F602" s="23">
        <f t="shared" ref="F602:F604" si="2754">CE596</f>
        <v>0</v>
      </c>
      <c r="G602" s="24">
        <f t="shared" si="2745"/>
        <v>0</v>
      </c>
      <c r="H602" s="24">
        <f t="shared" si="2746"/>
        <v>0</v>
      </c>
      <c r="I602" s="24">
        <f t="shared" si="2747"/>
        <v>0</v>
      </c>
      <c r="J602" s="24">
        <f t="shared" si="2748"/>
        <v>0</v>
      </c>
      <c r="K602" s="8">
        <f t="shared" ref="K602:K604" si="2755">SUM(F602:J602)</f>
        <v>0</v>
      </c>
      <c r="M602" s="6"/>
      <c r="N602" s="7"/>
      <c r="O602" s="7"/>
      <c r="P602" s="7"/>
      <c r="Q602" s="7"/>
      <c r="R602" s="8">
        <f t="shared" ref="R602:R604" si="2756">SUM(M602:Q602)</f>
        <v>0</v>
      </c>
      <c r="T602" s="6"/>
      <c r="U602" s="7"/>
      <c r="V602" s="7"/>
      <c r="W602" s="7"/>
      <c r="X602" s="7"/>
      <c r="Y602" s="8">
        <f t="shared" ref="Y602:Y604" si="2757">SUM(T602:X602)</f>
        <v>0</v>
      </c>
      <c r="AA602" s="6"/>
      <c r="AB602" s="7"/>
      <c r="AC602" s="7"/>
      <c r="AD602" s="7"/>
      <c r="AE602" s="7"/>
      <c r="AF602" s="8">
        <f>SUM(AA602:AE602)</f>
        <v>0</v>
      </c>
      <c r="AH602" s="6"/>
      <c r="AI602" s="7"/>
      <c r="AJ602" s="7"/>
      <c r="AK602" s="7"/>
      <c r="AL602" s="7"/>
      <c r="AM602" s="8">
        <f>SUM(AH602:AL602)</f>
        <v>0</v>
      </c>
      <c r="AO602" s="6"/>
      <c r="AP602" s="7"/>
      <c r="AQ602" s="7"/>
      <c r="AR602" s="7"/>
      <c r="AS602" s="7"/>
      <c r="AT602" s="8">
        <f>SUM(AO602:AS602)</f>
        <v>0</v>
      </c>
      <c r="AV602" s="6"/>
      <c r="AW602" s="7"/>
      <c r="AX602" s="7"/>
      <c r="AY602" s="7"/>
      <c r="AZ602" s="7"/>
      <c r="BA602" s="8">
        <f>SUM(AV602:AZ602)</f>
        <v>0</v>
      </c>
      <c r="BC602" s="6"/>
      <c r="BD602" s="7"/>
      <c r="BE602" s="7"/>
      <c r="BF602" s="7"/>
      <c r="BG602" s="7"/>
      <c r="BH602" s="8">
        <f>SUM(BC602:BG602)</f>
        <v>0</v>
      </c>
      <c r="BJ602" s="6"/>
      <c r="BK602" s="7"/>
      <c r="BL602" s="7"/>
      <c r="BM602" s="7"/>
      <c r="BN602" s="7"/>
      <c r="BO602" s="8">
        <f>SUM(BJ602:BN602)</f>
        <v>0</v>
      </c>
      <c r="BQ602" s="6"/>
      <c r="BR602" s="7"/>
      <c r="BS602" s="7"/>
      <c r="BT602" s="7"/>
      <c r="BU602" s="7"/>
      <c r="BV602" s="8">
        <f>SUM(BQ602:BU602)</f>
        <v>0</v>
      </c>
      <c r="BX602" s="6"/>
      <c r="BY602" s="7"/>
      <c r="BZ602" s="7"/>
      <c r="CA602" s="7"/>
      <c r="CB602" s="7"/>
      <c r="CC602" s="8">
        <f>SUM(BX602:CB602)</f>
        <v>0</v>
      </c>
      <c r="CE602" s="28">
        <f t="shared" si="2749"/>
        <v>0</v>
      </c>
      <c r="CF602" s="29">
        <f t="shared" si="2750"/>
        <v>0</v>
      </c>
      <c r="CG602" s="29">
        <f t="shared" si="2751"/>
        <v>0</v>
      </c>
      <c r="CH602" s="29">
        <f t="shared" si="2752"/>
        <v>0</v>
      </c>
      <c r="CI602" s="29">
        <f t="shared" si="2753"/>
        <v>0</v>
      </c>
      <c r="CJ602" s="8">
        <f>SUM(CE602:CI602)</f>
        <v>0</v>
      </c>
      <c r="CL602" s="6"/>
      <c r="CM602" s="7"/>
      <c r="CN602" s="7"/>
      <c r="CO602" s="7"/>
      <c r="CP602" s="7"/>
      <c r="CQ602" s="8">
        <f>SUM(CL602:CP602)</f>
        <v>0</v>
      </c>
      <c r="CS602" s="6"/>
      <c r="CT602" s="7"/>
      <c r="CU602" s="7"/>
      <c r="CV602" s="7"/>
      <c r="CW602" s="7"/>
      <c r="CX602" s="8">
        <f t="shared" ref="CX602:CX604" si="2758">SUM(CS602:CW602)</f>
        <v>0</v>
      </c>
      <c r="CZ602" s="6"/>
      <c r="DA602" s="7"/>
      <c r="DB602" s="7"/>
      <c r="DC602" s="7"/>
      <c r="DD602" s="7"/>
      <c r="DE602" s="8">
        <f t="shared" ref="DE602:DE604" si="2759">SUM(CZ602:DD602)</f>
        <v>0</v>
      </c>
    </row>
    <row r="603" spans="3:109">
      <c r="C603" s="567"/>
      <c r="E603" s="14" t="s">
        <v>61</v>
      </c>
      <c r="F603" s="23">
        <f t="shared" si="2754"/>
        <v>0</v>
      </c>
      <c r="G603" s="24">
        <f t="shared" si="2745"/>
        <v>0</v>
      </c>
      <c r="H603" s="24">
        <f t="shared" si="2746"/>
        <v>0</v>
      </c>
      <c r="I603" s="24">
        <f t="shared" si="2747"/>
        <v>0</v>
      </c>
      <c r="J603" s="24">
        <f t="shared" si="2748"/>
        <v>0</v>
      </c>
      <c r="K603" s="8">
        <f t="shared" si="2755"/>
        <v>0</v>
      </c>
      <c r="M603" s="6"/>
      <c r="N603" s="7"/>
      <c r="O603" s="7"/>
      <c r="P603" s="7"/>
      <c r="Q603" s="7"/>
      <c r="R603" s="8">
        <f t="shared" si="2756"/>
        <v>0</v>
      </c>
      <c r="T603" s="6"/>
      <c r="U603" s="7"/>
      <c r="V603" s="7"/>
      <c r="W603" s="7"/>
      <c r="X603" s="7"/>
      <c r="Y603" s="8">
        <f t="shared" si="2757"/>
        <v>0</v>
      </c>
      <c r="AA603" s="6"/>
      <c r="AB603" s="7"/>
      <c r="AC603" s="7"/>
      <c r="AD603" s="7"/>
      <c r="AE603" s="7"/>
      <c r="AF603" s="8">
        <f>SUM(AA603:AE603)</f>
        <v>0</v>
      </c>
      <c r="AH603" s="6"/>
      <c r="AI603" s="7"/>
      <c r="AJ603" s="7"/>
      <c r="AK603" s="7"/>
      <c r="AL603" s="7"/>
      <c r="AM603" s="8">
        <f>SUM(AH603:AL603)</f>
        <v>0</v>
      </c>
      <c r="AO603" s="6"/>
      <c r="AP603" s="7"/>
      <c r="AQ603" s="7"/>
      <c r="AR603" s="7"/>
      <c r="AS603" s="7"/>
      <c r="AT603" s="8">
        <f>SUM(AO603:AS603)</f>
        <v>0</v>
      </c>
      <c r="AV603" s="6"/>
      <c r="AW603" s="7"/>
      <c r="AX603" s="7"/>
      <c r="AY603" s="7"/>
      <c r="AZ603" s="7"/>
      <c r="BA603" s="8">
        <f>SUM(AV603:AZ603)</f>
        <v>0</v>
      </c>
      <c r="BC603" s="6"/>
      <c r="BD603" s="7"/>
      <c r="BE603" s="7"/>
      <c r="BF603" s="7"/>
      <c r="BG603" s="7"/>
      <c r="BH603" s="8">
        <f>SUM(BC603:BG603)</f>
        <v>0</v>
      </c>
      <c r="BJ603" s="6"/>
      <c r="BK603" s="7"/>
      <c r="BL603" s="7"/>
      <c r="BM603" s="7"/>
      <c r="BN603" s="7"/>
      <c r="BO603" s="8">
        <f>SUM(BJ603:BN603)</f>
        <v>0</v>
      </c>
      <c r="BQ603" s="6"/>
      <c r="BR603" s="7"/>
      <c r="BS603" s="7"/>
      <c r="BT603" s="7"/>
      <c r="BU603" s="7"/>
      <c r="BV603" s="8">
        <f>SUM(BQ603:BU603)</f>
        <v>0</v>
      </c>
      <c r="BX603" s="6"/>
      <c r="BY603" s="7"/>
      <c r="BZ603" s="7"/>
      <c r="CA603" s="7"/>
      <c r="CB603" s="7"/>
      <c r="CC603" s="8">
        <f>SUM(BX603:CB603)</f>
        <v>0</v>
      </c>
      <c r="CE603" s="28">
        <f t="shared" si="2749"/>
        <v>0</v>
      </c>
      <c r="CF603" s="29">
        <f t="shared" si="2750"/>
        <v>0</v>
      </c>
      <c r="CG603" s="29">
        <f t="shared" si="2751"/>
        <v>0</v>
      </c>
      <c r="CH603" s="29">
        <f t="shared" si="2752"/>
        <v>0</v>
      </c>
      <c r="CI603" s="29">
        <f t="shared" si="2753"/>
        <v>0</v>
      </c>
      <c r="CJ603" s="8">
        <f>SUM(CE603:CI603)</f>
        <v>0</v>
      </c>
      <c r="CL603" s="6"/>
      <c r="CM603" s="7"/>
      <c r="CN603" s="7"/>
      <c r="CO603" s="7"/>
      <c r="CP603" s="7"/>
      <c r="CQ603" s="8">
        <f>SUM(CL603:CP603)</f>
        <v>0</v>
      </c>
      <c r="CS603" s="6"/>
      <c r="CT603" s="7"/>
      <c r="CU603" s="7"/>
      <c r="CV603" s="7"/>
      <c r="CW603" s="7"/>
      <c r="CX603" s="8">
        <f t="shared" si="2758"/>
        <v>0</v>
      </c>
      <c r="CZ603" s="6"/>
      <c r="DA603" s="7"/>
      <c r="DB603" s="7"/>
      <c r="DC603" s="7"/>
      <c r="DD603" s="7"/>
      <c r="DE603" s="8">
        <f t="shared" si="2759"/>
        <v>0</v>
      </c>
    </row>
    <row r="604" spans="3:109" ht="14" thickBot="1">
      <c r="C604" s="567"/>
      <c r="E604" s="14" t="s">
        <v>62</v>
      </c>
      <c r="F604" s="23">
        <f t="shared" si="2754"/>
        <v>0</v>
      </c>
      <c r="G604" s="24">
        <f t="shared" si="2745"/>
        <v>0</v>
      </c>
      <c r="H604" s="24">
        <f t="shared" si="2746"/>
        <v>0</v>
      </c>
      <c r="I604" s="24">
        <f t="shared" si="2747"/>
        <v>0</v>
      </c>
      <c r="J604" s="24">
        <f t="shared" si="2748"/>
        <v>0</v>
      </c>
      <c r="K604" s="8">
        <f t="shared" si="2755"/>
        <v>0</v>
      </c>
      <c r="M604" s="6"/>
      <c r="N604" s="7"/>
      <c r="O604" s="7"/>
      <c r="P604" s="7"/>
      <c r="Q604" s="7"/>
      <c r="R604" s="8">
        <f t="shared" si="2756"/>
        <v>0</v>
      </c>
      <c r="T604" s="6"/>
      <c r="U604" s="7"/>
      <c r="V604" s="7"/>
      <c r="W604" s="7"/>
      <c r="X604" s="7"/>
      <c r="Y604" s="8">
        <f t="shared" si="2757"/>
        <v>0</v>
      </c>
      <c r="AA604" s="6"/>
      <c r="AB604" s="7"/>
      <c r="AC604" s="7"/>
      <c r="AD604" s="7"/>
      <c r="AE604" s="7"/>
      <c r="AF604" s="8">
        <f>SUM(AA604:AE604)</f>
        <v>0</v>
      </c>
      <c r="AH604" s="6"/>
      <c r="AI604" s="7"/>
      <c r="AJ604" s="7"/>
      <c r="AK604" s="7"/>
      <c r="AL604" s="7"/>
      <c r="AM604" s="8">
        <f>SUM(AH604:AL604)</f>
        <v>0</v>
      </c>
      <c r="AO604" s="6"/>
      <c r="AP604" s="7"/>
      <c r="AQ604" s="7"/>
      <c r="AR604" s="7"/>
      <c r="AS604" s="7"/>
      <c r="AT604" s="8">
        <f>SUM(AO604:AS604)</f>
        <v>0</v>
      </c>
      <c r="AV604" s="6"/>
      <c r="AW604" s="7"/>
      <c r="AX604" s="7"/>
      <c r="AY604" s="7"/>
      <c r="AZ604" s="7"/>
      <c r="BA604" s="8">
        <f>SUM(AV604:AZ604)</f>
        <v>0</v>
      </c>
      <c r="BC604" s="6"/>
      <c r="BD604" s="7"/>
      <c r="BE604" s="7"/>
      <c r="BF604" s="7"/>
      <c r="BG604" s="7"/>
      <c r="BH604" s="8">
        <f>SUM(BC604:BG604)</f>
        <v>0</v>
      </c>
      <c r="BJ604" s="6"/>
      <c r="BK604" s="7"/>
      <c r="BL604" s="7"/>
      <c r="BM604" s="7"/>
      <c r="BN604" s="7"/>
      <c r="BO604" s="8">
        <f>SUM(BJ604:BN604)</f>
        <v>0</v>
      </c>
      <c r="BQ604" s="6"/>
      <c r="BR604" s="7"/>
      <c r="BS604" s="7"/>
      <c r="BT604" s="7"/>
      <c r="BU604" s="7"/>
      <c r="BV604" s="8">
        <f>SUM(BQ604:BU604)</f>
        <v>0</v>
      </c>
      <c r="BX604" s="6"/>
      <c r="BY604" s="7"/>
      <c r="BZ604" s="7"/>
      <c r="CA604" s="7"/>
      <c r="CB604" s="7"/>
      <c r="CC604" s="8">
        <f>SUM(BX604:CB604)</f>
        <v>0</v>
      </c>
      <c r="CE604" s="493">
        <f t="shared" si="2749"/>
        <v>0</v>
      </c>
      <c r="CF604" s="494">
        <f t="shared" si="2750"/>
        <v>0</v>
      </c>
      <c r="CG604" s="494">
        <f t="shared" si="2751"/>
        <v>0</v>
      </c>
      <c r="CH604" s="494">
        <f t="shared" si="2752"/>
        <v>0</v>
      </c>
      <c r="CI604" s="494">
        <f t="shared" si="2753"/>
        <v>0</v>
      </c>
      <c r="CJ604" s="495">
        <f>SUM(CE604:CI604)</f>
        <v>0</v>
      </c>
      <c r="CL604" s="6"/>
      <c r="CM604" s="7"/>
      <c r="CN604" s="7"/>
      <c r="CO604" s="7"/>
      <c r="CP604" s="7"/>
      <c r="CQ604" s="8">
        <f>SUM(CL604:CP604)</f>
        <v>0</v>
      </c>
      <c r="CS604" s="6"/>
      <c r="CT604" s="7"/>
      <c r="CU604" s="7"/>
      <c r="CV604" s="7"/>
      <c r="CW604" s="7"/>
      <c r="CX604" s="8">
        <f t="shared" si="2758"/>
        <v>0</v>
      </c>
      <c r="CZ604" s="6"/>
      <c r="DA604" s="7"/>
      <c r="DB604" s="7"/>
      <c r="DC604" s="7"/>
      <c r="DD604" s="7"/>
      <c r="DE604" s="8">
        <f t="shared" si="2759"/>
        <v>0</v>
      </c>
    </row>
    <row r="605" spans="3:109" ht="14" thickBot="1">
      <c r="C605" s="554"/>
      <c r="E605" s="17"/>
      <c r="F605" s="10">
        <f>SUM(F601:F604)</f>
        <v>0</v>
      </c>
      <c r="G605" s="11">
        <f t="shared" ref="G605:J605" si="2760">SUM(G601:G604)</f>
        <v>0</v>
      </c>
      <c r="H605" s="11">
        <f t="shared" si="2760"/>
        <v>0</v>
      </c>
      <c r="I605" s="11">
        <f t="shared" si="2760"/>
        <v>0</v>
      </c>
      <c r="J605" s="11">
        <f t="shared" si="2760"/>
        <v>0</v>
      </c>
      <c r="K605" s="25">
        <f>SUM(K601:K604)</f>
        <v>0</v>
      </c>
      <c r="M605" s="10">
        <f>SUM(M601:M604)</f>
        <v>0</v>
      </c>
      <c r="N605" s="11">
        <f t="shared" ref="N605:Q605" si="2761">SUM(N601:N604)</f>
        <v>0</v>
      </c>
      <c r="O605" s="11">
        <f t="shared" si="2761"/>
        <v>0</v>
      </c>
      <c r="P605" s="11">
        <f t="shared" si="2761"/>
        <v>0</v>
      </c>
      <c r="Q605" s="11">
        <f t="shared" si="2761"/>
        <v>0</v>
      </c>
      <c r="R605" s="25">
        <f>SUM(R601:R604)</f>
        <v>0</v>
      </c>
      <c r="T605" s="10">
        <f>SUM(T601:T604)</f>
        <v>0</v>
      </c>
      <c r="U605" s="11">
        <f t="shared" ref="U605:X605" si="2762">SUM(U601:U604)</f>
        <v>0</v>
      </c>
      <c r="V605" s="11">
        <f t="shared" si="2762"/>
        <v>0</v>
      </c>
      <c r="W605" s="11">
        <f t="shared" si="2762"/>
        <v>0</v>
      </c>
      <c r="X605" s="11">
        <f t="shared" si="2762"/>
        <v>0</v>
      </c>
      <c r="Y605" s="25">
        <f>SUM(Y601:Y604)</f>
        <v>0</v>
      </c>
      <c r="AA605" s="10">
        <f>SUM(AA601:AA604)</f>
        <v>0</v>
      </c>
      <c r="AB605" s="11">
        <f t="shared" ref="AB605:AE605" si="2763">SUM(AB601:AB604)</f>
        <v>0</v>
      </c>
      <c r="AC605" s="11">
        <f t="shared" si="2763"/>
        <v>0</v>
      </c>
      <c r="AD605" s="11">
        <f t="shared" si="2763"/>
        <v>0</v>
      </c>
      <c r="AE605" s="11">
        <f t="shared" si="2763"/>
        <v>0</v>
      </c>
      <c r="AF605" s="25">
        <f>SUM(AF601:AF604)</f>
        <v>0</v>
      </c>
      <c r="AH605" s="10">
        <f t="shared" ref="AH605:AM605" si="2764">SUM(AH601:AH604)</f>
        <v>0</v>
      </c>
      <c r="AI605" s="11">
        <f t="shared" si="2764"/>
        <v>0</v>
      </c>
      <c r="AJ605" s="11">
        <f t="shared" si="2764"/>
        <v>0</v>
      </c>
      <c r="AK605" s="11">
        <f t="shared" si="2764"/>
        <v>0</v>
      </c>
      <c r="AL605" s="11">
        <f t="shared" si="2764"/>
        <v>0</v>
      </c>
      <c r="AM605" s="25">
        <f t="shared" si="2764"/>
        <v>0</v>
      </c>
      <c r="AO605" s="10">
        <f t="shared" ref="AO605:AT605" si="2765">SUM(AO601:AO604)</f>
        <v>0</v>
      </c>
      <c r="AP605" s="11">
        <f t="shared" si="2765"/>
        <v>0</v>
      </c>
      <c r="AQ605" s="11">
        <f t="shared" si="2765"/>
        <v>0</v>
      </c>
      <c r="AR605" s="11">
        <f t="shared" si="2765"/>
        <v>0</v>
      </c>
      <c r="AS605" s="11">
        <f t="shared" si="2765"/>
        <v>0</v>
      </c>
      <c r="AT605" s="25">
        <f t="shared" si="2765"/>
        <v>0</v>
      </c>
      <c r="AV605" s="10">
        <f t="shared" ref="AV605:BA605" si="2766">SUM(AV601:AV604)</f>
        <v>0</v>
      </c>
      <c r="AW605" s="11">
        <f t="shared" si="2766"/>
        <v>0</v>
      </c>
      <c r="AX605" s="11">
        <f t="shared" si="2766"/>
        <v>0</v>
      </c>
      <c r="AY605" s="11">
        <f t="shared" si="2766"/>
        <v>0</v>
      </c>
      <c r="AZ605" s="11">
        <f t="shared" si="2766"/>
        <v>0</v>
      </c>
      <c r="BA605" s="25">
        <f t="shared" si="2766"/>
        <v>0</v>
      </c>
      <c r="BC605" s="10">
        <f t="shared" ref="BC605:BH605" si="2767">SUM(BC601:BC604)</f>
        <v>0</v>
      </c>
      <c r="BD605" s="11">
        <f t="shared" si="2767"/>
        <v>0</v>
      </c>
      <c r="BE605" s="11">
        <f t="shared" si="2767"/>
        <v>0</v>
      </c>
      <c r="BF605" s="11">
        <f t="shared" si="2767"/>
        <v>0</v>
      </c>
      <c r="BG605" s="11">
        <f t="shared" si="2767"/>
        <v>0</v>
      </c>
      <c r="BH605" s="25">
        <f t="shared" si="2767"/>
        <v>0</v>
      </c>
      <c r="BJ605" s="10">
        <f t="shared" ref="BJ605:BO605" si="2768">SUM(BJ601:BJ604)</f>
        <v>0</v>
      </c>
      <c r="BK605" s="11">
        <f t="shared" si="2768"/>
        <v>0</v>
      </c>
      <c r="BL605" s="11">
        <f t="shared" si="2768"/>
        <v>0</v>
      </c>
      <c r="BM605" s="11">
        <f t="shared" si="2768"/>
        <v>0</v>
      </c>
      <c r="BN605" s="11">
        <f t="shared" si="2768"/>
        <v>0</v>
      </c>
      <c r="BO605" s="25">
        <f t="shared" si="2768"/>
        <v>0</v>
      </c>
      <c r="BQ605" s="10">
        <f t="shared" ref="BQ605:BV605" si="2769">SUM(BQ601:BQ604)</f>
        <v>0</v>
      </c>
      <c r="BR605" s="11">
        <f t="shared" si="2769"/>
        <v>0</v>
      </c>
      <c r="BS605" s="11">
        <f t="shared" si="2769"/>
        <v>0</v>
      </c>
      <c r="BT605" s="11">
        <f t="shared" si="2769"/>
        <v>0</v>
      </c>
      <c r="BU605" s="11">
        <f t="shared" si="2769"/>
        <v>0</v>
      </c>
      <c r="BV605" s="25">
        <f t="shared" si="2769"/>
        <v>0</v>
      </c>
      <c r="BX605" s="10">
        <f t="shared" ref="BX605:CC605" si="2770">SUM(BX601:BX604)</f>
        <v>0</v>
      </c>
      <c r="BY605" s="11">
        <f t="shared" si="2770"/>
        <v>0</v>
      </c>
      <c r="BZ605" s="11">
        <f t="shared" si="2770"/>
        <v>0</v>
      </c>
      <c r="CA605" s="11">
        <f t="shared" si="2770"/>
        <v>0</v>
      </c>
      <c r="CB605" s="11">
        <f t="shared" si="2770"/>
        <v>0</v>
      </c>
      <c r="CC605" s="25">
        <f t="shared" si="2770"/>
        <v>0</v>
      </c>
      <c r="CE605" s="62">
        <f t="shared" ref="CE605:CJ605" si="2771">SUM(CE601:CE604)</f>
        <v>0</v>
      </c>
      <c r="CF605" s="63">
        <f t="shared" si="2771"/>
        <v>0</v>
      </c>
      <c r="CG605" s="63">
        <f t="shared" si="2771"/>
        <v>0</v>
      </c>
      <c r="CH605" s="63">
        <f t="shared" si="2771"/>
        <v>0</v>
      </c>
      <c r="CI605" s="63">
        <f t="shared" si="2771"/>
        <v>0</v>
      </c>
      <c r="CJ605" s="25">
        <f t="shared" si="2771"/>
        <v>0</v>
      </c>
      <c r="CL605" s="10">
        <f>SUM(CL601:CL604)</f>
        <v>0</v>
      </c>
      <c r="CM605" s="11">
        <f t="shared" ref="CM605:CQ605" si="2772">SUM(CM601:CM604)</f>
        <v>0</v>
      </c>
      <c r="CN605" s="11">
        <f t="shared" si="2772"/>
        <v>0</v>
      </c>
      <c r="CO605" s="11">
        <f t="shared" si="2772"/>
        <v>0</v>
      </c>
      <c r="CP605" s="11">
        <f t="shared" si="2772"/>
        <v>0</v>
      </c>
      <c r="CQ605" s="25">
        <f t="shared" si="2772"/>
        <v>0</v>
      </c>
      <c r="CS605" s="10">
        <f>SUM(CS601:CS604)</f>
        <v>0</v>
      </c>
      <c r="CT605" s="11">
        <f t="shared" ref="CT605:CW605" si="2773">SUM(CT601:CT604)</f>
        <v>0</v>
      </c>
      <c r="CU605" s="11">
        <f t="shared" si="2773"/>
        <v>0</v>
      </c>
      <c r="CV605" s="11">
        <f t="shared" si="2773"/>
        <v>0</v>
      </c>
      <c r="CW605" s="11">
        <f t="shared" si="2773"/>
        <v>0</v>
      </c>
      <c r="CX605" s="25">
        <f>SUM(CX601:CX604)</f>
        <v>0</v>
      </c>
      <c r="CZ605" s="10">
        <f>SUM(CZ601:CZ604)</f>
        <v>0</v>
      </c>
      <c r="DA605" s="11">
        <f t="shared" ref="DA605:DD605" si="2774">SUM(DA601:DA604)</f>
        <v>0</v>
      </c>
      <c r="DB605" s="11">
        <f t="shared" si="2774"/>
        <v>0</v>
      </c>
      <c r="DC605" s="11">
        <f t="shared" si="2774"/>
        <v>0</v>
      </c>
      <c r="DD605" s="11">
        <f t="shared" si="2774"/>
        <v>0</v>
      </c>
      <c r="DE605" s="25">
        <f>SUM(DE601:DE604)</f>
        <v>0</v>
      </c>
    </row>
    <row r="606" spans="3:109" ht="10.4" customHeight="1" thickBot="1"/>
    <row r="607" spans="3:109">
      <c r="C607" s="553">
        <v>2028</v>
      </c>
      <c r="E607" s="13" t="s">
        <v>59</v>
      </c>
      <c r="F607" s="21">
        <f>CE601</f>
        <v>0</v>
      </c>
      <c r="G607" s="22">
        <f t="shared" ref="G607:G610" si="2775">CF601</f>
        <v>0</v>
      </c>
      <c r="H607" s="22">
        <f t="shared" ref="H607:H610" si="2776">CG601</f>
        <v>0</v>
      </c>
      <c r="I607" s="22">
        <f t="shared" ref="I607:I610" si="2777">CH601</f>
        <v>0</v>
      </c>
      <c r="J607" s="22">
        <f t="shared" ref="J607:J610" si="2778">CI601</f>
        <v>0</v>
      </c>
      <c r="K607" s="4">
        <f>SUM(F607:J607)</f>
        <v>0</v>
      </c>
      <c r="M607" s="2"/>
      <c r="N607" s="3"/>
      <c r="O607" s="3"/>
      <c r="P607" s="3"/>
      <c r="Q607" s="3"/>
      <c r="R607" s="4">
        <f>SUM(M607:Q607)</f>
        <v>0</v>
      </c>
      <c r="T607" s="2"/>
      <c r="U607" s="3"/>
      <c r="V607" s="3"/>
      <c r="W607" s="3"/>
      <c r="X607" s="3"/>
      <c r="Y607" s="4">
        <f>SUM(T607:X607)</f>
        <v>0</v>
      </c>
      <c r="AA607" s="2"/>
      <c r="AB607" s="3"/>
      <c r="AC607" s="3"/>
      <c r="AD607" s="3"/>
      <c r="AE607" s="3"/>
      <c r="AF607" s="4">
        <f>SUM(AA607:AE607)</f>
        <v>0</v>
      </c>
      <c r="AH607" s="2"/>
      <c r="AI607" s="3"/>
      <c r="AJ607" s="3"/>
      <c r="AK607" s="3"/>
      <c r="AL607" s="3"/>
      <c r="AM607" s="4">
        <f>SUM(AH607:AL607)</f>
        <v>0</v>
      </c>
      <c r="AO607" s="2"/>
      <c r="AP607" s="3"/>
      <c r="AQ607" s="3"/>
      <c r="AR607" s="3"/>
      <c r="AS607" s="3"/>
      <c r="AT607" s="4">
        <f>SUM(AO607:AS607)</f>
        <v>0</v>
      </c>
      <c r="AV607" s="2"/>
      <c r="AW607" s="3"/>
      <c r="AX607" s="3"/>
      <c r="AY607" s="3"/>
      <c r="AZ607" s="3"/>
      <c r="BA607" s="4">
        <f>SUM(AV607:AZ607)</f>
        <v>0</v>
      </c>
      <c r="BC607" s="2"/>
      <c r="BD607" s="3"/>
      <c r="BE607" s="3"/>
      <c r="BF607" s="3"/>
      <c r="BG607" s="3"/>
      <c r="BH607" s="4">
        <f>SUM(BC607:BG607)</f>
        <v>0</v>
      </c>
      <c r="BJ607" s="2"/>
      <c r="BK607" s="3"/>
      <c r="BL607" s="3"/>
      <c r="BM607" s="3"/>
      <c r="BN607" s="3"/>
      <c r="BO607" s="4">
        <f>SUM(BJ607:BN607)</f>
        <v>0</v>
      </c>
      <c r="BQ607" s="2"/>
      <c r="BR607" s="3"/>
      <c r="BS607" s="3"/>
      <c r="BT607" s="3"/>
      <c r="BU607" s="3"/>
      <c r="BV607" s="4">
        <f>SUM(BQ607:BU607)</f>
        <v>0</v>
      </c>
      <c r="BX607" s="2"/>
      <c r="BY607" s="3"/>
      <c r="BZ607" s="3"/>
      <c r="CA607" s="3"/>
      <c r="CB607" s="3"/>
      <c r="CC607" s="4">
        <f>SUM(BX607:CB607)</f>
        <v>0</v>
      </c>
      <c r="CE607" s="26">
        <f t="shared" ref="CE607:CE610" si="2779">F607+M607+T607+AA607+AH607+AO607+AV607+BC607+BJ607+BQ607+BX607</f>
        <v>0</v>
      </c>
      <c r="CF607" s="27">
        <f t="shared" ref="CF607:CF610" si="2780">G607+N607+U607+AB607+AI607+AP607+AW607+BD607+BK607+BR607+BY607</f>
        <v>0</v>
      </c>
      <c r="CG607" s="27">
        <f t="shared" ref="CG607:CG610" si="2781">H607+O607+V607+AC607+AJ607+AQ607+AX607+BE607+BL607+BS607+BZ607</f>
        <v>0</v>
      </c>
      <c r="CH607" s="27">
        <f t="shared" ref="CH607:CH610" si="2782">I607+P607+W607+AD607+AK607+AR607+AY607+BF607+BM607+BT607+CA607</f>
        <v>0</v>
      </c>
      <c r="CI607" s="27">
        <f t="shared" ref="CI607:CI610" si="2783">J607+Q607+X607+AE607+AL607+AS607+AZ607+BG607+BN607+BU607+CB607</f>
        <v>0</v>
      </c>
      <c r="CJ607" s="4">
        <f>SUM(CE607:CI607)</f>
        <v>0</v>
      </c>
      <c r="CL607" s="2"/>
      <c r="CM607" s="3"/>
      <c r="CN607" s="3"/>
      <c r="CO607" s="3"/>
      <c r="CP607" s="3"/>
      <c r="CQ607" s="4">
        <f>SUM(CL607:CP607)</f>
        <v>0</v>
      </c>
      <c r="CS607" s="2"/>
      <c r="CT607" s="3"/>
      <c r="CU607" s="3"/>
      <c r="CV607" s="3"/>
      <c r="CW607" s="3"/>
      <c r="CX607" s="4">
        <f>SUM(CS607:CW607)</f>
        <v>0</v>
      </c>
      <c r="CZ607" s="2"/>
      <c r="DA607" s="3"/>
      <c r="DB607" s="3"/>
      <c r="DC607" s="3"/>
      <c r="DD607" s="3"/>
      <c r="DE607" s="4">
        <f>SUM(CZ607:DD607)</f>
        <v>0</v>
      </c>
    </row>
    <row r="608" spans="3:109">
      <c r="C608" s="567"/>
      <c r="E608" s="14" t="s">
        <v>60</v>
      </c>
      <c r="F608" s="23">
        <f t="shared" ref="F608:F610" si="2784">CE602</f>
        <v>0</v>
      </c>
      <c r="G608" s="24">
        <f t="shared" si="2775"/>
        <v>0</v>
      </c>
      <c r="H608" s="24">
        <f t="shared" si="2776"/>
        <v>0</v>
      </c>
      <c r="I608" s="24">
        <f t="shared" si="2777"/>
        <v>0</v>
      </c>
      <c r="J608" s="24">
        <f t="shared" si="2778"/>
        <v>0</v>
      </c>
      <c r="K608" s="8">
        <f t="shared" ref="K608:K610" si="2785">SUM(F608:J608)</f>
        <v>0</v>
      </c>
      <c r="M608" s="6"/>
      <c r="N608" s="7"/>
      <c r="O608" s="7"/>
      <c r="P608" s="7"/>
      <c r="Q608" s="7"/>
      <c r="R608" s="8">
        <f t="shared" ref="R608:R610" si="2786">SUM(M608:Q608)</f>
        <v>0</v>
      </c>
      <c r="T608" s="6"/>
      <c r="U608" s="7"/>
      <c r="V608" s="7"/>
      <c r="W608" s="7"/>
      <c r="X608" s="7"/>
      <c r="Y608" s="8">
        <f t="shared" ref="Y608:Y610" si="2787">SUM(T608:X608)</f>
        <v>0</v>
      </c>
      <c r="AA608" s="6"/>
      <c r="AB608" s="7"/>
      <c r="AC608" s="7"/>
      <c r="AD608" s="7"/>
      <c r="AE608" s="7"/>
      <c r="AF608" s="8">
        <f>SUM(AA608:AE608)</f>
        <v>0</v>
      </c>
      <c r="AH608" s="6"/>
      <c r="AI608" s="7"/>
      <c r="AJ608" s="7"/>
      <c r="AK608" s="7"/>
      <c r="AL608" s="7"/>
      <c r="AM608" s="8">
        <f>SUM(AH608:AL608)</f>
        <v>0</v>
      </c>
      <c r="AO608" s="6"/>
      <c r="AP608" s="7"/>
      <c r="AQ608" s="7"/>
      <c r="AR608" s="7"/>
      <c r="AS608" s="7"/>
      <c r="AT608" s="8">
        <f>SUM(AO608:AS608)</f>
        <v>0</v>
      </c>
      <c r="AV608" s="6"/>
      <c r="AW608" s="7"/>
      <c r="AX608" s="7"/>
      <c r="AY608" s="7"/>
      <c r="AZ608" s="7"/>
      <c r="BA608" s="8">
        <f>SUM(AV608:AZ608)</f>
        <v>0</v>
      </c>
      <c r="BC608" s="6"/>
      <c r="BD608" s="7"/>
      <c r="BE608" s="7"/>
      <c r="BF608" s="7"/>
      <c r="BG608" s="7"/>
      <c r="BH608" s="8">
        <f>SUM(BC608:BG608)</f>
        <v>0</v>
      </c>
      <c r="BJ608" s="6"/>
      <c r="BK608" s="7"/>
      <c r="BL608" s="7"/>
      <c r="BM608" s="7"/>
      <c r="BN608" s="7"/>
      <c r="BO608" s="8">
        <f>SUM(BJ608:BN608)</f>
        <v>0</v>
      </c>
      <c r="BQ608" s="6"/>
      <c r="BR608" s="7"/>
      <c r="BS608" s="7"/>
      <c r="BT608" s="7"/>
      <c r="BU608" s="7"/>
      <c r="BV608" s="8">
        <f>SUM(BQ608:BU608)</f>
        <v>0</v>
      </c>
      <c r="BX608" s="6"/>
      <c r="BY608" s="7"/>
      <c r="BZ608" s="7"/>
      <c r="CA608" s="7"/>
      <c r="CB608" s="7"/>
      <c r="CC608" s="8">
        <f>SUM(BX608:CB608)</f>
        <v>0</v>
      </c>
      <c r="CE608" s="28">
        <f t="shared" si="2779"/>
        <v>0</v>
      </c>
      <c r="CF608" s="29">
        <f t="shared" si="2780"/>
        <v>0</v>
      </c>
      <c r="CG608" s="29">
        <f t="shared" si="2781"/>
        <v>0</v>
      </c>
      <c r="CH608" s="29">
        <f t="shared" si="2782"/>
        <v>0</v>
      </c>
      <c r="CI608" s="29">
        <f t="shared" si="2783"/>
        <v>0</v>
      </c>
      <c r="CJ608" s="8">
        <f>SUM(CE608:CI608)</f>
        <v>0</v>
      </c>
      <c r="CL608" s="6"/>
      <c r="CM608" s="7"/>
      <c r="CN608" s="7"/>
      <c r="CO608" s="7"/>
      <c r="CP608" s="7"/>
      <c r="CQ608" s="8">
        <f>SUM(CL608:CP608)</f>
        <v>0</v>
      </c>
      <c r="CS608" s="6"/>
      <c r="CT608" s="7"/>
      <c r="CU608" s="7"/>
      <c r="CV608" s="7"/>
      <c r="CW608" s="7"/>
      <c r="CX608" s="8">
        <f t="shared" ref="CX608:CX610" si="2788">SUM(CS608:CW608)</f>
        <v>0</v>
      </c>
      <c r="CZ608" s="6"/>
      <c r="DA608" s="7"/>
      <c r="DB608" s="7"/>
      <c r="DC608" s="7"/>
      <c r="DD608" s="7"/>
      <c r="DE608" s="8">
        <f t="shared" ref="DE608:DE610" si="2789">SUM(CZ608:DD608)</f>
        <v>0</v>
      </c>
    </row>
    <row r="609" spans="2:110">
      <c r="C609" s="567"/>
      <c r="E609" s="14" t="s">
        <v>61</v>
      </c>
      <c r="F609" s="23">
        <f t="shared" si="2784"/>
        <v>0</v>
      </c>
      <c r="G609" s="24">
        <f t="shared" si="2775"/>
        <v>0</v>
      </c>
      <c r="H609" s="24">
        <f t="shared" si="2776"/>
        <v>0</v>
      </c>
      <c r="I609" s="24">
        <f t="shared" si="2777"/>
        <v>0</v>
      </c>
      <c r="J609" s="24">
        <f t="shared" si="2778"/>
        <v>0</v>
      </c>
      <c r="K609" s="8">
        <f t="shared" si="2785"/>
        <v>0</v>
      </c>
      <c r="M609" s="6"/>
      <c r="N609" s="7"/>
      <c r="O609" s="7"/>
      <c r="P609" s="7"/>
      <c r="Q609" s="7"/>
      <c r="R609" s="8">
        <f t="shared" si="2786"/>
        <v>0</v>
      </c>
      <c r="T609" s="6"/>
      <c r="U609" s="7"/>
      <c r="V609" s="7"/>
      <c r="W609" s="7"/>
      <c r="X609" s="7"/>
      <c r="Y609" s="8">
        <f t="shared" si="2787"/>
        <v>0</v>
      </c>
      <c r="AA609" s="6"/>
      <c r="AB609" s="7"/>
      <c r="AC609" s="7"/>
      <c r="AD609" s="7"/>
      <c r="AE609" s="7"/>
      <c r="AF609" s="8">
        <f>SUM(AA609:AE609)</f>
        <v>0</v>
      </c>
      <c r="AH609" s="6"/>
      <c r="AI609" s="7"/>
      <c r="AJ609" s="7"/>
      <c r="AK609" s="7"/>
      <c r="AL609" s="7"/>
      <c r="AM609" s="8">
        <f>SUM(AH609:AL609)</f>
        <v>0</v>
      </c>
      <c r="AO609" s="6"/>
      <c r="AP609" s="7"/>
      <c r="AQ609" s="7"/>
      <c r="AR609" s="7"/>
      <c r="AS609" s="7"/>
      <c r="AT609" s="8">
        <f>SUM(AO609:AS609)</f>
        <v>0</v>
      </c>
      <c r="AV609" s="6"/>
      <c r="AW609" s="7"/>
      <c r="AX609" s="7"/>
      <c r="AY609" s="7"/>
      <c r="AZ609" s="7"/>
      <c r="BA609" s="8">
        <f>SUM(AV609:AZ609)</f>
        <v>0</v>
      </c>
      <c r="BC609" s="6"/>
      <c r="BD609" s="7"/>
      <c r="BE609" s="7"/>
      <c r="BF609" s="7"/>
      <c r="BG609" s="7"/>
      <c r="BH609" s="8">
        <f>SUM(BC609:BG609)</f>
        <v>0</v>
      </c>
      <c r="BJ609" s="6"/>
      <c r="BK609" s="7"/>
      <c r="BL609" s="7"/>
      <c r="BM609" s="7"/>
      <c r="BN609" s="7"/>
      <c r="BO609" s="8">
        <f>SUM(BJ609:BN609)</f>
        <v>0</v>
      </c>
      <c r="BQ609" s="6"/>
      <c r="BR609" s="7"/>
      <c r="BS609" s="7"/>
      <c r="BT609" s="7"/>
      <c r="BU609" s="7"/>
      <c r="BV609" s="8">
        <f>SUM(BQ609:BU609)</f>
        <v>0</v>
      </c>
      <c r="BX609" s="6"/>
      <c r="BY609" s="7"/>
      <c r="BZ609" s="7"/>
      <c r="CA609" s="7"/>
      <c r="CB609" s="7"/>
      <c r="CC609" s="8">
        <f>SUM(BX609:CB609)</f>
        <v>0</v>
      </c>
      <c r="CE609" s="28">
        <f t="shared" si="2779"/>
        <v>0</v>
      </c>
      <c r="CF609" s="29">
        <f t="shared" si="2780"/>
        <v>0</v>
      </c>
      <c r="CG609" s="29">
        <f t="shared" si="2781"/>
        <v>0</v>
      </c>
      <c r="CH609" s="29">
        <f t="shared" si="2782"/>
        <v>0</v>
      </c>
      <c r="CI609" s="29">
        <f t="shared" si="2783"/>
        <v>0</v>
      </c>
      <c r="CJ609" s="8">
        <f>SUM(CE609:CI609)</f>
        <v>0</v>
      </c>
      <c r="CL609" s="6"/>
      <c r="CM609" s="7"/>
      <c r="CN609" s="7"/>
      <c r="CO609" s="7"/>
      <c r="CP609" s="7"/>
      <c r="CQ609" s="8">
        <f>SUM(CL609:CP609)</f>
        <v>0</v>
      </c>
      <c r="CS609" s="6"/>
      <c r="CT609" s="7"/>
      <c r="CU609" s="7"/>
      <c r="CV609" s="7"/>
      <c r="CW609" s="7"/>
      <c r="CX609" s="8">
        <f t="shared" si="2788"/>
        <v>0</v>
      </c>
      <c r="CZ609" s="6"/>
      <c r="DA609" s="7"/>
      <c r="DB609" s="7"/>
      <c r="DC609" s="7"/>
      <c r="DD609" s="7"/>
      <c r="DE609" s="8">
        <f t="shared" si="2789"/>
        <v>0</v>
      </c>
    </row>
    <row r="610" spans="2:110" ht="14" thickBot="1">
      <c r="C610" s="567"/>
      <c r="E610" s="14" t="s">
        <v>62</v>
      </c>
      <c r="F610" s="23">
        <f t="shared" si="2784"/>
        <v>0</v>
      </c>
      <c r="G610" s="24">
        <f t="shared" si="2775"/>
        <v>0</v>
      </c>
      <c r="H610" s="24">
        <f t="shared" si="2776"/>
        <v>0</v>
      </c>
      <c r="I610" s="24">
        <f t="shared" si="2777"/>
        <v>0</v>
      </c>
      <c r="J610" s="24">
        <f t="shared" si="2778"/>
        <v>0</v>
      </c>
      <c r="K610" s="8">
        <f t="shared" si="2785"/>
        <v>0</v>
      </c>
      <c r="M610" s="6"/>
      <c r="N610" s="7"/>
      <c r="O610" s="7"/>
      <c r="P610" s="7"/>
      <c r="Q610" s="7"/>
      <c r="R610" s="8">
        <f t="shared" si="2786"/>
        <v>0</v>
      </c>
      <c r="T610" s="6"/>
      <c r="U610" s="7"/>
      <c r="V610" s="7"/>
      <c r="W610" s="7"/>
      <c r="X610" s="7"/>
      <c r="Y610" s="8">
        <f t="shared" si="2787"/>
        <v>0</v>
      </c>
      <c r="AA610" s="6"/>
      <c r="AB610" s="7"/>
      <c r="AC610" s="7"/>
      <c r="AD610" s="7"/>
      <c r="AE610" s="7"/>
      <c r="AF610" s="8">
        <f>SUM(AA610:AE610)</f>
        <v>0</v>
      </c>
      <c r="AH610" s="6"/>
      <c r="AI610" s="7"/>
      <c r="AJ610" s="7"/>
      <c r="AK610" s="7"/>
      <c r="AL610" s="7"/>
      <c r="AM610" s="8">
        <f>SUM(AH610:AL610)</f>
        <v>0</v>
      </c>
      <c r="AO610" s="6"/>
      <c r="AP610" s="7"/>
      <c r="AQ610" s="7"/>
      <c r="AR610" s="7"/>
      <c r="AS610" s="7"/>
      <c r="AT610" s="8">
        <f>SUM(AO610:AS610)</f>
        <v>0</v>
      </c>
      <c r="AV610" s="6"/>
      <c r="AW610" s="7"/>
      <c r="AX610" s="7"/>
      <c r="AY610" s="7"/>
      <c r="AZ610" s="7"/>
      <c r="BA610" s="8">
        <f>SUM(AV610:AZ610)</f>
        <v>0</v>
      </c>
      <c r="BC610" s="6"/>
      <c r="BD610" s="7"/>
      <c r="BE610" s="7"/>
      <c r="BF610" s="7"/>
      <c r="BG610" s="7"/>
      <c r="BH610" s="8">
        <f>SUM(BC610:BG610)</f>
        <v>0</v>
      </c>
      <c r="BJ610" s="6"/>
      <c r="BK610" s="7"/>
      <c r="BL610" s="7"/>
      <c r="BM610" s="7"/>
      <c r="BN610" s="7"/>
      <c r="BO610" s="8">
        <f>SUM(BJ610:BN610)</f>
        <v>0</v>
      </c>
      <c r="BQ610" s="6"/>
      <c r="BR610" s="7"/>
      <c r="BS610" s="7"/>
      <c r="BT610" s="7"/>
      <c r="BU610" s="7"/>
      <c r="BV610" s="8">
        <f>SUM(BQ610:BU610)</f>
        <v>0</v>
      </c>
      <c r="BX610" s="6"/>
      <c r="BY610" s="7"/>
      <c r="BZ610" s="7"/>
      <c r="CA610" s="7"/>
      <c r="CB610" s="7"/>
      <c r="CC610" s="8">
        <f>SUM(BX610:CB610)</f>
        <v>0</v>
      </c>
      <c r="CE610" s="493">
        <f t="shared" si="2779"/>
        <v>0</v>
      </c>
      <c r="CF610" s="494">
        <f t="shared" si="2780"/>
        <v>0</v>
      </c>
      <c r="CG610" s="494">
        <f t="shared" si="2781"/>
        <v>0</v>
      </c>
      <c r="CH610" s="494">
        <f t="shared" si="2782"/>
        <v>0</v>
      </c>
      <c r="CI610" s="494">
        <f t="shared" si="2783"/>
        <v>0</v>
      </c>
      <c r="CJ610" s="495">
        <f>SUM(CE610:CI610)</f>
        <v>0</v>
      </c>
      <c r="CL610" s="6"/>
      <c r="CM610" s="7"/>
      <c r="CN610" s="7"/>
      <c r="CO610" s="7"/>
      <c r="CP610" s="7"/>
      <c r="CQ610" s="8">
        <f>SUM(CL610:CP610)</f>
        <v>0</v>
      </c>
      <c r="CS610" s="6"/>
      <c r="CT610" s="7"/>
      <c r="CU610" s="7"/>
      <c r="CV610" s="7"/>
      <c r="CW610" s="7"/>
      <c r="CX610" s="8">
        <f t="shared" si="2788"/>
        <v>0</v>
      </c>
      <c r="CZ610" s="6"/>
      <c r="DA610" s="7"/>
      <c r="DB610" s="7"/>
      <c r="DC610" s="7"/>
      <c r="DD610" s="7"/>
      <c r="DE610" s="8">
        <f t="shared" si="2789"/>
        <v>0</v>
      </c>
    </row>
    <row r="611" spans="2:110" ht="14" thickBot="1">
      <c r="C611" s="554"/>
      <c r="E611" s="9"/>
      <c r="F611" s="10">
        <f>SUM(F607:F610)</f>
        <v>0</v>
      </c>
      <c r="G611" s="11">
        <f t="shared" ref="G611:J611" si="2790">SUM(G607:G610)</f>
        <v>0</v>
      </c>
      <c r="H611" s="11">
        <f t="shared" si="2790"/>
        <v>0</v>
      </c>
      <c r="I611" s="11">
        <f t="shared" si="2790"/>
        <v>0</v>
      </c>
      <c r="J611" s="11">
        <f t="shared" si="2790"/>
        <v>0</v>
      </c>
      <c r="K611" s="25">
        <f>SUM(K607:K610)</f>
        <v>0</v>
      </c>
      <c r="M611" s="10">
        <f>SUM(M607:M610)</f>
        <v>0</v>
      </c>
      <c r="N611" s="11">
        <f t="shared" ref="N611:Q611" si="2791">SUM(N607:N610)</f>
        <v>0</v>
      </c>
      <c r="O611" s="11">
        <f t="shared" si="2791"/>
        <v>0</v>
      </c>
      <c r="P611" s="11">
        <f t="shared" si="2791"/>
        <v>0</v>
      </c>
      <c r="Q611" s="11">
        <f t="shared" si="2791"/>
        <v>0</v>
      </c>
      <c r="R611" s="25">
        <f>SUM(R607:R610)</f>
        <v>0</v>
      </c>
      <c r="T611" s="10">
        <f>SUM(T607:T610)</f>
        <v>0</v>
      </c>
      <c r="U611" s="11">
        <f t="shared" ref="U611:X611" si="2792">SUM(U607:U610)</f>
        <v>0</v>
      </c>
      <c r="V611" s="11">
        <f t="shared" si="2792"/>
        <v>0</v>
      </c>
      <c r="W611" s="11">
        <f t="shared" si="2792"/>
        <v>0</v>
      </c>
      <c r="X611" s="11">
        <f t="shared" si="2792"/>
        <v>0</v>
      </c>
      <c r="Y611" s="25">
        <f>SUM(Y607:Y610)</f>
        <v>0</v>
      </c>
      <c r="AA611" s="10">
        <f>SUM(AA607:AA610)</f>
        <v>0</v>
      </c>
      <c r="AB611" s="11">
        <f t="shared" ref="AB611:AE611" si="2793">SUM(AB607:AB610)</f>
        <v>0</v>
      </c>
      <c r="AC611" s="11">
        <f t="shared" si="2793"/>
        <v>0</v>
      </c>
      <c r="AD611" s="11">
        <f t="shared" si="2793"/>
        <v>0</v>
      </c>
      <c r="AE611" s="11">
        <f t="shared" si="2793"/>
        <v>0</v>
      </c>
      <c r="AF611" s="25">
        <f>SUM(AF607:AF610)</f>
        <v>0</v>
      </c>
      <c r="AH611" s="10">
        <f t="shared" ref="AH611:AM611" si="2794">SUM(AH607:AH610)</f>
        <v>0</v>
      </c>
      <c r="AI611" s="11">
        <f t="shared" si="2794"/>
        <v>0</v>
      </c>
      <c r="AJ611" s="11">
        <f t="shared" si="2794"/>
        <v>0</v>
      </c>
      <c r="AK611" s="11">
        <f t="shared" si="2794"/>
        <v>0</v>
      </c>
      <c r="AL611" s="11">
        <f t="shared" si="2794"/>
        <v>0</v>
      </c>
      <c r="AM611" s="25">
        <f t="shared" si="2794"/>
        <v>0</v>
      </c>
      <c r="AO611" s="10">
        <f t="shared" ref="AO611:AT611" si="2795">SUM(AO607:AO610)</f>
        <v>0</v>
      </c>
      <c r="AP611" s="11">
        <f t="shared" si="2795"/>
        <v>0</v>
      </c>
      <c r="AQ611" s="11">
        <f t="shared" si="2795"/>
        <v>0</v>
      </c>
      <c r="AR611" s="11">
        <f t="shared" si="2795"/>
        <v>0</v>
      </c>
      <c r="AS611" s="11">
        <f t="shared" si="2795"/>
        <v>0</v>
      </c>
      <c r="AT611" s="25">
        <f t="shared" si="2795"/>
        <v>0</v>
      </c>
      <c r="AV611" s="10">
        <f t="shared" ref="AV611:BA611" si="2796">SUM(AV607:AV610)</f>
        <v>0</v>
      </c>
      <c r="AW611" s="11">
        <f t="shared" si="2796"/>
        <v>0</v>
      </c>
      <c r="AX611" s="11">
        <f t="shared" si="2796"/>
        <v>0</v>
      </c>
      <c r="AY611" s="11">
        <f t="shared" si="2796"/>
        <v>0</v>
      </c>
      <c r="AZ611" s="11">
        <f t="shared" si="2796"/>
        <v>0</v>
      </c>
      <c r="BA611" s="25">
        <f t="shared" si="2796"/>
        <v>0</v>
      </c>
      <c r="BC611" s="10">
        <f t="shared" ref="BC611:BH611" si="2797">SUM(BC607:BC610)</f>
        <v>0</v>
      </c>
      <c r="BD611" s="11">
        <f t="shared" si="2797"/>
        <v>0</v>
      </c>
      <c r="BE611" s="11">
        <f t="shared" si="2797"/>
        <v>0</v>
      </c>
      <c r="BF611" s="11">
        <f t="shared" si="2797"/>
        <v>0</v>
      </c>
      <c r="BG611" s="11">
        <f t="shared" si="2797"/>
        <v>0</v>
      </c>
      <c r="BH611" s="25">
        <f t="shared" si="2797"/>
        <v>0</v>
      </c>
      <c r="BJ611" s="10">
        <f t="shared" ref="BJ611:BO611" si="2798">SUM(BJ607:BJ610)</f>
        <v>0</v>
      </c>
      <c r="BK611" s="11">
        <f t="shared" si="2798"/>
        <v>0</v>
      </c>
      <c r="BL611" s="11">
        <f t="shared" si="2798"/>
        <v>0</v>
      </c>
      <c r="BM611" s="11">
        <f t="shared" si="2798"/>
        <v>0</v>
      </c>
      <c r="BN611" s="11">
        <f t="shared" si="2798"/>
        <v>0</v>
      </c>
      <c r="BO611" s="25">
        <f t="shared" si="2798"/>
        <v>0</v>
      </c>
      <c r="BQ611" s="10">
        <f t="shared" ref="BQ611:BV611" si="2799">SUM(BQ607:BQ610)</f>
        <v>0</v>
      </c>
      <c r="BR611" s="11">
        <f t="shared" si="2799"/>
        <v>0</v>
      </c>
      <c r="BS611" s="11">
        <f t="shared" si="2799"/>
        <v>0</v>
      </c>
      <c r="BT611" s="11">
        <f t="shared" si="2799"/>
        <v>0</v>
      </c>
      <c r="BU611" s="11">
        <f t="shared" si="2799"/>
        <v>0</v>
      </c>
      <c r="BV611" s="25">
        <f t="shared" si="2799"/>
        <v>0</v>
      </c>
      <c r="BX611" s="10">
        <f t="shared" ref="BX611:CC611" si="2800">SUM(BX607:BX610)</f>
        <v>0</v>
      </c>
      <c r="BY611" s="11">
        <f t="shared" si="2800"/>
        <v>0</v>
      </c>
      <c r="BZ611" s="11">
        <f t="shared" si="2800"/>
        <v>0</v>
      </c>
      <c r="CA611" s="11">
        <f t="shared" si="2800"/>
        <v>0</v>
      </c>
      <c r="CB611" s="11">
        <f t="shared" si="2800"/>
        <v>0</v>
      </c>
      <c r="CC611" s="25">
        <f t="shared" si="2800"/>
        <v>0</v>
      </c>
      <c r="CE611" s="62">
        <f t="shared" ref="CE611:CJ611" si="2801">SUM(CE607:CE610)</f>
        <v>0</v>
      </c>
      <c r="CF611" s="63">
        <f t="shared" si="2801"/>
        <v>0</v>
      </c>
      <c r="CG611" s="63">
        <f t="shared" si="2801"/>
        <v>0</v>
      </c>
      <c r="CH611" s="63">
        <f t="shared" si="2801"/>
        <v>0</v>
      </c>
      <c r="CI611" s="63">
        <f t="shared" si="2801"/>
        <v>0</v>
      </c>
      <c r="CJ611" s="25">
        <f t="shared" si="2801"/>
        <v>0</v>
      </c>
      <c r="CL611" s="10">
        <f>SUM(CL607:CL610)</f>
        <v>0</v>
      </c>
      <c r="CM611" s="11">
        <f t="shared" ref="CM611:CQ611" si="2802">SUM(CM607:CM610)</f>
        <v>0</v>
      </c>
      <c r="CN611" s="11">
        <f t="shared" si="2802"/>
        <v>0</v>
      </c>
      <c r="CO611" s="11">
        <f t="shared" si="2802"/>
        <v>0</v>
      </c>
      <c r="CP611" s="11">
        <f t="shared" si="2802"/>
        <v>0</v>
      </c>
      <c r="CQ611" s="25">
        <f t="shared" si="2802"/>
        <v>0</v>
      </c>
      <c r="CS611" s="10">
        <f>SUM(CS607:CS610)</f>
        <v>0</v>
      </c>
      <c r="CT611" s="11">
        <f t="shared" ref="CT611:CW611" si="2803">SUM(CT607:CT610)</f>
        <v>0</v>
      </c>
      <c r="CU611" s="11">
        <f t="shared" si="2803"/>
        <v>0</v>
      </c>
      <c r="CV611" s="11">
        <f t="shared" si="2803"/>
        <v>0</v>
      </c>
      <c r="CW611" s="11">
        <f t="shared" si="2803"/>
        <v>0</v>
      </c>
      <c r="CX611" s="25">
        <f>SUM(CX607:CX610)</f>
        <v>0</v>
      </c>
      <c r="CZ611" s="10">
        <f>SUM(CZ607:CZ610)</f>
        <v>0</v>
      </c>
      <c r="DA611" s="11">
        <f t="shared" ref="DA611:DD611" si="2804">SUM(DA607:DA610)</f>
        <v>0</v>
      </c>
      <c r="DB611" s="11">
        <f t="shared" si="2804"/>
        <v>0</v>
      </c>
      <c r="DC611" s="11">
        <f t="shared" si="2804"/>
        <v>0</v>
      </c>
      <c r="DD611" s="11">
        <f t="shared" si="2804"/>
        <v>0</v>
      </c>
      <c r="DE611" s="25">
        <f>SUM(DE607:DE610)</f>
        <v>0</v>
      </c>
    </row>
    <row r="613" spans="2:110">
      <c r="B613" s="123"/>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row>
    <row r="614" spans="2:110" ht="14" thickBot="1">
      <c r="B614" s="94">
        <v>20</v>
      </c>
      <c r="C614" s="12" t="s">
        <v>81</v>
      </c>
    </row>
    <row r="615" spans="2:110">
      <c r="C615" s="553">
        <v>2024</v>
      </c>
      <c r="E615" s="1" t="s">
        <v>59</v>
      </c>
      <c r="F615" s="2"/>
      <c r="G615" s="3"/>
      <c r="H615" s="3"/>
      <c r="I615" s="3"/>
      <c r="J615" s="3"/>
      <c r="K615" s="4">
        <f>SUM(F615:J615)</f>
        <v>0</v>
      </c>
      <c r="M615" s="2"/>
      <c r="N615" s="3"/>
      <c r="O615" s="3"/>
      <c r="P615" s="3"/>
      <c r="Q615" s="3"/>
      <c r="R615" s="4">
        <f>SUM(M615:Q615)</f>
        <v>0</v>
      </c>
      <c r="T615" s="2"/>
      <c r="U615" s="3"/>
      <c r="V615" s="3"/>
      <c r="W615" s="3"/>
      <c r="X615" s="3"/>
      <c r="Y615" s="4">
        <f>SUM(T615:X615)</f>
        <v>0</v>
      </c>
      <c r="AA615" s="2"/>
      <c r="AB615" s="3"/>
      <c r="AC615" s="3"/>
      <c r="AD615" s="3"/>
      <c r="AE615" s="3"/>
      <c r="AF615" s="4">
        <f>SUM(AA615:AE615)</f>
        <v>0</v>
      </c>
      <c r="AH615" s="2"/>
      <c r="AI615" s="3"/>
      <c r="AJ615" s="3"/>
      <c r="AK615" s="3"/>
      <c r="AL615" s="3"/>
      <c r="AM615" s="4">
        <f>SUM(AH615:AL615)</f>
        <v>0</v>
      </c>
      <c r="AO615" s="2"/>
      <c r="AP615" s="3"/>
      <c r="AQ615" s="3"/>
      <c r="AR615" s="3"/>
      <c r="AS615" s="3"/>
      <c r="AT615" s="4">
        <f>SUM(AO615:AS615)</f>
        <v>0</v>
      </c>
      <c r="AV615" s="2"/>
      <c r="AW615" s="3"/>
      <c r="AX615" s="3"/>
      <c r="AY615" s="3"/>
      <c r="AZ615" s="3"/>
      <c r="BA615" s="4">
        <f>SUM(AV615:AZ615)</f>
        <v>0</v>
      </c>
      <c r="BC615" s="2"/>
      <c r="BD615" s="3"/>
      <c r="BE615" s="3"/>
      <c r="BF615" s="3"/>
      <c r="BG615" s="3"/>
      <c r="BH615" s="4">
        <f>SUM(BC615:BG615)</f>
        <v>0</v>
      </c>
      <c r="BJ615" s="2"/>
      <c r="BK615" s="3"/>
      <c r="BL615" s="3"/>
      <c r="BM615" s="3"/>
      <c r="BN615" s="3"/>
      <c r="BO615" s="4">
        <f>SUM(BJ615:BN615)</f>
        <v>0</v>
      </c>
      <c r="BQ615" s="2"/>
      <c r="BR615" s="3"/>
      <c r="BS615" s="3"/>
      <c r="BT615" s="3"/>
      <c r="BU615" s="3"/>
      <c r="BV615" s="4">
        <f>SUM(BQ615:BU615)</f>
        <v>0</v>
      </c>
      <c r="BX615" s="2"/>
      <c r="BY615" s="3"/>
      <c r="BZ615" s="3"/>
      <c r="CA615" s="3"/>
      <c r="CB615" s="3"/>
      <c r="CC615" s="4">
        <f>SUM(BX615:CB615)</f>
        <v>0</v>
      </c>
      <c r="CE615" s="26">
        <f t="shared" ref="CE615:CE618" si="2805">F615+M615+T615+AA615+AH615+AO615+AV615+BC615+BJ615+BQ615+BX615</f>
        <v>0</v>
      </c>
      <c r="CF615" s="27">
        <f t="shared" ref="CF615:CF618" si="2806">G615+N615+U615+AB615+AI615+AP615+AW615+BD615+BK615+BR615+BY615</f>
        <v>0</v>
      </c>
      <c r="CG615" s="27">
        <f t="shared" ref="CG615:CG618" si="2807">H615+O615+V615+AC615+AJ615+AQ615+AX615+BE615+BL615+BS615+BZ615</f>
        <v>0</v>
      </c>
      <c r="CH615" s="27">
        <f t="shared" ref="CH615:CH618" si="2808">I615+P615+W615+AD615+AK615+AR615+AY615+BF615+BM615+BT615+CA615</f>
        <v>0</v>
      </c>
      <c r="CI615" s="27">
        <f t="shared" ref="CI615:CI618" si="2809">J615+Q615+X615+AE615+AL615+AS615+AZ615+BG615+BN615+BU615+CB615</f>
        <v>0</v>
      </c>
      <c r="CJ615" s="4">
        <f>SUM(CE615:CI615)</f>
        <v>0</v>
      </c>
      <c r="CL615" s="2"/>
      <c r="CM615" s="3"/>
      <c r="CN615" s="3"/>
      <c r="CO615" s="3"/>
      <c r="CP615" s="3"/>
      <c r="CQ615" s="4">
        <f>SUM(CL615:CP615)</f>
        <v>0</v>
      </c>
      <c r="CS615" s="2"/>
      <c r="CT615" s="3"/>
      <c r="CU615" s="3"/>
      <c r="CV615" s="3"/>
      <c r="CW615" s="3"/>
      <c r="CX615" s="4">
        <f>SUM(CS615:CW615)</f>
        <v>0</v>
      </c>
      <c r="CZ615" s="2"/>
      <c r="DA615" s="3"/>
      <c r="DB615" s="3"/>
      <c r="DC615" s="3"/>
      <c r="DD615" s="3"/>
      <c r="DE615" s="4">
        <f>SUM(CZ615:DD615)</f>
        <v>0</v>
      </c>
    </row>
    <row r="616" spans="2:110">
      <c r="C616" s="567"/>
      <c r="E616" s="5" t="s">
        <v>60</v>
      </c>
      <c r="F616" s="6"/>
      <c r="G616" s="7"/>
      <c r="H616" s="7"/>
      <c r="I616" s="7"/>
      <c r="J616" s="7"/>
      <c r="K616" s="8">
        <f t="shared" ref="K616:K618" si="2810">SUM(F616:J616)</f>
        <v>0</v>
      </c>
      <c r="M616" s="6"/>
      <c r="N616" s="7"/>
      <c r="O616" s="7"/>
      <c r="P616" s="7"/>
      <c r="Q616" s="7"/>
      <c r="R616" s="8">
        <f t="shared" ref="R616:R618" si="2811">SUM(M616:Q616)</f>
        <v>0</v>
      </c>
      <c r="T616" s="6"/>
      <c r="U616" s="7"/>
      <c r="V616" s="7"/>
      <c r="W616" s="7"/>
      <c r="X616" s="7"/>
      <c r="Y616" s="8">
        <f t="shared" ref="Y616:Y618" si="2812">SUM(T616:X616)</f>
        <v>0</v>
      </c>
      <c r="AA616" s="6"/>
      <c r="AB616" s="7"/>
      <c r="AC616" s="7"/>
      <c r="AD616" s="7"/>
      <c r="AE616" s="7"/>
      <c r="AF616" s="8">
        <f>SUM(AA616:AE616)</f>
        <v>0</v>
      </c>
      <c r="AH616" s="6"/>
      <c r="AI616" s="7"/>
      <c r="AJ616" s="7"/>
      <c r="AK616" s="7"/>
      <c r="AL616" s="7"/>
      <c r="AM616" s="8">
        <f>SUM(AH616:AL616)</f>
        <v>0</v>
      </c>
      <c r="AO616" s="6"/>
      <c r="AP616" s="7"/>
      <c r="AQ616" s="7"/>
      <c r="AR616" s="7"/>
      <c r="AS616" s="7"/>
      <c r="AT616" s="8">
        <f>SUM(AO616:AS616)</f>
        <v>0</v>
      </c>
      <c r="AV616" s="6"/>
      <c r="AW616" s="7"/>
      <c r="AX616" s="7"/>
      <c r="AY616" s="7"/>
      <c r="AZ616" s="7"/>
      <c r="BA616" s="8">
        <f>SUM(AV616:AZ616)</f>
        <v>0</v>
      </c>
      <c r="BC616" s="6"/>
      <c r="BD616" s="7"/>
      <c r="BE616" s="7"/>
      <c r="BF616" s="7"/>
      <c r="BG616" s="7"/>
      <c r="BH616" s="8">
        <f>SUM(BC616:BG616)</f>
        <v>0</v>
      </c>
      <c r="BJ616" s="6"/>
      <c r="BK616" s="7"/>
      <c r="BL616" s="7"/>
      <c r="BM616" s="7"/>
      <c r="BN616" s="7"/>
      <c r="BO616" s="8">
        <f>SUM(BJ616:BN616)</f>
        <v>0</v>
      </c>
      <c r="BQ616" s="6"/>
      <c r="BR616" s="7"/>
      <c r="BS616" s="7"/>
      <c r="BT616" s="7"/>
      <c r="BU616" s="7"/>
      <c r="BV616" s="8">
        <f>SUM(BQ616:BU616)</f>
        <v>0</v>
      </c>
      <c r="BX616" s="6"/>
      <c r="BY616" s="7"/>
      <c r="BZ616" s="7"/>
      <c r="CA616" s="7"/>
      <c r="CB616" s="7"/>
      <c r="CC616" s="8">
        <f>SUM(BX616:CB616)</f>
        <v>0</v>
      </c>
      <c r="CE616" s="28">
        <f t="shared" si="2805"/>
        <v>0</v>
      </c>
      <c r="CF616" s="29">
        <f t="shared" si="2806"/>
        <v>0</v>
      </c>
      <c r="CG616" s="29">
        <f t="shared" si="2807"/>
        <v>0</v>
      </c>
      <c r="CH616" s="29">
        <f t="shared" si="2808"/>
        <v>0</v>
      </c>
      <c r="CI616" s="29">
        <f t="shared" si="2809"/>
        <v>0</v>
      </c>
      <c r="CJ616" s="8">
        <f>SUM(CE616:CI616)</f>
        <v>0</v>
      </c>
      <c r="CL616" s="6"/>
      <c r="CM616" s="7"/>
      <c r="CN616" s="7"/>
      <c r="CO616" s="7"/>
      <c r="CP616" s="7"/>
      <c r="CQ616" s="8">
        <f>SUM(CL616:CP616)</f>
        <v>0</v>
      </c>
      <c r="CS616" s="6"/>
      <c r="CT616" s="7"/>
      <c r="CU616" s="7"/>
      <c r="CV616" s="7"/>
      <c r="CW616" s="7"/>
      <c r="CX616" s="8">
        <f t="shared" ref="CX616:CX618" si="2813">SUM(CS616:CW616)</f>
        <v>0</v>
      </c>
      <c r="CZ616" s="6"/>
      <c r="DA616" s="7"/>
      <c r="DB616" s="7"/>
      <c r="DC616" s="7"/>
      <c r="DD616" s="7"/>
      <c r="DE616" s="8">
        <f t="shared" ref="DE616:DE618" si="2814">SUM(CZ616:DD616)</f>
        <v>0</v>
      </c>
    </row>
    <row r="617" spans="2:110">
      <c r="C617" s="567"/>
      <c r="E617" s="5" t="s">
        <v>61</v>
      </c>
      <c r="F617" s="6"/>
      <c r="G617" s="7"/>
      <c r="H617" s="7"/>
      <c r="I617" s="7"/>
      <c r="J617" s="7"/>
      <c r="K617" s="8">
        <f t="shared" si="2810"/>
        <v>0</v>
      </c>
      <c r="M617" s="6"/>
      <c r="N617" s="7"/>
      <c r="O617" s="7"/>
      <c r="P617" s="7"/>
      <c r="Q617" s="7"/>
      <c r="R617" s="8">
        <f t="shared" si="2811"/>
        <v>0</v>
      </c>
      <c r="T617" s="6"/>
      <c r="U617" s="7"/>
      <c r="V617" s="7"/>
      <c r="W617" s="7"/>
      <c r="X617" s="7"/>
      <c r="Y617" s="8">
        <f t="shared" si="2812"/>
        <v>0</v>
      </c>
      <c r="AA617" s="6"/>
      <c r="AB617" s="7"/>
      <c r="AC617" s="7"/>
      <c r="AD617" s="7"/>
      <c r="AE617" s="7"/>
      <c r="AF617" s="8">
        <f>SUM(AA617:AE617)</f>
        <v>0</v>
      </c>
      <c r="AH617" s="6"/>
      <c r="AI617" s="7"/>
      <c r="AJ617" s="7"/>
      <c r="AK617" s="7"/>
      <c r="AL617" s="7"/>
      <c r="AM617" s="8">
        <f>SUM(AH617:AL617)</f>
        <v>0</v>
      </c>
      <c r="AO617" s="6"/>
      <c r="AP617" s="7"/>
      <c r="AQ617" s="7"/>
      <c r="AR617" s="7"/>
      <c r="AS617" s="7"/>
      <c r="AT617" s="8">
        <f>SUM(AO617:AS617)</f>
        <v>0</v>
      </c>
      <c r="AV617" s="6"/>
      <c r="AW617" s="7"/>
      <c r="AX617" s="7"/>
      <c r="AY617" s="7"/>
      <c r="AZ617" s="7"/>
      <c r="BA617" s="8">
        <f>SUM(AV617:AZ617)</f>
        <v>0</v>
      </c>
      <c r="BC617" s="6"/>
      <c r="BD617" s="7"/>
      <c r="BE617" s="7"/>
      <c r="BF617" s="7"/>
      <c r="BG617" s="7"/>
      <c r="BH617" s="8">
        <f>SUM(BC617:BG617)</f>
        <v>0</v>
      </c>
      <c r="BJ617" s="6"/>
      <c r="BK617" s="7"/>
      <c r="BL617" s="7"/>
      <c r="BM617" s="7"/>
      <c r="BN617" s="7"/>
      <c r="BO617" s="8">
        <f>SUM(BJ617:BN617)</f>
        <v>0</v>
      </c>
      <c r="BQ617" s="6"/>
      <c r="BR617" s="7"/>
      <c r="BS617" s="7"/>
      <c r="BT617" s="7"/>
      <c r="BU617" s="7"/>
      <c r="BV617" s="8">
        <f>SUM(BQ617:BU617)</f>
        <v>0</v>
      </c>
      <c r="BX617" s="6"/>
      <c r="BY617" s="7"/>
      <c r="BZ617" s="7"/>
      <c r="CA617" s="7"/>
      <c r="CB617" s="7"/>
      <c r="CC617" s="8">
        <f>SUM(BX617:CB617)</f>
        <v>0</v>
      </c>
      <c r="CE617" s="28">
        <f t="shared" si="2805"/>
        <v>0</v>
      </c>
      <c r="CF617" s="29">
        <f t="shared" si="2806"/>
        <v>0</v>
      </c>
      <c r="CG617" s="29">
        <f t="shared" si="2807"/>
        <v>0</v>
      </c>
      <c r="CH617" s="29">
        <f t="shared" si="2808"/>
        <v>0</v>
      </c>
      <c r="CI617" s="29">
        <f t="shared" si="2809"/>
        <v>0</v>
      </c>
      <c r="CJ617" s="8">
        <f>SUM(CE617:CI617)</f>
        <v>0</v>
      </c>
      <c r="CL617" s="6"/>
      <c r="CM617" s="7"/>
      <c r="CN617" s="7"/>
      <c r="CO617" s="7"/>
      <c r="CP617" s="7"/>
      <c r="CQ617" s="8">
        <f>SUM(CL617:CP617)</f>
        <v>0</v>
      </c>
      <c r="CS617" s="6"/>
      <c r="CT617" s="7"/>
      <c r="CU617" s="7"/>
      <c r="CV617" s="7"/>
      <c r="CW617" s="7"/>
      <c r="CX617" s="8">
        <f t="shared" si="2813"/>
        <v>0</v>
      </c>
      <c r="CZ617" s="6"/>
      <c r="DA617" s="7"/>
      <c r="DB617" s="7"/>
      <c r="DC617" s="7"/>
      <c r="DD617" s="7"/>
      <c r="DE617" s="8">
        <f t="shared" si="2814"/>
        <v>0</v>
      </c>
    </row>
    <row r="618" spans="2:110" ht="14" thickBot="1">
      <c r="C618" s="567"/>
      <c r="E618" s="5" t="s">
        <v>62</v>
      </c>
      <c r="F618" s="6"/>
      <c r="G618" s="7"/>
      <c r="H618" s="7"/>
      <c r="I618" s="7"/>
      <c r="J618" s="7"/>
      <c r="K618" s="8">
        <f t="shared" si="2810"/>
        <v>0</v>
      </c>
      <c r="M618" s="6"/>
      <c r="N618" s="7"/>
      <c r="O618" s="7"/>
      <c r="P618" s="7"/>
      <c r="Q618" s="7"/>
      <c r="R618" s="8">
        <f t="shared" si="2811"/>
        <v>0</v>
      </c>
      <c r="T618" s="6"/>
      <c r="U618" s="7"/>
      <c r="V618" s="7"/>
      <c r="W618" s="7"/>
      <c r="X618" s="7"/>
      <c r="Y618" s="8">
        <f t="shared" si="2812"/>
        <v>0</v>
      </c>
      <c r="AA618" s="6"/>
      <c r="AB618" s="7"/>
      <c r="AC618" s="7"/>
      <c r="AD618" s="7"/>
      <c r="AE618" s="7"/>
      <c r="AF618" s="8">
        <f>SUM(AA618:AE618)</f>
        <v>0</v>
      </c>
      <c r="AH618" s="6"/>
      <c r="AI618" s="7"/>
      <c r="AJ618" s="7"/>
      <c r="AK618" s="7"/>
      <c r="AL618" s="7"/>
      <c r="AM618" s="8">
        <f>SUM(AH618:AL618)</f>
        <v>0</v>
      </c>
      <c r="AO618" s="6"/>
      <c r="AP618" s="7"/>
      <c r="AQ618" s="7"/>
      <c r="AR618" s="7"/>
      <c r="AS618" s="7"/>
      <c r="AT618" s="8">
        <f>SUM(AO618:AS618)</f>
        <v>0</v>
      </c>
      <c r="AV618" s="6"/>
      <c r="AW618" s="7"/>
      <c r="AX618" s="7"/>
      <c r="AY618" s="7"/>
      <c r="AZ618" s="7"/>
      <c r="BA618" s="8">
        <f>SUM(AV618:AZ618)</f>
        <v>0</v>
      </c>
      <c r="BC618" s="6"/>
      <c r="BD618" s="7"/>
      <c r="BE618" s="7"/>
      <c r="BF618" s="7"/>
      <c r="BG618" s="7"/>
      <c r="BH618" s="8">
        <f>SUM(BC618:BG618)</f>
        <v>0</v>
      </c>
      <c r="BJ618" s="6"/>
      <c r="BK618" s="7"/>
      <c r="BL618" s="7"/>
      <c r="BM618" s="7"/>
      <c r="BN618" s="7"/>
      <c r="BO618" s="8">
        <f>SUM(BJ618:BN618)</f>
        <v>0</v>
      </c>
      <c r="BQ618" s="6"/>
      <c r="BR618" s="7"/>
      <c r="BS618" s="7"/>
      <c r="BT618" s="7"/>
      <c r="BU618" s="7"/>
      <c r="BV618" s="8">
        <f>SUM(BQ618:BU618)</f>
        <v>0</v>
      </c>
      <c r="BX618" s="6"/>
      <c r="BY618" s="7"/>
      <c r="BZ618" s="7"/>
      <c r="CA618" s="7"/>
      <c r="CB618" s="7"/>
      <c r="CC618" s="8">
        <f>SUM(BX618:CB618)</f>
        <v>0</v>
      </c>
      <c r="CE618" s="493">
        <f t="shared" si="2805"/>
        <v>0</v>
      </c>
      <c r="CF618" s="494">
        <f t="shared" si="2806"/>
        <v>0</v>
      </c>
      <c r="CG618" s="494">
        <f t="shared" si="2807"/>
        <v>0</v>
      </c>
      <c r="CH618" s="494">
        <f t="shared" si="2808"/>
        <v>0</v>
      </c>
      <c r="CI618" s="494">
        <f t="shared" si="2809"/>
        <v>0</v>
      </c>
      <c r="CJ618" s="495">
        <f>SUM(CE618:CI618)</f>
        <v>0</v>
      </c>
      <c r="CL618" s="6"/>
      <c r="CM618" s="7"/>
      <c r="CN618" s="7"/>
      <c r="CO618" s="7"/>
      <c r="CP618" s="7"/>
      <c r="CQ618" s="8">
        <f>SUM(CL618:CP618)</f>
        <v>0</v>
      </c>
      <c r="CS618" s="6"/>
      <c r="CT618" s="7"/>
      <c r="CU618" s="7"/>
      <c r="CV618" s="7"/>
      <c r="CW618" s="7"/>
      <c r="CX618" s="8">
        <f t="shared" si="2813"/>
        <v>0</v>
      </c>
      <c r="CZ618" s="6"/>
      <c r="DA618" s="7"/>
      <c r="DB618" s="7"/>
      <c r="DC618" s="7"/>
      <c r="DD618" s="7"/>
      <c r="DE618" s="8">
        <f t="shared" si="2814"/>
        <v>0</v>
      </c>
    </row>
    <row r="619" spans="2:110" ht="14" thickBot="1">
      <c r="C619" s="554"/>
      <c r="E619" s="9"/>
      <c r="F619" s="10">
        <f>SUM(F615:F618)</f>
        <v>0</v>
      </c>
      <c r="G619" s="11">
        <f t="shared" ref="G619:J619" si="2815">SUM(G615:G618)</f>
        <v>0</v>
      </c>
      <c r="H619" s="11">
        <f t="shared" si="2815"/>
        <v>0</v>
      </c>
      <c r="I619" s="11">
        <f t="shared" si="2815"/>
        <v>0</v>
      </c>
      <c r="J619" s="61">
        <f t="shared" si="2815"/>
        <v>0</v>
      </c>
      <c r="K619" s="25">
        <f>SUM(K615:K618)</f>
        <v>0</v>
      </c>
      <c r="M619" s="10">
        <f>SUM(M615:M618)</f>
        <v>0</v>
      </c>
      <c r="N619" s="11">
        <f t="shared" ref="N619:Q619" si="2816">SUM(N615:N618)</f>
        <v>0</v>
      </c>
      <c r="O619" s="11">
        <f t="shared" si="2816"/>
        <v>0</v>
      </c>
      <c r="P619" s="11">
        <f t="shared" si="2816"/>
        <v>0</v>
      </c>
      <c r="Q619" s="11">
        <f t="shared" si="2816"/>
        <v>0</v>
      </c>
      <c r="R619" s="25">
        <f>SUM(R615:R618)</f>
        <v>0</v>
      </c>
      <c r="T619" s="10">
        <f>SUM(T615:T618)</f>
        <v>0</v>
      </c>
      <c r="U619" s="11">
        <f t="shared" ref="U619:X619" si="2817">SUM(U615:U618)</f>
        <v>0</v>
      </c>
      <c r="V619" s="11">
        <f t="shared" si="2817"/>
        <v>0</v>
      </c>
      <c r="W619" s="11">
        <f t="shared" si="2817"/>
        <v>0</v>
      </c>
      <c r="X619" s="11">
        <f t="shared" si="2817"/>
        <v>0</v>
      </c>
      <c r="Y619" s="25">
        <f>SUM(Y615:Y618)</f>
        <v>0</v>
      </c>
      <c r="AA619" s="10">
        <f>SUM(AA615:AA618)</f>
        <v>0</v>
      </c>
      <c r="AB619" s="11">
        <f t="shared" ref="AB619:AE619" si="2818">SUM(AB615:AB618)</f>
        <v>0</v>
      </c>
      <c r="AC619" s="11">
        <f t="shared" si="2818"/>
        <v>0</v>
      </c>
      <c r="AD619" s="11">
        <f t="shared" si="2818"/>
        <v>0</v>
      </c>
      <c r="AE619" s="11">
        <f t="shared" si="2818"/>
        <v>0</v>
      </c>
      <c r="AF619" s="25">
        <f>SUM(AF615:AF618)</f>
        <v>0</v>
      </c>
      <c r="AH619" s="10">
        <f t="shared" ref="AH619:AM619" si="2819">SUM(AH615:AH618)</f>
        <v>0</v>
      </c>
      <c r="AI619" s="11">
        <f t="shared" si="2819"/>
        <v>0</v>
      </c>
      <c r="AJ619" s="11">
        <f t="shared" si="2819"/>
        <v>0</v>
      </c>
      <c r="AK619" s="11">
        <f t="shared" si="2819"/>
        <v>0</v>
      </c>
      <c r="AL619" s="11">
        <f t="shared" si="2819"/>
        <v>0</v>
      </c>
      <c r="AM619" s="25">
        <f t="shared" si="2819"/>
        <v>0</v>
      </c>
      <c r="AO619" s="10">
        <f t="shared" ref="AO619:AT619" si="2820">SUM(AO615:AO618)</f>
        <v>0</v>
      </c>
      <c r="AP619" s="11">
        <f t="shared" si="2820"/>
        <v>0</v>
      </c>
      <c r="AQ619" s="11">
        <f t="shared" si="2820"/>
        <v>0</v>
      </c>
      <c r="AR619" s="11">
        <f t="shared" si="2820"/>
        <v>0</v>
      </c>
      <c r="AS619" s="11">
        <f t="shared" si="2820"/>
        <v>0</v>
      </c>
      <c r="AT619" s="25">
        <f t="shared" si="2820"/>
        <v>0</v>
      </c>
      <c r="AV619" s="10">
        <f t="shared" ref="AV619:BA619" si="2821">SUM(AV615:AV618)</f>
        <v>0</v>
      </c>
      <c r="AW619" s="11">
        <f t="shared" si="2821"/>
        <v>0</v>
      </c>
      <c r="AX619" s="11">
        <f t="shared" si="2821"/>
        <v>0</v>
      </c>
      <c r="AY619" s="11">
        <f t="shared" si="2821"/>
        <v>0</v>
      </c>
      <c r="AZ619" s="11">
        <f t="shared" si="2821"/>
        <v>0</v>
      </c>
      <c r="BA619" s="25">
        <f t="shared" si="2821"/>
        <v>0</v>
      </c>
      <c r="BC619" s="10">
        <f t="shared" ref="BC619:BH619" si="2822">SUM(BC615:BC618)</f>
        <v>0</v>
      </c>
      <c r="BD619" s="11">
        <f t="shared" si="2822"/>
        <v>0</v>
      </c>
      <c r="BE619" s="11">
        <f t="shared" si="2822"/>
        <v>0</v>
      </c>
      <c r="BF619" s="11">
        <f t="shared" si="2822"/>
        <v>0</v>
      </c>
      <c r="BG619" s="11">
        <f t="shared" si="2822"/>
        <v>0</v>
      </c>
      <c r="BH619" s="25">
        <f t="shared" si="2822"/>
        <v>0</v>
      </c>
      <c r="BJ619" s="10">
        <f t="shared" ref="BJ619:BO619" si="2823">SUM(BJ615:BJ618)</f>
        <v>0</v>
      </c>
      <c r="BK619" s="11">
        <f t="shared" si="2823"/>
        <v>0</v>
      </c>
      <c r="BL619" s="11">
        <f t="shared" si="2823"/>
        <v>0</v>
      </c>
      <c r="BM619" s="11">
        <f t="shared" si="2823"/>
        <v>0</v>
      </c>
      <c r="BN619" s="11">
        <f t="shared" si="2823"/>
        <v>0</v>
      </c>
      <c r="BO619" s="25">
        <f t="shared" si="2823"/>
        <v>0</v>
      </c>
      <c r="BQ619" s="10">
        <f t="shared" ref="BQ619:BV619" si="2824">SUM(BQ615:BQ618)</f>
        <v>0</v>
      </c>
      <c r="BR619" s="11">
        <f t="shared" si="2824"/>
        <v>0</v>
      </c>
      <c r="BS619" s="11">
        <f t="shared" si="2824"/>
        <v>0</v>
      </c>
      <c r="BT619" s="11">
        <f t="shared" si="2824"/>
        <v>0</v>
      </c>
      <c r="BU619" s="11">
        <f t="shared" si="2824"/>
        <v>0</v>
      </c>
      <c r="BV619" s="25">
        <f t="shared" si="2824"/>
        <v>0</v>
      </c>
      <c r="BX619" s="10">
        <f t="shared" ref="BX619:CC619" si="2825">SUM(BX615:BX618)</f>
        <v>0</v>
      </c>
      <c r="BY619" s="11">
        <f t="shared" si="2825"/>
        <v>0</v>
      </c>
      <c r="BZ619" s="11">
        <f t="shared" si="2825"/>
        <v>0</v>
      </c>
      <c r="CA619" s="11">
        <f t="shared" si="2825"/>
        <v>0</v>
      </c>
      <c r="CB619" s="11">
        <f t="shared" si="2825"/>
        <v>0</v>
      </c>
      <c r="CC619" s="25">
        <f t="shared" si="2825"/>
        <v>0</v>
      </c>
      <c r="CE619" s="62">
        <f t="shared" ref="CE619:CJ619" si="2826">SUM(CE615:CE618)</f>
        <v>0</v>
      </c>
      <c r="CF619" s="63">
        <f t="shared" si="2826"/>
        <v>0</v>
      </c>
      <c r="CG619" s="63">
        <f t="shared" si="2826"/>
        <v>0</v>
      </c>
      <c r="CH619" s="63">
        <f t="shared" si="2826"/>
        <v>0</v>
      </c>
      <c r="CI619" s="63">
        <f t="shared" si="2826"/>
        <v>0</v>
      </c>
      <c r="CJ619" s="25">
        <f t="shared" si="2826"/>
        <v>0</v>
      </c>
      <c r="CL619" s="10">
        <f>SUM(CL615:CL618)</f>
        <v>0</v>
      </c>
      <c r="CM619" s="11">
        <f t="shared" ref="CM619:CQ619" si="2827">SUM(CM615:CM618)</f>
        <v>0</v>
      </c>
      <c r="CN619" s="11">
        <f t="shared" si="2827"/>
        <v>0</v>
      </c>
      <c r="CO619" s="11">
        <f t="shared" si="2827"/>
        <v>0</v>
      </c>
      <c r="CP619" s="11">
        <f t="shared" si="2827"/>
        <v>0</v>
      </c>
      <c r="CQ619" s="25">
        <f t="shared" si="2827"/>
        <v>0</v>
      </c>
      <c r="CS619" s="10">
        <f>SUM(CS615:CS618)</f>
        <v>0</v>
      </c>
      <c r="CT619" s="11">
        <f t="shared" ref="CT619:CW619" si="2828">SUM(CT615:CT618)</f>
        <v>0</v>
      </c>
      <c r="CU619" s="11">
        <f t="shared" si="2828"/>
        <v>0</v>
      </c>
      <c r="CV619" s="11">
        <f t="shared" si="2828"/>
        <v>0</v>
      </c>
      <c r="CW619" s="11">
        <f t="shared" si="2828"/>
        <v>0</v>
      </c>
      <c r="CX619" s="25">
        <f>SUM(CX615:CX618)</f>
        <v>0</v>
      </c>
      <c r="CZ619" s="10">
        <f>SUM(CZ615:CZ618)</f>
        <v>0</v>
      </c>
      <c r="DA619" s="11">
        <f t="shared" ref="DA619:DD619" si="2829">SUM(DA615:DA618)</f>
        <v>0</v>
      </c>
      <c r="DB619" s="11">
        <f t="shared" si="2829"/>
        <v>0</v>
      </c>
      <c r="DC619" s="11">
        <f t="shared" si="2829"/>
        <v>0</v>
      </c>
      <c r="DD619" s="11">
        <f t="shared" si="2829"/>
        <v>0</v>
      </c>
      <c r="DE619" s="25">
        <f>SUM(DE615:DE618)</f>
        <v>0</v>
      </c>
    </row>
    <row r="620" spans="2:110" ht="10.4" customHeight="1" thickBot="1"/>
    <row r="621" spans="2:110">
      <c r="C621" s="553">
        <v>2025</v>
      </c>
      <c r="E621" s="13" t="s">
        <v>59</v>
      </c>
      <c r="F621" s="21">
        <f>CE615</f>
        <v>0</v>
      </c>
      <c r="G621" s="22">
        <f t="shared" ref="G621:G624" si="2830">CF615</f>
        <v>0</v>
      </c>
      <c r="H621" s="22">
        <f t="shared" ref="H621:H624" si="2831">CG615</f>
        <v>0</v>
      </c>
      <c r="I621" s="22">
        <f t="shared" ref="I621:I624" si="2832">CH615</f>
        <v>0</v>
      </c>
      <c r="J621" s="22">
        <f t="shared" ref="J621:J624" si="2833">CI615</f>
        <v>0</v>
      </c>
      <c r="K621" s="15">
        <f>SUM(F621:J621)</f>
        <v>0</v>
      </c>
      <c r="M621" s="2"/>
      <c r="N621" s="3"/>
      <c r="O621" s="3"/>
      <c r="P621" s="3"/>
      <c r="Q621" s="3"/>
      <c r="R621" s="15">
        <f>SUM(M621:Q621)</f>
        <v>0</v>
      </c>
      <c r="T621" s="2"/>
      <c r="U621" s="3"/>
      <c r="V621" s="3"/>
      <c r="W621" s="3"/>
      <c r="X621" s="3"/>
      <c r="Y621" s="15">
        <f>SUM(T621:X621)</f>
        <v>0</v>
      </c>
      <c r="AA621" s="2"/>
      <c r="AB621" s="3"/>
      <c r="AC621" s="3"/>
      <c r="AD621" s="3"/>
      <c r="AE621" s="3"/>
      <c r="AF621" s="15">
        <f>SUM(AA621:AE621)</f>
        <v>0</v>
      </c>
      <c r="AH621" s="2"/>
      <c r="AI621" s="3"/>
      <c r="AJ621" s="3"/>
      <c r="AK621" s="3"/>
      <c r="AL621" s="3"/>
      <c r="AM621" s="15">
        <f>SUM(AH621:AL621)</f>
        <v>0</v>
      </c>
      <c r="AO621" s="2"/>
      <c r="AP621" s="3"/>
      <c r="AQ621" s="3"/>
      <c r="AR621" s="3"/>
      <c r="AS621" s="3"/>
      <c r="AT621" s="15">
        <f>SUM(AO621:AS621)</f>
        <v>0</v>
      </c>
      <c r="AV621" s="2"/>
      <c r="AW621" s="3"/>
      <c r="AX621" s="3"/>
      <c r="AY621" s="3"/>
      <c r="AZ621" s="3"/>
      <c r="BA621" s="15">
        <f>SUM(AV621:AZ621)</f>
        <v>0</v>
      </c>
      <c r="BC621" s="2"/>
      <c r="BD621" s="3"/>
      <c r="BE621" s="3"/>
      <c r="BF621" s="3"/>
      <c r="BG621" s="3"/>
      <c r="BH621" s="15">
        <f>SUM(BC621:BG621)</f>
        <v>0</v>
      </c>
      <c r="BJ621" s="2"/>
      <c r="BK621" s="3"/>
      <c r="BL621" s="3"/>
      <c r="BM621" s="3"/>
      <c r="BN621" s="3"/>
      <c r="BO621" s="15">
        <f>SUM(BJ621:BN621)</f>
        <v>0</v>
      </c>
      <c r="BQ621" s="2"/>
      <c r="BR621" s="3"/>
      <c r="BS621" s="3"/>
      <c r="BT621" s="3"/>
      <c r="BU621" s="3"/>
      <c r="BV621" s="15">
        <f>SUM(BQ621:BU621)</f>
        <v>0</v>
      </c>
      <c r="BX621" s="2"/>
      <c r="BY621" s="3"/>
      <c r="BZ621" s="3"/>
      <c r="CA621" s="3"/>
      <c r="CB621" s="3"/>
      <c r="CC621" s="15">
        <f>SUM(BX621:CB621)</f>
        <v>0</v>
      </c>
      <c r="CE621" s="26">
        <f t="shared" ref="CE621:CE624" si="2834">F621+M621+T621+AA621+AH621+AO621+AV621+BC621+BJ621+BQ621+BX621</f>
        <v>0</v>
      </c>
      <c r="CF621" s="27">
        <f t="shared" ref="CF621:CF624" si="2835">G621+N621+U621+AB621+AI621+AP621+AW621+BD621+BK621+BR621+BY621</f>
        <v>0</v>
      </c>
      <c r="CG621" s="27">
        <f t="shared" ref="CG621:CG624" si="2836">H621+O621+V621+AC621+AJ621+AQ621+AX621+BE621+BL621+BS621+BZ621</f>
        <v>0</v>
      </c>
      <c r="CH621" s="27">
        <f t="shared" ref="CH621:CH624" si="2837">I621+P621+W621+AD621+AK621+AR621+AY621+BF621+BM621+BT621+CA621</f>
        <v>0</v>
      </c>
      <c r="CI621" s="27">
        <f t="shared" ref="CI621:CI624" si="2838">J621+Q621+X621+AE621+AL621+AS621+AZ621+BG621+BN621+BU621+CB621</f>
        <v>0</v>
      </c>
      <c r="CJ621" s="4">
        <f>SUM(CE621:CI621)</f>
        <v>0</v>
      </c>
      <c r="CL621" s="2"/>
      <c r="CM621" s="3"/>
      <c r="CN621" s="3"/>
      <c r="CO621" s="3"/>
      <c r="CP621" s="3"/>
      <c r="CQ621" s="15">
        <f>SUM(CL621:CP621)</f>
        <v>0</v>
      </c>
      <c r="CS621" s="2"/>
      <c r="CT621" s="3"/>
      <c r="CU621" s="3"/>
      <c r="CV621" s="3"/>
      <c r="CW621" s="3"/>
      <c r="CX621" s="4">
        <f>SUM(CS621:CW621)</f>
        <v>0</v>
      </c>
      <c r="CZ621" s="2"/>
      <c r="DA621" s="3"/>
      <c r="DB621" s="3"/>
      <c r="DC621" s="3"/>
      <c r="DD621" s="3"/>
      <c r="DE621" s="15">
        <f>SUM(CZ621:DD621)</f>
        <v>0</v>
      </c>
    </row>
    <row r="622" spans="2:110">
      <c r="C622" s="567"/>
      <c r="E622" s="14" t="s">
        <v>60</v>
      </c>
      <c r="F622" s="23">
        <f t="shared" ref="F622:F624" si="2839">CE616</f>
        <v>0</v>
      </c>
      <c r="G622" s="24">
        <f t="shared" si="2830"/>
        <v>0</v>
      </c>
      <c r="H622" s="24">
        <f t="shared" si="2831"/>
        <v>0</v>
      </c>
      <c r="I622" s="24">
        <f t="shared" si="2832"/>
        <v>0</v>
      </c>
      <c r="J622" s="24">
        <f t="shared" si="2833"/>
        <v>0</v>
      </c>
      <c r="K622" s="16">
        <f t="shared" ref="K622:K624" si="2840">SUM(F622:J622)</f>
        <v>0</v>
      </c>
      <c r="M622" s="6"/>
      <c r="N622" s="7"/>
      <c r="O622" s="7"/>
      <c r="P622" s="7"/>
      <c r="Q622" s="7"/>
      <c r="R622" s="16">
        <f t="shared" ref="R622:R624" si="2841">SUM(M622:Q622)</f>
        <v>0</v>
      </c>
      <c r="T622" s="6"/>
      <c r="U622" s="7"/>
      <c r="V622" s="7"/>
      <c r="W622" s="7"/>
      <c r="X622" s="7"/>
      <c r="Y622" s="16">
        <f t="shared" ref="Y622:Y624" si="2842">SUM(T622:X622)</f>
        <v>0</v>
      </c>
      <c r="AA622" s="6"/>
      <c r="AB622" s="7"/>
      <c r="AC622" s="7"/>
      <c r="AD622" s="7"/>
      <c r="AE622" s="7"/>
      <c r="AF622" s="16">
        <f>SUM(AA622:AE622)</f>
        <v>0</v>
      </c>
      <c r="AH622" s="6"/>
      <c r="AI622" s="7"/>
      <c r="AJ622" s="7"/>
      <c r="AK622" s="7"/>
      <c r="AL622" s="7"/>
      <c r="AM622" s="16">
        <f>SUM(AH622:AL622)</f>
        <v>0</v>
      </c>
      <c r="AO622" s="6"/>
      <c r="AP622" s="7"/>
      <c r="AQ622" s="7"/>
      <c r="AR622" s="7"/>
      <c r="AS622" s="7"/>
      <c r="AT622" s="16">
        <f>SUM(AO622:AS622)</f>
        <v>0</v>
      </c>
      <c r="AV622" s="6"/>
      <c r="AW622" s="7"/>
      <c r="AX622" s="7"/>
      <c r="AY622" s="7"/>
      <c r="AZ622" s="7"/>
      <c r="BA622" s="16">
        <f>SUM(AV622:AZ622)</f>
        <v>0</v>
      </c>
      <c r="BC622" s="6"/>
      <c r="BD622" s="7"/>
      <c r="BE622" s="7"/>
      <c r="BF622" s="7"/>
      <c r="BG622" s="7"/>
      <c r="BH622" s="16">
        <f>SUM(BC622:BG622)</f>
        <v>0</v>
      </c>
      <c r="BJ622" s="6"/>
      <c r="BK622" s="7"/>
      <c r="BL622" s="7"/>
      <c r="BM622" s="7"/>
      <c r="BN622" s="7"/>
      <c r="BO622" s="16">
        <f>SUM(BJ622:BN622)</f>
        <v>0</v>
      </c>
      <c r="BQ622" s="6"/>
      <c r="BR622" s="7"/>
      <c r="BS622" s="7"/>
      <c r="BT622" s="7"/>
      <c r="BU622" s="7"/>
      <c r="BV622" s="16">
        <f>SUM(BQ622:BU622)</f>
        <v>0</v>
      </c>
      <c r="BX622" s="6"/>
      <c r="BY622" s="7"/>
      <c r="BZ622" s="7"/>
      <c r="CA622" s="7"/>
      <c r="CB622" s="7"/>
      <c r="CC622" s="16">
        <f>SUM(BX622:CB622)</f>
        <v>0</v>
      </c>
      <c r="CE622" s="28">
        <f t="shared" si="2834"/>
        <v>0</v>
      </c>
      <c r="CF622" s="29">
        <f t="shared" si="2835"/>
        <v>0</v>
      </c>
      <c r="CG622" s="29">
        <f t="shared" si="2836"/>
        <v>0</v>
      </c>
      <c r="CH622" s="29">
        <f t="shared" si="2837"/>
        <v>0</v>
      </c>
      <c r="CI622" s="29">
        <f t="shared" si="2838"/>
        <v>0</v>
      </c>
      <c r="CJ622" s="8">
        <f>SUM(CE622:CI622)</f>
        <v>0</v>
      </c>
      <c r="CL622" s="6"/>
      <c r="CM622" s="7"/>
      <c r="CN622" s="7"/>
      <c r="CO622" s="7"/>
      <c r="CP622" s="7"/>
      <c r="CQ622" s="16">
        <f>SUM(CL622:CP622)</f>
        <v>0</v>
      </c>
      <c r="CS622" s="6"/>
      <c r="CT622" s="7"/>
      <c r="CU622" s="7"/>
      <c r="CV622" s="7"/>
      <c r="CW622" s="7"/>
      <c r="CX622" s="8">
        <f t="shared" ref="CX622:CX624" si="2843">SUM(CS622:CW622)</f>
        <v>0</v>
      </c>
      <c r="CZ622" s="6"/>
      <c r="DA622" s="7"/>
      <c r="DB622" s="7"/>
      <c r="DC622" s="7"/>
      <c r="DD622" s="7"/>
      <c r="DE622" s="16">
        <f t="shared" ref="DE622:DE624" si="2844">SUM(CZ622:DD622)</f>
        <v>0</v>
      </c>
    </row>
    <row r="623" spans="2:110">
      <c r="C623" s="567"/>
      <c r="E623" s="14" t="s">
        <v>61</v>
      </c>
      <c r="F623" s="23">
        <f t="shared" si="2839"/>
        <v>0</v>
      </c>
      <c r="G623" s="24">
        <f t="shared" si="2830"/>
        <v>0</v>
      </c>
      <c r="H623" s="24">
        <f t="shared" si="2831"/>
        <v>0</v>
      </c>
      <c r="I623" s="24">
        <f t="shared" si="2832"/>
        <v>0</v>
      </c>
      <c r="J623" s="24">
        <f t="shared" si="2833"/>
        <v>0</v>
      </c>
      <c r="K623" s="16">
        <f t="shared" si="2840"/>
        <v>0</v>
      </c>
      <c r="M623" s="6"/>
      <c r="N623" s="7"/>
      <c r="O623" s="7"/>
      <c r="P623" s="7"/>
      <c r="Q623" s="7"/>
      <c r="R623" s="16">
        <f t="shared" si="2841"/>
        <v>0</v>
      </c>
      <c r="T623" s="6"/>
      <c r="U623" s="7"/>
      <c r="V623" s="7"/>
      <c r="W623" s="7"/>
      <c r="X623" s="7"/>
      <c r="Y623" s="16">
        <f t="shared" si="2842"/>
        <v>0</v>
      </c>
      <c r="AA623" s="6"/>
      <c r="AB623" s="7"/>
      <c r="AC623" s="7"/>
      <c r="AD623" s="7"/>
      <c r="AE623" s="7"/>
      <c r="AF623" s="16">
        <f>SUM(AA623:AE623)</f>
        <v>0</v>
      </c>
      <c r="AH623" s="6"/>
      <c r="AI623" s="7"/>
      <c r="AJ623" s="7"/>
      <c r="AK623" s="7"/>
      <c r="AL623" s="7"/>
      <c r="AM623" s="16">
        <f>SUM(AH623:AL623)</f>
        <v>0</v>
      </c>
      <c r="AO623" s="6"/>
      <c r="AP623" s="7"/>
      <c r="AQ623" s="7"/>
      <c r="AR623" s="7"/>
      <c r="AS623" s="7"/>
      <c r="AT623" s="16">
        <f>SUM(AO623:AS623)</f>
        <v>0</v>
      </c>
      <c r="AV623" s="6"/>
      <c r="AW623" s="7"/>
      <c r="AX623" s="7"/>
      <c r="AY623" s="7"/>
      <c r="AZ623" s="7"/>
      <c r="BA623" s="16">
        <f>SUM(AV623:AZ623)</f>
        <v>0</v>
      </c>
      <c r="BC623" s="6"/>
      <c r="BD623" s="7"/>
      <c r="BE623" s="7"/>
      <c r="BF623" s="7"/>
      <c r="BG623" s="7"/>
      <c r="BH623" s="16">
        <f>SUM(BC623:BG623)</f>
        <v>0</v>
      </c>
      <c r="BJ623" s="6"/>
      <c r="BK623" s="7"/>
      <c r="BL623" s="7"/>
      <c r="BM623" s="7"/>
      <c r="BN623" s="7"/>
      <c r="BO623" s="16">
        <f>SUM(BJ623:BN623)</f>
        <v>0</v>
      </c>
      <c r="BQ623" s="6"/>
      <c r="BR623" s="7"/>
      <c r="BS623" s="7"/>
      <c r="BT623" s="7"/>
      <c r="BU623" s="7"/>
      <c r="BV623" s="16">
        <f>SUM(BQ623:BU623)</f>
        <v>0</v>
      </c>
      <c r="BX623" s="6"/>
      <c r="BY623" s="7"/>
      <c r="BZ623" s="7"/>
      <c r="CA623" s="7"/>
      <c r="CB623" s="7"/>
      <c r="CC623" s="16">
        <f>SUM(BX623:CB623)</f>
        <v>0</v>
      </c>
      <c r="CE623" s="28">
        <f t="shared" si="2834"/>
        <v>0</v>
      </c>
      <c r="CF623" s="29">
        <f t="shared" si="2835"/>
        <v>0</v>
      </c>
      <c r="CG623" s="29">
        <f t="shared" si="2836"/>
        <v>0</v>
      </c>
      <c r="CH623" s="29">
        <f t="shared" si="2837"/>
        <v>0</v>
      </c>
      <c r="CI623" s="29">
        <f t="shared" si="2838"/>
        <v>0</v>
      </c>
      <c r="CJ623" s="8">
        <f>SUM(CE623:CI623)</f>
        <v>0</v>
      </c>
      <c r="CL623" s="6"/>
      <c r="CM623" s="7"/>
      <c r="CN623" s="7"/>
      <c r="CO623" s="7"/>
      <c r="CP623" s="7"/>
      <c r="CQ623" s="16">
        <f>SUM(CL623:CP623)</f>
        <v>0</v>
      </c>
      <c r="CS623" s="6"/>
      <c r="CT623" s="7"/>
      <c r="CU623" s="7"/>
      <c r="CV623" s="7"/>
      <c r="CW623" s="7"/>
      <c r="CX623" s="8">
        <f t="shared" si="2843"/>
        <v>0</v>
      </c>
      <c r="CZ623" s="6"/>
      <c r="DA623" s="7"/>
      <c r="DB623" s="7"/>
      <c r="DC623" s="7"/>
      <c r="DD623" s="7"/>
      <c r="DE623" s="16">
        <f t="shared" si="2844"/>
        <v>0</v>
      </c>
    </row>
    <row r="624" spans="2:110" ht="14" thickBot="1">
      <c r="C624" s="567"/>
      <c r="E624" s="14" t="s">
        <v>62</v>
      </c>
      <c r="F624" s="23">
        <f t="shared" si="2839"/>
        <v>0</v>
      </c>
      <c r="G624" s="24">
        <f t="shared" si="2830"/>
        <v>0</v>
      </c>
      <c r="H624" s="24">
        <f t="shared" si="2831"/>
        <v>0</v>
      </c>
      <c r="I624" s="24">
        <f t="shared" si="2832"/>
        <v>0</v>
      </c>
      <c r="J624" s="24">
        <f t="shared" si="2833"/>
        <v>0</v>
      </c>
      <c r="K624" s="16">
        <f t="shared" si="2840"/>
        <v>0</v>
      </c>
      <c r="M624" s="6"/>
      <c r="N624" s="7"/>
      <c r="O624" s="7"/>
      <c r="P624" s="7"/>
      <c r="Q624" s="7"/>
      <c r="R624" s="16">
        <f t="shared" si="2841"/>
        <v>0</v>
      </c>
      <c r="T624" s="6"/>
      <c r="U624" s="7"/>
      <c r="V624" s="7"/>
      <c r="W624" s="7"/>
      <c r="X624" s="7"/>
      <c r="Y624" s="16">
        <f t="shared" si="2842"/>
        <v>0</v>
      </c>
      <c r="AA624" s="6"/>
      <c r="AB624" s="7"/>
      <c r="AC624" s="7"/>
      <c r="AD624" s="7"/>
      <c r="AE624" s="7"/>
      <c r="AF624" s="16">
        <f>SUM(AA624:AE624)</f>
        <v>0</v>
      </c>
      <c r="AH624" s="6"/>
      <c r="AI624" s="7"/>
      <c r="AJ624" s="7"/>
      <c r="AK624" s="7"/>
      <c r="AL624" s="7"/>
      <c r="AM624" s="16">
        <f>SUM(AH624:AL624)</f>
        <v>0</v>
      </c>
      <c r="AO624" s="6"/>
      <c r="AP624" s="7"/>
      <c r="AQ624" s="7"/>
      <c r="AR624" s="7"/>
      <c r="AS624" s="7"/>
      <c r="AT624" s="16">
        <f>SUM(AO624:AS624)</f>
        <v>0</v>
      </c>
      <c r="AV624" s="6"/>
      <c r="AW624" s="7"/>
      <c r="AX624" s="7"/>
      <c r="AY624" s="7"/>
      <c r="AZ624" s="7"/>
      <c r="BA624" s="16">
        <f>SUM(AV624:AZ624)</f>
        <v>0</v>
      </c>
      <c r="BC624" s="6"/>
      <c r="BD624" s="7"/>
      <c r="BE624" s="7"/>
      <c r="BF624" s="7"/>
      <c r="BG624" s="7"/>
      <c r="BH624" s="16">
        <f>SUM(BC624:BG624)</f>
        <v>0</v>
      </c>
      <c r="BJ624" s="6"/>
      <c r="BK624" s="7"/>
      <c r="BL624" s="7"/>
      <c r="BM624" s="7"/>
      <c r="BN624" s="7"/>
      <c r="BO624" s="16">
        <f>SUM(BJ624:BN624)</f>
        <v>0</v>
      </c>
      <c r="BQ624" s="6"/>
      <c r="BR624" s="7"/>
      <c r="BS624" s="7"/>
      <c r="BT624" s="7"/>
      <c r="BU624" s="7"/>
      <c r="BV624" s="16">
        <f>SUM(BQ624:BU624)</f>
        <v>0</v>
      </c>
      <c r="BX624" s="6"/>
      <c r="BY624" s="7"/>
      <c r="BZ624" s="7"/>
      <c r="CA624" s="7"/>
      <c r="CB624" s="7"/>
      <c r="CC624" s="16">
        <f>SUM(BX624:CB624)</f>
        <v>0</v>
      </c>
      <c r="CE624" s="493">
        <f t="shared" si="2834"/>
        <v>0</v>
      </c>
      <c r="CF624" s="494">
        <f t="shared" si="2835"/>
        <v>0</v>
      </c>
      <c r="CG624" s="494">
        <f t="shared" si="2836"/>
        <v>0</v>
      </c>
      <c r="CH624" s="494">
        <f t="shared" si="2837"/>
        <v>0</v>
      </c>
      <c r="CI624" s="494">
        <f t="shared" si="2838"/>
        <v>0</v>
      </c>
      <c r="CJ624" s="495">
        <f>SUM(CE624:CI624)</f>
        <v>0</v>
      </c>
      <c r="CL624" s="6"/>
      <c r="CM624" s="7"/>
      <c r="CN624" s="7"/>
      <c r="CO624" s="7"/>
      <c r="CP624" s="7"/>
      <c r="CQ624" s="16">
        <f>SUM(CL624:CP624)</f>
        <v>0</v>
      </c>
      <c r="CS624" s="6"/>
      <c r="CT624" s="7"/>
      <c r="CU624" s="7"/>
      <c r="CV624" s="7"/>
      <c r="CW624" s="7"/>
      <c r="CX624" s="8">
        <f t="shared" si="2843"/>
        <v>0</v>
      </c>
      <c r="CZ624" s="6"/>
      <c r="DA624" s="7"/>
      <c r="DB624" s="7"/>
      <c r="DC624" s="7"/>
      <c r="DD624" s="7"/>
      <c r="DE624" s="16">
        <f t="shared" si="2844"/>
        <v>0</v>
      </c>
    </row>
    <row r="625" spans="3:109" ht="14" thickBot="1">
      <c r="C625" s="554"/>
      <c r="E625" s="17"/>
      <c r="F625" s="10">
        <f>SUM(F621:F624)</f>
        <v>0</v>
      </c>
      <c r="G625" s="11">
        <f t="shared" ref="G625:J625" si="2845">SUM(G621:G624)</f>
        <v>0</v>
      </c>
      <c r="H625" s="11">
        <f t="shared" si="2845"/>
        <v>0</v>
      </c>
      <c r="I625" s="11">
        <f t="shared" si="2845"/>
        <v>0</v>
      </c>
      <c r="J625" s="11">
        <f t="shared" si="2845"/>
        <v>0</v>
      </c>
      <c r="K625" s="25">
        <f>SUM(K621:K624)</f>
        <v>0</v>
      </c>
      <c r="M625" s="10">
        <f>SUM(M621:M624)</f>
        <v>0</v>
      </c>
      <c r="N625" s="11">
        <f t="shared" ref="N625:Q625" si="2846">SUM(N621:N624)</f>
        <v>0</v>
      </c>
      <c r="O625" s="11">
        <f t="shared" si="2846"/>
        <v>0</v>
      </c>
      <c r="P625" s="11">
        <f t="shared" si="2846"/>
        <v>0</v>
      </c>
      <c r="Q625" s="11">
        <f t="shared" si="2846"/>
        <v>0</v>
      </c>
      <c r="R625" s="25">
        <f>SUM(R621:R624)</f>
        <v>0</v>
      </c>
      <c r="T625" s="10">
        <f>SUM(T621:T624)</f>
        <v>0</v>
      </c>
      <c r="U625" s="11">
        <f t="shared" ref="U625:X625" si="2847">SUM(U621:U624)</f>
        <v>0</v>
      </c>
      <c r="V625" s="11">
        <f t="shared" si="2847"/>
        <v>0</v>
      </c>
      <c r="W625" s="11">
        <f t="shared" si="2847"/>
        <v>0</v>
      </c>
      <c r="X625" s="11">
        <f t="shared" si="2847"/>
        <v>0</v>
      </c>
      <c r="Y625" s="25">
        <f>SUM(Y621:Y624)</f>
        <v>0</v>
      </c>
      <c r="AA625" s="10">
        <f>SUM(AA621:AA624)</f>
        <v>0</v>
      </c>
      <c r="AB625" s="11">
        <f t="shared" ref="AB625:AE625" si="2848">SUM(AB621:AB624)</f>
        <v>0</v>
      </c>
      <c r="AC625" s="11">
        <f t="shared" si="2848"/>
        <v>0</v>
      </c>
      <c r="AD625" s="11">
        <f t="shared" si="2848"/>
        <v>0</v>
      </c>
      <c r="AE625" s="11">
        <f t="shared" si="2848"/>
        <v>0</v>
      </c>
      <c r="AF625" s="25">
        <f>SUM(AF621:AF624)</f>
        <v>0</v>
      </c>
      <c r="AH625" s="10">
        <f t="shared" ref="AH625:AM625" si="2849">SUM(AH621:AH624)</f>
        <v>0</v>
      </c>
      <c r="AI625" s="11">
        <f t="shared" si="2849"/>
        <v>0</v>
      </c>
      <c r="AJ625" s="11">
        <f t="shared" si="2849"/>
        <v>0</v>
      </c>
      <c r="AK625" s="11">
        <f t="shared" si="2849"/>
        <v>0</v>
      </c>
      <c r="AL625" s="11">
        <f t="shared" si="2849"/>
        <v>0</v>
      </c>
      <c r="AM625" s="25">
        <f t="shared" si="2849"/>
        <v>0</v>
      </c>
      <c r="AO625" s="10">
        <f t="shared" ref="AO625:AT625" si="2850">SUM(AO621:AO624)</f>
        <v>0</v>
      </c>
      <c r="AP625" s="11">
        <f t="shared" si="2850"/>
        <v>0</v>
      </c>
      <c r="AQ625" s="11">
        <f t="shared" si="2850"/>
        <v>0</v>
      </c>
      <c r="AR625" s="11">
        <f t="shared" si="2850"/>
        <v>0</v>
      </c>
      <c r="AS625" s="11">
        <f t="shared" si="2850"/>
        <v>0</v>
      </c>
      <c r="AT625" s="25">
        <f t="shared" si="2850"/>
        <v>0</v>
      </c>
      <c r="AV625" s="10">
        <f t="shared" ref="AV625:BA625" si="2851">SUM(AV621:AV624)</f>
        <v>0</v>
      </c>
      <c r="AW625" s="11">
        <f t="shared" si="2851"/>
        <v>0</v>
      </c>
      <c r="AX625" s="11">
        <f t="shared" si="2851"/>
        <v>0</v>
      </c>
      <c r="AY625" s="11">
        <f t="shared" si="2851"/>
        <v>0</v>
      </c>
      <c r="AZ625" s="11">
        <f t="shared" si="2851"/>
        <v>0</v>
      </c>
      <c r="BA625" s="25">
        <f t="shared" si="2851"/>
        <v>0</v>
      </c>
      <c r="BC625" s="10">
        <f t="shared" ref="BC625:BH625" si="2852">SUM(BC621:BC624)</f>
        <v>0</v>
      </c>
      <c r="BD625" s="11">
        <f t="shared" si="2852"/>
        <v>0</v>
      </c>
      <c r="BE625" s="11">
        <f t="shared" si="2852"/>
        <v>0</v>
      </c>
      <c r="BF625" s="11">
        <f t="shared" si="2852"/>
        <v>0</v>
      </c>
      <c r="BG625" s="11">
        <f t="shared" si="2852"/>
        <v>0</v>
      </c>
      <c r="BH625" s="25">
        <f t="shared" si="2852"/>
        <v>0</v>
      </c>
      <c r="BJ625" s="10">
        <f t="shared" ref="BJ625:BO625" si="2853">SUM(BJ621:BJ624)</f>
        <v>0</v>
      </c>
      <c r="BK625" s="11">
        <f t="shared" si="2853"/>
        <v>0</v>
      </c>
      <c r="BL625" s="11">
        <f t="shared" si="2853"/>
        <v>0</v>
      </c>
      <c r="BM625" s="11">
        <f t="shared" si="2853"/>
        <v>0</v>
      </c>
      <c r="BN625" s="11">
        <f t="shared" si="2853"/>
        <v>0</v>
      </c>
      <c r="BO625" s="25">
        <f t="shared" si="2853"/>
        <v>0</v>
      </c>
      <c r="BQ625" s="10">
        <f t="shared" ref="BQ625:BV625" si="2854">SUM(BQ621:BQ624)</f>
        <v>0</v>
      </c>
      <c r="BR625" s="11">
        <f t="shared" si="2854"/>
        <v>0</v>
      </c>
      <c r="BS625" s="11">
        <f t="shared" si="2854"/>
        <v>0</v>
      </c>
      <c r="BT625" s="11">
        <f t="shared" si="2854"/>
        <v>0</v>
      </c>
      <c r="BU625" s="11">
        <f t="shared" si="2854"/>
        <v>0</v>
      </c>
      <c r="BV625" s="25">
        <f t="shared" si="2854"/>
        <v>0</v>
      </c>
      <c r="BX625" s="10">
        <f t="shared" ref="BX625:CC625" si="2855">SUM(BX621:BX624)</f>
        <v>0</v>
      </c>
      <c r="BY625" s="11">
        <f t="shared" si="2855"/>
        <v>0</v>
      </c>
      <c r="BZ625" s="11">
        <f t="shared" si="2855"/>
        <v>0</v>
      </c>
      <c r="CA625" s="11">
        <f t="shared" si="2855"/>
        <v>0</v>
      </c>
      <c r="CB625" s="11">
        <f t="shared" si="2855"/>
        <v>0</v>
      </c>
      <c r="CC625" s="25">
        <f t="shared" si="2855"/>
        <v>0</v>
      </c>
      <c r="CE625" s="62">
        <f t="shared" ref="CE625:CJ625" si="2856">SUM(CE621:CE624)</f>
        <v>0</v>
      </c>
      <c r="CF625" s="63">
        <f t="shared" si="2856"/>
        <v>0</v>
      </c>
      <c r="CG625" s="63">
        <f t="shared" si="2856"/>
        <v>0</v>
      </c>
      <c r="CH625" s="63">
        <f t="shared" si="2856"/>
        <v>0</v>
      </c>
      <c r="CI625" s="63">
        <f t="shared" si="2856"/>
        <v>0</v>
      </c>
      <c r="CJ625" s="25">
        <f t="shared" si="2856"/>
        <v>0</v>
      </c>
      <c r="CL625" s="10">
        <f>SUM(CL621:CL624)</f>
        <v>0</v>
      </c>
      <c r="CM625" s="11">
        <f t="shared" ref="CM625:CQ625" si="2857">SUM(CM621:CM624)</f>
        <v>0</v>
      </c>
      <c r="CN625" s="11">
        <f t="shared" si="2857"/>
        <v>0</v>
      </c>
      <c r="CO625" s="11">
        <f t="shared" si="2857"/>
        <v>0</v>
      </c>
      <c r="CP625" s="11">
        <f t="shared" si="2857"/>
        <v>0</v>
      </c>
      <c r="CQ625" s="25">
        <f t="shared" si="2857"/>
        <v>0</v>
      </c>
      <c r="CS625" s="10">
        <f>SUM(CS621:CS624)</f>
        <v>0</v>
      </c>
      <c r="CT625" s="11">
        <f t="shared" ref="CT625:CW625" si="2858">SUM(CT621:CT624)</f>
        <v>0</v>
      </c>
      <c r="CU625" s="11">
        <f t="shared" si="2858"/>
        <v>0</v>
      </c>
      <c r="CV625" s="11">
        <f t="shared" si="2858"/>
        <v>0</v>
      </c>
      <c r="CW625" s="11">
        <f t="shared" si="2858"/>
        <v>0</v>
      </c>
      <c r="CX625" s="25">
        <f>SUM(CX621:CX624)</f>
        <v>0</v>
      </c>
      <c r="CZ625" s="10">
        <f>SUM(CZ621:CZ624)</f>
        <v>0</v>
      </c>
      <c r="DA625" s="11">
        <f t="shared" ref="DA625:DD625" si="2859">SUM(DA621:DA624)</f>
        <v>0</v>
      </c>
      <c r="DB625" s="11">
        <f t="shared" si="2859"/>
        <v>0</v>
      </c>
      <c r="DC625" s="11">
        <f t="shared" si="2859"/>
        <v>0</v>
      </c>
      <c r="DD625" s="11">
        <f t="shared" si="2859"/>
        <v>0</v>
      </c>
      <c r="DE625" s="25">
        <f>SUM(DE621:DE624)</f>
        <v>0</v>
      </c>
    </row>
    <row r="626" spans="3:109" ht="10.4" customHeight="1" thickBot="1"/>
    <row r="627" spans="3:109">
      <c r="C627" s="553">
        <v>2026</v>
      </c>
      <c r="E627" s="13" t="s">
        <v>59</v>
      </c>
      <c r="F627" s="21">
        <f>CE621</f>
        <v>0</v>
      </c>
      <c r="G627" s="22">
        <f t="shared" ref="G627:G630" si="2860">CF621</f>
        <v>0</v>
      </c>
      <c r="H627" s="22">
        <f t="shared" ref="H627:H630" si="2861">CG621</f>
        <v>0</v>
      </c>
      <c r="I627" s="22">
        <f t="shared" ref="I627:I630" si="2862">CH621</f>
        <v>0</v>
      </c>
      <c r="J627" s="22">
        <f t="shared" ref="J627:J630" si="2863">CI621</f>
        <v>0</v>
      </c>
      <c r="K627" s="4">
        <f>SUM(F627:J627)</f>
        <v>0</v>
      </c>
      <c r="M627" s="2"/>
      <c r="N627" s="3"/>
      <c r="O627" s="3"/>
      <c r="P627" s="3"/>
      <c r="Q627" s="3"/>
      <c r="R627" s="4">
        <f>SUM(M627:Q627)</f>
        <v>0</v>
      </c>
      <c r="T627" s="2"/>
      <c r="U627" s="3"/>
      <c r="V627" s="3"/>
      <c r="W627" s="3"/>
      <c r="X627" s="3"/>
      <c r="Y627" s="4">
        <f>SUM(T627:X627)</f>
        <v>0</v>
      </c>
      <c r="AA627" s="2"/>
      <c r="AB627" s="3"/>
      <c r="AC627" s="3"/>
      <c r="AD627" s="3"/>
      <c r="AE627" s="3"/>
      <c r="AF627" s="4">
        <f>SUM(AA627:AE627)</f>
        <v>0</v>
      </c>
      <c r="AH627" s="2"/>
      <c r="AI627" s="3"/>
      <c r="AJ627" s="3"/>
      <c r="AK627" s="3"/>
      <c r="AL627" s="3"/>
      <c r="AM627" s="4">
        <f>SUM(AH627:AL627)</f>
        <v>0</v>
      </c>
      <c r="AO627" s="2"/>
      <c r="AP627" s="3"/>
      <c r="AQ627" s="3"/>
      <c r="AR627" s="3"/>
      <c r="AS627" s="3"/>
      <c r="AT627" s="4">
        <f>SUM(AO627:AS627)</f>
        <v>0</v>
      </c>
      <c r="AV627" s="2"/>
      <c r="AW627" s="3"/>
      <c r="AX627" s="3"/>
      <c r="AY627" s="3"/>
      <c r="AZ627" s="3"/>
      <c r="BA627" s="4">
        <f>SUM(AV627:AZ627)</f>
        <v>0</v>
      </c>
      <c r="BC627" s="2"/>
      <c r="BD627" s="3"/>
      <c r="BE627" s="3"/>
      <c r="BF627" s="3"/>
      <c r="BG627" s="3"/>
      <c r="BH627" s="4">
        <f>SUM(BC627:BG627)</f>
        <v>0</v>
      </c>
      <c r="BJ627" s="2"/>
      <c r="BK627" s="3"/>
      <c r="BL627" s="3"/>
      <c r="BM627" s="3"/>
      <c r="BN627" s="3"/>
      <c r="BO627" s="4">
        <f>SUM(BJ627:BN627)</f>
        <v>0</v>
      </c>
      <c r="BQ627" s="2"/>
      <c r="BR627" s="3"/>
      <c r="BS627" s="3"/>
      <c r="BT627" s="3"/>
      <c r="BU627" s="3"/>
      <c r="BV627" s="4">
        <f>SUM(BQ627:BU627)</f>
        <v>0</v>
      </c>
      <c r="BX627" s="2"/>
      <c r="BY627" s="3"/>
      <c r="BZ627" s="3"/>
      <c r="CA627" s="3"/>
      <c r="CB627" s="3"/>
      <c r="CC627" s="4">
        <f>SUM(BX627:CB627)</f>
        <v>0</v>
      </c>
      <c r="CE627" s="26">
        <f t="shared" ref="CE627:CE630" si="2864">F627+M627+T627+AA627+AH627+AO627+AV627+BC627+BJ627+BQ627+BX627</f>
        <v>0</v>
      </c>
      <c r="CF627" s="27">
        <f t="shared" ref="CF627:CF630" si="2865">G627+N627+U627+AB627+AI627+AP627+AW627+BD627+BK627+BR627+BY627</f>
        <v>0</v>
      </c>
      <c r="CG627" s="27">
        <f t="shared" ref="CG627:CG630" si="2866">H627+O627+V627+AC627+AJ627+AQ627+AX627+BE627+BL627+BS627+BZ627</f>
        <v>0</v>
      </c>
      <c r="CH627" s="27">
        <f t="shared" ref="CH627:CH630" si="2867">I627+P627+W627+AD627+AK627+AR627+AY627+BF627+BM627+BT627+CA627</f>
        <v>0</v>
      </c>
      <c r="CI627" s="27">
        <f t="shared" ref="CI627:CI630" si="2868">J627+Q627+X627+AE627+AL627+AS627+AZ627+BG627+BN627+BU627+CB627</f>
        <v>0</v>
      </c>
      <c r="CJ627" s="4">
        <f>SUM(CE627:CI627)</f>
        <v>0</v>
      </c>
      <c r="CL627" s="2"/>
      <c r="CM627" s="3"/>
      <c r="CN627" s="3"/>
      <c r="CO627" s="3"/>
      <c r="CP627" s="3"/>
      <c r="CQ627" s="4">
        <f>SUM(CL627:CP627)</f>
        <v>0</v>
      </c>
      <c r="CS627" s="2"/>
      <c r="CT627" s="3"/>
      <c r="CU627" s="3"/>
      <c r="CV627" s="3"/>
      <c r="CW627" s="3"/>
      <c r="CX627" s="4">
        <f>SUM(CS627:CW627)</f>
        <v>0</v>
      </c>
      <c r="CZ627" s="2"/>
      <c r="DA627" s="3"/>
      <c r="DB627" s="3"/>
      <c r="DC627" s="3"/>
      <c r="DD627" s="3"/>
      <c r="DE627" s="4">
        <f>SUM(CZ627:DD627)</f>
        <v>0</v>
      </c>
    </row>
    <row r="628" spans="3:109">
      <c r="C628" s="567"/>
      <c r="E628" s="14" t="s">
        <v>60</v>
      </c>
      <c r="F628" s="23">
        <f t="shared" ref="F628:F630" si="2869">CE622</f>
        <v>0</v>
      </c>
      <c r="G628" s="24">
        <f t="shared" si="2860"/>
        <v>0</v>
      </c>
      <c r="H628" s="24">
        <f t="shared" si="2861"/>
        <v>0</v>
      </c>
      <c r="I628" s="24">
        <f t="shared" si="2862"/>
        <v>0</v>
      </c>
      <c r="J628" s="24">
        <f t="shared" si="2863"/>
        <v>0</v>
      </c>
      <c r="K628" s="8">
        <f t="shared" ref="K628:K630" si="2870">SUM(F628:J628)</f>
        <v>0</v>
      </c>
      <c r="M628" s="6"/>
      <c r="N628" s="7"/>
      <c r="O628" s="7"/>
      <c r="P628" s="7"/>
      <c r="Q628" s="7"/>
      <c r="R628" s="8">
        <f t="shared" ref="R628:R630" si="2871">SUM(M628:Q628)</f>
        <v>0</v>
      </c>
      <c r="T628" s="6"/>
      <c r="U628" s="7"/>
      <c r="V628" s="7"/>
      <c r="W628" s="7"/>
      <c r="X628" s="7"/>
      <c r="Y628" s="8">
        <f t="shared" ref="Y628:Y630" si="2872">SUM(T628:X628)</f>
        <v>0</v>
      </c>
      <c r="AA628" s="6"/>
      <c r="AB628" s="7"/>
      <c r="AC628" s="7"/>
      <c r="AD628" s="7"/>
      <c r="AE628" s="7"/>
      <c r="AF628" s="8">
        <f>SUM(AA628:AE628)</f>
        <v>0</v>
      </c>
      <c r="AH628" s="6"/>
      <c r="AI628" s="7"/>
      <c r="AJ628" s="7"/>
      <c r="AK628" s="7"/>
      <c r="AL628" s="7"/>
      <c r="AM628" s="8">
        <f>SUM(AH628:AL628)</f>
        <v>0</v>
      </c>
      <c r="AO628" s="6"/>
      <c r="AP628" s="7"/>
      <c r="AQ628" s="7"/>
      <c r="AR628" s="7"/>
      <c r="AS628" s="7"/>
      <c r="AT628" s="8">
        <f>SUM(AO628:AS628)</f>
        <v>0</v>
      </c>
      <c r="AV628" s="6"/>
      <c r="AW628" s="7"/>
      <c r="AX628" s="7"/>
      <c r="AY628" s="7"/>
      <c r="AZ628" s="7"/>
      <c r="BA628" s="8">
        <f>SUM(AV628:AZ628)</f>
        <v>0</v>
      </c>
      <c r="BC628" s="6"/>
      <c r="BD628" s="7"/>
      <c r="BE628" s="7"/>
      <c r="BF628" s="7"/>
      <c r="BG628" s="7"/>
      <c r="BH628" s="8">
        <f>SUM(BC628:BG628)</f>
        <v>0</v>
      </c>
      <c r="BJ628" s="6"/>
      <c r="BK628" s="7"/>
      <c r="BL628" s="7"/>
      <c r="BM628" s="7"/>
      <c r="BN628" s="7"/>
      <c r="BO628" s="8">
        <f>SUM(BJ628:BN628)</f>
        <v>0</v>
      </c>
      <c r="BQ628" s="6"/>
      <c r="BR628" s="7"/>
      <c r="BS628" s="7"/>
      <c r="BT628" s="7"/>
      <c r="BU628" s="7"/>
      <c r="BV628" s="8">
        <f>SUM(BQ628:BU628)</f>
        <v>0</v>
      </c>
      <c r="BX628" s="6"/>
      <c r="BY628" s="7"/>
      <c r="BZ628" s="7"/>
      <c r="CA628" s="7"/>
      <c r="CB628" s="7"/>
      <c r="CC628" s="8">
        <f>SUM(BX628:CB628)</f>
        <v>0</v>
      </c>
      <c r="CE628" s="28">
        <f t="shared" si="2864"/>
        <v>0</v>
      </c>
      <c r="CF628" s="29">
        <f t="shared" si="2865"/>
        <v>0</v>
      </c>
      <c r="CG628" s="29">
        <f t="shared" si="2866"/>
        <v>0</v>
      </c>
      <c r="CH628" s="29">
        <f t="shared" si="2867"/>
        <v>0</v>
      </c>
      <c r="CI628" s="29">
        <f t="shared" si="2868"/>
        <v>0</v>
      </c>
      <c r="CJ628" s="8">
        <f>SUM(CE628:CI628)</f>
        <v>0</v>
      </c>
      <c r="CL628" s="6"/>
      <c r="CM628" s="7"/>
      <c r="CN628" s="7"/>
      <c r="CO628" s="7"/>
      <c r="CP628" s="7"/>
      <c r="CQ628" s="8">
        <f>SUM(CL628:CP628)</f>
        <v>0</v>
      </c>
      <c r="CS628" s="6"/>
      <c r="CT628" s="7"/>
      <c r="CU628" s="7"/>
      <c r="CV628" s="7"/>
      <c r="CW628" s="7"/>
      <c r="CX628" s="8">
        <f t="shared" ref="CX628:CX630" si="2873">SUM(CS628:CW628)</f>
        <v>0</v>
      </c>
      <c r="CZ628" s="6"/>
      <c r="DA628" s="7"/>
      <c r="DB628" s="7"/>
      <c r="DC628" s="7"/>
      <c r="DD628" s="7"/>
      <c r="DE628" s="8">
        <f t="shared" ref="DE628:DE630" si="2874">SUM(CZ628:DD628)</f>
        <v>0</v>
      </c>
    </row>
    <row r="629" spans="3:109">
      <c r="C629" s="567"/>
      <c r="E629" s="14" t="s">
        <v>61</v>
      </c>
      <c r="F629" s="23">
        <f t="shared" si="2869"/>
        <v>0</v>
      </c>
      <c r="G629" s="24">
        <f t="shared" si="2860"/>
        <v>0</v>
      </c>
      <c r="H629" s="24">
        <f t="shared" si="2861"/>
        <v>0</v>
      </c>
      <c r="I629" s="24">
        <f t="shared" si="2862"/>
        <v>0</v>
      </c>
      <c r="J629" s="24">
        <f t="shared" si="2863"/>
        <v>0</v>
      </c>
      <c r="K629" s="8">
        <f t="shared" si="2870"/>
        <v>0</v>
      </c>
      <c r="M629" s="6"/>
      <c r="N629" s="7"/>
      <c r="O629" s="7"/>
      <c r="P629" s="7"/>
      <c r="Q629" s="7"/>
      <c r="R629" s="8">
        <f t="shared" si="2871"/>
        <v>0</v>
      </c>
      <c r="T629" s="6"/>
      <c r="U629" s="7"/>
      <c r="V629" s="7"/>
      <c r="W629" s="7"/>
      <c r="X629" s="7"/>
      <c r="Y629" s="8">
        <f t="shared" si="2872"/>
        <v>0</v>
      </c>
      <c r="AA629" s="6"/>
      <c r="AB629" s="7"/>
      <c r="AC629" s="7"/>
      <c r="AD629" s="7"/>
      <c r="AE629" s="7"/>
      <c r="AF629" s="8">
        <f>SUM(AA629:AE629)</f>
        <v>0</v>
      </c>
      <c r="AH629" s="6"/>
      <c r="AI629" s="7"/>
      <c r="AJ629" s="7"/>
      <c r="AK629" s="7"/>
      <c r="AL629" s="7"/>
      <c r="AM629" s="8">
        <f>SUM(AH629:AL629)</f>
        <v>0</v>
      </c>
      <c r="AO629" s="6"/>
      <c r="AP629" s="7"/>
      <c r="AQ629" s="7"/>
      <c r="AR629" s="7"/>
      <c r="AS629" s="7"/>
      <c r="AT629" s="8">
        <f>SUM(AO629:AS629)</f>
        <v>0</v>
      </c>
      <c r="AV629" s="6"/>
      <c r="AW629" s="7"/>
      <c r="AX629" s="7"/>
      <c r="AY629" s="7"/>
      <c r="AZ629" s="7"/>
      <c r="BA629" s="8">
        <f>SUM(AV629:AZ629)</f>
        <v>0</v>
      </c>
      <c r="BC629" s="6"/>
      <c r="BD629" s="7"/>
      <c r="BE629" s="7"/>
      <c r="BF629" s="7"/>
      <c r="BG629" s="7"/>
      <c r="BH629" s="8">
        <f>SUM(BC629:BG629)</f>
        <v>0</v>
      </c>
      <c r="BJ629" s="6"/>
      <c r="BK629" s="7"/>
      <c r="BL629" s="7"/>
      <c r="BM629" s="7"/>
      <c r="BN629" s="7"/>
      <c r="BO629" s="8">
        <f>SUM(BJ629:BN629)</f>
        <v>0</v>
      </c>
      <c r="BQ629" s="6"/>
      <c r="BR629" s="7"/>
      <c r="BS629" s="7"/>
      <c r="BT629" s="7"/>
      <c r="BU629" s="7"/>
      <c r="BV629" s="8">
        <f>SUM(BQ629:BU629)</f>
        <v>0</v>
      </c>
      <c r="BX629" s="6"/>
      <c r="BY629" s="7"/>
      <c r="BZ629" s="7"/>
      <c r="CA629" s="7"/>
      <c r="CB629" s="7"/>
      <c r="CC629" s="8">
        <f>SUM(BX629:CB629)</f>
        <v>0</v>
      </c>
      <c r="CE629" s="28">
        <f t="shared" si="2864"/>
        <v>0</v>
      </c>
      <c r="CF629" s="29">
        <f t="shared" si="2865"/>
        <v>0</v>
      </c>
      <c r="CG629" s="29">
        <f t="shared" si="2866"/>
        <v>0</v>
      </c>
      <c r="CH629" s="29">
        <f t="shared" si="2867"/>
        <v>0</v>
      </c>
      <c r="CI629" s="29">
        <f t="shared" si="2868"/>
        <v>0</v>
      </c>
      <c r="CJ629" s="8">
        <f>SUM(CE629:CI629)</f>
        <v>0</v>
      </c>
      <c r="CL629" s="6"/>
      <c r="CM629" s="7"/>
      <c r="CN629" s="7"/>
      <c r="CO629" s="7"/>
      <c r="CP629" s="7"/>
      <c r="CQ629" s="8">
        <f>SUM(CL629:CP629)</f>
        <v>0</v>
      </c>
      <c r="CS629" s="6"/>
      <c r="CT629" s="7"/>
      <c r="CU629" s="7"/>
      <c r="CV629" s="7"/>
      <c r="CW629" s="7"/>
      <c r="CX629" s="8">
        <f t="shared" si="2873"/>
        <v>0</v>
      </c>
      <c r="CZ629" s="6"/>
      <c r="DA629" s="7"/>
      <c r="DB629" s="7"/>
      <c r="DC629" s="7"/>
      <c r="DD629" s="7"/>
      <c r="DE629" s="8">
        <f t="shared" si="2874"/>
        <v>0</v>
      </c>
    </row>
    <row r="630" spans="3:109" ht="14" thickBot="1">
      <c r="C630" s="567"/>
      <c r="E630" s="14" t="s">
        <v>62</v>
      </c>
      <c r="F630" s="23">
        <f t="shared" si="2869"/>
        <v>0</v>
      </c>
      <c r="G630" s="24">
        <f t="shared" si="2860"/>
        <v>0</v>
      </c>
      <c r="H630" s="24">
        <f t="shared" si="2861"/>
        <v>0</v>
      </c>
      <c r="I630" s="24">
        <f t="shared" si="2862"/>
        <v>0</v>
      </c>
      <c r="J630" s="24">
        <f t="shared" si="2863"/>
        <v>0</v>
      </c>
      <c r="K630" s="8">
        <f t="shared" si="2870"/>
        <v>0</v>
      </c>
      <c r="M630" s="6"/>
      <c r="N630" s="7"/>
      <c r="O630" s="7"/>
      <c r="P630" s="7"/>
      <c r="Q630" s="7"/>
      <c r="R630" s="8">
        <f t="shared" si="2871"/>
        <v>0</v>
      </c>
      <c r="T630" s="6"/>
      <c r="U630" s="7"/>
      <c r="V630" s="7"/>
      <c r="W630" s="7"/>
      <c r="X630" s="7"/>
      <c r="Y630" s="8">
        <f t="shared" si="2872"/>
        <v>0</v>
      </c>
      <c r="AA630" s="6"/>
      <c r="AB630" s="7"/>
      <c r="AC630" s="7"/>
      <c r="AD630" s="7"/>
      <c r="AE630" s="7"/>
      <c r="AF630" s="8">
        <f>SUM(AA630:AE630)</f>
        <v>0</v>
      </c>
      <c r="AH630" s="6"/>
      <c r="AI630" s="7"/>
      <c r="AJ630" s="7"/>
      <c r="AK630" s="7"/>
      <c r="AL630" s="7"/>
      <c r="AM630" s="8">
        <f>SUM(AH630:AL630)</f>
        <v>0</v>
      </c>
      <c r="AO630" s="6"/>
      <c r="AP630" s="7"/>
      <c r="AQ630" s="7"/>
      <c r="AR630" s="7"/>
      <c r="AS630" s="7"/>
      <c r="AT630" s="8">
        <f>SUM(AO630:AS630)</f>
        <v>0</v>
      </c>
      <c r="AV630" s="6"/>
      <c r="AW630" s="7"/>
      <c r="AX630" s="7"/>
      <c r="AY630" s="7"/>
      <c r="AZ630" s="7"/>
      <c r="BA630" s="8">
        <f>SUM(AV630:AZ630)</f>
        <v>0</v>
      </c>
      <c r="BC630" s="6"/>
      <c r="BD630" s="7"/>
      <c r="BE630" s="7"/>
      <c r="BF630" s="7"/>
      <c r="BG630" s="7"/>
      <c r="BH630" s="8">
        <f>SUM(BC630:BG630)</f>
        <v>0</v>
      </c>
      <c r="BJ630" s="6"/>
      <c r="BK630" s="7"/>
      <c r="BL630" s="7"/>
      <c r="BM630" s="7"/>
      <c r="BN630" s="7"/>
      <c r="BO630" s="8">
        <f>SUM(BJ630:BN630)</f>
        <v>0</v>
      </c>
      <c r="BQ630" s="6"/>
      <c r="BR630" s="7"/>
      <c r="BS630" s="7"/>
      <c r="BT630" s="7"/>
      <c r="BU630" s="7"/>
      <c r="BV630" s="8">
        <f>SUM(BQ630:BU630)</f>
        <v>0</v>
      </c>
      <c r="BX630" s="6"/>
      <c r="BY630" s="7"/>
      <c r="BZ630" s="7"/>
      <c r="CA630" s="7"/>
      <c r="CB630" s="7"/>
      <c r="CC630" s="8">
        <f>SUM(BX630:CB630)</f>
        <v>0</v>
      </c>
      <c r="CE630" s="493">
        <f t="shared" si="2864"/>
        <v>0</v>
      </c>
      <c r="CF630" s="494">
        <f t="shared" si="2865"/>
        <v>0</v>
      </c>
      <c r="CG630" s="494">
        <f t="shared" si="2866"/>
        <v>0</v>
      </c>
      <c r="CH630" s="494">
        <f t="shared" si="2867"/>
        <v>0</v>
      </c>
      <c r="CI630" s="494">
        <f t="shared" si="2868"/>
        <v>0</v>
      </c>
      <c r="CJ630" s="495">
        <f>SUM(CE630:CI630)</f>
        <v>0</v>
      </c>
      <c r="CL630" s="6"/>
      <c r="CM630" s="7"/>
      <c r="CN630" s="7"/>
      <c r="CO630" s="7"/>
      <c r="CP630" s="7"/>
      <c r="CQ630" s="8">
        <f>SUM(CL630:CP630)</f>
        <v>0</v>
      </c>
      <c r="CS630" s="6"/>
      <c r="CT630" s="7"/>
      <c r="CU630" s="7"/>
      <c r="CV630" s="7"/>
      <c r="CW630" s="7"/>
      <c r="CX630" s="8">
        <f t="shared" si="2873"/>
        <v>0</v>
      </c>
      <c r="CZ630" s="6"/>
      <c r="DA630" s="7"/>
      <c r="DB630" s="7"/>
      <c r="DC630" s="7"/>
      <c r="DD630" s="7"/>
      <c r="DE630" s="8">
        <f t="shared" si="2874"/>
        <v>0</v>
      </c>
    </row>
    <row r="631" spans="3:109" ht="14" thickBot="1">
      <c r="C631" s="554"/>
      <c r="E631" s="17"/>
      <c r="F631" s="10">
        <f>SUM(F627:F630)</f>
        <v>0</v>
      </c>
      <c r="G631" s="11">
        <f t="shared" ref="G631:J631" si="2875">SUM(G627:G630)</f>
        <v>0</v>
      </c>
      <c r="H631" s="11">
        <f t="shared" si="2875"/>
        <v>0</v>
      </c>
      <c r="I631" s="11">
        <f t="shared" si="2875"/>
        <v>0</v>
      </c>
      <c r="J631" s="11">
        <f t="shared" si="2875"/>
        <v>0</v>
      </c>
      <c r="K631" s="25">
        <f>SUM(K627:K630)</f>
        <v>0</v>
      </c>
      <c r="M631" s="10">
        <f>SUM(M627:M630)</f>
        <v>0</v>
      </c>
      <c r="N631" s="11">
        <f t="shared" ref="N631:Q631" si="2876">SUM(N627:N630)</f>
        <v>0</v>
      </c>
      <c r="O631" s="11">
        <f t="shared" si="2876"/>
        <v>0</v>
      </c>
      <c r="P631" s="11">
        <f t="shared" si="2876"/>
        <v>0</v>
      </c>
      <c r="Q631" s="11">
        <f t="shared" si="2876"/>
        <v>0</v>
      </c>
      <c r="R631" s="25">
        <f>SUM(R627:R630)</f>
        <v>0</v>
      </c>
      <c r="T631" s="10">
        <f>SUM(T627:T630)</f>
        <v>0</v>
      </c>
      <c r="U631" s="11">
        <f t="shared" ref="U631:X631" si="2877">SUM(U627:U630)</f>
        <v>0</v>
      </c>
      <c r="V631" s="11">
        <f t="shared" si="2877"/>
        <v>0</v>
      </c>
      <c r="W631" s="11">
        <f t="shared" si="2877"/>
        <v>0</v>
      </c>
      <c r="X631" s="11">
        <f t="shared" si="2877"/>
        <v>0</v>
      </c>
      <c r="Y631" s="25">
        <f>SUM(Y627:Y630)</f>
        <v>0</v>
      </c>
      <c r="AA631" s="10">
        <f>SUM(AA627:AA630)</f>
        <v>0</v>
      </c>
      <c r="AB631" s="11">
        <f t="shared" ref="AB631:AE631" si="2878">SUM(AB627:AB630)</f>
        <v>0</v>
      </c>
      <c r="AC631" s="11">
        <f t="shared" si="2878"/>
        <v>0</v>
      </c>
      <c r="AD631" s="11">
        <f t="shared" si="2878"/>
        <v>0</v>
      </c>
      <c r="AE631" s="11">
        <f t="shared" si="2878"/>
        <v>0</v>
      </c>
      <c r="AF631" s="25">
        <f>SUM(AF627:AF630)</f>
        <v>0</v>
      </c>
      <c r="AH631" s="10">
        <f t="shared" ref="AH631:AM631" si="2879">SUM(AH627:AH630)</f>
        <v>0</v>
      </c>
      <c r="AI631" s="11">
        <f t="shared" si="2879"/>
        <v>0</v>
      </c>
      <c r="AJ631" s="11">
        <f t="shared" si="2879"/>
        <v>0</v>
      </c>
      <c r="AK631" s="11">
        <f t="shared" si="2879"/>
        <v>0</v>
      </c>
      <c r="AL631" s="11">
        <f t="shared" si="2879"/>
        <v>0</v>
      </c>
      <c r="AM631" s="25">
        <f t="shared" si="2879"/>
        <v>0</v>
      </c>
      <c r="AO631" s="10">
        <f t="shared" ref="AO631:AT631" si="2880">SUM(AO627:AO630)</f>
        <v>0</v>
      </c>
      <c r="AP631" s="11">
        <f t="shared" si="2880"/>
        <v>0</v>
      </c>
      <c r="AQ631" s="11">
        <f t="shared" si="2880"/>
        <v>0</v>
      </c>
      <c r="AR631" s="11">
        <f t="shared" si="2880"/>
        <v>0</v>
      </c>
      <c r="AS631" s="11">
        <f t="shared" si="2880"/>
        <v>0</v>
      </c>
      <c r="AT631" s="25">
        <f t="shared" si="2880"/>
        <v>0</v>
      </c>
      <c r="AV631" s="10">
        <f t="shared" ref="AV631:BA631" si="2881">SUM(AV627:AV630)</f>
        <v>0</v>
      </c>
      <c r="AW631" s="11">
        <f t="shared" si="2881"/>
        <v>0</v>
      </c>
      <c r="AX631" s="11">
        <f t="shared" si="2881"/>
        <v>0</v>
      </c>
      <c r="AY631" s="11">
        <f t="shared" si="2881"/>
        <v>0</v>
      </c>
      <c r="AZ631" s="11">
        <f t="shared" si="2881"/>
        <v>0</v>
      </c>
      <c r="BA631" s="25">
        <f t="shared" si="2881"/>
        <v>0</v>
      </c>
      <c r="BC631" s="10">
        <f t="shared" ref="BC631:BH631" si="2882">SUM(BC627:BC630)</f>
        <v>0</v>
      </c>
      <c r="BD631" s="11">
        <f t="shared" si="2882"/>
        <v>0</v>
      </c>
      <c r="BE631" s="11">
        <f t="shared" si="2882"/>
        <v>0</v>
      </c>
      <c r="BF631" s="11">
        <f t="shared" si="2882"/>
        <v>0</v>
      </c>
      <c r="BG631" s="11">
        <f t="shared" si="2882"/>
        <v>0</v>
      </c>
      <c r="BH631" s="25">
        <f t="shared" si="2882"/>
        <v>0</v>
      </c>
      <c r="BJ631" s="10">
        <f t="shared" ref="BJ631:BO631" si="2883">SUM(BJ627:BJ630)</f>
        <v>0</v>
      </c>
      <c r="BK631" s="11">
        <f t="shared" si="2883"/>
        <v>0</v>
      </c>
      <c r="BL631" s="11">
        <f t="shared" si="2883"/>
        <v>0</v>
      </c>
      <c r="BM631" s="11">
        <f t="shared" si="2883"/>
        <v>0</v>
      </c>
      <c r="BN631" s="11">
        <f t="shared" si="2883"/>
        <v>0</v>
      </c>
      <c r="BO631" s="25">
        <f t="shared" si="2883"/>
        <v>0</v>
      </c>
      <c r="BQ631" s="10">
        <f t="shared" ref="BQ631:BV631" si="2884">SUM(BQ627:BQ630)</f>
        <v>0</v>
      </c>
      <c r="BR631" s="11">
        <f t="shared" si="2884"/>
        <v>0</v>
      </c>
      <c r="BS631" s="11">
        <f t="shared" si="2884"/>
        <v>0</v>
      </c>
      <c r="BT631" s="11">
        <f t="shared" si="2884"/>
        <v>0</v>
      </c>
      <c r="BU631" s="11">
        <f t="shared" si="2884"/>
        <v>0</v>
      </c>
      <c r="BV631" s="25">
        <f t="shared" si="2884"/>
        <v>0</v>
      </c>
      <c r="BX631" s="10">
        <f t="shared" ref="BX631:CC631" si="2885">SUM(BX627:BX630)</f>
        <v>0</v>
      </c>
      <c r="BY631" s="11">
        <f t="shared" si="2885"/>
        <v>0</v>
      </c>
      <c r="BZ631" s="11">
        <f t="shared" si="2885"/>
        <v>0</v>
      </c>
      <c r="CA631" s="11">
        <f t="shared" si="2885"/>
        <v>0</v>
      </c>
      <c r="CB631" s="11">
        <f t="shared" si="2885"/>
        <v>0</v>
      </c>
      <c r="CC631" s="25">
        <f t="shared" si="2885"/>
        <v>0</v>
      </c>
      <c r="CE631" s="62">
        <f t="shared" ref="CE631:CJ631" si="2886">SUM(CE627:CE630)</f>
        <v>0</v>
      </c>
      <c r="CF631" s="63">
        <f t="shared" si="2886"/>
        <v>0</v>
      </c>
      <c r="CG631" s="63">
        <f t="shared" si="2886"/>
        <v>0</v>
      </c>
      <c r="CH631" s="63">
        <f t="shared" si="2886"/>
        <v>0</v>
      </c>
      <c r="CI631" s="63">
        <f t="shared" si="2886"/>
        <v>0</v>
      </c>
      <c r="CJ631" s="25">
        <f t="shared" si="2886"/>
        <v>0</v>
      </c>
      <c r="CL631" s="10">
        <f>SUM(CL627:CL630)</f>
        <v>0</v>
      </c>
      <c r="CM631" s="11">
        <f t="shared" ref="CM631:CQ631" si="2887">SUM(CM627:CM630)</f>
        <v>0</v>
      </c>
      <c r="CN631" s="11">
        <f t="shared" si="2887"/>
        <v>0</v>
      </c>
      <c r="CO631" s="11">
        <f t="shared" si="2887"/>
        <v>0</v>
      </c>
      <c r="CP631" s="11">
        <f t="shared" si="2887"/>
        <v>0</v>
      </c>
      <c r="CQ631" s="25">
        <f t="shared" si="2887"/>
        <v>0</v>
      </c>
      <c r="CS631" s="10">
        <f>SUM(CS627:CS630)</f>
        <v>0</v>
      </c>
      <c r="CT631" s="11">
        <f t="shared" ref="CT631:CW631" si="2888">SUM(CT627:CT630)</f>
        <v>0</v>
      </c>
      <c r="CU631" s="11">
        <f t="shared" si="2888"/>
        <v>0</v>
      </c>
      <c r="CV631" s="11">
        <f t="shared" si="2888"/>
        <v>0</v>
      </c>
      <c r="CW631" s="11">
        <f t="shared" si="2888"/>
        <v>0</v>
      </c>
      <c r="CX631" s="25">
        <f>SUM(CX627:CX630)</f>
        <v>0</v>
      </c>
      <c r="CZ631" s="10">
        <f>SUM(CZ627:CZ630)</f>
        <v>0</v>
      </c>
      <c r="DA631" s="11">
        <f t="shared" ref="DA631:DD631" si="2889">SUM(DA627:DA630)</f>
        <v>0</v>
      </c>
      <c r="DB631" s="11">
        <f t="shared" si="2889"/>
        <v>0</v>
      </c>
      <c r="DC631" s="11">
        <f t="shared" si="2889"/>
        <v>0</v>
      </c>
      <c r="DD631" s="11">
        <f t="shared" si="2889"/>
        <v>0</v>
      </c>
      <c r="DE631" s="25">
        <f>SUM(DE627:DE630)</f>
        <v>0</v>
      </c>
    </row>
    <row r="632" spans="3:109" ht="10.4" customHeight="1" thickBot="1"/>
    <row r="633" spans="3:109">
      <c r="C633" s="553">
        <v>2027</v>
      </c>
      <c r="E633" s="13" t="s">
        <v>59</v>
      </c>
      <c r="F633" s="21">
        <f>CE627</f>
        <v>0</v>
      </c>
      <c r="G633" s="22">
        <f t="shared" ref="G633:G636" si="2890">CF627</f>
        <v>0</v>
      </c>
      <c r="H633" s="22">
        <f t="shared" ref="H633:H636" si="2891">CG627</f>
        <v>0</v>
      </c>
      <c r="I633" s="22">
        <f t="shared" ref="I633:I636" si="2892">CH627</f>
        <v>0</v>
      </c>
      <c r="J633" s="22">
        <f t="shared" ref="J633:J636" si="2893">CI627</f>
        <v>0</v>
      </c>
      <c r="K633" s="4">
        <f>SUM(F633:J633)</f>
        <v>0</v>
      </c>
      <c r="M633" s="2"/>
      <c r="N633" s="3"/>
      <c r="O633" s="3"/>
      <c r="P633" s="3"/>
      <c r="Q633" s="3"/>
      <c r="R633" s="4">
        <f>SUM(M633:Q633)</f>
        <v>0</v>
      </c>
      <c r="T633" s="2"/>
      <c r="U633" s="3"/>
      <c r="V633" s="3"/>
      <c r="W633" s="3"/>
      <c r="X633" s="3"/>
      <c r="Y633" s="4">
        <f>SUM(T633:X633)</f>
        <v>0</v>
      </c>
      <c r="AA633" s="2"/>
      <c r="AB633" s="3"/>
      <c r="AC633" s="3"/>
      <c r="AD633" s="3"/>
      <c r="AE633" s="3"/>
      <c r="AF633" s="4">
        <f>SUM(AA633:AE633)</f>
        <v>0</v>
      </c>
      <c r="AH633" s="2"/>
      <c r="AI633" s="3"/>
      <c r="AJ633" s="3"/>
      <c r="AK633" s="3"/>
      <c r="AL633" s="3"/>
      <c r="AM633" s="4">
        <f>SUM(AH633:AL633)</f>
        <v>0</v>
      </c>
      <c r="AO633" s="2"/>
      <c r="AP633" s="3"/>
      <c r="AQ633" s="3"/>
      <c r="AR633" s="3"/>
      <c r="AS633" s="3"/>
      <c r="AT633" s="4">
        <f>SUM(AO633:AS633)</f>
        <v>0</v>
      </c>
      <c r="AV633" s="2"/>
      <c r="AW633" s="3"/>
      <c r="AX633" s="3"/>
      <c r="AY633" s="3"/>
      <c r="AZ633" s="3"/>
      <c r="BA633" s="4">
        <f>SUM(AV633:AZ633)</f>
        <v>0</v>
      </c>
      <c r="BC633" s="2"/>
      <c r="BD633" s="3"/>
      <c r="BE633" s="3"/>
      <c r="BF633" s="3"/>
      <c r="BG633" s="3"/>
      <c r="BH633" s="4">
        <f>SUM(BC633:BG633)</f>
        <v>0</v>
      </c>
      <c r="BJ633" s="2"/>
      <c r="BK633" s="3"/>
      <c r="BL633" s="3"/>
      <c r="BM633" s="3"/>
      <c r="BN633" s="3"/>
      <c r="BO633" s="4">
        <f>SUM(BJ633:BN633)</f>
        <v>0</v>
      </c>
      <c r="BQ633" s="2"/>
      <c r="BR633" s="3"/>
      <c r="BS633" s="3"/>
      <c r="BT633" s="3"/>
      <c r="BU633" s="3"/>
      <c r="BV633" s="4">
        <f>SUM(BQ633:BU633)</f>
        <v>0</v>
      </c>
      <c r="BX633" s="2"/>
      <c r="BY633" s="3"/>
      <c r="BZ633" s="3"/>
      <c r="CA633" s="3"/>
      <c r="CB633" s="3"/>
      <c r="CC633" s="4">
        <f>SUM(BX633:CB633)</f>
        <v>0</v>
      </c>
      <c r="CE633" s="26">
        <f t="shared" ref="CE633:CE636" si="2894">F633+M633+T633+AA633+AH633+AO633+AV633+BC633+BJ633+BQ633+BX633</f>
        <v>0</v>
      </c>
      <c r="CF633" s="27">
        <f t="shared" ref="CF633:CF636" si="2895">G633+N633+U633+AB633+AI633+AP633+AW633+BD633+BK633+BR633+BY633</f>
        <v>0</v>
      </c>
      <c r="CG633" s="27">
        <f t="shared" ref="CG633:CG636" si="2896">H633+O633+V633+AC633+AJ633+AQ633+AX633+BE633+BL633+BS633+BZ633</f>
        <v>0</v>
      </c>
      <c r="CH633" s="27">
        <f t="shared" ref="CH633:CH636" si="2897">I633+P633+W633+AD633+AK633+AR633+AY633+BF633+BM633+BT633+CA633</f>
        <v>0</v>
      </c>
      <c r="CI633" s="27">
        <f t="shared" ref="CI633:CI636" si="2898">J633+Q633+X633+AE633+AL633+AS633+AZ633+BG633+BN633+BU633+CB633</f>
        <v>0</v>
      </c>
      <c r="CJ633" s="4">
        <f>SUM(CE633:CI633)</f>
        <v>0</v>
      </c>
      <c r="CL633" s="2"/>
      <c r="CM633" s="3"/>
      <c r="CN633" s="3"/>
      <c r="CO633" s="3"/>
      <c r="CP633" s="3"/>
      <c r="CQ633" s="4">
        <f>SUM(CL633:CP633)</f>
        <v>0</v>
      </c>
      <c r="CS633" s="2"/>
      <c r="CT633" s="3"/>
      <c r="CU633" s="3"/>
      <c r="CV633" s="3"/>
      <c r="CW633" s="3"/>
      <c r="CX633" s="4">
        <f>SUM(CS633:CW633)</f>
        <v>0</v>
      </c>
      <c r="CZ633" s="2"/>
      <c r="DA633" s="3"/>
      <c r="DB633" s="3"/>
      <c r="DC633" s="3"/>
      <c r="DD633" s="3"/>
      <c r="DE633" s="4">
        <f>SUM(CZ633:DD633)</f>
        <v>0</v>
      </c>
    </row>
    <row r="634" spans="3:109">
      <c r="C634" s="567"/>
      <c r="E634" s="14" t="s">
        <v>60</v>
      </c>
      <c r="F634" s="23">
        <f t="shared" ref="F634:F636" si="2899">CE628</f>
        <v>0</v>
      </c>
      <c r="G634" s="24">
        <f t="shared" si="2890"/>
        <v>0</v>
      </c>
      <c r="H634" s="24">
        <f t="shared" si="2891"/>
        <v>0</v>
      </c>
      <c r="I634" s="24">
        <f t="shared" si="2892"/>
        <v>0</v>
      </c>
      <c r="J634" s="24">
        <f t="shared" si="2893"/>
        <v>0</v>
      </c>
      <c r="K634" s="8">
        <f t="shared" ref="K634:K636" si="2900">SUM(F634:J634)</f>
        <v>0</v>
      </c>
      <c r="M634" s="6"/>
      <c r="N634" s="7"/>
      <c r="O634" s="7"/>
      <c r="P634" s="7"/>
      <c r="Q634" s="7"/>
      <c r="R634" s="8">
        <f t="shared" ref="R634:R636" si="2901">SUM(M634:Q634)</f>
        <v>0</v>
      </c>
      <c r="T634" s="6"/>
      <c r="U634" s="7"/>
      <c r="V634" s="7"/>
      <c r="W634" s="7"/>
      <c r="X634" s="7"/>
      <c r="Y634" s="8">
        <f t="shared" ref="Y634:Y636" si="2902">SUM(T634:X634)</f>
        <v>0</v>
      </c>
      <c r="AA634" s="6"/>
      <c r="AB634" s="7"/>
      <c r="AC634" s="7"/>
      <c r="AD634" s="7"/>
      <c r="AE634" s="7"/>
      <c r="AF634" s="8">
        <f>SUM(AA634:AE634)</f>
        <v>0</v>
      </c>
      <c r="AH634" s="6"/>
      <c r="AI634" s="7"/>
      <c r="AJ634" s="7"/>
      <c r="AK634" s="7"/>
      <c r="AL634" s="7"/>
      <c r="AM634" s="8">
        <f>SUM(AH634:AL634)</f>
        <v>0</v>
      </c>
      <c r="AO634" s="6"/>
      <c r="AP634" s="7"/>
      <c r="AQ634" s="7"/>
      <c r="AR634" s="7"/>
      <c r="AS634" s="7"/>
      <c r="AT634" s="8">
        <f>SUM(AO634:AS634)</f>
        <v>0</v>
      </c>
      <c r="AV634" s="6"/>
      <c r="AW634" s="7"/>
      <c r="AX634" s="7"/>
      <c r="AY634" s="7"/>
      <c r="AZ634" s="7"/>
      <c r="BA634" s="8">
        <f>SUM(AV634:AZ634)</f>
        <v>0</v>
      </c>
      <c r="BC634" s="6"/>
      <c r="BD634" s="7"/>
      <c r="BE634" s="7"/>
      <c r="BF634" s="7"/>
      <c r="BG634" s="7"/>
      <c r="BH634" s="8">
        <f>SUM(BC634:BG634)</f>
        <v>0</v>
      </c>
      <c r="BJ634" s="6"/>
      <c r="BK634" s="7"/>
      <c r="BL634" s="7"/>
      <c r="BM634" s="7"/>
      <c r="BN634" s="7"/>
      <c r="BO634" s="8">
        <f>SUM(BJ634:BN634)</f>
        <v>0</v>
      </c>
      <c r="BQ634" s="6"/>
      <c r="BR634" s="7"/>
      <c r="BS634" s="7"/>
      <c r="BT634" s="7"/>
      <c r="BU634" s="7"/>
      <c r="BV634" s="8">
        <f>SUM(BQ634:BU634)</f>
        <v>0</v>
      </c>
      <c r="BX634" s="6"/>
      <c r="BY634" s="7"/>
      <c r="BZ634" s="7"/>
      <c r="CA634" s="7"/>
      <c r="CB634" s="7"/>
      <c r="CC634" s="8">
        <f>SUM(BX634:CB634)</f>
        <v>0</v>
      </c>
      <c r="CE634" s="28">
        <f t="shared" si="2894"/>
        <v>0</v>
      </c>
      <c r="CF634" s="29">
        <f t="shared" si="2895"/>
        <v>0</v>
      </c>
      <c r="CG634" s="29">
        <f t="shared" si="2896"/>
        <v>0</v>
      </c>
      <c r="CH634" s="29">
        <f t="shared" si="2897"/>
        <v>0</v>
      </c>
      <c r="CI634" s="29">
        <f t="shared" si="2898"/>
        <v>0</v>
      </c>
      <c r="CJ634" s="8">
        <f>SUM(CE634:CI634)</f>
        <v>0</v>
      </c>
      <c r="CL634" s="6"/>
      <c r="CM634" s="7"/>
      <c r="CN634" s="7"/>
      <c r="CO634" s="7"/>
      <c r="CP634" s="7"/>
      <c r="CQ634" s="8">
        <f>SUM(CL634:CP634)</f>
        <v>0</v>
      </c>
      <c r="CS634" s="6"/>
      <c r="CT634" s="7"/>
      <c r="CU634" s="7"/>
      <c r="CV634" s="7"/>
      <c r="CW634" s="7"/>
      <c r="CX634" s="8">
        <f t="shared" ref="CX634:CX636" si="2903">SUM(CS634:CW634)</f>
        <v>0</v>
      </c>
      <c r="CZ634" s="6"/>
      <c r="DA634" s="7"/>
      <c r="DB634" s="7"/>
      <c r="DC634" s="7"/>
      <c r="DD634" s="7"/>
      <c r="DE634" s="8">
        <f t="shared" ref="DE634:DE636" si="2904">SUM(CZ634:DD634)</f>
        <v>0</v>
      </c>
    </row>
    <row r="635" spans="3:109">
      <c r="C635" s="567"/>
      <c r="E635" s="14" t="s">
        <v>61</v>
      </c>
      <c r="F635" s="23">
        <f t="shared" si="2899"/>
        <v>0</v>
      </c>
      <c r="G635" s="24">
        <f t="shared" si="2890"/>
        <v>0</v>
      </c>
      <c r="H635" s="24">
        <f t="shared" si="2891"/>
        <v>0</v>
      </c>
      <c r="I635" s="24">
        <f t="shared" si="2892"/>
        <v>0</v>
      </c>
      <c r="J635" s="24">
        <f t="shared" si="2893"/>
        <v>0</v>
      </c>
      <c r="K635" s="8">
        <f t="shared" si="2900"/>
        <v>0</v>
      </c>
      <c r="M635" s="6"/>
      <c r="N635" s="7"/>
      <c r="O635" s="7"/>
      <c r="P635" s="7"/>
      <c r="Q635" s="7"/>
      <c r="R635" s="8">
        <f t="shared" si="2901"/>
        <v>0</v>
      </c>
      <c r="T635" s="6"/>
      <c r="U635" s="7"/>
      <c r="V635" s="7"/>
      <c r="W635" s="7"/>
      <c r="X635" s="7"/>
      <c r="Y635" s="8">
        <f t="shared" si="2902"/>
        <v>0</v>
      </c>
      <c r="AA635" s="6"/>
      <c r="AB635" s="7"/>
      <c r="AC635" s="7"/>
      <c r="AD635" s="7"/>
      <c r="AE635" s="7"/>
      <c r="AF635" s="8">
        <f>SUM(AA635:AE635)</f>
        <v>0</v>
      </c>
      <c r="AH635" s="6"/>
      <c r="AI635" s="7"/>
      <c r="AJ635" s="7"/>
      <c r="AK635" s="7"/>
      <c r="AL635" s="7"/>
      <c r="AM635" s="8">
        <f>SUM(AH635:AL635)</f>
        <v>0</v>
      </c>
      <c r="AO635" s="6"/>
      <c r="AP635" s="7"/>
      <c r="AQ635" s="7"/>
      <c r="AR635" s="7"/>
      <c r="AS635" s="7"/>
      <c r="AT635" s="8">
        <f>SUM(AO635:AS635)</f>
        <v>0</v>
      </c>
      <c r="AV635" s="6"/>
      <c r="AW635" s="7"/>
      <c r="AX635" s="7"/>
      <c r="AY635" s="7"/>
      <c r="AZ635" s="7"/>
      <c r="BA635" s="8">
        <f>SUM(AV635:AZ635)</f>
        <v>0</v>
      </c>
      <c r="BC635" s="6"/>
      <c r="BD635" s="7"/>
      <c r="BE635" s="7"/>
      <c r="BF635" s="7"/>
      <c r="BG635" s="7"/>
      <c r="BH635" s="8">
        <f>SUM(BC635:BG635)</f>
        <v>0</v>
      </c>
      <c r="BJ635" s="6"/>
      <c r="BK635" s="7"/>
      <c r="BL635" s="7"/>
      <c r="BM635" s="7"/>
      <c r="BN635" s="7"/>
      <c r="BO635" s="8">
        <f>SUM(BJ635:BN635)</f>
        <v>0</v>
      </c>
      <c r="BQ635" s="6"/>
      <c r="BR635" s="7"/>
      <c r="BS635" s="7"/>
      <c r="BT635" s="7"/>
      <c r="BU635" s="7"/>
      <c r="BV635" s="8">
        <f>SUM(BQ635:BU635)</f>
        <v>0</v>
      </c>
      <c r="BX635" s="6"/>
      <c r="BY635" s="7"/>
      <c r="BZ635" s="7"/>
      <c r="CA635" s="7"/>
      <c r="CB635" s="7"/>
      <c r="CC635" s="8">
        <f>SUM(BX635:CB635)</f>
        <v>0</v>
      </c>
      <c r="CE635" s="28">
        <f t="shared" si="2894"/>
        <v>0</v>
      </c>
      <c r="CF635" s="29">
        <f t="shared" si="2895"/>
        <v>0</v>
      </c>
      <c r="CG635" s="29">
        <f t="shared" si="2896"/>
        <v>0</v>
      </c>
      <c r="CH635" s="29">
        <f t="shared" si="2897"/>
        <v>0</v>
      </c>
      <c r="CI635" s="29">
        <f t="shared" si="2898"/>
        <v>0</v>
      </c>
      <c r="CJ635" s="8">
        <f>SUM(CE635:CI635)</f>
        <v>0</v>
      </c>
      <c r="CL635" s="6"/>
      <c r="CM635" s="7"/>
      <c r="CN635" s="7"/>
      <c r="CO635" s="7"/>
      <c r="CP635" s="7"/>
      <c r="CQ635" s="8">
        <f>SUM(CL635:CP635)</f>
        <v>0</v>
      </c>
      <c r="CS635" s="6"/>
      <c r="CT635" s="7"/>
      <c r="CU635" s="7"/>
      <c r="CV635" s="7"/>
      <c r="CW635" s="7"/>
      <c r="CX635" s="8">
        <f t="shared" si="2903"/>
        <v>0</v>
      </c>
      <c r="CZ635" s="6"/>
      <c r="DA635" s="7"/>
      <c r="DB635" s="7"/>
      <c r="DC635" s="7"/>
      <c r="DD635" s="7"/>
      <c r="DE635" s="8">
        <f t="shared" si="2904"/>
        <v>0</v>
      </c>
    </row>
    <row r="636" spans="3:109" ht="14" thickBot="1">
      <c r="C636" s="567"/>
      <c r="E636" s="14" t="s">
        <v>62</v>
      </c>
      <c r="F636" s="23">
        <f t="shared" si="2899"/>
        <v>0</v>
      </c>
      <c r="G636" s="24">
        <f t="shared" si="2890"/>
        <v>0</v>
      </c>
      <c r="H636" s="24">
        <f t="shared" si="2891"/>
        <v>0</v>
      </c>
      <c r="I636" s="24">
        <f t="shared" si="2892"/>
        <v>0</v>
      </c>
      <c r="J636" s="24">
        <f t="shared" si="2893"/>
        <v>0</v>
      </c>
      <c r="K636" s="8">
        <f t="shared" si="2900"/>
        <v>0</v>
      </c>
      <c r="M636" s="6"/>
      <c r="N636" s="7"/>
      <c r="O636" s="7"/>
      <c r="P636" s="7"/>
      <c r="Q636" s="7"/>
      <c r="R636" s="8">
        <f t="shared" si="2901"/>
        <v>0</v>
      </c>
      <c r="T636" s="6"/>
      <c r="U636" s="7"/>
      <c r="V636" s="7"/>
      <c r="W636" s="7"/>
      <c r="X636" s="7"/>
      <c r="Y636" s="8">
        <f t="shared" si="2902"/>
        <v>0</v>
      </c>
      <c r="AA636" s="6"/>
      <c r="AB636" s="7"/>
      <c r="AC636" s="7"/>
      <c r="AD636" s="7"/>
      <c r="AE636" s="7"/>
      <c r="AF636" s="8">
        <f>SUM(AA636:AE636)</f>
        <v>0</v>
      </c>
      <c r="AH636" s="6"/>
      <c r="AI636" s="7"/>
      <c r="AJ636" s="7"/>
      <c r="AK636" s="7"/>
      <c r="AL636" s="7"/>
      <c r="AM636" s="8">
        <f>SUM(AH636:AL636)</f>
        <v>0</v>
      </c>
      <c r="AO636" s="6"/>
      <c r="AP636" s="7"/>
      <c r="AQ636" s="7"/>
      <c r="AR636" s="7"/>
      <c r="AS636" s="7"/>
      <c r="AT636" s="8">
        <f>SUM(AO636:AS636)</f>
        <v>0</v>
      </c>
      <c r="AV636" s="6"/>
      <c r="AW636" s="7"/>
      <c r="AX636" s="7"/>
      <c r="AY636" s="7"/>
      <c r="AZ636" s="7"/>
      <c r="BA636" s="8">
        <f>SUM(AV636:AZ636)</f>
        <v>0</v>
      </c>
      <c r="BC636" s="6"/>
      <c r="BD636" s="7"/>
      <c r="BE636" s="7"/>
      <c r="BF636" s="7"/>
      <c r="BG636" s="7"/>
      <c r="BH636" s="8">
        <f>SUM(BC636:BG636)</f>
        <v>0</v>
      </c>
      <c r="BJ636" s="6"/>
      <c r="BK636" s="7"/>
      <c r="BL636" s="7"/>
      <c r="BM636" s="7"/>
      <c r="BN636" s="7"/>
      <c r="BO636" s="8">
        <f>SUM(BJ636:BN636)</f>
        <v>0</v>
      </c>
      <c r="BQ636" s="6"/>
      <c r="BR636" s="7"/>
      <c r="BS636" s="7"/>
      <c r="BT636" s="7"/>
      <c r="BU636" s="7"/>
      <c r="BV636" s="8">
        <f>SUM(BQ636:BU636)</f>
        <v>0</v>
      </c>
      <c r="BX636" s="6"/>
      <c r="BY636" s="7"/>
      <c r="BZ636" s="7"/>
      <c r="CA636" s="7"/>
      <c r="CB636" s="7"/>
      <c r="CC636" s="8">
        <f>SUM(BX636:CB636)</f>
        <v>0</v>
      </c>
      <c r="CE636" s="493">
        <f t="shared" si="2894"/>
        <v>0</v>
      </c>
      <c r="CF636" s="494">
        <f t="shared" si="2895"/>
        <v>0</v>
      </c>
      <c r="CG636" s="494">
        <f t="shared" si="2896"/>
        <v>0</v>
      </c>
      <c r="CH636" s="494">
        <f t="shared" si="2897"/>
        <v>0</v>
      </c>
      <c r="CI636" s="494">
        <f t="shared" si="2898"/>
        <v>0</v>
      </c>
      <c r="CJ636" s="495">
        <f>SUM(CE636:CI636)</f>
        <v>0</v>
      </c>
      <c r="CL636" s="6"/>
      <c r="CM636" s="7"/>
      <c r="CN636" s="7"/>
      <c r="CO636" s="7"/>
      <c r="CP636" s="7"/>
      <c r="CQ636" s="8">
        <f>SUM(CL636:CP636)</f>
        <v>0</v>
      </c>
      <c r="CS636" s="6"/>
      <c r="CT636" s="7"/>
      <c r="CU636" s="7"/>
      <c r="CV636" s="7"/>
      <c r="CW636" s="7"/>
      <c r="CX636" s="8">
        <f t="shared" si="2903"/>
        <v>0</v>
      </c>
      <c r="CZ636" s="6"/>
      <c r="DA636" s="7"/>
      <c r="DB636" s="7"/>
      <c r="DC636" s="7"/>
      <c r="DD636" s="7"/>
      <c r="DE636" s="8">
        <f t="shared" si="2904"/>
        <v>0</v>
      </c>
    </row>
    <row r="637" spans="3:109" ht="14" thickBot="1">
      <c r="C637" s="554"/>
      <c r="E637" s="17"/>
      <c r="F637" s="10">
        <f>SUM(F633:F636)</f>
        <v>0</v>
      </c>
      <c r="G637" s="11">
        <f t="shared" ref="G637:J637" si="2905">SUM(G633:G636)</f>
        <v>0</v>
      </c>
      <c r="H637" s="11">
        <f t="shared" si="2905"/>
        <v>0</v>
      </c>
      <c r="I637" s="11">
        <f t="shared" si="2905"/>
        <v>0</v>
      </c>
      <c r="J637" s="11">
        <f t="shared" si="2905"/>
        <v>0</v>
      </c>
      <c r="K637" s="25">
        <f>SUM(K633:K636)</f>
        <v>0</v>
      </c>
      <c r="M637" s="10">
        <f>SUM(M633:M636)</f>
        <v>0</v>
      </c>
      <c r="N637" s="11">
        <f t="shared" ref="N637:Q637" si="2906">SUM(N633:N636)</f>
        <v>0</v>
      </c>
      <c r="O637" s="11">
        <f t="shared" si="2906"/>
        <v>0</v>
      </c>
      <c r="P637" s="11">
        <f t="shared" si="2906"/>
        <v>0</v>
      </c>
      <c r="Q637" s="11">
        <f t="shared" si="2906"/>
        <v>0</v>
      </c>
      <c r="R637" s="25">
        <f>SUM(R633:R636)</f>
        <v>0</v>
      </c>
      <c r="T637" s="10">
        <f>SUM(T633:T636)</f>
        <v>0</v>
      </c>
      <c r="U637" s="11">
        <f t="shared" ref="U637:X637" si="2907">SUM(U633:U636)</f>
        <v>0</v>
      </c>
      <c r="V637" s="11">
        <f t="shared" si="2907"/>
        <v>0</v>
      </c>
      <c r="W637" s="11">
        <f t="shared" si="2907"/>
        <v>0</v>
      </c>
      <c r="X637" s="11">
        <f t="shared" si="2907"/>
        <v>0</v>
      </c>
      <c r="Y637" s="25">
        <f>SUM(Y633:Y636)</f>
        <v>0</v>
      </c>
      <c r="AA637" s="10">
        <f>SUM(AA633:AA636)</f>
        <v>0</v>
      </c>
      <c r="AB637" s="11">
        <f t="shared" ref="AB637:AE637" si="2908">SUM(AB633:AB636)</f>
        <v>0</v>
      </c>
      <c r="AC637" s="11">
        <f t="shared" si="2908"/>
        <v>0</v>
      </c>
      <c r="AD637" s="11">
        <f t="shared" si="2908"/>
        <v>0</v>
      </c>
      <c r="AE637" s="11">
        <f t="shared" si="2908"/>
        <v>0</v>
      </c>
      <c r="AF637" s="25">
        <f>SUM(AF633:AF636)</f>
        <v>0</v>
      </c>
      <c r="AH637" s="10">
        <f t="shared" ref="AH637:AM637" si="2909">SUM(AH633:AH636)</f>
        <v>0</v>
      </c>
      <c r="AI637" s="11">
        <f t="shared" si="2909"/>
        <v>0</v>
      </c>
      <c r="AJ637" s="11">
        <f t="shared" si="2909"/>
        <v>0</v>
      </c>
      <c r="AK637" s="11">
        <f t="shared" si="2909"/>
        <v>0</v>
      </c>
      <c r="AL637" s="11">
        <f t="shared" si="2909"/>
        <v>0</v>
      </c>
      <c r="AM637" s="25">
        <f t="shared" si="2909"/>
        <v>0</v>
      </c>
      <c r="AO637" s="10">
        <f t="shared" ref="AO637:AT637" si="2910">SUM(AO633:AO636)</f>
        <v>0</v>
      </c>
      <c r="AP637" s="11">
        <f t="shared" si="2910"/>
        <v>0</v>
      </c>
      <c r="AQ637" s="11">
        <f t="shared" si="2910"/>
        <v>0</v>
      </c>
      <c r="AR637" s="11">
        <f t="shared" si="2910"/>
        <v>0</v>
      </c>
      <c r="AS637" s="11">
        <f t="shared" si="2910"/>
        <v>0</v>
      </c>
      <c r="AT637" s="25">
        <f t="shared" si="2910"/>
        <v>0</v>
      </c>
      <c r="AV637" s="10">
        <f t="shared" ref="AV637:BA637" si="2911">SUM(AV633:AV636)</f>
        <v>0</v>
      </c>
      <c r="AW637" s="11">
        <f t="shared" si="2911"/>
        <v>0</v>
      </c>
      <c r="AX637" s="11">
        <f t="shared" si="2911"/>
        <v>0</v>
      </c>
      <c r="AY637" s="11">
        <f t="shared" si="2911"/>
        <v>0</v>
      </c>
      <c r="AZ637" s="11">
        <f t="shared" si="2911"/>
        <v>0</v>
      </c>
      <c r="BA637" s="25">
        <f t="shared" si="2911"/>
        <v>0</v>
      </c>
      <c r="BC637" s="10">
        <f t="shared" ref="BC637:BH637" si="2912">SUM(BC633:BC636)</f>
        <v>0</v>
      </c>
      <c r="BD637" s="11">
        <f t="shared" si="2912"/>
        <v>0</v>
      </c>
      <c r="BE637" s="11">
        <f t="shared" si="2912"/>
        <v>0</v>
      </c>
      <c r="BF637" s="11">
        <f t="shared" si="2912"/>
        <v>0</v>
      </c>
      <c r="BG637" s="11">
        <f t="shared" si="2912"/>
        <v>0</v>
      </c>
      <c r="BH637" s="25">
        <f t="shared" si="2912"/>
        <v>0</v>
      </c>
      <c r="BJ637" s="10">
        <f t="shared" ref="BJ637:BO637" si="2913">SUM(BJ633:BJ636)</f>
        <v>0</v>
      </c>
      <c r="BK637" s="11">
        <f t="shared" si="2913"/>
        <v>0</v>
      </c>
      <c r="BL637" s="11">
        <f t="shared" si="2913"/>
        <v>0</v>
      </c>
      <c r="BM637" s="11">
        <f t="shared" si="2913"/>
        <v>0</v>
      </c>
      <c r="BN637" s="11">
        <f t="shared" si="2913"/>
        <v>0</v>
      </c>
      <c r="BO637" s="25">
        <f t="shared" si="2913"/>
        <v>0</v>
      </c>
      <c r="BQ637" s="10">
        <f t="shared" ref="BQ637:BV637" si="2914">SUM(BQ633:BQ636)</f>
        <v>0</v>
      </c>
      <c r="BR637" s="11">
        <f t="shared" si="2914"/>
        <v>0</v>
      </c>
      <c r="BS637" s="11">
        <f t="shared" si="2914"/>
        <v>0</v>
      </c>
      <c r="BT637" s="11">
        <f t="shared" si="2914"/>
        <v>0</v>
      </c>
      <c r="BU637" s="11">
        <f t="shared" si="2914"/>
        <v>0</v>
      </c>
      <c r="BV637" s="25">
        <f t="shared" si="2914"/>
        <v>0</v>
      </c>
      <c r="BX637" s="10">
        <f t="shared" ref="BX637:CC637" si="2915">SUM(BX633:BX636)</f>
        <v>0</v>
      </c>
      <c r="BY637" s="11">
        <f t="shared" si="2915"/>
        <v>0</v>
      </c>
      <c r="BZ637" s="11">
        <f t="shared" si="2915"/>
        <v>0</v>
      </c>
      <c r="CA637" s="11">
        <f t="shared" si="2915"/>
        <v>0</v>
      </c>
      <c r="CB637" s="11">
        <f t="shared" si="2915"/>
        <v>0</v>
      </c>
      <c r="CC637" s="25">
        <f t="shared" si="2915"/>
        <v>0</v>
      </c>
      <c r="CE637" s="62">
        <f t="shared" ref="CE637:CJ637" si="2916">SUM(CE633:CE636)</f>
        <v>0</v>
      </c>
      <c r="CF637" s="63">
        <f t="shared" si="2916"/>
        <v>0</v>
      </c>
      <c r="CG637" s="63">
        <f t="shared" si="2916"/>
        <v>0</v>
      </c>
      <c r="CH637" s="63">
        <f t="shared" si="2916"/>
        <v>0</v>
      </c>
      <c r="CI637" s="63">
        <f t="shared" si="2916"/>
        <v>0</v>
      </c>
      <c r="CJ637" s="25">
        <f t="shared" si="2916"/>
        <v>0</v>
      </c>
      <c r="CL637" s="10">
        <f>SUM(CL633:CL636)</f>
        <v>0</v>
      </c>
      <c r="CM637" s="11">
        <f t="shared" ref="CM637:CQ637" si="2917">SUM(CM633:CM636)</f>
        <v>0</v>
      </c>
      <c r="CN637" s="11">
        <f t="shared" si="2917"/>
        <v>0</v>
      </c>
      <c r="CO637" s="11">
        <f t="shared" si="2917"/>
        <v>0</v>
      </c>
      <c r="CP637" s="11">
        <f t="shared" si="2917"/>
        <v>0</v>
      </c>
      <c r="CQ637" s="25">
        <f t="shared" si="2917"/>
        <v>0</v>
      </c>
      <c r="CS637" s="10">
        <f>SUM(CS633:CS636)</f>
        <v>0</v>
      </c>
      <c r="CT637" s="11">
        <f t="shared" ref="CT637:CW637" si="2918">SUM(CT633:CT636)</f>
        <v>0</v>
      </c>
      <c r="CU637" s="11">
        <f t="shared" si="2918"/>
        <v>0</v>
      </c>
      <c r="CV637" s="11">
        <f t="shared" si="2918"/>
        <v>0</v>
      </c>
      <c r="CW637" s="11">
        <f t="shared" si="2918"/>
        <v>0</v>
      </c>
      <c r="CX637" s="25">
        <f>SUM(CX633:CX636)</f>
        <v>0</v>
      </c>
      <c r="CZ637" s="10">
        <f>SUM(CZ633:CZ636)</f>
        <v>0</v>
      </c>
      <c r="DA637" s="11">
        <f t="shared" ref="DA637:DD637" si="2919">SUM(DA633:DA636)</f>
        <v>0</v>
      </c>
      <c r="DB637" s="11">
        <f t="shared" si="2919"/>
        <v>0</v>
      </c>
      <c r="DC637" s="11">
        <f t="shared" si="2919"/>
        <v>0</v>
      </c>
      <c r="DD637" s="11">
        <f t="shared" si="2919"/>
        <v>0</v>
      </c>
      <c r="DE637" s="25">
        <f>SUM(DE633:DE636)</f>
        <v>0</v>
      </c>
    </row>
    <row r="638" spans="3:109" ht="10.4" customHeight="1" thickBot="1"/>
    <row r="639" spans="3:109">
      <c r="C639" s="553">
        <v>2028</v>
      </c>
      <c r="E639" s="13" t="s">
        <v>59</v>
      </c>
      <c r="F639" s="21">
        <f>CE633</f>
        <v>0</v>
      </c>
      <c r="G639" s="22">
        <f t="shared" ref="G639:G642" si="2920">CF633</f>
        <v>0</v>
      </c>
      <c r="H639" s="22">
        <f t="shared" ref="H639:H642" si="2921">CG633</f>
        <v>0</v>
      </c>
      <c r="I639" s="22">
        <f t="shared" ref="I639:I642" si="2922">CH633</f>
        <v>0</v>
      </c>
      <c r="J639" s="22">
        <f t="shared" ref="J639:J642" si="2923">CI633</f>
        <v>0</v>
      </c>
      <c r="K639" s="4">
        <f>SUM(F639:J639)</f>
        <v>0</v>
      </c>
      <c r="M639" s="2"/>
      <c r="N639" s="3"/>
      <c r="O639" s="3"/>
      <c r="P639" s="3"/>
      <c r="Q639" s="3"/>
      <c r="R639" s="4">
        <f>SUM(M639:Q639)</f>
        <v>0</v>
      </c>
      <c r="T639" s="2"/>
      <c r="U639" s="3"/>
      <c r="V639" s="3"/>
      <c r="W639" s="3"/>
      <c r="X639" s="3"/>
      <c r="Y639" s="4">
        <f>SUM(T639:X639)</f>
        <v>0</v>
      </c>
      <c r="AA639" s="2"/>
      <c r="AB639" s="3"/>
      <c r="AC639" s="3"/>
      <c r="AD639" s="3"/>
      <c r="AE639" s="3"/>
      <c r="AF639" s="4">
        <f>SUM(AA639:AE639)</f>
        <v>0</v>
      </c>
      <c r="AH639" s="2"/>
      <c r="AI639" s="3"/>
      <c r="AJ639" s="3"/>
      <c r="AK639" s="3"/>
      <c r="AL639" s="3"/>
      <c r="AM639" s="4">
        <f>SUM(AH639:AL639)</f>
        <v>0</v>
      </c>
      <c r="AO639" s="2"/>
      <c r="AP639" s="3"/>
      <c r="AQ639" s="3"/>
      <c r="AR639" s="3"/>
      <c r="AS639" s="3"/>
      <c r="AT639" s="4">
        <f>SUM(AO639:AS639)</f>
        <v>0</v>
      </c>
      <c r="AV639" s="2"/>
      <c r="AW639" s="3"/>
      <c r="AX639" s="3"/>
      <c r="AY639" s="3"/>
      <c r="AZ639" s="3"/>
      <c r="BA639" s="4">
        <f>SUM(AV639:AZ639)</f>
        <v>0</v>
      </c>
      <c r="BC639" s="2"/>
      <c r="BD639" s="3"/>
      <c r="BE639" s="3"/>
      <c r="BF639" s="3"/>
      <c r="BG639" s="3"/>
      <c r="BH639" s="4">
        <f>SUM(BC639:BG639)</f>
        <v>0</v>
      </c>
      <c r="BJ639" s="2"/>
      <c r="BK639" s="3"/>
      <c r="BL639" s="3"/>
      <c r="BM639" s="3"/>
      <c r="BN639" s="3"/>
      <c r="BO639" s="4">
        <f>SUM(BJ639:BN639)</f>
        <v>0</v>
      </c>
      <c r="BQ639" s="2"/>
      <c r="BR639" s="3"/>
      <c r="BS639" s="3"/>
      <c r="BT639" s="3"/>
      <c r="BU639" s="3"/>
      <c r="BV639" s="4">
        <f>SUM(BQ639:BU639)</f>
        <v>0</v>
      </c>
      <c r="BX639" s="2"/>
      <c r="BY639" s="3"/>
      <c r="BZ639" s="3"/>
      <c r="CA639" s="3"/>
      <c r="CB639" s="3"/>
      <c r="CC639" s="4">
        <f>SUM(BX639:CB639)</f>
        <v>0</v>
      </c>
      <c r="CE639" s="26">
        <f t="shared" ref="CE639:CE642" si="2924">F639+M639+T639+AA639+AH639+AO639+AV639+BC639+BJ639+BQ639+BX639</f>
        <v>0</v>
      </c>
      <c r="CF639" s="27">
        <f t="shared" ref="CF639:CF642" si="2925">G639+N639+U639+AB639+AI639+AP639+AW639+BD639+BK639+BR639+BY639</f>
        <v>0</v>
      </c>
      <c r="CG639" s="27">
        <f t="shared" ref="CG639:CG642" si="2926">H639+O639+V639+AC639+AJ639+AQ639+AX639+BE639+BL639+BS639+BZ639</f>
        <v>0</v>
      </c>
      <c r="CH639" s="27">
        <f t="shared" ref="CH639:CH642" si="2927">I639+P639+W639+AD639+AK639+AR639+AY639+BF639+BM639+BT639+CA639</f>
        <v>0</v>
      </c>
      <c r="CI639" s="27">
        <f t="shared" ref="CI639:CI642" si="2928">J639+Q639+X639+AE639+AL639+AS639+AZ639+BG639+BN639+BU639+CB639</f>
        <v>0</v>
      </c>
      <c r="CJ639" s="4">
        <f>SUM(CE639:CI639)</f>
        <v>0</v>
      </c>
      <c r="CL639" s="2"/>
      <c r="CM639" s="3"/>
      <c r="CN639" s="3"/>
      <c r="CO639" s="3"/>
      <c r="CP639" s="3"/>
      <c r="CQ639" s="4">
        <f>SUM(CL639:CP639)</f>
        <v>0</v>
      </c>
      <c r="CS639" s="2"/>
      <c r="CT639" s="3"/>
      <c r="CU639" s="3"/>
      <c r="CV639" s="3"/>
      <c r="CW639" s="3"/>
      <c r="CX639" s="4">
        <f>SUM(CS639:CW639)</f>
        <v>0</v>
      </c>
      <c r="CZ639" s="2"/>
      <c r="DA639" s="3"/>
      <c r="DB639" s="3"/>
      <c r="DC639" s="3"/>
      <c r="DD639" s="3"/>
      <c r="DE639" s="4">
        <f>SUM(CZ639:DD639)</f>
        <v>0</v>
      </c>
    </row>
    <row r="640" spans="3:109">
      <c r="C640" s="567"/>
      <c r="E640" s="14" t="s">
        <v>60</v>
      </c>
      <c r="F640" s="23">
        <f t="shared" ref="F640:F642" si="2929">CE634</f>
        <v>0</v>
      </c>
      <c r="G640" s="24">
        <f t="shared" si="2920"/>
        <v>0</v>
      </c>
      <c r="H640" s="24">
        <f t="shared" si="2921"/>
        <v>0</v>
      </c>
      <c r="I640" s="24">
        <f t="shared" si="2922"/>
        <v>0</v>
      </c>
      <c r="J640" s="24">
        <f t="shared" si="2923"/>
        <v>0</v>
      </c>
      <c r="K640" s="8">
        <f t="shared" ref="K640:K642" si="2930">SUM(F640:J640)</f>
        <v>0</v>
      </c>
      <c r="M640" s="6"/>
      <c r="N640" s="7"/>
      <c r="O640" s="7"/>
      <c r="P640" s="7"/>
      <c r="Q640" s="7"/>
      <c r="R640" s="8">
        <f t="shared" ref="R640:R642" si="2931">SUM(M640:Q640)</f>
        <v>0</v>
      </c>
      <c r="T640" s="6"/>
      <c r="U640" s="7"/>
      <c r="V640" s="7"/>
      <c r="W640" s="7"/>
      <c r="X640" s="7"/>
      <c r="Y640" s="8">
        <f t="shared" ref="Y640:Y642" si="2932">SUM(T640:X640)</f>
        <v>0</v>
      </c>
      <c r="AA640" s="6"/>
      <c r="AB640" s="7"/>
      <c r="AC640" s="7"/>
      <c r="AD640" s="7"/>
      <c r="AE640" s="7"/>
      <c r="AF640" s="8">
        <f>SUM(AA640:AE640)</f>
        <v>0</v>
      </c>
      <c r="AH640" s="6"/>
      <c r="AI640" s="7"/>
      <c r="AJ640" s="7"/>
      <c r="AK640" s="7"/>
      <c r="AL640" s="7"/>
      <c r="AM640" s="8">
        <f>SUM(AH640:AL640)</f>
        <v>0</v>
      </c>
      <c r="AO640" s="6"/>
      <c r="AP640" s="7"/>
      <c r="AQ640" s="7"/>
      <c r="AR640" s="7"/>
      <c r="AS640" s="7"/>
      <c r="AT640" s="8">
        <f>SUM(AO640:AS640)</f>
        <v>0</v>
      </c>
      <c r="AV640" s="6"/>
      <c r="AW640" s="7"/>
      <c r="AX640" s="7"/>
      <c r="AY640" s="7"/>
      <c r="AZ640" s="7"/>
      <c r="BA640" s="8">
        <f>SUM(AV640:AZ640)</f>
        <v>0</v>
      </c>
      <c r="BC640" s="6"/>
      <c r="BD640" s="7"/>
      <c r="BE640" s="7"/>
      <c r="BF640" s="7"/>
      <c r="BG640" s="7"/>
      <c r="BH640" s="8">
        <f>SUM(BC640:BG640)</f>
        <v>0</v>
      </c>
      <c r="BJ640" s="6"/>
      <c r="BK640" s="7"/>
      <c r="BL640" s="7"/>
      <c r="BM640" s="7"/>
      <c r="BN640" s="7"/>
      <c r="BO640" s="8">
        <f>SUM(BJ640:BN640)</f>
        <v>0</v>
      </c>
      <c r="BQ640" s="6"/>
      <c r="BR640" s="7"/>
      <c r="BS640" s="7"/>
      <c r="BT640" s="7"/>
      <c r="BU640" s="7"/>
      <c r="BV640" s="8">
        <f>SUM(BQ640:BU640)</f>
        <v>0</v>
      </c>
      <c r="BX640" s="6"/>
      <c r="BY640" s="7"/>
      <c r="BZ640" s="7"/>
      <c r="CA640" s="7"/>
      <c r="CB640" s="7"/>
      <c r="CC640" s="8">
        <f>SUM(BX640:CB640)</f>
        <v>0</v>
      </c>
      <c r="CE640" s="28">
        <f t="shared" si="2924"/>
        <v>0</v>
      </c>
      <c r="CF640" s="29">
        <f t="shared" si="2925"/>
        <v>0</v>
      </c>
      <c r="CG640" s="29">
        <f t="shared" si="2926"/>
        <v>0</v>
      </c>
      <c r="CH640" s="29">
        <f t="shared" si="2927"/>
        <v>0</v>
      </c>
      <c r="CI640" s="29">
        <f t="shared" si="2928"/>
        <v>0</v>
      </c>
      <c r="CJ640" s="8">
        <f>SUM(CE640:CI640)</f>
        <v>0</v>
      </c>
      <c r="CL640" s="6"/>
      <c r="CM640" s="7"/>
      <c r="CN640" s="7"/>
      <c r="CO640" s="7"/>
      <c r="CP640" s="7"/>
      <c r="CQ640" s="8">
        <f>SUM(CL640:CP640)</f>
        <v>0</v>
      </c>
      <c r="CS640" s="6"/>
      <c r="CT640" s="7"/>
      <c r="CU640" s="7"/>
      <c r="CV640" s="7"/>
      <c r="CW640" s="7"/>
      <c r="CX640" s="8">
        <f t="shared" ref="CX640:CX642" si="2933">SUM(CS640:CW640)</f>
        <v>0</v>
      </c>
      <c r="CZ640" s="6"/>
      <c r="DA640" s="7"/>
      <c r="DB640" s="7"/>
      <c r="DC640" s="7"/>
      <c r="DD640" s="7"/>
      <c r="DE640" s="8">
        <f t="shared" ref="DE640:DE642" si="2934">SUM(CZ640:DD640)</f>
        <v>0</v>
      </c>
    </row>
    <row r="641" spans="2:110">
      <c r="C641" s="567"/>
      <c r="E641" s="14" t="s">
        <v>61</v>
      </c>
      <c r="F641" s="23">
        <f t="shared" si="2929"/>
        <v>0</v>
      </c>
      <c r="G641" s="24">
        <f t="shared" si="2920"/>
        <v>0</v>
      </c>
      <c r="H641" s="24">
        <f t="shared" si="2921"/>
        <v>0</v>
      </c>
      <c r="I641" s="24">
        <f t="shared" si="2922"/>
        <v>0</v>
      </c>
      <c r="J641" s="24">
        <f t="shared" si="2923"/>
        <v>0</v>
      </c>
      <c r="K641" s="8">
        <f t="shared" si="2930"/>
        <v>0</v>
      </c>
      <c r="M641" s="6"/>
      <c r="N641" s="7"/>
      <c r="O641" s="7"/>
      <c r="P641" s="7"/>
      <c r="Q641" s="7"/>
      <c r="R641" s="8">
        <f t="shared" si="2931"/>
        <v>0</v>
      </c>
      <c r="T641" s="6"/>
      <c r="U641" s="7"/>
      <c r="V641" s="7"/>
      <c r="W641" s="7"/>
      <c r="X641" s="7"/>
      <c r="Y641" s="8">
        <f t="shared" si="2932"/>
        <v>0</v>
      </c>
      <c r="AA641" s="6"/>
      <c r="AB641" s="7"/>
      <c r="AC641" s="7"/>
      <c r="AD641" s="7"/>
      <c r="AE641" s="7"/>
      <c r="AF641" s="8">
        <f>SUM(AA641:AE641)</f>
        <v>0</v>
      </c>
      <c r="AH641" s="6"/>
      <c r="AI641" s="7"/>
      <c r="AJ641" s="7"/>
      <c r="AK641" s="7"/>
      <c r="AL641" s="7"/>
      <c r="AM641" s="8">
        <f>SUM(AH641:AL641)</f>
        <v>0</v>
      </c>
      <c r="AO641" s="6"/>
      <c r="AP641" s="7"/>
      <c r="AQ641" s="7"/>
      <c r="AR641" s="7"/>
      <c r="AS641" s="7"/>
      <c r="AT641" s="8">
        <f>SUM(AO641:AS641)</f>
        <v>0</v>
      </c>
      <c r="AV641" s="6"/>
      <c r="AW641" s="7"/>
      <c r="AX641" s="7"/>
      <c r="AY641" s="7"/>
      <c r="AZ641" s="7"/>
      <c r="BA641" s="8">
        <f>SUM(AV641:AZ641)</f>
        <v>0</v>
      </c>
      <c r="BC641" s="6"/>
      <c r="BD641" s="7"/>
      <c r="BE641" s="7"/>
      <c r="BF641" s="7"/>
      <c r="BG641" s="7"/>
      <c r="BH641" s="8">
        <f>SUM(BC641:BG641)</f>
        <v>0</v>
      </c>
      <c r="BJ641" s="6"/>
      <c r="BK641" s="7"/>
      <c r="BL641" s="7"/>
      <c r="BM641" s="7"/>
      <c r="BN641" s="7"/>
      <c r="BO641" s="8">
        <f>SUM(BJ641:BN641)</f>
        <v>0</v>
      </c>
      <c r="BQ641" s="6"/>
      <c r="BR641" s="7"/>
      <c r="BS641" s="7"/>
      <c r="BT641" s="7"/>
      <c r="BU641" s="7"/>
      <c r="BV641" s="8">
        <f>SUM(BQ641:BU641)</f>
        <v>0</v>
      </c>
      <c r="BX641" s="6"/>
      <c r="BY641" s="7"/>
      <c r="BZ641" s="7"/>
      <c r="CA641" s="7"/>
      <c r="CB641" s="7"/>
      <c r="CC641" s="8">
        <f>SUM(BX641:CB641)</f>
        <v>0</v>
      </c>
      <c r="CE641" s="28">
        <f t="shared" si="2924"/>
        <v>0</v>
      </c>
      <c r="CF641" s="29">
        <f t="shared" si="2925"/>
        <v>0</v>
      </c>
      <c r="CG641" s="29">
        <f t="shared" si="2926"/>
        <v>0</v>
      </c>
      <c r="CH641" s="29">
        <f t="shared" si="2927"/>
        <v>0</v>
      </c>
      <c r="CI641" s="29">
        <f t="shared" si="2928"/>
        <v>0</v>
      </c>
      <c r="CJ641" s="8">
        <f>SUM(CE641:CI641)</f>
        <v>0</v>
      </c>
      <c r="CL641" s="6"/>
      <c r="CM641" s="7"/>
      <c r="CN641" s="7"/>
      <c r="CO641" s="7"/>
      <c r="CP641" s="7"/>
      <c r="CQ641" s="8">
        <f>SUM(CL641:CP641)</f>
        <v>0</v>
      </c>
      <c r="CS641" s="6"/>
      <c r="CT641" s="7"/>
      <c r="CU641" s="7"/>
      <c r="CV641" s="7"/>
      <c r="CW641" s="7"/>
      <c r="CX641" s="8">
        <f t="shared" si="2933"/>
        <v>0</v>
      </c>
      <c r="CZ641" s="6"/>
      <c r="DA641" s="7"/>
      <c r="DB641" s="7"/>
      <c r="DC641" s="7"/>
      <c r="DD641" s="7"/>
      <c r="DE641" s="8">
        <f t="shared" si="2934"/>
        <v>0</v>
      </c>
    </row>
    <row r="642" spans="2:110" ht="14" thickBot="1">
      <c r="C642" s="567"/>
      <c r="E642" s="14" t="s">
        <v>62</v>
      </c>
      <c r="F642" s="23">
        <f t="shared" si="2929"/>
        <v>0</v>
      </c>
      <c r="G642" s="24">
        <f t="shared" si="2920"/>
        <v>0</v>
      </c>
      <c r="H642" s="24">
        <f t="shared" si="2921"/>
        <v>0</v>
      </c>
      <c r="I642" s="24">
        <f t="shared" si="2922"/>
        <v>0</v>
      </c>
      <c r="J642" s="24">
        <f t="shared" si="2923"/>
        <v>0</v>
      </c>
      <c r="K642" s="8">
        <f t="shared" si="2930"/>
        <v>0</v>
      </c>
      <c r="M642" s="6"/>
      <c r="N642" s="7"/>
      <c r="O642" s="7"/>
      <c r="P642" s="7"/>
      <c r="Q642" s="7"/>
      <c r="R642" s="8">
        <f t="shared" si="2931"/>
        <v>0</v>
      </c>
      <c r="T642" s="6"/>
      <c r="U642" s="7"/>
      <c r="V642" s="7"/>
      <c r="W642" s="7"/>
      <c r="X642" s="7"/>
      <c r="Y642" s="8">
        <f t="shared" si="2932"/>
        <v>0</v>
      </c>
      <c r="AA642" s="6"/>
      <c r="AB642" s="7"/>
      <c r="AC642" s="7"/>
      <c r="AD642" s="7"/>
      <c r="AE642" s="7"/>
      <c r="AF642" s="8">
        <f>SUM(AA642:AE642)</f>
        <v>0</v>
      </c>
      <c r="AH642" s="6"/>
      <c r="AI642" s="7"/>
      <c r="AJ642" s="7"/>
      <c r="AK642" s="7"/>
      <c r="AL642" s="7"/>
      <c r="AM642" s="8">
        <f>SUM(AH642:AL642)</f>
        <v>0</v>
      </c>
      <c r="AO642" s="6"/>
      <c r="AP642" s="7"/>
      <c r="AQ642" s="7"/>
      <c r="AR642" s="7"/>
      <c r="AS642" s="7"/>
      <c r="AT642" s="8">
        <f>SUM(AO642:AS642)</f>
        <v>0</v>
      </c>
      <c r="AV642" s="6"/>
      <c r="AW642" s="7"/>
      <c r="AX642" s="7"/>
      <c r="AY642" s="7"/>
      <c r="AZ642" s="7"/>
      <c r="BA642" s="8">
        <f>SUM(AV642:AZ642)</f>
        <v>0</v>
      </c>
      <c r="BC642" s="6"/>
      <c r="BD642" s="7"/>
      <c r="BE642" s="7"/>
      <c r="BF642" s="7"/>
      <c r="BG642" s="7"/>
      <c r="BH642" s="8">
        <f>SUM(BC642:BG642)</f>
        <v>0</v>
      </c>
      <c r="BJ642" s="6"/>
      <c r="BK642" s="7"/>
      <c r="BL642" s="7"/>
      <c r="BM642" s="7"/>
      <c r="BN642" s="7"/>
      <c r="BO642" s="8">
        <f>SUM(BJ642:BN642)</f>
        <v>0</v>
      </c>
      <c r="BQ642" s="6"/>
      <c r="BR642" s="7"/>
      <c r="BS642" s="7"/>
      <c r="BT642" s="7"/>
      <c r="BU642" s="7"/>
      <c r="BV642" s="8">
        <f>SUM(BQ642:BU642)</f>
        <v>0</v>
      </c>
      <c r="BX642" s="6"/>
      <c r="BY642" s="7"/>
      <c r="BZ642" s="7"/>
      <c r="CA642" s="7"/>
      <c r="CB642" s="7"/>
      <c r="CC642" s="8">
        <f>SUM(BX642:CB642)</f>
        <v>0</v>
      </c>
      <c r="CE642" s="493">
        <f t="shared" si="2924"/>
        <v>0</v>
      </c>
      <c r="CF642" s="494">
        <f t="shared" si="2925"/>
        <v>0</v>
      </c>
      <c r="CG642" s="494">
        <f t="shared" si="2926"/>
        <v>0</v>
      </c>
      <c r="CH642" s="494">
        <f t="shared" si="2927"/>
        <v>0</v>
      </c>
      <c r="CI642" s="494">
        <f t="shared" si="2928"/>
        <v>0</v>
      </c>
      <c r="CJ642" s="495">
        <f>SUM(CE642:CI642)</f>
        <v>0</v>
      </c>
      <c r="CL642" s="6"/>
      <c r="CM642" s="7"/>
      <c r="CN642" s="7"/>
      <c r="CO642" s="7"/>
      <c r="CP642" s="7"/>
      <c r="CQ642" s="8">
        <f>SUM(CL642:CP642)</f>
        <v>0</v>
      </c>
      <c r="CS642" s="6"/>
      <c r="CT642" s="7"/>
      <c r="CU642" s="7"/>
      <c r="CV642" s="7"/>
      <c r="CW642" s="7"/>
      <c r="CX642" s="8">
        <f t="shared" si="2933"/>
        <v>0</v>
      </c>
      <c r="CZ642" s="6"/>
      <c r="DA642" s="7"/>
      <c r="DB642" s="7"/>
      <c r="DC642" s="7"/>
      <c r="DD642" s="7"/>
      <c r="DE642" s="8">
        <f t="shared" si="2934"/>
        <v>0</v>
      </c>
    </row>
    <row r="643" spans="2:110" ht="14" thickBot="1">
      <c r="C643" s="554"/>
      <c r="E643" s="9"/>
      <c r="F643" s="10">
        <f>SUM(F639:F642)</f>
        <v>0</v>
      </c>
      <c r="G643" s="11">
        <f t="shared" ref="G643:J643" si="2935">SUM(G639:G642)</f>
        <v>0</v>
      </c>
      <c r="H643" s="11">
        <f t="shared" si="2935"/>
        <v>0</v>
      </c>
      <c r="I643" s="11">
        <f t="shared" si="2935"/>
        <v>0</v>
      </c>
      <c r="J643" s="11">
        <f t="shared" si="2935"/>
        <v>0</v>
      </c>
      <c r="K643" s="25">
        <f>SUM(K639:K642)</f>
        <v>0</v>
      </c>
      <c r="M643" s="10">
        <f>SUM(M639:M642)</f>
        <v>0</v>
      </c>
      <c r="N643" s="11">
        <f t="shared" ref="N643:Q643" si="2936">SUM(N639:N642)</f>
        <v>0</v>
      </c>
      <c r="O643" s="11">
        <f t="shared" si="2936"/>
        <v>0</v>
      </c>
      <c r="P643" s="11">
        <f t="shared" si="2936"/>
        <v>0</v>
      </c>
      <c r="Q643" s="11">
        <f t="shared" si="2936"/>
        <v>0</v>
      </c>
      <c r="R643" s="25">
        <f>SUM(R639:R642)</f>
        <v>0</v>
      </c>
      <c r="T643" s="10">
        <f>SUM(T639:T642)</f>
        <v>0</v>
      </c>
      <c r="U643" s="11">
        <f t="shared" ref="U643:X643" si="2937">SUM(U639:U642)</f>
        <v>0</v>
      </c>
      <c r="V643" s="11">
        <f t="shared" si="2937"/>
        <v>0</v>
      </c>
      <c r="W643" s="11">
        <f t="shared" si="2937"/>
        <v>0</v>
      </c>
      <c r="X643" s="11">
        <f t="shared" si="2937"/>
        <v>0</v>
      </c>
      <c r="Y643" s="25">
        <f>SUM(Y639:Y642)</f>
        <v>0</v>
      </c>
      <c r="AA643" s="10">
        <f>SUM(AA639:AA642)</f>
        <v>0</v>
      </c>
      <c r="AB643" s="11">
        <f t="shared" ref="AB643:AE643" si="2938">SUM(AB639:AB642)</f>
        <v>0</v>
      </c>
      <c r="AC643" s="11">
        <f t="shared" si="2938"/>
        <v>0</v>
      </c>
      <c r="AD643" s="11">
        <f t="shared" si="2938"/>
        <v>0</v>
      </c>
      <c r="AE643" s="11">
        <f t="shared" si="2938"/>
        <v>0</v>
      </c>
      <c r="AF643" s="25">
        <f>SUM(AF639:AF642)</f>
        <v>0</v>
      </c>
      <c r="AH643" s="10">
        <f t="shared" ref="AH643:AM643" si="2939">SUM(AH639:AH642)</f>
        <v>0</v>
      </c>
      <c r="AI643" s="11">
        <f t="shared" si="2939"/>
        <v>0</v>
      </c>
      <c r="AJ643" s="11">
        <f t="shared" si="2939"/>
        <v>0</v>
      </c>
      <c r="AK643" s="11">
        <f t="shared" si="2939"/>
        <v>0</v>
      </c>
      <c r="AL643" s="11">
        <f t="shared" si="2939"/>
        <v>0</v>
      </c>
      <c r="AM643" s="25">
        <f t="shared" si="2939"/>
        <v>0</v>
      </c>
      <c r="AO643" s="10">
        <f t="shared" ref="AO643:AT643" si="2940">SUM(AO639:AO642)</f>
        <v>0</v>
      </c>
      <c r="AP643" s="11">
        <f t="shared" si="2940"/>
        <v>0</v>
      </c>
      <c r="AQ643" s="11">
        <f t="shared" si="2940"/>
        <v>0</v>
      </c>
      <c r="AR643" s="11">
        <f t="shared" si="2940"/>
        <v>0</v>
      </c>
      <c r="AS643" s="11">
        <f t="shared" si="2940"/>
        <v>0</v>
      </c>
      <c r="AT643" s="25">
        <f t="shared" si="2940"/>
        <v>0</v>
      </c>
      <c r="AV643" s="10">
        <f t="shared" ref="AV643:BA643" si="2941">SUM(AV639:AV642)</f>
        <v>0</v>
      </c>
      <c r="AW643" s="11">
        <f t="shared" si="2941"/>
        <v>0</v>
      </c>
      <c r="AX643" s="11">
        <f t="shared" si="2941"/>
        <v>0</v>
      </c>
      <c r="AY643" s="11">
        <f t="shared" si="2941"/>
        <v>0</v>
      </c>
      <c r="AZ643" s="11">
        <f t="shared" si="2941"/>
        <v>0</v>
      </c>
      <c r="BA643" s="25">
        <f t="shared" si="2941"/>
        <v>0</v>
      </c>
      <c r="BC643" s="10">
        <f t="shared" ref="BC643:BH643" si="2942">SUM(BC639:BC642)</f>
        <v>0</v>
      </c>
      <c r="BD643" s="11">
        <f t="shared" si="2942"/>
        <v>0</v>
      </c>
      <c r="BE643" s="11">
        <f t="shared" si="2942"/>
        <v>0</v>
      </c>
      <c r="BF643" s="11">
        <f t="shared" si="2942"/>
        <v>0</v>
      </c>
      <c r="BG643" s="11">
        <f t="shared" si="2942"/>
        <v>0</v>
      </c>
      <c r="BH643" s="25">
        <f t="shared" si="2942"/>
        <v>0</v>
      </c>
      <c r="BJ643" s="10">
        <f t="shared" ref="BJ643:BO643" si="2943">SUM(BJ639:BJ642)</f>
        <v>0</v>
      </c>
      <c r="BK643" s="11">
        <f t="shared" si="2943"/>
        <v>0</v>
      </c>
      <c r="BL643" s="11">
        <f t="shared" si="2943"/>
        <v>0</v>
      </c>
      <c r="BM643" s="11">
        <f t="shared" si="2943"/>
        <v>0</v>
      </c>
      <c r="BN643" s="11">
        <f t="shared" si="2943"/>
        <v>0</v>
      </c>
      <c r="BO643" s="25">
        <f t="shared" si="2943"/>
        <v>0</v>
      </c>
      <c r="BQ643" s="10">
        <f t="shared" ref="BQ643:BV643" si="2944">SUM(BQ639:BQ642)</f>
        <v>0</v>
      </c>
      <c r="BR643" s="11">
        <f t="shared" si="2944"/>
        <v>0</v>
      </c>
      <c r="BS643" s="11">
        <f t="shared" si="2944"/>
        <v>0</v>
      </c>
      <c r="BT643" s="11">
        <f t="shared" si="2944"/>
        <v>0</v>
      </c>
      <c r="BU643" s="11">
        <f t="shared" si="2944"/>
        <v>0</v>
      </c>
      <c r="BV643" s="25">
        <f t="shared" si="2944"/>
        <v>0</v>
      </c>
      <c r="BX643" s="10">
        <f t="shared" ref="BX643:CC643" si="2945">SUM(BX639:BX642)</f>
        <v>0</v>
      </c>
      <c r="BY643" s="11">
        <f t="shared" si="2945"/>
        <v>0</v>
      </c>
      <c r="BZ643" s="11">
        <f t="shared" si="2945"/>
        <v>0</v>
      </c>
      <c r="CA643" s="11">
        <f t="shared" si="2945"/>
        <v>0</v>
      </c>
      <c r="CB643" s="11">
        <f t="shared" si="2945"/>
        <v>0</v>
      </c>
      <c r="CC643" s="25">
        <f t="shared" si="2945"/>
        <v>0</v>
      </c>
      <c r="CE643" s="62">
        <f t="shared" ref="CE643:CJ643" si="2946">SUM(CE639:CE642)</f>
        <v>0</v>
      </c>
      <c r="CF643" s="63">
        <f t="shared" si="2946"/>
        <v>0</v>
      </c>
      <c r="CG643" s="63">
        <f t="shared" si="2946"/>
        <v>0</v>
      </c>
      <c r="CH643" s="63">
        <f t="shared" si="2946"/>
        <v>0</v>
      </c>
      <c r="CI643" s="63">
        <f t="shared" si="2946"/>
        <v>0</v>
      </c>
      <c r="CJ643" s="25">
        <f t="shared" si="2946"/>
        <v>0</v>
      </c>
      <c r="CL643" s="10">
        <f>SUM(CL639:CL642)</f>
        <v>0</v>
      </c>
      <c r="CM643" s="11">
        <f t="shared" ref="CM643:CQ643" si="2947">SUM(CM639:CM642)</f>
        <v>0</v>
      </c>
      <c r="CN643" s="11">
        <f t="shared" si="2947"/>
        <v>0</v>
      </c>
      <c r="CO643" s="11">
        <f t="shared" si="2947"/>
        <v>0</v>
      </c>
      <c r="CP643" s="11">
        <f t="shared" si="2947"/>
        <v>0</v>
      </c>
      <c r="CQ643" s="25">
        <f t="shared" si="2947"/>
        <v>0</v>
      </c>
      <c r="CS643" s="10">
        <f>SUM(CS639:CS642)</f>
        <v>0</v>
      </c>
      <c r="CT643" s="11">
        <f t="shared" ref="CT643:CW643" si="2948">SUM(CT639:CT642)</f>
        <v>0</v>
      </c>
      <c r="CU643" s="11">
        <f t="shared" si="2948"/>
        <v>0</v>
      </c>
      <c r="CV643" s="11">
        <f t="shared" si="2948"/>
        <v>0</v>
      </c>
      <c r="CW643" s="11">
        <f t="shared" si="2948"/>
        <v>0</v>
      </c>
      <c r="CX643" s="25">
        <f>SUM(CX639:CX642)</f>
        <v>0</v>
      </c>
      <c r="CZ643" s="10">
        <f>SUM(CZ639:CZ642)</f>
        <v>0</v>
      </c>
      <c r="DA643" s="11">
        <f t="shared" ref="DA643:DD643" si="2949">SUM(DA639:DA642)</f>
        <v>0</v>
      </c>
      <c r="DB643" s="11">
        <f t="shared" si="2949"/>
        <v>0</v>
      </c>
      <c r="DC643" s="11">
        <f t="shared" si="2949"/>
        <v>0</v>
      </c>
      <c r="DD643" s="11">
        <f t="shared" si="2949"/>
        <v>0</v>
      </c>
      <c r="DE643" s="25">
        <f>SUM(DE639:DE642)</f>
        <v>0</v>
      </c>
    </row>
    <row r="645" spans="2:110">
      <c r="B645" s="123"/>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row>
    <row r="646" spans="2:110" ht="14" thickBot="1">
      <c r="B646" s="94">
        <v>21</v>
      </c>
      <c r="C646" s="12" t="s">
        <v>82</v>
      </c>
    </row>
    <row r="647" spans="2:110">
      <c r="C647" s="553">
        <v>2024</v>
      </c>
      <c r="E647" s="1" t="s">
        <v>59</v>
      </c>
      <c r="F647" s="2"/>
      <c r="G647" s="3"/>
      <c r="H647" s="3"/>
      <c r="I647" s="3"/>
      <c r="J647" s="3"/>
      <c r="K647" s="4">
        <f>SUM(F647:J647)</f>
        <v>0</v>
      </c>
      <c r="M647" s="2"/>
      <c r="N647" s="3"/>
      <c r="O647" s="3"/>
      <c r="P647" s="3"/>
      <c r="Q647" s="3"/>
      <c r="R647" s="4">
        <f>SUM(M647:Q647)</f>
        <v>0</v>
      </c>
      <c r="T647" s="2"/>
      <c r="U647" s="3"/>
      <c r="V647" s="3"/>
      <c r="W647" s="3"/>
      <c r="X647" s="3"/>
      <c r="Y647" s="4">
        <f>SUM(T647:X647)</f>
        <v>0</v>
      </c>
      <c r="AA647" s="2"/>
      <c r="AB647" s="3"/>
      <c r="AC647" s="3"/>
      <c r="AD647" s="3"/>
      <c r="AE647" s="3"/>
      <c r="AF647" s="4">
        <f>SUM(AA647:AE647)</f>
        <v>0</v>
      </c>
      <c r="AH647" s="2"/>
      <c r="AI647" s="3"/>
      <c r="AJ647" s="3"/>
      <c r="AK647" s="3"/>
      <c r="AL647" s="3"/>
      <c r="AM647" s="4">
        <f>SUM(AH647:AL647)</f>
        <v>0</v>
      </c>
      <c r="AO647" s="2"/>
      <c r="AP647" s="3"/>
      <c r="AQ647" s="3"/>
      <c r="AR647" s="3"/>
      <c r="AS647" s="3"/>
      <c r="AT647" s="4">
        <f>SUM(AO647:AS647)</f>
        <v>0</v>
      </c>
      <c r="AV647" s="2"/>
      <c r="AW647" s="3"/>
      <c r="AX647" s="3"/>
      <c r="AY647" s="3"/>
      <c r="AZ647" s="3"/>
      <c r="BA647" s="4">
        <f>SUM(AV647:AZ647)</f>
        <v>0</v>
      </c>
      <c r="BC647" s="2"/>
      <c r="BD647" s="3"/>
      <c r="BE647" s="3"/>
      <c r="BF647" s="3"/>
      <c r="BG647" s="3"/>
      <c r="BH647" s="4">
        <f>SUM(BC647:BG647)</f>
        <v>0</v>
      </c>
      <c r="BJ647" s="2"/>
      <c r="BK647" s="3"/>
      <c r="BL647" s="3"/>
      <c r="BM647" s="3"/>
      <c r="BN647" s="3"/>
      <c r="BO647" s="4">
        <f>SUM(BJ647:BN647)</f>
        <v>0</v>
      </c>
      <c r="BQ647" s="2"/>
      <c r="BR647" s="3"/>
      <c r="BS647" s="3"/>
      <c r="BT647" s="3"/>
      <c r="BU647" s="3"/>
      <c r="BV647" s="4">
        <f>SUM(BQ647:BU647)</f>
        <v>0</v>
      </c>
      <c r="BX647" s="2"/>
      <c r="BY647" s="3"/>
      <c r="BZ647" s="3"/>
      <c r="CA647" s="3"/>
      <c r="CB647" s="3"/>
      <c r="CC647" s="4">
        <f>SUM(BX647:CB647)</f>
        <v>0</v>
      </c>
      <c r="CE647" s="26">
        <f t="shared" ref="CE647:CE650" si="2950">F647+M647+T647+AA647+AH647+AO647+AV647+BC647+BJ647+BQ647+BX647</f>
        <v>0</v>
      </c>
      <c r="CF647" s="27">
        <f t="shared" ref="CF647:CF650" si="2951">G647+N647+U647+AB647+AI647+AP647+AW647+BD647+BK647+BR647+BY647</f>
        <v>0</v>
      </c>
      <c r="CG647" s="27">
        <f t="shared" ref="CG647:CG650" si="2952">H647+O647+V647+AC647+AJ647+AQ647+AX647+BE647+BL647+BS647+BZ647</f>
        <v>0</v>
      </c>
      <c r="CH647" s="27">
        <f t="shared" ref="CH647:CH650" si="2953">I647+P647+W647+AD647+AK647+AR647+AY647+BF647+BM647+BT647+CA647</f>
        <v>0</v>
      </c>
      <c r="CI647" s="27">
        <f t="shared" ref="CI647:CI650" si="2954">J647+Q647+X647+AE647+AL647+AS647+AZ647+BG647+BN647+BU647+CB647</f>
        <v>0</v>
      </c>
      <c r="CJ647" s="4">
        <f>SUM(CE647:CI647)</f>
        <v>0</v>
      </c>
      <c r="CL647" s="2"/>
      <c r="CM647" s="3"/>
      <c r="CN647" s="3"/>
      <c r="CO647" s="3"/>
      <c r="CP647" s="3"/>
      <c r="CQ647" s="4">
        <f>SUM(CL647:CP647)</f>
        <v>0</v>
      </c>
      <c r="CS647" s="2"/>
      <c r="CT647" s="3"/>
      <c r="CU647" s="3"/>
      <c r="CV647" s="3"/>
      <c r="CW647" s="3"/>
      <c r="CX647" s="4">
        <f>SUM(CS647:CW647)</f>
        <v>0</v>
      </c>
      <c r="CZ647" s="2"/>
      <c r="DA647" s="3"/>
      <c r="DB647" s="3"/>
      <c r="DC647" s="3"/>
      <c r="DD647" s="3"/>
      <c r="DE647" s="4">
        <f>SUM(CZ647:DD647)</f>
        <v>0</v>
      </c>
    </row>
    <row r="648" spans="2:110">
      <c r="C648" s="567"/>
      <c r="E648" s="5" t="s">
        <v>60</v>
      </c>
      <c r="F648" s="6"/>
      <c r="G648" s="7"/>
      <c r="H648" s="7"/>
      <c r="I648" s="7"/>
      <c r="J648" s="7"/>
      <c r="K648" s="8">
        <f t="shared" ref="K648:K650" si="2955">SUM(F648:J648)</f>
        <v>0</v>
      </c>
      <c r="M648" s="6"/>
      <c r="N648" s="7"/>
      <c r="O648" s="7"/>
      <c r="P648" s="7"/>
      <c r="Q648" s="7"/>
      <c r="R648" s="8">
        <f t="shared" ref="R648:R650" si="2956">SUM(M648:Q648)</f>
        <v>0</v>
      </c>
      <c r="T648" s="6"/>
      <c r="U648" s="7"/>
      <c r="V648" s="7"/>
      <c r="W648" s="7"/>
      <c r="X648" s="7"/>
      <c r="Y648" s="8">
        <f t="shared" ref="Y648:Y650" si="2957">SUM(T648:X648)</f>
        <v>0</v>
      </c>
      <c r="AA648" s="6"/>
      <c r="AB648" s="7"/>
      <c r="AC648" s="7"/>
      <c r="AD648" s="7"/>
      <c r="AE648" s="7"/>
      <c r="AF648" s="8">
        <f>SUM(AA648:AE648)</f>
        <v>0</v>
      </c>
      <c r="AH648" s="6"/>
      <c r="AI648" s="7"/>
      <c r="AJ648" s="7"/>
      <c r="AK648" s="7"/>
      <c r="AL648" s="7"/>
      <c r="AM648" s="8">
        <f>SUM(AH648:AL648)</f>
        <v>0</v>
      </c>
      <c r="AO648" s="6"/>
      <c r="AP648" s="7"/>
      <c r="AQ648" s="7"/>
      <c r="AR648" s="7"/>
      <c r="AS648" s="7"/>
      <c r="AT648" s="8">
        <f>SUM(AO648:AS648)</f>
        <v>0</v>
      </c>
      <c r="AV648" s="6"/>
      <c r="AW648" s="7"/>
      <c r="AX648" s="7"/>
      <c r="AY648" s="7"/>
      <c r="AZ648" s="7"/>
      <c r="BA648" s="8">
        <f>SUM(AV648:AZ648)</f>
        <v>0</v>
      </c>
      <c r="BC648" s="6"/>
      <c r="BD648" s="7"/>
      <c r="BE648" s="7"/>
      <c r="BF648" s="7"/>
      <c r="BG648" s="7"/>
      <c r="BH648" s="8">
        <f>SUM(BC648:BG648)</f>
        <v>0</v>
      </c>
      <c r="BJ648" s="6"/>
      <c r="BK648" s="7"/>
      <c r="BL648" s="7"/>
      <c r="BM648" s="7"/>
      <c r="BN648" s="7"/>
      <c r="BO648" s="8">
        <f>SUM(BJ648:BN648)</f>
        <v>0</v>
      </c>
      <c r="BQ648" s="6"/>
      <c r="BR648" s="7"/>
      <c r="BS648" s="7"/>
      <c r="BT648" s="7"/>
      <c r="BU648" s="7"/>
      <c r="BV648" s="8">
        <f>SUM(BQ648:BU648)</f>
        <v>0</v>
      </c>
      <c r="BX648" s="6"/>
      <c r="BY648" s="7"/>
      <c r="BZ648" s="7"/>
      <c r="CA648" s="7"/>
      <c r="CB648" s="7"/>
      <c r="CC648" s="8">
        <f>SUM(BX648:CB648)</f>
        <v>0</v>
      </c>
      <c r="CE648" s="28">
        <f t="shared" si="2950"/>
        <v>0</v>
      </c>
      <c r="CF648" s="29">
        <f t="shared" si="2951"/>
        <v>0</v>
      </c>
      <c r="CG648" s="29">
        <f t="shared" si="2952"/>
        <v>0</v>
      </c>
      <c r="CH648" s="29">
        <f t="shared" si="2953"/>
        <v>0</v>
      </c>
      <c r="CI648" s="29">
        <f t="shared" si="2954"/>
        <v>0</v>
      </c>
      <c r="CJ648" s="8">
        <f>SUM(CE648:CI648)</f>
        <v>0</v>
      </c>
      <c r="CL648" s="6"/>
      <c r="CM648" s="7"/>
      <c r="CN648" s="7"/>
      <c r="CO648" s="7"/>
      <c r="CP648" s="7"/>
      <c r="CQ648" s="8">
        <f>SUM(CL648:CP648)</f>
        <v>0</v>
      </c>
      <c r="CS648" s="6"/>
      <c r="CT648" s="7"/>
      <c r="CU648" s="7"/>
      <c r="CV648" s="7"/>
      <c r="CW648" s="7"/>
      <c r="CX648" s="8">
        <f t="shared" ref="CX648:CX650" si="2958">SUM(CS648:CW648)</f>
        <v>0</v>
      </c>
      <c r="CZ648" s="6"/>
      <c r="DA648" s="7"/>
      <c r="DB648" s="7"/>
      <c r="DC648" s="7"/>
      <c r="DD648" s="7"/>
      <c r="DE648" s="8">
        <f t="shared" ref="DE648:DE650" si="2959">SUM(CZ648:DD648)</f>
        <v>0</v>
      </c>
    </row>
    <row r="649" spans="2:110">
      <c r="C649" s="567"/>
      <c r="E649" s="5" t="s">
        <v>61</v>
      </c>
      <c r="F649" s="6"/>
      <c r="G649" s="7"/>
      <c r="H649" s="7"/>
      <c r="I649" s="7"/>
      <c r="J649" s="7"/>
      <c r="K649" s="8">
        <f t="shared" si="2955"/>
        <v>0</v>
      </c>
      <c r="M649" s="6"/>
      <c r="N649" s="7"/>
      <c r="O649" s="7"/>
      <c r="P649" s="7"/>
      <c r="Q649" s="7"/>
      <c r="R649" s="8">
        <f t="shared" si="2956"/>
        <v>0</v>
      </c>
      <c r="T649" s="6"/>
      <c r="U649" s="7"/>
      <c r="V649" s="7"/>
      <c r="W649" s="7"/>
      <c r="X649" s="7"/>
      <c r="Y649" s="8">
        <f t="shared" si="2957"/>
        <v>0</v>
      </c>
      <c r="AA649" s="6"/>
      <c r="AB649" s="7"/>
      <c r="AC649" s="7"/>
      <c r="AD649" s="7"/>
      <c r="AE649" s="7"/>
      <c r="AF649" s="8">
        <f>SUM(AA649:AE649)</f>
        <v>0</v>
      </c>
      <c r="AH649" s="6"/>
      <c r="AI649" s="7"/>
      <c r="AJ649" s="7"/>
      <c r="AK649" s="7"/>
      <c r="AL649" s="7"/>
      <c r="AM649" s="8">
        <f>SUM(AH649:AL649)</f>
        <v>0</v>
      </c>
      <c r="AO649" s="6"/>
      <c r="AP649" s="7"/>
      <c r="AQ649" s="7"/>
      <c r="AR649" s="7"/>
      <c r="AS649" s="7"/>
      <c r="AT649" s="8">
        <f>SUM(AO649:AS649)</f>
        <v>0</v>
      </c>
      <c r="AV649" s="6"/>
      <c r="AW649" s="7"/>
      <c r="AX649" s="7"/>
      <c r="AY649" s="7"/>
      <c r="AZ649" s="7"/>
      <c r="BA649" s="8">
        <f>SUM(AV649:AZ649)</f>
        <v>0</v>
      </c>
      <c r="BC649" s="6"/>
      <c r="BD649" s="7"/>
      <c r="BE649" s="7"/>
      <c r="BF649" s="7"/>
      <c r="BG649" s="7"/>
      <c r="BH649" s="8">
        <f>SUM(BC649:BG649)</f>
        <v>0</v>
      </c>
      <c r="BJ649" s="6"/>
      <c r="BK649" s="7"/>
      <c r="BL649" s="7"/>
      <c r="BM649" s="7"/>
      <c r="BN649" s="7"/>
      <c r="BO649" s="8">
        <f>SUM(BJ649:BN649)</f>
        <v>0</v>
      </c>
      <c r="BQ649" s="6"/>
      <c r="BR649" s="7"/>
      <c r="BS649" s="7"/>
      <c r="BT649" s="7"/>
      <c r="BU649" s="7"/>
      <c r="BV649" s="8">
        <f>SUM(BQ649:BU649)</f>
        <v>0</v>
      </c>
      <c r="BX649" s="6"/>
      <c r="BY649" s="7"/>
      <c r="BZ649" s="7"/>
      <c r="CA649" s="7"/>
      <c r="CB649" s="7"/>
      <c r="CC649" s="8">
        <f>SUM(BX649:CB649)</f>
        <v>0</v>
      </c>
      <c r="CE649" s="28">
        <f t="shared" si="2950"/>
        <v>0</v>
      </c>
      <c r="CF649" s="29">
        <f t="shared" si="2951"/>
        <v>0</v>
      </c>
      <c r="CG649" s="29">
        <f t="shared" si="2952"/>
        <v>0</v>
      </c>
      <c r="CH649" s="29">
        <f t="shared" si="2953"/>
        <v>0</v>
      </c>
      <c r="CI649" s="29">
        <f t="shared" si="2954"/>
        <v>0</v>
      </c>
      <c r="CJ649" s="8">
        <f>SUM(CE649:CI649)</f>
        <v>0</v>
      </c>
      <c r="CL649" s="6"/>
      <c r="CM649" s="7"/>
      <c r="CN649" s="7"/>
      <c r="CO649" s="7"/>
      <c r="CP649" s="7"/>
      <c r="CQ649" s="8">
        <f>SUM(CL649:CP649)</f>
        <v>0</v>
      </c>
      <c r="CS649" s="6"/>
      <c r="CT649" s="7"/>
      <c r="CU649" s="7"/>
      <c r="CV649" s="7"/>
      <c r="CW649" s="7"/>
      <c r="CX649" s="8">
        <f t="shared" si="2958"/>
        <v>0</v>
      </c>
      <c r="CZ649" s="6"/>
      <c r="DA649" s="7"/>
      <c r="DB649" s="7"/>
      <c r="DC649" s="7"/>
      <c r="DD649" s="7"/>
      <c r="DE649" s="8">
        <f t="shared" si="2959"/>
        <v>0</v>
      </c>
    </row>
    <row r="650" spans="2:110" ht="14" thickBot="1">
      <c r="C650" s="567"/>
      <c r="E650" s="5" t="s">
        <v>62</v>
      </c>
      <c r="F650" s="6"/>
      <c r="G650" s="7"/>
      <c r="H650" s="7"/>
      <c r="I650" s="7"/>
      <c r="J650" s="7"/>
      <c r="K650" s="8">
        <f t="shared" si="2955"/>
        <v>0</v>
      </c>
      <c r="M650" s="6"/>
      <c r="N650" s="7"/>
      <c r="O650" s="7"/>
      <c r="P650" s="7"/>
      <c r="Q650" s="7"/>
      <c r="R650" s="8">
        <f t="shared" si="2956"/>
        <v>0</v>
      </c>
      <c r="T650" s="6"/>
      <c r="U650" s="7"/>
      <c r="V650" s="7"/>
      <c r="W650" s="7"/>
      <c r="X650" s="7"/>
      <c r="Y650" s="8">
        <f t="shared" si="2957"/>
        <v>0</v>
      </c>
      <c r="AA650" s="6"/>
      <c r="AB650" s="7"/>
      <c r="AC650" s="7"/>
      <c r="AD650" s="7"/>
      <c r="AE650" s="7"/>
      <c r="AF650" s="8">
        <f>SUM(AA650:AE650)</f>
        <v>0</v>
      </c>
      <c r="AH650" s="6"/>
      <c r="AI650" s="7"/>
      <c r="AJ650" s="7"/>
      <c r="AK650" s="7"/>
      <c r="AL650" s="7"/>
      <c r="AM650" s="8">
        <f>SUM(AH650:AL650)</f>
        <v>0</v>
      </c>
      <c r="AO650" s="6"/>
      <c r="AP650" s="7"/>
      <c r="AQ650" s="7"/>
      <c r="AR650" s="7"/>
      <c r="AS650" s="7"/>
      <c r="AT650" s="8">
        <f>SUM(AO650:AS650)</f>
        <v>0</v>
      </c>
      <c r="AV650" s="6"/>
      <c r="AW650" s="7"/>
      <c r="AX650" s="7"/>
      <c r="AY650" s="7"/>
      <c r="AZ650" s="7"/>
      <c r="BA650" s="8">
        <f>SUM(AV650:AZ650)</f>
        <v>0</v>
      </c>
      <c r="BC650" s="6"/>
      <c r="BD650" s="7"/>
      <c r="BE650" s="7"/>
      <c r="BF650" s="7"/>
      <c r="BG650" s="7"/>
      <c r="BH650" s="8">
        <f>SUM(BC650:BG650)</f>
        <v>0</v>
      </c>
      <c r="BJ650" s="6"/>
      <c r="BK650" s="7"/>
      <c r="BL650" s="7"/>
      <c r="BM650" s="7"/>
      <c r="BN650" s="7"/>
      <c r="BO650" s="8">
        <f>SUM(BJ650:BN650)</f>
        <v>0</v>
      </c>
      <c r="BQ650" s="6"/>
      <c r="BR650" s="7"/>
      <c r="BS650" s="7"/>
      <c r="BT650" s="7"/>
      <c r="BU650" s="7"/>
      <c r="BV650" s="8">
        <f>SUM(BQ650:BU650)</f>
        <v>0</v>
      </c>
      <c r="BX650" s="6"/>
      <c r="BY650" s="7"/>
      <c r="BZ650" s="7"/>
      <c r="CA650" s="7"/>
      <c r="CB650" s="7"/>
      <c r="CC650" s="8">
        <f>SUM(BX650:CB650)</f>
        <v>0</v>
      </c>
      <c r="CE650" s="493">
        <f t="shared" si="2950"/>
        <v>0</v>
      </c>
      <c r="CF650" s="494">
        <f t="shared" si="2951"/>
        <v>0</v>
      </c>
      <c r="CG650" s="494">
        <f t="shared" si="2952"/>
        <v>0</v>
      </c>
      <c r="CH650" s="494">
        <f t="shared" si="2953"/>
        <v>0</v>
      </c>
      <c r="CI650" s="494">
        <f t="shared" si="2954"/>
        <v>0</v>
      </c>
      <c r="CJ650" s="495">
        <f>SUM(CE650:CI650)</f>
        <v>0</v>
      </c>
      <c r="CL650" s="6"/>
      <c r="CM650" s="7"/>
      <c r="CN650" s="7"/>
      <c r="CO650" s="7"/>
      <c r="CP650" s="7"/>
      <c r="CQ650" s="8">
        <f>SUM(CL650:CP650)</f>
        <v>0</v>
      </c>
      <c r="CS650" s="6"/>
      <c r="CT650" s="7"/>
      <c r="CU650" s="7"/>
      <c r="CV650" s="7"/>
      <c r="CW650" s="7"/>
      <c r="CX650" s="8">
        <f t="shared" si="2958"/>
        <v>0</v>
      </c>
      <c r="CZ650" s="6"/>
      <c r="DA650" s="7"/>
      <c r="DB650" s="7"/>
      <c r="DC650" s="7"/>
      <c r="DD650" s="7"/>
      <c r="DE650" s="8">
        <f t="shared" si="2959"/>
        <v>0</v>
      </c>
    </row>
    <row r="651" spans="2:110" ht="14" thickBot="1">
      <c r="C651" s="554"/>
      <c r="E651" s="9"/>
      <c r="F651" s="10">
        <f>SUM(F647:F650)</f>
        <v>0</v>
      </c>
      <c r="G651" s="11">
        <f t="shared" ref="G651:J651" si="2960">SUM(G647:G650)</f>
        <v>0</v>
      </c>
      <c r="H651" s="11">
        <f t="shared" si="2960"/>
        <v>0</v>
      </c>
      <c r="I651" s="11">
        <f t="shared" si="2960"/>
        <v>0</v>
      </c>
      <c r="J651" s="61">
        <f t="shared" si="2960"/>
        <v>0</v>
      </c>
      <c r="K651" s="25">
        <f>SUM(K647:K650)</f>
        <v>0</v>
      </c>
      <c r="M651" s="10">
        <f>SUM(M647:M650)</f>
        <v>0</v>
      </c>
      <c r="N651" s="11">
        <f t="shared" ref="N651:Q651" si="2961">SUM(N647:N650)</f>
        <v>0</v>
      </c>
      <c r="O651" s="11">
        <f t="shared" si="2961"/>
        <v>0</v>
      </c>
      <c r="P651" s="11">
        <f t="shared" si="2961"/>
        <v>0</v>
      </c>
      <c r="Q651" s="11">
        <f t="shared" si="2961"/>
        <v>0</v>
      </c>
      <c r="R651" s="25">
        <f>SUM(R647:R650)</f>
        <v>0</v>
      </c>
      <c r="T651" s="10">
        <f>SUM(T647:T650)</f>
        <v>0</v>
      </c>
      <c r="U651" s="11">
        <f t="shared" ref="U651:X651" si="2962">SUM(U647:U650)</f>
        <v>0</v>
      </c>
      <c r="V651" s="11">
        <f t="shared" si="2962"/>
        <v>0</v>
      </c>
      <c r="W651" s="11">
        <f t="shared" si="2962"/>
        <v>0</v>
      </c>
      <c r="X651" s="11">
        <f t="shared" si="2962"/>
        <v>0</v>
      </c>
      <c r="Y651" s="25">
        <f>SUM(Y647:Y650)</f>
        <v>0</v>
      </c>
      <c r="AA651" s="10">
        <f>SUM(AA647:AA650)</f>
        <v>0</v>
      </c>
      <c r="AB651" s="11">
        <f t="shared" ref="AB651:AE651" si="2963">SUM(AB647:AB650)</f>
        <v>0</v>
      </c>
      <c r="AC651" s="11">
        <f t="shared" si="2963"/>
        <v>0</v>
      </c>
      <c r="AD651" s="11">
        <f t="shared" si="2963"/>
        <v>0</v>
      </c>
      <c r="AE651" s="11">
        <f t="shared" si="2963"/>
        <v>0</v>
      </c>
      <c r="AF651" s="25">
        <f>SUM(AF647:AF650)</f>
        <v>0</v>
      </c>
      <c r="AH651" s="10">
        <f t="shared" ref="AH651:AM651" si="2964">SUM(AH647:AH650)</f>
        <v>0</v>
      </c>
      <c r="AI651" s="11">
        <f t="shared" si="2964"/>
        <v>0</v>
      </c>
      <c r="AJ651" s="11">
        <f t="shared" si="2964"/>
        <v>0</v>
      </c>
      <c r="AK651" s="11">
        <f t="shared" si="2964"/>
        <v>0</v>
      </c>
      <c r="AL651" s="11">
        <f t="shared" si="2964"/>
        <v>0</v>
      </c>
      <c r="AM651" s="25">
        <f t="shared" si="2964"/>
        <v>0</v>
      </c>
      <c r="AO651" s="10">
        <f t="shared" ref="AO651:AT651" si="2965">SUM(AO647:AO650)</f>
        <v>0</v>
      </c>
      <c r="AP651" s="11">
        <f t="shared" si="2965"/>
        <v>0</v>
      </c>
      <c r="AQ651" s="11">
        <f t="shared" si="2965"/>
        <v>0</v>
      </c>
      <c r="AR651" s="11">
        <f t="shared" si="2965"/>
        <v>0</v>
      </c>
      <c r="AS651" s="11">
        <f t="shared" si="2965"/>
        <v>0</v>
      </c>
      <c r="AT651" s="25">
        <f t="shared" si="2965"/>
        <v>0</v>
      </c>
      <c r="AV651" s="10">
        <f t="shared" ref="AV651:BA651" si="2966">SUM(AV647:AV650)</f>
        <v>0</v>
      </c>
      <c r="AW651" s="11">
        <f t="shared" si="2966"/>
        <v>0</v>
      </c>
      <c r="AX651" s="11">
        <f t="shared" si="2966"/>
        <v>0</v>
      </c>
      <c r="AY651" s="11">
        <f t="shared" si="2966"/>
        <v>0</v>
      </c>
      <c r="AZ651" s="11">
        <f t="shared" si="2966"/>
        <v>0</v>
      </c>
      <c r="BA651" s="25">
        <f t="shared" si="2966"/>
        <v>0</v>
      </c>
      <c r="BC651" s="10">
        <f t="shared" ref="BC651:BH651" si="2967">SUM(BC647:BC650)</f>
        <v>0</v>
      </c>
      <c r="BD651" s="11">
        <f t="shared" si="2967"/>
        <v>0</v>
      </c>
      <c r="BE651" s="11">
        <f t="shared" si="2967"/>
        <v>0</v>
      </c>
      <c r="BF651" s="11">
        <f t="shared" si="2967"/>
        <v>0</v>
      </c>
      <c r="BG651" s="11">
        <f t="shared" si="2967"/>
        <v>0</v>
      </c>
      <c r="BH651" s="25">
        <f t="shared" si="2967"/>
        <v>0</v>
      </c>
      <c r="BJ651" s="10">
        <f t="shared" ref="BJ651:BO651" si="2968">SUM(BJ647:BJ650)</f>
        <v>0</v>
      </c>
      <c r="BK651" s="11">
        <f t="shared" si="2968"/>
        <v>0</v>
      </c>
      <c r="BL651" s="11">
        <f t="shared" si="2968"/>
        <v>0</v>
      </c>
      <c r="BM651" s="11">
        <f t="shared" si="2968"/>
        <v>0</v>
      </c>
      <c r="BN651" s="11">
        <f t="shared" si="2968"/>
        <v>0</v>
      </c>
      <c r="BO651" s="25">
        <f t="shared" si="2968"/>
        <v>0</v>
      </c>
      <c r="BQ651" s="10">
        <f t="shared" ref="BQ651:BV651" si="2969">SUM(BQ647:BQ650)</f>
        <v>0</v>
      </c>
      <c r="BR651" s="11">
        <f t="shared" si="2969"/>
        <v>0</v>
      </c>
      <c r="BS651" s="11">
        <f t="shared" si="2969"/>
        <v>0</v>
      </c>
      <c r="BT651" s="11">
        <f t="shared" si="2969"/>
        <v>0</v>
      </c>
      <c r="BU651" s="11">
        <f t="shared" si="2969"/>
        <v>0</v>
      </c>
      <c r="BV651" s="25">
        <f t="shared" si="2969"/>
        <v>0</v>
      </c>
      <c r="BX651" s="10">
        <f t="shared" ref="BX651:CC651" si="2970">SUM(BX647:BX650)</f>
        <v>0</v>
      </c>
      <c r="BY651" s="11">
        <f t="shared" si="2970"/>
        <v>0</v>
      </c>
      <c r="BZ651" s="11">
        <f t="shared" si="2970"/>
        <v>0</v>
      </c>
      <c r="CA651" s="11">
        <f t="shared" si="2970"/>
        <v>0</v>
      </c>
      <c r="CB651" s="11">
        <f t="shared" si="2970"/>
        <v>0</v>
      </c>
      <c r="CC651" s="25">
        <f t="shared" si="2970"/>
        <v>0</v>
      </c>
      <c r="CE651" s="62">
        <f t="shared" ref="CE651:CJ651" si="2971">SUM(CE647:CE650)</f>
        <v>0</v>
      </c>
      <c r="CF651" s="63">
        <f t="shared" si="2971"/>
        <v>0</v>
      </c>
      <c r="CG651" s="63">
        <f t="shared" si="2971"/>
        <v>0</v>
      </c>
      <c r="CH651" s="63">
        <f t="shared" si="2971"/>
        <v>0</v>
      </c>
      <c r="CI651" s="63">
        <f t="shared" si="2971"/>
        <v>0</v>
      </c>
      <c r="CJ651" s="25">
        <f t="shared" si="2971"/>
        <v>0</v>
      </c>
      <c r="CL651" s="10">
        <f>SUM(CL647:CL650)</f>
        <v>0</v>
      </c>
      <c r="CM651" s="11">
        <f t="shared" ref="CM651:CQ651" si="2972">SUM(CM647:CM650)</f>
        <v>0</v>
      </c>
      <c r="CN651" s="11">
        <f t="shared" si="2972"/>
        <v>0</v>
      </c>
      <c r="CO651" s="11">
        <f t="shared" si="2972"/>
        <v>0</v>
      </c>
      <c r="CP651" s="11">
        <f t="shared" si="2972"/>
        <v>0</v>
      </c>
      <c r="CQ651" s="25">
        <f t="shared" si="2972"/>
        <v>0</v>
      </c>
      <c r="CS651" s="10">
        <f>SUM(CS647:CS650)</f>
        <v>0</v>
      </c>
      <c r="CT651" s="11">
        <f t="shared" ref="CT651:CW651" si="2973">SUM(CT647:CT650)</f>
        <v>0</v>
      </c>
      <c r="CU651" s="11">
        <f t="shared" si="2973"/>
        <v>0</v>
      </c>
      <c r="CV651" s="11">
        <f t="shared" si="2973"/>
        <v>0</v>
      </c>
      <c r="CW651" s="11">
        <f t="shared" si="2973"/>
        <v>0</v>
      </c>
      <c r="CX651" s="25">
        <f>SUM(CX647:CX650)</f>
        <v>0</v>
      </c>
      <c r="CZ651" s="10">
        <f>SUM(CZ647:CZ650)</f>
        <v>0</v>
      </c>
      <c r="DA651" s="11">
        <f t="shared" ref="DA651:DD651" si="2974">SUM(DA647:DA650)</f>
        <v>0</v>
      </c>
      <c r="DB651" s="11">
        <f t="shared" si="2974"/>
        <v>0</v>
      </c>
      <c r="DC651" s="11">
        <f t="shared" si="2974"/>
        <v>0</v>
      </c>
      <c r="DD651" s="11">
        <f t="shared" si="2974"/>
        <v>0</v>
      </c>
      <c r="DE651" s="25">
        <f>SUM(DE647:DE650)</f>
        <v>0</v>
      </c>
    </row>
    <row r="652" spans="2:110" ht="10.4" customHeight="1" thickBot="1"/>
    <row r="653" spans="2:110">
      <c r="C653" s="553">
        <v>2025</v>
      </c>
      <c r="E653" s="13" t="s">
        <v>59</v>
      </c>
      <c r="F653" s="21">
        <f>CE647</f>
        <v>0</v>
      </c>
      <c r="G653" s="22">
        <f t="shared" ref="G653:G656" si="2975">CF647</f>
        <v>0</v>
      </c>
      <c r="H653" s="22">
        <f t="shared" ref="H653:H656" si="2976">CG647</f>
        <v>0</v>
      </c>
      <c r="I653" s="22">
        <f t="shared" ref="I653:I656" si="2977">CH647</f>
        <v>0</v>
      </c>
      <c r="J653" s="22">
        <f t="shared" ref="J653:J656" si="2978">CI647</f>
        <v>0</v>
      </c>
      <c r="K653" s="15">
        <f>SUM(F653:J653)</f>
        <v>0</v>
      </c>
      <c r="M653" s="2"/>
      <c r="N653" s="3"/>
      <c r="O653" s="3"/>
      <c r="P653" s="3"/>
      <c r="Q653" s="3"/>
      <c r="R653" s="15">
        <f>SUM(M653:Q653)</f>
        <v>0</v>
      </c>
      <c r="T653" s="2"/>
      <c r="U653" s="3"/>
      <c r="V653" s="3"/>
      <c r="W653" s="3"/>
      <c r="X653" s="3"/>
      <c r="Y653" s="15">
        <f>SUM(T653:X653)</f>
        <v>0</v>
      </c>
      <c r="AA653" s="2"/>
      <c r="AB653" s="3"/>
      <c r="AC653" s="3"/>
      <c r="AD653" s="3"/>
      <c r="AE653" s="3"/>
      <c r="AF653" s="15">
        <f>SUM(AA653:AE653)</f>
        <v>0</v>
      </c>
      <c r="AH653" s="2"/>
      <c r="AI653" s="3"/>
      <c r="AJ653" s="3"/>
      <c r="AK653" s="3"/>
      <c r="AL653" s="3"/>
      <c r="AM653" s="15">
        <f>SUM(AH653:AL653)</f>
        <v>0</v>
      </c>
      <c r="AO653" s="2"/>
      <c r="AP653" s="3"/>
      <c r="AQ653" s="3"/>
      <c r="AR653" s="3"/>
      <c r="AS653" s="3"/>
      <c r="AT653" s="15">
        <f>SUM(AO653:AS653)</f>
        <v>0</v>
      </c>
      <c r="AV653" s="2"/>
      <c r="AW653" s="3"/>
      <c r="AX653" s="3"/>
      <c r="AY653" s="3"/>
      <c r="AZ653" s="3"/>
      <c r="BA653" s="15">
        <f>SUM(AV653:AZ653)</f>
        <v>0</v>
      </c>
      <c r="BC653" s="2"/>
      <c r="BD653" s="3"/>
      <c r="BE653" s="3"/>
      <c r="BF653" s="3"/>
      <c r="BG653" s="3"/>
      <c r="BH653" s="15">
        <f>SUM(BC653:BG653)</f>
        <v>0</v>
      </c>
      <c r="BJ653" s="2"/>
      <c r="BK653" s="3"/>
      <c r="BL653" s="3"/>
      <c r="BM653" s="3"/>
      <c r="BN653" s="3"/>
      <c r="BO653" s="15">
        <f>SUM(BJ653:BN653)</f>
        <v>0</v>
      </c>
      <c r="BQ653" s="2"/>
      <c r="BR653" s="3"/>
      <c r="BS653" s="3"/>
      <c r="BT653" s="3"/>
      <c r="BU653" s="3"/>
      <c r="BV653" s="15">
        <f>SUM(BQ653:BU653)</f>
        <v>0</v>
      </c>
      <c r="BX653" s="2"/>
      <c r="BY653" s="3"/>
      <c r="BZ653" s="3"/>
      <c r="CA653" s="3"/>
      <c r="CB653" s="3"/>
      <c r="CC653" s="15">
        <f>SUM(BX653:CB653)</f>
        <v>0</v>
      </c>
      <c r="CE653" s="26">
        <f t="shared" ref="CE653:CE656" si="2979">F653+M653+T653+AA653+AH653+AO653+AV653+BC653+BJ653+BQ653+BX653</f>
        <v>0</v>
      </c>
      <c r="CF653" s="27">
        <f t="shared" ref="CF653:CF656" si="2980">G653+N653+U653+AB653+AI653+AP653+AW653+BD653+BK653+BR653+BY653</f>
        <v>0</v>
      </c>
      <c r="CG653" s="27">
        <f t="shared" ref="CG653:CG656" si="2981">H653+O653+V653+AC653+AJ653+AQ653+AX653+BE653+BL653+BS653+BZ653</f>
        <v>0</v>
      </c>
      <c r="CH653" s="27">
        <f t="shared" ref="CH653:CH656" si="2982">I653+P653+W653+AD653+AK653+AR653+AY653+BF653+BM653+BT653+CA653</f>
        <v>0</v>
      </c>
      <c r="CI653" s="27">
        <f t="shared" ref="CI653:CI656" si="2983">J653+Q653+X653+AE653+AL653+AS653+AZ653+BG653+BN653+BU653+CB653</f>
        <v>0</v>
      </c>
      <c r="CJ653" s="4">
        <f>SUM(CE653:CI653)</f>
        <v>0</v>
      </c>
      <c r="CL653" s="2"/>
      <c r="CM653" s="3"/>
      <c r="CN653" s="3"/>
      <c r="CO653" s="3"/>
      <c r="CP653" s="3"/>
      <c r="CQ653" s="15">
        <f>SUM(CL653:CP653)</f>
        <v>0</v>
      </c>
      <c r="CS653" s="2"/>
      <c r="CT653" s="3"/>
      <c r="CU653" s="3"/>
      <c r="CV653" s="3"/>
      <c r="CW653" s="3"/>
      <c r="CX653" s="4">
        <f>SUM(CS653:CW653)</f>
        <v>0</v>
      </c>
      <c r="CZ653" s="2"/>
      <c r="DA653" s="3"/>
      <c r="DB653" s="3"/>
      <c r="DC653" s="3"/>
      <c r="DD653" s="3"/>
      <c r="DE653" s="15">
        <f>SUM(CZ653:DD653)</f>
        <v>0</v>
      </c>
    </row>
    <row r="654" spans="2:110">
      <c r="C654" s="567"/>
      <c r="E654" s="14" t="s">
        <v>60</v>
      </c>
      <c r="F654" s="23">
        <f t="shared" ref="F654:F656" si="2984">CE648</f>
        <v>0</v>
      </c>
      <c r="G654" s="24">
        <f t="shared" si="2975"/>
        <v>0</v>
      </c>
      <c r="H654" s="24">
        <f t="shared" si="2976"/>
        <v>0</v>
      </c>
      <c r="I654" s="24">
        <f t="shared" si="2977"/>
        <v>0</v>
      </c>
      <c r="J654" s="24">
        <f t="shared" si="2978"/>
        <v>0</v>
      </c>
      <c r="K654" s="16">
        <f t="shared" ref="K654:K656" si="2985">SUM(F654:J654)</f>
        <v>0</v>
      </c>
      <c r="M654" s="6"/>
      <c r="N654" s="7"/>
      <c r="O654" s="7"/>
      <c r="P654" s="7"/>
      <c r="Q654" s="7"/>
      <c r="R654" s="16">
        <f t="shared" ref="R654:R656" si="2986">SUM(M654:Q654)</f>
        <v>0</v>
      </c>
      <c r="T654" s="6"/>
      <c r="U654" s="7"/>
      <c r="V654" s="7"/>
      <c r="W654" s="7"/>
      <c r="X654" s="7"/>
      <c r="Y654" s="16">
        <f t="shared" ref="Y654:Y656" si="2987">SUM(T654:X654)</f>
        <v>0</v>
      </c>
      <c r="AA654" s="6"/>
      <c r="AB654" s="7"/>
      <c r="AC654" s="7"/>
      <c r="AD654" s="7"/>
      <c r="AE654" s="7"/>
      <c r="AF654" s="16">
        <f>SUM(AA654:AE654)</f>
        <v>0</v>
      </c>
      <c r="AH654" s="6"/>
      <c r="AI654" s="7"/>
      <c r="AJ654" s="7"/>
      <c r="AK654" s="7"/>
      <c r="AL654" s="7"/>
      <c r="AM654" s="16">
        <f>SUM(AH654:AL654)</f>
        <v>0</v>
      </c>
      <c r="AO654" s="6"/>
      <c r="AP654" s="7"/>
      <c r="AQ654" s="7"/>
      <c r="AR654" s="7"/>
      <c r="AS654" s="7"/>
      <c r="AT654" s="16">
        <f>SUM(AO654:AS654)</f>
        <v>0</v>
      </c>
      <c r="AV654" s="6"/>
      <c r="AW654" s="7"/>
      <c r="AX654" s="7"/>
      <c r="AY654" s="7"/>
      <c r="AZ654" s="7"/>
      <c r="BA654" s="16">
        <f>SUM(AV654:AZ654)</f>
        <v>0</v>
      </c>
      <c r="BC654" s="6"/>
      <c r="BD654" s="7"/>
      <c r="BE654" s="7"/>
      <c r="BF654" s="7"/>
      <c r="BG654" s="7"/>
      <c r="BH654" s="16">
        <f>SUM(BC654:BG654)</f>
        <v>0</v>
      </c>
      <c r="BJ654" s="6"/>
      <c r="BK654" s="7"/>
      <c r="BL654" s="7"/>
      <c r="BM654" s="7"/>
      <c r="BN654" s="7"/>
      <c r="BO654" s="16">
        <f>SUM(BJ654:BN654)</f>
        <v>0</v>
      </c>
      <c r="BQ654" s="6"/>
      <c r="BR654" s="7"/>
      <c r="BS654" s="7"/>
      <c r="BT654" s="7"/>
      <c r="BU654" s="7"/>
      <c r="BV654" s="16">
        <f>SUM(BQ654:BU654)</f>
        <v>0</v>
      </c>
      <c r="BX654" s="6"/>
      <c r="BY654" s="7"/>
      <c r="BZ654" s="7"/>
      <c r="CA654" s="7"/>
      <c r="CB654" s="7"/>
      <c r="CC654" s="16">
        <f>SUM(BX654:CB654)</f>
        <v>0</v>
      </c>
      <c r="CE654" s="28">
        <f t="shared" si="2979"/>
        <v>0</v>
      </c>
      <c r="CF654" s="29">
        <f t="shared" si="2980"/>
        <v>0</v>
      </c>
      <c r="CG654" s="29">
        <f t="shared" si="2981"/>
        <v>0</v>
      </c>
      <c r="CH654" s="29">
        <f t="shared" si="2982"/>
        <v>0</v>
      </c>
      <c r="CI654" s="29">
        <f t="shared" si="2983"/>
        <v>0</v>
      </c>
      <c r="CJ654" s="8">
        <f>SUM(CE654:CI654)</f>
        <v>0</v>
      </c>
      <c r="CL654" s="6"/>
      <c r="CM654" s="7"/>
      <c r="CN654" s="7"/>
      <c r="CO654" s="7"/>
      <c r="CP654" s="7"/>
      <c r="CQ654" s="16">
        <f>SUM(CL654:CP654)</f>
        <v>0</v>
      </c>
      <c r="CS654" s="6"/>
      <c r="CT654" s="7"/>
      <c r="CU654" s="7"/>
      <c r="CV654" s="7"/>
      <c r="CW654" s="7"/>
      <c r="CX654" s="8">
        <f t="shared" ref="CX654:CX656" si="2988">SUM(CS654:CW654)</f>
        <v>0</v>
      </c>
      <c r="CZ654" s="6"/>
      <c r="DA654" s="7"/>
      <c r="DB654" s="7"/>
      <c r="DC654" s="7"/>
      <c r="DD654" s="7"/>
      <c r="DE654" s="16">
        <f t="shared" ref="DE654:DE656" si="2989">SUM(CZ654:DD654)</f>
        <v>0</v>
      </c>
    </row>
    <row r="655" spans="2:110">
      <c r="C655" s="567"/>
      <c r="E655" s="14" t="s">
        <v>61</v>
      </c>
      <c r="F655" s="23">
        <f t="shared" si="2984"/>
        <v>0</v>
      </c>
      <c r="G655" s="24">
        <f t="shared" si="2975"/>
        <v>0</v>
      </c>
      <c r="H655" s="24">
        <f t="shared" si="2976"/>
        <v>0</v>
      </c>
      <c r="I655" s="24">
        <f t="shared" si="2977"/>
        <v>0</v>
      </c>
      <c r="J655" s="24">
        <f t="shared" si="2978"/>
        <v>0</v>
      </c>
      <c r="K655" s="16">
        <f t="shared" si="2985"/>
        <v>0</v>
      </c>
      <c r="M655" s="6"/>
      <c r="N655" s="7"/>
      <c r="O655" s="7"/>
      <c r="P655" s="7"/>
      <c r="Q655" s="7"/>
      <c r="R655" s="16">
        <f t="shared" si="2986"/>
        <v>0</v>
      </c>
      <c r="T655" s="6"/>
      <c r="U655" s="7"/>
      <c r="V655" s="7"/>
      <c r="W655" s="7"/>
      <c r="X655" s="7"/>
      <c r="Y655" s="16">
        <f t="shared" si="2987"/>
        <v>0</v>
      </c>
      <c r="AA655" s="6"/>
      <c r="AB655" s="7"/>
      <c r="AC655" s="7"/>
      <c r="AD655" s="7"/>
      <c r="AE655" s="7"/>
      <c r="AF655" s="16">
        <f>SUM(AA655:AE655)</f>
        <v>0</v>
      </c>
      <c r="AH655" s="6"/>
      <c r="AI655" s="7"/>
      <c r="AJ655" s="7"/>
      <c r="AK655" s="7"/>
      <c r="AL655" s="7"/>
      <c r="AM655" s="16">
        <f>SUM(AH655:AL655)</f>
        <v>0</v>
      </c>
      <c r="AO655" s="6"/>
      <c r="AP655" s="7"/>
      <c r="AQ655" s="7"/>
      <c r="AR655" s="7"/>
      <c r="AS655" s="7"/>
      <c r="AT655" s="16">
        <f>SUM(AO655:AS655)</f>
        <v>0</v>
      </c>
      <c r="AV655" s="6"/>
      <c r="AW655" s="7"/>
      <c r="AX655" s="7"/>
      <c r="AY655" s="7"/>
      <c r="AZ655" s="7"/>
      <c r="BA655" s="16">
        <f>SUM(AV655:AZ655)</f>
        <v>0</v>
      </c>
      <c r="BC655" s="6"/>
      <c r="BD655" s="7"/>
      <c r="BE655" s="7"/>
      <c r="BF655" s="7"/>
      <c r="BG655" s="7"/>
      <c r="BH655" s="16">
        <f>SUM(BC655:BG655)</f>
        <v>0</v>
      </c>
      <c r="BJ655" s="6"/>
      <c r="BK655" s="7"/>
      <c r="BL655" s="7"/>
      <c r="BM655" s="7"/>
      <c r="BN655" s="7"/>
      <c r="BO655" s="16">
        <f>SUM(BJ655:BN655)</f>
        <v>0</v>
      </c>
      <c r="BQ655" s="6"/>
      <c r="BR655" s="7"/>
      <c r="BS655" s="7"/>
      <c r="BT655" s="7"/>
      <c r="BU655" s="7"/>
      <c r="BV655" s="16">
        <f>SUM(BQ655:BU655)</f>
        <v>0</v>
      </c>
      <c r="BX655" s="6"/>
      <c r="BY655" s="7"/>
      <c r="BZ655" s="7"/>
      <c r="CA655" s="7"/>
      <c r="CB655" s="7"/>
      <c r="CC655" s="16">
        <f>SUM(BX655:CB655)</f>
        <v>0</v>
      </c>
      <c r="CE655" s="28">
        <f t="shared" si="2979"/>
        <v>0</v>
      </c>
      <c r="CF655" s="29">
        <f t="shared" si="2980"/>
        <v>0</v>
      </c>
      <c r="CG655" s="29">
        <f t="shared" si="2981"/>
        <v>0</v>
      </c>
      <c r="CH655" s="29">
        <f t="shared" si="2982"/>
        <v>0</v>
      </c>
      <c r="CI655" s="29">
        <f t="shared" si="2983"/>
        <v>0</v>
      </c>
      <c r="CJ655" s="8">
        <f>SUM(CE655:CI655)</f>
        <v>0</v>
      </c>
      <c r="CL655" s="6"/>
      <c r="CM655" s="7"/>
      <c r="CN655" s="7"/>
      <c r="CO655" s="7"/>
      <c r="CP655" s="7"/>
      <c r="CQ655" s="16">
        <f>SUM(CL655:CP655)</f>
        <v>0</v>
      </c>
      <c r="CS655" s="6"/>
      <c r="CT655" s="7"/>
      <c r="CU655" s="7"/>
      <c r="CV655" s="7"/>
      <c r="CW655" s="7"/>
      <c r="CX655" s="8">
        <f t="shared" si="2988"/>
        <v>0</v>
      </c>
      <c r="CZ655" s="6"/>
      <c r="DA655" s="7"/>
      <c r="DB655" s="7"/>
      <c r="DC655" s="7"/>
      <c r="DD655" s="7"/>
      <c r="DE655" s="16">
        <f t="shared" si="2989"/>
        <v>0</v>
      </c>
    </row>
    <row r="656" spans="2:110" ht="14" thickBot="1">
      <c r="C656" s="567"/>
      <c r="E656" s="14" t="s">
        <v>62</v>
      </c>
      <c r="F656" s="23">
        <f t="shared" si="2984"/>
        <v>0</v>
      </c>
      <c r="G656" s="24">
        <f t="shared" si="2975"/>
        <v>0</v>
      </c>
      <c r="H656" s="24">
        <f t="shared" si="2976"/>
        <v>0</v>
      </c>
      <c r="I656" s="24">
        <f t="shared" si="2977"/>
        <v>0</v>
      </c>
      <c r="J656" s="24">
        <f t="shared" si="2978"/>
        <v>0</v>
      </c>
      <c r="K656" s="16">
        <f t="shared" si="2985"/>
        <v>0</v>
      </c>
      <c r="M656" s="6"/>
      <c r="N656" s="7"/>
      <c r="O656" s="7"/>
      <c r="P656" s="7"/>
      <c r="Q656" s="7"/>
      <c r="R656" s="16">
        <f t="shared" si="2986"/>
        <v>0</v>
      </c>
      <c r="T656" s="6"/>
      <c r="U656" s="7"/>
      <c r="V656" s="7"/>
      <c r="W656" s="7"/>
      <c r="X656" s="7"/>
      <c r="Y656" s="16">
        <f t="shared" si="2987"/>
        <v>0</v>
      </c>
      <c r="AA656" s="6"/>
      <c r="AB656" s="7"/>
      <c r="AC656" s="7"/>
      <c r="AD656" s="7"/>
      <c r="AE656" s="7"/>
      <c r="AF656" s="16">
        <f>SUM(AA656:AE656)</f>
        <v>0</v>
      </c>
      <c r="AH656" s="6"/>
      <c r="AI656" s="7"/>
      <c r="AJ656" s="7"/>
      <c r="AK656" s="7"/>
      <c r="AL656" s="7"/>
      <c r="AM656" s="16">
        <f>SUM(AH656:AL656)</f>
        <v>0</v>
      </c>
      <c r="AO656" s="6"/>
      <c r="AP656" s="7"/>
      <c r="AQ656" s="7"/>
      <c r="AR656" s="7"/>
      <c r="AS656" s="7"/>
      <c r="AT656" s="16">
        <f>SUM(AO656:AS656)</f>
        <v>0</v>
      </c>
      <c r="AV656" s="6"/>
      <c r="AW656" s="7"/>
      <c r="AX656" s="7"/>
      <c r="AY656" s="7"/>
      <c r="AZ656" s="7"/>
      <c r="BA656" s="16">
        <f>SUM(AV656:AZ656)</f>
        <v>0</v>
      </c>
      <c r="BC656" s="6"/>
      <c r="BD656" s="7"/>
      <c r="BE656" s="7"/>
      <c r="BF656" s="7"/>
      <c r="BG656" s="7"/>
      <c r="BH656" s="16">
        <f>SUM(BC656:BG656)</f>
        <v>0</v>
      </c>
      <c r="BJ656" s="6"/>
      <c r="BK656" s="7"/>
      <c r="BL656" s="7"/>
      <c r="BM656" s="7"/>
      <c r="BN656" s="7"/>
      <c r="BO656" s="16">
        <f>SUM(BJ656:BN656)</f>
        <v>0</v>
      </c>
      <c r="BQ656" s="6"/>
      <c r="BR656" s="7"/>
      <c r="BS656" s="7"/>
      <c r="BT656" s="7"/>
      <c r="BU656" s="7"/>
      <c r="BV656" s="16">
        <f>SUM(BQ656:BU656)</f>
        <v>0</v>
      </c>
      <c r="BX656" s="6"/>
      <c r="BY656" s="7"/>
      <c r="BZ656" s="7"/>
      <c r="CA656" s="7"/>
      <c r="CB656" s="7"/>
      <c r="CC656" s="16">
        <f>SUM(BX656:CB656)</f>
        <v>0</v>
      </c>
      <c r="CE656" s="493">
        <f t="shared" si="2979"/>
        <v>0</v>
      </c>
      <c r="CF656" s="494">
        <f t="shared" si="2980"/>
        <v>0</v>
      </c>
      <c r="CG656" s="494">
        <f t="shared" si="2981"/>
        <v>0</v>
      </c>
      <c r="CH656" s="494">
        <f t="shared" si="2982"/>
        <v>0</v>
      </c>
      <c r="CI656" s="494">
        <f t="shared" si="2983"/>
        <v>0</v>
      </c>
      <c r="CJ656" s="495">
        <f>SUM(CE656:CI656)</f>
        <v>0</v>
      </c>
      <c r="CL656" s="6"/>
      <c r="CM656" s="7"/>
      <c r="CN656" s="7"/>
      <c r="CO656" s="7"/>
      <c r="CP656" s="7"/>
      <c r="CQ656" s="16">
        <f>SUM(CL656:CP656)</f>
        <v>0</v>
      </c>
      <c r="CS656" s="6"/>
      <c r="CT656" s="7"/>
      <c r="CU656" s="7"/>
      <c r="CV656" s="7"/>
      <c r="CW656" s="7"/>
      <c r="CX656" s="8">
        <f t="shared" si="2988"/>
        <v>0</v>
      </c>
      <c r="CZ656" s="6"/>
      <c r="DA656" s="7"/>
      <c r="DB656" s="7"/>
      <c r="DC656" s="7"/>
      <c r="DD656" s="7"/>
      <c r="DE656" s="16">
        <f t="shared" si="2989"/>
        <v>0</v>
      </c>
    </row>
    <row r="657" spans="3:109" ht="14" thickBot="1">
      <c r="C657" s="554"/>
      <c r="E657" s="17"/>
      <c r="F657" s="10">
        <f>SUM(F653:F656)</f>
        <v>0</v>
      </c>
      <c r="G657" s="11">
        <f t="shared" ref="G657:J657" si="2990">SUM(G653:G656)</f>
        <v>0</v>
      </c>
      <c r="H657" s="11">
        <f t="shared" si="2990"/>
        <v>0</v>
      </c>
      <c r="I657" s="11">
        <f t="shared" si="2990"/>
        <v>0</v>
      </c>
      <c r="J657" s="11">
        <f t="shared" si="2990"/>
        <v>0</v>
      </c>
      <c r="K657" s="25">
        <f>SUM(K653:K656)</f>
        <v>0</v>
      </c>
      <c r="M657" s="10">
        <f>SUM(M653:M656)</f>
        <v>0</v>
      </c>
      <c r="N657" s="11">
        <f t="shared" ref="N657:Q657" si="2991">SUM(N653:N656)</f>
        <v>0</v>
      </c>
      <c r="O657" s="11">
        <f t="shared" si="2991"/>
        <v>0</v>
      </c>
      <c r="P657" s="11">
        <f t="shared" si="2991"/>
        <v>0</v>
      </c>
      <c r="Q657" s="11">
        <f t="shared" si="2991"/>
        <v>0</v>
      </c>
      <c r="R657" s="25">
        <f>SUM(R653:R656)</f>
        <v>0</v>
      </c>
      <c r="T657" s="10">
        <f>SUM(T653:T656)</f>
        <v>0</v>
      </c>
      <c r="U657" s="11">
        <f t="shared" ref="U657:X657" si="2992">SUM(U653:U656)</f>
        <v>0</v>
      </c>
      <c r="V657" s="11">
        <f t="shared" si="2992"/>
        <v>0</v>
      </c>
      <c r="W657" s="11">
        <f t="shared" si="2992"/>
        <v>0</v>
      </c>
      <c r="X657" s="11">
        <f t="shared" si="2992"/>
        <v>0</v>
      </c>
      <c r="Y657" s="25">
        <f>SUM(Y653:Y656)</f>
        <v>0</v>
      </c>
      <c r="AA657" s="10">
        <f>SUM(AA653:AA656)</f>
        <v>0</v>
      </c>
      <c r="AB657" s="11">
        <f t="shared" ref="AB657:AE657" si="2993">SUM(AB653:AB656)</f>
        <v>0</v>
      </c>
      <c r="AC657" s="11">
        <f t="shared" si="2993"/>
        <v>0</v>
      </c>
      <c r="AD657" s="11">
        <f t="shared" si="2993"/>
        <v>0</v>
      </c>
      <c r="AE657" s="11">
        <f t="shared" si="2993"/>
        <v>0</v>
      </c>
      <c r="AF657" s="25">
        <f>SUM(AF653:AF656)</f>
        <v>0</v>
      </c>
      <c r="AH657" s="10">
        <f t="shared" ref="AH657:AM657" si="2994">SUM(AH653:AH656)</f>
        <v>0</v>
      </c>
      <c r="AI657" s="11">
        <f t="shared" si="2994"/>
        <v>0</v>
      </c>
      <c r="AJ657" s="11">
        <f t="shared" si="2994"/>
        <v>0</v>
      </c>
      <c r="AK657" s="11">
        <f t="shared" si="2994"/>
        <v>0</v>
      </c>
      <c r="AL657" s="11">
        <f t="shared" si="2994"/>
        <v>0</v>
      </c>
      <c r="AM657" s="25">
        <f t="shared" si="2994"/>
        <v>0</v>
      </c>
      <c r="AO657" s="10">
        <f t="shared" ref="AO657:AT657" si="2995">SUM(AO653:AO656)</f>
        <v>0</v>
      </c>
      <c r="AP657" s="11">
        <f t="shared" si="2995"/>
        <v>0</v>
      </c>
      <c r="AQ657" s="11">
        <f t="shared" si="2995"/>
        <v>0</v>
      </c>
      <c r="AR657" s="11">
        <f t="shared" si="2995"/>
        <v>0</v>
      </c>
      <c r="AS657" s="11">
        <f t="shared" si="2995"/>
        <v>0</v>
      </c>
      <c r="AT657" s="25">
        <f t="shared" si="2995"/>
        <v>0</v>
      </c>
      <c r="AV657" s="10">
        <f t="shared" ref="AV657:BA657" si="2996">SUM(AV653:AV656)</f>
        <v>0</v>
      </c>
      <c r="AW657" s="11">
        <f t="shared" si="2996"/>
        <v>0</v>
      </c>
      <c r="AX657" s="11">
        <f t="shared" si="2996"/>
        <v>0</v>
      </c>
      <c r="AY657" s="11">
        <f t="shared" si="2996"/>
        <v>0</v>
      </c>
      <c r="AZ657" s="11">
        <f t="shared" si="2996"/>
        <v>0</v>
      </c>
      <c r="BA657" s="25">
        <f t="shared" si="2996"/>
        <v>0</v>
      </c>
      <c r="BC657" s="10">
        <f t="shared" ref="BC657:BH657" si="2997">SUM(BC653:BC656)</f>
        <v>0</v>
      </c>
      <c r="BD657" s="11">
        <f t="shared" si="2997"/>
        <v>0</v>
      </c>
      <c r="BE657" s="11">
        <f t="shared" si="2997"/>
        <v>0</v>
      </c>
      <c r="BF657" s="11">
        <f t="shared" si="2997"/>
        <v>0</v>
      </c>
      <c r="BG657" s="11">
        <f t="shared" si="2997"/>
        <v>0</v>
      </c>
      <c r="BH657" s="25">
        <f t="shared" si="2997"/>
        <v>0</v>
      </c>
      <c r="BJ657" s="10">
        <f t="shared" ref="BJ657:BO657" si="2998">SUM(BJ653:BJ656)</f>
        <v>0</v>
      </c>
      <c r="BK657" s="11">
        <f t="shared" si="2998"/>
        <v>0</v>
      </c>
      <c r="BL657" s="11">
        <f t="shared" si="2998"/>
        <v>0</v>
      </c>
      <c r="BM657" s="11">
        <f t="shared" si="2998"/>
        <v>0</v>
      </c>
      <c r="BN657" s="11">
        <f t="shared" si="2998"/>
        <v>0</v>
      </c>
      <c r="BO657" s="25">
        <f t="shared" si="2998"/>
        <v>0</v>
      </c>
      <c r="BQ657" s="10">
        <f t="shared" ref="BQ657:BV657" si="2999">SUM(BQ653:BQ656)</f>
        <v>0</v>
      </c>
      <c r="BR657" s="11">
        <f t="shared" si="2999"/>
        <v>0</v>
      </c>
      <c r="BS657" s="11">
        <f t="shared" si="2999"/>
        <v>0</v>
      </c>
      <c r="BT657" s="11">
        <f t="shared" si="2999"/>
        <v>0</v>
      </c>
      <c r="BU657" s="11">
        <f t="shared" si="2999"/>
        <v>0</v>
      </c>
      <c r="BV657" s="25">
        <f t="shared" si="2999"/>
        <v>0</v>
      </c>
      <c r="BX657" s="10">
        <f t="shared" ref="BX657:CC657" si="3000">SUM(BX653:BX656)</f>
        <v>0</v>
      </c>
      <c r="BY657" s="11">
        <f t="shared" si="3000"/>
        <v>0</v>
      </c>
      <c r="BZ657" s="11">
        <f t="shared" si="3000"/>
        <v>0</v>
      </c>
      <c r="CA657" s="11">
        <f t="shared" si="3000"/>
        <v>0</v>
      </c>
      <c r="CB657" s="11">
        <f t="shared" si="3000"/>
        <v>0</v>
      </c>
      <c r="CC657" s="25">
        <f t="shared" si="3000"/>
        <v>0</v>
      </c>
      <c r="CE657" s="62">
        <f t="shared" ref="CE657:CJ657" si="3001">SUM(CE653:CE656)</f>
        <v>0</v>
      </c>
      <c r="CF657" s="63">
        <f t="shared" si="3001"/>
        <v>0</v>
      </c>
      <c r="CG657" s="63">
        <f t="shared" si="3001"/>
        <v>0</v>
      </c>
      <c r="CH657" s="63">
        <f t="shared" si="3001"/>
        <v>0</v>
      </c>
      <c r="CI657" s="63">
        <f t="shared" si="3001"/>
        <v>0</v>
      </c>
      <c r="CJ657" s="25">
        <f t="shared" si="3001"/>
        <v>0</v>
      </c>
      <c r="CL657" s="10">
        <f>SUM(CL653:CL656)</f>
        <v>0</v>
      </c>
      <c r="CM657" s="11">
        <f t="shared" ref="CM657:CQ657" si="3002">SUM(CM653:CM656)</f>
        <v>0</v>
      </c>
      <c r="CN657" s="11">
        <f t="shared" si="3002"/>
        <v>0</v>
      </c>
      <c r="CO657" s="11">
        <f t="shared" si="3002"/>
        <v>0</v>
      </c>
      <c r="CP657" s="11">
        <f t="shared" si="3002"/>
        <v>0</v>
      </c>
      <c r="CQ657" s="25">
        <f t="shared" si="3002"/>
        <v>0</v>
      </c>
      <c r="CS657" s="10">
        <f>SUM(CS653:CS656)</f>
        <v>0</v>
      </c>
      <c r="CT657" s="11">
        <f t="shared" ref="CT657:CW657" si="3003">SUM(CT653:CT656)</f>
        <v>0</v>
      </c>
      <c r="CU657" s="11">
        <f t="shared" si="3003"/>
        <v>0</v>
      </c>
      <c r="CV657" s="11">
        <f t="shared" si="3003"/>
        <v>0</v>
      </c>
      <c r="CW657" s="11">
        <f t="shared" si="3003"/>
        <v>0</v>
      </c>
      <c r="CX657" s="25">
        <f>SUM(CX653:CX656)</f>
        <v>0</v>
      </c>
      <c r="CZ657" s="10">
        <f>SUM(CZ653:CZ656)</f>
        <v>0</v>
      </c>
      <c r="DA657" s="11">
        <f t="shared" ref="DA657:DD657" si="3004">SUM(DA653:DA656)</f>
        <v>0</v>
      </c>
      <c r="DB657" s="11">
        <f t="shared" si="3004"/>
        <v>0</v>
      </c>
      <c r="DC657" s="11">
        <f t="shared" si="3004"/>
        <v>0</v>
      </c>
      <c r="DD657" s="11">
        <f t="shared" si="3004"/>
        <v>0</v>
      </c>
      <c r="DE657" s="25">
        <f>SUM(DE653:DE656)</f>
        <v>0</v>
      </c>
    </row>
    <row r="658" spans="3:109" ht="10.4" customHeight="1" thickBot="1"/>
    <row r="659" spans="3:109">
      <c r="C659" s="553">
        <v>2026</v>
      </c>
      <c r="E659" s="13" t="s">
        <v>59</v>
      </c>
      <c r="F659" s="21">
        <f>CE653</f>
        <v>0</v>
      </c>
      <c r="G659" s="22">
        <f t="shared" ref="G659:G662" si="3005">CF653</f>
        <v>0</v>
      </c>
      <c r="H659" s="22">
        <f t="shared" ref="H659:H662" si="3006">CG653</f>
        <v>0</v>
      </c>
      <c r="I659" s="22">
        <f t="shared" ref="I659:I662" si="3007">CH653</f>
        <v>0</v>
      </c>
      <c r="J659" s="22">
        <f t="shared" ref="J659:J662" si="3008">CI653</f>
        <v>0</v>
      </c>
      <c r="K659" s="4">
        <f>SUM(F659:J659)</f>
        <v>0</v>
      </c>
      <c r="M659" s="2"/>
      <c r="N659" s="3"/>
      <c r="O659" s="3"/>
      <c r="P659" s="3"/>
      <c r="Q659" s="3"/>
      <c r="R659" s="4">
        <f>SUM(M659:Q659)</f>
        <v>0</v>
      </c>
      <c r="T659" s="2"/>
      <c r="U659" s="3"/>
      <c r="V659" s="3"/>
      <c r="W659" s="3"/>
      <c r="X659" s="3"/>
      <c r="Y659" s="4">
        <f>SUM(T659:X659)</f>
        <v>0</v>
      </c>
      <c r="AA659" s="2"/>
      <c r="AB659" s="3"/>
      <c r="AC659" s="3"/>
      <c r="AD659" s="3"/>
      <c r="AE659" s="3"/>
      <c r="AF659" s="4">
        <f>SUM(AA659:AE659)</f>
        <v>0</v>
      </c>
      <c r="AH659" s="2"/>
      <c r="AI659" s="3"/>
      <c r="AJ659" s="3"/>
      <c r="AK659" s="3"/>
      <c r="AL659" s="3"/>
      <c r="AM659" s="4">
        <f>SUM(AH659:AL659)</f>
        <v>0</v>
      </c>
      <c r="AO659" s="2"/>
      <c r="AP659" s="3"/>
      <c r="AQ659" s="3"/>
      <c r="AR659" s="3"/>
      <c r="AS659" s="3"/>
      <c r="AT659" s="4">
        <f>SUM(AO659:AS659)</f>
        <v>0</v>
      </c>
      <c r="AV659" s="2"/>
      <c r="AW659" s="3"/>
      <c r="AX659" s="3"/>
      <c r="AY659" s="3"/>
      <c r="AZ659" s="3"/>
      <c r="BA659" s="4">
        <f>SUM(AV659:AZ659)</f>
        <v>0</v>
      </c>
      <c r="BC659" s="2"/>
      <c r="BD659" s="3"/>
      <c r="BE659" s="3"/>
      <c r="BF659" s="3"/>
      <c r="BG659" s="3"/>
      <c r="BH659" s="4">
        <f>SUM(BC659:BG659)</f>
        <v>0</v>
      </c>
      <c r="BJ659" s="2"/>
      <c r="BK659" s="3"/>
      <c r="BL659" s="3"/>
      <c r="BM659" s="3"/>
      <c r="BN659" s="3"/>
      <c r="BO659" s="4">
        <f>SUM(BJ659:BN659)</f>
        <v>0</v>
      </c>
      <c r="BQ659" s="2"/>
      <c r="BR659" s="3"/>
      <c r="BS659" s="3"/>
      <c r="BT659" s="3"/>
      <c r="BU659" s="3"/>
      <c r="BV659" s="4">
        <f>SUM(BQ659:BU659)</f>
        <v>0</v>
      </c>
      <c r="BX659" s="2"/>
      <c r="BY659" s="3"/>
      <c r="BZ659" s="3"/>
      <c r="CA659" s="3"/>
      <c r="CB659" s="3"/>
      <c r="CC659" s="4">
        <f>SUM(BX659:CB659)</f>
        <v>0</v>
      </c>
      <c r="CE659" s="26">
        <f t="shared" ref="CE659:CE662" si="3009">F659+M659+T659+AA659+AH659+AO659+AV659+BC659+BJ659+BQ659+BX659</f>
        <v>0</v>
      </c>
      <c r="CF659" s="27">
        <f t="shared" ref="CF659:CF662" si="3010">G659+N659+U659+AB659+AI659+AP659+AW659+BD659+BK659+BR659+BY659</f>
        <v>0</v>
      </c>
      <c r="CG659" s="27">
        <f t="shared" ref="CG659:CG662" si="3011">H659+O659+V659+AC659+AJ659+AQ659+AX659+BE659+BL659+BS659+BZ659</f>
        <v>0</v>
      </c>
      <c r="CH659" s="27">
        <f t="shared" ref="CH659:CH662" si="3012">I659+P659+W659+AD659+AK659+AR659+AY659+BF659+BM659+BT659+CA659</f>
        <v>0</v>
      </c>
      <c r="CI659" s="27">
        <f t="shared" ref="CI659:CI662" si="3013">J659+Q659+X659+AE659+AL659+AS659+AZ659+BG659+BN659+BU659+CB659</f>
        <v>0</v>
      </c>
      <c r="CJ659" s="4">
        <f>SUM(CE659:CI659)</f>
        <v>0</v>
      </c>
      <c r="CL659" s="2"/>
      <c r="CM659" s="3"/>
      <c r="CN659" s="3"/>
      <c r="CO659" s="3"/>
      <c r="CP659" s="3"/>
      <c r="CQ659" s="4">
        <f>SUM(CL659:CP659)</f>
        <v>0</v>
      </c>
      <c r="CS659" s="2"/>
      <c r="CT659" s="3"/>
      <c r="CU659" s="3"/>
      <c r="CV659" s="3"/>
      <c r="CW659" s="3"/>
      <c r="CX659" s="4">
        <f>SUM(CS659:CW659)</f>
        <v>0</v>
      </c>
      <c r="CZ659" s="2"/>
      <c r="DA659" s="3"/>
      <c r="DB659" s="3"/>
      <c r="DC659" s="3"/>
      <c r="DD659" s="3"/>
      <c r="DE659" s="4">
        <f>SUM(CZ659:DD659)</f>
        <v>0</v>
      </c>
    </row>
    <row r="660" spans="3:109">
      <c r="C660" s="567"/>
      <c r="E660" s="14" t="s">
        <v>60</v>
      </c>
      <c r="F660" s="23">
        <f t="shared" ref="F660:F662" si="3014">CE654</f>
        <v>0</v>
      </c>
      <c r="G660" s="24">
        <f t="shared" si="3005"/>
        <v>0</v>
      </c>
      <c r="H660" s="24">
        <f t="shared" si="3006"/>
        <v>0</v>
      </c>
      <c r="I660" s="24">
        <f t="shared" si="3007"/>
        <v>0</v>
      </c>
      <c r="J660" s="24">
        <f t="shared" si="3008"/>
        <v>0</v>
      </c>
      <c r="K660" s="8">
        <f t="shared" ref="K660:K662" si="3015">SUM(F660:J660)</f>
        <v>0</v>
      </c>
      <c r="M660" s="6"/>
      <c r="N660" s="7"/>
      <c r="O660" s="7"/>
      <c r="P660" s="7"/>
      <c r="Q660" s="7"/>
      <c r="R660" s="8">
        <f t="shared" ref="R660:R662" si="3016">SUM(M660:Q660)</f>
        <v>0</v>
      </c>
      <c r="T660" s="6"/>
      <c r="U660" s="7"/>
      <c r="V660" s="7"/>
      <c r="W660" s="7"/>
      <c r="X660" s="7"/>
      <c r="Y660" s="8">
        <f t="shared" ref="Y660:Y662" si="3017">SUM(T660:X660)</f>
        <v>0</v>
      </c>
      <c r="AA660" s="6"/>
      <c r="AB660" s="7"/>
      <c r="AC660" s="7"/>
      <c r="AD660" s="7"/>
      <c r="AE660" s="7"/>
      <c r="AF660" s="8">
        <f>SUM(AA660:AE660)</f>
        <v>0</v>
      </c>
      <c r="AH660" s="6"/>
      <c r="AI660" s="7"/>
      <c r="AJ660" s="7"/>
      <c r="AK660" s="7"/>
      <c r="AL660" s="7"/>
      <c r="AM660" s="8">
        <f>SUM(AH660:AL660)</f>
        <v>0</v>
      </c>
      <c r="AO660" s="6"/>
      <c r="AP660" s="7"/>
      <c r="AQ660" s="7"/>
      <c r="AR660" s="7"/>
      <c r="AS660" s="7"/>
      <c r="AT660" s="8">
        <f>SUM(AO660:AS660)</f>
        <v>0</v>
      </c>
      <c r="AV660" s="6"/>
      <c r="AW660" s="7"/>
      <c r="AX660" s="7"/>
      <c r="AY660" s="7"/>
      <c r="AZ660" s="7"/>
      <c r="BA660" s="8">
        <f>SUM(AV660:AZ660)</f>
        <v>0</v>
      </c>
      <c r="BC660" s="6"/>
      <c r="BD660" s="7"/>
      <c r="BE660" s="7"/>
      <c r="BF660" s="7"/>
      <c r="BG660" s="7"/>
      <c r="BH660" s="8">
        <f>SUM(BC660:BG660)</f>
        <v>0</v>
      </c>
      <c r="BJ660" s="6"/>
      <c r="BK660" s="7"/>
      <c r="BL660" s="7"/>
      <c r="BM660" s="7"/>
      <c r="BN660" s="7"/>
      <c r="BO660" s="8">
        <f>SUM(BJ660:BN660)</f>
        <v>0</v>
      </c>
      <c r="BQ660" s="6"/>
      <c r="BR660" s="7"/>
      <c r="BS660" s="7"/>
      <c r="BT660" s="7"/>
      <c r="BU660" s="7"/>
      <c r="BV660" s="8">
        <f>SUM(BQ660:BU660)</f>
        <v>0</v>
      </c>
      <c r="BX660" s="6"/>
      <c r="BY660" s="7"/>
      <c r="BZ660" s="7"/>
      <c r="CA660" s="7"/>
      <c r="CB660" s="7"/>
      <c r="CC660" s="8">
        <f>SUM(BX660:CB660)</f>
        <v>0</v>
      </c>
      <c r="CE660" s="28">
        <f t="shared" si="3009"/>
        <v>0</v>
      </c>
      <c r="CF660" s="29">
        <f t="shared" si="3010"/>
        <v>0</v>
      </c>
      <c r="CG660" s="29">
        <f t="shared" si="3011"/>
        <v>0</v>
      </c>
      <c r="CH660" s="29">
        <f t="shared" si="3012"/>
        <v>0</v>
      </c>
      <c r="CI660" s="29">
        <f t="shared" si="3013"/>
        <v>0</v>
      </c>
      <c r="CJ660" s="8">
        <f>SUM(CE660:CI660)</f>
        <v>0</v>
      </c>
      <c r="CL660" s="6"/>
      <c r="CM660" s="7"/>
      <c r="CN660" s="7"/>
      <c r="CO660" s="7"/>
      <c r="CP660" s="7"/>
      <c r="CQ660" s="8">
        <f>SUM(CL660:CP660)</f>
        <v>0</v>
      </c>
      <c r="CS660" s="6"/>
      <c r="CT660" s="7"/>
      <c r="CU660" s="7"/>
      <c r="CV660" s="7"/>
      <c r="CW660" s="7"/>
      <c r="CX660" s="8">
        <f t="shared" ref="CX660:CX662" si="3018">SUM(CS660:CW660)</f>
        <v>0</v>
      </c>
      <c r="CZ660" s="6"/>
      <c r="DA660" s="7"/>
      <c r="DB660" s="7"/>
      <c r="DC660" s="7"/>
      <c r="DD660" s="7"/>
      <c r="DE660" s="8">
        <f t="shared" ref="DE660:DE662" si="3019">SUM(CZ660:DD660)</f>
        <v>0</v>
      </c>
    </row>
    <row r="661" spans="3:109">
      <c r="C661" s="567"/>
      <c r="E661" s="14" t="s">
        <v>61</v>
      </c>
      <c r="F661" s="23">
        <f t="shared" si="3014"/>
        <v>0</v>
      </c>
      <c r="G661" s="24">
        <f t="shared" si="3005"/>
        <v>0</v>
      </c>
      <c r="H661" s="24">
        <f t="shared" si="3006"/>
        <v>0</v>
      </c>
      <c r="I661" s="24">
        <f t="shared" si="3007"/>
        <v>0</v>
      </c>
      <c r="J661" s="24">
        <f t="shared" si="3008"/>
        <v>0</v>
      </c>
      <c r="K661" s="8">
        <f t="shared" si="3015"/>
        <v>0</v>
      </c>
      <c r="M661" s="6"/>
      <c r="N661" s="7"/>
      <c r="O661" s="7"/>
      <c r="P661" s="7"/>
      <c r="Q661" s="7"/>
      <c r="R661" s="8">
        <f t="shared" si="3016"/>
        <v>0</v>
      </c>
      <c r="T661" s="6"/>
      <c r="U661" s="7"/>
      <c r="V661" s="7"/>
      <c r="W661" s="7"/>
      <c r="X661" s="7"/>
      <c r="Y661" s="8">
        <f t="shared" si="3017"/>
        <v>0</v>
      </c>
      <c r="AA661" s="6"/>
      <c r="AB661" s="7"/>
      <c r="AC661" s="7"/>
      <c r="AD661" s="7"/>
      <c r="AE661" s="7"/>
      <c r="AF661" s="8">
        <f>SUM(AA661:AE661)</f>
        <v>0</v>
      </c>
      <c r="AH661" s="6"/>
      <c r="AI661" s="7"/>
      <c r="AJ661" s="7"/>
      <c r="AK661" s="7"/>
      <c r="AL661" s="7"/>
      <c r="AM661" s="8">
        <f>SUM(AH661:AL661)</f>
        <v>0</v>
      </c>
      <c r="AO661" s="6"/>
      <c r="AP661" s="7"/>
      <c r="AQ661" s="7"/>
      <c r="AR661" s="7"/>
      <c r="AS661" s="7"/>
      <c r="AT661" s="8">
        <f>SUM(AO661:AS661)</f>
        <v>0</v>
      </c>
      <c r="AV661" s="6"/>
      <c r="AW661" s="7"/>
      <c r="AX661" s="7"/>
      <c r="AY661" s="7"/>
      <c r="AZ661" s="7"/>
      <c r="BA661" s="8">
        <f>SUM(AV661:AZ661)</f>
        <v>0</v>
      </c>
      <c r="BC661" s="6"/>
      <c r="BD661" s="7"/>
      <c r="BE661" s="7"/>
      <c r="BF661" s="7"/>
      <c r="BG661" s="7"/>
      <c r="BH661" s="8">
        <f>SUM(BC661:BG661)</f>
        <v>0</v>
      </c>
      <c r="BJ661" s="6"/>
      <c r="BK661" s="7"/>
      <c r="BL661" s="7"/>
      <c r="BM661" s="7"/>
      <c r="BN661" s="7"/>
      <c r="BO661" s="8">
        <f>SUM(BJ661:BN661)</f>
        <v>0</v>
      </c>
      <c r="BQ661" s="6"/>
      <c r="BR661" s="7"/>
      <c r="BS661" s="7"/>
      <c r="BT661" s="7"/>
      <c r="BU661" s="7"/>
      <c r="BV661" s="8">
        <f>SUM(BQ661:BU661)</f>
        <v>0</v>
      </c>
      <c r="BX661" s="6"/>
      <c r="BY661" s="7"/>
      <c r="BZ661" s="7"/>
      <c r="CA661" s="7"/>
      <c r="CB661" s="7"/>
      <c r="CC661" s="8">
        <f>SUM(BX661:CB661)</f>
        <v>0</v>
      </c>
      <c r="CE661" s="28">
        <f t="shared" si="3009"/>
        <v>0</v>
      </c>
      <c r="CF661" s="29">
        <f t="shared" si="3010"/>
        <v>0</v>
      </c>
      <c r="CG661" s="29">
        <f t="shared" si="3011"/>
        <v>0</v>
      </c>
      <c r="CH661" s="29">
        <f t="shared" si="3012"/>
        <v>0</v>
      </c>
      <c r="CI661" s="29">
        <f t="shared" si="3013"/>
        <v>0</v>
      </c>
      <c r="CJ661" s="8">
        <f>SUM(CE661:CI661)</f>
        <v>0</v>
      </c>
      <c r="CL661" s="6"/>
      <c r="CM661" s="7"/>
      <c r="CN661" s="7"/>
      <c r="CO661" s="7"/>
      <c r="CP661" s="7"/>
      <c r="CQ661" s="8">
        <f>SUM(CL661:CP661)</f>
        <v>0</v>
      </c>
      <c r="CS661" s="6"/>
      <c r="CT661" s="7"/>
      <c r="CU661" s="7"/>
      <c r="CV661" s="7"/>
      <c r="CW661" s="7"/>
      <c r="CX661" s="8">
        <f t="shared" si="3018"/>
        <v>0</v>
      </c>
      <c r="CZ661" s="6"/>
      <c r="DA661" s="7"/>
      <c r="DB661" s="7"/>
      <c r="DC661" s="7"/>
      <c r="DD661" s="7"/>
      <c r="DE661" s="8">
        <f t="shared" si="3019"/>
        <v>0</v>
      </c>
    </row>
    <row r="662" spans="3:109" ht="14" thickBot="1">
      <c r="C662" s="567"/>
      <c r="E662" s="14" t="s">
        <v>62</v>
      </c>
      <c r="F662" s="23">
        <f t="shared" si="3014"/>
        <v>0</v>
      </c>
      <c r="G662" s="24">
        <f t="shared" si="3005"/>
        <v>0</v>
      </c>
      <c r="H662" s="24">
        <f t="shared" si="3006"/>
        <v>0</v>
      </c>
      <c r="I662" s="24">
        <f t="shared" si="3007"/>
        <v>0</v>
      </c>
      <c r="J662" s="24">
        <f t="shared" si="3008"/>
        <v>0</v>
      </c>
      <c r="K662" s="8">
        <f t="shared" si="3015"/>
        <v>0</v>
      </c>
      <c r="M662" s="6"/>
      <c r="N662" s="7"/>
      <c r="O662" s="7"/>
      <c r="P662" s="7"/>
      <c r="Q662" s="7"/>
      <c r="R662" s="8">
        <f t="shared" si="3016"/>
        <v>0</v>
      </c>
      <c r="T662" s="6"/>
      <c r="U662" s="7"/>
      <c r="V662" s="7"/>
      <c r="W662" s="7"/>
      <c r="X662" s="7"/>
      <c r="Y662" s="8">
        <f t="shared" si="3017"/>
        <v>0</v>
      </c>
      <c r="AA662" s="6"/>
      <c r="AB662" s="7"/>
      <c r="AC662" s="7"/>
      <c r="AD662" s="7"/>
      <c r="AE662" s="7"/>
      <c r="AF662" s="8">
        <f>SUM(AA662:AE662)</f>
        <v>0</v>
      </c>
      <c r="AH662" s="6"/>
      <c r="AI662" s="7"/>
      <c r="AJ662" s="7"/>
      <c r="AK662" s="7"/>
      <c r="AL662" s="7"/>
      <c r="AM662" s="8">
        <f>SUM(AH662:AL662)</f>
        <v>0</v>
      </c>
      <c r="AO662" s="6"/>
      <c r="AP662" s="7"/>
      <c r="AQ662" s="7"/>
      <c r="AR662" s="7"/>
      <c r="AS662" s="7"/>
      <c r="AT662" s="8">
        <f>SUM(AO662:AS662)</f>
        <v>0</v>
      </c>
      <c r="AV662" s="6"/>
      <c r="AW662" s="7"/>
      <c r="AX662" s="7"/>
      <c r="AY662" s="7"/>
      <c r="AZ662" s="7"/>
      <c r="BA662" s="8">
        <f>SUM(AV662:AZ662)</f>
        <v>0</v>
      </c>
      <c r="BC662" s="6"/>
      <c r="BD662" s="7"/>
      <c r="BE662" s="7"/>
      <c r="BF662" s="7"/>
      <c r="BG662" s="7"/>
      <c r="BH662" s="8">
        <f>SUM(BC662:BG662)</f>
        <v>0</v>
      </c>
      <c r="BJ662" s="6"/>
      <c r="BK662" s="7"/>
      <c r="BL662" s="7"/>
      <c r="BM662" s="7"/>
      <c r="BN662" s="7"/>
      <c r="BO662" s="8">
        <f>SUM(BJ662:BN662)</f>
        <v>0</v>
      </c>
      <c r="BQ662" s="6"/>
      <c r="BR662" s="7"/>
      <c r="BS662" s="7"/>
      <c r="BT662" s="7"/>
      <c r="BU662" s="7"/>
      <c r="BV662" s="8">
        <f>SUM(BQ662:BU662)</f>
        <v>0</v>
      </c>
      <c r="BX662" s="6"/>
      <c r="BY662" s="7"/>
      <c r="BZ662" s="7"/>
      <c r="CA662" s="7"/>
      <c r="CB662" s="7"/>
      <c r="CC662" s="8">
        <f>SUM(BX662:CB662)</f>
        <v>0</v>
      </c>
      <c r="CE662" s="493">
        <f t="shared" si="3009"/>
        <v>0</v>
      </c>
      <c r="CF662" s="494">
        <f t="shared" si="3010"/>
        <v>0</v>
      </c>
      <c r="CG662" s="494">
        <f t="shared" si="3011"/>
        <v>0</v>
      </c>
      <c r="CH662" s="494">
        <f t="shared" si="3012"/>
        <v>0</v>
      </c>
      <c r="CI662" s="494">
        <f t="shared" si="3013"/>
        <v>0</v>
      </c>
      <c r="CJ662" s="495">
        <f>SUM(CE662:CI662)</f>
        <v>0</v>
      </c>
      <c r="CL662" s="6"/>
      <c r="CM662" s="7"/>
      <c r="CN662" s="7"/>
      <c r="CO662" s="7"/>
      <c r="CP662" s="7"/>
      <c r="CQ662" s="8">
        <f>SUM(CL662:CP662)</f>
        <v>0</v>
      </c>
      <c r="CS662" s="6"/>
      <c r="CT662" s="7"/>
      <c r="CU662" s="7"/>
      <c r="CV662" s="7"/>
      <c r="CW662" s="7"/>
      <c r="CX662" s="8">
        <f t="shared" si="3018"/>
        <v>0</v>
      </c>
      <c r="CZ662" s="6"/>
      <c r="DA662" s="7"/>
      <c r="DB662" s="7"/>
      <c r="DC662" s="7"/>
      <c r="DD662" s="7"/>
      <c r="DE662" s="8">
        <f t="shared" si="3019"/>
        <v>0</v>
      </c>
    </row>
    <row r="663" spans="3:109" ht="14" thickBot="1">
      <c r="C663" s="554"/>
      <c r="E663" s="17"/>
      <c r="F663" s="10">
        <f>SUM(F659:F662)</f>
        <v>0</v>
      </c>
      <c r="G663" s="11">
        <f t="shared" ref="G663:J663" si="3020">SUM(G659:G662)</f>
        <v>0</v>
      </c>
      <c r="H663" s="11">
        <f t="shared" si="3020"/>
        <v>0</v>
      </c>
      <c r="I663" s="11">
        <f t="shared" si="3020"/>
        <v>0</v>
      </c>
      <c r="J663" s="11">
        <f t="shared" si="3020"/>
        <v>0</v>
      </c>
      <c r="K663" s="25">
        <f>SUM(K659:K662)</f>
        <v>0</v>
      </c>
      <c r="M663" s="10">
        <f>SUM(M659:M662)</f>
        <v>0</v>
      </c>
      <c r="N663" s="11">
        <f t="shared" ref="N663:Q663" si="3021">SUM(N659:N662)</f>
        <v>0</v>
      </c>
      <c r="O663" s="11">
        <f t="shared" si="3021"/>
        <v>0</v>
      </c>
      <c r="P663" s="11">
        <f t="shared" si="3021"/>
        <v>0</v>
      </c>
      <c r="Q663" s="11">
        <f t="shared" si="3021"/>
        <v>0</v>
      </c>
      <c r="R663" s="25">
        <f>SUM(R659:R662)</f>
        <v>0</v>
      </c>
      <c r="T663" s="10">
        <f>SUM(T659:T662)</f>
        <v>0</v>
      </c>
      <c r="U663" s="11">
        <f t="shared" ref="U663:X663" si="3022">SUM(U659:U662)</f>
        <v>0</v>
      </c>
      <c r="V663" s="11">
        <f t="shared" si="3022"/>
        <v>0</v>
      </c>
      <c r="W663" s="11">
        <f t="shared" si="3022"/>
        <v>0</v>
      </c>
      <c r="X663" s="11">
        <f t="shared" si="3022"/>
        <v>0</v>
      </c>
      <c r="Y663" s="25">
        <f>SUM(Y659:Y662)</f>
        <v>0</v>
      </c>
      <c r="AA663" s="10">
        <f>SUM(AA659:AA662)</f>
        <v>0</v>
      </c>
      <c r="AB663" s="11">
        <f t="shared" ref="AB663:AE663" si="3023">SUM(AB659:AB662)</f>
        <v>0</v>
      </c>
      <c r="AC663" s="11">
        <f t="shared" si="3023"/>
        <v>0</v>
      </c>
      <c r="AD663" s="11">
        <f t="shared" si="3023"/>
        <v>0</v>
      </c>
      <c r="AE663" s="11">
        <f t="shared" si="3023"/>
        <v>0</v>
      </c>
      <c r="AF663" s="25">
        <f>SUM(AF659:AF662)</f>
        <v>0</v>
      </c>
      <c r="AH663" s="10">
        <f t="shared" ref="AH663:AM663" si="3024">SUM(AH659:AH662)</f>
        <v>0</v>
      </c>
      <c r="AI663" s="11">
        <f t="shared" si="3024"/>
        <v>0</v>
      </c>
      <c r="AJ663" s="11">
        <f t="shared" si="3024"/>
        <v>0</v>
      </c>
      <c r="AK663" s="11">
        <f t="shared" si="3024"/>
        <v>0</v>
      </c>
      <c r="AL663" s="11">
        <f t="shared" si="3024"/>
        <v>0</v>
      </c>
      <c r="AM663" s="25">
        <f t="shared" si="3024"/>
        <v>0</v>
      </c>
      <c r="AO663" s="10">
        <f t="shared" ref="AO663:AT663" si="3025">SUM(AO659:AO662)</f>
        <v>0</v>
      </c>
      <c r="AP663" s="11">
        <f t="shared" si="3025"/>
        <v>0</v>
      </c>
      <c r="AQ663" s="11">
        <f t="shared" si="3025"/>
        <v>0</v>
      </c>
      <c r="AR663" s="11">
        <f t="shared" si="3025"/>
        <v>0</v>
      </c>
      <c r="AS663" s="11">
        <f t="shared" si="3025"/>
        <v>0</v>
      </c>
      <c r="AT663" s="25">
        <f t="shared" si="3025"/>
        <v>0</v>
      </c>
      <c r="AV663" s="10">
        <f t="shared" ref="AV663:BA663" si="3026">SUM(AV659:AV662)</f>
        <v>0</v>
      </c>
      <c r="AW663" s="11">
        <f t="shared" si="3026"/>
        <v>0</v>
      </c>
      <c r="AX663" s="11">
        <f t="shared" si="3026"/>
        <v>0</v>
      </c>
      <c r="AY663" s="11">
        <f t="shared" si="3026"/>
        <v>0</v>
      </c>
      <c r="AZ663" s="11">
        <f t="shared" si="3026"/>
        <v>0</v>
      </c>
      <c r="BA663" s="25">
        <f t="shared" si="3026"/>
        <v>0</v>
      </c>
      <c r="BC663" s="10">
        <f t="shared" ref="BC663:BH663" si="3027">SUM(BC659:BC662)</f>
        <v>0</v>
      </c>
      <c r="BD663" s="11">
        <f t="shared" si="3027"/>
        <v>0</v>
      </c>
      <c r="BE663" s="11">
        <f t="shared" si="3027"/>
        <v>0</v>
      </c>
      <c r="BF663" s="11">
        <f t="shared" si="3027"/>
        <v>0</v>
      </c>
      <c r="BG663" s="11">
        <f t="shared" si="3027"/>
        <v>0</v>
      </c>
      <c r="BH663" s="25">
        <f t="shared" si="3027"/>
        <v>0</v>
      </c>
      <c r="BJ663" s="10">
        <f t="shared" ref="BJ663:BO663" si="3028">SUM(BJ659:BJ662)</f>
        <v>0</v>
      </c>
      <c r="BK663" s="11">
        <f t="shared" si="3028"/>
        <v>0</v>
      </c>
      <c r="BL663" s="11">
        <f t="shared" si="3028"/>
        <v>0</v>
      </c>
      <c r="BM663" s="11">
        <f t="shared" si="3028"/>
        <v>0</v>
      </c>
      <c r="BN663" s="11">
        <f t="shared" si="3028"/>
        <v>0</v>
      </c>
      <c r="BO663" s="25">
        <f t="shared" si="3028"/>
        <v>0</v>
      </c>
      <c r="BQ663" s="10">
        <f t="shared" ref="BQ663:BV663" si="3029">SUM(BQ659:BQ662)</f>
        <v>0</v>
      </c>
      <c r="BR663" s="11">
        <f t="shared" si="3029"/>
        <v>0</v>
      </c>
      <c r="BS663" s="11">
        <f t="shared" si="3029"/>
        <v>0</v>
      </c>
      <c r="BT663" s="11">
        <f t="shared" si="3029"/>
        <v>0</v>
      </c>
      <c r="BU663" s="11">
        <f t="shared" si="3029"/>
        <v>0</v>
      </c>
      <c r="BV663" s="25">
        <f t="shared" si="3029"/>
        <v>0</v>
      </c>
      <c r="BX663" s="10">
        <f t="shared" ref="BX663:CC663" si="3030">SUM(BX659:BX662)</f>
        <v>0</v>
      </c>
      <c r="BY663" s="11">
        <f t="shared" si="3030"/>
        <v>0</v>
      </c>
      <c r="BZ663" s="11">
        <f t="shared" si="3030"/>
        <v>0</v>
      </c>
      <c r="CA663" s="11">
        <f t="shared" si="3030"/>
        <v>0</v>
      </c>
      <c r="CB663" s="11">
        <f t="shared" si="3030"/>
        <v>0</v>
      </c>
      <c r="CC663" s="25">
        <f t="shared" si="3030"/>
        <v>0</v>
      </c>
      <c r="CE663" s="62">
        <f t="shared" ref="CE663:CJ663" si="3031">SUM(CE659:CE662)</f>
        <v>0</v>
      </c>
      <c r="CF663" s="63">
        <f t="shared" si="3031"/>
        <v>0</v>
      </c>
      <c r="CG663" s="63">
        <f t="shared" si="3031"/>
        <v>0</v>
      </c>
      <c r="CH663" s="63">
        <f t="shared" si="3031"/>
        <v>0</v>
      </c>
      <c r="CI663" s="63">
        <f t="shared" si="3031"/>
        <v>0</v>
      </c>
      <c r="CJ663" s="25">
        <f t="shared" si="3031"/>
        <v>0</v>
      </c>
      <c r="CL663" s="10">
        <f>SUM(CL659:CL662)</f>
        <v>0</v>
      </c>
      <c r="CM663" s="11">
        <f t="shared" ref="CM663:CQ663" si="3032">SUM(CM659:CM662)</f>
        <v>0</v>
      </c>
      <c r="CN663" s="11">
        <f t="shared" si="3032"/>
        <v>0</v>
      </c>
      <c r="CO663" s="11">
        <f t="shared" si="3032"/>
        <v>0</v>
      </c>
      <c r="CP663" s="11">
        <f t="shared" si="3032"/>
        <v>0</v>
      </c>
      <c r="CQ663" s="25">
        <f t="shared" si="3032"/>
        <v>0</v>
      </c>
      <c r="CS663" s="10">
        <f>SUM(CS659:CS662)</f>
        <v>0</v>
      </c>
      <c r="CT663" s="11">
        <f t="shared" ref="CT663:CW663" si="3033">SUM(CT659:CT662)</f>
        <v>0</v>
      </c>
      <c r="CU663" s="11">
        <f t="shared" si="3033"/>
        <v>0</v>
      </c>
      <c r="CV663" s="11">
        <f t="shared" si="3033"/>
        <v>0</v>
      </c>
      <c r="CW663" s="11">
        <f t="shared" si="3033"/>
        <v>0</v>
      </c>
      <c r="CX663" s="25">
        <f>SUM(CX659:CX662)</f>
        <v>0</v>
      </c>
      <c r="CZ663" s="10">
        <f>SUM(CZ659:CZ662)</f>
        <v>0</v>
      </c>
      <c r="DA663" s="11">
        <f t="shared" ref="DA663:DD663" si="3034">SUM(DA659:DA662)</f>
        <v>0</v>
      </c>
      <c r="DB663" s="11">
        <f t="shared" si="3034"/>
        <v>0</v>
      </c>
      <c r="DC663" s="11">
        <f t="shared" si="3034"/>
        <v>0</v>
      </c>
      <c r="DD663" s="11">
        <f t="shared" si="3034"/>
        <v>0</v>
      </c>
      <c r="DE663" s="25">
        <f>SUM(DE659:DE662)</f>
        <v>0</v>
      </c>
    </row>
    <row r="664" spans="3:109" ht="10.4" customHeight="1" thickBot="1"/>
    <row r="665" spans="3:109">
      <c r="C665" s="553">
        <v>2027</v>
      </c>
      <c r="E665" s="13" t="s">
        <v>59</v>
      </c>
      <c r="F665" s="21">
        <f>CE659</f>
        <v>0</v>
      </c>
      <c r="G665" s="22">
        <f t="shared" ref="G665:G668" si="3035">CF659</f>
        <v>0</v>
      </c>
      <c r="H665" s="22">
        <f t="shared" ref="H665:H668" si="3036">CG659</f>
        <v>0</v>
      </c>
      <c r="I665" s="22">
        <f t="shared" ref="I665:I668" si="3037">CH659</f>
        <v>0</v>
      </c>
      <c r="J665" s="22">
        <f t="shared" ref="J665:J668" si="3038">CI659</f>
        <v>0</v>
      </c>
      <c r="K665" s="4">
        <f>SUM(F665:J665)</f>
        <v>0</v>
      </c>
      <c r="M665" s="2"/>
      <c r="N665" s="3"/>
      <c r="O665" s="3"/>
      <c r="P665" s="3"/>
      <c r="Q665" s="3"/>
      <c r="R665" s="4">
        <f>SUM(M665:Q665)</f>
        <v>0</v>
      </c>
      <c r="T665" s="2"/>
      <c r="U665" s="3"/>
      <c r="V665" s="3"/>
      <c r="W665" s="3"/>
      <c r="X665" s="3"/>
      <c r="Y665" s="4">
        <f>SUM(T665:X665)</f>
        <v>0</v>
      </c>
      <c r="AA665" s="2"/>
      <c r="AB665" s="3"/>
      <c r="AC665" s="3"/>
      <c r="AD665" s="3"/>
      <c r="AE665" s="3"/>
      <c r="AF665" s="4">
        <f>SUM(AA665:AE665)</f>
        <v>0</v>
      </c>
      <c r="AH665" s="2"/>
      <c r="AI665" s="3"/>
      <c r="AJ665" s="3"/>
      <c r="AK665" s="3"/>
      <c r="AL665" s="3"/>
      <c r="AM665" s="4">
        <f>SUM(AH665:AL665)</f>
        <v>0</v>
      </c>
      <c r="AO665" s="2"/>
      <c r="AP665" s="3"/>
      <c r="AQ665" s="3"/>
      <c r="AR665" s="3"/>
      <c r="AS665" s="3"/>
      <c r="AT665" s="4">
        <f>SUM(AO665:AS665)</f>
        <v>0</v>
      </c>
      <c r="AV665" s="2"/>
      <c r="AW665" s="3"/>
      <c r="AX665" s="3"/>
      <c r="AY665" s="3"/>
      <c r="AZ665" s="3"/>
      <c r="BA665" s="4">
        <f>SUM(AV665:AZ665)</f>
        <v>0</v>
      </c>
      <c r="BC665" s="2"/>
      <c r="BD665" s="3"/>
      <c r="BE665" s="3"/>
      <c r="BF665" s="3"/>
      <c r="BG665" s="3"/>
      <c r="BH665" s="4">
        <f>SUM(BC665:BG665)</f>
        <v>0</v>
      </c>
      <c r="BJ665" s="2"/>
      <c r="BK665" s="3"/>
      <c r="BL665" s="3"/>
      <c r="BM665" s="3"/>
      <c r="BN665" s="3"/>
      <c r="BO665" s="4">
        <f>SUM(BJ665:BN665)</f>
        <v>0</v>
      </c>
      <c r="BQ665" s="2"/>
      <c r="BR665" s="3"/>
      <c r="BS665" s="3"/>
      <c r="BT665" s="3"/>
      <c r="BU665" s="3"/>
      <c r="BV665" s="4">
        <f>SUM(BQ665:BU665)</f>
        <v>0</v>
      </c>
      <c r="BX665" s="2"/>
      <c r="BY665" s="3"/>
      <c r="BZ665" s="3"/>
      <c r="CA665" s="3"/>
      <c r="CB665" s="3"/>
      <c r="CC665" s="4">
        <f>SUM(BX665:CB665)</f>
        <v>0</v>
      </c>
      <c r="CE665" s="26">
        <f t="shared" ref="CE665:CE668" si="3039">F665+M665+T665+AA665+AH665+AO665+AV665+BC665+BJ665+BQ665+BX665</f>
        <v>0</v>
      </c>
      <c r="CF665" s="27">
        <f t="shared" ref="CF665:CF668" si="3040">G665+N665+U665+AB665+AI665+AP665+AW665+BD665+BK665+BR665+BY665</f>
        <v>0</v>
      </c>
      <c r="CG665" s="27">
        <f t="shared" ref="CG665:CG668" si="3041">H665+O665+V665+AC665+AJ665+AQ665+AX665+BE665+BL665+BS665+BZ665</f>
        <v>0</v>
      </c>
      <c r="CH665" s="27">
        <f t="shared" ref="CH665:CH668" si="3042">I665+P665+W665+AD665+AK665+AR665+AY665+BF665+BM665+BT665+CA665</f>
        <v>0</v>
      </c>
      <c r="CI665" s="27">
        <f t="shared" ref="CI665:CI668" si="3043">J665+Q665+X665+AE665+AL665+AS665+AZ665+BG665+BN665+BU665+CB665</f>
        <v>0</v>
      </c>
      <c r="CJ665" s="4">
        <f>SUM(CE665:CI665)</f>
        <v>0</v>
      </c>
      <c r="CL665" s="2"/>
      <c r="CM665" s="3"/>
      <c r="CN665" s="3"/>
      <c r="CO665" s="3"/>
      <c r="CP665" s="3"/>
      <c r="CQ665" s="4">
        <f>SUM(CL665:CP665)</f>
        <v>0</v>
      </c>
      <c r="CS665" s="2"/>
      <c r="CT665" s="3"/>
      <c r="CU665" s="3"/>
      <c r="CV665" s="3"/>
      <c r="CW665" s="3"/>
      <c r="CX665" s="4">
        <f>SUM(CS665:CW665)</f>
        <v>0</v>
      </c>
      <c r="CZ665" s="2"/>
      <c r="DA665" s="3"/>
      <c r="DB665" s="3"/>
      <c r="DC665" s="3"/>
      <c r="DD665" s="3"/>
      <c r="DE665" s="4">
        <f>SUM(CZ665:DD665)</f>
        <v>0</v>
      </c>
    </row>
    <row r="666" spans="3:109">
      <c r="C666" s="567"/>
      <c r="E666" s="14" t="s">
        <v>60</v>
      </c>
      <c r="F666" s="23">
        <f t="shared" ref="F666:F668" si="3044">CE660</f>
        <v>0</v>
      </c>
      <c r="G666" s="24">
        <f t="shared" si="3035"/>
        <v>0</v>
      </c>
      <c r="H666" s="24">
        <f t="shared" si="3036"/>
        <v>0</v>
      </c>
      <c r="I666" s="24">
        <f t="shared" si="3037"/>
        <v>0</v>
      </c>
      <c r="J666" s="24">
        <f t="shared" si="3038"/>
        <v>0</v>
      </c>
      <c r="K666" s="8">
        <f t="shared" ref="K666:K668" si="3045">SUM(F666:J666)</f>
        <v>0</v>
      </c>
      <c r="M666" s="6"/>
      <c r="N666" s="7"/>
      <c r="O666" s="7"/>
      <c r="P666" s="7"/>
      <c r="Q666" s="7"/>
      <c r="R666" s="8">
        <f t="shared" ref="R666:R668" si="3046">SUM(M666:Q666)</f>
        <v>0</v>
      </c>
      <c r="T666" s="6"/>
      <c r="U666" s="7"/>
      <c r="V666" s="7"/>
      <c r="W666" s="7"/>
      <c r="X666" s="7"/>
      <c r="Y666" s="8">
        <f t="shared" ref="Y666:Y668" si="3047">SUM(T666:X666)</f>
        <v>0</v>
      </c>
      <c r="AA666" s="6"/>
      <c r="AB666" s="7"/>
      <c r="AC666" s="7"/>
      <c r="AD666" s="7"/>
      <c r="AE666" s="7"/>
      <c r="AF666" s="8">
        <f>SUM(AA666:AE666)</f>
        <v>0</v>
      </c>
      <c r="AH666" s="6"/>
      <c r="AI666" s="7"/>
      <c r="AJ666" s="7"/>
      <c r="AK666" s="7"/>
      <c r="AL666" s="7"/>
      <c r="AM666" s="8">
        <f>SUM(AH666:AL666)</f>
        <v>0</v>
      </c>
      <c r="AO666" s="6"/>
      <c r="AP666" s="7"/>
      <c r="AQ666" s="7"/>
      <c r="AR666" s="7"/>
      <c r="AS666" s="7"/>
      <c r="AT666" s="8">
        <f>SUM(AO666:AS666)</f>
        <v>0</v>
      </c>
      <c r="AV666" s="6"/>
      <c r="AW666" s="7"/>
      <c r="AX666" s="7"/>
      <c r="AY666" s="7"/>
      <c r="AZ666" s="7"/>
      <c r="BA666" s="8">
        <f>SUM(AV666:AZ666)</f>
        <v>0</v>
      </c>
      <c r="BC666" s="6"/>
      <c r="BD666" s="7"/>
      <c r="BE666" s="7"/>
      <c r="BF666" s="7"/>
      <c r="BG666" s="7"/>
      <c r="BH666" s="8">
        <f>SUM(BC666:BG666)</f>
        <v>0</v>
      </c>
      <c r="BJ666" s="6"/>
      <c r="BK666" s="7"/>
      <c r="BL666" s="7"/>
      <c r="BM666" s="7"/>
      <c r="BN666" s="7"/>
      <c r="BO666" s="8">
        <f>SUM(BJ666:BN666)</f>
        <v>0</v>
      </c>
      <c r="BQ666" s="6"/>
      <c r="BR666" s="7"/>
      <c r="BS666" s="7"/>
      <c r="BT666" s="7"/>
      <c r="BU666" s="7"/>
      <c r="BV666" s="8">
        <f>SUM(BQ666:BU666)</f>
        <v>0</v>
      </c>
      <c r="BX666" s="6"/>
      <c r="BY666" s="7"/>
      <c r="BZ666" s="7"/>
      <c r="CA666" s="7"/>
      <c r="CB666" s="7"/>
      <c r="CC666" s="8">
        <f>SUM(BX666:CB666)</f>
        <v>0</v>
      </c>
      <c r="CE666" s="28">
        <f t="shared" si="3039"/>
        <v>0</v>
      </c>
      <c r="CF666" s="29">
        <f t="shared" si="3040"/>
        <v>0</v>
      </c>
      <c r="CG666" s="29">
        <f t="shared" si="3041"/>
        <v>0</v>
      </c>
      <c r="CH666" s="29">
        <f t="shared" si="3042"/>
        <v>0</v>
      </c>
      <c r="CI666" s="29">
        <f t="shared" si="3043"/>
        <v>0</v>
      </c>
      <c r="CJ666" s="8">
        <f>SUM(CE666:CI666)</f>
        <v>0</v>
      </c>
      <c r="CL666" s="6"/>
      <c r="CM666" s="7"/>
      <c r="CN666" s="7"/>
      <c r="CO666" s="7"/>
      <c r="CP666" s="7"/>
      <c r="CQ666" s="8">
        <f>SUM(CL666:CP666)</f>
        <v>0</v>
      </c>
      <c r="CS666" s="6"/>
      <c r="CT666" s="7"/>
      <c r="CU666" s="7"/>
      <c r="CV666" s="7"/>
      <c r="CW666" s="7"/>
      <c r="CX666" s="8">
        <f t="shared" ref="CX666:CX668" si="3048">SUM(CS666:CW666)</f>
        <v>0</v>
      </c>
      <c r="CZ666" s="6"/>
      <c r="DA666" s="7"/>
      <c r="DB666" s="7"/>
      <c r="DC666" s="7"/>
      <c r="DD666" s="7"/>
      <c r="DE666" s="8">
        <f t="shared" ref="DE666:DE668" si="3049">SUM(CZ666:DD666)</f>
        <v>0</v>
      </c>
    </row>
    <row r="667" spans="3:109">
      <c r="C667" s="567"/>
      <c r="E667" s="14" t="s">
        <v>61</v>
      </c>
      <c r="F667" s="23">
        <f t="shared" si="3044"/>
        <v>0</v>
      </c>
      <c r="G667" s="24">
        <f t="shared" si="3035"/>
        <v>0</v>
      </c>
      <c r="H667" s="24">
        <f t="shared" si="3036"/>
        <v>0</v>
      </c>
      <c r="I667" s="24">
        <f t="shared" si="3037"/>
        <v>0</v>
      </c>
      <c r="J667" s="24">
        <f t="shared" si="3038"/>
        <v>0</v>
      </c>
      <c r="K667" s="8">
        <f t="shared" si="3045"/>
        <v>0</v>
      </c>
      <c r="M667" s="6"/>
      <c r="N667" s="7"/>
      <c r="O667" s="7"/>
      <c r="P667" s="7"/>
      <c r="Q667" s="7"/>
      <c r="R667" s="8">
        <f t="shared" si="3046"/>
        <v>0</v>
      </c>
      <c r="T667" s="6"/>
      <c r="U667" s="7"/>
      <c r="V667" s="7"/>
      <c r="W667" s="7"/>
      <c r="X667" s="7"/>
      <c r="Y667" s="8">
        <f t="shared" si="3047"/>
        <v>0</v>
      </c>
      <c r="AA667" s="6"/>
      <c r="AB667" s="7"/>
      <c r="AC667" s="7"/>
      <c r="AD667" s="7"/>
      <c r="AE667" s="7"/>
      <c r="AF667" s="8">
        <f>SUM(AA667:AE667)</f>
        <v>0</v>
      </c>
      <c r="AH667" s="6"/>
      <c r="AI667" s="7"/>
      <c r="AJ667" s="7"/>
      <c r="AK667" s="7"/>
      <c r="AL667" s="7"/>
      <c r="AM667" s="8">
        <f>SUM(AH667:AL667)</f>
        <v>0</v>
      </c>
      <c r="AO667" s="6"/>
      <c r="AP667" s="7"/>
      <c r="AQ667" s="7"/>
      <c r="AR667" s="7"/>
      <c r="AS667" s="7"/>
      <c r="AT667" s="8">
        <f>SUM(AO667:AS667)</f>
        <v>0</v>
      </c>
      <c r="AV667" s="6"/>
      <c r="AW667" s="7"/>
      <c r="AX667" s="7"/>
      <c r="AY667" s="7"/>
      <c r="AZ667" s="7"/>
      <c r="BA667" s="8">
        <f>SUM(AV667:AZ667)</f>
        <v>0</v>
      </c>
      <c r="BC667" s="6"/>
      <c r="BD667" s="7"/>
      <c r="BE667" s="7"/>
      <c r="BF667" s="7"/>
      <c r="BG667" s="7"/>
      <c r="BH667" s="8">
        <f>SUM(BC667:BG667)</f>
        <v>0</v>
      </c>
      <c r="BJ667" s="6"/>
      <c r="BK667" s="7"/>
      <c r="BL667" s="7"/>
      <c r="BM667" s="7"/>
      <c r="BN667" s="7"/>
      <c r="BO667" s="8">
        <f>SUM(BJ667:BN667)</f>
        <v>0</v>
      </c>
      <c r="BQ667" s="6"/>
      <c r="BR667" s="7"/>
      <c r="BS667" s="7"/>
      <c r="BT667" s="7"/>
      <c r="BU667" s="7"/>
      <c r="BV667" s="8">
        <f>SUM(BQ667:BU667)</f>
        <v>0</v>
      </c>
      <c r="BX667" s="6"/>
      <c r="BY667" s="7"/>
      <c r="BZ667" s="7"/>
      <c r="CA667" s="7"/>
      <c r="CB667" s="7"/>
      <c r="CC667" s="8">
        <f>SUM(BX667:CB667)</f>
        <v>0</v>
      </c>
      <c r="CE667" s="28">
        <f t="shared" si="3039"/>
        <v>0</v>
      </c>
      <c r="CF667" s="29">
        <f t="shared" si="3040"/>
        <v>0</v>
      </c>
      <c r="CG667" s="29">
        <f t="shared" si="3041"/>
        <v>0</v>
      </c>
      <c r="CH667" s="29">
        <f t="shared" si="3042"/>
        <v>0</v>
      </c>
      <c r="CI667" s="29">
        <f t="shared" si="3043"/>
        <v>0</v>
      </c>
      <c r="CJ667" s="8">
        <f>SUM(CE667:CI667)</f>
        <v>0</v>
      </c>
      <c r="CL667" s="6"/>
      <c r="CM667" s="7"/>
      <c r="CN667" s="7"/>
      <c r="CO667" s="7"/>
      <c r="CP667" s="7"/>
      <c r="CQ667" s="8">
        <f>SUM(CL667:CP667)</f>
        <v>0</v>
      </c>
      <c r="CS667" s="6"/>
      <c r="CT667" s="7"/>
      <c r="CU667" s="7"/>
      <c r="CV667" s="7"/>
      <c r="CW667" s="7"/>
      <c r="CX667" s="8">
        <f t="shared" si="3048"/>
        <v>0</v>
      </c>
      <c r="CZ667" s="6"/>
      <c r="DA667" s="7"/>
      <c r="DB667" s="7"/>
      <c r="DC667" s="7"/>
      <c r="DD667" s="7"/>
      <c r="DE667" s="8">
        <f t="shared" si="3049"/>
        <v>0</v>
      </c>
    </row>
    <row r="668" spans="3:109" ht="14" thickBot="1">
      <c r="C668" s="567"/>
      <c r="E668" s="14" t="s">
        <v>62</v>
      </c>
      <c r="F668" s="23">
        <f t="shared" si="3044"/>
        <v>0</v>
      </c>
      <c r="G668" s="24">
        <f t="shared" si="3035"/>
        <v>0</v>
      </c>
      <c r="H668" s="24">
        <f t="shared" si="3036"/>
        <v>0</v>
      </c>
      <c r="I668" s="24">
        <f t="shared" si="3037"/>
        <v>0</v>
      </c>
      <c r="J668" s="24">
        <f t="shared" si="3038"/>
        <v>0</v>
      </c>
      <c r="K668" s="8">
        <f t="shared" si="3045"/>
        <v>0</v>
      </c>
      <c r="M668" s="6"/>
      <c r="N668" s="7"/>
      <c r="O668" s="7"/>
      <c r="P668" s="7"/>
      <c r="Q668" s="7"/>
      <c r="R668" s="8">
        <f t="shared" si="3046"/>
        <v>0</v>
      </c>
      <c r="T668" s="6"/>
      <c r="U668" s="7"/>
      <c r="V668" s="7"/>
      <c r="W668" s="7"/>
      <c r="X668" s="7"/>
      <c r="Y668" s="8">
        <f t="shared" si="3047"/>
        <v>0</v>
      </c>
      <c r="AA668" s="6"/>
      <c r="AB668" s="7"/>
      <c r="AC668" s="7"/>
      <c r="AD668" s="7"/>
      <c r="AE668" s="7"/>
      <c r="AF668" s="8">
        <f>SUM(AA668:AE668)</f>
        <v>0</v>
      </c>
      <c r="AH668" s="6"/>
      <c r="AI668" s="7"/>
      <c r="AJ668" s="7"/>
      <c r="AK668" s="7"/>
      <c r="AL668" s="7"/>
      <c r="AM668" s="8">
        <f>SUM(AH668:AL668)</f>
        <v>0</v>
      </c>
      <c r="AO668" s="6"/>
      <c r="AP668" s="7"/>
      <c r="AQ668" s="7"/>
      <c r="AR668" s="7"/>
      <c r="AS668" s="7"/>
      <c r="AT668" s="8">
        <f>SUM(AO668:AS668)</f>
        <v>0</v>
      </c>
      <c r="AV668" s="6"/>
      <c r="AW668" s="7"/>
      <c r="AX668" s="7"/>
      <c r="AY668" s="7"/>
      <c r="AZ668" s="7"/>
      <c r="BA668" s="8">
        <f>SUM(AV668:AZ668)</f>
        <v>0</v>
      </c>
      <c r="BC668" s="6"/>
      <c r="BD668" s="7"/>
      <c r="BE668" s="7"/>
      <c r="BF668" s="7"/>
      <c r="BG668" s="7"/>
      <c r="BH668" s="8">
        <f>SUM(BC668:BG668)</f>
        <v>0</v>
      </c>
      <c r="BJ668" s="6"/>
      <c r="BK668" s="7"/>
      <c r="BL668" s="7"/>
      <c r="BM668" s="7"/>
      <c r="BN668" s="7"/>
      <c r="BO668" s="8">
        <f>SUM(BJ668:BN668)</f>
        <v>0</v>
      </c>
      <c r="BQ668" s="6"/>
      <c r="BR668" s="7"/>
      <c r="BS668" s="7"/>
      <c r="BT668" s="7"/>
      <c r="BU668" s="7"/>
      <c r="BV668" s="8">
        <f>SUM(BQ668:BU668)</f>
        <v>0</v>
      </c>
      <c r="BX668" s="6"/>
      <c r="BY668" s="7"/>
      <c r="BZ668" s="7"/>
      <c r="CA668" s="7"/>
      <c r="CB668" s="7"/>
      <c r="CC668" s="8">
        <f>SUM(BX668:CB668)</f>
        <v>0</v>
      </c>
      <c r="CE668" s="493">
        <f t="shared" si="3039"/>
        <v>0</v>
      </c>
      <c r="CF668" s="494">
        <f t="shared" si="3040"/>
        <v>0</v>
      </c>
      <c r="CG668" s="494">
        <f t="shared" si="3041"/>
        <v>0</v>
      </c>
      <c r="CH668" s="494">
        <f t="shared" si="3042"/>
        <v>0</v>
      </c>
      <c r="CI668" s="494">
        <f t="shared" si="3043"/>
        <v>0</v>
      </c>
      <c r="CJ668" s="495">
        <f>SUM(CE668:CI668)</f>
        <v>0</v>
      </c>
      <c r="CL668" s="6"/>
      <c r="CM668" s="7"/>
      <c r="CN668" s="7"/>
      <c r="CO668" s="7"/>
      <c r="CP668" s="7"/>
      <c r="CQ668" s="8">
        <f>SUM(CL668:CP668)</f>
        <v>0</v>
      </c>
      <c r="CS668" s="6"/>
      <c r="CT668" s="7"/>
      <c r="CU668" s="7"/>
      <c r="CV668" s="7"/>
      <c r="CW668" s="7"/>
      <c r="CX668" s="8">
        <f t="shared" si="3048"/>
        <v>0</v>
      </c>
      <c r="CZ668" s="6"/>
      <c r="DA668" s="7"/>
      <c r="DB668" s="7"/>
      <c r="DC668" s="7"/>
      <c r="DD668" s="7"/>
      <c r="DE668" s="8">
        <f t="shared" si="3049"/>
        <v>0</v>
      </c>
    </row>
    <row r="669" spans="3:109" ht="14" thickBot="1">
      <c r="C669" s="554"/>
      <c r="E669" s="17"/>
      <c r="F669" s="10">
        <f>SUM(F665:F668)</f>
        <v>0</v>
      </c>
      <c r="G669" s="11">
        <f t="shared" ref="G669:J669" si="3050">SUM(G665:G668)</f>
        <v>0</v>
      </c>
      <c r="H669" s="11">
        <f t="shared" si="3050"/>
        <v>0</v>
      </c>
      <c r="I669" s="11">
        <f t="shared" si="3050"/>
        <v>0</v>
      </c>
      <c r="J669" s="11">
        <f t="shared" si="3050"/>
        <v>0</v>
      </c>
      <c r="K669" s="25">
        <f>SUM(K665:K668)</f>
        <v>0</v>
      </c>
      <c r="M669" s="10">
        <f>SUM(M665:M668)</f>
        <v>0</v>
      </c>
      <c r="N669" s="11">
        <f t="shared" ref="N669:Q669" si="3051">SUM(N665:N668)</f>
        <v>0</v>
      </c>
      <c r="O669" s="11">
        <f t="shared" si="3051"/>
        <v>0</v>
      </c>
      <c r="P669" s="11">
        <f t="shared" si="3051"/>
        <v>0</v>
      </c>
      <c r="Q669" s="11">
        <f t="shared" si="3051"/>
        <v>0</v>
      </c>
      <c r="R669" s="25">
        <f>SUM(R665:R668)</f>
        <v>0</v>
      </c>
      <c r="T669" s="10">
        <f>SUM(T665:T668)</f>
        <v>0</v>
      </c>
      <c r="U669" s="11">
        <f t="shared" ref="U669:X669" si="3052">SUM(U665:U668)</f>
        <v>0</v>
      </c>
      <c r="V669" s="11">
        <f t="shared" si="3052"/>
        <v>0</v>
      </c>
      <c r="W669" s="11">
        <f t="shared" si="3052"/>
        <v>0</v>
      </c>
      <c r="X669" s="11">
        <f t="shared" si="3052"/>
        <v>0</v>
      </c>
      <c r="Y669" s="25">
        <f>SUM(Y665:Y668)</f>
        <v>0</v>
      </c>
      <c r="AA669" s="10">
        <f>SUM(AA665:AA668)</f>
        <v>0</v>
      </c>
      <c r="AB669" s="11">
        <f t="shared" ref="AB669:AE669" si="3053">SUM(AB665:AB668)</f>
        <v>0</v>
      </c>
      <c r="AC669" s="11">
        <f t="shared" si="3053"/>
        <v>0</v>
      </c>
      <c r="AD669" s="11">
        <f t="shared" si="3053"/>
        <v>0</v>
      </c>
      <c r="AE669" s="11">
        <f t="shared" si="3053"/>
        <v>0</v>
      </c>
      <c r="AF669" s="25">
        <f>SUM(AF665:AF668)</f>
        <v>0</v>
      </c>
      <c r="AH669" s="10">
        <f t="shared" ref="AH669:AM669" si="3054">SUM(AH665:AH668)</f>
        <v>0</v>
      </c>
      <c r="AI669" s="11">
        <f t="shared" si="3054"/>
        <v>0</v>
      </c>
      <c r="AJ669" s="11">
        <f t="shared" si="3054"/>
        <v>0</v>
      </c>
      <c r="AK669" s="11">
        <f t="shared" si="3054"/>
        <v>0</v>
      </c>
      <c r="AL669" s="11">
        <f t="shared" si="3054"/>
        <v>0</v>
      </c>
      <c r="AM669" s="25">
        <f t="shared" si="3054"/>
        <v>0</v>
      </c>
      <c r="AO669" s="10">
        <f t="shared" ref="AO669:AT669" si="3055">SUM(AO665:AO668)</f>
        <v>0</v>
      </c>
      <c r="AP669" s="11">
        <f t="shared" si="3055"/>
        <v>0</v>
      </c>
      <c r="AQ669" s="11">
        <f t="shared" si="3055"/>
        <v>0</v>
      </c>
      <c r="AR669" s="11">
        <f t="shared" si="3055"/>
        <v>0</v>
      </c>
      <c r="AS669" s="11">
        <f t="shared" si="3055"/>
        <v>0</v>
      </c>
      <c r="AT669" s="25">
        <f t="shared" si="3055"/>
        <v>0</v>
      </c>
      <c r="AV669" s="10">
        <f t="shared" ref="AV669:BA669" si="3056">SUM(AV665:AV668)</f>
        <v>0</v>
      </c>
      <c r="AW669" s="11">
        <f t="shared" si="3056"/>
        <v>0</v>
      </c>
      <c r="AX669" s="11">
        <f t="shared" si="3056"/>
        <v>0</v>
      </c>
      <c r="AY669" s="11">
        <f t="shared" si="3056"/>
        <v>0</v>
      </c>
      <c r="AZ669" s="11">
        <f t="shared" si="3056"/>
        <v>0</v>
      </c>
      <c r="BA669" s="25">
        <f t="shared" si="3056"/>
        <v>0</v>
      </c>
      <c r="BC669" s="10">
        <f t="shared" ref="BC669:BH669" si="3057">SUM(BC665:BC668)</f>
        <v>0</v>
      </c>
      <c r="BD669" s="11">
        <f t="shared" si="3057"/>
        <v>0</v>
      </c>
      <c r="BE669" s="11">
        <f t="shared" si="3057"/>
        <v>0</v>
      </c>
      <c r="BF669" s="11">
        <f t="shared" si="3057"/>
        <v>0</v>
      </c>
      <c r="BG669" s="11">
        <f t="shared" si="3057"/>
        <v>0</v>
      </c>
      <c r="BH669" s="25">
        <f t="shared" si="3057"/>
        <v>0</v>
      </c>
      <c r="BJ669" s="10">
        <f t="shared" ref="BJ669:BO669" si="3058">SUM(BJ665:BJ668)</f>
        <v>0</v>
      </c>
      <c r="BK669" s="11">
        <f t="shared" si="3058"/>
        <v>0</v>
      </c>
      <c r="BL669" s="11">
        <f t="shared" si="3058"/>
        <v>0</v>
      </c>
      <c r="BM669" s="11">
        <f t="shared" si="3058"/>
        <v>0</v>
      </c>
      <c r="BN669" s="11">
        <f t="shared" si="3058"/>
        <v>0</v>
      </c>
      <c r="BO669" s="25">
        <f t="shared" si="3058"/>
        <v>0</v>
      </c>
      <c r="BQ669" s="10">
        <f t="shared" ref="BQ669:BV669" si="3059">SUM(BQ665:BQ668)</f>
        <v>0</v>
      </c>
      <c r="BR669" s="11">
        <f t="shared" si="3059"/>
        <v>0</v>
      </c>
      <c r="BS669" s="11">
        <f t="shared" si="3059"/>
        <v>0</v>
      </c>
      <c r="BT669" s="11">
        <f t="shared" si="3059"/>
        <v>0</v>
      </c>
      <c r="BU669" s="11">
        <f t="shared" si="3059"/>
        <v>0</v>
      </c>
      <c r="BV669" s="25">
        <f t="shared" si="3059"/>
        <v>0</v>
      </c>
      <c r="BX669" s="10">
        <f t="shared" ref="BX669:CC669" si="3060">SUM(BX665:BX668)</f>
        <v>0</v>
      </c>
      <c r="BY669" s="11">
        <f t="shared" si="3060"/>
        <v>0</v>
      </c>
      <c r="BZ669" s="11">
        <f t="shared" si="3060"/>
        <v>0</v>
      </c>
      <c r="CA669" s="11">
        <f t="shared" si="3060"/>
        <v>0</v>
      </c>
      <c r="CB669" s="11">
        <f t="shared" si="3060"/>
        <v>0</v>
      </c>
      <c r="CC669" s="25">
        <f t="shared" si="3060"/>
        <v>0</v>
      </c>
      <c r="CE669" s="62">
        <f t="shared" ref="CE669:CJ669" si="3061">SUM(CE665:CE668)</f>
        <v>0</v>
      </c>
      <c r="CF669" s="63">
        <f t="shared" si="3061"/>
        <v>0</v>
      </c>
      <c r="CG669" s="63">
        <f t="shared" si="3061"/>
        <v>0</v>
      </c>
      <c r="CH669" s="63">
        <f t="shared" si="3061"/>
        <v>0</v>
      </c>
      <c r="CI669" s="63">
        <f t="shared" si="3061"/>
        <v>0</v>
      </c>
      <c r="CJ669" s="25">
        <f t="shared" si="3061"/>
        <v>0</v>
      </c>
      <c r="CL669" s="10">
        <f>SUM(CL665:CL668)</f>
        <v>0</v>
      </c>
      <c r="CM669" s="11">
        <f t="shared" ref="CM669:CQ669" si="3062">SUM(CM665:CM668)</f>
        <v>0</v>
      </c>
      <c r="CN669" s="11">
        <f t="shared" si="3062"/>
        <v>0</v>
      </c>
      <c r="CO669" s="11">
        <f t="shared" si="3062"/>
        <v>0</v>
      </c>
      <c r="CP669" s="11">
        <f t="shared" si="3062"/>
        <v>0</v>
      </c>
      <c r="CQ669" s="25">
        <f t="shared" si="3062"/>
        <v>0</v>
      </c>
      <c r="CS669" s="10">
        <f>SUM(CS665:CS668)</f>
        <v>0</v>
      </c>
      <c r="CT669" s="11">
        <f t="shared" ref="CT669:CW669" si="3063">SUM(CT665:CT668)</f>
        <v>0</v>
      </c>
      <c r="CU669" s="11">
        <f t="shared" si="3063"/>
        <v>0</v>
      </c>
      <c r="CV669" s="11">
        <f t="shared" si="3063"/>
        <v>0</v>
      </c>
      <c r="CW669" s="11">
        <f t="shared" si="3063"/>
        <v>0</v>
      </c>
      <c r="CX669" s="25">
        <f>SUM(CX665:CX668)</f>
        <v>0</v>
      </c>
      <c r="CZ669" s="10">
        <f>SUM(CZ665:CZ668)</f>
        <v>0</v>
      </c>
      <c r="DA669" s="11">
        <f t="shared" ref="DA669:DD669" si="3064">SUM(DA665:DA668)</f>
        <v>0</v>
      </c>
      <c r="DB669" s="11">
        <f t="shared" si="3064"/>
        <v>0</v>
      </c>
      <c r="DC669" s="11">
        <f t="shared" si="3064"/>
        <v>0</v>
      </c>
      <c r="DD669" s="11">
        <f t="shared" si="3064"/>
        <v>0</v>
      </c>
      <c r="DE669" s="25">
        <f>SUM(DE665:DE668)</f>
        <v>0</v>
      </c>
    </row>
    <row r="670" spans="3:109" ht="10.4" customHeight="1" thickBot="1"/>
    <row r="671" spans="3:109">
      <c r="C671" s="553">
        <v>2028</v>
      </c>
      <c r="E671" s="13" t="s">
        <v>59</v>
      </c>
      <c r="F671" s="21">
        <f>CE665</f>
        <v>0</v>
      </c>
      <c r="G671" s="22">
        <f t="shared" ref="G671:G674" si="3065">CF665</f>
        <v>0</v>
      </c>
      <c r="H671" s="22">
        <f t="shared" ref="H671:H674" si="3066">CG665</f>
        <v>0</v>
      </c>
      <c r="I671" s="22">
        <f t="shared" ref="I671:I674" si="3067">CH665</f>
        <v>0</v>
      </c>
      <c r="J671" s="22">
        <f t="shared" ref="J671:J674" si="3068">CI665</f>
        <v>0</v>
      </c>
      <c r="K671" s="4">
        <f>SUM(F671:J671)</f>
        <v>0</v>
      </c>
      <c r="M671" s="2"/>
      <c r="N671" s="3"/>
      <c r="O671" s="3"/>
      <c r="P671" s="3"/>
      <c r="Q671" s="3"/>
      <c r="R671" s="4">
        <f>SUM(M671:Q671)</f>
        <v>0</v>
      </c>
      <c r="T671" s="2"/>
      <c r="U671" s="3"/>
      <c r="V671" s="3"/>
      <c r="W671" s="3"/>
      <c r="X671" s="3"/>
      <c r="Y671" s="4">
        <f>SUM(T671:X671)</f>
        <v>0</v>
      </c>
      <c r="AA671" s="2"/>
      <c r="AB671" s="3"/>
      <c r="AC671" s="3"/>
      <c r="AD671" s="3"/>
      <c r="AE671" s="3"/>
      <c r="AF671" s="4">
        <f>SUM(AA671:AE671)</f>
        <v>0</v>
      </c>
      <c r="AH671" s="2"/>
      <c r="AI671" s="3"/>
      <c r="AJ671" s="3"/>
      <c r="AK671" s="3"/>
      <c r="AL671" s="3"/>
      <c r="AM671" s="4">
        <f>SUM(AH671:AL671)</f>
        <v>0</v>
      </c>
      <c r="AO671" s="2"/>
      <c r="AP671" s="3"/>
      <c r="AQ671" s="3"/>
      <c r="AR671" s="3"/>
      <c r="AS671" s="3"/>
      <c r="AT671" s="4">
        <f>SUM(AO671:AS671)</f>
        <v>0</v>
      </c>
      <c r="AV671" s="2"/>
      <c r="AW671" s="3"/>
      <c r="AX671" s="3"/>
      <c r="AY671" s="3"/>
      <c r="AZ671" s="3"/>
      <c r="BA671" s="4">
        <f>SUM(AV671:AZ671)</f>
        <v>0</v>
      </c>
      <c r="BC671" s="2"/>
      <c r="BD671" s="3"/>
      <c r="BE671" s="3"/>
      <c r="BF671" s="3"/>
      <c r="BG671" s="3"/>
      <c r="BH671" s="4">
        <f>SUM(BC671:BG671)</f>
        <v>0</v>
      </c>
      <c r="BJ671" s="2"/>
      <c r="BK671" s="3"/>
      <c r="BL671" s="3"/>
      <c r="BM671" s="3"/>
      <c r="BN671" s="3"/>
      <c r="BO671" s="4">
        <f>SUM(BJ671:BN671)</f>
        <v>0</v>
      </c>
      <c r="BQ671" s="2"/>
      <c r="BR671" s="3"/>
      <c r="BS671" s="3"/>
      <c r="BT671" s="3"/>
      <c r="BU671" s="3"/>
      <c r="BV671" s="4">
        <f>SUM(BQ671:BU671)</f>
        <v>0</v>
      </c>
      <c r="BX671" s="2"/>
      <c r="BY671" s="3"/>
      <c r="BZ671" s="3"/>
      <c r="CA671" s="3"/>
      <c r="CB671" s="3"/>
      <c r="CC671" s="4">
        <f>SUM(BX671:CB671)</f>
        <v>0</v>
      </c>
      <c r="CE671" s="26">
        <f t="shared" ref="CE671:CE674" si="3069">F671+M671+T671+AA671+AH671+AO671+AV671+BC671+BJ671+BQ671+BX671</f>
        <v>0</v>
      </c>
      <c r="CF671" s="27">
        <f t="shared" ref="CF671:CF674" si="3070">G671+N671+U671+AB671+AI671+AP671+AW671+BD671+BK671+BR671+BY671</f>
        <v>0</v>
      </c>
      <c r="CG671" s="27">
        <f t="shared" ref="CG671:CG674" si="3071">H671+O671+V671+AC671+AJ671+AQ671+AX671+BE671+BL671+BS671+BZ671</f>
        <v>0</v>
      </c>
      <c r="CH671" s="27">
        <f t="shared" ref="CH671:CH674" si="3072">I671+P671+W671+AD671+AK671+AR671+AY671+BF671+BM671+BT671+CA671</f>
        <v>0</v>
      </c>
      <c r="CI671" s="27">
        <f t="shared" ref="CI671:CI674" si="3073">J671+Q671+X671+AE671+AL671+AS671+AZ671+BG671+BN671+BU671+CB671</f>
        <v>0</v>
      </c>
      <c r="CJ671" s="4">
        <f>SUM(CE671:CI671)</f>
        <v>0</v>
      </c>
      <c r="CL671" s="2"/>
      <c r="CM671" s="3"/>
      <c r="CN671" s="3"/>
      <c r="CO671" s="3"/>
      <c r="CP671" s="3"/>
      <c r="CQ671" s="4">
        <f>SUM(CL671:CP671)</f>
        <v>0</v>
      </c>
      <c r="CS671" s="2"/>
      <c r="CT671" s="3"/>
      <c r="CU671" s="3"/>
      <c r="CV671" s="3"/>
      <c r="CW671" s="3"/>
      <c r="CX671" s="4">
        <f>SUM(CS671:CW671)</f>
        <v>0</v>
      </c>
      <c r="CZ671" s="2"/>
      <c r="DA671" s="3"/>
      <c r="DB671" s="3"/>
      <c r="DC671" s="3"/>
      <c r="DD671" s="3"/>
      <c r="DE671" s="4">
        <f>SUM(CZ671:DD671)</f>
        <v>0</v>
      </c>
    </row>
    <row r="672" spans="3:109">
      <c r="C672" s="567"/>
      <c r="E672" s="14" t="s">
        <v>60</v>
      </c>
      <c r="F672" s="23">
        <f t="shared" ref="F672:F674" si="3074">CE666</f>
        <v>0</v>
      </c>
      <c r="G672" s="24">
        <f t="shared" si="3065"/>
        <v>0</v>
      </c>
      <c r="H672" s="24">
        <f t="shared" si="3066"/>
        <v>0</v>
      </c>
      <c r="I672" s="24">
        <f t="shared" si="3067"/>
        <v>0</v>
      </c>
      <c r="J672" s="24">
        <f t="shared" si="3068"/>
        <v>0</v>
      </c>
      <c r="K672" s="8">
        <f t="shared" ref="K672:K674" si="3075">SUM(F672:J672)</f>
        <v>0</v>
      </c>
      <c r="M672" s="6"/>
      <c r="N672" s="7"/>
      <c r="O672" s="7"/>
      <c r="P672" s="7"/>
      <c r="Q672" s="7"/>
      <c r="R672" s="8">
        <f t="shared" ref="R672:R674" si="3076">SUM(M672:Q672)</f>
        <v>0</v>
      </c>
      <c r="T672" s="6"/>
      <c r="U672" s="7"/>
      <c r="V672" s="7"/>
      <c r="W672" s="7"/>
      <c r="X672" s="7"/>
      <c r="Y672" s="8">
        <f t="shared" ref="Y672:Y674" si="3077">SUM(T672:X672)</f>
        <v>0</v>
      </c>
      <c r="AA672" s="6"/>
      <c r="AB672" s="7"/>
      <c r="AC672" s="7"/>
      <c r="AD672" s="7"/>
      <c r="AE672" s="7"/>
      <c r="AF672" s="8">
        <f>SUM(AA672:AE672)</f>
        <v>0</v>
      </c>
      <c r="AH672" s="6"/>
      <c r="AI672" s="7"/>
      <c r="AJ672" s="7"/>
      <c r="AK672" s="7"/>
      <c r="AL672" s="7"/>
      <c r="AM672" s="8">
        <f>SUM(AH672:AL672)</f>
        <v>0</v>
      </c>
      <c r="AO672" s="6"/>
      <c r="AP672" s="7"/>
      <c r="AQ672" s="7"/>
      <c r="AR672" s="7"/>
      <c r="AS672" s="7"/>
      <c r="AT672" s="8">
        <f>SUM(AO672:AS672)</f>
        <v>0</v>
      </c>
      <c r="AV672" s="6"/>
      <c r="AW672" s="7"/>
      <c r="AX672" s="7"/>
      <c r="AY672" s="7"/>
      <c r="AZ672" s="7"/>
      <c r="BA672" s="8">
        <f>SUM(AV672:AZ672)</f>
        <v>0</v>
      </c>
      <c r="BC672" s="6"/>
      <c r="BD672" s="7"/>
      <c r="BE672" s="7"/>
      <c r="BF672" s="7"/>
      <c r="BG672" s="7"/>
      <c r="BH672" s="8">
        <f>SUM(BC672:BG672)</f>
        <v>0</v>
      </c>
      <c r="BJ672" s="6"/>
      <c r="BK672" s="7"/>
      <c r="BL672" s="7"/>
      <c r="BM672" s="7"/>
      <c r="BN672" s="7"/>
      <c r="BO672" s="8">
        <f>SUM(BJ672:BN672)</f>
        <v>0</v>
      </c>
      <c r="BQ672" s="6"/>
      <c r="BR672" s="7"/>
      <c r="BS672" s="7"/>
      <c r="BT672" s="7"/>
      <c r="BU672" s="7"/>
      <c r="BV672" s="8">
        <f>SUM(BQ672:BU672)</f>
        <v>0</v>
      </c>
      <c r="BX672" s="6"/>
      <c r="BY672" s="7"/>
      <c r="BZ672" s="7"/>
      <c r="CA672" s="7"/>
      <c r="CB672" s="7"/>
      <c r="CC672" s="8">
        <f>SUM(BX672:CB672)</f>
        <v>0</v>
      </c>
      <c r="CE672" s="28">
        <f t="shared" si="3069"/>
        <v>0</v>
      </c>
      <c r="CF672" s="29">
        <f t="shared" si="3070"/>
        <v>0</v>
      </c>
      <c r="CG672" s="29">
        <f t="shared" si="3071"/>
        <v>0</v>
      </c>
      <c r="CH672" s="29">
        <f t="shared" si="3072"/>
        <v>0</v>
      </c>
      <c r="CI672" s="29">
        <f t="shared" si="3073"/>
        <v>0</v>
      </c>
      <c r="CJ672" s="8">
        <f>SUM(CE672:CI672)</f>
        <v>0</v>
      </c>
      <c r="CL672" s="6"/>
      <c r="CM672" s="7"/>
      <c r="CN672" s="7"/>
      <c r="CO672" s="7"/>
      <c r="CP672" s="7"/>
      <c r="CQ672" s="8">
        <f>SUM(CL672:CP672)</f>
        <v>0</v>
      </c>
      <c r="CS672" s="6"/>
      <c r="CT672" s="7"/>
      <c r="CU672" s="7"/>
      <c r="CV672" s="7"/>
      <c r="CW672" s="7"/>
      <c r="CX672" s="8">
        <f t="shared" ref="CX672:CX674" si="3078">SUM(CS672:CW672)</f>
        <v>0</v>
      </c>
      <c r="CZ672" s="6"/>
      <c r="DA672" s="7"/>
      <c r="DB672" s="7"/>
      <c r="DC672" s="7"/>
      <c r="DD672" s="7"/>
      <c r="DE672" s="8">
        <f t="shared" ref="DE672:DE674" si="3079">SUM(CZ672:DD672)</f>
        <v>0</v>
      </c>
    </row>
    <row r="673" spans="2:110">
      <c r="C673" s="567"/>
      <c r="E673" s="14" t="s">
        <v>61</v>
      </c>
      <c r="F673" s="23">
        <f t="shared" si="3074"/>
        <v>0</v>
      </c>
      <c r="G673" s="24">
        <f t="shared" si="3065"/>
        <v>0</v>
      </c>
      <c r="H673" s="24">
        <f t="shared" si="3066"/>
        <v>0</v>
      </c>
      <c r="I673" s="24">
        <f t="shared" si="3067"/>
        <v>0</v>
      </c>
      <c r="J673" s="24">
        <f t="shared" si="3068"/>
        <v>0</v>
      </c>
      <c r="K673" s="8">
        <f t="shared" si="3075"/>
        <v>0</v>
      </c>
      <c r="M673" s="6"/>
      <c r="N673" s="7"/>
      <c r="O673" s="7"/>
      <c r="P673" s="7"/>
      <c r="Q673" s="7"/>
      <c r="R673" s="8">
        <f t="shared" si="3076"/>
        <v>0</v>
      </c>
      <c r="T673" s="6"/>
      <c r="U673" s="7"/>
      <c r="V673" s="7"/>
      <c r="W673" s="7"/>
      <c r="X673" s="7"/>
      <c r="Y673" s="8">
        <f t="shared" si="3077"/>
        <v>0</v>
      </c>
      <c r="AA673" s="6"/>
      <c r="AB673" s="7"/>
      <c r="AC673" s="7"/>
      <c r="AD673" s="7"/>
      <c r="AE673" s="7"/>
      <c r="AF673" s="8">
        <f>SUM(AA673:AE673)</f>
        <v>0</v>
      </c>
      <c r="AH673" s="6"/>
      <c r="AI673" s="7"/>
      <c r="AJ673" s="7"/>
      <c r="AK673" s="7"/>
      <c r="AL673" s="7"/>
      <c r="AM673" s="8">
        <f>SUM(AH673:AL673)</f>
        <v>0</v>
      </c>
      <c r="AO673" s="6"/>
      <c r="AP673" s="7"/>
      <c r="AQ673" s="7"/>
      <c r="AR673" s="7"/>
      <c r="AS673" s="7"/>
      <c r="AT673" s="8">
        <f>SUM(AO673:AS673)</f>
        <v>0</v>
      </c>
      <c r="AV673" s="6"/>
      <c r="AW673" s="7"/>
      <c r="AX673" s="7"/>
      <c r="AY673" s="7"/>
      <c r="AZ673" s="7"/>
      <c r="BA673" s="8">
        <f>SUM(AV673:AZ673)</f>
        <v>0</v>
      </c>
      <c r="BC673" s="6"/>
      <c r="BD673" s="7"/>
      <c r="BE673" s="7"/>
      <c r="BF673" s="7"/>
      <c r="BG673" s="7"/>
      <c r="BH673" s="8">
        <f>SUM(BC673:BG673)</f>
        <v>0</v>
      </c>
      <c r="BJ673" s="6"/>
      <c r="BK673" s="7"/>
      <c r="BL673" s="7"/>
      <c r="BM673" s="7"/>
      <c r="BN673" s="7"/>
      <c r="BO673" s="8">
        <f>SUM(BJ673:BN673)</f>
        <v>0</v>
      </c>
      <c r="BQ673" s="6"/>
      <c r="BR673" s="7"/>
      <c r="BS673" s="7"/>
      <c r="BT673" s="7"/>
      <c r="BU673" s="7"/>
      <c r="BV673" s="8">
        <f>SUM(BQ673:BU673)</f>
        <v>0</v>
      </c>
      <c r="BX673" s="6"/>
      <c r="BY673" s="7"/>
      <c r="BZ673" s="7"/>
      <c r="CA673" s="7"/>
      <c r="CB673" s="7"/>
      <c r="CC673" s="8">
        <f>SUM(BX673:CB673)</f>
        <v>0</v>
      </c>
      <c r="CE673" s="28">
        <f t="shared" si="3069"/>
        <v>0</v>
      </c>
      <c r="CF673" s="29">
        <f t="shared" si="3070"/>
        <v>0</v>
      </c>
      <c r="CG673" s="29">
        <f t="shared" si="3071"/>
        <v>0</v>
      </c>
      <c r="CH673" s="29">
        <f t="shared" si="3072"/>
        <v>0</v>
      </c>
      <c r="CI673" s="29">
        <f t="shared" si="3073"/>
        <v>0</v>
      </c>
      <c r="CJ673" s="8">
        <f>SUM(CE673:CI673)</f>
        <v>0</v>
      </c>
      <c r="CL673" s="6"/>
      <c r="CM673" s="7"/>
      <c r="CN673" s="7"/>
      <c r="CO673" s="7"/>
      <c r="CP673" s="7"/>
      <c r="CQ673" s="8">
        <f>SUM(CL673:CP673)</f>
        <v>0</v>
      </c>
      <c r="CS673" s="6"/>
      <c r="CT673" s="7"/>
      <c r="CU673" s="7"/>
      <c r="CV673" s="7"/>
      <c r="CW673" s="7"/>
      <c r="CX673" s="8">
        <f t="shared" si="3078"/>
        <v>0</v>
      </c>
      <c r="CZ673" s="6"/>
      <c r="DA673" s="7"/>
      <c r="DB673" s="7"/>
      <c r="DC673" s="7"/>
      <c r="DD673" s="7"/>
      <c r="DE673" s="8">
        <f t="shared" si="3079"/>
        <v>0</v>
      </c>
    </row>
    <row r="674" spans="2:110" ht="14" thickBot="1">
      <c r="C674" s="567"/>
      <c r="E674" s="14" t="s">
        <v>62</v>
      </c>
      <c r="F674" s="23">
        <f t="shared" si="3074"/>
        <v>0</v>
      </c>
      <c r="G674" s="24">
        <f t="shared" si="3065"/>
        <v>0</v>
      </c>
      <c r="H674" s="24">
        <f t="shared" si="3066"/>
        <v>0</v>
      </c>
      <c r="I674" s="24">
        <f t="shared" si="3067"/>
        <v>0</v>
      </c>
      <c r="J674" s="24">
        <f t="shared" si="3068"/>
        <v>0</v>
      </c>
      <c r="K674" s="8">
        <f t="shared" si="3075"/>
        <v>0</v>
      </c>
      <c r="M674" s="6"/>
      <c r="N674" s="7"/>
      <c r="O674" s="7"/>
      <c r="P674" s="7"/>
      <c r="Q674" s="7"/>
      <c r="R674" s="8">
        <f t="shared" si="3076"/>
        <v>0</v>
      </c>
      <c r="T674" s="6"/>
      <c r="U674" s="7"/>
      <c r="V674" s="7"/>
      <c r="W674" s="7"/>
      <c r="X674" s="7"/>
      <c r="Y674" s="8">
        <f t="shared" si="3077"/>
        <v>0</v>
      </c>
      <c r="AA674" s="6"/>
      <c r="AB674" s="7"/>
      <c r="AC674" s="7"/>
      <c r="AD674" s="7"/>
      <c r="AE674" s="7"/>
      <c r="AF674" s="8">
        <f>SUM(AA674:AE674)</f>
        <v>0</v>
      </c>
      <c r="AH674" s="6"/>
      <c r="AI674" s="7"/>
      <c r="AJ674" s="7"/>
      <c r="AK674" s="7"/>
      <c r="AL674" s="7"/>
      <c r="AM674" s="8">
        <f>SUM(AH674:AL674)</f>
        <v>0</v>
      </c>
      <c r="AO674" s="6"/>
      <c r="AP674" s="7"/>
      <c r="AQ674" s="7"/>
      <c r="AR674" s="7"/>
      <c r="AS674" s="7"/>
      <c r="AT674" s="8">
        <f>SUM(AO674:AS674)</f>
        <v>0</v>
      </c>
      <c r="AV674" s="6"/>
      <c r="AW674" s="7"/>
      <c r="AX674" s="7"/>
      <c r="AY674" s="7"/>
      <c r="AZ674" s="7"/>
      <c r="BA674" s="8">
        <f>SUM(AV674:AZ674)</f>
        <v>0</v>
      </c>
      <c r="BC674" s="6"/>
      <c r="BD674" s="7"/>
      <c r="BE674" s="7"/>
      <c r="BF674" s="7"/>
      <c r="BG674" s="7"/>
      <c r="BH674" s="8">
        <f>SUM(BC674:BG674)</f>
        <v>0</v>
      </c>
      <c r="BJ674" s="6"/>
      <c r="BK674" s="7"/>
      <c r="BL674" s="7"/>
      <c r="BM674" s="7"/>
      <c r="BN674" s="7"/>
      <c r="BO674" s="8">
        <f>SUM(BJ674:BN674)</f>
        <v>0</v>
      </c>
      <c r="BQ674" s="6"/>
      <c r="BR674" s="7"/>
      <c r="BS674" s="7"/>
      <c r="BT674" s="7"/>
      <c r="BU674" s="7"/>
      <c r="BV674" s="8">
        <f>SUM(BQ674:BU674)</f>
        <v>0</v>
      </c>
      <c r="BX674" s="6"/>
      <c r="BY674" s="7"/>
      <c r="BZ674" s="7"/>
      <c r="CA674" s="7"/>
      <c r="CB674" s="7"/>
      <c r="CC674" s="8">
        <f>SUM(BX674:CB674)</f>
        <v>0</v>
      </c>
      <c r="CE674" s="493">
        <f t="shared" si="3069"/>
        <v>0</v>
      </c>
      <c r="CF674" s="494">
        <f t="shared" si="3070"/>
        <v>0</v>
      </c>
      <c r="CG674" s="494">
        <f t="shared" si="3071"/>
        <v>0</v>
      </c>
      <c r="CH674" s="494">
        <f t="shared" si="3072"/>
        <v>0</v>
      </c>
      <c r="CI674" s="494">
        <f t="shared" si="3073"/>
        <v>0</v>
      </c>
      <c r="CJ674" s="495">
        <f>SUM(CE674:CI674)</f>
        <v>0</v>
      </c>
      <c r="CL674" s="6"/>
      <c r="CM674" s="7"/>
      <c r="CN674" s="7"/>
      <c r="CO674" s="7"/>
      <c r="CP674" s="7"/>
      <c r="CQ674" s="8">
        <f>SUM(CL674:CP674)</f>
        <v>0</v>
      </c>
      <c r="CS674" s="6"/>
      <c r="CT674" s="7"/>
      <c r="CU674" s="7"/>
      <c r="CV674" s="7"/>
      <c r="CW674" s="7"/>
      <c r="CX674" s="8">
        <f t="shared" si="3078"/>
        <v>0</v>
      </c>
      <c r="CZ674" s="6"/>
      <c r="DA674" s="7"/>
      <c r="DB674" s="7"/>
      <c r="DC674" s="7"/>
      <c r="DD674" s="7"/>
      <c r="DE674" s="8">
        <f t="shared" si="3079"/>
        <v>0</v>
      </c>
    </row>
    <row r="675" spans="2:110" ht="14" thickBot="1">
      <c r="C675" s="554"/>
      <c r="E675" s="9"/>
      <c r="F675" s="10">
        <f>SUM(F671:F674)</f>
        <v>0</v>
      </c>
      <c r="G675" s="11">
        <f t="shared" ref="G675:J675" si="3080">SUM(G671:G674)</f>
        <v>0</v>
      </c>
      <c r="H675" s="11">
        <f t="shared" si="3080"/>
        <v>0</v>
      </c>
      <c r="I675" s="11">
        <f t="shared" si="3080"/>
        <v>0</v>
      </c>
      <c r="J675" s="11">
        <f t="shared" si="3080"/>
        <v>0</v>
      </c>
      <c r="K675" s="25">
        <f>SUM(K671:K674)</f>
        <v>0</v>
      </c>
      <c r="M675" s="10">
        <f>SUM(M671:M674)</f>
        <v>0</v>
      </c>
      <c r="N675" s="11">
        <f t="shared" ref="N675:Q675" si="3081">SUM(N671:N674)</f>
        <v>0</v>
      </c>
      <c r="O675" s="11">
        <f t="shared" si="3081"/>
        <v>0</v>
      </c>
      <c r="P675" s="11">
        <f t="shared" si="3081"/>
        <v>0</v>
      </c>
      <c r="Q675" s="11">
        <f t="shared" si="3081"/>
        <v>0</v>
      </c>
      <c r="R675" s="25">
        <f>SUM(R671:R674)</f>
        <v>0</v>
      </c>
      <c r="T675" s="10">
        <f>SUM(T671:T674)</f>
        <v>0</v>
      </c>
      <c r="U675" s="11">
        <f t="shared" ref="U675:X675" si="3082">SUM(U671:U674)</f>
        <v>0</v>
      </c>
      <c r="V675" s="11">
        <f t="shared" si="3082"/>
        <v>0</v>
      </c>
      <c r="W675" s="11">
        <f t="shared" si="3082"/>
        <v>0</v>
      </c>
      <c r="X675" s="11">
        <f t="shared" si="3082"/>
        <v>0</v>
      </c>
      <c r="Y675" s="25">
        <f>SUM(Y671:Y674)</f>
        <v>0</v>
      </c>
      <c r="AA675" s="10">
        <f>SUM(AA671:AA674)</f>
        <v>0</v>
      </c>
      <c r="AB675" s="11">
        <f t="shared" ref="AB675:AE675" si="3083">SUM(AB671:AB674)</f>
        <v>0</v>
      </c>
      <c r="AC675" s="11">
        <f t="shared" si="3083"/>
        <v>0</v>
      </c>
      <c r="AD675" s="11">
        <f t="shared" si="3083"/>
        <v>0</v>
      </c>
      <c r="AE675" s="11">
        <f t="shared" si="3083"/>
        <v>0</v>
      </c>
      <c r="AF675" s="25">
        <f>SUM(AF671:AF674)</f>
        <v>0</v>
      </c>
      <c r="AH675" s="10">
        <f t="shared" ref="AH675:AM675" si="3084">SUM(AH671:AH674)</f>
        <v>0</v>
      </c>
      <c r="AI675" s="11">
        <f t="shared" si="3084"/>
        <v>0</v>
      </c>
      <c r="AJ675" s="11">
        <f t="shared" si="3084"/>
        <v>0</v>
      </c>
      <c r="AK675" s="11">
        <f t="shared" si="3084"/>
        <v>0</v>
      </c>
      <c r="AL675" s="11">
        <f t="shared" si="3084"/>
        <v>0</v>
      </c>
      <c r="AM675" s="25">
        <f t="shared" si="3084"/>
        <v>0</v>
      </c>
      <c r="AO675" s="10">
        <f t="shared" ref="AO675:AT675" si="3085">SUM(AO671:AO674)</f>
        <v>0</v>
      </c>
      <c r="AP675" s="11">
        <f t="shared" si="3085"/>
        <v>0</v>
      </c>
      <c r="AQ675" s="11">
        <f t="shared" si="3085"/>
        <v>0</v>
      </c>
      <c r="AR675" s="11">
        <f t="shared" si="3085"/>
        <v>0</v>
      </c>
      <c r="AS675" s="11">
        <f t="shared" si="3085"/>
        <v>0</v>
      </c>
      <c r="AT675" s="25">
        <f t="shared" si="3085"/>
        <v>0</v>
      </c>
      <c r="AV675" s="10">
        <f t="shared" ref="AV675:BA675" si="3086">SUM(AV671:AV674)</f>
        <v>0</v>
      </c>
      <c r="AW675" s="11">
        <f t="shared" si="3086"/>
        <v>0</v>
      </c>
      <c r="AX675" s="11">
        <f t="shared" si="3086"/>
        <v>0</v>
      </c>
      <c r="AY675" s="11">
        <f t="shared" si="3086"/>
        <v>0</v>
      </c>
      <c r="AZ675" s="11">
        <f t="shared" si="3086"/>
        <v>0</v>
      </c>
      <c r="BA675" s="25">
        <f t="shared" si="3086"/>
        <v>0</v>
      </c>
      <c r="BC675" s="10">
        <f t="shared" ref="BC675:BH675" si="3087">SUM(BC671:BC674)</f>
        <v>0</v>
      </c>
      <c r="BD675" s="11">
        <f t="shared" si="3087"/>
        <v>0</v>
      </c>
      <c r="BE675" s="11">
        <f t="shared" si="3087"/>
        <v>0</v>
      </c>
      <c r="BF675" s="11">
        <f t="shared" si="3087"/>
        <v>0</v>
      </c>
      <c r="BG675" s="11">
        <f t="shared" si="3087"/>
        <v>0</v>
      </c>
      <c r="BH675" s="25">
        <f t="shared" si="3087"/>
        <v>0</v>
      </c>
      <c r="BJ675" s="10">
        <f t="shared" ref="BJ675:BO675" si="3088">SUM(BJ671:BJ674)</f>
        <v>0</v>
      </c>
      <c r="BK675" s="11">
        <f t="shared" si="3088"/>
        <v>0</v>
      </c>
      <c r="BL675" s="11">
        <f t="shared" si="3088"/>
        <v>0</v>
      </c>
      <c r="BM675" s="11">
        <f t="shared" si="3088"/>
        <v>0</v>
      </c>
      <c r="BN675" s="11">
        <f t="shared" si="3088"/>
        <v>0</v>
      </c>
      <c r="BO675" s="25">
        <f t="shared" si="3088"/>
        <v>0</v>
      </c>
      <c r="BQ675" s="10">
        <f t="shared" ref="BQ675:BV675" si="3089">SUM(BQ671:BQ674)</f>
        <v>0</v>
      </c>
      <c r="BR675" s="11">
        <f t="shared" si="3089"/>
        <v>0</v>
      </c>
      <c r="BS675" s="11">
        <f t="shared" si="3089"/>
        <v>0</v>
      </c>
      <c r="BT675" s="11">
        <f t="shared" si="3089"/>
        <v>0</v>
      </c>
      <c r="BU675" s="11">
        <f t="shared" si="3089"/>
        <v>0</v>
      </c>
      <c r="BV675" s="25">
        <f t="shared" si="3089"/>
        <v>0</v>
      </c>
      <c r="BX675" s="10">
        <f t="shared" ref="BX675:CC675" si="3090">SUM(BX671:BX674)</f>
        <v>0</v>
      </c>
      <c r="BY675" s="11">
        <f t="shared" si="3090"/>
        <v>0</v>
      </c>
      <c r="BZ675" s="11">
        <f t="shared" si="3090"/>
        <v>0</v>
      </c>
      <c r="CA675" s="11">
        <f t="shared" si="3090"/>
        <v>0</v>
      </c>
      <c r="CB675" s="11">
        <f t="shared" si="3090"/>
        <v>0</v>
      </c>
      <c r="CC675" s="25">
        <f t="shared" si="3090"/>
        <v>0</v>
      </c>
      <c r="CE675" s="62">
        <f t="shared" ref="CE675:CJ675" si="3091">SUM(CE671:CE674)</f>
        <v>0</v>
      </c>
      <c r="CF675" s="63">
        <f t="shared" si="3091"/>
        <v>0</v>
      </c>
      <c r="CG675" s="63">
        <f t="shared" si="3091"/>
        <v>0</v>
      </c>
      <c r="CH675" s="63">
        <f t="shared" si="3091"/>
        <v>0</v>
      </c>
      <c r="CI675" s="63">
        <f t="shared" si="3091"/>
        <v>0</v>
      </c>
      <c r="CJ675" s="25">
        <f t="shared" si="3091"/>
        <v>0</v>
      </c>
      <c r="CL675" s="10">
        <f>SUM(CL671:CL674)</f>
        <v>0</v>
      </c>
      <c r="CM675" s="11">
        <f t="shared" ref="CM675:CQ675" si="3092">SUM(CM671:CM674)</f>
        <v>0</v>
      </c>
      <c r="CN675" s="11">
        <f t="shared" si="3092"/>
        <v>0</v>
      </c>
      <c r="CO675" s="11">
        <f t="shared" si="3092"/>
        <v>0</v>
      </c>
      <c r="CP675" s="11">
        <f t="shared" si="3092"/>
        <v>0</v>
      </c>
      <c r="CQ675" s="25">
        <f t="shared" si="3092"/>
        <v>0</v>
      </c>
      <c r="CS675" s="10">
        <f>SUM(CS671:CS674)</f>
        <v>0</v>
      </c>
      <c r="CT675" s="11">
        <f t="shared" ref="CT675:CW675" si="3093">SUM(CT671:CT674)</f>
        <v>0</v>
      </c>
      <c r="CU675" s="11">
        <f t="shared" si="3093"/>
        <v>0</v>
      </c>
      <c r="CV675" s="11">
        <f t="shared" si="3093"/>
        <v>0</v>
      </c>
      <c r="CW675" s="11">
        <f t="shared" si="3093"/>
        <v>0</v>
      </c>
      <c r="CX675" s="25">
        <f>SUM(CX671:CX674)</f>
        <v>0</v>
      </c>
      <c r="CZ675" s="10">
        <f>SUM(CZ671:CZ674)</f>
        <v>0</v>
      </c>
      <c r="DA675" s="11">
        <f t="shared" ref="DA675:DD675" si="3094">SUM(DA671:DA674)</f>
        <v>0</v>
      </c>
      <c r="DB675" s="11">
        <f t="shared" si="3094"/>
        <v>0</v>
      </c>
      <c r="DC675" s="11">
        <f t="shared" si="3094"/>
        <v>0</v>
      </c>
      <c r="DD675" s="11">
        <f t="shared" si="3094"/>
        <v>0</v>
      </c>
      <c r="DE675" s="25">
        <f>SUM(DE671:DE674)</f>
        <v>0</v>
      </c>
    </row>
    <row r="677" spans="2:110">
      <c r="B677" s="123"/>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row>
    <row r="678" spans="2:110" ht="14" thickBot="1">
      <c r="B678" s="94">
        <v>22</v>
      </c>
      <c r="C678" s="12" t="s">
        <v>83</v>
      </c>
    </row>
    <row r="679" spans="2:110">
      <c r="C679" s="553">
        <v>2024</v>
      </c>
      <c r="E679" s="1" t="s">
        <v>59</v>
      </c>
      <c r="F679" s="2"/>
      <c r="G679" s="3"/>
      <c r="H679" s="3"/>
      <c r="I679" s="3"/>
      <c r="J679" s="3"/>
      <c r="K679" s="4">
        <f>SUM(F679:J679)</f>
        <v>0</v>
      </c>
      <c r="M679" s="2"/>
      <c r="N679" s="3"/>
      <c r="O679" s="3"/>
      <c r="P679" s="3"/>
      <c r="Q679" s="3"/>
      <c r="R679" s="4">
        <f>SUM(M679:Q679)</f>
        <v>0</v>
      </c>
      <c r="T679" s="2"/>
      <c r="U679" s="3"/>
      <c r="V679" s="3"/>
      <c r="W679" s="3"/>
      <c r="X679" s="3"/>
      <c r="Y679" s="4">
        <f>SUM(T679:X679)</f>
        <v>0</v>
      </c>
      <c r="AA679" s="2"/>
      <c r="AB679" s="3"/>
      <c r="AC679" s="3"/>
      <c r="AD679" s="3"/>
      <c r="AE679" s="3"/>
      <c r="AF679" s="4">
        <f>SUM(AA679:AE679)</f>
        <v>0</v>
      </c>
      <c r="AH679" s="2"/>
      <c r="AI679" s="3"/>
      <c r="AJ679" s="3"/>
      <c r="AK679" s="3"/>
      <c r="AL679" s="3"/>
      <c r="AM679" s="4">
        <f>SUM(AH679:AL679)</f>
        <v>0</v>
      </c>
      <c r="AO679" s="2"/>
      <c r="AP679" s="3"/>
      <c r="AQ679" s="3"/>
      <c r="AR679" s="3"/>
      <c r="AS679" s="3"/>
      <c r="AT679" s="4">
        <f>SUM(AO679:AS679)</f>
        <v>0</v>
      </c>
      <c r="AV679" s="2"/>
      <c r="AW679" s="3"/>
      <c r="AX679" s="3"/>
      <c r="AY679" s="3"/>
      <c r="AZ679" s="3"/>
      <c r="BA679" s="4">
        <f>SUM(AV679:AZ679)</f>
        <v>0</v>
      </c>
      <c r="BC679" s="2"/>
      <c r="BD679" s="3"/>
      <c r="BE679" s="3"/>
      <c r="BF679" s="3"/>
      <c r="BG679" s="3"/>
      <c r="BH679" s="4">
        <f>SUM(BC679:BG679)</f>
        <v>0</v>
      </c>
      <c r="BJ679" s="2"/>
      <c r="BK679" s="3"/>
      <c r="BL679" s="3"/>
      <c r="BM679" s="3"/>
      <c r="BN679" s="3"/>
      <c r="BO679" s="4">
        <f>SUM(BJ679:BN679)</f>
        <v>0</v>
      </c>
      <c r="BQ679" s="2"/>
      <c r="BR679" s="3"/>
      <c r="BS679" s="3"/>
      <c r="BT679" s="3"/>
      <c r="BU679" s="3"/>
      <c r="BV679" s="4">
        <f>SUM(BQ679:BU679)</f>
        <v>0</v>
      </c>
      <c r="BX679" s="2"/>
      <c r="BY679" s="3"/>
      <c r="BZ679" s="3"/>
      <c r="CA679" s="3"/>
      <c r="CB679" s="3"/>
      <c r="CC679" s="4">
        <f>SUM(BX679:CB679)</f>
        <v>0</v>
      </c>
      <c r="CE679" s="26">
        <f t="shared" ref="CE679:CE682" si="3095">F679+M679+T679+AA679+AH679+AO679+AV679+BC679+BJ679+BQ679+BX679</f>
        <v>0</v>
      </c>
      <c r="CF679" s="27">
        <f t="shared" ref="CF679:CF682" si="3096">G679+N679+U679+AB679+AI679+AP679+AW679+BD679+BK679+BR679+BY679</f>
        <v>0</v>
      </c>
      <c r="CG679" s="27">
        <f t="shared" ref="CG679:CG682" si="3097">H679+O679+V679+AC679+AJ679+AQ679+AX679+BE679+BL679+BS679+BZ679</f>
        <v>0</v>
      </c>
      <c r="CH679" s="27">
        <f t="shared" ref="CH679:CH682" si="3098">I679+P679+W679+AD679+AK679+AR679+AY679+BF679+BM679+BT679+CA679</f>
        <v>0</v>
      </c>
      <c r="CI679" s="27">
        <f t="shared" ref="CI679:CI682" si="3099">J679+Q679+X679+AE679+AL679+AS679+AZ679+BG679+BN679+BU679+CB679</f>
        <v>0</v>
      </c>
      <c r="CJ679" s="4">
        <f>SUM(CE679:CI679)</f>
        <v>0</v>
      </c>
      <c r="CL679" s="2"/>
      <c r="CM679" s="3"/>
      <c r="CN679" s="3"/>
      <c r="CO679" s="3"/>
      <c r="CP679" s="3"/>
      <c r="CQ679" s="4">
        <f>SUM(CL679:CP679)</f>
        <v>0</v>
      </c>
      <c r="CS679" s="2"/>
      <c r="CT679" s="3"/>
      <c r="CU679" s="3"/>
      <c r="CV679" s="3"/>
      <c r="CW679" s="3"/>
      <c r="CX679" s="4">
        <f>SUM(CS679:CW679)</f>
        <v>0</v>
      </c>
      <c r="CZ679" s="2"/>
      <c r="DA679" s="3"/>
      <c r="DB679" s="3"/>
      <c r="DC679" s="3"/>
      <c r="DD679" s="3"/>
      <c r="DE679" s="4">
        <f>SUM(CZ679:DD679)</f>
        <v>0</v>
      </c>
    </row>
    <row r="680" spans="2:110">
      <c r="C680" s="567"/>
      <c r="E680" s="5" t="s">
        <v>60</v>
      </c>
      <c r="F680" s="6"/>
      <c r="G680" s="7"/>
      <c r="H680" s="7"/>
      <c r="I680" s="7"/>
      <c r="J680" s="7"/>
      <c r="K680" s="8">
        <f t="shared" ref="K680:K682" si="3100">SUM(F680:J680)</f>
        <v>0</v>
      </c>
      <c r="M680" s="6"/>
      <c r="N680" s="7"/>
      <c r="O680" s="7"/>
      <c r="P680" s="7"/>
      <c r="Q680" s="7"/>
      <c r="R680" s="8">
        <f t="shared" ref="R680:R682" si="3101">SUM(M680:Q680)</f>
        <v>0</v>
      </c>
      <c r="T680" s="6"/>
      <c r="U680" s="7"/>
      <c r="V680" s="7"/>
      <c r="W680" s="7"/>
      <c r="X680" s="7"/>
      <c r="Y680" s="8">
        <f t="shared" ref="Y680:Y682" si="3102">SUM(T680:X680)</f>
        <v>0</v>
      </c>
      <c r="AA680" s="6"/>
      <c r="AB680" s="7"/>
      <c r="AC680" s="7"/>
      <c r="AD680" s="7"/>
      <c r="AE680" s="7"/>
      <c r="AF680" s="8">
        <f>SUM(AA680:AE680)</f>
        <v>0</v>
      </c>
      <c r="AH680" s="6"/>
      <c r="AI680" s="7"/>
      <c r="AJ680" s="7"/>
      <c r="AK680" s="7"/>
      <c r="AL680" s="7"/>
      <c r="AM680" s="8">
        <f>SUM(AH680:AL680)</f>
        <v>0</v>
      </c>
      <c r="AO680" s="6"/>
      <c r="AP680" s="7"/>
      <c r="AQ680" s="7"/>
      <c r="AR680" s="7"/>
      <c r="AS680" s="7"/>
      <c r="AT680" s="8">
        <f>SUM(AO680:AS680)</f>
        <v>0</v>
      </c>
      <c r="AV680" s="6"/>
      <c r="AW680" s="7"/>
      <c r="AX680" s="7"/>
      <c r="AY680" s="7"/>
      <c r="AZ680" s="7"/>
      <c r="BA680" s="8">
        <f>SUM(AV680:AZ680)</f>
        <v>0</v>
      </c>
      <c r="BC680" s="6"/>
      <c r="BD680" s="7"/>
      <c r="BE680" s="7"/>
      <c r="BF680" s="7"/>
      <c r="BG680" s="7"/>
      <c r="BH680" s="8">
        <f>SUM(BC680:BG680)</f>
        <v>0</v>
      </c>
      <c r="BJ680" s="6"/>
      <c r="BK680" s="7"/>
      <c r="BL680" s="7"/>
      <c r="BM680" s="7"/>
      <c r="BN680" s="7"/>
      <c r="BO680" s="8">
        <f>SUM(BJ680:BN680)</f>
        <v>0</v>
      </c>
      <c r="BQ680" s="6"/>
      <c r="BR680" s="7"/>
      <c r="BS680" s="7"/>
      <c r="BT680" s="7"/>
      <c r="BU680" s="7"/>
      <c r="BV680" s="8">
        <f>SUM(BQ680:BU680)</f>
        <v>0</v>
      </c>
      <c r="BX680" s="6"/>
      <c r="BY680" s="7"/>
      <c r="BZ680" s="7"/>
      <c r="CA680" s="7"/>
      <c r="CB680" s="7"/>
      <c r="CC680" s="8">
        <f>SUM(BX680:CB680)</f>
        <v>0</v>
      </c>
      <c r="CE680" s="28">
        <f t="shared" si="3095"/>
        <v>0</v>
      </c>
      <c r="CF680" s="29">
        <f t="shared" si="3096"/>
        <v>0</v>
      </c>
      <c r="CG680" s="29">
        <f t="shared" si="3097"/>
        <v>0</v>
      </c>
      <c r="CH680" s="29">
        <f t="shared" si="3098"/>
        <v>0</v>
      </c>
      <c r="CI680" s="29">
        <f t="shared" si="3099"/>
        <v>0</v>
      </c>
      <c r="CJ680" s="8">
        <f>SUM(CE680:CI680)</f>
        <v>0</v>
      </c>
      <c r="CL680" s="6"/>
      <c r="CM680" s="7"/>
      <c r="CN680" s="7"/>
      <c r="CO680" s="7"/>
      <c r="CP680" s="7"/>
      <c r="CQ680" s="8">
        <f>SUM(CL680:CP680)</f>
        <v>0</v>
      </c>
      <c r="CS680" s="6"/>
      <c r="CT680" s="7"/>
      <c r="CU680" s="7"/>
      <c r="CV680" s="7"/>
      <c r="CW680" s="7"/>
      <c r="CX680" s="8">
        <f t="shared" ref="CX680:CX682" si="3103">SUM(CS680:CW680)</f>
        <v>0</v>
      </c>
      <c r="CZ680" s="6"/>
      <c r="DA680" s="7"/>
      <c r="DB680" s="7"/>
      <c r="DC680" s="7"/>
      <c r="DD680" s="7"/>
      <c r="DE680" s="8">
        <f t="shared" ref="DE680:DE682" si="3104">SUM(CZ680:DD680)</f>
        <v>0</v>
      </c>
    </row>
    <row r="681" spans="2:110">
      <c r="C681" s="567"/>
      <c r="E681" s="5" t="s">
        <v>61</v>
      </c>
      <c r="F681" s="6"/>
      <c r="G681" s="7"/>
      <c r="H681" s="7"/>
      <c r="I681" s="7"/>
      <c r="J681" s="7"/>
      <c r="K681" s="8">
        <f t="shared" si="3100"/>
        <v>0</v>
      </c>
      <c r="M681" s="6"/>
      <c r="N681" s="7"/>
      <c r="O681" s="7"/>
      <c r="P681" s="7"/>
      <c r="Q681" s="7"/>
      <c r="R681" s="8">
        <f t="shared" si="3101"/>
        <v>0</v>
      </c>
      <c r="T681" s="6"/>
      <c r="U681" s="7"/>
      <c r="V681" s="7"/>
      <c r="W681" s="7"/>
      <c r="X681" s="7"/>
      <c r="Y681" s="8">
        <f t="shared" si="3102"/>
        <v>0</v>
      </c>
      <c r="AA681" s="6"/>
      <c r="AB681" s="7"/>
      <c r="AC681" s="7"/>
      <c r="AD681" s="7"/>
      <c r="AE681" s="7"/>
      <c r="AF681" s="8">
        <f>SUM(AA681:AE681)</f>
        <v>0</v>
      </c>
      <c r="AH681" s="6"/>
      <c r="AI681" s="7"/>
      <c r="AJ681" s="7"/>
      <c r="AK681" s="7"/>
      <c r="AL681" s="7"/>
      <c r="AM681" s="8">
        <f>SUM(AH681:AL681)</f>
        <v>0</v>
      </c>
      <c r="AO681" s="6"/>
      <c r="AP681" s="7"/>
      <c r="AQ681" s="7"/>
      <c r="AR681" s="7"/>
      <c r="AS681" s="7"/>
      <c r="AT681" s="8">
        <f>SUM(AO681:AS681)</f>
        <v>0</v>
      </c>
      <c r="AV681" s="6"/>
      <c r="AW681" s="7"/>
      <c r="AX681" s="7"/>
      <c r="AY681" s="7"/>
      <c r="AZ681" s="7"/>
      <c r="BA681" s="8">
        <f>SUM(AV681:AZ681)</f>
        <v>0</v>
      </c>
      <c r="BC681" s="6"/>
      <c r="BD681" s="7"/>
      <c r="BE681" s="7"/>
      <c r="BF681" s="7"/>
      <c r="BG681" s="7"/>
      <c r="BH681" s="8">
        <f>SUM(BC681:BG681)</f>
        <v>0</v>
      </c>
      <c r="BJ681" s="6"/>
      <c r="BK681" s="7"/>
      <c r="BL681" s="7"/>
      <c r="BM681" s="7"/>
      <c r="BN681" s="7"/>
      <c r="BO681" s="8">
        <f>SUM(BJ681:BN681)</f>
        <v>0</v>
      </c>
      <c r="BQ681" s="6"/>
      <c r="BR681" s="7"/>
      <c r="BS681" s="7"/>
      <c r="BT681" s="7"/>
      <c r="BU681" s="7"/>
      <c r="BV681" s="8">
        <f>SUM(BQ681:BU681)</f>
        <v>0</v>
      </c>
      <c r="BX681" s="6"/>
      <c r="BY681" s="7"/>
      <c r="BZ681" s="7"/>
      <c r="CA681" s="7"/>
      <c r="CB681" s="7"/>
      <c r="CC681" s="8">
        <f>SUM(BX681:CB681)</f>
        <v>0</v>
      </c>
      <c r="CE681" s="28">
        <f t="shared" si="3095"/>
        <v>0</v>
      </c>
      <c r="CF681" s="29">
        <f t="shared" si="3096"/>
        <v>0</v>
      </c>
      <c r="CG681" s="29">
        <f t="shared" si="3097"/>
        <v>0</v>
      </c>
      <c r="CH681" s="29">
        <f t="shared" si="3098"/>
        <v>0</v>
      </c>
      <c r="CI681" s="29">
        <f t="shared" si="3099"/>
        <v>0</v>
      </c>
      <c r="CJ681" s="8">
        <f>SUM(CE681:CI681)</f>
        <v>0</v>
      </c>
      <c r="CL681" s="6"/>
      <c r="CM681" s="7"/>
      <c r="CN681" s="7"/>
      <c r="CO681" s="7"/>
      <c r="CP681" s="7"/>
      <c r="CQ681" s="8">
        <f>SUM(CL681:CP681)</f>
        <v>0</v>
      </c>
      <c r="CS681" s="6"/>
      <c r="CT681" s="7"/>
      <c r="CU681" s="7"/>
      <c r="CV681" s="7"/>
      <c r="CW681" s="7"/>
      <c r="CX681" s="8">
        <f t="shared" si="3103"/>
        <v>0</v>
      </c>
      <c r="CZ681" s="6"/>
      <c r="DA681" s="7"/>
      <c r="DB681" s="7"/>
      <c r="DC681" s="7"/>
      <c r="DD681" s="7"/>
      <c r="DE681" s="8">
        <f t="shared" si="3104"/>
        <v>0</v>
      </c>
    </row>
    <row r="682" spans="2:110" ht="14" thickBot="1">
      <c r="C682" s="567"/>
      <c r="E682" s="5" t="s">
        <v>62</v>
      </c>
      <c r="F682" s="6"/>
      <c r="G682" s="7"/>
      <c r="H682" s="7"/>
      <c r="I682" s="7"/>
      <c r="J682" s="7"/>
      <c r="K682" s="8">
        <f t="shared" si="3100"/>
        <v>0</v>
      </c>
      <c r="M682" s="6"/>
      <c r="N682" s="7"/>
      <c r="O682" s="7"/>
      <c r="P682" s="7"/>
      <c r="Q682" s="7"/>
      <c r="R682" s="8">
        <f t="shared" si="3101"/>
        <v>0</v>
      </c>
      <c r="T682" s="6"/>
      <c r="U682" s="7"/>
      <c r="V682" s="7"/>
      <c r="W682" s="7"/>
      <c r="X682" s="7"/>
      <c r="Y682" s="8">
        <f t="shared" si="3102"/>
        <v>0</v>
      </c>
      <c r="AA682" s="6"/>
      <c r="AB682" s="7"/>
      <c r="AC682" s="7"/>
      <c r="AD682" s="7"/>
      <c r="AE682" s="7"/>
      <c r="AF682" s="8">
        <f>SUM(AA682:AE682)</f>
        <v>0</v>
      </c>
      <c r="AH682" s="6"/>
      <c r="AI682" s="7"/>
      <c r="AJ682" s="7"/>
      <c r="AK682" s="7"/>
      <c r="AL682" s="7"/>
      <c r="AM682" s="8">
        <f>SUM(AH682:AL682)</f>
        <v>0</v>
      </c>
      <c r="AO682" s="6"/>
      <c r="AP682" s="7"/>
      <c r="AQ682" s="7"/>
      <c r="AR682" s="7"/>
      <c r="AS682" s="7"/>
      <c r="AT682" s="8">
        <f>SUM(AO682:AS682)</f>
        <v>0</v>
      </c>
      <c r="AV682" s="6"/>
      <c r="AW682" s="7"/>
      <c r="AX682" s="7"/>
      <c r="AY682" s="7"/>
      <c r="AZ682" s="7"/>
      <c r="BA682" s="8">
        <f>SUM(AV682:AZ682)</f>
        <v>0</v>
      </c>
      <c r="BC682" s="6"/>
      <c r="BD682" s="7"/>
      <c r="BE682" s="7"/>
      <c r="BF682" s="7"/>
      <c r="BG682" s="7"/>
      <c r="BH682" s="8">
        <f>SUM(BC682:BG682)</f>
        <v>0</v>
      </c>
      <c r="BJ682" s="6"/>
      <c r="BK682" s="7"/>
      <c r="BL682" s="7"/>
      <c r="BM682" s="7"/>
      <c r="BN682" s="7"/>
      <c r="BO682" s="8">
        <f>SUM(BJ682:BN682)</f>
        <v>0</v>
      </c>
      <c r="BQ682" s="6"/>
      <c r="BR682" s="7"/>
      <c r="BS682" s="7"/>
      <c r="BT682" s="7"/>
      <c r="BU682" s="7"/>
      <c r="BV682" s="8">
        <f>SUM(BQ682:BU682)</f>
        <v>0</v>
      </c>
      <c r="BX682" s="6"/>
      <c r="BY682" s="7"/>
      <c r="BZ682" s="7"/>
      <c r="CA682" s="7"/>
      <c r="CB682" s="7"/>
      <c r="CC682" s="8">
        <f>SUM(BX682:CB682)</f>
        <v>0</v>
      </c>
      <c r="CE682" s="493">
        <f t="shared" si="3095"/>
        <v>0</v>
      </c>
      <c r="CF682" s="494">
        <f t="shared" si="3096"/>
        <v>0</v>
      </c>
      <c r="CG682" s="494">
        <f t="shared" si="3097"/>
        <v>0</v>
      </c>
      <c r="CH682" s="494">
        <f t="shared" si="3098"/>
        <v>0</v>
      </c>
      <c r="CI682" s="494">
        <f t="shared" si="3099"/>
        <v>0</v>
      </c>
      <c r="CJ682" s="495">
        <f>SUM(CE682:CI682)</f>
        <v>0</v>
      </c>
      <c r="CL682" s="6"/>
      <c r="CM682" s="7"/>
      <c r="CN682" s="7"/>
      <c r="CO682" s="7"/>
      <c r="CP682" s="7"/>
      <c r="CQ682" s="8">
        <f>SUM(CL682:CP682)</f>
        <v>0</v>
      </c>
      <c r="CS682" s="6"/>
      <c r="CT682" s="7"/>
      <c r="CU682" s="7"/>
      <c r="CV682" s="7"/>
      <c r="CW682" s="7"/>
      <c r="CX682" s="8">
        <f t="shared" si="3103"/>
        <v>0</v>
      </c>
      <c r="CZ682" s="6"/>
      <c r="DA682" s="7"/>
      <c r="DB682" s="7"/>
      <c r="DC682" s="7"/>
      <c r="DD682" s="7"/>
      <c r="DE682" s="8">
        <f t="shared" si="3104"/>
        <v>0</v>
      </c>
    </row>
    <row r="683" spans="2:110" ht="14" thickBot="1">
      <c r="C683" s="554"/>
      <c r="E683" s="9"/>
      <c r="F683" s="10">
        <f>SUM(F679:F682)</f>
        <v>0</v>
      </c>
      <c r="G683" s="11">
        <f t="shared" ref="G683:J683" si="3105">SUM(G679:G682)</f>
        <v>0</v>
      </c>
      <c r="H683" s="11">
        <f t="shared" si="3105"/>
        <v>0</v>
      </c>
      <c r="I683" s="11">
        <f t="shared" si="3105"/>
        <v>0</v>
      </c>
      <c r="J683" s="61">
        <f t="shared" si="3105"/>
        <v>0</v>
      </c>
      <c r="K683" s="25">
        <f>SUM(K679:K682)</f>
        <v>0</v>
      </c>
      <c r="M683" s="10">
        <f>SUM(M679:M682)</f>
        <v>0</v>
      </c>
      <c r="N683" s="11">
        <f t="shared" ref="N683:Q683" si="3106">SUM(N679:N682)</f>
        <v>0</v>
      </c>
      <c r="O683" s="11">
        <f t="shared" si="3106"/>
        <v>0</v>
      </c>
      <c r="P683" s="11">
        <f t="shared" si="3106"/>
        <v>0</v>
      </c>
      <c r="Q683" s="11">
        <f t="shared" si="3106"/>
        <v>0</v>
      </c>
      <c r="R683" s="25">
        <f>SUM(R679:R682)</f>
        <v>0</v>
      </c>
      <c r="T683" s="10">
        <f>SUM(T679:T682)</f>
        <v>0</v>
      </c>
      <c r="U683" s="11">
        <f t="shared" ref="U683:X683" si="3107">SUM(U679:U682)</f>
        <v>0</v>
      </c>
      <c r="V683" s="11">
        <f t="shared" si="3107"/>
        <v>0</v>
      </c>
      <c r="W683" s="11">
        <f t="shared" si="3107"/>
        <v>0</v>
      </c>
      <c r="X683" s="11">
        <f t="shared" si="3107"/>
        <v>0</v>
      </c>
      <c r="Y683" s="25">
        <f>SUM(Y679:Y682)</f>
        <v>0</v>
      </c>
      <c r="AA683" s="10">
        <f>SUM(AA679:AA682)</f>
        <v>0</v>
      </c>
      <c r="AB683" s="11">
        <f t="shared" ref="AB683:AE683" si="3108">SUM(AB679:AB682)</f>
        <v>0</v>
      </c>
      <c r="AC683" s="11">
        <f t="shared" si="3108"/>
        <v>0</v>
      </c>
      <c r="AD683" s="11">
        <f t="shared" si="3108"/>
        <v>0</v>
      </c>
      <c r="AE683" s="11">
        <f t="shared" si="3108"/>
        <v>0</v>
      </c>
      <c r="AF683" s="25">
        <f>SUM(AF679:AF682)</f>
        <v>0</v>
      </c>
      <c r="AH683" s="10">
        <f t="shared" ref="AH683:AM683" si="3109">SUM(AH679:AH682)</f>
        <v>0</v>
      </c>
      <c r="AI683" s="11">
        <f t="shared" si="3109"/>
        <v>0</v>
      </c>
      <c r="AJ683" s="11">
        <f t="shared" si="3109"/>
        <v>0</v>
      </c>
      <c r="AK683" s="11">
        <f t="shared" si="3109"/>
        <v>0</v>
      </c>
      <c r="AL683" s="11">
        <f t="shared" si="3109"/>
        <v>0</v>
      </c>
      <c r="AM683" s="25">
        <f t="shared" si="3109"/>
        <v>0</v>
      </c>
      <c r="AO683" s="10">
        <f t="shared" ref="AO683:AT683" si="3110">SUM(AO679:AO682)</f>
        <v>0</v>
      </c>
      <c r="AP683" s="11">
        <f t="shared" si="3110"/>
        <v>0</v>
      </c>
      <c r="AQ683" s="11">
        <f t="shared" si="3110"/>
        <v>0</v>
      </c>
      <c r="AR683" s="11">
        <f t="shared" si="3110"/>
        <v>0</v>
      </c>
      <c r="AS683" s="11">
        <f t="shared" si="3110"/>
        <v>0</v>
      </c>
      <c r="AT683" s="25">
        <f t="shared" si="3110"/>
        <v>0</v>
      </c>
      <c r="AV683" s="10">
        <f t="shared" ref="AV683:BA683" si="3111">SUM(AV679:AV682)</f>
        <v>0</v>
      </c>
      <c r="AW683" s="11">
        <f t="shared" si="3111"/>
        <v>0</v>
      </c>
      <c r="AX683" s="11">
        <f t="shared" si="3111"/>
        <v>0</v>
      </c>
      <c r="AY683" s="11">
        <f t="shared" si="3111"/>
        <v>0</v>
      </c>
      <c r="AZ683" s="11">
        <f t="shared" si="3111"/>
        <v>0</v>
      </c>
      <c r="BA683" s="25">
        <f t="shared" si="3111"/>
        <v>0</v>
      </c>
      <c r="BC683" s="10">
        <f t="shared" ref="BC683:BH683" si="3112">SUM(BC679:BC682)</f>
        <v>0</v>
      </c>
      <c r="BD683" s="11">
        <f t="shared" si="3112"/>
        <v>0</v>
      </c>
      <c r="BE683" s="11">
        <f t="shared" si="3112"/>
        <v>0</v>
      </c>
      <c r="BF683" s="11">
        <f t="shared" si="3112"/>
        <v>0</v>
      </c>
      <c r="BG683" s="11">
        <f t="shared" si="3112"/>
        <v>0</v>
      </c>
      <c r="BH683" s="25">
        <f t="shared" si="3112"/>
        <v>0</v>
      </c>
      <c r="BJ683" s="10">
        <f t="shared" ref="BJ683:BO683" si="3113">SUM(BJ679:BJ682)</f>
        <v>0</v>
      </c>
      <c r="BK683" s="11">
        <f t="shared" si="3113"/>
        <v>0</v>
      </c>
      <c r="BL683" s="11">
        <f t="shared" si="3113"/>
        <v>0</v>
      </c>
      <c r="BM683" s="11">
        <f t="shared" si="3113"/>
        <v>0</v>
      </c>
      <c r="BN683" s="11">
        <f t="shared" si="3113"/>
        <v>0</v>
      </c>
      <c r="BO683" s="25">
        <f t="shared" si="3113"/>
        <v>0</v>
      </c>
      <c r="BQ683" s="10">
        <f t="shared" ref="BQ683:BV683" si="3114">SUM(BQ679:BQ682)</f>
        <v>0</v>
      </c>
      <c r="BR683" s="11">
        <f t="shared" si="3114"/>
        <v>0</v>
      </c>
      <c r="BS683" s="11">
        <f t="shared" si="3114"/>
        <v>0</v>
      </c>
      <c r="BT683" s="11">
        <f t="shared" si="3114"/>
        <v>0</v>
      </c>
      <c r="BU683" s="11">
        <f t="shared" si="3114"/>
        <v>0</v>
      </c>
      <c r="BV683" s="25">
        <f t="shared" si="3114"/>
        <v>0</v>
      </c>
      <c r="BX683" s="10">
        <f t="shared" ref="BX683:CC683" si="3115">SUM(BX679:BX682)</f>
        <v>0</v>
      </c>
      <c r="BY683" s="11">
        <f t="shared" si="3115"/>
        <v>0</v>
      </c>
      <c r="BZ683" s="11">
        <f t="shared" si="3115"/>
        <v>0</v>
      </c>
      <c r="CA683" s="11">
        <f t="shared" si="3115"/>
        <v>0</v>
      </c>
      <c r="CB683" s="11">
        <f t="shared" si="3115"/>
        <v>0</v>
      </c>
      <c r="CC683" s="25">
        <f t="shared" si="3115"/>
        <v>0</v>
      </c>
      <c r="CE683" s="62">
        <f t="shared" ref="CE683:CJ683" si="3116">SUM(CE679:CE682)</f>
        <v>0</v>
      </c>
      <c r="CF683" s="63">
        <f t="shared" si="3116"/>
        <v>0</v>
      </c>
      <c r="CG683" s="63">
        <f t="shared" si="3116"/>
        <v>0</v>
      </c>
      <c r="CH683" s="63">
        <f t="shared" si="3116"/>
        <v>0</v>
      </c>
      <c r="CI683" s="63">
        <f t="shared" si="3116"/>
        <v>0</v>
      </c>
      <c r="CJ683" s="25">
        <f t="shared" si="3116"/>
        <v>0</v>
      </c>
      <c r="CL683" s="10">
        <f>SUM(CL679:CL682)</f>
        <v>0</v>
      </c>
      <c r="CM683" s="11">
        <f t="shared" ref="CM683:CQ683" si="3117">SUM(CM679:CM682)</f>
        <v>0</v>
      </c>
      <c r="CN683" s="11">
        <f t="shared" si="3117"/>
        <v>0</v>
      </c>
      <c r="CO683" s="11">
        <f t="shared" si="3117"/>
        <v>0</v>
      </c>
      <c r="CP683" s="11">
        <f t="shared" si="3117"/>
        <v>0</v>
      </c>
      <c r="CQ683" s="25">
        <f t="shared" si="3117"/>
        <v>0</v>
      </c>
      <c r="CS683" s="10">
        <f>SUM(CS679:CS682)</f>
        <v>0</v>
      </c>
      <c r="CT683" s="11">
        <f t="shared" ref="CT683:CW683" si="3118">SUM(CT679:CT682)</f>
        <v>0</v>
      </c>
      <c r="CU683" s="11">
        <f t="shared" si="3118"/>
        <v>0</v>
      </c>
      <c r="CV683" s="11">
        <f t="shared" si="3118"/>
        <v>0</v>
      </c>
      <c r="CW683" s="11">
        <f t="shared" si="3118"/>
        <v>0</v>
      </c>
      <c r="CX683" s="25">
        <f>SUM(CX679:CX682)</f>
        <v>0</v>
      </c>
      <c r="CZ683" s="10">
        <f>SUM(CZ679:CZ682)</f>
        <v>0</v>
      </c>
      <c r="DA683" s="11">
        <f t="shared" ref="DA683:DD683" si="3119">SUM(DA679:DA682)</f>
        <v>0</v>
      </c>
      <c r="DB683" s="11">
        <f t="shared" si="3119"/>
        <v>0</v>
      </c>
      <c r="DC683" s="11">
        <f t="shared" si="3119"/>
        <v>0</v>
      </c>
      <c r="DD683" s="11">
        <f t="shared" si="3119"/>
        <v>0</v>
      </c>
      <c r="DE683" s="25">
        <f>SUM(DE679:DE682)</f>
        <v>0</v>
      </c>
    </row>
    <row r="684" spans="2:110" ht="10.4" customHeight="1" thickBot="1"/>
    <row r="685" spans="2:110">
      <c r="C685" s="553">
        <v>2025</v>
      </c>
      <c r="E685" s="13" t="s">
        <v>59</v>
      </c>
      <c r="F685" s="21">
        <f>CE679</f>
        <v>0</v>
      </c>
      <c r="G685" s="22">
        <f t="shared" ref="G685:G688" si="3120">CF679</f>
        <v>0</v>
      </c>
      <c r="H685" s="22">
        <f t="shared" ref="H685:H688" si="3121">CG679</f>
        <v>0</v>
      </c>
      <c r="I685" s="22">
        <f t="shared" ref="I685:I688" si="3122">CH679</f>
        <v>0</v>
      </c>
      <c r="J685" s="22">
        <f t="shared" ref="J685:J688" si="3123">CI679</f>
        <v>0</v>
      </c>
      <c r="K685" s="15">
        <f>SUM(F685:J685)</f>
        <v>0</v>
      </c>
      <c r="M685" s="2"/>
      <c r="N685" s="3"/>
      <c r="O685" s="3"/>
      <c r="P685" s="3"/>
      <c r="Q685" s="3"/>
      <c r="R685" s="15">
        <f>SUM(M685:Q685)</f>
        <v>0</v>
      </c>
      <c r="T685" s="2"/>
      <c r="U685" s="3"/>
      <c r="V685" s="3"/>
      <c r="W685" s="3"/>
      <c r="X685" s="3"/>
      <c r="Y685" s="15">
        <f>SUM(T685:X685)</f>
        <v>0</v>
      </c>
      <c r="AA685" s="2"/>
      <c r="AB685" s="3"/>
      <c r="AC685" s="3"/>
      <c r="AD685" s="3"/>
      <c r="AE685" s="3"/>
      <c r="AF685" s="15">
        <f>SUM(AA685:AE685)</f>
        <v>0</v>
      </c>
      <c r="AH685" s="2"/>
      <c r="AI685" s="3"/>
      <c r="AJ685" s="3"/>
      <c r="AK685" s="3"/>
      <c r="AL685" s="3"/>
      <c r="AM685" s="15">
        <f>SUM(AH685:AL685)</f>
        <v>0</v>
      </c>
      <c r="AO685" s="2"/>
      <c r="AP685" s="3"/>
      <c r="AQ685" s="3"/>
      <c r="AR685" s="3"/>
      <c r="AS685" s="3"/>
      <c r="AT685" s="15">
        <f>SUM(AO685:AS685)</f>
        <v>0</v>
      </c>
      <c r="AV685" s="2"/>
      <c r="AW685" s="3"/>
      <c r="AX685" s="3"/>
      <c r="AY685" s="3"/>
      <c r="AZ685" s="3"/>
      <c r="BA685" s="15">
        <f>SUM(AV685:AZ685)</f>
        <v>0</v>
      </c>
      <c r="BC685" s="2"/>
      <c r="BD685" s="3"/>
      <c r="BE685" s="3"/>
      <c r="BF685" s="3"/>
      <c r="BG685" s="3"/>
      <c r="BH685" s="15">
        <f>SUM(BC685:BG685)</f>
        <v>0</v>
      </c>
      <c r="BJ685" s="2"/>
      <c r="BK685" s="3"/>
      <c r="BL685" s="3"/>
      <c r="BM685" s="3"/>
      <c r="BN685" s="3"/>
      <c r="BO685" s="15">
        <f>SUM(BJ685:BN685)</f>
        <v>0</v>
      </c>
      <c r="BQ685" s="2"/>
      <c r="BR685" s="3"/>
      <c r="BS685" s="3"/>
      <c r="BT685" s="3"/>
      <c r="BU685" s="3"/>
      <c r="BV685" s="15">
        <f>SUM(BQ685:BU685)</f>
        <v>0</v>
      </c>
      <c r="BX685" s="2"/>
      <c r="BY685" s="3"/>
      <c r="BZ685" s="3"/>
      <c r="CA685" s="3"/>
      <c r="CB685" s="3"/>
      <c r="CC685" s="15">
        <f>SUM(BX685:CB685)</f>
        <v>0</v>
      </c>
      <c r="CE685" s="26">
        <f t="shared" ref="CE685:CE688" si="3124">F685+M685+T685+AA685+AH685+AO685+AV685+BC685+BJ685+BQ685+BX685</f>
        <v>0</v>
      </c>
      <c r="CF685" s="27">
        <f t="shared" ref="CF685:CF688" si="3125">G685+N685+U685+AB685+AI685+AP685+AW685+BD685+BK685+BR685+BY685</f>
        <v>0</v>
      </c>
      <c r="CG685" s="27">
        <f t="shared" ref="CG685:CG688" si="3126">H685+O685+V685+AC685+AJ685+AQ685+AX685+BE685+BL685+BS685+BZ685</f>
        <v>0</v>
      </c>
      <c r="CH685" s="27">
        <f t="shared" ref="CH685:CH688" si="3127">I685+P685+W685+AD685+AK685+AR685+AY685+BF685+BM685+BT685+CA685</f>
        <v>0</v>
      </c>
      <c r="CI685" s="27">
        <f t="shared" ref="CI685:CI688" si="3128">J685+Q685+X685+AE685+AL685+AS685+AZ685+BG685+BN685+BU685+CB685</f>
        <v>0</v>
      </c>
      <c r="CJ685" s="4">
        <f>SUM(CE685:CI685)</f>
        <v>0</v>
      </c>
      <c r="CL685" s="2"/>
      <c r="CM685" s="3"/>
      <c r="CN685" s="3"/>
      <c r="CO685" s="3"/>
      <c r="CP685" s="3"/>
      <c r="CQ685" s="15">
        <f>SUM(CL685:CP685)</f>
        <v>0</v>
      </c>
      <c r="CS685" s="2"/>
      <c r="CT685" s="3"/>
      <c r="CU685" s="3"/>
      <c r="CV685" s="3"/>
      <c r="CW685" s="3"/>
      <c r="CX685" s="4">
        <f>SUM(CS685:CW685)</f>
        <v>0</v>
      </c>
      <c r="CZ685" s="2"/>
      <c r="DA685" s="3"/>
      <c r="DB685" s="3"/>
      <c r="DC685" s="3"/>
      <c r="DD685" s="3"/>
      <c r="DE685" s="15">
        <f>SUM(CZ685:DD685)</f>
        <v>0</v>
      </c>
    </row>
    <row r="686" spans="2:110">
      <c r="C686" s="567"/>
      <c r="E686" s="14" t="s">
        <v>60</v>
      </c>
      <c r="F686" s="23">
        <f t="shared" ref="F686:F688" si="3129">CE680</f>
        <v>0</v>
      </c>
      <c r="G686" s="24">
        <f t="shared" si="3120"/>
        <v>0</v>
      </c>
      <c r="H686" s="24">
        <f t="shared" si="3121"/>
        <v>0</v>
      </c>
      <c r="I686" s="24">
        <f t="shared" si="3122"/>
        <v>0</v>
      </c>
      <c r="J686" s="24">
        <f t="shared" si="3123"/>
        <v>0</v>
      </c>
      <c r="K686" s="16">
        <f t="shared" ref="K686:K688" si="3130">SUM(F686:J686)</f>
        <v>0</v>
      </c>
      <c r="M686" s="6"/>
      <c r="N686" s="7"/>
      <c r="O686" s="7"/>
      <c r="P686" s="7"/>
      <c r="Q686" s="7"/>
      <c r="R686" s="16">
        <f t="shared" ref="R686:R688" si="3131">SUM(M686:Q686)</f>
        <v>0</v>
      </c>
      <c r="T686" s="6"/>
      <c r="U686" s="7"/>
      <c r="V686" s="7"/>
      <c r="W686" s="7"/>
      <c r="X686" s="7"/>
      <c r="Y686" s="16">
        <f t="shared" ref="Y686:Y688" si="3132">SUM(T686:X686)</f>
        <v>0</v>
      </c>
      <c r="AA686" s="6"/>
      <c r="AB686" s="7"/>
      <c r="AC686" s="7"/>
      <c r="AD686" s="7"/>
      <c r="AE686" s="7"/>
      <c r="AF686" s="16">
        <f>SUM(AA686:AE686)</f>
        <v>0</v>
      </c>
      <c r="AH686" s="6"/>
      <c r="AI686" s="7"/>
      <c r="AJ686" s="7"/>
      <c r="AK686" s="7"/>
      <c r="AL686" s="7"/>
      <c r="AM686" s="16">
        <f>SUM(AH686:AL686)</f>
        <v>0</v>
      </c>
      <c r="AO686" s="6"/>
      <c r="AP686" s="7"/>
      <c r="AQ686" s="7"/>
      <c r="AR686" s="7"/>
      <c r="AS686" s="7"/>
      <c r="AT686" s="16">
        <f>SUM(AO686:AS686)</f>
        <v>0</v>
      </c>
      <c r="AV686" s="6"/>
      <c r="AW686" s="7"/>
      <c r="AX686" s="7"/>
      <c r="AY686" s="7"/>
      <c r="AZ686" s="7"/>
      <c r="BA686" s="16">
        <f>SUM(AV686:AZ686)</f>
        <v>0</v>
      </c>
      <c r="BC686" s="6"/>
      <c r="BD686" s="7"/>
      <c r="BE686" s="7"/>
      <c r="BF686" s="7"/>
      <c r="BG686" s="7"/>
      <c r="BH686" s="16">
        <f>SUM(BC686:BG686)</f>
        <v>0</v>
      </c>
      <c r="BJ686" s="6"/>
      <c r="BK686" s="7"/>
      <c r="BL686" s="7"/>
      <c r="BM686" s="7"/>
      <c r="BN686" s="7"/>
      <c r="BO686" s="16">
        <f>SUM(BJ686:BN686)</f>
        <v>0</v>
      </c>
      <c r="BQ686" s="6"/>
      <c r="BR686" s="7"/>
      <c r="BS686" s="7"/>
      <c r="BT686" s="7"/>
      <c r="BU686" s="7"/>
      <c r="BV686" s="16">
        <f>SUM(BQ686:BU686)</f>
        <v>0</v>
      </c>
      <c r="BX686" s="6"/>
      <c r="BY686" s="7"/>
      <c r="BZ686" s="7"/>
      <c r="CA686" s="7"/>
      <c r="CB686" s="7"/>
      <c r="CC686" s="16">
        <f>SUM(BX686:CB686)</f>
        <v>0</v>
      </c>
      <c r="CE686" s="28">
        <f t="shared" si="3124"/>
        <v>0</v>
      </c>
      <c r="CF686" s="29">
        <f t="shared" si="3125"/>
        <v>0</v>
      </c>
      <c r="CG686" s="29">
        <f t="shared" si="3126"/>
        <v>0</v>
      </c>
      <c r="CH686" s="29">
        <f t="shared" si="3127"/>
        <v>0</v>
      </c>
      <c r="CI686" s="29">
        <f t="shared" si="3128"/>
        <v>0</v>
      </c>
      <c r="CJ686" s="8">
        <f>SUM(CE686:CI686)</f>
        <v>0</v>
      </c>
      <c r="CL686" s="6"/>
      <c r="CM686" s="7"/>
      <c r="CN686" s="7"/>
      <c r="CO686" s="7"/>
      <c r="CP686" s="7"/>
      <c r="CQ686" s="16">
        <f>SUM(CL686:CP686)</f>
        <v>0</v>
      </c>
      <c r="CS686" s="6"/>
      <c r="CT686" s="7"/>
      <c r="CU686" s="7"/>
      <c r="CV686" s="7"/>
      <c r="CW686" s="7"/>
      <c r="CX686" s="8">
        <f t="shared" ref="CX686:CX688" si="3133">SUM(CS686:CW686)</f>
        <v>0</v>
      </c>
      <c r="CZ686" s="6"/>
      <c r="DA686" s="7"/>
      <c r="DB686" s="7"/>
      <c r="DC686" s="7"/>
      <c r="DD686" s="7"/>
      <c r="DE686" s="16">
        <f t="shared" ref="DE686:DE688" si="3134">SUM(CZ686:DD686)</f>
        <v>0</v>
      </c>
    </row>
    <row r="687" spans="2:110">
      <c r="C687" s="567"/>
      <c r="E687" s="14" t="s">
        <v>61</v>
      </c>
      <c r="F687" s="23">
        <f t="shared" si="3129"/>
        <v>0</v>
      </c>
      <c r="G687" s="24">
        <f t="shared" si="3120"/>
        <v>0</v>
      </c>
      <c r="H687" s="24">
        <f t="shared" si="3121"/>
        <v>0</v>
      </c>
      <c r="I687" s="24">
        <f t="shared" si="3122"/>
        <v>0</v>
      </c>
      <c r="J687" s="24">
        <f t="shared" si="3123"/>
        <v>0</v>
      </c>
      <c r="K687" s="16">
        <f t="shared" si="3130"/>
        <v>0</v>
      </c>
      <c r="M687" s="6"/>
      <c r="N687" s="7"/>
      <c r="O687" s="7"/>
      <c r="P687" s="7"/>
      <c r="Q687" s="7"/>
      <c r="R687" s="16">
        <f t="shared" si="3131"/>
        <v>0</v>
      </c>
      <c r="T687" s="6"/>
      <c r="U687" s="7"/>
      <c r="V687" s="7"/>
      <c r="W687" s="7"/>
      <c r="X687" s="7"/>
      <c r="Y687" s="16">
        <f t="shared" si="3132"/>
        <v>0</v>
      </c>
      <c r="AA687" s="6"/>
      <c r="AB687" s="7"/>
      <c r="AC687" s="7"/>
      <c r="AD687" s="7"/>
      <c r="AE687" s="7"/>
      <c r="AF687" s="16">
        <f>SUM(AA687:AE687)</f>
        <v>0</v>
      </c>
      <c r="AH687" s="6"/>
      <c r="AI687" s="7"/>
      <c r="AJ687" s="7"/>
      <c r="AK687" s="7"/>
      <c r="AL687" s="7"/>
      <c r="AM687" s="16">
        <f>SUM(AH687:AL687)</f>
        <v>0</v>
      </c>
      <c r="AO687" s="6"/>
      <c r="AP687" s="7"/>
      <c r="AQ687" s="7"/>
      <c r="AR687" s="7"/>
      <c r="AS687" s="7"/>
      <c r="AT687" s="16">
        <f>SUM(AO687:AS687)</f>
        <v>0</v>
      </c>
      <c r="AV687" s="6"/>
      <c r="AW687" s="7"/>
      <c r="AX687" s="7"/>
      <c r="AY687" s="7"/>
      <c r="AZ687" s="7"/>
      <c r="BA687" s="16">
        <f>SUM(AV687:AZ687)</f>
        <v>0</v>
      </c>
      <c r="BC687" s="6"/>
      <c r="BD687" s="7"/>
      <c r="BE687" s="7"/>
      <c r="BF687" s="7"/>
      <c r="BG687" s="7"/>
      <c r="BH687" s="16">
        <f>SUM(BC687:BG687)</f>
        <v>0</v>
      </c>
      <c r="BJ687" s="6"/>
      <c r="BK687" s="7"/>
      <c r="BL687" s="7"/>
      <c r="BM687" s="7"/>
      <c r="BN687" s="7"/>
      <c r="BO687" s="16">
        <f>SUM(BJ687:BN687)</f>
        <v>0</v>
      </c>
      <c r="BQ687" s="6"/>
      <c r="BR687" s="7"/>
      <c r="BS687" s="7"/>
      <c r="BT687" s="7"/>
      <c r="BU687" s="7"/>
      <c r="BV687" s="16">
        <f>SUM(BQ687:BU687)</f>
        <v>0</v>
      </c>
      <c r="BX687" s="6"/>
      <c r="BY687" s="7"/>
      <c r="BZ687" s="7"/>
      <c r="CA687" s="7"/>
      <c r="CB687" s="7"/>
      <c r="CC687" s="16">
        <f>SUM(BX687:CB687)</f>
        <v>0</v>
      </c>
      <c r="CE687" s="28">
        <f t="shared" si="3124"/>
        <v>0</v>
      </c>
      <c r="CF687" s="29">
        <f t="shared" si="3125"/>
        <v>0</v>
      </c>
      <c r="CG687" s="29">
        <f t="shared" si="3126"/>
        <v>0</v>
      </c>
      <c r="CH687" s="29">
        <f t="shared" si="3127"/>
        <v>0</v>
      </c>
      <c r="CI687" s="29">
        <f t="shared" si="3128"/>
        <v>0</v>
      </c>
      <c r="CJ687" s="8">
        <f>SUM(CE687:CI687)</f>
        <v>0</v>
      </c>
      <c r="CL687" s="6"/>
      <c r="CM687" s="7"/>
      <c r="CN687" s="7"/>
      <c r="CO687" s="7"/>
      <c r="CP687" s="7"/>
      <c r="CQ687" s="16">
        <f>SUM(CL687:CP687)</f>
        <v>0</v>
      </c>
      <c r="CS687" s="6"/>
      <c r="CT687" s="7"/>
      <c r="CU687" s="7"/>
      <c r="CV687" s="7"/>
      <c r="CW687" s="7"/>
      <c r="CX687" s="8">
        <f t="shared" si="3133"/>
        <v>0</v>
      </c>
      <c r="CZ687" s="6"/>
      <c r="DA687" s="7"/>
      <c r="DB687" s="7"/>
      <c r="DC687" s="7"/>
      <c r="DD687" s="7"/>
      <c r="DE687" s="16">
        <f t="shared" si="3134"/>
        <v>0</v>
      </c>
    </row>
    <row r="688" spans="2:110" ht="14" thickBot="1">
      <c r="C688" s="567"/>
      <c r="E688" s="14" t="s">
        <v>62</v>
      </c>
      <c r="F688" s="23">
        <f t="shared" si="3129"/>
        <v>0</v>
      </c>
      <c r="G688" s="24">
        <f t="shared" si="3120"/>
        <v>0</v>
      </c>
      <c r="H688" s="24">
        <f t="shared" si="3121"/>
        <v>0</v>
      </c>
      <c r="I688" s="24">
        <f t="shared" si="3122"/>
        <v>0</v>
      </c>
      <c r="J688" s="24">
        <f t="shared" si="3123"/>
        <v>0</v>
      </c>
      <c r="K688" s="16">
        <f t="shared" si="3130"/>
        <v>0</v>
      </c>
      <c r="M688" s="6"/>
      <c r="N688" s="7"/>
      <c r="O688" s="7"/>
      <c r="P688" s="7"/>
      <c r="Q688" s="7"/>
      <c r="R688" s="16">
        <f t="shared" si="3131"/>
        <v>0</v>
      </c>
      <c r="T688" s="6"/>
      <c r="U688" s="7"/>
      <c r="V688" s="7"/>
      <c r="W688" s="7"/>
      <c r="X688" s="7"/>
      <c r="Y688" s="16">
        <f t="shared" si="3132"/>
        <v>0</v>
      </c>
      <c r="AA688" s="6"/>
      <c r="AB688" s="7"/>
      <c r="AC688" s="7"/>
      <c r="AD688" s="7"/>
      <c r="AE688" s="7"/>
      <c r="AF688" s="16">
        <f>SUM(AA688:AE688)</f>
        <v>0</v>
      </c>
      <c r="AH688" s="6"/>
      <c r="AI688" s="7"/>
      <c r="AJ688" s="7"/>
      <c r="AK688" s="7"/>
      <c r="AL688" s="7"/>
      <c r="AM688" s="16">
        <f>SUM(AH688:AL688)</f>
        <v>0</v>
      </c>
      <c r="AO688" s="6"/>
      <c r="AP688" s="7"/>
      <c r="AQ688" s="7"/>
      <c r="AR688" s="7"/>
      <c r="AS688" s="7"/>
      <c r="AT688" s="16">
        <f>SUM(AO688:AS688)</f>
        <v>0</v>
      </c>
      <c r="AV688" s="6"/>
      <c r="AW688" s="7"/>
      <c r="AX688" s="7"/>
      <c r="AY688" s="7"/>
      <c r="AZ688" s="7"/>
      <c r="BA688" s="16">
        <f>SUM(AV688:AZ688)</f>
        <v>0</v>
      </c>
      <c r="BC688" s="6"/>
      <c r="BD688" s="7"/>
      <c r="BE688" s="7"/>
      <c r="BF688" s="7"/>
      <c r="BG688" s="7"/>
      <c r="BH688" s="16">
        <f>SUM(BC688:BG688)</f>
        <v>0</v>
      </c>
      <c r="BJ688" s="6"/>
      <c r="BK688" s="7"/>
      <c r="BL688" s="7"/>
      <c r="BM688" s="7"/>
      <c r="BN688" s="7"/>
      <c r="BO688" s="16">
        <f>SUM(BJ688:BN688)</f>
        <v>0</v>
      </c>
      <c r="BQ688" s="6"/>
      <c r="BR688" s="7"/>
      <c r="BS688" s="7"/>
      <c r="BT688" s="7"/>
      <c r="BU688" s="7"/>
      <c r="BV688" s="16">
        <f>SUM(BQ688:BU688)</f>
        <v>0</v>
      </c>
      <c r="BX688" s="6"/>
      <c r="BY688" s="7"/>
      <c r="BZ688" s="7"/>
      <c r="CA688" s="7"/>
      <c r="CB688" s="7"/>
      <c r="CC688" s="16">
        <f>SUM(BX688:CB688)</f>
        <v>0</v>
      </c>
      <c r="CE688" s="493">
        <f t="shared" si="3124"/>
        <v>0</v>
      </c>
      <c r="CF688" s="494">
        <f t="shared" si="3125"/>
        <v>0</v>
      </c>
      <c r="CG688" s="494">
        <f t="shared" si="3126"/>
        <v>0</v>
      </c>
      <c r="CH688" s="494">
        <f t="shared" si="3127"/>
        <v>0</v>
      </c>
      <c r="CI688" s="494">
        <f t="shared" si="3128"/>
        <v>0</v>
      </c>
      <c r="CJ688" s="495">
        <f>SUM(CE688:CI688)</f>
        <v>0</v>
      </c>
      <c r="CL688" s="6"/>
      <c r="CM688" s="7"/>
      <c r="CN688" s="7"/>
      <c r="CO688" s="7"/>
      <c r="CP688" s="7"/>
      <c r="CQ688" s="16">
        <f>SUM(CL688:CP688)</f>
        <v>0</v>
      </c>
      <c r="CS688" s="6"/>
      <c r="CT688" s="7"/>
      <c r="CU688" s="7"/>
      <c r="CV688" s="7"/>
      <c r="CW688" s="7"/>
      <c r="CX688" s="8">
        <f t="shared" si="3133"/>
        <v>0</v>
      </c>
      <c r="CZ688" s="6"/>
      <c r="DA688" s="7"/>
      <c r="DB688" s="7"/>
      <c r="DC688" s="7"/>
      <c r="DD688" s="7"/>
      <c r="DE688" s="16">
        <f t="shared" si="3134"/>
        <v>0</v>
      </c>
    </row>
    <row r="689" spans="3:109" ht="14" thickBot="1">
      <c r="C689" s="554"/>
      <c r="E689" s="17"/>
      <c r="F689" s="10">
        <f>SUM(F685:F688)</f>
        <v>0</v>
      </c>
      <c r="G689" s="11">
        <f t="shared" ref="G689:J689" si="3135">SUM(G685:G688)</f>
        <v>0</v>
      </c>
      <c r="H689" s="11">
        <f t="shared" si="3135"/>
        <v>0</v>
      </c>
      <c r="I689" s="11">
        <f t="shared" si="3135"/>
        <v>0</v>
      </c>
      <c r="J689" s="11">
        <f t="shared" si="3135"/>
        <v>0</v>
      </c>
      <c r="K689" s="25">
        <f>SUM(K685:K688)</f>
        <v>0</v>
      </c>
      <c r="M689" s="10">
        <f>SUM(M685:M688)</f>
        <v>0</v>
      </c>
      <c r="N689" s="11">
        <f t="shared" ref="N689:Q689" si="3136">SUM(N685:N688)</f>
        <v>0</v>
      </c>
      <c r="O689" s="11">
        <f t="shared" si="3136"/>
        <v>0</v>
      </c>
      <c r="P689" s="11">
        <f t="shared" si="3136"/>
        <v>0</v>
      </c>
      <c r="Q689" s="11">
        <f t="shared" si="3136"/>
        <v>0</v>
      </c>
      <c r="R689" s="25">
        <f>SUM(R685:R688)</f>
        <v>0</v>
      </c>
      <c r="T689" s="10">
        <f>SUM(T685:T688)</f>
        <v>0</v>
      </c>
      <c r="U689" s="11">
        <f t="shared" ref="U689:X689" si="3137">SUM(U685:U688)</f>
        <v>0</v>
      </c>
      <c r="V689" s="11">
        <f t="shared" si="3137"/>
        <v>0</v>
      </c>
      <c r="W689" s="11">
        <f t="shared" si="3137"/>
        <v>0</v>
      </c>
      <c r="X689" s="11">
        <f t="shared" si="3137"/>
        <v>0</v>
      </c>
      <c r="Y689" s="25">
        <f>SUM(Y685:Y688)</f>
        <v>0</v>
      </c>
      <c r="AA689" s="10">
        <f>SUM(AA685:AA688)</f>
        <v>0</v>
      </c>
      <c r="AB689" s="11">
        <f t="shared" ref="AB689:AE689" si="3138">SUM(AB685:AB688)</f>
        <v>0</v>
      </c>
      <c r="AC689" s="11">
        <f t="shared" si="3138"/>
        <v>0</v>
      </c>
      <c r="AD689" s="11">
        <f t="shared" si="3138"/>
        <v>0</v>
      </c>
      <c r="AE689" s="11">
        <f t="shared" si="3138"/>
        <v>0</v>
      </c>
      <c r="AF689" s="25">
        <f>SUM(AF685:AF688)</f>
        <v>0</v>
      </c>
      <c r="AH689" s="10">
        <f t="shared" ref="AH689:AM689" si="3139">SUM(AH685:AH688)</f>
        <v>0</v>
      </c>
      <c r="AI689" s="11">
        <f t="shared" si="3139"/>
        <v>0</v>
      </c>
      <c r="AJ689" s="11">
        <f t="shared" si="3139"/>
        <v>0</v>
      </c>
      <c r="AK689" s="11">
        <f t="shared" si="3139"/>
        <v>0</v>
      </c>
      <c r="AL689" s="11">
        <f t="shared" si="3139"/>
        <v>0</v>
      </c>
      <c r="AM689" s="25">
        <f t="shared" si="3139"/>
        <v>0</v>
      </c>
      <c r="AO689" s="10">
        <f t="shared" ref="AO689:AT689" si="3140">SUM(AO685:AO688)</f>
        <v>0</v>
      </c>
      <c r="AP689" s="11">
        <f t="shared" si="3140"/>
        <v>0</v>
      </c>
      <c r="AQ689" s="11">
        <f t="shared" si="3140"/>
        <v>0</v>
      </c>
      <c r="AR689" s="11">
        <f t="shared" si="3140"/>
        <v>0</v>
      </c>
      <c r="AS689" s="11">
        <f t="shared" si="3140"/>
        <v>0</v>
      </c>
      <c r="AT689" s="25">
        <f t="shared" si="3140"/>
        <v>0</v>
      </c>
      <c r="AV689" s="10">
        <f t="shared" ref="AV689:BA689" si="3141">SUM(AV685:AV688)</f>
        <v>0</v>
      </c>
      <c r="AW689" s="11">
        <f t="shared" si="3141"/>
        <v>0</v>
      </c>
      <c r="AX689" s="11">
        <f t="shared" si="3141"/>
        <v>0</v>
      </c>
      <c r="AY689" s="11">
        <f t="shared" si="3141"/>
        <v>0</v>
      </c>
      <c r="AZ689" s="11">
        <f t="shared" si="3141"/>
        <v>0</v>
      </c>
      <c r="BA689" s="25">
        <f t="shared" si="3141"/>
        <v>0</v>
      </c>
      <c r="BC689" s="10">
        <f t="shared" ref="BC689:BH689" si="3142">SUM(BC685:BC688)</f>
        <v>0</v>
      </c>
      <c r="BD689" s="11">
        <f t="shared" si="3142"/>
        <v>0</v>
      </c>
      <c r="BE689" s="11">
        <f t="shared" si="3142"/>
        <v>0</v>
      </c>
      <c r="BF689" s="11">
        <f t="shared" si="3142"/>
        <v>0</v>
      </c>
      <c r="BG689" s="11">
        <f t="shared" si="3142"/>
        <v>0</v>
      </c>
      <c r="BH689" s="25">
        <f t="shared" si="3142"/>
        <v>0</v>
      </c>
      <c r="BJ689" s="10">
        <f t="shared" ref="BJ689:BO689" si="3143">SUM(BJ685:BJ688)</f>
        <v>0</v>
      </c>
      <c r="BK689" s="11">
        <f t="shared" si="3143"/>
        <v>0</v>
      </c>
      <c r="BL689" s="11">
        <f t="shared" si="3143"/>
        <v>0</v>
      </c>
      <c r="BM689" s="11">
        <f t="shared" si="3143"/>
        <v>0</v>
      </c>
      <c r="BN689" s="11">
        <f t="shared" si="3143"/>
        <v>0</v>
      </c>
      <c r="BO689" s="25">
        <f t="shared" si="3143"/>
        <v>0</v>
      </c>
      <c r="BQ689" s="10">
        <f t="shared" ref="BQ689:BV689" si="3144">SUM(BQ685:BQ688)</f>
        <v>0</v>
      </c>
      <c r="BR689" s="11">
        <f t="shared" si="3144"/>
        <v>0</v>
      </c>
      <c r="BS689" s="11">
        <f t="shared" si="3144"/>
        <v>0</v>
      </c>
      <c r="BT689" s="11">
        <f t="shared" si="3144"/>
        <v>0</v>
      </c>
      <c r="BU689" s="11">
        <f t="shared" si="3144"/>
        <v>0</v>
      </c>
      <c r="BV689" s="25">
        <f t="shared" si="3144"/>
        <v>0</v>
      </c>
      <c r="BX689" s="10">
        <f t="shared" ref="BX689:CC689" si="3145">SUM(BX685:BX688)</f>
        <v>0</v>
      </c>
      <c r="BY689" s="11">
        <f t="shared" si="3145"/>
        <v>0</v>
      </c>
      <c r="BZ689" s="11">
        <f t="shared" si="3145"/>
        <v>0</v>
      </c>
      <c r="CA689" s="11">
        <f t="shared" si="3145"/>
        <v>0</v>
      </c>
      <c r="CB689" s="11">
        <f t="shared" si="3145"/>
        <v>0</v>
      </c>
      <c r="CC689" s="25">
        <f t="shared" si="3145"/>
        <v>0</v>
      </c>
      <c r="CE689" s="62">
        <f t="shared" ref="CE689:CJ689" si="3146">SUM(CE685:CE688)</f>
        <v>0</v>
      </c>
      <c r="CF689" s="63">
        <f t="shared" si="3146"/>
        <v>0</v>
      </c>
      <c r="CG689" s="63">
        <f t="shared" si="3146"/>
        <v>0</v>
      </c>
      <c r="CH689" s="63">
        <f t="shared" si="3146"/>
        <v>0</v>
      </c>
      <c r="CI689" s="63">
        <f t="shared" si="3146"/>
        <v>0</v>
      </c>
      <c r="CJ689" s="25">
        <f t="shared" si="3146"/>
        <v>0</v>
      </c>
      <c r="CL689" s="10">
        <f>SUM(CL685:CL688)</f>
        <v>0</v>
      </c>
      <c r="CM689" s="11">
        <f t="shared" ref="CM689:CQ689" si="3147">SUM(CM685:CM688)</f>
        <v>0</v>
      </c>
      <c r="CN689" s="11">
        <f t="shared" si="3147"/>
        <v>0</v>
      </c>
      <c r="CO689" s="11">
        <f t="shared" si="3147"/>
        <v>0</v>
      </c>
      <c r="CP689" s="11">
        <f t="shared" si="3147"/>
        <v>0</v>
      </c>
      <c r="CQ689" s="25">
        <f t="shared" si="3147"/>
        <v>0</v>
      </c>
      <c r="CS689" s="10">
        <f>SUM(CS685:CS688)</f>
        <v>0</v>
      </c>
      <c r="CT689" s="11">
        <f t="shared" ref="CT689:CW689" si="3148">SUM(CT685:CT688)</f>
        <v>0</v>
      </c>
      <c r="CU689" s="11">
        <f t="shared" si="3148"/>
        <v>0</v>
      </c>
      <c r="CV689" s="11">
        <f t="shared" si="3148"/>
        <v>0</v>
      </c>
      <c r="CW689" s="11">
        <f t="shared" si="3148"/>
        <v>0</v>
      </c>
      <c r="CX689" s="25">
        <f>SUM(CX685:CX688)</f>
        <v>0</v>
      </c>
      <c r="CZ689" s="10">
        <f>SUM(CZ685:CZ688)</f>
        <v>0</v>
      </c>
      <c r="DA689" s="11">
        <f t="shared" ref="DA689:DD689" si="3149">SUM(DA685:DA688)</f>
        <v>0</v>
      </c>
      <c r="DB689" s="11">
        <f t="shared" si="3149"/>
        <v>0</v>
      </c>
      <c r="DC689" s="11">
        <f t="shared" si="3149"/>
        <v>0</v>
      </c>
      <c r="DD689" s="11">
        <f t="shared" si="3149"/>
        <v>0</v>
      </c>
      <c r="DE689" s="25">
        <f>SUM(DE685:DE688)</f>
        <v>0</v>
      </c>
    </row>
    <row r="690" spans="3:109" ht="10.4" customHeight="1" thickBot="1"/>
    <row r="691" spans="3:109">
      <c r="C691" s="553">
        <v>2026</v>
      </c>
      <c r="E691" s="13" t="s">
        <v>59</v>
      </c>
      <c r="F691" s="21">
        <f>CE685</f>
        <v>0</v>
      </c>
      <c r="G691" s="22">
        <f t="shared" ref="G691:G694" si="3150">CF685</f>
        <v>0</v>
      </c>
      <c r="H691" s="22">
        <f t="shared" ref="H691:H694" si="3151">CG685</f>
        <v>0</v>
      </c>
      <c r="I691" s="22">
        <f t="shared" ref="I691:I694" si="3152">CH685</f>
        <v>0</v>
      </c>
      <c r="J691" s="22">
        <f t="shared" ref="J691:J694" si="3153">CI685</f>
        <v>0</v>
      </c>
      <c r="K691" s="4">
        <f>SUM(F691:J691)</f>
        <v>0</v>
      </c>
      <c r="M691" s="2"/>
      <c r="N691" s="3"/>
      <c r="O691" s="3"/>
      <c r="P691" s="3"/>
      <c r="Q691" s="3"/>
      <c r="R691" s="4">
        <f>SUM(M691:Q691)</f>
        <v>0</v>
      </c>
      <c r="T691" s="2"/>
      <c r="U691" s="3"/>
      <c r="V691" s="3"/>
      <c r="W691" s="3"/>
      <c r="X691" s="3"/>
      <c r="Y691" s="4">
        <f>SUM(T691:X691)</f>
        <v>0</v>
      </c>
      <c r="AA691" s="2"/>
      <c r="AB691" s="3"/>
      <c r="AC691" s="3"/>
      <c r="AD691" s="3"/>
      <c r="AE691" s="3"/>
      <c r="AF691" s="4">
        <f>SUM(AA691:AE691)</f>
        <v>0</v>
      </c>
      <c r="AH691" s="2"/>
      <c r="AI691" s="3"/>
      <c r="AJ691" s="3"/>
      <c r="AK691" s="3"/>
      <c r="AL691" s="3"/>
      <c r="AM691" s="4">
        <f>SUM(AH691:AL691)</f>
        <v>0</v>
      </c>
      <c r="AO691" s="2"/>
      <c r="AP691" s="3"/>
      <c r="AQ691" s="3"/>
      <c r="AR691" s="3"/>
      <c r="AS691" s="3"/>
      <c r="AT691" s="4">
        <f>SUM(AO691:AS691)</f>
        <v>0</v>
      </c>
      <c r="AV691" s="2"/>
      <c r="AW691" s="3"/>
      <c r="AX691" s="3"/>
      <c r="AY691" s="3"/>
      <c r="AZ691" s="3"/>
      <c r="BA691" s="4">
        <f>SUM(AV691:AZ691)</f>
        <v>0</v>
      </c>
      <c r="BC691" s="2"/>
      <c r="BD691" s="3"/>
      <c r="BE691" s="3"/>
      <c r="BF691" s="3"/>
      <c r="BG691" s="3"/>
      <c r="BH691" s="4">
        <f>SUM(BC691:BG691)</f>
        <v>0</v>
      </c>
      <c r="BJ691" s="2"/>
      <c r="BK691" s="3"/>
      <c r="BL691" s="3"/>
      <c r="BM691" s="3"/>
      <c r="BN691" s="3"/>
      <c r="BO691" s="4">
        <f>SUM(BJ691:BN691)</f>
        <v>0</v>
      </c>
      <c r="BQ691" s="2"/>
      <c r="BR691" s="3"/>
      <c r="BS691" s="3"/>
      <c r="BT691" s="3"/>
      <c r="BU691" s="3"/>
      <c r="BV691" s="4">
        <f>SUM(BQ691:BU691)</f>
        <v>0</v>
      </c>
      <c r="BX691" s="2"/>
      <c r="BY691" s="3"/>
      <c r="BZ691" s="3"/>
      <c r="CA691" s="3"/>
      <c r="CB691" s="3"/>
      <c r="CC691" s="4">
        <f>SUM(BX691:CB691)</f>
        <v>0</v>
      </c>
      <c r="CE691" s="26">
        <f t="shared" ref="CE691:CE694" si="3154">F691+M691+T691+AA691+AH691+AO691+AV691+BC691+BJ691+BQ691+BX691</f>
        <v>0</v>
      </c>
      <c r="CF691" s="27">
        <f t="shared" ref="CF691:CF694" si="3155">G691+N691+U691+AB691+AI691+AP691+AW691+BD691+BK691+BR691+BY691</f>
        <v>0</v>
      </c>
      <c r="CG691" s="27">
        <f t="shared" ref="CG691:CG694" si="3156">H691+O691+V691+AC691+AJ691+AQ691+AX691+BE691+BL691+BS691+BZ691</f>
        <v>0</v>
      </c>
      <c r="CH691" s="27">
        <f t="shared" ref="CH691:CH694" si="3157">I691+P691+W691+AD691+AK691+AR691+AY691+BF691+BM691+BT691+CA691</f>
        <v>0</v>
      </c>
      <c r="CI691" s="27">
        <f t="shared" ref="CI691:CI694" si="3158">J691+Q691+X691+AE691+AL691+AS691+AZ691+BG691+BN691+BU691+CB691</f>
        <v>0</v>
      </c>
      <c r="CJ691" s="4">
        <f>SUM(CE691:CI691)</f>
        <v>0</v>
      </c>
      <c r="CL691" s="2"/>
      <c r="CM691" s="3"/>
      <c r="CN691" s="3"/>
      <c r="CO691" s="3"/>
      <c r="CP691" s="3"/>
      <c r="CQ691" s="4">
        <f>SUM(CL691:CP691)</f>
        <v>0</v>
      </c>
      <c r="CS691" s="2"/>
      <c r="CT691" s="3"/>
      <c r="CU691" s="3"/>
      <c r="CV691" s="3"/>
      <c r="CW691" s="3"/>
      <c r="CX691" s="4">
        <f>SUM(CS691:CW691)</f>
        <v>0</v>
      </c>
      <c r="CZ691" s="2"/>
      <c r="DA691" s="3"/>
      <c r="DB691" s="3"/>
      <c r="DC691" s="3"/>
      <c r="DD691" s="3"/>
      <c r="DE691" s="4">
        <f>SUM(CZ691:DD691)</f>
        <v>0</v>
      </c>
    </row>
    <row r="692" spans="3:109">
      <c r="C692" s="567"/>
      <c r="E692" s="14" t="s">
        <v>60</v>
      </c>
      <c r="F692" s="23">
        <f t="shared" ref="F692:F694" si="3159">CE686</f>
        <v>0</v>
      </c>
      <c r="G692" s="24">
        <f t="shared" si="3150"/>
        <v>0</v>
      </c>
      <c r="H692" s="24">
        <f t="shared" si="3151"/>
        <v>0</v>
      </c>
      <c r="I692" s="24">
        <f t="shared" si="3152"/>
        <v>0</v>
      </c>
      <c r="J692" s="24">
        <f t="shared" si="3153"/>
        <v>0</v>
      </c>
      <c r="K692" s="8">
        <f t="shared" ref="K692:K694" si="3160">SUM(F692:J692)</f>
        <v>0</v>
      </c>
      <c r="M692" s="6"/>
      <c r="N692" s="7"/>
      <c r="O692" s="7"/>
      <c r="P692" s="7"/>
      <c r="Q692" s="7"/>
      <c r="R692" s="8">
        <f t="shared" ref="R692:R694" si="3161">SUM(M692:Q692)</f>
        <v>0</v>
      </c>
      <c r="T692" s="6"/>
      <c r="U692" s="7"/>
      <c r="V692" s="7"/>
      <c r="W692" s="7"/>
      <c r="X692" s="7"/>
      <c r="Y692" s="8">
        <f t="shared" ref="Y692:Y694" si="3162">SUM(T692:X692)</f>
        <v>0</v>
      </c>
      <c r="AA692" s="6"/>
      <c r="AB692" s="7"/>
      <c r="AC692" s="7"/>
      <c r="AD692" s="7"/>
      <c r="AE692" s="7"/>
      <c r="AF692" s="8">
        <f>SUM(AA692:AE692)</f>
        <v>0</v>
      </c>
      <c r="AH692" s="6"/>
      <c r="AI692" s="7"/>
      <c r="AJ692" s="7"/>
      <c r="AK692" s="7"/>
      <c r="AL692" s="7"/>
      <c r="AM692" s="8">
        <f>SUM(AH692:AL692)</f>
        <v>0</v>
      </c>
      <c r="AO692" s="6"/>
      <c r="AP692" s="7"/>
      <c r="AQ692" s="7"/>
      <c r="AR692" s="7"/>
      <c r="AS692" s="7"/>
      <c r="AT692" s="8">
        <f>SUM(AO692:AS692)</f>
        <v>0</v>
      </c>
      <c r="AV692" s="6"/>
      <c r="AW692" s="7"/>
      <c r="AX692" s="7"/>
      <c r="AY692" s="7"/>
      <c r="AZ692" s="7"/>
      <c r="BA692" s="8">
        <f>SUM(AV692:AZ692)</f>
        <v>0</v>
      </c>
      <c r="BC692" s="6"/>
      <c r="BD692" s="7"/>
      <c r="BE692" s="7"/>
      <c r="BF692" s="7"/>
      <c r="BG692" s="7"/>
      <c r="BH692" s="8">
        <f>SUM(BC692:BG692)</f>
        <v>0</v>
      </c>
      <c r="BJ692" s="6"/>
      <c r="BK692" s="7"/>
      <c r="BL692" s="7"/>
      <c r="BM692" s="7"/>
      <c r="BN692" s="7"/>
      <c r="BO692" s="8">
        <f>SUM(BJ692:BN692)</f>
        <v>0</v>
      </c>
      <c r="BQ692" s="6"/>
      <c r="BR692" s="7"/>
      <c r="BS692" s="7"/>
      <c r="BT692" s="7"/>
      <c r="BU692" s="7"/>
      <c r="BV692" s="8">
        <f>SUM(BQ692:BU692)</f>
        <v>0</v>
      </c>
      <c r="BX692" s="6"/>
      <c r="BY692" s="7"/>
      <c r="BZ692" s="7"/>
      <c r="CA692" s="7"/>
      <c r="CB692" s="7"/>
      <c r="CC692" s="8">
        <f>SUM(BX692:CB692)</f>
        <v>0</v>
      </c>
      <c r="CE692" s="28">
        <f t="shared" si="3154"/>
        <v>0</v>
      </c>
      <c r="CF692" s="29">
        <f t="shared" si="3155"/>
        <v>0</v>
      </c>
      <c r="CG692" s="29">
        <f t="shared" si="3156"/>
        <v>0</v>
      </c>
      <c r="CH692" s="29">
        <f t="shared" si="3157"/>
        <v>0</v>
      </c>
      <c r="CI692" s="29">
        <f t="shared" si="3158"/>
        <v>0</v>
      </c>
      <c r="CJ692" s="8">
        <f>SUM(CE692:CI692)</f>
        <v>0</v>
      </c>
      <c r="CL692" s="6"/>
      <c r="CM692" s="7"/>
      <c r="CN692" s="7"/>
      <c r="CO692" s="7"/>
      <c r="CP692" s="7"/>
      <c r="CQ692" s="8">
        <f>SUM(CL692:CP692)</f>
        <v>0</v>
      </c>
      <c r="CS692" s="6"/>
      <c r="CT692" s="7"/>
      <c r="CU692" s="7"/>
      <c r="CV692" s="7"/>
      <c r="CW692" s="7"/>
      <c r="CX692" s="8">
        <f t="shared" ref="CX692:CX694" si="3163">SUM(CS692:CW692)</f>
        <v>0</v>
      </c>
      <c r="CZ692" s="6"/>
      <c r="DA692" s="7"/>
      <c r="DB692" s="7"/>
      <c r="DC692" s="7"/>
      <c r="DD692" s="7"/>
      <c r="DE692" s="8">
        <f t="shared" ref="DE692:DE694" si="3164">SUM(CZ692:DD692)</f>
        <v>0</v>
      </c>
    </row>
    <row r="693" spans="3:109">
      <c r="C693" s="567"/>
      <c r="E693" s="14" t="s">
        <v>61</v>
      </c>
      <c r="F693" s="23">
        <f t="shared" si="3159"/>
        <v>0</v>
      </c>
      <c r="G693" s="24">
        <f t="shared" si="3150"/>
        <v>0</v>
      </c>
      <c r="H693" s="24">
        <f t="shared" si="3151"/>
        <v>0</v>
      </c>
      <c r="I693" s="24">
        <f t="shared" si="3152"/>
        <v>0</v>
      </c>
      <c r="J693" s="24">
        <f t="shared" si="3153"/>
        <v>0</v>
      </c>
      <c r="K693" s="8">
        <f t="shared" si="3160"/>
        <v>0</v>
      </c>
      <c r="M693" s="6"/>
      <c r="N693" s="7"/>
      <c r="O693" s="7"/>
      <c r="P693" s="7"/>
      <c r="Q693" s="7"/>
      <c r="R693" s="8">
        <f t="shared" si="3161"/>
        <v>0</v>
      </c>
      <c r="T693" s="6"/>
      <c r="U693" s="7"/>
      <c r="V693" s="7"/>
      <c r="W693" s="7"/>
      <c r="X693" s="7"/>
      <c r="Y693" s="8">
        <f t="shared" si="3162"/>
        <v>0</v>
      </c>
      <c r="AA693" s="6"/>
      <c r="AB693" s="7"/>
      <c r="AC693" s="7"/>
      <c r="AD693" s="7"/>
      <c r="AE693" s="7"/>
      <c r="AF693" s="8">
        <f>SUM(AA693:AE693)</f>
        <v>0</v>
      </c>
      <c r="AH693" s="6"/>
      <c r="AI693" s="7"/>
      <c r="AJ693" s="7"/>
      <c r="AK693" s="7"/>
      <c r="AL693" s="7"/>
      <c r="AM693" s="8">
        <f>SUM(AH693:AL693)</f>
        <v>0</v>
      </c>
      <c r="AO693" s="6"/>
      <c r="AP693" s="7"/>
      <c r="AQ693" s="7"/>
      <c r="AR693" s="7"/>
      <c r="AS693" s="7"/>
      <c r="AT693" s="8">
        <f>SUM(AO693:AS693)</f>
        <v>0</v>
      </c>
      <c r="AV693" s="6"/>
      <c r="AW693" s="7"/>
      <c r="AX693" s="7"/>
      <c r="AY693" s="7"/>
      <c r="AZ693" s="7"/>
      <c r="BA693" s="8">
        <f>SUM(AV693:AZ693)</f>
        <v>0</v>
      </c>
      <c r="BC693" s="6"/>
      <c r="BD693" s="7"/>
      <c r="BE693" s="7"/>
      <c r="BF693" s="7"/>
      <c r="BG693" s="7"/>
      <c r="BH693" s="8">
        <f>SUM(BC693:BG693)</f>
        <v>0</v>
      </c>
      <c r="BJ693" s="6"/>
      <c r="BK693" s="7"/>
      <c r="BL693" s="7"/>
      <c r="BM693" s="7"/>
      <c r="BN693" s="7"/>
      <c r="BO693" s="8">
        <f>SUM(BJ693:BN693)</f>
        <v>0</v>
      </c>
      <c r="BQ693" s="6"/>
      <c r="BR693" s="7"/>
      <c r="BS693" s="7"/>
      <c r="BT693" s="7"/>
      <c r="BU693" s="7"/>
      <c r="BV693" s="8">
        <f>SUM(BQ693:BU693)</f>
        <v>0</v>
      </c>
      <c r="BX693" s="6"/>
      <c r="BY693" s="7"/>
      <c r="BZ693" s="7"/>
      <c r="CA693" s="7"/>
      <c r="CB693" s="7"/>
      <c r="CC693" s="8">
        <f>SUM(BX693:CB693)</f>
        <v>0</v>
      </c>
      <c r="CE693" s="28">
        <f t="shared" si="3154"/>
        <v>0</v>
      </c>
      <c r="CF693" s="29">
        <f t="shared" si="3155"/>
        <v>0</v>
      </c>
      <c r="CG693" s="29">
        <f t="shared" si="3156"/>
        <v>0</v>
      </c>
      <c r="CH693" s="29">
        <f t="shared" si="3157"/>
        <v>0</v>
      </c>
      <c r="CI693" s="29">
        <f t="shared" si="3158"/>
        <v>0</v>
      </c>
      <c r="CJ693" s="8">
        <f>SUM(CE693:CI693)</f>
        <v>0</v>
      </c>
      <c r="CL693" s="6"/>
      <c r="CM693" s="7"/>
      <c r="CN693" s="7"/>
      <c r="CO693" s="7"/>
      <c r="CP693" s="7"/>
      <c r="CQ693" s="8">
        <f>SUM(CL693:CP693)</f>
        <v>0</v>
      </c>
      <c r="CS693" s="6"/>
      <c r="CT693" s="7"/>
      <c r="CU693" s="7"/>
      <c r="CV693" s="7"/>
      <c r="CW693" s="7"/>
      <c r="CX693" s="8">
        <f t="shared" si="3163"/>
        <v>0</v>
      </c>
      <c r="CZ693" s="6"/>
      <c r="DA693" s="7"/>
      <c r="DB693" s="7"/>
      <c r="DC693" s="7"/>
      <c r="DD693" s="7"/>
      <c r="DE693" s="8">
        <f t="shared" si="3164"/>
        <v>0</v>
      </c>
    </row>
    <row r="694" spans="3:109" ht="14" thickBot="1">
      <c r="C694" s="567"/>
      <c r="E694" s="14" t="s">
        <v>62</v>
      </c>
      <c r="F694" s="23">
        <f t="shared" si="3159"/>
        <v>0</v>
      </c>
      <c r="G694" s="24">
        <f t="shared" si="3150"/>
        <v>0</v>
      </c>
      <c r="H694" s="24">
        <f t="shared" si="3151"/>
        <v>0</v>
      </c>
      <c r="I694" s="24">
        <f t="shared" si="3152"/>
        <v>0</v>
      </c>
      <c r="J694" s="24">
        <f t="shared" si="3153"/>
        <v>0</v>
      </c>
      <c r="K694" s="8">
        <f t="shared" si="3160"/>
        <v>0</v>
      </c>
      <c r="M694" s="6"/>
      <c r="N694" s="7"/>
      <c r="O694" s="7"/>
      <c r="P694" s="7"/>
      <c r="Q694" s="7"/>
      <c r="R694" s="8">
        <f t="shared" si="3161"/>
        <v>0</v>
      </c>
      <c r="T694" s="6"/>
      <c r="U694" s="7"/>
      <c r="V694" s="7"/>
      <c r="W694" s="7"/>
      <c r="X694" s="7"/>
      <c r="Y694" s="8">
        <f t="shared" si="3162"/>
        <v>0</v>
      </c>
      <c r="AA694" s="6"/>
      <c r="AB694" s="7"/>
      <c r="AC694" s="7"/>
      <c r="AD694" s="7"/>
      <c r="AE694" s="7"/>
      <c r="AF694" s="8">
        <f>SUM(AA694:AE694)</f>
        <v>0</v>
      </c>
      <c r="AH694" s="6"/>
      <c r="AI694" s="7"/>
      <c r="AJ694" s="7"/>
      <c r="AK694" s="7"/>
      <c r="AL694" s="7"/>
      <c r="AM694" s="8">
        <f>SUM(AH694:AL694)</f>
        <v>0</v>
      </c>
      <c r="AO694" s="6"/>
      <c r="AP694" s="7"/>
      <c r="AQ694" s="7"/>
      <c r="AR694" s="7"/>
      <c r="AS694" s="7"/>
      <c r="AT694" s="8">
        <f>SUM(AO694:AS694)</f>
        <v>0</v>
      </c>
      <c r="AV694" s="6"/>
      <c r="AW694" s="7"/>
      <c r="AX694" s="7"/>
      <c r="AY694" s="7"/>
      <c r="AZ694" s="7"/>
      <c r="BA694" s="8">
        <f>SUM(AV694:AZ694)</f>
        <v>0</v>
      </c>
      <c r="BC694" s="6"/>
      <c r="BD694" s="7"/>
      <c r="BE694" s="7"/>
      <c r="BF694" s="7"/>
      <c r="BG694" s="7"/>
      <c r="BH694" s="8">
        <f>SUM(BC694:BG694)</f>
        <v>0</v>
      </c>
      <c r="BJ694" s="6"/>
      <c r="BK694" s="7"/>
      <c r="BL694" s="7"/>
      <c r="BM694" s="7"/>
      <c r="BN694" s="7"/>
      <c r="BO694" s="8">
        <f>SUM(BJ694:BN694)</f>
        <v>0</v>
      </c>
      <c r="BQ694" s="6"/>
      <c r="BR694" s="7"/>
      <c r="BS694" s="7"/>
      <c r="BT694" s="7"/>
      <c r="BU694" s="7"/>
      <c r="BV694" s="8">
        <f>SUM(BQ694:BU694)</f>
        <v>0</v>
      </c>
      <c r="BX694" s="6"/>
      <c r="BY694" s="7"/>
      <c r="BZ694" s="7"/>
      <c r="CA694" s="7"/>
      <c r="CB694" s="7"/>
      <c r="CC694" s="8">
        <f>SUM(BX694:CB694)</f>
        <v>0</v>
      </c>
      <c r="CE694" s="493">
        <f t="shared" si="3154"/>
        <v>0</v>
      </c>
      <c r="CF694" s="494">
        <f t="shared" si="3155"/>
        <v>0</v>
      </c>
      <c r="CG694" s="494">
        <f t="shared" si="3156"/>
        <v>0</v>
      </c>
      <c r="CH694" s="494">
        <f t="shared" si="3157"/>
        <v>0</v>
      </c>
      <c r="CI694" s="494">
        <f t="shared" si="3158"/>
        <v>0</v>
      </c>
      <c r="CJ694" s="495">
        <f>SUM(CE694:CI694)</f>
        <v>0</v>
      </c>
      <c r="CL694" s="6"/>
      <c r="CM694" s="7"/>
      <c r="CN694" s="7"/>
      <c r="CO694" s="7"/>
      <c r="CP694" s="7"/>
      <c r="CQ694" s="8">
        <f>SUM(CL694:CP694)</f>
        <v>0</v>
      </c>
      <c r="CS694" s="6"/>
      <c r="CT694" s="7"/>
      <c r="CU694" s="7"/>
      <c r="CV694" s="7"/>
      <c r="CW694" s="7"/>
      <c r="CX694" s="8">
        <f t="shared" si="3163"/>
        <v>0</v>
      </c>
      <c r="CZ694" s="6"/>
      <c r="DA694" s="7"/>
      <c r="DB694" s="7"/>
      <c r="DC694" s="7"/>
      <c r="DD694" s="7"/>
      <c r="DE694" s="8">
        <f t="shared" si="3164"/>
        <v>0</v>
      </c>
    </row>
    <row r="695" spans="3:109" ht="14" thickBot="1">
      <c r="C695" s="554"/>
      <c r="E695" s="17"/>
      <c r="F695" s="10">
        <f>SUM(F691:F694)</f>
        <v>0</v>
      </c>
      <c r="G695" s="11">
        <f t="shared" ref="G695:J695" si="3165">SUM(G691:G694)</f>
        <v>0</v>
      </c>
      <c r="H695" s="11">
        <f t="shared" si="3165"/>
        <v>0</v>
      </c>
      <c r="I695" s="11">
        <f t="shared" si="3165"/>
        <v>0</v>
      </c>
      <c r="J695" s="11">
        <f t="shared" si="3165"/>
        <v>0</v>
      </c>
      <c r="K695" s="25">
        <f>SUM(K691:K694)</f>
        <v>0</v>
      </c>
      <c r="M695" s="10">
        <f>SUM(M691:M694)</f>
        <v>0</v>
      </c>
      <c r="N695" s="11">
        <f t="shared" ref="N695:Q695" si="3166">SUM(N691:N694)</f>
        <v>0</v>
      </c>
      <c r="O695" s="11">
        <f t="shared" si="3166"/>
        <v>0</v>
      </c>
      <c r="P695" s="11">
        <f t="shared" si="3166"/>
        <v>0</v>
      </c>
      <c r="Q695" s="11">
        <f t="shared" si="3166"/>
        <v>0</v>
      </c>
      <c r="R695" s="25">
        <f>SUM(R691:R694)</f>
        <v>0</v>
      </c>
      <c r="T695" s="10">
        <f>SUM(T691:T694)</f>
        <v>0</v>
      </c>
      <c r="U695" s="11">
        <f t="shared" ref="U695:X695" si="3167">SUM(U691:U694)</f>
        <v>0</v>
      </c>
      <c r="V695" s="11">
        <f t="shared" si="3167"/>
        <v>0</v>
      </c>
      <c r="W695" s="11">
        <f t="shared" si="3167"/>
        <v>0</v>
      </c>
      <c r="X695" s="11">
        <f t="shared" si="3167"/>
        <v>0</v>
      </c>
      <c r="Y695" s="25">
        <f>SUM(Y691:Y694)</f>
        <v>0</v>
      </c>
      <c r="AA695" s="10">
        <f>SUM(AA691:AA694)</f>
        <v>0</v>
      </c>
      <c r="AB695" s="11">
        <f t="shared" ref="AB695:AE695" si="3168">SUM(AB691:AB694)</f>
        <v>0</v>
      </c>
      <c r="AC695" s="11">
        <f t="shared" si="3168"/>
        <v>0</v>
      </c>
      <c r="AD695" s="11">
        <f t="shared" si="3168"/>
        <v>0</v>
      </c>
      <c r="AE695" s="11">
        <f t="shared" si="3168"/>
        <v>0</v>
      </c>
      <c r="AF695" s="25">
        <f>SUM(AF691:AF694)</f>
        <v>0</v>
      </c>
      <c r="AH695" s="10">
        <f t="shared" ref="AH695:AM695" si="3169">SUM(AH691:AH694)</f>
        <v>0</v>
      </c>
      <c r="AI695" s="11">
        <f t="shared" si="3169"/>
        <v>0</v>
      </c>
      <c r="AJ695" s="11">
        <f t="shared" si="3169"/>
        <v>0</v>
      </c>
      <c r="AK695" s="11">
        <f t="shared" si="3169"/>
        <v>0</v>
      </c>
      <c r="AL695" s="11">
        <f t="shared" si="3169"/>
        <v>0</v>
      </c>
      <c r="AM695" s="25">
        <f t="shared" si="3169"/>
        <v>0</v>
      </c>
      <c r="AO695" s="10">
        <f t="shared" ref="AO695:AT695" si="3170">SUM(AO691:AO694)</f>
        <v>0</v>
      </c>
      <c r="AP695" s="11">
        <f t="shared" si="3170"/>
        <v>0</v>
      </c>
      <c r="AQ695" s="11">
        <f t="shared" si="3170"/>
        <v>0</v>
      </c>
      <c r="AR695" s="11">
        <f t="shared" si="3170"/>
        <v>0</v>
      </c>
      <c r="AS695" s="11">
        <f t="shared" si="3170"/>
        <v>0</v>
      </c>
      <c r="AT695" s="25">
        <f t="shared" si="3170"/>
        <v>0</v>
      </c>
      <c r="AV695" s="10">
        <f t="shared" ref="AV695:BA695" si="3171">SUM(AV691:AV694)</f>
        <v>0</v>
      </c>
      <c r="AW695" s="11">
        <f t="shared" si="3171"/>
        <v>0</v>
      </c>
      <c r="AX695" s="11">
        <f t="shared" si="3171"/>
        <v>0</v>
      </c>
      <c r="AY695" s="11">
        <f t="shared" si="3171"/>
        <v>0</v>
      </c>
      <c r="AZ695" s="11">
        <f t="shared" si="3171"/>
        <v>0</v>
      </c>
      <c r="BA695" s="25">
        <f t="shared" si="3171"/>
        <v>0</v>
      </c>
      <c r="BC695" s="10">
        <f t="shared" ref="BC695:BH695" si="3172">SUM(BC691:BC694)</f>
        <v>0</v>
      </c>
      <c r="BD695" s="11">
        <f t="shared" si="3172"/>
        <v>0</v>
      </c>
      <c r="BE695" s="11">
        <f t="shared" si="3172"/>
        <v>0</v>
      </c>
      <c r="BF695" s="11">
        <f t="shared" si="3172"/>
        <v>0</v>
      </c>
      <c r="BG695" s="11">
        <f t="shared" si="3172"/>
        <v>0</v>
      </c>
      <c r="BH695" s="25">
        <f t="shared" si="3172"/>
        <v>0</v>
      </c>
      <c r="BJ695" s="10">
        <f t="shared" ref="BJ695:BO695" si="3173">SUM(BJ691:BJ694)</f>
        <v>0</v>
      </c>
      <c r="BK695" s="11">
        <f t="shared" si="3173"/>
        <v>0</v>
      </c>
      <c r="BL695" s="11">
        <f t="shared" si="3173"/>
        <v>0</v>
      </c>
      <c r="BM695" s="11">
        <f t="shared" si="3173"/>
        <v>0</v>
      </c>
      <c r="BN695" s="11">
        <f t="shared" si="3173"/>
        <v>0</v>
      </c>
      <c r="BO695" s="25">
        <f t="shared" si="3173"/>
        <v>0</v>
      </c>
      <c r="BQ695" s="10">
        <f t="shared" ref="BQ695:BV695" si="3174">SUM(BQ691:BQ694)</f>
        <v>0</v>
      </c>
      <c r="BR695" s="11">
        <f t="shared" si="3174"/>
        <v>0</v>
      </c>
      <c r="BS695" s="11">
        <f t="shared" si="3174"/>
        <v>0</v>
      </c>
      <c r="BT695" s="11">
        <f t="shared" si="3174"/>
        <v>0</v>
      </c>
      <c r="BU695" s="11">
        <f t="shared" si="3174"/>
        <v>0</v>
      </c>
      <c r="BV695" s="25">
        <f t="shared" si="3174"/>
        <v>0</v>
      </c>
      <c r="BX695" s="10">
        <f t="shared" ref="BX695:CC695" si="3175">SUM(BX691:BX694)</f>
        <v>0</v>
      </c>
      <c r="BY695" s="11">
        <f t="shared" si="3175"/>
        <v>0</v>
      </c>
      <c r="BZ695" s="11">
        <f t="shared" si="3175"/>
        <v>0</v>
      </c>
      <c r="CA695" s="11">
        <f t="shared" si="3175"/>
        <v>0</v>
      </c>
      <c r="CB695" s="11">
        <f t="shared" si="3175"/>
        <v>0</v>
      </c>
      <c r="CC695" s="25">
        <f t="shared" si="3175"/>
        <v>0</v>
      </c>
      <c r="CE695" s="62">
        <f t="shared" ref="CE695:CJ695" si="3176">SUM(CE691:CE694)</f>
        <v>0</v>
      </c>
      <c r="CF695" s="63">
        <f t="shared" si="3176"/>
        <v>0</v>
      </c>
      <c r="CG695" s="63">
        <f t="shared" si="3176"/>
        <v>0</v>
      </c>
      <c r="CH695" s="63">
        <f t="shared" si="3176"/>
        <v>0</v>
      </c>
      <c r="CI695" s="63">
        <f t="shared" si="3176"/>
        <v>0</v>
      </c>
      <c r="CJ695" s="25">
        <f t="shared" si="3176"/>
        <v>0</v>
      </c>
      <c r="CL695" s="10">
        <f>SUM(CL691:CL694)</f>
        <v>0</v>
      </c>
      <c r="CM695" s="11">
        <f t="shared" ref="CM695:CQ695" si="3177">SUM(CM691:CM694)</f>
        <v>0</v>
      </c>
      <c r="CN695" s="11">
        <f t="shared" si="3177"/>
        <v>0</v>
      </c>
      <c r="CO695" s="11">
        <f t="shared" si="3177"/>
        <v>0</v>
      </c>
      <c r="CP695" s="11">
        <f t="shared" si="3177"/>
        <v>0</v>
      </c>
      <c r="CQ695" s="25">
        <f t="shared" si="3177"/>
        <v>0</v>
      </c>
      <c r="CS695" s="10">
        <f>SUM(CS691:CS694)</f>
        <v>0</v>
      </c>
      <c r="CT695" s="11">
        <f t="shared" ref="CT695:CW695" si="3178">SUM(CT691:CT694)</f>
        <v>0</v>
      </c>
      <c r="CU695" s="11">
        <f t="shared" si="3178"/>
        <v>0</v>
      </c>
      <c r="CV695" s="11">
        <f t="shared" si="3178"/>
        <v>0</v>
      </c>
      <c r="CW695" s="11">
        <f t="shared" si="3178"/>
        <v>0</v>
      </c>
      <c r="CX695" s="25">
        <f>SUM(CX691:CX694)</f>
        <v>0</v>
      </c>
      <c r="CZ695" s="10">
        <f>SUM(CZ691:CZ694)</f>
        <v>0</v>
      </c>
      <c r="DA695" s="11">
        <f t="shared" ref="DA695:DD695" si="3179">SUM(DA691:DA694)</f>
        <v>0</v>
      </c>
      <c r="DB695" s="11">
        <f t="shared" si="3179"/>
        <v>0</v>
      </c>
      <c r="DC695" s="11">
        <f t="shared" si="3179"/>
        <v>0</v>
      </c>
      <c r="DD695" s="11">
        <f t="shared" si="3179"/>
        <v>0</v>
      </c>
      <c r="DE695" s="25">
        <f>SUM(DE691:DE694)</f>
        <v>0</v>
      </c>
    </row>
    <row r="696" spans="3:109" ht="10.4" customHeight="1" thickBot="1"/>
    <row r="697" spans="3:109">
      <c r="C697" s="553">
        <v>2027</v>
      </c>
      <c r="E697" s="13" t="s">
        <v>59</v>
      </c>
      <c r="F697" s="21">
        <f>CE691</f>
        <v>0</v>
      </c>
      <c r="G697" s="22">
        <f t="shared" ref="G697:G700" si="3180">CF691</f>
        <v>0</v>
      </c>
      <c r="H697" s="22">
        <f t="shared" ref="H697:H700" si="3181">CG691</f>
        <v>0</v>
      </c>
      <c r="I697" s="22">
        <f t="shared" ref="I697:I700" si="3182">CH691</f>
        <v>0</v>
      </c>
      <c r="J697" s="22">
        <f t="shared" ref="J697:J700" si="3183">CI691</f>
        <v>0</v>
      </c>
      <c r="K697" s="4">
        <f>SUM(F697:J697)</f>
        <v>0</v>
      </c>
      <c r="M697" s="2"/>
      <c r="N697" s="3"/>
      <c r="O697" s="3"/>
      <c r="P697" s="3"/>
      <c r="Q697" s="3"/>
      <c r="R697" s="4">
        <f>SUM(M697:Q697)</f>
        <v>0</v>
      </c>
      <c r="T697" s="2"/>
      <c r="U697" s="3"/>
      <c r="V697" s="3"/>
      <c r="W697" s="3"/>
      <c r="X697" s="3"/>
      <c r="Y697" s="4">
        <f>SUM(T697:X697)</f>
        <v>0</v>
      </c>
      <c r="AA697" s="2"/>
      <c r="AB697" s="3"/>
      <c r="AC697" s="3"/>
      <c r="AD697" s="3"/>
      <c r="AE697" s="3"/>
      <c r="AF697" s="4">
        <f>SUM(AA697:AE697)</f>
        <v>0</v>
      </c>
      <c r="AH697" s="2"/>
      <c r="AI697" s="3"/>
      <c r="AJ697" s="3"/>
      <c r="AK697" s="3"/>
      <c r="AL697" s="3"/>
      <c r="AM697" s="4">
        <f>SUM(AH697:AL697)</f>
        <v>0</v>
      </c>
      <c r="AO697" s="2"/>
      <c r="AP697" s="3"/>
      <c r="AQ697" s="3"/>
      <c r="AR697" s="3"/>
      <c r="AS697" s="3"/>
      <c r="AT697" s="4">
        <f>SUM(AO697:AS697)</f>
        <v>0</v>
      </c>
      <c r="AV697" s="2"/>
      <c r="AW697" s="3"/>
      <c r="AX697" s="3"/>
      <c r="AY697" s="3"/>
      <c r="AZ697" s="3"/>
      <c r="BA697" s="4">
        <f>SUM(AV697:AZ697)</f>
        <v>0</v>
      </c>
      <c r="BC697" s="2"/>
      <c r="BD697" s="3"/>
      <c r="BE697" s="3"/>
      <c r="BF697" s="3"/>
      <c r="BG697" s="3"/>
      <c r="BH697" s="4">
        <f>SUM(BC697:BG697)</f>
        <v>0</v>
      </c>
      <c r="BJ697" s="2"/>
      <c r="BK697" s="3"/>
      <c r="BL697" s="3"/>
      <c r="BM697" s="3"/>
      <c r="BN697" s="3"/>
      <c r="BO697" s="4">
        <f>SUM(BJ697:BN697)</f>
        <v>0</v>
      </c>
      <c r="BQ697" s="2"/>
      <c r="BR697" s="3"/>
      <c r="BS697" s="3"/>
      <c r="BT697" s="3"/>
      <c r="BU697" s="3"/>
      <c r="BV697" s="4">
        <f>SUM(BQ697:BU697)</f>
        <v>0</v>
      </c>
      <c r="BX697" s="2"/>
      <c r="BY697" s="3"/>
      <c r="BZ697" s="3"/>
      <c r="CA697" s="3"/>
      <c r="CB697" s="3"/>
      <c r="CC697" s="4">
        <f>SUM(BX697:CB697)</f>
        <v>0</v>
      </c>
      <c r="CE697" s="26">
        <f t="shared" ref="CE697:CE700" si="3184">F697+M697+T697+AA697+AH697+AO697+AV697+BC697+BJ697+BQ697+BX697</f>
        <v>0</v>
      </c>
      <c r="CF697" s="27">
        <f t="shared" ref="CF697:CF700" si="3185">G697+N697+U697+AB697+AI697+AP697+AW697+BD697+BK697+BR697+BY697</f>
        <v>0</v>
      </c>
      <c r="CG697" s="27">
        <f t="shared" ref="CG697:CG700" si="3186">H697+O697+V697+AC697+AJ697+AQ697+AX697+BE697+BL697+BS697+BZ697</f>
        <v>0</v>
      </c>
      <c r="CH697" s="27">
        <f t="shared" ref="CH697:CH700" si="3187">I697+P697+W697+AD697+AK697+AR697+AY697+BF697+BM697+BT697+CA697</f>
        <v>0</v>
      </c>
      <c r="CI697" s="27">
        <f t="shared" ref="CI697:CI700" si="3188">J697+Q697+X697+AE697+AL697+AS697+AZ697+BG697+BN697+BU697+CB697</f>
        <v>0</v>
      </c>
      <c r="CJ697" s="4">
        <f>SUM(CE697:CI697)</f>
        <v>0</v>
      </c>
      <c r="CL697" s="2"/>
      <c r="CM697" s="3"/>
      <c r="CN697" s="3"/>
      <c r="CO697" s="3"/>
      <c r="CP697" s="3"/>
      <c r="CQ697" s="4">
        <f>SUM(CL697:CP697)</f>
        <v>0</v>
      </c>
      <c r="CS697" s="2"/>
      <c r="CT697" s="3"/>
      <c r="CU697" s="3"/>
      <c r="CV697" s="3"/>
      <c r="CW697" s="3"/>
      <c r="CX697" s="4">
        <f>SUM(CS697:CW697)</f>
        <v>0</v>
      </c>
      <c r="CZ697" s="2"/>
      <c r="DA697" s="3"/>
      <c r="DB697" s="3"/>
      <c r="DC697" s="3"/>
      <c r="DD697" s="3"/>
      <c r="DE697" s="4">
        <f>SUM(CZ697:DD697)</f>
        <v>0</v>
      </c>
    </row>
    <row r="698" spans="3:109">
      <c r="C698" s="567"/>
      <c r="E698" s="14" t="s">
        <v>60</v>
      </c>
      <c r="F698" s="23">
        <f t="shared" ref="F698:F700" si="3189">CE692</f>
        <v>0</v>
      </c>
      <c r="G698" s="24">
        <f t="shared" si="3180"/>
        <v>0</v>
      </c>
      <c r="H698" s="24">
        <f t="shared" si="3181"/>
        <v>0</v>
      </c>
      <c r="I698" s="24">
        <f t="shared" si="3182"/>
        <v>0</v>
      </c>
      <c r="J698" s="24">
        <f t="shared" si="3183"/>
        <v>0</v>
      </c>
      <c r="K698" s="8">
        <f t="shared" ref="K698:K700" si="3190">SUM(F698:J698)</f>
        <v>0</v>
      </c>
      <c r="M698" s="6"/>
      <c r="N698" s="7"/>
      <c r="O698" s="7"/>
      <c r="P698" s="7"/>
      <c r="Q698" s="7"/>
      <c r="R698" s="8">
        <f t="shared" ref="R698:R700" si="3191">SUM(M698:Q698)</f>
        <v>0</v>
      </c>
      <c r="T698" s="6"/>
      <c r="U698" s="7"/>
      <c r="V698" s="7"/>
      <c r="W698" s="7"/>
      <c r="X698" s="7"/>
      <c r="Y698" s="8">
        <f t="shared" ref="Y698:Y700" si="3192">SUM(T698:X698)</f>
        <v>0</v>
      </c>
      <c r="AA698" s="6"/>
      <c r="AB698" s="7"/>
      <c r="AC698" s="7"/>
      <c r="AD698" s="7"/>
      <c r="AE698" s="7"/>
      <c r="AF698" s="8">
        <f>SUM(AA698:AE698)</f>
        <v>0</v>
      </c>
      <c r="AH698" s="6"/>
      <c r="AI698" s="7"/>
      <c r="AJ698" s="7"/>
      <c r="AK698" s="7"/>
      <c r="AL698" s="7"/>
      <c r="AM698" s="8">
        <f>SUM(AH698:AL698)</f>
        <v>0</v>
      </c>
      <c r="AO698" s="6"/>
      <c r="AP698" s="7"/>
      <c r="AQ698" s="7"/>
      <c r="AR698" s="7"/>
      <c r="AS698" s="7"/>
      <c r="AT698" s="8">
        <f>SUM(AO698:AS698)</f>
        <v>0</v>
      </c>
      <c r="AV698" s="6"/>
      <c r="AW698" s="7"/>
      <c r="AX698" s="7"/>
      <c r="AY698" s="7"/>
      <c r="AZ698" s="7"/>
      <c r="BA698" s="8">
        <f>SUM(AV698:AZ698)</f>
        <v>0</v>
      </c>
      <c r="BC698" s="6"/>
      <c r="BD698" s="7"/>
      <c r="BE698" s="7"/>
      <c r="BF698" s="7"/>
      <c r="BG698" s="7"/>
      <c r="BH698" s="8">
        <f>SUM(BC698:BG698)</f>
        <v>0</v>
      </c>
      <c r="BJ698" s="6"/>
      <c r="BK698" s="7"/>
      <c r="BL698" s="7"/>
      <c r="BM698" s="7"/>
      <c r="BN698" s="7"/>
      <c r="BO698" s="8">
        <f>SUM(BJ698:BN698)</f>
        <v>0</v>
      </c>
      <c r="BQ698" s="6"/>
      <c r="BR698" s="7"/>
      <c r="BS698" s="7"/>
      <c r="BT698" s="7"/>
      <c r="BU698" s="7"/>
      <c r="BV698" s="8">
        <f>SUM(BQ698:BU698)</f>
        <v>0</v>
      </c>
      <c r="BX698" s="6"/>
      <c r="BY698" s="7"/>
      <c r="BZ698" s="7"/>
      <c r="CA698" s="7"/>
      <c r="CB698" s="7"/>
      <c r="CC698" s="8">
        <f>SUM(BX698:CB698)</f>
        <v>0</v>
      </c>
      <c r="CE698" s="28">
        <f t="shared" si="3184"/>
        <v>0</v>
      </c>
      <c r="CF698" s="29">
        <f t="shared" si="3185"/>
        <v>0</v>
      </c>
      <c r="CG698" s="29">
        <f t="shared" si="3186"/>
        <v>0</v>
      </c>
      <c r="CH698" s="29">
        <f t="shared" si="3187"/>
        <v>0</v>
      </c>
      <c r="CI698" s="29">
        <f t="shared" si="3188"/>
        <v>0</v>
      </c>
      <c r="CJ698" s="8">
        <f>SUM(CE698:CI698)</f>
        <v>0</v>
      </c>
      <c r="CL698" s="6"/>
      <c r="CM698" s="7"/>
      <c r="CN698" s="7"/>
      <c r="CO698" s="7"/>
      <c r="CP698" s="7"/>
      <c r="CQ698" s="8">
        <f>SUM(CL698:CP698)</f>
        <v>0</v>
      </c>
      <c r="CS698" s="6"/>
      <c r="CT698" s="7"/>
      <c r="CU698" s="7"/>
      <c r="CV698" s="7"/>
      <c r="CW698" s="7"/>
      <c r="CX698" s="8">
        <f t="shared" ref="CX698:CX700" si="3193">SUM(CS698:CW698)</f>
        <v>0</v>
      </c>
      <c r="CZ698" s="6"/>
      <c r="DA698" s="7"/>
      <c r="DB698" s="7"/>
      <c r="DC698" s="7"/>
      <c r="DD698" s="7"/>
      <c r="DE698" s="8">
        <f t="shared" ref="DE698:DE700" si="3194">SUM(CZ698:DD698)</f>
        <v>0</v>
      </c>
    </row>
    <row r="699" spans="3:109">
      <c r="C699" s="567"/>
      <c r="E699" s="14" t="s">
        <v>61</v>
      </c>
      <c r="F699" s="23">
        <f t="shared" si="3189"/>
        <v>0</v>
      </c>
      <c r="G699" s="24">
        <f t="shared" si="3180"/>
        <v>0</v>
      </c>
      <c r="H699" s="24">
        <f t="shared" si="3181"/>
        <v>0</v>
      </c>
      <c r="I699" s="24">
        <f t="shared" si="3182"/>
        <v>0</v>
      </c>
      <c r="J699" s="24">
        <f t="shared" si="3183"/>
        <v>0</v>
      </c>
      <c r="K699" s="8">
        <f t="shared" si="3190"/>
        <v>0</v>
      </c>
      <c r="M699" s="6"/>
      <c r="N699" s="7"/>
      <c r="O699" s="7"/>
      <c r="P699" s="7"/>
      <c r="Q699" s="7"/>
      <c r="R699" s="8">
        <f t="shared" si="3191"/>
        <v>0</v>
      </c>
      <c r="T699" s="6"/>
      <c r="U699" s="7"/>
      <c r="V699" s="7"/>
      <c r="W699" s="7"/>
      <c r="X699" s="7"/>
      <c r="Y699" s="8">
        <f t="shared" si="3192"/>
        <v>0</v>
      </c>
      <c r="AA699" s="6"/>
      <c r="AB699" s="7"/>
      <c r="AC699" s="7"/>
      <c r="AD699" s="7"/>
      <c r="AE699" s="7"/>
      <c r="AF699" s="8">
        <f>SUM(AA699:AE699)</f>
        <v>0</v>
      </c>
      <c r="AH699" s="6"/>
      <c r="AI699" s="7"/>
      <c r="AJ699" s="7"/>
      <c r="AK699" s="7"/>
      <c r="AL699" s="7"/>
      <c r="AM699" s="8">
        <f>SUM(AH699:AL699)</f>
        <v>0</v>
      </c>
      <c r="AO699" s="6"/>
      <c r="AP699" s="7"/>
      <c r="AQ699" s="7"/>
      <c r="AR699" s="7"/>
      <c r="AS699" s="7"/>
      <c r="AT699" s="8">
        <f>SUM(AO699:AS699)</f>
        <v>0</v>
      </c>
      <c r="AV699" s="6"/>
      <c r="AW699" s="7"/>
      <c r="AX699" s="7"/>
      <c r="AY699" s="7"/>
      <c r="AZ699" s="7"/>
      <c r="BA699" s="8">
        <f>SUM(AV699:AZ699)</f>
        <v>0</v>
      </c>
      <c r="BC699" s="6"/>
      <c r="BD699" s="7"/>
      <c r="BE699" s="7"/>
      <c r="BF699" s="7"/>
      <c r="BG699" s="7"/>
      <c r="BH699" s="8">
        <f>SUM(BC699:BG699)</f>
        <v>0</v>
      </c>
      <c r="BJ699" s="6"/>
      <c r="BK699" s="7"/>
      <c r="BL699" s="7"/>
      <c r="BM699" s="7"/>
      <c r="BN699" s="7"/>
      <c r="BO699" s="8">
        <f>SUM(BJ699:BN699)</f>
        <v>0</v>
      </c>
      <c r="BQ699" s="6"/>
      <c r="BR699" s="7"/>
      <c r="BS699" s="7"/>
      <c r="BT699" s="7"/>
      <c r="BU699" s="7"/>
      <c r="BV699" s="8">
        <f>SUM(BQ699:BU699)</f>
        <v>0</v>
      </c>
      <c r="BX699" s="6"/>
      <c r="BY699" s="7"/>
      <c r="BZ699" s="7"/>
      <c r="CA699" s="7"/>
      <c r="CB699" s="7"/>
      <c r="CC699" s="8">
        <f>SUM(BX699:CB699)</f>
        <v>0</v>
      </c>
      <c r="CE699" s="28">
        <f t="shared" si="3184"/>
        <v>0</v>
      </c>
      <c r="CF699" s="29">
        <f t="shared" si="3185"/>
        <v>0</v>
      </c>
      <c r="CG699" s="29">
        <f t="shared" si="3186"/>
        <v>0</v>
      </c>
      <c r="CH699" s="29">
        <f t="shared" si="3187"/>
        <v>0</v>
      </c>
      <c r="CI699" s="29">
        <f t="shared" si="3188"/>
        <v>0</v>
      </c>
      <c r="CJ699" s="8">
        <f>SUM(CE699:CI699)</f>
        <v>0</v>
      </c>
      <c r="CL699" s="6"/>
      <c r="CM699" s="7"/>
      <c r="CN699" s="7"/>
      <c r="CO699" s="7"/>
      <c r="CP699" s="7"/>
      <c r="CQ699" s="8">
        <f>SUM(CL699:CP699)</f>
        <v>0</v>
      </c>
      <c r="CS699" s="6"/>
      <c r="CT699" s="7"/>
      <c r="CU699" s="7"/>
      <c r="CV699" s="7"/>
      <c r="CW699" s="7"/>
      <c r="CX699" s="8">
        <f t="shared" si="3193"/>
        <v>0</v>
      </c>
      <c r="CZ699" s="6"/>
      <c r="DA699" s="7"/>
      <c r="DB699" s="7"/>
      <c r="DC699" s="7"/>
      <c r="DD699" s="7"/>
      <c r="DE699" s="8">
        <f t="shared" si="3194"/>
        <v>0</v>
      </c>
    </row>
    <row r="700" spans="3:109" ht="14" thickBot="1">
      <c r="C700" s="567"/>
      <c r="E700" s="14" t="s">
        <v>62</v>
      </c>
      <c r="F700" s="23">
        <f t="shared" si="3189"/>
        <v>0</v>
      </c>
      <c r="G700" s="24">
        <f t="shared" si="3180"/>
        <v>0</v>
      </c>
      <c r="H700" s="24">
        <f t="shared" si="3181"/>
        <v>0</v>
      </c>
      <c r="I700" s="24">
        <f t="shared" si="3182"/>
        <v>0</v>
      </c>
      <c r="J700" s="24">
        <f t="shared" si="3183"/>
        <v>0</v>
      </c>
      <c r="K700" s="8">
        <f t="shared" si="3190"/>
        <v>0</v>
      </c>
      <c r="M700" s="6"/>
      <c r="N700" s="7"/>
      <c r="O700" s="7"/>
      <c r="P700" s="7"/>
      <c r="Q700" s="7"/>
      <c r="R700" s="8">
        <f t="shared" si="3191"/>
        <v>0</v>
      </c>
      <c r="T700" s="6"/>
      <c r="U700" s="7"/>
      <c r="V700" s="7"/>
      <c r="W700" s="7"/>
      <c r="X700" s="7"/>
      <c r="Y700" s="8">
        <f t="shared" si="3192"/>
        <v>0</v>
      </c>
      <c r="AA700" s="6"/>
      <c r="AB700" s="7"/>
      <c r="AC700" s="7"/>
      <c r="AD700" s="7"/>
      <c r="AE700" s="7"/>
      <c r="AF700" s="8">
        <f>SUM(AA700:AE700)</f>
        <v>0</v>
      </c>
      <c r="AH700" s="6"/>
      <c r="AI700" s="7"/>
      <c r="AJ700" s="7"/>
      <c r="AK700" s="7"/>
      <c r="AL700" s="7"/>
      <c r="AM700" s="8">
        <f>SUM(AH700:AL700)</f>
        <v>0</v>
      </c>
      <c r="AO700" s="6"/>
      <c r="AP700" s="7"/>
      <c r="AQ700" s="7"/>
      <c r="AR700" s="7"/>
      <c r="AS700" s="7"/>
      <c r="AT700" s="8">
        <f>SUM(AO700:AS700)</f>
        <v>0</v>
      </c>
      <c r="AV700" s="6"/>
      <c r="AW700" s="7"/>
      <c r="AX700" s="7"/>
      <c r="AY700" s="7"/>
      <c r="AZ700" s="7"/>
      <c r="BA700" s="8">
        <f>SUM(AV700:AZ700)</f>
        <v>0</v>
      </c>
      <c r="BC700" s="6"/>
      <c r="BD700" s="7"/>
      <c r="BE700" s="7"/>
      <c r="BF700" s="7"/>
      <c r="BG700" s="7"/>
      <c r="BH700" s="8">
        <f>SUM(BC700:BG700)</f>
        <v>0</v>
      </c>
      <c r="BJ700" s="6"/>
      <c r="BK700" s="7"/>
      <c r="BL700" s="7"/>
      <c r="BM700" s="7"/>
      <c r="BN700" s="7"/>
      <c r="BO700" s="8">
        <f>SUM(BJ700:BN700)</f>
        <v>0</v>
      </c>
      <c r="BQ700" s="6"/>
      <c r="BR700" s="7"/>
      <c r="BS700" s="7"/>
      <c r="BT700" s="7"/>
      <c r="BU700" s="7"/>
      <c r="BV700" s="8">
        <f>SUM(BQ700:BU700)</f>
        <v>0</v>
      </c>
      <c r="BX700" s="6"/>
      <c r="BY700" s="7"/>
      <c r="BZ700" s="7"/>
      <c r="CA700" s="7"/>
      <c r="CB700" s="7"/>
      <c r="CC700" s="8">
        <f>SUM(BX700:CB700)</f>
        <v>0</v>
      </c>
      <c r="CE700" s="493">
        <f t="shared" si="3184"/>
        <v>0</v>
      </c>
      <c r="CF700" s="494">
        <f t="shared" si="3185"/>
        <v>0</v>
      </c>
      <c r="CG700" s="494">
        <f t="shared" si="3186"/>
        <v>0</v>
      </c>
      <c r="CH700" s="494">
        <f t="shared" si="3187"/>
        <v>0</v>
      </c>
      <c r="CI700" s="494">
        <f t="shared" si="3188"/>
        <v>0</v>
      </c>
      <c r="CJ700" s="495">
        <f>SUM(CE700:CI700)</f>
        <v>0</v>
      </c>
      <c r="CL700" s="6"/>
      <c r="CM700" s="7"/>
      <c r="CN700" s="7"/>
      <c r="CO700" s="7"/>
      <c r="CP700" s="7"/>
      <c r="CQ700" s="8">
        <f>SUM(CL700:CP700)</f>
        <v>0</v>
      </c>
      <c r="CS700" s="6"/>
      <c r="CT700" s="7"/>
      <c r="CU700" s="7"/>
      <c r="CV700" s="7"/>
      <c r="CW700" s="7"/>
      <c r="CX700" s="8">
        <f t="shared" si="3193"/>
        <v>0</v>
      </c>
      <c r="CZ700" s="6"/>
      <c r="DA700" s="7"/>
      <c r="DB700" s="7"/>
      <c r="DC700" s="7"/>
      <c r="DD700" s="7"/>
      <c r="DE700" s="8">
        <f t="shared" si="3194"/>
        <v>0</v>
      </c>
    </row>
    <row r="701" spans="3:109" ht="14" thickBot="1">
      <c r="C701" s="554"/>
      <c r="E701" s="17"/>
      <c r="F701" s="10">
        <f>SUM(F697:F700)</f>
        <v>0</v>
      </c>
      <c r="G701" s="11">
        <f t="shared" ref="G701:J701" si="3195">SUM(G697:G700)</f>
        <v>0</v>
      </c>
      <c r="H701" s="11">
        <f t="shared" si="3195"/>
        <v>0</v>
      </c>
      <c r="I701" s="11">
        <f t="shared" si="3195"/>
        <v>0</v>
      </c>
      <c r="J701" s="11">
        <f t="shared" si="3195"/>
        <v>0</v>
      </c>
      <c r="K701" s="25">
        <f>SUM(K697:K700)</f>
        <v>0</v>
      </c>
      <c r="M701" s="10">
        <f>SUM(M697:M700)</f>
        <v>0</v>
      </c>
      <c r="N701" s="11">
        <f t="shared" ref="N701:Q701" si="3196">SUM(N697:N700)</f>
        <v>0</v>
      </c>
      <c r="O701" s="11">
        <f t="shared" si="3196"/>
        <v>0</v>
      </c>
      <c r="P701" s="11">
        <f t="shared" si="3196"/>
        <v>0</v>
      </c>
      <c r="Q701" s="11">
        <f t="shared" si="3196"/>
        <v>0</v>
      </c>
      <c r="R701" s="25">
        <f>SUM(R697:R700)</f>
        <v>0</v>
      </c>
      <c r="T701" s="10">
        <f>SUM(T697:T700)</f>
        <v>0</v>
      </c>
      <c r="U701" s="11">
        <f t="shared" ref="U701:X701" si="3197">SUM(U697:U700)</f>
        <v>0</v>
      </c>
      <c r="V701" s="11">
        <f t="shared" si="3197"/>
        <v>0</v>
      </c>
      <c r="W701" s="11">
        <f t="shared" si="3197"/>
        <v>0</v>
      </c>
      <c r="X701" s="11">
        <f t="shared" si="3197"/>
        <v>0</v>
      </c>
      <c r="Y701" s="25">
        <f>SUM(Y697:Y700)</f>
        <v>0</v>
      </c>
      <c r="AA701" s="10">
        <f>SUM(AA697:AA700)</f>
        <v>0</v>
      </c>
      <c r="AB701" s="11">
        <f t="shared" ref="AB701:AE701" si="3198">SUM(AB697:AB700)</f>
        <v>0</v>
      </c>
      <c r="AC701" s="11">
        <f t="shared" si="3198"/>
        <v>0</v>
      </c>
      <c r="AD701" s="11">
        <f t="shared" si="3198"/>
        <v>0</v>
      </c>
      <c r="AE701" s="11">
        <f t="shared" si="3198"/>
        <v>0</v>
      </c>
      <c r="AF701" s="25">
        <f>SUM(AF697:AF700)</f>
        <v>0</v>
      </c>
      <c r="AH701" s="10">
        <f t="shared" ref="AH701:AM701" si="3199">SUM(AH697:AH700)</f>
        <v>0</v>
      </c>
      <c r="AI701" s="11">
        <f t="shared" si="3199"/>
        <v>0</v>
      </c>
      <c r="AJ701" s="11">
        <f t="shared" si="3199"/>
        <v>0</v>
      </c>
      <c r="AK701" s="11">
        <f t="shared" si="3199"/>
        <v>0</v>
      </c>
      <c r="AL701" s="11">
        <f t="shared" si="3199"/>
        <v>0</v>
      </c>
      <c r="AM701" s="25">
        <f t="shared" si="3199"/>
        <v>0</v>
      </c>
      <c r="AO701" s="10">
        <f t="shared" ref="AO701:AT701" si="3200">SUM(AO697:AO700)</f>
        <v>0</v>
      </c>
      <c r="AP701" s="11">
        <f t="shared" si="3200"/>
        <v>0</v>
      </c>
      <c r="AQ701" s="11">
        <f t="shared" si="3200"/>
        <v>0</v>
      </c>
      <c r="AR701" s="11">
        <f t="shared" si="3200"/>
        <v>0</v>
      </c>
      <c r="AS701" s="11">
        <f t="shared" si="3200"/>
        <v>0</v>
      </c>
      <c r="AT701" s="25">
        <f t="shared" si="3200"/>
        <v>0</v>
      </c>
      <c r="AV701" s="10">
        <f t="shared" ref="AV701:BA701" si="3201">SUM(AV697:AV700)</f>
        <v>0</v>
      </c>
      <c r="AW701" s="11">
        <f t="shared" si="3201"/>
        <v>0</v>
      </c>
      <c r="AX701" s="11">
        <f t="shared" si="3201"/>
        <v>0</v>
      </c>
      <c r="AY701" s="11">
        <f t="shared" si="3201"/>
        <v>0</v>
      </c>
      <c r="AZ701" s="11">
        <f t="shared" si="3201"/>
        <v>0</v>
      </c>
      <c r="BA701" s="25">
        <f t="shared" si="3201"/>
        <v>0</v>
      </c>
      <c r="BC701" s="10">
        <f t="shared" ref="BC701:BH701" si="3202">SUM(BC697:BC700)</f>
        <v>0</v>
      </c>
      <c r="BD701" s="11">
        <f t="shared" si="3202"/>
        <v>0</v>
      </c>
      <c r="BE701" s="11">
        <f t="shared" si="3202"/>
        <v>0</v>
      </c>
      <c r="BF701" s="11">
        <f t="shared" si="3202"/>
        <v>0</v>
      </c>
      <c r="BG701" s="11">
        <f t="shared" si="3202"/>
        <v>0</v>
      </c>
      <c r="BH701" s="25">
        <f t="shared" si="3202"/>
        <v>0</v>
      </c>
      <c r="BJ701" s="10">
        <f t="shared" ref="BJ701:BO701" si="3203">SUM(BJ697:BJ700)</f>
        <v>0</v>
      </c>
      <c r="BK701" s="11">
        <f t="shared" si="3203"/>
        <v>0</v>
      </c>
      <c r="BL701" s="11">
        <f t="shared" si="3203"/>
        <v>0</v>
      </c>
      <c r="BM701" s="11">
        <f t="shared" si="3203"/>
        <v>0</v>
      </c>
      <c r="BN701" s="11">
        <f t="shared" si="3203"/>
        <v>0</v>
      </c>
      <c r="BO701" s="25">
        <f t="shared" si="3203"/>
        <v>0</v>
      </c>
      <c r="BQ701" s="10">
        <f t="shared" ref="BQ701:BV701" si="3204">SUM(BQ697:BQ700)</f>
        <v>0</v>
      </c>
      <c r="BR701" s="11">
        <f t="shared" si="3204"/>
        <v>0</v>
      </c>
      <c r="BS701" s="11">
        <f t="shared" si="3204"/>
        <v>0</v>
      </c>
      <c r="BT701" s="11">
        <f t="shared" si="3204"/>
        <v>0</v>
      </c>
      <c r="BU701" s="11">
        <f t="shared" si="3204"/>
        <v>0</v>
      </c>
      <c r="BV701" s="25">
        <f t="shared" si="3204"/>
        <v>0</v>
      </c>
      <c r="BX701" s="10">
        <f t="shared" ref="BX701:CC701" si="3205">SUM(BX697:BX700)</f>
        <v>0</v>
      </c>
      <c r="BY701" s="11">
        <f t="shared" si="3205"/>
        <v>0</v>
      </c>
      <c r="BZ701" s="11">
        <f t="shared" si="3205"/>
        <v>0</v>
      </c>
      <c r="CA701" s="11">
        <f t="shared" si="3205"/>
        <v>0</v>
      </c>
      <c r="CB701" s="11">
        <f t="shared" si="3205"/>
        <v>0</v>
      </c>
      <c r="CC701" s="25">
        <f t="shared" si="3205"/>
        <v>0</v>
      </c>
      <c r="CE701" s="62">
        <f t="shared" ref="CE701:CJ701" si="3206">SUM(CE697:CE700)</f>
        <v>0</v>
      </c>
      <c r="CF701" s="63">
        <f t="shared" si="3206"/>
        <v>0</v>
      </c>
      <c r="CG701" s="63">
        <f t="shared" si="3206"/>
        <v>0</v>
      </c>
      <c r="CH701" s="63">
        <f t="shared" si="3206"/>
        <v>0</v>
      </c>
      <c r="CI701" s="63">
        <f t="shared" si="3206"/>
        <v>0</v>
      </c>
      <c r="CJ701" s="25">
        <f t="shared" si="3206"/>
        <v>0</v>
      </c>
      <c r="CL701" s="10">
        <f>SUM(CL697:CL700)</f>
        <v>0</v>
      </c>
      <c r="CM701" s="11">
        <f t="shared" ref="CM701:CQ701" si="3207">SUM(CM697:CM700)</f>
        <v>0</v>
      </c>
      <c r="CN701" s="11">
        <f t="shared" si="3207"/>
        <v>0</v>
      </c>
      <c r="CO701" s="11">
        <f t="shared" si="3207"/>
        <v>0</v>
      </c>
      <c r="CP701" s="11">
        <f t="shared" si="3207"/>
        <v>0</v>
      </c>
      <c r="CQ701" s="25">
        <f t="shared" si="3207"/>
        <v>0</v>
      </c>
      <c r="CS701" s="10">
        <f>SUM(CS697:CS700)</f>
        <v>0</v>
      </c>
      <c r="CT701" s="11">
        <f t="shared" ref="CT701:CW701" si="3208">SUM(CT697:CT700)</f>
        <v>0</v>
      </c>
      <c r="CU701" s="11">
        <f t="shared" si="3208"/>
        <v>0</v>
      </c>
      <c r="CV701" s="11">
        <f t="shared" si="3208"/>
        <v>0</v>
      </c>
      <c r="CW701" s="11">
        <f t="shared" si="3208"/>
        <v>0</v>
      </c>
      <c r="CX701" s="25">
        <f>SUM(CX697:CX700)</f>
        <v>0</v>
      </c>
      <c r="CZ701" s="10">
        <f>SUM(CZ697:CZ700)</f>
        <v>0</v>
      </c>
      <c r="DA701" s="11">
        <f t="shared" ref="DA701:DD701" si="3209">SUM(DA697:DA700)</f>
        <v>0</v>
      </c>
      <c r="DB701" s="11">
        <f t="shared" si="3209"/>
        <v>0</v>
      </c>
      <c r="DC701" s="11">
        <f t="shared" si="3209"/>
        <v>0</v>
      </c>
      <c r="DD701" s="11">
        <f t="shared" si="3209"/>
        <v>0</v>
      </c>
      <c r="DE701" s="25">
        <f>SUM(DE697:DE700)</f>
        <v>0</v>
      </c>
    </row>
    <row r="702" spans="3:109" ht="10.4" customHeight="1" thickBot="1"/>
    <row r="703" spans="3:109">
      <c r="C703" s="553">
        <v>2028</v>
      </c>
      <c r="E703" s="13" t="s">
        <v>59</v>
      </c>
      <c r="F703" s="21">
        <f>CE697</f>
        <v>0</v>
      </c>
      <c r="G703" s="22">
        <f t="shared" ref="G703:G706" si="3210">CF697</f>
        <v>0</v>
      </c>
      <c r="H703" s="22">
        <f t="shared" ref="H703:H706" si="3211">CG697</f>
        <v>0</v>
      </c>
      <c r="I703" s="22">
        <f t="shared" ref="I703:I706" si="3212">CH697</f>
        <v>0</v>
      </c>
      <c r="J703" s="22">
        <f t="shared" ref="J703:J706" si="3213">CI697</f>
        <v>0</v>
      </c>
      <c r="K703" s="4">
        <f>SUM(F703:J703)</f>
        <v>0</v>
      </c>
      <c r="M703" s="2"/>
      <c r="N703" s="3"/>
      <c r="O703" s="3"/>
      <c r="P703" s="3"/>
      <c r="Q703" s="3"/>
      <c r="R703" s="4">
        <f>SUM(M703:Q703)</f>
        <v>0</v>
      </c>
      <c r="T703" s="2"/>
      <c r="U703" s="3"/>
      <c r="V703" s="3"/>
      <c r="W703" s="3"/>
      <c r="X703" s="3"/>
      <c r="Y703" s="4">
        <f>SUM(T703:X703)</f>
        <v>0</v>
      </c>
      <c r="AA703" s="2"/>
      <c r="AB703" s="3"/>
      <c r="AC703" s="3"/>
      <c r="AD703" s="3"/>
      <c r="AE703" s="3"/>
      <c r="AF703" s="4">
        <f>SUM(AA703:AE703)</f>
        <v>0</v>
      </c>
      <c r="AH703" s="2"/>
      <c r="AI703" s="3"/>
      <c r="AJ703" s="3"/>
      <c r="AK703" s="3"/>
      <c r="AL703" s="3"/>
      <c r="AM703" s="4">
        <f>SUM(AH703:AL703)</f>
        <v>0</v>
      </c>
      <c r="AO703" s="2"/>
      <c r="AP703" s="3"/>
      <c r="AQ703" s="3"/>
      <c r="AR703" s="3"/>
      <c r="AS703" s="3"/>
      <c r="AT703" s="4">
        <f>SUM(AO703:AS703)</f>
        <v>0</v>
      </c>
      <c r="AV703" s="2"/>
      <c r="AW703" s="3"/>
      <c r="AX703" s="3"/>
      <c r="AY703" s="3"/>
      <c r="AZ703" s="3"/>
      <c r="BA703" s="4">
        <f>SUM(AV703:AZ703)</f>
        <v>0</v>
      </c>
      <c r="BC703" s="2"/>
      <c r="BD703" s="3"/>
      <c r="BE703" s="3"/>
      <c r="BF703" s="3"/>
      <c r="BG703" s="3"/>
      <c r="BH703" s="4">
        <f>SUM(BC703:BG703)</f>
        <v>0</v>
      </c>
      <c r="BJ703" s="2"/>
      <c r="BK703" s="3"/>
      <c r="BL703" s="3"/>
      <c r="BM703" s="3"/>
      <c r="BN703" s="3"/>
      <c r="BO703" s="4">
        <f>SUM(BJ703:BN703)</f>
        <v>0</v>
      </c>
      <c r="BQ703" s="2"/>
      <c r="BR703" s="3"/>
      <c r="BS703" s="3"/>
      <c r="BT703" s="3"/>
      <c r="BU703" s="3"/>
      <c r="BV703" s="4">
        <f>SUM(BQ703:BU703)</f>
        <v>0</v>
      </c>
      <c r="BX703" s="2"/>
      <c r="BY703" s="3"/>
      <c r="BZ703" s="3"/>
      <c r="CA703" s="3"/>
      <c r="CB703" s="3"/>
      <c r="CC703" s="4">
        <f>SUM(BX703:CB703)</f>
        <v>0</v>
      </c>
      <c r="CE703" s="26">
        <f t="shared" ref="CE703:CE706" si="3214">F703+M703+T703+AA703+AH703+AO703+AV703+BC703+BJ703+BQ703+BX703</f>
        <v>0</v>
      </c>
      <c r="CF703" s="27">
        <f t="shared" ref="CF703:CF706" si="3215">G703+N703+U703+AB703+AI703+AP703+AW703+BD703+BK703+BR703+BY703</f>
        <v>0</v>
      </c>
      <c r="CG703" s="27">
        <f t="shared" ref="CG703:CG706" si="3216">H703+O703+V703+AC703+AJ703+AQ703+AX703+BE703+BL703+BS703+BZ703</f>
        <v>0</v>
      </c>
      <c r="CH703" s="27">
        <f t="shared" ref="CH703:CH706" si="3217">I703+P703+W703+AD703+AK703+AR703+AY703+BF703+BM703+BT703+CA703</f>
        <v>0</v>
      </c>
      <c r="CI703" s="27">
        <f t="shared" ref="CI703:CI706" si="3218">J703+Q703+X703+AE703+AL703+AS703+AZ703+BG703+BN703+BU703+CB703</f>
        <v>0</v>
      </c>
      <c r="CJ703" s="4">
        <f>SUM(CE703:CI703)</f>
        <v>0</v>
      </c>
      <c r="CL703" s="2"/>
      <c r="CM703" s="3"/>
      <c r="CN703" s="3"/>
      <c r="CO703" s="3"/>
      <c r="CP703" s="3"/>
      <c r="CQ703" s="4">
        <f>SUM(CL703:CP703)</f>
        <v>0</v>
      </c>
      <c r="CS703" s="2"/>
      <c r="CT703" s="3"/>
      <c r="CU703" s="3"/>
      <c r="CV703" s="3"/>
      <c r="CW703" s="3"/>
      <c r="CX703" s="4">
        <f>SUM(CS703:CW703)</f>
        <v>0</v>
      </c>
      <c r="CZ703" s="2"/>
      <c r="DA703" s="3"/>
      <c r="DB703" s="3"/>
      <c r="DC703" s="3"/>
      <c r="DD703" s="3"/>
      <c r="DE703" s="4">
        <f>SUM(CZ703:DD703)</f>
        <v>0</v>
      </c>
    </row>
    <row r="704" spans="3:109">
      <c r="C704" s="567"/>
      <c r="E704" s="14" t="s">
        <v>60</v>
      </c>
      <c r="F704" s="23">
        <f t="shared" ref="F704:F706" si="3219">CE698</f>
        <v>0</v>
      </c>
      <c r="G704" s="24">
        <f t="shared" si="3210"/>
        <v>0</v>
      </c>
      <c r="H704" s="24">
        <f t="shared" si="3211"/>
        <v>0</v>
      </c>
      <c r="I704" s="24">
        <f t="shared" si="3212"/>
        <v>0</v>
      </c>
      <c r="J704" s="24">
        <f t="shared" si="3213"/>
        <v>0</v>
      </c>
      <c r="K704" s="8">
        <f t="shared" ref="K704:K706" si="3220">SUM(F704:J704)</f>
        <v>0</v>
      </c>
      <c r="M704" s="6"/>
      <c r="N704" s="7"/>
      <c r="O704" s="7"/>
      <c r="P704" s="7"/>
      <c r="Q704" s="7"/>
      <c r="R704" s="8">
        <f t="shared" ref="R704:R706" si="3221">SUM(M704:Q704)</f>
        <v>0</v>
      </c>
      <c r="T704" s="6"/>
      <c r="U704" s="7"/>
      <c r="V704" s="7"/>
      <c r="W704" s="7"/>
      <c r="X704" s="7"/>
      <c r="Y704" s="8">
        <f t="shared" ref="Y704:Y706" si="3222">SUM(T704:X704)</f>
        <v>0</v>
      </c>
      <c r="AA704" s="6"/>
      <c r="AB704" s="7"/>
      <c r="AC704" s="7"/>
      <c r="AD704" s="7"/>
      <c r="AE704" s="7"/>
      <c r="AF704" s="8">
        <f>SUM(AA704:AE704)</f>
        <v>0</v>
      </c>
      <c r="AH704" s="6"/>
      <c r="AI704" s="7"/>
      <c r="AJ704" s="7"/>
      <c r="AK704" s="7"/>
      <c r="AL704" s="7"/>
      <c r="AM704" s="8">
        <f>SUM(AH704:AL704)</f>
        <v>0</v>
      </c>
      <c r="AO704" s="6"/>
      <c r="AP704" s="7"/>
      <c r="AQ704" s="7"/>
      <c r="AR704" s="7"/>
      <c r="AS704" s="7"/>
      <c r="AT704" s="8">
        <f>SUM(AO704:AS704)</f>
        <v>0</v>
      </c>
      <c r="AV704" s="6"/>
      <c r="AW704" s="7"/>
      <c r="AX704" s="7"/>
      <c r="AY704" s="7"/>
      <c r="AZ704" s="7"/>
      <c r="BA704" s="8">
        <f>SUM(AV704:AZ704)</f>
        <v>0</v>
      </c>
      <c r="BC704" s="6"/>
      <c r="BD704" s="7"/>
      <c r="BE704" s="7"/>
      <c r="BF704" s="7"/>
      <c r="BG704" s="7"/>
      <c r="BH704" s="8">
        <f>SUM(BC704:BG704)</f>
        <v>0</v>
      </c>
      <c r="BJ704" s="6"/>
      <c r="BK704" s="7"/>
      <c r="BL704" s="7"/>
      <c r="BM704" s="7"/>
      <c r="BN704" s="7"/>
      <c r="BO704" s="8">
        <f>SUM(BJ704:BN704)</f>
        <v>0</v>
      </c>
      <c r="BQ704" s="6"/>
      <c r="BR704" s="7"/>
      <c r="BS704" s="7"/>
      <c r="BT704" s="7"/>
      <c r="BU704" s="7"/>
      <c r="BV704" s="8">
        <f>SUM(BQ704:BU704)</f>
        <v>0</v>
      </c>
      <c r="BX704" s="6"/>
      <c r="BY704" s="7"/>
      <c r="BZ704" s="7"/>
      <c r="CA704" s="7"/>
      <c r="CB704" s="7"/>
      <c r="CC704" s="8">
        <f>SUM(BX704:CB704)</f>
        <v>0</v>
      </c>
      <c r="CE704" s="28">
        <f t="shared" si="3214"/>
        <v>0</v>
      </c>
      <c r="CF704" s="29">
        <f t="shared" si="3215"/>
        <v>0</v>
      </c>
      <c r="CG704" s="29">
        <f t="shared" si="3216"/>
        <v>0</v>
      </c>
      <c r="CH704" s="29">
        <f t="shared" si="3217"/>
        <v>0</v>
      </c>
      <c r="CI704" s="29">
        <f t="shared" si="3218"/>
        <v>0</v>
      </c>
      <c r="CJ704" s="8">
        <f>SUM(CE704:CI704)</f>
        <v>0</v>
      </c>
      <c r="CL704" s="6"/>
      <c r="CM704" s="7"/>
      <c r="CN704" s="7"/>
      <c r="CO704" s="7"/>
      <c r="CP704" s="7"/>
      <c r="CQ704" s="8">
        <f>SUM(CL704:CP704)</f>
        <v>0</v>
      </c>
      <c r="CS704" s="6"/>
      <c r="CT704" s="7"/>
      <c r="CU704" s="7"/>
      <c r="CV704" s="7"/>
      <c r="CW704" s="7"/>
      <c r="CX704" s="8">
        <f t="shared" ref="CX704:CX706" si="3223">SUM(CS704:CW704)</f>
        <v>0</v>
      </c>
      <c r="CZ704" s="6"/>
      <c r="DA704" s="7"/>
      <c r="DB704" s="7"/>
      <c r="DC704" s="7"/>
      <c r="DD704" s="7"/>
      <c r="DE704" s="8">
        <f t="shared" ref="DE704:DE706" si="3224">SUM(CZ704:DD704)</f>
        <v>0</v>
      </c>
    </row>
    <row r="705" spans="2:110">
      <c r="C705" s="567"/>
      <c r="E705" s="14" t="s">
        <v>61</v>
      </c>
      <c r="F705" s="23">
        <f t="shared" si="3219"/>
        <v>0</v>
      </c>
      <c r="G705" s="24">
        <f t="shared" si="3210"/>
        <v>0</v>
      </c>
      <c r="H705" s="24">
        <f t="shared" si="3211"/>
        <v>0</v>
      </c>
      <c r="I705" s="24">
        <f t="shared" si="3212"/>
        <v>0</v>
      </c>
      <c r="J705" s="24">
        <f t="shared" si="3213"/>
        <v>0</v>
      </c>
      <c r="K705" s="8">
        <f t="shared" si="3220"/>
        <v>0</v>
      </c>
      <c r="M705" s="6"/>
      <c r="N705" s="7"/>
      <c r="O705" s="7"/>
      <c r="P705" s="7"/>
      <c r="Q705" s="7"/>
      <c r="R705" s="8">
        <f t="shared" si="3221"/>
        <v>0</v>
      </c>
      <c r="T705" s="6"/>
      <c r="U705" s="7"/>
      <c r="V705" s="7"/>
      <c r="W705" s="7"/>
      <c r="X705" s="7"/>
      <c r="Y705" s="8">
        <f t="shared" si="3222"/>
        <v>0</v>
      </c>
      <c r="AA705" s="6"/>
      <c r="AB705" s="7"/>
      <c r="AC705" s="7"/>
      <c r="AD705" s="7"/>
      <c r="AE705" s="7"/>
      <c r="AF705" s="8">
        <f>SUM(AA705:AE705)</f>
        <v>0</v>
      </c>
      <c r="AH705" s="6"/>
      <c r="AI705" s="7"/>
      <c r="AJ705" s="7"/>
      <c r="AK705" s="7"/>
      <c r="AL705" s="7"/>
      <c r="AM705" s="8">
        <f>SUM(AH705:AL705)</f>
        <v>0</v>
      </c>
      <c r="AO705" s="6"/>
      <c r="AP705" s="7"/>
      <c r="AQ705" s="7"/>
      <c r="AR705" s="7"/>
      <c r="AS705" s="7"/>
      <c r="AT705" s="8">
        <f>SUM(AO705:AS705)</f>
        <v>0</v>
      </c>
      <c r="AV705" s="6"/>
      <c r="AW705" s="7"/>
      <c r="AX705" s="7"/>
      <c r="AY705" s="7"/>
      <c r="AZ705" s="7"/>
      <c r="BA705" s="8">
        <f>SUM(AV705:AZ705)</f>
        <v>0</v>
      </c>
      <c r="BC705" s="6"/>
      <c r="BD705" s="7"/>
      <c r="BE705" s="7"/>
      <c r="BF705" s="7"/>
      <c r="BG705" s="7"/>
      <c r="BH705" s="8">
        <f>SUM(BC705:BG705)</f>
        <v>0</v>
      </c>
      <c r="BJ705" s="6"/>
      <c r="BK705" s="7"/>
      <c r="BL705" s="7"/>
      <c r="BM705" s="7"/>
      <c r="BN705" s="7"/>
      <c r="BO705" s="8">
        <f>SUM(BJ705:BN705)</f>
        <v>0</v>
      </c>
      <c r="BQ705" s="6"/>
      <c r="BR705" s="7"/>
      <c r="BS705" s="7"/>
      <c r="BT705" s="7"/>
      <c r="BU705" s="7"/>
      <c r="BV705" s="8">
        <f>SUM(BQ705:BU705)</f>
        <v>0</v>
      </c>
      <c r="BX705" s="6"/>
      <c r="BY705" s="7"/>
      <c r="BZ705" s="7"/>
      <c r="CA705" s="7"/>
      <c r="CB705" s="7"/>
      <c r="CC705" s="8">
        <f>SUM(BX705:CB705)</f>
        <v>0</v>
      </c>
      <c r="CE705" s="28">
        <f t="shared" si="3214"/>
        <v>0</v>
      </c>
      <c r="CF705" s="29">
        <f t="shared" si="3215"/>
        <v>0</v>
      </c>
      <c r="CG705" s="29">
        <f t="shared" si="3216"/>
        <v>0</v>
      </c>
      <c r="CH705" s="29">
        <f t="shared" si="3217"/>
        <v>0</v>
      </c>
      <c r="CI705" s="29">
        <f t="shared" si="3218"/>
        <v>0</v>
      </c>
      <c r="CJ705" s="8">
        <f>SUM(CE705:CI705)</f>
        <v>0</v>
      </c>
      <c r="CL705" s="6"/>
      <c r="CM705" s="7"/>
      <c r="CN705" s="7"/>
      <c r="CO705" s="7"/>
      <c r="CP705" s="7"/>
      <c r="CQ705" s="8">
        <f>SUM(CL705:CP705)</f>
        <v>0</v>
      </c>
      <c r="CS705" s="6"/>
      <c r="CT705" s="7"/>
      <c r="CU705" s="7"/>
      <c r="CV705" s="7"/>
      <c r="CW705" s="7"/>
      <c r="CX705" s="8">
        <f t="shared" si="3223"/>
        <v>0</v>
      </c>
      <c r="CZ705" s="6"/>
      <c r="DA705" s="7"/>
      <c r="DB705" s="7"/>
      <c r="DC705" s="7"/>
      <c r="DD705" s="7"/>
      <c r="DE705" s="8">
        <f t="shared" si="3224"/>
        <v>0</v>
      </c>
    </row>
    <row r="706" spans="2:110" ht="14" thickBot="1">
      <c r="C706" s="567"/>
      <c r="E706" s="14" t="s">
        <v>62</v>
      </c>
      <c r="F706" s="23">
        <f t="shared" si="3219"/>
        <v>0</v>
      </c>
      <c r="G706" s="24">
        <f t="shared" si="3210"/>
        <v>0</v>
      </c>
      <c r="H706" s="24">
        <f t="shared" si="3211"/>
        <v>0</v>
      </c>
      <c r="I706" s="24">
        <f t="shared" si="3212"/>
        <v>0</v>
      </c>
      <c r="J706" s="24">
        <f t="shared" si="3213"/>
        <v>0</v>
      </c>
      <c r="K706" s="8">
        <f t="shared" si="3220"/>
        <v>0</v>
      </c>
      <c r="M706" s="6"/>
      <c r="N706" s="7"/>
      <c r="O706" s="7"/>
      <c r="P706" s="7"/>
      <c r="Q706" s="7"/>
      <c r="R706" s="8">
        <f t="shared" si="3221"/>
        <v>0</v>
      </c>
      <c r="T706" s="6"/>
      <c r="U706" s="7"/>
      <c r="V706" s="7"/>
      <c r="W706" s="7"/>
      <c r="X706" s="7"/>
      <c r="Y706" s="8">
        <f t="shared" si="3222"/>
        <v>0</v>
      </c>
      <c r="AA706" s="6"/>
      <c r="AB706" s="7"/>
      <c r="AC706" s="7"/>
      <c r="AD706" s="7"/>
      <c r="AE706" s="7"/>
      <c r="AF706" s="8">
        <f>SUM(AA706:AE706)</f>
        <v>0</v>
      </c>
      <c r="AH706" s="6"/>
      <c r="AI706" s="7"/>
      <c r="AJ706" s="7"/>
      <c r="AK706" s="7"/>
      <c r="AL706" s="7"/>
      <c r="AM706" s="8">
        <f>SUM(AH706:AL706)</f>
        <v>0</v>
      </c>
      <c r="AO706" s="6"/>
      <c r="AP706" s="7"/>
      <c r="AQ706" s="7"/>
      <c r="AR706" s="7"/>
      <c r="AS706" s="7"/>
      <c r="AT706" s="8">
        <f>SUM(AO706:AS706)</f>
        <v>0</v>
      </c>
      <c r="AV706" s="6"/>
      <c r="AW706" s="7"/>
      <c r="AX706" s="7"/>
      <c r="AY706" s="7"/>
      <c r="AZ706" s="7"/>
      <c r="BA706" s="8">
        <f>SUM(AV706:AZ706)</f>
        <v>0</v>
      </c>
      <c r="BC706" s="6"/>
      <c r="BD706" s="7"/>
      <c r="BE706" s="7"/>
      <c r="BF706" s="7"/>
      <c r="BG706" s="7"/>
      <c r="BH706" s="8">
        <f>SUM(BC706:BG706)</f>
        <v>0</v>
      </c>
      <c r="BJ706" s="6"/>
      <c r="BK706" s="7"/>
      <c r="BL706" s="7"/>
      <c r="BM706" s="7"/>
      <c r="BN706" s="7"/>
      <c r="BO706" s="8">
        <f>SUM(BJ706:BN706)</f>
        <v>0</v>
      </c>
      <c r="BQ706" s="6"/>
      <c r="BR706" s="7"/>
      <c r="BS706" s="7"/>
      <c r="BT706" s="7"/>
      <c r="BU706" s="7"/>
      <c r="BV706" s="8">
        <f>SUM(BQ706:BU706)</f>
        <v>0</v>
      </c>
      <c r="BX706" s="6"/>
      <c r="BY706" s="7"/>
      <c r="BZ706" s="7"/>
      <c r="CA706" s="7"/>
      <c r="CB706" s="7"/>
      <c r="CC706" s="8">
        <f>SUM(BX706:CB706)</f>
        <v>0</v>
      </c>
      <c r="CE706" s="493">
        <f t="shared" si="3214"/>
        <v>0</v>
      </c>
      <c r="CF706" s="494">
        <f t="shared" si="3215"/>
        <v>0</v>
      </c>
      <c r="CG706" s="494">
        <f t="shared" si="3216"/>
        <v>0</v>
      </c>
      <c r="CH706" s="494">
        <f t="shared" si="3217"/>
        <v>0</v>
      </c>
      <c r="CI706" s="494">
        <f t="shared" si="3218"/>
        <v>0</v>
      </c>
      <c r="CJ706" s="495">
        <f>SUM(CE706:CI706)</f>
        <v>0</v>
      </c>
      <c r="CL706" s="6"/>
      <c r="CM706" s="7"/>
      <c r="CN706" s="7"/>
      <c r="CO706" s="7"/>
      <c r="CP706" s="7"/>
      <c r="CQ706" s="8">
        <f>SUM(CL706:CP706)</f>
        <v>0</v>
      </c>
      <c r="CS706" s="6"/>
      <c r="CT706" s="7"/>
      <c r="CU706" s="7"/>
      <c r="CV706" s="7"/>
      <c r="CW706" s="7"/>
      <c r="CX706" s="8">
        <f t="shared" si="3223"/>
        <v>0</v>
      </c>
      <c r="CZ706" s="6"/>
      <c r="DA706" s="7"/>
      <c r="DB706" s="7"/>
      <c r="DC706" s="7"/>
      <c r="DD706" s="7"/>
      <c r="DE706" s="8">
        <f t="shared" si="3224"/>
        <v>0</v>
      </c>
    </row>
    <row r="707" spans="2:110" ht="14" thickBot="1">
      <c r="C707" s="554"/>
      <c r="E707" s="9"/>
      <c r="F707" s="10">
        <f>SUM(F703:F706)</f>
        <v>0</v>
      </c>
      <c r="G707" s="11">
        <f t="shared" ref="G707:J707" si="3225">SUM(G703:G706)</f>
        <v>0</v>
      </c>
      <c r="H707" s="11">
        <f t="shared" si="3225"/>
        <v>0</v>
      </c>
      <c r="I707" s="11">
        <f t="shared" si="3225"/>
        <v>0</v>
      </c>
      <c r="J707" s="11">
        <f t="shared" si="3225"/>
        <v>0</v>
      </c>
      <c r="K707" s="25">
        <f>SUM(K703:K706)</f>
        <v>0</v>
      </c>
      <c r="M707" s="10">
        <f>SUM(M703:M706)</f>
        <v>0</v>
      </c>
      <c r="N707" s="11">
        <f t="shared" ref="N707:Q707" si="3226">SUM(N703:N706)</f>
        <v>0</v>
      </c>
      <c r="O707" s="11">
        <f t="shared" si="3226"/>
        <v>0</v>
      </c>
      <c r="P707" s="11">
        <f t="shared" si="3226"/>
        <v>0</v>
      </c>
      <c r="Q707" s="11">
        <f t="shared" si="3226"/>
        <v>0</v>
      </c>
      <c r="R707" s="25">
        <f>SUM(R703:R706)</f>
        <v>0</v>
      </c>
      <c r="T707" s="10">
        <f>SUM(T703:T706)</f>
        <v>0</v>
      </c>
      <c r="U707" s="11">
        <f t="shared" ref="U707:X707" si="3227">SUM(U703:U706)</f>
        <v>0</v>
      </c>
      <c r="V707" s="11">
        <f t="shared" si="3227"/>
        <v>0</v>
      </c>
      <c r="W707" s="11">
        <f t="shared" si="3227"/>
        <v>0</v>
      </c>
      <c r="X707" s="11">
        <f t="shared" si="3227"/>
        <v>0</v>
      </c>
      <c r="Y707" s="25">
        <f>SUM(Y703:Y706)</f>
        <v>0</v>
      </c>
      <c r="AA707" s="10">
        <f>SUM(AA703:AA706)</f>
        <v>0</v>
      </c>
      <c r="AB707" s="11">
        <f t="shared" ref="AB707:AE707" si="3228">SUM(AB703:AB706)</f>
        <v>0</v>
      </c>
      <c r="AC707" s="11">
        <f t="shared" si="3228"/>
        <v>0</v>
      </c>
      <c r="AD707" s="11">
        <f t="shared" si="3228"/>
        <v>0</v>
      </c>
      <c r="AE707" s="11">
        <f t="shared" si="3228"/>
        <v>0</v>
      </c>
      <c r="AF707" s="25">
        <f>SUM(AF703:AF706)</f>
        <v>0</v>
      </c>
      <c r="AH707" s="10">
        <f t="shared" ref="AH707:AM707" si="3229">SUM(AH703:AH706)</f>
        <v>0</v>
      </c>
      <c r="AI707" s="11">
        <f t="shared" si="3229"/>
        <v>0</v>
      </c>
      <c r="AJ707" s="11">
        <f t="shared" si="3229"/>
        <v>0</v>
      </c>
      <c r="AK707" s="11">
        <f t="shared" si="3229"/>
        <v>0</v>
      </c>
      <c r="AL707" s="11">
        <f t="shared" si="3229"/>
        <v>0</v>
      </c>
      <c r="AM707" s="25">
        <f t="shared" si="3229"/>
        <v>0</v>
      </c>
      <c r="AO707" s="10">
        <f t="shared" ref="AO707:AT707" si="3230">SUM(AO703:AO706)</f>
        <v>0</v>
      </c>
      <c r="AP707" s="11">
        <f t="shared" si="3230"/>
        <v>0</v>
      </c>
      <c r="AQ707" s="11">
        <f t="shared" si="3230"/>
        <v>0</v>
      </c>
      <c r="AR707" s="11">
        <f t="shared" si="3230"/>
        <v>0</v>
      </c>
      <c r="AS707" s="11">
        <f t="shared" si="3230"/>
        <v>0</v>
      </c>
      <c r="AT707" s="25">
        <f t="shared" si="3230"/>
        <v>0</v>
      </c>
      <c r="AV707" s="10">
        <f t="shared" ref="AV707:BA707" si="3231">SUM(AV703:AV706)</f>
        <v>0</v>
      </c>
      <c r="AW707" s="11">
        <f t="shared" si="3231"/>
        <v>0</v>
      </c>
      <c r="AX707" s="11">
        <f t="shared" si="3231"/>
        <v>0</v>
      </c>
      <c r="AY707" s="11">
        <f t="shared" si="3231"/>
        <v>0</v>
      </c>
      <c r="AZ707" s="11">
        <f t="shared" si="3231"/>
        <v>0</v>
      </c>
      <c r="BA707" s="25">
        <f t="shared" si="3231"/>
        <v>0</v>
      </c>
      <c r="BC707" s="10">
        <f t="shared" ref="BC707:BH707" si="3232">SUM(BC703:BC706)</f>
        <v>0</v>
      </c>
      <c r="BD707" s="11">
        <f t="shared" si="3232"/>
        <v>0</v>
      </c>
      <c r="BE707" s="11">
        <f t="shared" si="3232"/>
        <v>0</v>
      </c>
      <c r="BF707" s="11">
        <f t="shared" si="3232"/>
        <v>0</v>
      </c>
      <c r="BG707" s="11">
        <f t="shared" si="3232"/>
        <v>0</v>
      </c>
      <c r="BH707" s="25">
        <f t="shared" si="3232"/>
        <v>0</v>
      </c>
      <c r="BJ707" s="10">
        <f t="shared" ref="BJ707:BO707" si="3233">SUM(BJ703:BJ706)</f>
        <v>0</v>
      </c>
      <c r="BK707" s="11">
        <f t="shared" si="3233"/>
        <v>0</v>
      </c>
      <c r="BL707" s="11">
        <f t="shared" si="3233"/>
        <v>0</v>
      </c>
      <c r="BM707" s="11">
        <f t="shared" si="3233"/>
        <v>0</v>
      </c>
      <c r="BN707" s="11">
        <f t="shared" si="3233"/>
        <v>0</v>
      </c>
      <c r="BO707" s="25">
        <f t="shared" si="3233"/>
        <v>0</v>
      </c>
      <c r="BQ707" s="10">
        <f t="shared" ref="BQ707:BV707" si="3234">SUM(BQ703:BQ706)</f>
        <v>0</v>
      </c>
      <c r="BR707" s="11">
        <f t="shared" si="3234"/>
        <v>0</v>
      </c>
      <c r="BS707" s="11">
        <f t="shared" si="3234"/>
        <v>0</v>
      </c>
      <c r="BT707" s="11">
        <f t="shared" si="3234"/>
        <v>0</v>
      </c>
      <c r="BU707" s="11">
        <f t="shared" si="3234"/>
        <v>0</v>
      </c>
      <c r="BV707" s="25">
        <f t="shared" si="3234"/>
        <v>0</v>
      </c>
      <c r="BX707" s="10">
        <f t="shared" ref="BX707:CC707" si="3235">SUM(BX703:BX706)</f>
        <v>0</v>
      </c>
      <c r="BY707" s="11">
        <f t="shared" si="3235"/>
        <v>0</v>
      </c>
      <c r="BZ707" s="11">
        <f t="shared" si="3235"/>
        <v>0</v>
      </c>
      <c r="CA707" s="11">
        <f t="shared" si="3235"/>
        <v>0</v>
      </c>
      <c r="CB707" s="11">
        <f t="shared" si="3235"/>
        <v>0</v>
      </c>
      <c r="CC707" s="25">
        <f t="shared" si="3235"/>
        <v>0</v>
      </c>
      <c r="CE707" s="62">
        <f t="shared" ref="CE707:CJ707" si="3236">SUM(CE703:CE706)</f>
        <v>0</v>
      </c>
      <c r="CF707" s="63">
        <f t="shared" si="3236"/>
        <v>0</v>
      </c>
      <c r="CG707" s="63">
        <f t="shared" si="3236"/>
        <v>0</v>
      </c>
      <c r="CH707" s="63">
        <f t="shared" si="3236"/>
        <v>0</v>
      </c>
      <c r="CI707" s="63">
        <f t="shared" si="3236"/>
        <v>0</v>
      </c>
      <c r="CJ707" s="25">
        <f t="shared" si="3236"/>
        <v>0</v>
      </c>
      <c r="CL707" s="10">
        <f>SUM(CL703:CL706)</f>
        <v>0</v>
      </c>
      <c r="CM707" s="11">
        <f t="shared" ref="CM707:CQ707" si="3237">SUM(CM703:CM706)</f>
        <v>0</v>
      </c>
      <c r="CN707" s="11">
        <f t="shared" si="3237"/>
        <v>0</v>
      </c>
      <c r="CO707" s="11">
        <f t="shared" si="3237"/>
        <v>0</v>
      </c>
      <c r="CP707" s="11">
        <f t="shared" si="3237"/>
        <v>0</v>
      </c>
      <c r="CQ707" s="25">
        <f t="shared" si="3237"/>
        <v>0</v>
      </c>
      <c r="CS707" s="10">
        <f>SUM(CS703:CS706)</f>
        <v>0</v>
      </c>
      <c r="CT707" s="11">
        <f t="shared" ref="CT707:CW707" si="3238">SUM(CT703:CT706)</f>
        <v>0</v>
      </c>
      <c r="CU707" s="11">
        <f t="shared" si="3238"/>
        <v>0</v>
      </c>
      <c r="CV707" s="11">
        <f t="shared" si="3238"/>
        <v>0</v>
      </c>
      <c r="CW707" s="11">
        <f t="shared" si="3238"/>
        <v>0</v>
      </c>
      <c r="CX707" s="25">
        <f>SUM(CX703:CX706)</f>
        <v>0</v>
      </c>
      <c r="CZ707" s="10">
        <f>SUM(CZ703:CZ706)</f>
        <v>0</v>
      </c>
      <c r="DA707" s="11">
        <f t="shared" ref="DA707:DD707" si="3239">SUM(DA703:DA706)</f>
        <v>0</v>
      </c>
      <c r="DB707" s="11">
        <f t="shared" si="3239"/>
        <v>0</v>
      </c>
      <c r="DC707" s="11">
        <f t="shared" si="3239"/>
        <v>0</v>
      </c>
      <c r="DD707" s="11">
        <f t="shared" si="3239"/>
        <v>0</v>
      </c>
      <c r="DE707" s="25">
        <f>SUM(DE703:DE706)</f>
        <v>0</v>
      </c>
    </row>
    <row r="709" spans="2:110">
      <c r="B709" s="123"/>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row>
    <row r="710" spans="2:110" ht="14" thickBot="1">
      <c r="B710" s="94">
        <v>23</v>
      </c>
      <c r="C710" s="12" t="s">
        <v>175</v>
      </c>
    </row>
    <row r="711" spans="2:110">
      <c r="C711" s="553">
        <v>2024</v>
      </c>
      <c r="E711" s="1" t="s">
        <v>59</v>
      </c>
      <c r="F711" s="2"/>
      <c r="G711" s="3"/>
      <c r="H711" s="3"/>
      <c r="I711" s="3"/>
      <c r="J711" s="3"/>
      <c r="K711" s="4">
        <f>SUM(F711:J711)</f>
        <v>0</v>
      </c>
      <c r="M711" s="2"/>
      <c r="N711" s="3"/>
      <c r="O711" s="3"/>
      <c r="P711" s="3"/>
      <c r="Q711" s="3"/>
      <c r="R711" s="4">
        <f>SUM(M711:Q711)</f>
        <v>0</v>
      </c>
      <c r="T711" s="2"/>
      <c r="U711" s="3"/>
      <c r="V711" s="3"/>
      <c r="W711" s="3"/>
      <c r="X711" s="3"/>
      <c r="Y711" s="4">
        <f>SUM(T711:X711)</f>
        <v>0</v>
      </c>
      <c r="AA711" s="2"/>
      <c r="AB711" s="3"/>
      <c r="AC711" s="3"/>
      <c r="AD711" s="3"/>
      <c r="AE711" s="3"/>
      <c r="AF711" s="4">
        <f>SUM(AA711:AE711)</f>
        <v>0</v>
      </c>
      <c r="AH711" s="2"/>
      <c r="AI711" s="3"/>
      <c r="AJ711" s="3"/>
      <c r="AK711" s="3"/>
      <c r="AL711" s="3"/>
      <c r="AM711" s="4">
        <f>SUM(AH711:AL711)</f>
        <v>0</v>
      </c>
      <c r="AO711" s="2"/>
      <c r="AP711" s="3"/>
      <c r="AQ711" s="3"/>
      <c r="AR711" s="3"/>
      <c r="AS711" s="3"/>
      <c r="AT711" s="4">
        <f>SUM(AO711:AS711)</f>
        <v>0</v>
      </c>
      <c r="AV711" s="2"/>
      <c r="AW711" s="3"/>
      <c r="AX711" s="3"/>
      <c r="AY711" s="3"/>
      <c r="AZ711" s="3"/>
      <c r="BA711" s="4">
        <f>SUM(AV711:AZ711)</f>
        <v>0</v>
      </c>
      <c r="BC711" s="2"/>
      <c r="BD711" s="3"/>
      <c r="BE711" s="3"/>
      <c r="BF711" s="3"/>
      <c r="BG711" s="3"/>
      <c r="BH711" s="4">
        <f>SUM(BC711:BG711)</f>
        <v>0</v>
      </c>
      <c r="BJ711" s="2"/>
      <c r="BK711" s="3"/>
      <c r="BL711" s="3"/>
      <c r="BM711" s="3"/>
      <c r="BN711" s="3"/>
      <c r="BO711" s="4">
        <f>SUM(BJ711:BN711)</f>
        <v>0</v>
      </c>
      <c r="BQ711" s="2"/>
      <c r="BR711" s="3"/>
      <c r="BS711" s="3"/>
      <c r="BT711" s="3"/>
      <c r="BU711" s="3"/>
      <c r="BV711" s="4">
        <f>SUM(BQ711:BU711)</f>
        <v>0</v>
      </c>
      <c r="BX711" s="2"/>
      <c r="BY711" s="3"/>
      <c r="BZ711" s="3"/>
      <c r="CA711" s="3"/>
      <c r="CB711" s="3"/>
      <c r="CC711" s="4">
        <f>SUM(BX711:CB711)</f>
        <v>0</v>
      </c>
      <c r="CE711" s="26">
        <f t="shared" ref="CE711:CE714" si="3240">F711+M711+T711+AA711+AH711+AO711+AV711+BC711+BJ711+BQ711+BX711</f>
        <v>0</v>
      </c>
      <c r="CF711" s="27">
        <f t="shared" ref="CF711:CF714" si="3241">G711+N711+U711+AB711+AI711+AP711+AW711+BD711+BK711+BR711+BY711</f>
        <v>0</v>
      </c>
      <c r="CG711" s="27">
        <f t="shared" ref="CG711:CG714" si="3242">H711+O711+V711+AC711+AJ711+AQ711+AX711+BE711+BL711+BS711+BZ711</f>
        <v>0</v>
      </c>
      <c r="CH711" s="27">
        <f t="shared" ref="CH711:CH714" si="3243">I711+P711+W711+AD711+AK711+AR711+AY711+BF711+BM711+BT711+CA711</f>
        <v>0</v>
      </c>
      <c r="CI711" s="27">
        <f t="shared" ref="CI711:CI714" si="3244">J711+Q711+X711+AE711+AL711+AS711+AZ711+BG711+BN711+BU711+CB711</f>
        <v>0</v>
      </c>
      <c r="CJ711" s="4">
        <f>SUM(CE711:CI711)</f>
        <v>0</v>
      </c>
      <c r="CL711" s="2"/>
      <c r="CM711" s="3"/>
      <c r="CN711" s="3"/>
      <c r="CO711" s="3"/>
      <c r="CP711" s="3"/>
      <c r="CQ711" s="4">
        <f>SUM(CL711:CP711)</f>
        <v>0</v>
      </c>
      <c r="CS711" s="2"/>
      <c r="CT711" s="3"/>
      <c r="CU711" s="3"/>
      <c r="CV711" s="3"/>
      <c r="CW711" s="3"/>
      <c r="CX711" s="4">
        <f>SUM(CS711:CW711)</f>
        <v>0</v>
      </c>
      <c r="CZ711" s="2"/>
      <c r="DA711" s="3"/>
      <c r="DB711" s="3"/>
      <c r="DC711" s="3"/>
      <c r="DD711" s="3"/>
      <c r="DE711" s="4">
        <f>SUM(CZ711:DD711)</f>
        <v>0</v>
      </c>
    </row>
    <row r="712" spans="2:110">
      <c r="C712" s="567"/>
      <c r="E712" s="5" t="s">
        <v>60</v>
      </c>
      <c r="F712" s="6"/>
      <c r="G712" s="7"/>
      <c r="H712" s="7"/>
      <c r="I712" s="7"/>
      <c r="J712" s="7"/>
      <c r="K712" s="8">
        <f t="shared" ref="K712:K714" si="3245">SUM(F712:J712)</f>
        <v>0</v>
      </c>
      <c r="M712" s="6"/>
      <c r="N712" s="7"/>
      <c r="O712" s="7"/>
      <c r="P712" s="7"/>
      <c r="Q712" s="7"/>
      <c r="R712" s="8">
        <f t="shared" ref="R712:R714" si="3246">SUM(M712:Q712)</f>
        <v>0</v>
      </c>
      <c r="T712" s="6"/>
      <c r="U712" s="7"/>
      <c r="V712" s="7"/>
      <c r="W712" s="7"/>
      <c r="X712" s="7"/>
      <c r="Y712" s="8">
        <f t="shared" ref="Y712:Y714" si="3247">SUM(T712:X712)</f>
        <v>0</v>
      </c>
      <c r="AA712" s="6"/>
      <c r="AB712" s="7"/>
      <c r="AC712" s="7"/>
      <c r="AD712" s="7"/>
      <c r="AE712" s="7"/>
      <c r="AF712" s="8">
        <f>SUM(AA712:AE712)</f>
        <v>0</v>
      </c>
      <c r="AH712" s="6"/>
      <c r="AI712" s="7"/>
      <c r="AJ712" s="7"/>
      <c r="AK712" s="7"/>
      <c r="AL712" s="7"/>
      <c r="AM712" s="8">
        <f>SUM(AH712:AL712)</f>
        <v>0</v>
      </c>
      <c r="AO712" s="6"/>
      <c r="AP712" s="7"/>
      <c r="AQ712" s="7"/>
      <c r="AR712" s="7"/>
      <c r="AS712" s="7"/>
      <c r="AT712" s="8">
        <f>SUM(AO712:AS712)</f>
        <v>0</v>
      </c>
      <c r="AV712" s="6"/>
      <c r="AW712" s="7"/>
      <c r="AX712" s="7"/>
      <c r="AY712" s="7"/>
      <c r="AZ712" s="7"/>
      <c r="BA712" s="8">
        <f>SUM(AV712:AZ712)</f>
        <v>0</v>
      </c>
      <c r="BC712" s="6"/>
      <c r="BD712" s="7"/>
      <c r="BE712" s="7"/>
      <c r="BF712" s="7"/>
      <c r="BG712" s="7"/>
      <c r="BH712" s="8">
        <f>SUM(BC712:BG712)</f>
        <v>0</v>
      </c>
      <c r="BJ712" s="6"/>
      <c r="BK712" s="7"/>
      <c r="BL712" s="7"/>
      <c r="BM712" s="7"/>
      <c r="BN712" s="7"/>
      <c r="BO712" s="8">
        <f>SUM(BJ712:BN712)</f>
        <v>0</v>
      </c>
      <c r="BQ712" s="6"/>
      <c r="BR712" s="7"/>
      <c r="BS712" s="7"/>
      <c r="BT712" s="7"/>
      <c r="BU712" s="7"/>
      <c r="BV712" s="8">
        <f>SUM(BQ712:BU712)</f>
        <v>0</v>
      </c>
      <c r="BX712" s="6"/>
      <c r="BY712" s="7"/>
      <c r="BZ712" s="7"/>
      <c r="CA712" s="7"/>
      <c r="CB712" s="7"/>
      <c r="CC712" s="8">
        <f>SUM(BX712:CB712)</f>
        <v>0</v>
      </c>
      <c r="CE712" s="28">
        <f t="shared" si="3240"/>
        <v>0</v>
      </c>
      <c r="CF712" s="29">
        <f t="shared" si="3241"/>
        <v>0</v>
      </c>
      <c r="CG712" s="29">
        <f t="shared" si="3242"/>
        <v>0</v>
      </c>
      <c r="CH712" s="29">
        <f t="shared" si="3243"/>
        <v>0</v>
      </c>
      <c r="CI712" s="29">
        <f t="shared" si="3244"/>
        <v>0</v>
      </c>
      <c r="CJ712" s="8">
        <f>SUM(CE712:CI712)</f>
        <v>0</v>
      </c>
      <c r="CL712" s="6"/>
      <c r="CM712" s="7"/>
      <c r="CN712" s="7"/>
      <c r="CO712" s="7"/>
      <c r="CP712" s="7"/>
      <c r="CQ712" s="8">
        <f>SUM(CL712:CP712)</f>
        <v>0</v>
      </c>
      <c r="CS712" s="6"/>
      <c r="CT712" s="7"/>
      <c r="CU712" s="7"/>
      <c r="CV712" s="7"/>
      <c r="CW712" s="7"/>
      <c r="CX712" s="8">
        <f t="shared" ref="CX712:CX714" si="3248">SUM(CS712:CW712)</f>
        <v>0</v>
      </c>
      <c r="CZ712" s="6"/>
      <c r="DA712" s="7"/>
      <c r="DB712" s="7"/>
      <c r="DC712" s="7"/>
      <c r="DD712" s="7"/>
      <c r="DE712" s="8">
        <f t="shared" ref="DE712:DE714" si="3249">SUM(CZ712:DD712)</f>
        <v>0</v>
      </c>
    </row>
    <row r="713" spans="2:110">
      <c r="C713" s="567"/>
      <c r="E713" s="5" t="s">
        <v>61</v>
      </c>
      <c r="F713" s="6"/>
      <c r="G713" s="7"/>
      <c r="H713" s="7"/>
      <c r="I713" s="7"/>
      <c r="J713" s="7"/>
      <c r="K713" s="8">
        <f t="shared" si="3245"/>
        <v>0</v>
      </c>
      <c r="M713" s="6"/>
      <c r="N713" s="7"/>
      <c r="O713" s="7"/>
      <c r="P713" s="7"/>
      <c r="Q713" s="7"/>
      <c r="R713" s="8">
        <f t="shared" si="3246"/>
        <v>0</v>
      </c>
      <c r="T713" s="6"/>
      <c r="U713" s="7"/>
      <c r="V713" s="7"/>
      <c r="W713" s="7"/>
      <c r="X713" s="7"/>
      <c r="Y713" s="8">
        <f t="shared" si="3247"/>
        <v>0</v>
      </c>
      <c r="AA713" s="6"/>
      <c r="AB713" s="7"/>
      <c r="AC713" s="7"/>
      <c r="AD713" s="7"/>
      <c r="AE713" s="7"/>
      <c r="AF713" s="8">
        <f>SUM(AA713:AE713)</f>
        <v>0</v>
      </c>
      <c r="AH713" s="6"/>
      <c r="AI713" s="7"/>
      <c r="AJ713" s="7"/>
      <c r="AK713" s="7"/>
      <c r="AL713" s="7"/>
      <c r="AM713" s="8">
        <f>SUM(AH713:AL713)</f>
        <v>0</v>
      </c>
      <c r="AO713" s="6"/>
      <c r="AP713" s="7"/>
      <c r="AQ713" s="7"/>
      <c r="AR713" s="7"/>
      <c r="AS713" s="7"/>
      <c r="AT713" s="8">
        <f>SUM(AO713:AS713)</f>
        <v>0</v>
      </c>
      <c r="AV713" s="6"/>
      <c r="AW713" s="7"/>
      <c r="AX713" s="7"/>
      <c r="AY713" s="7"/>
      <c r="AZ713" s="7"/>
      <c r="BA713" s="8">
        <f>SUM(AV713:AZ713)</f>
        <v>0</v>
      </c>
      <c r="BC713" s="6"/>
      <c r="BD713" s="7"/>
      <c r="BE713" s="7"/>
      <c r="BF713" s="7"/>
      <c r="BG713" s="7"/>
      <c r="BH713" s="8">
        <f>SUM(BC713:BG713)</f>
        <v>0</v>
      </c>
      <c r="BJ713" s="6"/>
      <c r="BK713" s="7"/>
      <c r="BL713" s="7"/>
      <c r="BM713" s="7"/>
      <c r="BN713" s="7"/>
      <c r="BO713" s="8">
        <f>SUM(BJ713:BN713)</f>
        <v>0</v>
      </c>
      <c r="BQ713" s="6"/>
      <c r="BR713" s="7"/>
      <c r="BS713" s="7"/>
      <c r="BT713" s="7"/>
      <c r="BU713" s="7"/>
      <c r="BV713" s="8">
        <f>SUM(BQ713:BU713)</f>
        <v>0</v>
      </c>
      <c r="BX713" s="6"/>
      <c r="BY713" s="7"/>
      <c r="BZ713" s="7"/>
      <c r="CA713" s="7"/>
      <c r="CB713" s="7"/>
      <c r="CC713" s="8">
        <f>SUM(BX713:CB713)</f>
        <v>0</v>
      </c>
      <c r="CE713" s="28">
        <f t="shared" si="3240"/>
        <v>0</v>
      </c>
      <c r="CF713" s="29">
        <f t="shared" si="3241"/>
        <v>0</v>
      </c>
      <c r="CG713" s="29">
        <f t="shared" si="3242"/>
        <v>0</v>
      </c>
      <c r="CH713" s="29">
        <f t="shared" si="3243"/>
        <v>0</v>
      </c>
      <c r="CI713" s="29">
        <f t="shared" si="3244"/>
        <v>0</v>
      </c>
      <c r="CJ713" s="8">
        <f>SUM(CE713:CI713)</f>
        <v>0</v>
      </c>
      <c r="CL713" s="6"/>
      <c r="CM713" s="7"/>
      <c r="CN713" s="7"/>
      <c r="CO713" s="7"/>
      <c r="CP713" s="7"/>
      <c r="CQ713" s="8">
        <f>SUM(CL713:CP713)</f>
        <v>0</v>
      </c>
      <c r="CS713" s="6"/>
      <c r="CT713" s="7"/>
      <c r="CU713" s="7"/>
      <c r="CV713" s="7"/>
      <c r="CW713" s="7"/>
      <c r="CX713" s="8">
        <f t="shared" si="3248"/>
        <v>0</v>
      </c>
      <c r="CZ713" s="6"/>
      <c r="DA713" s="7"/>
      <c r="DB713" s="7"/>
      <c r="DC713" s="7"/>
      <c r="DD713" s="7"/>
      <c r="DE713" s="8">
        <f t="shared" si="3249"/>
        <v>0</v>
      </c>
    </row>
    <row r="714" spans="2:110" ht="14" thickBot="1">
      <c r="C714" s="567"/>
      <c r="E714" s="5" t="s">
        <v>62</v>
      </c>
      <c r="F714" s="6"/>
      <c r="G714" s="7"/>
      <c r="H714" s="7"/>
      <c r="I714" s="7"/>
      <c r="J714" s="7"/>
      <c r="K714" s="8">
        <f t="shared" si="3245"/>
        <v>0</v>
      </c>
      <c r="M714" s="6"/>
      <c r="N714" s="7"/>
      <c r="O714" s="7"/>
      <c r="P714" s="7"/>
      <c r="Q714" s="7"/>
      <c r="R714" s="8">
        <f t="shared" si="3246"/>
        <v>0</v>
      </c>
      <c r="T714" s="6"/>
      <c r="U714" s="7"/>
      <c r="V714" s="7"/>
      <c r="W714" s="7"/>
      <c r="X714" s="7"/>
      <c r="Y714" s="8">
        <f t="shared" si="3247"/>
        <v>0</v>
      </c>
      <c r="AA714" s="6"/>
      <c r="AB714" s="7"/>
      <c r="AC714" s="7"/>
      <c r="AD714" s="7"/>
      <c r="AE714" s="7"/>
      <c r="AF714" s="8">
        <f>SUM(AA714:AE714)</f>
        <v>0</v>
      </c>
      <c r="AH714" s="6"/>
      <c r="AI714" s="7"/>
      <c r="AJ714" s="7"/>
      <c r="AK714" s="7"/>
      <c r="AL714" s="7"/>
      <c r="AM714" s="8">
        <f>SUM(AH714:AL714)</f>
        <v>0</v>
      </c>
      <c r="AO714" s="6"/>
      <c r="AP714" s="7"/>
      <c r="AQ714" s="7"/>
      <c r="AR714" s="7"/>
      <c r="AS714" s="7"/>
      <c r="AT714" s="8">
        <f>SUM(AO714:AS714)</f>
        <v>0</v>
      </c>
      <c r="AV714" s="6"/>
      <c r="AW714" s="7"/>
      <c r="AX714" s="7"/>
      <c r="AY714" s="7"/>
      <c r="AZ714" s="7"/>
      <c r="BA714" s="8">
        <f>SUM(AV714:AZ714)</f>
        <v>0</v>
      </c>
      <c r="BC714" s="6"/>
      <c r="BD714" s="7"/>
      <c r="BE714" s="7"/>
      <c r="BF714" s="7"/>
      <c r="BG714" s="7"/>
      <c r="BH714" s="8">
        <f>SUM(BC714:BG714)</f>
        <v>0</v>
      </c>
      <c r="BJ714" s="6"/>
      <c r="BK714" s="7"/>
      <c r="BL714" s="7"/>
      <c r="BM714" s="7"/>
      <c r="BN714" s="7"/>
      <c r="BO714" s="8">
        <f>SUM(BJ714:BN714)</f>
        <v>0</v>
      </c>
      <c r="BQ714" s="6"/>
      <c r="BR714" s="7"/>
      <c r="BS714" s="7"/>
      <c r="BT714" s="7"/>
      <c r="BU714" s="7"/>
      <c r="BV714" s="8">
        <f>SUM(BQ714:BU714)</f>
        <v>0</v>
      </c>
      <c r="BX714" s="6"/>
      <c r="BY714" s="7"/>
      <c r="BZ714" s="7"/>
      <c r="CA714" s="7"/>
      <c r="CB714" s="7"/>
      <c r="CC714" s="8">
        <f>SUM(BX714:CB714)</f>
        <v>0</v>
      </c>
      <c r="CE714" s="493">
        <f t="shared" si="3240"/>
        <v>0</v>
      </c>
      <c r="CF714" s="494">
        <f t="shared" si="3241"/>
        <v>0</v>
      </c>
      <c r="CG714" s="494">
        <f t="shared" si="3242"/>
        <v>0</v>
      </c>
      <c r="CH714" s="494">
        <f t="shared" si="3243"/>
        <v>0</v>
      </c>
      <c r="CI714" s="494">
        <f t="shared" si="3244"/>
        <v>0</v>
      </c>
      <c r="CJ714" s="495">
        <f>SUM(CE714:CI714)</f>
        <v>0</v>
      </c>
      <c r="CL714" s="6"/>
      <c r="CM714" s="7"/>
      <c r="CN714" s="7"/>
      <c r="CO714" s="7"/>
      <c r="CP714" s="7"/>
      <c r="CQ714" s="8">
        <f>SUM(CL714:CP714)</f>
        <v>0</v>
      </c>
      <c r="CS714" s="6"/>
      <c r="CT714" s="7"/>
      <c r="CU714" s="7"/>
      <c r="CV714" s="7"/>
      <c r="CW714" s="7"/>
      <c r="CX714" s="8">
        <f t="shared" si="3248"/>
        <v>0</v>
      </c>
      <c r="CZ714" s="6"/>
      <c r="DA714" s="7"/>
      <c r="DB714" s="7"/>
      <c r="DC714" s="7"/>
      <c r="DD714" s="7"/>
      <c r="DE714" s="8">
        <f t="shared" si="3249"/>
        <v>0</v>
      </c>
    </row>
    <row r="715" spans="2:110" ht="14" thickBot="1">
      <c r="C715" s="554"/>
      <c r="E715" s="9"/>
      <c r="F715" s="10">
        <f>SUM(F711:F714)</f>
        <v>0</v>
      </c>
      <c r="G715" s="11">
        <f t="shared" ref="G715:J715" si="3250">SUM(G711:G714)</f>
        <v>0</v>
      </c>
      <c r="H715" s="11">
        <f t="shared" si="3250"/>
        <v>0</v>
      </c>
      <c r="I715" s="11">
        <f t="shared" si="3250"/>
        <v>0</v>
      </c>
      <c r="J715" s="61">
        <f t="shared" si="3250"/>
        <v>0</v>
      </c>
      <c r="K715" s="25">
        <f>SUM(K711:K714)</f>
        <v>0</v>
      </c>
      <c r="M715" s="10">
        <f>SUM(M711:M714)</f>
        <v>0</v>
      </c>
      <c r="N715" s="11">
        <f t="shared" ref="N715:Q715" si="3251">SUM(N711:N714)</f>
        <v>0</v>
      </c>
      <c r="O715" s="11">
        <f t="shared" si="3251"/>
        <v>0</v>
      </c>
      <c r="P715" s="11">
        <f t="shared" si="3251"/>
        <v>0</v>
      </c>
      <c r="Q715" s="11">
        <f t="shared" si="3251"/>
        <v>0</v>
      </c>
      <c r="R715" s="25">
        <f>SUM(R711:R714)</f>
        <v>0</v>
      </c>
      <c r="T715" s="10">
        <f>SUM(T711:T714)</f>
        <v>0</v>
      </c>
      <c r="U715" s="11">
        <f t="shared" ref="U715:X715" si="3252">SUM(U711:U714)</f>
        <v>0</v>
      </c>
      <c r="V715" s="11">
        <f t="shared" si="3252"/>
        <v>0</v>
      </c>
      <c r="W715" s="11">
        <f t="shared" si="3252"/>
        <v>0</v>
      </c>
      <c r="X715" s="11">
        <f t="shared" si="3252"/>
        <v>0</v>
      </c>
      <c r="Y715" s="25">
        <f>SUM(Y711:Y714)</f>
        <v>0</v>
      </c>
      <c r="AA715" s="10">
        <f>SUM(AA711:AA714)</f>
        <v>0</v>
      </c>
      <c r="AB715" s="11">
        <f t="shared" ref="AB715:AE715" si="3253">SUM(AB711:AB714)</f>
        <v>0</v>
      </c>
      <c r="AC715" s="11">
        <f t="shared" si="3253"/>
        <v>0</v>
      </c>
      <c r="AD715" s="11">
        <f t="shared" si="3253"/>
        <v>0</v>
      </c>
      <c r="AE715" s="11">
        <f t="shared" si="3253"/>
        <v>0</v>
      </c>
      <c r="AF715" s="25">
        <f>SUM(AF711:AF714)</f>
        <v>0</v>
      </c>
      <c r="AH715" s="10">
        <f t="shared" ref="AH715:AM715" si="3254">SUM(AH711:AH714)</f>
        <v>0</v>
      </c>
      <c r="AI715" s="11">
        <f t="shared" si="3254"/>
        <v>0</v>
      </c>
      <c r="AJ715" s="11">
        <f t="shared" si="3254"/>
        <v>0</v>
      </c>
      <c r="AK715" s="11">
        <f t="shared" si="3254"/>
        <v>0</v>
      </c>
      <c r="AL715" s="11">
        <f t="shared" si="3254"/>
        <v>0</v>
      </c>
      <c r="AM715" s="25">
        <f t="shared" si="3254"/>
        <v>0</v>
      </c>
      <c r="AO715" s="10">
        <f t="shared" ref="AO715:AT715" si="3255">SUM(AO711:AO714)</f>
        <v>0</v>
      </c>
      <c r="AP715" s="11">
        <f t="shared" si="3255"/>
        <v>0</v>
      </c>
      <c r="AQ715" s="11">
        <f t="shared" si="3255"/>
        <v>0</v>
      </c>
      <c r="AR715" s="11">
        <f t="shared" si="3255"/>
        <v>0</v>
      </c>
      <c r="AS715" s="11">
        <f t="shared" si="3255"/>
        <v>0</v>
      </c>
      <c r="AT715" s="25">
        <f t="shared" si="3255"/>
        <v>0</v>
      </c>
      <c r="AV715" s="10">
        <f t="shared" ref="AV715:BA715" si="3256">SUM(AV711:AV714)</f>
        <v>0</v>
      </c>
      <c r="AW715" s="11">
        <f t="shared" si="3256"/>
        <v>0</v>
      </c>
      <c r="AX715" s="11">
        <f t="shared" si="3256"/>
        <v>0</v>
      </c>
      <c r="AY715" s="11">
        <f t="shared" si="3256"/>
        <v>0</v>
      </c>
      <c r="AZ715" s="11">
        <f t="shared" si="3256"/>
        <v>0</v>
      </c>
      <c r="BA715" s="25">
        <f t="shared" si="3256"/>
        <v>0</v>
      </c>
      <c r="BC715" s="10">
        <f t="shared" ref="BC715:BH715" si="3257">SUM(BC711:BC714)</f>
        <v>0</v>
      </c>
      <c r="BD715" s="11">
        <f t="shared" si="3257"/>
        <v>0</v>
      </c>
      <c r="BE715" s="11">
        <f t="shared" si="3257"/>
        <v>0</v>
      </c>
      <c r="BF715" s="11">
        <f t="shared" si="3257"/>
        <v>0</v>
      </c>
      <c r="BG715" s="11">
        <f t="shared" si="3257"/>
        <v>0</v>
      </c>
      <c r="BH715" s="25">
        <f t="shared" si="3257"/>
        <v>0</v>
      </c>
      <c r="BJ715" s="10">
        <f t="shared" ref="BJ715:BO715" si="3258">SUM(BJ711:BJ714)</f>
        <v>0</v>
      </c>
      <c r="BK715" s="11">
        <f t="shared" si="3258"/>
        <v>0</v>
      </c>
      <c r="BL715" s="11">
        <f t="shared" si="3258"/>
        <v>0</v>
      </c>
      <c r="BM715" s="11">
        <f t="shared" si="3258"/>
        <v>0</v>
      </c>
      <c r="BN715" s="11">
        <f t="shared" si="3258"/>
        <v>0</v>
      </c>
      <c r="BO715" s="25">
        <f t="shared" si="3258"/>
        <v>0</v>
      </c>
      <c r="BQ715" s="10">
        <f t="shared" ref="BQ715:BV715" si="3259">SUM(BQ711:BQ714)</f>
        <v>0</v>
      </c>
      <c r="BR715" s="11">
        <f t="shared" si="3259"/>
        <v>0</v>
      </c>
      <c r="BS715" s="11">
        <f t="shared" si="3259"/>
        <v>0</v>
      </c>
      <c r="BT715" s="11">
        <f t="shared" si="3259"/>
        <v>0</v>
      </c>
      <c r="BU715" s="11">
        <f t="shared" si="3259"/>
        <v>0</v>
      </c>
      <c r="BV715" s="25">
        <f t="shared" si="3259"/>
        <v>0</v>
      </c>
      <c r="BX715" s="10">
        <f t="shared" ref="BX715:CC715" si="3260">SUM(BX711:BX714)</f>
        <v>0</v>
      </c>
      <c r="BY715" s="11">
        <f t="shared" si="3260"/>
        <v>0</v>
      </c>
      <c r="BZ715" s="11">
        <f t="shared" si="3260"/>
        <v>0</v>
      </c>
      <c r="CA715" s="11">
        <f t="shared" si="3260"/>
        <v>0</v>
      </c>
      <c r="CB715" s="11">
        <f t="shared" si="3260"/>
        <v>0</v>
      </c>
      <c r="CC715" s="25">
        <f t="shared" si="3260"/>
        <v>0</v>
      </c>
      <c r="CE715" s="62">
        <f t="shared" ref="CE715:CJ715" si="3261">SUM(CE711:CE714)</f>
        <v>0</v>
      </c>
      <c r="CF715" s="63">
        <f t="shared" si="3261"/>
        <v>0</v>
      </c>
      <c r="CG715" s="63">
        <f t="shared" si="3261"/>
        <v>0</v>
      </c>
      <c r="CH715" s="63">
        <f t="shared" si="3261"/>
        <v>0</v>
      </c>
      <c r="CI715" s="63">
        <f t="shared" si="3261"/>
        <v>0</v>
      </c>
      <c r="CJ715" s="25">
        <f t="shared" si="3261"/>
        <v>0</v>
      </c>
      <c r="CL715" s="10">
        <f>SUM(CL711:CL714)</f>
        <v>0</v>
      </c>
      <c r="CM715" s="11">
        <f t="shared" ref="CM715:CQ715" si="3262">SUM(CM711:CM714)</f>
        <v>0</v>
      </c>
      <c r="CN715" s="11">
        <f t="shared" si="3262"/>
        <v>0</v>
      </c>
      <c r="CO715" s="11">
        <f t="shared" si="3262"/>
        <v>0</v>
      </c>
      <c r="CP715" s="11">
        <f t="shared" si="3262"/>
        <v>0</v>
      </c>
      <c r="CQ715" s="25">
        <f t="shared" si="3262"/>
        <v>0</v>
      </c>
      <c r="CS715" s="10">
        <f>SUM(CS711:CS714)</f>
        <v>0</v>
      </c>
      <c r="CT715" s="11">
        <f t="shared" ref="CT715:CW715" si="3263">SUM(CT711:CT714)</f>
        <v>0</v>
      </c>
      <c r="CU715" s="11">
        <f t="shared" si="3263"/>
        <v>0</v>
      </c>
      <c r="CV715" s="11">
        <f t="shared" si="3263"/>
        <v>0</v>
      </c>
      <c r="CW715" s="11">
        <f t="shared" si="3263"/>
        <v>0</v>
      </c>
      <c r="CX715" s="25">
        <f>SUM(CX711:CX714)</f>
        <v>0</v>
      </c>
      <c r="CZ715" s="10">
        <f>SUM(CZ711:CZ714)</f>
        <v>0</v>
      </c>
      <c r="DA715" s="11">
        <f t="shared" ref="DA715:DD715" si="3264">SUM(DA711:DA714)</f>
        <v>0</v>
      </c>
      <c r="DB715" s="11">
        <f t="shared" si="3264"/>
        <v>0</v>
      </c>
      <c r="DC715" s="11">
        <f t="shared" si="3264"/>
        <v>0</v>
      </c>
      <c r="DD715" s="11">
        <f t="shared" si="3264"/>
        <v>0</v>
      </c>
      <c r="DE715" s="25">
        <f>SUM(DE711:DE714)</f>
        <v>0</v>
      </c>
    </row>
    <row r="716" spans="2:110" ht="10.4" customHeight="1" thickBot="1"/>
    <row r="717" spans="2:110">
      <c r="C717" s="553">
        <v>2025</v>
      </c>
      <c r="E717" s="13" t="s">
        <v>59</v>
      </c>
      <c r="F717" s="21">
        <f>CE711</f>
        <v>0</v>
      </c>
      <c r="G717" s="22">
        <f t="shared" ref="G717:G720" si="3265">CF711</f>
        <v>0</v>
      </c>
      <c r="H717" s="22">
        <f t="shared" ref="H717:H720" si="3266">CG711</f>
        <v>0</v>
      </c>
      <c r="I717" s="22">
        <f t="shared" ref="I717:I720" si="3267">CH711</f>
        <v>0</v>
      </c>
      <c r="J717" s="22">
        <f t="shared" ref="J717:J720" si="3268">CI711</f>
        <v>0</v>
      </c>
      <c r="K717" s="15">
        <f>SUM(F717:J717)</f>
        <v>0</v>
      </c>
      <c r="M717" s="2"/>
      <c r="N717" s="3"/>
      <c r="O717" s="3"/>
      <c r="P717" s="3"/>
      <c r="Q717" s="3"/>
      <c r="R717" s="15">
        <f>SUM(M717:Q717)</f>
        <v>0</v>
      </c>
      <c r="T717" s="2"/>
      <c r="U717" s="3"/>
      <c r="V717" s="3"/>
      <c r="W717" s="3"/>
      <c r="X717" s="3"/>
      <c r="Y717" s="15">
        <f>SUM(T717:X717)</f>
        <v>0</v>
      </c>
      <c r="AA717" s="2"/>
      <c r="AB717" s="3"/>
      <c r="AC717" s="3"/>
      <c r="AD717" s="3"/>
      <c r="AE717" s="3"/>
      <c r="AF717" s="15">
        <f>SUM(AA717:AE717)</f>
        <v>0</v>
      </c>
      <c r="AH717" s="2"/>
      <c r="AI717" s="3"/>
      <c r="AJ717" s="3"/>
      <c r="AK717" s="3"/>
      <c r="AL717" s="3"/>
      <c r="AM717" s="15">
        <f>SUM(AH717:AL717)</f>
        <v>0</v>
      </c>
      <c r="AO717" s="2"/>
      <c r="AP717" s="3"/>
      <c r="AQ717" s="3"/>
      <c r="AR717" s="3"/>
      <c r="AS717" s="3"/>
      <c r="AT717" s="15">
        <f>SUM(AO717:AS717)</f>
        <v>0</v>
      </c>
      <c r="AV717" s="2"/>
      <c r="AW717" s="3"/>
      <c r="AX717" s="3"/>
      <c r="AY717" s="3"/>
      <c r="AZ717" s="3"/>
      <c r="BA717" s="15">
        <f>SUM(AV717:AZ717)</f>
        <v>0</v>
      </c>
      <c r="BC717" s="2"/>
      <c r="BD717" s="3"/>
      <c r="BE717" s="3"/>
      <c r="BF717" s="3"/>
      <c r="BG717" s="3"/>
      <c r="BH717" s="15">
        <f>SUM(BC717:BG717)</f>
        <v>0</v>
      </c>
      <c r="BJ717" s="2"/>
      <c r="BK717" s="3"/>
      <c r="BL717" s="3"/>
      <c r="BM717" s="3"/>
      <c r="BN717" s="3"/>
      <c r="BO717" s="15">
        <f>SUM(BJ717:BN717)</f>
        <v>0</v>
      </c>
      <c r="BQ717" s="2"/>
      <c r="BR717" s="3"/>
      <c r="BS717" s="3"/>
      <c r="BT717" s="3"/>
      <c r="BU717" s="3"/>
      <c r="BV717" s="15">
        <f>SUM(BQ717:BU717)</f>
        <v>0</v>
      </c>
      <c r="BX717" s="2"/>
      <c r="BY717" s="3"/>
      <c r="BZ717" s="3"/>
      <c r="CA717" s="3"/>
      <c r="CB717" s="3"/>
      <c r="CC717" s="15">
        <f>SUM(BX717:CB717)</f>
        <v>0</v>
      </c>
      <c r="CE717" s="26">
        <f t="shared" ref="CE717:CE720" si="3269">F717+M717+T717+AA717+AH717+AO717+AV717+BC717+BJ717+BQ717+BX717</f>
        <v>0</v>
      </c>
      <c r="CF717" s="27">
        <f t="shared" ref="CF717:CF720" si="3270">G717+N717+U717+AB717+AI717+AP717+AW717+BD717+BK717+BR717+BY717</f>
        <v>0</v>
      </c>
      <c r="CG717" s="27">
        <f t="shared" ref="CG717:CG720" si="3271">H717+O717+V717+AC717+AJ717+AQ717+AX717+BE717+BL717+BS717+BZ717</f>
        <v>0</v>
      </c>
      <c r="CH717" s="27">
        <f t="shared" ref="CH717:CH720" si="3272">I717+P717+W717+AD717+AK717+AR717+AY717+BF717+BM717+BT717+CA717</f>
        <v>0</v>
      </c>
      <c r="CI717" s="27">
        <f t="shared" ref="CI717:CI720" si="3273">J717+Q717+X717+AE717+AL717+AS717+AZ717+BG717+BN717+BU717+CB717</f>
        <v>0</v>
      </c>
      <c r="CJ717" s="4">
        <f>SUM(CE717:CI717)</f>
        <v>0</v>
      </c>
      <c r="CL717" s="2"/>
      <c r="CM717" s="3"/>
      <c r="CN717" s="3"/>
      <c r="CO717" s="3"/>
      <c r="CP717" s="3"/>
      <c r="CQ717" s="15">
        <f>SUM(CL717:CP717)</f>
        <v>0</v>
      </c>
      <c r="CS717" s="2"/>
      <c r="CT717" s="3"/>
      <c r="CU717" s="3"/>
      <c r="CV717" s="3"/>
      <c r="CW717" s="3"/>
      <c r="CX717" s="4">
        <f>SUM(CS717:CW717)</f>
        <v>0</v>
      </c>
      <c r="CZ717" s="2"/>
      <c r="DA717" s="3"/>
      <c r="DB717" s="3"/>
      <c r="DC717" s="3"/>
      <c r="DD717" s="3"/>
      <c r="DE717" s="15">
        <f>SUM(CZ717:DD717)</f>
        <v>0</v>
      </c>
    </row>
    <row r="718" spans="2:110">
      <c r="C718" s="567"/>
      <c r="E718" s="14" t="s">
        <v>60</v>
      </c>
      <c r="F718" s="23">
        <f t="shared" ref="F718:F720" si="3274">CE712</f>
        <v>0</v>
      </c>
      <c r="G718" s="24">
        <f t="shared" si="3265"/>
        <v>0</v>
      </c>
      <c r="H718" s="24">
        <f t="shared" si="3266"/>
        <v>0</v>
      </c>
      <c r="I718" s="24">
        <f t="shared" si="3267"/>
        <v>0</v>
      </c>
      <c r="J718" s="24">
        <f t="shared" si="3268"/>
        <v>0</v>
      </c>
      <c r="K718" s="16">
        <f t="shared" ref="K718:K720" si="3275">SUM(F718:J718)</f>
        <v>0</v>
      </c>
      <c r="M718" s="6"/>
      <c r="N718" s="7"/>
      <c r="O718" s="7"/>
      <c r="P718" s="7"/>
      <c r="Q718" s="7"/>
      <c r="R718" s="16">
        <f t="shared" ref="R718:R720" si="3276">SUM(M718:Q718)</f>
        <v>0</v>
      </c>
      <c r="T718" s="6"/>
      <c r="U718" s="7"/>
      <c r="V718" s="7"/>
      <c r="W718" s="7"/>
      <c r="X718" s="7"/>
      <c r="Y718" s="16">
        <f t="shared" ref="Y718:Y720" si="3277">SUM(T718:X718)</f>
        <v>0</v>
      </c>
      <c r="AA718" s="6"/>
      <c r="AB718" s="7"/>
      <c r="AC718" s="7"/>
      <c r="AD718" s="7"/>
      <c r="AE718" s="7"/>
      <c r="AF718" s="16">
        <f>SUM(AA718:AE718)</f>
        <v>0</v>
      </c>
      <c r="AH718" s="6"/>
      <c r="AI718" s="7"/>
      <c r="AJ718" s="7"/>
      <c r="AK718" s="7"/>
      <c r="AL718" s="7"/>
      <c r="AM718" s="16">
        <f>SUM(AH718:AL718)</f>
        <v>0</v>
      </c>
      <c r="AO718" s="6"/>
      <c r="AP718" s="7"/>
      <c r="AQ718" s="7"/>
      <c r="AR718" s="7"/>
      <c r="AS718" s="7"/>
      <c r="AT718" s="16">
        <f>SUM(AO718:AS718)</f>
        <v>0</v>
      </c>
      <c r="AV718" s="6"/>
      <c r="AW718" s="7"/>
      <c r="AX718" s="7"/>
      <c r="AY718" s="7"/>
      <c r="AZ718" s="7"/>
      <c r="BA718" s="16">
        <f>SUM(AV718:AZ718)</f>
        <v>0</v>
      </c>
      <c r="BC718" s="6"/>
      <c r="BD718" s="7"/>
      <c r="BE718" s="7"/>
      <c r="BF718" s="7"/>
      <c r="BG718" s="7"/>
      <c r="BH718" s="16">
        <f>SUM(BC718:BG718)</f>
        <v>0</v>
      </c>
      <c r="BJ718" s="6"/>
      <c r="BK718" s="7"/>
      <c r="BL718" s="7"/>
      <c r="BM718" s="7"/>
      <c r="BN718" s="7"/>
      <c r="BO718" s="16">
        <f>SUM(BJ718:BN718)</f>
        <v>0</v>
      </c>
      <c r="BQ718" s="6"/>
      <c r="BR718" s="7"/>
      <c r="BS718" s="7"/>
      <c r="BT718" s="7"/>
      <c r="BU718" s="7"/>
      <c r="BV718" s="16">
        <f>SUM(BQ718:BU718)</f>
        <v>0</v>
      </c>
      <c r="BX718" s="6"/>
      <c r="BY718" s="7"/>
      <c r="BZ718" s="7"/>
      <c r="CA718" s="7"/>
      <c r="CB718" s="7"/>
      <c r="CC718" s="16">
        <f>SUM(BX718:CB718)</f>
        <v>0</v>
      </c>
      <c r="CE718" s="28">
        <f t="shared" si="3269"/>
        <v>0</v>
      </c>
      <c r="CF718" s="29">
        <f t="shared" si="3270"/>
        <v>0</v>
      </c>
      <c r="CG718" s="29">
        <f t="shared" si="3271"/>
        <v>0</v>
      </c>
      <c r="CH718" s="29">
        <f t="shared" si="3272"/>
        <v>0</v>
      </c>
      <c r="CI718" s="29">
        <f t="shared" si="3273"/>
        <v>0</v>
      </c>
      <c r="CJ718" s="8">
        <f>SUM(CE718:CI718)</f>
        <v>0</v>
      </c>
      <c r="CL718" s="6"/>
      <c r="CM718" s="7"/>
      <c r="CN718" s="7"/>
      <c r="CO718" s="7"/>
      <c r="CP718" s="7"/>
      <c r="CQ718" s="16">
        <f>SUM(CL718:CP718)</f>
        <v>0</v>
      </c>
      <c r="CS718" s="6"/>
      <c r="CT718" s="7"/>
      <c r="CU718" s="7"/>
      <c r="CV718" s="7"/>
      <c r="CW718" s="7"/>
      <c r="CX718" s="8">
        <f t="shared" ref="CX718:CX720" si="3278">SUM(CS718:CW718)</f>
        <v>0</v>
      </c>
      <c r="CZ718" s="6"/>
      <c r="DA718" s="7"/>
      <c r="DB718" s="7"/>
      <c r="DC718" s="7"/>
      <c r="DD718" s="7"/>
      <c r="DE718" s="16">
        <f t="shared" ref="DE718:DE720" si="3279">SUM(CZ718:DD718)</f>
        <v>0</v>
      </c>
    </row>
    <row r="719" spans="2:110">
      <c r="C719" s="567"/>
      <c r="E719" s="14" t="s">
        <v>61</v>
      </c>
      <c r="F719" s="23">
        <f t="shared" si="3274"/>
        <v>0</v>
      </c>
      <c r="G719" s="24">
        <f t="shared" si="3265"/>
        <v>0</v>
      </c>
      <c r="H719" s="24">
        <f t="shared" si="3266"/>
        <v>0</v>
      </c>
      <c r="I719" s="24">
        <f t="shared" si="3267"/>
        <v>0</v>
      </c>
      <c r="J719" s="24">
        <f t="shared" si="3268"/>
        <v>0</v>
      </c>
      <c r="K719" s="16">
        <f t="shared" si="3275"/>
        <v>0</v>
      </c>
      <c r="M719" s="6"/>
      <c r="N719" s="7"/>
      <c r="O719" s="7"/>
      <c r="P719" s="7"/>
      <c r="Q719" s="7"/>
      <c r="R719" s="16">
        <f t="shared" si="3276"/>
        <v>0</v>
      </c>
      <c r="T719" s="6"/>
      <c r="U719" s="7"/>
      <c r="V719" s="7"/>
      <c r="W719" s="7"/>
      <c r="X719" s="7"/>
      <c r="Y719" s="16">
        <f t="shared" si="3277"/>
        <v>0</v>
      </c>
      <c r="AA719" s="6"/>
      <c r="AB719" s="7"/>
      <c r="AC719" s="7"/>
      <c r="AD719" s="7"/>
      <c r="AE719" s="7"/>
      <c r="AF719" s="16">
        <f>SUM(AA719:AE719)</f>
        <v>0</v>
      </c>
      <c r="AH719" s="6"/>
      <c r="AI719" s="7"/>
      <c r="AJ719" s="7"/>
      <c r="AK719" s="7"/>
      <c r="AL719" s="7"/>
      <c r="AM719" s="16">
        <f>SUM(AH719:AL719)</f>
        <v>0</v>
      </c>
      <c r="AO719" s="6"/>
      <c r="AP719" s="7"/>
      <c r="AQ719" s="7"/>
      <c r="AR719" s="7"/>
      <c r="AS719" s="7"/>
      <c r="AT719" s="16">
        <f>SUM(AO719:AS719)</f>
        <v>0</v>
      </c>
      <c r="AV719" s="6"/>
      <c r="AW719" s="7"/>
      <c r="AX719" s="7"/>
      <c r="AY719" s="7"/>
      <c r="AZ719" s="7"/>
      <c r="BA719" s="16">
        <f>SUM(AV719:AZ719)</f>
        <v>0</v>
      </c>
      <c r="BC719" s="6"/>
      <c r="BD719" s="7"/>
      <c r="BE719" s="7"/>
      <c r="BF719" s="7"/>
      <c r="BG719" s="7"/>
      <c r="BH719" s="16">
        <f>SUM(BC719:BG719)</f>
        <v>0</v>
      </c>
      <c r="BJ719" s="6"/>
      <c r="BK719" s="7"/>
      <c r="BL719" s="7"/>
      <c r="BM719" s="7"/>
      <c r="BN719" s="7"/>
      <c r="BO719" s="16">
        <f>SUM(BJ719:BN719)</f>
        <v>0</v>
      </c>
      <c r="BQ719" s="6"/>
      <c r="BR719" s="7"/>
      <c r="BS719" s="7"/>
      <c r="BT719" s="7"/>
      <c r="BU719" s="7"/>
      <c r="BV719" s="16">
        <f>SUM(BQ719:BU719)</f>
        <v>0</v>
      </c>
      <c r="BX719" s="6"/>
      <c r="BY719" s="7"/>
      <c r="BZ719" s="7"/>
      <c r="CA719" s="7"/>
      <c r="CB719" s="7"/>
      <c r="CC719" s="16">
        <f>SUM(BX719:CB719)</f>
        <v>0</v>
      </c>
      <c r="CE719" s="28">
        <f t="shared" si="3269"/>
        <v>0</v>
      </c>
      <c r="CF719" s="29">
        <f t="shared" si="3270"/>
        <v>0</v>
      </c>
      <c r="CG719" s="29">
        <f t="shared" si="3271"/>
        <v>0</v>
      </c>
      <c r="CH719" s="29">
        <f t="shared" si="3272"/>
        <v>0</v>
      </c>
      <c r="CI719" s="29">
        <f t="shared" si="3273"/>
        <v>0</v>
      </c>
      <c r="CJ719" s="8">
        <f>SUM(CE719:CI719)</f>
        <v>0</v>
      </c>
      <c r="CL719" s="6"/>
      <c r="CM719" s="7"/>
      <c r="CN719" s="7"/>
      <c r="CO719" s="7"/>
      <c r="CP719" s="7"/>
      <c r="CQ719" s="16">
        <f>SUM(CL719:CP719)</f>
        <v>0</v>
      </c>
      <c r="CS719" s="6"/>
      <c r="CT719" s="7"/>
      <c r="CU719" s="7"/>
      <c r="CV719" s="7"/>
      <c r="CW719" s="7"/>
      <c r="CX719" s="8">
        <f t="shared" si="3278"/>
        <v>0</v>
      </c>
      <c r="CZ719" s="6"/>
      <c r="DA719" s="7"/>
      <c r="DB719" s="7"/>
      <c r="DC719" s="7"/>
      <c r="DD719" s="7"/>
      <c r="DE719" s="16">
        <f t="shared" si="3279"/>
        <v>0</v>
      </c>
    </row>
    <row r="720" spans="2:110" ht="14" thickBot="1">
      <c r="C720" s="567"/>
      <c r="E720" s="14" t="s">
        <v>62</v>
      </c>
      <c r="F720" s="23">
        <f t="shared" si="3274"/>
        <v>0</v>
      </c>
      <c r="G720" s="24">
        <f t="shared" si="3265"/>
        <v>0</v>
      </c>
      <c r="H720" s="24">
        <f t="shared" si="3266"/>
        <v>0</v>
      </c>
      <c r="I720" s="24">
        <f t="shared" si="3267"/>
        <v>0</v>
      </c>
      <c r="J720" s="24">
        <f t="shared" si="3268"/>
        <v>0</v>
      </c>
      <c r="K720" s="16">
        <f t="shared" si="3275"/>
        <v>0</v>
      </c>
      <c r="M720" s="6"/>
      <c r="N720" s="7"/>
      <c r="O720" s="7"/>
      <c r="P720" s="7"/>
      <c r="Q720" s="7"/>
      <c r="R720" s="16">
        <f t="shared" si="3276"/>
        <v>0</v>
      </c>
      <c r="T720" s="6"/>
      <c r="U720" s="7"/>
      <c r="V720" s="7"/>
      <c r="W720" s="7"/>
      <c r="X720" s="7"/>
      <c r="Y720" s="16">
        <f t="shared" si="3277"/>
        <v>0</v>
      </c>
      <c r="AA720" s="6"/>
      <c r="AB720" s="7"/>
      <c r="AC720" s="7"/>
      <c r="AD720" s="7"/>
      <c r="AE720" s="7"/>
      <c r="AF720" s="16">
        <f>SUM(AA720:AE720)</f>
        <v>0</v>
      </c>
      <c r="AH720" s="6"/>
      <c r="AI720" s="7"/>
      <c r="AJ720" s="7"/>
      <c r="AK720" s="7"/>
      <c r="AL720" s="7"/>
      <c r="AM720" s="16">
        <f>SUM(AH720:AL720)</f>
        <v>0</v>
      </c>
      <c r="AO720" s="6"/>
      <c r="AP720" s="7"/>
      <c r="AQ720" s="7"/>
      <c r="AR720" s="7"/>
      <c r="AS720" s="7"/>
      <c r="AT720" s="16">
        <f>SUM(AO720:AS720)</f>
        <v>0</v>
      </c>
      <c r="AV720" s="6"/>
      <c r="AW720" s="7"/>
      <c r="AX720" s="7"/>
      <c r="AY720" s="7"/>
      <c r="AZ720" s="7"/>
      <c r="BA720" s="16">
        <f>SUM(AV720:AZ720)</f>
        <v>0</v>
      </c>
      <c r="BC720" s="6"/>
      <c r="BD720" s="7"/>
      <c r="BE720" s="7"/>
      <c r="BF720" s="7"/>
      <c r="BG720" s="7"/>
      <c r="BH720" s="16">
        <f>SUM(BC720:BG720)</f>
        <v>0</v>
      </c>
      <c r="BJ720" s="6"/>
      <c r="BK720" s="7"/>
      <c r="BL720" s="7"/>
      <c r="BM720" s="7"/>
      <c r="BN720" s="7"/>
      <c r="BO720" s="16">
        <f>SUM(BJ720:BN720)</f>
        <v>0</v>
      </c>
      <c r="BQ720" s="6"/>
      <c r="BR720" s="7"/>
      <c r="BS720" s="7"/>
      <c r="BT720" s="7"/>
      <c r="BU720" s="7"/>
      <c r="BV720" s="16">
        <f>SUM(BQ720:BU720)</f>
        <v>0</v>
      </c>
      <c r="BX720" s="6"/>
      <c r="BY720" s="7"/>
      <c r="BZ720" s="7"/>
      <c r="CA720" s="7"/>
      <c r="CB720" s="7"/>
      <c r="CC720" s="16">
        <f>SUM(BX720:CB720)</f>
        <v>0</v>
      </c>
      <c r="CE720" s="493">
        <f t="shared" si="3269"/>
        <v>0</v>
      </c>
      <c r="CF720" s="494">
        <f t="shared" si="3270"/>
        <v>0</v>
      </c>
      <c r="CG720" s="494">
        <f t="shared" si="3271"/>
        <v>0</v>
      </c>
      <c r="CH720" s="494">
        <f t="shared" si="3272"/>
        <v>0</v>
      </c>
      <c r="CI720" s="494">
        <f t="shared" si="3273"/>
        <v>0</v>
      </c>
      <c r="CJ720" s="495">
        <f>SUM(CE720:CI720)</f>
        <v>0</v>
      </c>
      <c r="CL720" s="6"/>
      <c r="CM720" s="7"/>
      <c r="CN720" s="7"/>
      <c r="CO720" s="7"/>
      <c r="CP720" s="7"/>
      <c r="CQ720" s="16">
        <f>SUM(CL720:CP720)</f>
        <v>0</v>
      </c>
      <c r="CS720" s="6"/>
      <c r="CT720" s="7"/>
      <c r="CU720" s="7"/>
      <c r="CV720" s="7"/>
      <c r="CW720" s="7"/>
      <c r="CX720" s="8">
        <f t="shared" si="3278"/>
        <v>0</v>
      </c>
      <c r="CZ720" s="6"/>
      <c r="DA720" s="7"/>
      <c r="DB720" s="7"/>
      <c r="DC720" s="7"/>
      <c r="DD720" s="7"/>
      <c r="DE720" s="16">
        <f t="shared" si="3279"/>
        <v>0</v>
      </c>
    </row>
    <row r="721" spans="3:109" ht="14" thickBot="1">
      <c r="C721" s="554"/>
      <c r="E721" s="17"/>
      <c r="F721" s="10">
        <f>SUM(F717:F720)</f>
        <v>0</v>
      </c>
      <c r="G721" s="11">
        <f t="shared" ref="G721:J721" si="3280">SUM(G717:G720)</f>
        <v>0</v>
      </c>
      <c r="H721" s="11">
        <f t="shared" si="3280"/>
        <v>0</v>
      </c>
      <c r="I721" s="11">
        <f t="shared" si="3280"/>
        <v>0</v>
      </c>
      <c r="J721" s="11">
        <f t="shared" si="3280"/>
        <v>0</v>
      </c>
      <c r="K721" s="25">
        <f>SUM(K717:K720)</f>
        <v>0</v>
      </c>
      <c r="M721" s="10">
        <f>SUM(M717:M720)</f>
        <v>0</v>
      </c>
      <c r="N721" s="11">
        <f t="shared" ref="N721:Q721" si="3281">SUM(N717:N720)</f>
        <v>0</v>
      </c>
      <c r="O721" s="11">
        <f t="shared" si="3281"/>
        <v>0</v>
      </c>
      <c r="P721" s="11">
        <f t="shared" si="3281"/>
        <v>0</v>
      </c>
      <c r="Q721" s="11">
        <f t="shared" si="3281"/>
        <v>0</v>
      </c>
      <c r="R721" s="25">
        <f>SUM(R717:R720)</f>
        <v>0</v>
      </c>
      <c r="T721" s="10">
        <f>SUM(T717:T720)</f>
        <v>0</v>
      </c>
      <c r="U721" s="11">
        <f t="shared" ref="U721:X721" si="3282">SUM(U717:U720)</f>
        <v>0</v>
      </c>
      <c r="V721" s="11">
        <f t="shared" si="3282"/>
        <v>0</v>
      </c>
      <c r="W721" s="11">
        <f t="shared" si="3282"/>
        <v>0</v>
      </c>
      <c r="X721" s="11">
        <f t="shared" si="3282"/>
        <v>0</v>
      </c>
      <c r="Y721" s="25">
        <f>SUM(Y717:Y720)</f>
        <v>0</v>
      </c>
      <c r="AA721" s="10">
        <f>SUM(AA717:AA720)</f>
        <v>0</v>
      </c>
      <c r="AB721" s="11">
        <f t="shared" ref="AB721:AE721" si="3283">SUM(AB717:AB720)</f>
        <v>0</v>
      </c>
      <c r="AC721" s="11">
        <f t="shared" si="3283"/>
        <v>0</v>
      </c>
      <c r="AD721" s="11">
        <f t="shared" si="3283"/>
        <v>0</v>
      </c>
      <c r="AE721" s="11">
        <f t="shared" si="3283"/>
        <v>0</v>
      </c>
      <c r="AF721" s="25">
        <f>SUM(AF717:AF720)</f>
        <v>0</v>
      </c>
      <c r="AH721" s="10">
        <f t="shared" ref="AH721:AM721" si="3284">SUM(AH717:AH720)</f>
        <v>0</v>
      </c>
      <c r="AI721" s="11">
        <f t="shared" si="3284"/>
        <v>0</v>
      </c>
      <c r="AJ721" s="11">
        <f t="shared" si="3284"/>
        <v>0</v>
      </c>
      <c r="AK721" s="11">
        <f t="shared" si="3284"/>
        <v>0</v>
      </c>
      <c r="AL721" s="11">
        <f t="shared" si="3284"/>
        <v>0</v>
      </c>
      <c r="AM721" s="25">
        <f t="shared" si="3284"/>
        <v>0</v>
      </c>
      <c r="AO721" s="10">
        <f t="shared" ref="AO721:AT721" si="3285">SUM(AO717:AO720)</f>
        <v>0</v>
      </c>
      <c r="AP721" s="11">
        <f t="shared" si="3285"/>
        <v>0</v>
      </c>
      <c r="AQ721" s="11">
        <f t="shared" si="3285"/>
        <v>0</v>
      </c>
      <c r="AR721" s="11">
        <f t="shared" si="3285"/>
        <v>0</v>
      </c>
      <c r="AS721" s="11">
        <f t="shared" si="3285"/>
        <v>0</v>
      </c>
      <c r="AT721" s="25">
        <f t="shared" si="3285"/>
        <v>0</v>
      </c>
      <c r="AV721" s="10">
        <f t="shared" ref="AV721:BA721" si="3286">SUM(AV717:AV720)</f>
        <v>0</v>
      </c>
      <c r="AW721" s="11">
        <f t="shared" si="3286"/>
        <v>0</v>
      </c>
      <c r="AX721" s="11">
        <f t="shared" si="3286"/>
        <v>0</v>
      </c>
      <c r="AY721" s="11">
        <f t="shared" si="3286"/>
        <v>0</v>
      </c>
      <c r="AZ721" s="11">
        <f t="shared" si="3286"/>
        <v>0</v>
      </c>
      <c r="BA721" s="25">
        <f t="shared" si="3286"/>
        <v>0</v>
      </c>
      <c r="BC721" s="10">
        <f t="shared" ref="BC721:BH721" si="3287">SUM(BC717:BC720)</f>
        <v>0</v>
      </c>
      <c r="BD721" s="11">
        <f t="shared" si="3287"/>
        <v>0</v>
      </c>
      <c r="BE721" s="11">
        <f t="shared" si="3287"/>
        <v>0</v>
      </c>
      <c r="BF721" s="11">
        <f t="shared" si="3287"/>
        <v>0</v>
      </c>
      <c r="BG721" s="11">
        <f t="shared" si="3287"/>
        <v>0</v>
      </c>
      <c r="BH721" s="25">
        <f t="shared" si="3287"/>
        <v>0</v>
      </c>
      <c r="BJ721" s="10">
        <f t="shared" ref="BJ721:BO721" si="3288">SUM(BJ717:BJ720)</f>
        <v>0</v>
      </c>
      <c r="BK721" s="11">
        <f t="shared" si="3288"/>
        <v>0</v>
      </c>
      <c r="BL721" s="11">
        <f t="shared" si="3288"/>
        <v>0</v>
      </c>
      <c r="BM721" s="11">
        <f t="shared" si="3288"/>
        <v>0</v>
      </c>
      <c r="BN721" s="11">
        <f t="shared" si="3288"/>
        <v>0</v>
      </c>
      <c r="BO721" s="25">
        <f t="shared" si="3288"/>
        <v>0</v>
      </c>
      <c r="BQ721" s="10">
        <f t="shared" ref="BQ721:BV721" si="3289">SUM(BQ717:BQ720)</f>
        <v>0</v>
      </c>
      <c r="BR721" s="11">
        <f t="shared" si="3289"/>
        <v>0</v>
      </c>
      <c r="BS721" s="11">
        <f t="shared" si="3289"/>
        <v>0</v>
      </c>
      <c r="BT721" s="11">
        <f t="shared" si="3289"/>
        <v>0</v>
      </c>
      <c r="BU721" s="11">
        <f t="shared" si="3289"/>
        <v>0</v>
      </c>
      <c r="BV721" s="25">
        <f t="shared" si="3289"/>
        <v>0</v>
      </c>
      <c r="BX721" s="10">
        <f t="shared" ref="BX721:CC721" si="3290">SUM(BX717:BX720)</f>
        <v>0</v>
      </c>
      <c r="BY721" s="11">
        <f t="shared" si="3290"/>
        <v>0</v>
      </c>
      <c r="BZ721" s="11">
        <f t="shared" si="3290"/>
        <v>0</v>
      </c>
      <c r="CA721" s="11">
        <f t="shared" si="3290"/>
        <v>0</v>
      </c>
      <c r="CB721" s="11">
        <f t="shared" si="3290"/>
        <v>0</v>
      </c>
      <c r="CC721" s="25">
        <f t="shared" si="3290"/>
        <v>0</v>
      </c>
      <c r="CE721" s="62">
        <f t="shared" ref="CE721:CJ721" si="3291">SUM(CE717:CE720)</f>
        <v>0</v>
      </c>
      <c r="CF721" s="63">
        <f t="shared" si="3291"/>
        <v>0</v>
      </c>
      <c r="CG721" s="63">
        <f t="shared" si="3291"/>
        <v>0</v>
      </c>
      <c r="CH721" s="63">
        <f t="shared" si="3291"/>
        <v>0</v>
      </c>
      <c r="CI721" s="63">
        <f t="shared" si="3291"/>
        <v>0</v>
      </c>
      <c r="CJ721" s="25">
        <f t="shared" si="3291"/>
        <v>0</v>
      </c>
      <c r="CL721" s="10">
        <f>SUM(CL717:CL720)</f>
        <v>0</v>
      </c>
      <c r="CM721" s="11">
        <f t="shared" ref="CM721:CQ721" si="3292">SUM(CM717:CM720)</f>
        <v>0</v>
      </c>
      <c r="CN721" s="11">
        <f t="shared" si="3292"/>
        <v>0</v>
      </c>
      <c r="CO721" s="11">
        <f t="shared" si="3292"/>
        <v>0</v>
      </c>
      <c r="CP721" s="11">
        <f t="shared" si="3292"/>
        <v>0</v>
      </c>
      <c r="CQ721" s="25">
        <f t="shared" si="3292"/>
        <v>0</v>
      </c>
      <c r="CS721" s="10">
        <f>SUM(CS717:CS720)</f>
        <v>0</v>
      </c>
      <c r="CT721" s="11">
        <f t="shared" ref="CT721:CW721" si="3293">SUM(CT717:CT720)</f>
        <v>0</v>
      </c>
      <c r="CU721" s="11">
        <f t="shared" si="3293"/>
        <v>0</v>
      </c>
      <c r="CV721" s="11">
        <f t="shared" si="3293"/>
        <v>0</v>
      </c>
      <c r="CW721" s="11">
        <f t="shared" si="3293"/>
        <v>0</v>
      </c>
      <c r="CX721" s="25">
        <f>SUM(CX717:CX720)</f>
        <v>0</v>
      </c>
      <c r="CZ721" s="10">
        <f>SUM(CZ717:CZ720)</f>
        <v>0</v>
      </c>
      <c r="DA721" s="11">
        <f t="shared" ref="DA721:DD721" si="3294">SUM(DA717:DA720)</f>
        <v>0</v>
      </c>
      <c r="DB721" s="11">
        <f t="shared" si="3294"/>
        <v>0</v>
      </c>
      <c r="DC721" s="11">
        <f t="shared" si="3294"/>
        <v>0</v>
      </c>
      <c r="DD721" s="11">
        <f t="shared" si="3294"/>
        <v>0</v>
      </c>
      <c r="DE721" s="25">
        <f>SUM(DE717:DE720)</f>
        <v>0</v>
      </c>
    </row>
    <row r="722" spans="3:109" ht="10.4" customHeight="1" thickBot="1"/>
    <row r="723" spans="3:109">
      <c r="C723" s="553">
        <v>2026</v>
      </c>
      <c r="E723" s="13" t="s">
        <v>59</v>
      </c>
      <c r="F723" s="21">
        <f>CE717</f>
        <v>0</v>
      </c>
      <c r="G723" s="22">
        <f t="shared" ref="G723:G726" si="3295">CF717</f>
        <v>0</v>
      </c>
      <c r="H723" s="22">
        <f t="shared" ref="H723:H726" si="3296">CG717</f>
        <v>0</v>
      </c>
      <c r="I723" s="22">
        <f t="shared" ref="I723:I726" si="3297">CH717</f>
        <v>0</v>
      </c>
      <c r="J723" s="22">
        <f t="shared" ref="J723:J726" si="3298">CI717</f>
        <v>0</v>
      </c>
      <c r="K723" s="4">
        <f>SUM(F723:J723)</f>
        <v>0</v>
      </c>
      <c r="M723" s="2"/>
      <c r="N723" s="3"/>
      <c r="O723" s="3"/>
      <c r="P723" s="3"/>
      <c r="Q723" s="3"/>
      <c r="R723" s="4">
        <f>SUM(M723:Q723)</f>
        <v>0</v>
      </c>
      <c r="T723" s="2"/>
      <c r="U723" s="3"/>
      <c r="V723" s="3"/>
      <c r="W723" s="3"/>
      <c r="X723" s="3"/>
      <c r="Y723" s="4">
        <f>SUM(T723:X723)</f>
        <v>0</v>
      </c>
      <c r="AA723" s="2"/>
      <c r="AB723" s="3"/>
      <c r="AC723" s="3"/>
      <c r="AD723" s="3"/>
      <c r="AE723" s="3"/>
      <c r="AF723" s="4">
        <f>SUM(AA723:AE723)</f>
        <v>0</v>
      </c>
      <c r="AH723" s="2"/>
      <c r="AI723" s="3"/>
      <c r="AJ723" s="3"/>
      <c r="AK723" s="3"/>
      <c r="AL723" s="3"/>
      <c r="AM723" s="4">
        <f>SUM(AH723:AL723)</f>
        <v>0</v>
      </c>
      <c r="AO723" s="2"/>
      <c r="AP723" s="3"/>
      <c r="AQ723" s="3"/>
      <c r="AR723" s="3"/>
      <c r="AS723" s="3"/>
      <c r="AT723" s="4">
        <f>SUM(AO723:AS723)</f>
        <v>0</v>
      </c>
      <c r="AV723" s="2"/>
      <c r="AW723" s="3"/>
      <c r="AX723" s="3"/>
      <c r="AY723" s="3"/>
      <c r="AZ723" s="3"/>
      <c r="BA723" s="4">
        <f>SUM(AV723:AZ723)</f>
        <v>0</v>
      </c>
      <c r="BC723" s="2"/>
      <c r="BD723" s="3"/>
      <c r="BE723" s="3"/>
      <c r="BF723" s="3"/>
      <c r="BG723" s="3"/>
      <c r="BH723" s="4">
        <f>SUM(BC723:BG723)</f>
        <v>0</v>
      </c>
      <c r="BJ723" s="2"/>
      <c r="BK723" s="3"/>
      <c r="BL723" s="3"/>
      <c r="BM723" s="3"/>
      <c r="BN723" s="3"/>
      <c r="BO723" s="4">
        <f>SUM(BJ723:BN723)</f>
        <v>0</v>
      </c>
      <c r="BQ723" s="2"/>
      <c r="BR723" s="3"/>
      <c r="BS723" s="3"/>
      <c r="BT723" s="3"/>
      <c r="BU723" s="3"/>
      <c r="BV723" s="4">
        <f>SUM(BQ723:BU723)</f>
        <v>0</v>
      </c>
      <c r="BX723" s="2"/>
      <c r="BY723" s="3"/>
      <c r="BZ723" s="3"/>
      <c r="CA723" s="3"/>
      <c r="CB723" s="3"/>
      <c r="CC723" s="4">
        <f>SUM(BX723:CB723)</f>
        <v>0</v>
      </c>
      <c r="CE723" s="26">
        <f t="shared" ref="CE723:CE726" si="3299">F723+M723+T723+AA723+AH723+AO723+AV723+BC723+BJ723+BQ723+BX723</f>
        <v>0</v>
      </c>
      <c r="CF723" s="27">
        <f t="shared" ref="CF723:CF726" si="3300">G723+N723+U723+AB723+AI723+AP723+AW723+BD723+BK723+BR723+BY723</f>
        <v>0</v>
      </c>
      <c r="CG723" s="27">
        <f t="shared" ref="CG723:CG726" si="3301">H723+O723+V723+AC723+AJ723+AQ723+AX723+BE723+BL723+BS723+BZ723</f>
        <v>0</v>
      </c>
      <c r="CH723" s="27">
        <f t="shared" ref="CH723:CH726" si="3302">I723+P723+W723+AD723+AK723+AR723+AY723+BF723+BM723+BT723+CA723</f>
        <v>0</v>
      </c>
      <c r="CI723" s="27">
        <f t="shared" ref="CI723:CI726" si="3303">J723+Q723+X723+AE723+AL723+AS723+AZ723+BG723+BN723+BU723+CB723</f>
        <v>0</v>
      </c>
      <c r="CJ723" s="4">
        <f>SUM(CE723:CI723)</f>
        <v>0</v>
      </c>
      <c r="CL723" s="2"/>
      <c r="CM723" s="3"/>
      <c r="CN723" s="3"/>
      <c r="CO723" s="3"/>
      <c r="CP723" s="3"/>
      <c r="CQ723" s="4">
        <f>SUM(CL723:CP723)</f>
        <v>0</v>
      </c>
      <c r="CS723" s="2"/>
      <c r="CT723" s="3"/>
      <c r="CU723" s="3"/>
      <c r="CV723" s="3"/>
      <c r="CW723" s="3"/>
      <c r="CX723" s="4">
        <f>SUM(CS723:CW723)</f>
        <v>0</v>
      </c>
      <c r="CZ723" s="2"/>
      <c r="DA723" s="3"/>
      <c r="DB723" s="3"/>
      <c r="DC723" s="3"/>
      <c r="DD723" s="3"/>
      <c r="DE723" s="4">
        <f>SUM(CZ723:DD723)</f>
        <v>0</v>
      </c>
    </row>
    <row r="724" spans="3:109">
      <c r="C724" s="567"/>
      <c r="E724" s="14" t="s">
        <v>60</v>
      </c>
      <c r="F724" s="23">
        <f t="shared" ref="F724:F726" si="3304">CE718</f>
        <v>0</v>
      </c>
      <c r="G724" s="24">
        <f t="shared" si="3295"/>
        <v>0</v>
      </c>
      <c r="H724" s="24">
        <f t="shared" si="3296"/>
        <v>0</v>
      </c>
      <c r="I724" s="24">
        <f t="shared" si="3297"/>
        <v>0</v>
      </c>
      <c r="J724" s="24">
        <f t="shared" si="3298"/>
        <v>0</v>
      </c>
      <c r="K724" s="8">
        <f t="shared" ref="K724:K726" si="3305">SUM(F724:J724)</f>
        <v>0</v>
      </c>
      <c r="M724" s="6"/>
      <c r="N724" s="7"/>
      <c r="O724" s="7"/>
      <c r="P724" s="7"/>
      <c r="Q724" s="7"/>
      <c r="R724" s="8">
        <f t="shared" ref="R724:R726" si="3306">SUM(M724:Q724)</f>
        <v>0</v>
      </c>
      <c r="T724" s="6"/>
      <c r="U724" s="7"/>
      <c r="V724" s="7"/>
      <c r="W724" s="7"/>
      <c r="X724" s="7"/>
      <c r="Y724" s="8">
        <f t="shared" ref="Y724:Y726" si="3307">SUM(T724:X724)</f>
        <v>0</v>
      </c>
      <c r="AA724" s="6"/>
      <c r="AB724" s="7"/>
      <c r="AC724" s="7"/>
      <c r="AD724" s="7"/>
      <c r="AE724" s="7"/>
      <c r="AF724" s="8">
        <f>SUM(AA724:AE724)</f>
        <v>0</v>
      </c>
      <c r="AH724" s="6"/>
      <c r="AI724" s="7"/>
      <c r="AJ724" s="7"/>
      <c r="AK724" s="7"/>
      <c r="AL724" s="7"/>
      <c r="AM724" s="8">
        <f>SUM(AH724:AL724)</f>
        <v>0</v>
      </c>
      <c r="AO724" s="6"/>
      <c r="AP724" s="7"/>
      <c r="AQ724" s="7"/>
      <c r="AR724" s="7"/>
      <c r="AS724" s="7"/>
      <c r="AT724" s="8">
        <f>SUM(AO724:AS724)</f>
        <v>0</v>
      </c>
      <c r="AV724" s="6"/>
      <c r="AW724" s="7"/>
      <c r="AX724" s="7"/>
      <c r="AY724" s="7"/>
      <c r="AZ724" s="7"/>
      <c r="BA724" s="8">
        <f>SUM(AV724:AZ724)</f>
        <v>0</v>
      </c>
      <c r="BC724" s="6"/>
      <c r="BD724" s="7"/>
      <c r="BE724" s="7"/>
      <c r="BF724" s="7"/>
      <c r="BG724" s="7"/>
      <c r="BH724" s="8">
        <f>SUM(BC724:BG724)</f>
        <v>0</v>
      </c>
      <c r="BJ724" s="6"/>
      <c r="BK724" s="7"/>
      <c r="BL724" s="7"/>
      <c r="BM724" s="7"/>
      <c r="BN724" s="7"/>
      <c r="BO724" s="8">
        <f>SUM(BJ724:BN724)</f>
        <v>0</v>
      </c>
      <c r="BQ724" s="6"/>
      <c r="BR724" s="7"/>
      <c r="BS724" s="7"/>
      <c r="BT724" s="7"/>
      <c r="BU724" s="7"/>
      <c r="BV724" s="8">
        <f>SUM(BQ724:BU724)</f>
        <v>0</v>
      </c>
      <c r="BX724" s="6"/>
      <c r="BY724" s="7"/>
      <c r="BZ724" s="7"/>
      <c r="CA724" s="7"/>
      <c r="CB724" s="7"/>
      <c r="CC724" s="8">
        <f>SUM(BX724:CB724)</f>
        <v>0</v>
      </c>
      <c r="CE724" s="28">
        <f t="shared" si="3299"/>
        <v>0</v>
      </c>
      <c r="CF724" s="29">
        <f t="shared" si="3300"/>
        <v>0</v>
      </c>
      <c r="CG724" s="29">
        <f t="shared" si="3301"/>
        <v>0</v>
      </c>
      <c r="CH724" s="29">
        <f t="shared" si="3302"/>
        <v>0</v>
      </c>
      <c r="CI724" s="29">
        <f t="shared" si="3303"/>
        <v>0</v>
      </c>
      <c r="CJ724" s="8">
        <f>SUM(CE724:CI724)</f>
        <v>0</v>
      </c>
      <c r="CL724" s="6"/>
      <c r="CM724" s="7"/>
      <c r="CN724" s="7"/>
      <c r="CO724" s="7"/>
      <c r="CP724" s="7"/>
      <c r="CQ724" s="8">
        <f>SUM(CL724:CP724)</f>
        <v>0</v>
      </c>
      <c r="CS724" s="6"/>
      <c r="CT724" s="7"/>
      <c r="CU724" s="7"/>
      <c r="CV724" s="7"/>
      <c r="CW724" s="7"/>
      <c r="CX724" s="8">
        <f t="shared" ref="CX724:CX726" si="3308">SUM(CS724:CW724)</f>
        <v>0</v>
      </c>
      <c r="CZ724" s="6"/>
      <c r="DA724" s="7"/>
      <c r="DB724" s="7"/>
      <c r="DC724" s="7"/>
      <c r="DD724" s="7"/>
      <c r="DE724" s="8">
        <f t="shared" ref="DE724:DE726" si="3309">SUM(CZ724:DD724)</f>
        <v>0</v>
      </c>
    </row>
    <row r="725" spans="3:109">
      <c r="C725" s="567"/>
      <c r="E725" s="14" t="s">
        <v>61</v>
      </c>
      <c r="F725" s="23">
        <f t="shared" si="3304"/>
        <v>0</v>
      </c>
      <c r="G725" s="24">
        <f t="shared" si="3295"/>
        <v>0</v>
      </c>
      <c r="H725" s="24">
        <f t="shared" si="3296"/>
        <v>0</v>
      </c>
      <c r="I725" s="24">
        <f t="shared" si="3297"/>
        <v>0</v>
      </c>
      <c r="J725" s="24">
        <f t="shared" si="3298"/>
        <v>0</v>
      </c>
      <c r="K725" s="8">
        <f t="shared" si="3305"/>
        <v>0</v>
      </c>
      <c r="M725" s="6"/>
      <c r="N725" s="7"/>
      <c r="O725" s="7"/>
      <c r="P725" s="7"/>
      <c r="Q725" s="7"/>
      <c r="R725" s="8">
        <f t="shared" si="3306"/>
        <v>0</v>
      </c>
      <c r="T725" s="6"/>
      <c r="U725" s="7"/>
      <c r="V725" s="7"/>
      <c r="W725" s="7"/>
      <c r="X725" s="7"/>
      <c r="Y725" s="8">
        <f t="shared" si="3307"/>
        <v>0</v>
      </c>
      <c r="AA725" s="6"/>
      <c r="AB725" s="7"/>
      <c r="AC725" s="7"/>
      <c r="AD725" s="7"/>
      <c r="AE725" s="7"/>
      <c r="AF725" s="8">
        <f>SUM(AA725:AE725)</f>
        <v>0</v>
      </c>
      <c r="AH725" s="6"/>
      <c r="AI725" s="7"/>
      <c r="AJ725" s="7"/>
      <c r="AK725" s="7"/>
      <c r="AL725" s="7"/>
      <c r="AM725" s="8">
        <f>SUM(AH725:AL725)</f>
        <v>0</v>
      </c>
      <c r="AO725" s="6"/>
      <c r="AP725" s="7"/>
      <c r="AQ725" s="7"/>
      <c r="AR725" s="7"/>
      <c r="AS725" s="7"/>
      <c r="AT725" s="8">
        <f>SUM(AO725:AS725)</f>
        <v>0</v>
      </c>
      <c r="AV725" s="6"/>
      <c r="AW725" s="7"/>
      <c r="AX725" s="7"/>
      <c r="AY725" s="7"/>
      <c r="AZ725" s="7"/>
      <c r="BA725" s="8">
        <f>SUM(AV725:AZ725)</f>
        <v>0</v>
      </c>
      <c r="BC725" s="6"/>
      <c r="BD725" s="7"/>
      <c r="BE725" s="7"/>
      <c r="BF725" s="7"/>
      <c r="BG725" s="7"/>
      <c r="BH725" s="8">
        <f>SUM(BC725:BG725)</f>
        <v>0</v>
      </c>
      <c r="BJ725" s="6"/>
      <c r="BK725" s="7"/>
      <c r="BL725" s="7"/>
      <c r="BM725" s="7"/>
      <c r="BN725" s="7"/>
      <c r="BO725" s="8">
        <f>SUM(BJ725:BN725)</f>
        <v>0</v>
      </c>
      <c r="BQ725" s="6"/>
      <c r="BR725" s="7"/>
      <c r="BS725" s="7"/>
      <c r="BT725" s="7"/>
      <c r="BU725" s="7"/>
      <c r="BV725" s="8">
        <f>SUM(BQ725:BU725)</f>
        <v>0</v>
      </c>
      <c r="BX725" s="6"/>
      <c r="BY725" s="7"/>
      <c r="BZ725" s="7"/>
      <c r="CA725" s="7"/>
      <c r="CB725" s="7"/>
      <c r="CC725" s="8">
        <f>SUM(BX725:CB725)</f>
        <v>0</v>
      </c>
      <c r="CE725" s="28">
        <f t="shared" si="3299"/>
        <v>0</v>
      </c>
      <c r="CF725" s="29">
        <f t="shared" si="3300"/>
        <v>0</v>
      </c>
      <c r="CG725" s="29">
        <f t="shared" si="3301"/>
        <v>0</v>
      </c>
      <c r="CH725" s="29">
        <f t="shared" si="3302"/>
        <v>0</v>
      </c>
      <c r="CI725" s="29">
        <f t="shared" si="3303"/>
        <v>0</v>
      </c>
      <c r="CJ725" s="8">
        <f>SUM(CE725:CI725)</f>
        <v>0</v>
      </c>
      <c r="CL725" s="6"/>
      <c r="CM725" s="7"/>
      <c r="CN725" s="7"/>
      <c r="CO725" s="7"/>
      <c r="CP725" s="7"/>
      <c r="CQ725" s="8">
        <f>SUM(CL725:CP725)</f>
        <v>0</v>
      </c>
      <c r="CS725" s="6"/>
      <c r="CT725" s="7"/>
      <c r="CU725" s="7"/>
      <c r="CV725" s="7"/>
      <c r="CW725" s="7"/>
      <c r="CX725" s="8">
        <f t="shared" si="3308"/>
        <v>0</v>
      </c>
      <c r="CZ725" s="6"/>
      <c r="DA725" s="7"/>
      <c r="DB725" s="7"/>
      <c r="DC725" s="7"/>
      <c r="DD725" s="7"/>
      <c r="DE725" s="8">
        <f t="shared" si="3309"/>
        <v>0</v>
      </c>
    </row>
    <row r="726" spans="3:109" ht="14" thickBot="1">
      <c r="C726" s="567"/>
      <c r="E726" s="14" t="s">
        <v>62</v>
      </c>
      <c r="F726" s="23">
        <f t="shared" si="3304"/>
        <v>0</v>
      </c>
      <c r="G726" s="24">
        <f t="shared" si="3295"/>
        <v>0</v>
      </c>
      <c r="H726" s="24">
        <f t="shared" si="3296"/>
        <v>0</v>
      </c>
      <c r="I726" s="24">
        <f t="shared" si="3297"/>
        <v>0</v>
      </c>
      <c r="J726" s="24">
        <f t="shared" si="3298"/>
        <v>0</v>
      </c>
      <c r="K726" s="8">
        <f t="shared" si="3305"/>
        <v>0</v>
      </c>
      <c r="M726" s="6"/>
      <c r="N726" s="7"/>
      <c r="O726" s="7"/>
      <c r="P726" s="7"/>
      <c r="Q726" s="7"/>
      <c r="R726" s="8">
        <f t="shared" si="3306"/>
        <v>0</v>
      </c>
      <c r="T726" s="6"/>
      <c r="U726" s="7"/>
      <c r="V726" s="7"/>
      <c r="W726" s="7"/>
      <c r="X726" s="7"/>
      <c r="Y726" s="8">
        <f t="shared" si="3307"/>
        <v>0</v>
      </c>
      <c r="AA726" s="6"/>
      <c r="AB726" s="7"/>
      <c r="AC726" s="7"/>
      <c r="AD726" s="7"/>
      <c r="AE726" s="7"/>
      <c r="AF726" s="8">
        <f>SUM(AA726:AE726)</f>
        <v>0</v>
      </c>
      <c r="AH726" s="6"/>
      <c r="AI726" s="7"/>
      <c r="AJ726" s="7"/>
      <c r="AK726" s="7"/>
      <c r="AL726" s="7"/>
      <c r="AM726" s="8">
        <f>SUM(AH726:AL726)</f>
        <v>0</v>
      </c>
      <c r="AO726" s="6"/>
      <c r="AP726" s="7"/>
      <c r="AQ726" s="7"/>
      <c r="AR726" s="7"/>
      <c r="AS726" s="7"/>
      <c r="AT726" s="8">
        <f>SUM(AO726:AS726)</f>
        <v>0</v>
      </c>
      <c r="AV726" s="6"/>
      <c r="AW726" s="7"/>
      <c r="AX726" s="7"/>
      <c r="AY726" s="7"/>
      <c r="AZ726" s="7"/>
      <c r="BA726" s="8">
        <f>SUM(AV726:AZ726)</f>
        <v>0</v>
      </c>
      <c r="BC726" s="6"/>
      <c r="BD726" s="7"/>
      <c r="BE726" s="7"/>
      <c r="BF726" s="7"/>
      <c r="BG726" s="7"/>
      <c r="BH726" s="8">
        <f>SUM(BC726:BG726)</f>
        <v>0</v>
      </c>
      <c r="BJ726" s="6"/>
      <c r="BK726" s="7"/>
      <c r="BL726" s="7"/>
      <c r="BM726" s="7"/>
      <c r="BN726" s="7"/>
      <c r="BO726" s="8">
        <f>SUM(BJ726:BN726)</f>
        <v>0</v>
      </c>
      <c r="BQ726" s="6"/>
      <c r="BR726" s="7"/>
      <c r="BS726" s="7"/>
      <c r="BT726" s="7"/>
      <c r="BU726" s="7"/>
      <c r="BV726" s="8">
        <f>SUM(BQ726:BU726)</f>
        <v>0</v>
      </c>
      <c r="BX726" s="6"/>
      <c r="BY726" s="7"/>
      <c r="BZ726" s="7"/>
      <c r="CA726" s="7"/>
      <c r="CB726" s="7"/>
      <c r="CC726" s="8">
        <f>SUM(BX726:CB726)</f>
        <v>0</v>
      </c>
      <c r="CE726" s="493">
        <f t="shared" si="3299"/>
        <v>0</v>
      </c>
      <c r="CF726" s="494">
        <f t="shared" si="3300"/>
        <v>0</v>
      </c>
      <c r="CG726" s="494">
        <f t="shared" si="3301"/>
        <v>0</v>
      </c>
      <c r="CH726" s="494">
        <f t="shared" si="3302"/>
        <v>0</v>
      </c>
      <c r="CI726" s="494">
        <f t="shared" si="3303"/>
        <v>0</v>
      </c>
      <c r="CJ726" s="495">
        <f>SUM(CE726:CI726)</f>
        <v>0</v>
      </c>
      <c r="CL726" s="6"/>
      <c r="CM726" s="7"/>
      <c r="CN726" s="7"/>
      <c r="CO726" s="7"/>
      <c r="CP726" s="7"/>
      <c r="CQ726" s="8">
        <f>SUM(CL726:CP726)</f>
        <v>0</v>
      </c>
      <c r="CS726" s="6"/>
      <c r="CT726" s="7"/>
      <c r="CU726" s="7"/>
      <c r="CV726" s="7"/>
      <c r="CW726" s="7"/>
      <c r="CX726" s="8">
        <f t="shared" si="3308"/>
        <v>0</v>
      </c>
      <c r="CZ726" s="6"/>
      <c r="DA726" s="7"/>
      <c r="DB726" s="7"/>
      <c r="DC726" s="7"/>
      <c r="DD726" s="7"/>
      <c r="DE726" s="8">
        <f t="shared" si="3309"/>
        <v>0</v>
      </c>
    </row>
    <row r="727" spans="3:109" ht="14" thickBot="1">
      <c r="C727" s="554"/>
      <c r="E727" s="17"/>
      <c r="F727" s="10">
        <f>SUM(F723:F726)</f>
        <v>0</v>
      </c>
      <c r="G727" s="11">
        <f t="shared" ref="G727:J727" si="3310">SUM(G723:G726)</f>
        <v>0</v>
      </c>
      <c r="H727" s="11">
        <f t="shared" si="3310"/>
        <v>0</v>
      </c>
      <c r="I727" s="11">
        <f t="shared" si="3310"/>
        <v>0</v>
      </c>
      <c r="J727" s="11">
        <f t="shared" si="3310"/>
        <v>0</v>
      </c>
      <c r="K727" s="25">
        <f>SUM(K723:K726)</f>
        <v>0</v>
      </c>
      <c r="M727" s="10">
        <f>SUM(M723:M726)</f>
        <v>0</v>
      </c>
      <c r="N727" s="11">
        <f t="shared" ref="N727:Q727" si="3311">SUM(N723:N726)</f>
        <v>0</v>
      </c>
      <c r="O727" s="11">
        <f t="shared" si="3311"/>
        <v>0</v>
      </c>
      <c r="P727" s="11">
        <f t="shared" si="3311"/>
        <v>0</v>
      </c>
      <c r="Q727" s="11">
        <f t="shared" si="3311"/>
        <v>0</v>
      </c>
      <c r="R727" s="25">
        <f>SUM(R723:R726)</f>
        <v>0</v>
      </c>
      <c r="T727" s="10">
        <f>SUM(T723:T726)</f>
        <v>0</v>
      </c>
      <c r="U727" s="11">
        <f t="shared" ref="U727:X727" si="3312">SUM(U723:U726)</f>
        <v>0</v>
      </c>
      <c r="V727" s="11">
        <f t="shared" si="3312"/>
        <v>0</v>
      </c>
      <c r="W727" s="11">
        <f t="shared" si="3312"/>
        <v>0</v>
      </c>
      <c r="X727" s="11">
        <f t="shared" si="3312"/>
        <v>0</v>
      </c>
      <c r="Y727" s="25">
        <f>SUM(Y723:Y726)</f>
        <v>0</v>
      </c>
      <c r="AA727" s="10">
        <f>SUM(AA723:AA726)</f>
        <v>0</v>
      </c>
      <c r="AB727" s="11">
        <f t="shared" ref="AB727:AE727" si="3313">SUM(AB723:AB726)</f>
        <v>0</v>
      </c>
      <c r="AC727" s="11">
        <f t="shared" si="3313"/>
        <v>0</v>
      </c>
      <c r="AD727" s="11">
        <f t="shared" si="3313"/>
        <v>0</v>
      </c>
      <c r="AE727" s="11">
        <f t="shared" si="3313"/>
        <v>0</v>
      </c>
      <c r="AF727" s="25">
        <f>SUM(AF723:AF726)</f>
        <v>0</v>
      </c>
      <c r="AH727" s="10">
        <f t="shared" ref="AH727:AM727" si="3314">SUM(AH723:AH726)</f>
        <v>0</v>
      </c>
      <c r="AI727" s="11">
        <f t="shared" si="3314"/>
        <v>0</v>
      </c>
      <c r="AJ727" s="11">
        <f t="shared" si="3314"/>
        <v>0</v>
      </c>
      <c r="AK727" s="11">
        <f t="shared" si="3314"/>
        <v>0</v>
      </c>
      <c r="AL727" s="11">
        <f t="shared" si="3314"/>
        <v>0</v>
      </c>
      <c r="AM727" s="25">
        <f t="shared" si="3314"/>
        <v>0</v>
      </c>
      <c r="AO727" s="10">
        <f t="shared" ref="AO727:AT727" si="3315">SUM(AO723:AO726)</f>
        <v>0</v>
      </c>
      <c r="AP727" s="11">
        <f t="shared" si="3315"/>
        <v>0</v>
      </c>
      <c r="AQ727" s="11">
        <f t="shared" si="3315"/>
        <v>0</v>
      </c>
      <c r="AR727" s="11">
        <f t="shared" si="3315"/>
        <v>0</v>
      </c>
      <c r="AS727" s="11">
        <f t="shared" si="3315"/>
        <v>0</v>
      </c>
      <c r="AT727" s="25">
        <f t="shared" si="3315"/>
        <v>0</v>
      </c>
      <c r="AV727" s="10">
        <f t="shared" ref="AV727:BA727" si="3316">SUM(AV723:AV726)</f>
        <v>0</v>
      </c>
      <c r="AW727" s="11">
        <f t="shared" si="3316"/>
        <v>0</v>
      </c>
      <c r="AX727" s="11">
        <f t="shared" si="3316"/>
        <v>0</v>
      </c>
      <c r="AY727" s="11">
        <f t="shared" si="3316"/>
        <v>0</v>
      </c>
      <c r="AZ727" s="11">
        <f t="shared" si="3316"/>
        <v>0</v>
      </c>
      <c r="BA727" s="25">
        <f t="shared" si="3316"/>
        <v>0</v>
      </c>
      <c r="BC727" s="10">
        <f t="shared" ref="BC727:BH727" si="3317">SUM(BC723:BC726)</f>
        <v>0</v>
      </c>
      <c r="BD727" s="11">
        <f t="shared" si="3317"/>
        <v>0</v>
      </c>
      <c r="BE727" s="11">
        <f t="shared" si="3317"/>
        <v>0</v>
      </c>
      <c r="BF727" s="11">
        <f t="shared" si="3317"/>
        <v>0</v>
      </c>
      <c r="BG727" s="11">
        <f t="shared" si="3317"/>
        <v>0</v>
      </c>
      <c r="BH727" s="25">
        <f t="shared" si="3317"/>
        <v>0</v>
      </c>
      <c r="BJ727" s="10">
        <f t="shared" ref="BJ727:BO727" si="3318">SUM(BJ723:BJ726)</f>
        <v>0</v>
      </c>
      <c r="BK727" s="11">
        <f t="shared" si="3318"/>
        <v>0</v>
      </c>
      <c r="BL727" s="11">
        <f t="shared" si="3318"/>
        <v>0</v>
      </c>
      <c r="BM727" s="11">
        <f t="shared" si="3318"/>
        <v>0</v>
      </c>
      <c r="BN727" s="11">
        <f t="shared" si="3318"/>
        <v>0</v>
      </c>
      <c r="BO727" s="25">
        <f t="shared" si="3318"/>
        <v>0</v>
      </c>
      <c r="BQ727" s="10">
        <f t="shared" ref="BQ727:BV727" si="3319">SUM(BQ723:BQ726)</f>
        <v>0</v>
      </c>
      <c r="BR727" s="11">
        <f t="shared" si="3319"/>
        <v>0</v>
      </c>
      <c r="BS727" s="11">
        <f t="shared" si="3319"/>
        <v>0</v>
      </c>
      <c r="BT727" s="11">
        <f t="shared" si="3319"/>
        <v>0</v>
      </c>
      <c r="BU727" s="11">
        <f t="shared" si="3319"/>
        <v>0</v>
      </c>
      <c r="BV727" s="25">
        <f t="shared" si="3319"/>
        <v>0</v>
      </c>
      <c r="BX727" s="10">
        <f t="shared" ref="BX727:CC727" si="3320">SUM(BX723:BX726)</f>
        <v>0</v>
      </c>
      <c r="BY727" s="11">
        <f t="shared" si="3320"/>
        <v>0</v>
      </c>
      <c r="BZ727" s="11">
        <f t="shared" si="3320"/>
        <v>0</v>
      </c>
      <c r="CA727" s="11">
        <f t="shared" si="3320"/>
        <v>0</v>
      </c>
      <c r="CB727" s="11">
        <f t="shared" si="3320"/>
        <v>0</v>
      </c>
      <c r="CC727" s="25">
        <f t="shared" si="3320"/>
        <v>0</v>
      </c>
      <c r="CE727" s="62">
        <f t="shared" ref="CE727:CJ727" si="3321">SUM(CE723:CE726)</f>
        <v>0</v>
      </c>
      <c r="CF727" s="63">
        <f t="shared" si="3321"/>
        <v>0</v>
      </c>
      <c r="CG727" s="63">
        <f t="shared" si="3321"/>
        <v>0</v>
      </c>
      <c r="CH727" s="63">
        <f t="shared" si="3321"/>
        <v>0</v>
      </c>
      <c r="CI727" s="63">
        <f t="shared" si="3321"/>
        <v>0</v>
      </c>
      <c r="CJ727" s="25">
        <f t="shared" si="3321"/>
        <v>0</v>
      </c>
      <c r="CL727" s="10">
        <f>SUM(CL723:CL726)</f>
        <v>0</v>
      </c>
      <c r="CM727" s="11">
        <f t="shared" ref="CM727:CQ727" si="3322">SUM(CM723:CM726)</f>
        <v>0</v>
      </c>
      <c r="CN727" s="11">
        <f t="shared" si="3322"/>
        <v>0</v>
      </c>
      <c r="CO727" s="11">
        <f t="shared" si="3322"/>
        <v>0</v>
      </c>
      <c r="CP727" s="11">
        <f t="shared" si="3322"/>
        <v>0</v>
      </c>
      <c r="CQ727" s="25">
        <f t="shared" si="3322"/>
        <v>0</v>
      </c>
      <c r="CS727" s="10">
        <f>SUM(CS723:CS726)</f>
        <v>0</v>
      </c>
      <c r="CT727" s="11">
        <f t="shared" ref="CT727:CW727" si="3323">SUM(CT723:CT726)</f>
        <v>0</v>
      </c>
      <c r="CU727" s="11">
        <f t="shared" si="3323"/>
        <v>0</v>
      </c>
      <c r="CV727" s="11">
        <f t="shared" si="3323"/>
        <v>0</v>
      </c>
      <c r="CW727" s="11">
        <f t="shared" si="3323"/>
        <v>0</v>
      </c>
      <c r="CX727" s="25">
        <f>SUM(CX723:CX726)</f>
        <v>0</v>
      </c>
      <c r="CZ727" s="10">
        <f>SUM(CZ723:CZ726)</f>
        <v>0</v>
      </c>
      <c r="DA727" s="11">
        <f t="shared" ref="DA727:DD727" si="3324">SUM(DA723:DA726)</f>
        <v>0</v>
      </c>
      <c r="DB727" s="11">
        <f t="shared" si="3324"/>
        <v>0</v>
      </c>
      <c r="DC727" s="11">
        <f t="shared" si="3324"/>
        <v>0</v>
      </c>
      <c r="DD727" s="11">
        <f t="shared" si="3324"/>
        <v>0</v>
      </c>
      <c r="DE727" s="25">
        <f>SUM(DE723:DE726)</f>
        <v>0</v>
      </c>
    </row>
    <row r="728" spans="3:109" ht="10.4" customHeight="1" thickBot="1"/>
    <row r="729" spans="3:109">
      <c r="C729" s="553">
        <v>2027</v>
      </c>
      <c r="E729" s="13" t="s">
        <v>59</v>
      </c>
      <c r="F729" s="21">
        <f>CE723</f>
        <v>0</v>
      </c>
      <c r="G729" s="22">
        <f t="shared" ref="G729:G732" si="3325">CF723</f>
        <v>0</v>
      </c>
      <c r="H729" s="22">
        <f t="shared" ref="H729:H732" si="3326">CG723</f>
        <v>0</v>
      </c>
      <c r="I729" s="22">
        <f t="shared" ref="I729:I732" si="3327">CH723</f>
        <v>0</v>
      </c>
      <c r="J729" s="22">
        <f t="shared" ref="J729:J732" si="3328">CI723</f>
        <v>0</v>
      </c>
      <c r="K729" s="4">
        <f>SUM(F729:J729)</f>
        <v>0</v>
      </c>
      <c r="M729" s="2"/>
      <c r="N729" s="3"/>
      <c r="O729" s="3"/>
      <c r="P729" s="3"/>
      <c r="Q729" s="3"/>
      <c r="R729" s="4">
        <f>SUM(M729:Q729)</f>
        <v>0</v>
      </c>
      <c r="T729" s="2"/>
      <c r="U729" s="3"/>
      <c r="V729" s="3"/>
      <c r="W729" s="3"/>
      <c r="X729" s="3"/>
      <c r="Y729" s="4">
        <f>SUM(T729:X729)</f>
        <v>0</v>
      </c>
      <c r="AA729" s="2"/>
      <c r="AB729" s="3"/>
      <c r="AC729" s="3"/>
      <c r="AD729" s="3"/>
      <c r="AE729" s="3"/>
      <c r="AF729" s="4">
        <f>SUM(AA729:AE729)</f>
        <v>0</v>
      </c>
      <c r="AH729" s="2"/>
      <c r="AI729" s="3"/>
      <c r="AJ729" s="3"/>
      <c r="AK729" s="3"/>
      <c r="AL729" s="3"/>
      <c r="AM729" s="4">
        <f>SUM(AH729:AL729)</f>
        <v>0</v>
      </c>
      <c r="AO729" s="2"/>
      <c r="AP729" s="3"/>
      <c r="AQ729" s="3"/>
      <c r="AR729" s="3"/>
      <c r="AS729" s="3"/>
      <c r="AT729" s="4">
        <f>SUM(AO729:AS729)</f>
        <v>0</v>
      </c>
      <c r="AV729" s="2"/>
      <c r="AW729" s="3"/>
      <c r="AX729" s="3"/>
      <c r="AY729" s="3"/>
      <c r="AZ729" s="3"/>
      <c r="BA729" s="4">
        <f>SUM(AV729:AZ729)</f>
        <v>0</v>
      </c>
      <c r="BC729" s="2"/>
      <c r="BD729" s="3"/>
      <c r="BE729" s="3"/>
      <c r="BF729" s="3"/>
      <c r="BG729" s="3"/>
      <c r="BH729" s="4">
        <f>SUM(BC729:BG729)</f>
        <v>0</v>
      </c>
      <c r="BJ729" s="2"/>
      <c r="BK729" s="3"/>
      <c r="BL729" s="3"/>
      <c r="BM729" s="3"/>
      <c r="BN729" s="3"/>
      <c r="BO729" s="4">
        <f>SUM(BJ729:BN729)</f>
        <v>0</v>
      </c>
      <c r="BQ729" s="2"/>
      <c r="BR729" s="3"/>
      <c r="BS729" s="3"/>
      <c r="BT729" s="3"/>
      <c r="BU729" s="3"/>
      <c r="BV729" s="4">
        <f>SUM(BQ729:BU729)</f>
        <v>0</v>
      </c>
      <c r="BX729" s="2"/>
      <c r="BY729" s="3"/>
      <c r="BZ729" s="3"/>
      <c r="CA729" s="3"/>
      <c r="CB729" s="3"/>
      <c r="CC729" s="4">
        <f>SUM(BX729:CB729)</f>
        <v>0</v>
      </c>
      <c r="CE729" s="26">
        <f t="shared" ref="CE729:CE732" si="3329">F729+M729+T729+AA729+AH729+AO729+AV729+BC729+BJ729+BQ729+BX729</f>
        <v>0</v>
      </c>
      <c r="CF729" s="27">
        <f t="shared" ref="CF729:CF732" si="3330">G729+N729+U729+AB729+AI729+AP729+AW729+BD729+BK729+BR729+BY729</f>
        <v>0</v>
      </c>
      <c r="CG729" s="27">
        <f t="shared" ref="CG729:CG732" si="3331">H729+O729+V729+AC729+AJ729+AQ729+AX729+BE729+BL729+BS729+BZ729</f>
        <v>0</v>
      </c>
      <c r="CH729" s="27">
        <f t="shared" ref="CH729:CH732" si="3332">I729+P729+W729+AD729+AK729+AR729+AY729+BF729+BM729+BT729+CA729</f>
        <v>0</v>
      </c>
      <c r="CI729" s="27">
        <f t="shared" ref="CI729:CI732" si="3333">J729+Q729+X729+AE729+AL729+AS729+AZ729+BG729+BN729+BU729+CB729</f>
        <v>0</v>
      </c>
      <c r="CJ729" s="4">
        <f>SUM(CE729:CI729)</f>
        <v>0</v>
      </c>
      <c r="CL729" s="2"/>
      <c r="CM729" s="3"/>
      <c r="CN729" s="3"/>
      <c r="CO729" s="3"/>
      <c r="CP729" s="3"/>
      <c r="CQ729" s="4">
        <f>SUM(CL729:CP729)</f>
        <v>0</v>
      </c>
      <c r="CS729" s="2"/>
      <c r="CT729" s="3"/>
      <c r="CU729" s="3"/>
      <c r="CV729" s="3"/>
      <c r="CW729" s="3"/>
      <c r="CX729" s="4">
        <f>SUM(CS729:CW729)</f>
        <v>0</v>
      </c>
      <c r="CZ729" s="2"/>
      <c r="DA729" s="3"/>
      <c r="DB729" s="3"/>
      <c r="DC729" s="3"/>
      <c r="DD729" s="3"/>
      <c r="DE729" s="4">
        <f>SUM(CZ729:DD729)</f>
        <v>0</v>
      </c>
    </row>
    <row r="730" spans="3:109">
      <c r="C730" s="567"/>
      <c r="E730" s="14" t="s">
        <v>60</v>
      </c>
      <c r="F730" s="23">
        <f t="shared" ref="F730:F732" si="3334">CE724</f>
        <v>0</v>
      </c>
      <c r="G730" s="24">
        <f t="shared" si="3325"/>
        <v>0</v>
      </c>
      <c r="H730" s="24">
        <f t="shared" si="3326"/>
        <v>0</v>
      </c>
      <c r="I730" s="24">
        <f t="shared" si="3327"/>
        <v>0</v>
      </c>
      <c r="J730" s="24">
        <f t="shared" si="3328"/>
        <v>0</v>
      </c>
      <c r="K730" s="8">
        <f t="shared" ref="K730:K732" si="3335">SUM(F730:J730)</f>
        <v>0</v>
      </c>
      <c r="M730" s="6"/>
      <c r="N730" s="7"/>
      <c r="O730" s="7"/>
      <c r="P730" s="7"/>
      <c r="Q730" s="7"/>
      <c r="R730" s="8">
        <f t="shared" ref="R730:R732" si="3336">SUM(M730:Q730)</f>
        <v>0</v>
      </c>
      <c r="T730" s="6"/>
      <c r="U730" s="7"/>
      <c r="V730" s="7"/>
      <c r="W730" s="7"/>
      <c r="X730" s="7"/>
      <c r="Y730" s="8">
        <f t="shared" ref="Y730:Y732" si="3337">SUM(T730:X730)</f>
        <v>0</v>
      </c>
      <c r="AA730" s="6"/>
      <c r="AB730" s="7"/>
      <c r="AC730" s="7"/>
      <c r="AD730" s="7"/>
      <c r="AE730" s="7"/>
      <c r="AF730" s="8">
        <f>SUM(AA730:AE730)</f>
        <v>0</v>
      </c>
      <c r="AH730" s="6"/>
      <c r="AI730" s="7"/>
      <c r="AJ730" s="7"/>
      <c r="AK730" s="7"/>
      <c r="AL730" s="7"/>
      <c r="AM730" s="8">
        <f>SUM(AH730:AL730)</f>
        <v>0</v>
      </c>
      <c r="AO730" s="6"/>
      <c r="AP730" s="7"/>
      <c r="AQ730" s="7"/>
      <c r="AR730" s="7"/>
      <c r="AS730" s="7"/>
      <c r="AT730" s="8">
        <f>SUM(AO730:AS730)</f>
        <v>0</v>
      </c>
      <c r="AV730" s="6"/>
      <c r="AW730" s="7"/>
      <c r="AX730" s="7"/>
      <c r="AY730" s="7"/>
      <c r="AZ730" s="7"/>
      <c r="BA730" s="8">
        <f>SUM(AV730:AZ730)</f>
        <v>0</v>
      </c>
      <c r="BC730" s="6"/>
      <c r="BD730" s="7"/>
      <c r="BE730" s="7"/>
      <c r="BF730" s="7"/>
      <c r="BG730" s="7"/>
      <c r="BH730" s="8">
        <f>SUM(BC730:BG730)</f>
        <v>0</v>
      </c>
      <c r="BJ730" s="6"/>
      <c r="BK730" s="7"/>
      <c r="BL730" s="7"/>
      <c r="BM730" s="7"/>
      <c r="BN730" s="7"/>
      <c r="BO730" s="8">
        <f>SUM(BJ730:BN730)</f>
        <v>0</v>
      </c>
      <c r="BQ730" s="6"/>
      <c r="BR730" s="7"/>
      <c r="BS730" s="7"/>
      <c r="BT730" s="7"/>
      <c r="BU730" s="7"/>
      <c r="BV730" s="8">
        <f>SUM(BQ730:BU730)</f>
        <v>0</v>
      </c>
      <c r="BX730" s="6"/>
      <c r="BY730" s="7"/>
      <c r="BZ730" s="7"/>
      <c r="CA730" s="7"/>
      <c r="CB730" s="7"/>
      <c r="CC730" s="8">
        <f>SUM(BX730:CB730)</f>
        <v>0</v>
      </c>
      <c r="CE730" s="28">
        <f t="shared" si="3329"/>
        <v>0</v>
      </c>
      <c r="CF730" s="29">
        <f t="shared" si="3330"/>
        <v>0</v>
      </c>
      <c r="CG730" s="29">
        <f t="shared" si="3331"/>
        <v>0</v>
      </c>
      <c r="CH730" s="29">
        <f t="shared" si="3332"/>
        <v>0</v>
      </c>
      <c r="CI730" s="29">
        <f t="shared" si="3333"/>
        <v>0</v>
      </c>
      <c r="CJ730" s="8">
        <f>SUM(CE730:CI730)</f>
        <v>0</v>
      </c>
      <c r="CL730" s="6"/>
      <c r="CM730" s="7"/>
      <c r="CN730" s="7"/>
      <c r="CO730" s="7"/>
      <c r="CP730" s="7"/>
      <c r="CQ730" s="8">
        <f>SUM(CL730:CP730)</f>
        <v>0</v>
      </c>
      <c r="CS730" s="6"/>
      <c r="CT730" s="7"/>
      <c r="CU730" s="7"/>
      <c r="CV730" s="7"/>
      <c r="CW730" s="7"/>
      <c r="CX730" s="8">
        <f t="shared" ref="CX730:CX732" si="3338">SUM(CS730:CW730)</f>
        <v>0</v>
      </c>
      <c r="CZ730" s="6"/>
      <c r="DA730" s="7"/>
      <c r="DB730" s="7"/>
      <c r="DC730" s="7"/>
      <c r="DD730" s="7"/>
      <c r="DE730" s="8">
        <f t="shared" ref="DE730:DE732" si="3339">SUM(CZ730:DD730)</f>
        <v>0</v>
      </c>
    </row>
    <row r="731" spans="3:109">
      <c r="C731" s="567"/>
      <c r="E731" s="14" t="s">
        <v>61</v>
      </c>
      <c r="F731" s="23">
        <f t="shared" si="3334"/>
        <v>0</v>
      </c>
      <c r="G731" s="24">
        <f t="shared" si="3325"/>
        <v>0</v>
      </c>
      <c r="H731" s="24">
        <f t="shared" si="3326"/>
        <v>0</v>
      </c>
      <c r="I731" s="24">
        <f t="shared" si="3327"/>
        <v>0</v>
      </c>
      <c r="J731" s="24">
        <f t="shared" si="3328"/>
        <v>0</v>
      </c>
      <c r="K731" s="8">
        <f t="shared" si="3335"/>
        <v>0</v>
      </c>
      <c r="M731" s="6"/>
      <c r="N731" s="7"/>
      <c r="O731" s="7"/>
      <c r="P731" s="7"/>
      <c r="Q731" s="7"/>
      <c r="R731" s="8">
        <f t="shared" si="3336"/>
        <v>0</v>
      </c>
      <c r="T731" s="6"/>
      <c r="U731" s="7"/>
      <c r="V731" s="7"/>
      <c r="W731" s="7"/>
      <c r="X731" s="7"/>
      <c r="Y731" s="8">
        <f t="shared" si="3337"/>
        <v>0</v>
      </c>
      <c r="AA731" s="6"/>
      <c r="AB731" s="7"/>
      <c r="AC731" s="7"/>
      <c r="AD731" s="7"/>
      <c r="AE731" s="7"/>
      <c r="AF731" s="8">
        <f>SUM(AA731:AE731)</f>
        <v>0</v>
      </c>
      <c r="AH731" s="6"/>
      <c r="AI731" s="7"/>
      <c r="AJ731" s="7"/>
      <c r="AK731" s="7"/>
      <c r="AL731" s="7"/>
      <c r="AM731" s="8">
        <f>SUM(AH731:AL731)</f>
        <v>0</v>
      </c>
      <c r="AO731" s="6"/>
      <c r="AP731" s="7"/>
      <c r="AQ731" s="7"/>
      <c r="AR731" s="7"/>
      <c r="AS731" s="7"/>
      <c r="AT731" s="8">
        <f>SUM(AO731:AS731)</f>
        <v>0</v>
      </c>
      <c r="AV731" s="6"/>
      <c r="AW731" s="7"/>
      <c r="AX731" s="7"/>
      <c r="AY731" s="7"/>
      <c r="AZ731" s="7"/>
      <c r="BA731" s="8">
        <f>SUM(AV731:AZ731)</f>
        <v>0</v>
      </c>
      <c r="BC731" s="6"/>
      <c r="BD731" s="7"/>
      <c r="BE731" s="7"/>
      <c r="BF731" s="7"/>
      <c r="BG731" s="7"/>
      <c r="BH731" s="8">
        <f>SUM(BC731:BG731)</f>
        <v>0</v>
      </c>
      <c r="BJ731" s="6"/>
      <c r="BK731" s="7"/>
      <c r="BL731" s="7"/>
      <c r="BM731" s="7"/>
      <c r="BN731" s="7"/>
      <c r="BO731" s="8">
        <f>SUM(BJ731:BN731)</f>
        <v>0</v>
      </c>
      <c r="BQ731" s="6"/>
      <c r="BR731" s="7"/>
      <c r="BS731" s="7"/>
      <c r="BT731" s="7"/>
      <c r="BU731" s="7"/>
      <c r="BV731" s="8">
        <f>SUM(BQ731:BU731)</f>
        <v>0</v>
      </c>
      <c r="BX731" s="6"/>
      <c r="BY731" s="7"/>
      <c r="BZ731" s="7"/>
      <c r="CA731" s="7"/>
      <c r="CB731" s="7"/>
      <c r="CC731" s="8">
        <f>SUM(BX731:CB731)</f>
        <v>0</v>
      </c>
      <c r="CE731" s="28">
        <f t="shared" si="3329"/>
        <v>0</v>
      </c>
      <c r="CF731" s="29">
        <f t="shared" si="3330"/>
        <v>0</v>
      </c>
      <c r="CG731" s="29">
        <f t="shared" si="3331"/>
        <v>0</v>
      </c>
      <c r="CH731" s="29">
        <f t="shared" si="3332"/>
        <v>0</v>
      </c>
      <c r="CI731" s="29">
        <f t="shared" si="3333"/>
        <v>0</v>
      </c>
      <c r="CJ731" s="8">
        <f>SUM(CE731:CI731)</f>
        <v>0</v>
      </c>
      <c r="CL731" s="6"/>
      <c r="CM731" s="7"/>
      <c r="CN731" s="7"/>
      <c r="CO731" s="7"/>
      <c r="CP731" s="7"/>
      <c r="CQ731" s="8">
        <f>SUM(CL731:CP731)</f>
        <v>0</v>
      </c>
      <c r="CS731" s="6"/>
      <c r="CT731" s="7"/>
      <c r="CU731" s="7"/>
      <c r="CV731" s="7"/>
      <c r="CW731" s="7"/>
      <c r="CX731" s="8">
        <f t="shared" si="3338"/>
        <v>0</v>
      </c>
      <c r="CZ731" s="6"/>
      <c r="DA731" s="7"/>
      <c r="DB731" s="7"/>
      <c r="DC731" s="7"/>
      <c r="DD731" s="7"/>
      <c r="DE731" s="8">
        <f t="shared" si="3339"/>
        <v>0</v>
      </c>
    </row>
    <row r="732" spans="3:109" ht="14" thickBot="1">
      <c r="C732" s="567"/>
      <c r="E732" s="14" t="s">
        <v>62</v>
      </c>
      <c r="F732" s="23">
        <f t="shared" si="3334"/>
        <v>0</v>
      </c>
      <c r="G732" s="24">
        <f t="shared" si="3325"/>
        <v>0</v>
      </c>
      <c r="H732" s="24">
        <f t="shared" si="3326"/>
        <v>0</v>
      </c>
      <c r="I732" s="24">
        <f t="shared" si="3327"/>
        <v>0</v>
      </c>
      <c r="J732" s="24">
        <f t="shared" si="3328"/>
        <v>0</v>
      </c>
      <c r="K732" s="8">
        <f t="shared" si="3335"/>
        <v>0</v>
      </c>
      <c r="M732" s="6"/>
      <c r="N732" s="7"/>
      <c r="O732" s="7"/>
      <c r="P732" s="7"/>
      <c r="Q732" s="7"/>
      <c r="R732" s="8">
        <f t="shared" si="3336"/>
        <v>0</v>
      </c>
      <c r="T732" s="6"/>
      <c r="U732" s="7"/>
      <c r="V732" s="7"/>
      <c r="W732" s="7"/>
      <c r="X732" s="7"/>
      <c r="Y732" s="8">
        <f t="shared" si="3337"/>
        <v>0</v>
      </c>
      <c r="AA732" s="6"/>
      <c r="AB732" s="7"/>
      <c r="AC732" s="7"/>
      <c r="AD732" s="7"/>
      <c r="AE732" s="7"/>
      <c r="AF732" s="8">
        <f>SUM(AA732:AE732)</f>
        <v>0</v>
      </c>
      <c r="AH732" s="6"/>
      <c r="AI732" s="7"/>
      <c r="AJ732" s="7"/>
      <c r="AK732" s="7"/>
      <c r="AL732" s="7"/>
      <c r="AM732" s="8">
        <f>SUM(AH732:AL732)</f>
        <v>0</v>
      </c>
      <c r="AO732" s="6"/>
      <c r="AP732" s="7"/>
      <c r="AQ732" s="7"/>
      <c r="AR732" s="7"/>
      <c r="AS732" s="7"/>
      <c r="AT732" s="8">
        <f>SUM(AO732:AS732)</f>
        <v>0</v>
      </c>
      <c r="AV732" s="6"/>
      <c r="AW732" s="7"/>
      <c r="AX732" s="7"/>
      <c r="AY732" s="7"/>
      <c r="AZ732" s="7"/>
      <c r="BA732" s="8">
        <f>SUM(AV732:AZ732)</f>
        <v>0</v>
      </c>
      <c r="BC732" s="6"/>
      <c r="BD732" s="7"/>
      <c r="BE732" s="7"/>
      <c r="BF732" s="7"/>
      <c r="BG732" s="7"/>
      <c r="BH732" s="8">
        <f>SUM(BC732:BG732)</f>
        <v>0</v>
      </c>
      <c r="BJ732" s="6"/>
      <c r="BK732" s="7"/>
      <c r="BL732" s="7"/>
      <c r="BM732" s="7"/>
      <c r="BN732" s="7"/>
      <c r="BO732" s="8">
        <f>SUM(BJ732:BN732)</f>
        <v>0</v>
      </c>
      <c r="BQ732" s="6"/>
      <c r="BR732" s="7"/>
      <c r="BS732" s="7"/>
      <c r="BT732" s="7"/>
      <c r="BU732" s="7"/>
      <c r="BV732" s="8">
        <f>SUM(BQ732:BU732)</f>
        <v>0</v>
      </c>
      <c r="BX732" s="6"/>
      <c r="BY732" s="7"/>
      <c r="BZ732" s="7"/>
      <c r="CA732" s="7"/>
      <c r="CB732" s="7"/>
      <c r="CC732" s="8">
        <f>SUM(BX732:CB732)</f>
        <v>0</v>
      </c>
      <c r="CE732" s="493">
        <f t="shared" si="3329"/>
        <v>0</v>
      </c>
      <c r="CF732" s="494">
        <f t="shared" si="3330"/>
        <v>0</v>
      </c>
      <c r="CG732" s="494">
        <f t="shared" si="3331"/>
        <v>0</v>
      </c>
      <c r="CH732" s="494">
        <f t="shared" si="3332"/>
        <v>0</v>
      </c>
      <c r="CI732" s="494">
        <f t="shared" si="3333"/>
        <v>0</v>
      </c>
      <c r="CJ732" s="495">
        <f>SUM(CE732:CI732)</f>
        <v>0</v>
      </c>
      <c r="CL732" s="6"/>
      <c r="CM732" s="7"/>
      <c r="CN732" s="7"/>
      <c r="CO732" s="7"/>
      <c r="CP732" s="7"/>
      <c r="CQ732" s="8">
        <f>SUM(CL732:CP732)</f>
        <v>0</v>
      </c>
      <c r="CS732" s="6"/>
      <c r="CT732" s="7"/>
      <c r="CU732" s="7"/>
      <c r="CV732" s="7"/>
      <c r="CW732" s="7"/>
      <c r="CX732" s="8">
        <f t="shared" si="3338"/>
        <v>0</v>
      </c>
      <c r="CZ732" s="6"/>
      <c r="DA732" s="7"/>
      <c r="DB732" s="7"/>
      <c r="DC732" s="7"/>
      <c r="DD732" s="7"/>
      <c r="DE732" s="8">
        <f t="shared" si="3339"/>
        <v>0</v>
      </c>
    </row>
    <row r="733" spans="3:109" ht="14" thickBot="1">
      <c r="C733" s="554"/>
      <c r="E733" s="17"/>
      <c r="F733" s="10">
        <f>SUM(F729:F732)</f>
        <v>0</v>
      </c>
      <c r="G733" s="11">
        <f t="shared" ref="G733:J733" si="3340">SUM(G729:G732)</f>
        <v>0</v>
      </c>
      <c r="H733" s="11">
        <f t="shared" si="3340"/>
        <v>0</v>
      </c>
      <c r="I733" s="11">
        <f t="shared" si="3340"/>
        <v>0</v>
      </c>
      <c r="J733" s="11">
        <f t="shared" si="3340"/>
        <v>0</v>
      </c>
      <c r="K733" s="25">
        <f>SUM(K729:K732)</f>
        <v>0</v>
      </c>
      <c r="M733" s="10">
        <f>SUM(M729:M732)</f>
        <v>0</v>
      </c>
      <c r="N733" s="11">
        <f t="shared" ref="N733:Q733" si="3341">SUM(N729:N732)</f>
        <v>0</v>
      </c>
      <c r="O733" s="11">
        <f t="shared" si="3341"/>
        <v>0</v>
      </c>
      <c r="P733" s="11">
        <f t="shared" si="3341"/>
        <v>0</v>
      </c>
      <c r="Q733" s="11">
        <f t="shared" si="3341"/>
        <v>0</v>
      </c>
      <c r="R733" s="25">
        <f>SUM(R729:R732)</f>
        <v>0</v>
      </c>
      <c r="T733" s="10">
        <f>SUM(T729:T732)</f>
        <v>0</v>
      </c>
      <c r="U733" s="11">
        <f t="shared" ref="U733:X733" si="3342">SUM(U729:U732)</f>
        <v>0</v>
      </c>
      <c r="V733" s="11">
        <f t="shared" si="3342"/>
        <v>0</v>
      </c>
      <c r="W733" s="11">
        <f t="shared" si="3342"/>
        <v>0</v>
      </c>
      <c r="X733" s="11">
        <f t="shared" si="3342"/>
        <v>0</v>
      </c>
      <c r="Y733" s="25">
        <f>SUM(Y729:Y732)</f>
        <v>0</v>
      </c>
      <c r="AA733" s="10">
        <f>SUM(AA729:AA732)</f>
        <v>0</v>
      </c>
      <c r="AB733" s="11">
        <f t="shared" ref="AB733:AE733" si="3343">SUM(AB729:AB732)</f>
        <v>0</v>
      </c>
      <c r="AC733" s="11">
        <f t="shared" si="3343"/>
        <v>0</v>
      </c>
      <c r="AD733" s="11">
        <f t="shared" si="3343"/>
        <v>0</v>
      </c>
      <c r="AE733" s="11">
        <f t="shared" si="3343"/>
        <v>0</v>
      </c>
      <c r="AF733" s="25">
        <f>SUM(AF729:AF732)</f>
        <v>0</v>
      </c>
      <c r="AH733" s="10">
        <f t="shared" ref="AH733:AM733" si="3344">SUM(AH729:AH732)</f>
        <v>0</v>
      </c>
      <c r="AI733" s="11">
        <f t="shared" si="3344"/>
        <v>0</v>
      </c>
      <c r="AJ733" s="11">
        <f t="shared" si="3344"/>
        <v>0</v>
      </c>
      <c r="AK733" s="11">
        <f t="shared" si="3344"/>
        <v>0</v>
      </c>
      <c r="AL733" s="11">
        <f t="shared" si="3344"/>
        <v>0</v>
      </c>
      <c r="AM733" s="25">
        <f t="shared" si="3344"/>
        <v>0</v>
      </c>
      <c r="AO733" s="10">
        <f t="shared" ref="AO733:AT733" si="3345">SUM(AO729:AO732)</f>
        <v>0</v>
      </c>
      <c r="AP733" s="11">
        <f t="shared" si="3345"/>
        <v>0</v>
      </c>
      <c r="AQ733" s="11">
        <f t="shared" si="3345"/>
        <v>0</v>
      </c>
      <c r="AR733" s="11">
        <f t="shared" si="3345"/>
        <v>0</v>
      </c>
      <c r="AS733" s="11">
        <f t="shared" si="3345"/>
        <v>0</v>
      </c>
      <c r="AT733" s="25">
        <f t="shared" si="3345"/>
        <v>0</v>
      </c>
      <c r="AV733" s="10">
        <f t="shared" ref="AV733:BA733" si="3346">SUM(AV729:AV732)</f>
        <v>0</v>
      </c>
      <c r="AW733" s="11">
        <f t="shared" si="3346"/>
        <v>0</v>
      </c>
      <c r="AX733" s="11">
        <f t="shared" si="3346"/>
        <v>0</v>
      </c>
      <c r="AY733" s="11">
        <f t="shared" si="3346"/>
        <v>0</v>
      </c>
      <c r="AZ733" s="11">
        <f t="shared" si="3346"/>
        <v>0</v>
      </c>
      <c r="BA733" s="25">
        <f t="shared" si="3346"/>
        <v>0</v>
      </c>
      <c r="BC733" s="10">
        <f t="shared" ref="BC733:BH733" si="3347">SUM(BC729:BC732)</f>
        <v>0</v>
      </c>
      <c r="BD733" s="11">
        <f t="shared" si="3347"/>
        <v>0</v>
      </c>
      <c r="BE733" s="11">
        <f t="shared" si="3347"/>
        <v>0</v>
      </c>
      <c r="BF733" s="11">
        <f t="shared" si="3347"/>
        <v>0</v>
      </c>
      <c r="BG733" s="11">
        <f t="shared" si="3347"/>
        <v>0</v>
      </c>
      <c r="BH733" s="25">
        <f t="shared" si="3347"/>
        <v>0</v>
      </c>
      <c r="BJ733" s="10">
        <f t="shared" ref="BJ733:BO733" si="3348">SUM(BJ729:BJ732)</f>
        <v>0</v>
      </c>
      <c r="BK733" s="11">
        <f t="shared" si="3348"/>
        <v>0</v>
      </c>
      <c r="BL733" s="11">
        <f t="shared" si="3348"/>
        <v>0</v>
      </c>
      <c r="BM733" s="11">
        <f t="shared" si="3348"/>
        <v>0</v>
      </c>
      <c r="BN733" s="11">
        <f t="shared" si="3348"/>
        <v>0</v>
      </c>
      <c r="BO733" s="25">
        <f t="shared" si="3348"/>
        <v>0</v>
      </c>
      <c r="BQ733" s="10">
        <f t="shared" ref="BQ733:BV733" si="3349">SUM(BQ729:BQ732)</f>
        <v>0</v>
      </c>
      <c r="BR733" s="11">
        <f t="shared" si="3349"/>
        <v>0</v>
      </c>
      <c r="BS733" s="11">
        <f t="shared" si="3349"/>
        <v>0</v>
      </c>
      <c r="BT733" s="11">
        <f t="shared" si="3349"/>
        <v>0</v>
      </c>
      <c r="BU733" s="11">
        <f t="shared" si="3349"/>
        <v>0</v>
      </c>
      <c r="BV733" s="25">
        <f t="shared" si="3349"/>
        <v>0</v>
      </c>
      <c r="BX733" s="10">
        <f t="shared" ref="BX733:CC733" si="3350">SUM(BX729:BX732)</f>
        <v>0</v>
      </c>
      <c r="BY733" s="11">
        <f t="shared" si="3350"/>
        <v>0</v>
      </c>
      <c r="BZ733" s="11">
        <f t="shared" si="3350"/>
        <v>0</v>
      </c>
      <c r="CA733" s="11">
        <f t="shared" si="3350"/>
        <v>0</v>
      </c>
      <c r="CB733" s="11">
        <f t="shared" si="3350"/>
        <v>0</v>
      </c>
      <c r="CC733" s="25">
        <f t="shared" si="3350"/>
        <v>0</v>
      </c>
      <c r="CE733" s="62">
        <f t="shared" ref="CE733:CJ733" si="3351">SUM(CE729:CE732)</f>
        <v>0</v>
      </c>
      <c r="CF733" s="63">
        <f t="shared" si="3351"/>
        <v>0</v>
      </c>
      <c r="CG733" s="63">
        <f t="shared" si="3351"/>
        <v>0</v>
      </c>
      <c r="CH733" s="63">
        <f t="shared" si="3351"/>
        <v>0</v>
      </c>
      <c r="CI733" s="63">
        <f t="shared" si="3351"/>
        <v>0</v>
      </c>
      <c r="CJ733" s="25">
        <f t="shared" si="3351"/>
        <v>0</v>
      </c>
      <c r="CL733" s="10">
        <f>SUM(CL729:CL732)</f>
        <v>0</v>
      </c>
      <c r="CM733" s="11">
        <f t="shared" ref="CM733:CQ733" si="3352">SUM(CM729:CM732)</f>
        <v>0</v>
      </c>
      <c r="CN733" s="11">
        <f t="shared" si="3352"/>
        <v>0</v>
      </c>
      <c r="CO733" s="11">
        <f t="shared" si="3352"/>
        <v>0</v>
      </c>
      <c r="CP733" s="11">
        <f t="shared" si="3352"/>
        <v>0</v>
      </c>
      <c r="CQ733" s="25">
        <f t="shared" si="3352"/>
        <v>0</v>
      </c>
      <c r="CS733" s="10">
        <f>SUM(CS729:CS732)</f>
        <v>0</v>
      </c>
      <c r="CT733" s="11">
        <f t="shared" ref="CT733:CW733" si="3353">SUM(CT729:CT732)</f>
        <v>0</v>
      </c>
      <c r="CU733" s="11">
        <f t="shared" si="3353"/>
        <v>0</v>
      </c>
      <c r="CV733" s="11">
        <f t="shared" si="3353"/>
        <v>0</v>
      </c>
      <c r="CW733" s="11">
        <f t="shared" si="3353"/>
        <v>0</v>
      </c>
      <c r="CX733" s="25">
        <f>SUM(CX729:CX732)</f>
        <v>0</v>
      </c>
      <c r="CZ733" s="10">
        <f>SUM(CZ729:CZ732)</f>
        <v>0</v>
      </c>
      <c r="DA733" s="11">
        <f t="shared" ref="DA733:DD733" si="3354">SUM(DA729:DA732)</f>
        <v>0</v>
      </c>
      <c r="DB733" s="11">
        <f t="shared" si="3354"/>
        <v>0</v>
      </c>
      <c r="DC733" s="11">
        <f t="shared" si="3354"/>
        <v>0</v>
      </c>
      <c r="DD733" s="11">
        <f t="shared" si="3354"/>
        <v>0</v>
      </c>
      <c r="DE733" s="25">
        <f>SUM(DE729:DE732)</f>
        <v>0</v>
      </c>
    </row>
    <row r="734" spans="3:109" ht="10.4" customHeight="1" thickBot="1"/>
    <row r="735" spans="3:109">
      <c r="C735" s="553">
        <v>2028</v>
      </c>
      <c r="E735" s="13" t="s">
        <v>59</v>
      </c>
      <c r="F735" s="21">
        <f>CE729</f>
        <v>0</v>
      </c>
      <c r="G735" s="22">
        <f t="shared" ref="G735:G738" si="3355">CF729</f>
        <v>0</v>
      </c>
      <c r="H735" s="22">
        <f t="shared" ref="H735:H738" si="3356">CG729</f>
        <v>0</v>
      </c>
      <c r="I735" s="22">
        <f t="shared" ref="I735:I738" si="3357">CH729</f>
        <v>0</v>
      </c>
      <c r="J735" s="22">
        <f t="shared" ref="J735:J738" si="3358">CI729</f>
        <v>0</v>
      </c>
      <c r="K735" s="4">
        <f>SUM(F735:J735)</f>
        <v>0</v>
      </c>
      <c r="M735" s="2"/>
      <c r="N735" s="3"/>
      <c r="O735" s="3"/>
      <c r="P735" s="3"/>
      <c r="Q735" s="3"/>
      <c r="R735" s="4">
        <f>SUM(M735:Q735)</f>
        <v>0</v>
      </c>
      <c r="T735" s="2"/>
      <c r="U735" s="3"/>
      <c r="V735" s="3"/>
      <c r="W735" s="3"/>
      <c r="X735" s="3"/>
      <c r="Y735" s="4">
        <f>SUM(T735:X735)</f>
        <v>0</v>
      </c>
      <c r="AA735" s="2"/>
      <c r="AB735" s="3"/>
      <c r="AC735" s="3"/>
      <c r="AD735" s="3"/>
      <c r="AE735" s="3"/>
      <c r="AF735" s="4">
        <f>SUM(AA735:AE735)</f>
        <v>0</v>
      </c>
      <c r="AH735" s="2"/>
      <c r="AI735" s="3"/>
      <c r="AJ735" s="3"/>
      <c r="AK735" s="3"/>
      <c r="AL735" s="3"/>
      <c r="AM735" s="4">
        <f>SUM(AH735:AL735)</f>
        <v>0</v>
      </c>
      <c r="AO735" s="2"/>
      <c r="AP735" s="3"/>
      <c r="AQ735" s="3"/>
      <c r="AR735" s="3"/>
      <c r="AS735" s="3"/>
      <c r="AT735" s="4">
        <f>SUM(AO735:AS735)</f>
        <v>0</v>
      </c>
      <c r="AV735" s="2"/>
      <c r="AW735" s="3"/>
      <c r="AX735" s="3"/>
      <c r="AY735" s="3"/>
      <c r="AZ735" s="3"/>
      <c r="BA735" s="4">
        <f>SUM(AV735:AZ735)</f>
        <v>0</v>
      </c>
      <c r="BC735" s="2"/>
      <c r="BD735" s="3"/>
      <c r="BE735" s="3"/>
      <c r="BF735" s="3"/>
      <c r="BG735" s="3"/>
      <c r="BH735" s="4">
        <f>SUM(BC735:BG735)</f>
        <v>0</v>
      </c>
      <c r="BJ735" s="2"/>
      <c r="BK735" s="3"/>
      <c r="BL735" s="3"/>
      <c r="BM735" s="3"/>
      <c r="BN735" s="3"/>
      <c r="BO735" s="4">
        <f>SUM(BJ735:BN735)</f>
        <v>0</v>
      </c>
      <c r="BQ735" s="2"/>
      <c r="BR735" s="3"/>
      <c r="BS735" s="3"/>
      <c r="BT735" s="3"/>
      <c r="BU735" s="3"/>
      <c r="BV735" s="4">
        <f>SUM(BQ735:BU735)</f>
        <v>0</v>
      </c>
      <c r="BX735" s="2"/>
      <c r="BY735" s="3"/>
      <c r="BZ735" s="3"/>
      <c r="CA735" s="3"/>
      <c r="CB735" s="3"/>
      <c r="CC735" s="4">
        <f>SUM(BX735:CB735)</f>
        <v>0</v>
      </c>
      <c r="CE735" s="26">
        <f t="shared" ref="CE735:CE738" si="3359">F735+M735+T735+AA735+AH735+AO735+AV735+BC735+BJ735+BQ735+BX735</f>
        <v>0</v>
      </c>
      <c r="CF735" s="27">
        <f t="shared" ref="CF735:CF738" si="3360">G735+N735+U735+AB735+AI735+AP735+AW735+BD735+BK735+BR735+BY735</f>
        <v>0</v>
      </c>
      <c r="CG735" s="27">
        <f t="shared" ref="CG735:CG738" si="3361">H735+O735+V735+AC735+AJ735+AQ735+AX735+BE735+BL735+BS735+BZ735</f>
        <v>0</v>
      </c>
      <c r="CH735" s="27">
        <f t="shared" ref="CH735:CH738" si="3362">I735+P735+W735+AD735+AK735+AR735+AY735+BF735+BM735+BT735+CA735</f>
        <v>0</v>
      </c>
      <c r="CI735" s="27">
        <f t="shared" ref="CI735:CI738" si="3363">J735+Q735+X735+AE735+AL735+AS735+AZ735+BG735+BN735+BU735+CB735</f>
        <v>0</v>
      </c>
      <c r="CJ735" s="4">
        <f>SUM(CE735:CI735)</f>
        <v>0</v>
      </c>
      <c r="CL735" s="2"/>
      <c r="CM735" s="3"/>
      <c r="CN735" s="3"/>
      <c r="CO735" s="3"/>
      <c r="CP735" s="3"/>
      <c r="CQ735" s="4">
        <f>SUM(CL735:CP735)</f>
        <v>0</v>
      </c>
      <c r="CS735" s="2"/>
      <c r="CT735" s="3"/>
      <c r="CU735" s="3"/>
      <c r="CV735" s="3"/>
      <c r="CW735" s="3"/>
      <c r="CX735" s="4">
        <f>SUM(CS735:CW735)</f>
        <v>0</v>
      </c>
      <c r="CZ735" s="2"/>
      <c r="DA735" s="3"/>
      <c r="DB735" s="3"/>
      <c r="DC735" s="3"/>
      <c r="DD735" s="3"/>
      <c r="DE735" s="4">
        <f>SUM(CZ735:DD735)</f>
        <v>0</v>
      </c>
    </row>
    <row r="736" spans="3:109">
      <c r="C736" s="567"/>
      <c r="E736" s="14" t="s">
        <v>60</v>
      </c>
      <c r="F736" s="23">
        <f t="shared" ref="F736:F738" si="3364">CE730</f>
        <v>0</v>
      </c>
      <c r="G736" s="24">
        <f t="shared" si="3355"/>
        <v>0</v>
      </c>
      <c r="H736" s="24">
        <f t="shared" si="3356"/>
        <v>0</v>
      </c>
      <c r="I736" s="24">
        <f t="shared" si="3357"/>
        <v>0</v>
      </c>
      <c r="J736" s="24">
        <f t="shared" si="3358"/>
        <v>0</v>
      </c>
      <c r="K736" s="8">
        <f t="shared" ref="K736:K738" si="3365">SUM(F736:J736)</f>
        <v>0</v>
      </c>
      <c r="M736" s="6"/>
      <c r="N736" s="7"/>
      <c r="O736" s="7"/>
      <c r="P736" s="7"/>
      <c r="Q736" s="7"/>
      <c r="R736" s="8">
        <f t="shared" ref="R736:R738" si="3366">SUM(M736:Q736)</f>
        <v>0</v>
      </c>
      <c r="T736" s="6"/>
      <c r="U736" s="7"/>
      <c r="V736" s="7"/>
      <c r="W736" s="7"/>
      <c r="X736" s="7"/>
      <c r="Y736" s="8">
        <f t="shared" ref="Y736:Y738" si="3367">SUM(T736:X736)</f>
        <v>0</v>
      </c>
      <c r="AA736" s="6"/>
      <c r="AB736" s="7"/>
      <c r="AC736" s="7"/>
      <c r="AD736" s="7"/>
      <c r="AE736" s="7"/>
      <c r="AF736" s="8">
        <f>SUM(AA736:AE736)</f>
        <v>0</v>
      </c>
      <c r="AH736" s="6"/>
      <c r="AI736" s="7"/>
      <c r="AJ736" s="7"/>
      <c r="AK736" s="7"/>
      <c r="AL736" s="7"/>
      <c r="AM736" s="8">
        <f>SUM(AH736:AL736)</f>
        <v>0</v>
      </c>
      <c r="AO736" s="6"/>
      <c r="AP736" s="7"/>
      <c r="AQ736" s="7"/>
      <c r="AR736" s="7"/>
      <c r="AS736" s="7"/>
      <c r="AT736" s="8">
        <f>SUM(AO736:AS736)</f>
        <v>0</v>
      </c>
      <c r="AV736" s="6"/>
      <c r="AW736" s="7"/>
      <c r="AX736" s="7"/>
      <c r="AY736" s="7"/>
      <c r="AZ736" s="7"/>
      <c r="BA736" s="8">
        <f>SUM(AV736:AZ736)</f>
        <v>0</v>
      </c>
      <c r="BC736" s="6"/>
      <c r="BD736" s="7"/>
      <c r="BE736" s="7"/>
      <c r="BF736" s="7"/>
      <c r="BG736" s="7"/>
      <c r="BH736" s="8">
        <f>SUM(BC736:BG736)</f>
        <v>0</v>
      </c>
      <c r="BJ736" s="6"/>
      <c r="BK736" s="7"/>
      <c r="BL736" s="7"/>
      <c r="BM736" s="7"/>
      <c r="BN736" s="7"/>
      <c r="BO736" s="8">
        <f>SUM(BJ736:BN736)</f>
        <v>0</v>
      </c>
      <c r="BQ736" s="6"/>
      <c r="BR736" s="7"/>
      <c r="BS736" s="7"/>
      <c r="BT736" s="7"/>
      <c r="BU736" s="7"/>
      <c r="BV736" s="8">
        <f>SUM(BQ736:BU736)</f>
        <v>0</v>
      </c>
      <c r="BX736" s="6"/>
      <c r="BY736" s="7"/>
      <c r="BZ736" s="7"/>
      <c r="CA736" s="7"/>
      <c r="CB736" s="7"/>
      <c r="CC736" s="8">
        <f>SUM(BX736:CB736)</f>
        <v>0</v>
      </c>
      <c r="CE736" s="28">
        <f t="shared" si="3359"/>
        <v>0</v>
      </c>
      <c r="CF736" s="29">
        <f t="shared" si="3360"/>
        <v>0</v>
      </c>
      <c r="CG736" s="29">
        <f t="shared" si="3361"/>
        <v>0</v>
      </c>
      <c r="CH736" s="29">
        <f t="shared" si="3362"/>
        <v>0</v>
      </c>
      <c r="CI736" s="29">
        <f t="shared" si="3363"/>
        <v>0</v>
      </c>
      <c r="CJ736" s="8">
        <f>SUM(CE736:CI736)</f>
        <v>0</v>
      </c>
      <c r="CL736" s="6"/>
      <c r="CM736" s="7"/>
      <c r="CN736" s="7"/>
      <c r="CO736" s="7"/>
      <c r="CP736" s="7"/>
      <c r="CQ736" s="8">
        <f>SUM(CL736:CP736)</f>
        <v>0</v>
      </c>
      <c r="CS736" s="6"/>
      <c r="CT736" s="7"/>
      <c r="CU736" s="7"/>
      <c r="CV736" s="7"/>
      <c r="CW736" s="7"/>
      <c r="CX736" s="8">
        <f t="shared" ref="CX736:CX738" si="3368">SUM(CS736:CW736)</f>
        <v>0</v>
      </c>
      <c r="CZ736" s="6"/>
      <c r="DA736" s="7"/>
      <c r="DB736" s="7"/>
      <c r="DC736" s="7"/>
      <c r="DD736" s="7"/>
      <c r="DE736" s="8">
        <f t="shared" ref="DE736:DE738" si="3369">SUM(CZ736:DD736)</f>
        <v>0</v>
      </c>
    </row>
    <row r="737" spans="2:110">
      <c r="C737" s="567"/>
      <c r="E737" s="14" t="s">
        <v>61</v>
      </c>
      <c r="F737" s="23">
        <f t="shared" si="3364"/>
        <v>0</v>
      </c>
      <c r="G737" s="24">
        <f t="shared" si="3355"/>
        <v>0</v>
      </c>
      <c r="H737" s="24">
        <f t="shared" si="3356"/>
        <v>0</v>
      </c>
      <c r="I737" s="24">
        <f t="shared" si="3357"/>
        <v>0</v>
      </c>
      <c r="J737" s="24">
        <f t="shared" si="3358"/>
        <v>0</v>
      </c>
      <c r="K737" s="8">
        <f t="shared" si="3365"/>
        <v>0</v>
      </c>
      <c r="M737" s="6"/>
      <c r="N737" s="7"/>
      <c r="O737" s="7"/>
      <c r="P737" s="7"/>
      <c r="Q737" s="7"/>
      <c r="R737" s="8">
        <f t="shared" si="3366"/>
        <v>0</v>
      </c>
      <c r="T737" s="6"/>
      <c r="U737" s="7"/>
      <c r="V737" s="7"/>
      <c r="W737" s="7"/>
      <c r="X737" s="7"/>
      <c r="Y737" s="8">
        <f t="shared" si="3367"/>
        <v>0</v>
      </c>
      <c r="AA737" s="6"/>
      <c r="AB737" s="7"/>
      <c r="AC737" s="7"/>
      <c r="AD737" s="7"/>
      <c r="AE737" s="7"/>
      <c r="AF737" s="8">
        <f>SUM(AA737:AE737)</f>
        <v>0</v>
      </c>
      <c r="AH737" s="6"/>
      <c r="AI737" s="7"/>
      <c r="AJ737" s="7"/>
      <c r="AK737" s="7"/>
      <c r="AL737" s="7"/>
      <c r="AM737" s="8">
        <f>SUM(AH737:AL737)</f>
        <v>0</v>
      </c>
      <c r="AO737" s="6"/>
      <c r="AP737" s="7"/>
      <c r="AQ737" s="7"/>
      <c r="AR737" s="7"/>
      <c r="AS737" s="7"/>
      <c r="AT737" s="8">
        <f>SUM(AO737:AS737)</f>
        <v>0</v>
      </c>
      <c r="AV737" s="6"/>
      <c r="AW737" s="7"/>
      <c r="AX737" s="7"/>
      <c r="AY737" s="7"/>
      <c r="AZ737" s="7"/>
      <c r="BA737" s="8">
        <f>SUM(AV737:AZ737)</f>
        <v>0</v>
      </c>
      <c r="BC737" s="6"/>
      <c r="BD737" s="7"/>
      <c r="BE737" s="7"/>
      <c r="BF737" s="7"/>
      <c r="BG737" s="7"/>
      <c r="BH737" s="8">
        <f>SUM(BC737:BG737)</f>
        <v>0</v>
      </c>
      <c r="BJ737" s="6"/>
      <c r="BK737" s="7"/>
      <c r="BL737" s="7"/>
      <c r="BM737" s="7"/>
      <c r="BN737" s="7"/>
      <c r="BO737" s="8">
        <f>SUM(BJ737:BN737)</f>
        <v>0</v>
      </c>
      <c r="BQ737" s="6"/>
      <c r="BR737" s="7"/>
      <c r="BS737" s="7"/>
      <c r="BT737" s="7"/>
      <c r="BU737" s="7"/>
      <c r="BV737" s="8">
        <f>SUM(BQ737:BU737)</f>
        <v>0</v>
      </c>
      <c r="BX737" s="6"/>
      <c r="BY737" s="7"/>
      <c r="BZ737" s="7"/>
      <c r="CA737" s="7"/>
      <c r="CB737" s="7"/>
      <c r="CC737" s="8">
        <f>SUM(BX737:CB737)</f>
        <v>0</v>
      </c>
      <c r="CE737" s="28">
        <f t="shared" si="3359"/>
        <v>0</v>
      </c>
      <c r="CF737" s="29">
        <f t="shared" si="3360"/>
        <v>0</v>
      </c>
      <c r="CG737" s="29">
        <f t="shared" si="3361"/>
        <v>0</v>
      </c>
      <c r="CH737" s="29">
        <f t="shared" si="3362"/>
        <v>0</v>
      </c>
      <c r="CI737" s="29">
        <f t="shared" si="3363"/>
        <v>0</v>
      </c>
      <c r="CJ737" s="8">
        <f>SUM(CE737:CI737)</f>
        <v>0</v>
      </c>
      <c r="CL737" s="6"/>
      <c r="CM737" s="7"/>
      <c r="CN737" s="7"/>
      <c r="CO737" s="7"/>
      <c r="CP737" s="7"/>
      <c r="CQ737" s="8">
        <f>SUM(CL737:CP737)</f>
        <v>0</v>
      </c>
      <c r="CS737" s="6"/>
      <c r="CT737" s="7"/>
      <c r="CU737" s="7"/>
      <c r="CV737" s="7"/>
      <c r="CW737" s="7"/>
      <c r="CX737" s="8">
        <f t="shared" si="3368"/>
        <v>0</v>
      </c>
      <c r="CZ737" s="6"/>
      <c r="DA737" s="7"/>
      <c r="DB737" s="7"/>
      <c r="DC737" s="7"/>
      <c r="DD737" s="7"/>
      <c r="DE737" s="8">
        <f t="shared" si="3369"/>
        <v>0</v>
      </c>
    </row>
    <row r="738" spans="2:110" ht="14" thickBot="1">
      <c r="C738" s="567"/>
      <c r="E738" s="14" t="s">
        <v>62</v>
      </c>
      <c r="F738" s="23">
        <f t="shared" si="3364"/>
        <v>0</v>
      </c>
      <c r="G738" s="24">
        <f t="shared" si="3355"/>
        <v>0</v>
      </c>
      <c r="H738" s="24">
        <f t="shared" si="3356"/>
        <v>0</v>
      </c>
      <c r="I738" s="24">
        <f t="shared" si="3357"/>
        <v>0</v>
      </c>
      <c r="J738" s="24">
        <f t="shared" si="3358"/>
        <v>0</v>
      </c>
      <c r="K738" s="8">
        <f t="shared" si="3365"/>
        <v>0</v>
      </c>
      <c r="M738" s="6"/>
      <c r="N738" s="7"/>
      <c r="O738" s="7"/>
      <c r="P738" s="7"/>
      <c r="Q738" s="7"/>
      <c r="R738" s="8">
        <f t="shared" si="3366"/>
        <v>0</v>
      </c>
      <c r="T738" s="6"/>
      <c r="U738" s="7"/>
      <c r="V738" s="7"/>
      <c r="W738" s="7"/>
      <c r="X738" s="7"/>
      <c r="Y738" s="8">
        <f t="shared" si="3367"/>
        <v>0</v>
      </c>
      <c r="AA738" s="6"/>
      <c r="AB738" s="7"/>
      <c r="AC738" s="7"/>
      <c r="AD738" s="7"/>
      <c r="AE738" s="7"/>
      <c r="AF738" s="8">
        <f>SUM(AA738:AE738)</f>
        <v>0</v>
      </c>
      <c r="AH738" s="6"/>
      <c r="AI738" s="7"/>
      <c r="AJ738" s="7"/>
      <c r="AK738" s="7"/>
      <c r="AL738" s="7"/>
      <c r="AM738" s="8">
        <f>SUM(AH738:AL738)</f>
        <v>0</v>
      </c>
      <c r="AO738" s="6"/>
      <c r="AP738" s="7"/>
      <c r="AQ738" s="7"/>
      <c r="AR738" s="7"/>
      <c r="AS738" s="7"/>
      <c r="AT738" s="8">
        <f>SUM(AO738:AS738)</f>
        <v>0</v>
      </c>
      <c r="AV738" s="6"/>
      <c r="AW738" s="7"/>
      <c r="AX738" s="7"/>
      <c r="AY738" s="7"/>
      <c r="AZ738" s="7"/>
      <c r="BA738" s="8">
        <f>SUM(AV738:AZ738)</f>
        <v>0</v>
      </c>
      <c r="BC738" s="6"/>
      <c r="BD738" s="7"/>
      <c r="BE738" s="7"/>
      <c r="BF738" s="7"/>
      <c r="BG738" s="7"/>
      <c r="BH738" s="8">
        <f>SUM(BC738:BG738)</f>
        <v>0</v>
      </c>
      <c r="BJ738" s="6"/>
      <c r="BK738" s="7"/>
      <c r="BL738" s="7"/>
      <c r="BM738" s="7"/>
      <c r="BN738" s="7"/>
      <c r="BO738" s="8">
        <f>SUM(BJ738:BN738)</f>
        <v>0</v>
      </c>
      <c r="BQ738" s="6"/>
      <c r="BR738" s="7"/>
      <c r="BS738" s="7"/>
      <c r="BT738" s="7"/>
      <c r="BU738" s="7"/>
      <c r="BV738" s="8">
        <f>SUM(BQ738:BU738)</f>
        <v>0</v>
      </c>
      <c r="BX738" s="6"/>
      <c r="BY738" s="7"/>
      <c r="BZ738" s="7"/>
      <c r="CA738" s="7"/>
      <c r="CB738" s="7"/>
      <c r="CC738" s="8">
        <f>SUM(BX738:CB738)</f>
        <v>0</v>
      </c>
      <c r="CE738" s="493">
        <f t="shared" si="3359"/>
        <v>0</v>
      </c>
      <c r="CF738" s="494">
        <f t="shared" si="3360"/>
        <v>0</v>
      </c>
      <c r="CG738" s="494">
        <f t="shared" si="3361"/>
        <v>0</v>
      </c>
      <c r="CH738" s="494">
        <f t="shared" si="3362"/>
        <v>0</v>
      </c>
      <c r="CI738" s="494">
        <f t="shared" si="3363"/>
        <v>0</v>
      </c>
      <c r="CJ738" s="495">
        <f>SUM(CE738:CI738)</f>
        <v>0</v>
      </c>
      <c r="CL738" s="6"/>
      <c r="CM738" s="7"/>
      <c r="CN738" s="7"/>
      <c r="CO738" s="7"/>
      <c r="CP738" s="7"/>
      <c r="CQ738" s="8">
        <f>SUM(CL738:CP738)</f>
        <v>0</v>
      </c>
      <c r="CS738" s="6"/>
      <c r="CT738" s="7"/>
      <c r="CU738" s="7"/>
      <c r="CV738" s="7"/>
      <c r="CW738" s="7"/>
      <c r="CX738" s="8">
        <f t="shared" si="3368"/>
        <v>0</v>
      </c>
      <c r="CZ738" s="6"/>
      <c r="DA738" s="7"/>
      <c r="DB738" s="7"/>
      <c r="DC738" s="7"/>
      <c r="DD738" s="7"/>
      <c r="DE738" s="8">
        <f t="shared" si="3369"/>
        <v>0</v>
      </c>
    </row>
    <row r="739" spans="2:110" ht="14" thickBot="1">
      <c r="C739" s="554"/>
      <c r="E739" s="9"/>
      <c r="F739" s="10">
        <f>SUM(F735:F738)</f>
        <v>0</v>
      </c>
      <c r="G739" s="11">
        <f t="shared" ref="G739:J739" si="3370">SUM(G735:G738)</f>
        <v>0</v>
      </c>
      <c r="H739" s="11">
        <f t="shared" si="3370"/>
        <v>0</v>
      </c>
      <c r="I739" s="11">
        <f t="shared" si="3370"/>
        <v>0</v>
      </c>
      <c r="J739" s="11">
        <f t="shared" si="3370"/>
        <v>0</v>
      </c>
      <c r="K739" s="25">
        <f>SUM(K735:K738)</f>
        <v>0</v>
      </c>
      <c r="M739" s="10">
        <f>SUM(M735:M738)</f>
        <v>0</v>
      </c>
      <c r="N739" s="11">
        <f t="shared" ref="N739:Q739" si="3371">SUM(N735:N738)</f>
        <v>0</v>
      </c>
      <c r="O739" s="11">
        <f t="shared" si="3371"/>
        <v>0</v>
      </c>
      <c r="P739" s="11">
        <f t="shared" si="3371"/>
        <v>0</v>
      </c>
      <c r="Q739" s="11">
        <f t="shared" si="3371"/>
        <v>0</v>
      </c>
      <c r="R739" s="25">
        <f>SUM(R735:R738)</f>
        <v>0</v>
      </c>
      <c r="T739" s="10">
        <f>SUM(T735:T738)</f>
        <v>0</v>
      </c>
      <c r="U739" s="11">
        <f t="shared" ref="U739:X739" si="3372">SUM(U735:U738)</f>
        <v>0</v>
      </c>
      <c r="V739" s="11">
        <f t="shared" si="3372"/>
        <v>0</v>
      </c>
      <c r="W739" s="11">
        <f t="shared" si="3372"/>
        <v>0</v>
      </c>
      <c r="X739" s="11">
        <f t="shared" si="3372"/>
        <v>0</v>
      </c>
      <c r="Y739" s="25">
        <f>SUM(Y735:Y738)</f>
        <v>0</v>
      </c>
      <c r="AA739" s="10">
        <f>SUM(AA735:AA738)</f>
        <v>0</v>
      </c>
      <c r="AB739" s="11">
        <f t="shared" ref="AB739:AE739" si="3373">SUM(AB735:AB738)</f>
        <v>0</v>
      </c>
      <c r="AC739" s="11">
        <f t="shared" si="3373"/>
        <v>0</v>
      </c>
      <c r="AD739" s="11">
        <f t="shared" si="3373"/>
        <v>0</v>
      </c>
      <c r="AE739" s="11">
        <f t="shared" si="3373"/>
        <v>0</v>
      </c>
      <c r="AF739" s="25">
        <f>SUM(AF735:AF738)</f>
        <v>0</v>
      </c>
      <c r="AH739" s="10">
        <f t="shared" ref="AH739:AM739" si="3374">SUM(AH735:AH738)</f>
        <v>0</v>
      </c>
      <c r="AI739" s="11">
        <f t="shared" si="3374"/>
        <v>0</v>
      </c>
      <c r="AJ739" s="11">
        <f t="shared" si="3374"/>
        <v>0</v>
      </c>
      <c r="AK739" s="11">
        <f t="shared" si="3374"/>
        <v>0</v>
      </c>
      <c r="AL739" s="11">
        <f t="shared" si="3374"/>
        <v>0</v>
      </c>
      <c r="AM739" s="25">
        <f t="shared" si="3374"/>
        <v>0</v>
      </c>
      <c r="AO739" s="10">
        <f t="shared" ref="AO739:AT739" si="3375">SUM(AO735:AO738)</f>
        <v>0</v>
      </c>
      <c r="AP739" s="11">
        <f t="shared" si="3375"/>
        <v>0</v>
      </c>
      <c r="AQ739" s="11">
        <f t="shared" si="3375"/>
        <v>0</v>
      </c>
      <c r="AR739" s="11">
        <f t="shared" si="3375"/>
        <v>0</v>
      </c>
      <c r="AS739" s="11">
        <f t="shared" si="3375"/>
        <v>0</v>
      </c>
      <c r="AT739" s="25">
        <f t="shared" si="3375"/>
        <v>0</v>
      </c>
      <c r="AV739" s="10">
        <f t="shared" ref="AV739:BA739" si="3376">SUM(AV735:AV738)</f>
        <v>0</v>
      </c>
      <c r="AW739" s="11">
        <f t="shared" si="3376"/>
        <v>0</v>
      </c>
      <c r="AX739" s="11">
        <f t="shared" si="3376"/>
        <v>0</v>
      </c>
      <c r="AY739" s="11">
        <f t="shared" si="3376"/>
        <v>0</v>
      </c>
      <c r="AZ739" s="11">
        <f t="shared" si="3376"/>
        <v>0</v>
      </c>
      <c r="BA739" s="25">
        <f t="shared" si="3376"/>
        <v>0</v>
      </c>
      <c r="BC739" s="10">
        <f t="shared" ref="BC739:BH739" si="3377">SUM(BC735:BC738)</f>
        <v>0</v>
      </c>
      <c r="BD739" s="11">
        <f t="shared" si="3377"/>
        <v>0</v>
      </c>
      <c r="BE739" s="11">
        <f t="shared" si="3377"/>
        <v>0</v>
      </c>
      <c r="BF739" s="11">
        <f t="shared" si="3377"/>
        <v>0</v>
      </c>
      <c r="BG739" s="11">
        <f t="shared" si="3377"/>
        <v>0</v>
      </c>
      <c r="BH739" s="25">
        <f t="shared" si="3377"/>
        <v>0</v>
      </c>
      <c r="BJ739" s="10">
        <f t="shared" ref="BJ739:BO739" si="3378">SUM(BJ735:BJ738)</f>
        <v>0</v>
      </c>
      <c r="BK739" s="11">
        <f t="shared" si="3378"/>
        <v>0</v>
      </c>
      <c r="BL739" s="11">
        <f t="shared" si="3378"/>
        <v>0</v>
      </c>
      <c r="BM739" s="11">
        <f t="shared" si="3378"/>
        <v>0</v>
      </c>
      <c r="BN739" s="11">
        <f t="shared" si="3378"/>
        <v>0</v>
      </c>
      <c r="BO739" s="25">
        <f t="shared" si="3378"/>
        <v>0</v>
      </c>
      <c r="BQ739" s="10">
        <f t="shared" ref="BQ739:BV739" si="3379">SUM(BQ735:BQ738)</f>
        <v>0</v>
      </c>
      <c r="BR739" s="11">
        <f t="shared" si="3379"/>
        <v>0</v>
      </c>
      <c r="BS739" s="11">
        <f t="shared" si="3379"/>
        <v>0</v>
      </c>
      <c r="BT739" s="11">
        <f t="shared" si="3379"/>
        <v>0</v>
      </c>
      <c r="BU739" s="11">
        <f t="shared" si="3379"/>
        <v>0</v>
      </c>
      <c r="BV739" s="25">
        <f t="shared" si="3379"/>
        <v>0</v>
      </c>
      <c r="BX739" s="10">
        <f t="shared" ref="BX739:CC739" si="3380">SUM(BX735:BX738)</f>
        <v>0</v>
      </c>
      <c r="BY739" s="11">
        <f t="shared" si="3380"/>
        <v>0</v>
      </c>
      <c r="BZ739" s="11">
        <f t="shared" si="3380"/>
        <v>0</v>
      </c>
      <c r="CA739" s="11">
        <f t="shared" si="3380"/>
        <v>0</v>
      </c>
      <c r="CB739" s="11">
        <f t="shared" si="3380"/>
        <v>0</v>
      </c>
      <c r="CC739" s="25">
        <f t="shared" si="3380"/>
        <v>0</v>
      </c>
      <c r="CE739" s="62">
        <f t="shared" ref="CE739:CJ739" si="3381">SUM(CE735:CE738)</f>
        <v>0</v>
      </c>
      <c r="CF739" s="63">
        <f t="shared" si="3381"/>
        <v>0</v>
      </c>
      <c r="CG739" s="63">
        <f t="shared" si="3381"/>
        <v>0</v>
      </c>
      <c r="CH739" s="63">
        <f t="shared" si="3381"/>
        <v>0</v>
      </c>
      <c r="CI739" s="63">
        <f t="shared" si="3381"/>
        <v>0</v>
      </c>
      <c r="CJ739" s="25">
        <f t="shared" si="3381"/>
        <v>0</v>
      </c>
      <c r="CL739" s="10">
        <f>SUM(CL735:CL738)</f>
        <v>0</v>
      </c>
      <c r="CM739" s="11">
        <f t="shared" ref="CM739:CQ739" si="3382">SUM(CM735:CM738)</f>
        <v>0</v>
      </c>
      <c r="CN739" s="11">
        <f t="shared" si="3382"/>
        <v>0</v>
      </c>
      <c r="CO739" s="11">
        <f t="shared" si="3382"/>
        <v>0</v>
      </c>
      <c r="CP739" s="11">
        <f t="shared" si="3382"/>
        <v>0</v>
      </c>
      <c r="CQ739" s="25">
        <f t="shared" si="3382"/>
        <v>0</v>
      </c>
      <c r="CS739" s="10">
        <f>SUM(CS735:CS738)</f>
        <v>0</v>
      </c>
      <c r="CT739" s="11">
        <f t="shared" ref="CT739:CW739" si="3383">SUM(CT735:CT738)</f>
        <v>0</v>
      </c>
      <c r="CU739" s="11">
        <f t="shared" si="3383"/>
        <v>0</v>
      </c>
      <c r="CV739" s="11">
        <f t="shared" si="3383"/>
        <v>0</v>
      </c>
      <c r="CW739" s="11">
        <f t="shared" si="3383"/>
        <v>0</v>
      </c>
      <c r="CX739" s="25">
        <f>SUM(CX735:CX738)</f>
        <v>0</v>
      </c>
      <c r="CZ739" s="10">
        <f>SUM(CZ735:CZ738)</f>
        <v>0</v>
      </c>
      <c r="DA739" s="11">
        <f t="shared" ref="DA739:DD739" si="3384">SUM(DA735:DA738)</f>
        <v>0</v>
      </c>
      <c r="DB739" s="11">
        <f t="shared" si="3384"/>
        <v>0</v>
      </c>
      <c r="DC739" s="11">
        <f t="shared" si="3384"/>
        <v>0</v>
      </c>
      <c r="DD739" s="11">
        <f t="shared" si="3384"/>
        <v>0</v>
      </c>
      <c r="DE739" s="25">
        <f>SUM(DE735:DE738)</f>
        <v>0</v>
      </c>
    </row>
    <row r="741" spans="2:110">
      <c r="B741" s="123"/>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c r="BU741" s="20"/>
      <c r="BV741" s="20"/>
      <c r="BW741" s="20"/>
      <c r="BX741" s="20"/>
      <c r="BY741" s="20"/>
      <c r="BZ741" s="20"/>
      <c r="CA741" s="20"/>
      <c r="CB741" s="20"/>
      <c r="CC741" s="20"/>
      <c r="CD741" s="20"/>
      <c r="CE741" s="20"/>
      <c r="CF741" s="20"/>
      <c r="CG741" s="20"/>
      <c r="CH741" s="20"/>
      <c r="CI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row>
    <row r="742" spans="2:110" ht="14" thickBot="1">
      <c r="B742" s="94">
        <v>24</v>
      </c>
      <c r="C742" s="12" t="s">
        <v>176</v>
      </c>
    </row>
    <row r="743" spans="2:110">
      <c r="C743" s="553">
        <v>2024</v>
      </c>
      <c r="E743" s="1" t="s">
        <v>59</v>
      </c>
      <c r="F743" s="2"/>
      <c r="G743" s="3"/>
      <c r="H743" s="3"/>
      <c r="I743" s="3"/>
      <c r="J743" s="3"/>
      <c r="K743" s="4">
        <f>SUM(F743:J743)</f>
        <v>0</v>
      </c>
      <c r="M743" s="2"/>
      <c r="N743" s="3"/>
      <c r="O743" s="3"/>
      <c r="P743" s="3"/>
      <c r="Q743" s="3"/>
      <c r="R743" s="4">
        <f>SUM(M743:Q743)</f>
        <v>0</v>
      </c>
      <c r="T743" s="2"/>
      <c r="U743" s="3"/>
      <c r="V743" s="3"/>
      <c r="W743" s="3"/>
      <c r="X743" s="3"/>
      <c r="Y743" s="4">
        <f>SUM(T743:X743)</f>
        <v>0</v>
      </c>
      <c r="AA743" s="2"/>
      <c r="AB743" s="3"/>
      <c r="AC743" s="3"/>
      <c r="AD743" s="3"/>
      <c r="AE743" s="3"/>
      <c r="AF743" s="4">
        <f>SUM(AA743:AE743)</f>
        <v>0</v>
      </c>
      <c r="AH743" s="2"/>
      <c r="AI743" s="3"/>
      <c r="AJ743" s="3"/>
      <c r="AK743" s="3"/>
      <c r="AL743" s="3"/>
      <c r="AM743" s="4">
        <f>SUM(AH743:AL743)</f>
        <v>0</v>
      </c>
      <c r="AO743" s="2"/>
      <c r="AP743" s="3"/>
      <c r="AQ743" s="3"/>
      <c r="AR743" s="3"/>
      <c r="AS743" s="3"/>
      <c r="AT743" s="4">
        <f>SUM(AO743:AS743)</f>
        <v>0</v>
      </c>
      <c r="AV743" s="2"/>
      <c r="AW743" s="3"/>
      <c r="AX743" s="3"/>
      <c r="AY743" s="3"/>
      <c r="AZ743" s="3"/>
      <c r="BA743" s="4">
        <f>SUM(AV743:AZ743)</f>
        <v>0</v>
      </c>
      <c r="BC743" s="2"/>
      <c r="BD743" s="3"/>
      <c r="BE743" s="3"/>
      <c r="BF743" s="3"/>
      <c r="BG743" s="3"/>
      <c r="BH743" s="4">
        <f>SUM(BC743:BG743)</f>
        <v>0</v>
      </c>
      <c r="BJ743" s="2"/>
      <c r="BK743" s="3"/>
      <c r="BL743" s="3"/>
      <c r="BM743" s="3"/>
      <c r="BN743" s="3"/>
      <c r="BO743" s="4">
        <f>SUM(BJ743:BN743)</f>
        <v>0</v>
      </c>
      <c r="BQ743" s="2"/>
      <c r="BR743" s="3"/>
      <c r="BS743" s="3"/>
      <c r="BT743" s="3"/>
      <c r="BU743" s="3"/>
      <c r="BV743" s="4">
        <f>SUM(BQ743:BU743)</f>
        <v>0</v>
      </c>
      <c r="BX743" s="2"/>
      <c r="BY743" s="3"/>
      <c r="BZ743" s="3"/>
      <c r="CA743" s="3"/>
      <c r="CB743" s="3"/>
      <c r="CC743" s="4">
        <f>SUM(BX743:CB743)</f>
        <v>0</v>
      </c>
      <c r="CE743" s="26">
        <f t="shared" ref="CE743:CE746" si="3385">F743+M743+T743+AA743+AH743+AO743+AV743+BC743+BJ743+BQ743+BX743</f>
        <v>0</v>
      </c>
      <c r="CF743" s="27">
        <f t="shared" ref="CF743:CF746" si="3386">G743+N743+U743+AB743+AI743+AP743+AW743+BD743+BK743+BR743+BY743</f>
        <v>0</v>
      </c>
      <c r="CG743" s="27">
        <f t="shared" ref="CG743:CG746" si="3387">H743+O743+V743+AC743+AJ743+AQ743+AX743+BE743+BL743+BS743+BZ743</f>
        <v>0</v>
      </c>
      <c r="CH743" s="27">
        <f t="shared" ref="CH743:CH746" si="3388">I743+P743+W743+AD743+AK743+AR743+AY743+BF743+BM743+BT743+CA743</f>
        <v>0</v>
      </c>
      <c r="CI743" s="27">
        <f t="shared" ref="CI743:CI746" si="3389">J743+Q743+X743+AE743+AL743+AS743+AZ743+BG743+BN743+BU743+CB743</f>
        <v>0</v>
      </c>
      <c r="CJ743" s="4">
        <f>SUM(CE743:CI743)</f>
        <v>0</v>
      </c>
      <c r="CL743" s="2"/>
      <c r="CM743" s="3"/>
      <c r="CN743" s="3"/>
      <c r="CO743" s="3"/>
      <c r="CP743" s="3"/>
      <c r="CQ743" s="4">
        <f>SUM(CL743:CP743)</f>
        <v>0</v>
      </c>
      <c r="CS743" s="2"/>
      <c r="CT743" s="3"/>
      <c r="CU743" s="3"/>
      <c r="CV743" s="3"/>
      <c r="CW743" s="3"/>
      <c r="CX743" s="4">
        <f>SUM(CS743:CW743)</f>
        <v>0</v>
      </c>
      <c r="CZ743" s="2"/>
      <c r="DA743" s="3"/>
      <c r="DB743" s="3"/>
      <c r="DC743" s="3"/>
      <c r="DD743" s="3"/>
      <c r="DE743" s="4">
        <f>SUM(CZ743:DD743)</f>
        <v>0</v>
      </c>
    </row>
    <row r="744" spans="2:110">
      <c r="C744" s="567"/>
      <c r="E744" s="5" t="s">
        <v>60</v>
      </c>
      <c r="F744" s="6"/>
      <c r="G744" s="7"/>
      <c r="H744" s="7"/>
      <c r="I744" s="7"/>
      <c r="J744" s="7"/>
      <c r="K744" s="8">
        <f t="shared" ref="K744:K746" si="3390">SUM(F744:J744)</f>
        <v>0</v>
      </c>
      <c r="M744" s="6"/>
      <c r="N744" s="7"/>
      <c r="O744" s="7"/>
      <c r="P744" s="7"/>
      <c r="Q744" s="7"/>
      <c r="R744" s="8">
        <f t="shared" ref="R744:R746" si="3391">SUM(M744:Q744)</f>
        <v>0</v>
      </c>
      <c r="T744" s="6"/>
      <c r="U744" s="7"/>
      <c r="V744" s="7"/>
      <c r="W744" s="7"/>
      <c r="X744" s="7"/>
      <c r="Y744" s="8">
        <f t="shared" ref="Y744:Y746" si="3392">SUM(T744:X744)</f>
        <v>0</v>
      </c>
      <c r="AA744" s="6"/>
      <c r="AB744" s="7"/>
      <c r="AC744" s="7"/>
      <c r="AD744" s="7"/>
      <c r="AE744" s="7"/>
      <c r="AF744" s="8">
        <f>SUM(AA744:AE744)</f>
        <v>0</v>
      </c>
      <c r="AH744" s="6"/>
      <c r="AI744" s="7"/>
      <c r="AJ744" s="7"/>
      <c r="AK744" s="7"/>
      <c r="AL744" s="7"/>
      <c r="AM744" s="8">
        <f>SUM(AH744:AL744)</f>
        <v>0</v>
      </c>
      <c r="AO744" s="6"/>
      <c r="AP744" s="7"/>
      <c r="AQ744" s="7"/>
      <c r="AR744" s="7"/>
      <c r="AS744" s="7"/>
      <c r="AT744" s="8">
        <f>SUM(AO744:AS744)</f>
        <v>0</v>
      </c>
      <c r="AV744" s="6"/>
      <c r="AW744" s="7"/>
      <c r="AX744" s="7"/>
      <c r="AY744" s="7"/>
      <c r="AZ744" s="7"/>
      <c r="BA744" s="8">
        <f>SUM(AV744:AZ744)</f>
        <v>0</v>
      </c>
      <c r="BC744" s="6"/>
      <c r="BD744" s="7"/>
      <c r="BE744" s="7"/>
      <c r="BF744" s="7"/>
      <c r="BG744" s="7"/>
      <c r="BH744" s="8">
        <f>SUM(BC744:BG744)</f>
        <v>0</v>
      </c>
      <c r="BJ744" s="6"/>
      <c r="BK744" s="7"/>
      <c r="BL744" s="7"/>
      <c r="BM744" s="7"/>
      <c r="BN744" s="7"/>
      <c r="BO744" s="8">
        <f>SUM(BJ744:BN744)</f>
        <v>0</v>
      </c>
      <c r="BQ744" s="6"/>
      <c r="BR744" s="7"/>
      <c r="BS744" s="7"/>
      <c r="BT744" s="7"/>
      <c r="BU744" s="7"/>
      <c r="BV744" s="8">
        <f>SUM(BQ744:BU744)</f>
        <v>0</v>
      </c>
      <c r="BX744" s="6"/>
      <c r="BY744" s="7"/>
      <c r="BZ744" s="7"/>
      <c r="CA744" s="7"/>
      <c r="CB744" s="7"/>
      <c r="CC744" s="8">
        <f>SUM(BX744:CB744)</f>
        <v>0</v>
      </c>
      <c r="CE744" s="28">
        <f t="shared" si="3385"/>
        <v>0</v>
      </c>
      <c r="CF744" s="29">
        <f t="shared" si="3386"/>
        <v>0</v>
      </c>
      <c r="CG744" s="29">
        <f t="shared" si="3387"/>
        <v>0</v>
      </c>
      <c r="CH744" s="29">
        <f t="shared" si="3388"/>
        <v>0</v>
      </c>
      <c r="CI744" s="29">
        <f t="shared" si="3389"/>
        <v>0</v>
      </c>
      <c r="CJ744" s="8">
        <f>SUM(CE744:CI744)</f>
        <v>0</v>
      </c>
      <c r="CL744" s="6"/>
      <c r="CM744" s="7"/>
      <c r="CN744" s="7"/>
      <c r="CO744" s="7"/>
      <c r="CP744" s="7"/>
      <c r="CQ744" s="8">
        <f>SUM(CL744:CP744)</f>
        <v>0</v>
      </c>
      <c r="CS744" s="6"/>
      <c r="CT744" s="7"/>
      <c r="CU744" s="7"/>
      <c r="CV744" s="7"/>
      <c r="CW744" s="7"/>
      <c r="CX744" s="8">
        <f t="shared" ref="CX744:CX746" si="3393">SUM(CS744:CW744)</f>
        <v>0</v>
      </c>
      <c r="CZ744" s="6"/>
      <c r="DA744" s="7"/>
      <c r="DB744" s="7"/>
      <c r="DC744" s="7"/>
      <c r="DD744" s="7"/>
      <c r="DE744" s="8">
        <f t="shared" ref="DE744:DE746" si="3394">SUM(CZ744:DD744)</f>
        <v>0</v>
      </c>
    </row>
    <row r="745" spans="2:110">
      <c r="C745" s="567"/>
      <c r="E745" s="5" t="s">
        <v>61</v>
      </c>
      <c r="F745" s="6"/>
      <c r="G745" s="7"/>
      <c r="H745" s="7"/>
      <c r="I745" s="7"/>
      <c r="J745" s="7"/>
      <c r="K745" s="8">
        <f t="shared" si="3390"/>
        <v>0</v>
      </c>
      <c r="M745" s="6"/>
      <c r="N745" s="7"/>
      <c r="O745" s="7"/>
      <c r="P745" s="7"/>
      <c r="Q745" s="7"/>
      <c r="R745" s="8">
        <f t="shared" si="3391"/>
        <v>0</v>
      </c>
      <c r="T745" s="6"/>
      <c r="U745" s="7"/>
      <c r="V745" s="7"/>
      <c r="W745" s="7"/>
      <c r="X745" s="7"/>
      <c r="Y745" s="8">
        <f t="shared" si="3392"/>
        <v>0</v>
      </c>
      <c r="AA745" s="6"/>
      <c r="AB745" s="7"/>
      <c r="AC745" s="7"/>
      <c r="AD745" s="7"/>
      <c r="AE745" s="7"/>
      <c r="AF745" s="8">
        <f>SUM(AA745:AE745)</f>
        <v>0</v>
      </c>
      <c r="AH745" s="6"/>
      <c r="AI745" s="7"/>
      <c r="AJ745" s="7"/>
      <c r="AK745" s="7"/>
      <c r="AL745" s="7"/>
      <c r="AM745" s="8">
        <f>SUM(AH745:AL745)</f>
        <v>0</v>
      </c>
      <c r="AO745" s="6"/>
      <c r="AP745" s="7"/>
      <c r="AQ745" s="7"/>
      <c r="AR745" s="7"/>
      <c r="AS745" s="7"/>
      <c r="AT745" s="8">
        <f>SUM(AO745:AS745)</f>
        <v>0</v>
      </c>
      <c r="AV745" s="6"/>
      <c r="AW745" s="7"/>
      <c r="AX745" s="7"/>
      <c r="AY745" s="7"/>
      <c r="AZ745" s="7"/>
      <c r="BA745" s="8">
        <f>SUM(AV745:AZ745)</f>
        <v>0</v>
      </c>
      <c r="BC745" s="6"/>
      <c r="BD745" s="7"/>
      <c r="BE745" s="7"/>
      <c r="BF745" s="7"/>
      <c r="BG745" s="7"/>
      <c r="BH745" s="8">
        <f>SUM(BC745:BG745)</f>
        <v>0</v>
      </c>
      <c r="BJ745" s="6"/>
      <c r="BK745" s="7"/>
      <c r="BL745" s="7"/>
      <c r="BM745" s="7"/>
      <c r="BN745" s="7"/>
      <c r="BO745" s="8">
        <f>SUM(BJ745:BN745)</f>
        <v>0</v>
      </c>
      <c r="BQ745" s="6"/>
      <c r="BR745" s="7"/>
      <c r="BS745" s="7"/>
      <c r="BT745" s="7"/>
      <c r="BU745" s="7"/>
      <c r="BV745" s="8">
        <f>SUM(BQ745:BU745)</f>
        <v>0</v>
      </c>
      <c r="BX745" s="6"/>
      <c r="BY745" s="7"/>
      <c r="BZ745" s="7"/>
      <c r="CA745" s="7"/>
      <c r="CB745" s="7"/>
      <c r="CC745" s="8">
        <f>SUM(BX745:CB745)</f>
        <v>0</v>
      </c>
      <c r="CE745" s="28">
        <f t="shared" si="3385"/>
        <v>0</v>
      </c>
      <c r="CF745" s="29">
        <f t="shared" si="3386"/>
        <v>0</v>
      </c>
      <c r="CG745" s="29">
        <f t="shared" si="3387"/>
        <v>0</v>
      </c>
      <c r="CH745" s="29">
        <f t="shared" si="3388"/>
        <v>0</v>
      </c>
      <c r="CI745" s="29">
        <f t="shared" si="3389"/>
        <v>0</v>
      </c>
      <c r="CJ745" s="8">
        <f>SUM(CE745:CI745)</f>
        <v>0</v>
      </c>
      <c r="CL745" s="6"/>
      <c r="CM745" s="7"/>
      <c r="CN745" s="7"/>
      <c r="CO745" s="7"/>
      <c r="CP745" s="7"/>
      <c r="CQ745" s="8">
        <f>SUM(CL745:CP745)</f>
        <v>0</v>
      </c>
      <c r="CS745" s="6"/>
      <c r="CT745" s="7"/>
      <c r="CU745" s="7"/>
      <c r="CV745" s="7"/>
      <c r="CW745" s="7"/>
      <c r="CX745" s="8">
        <f t="shared" si="3393"/>
        <v>0</v>
      </c>
      <c r="CZ745" s="6"/>
      <c r="DA745" s="7"/>
      <c r="DB745" s="7"/>
      <c r="DC745" s="7"/>
      <c r="DD745" s="7"/>
      <c r="DE745" s="8">
        <f t="shared" si="3394"/>
        <v>0</v>
      </c>
    </row>
    <row r="746" spans="2:110" ht="14" thickBot="1">
      <c r="C746" s="567"/>
      <c r="E746" s="5" t="s">
        <v>62</v>
      </c>
      <c r="F746" s="6"/>
      <c r="G746" s="7"/>
      <c r="H746" s="7"/>
      <c r="I746" s="7"/>
      <c r="J746" s="7"/>
      <c r="K746" s="8">
        <f t="shared" si="3390"/>
        <v>0</v>
      </c>
      <c r="M746" s="6"/>
      <c r="N746" s="7"/>
      <c r="O746" s="7"/>
      <c r="P746" s="7"/>
      <c r="Q746" s="7"/>
      <c r="R746" s="8">
        <f t="shared" si="3391"/>
        <v>0</v>
      </c>
      <c r="T746" s="6"/>
      <c r="U746" s="7"/>
      <c r="V746" s="7"/>
      <c r="W746" s="7"/>
      <c r="X746" s="7"/>
      <c r="Y746" s="8">
        <f t="shared" si="3392"/>
        <v>0</v>
      </c>
      <c r="AA746" s="6"/>
      <c r="AB746" s="7"/>
      <c r="AC746" s="7"/>
      <c r="AD746" s="7"/>
      <c r="AE746" s="7"/>
      <c r="AF746" s="8">
        <f>SUM(AA746:AE746)</f>
        <v>0</v>
      </c>
      <c r="AH746" s="6"/>
      <c r="AI746" s="7"/>
      <c r="AJ746" s="7"/>
      <c r="AK746" s="7"/>
      <c r="AL746" s="7"/>
      <c r="AM746" s="8">
        <f>SUM(AH746:AL746)</f>
        <v>0</v>
      </c>
      <c r="AO746" s="6"/>
      <c r="AP746" s="7"/>
      <c r="AQ746" s="7"/>
      <c r="AR746" s="7"/>
      <c r="AS746" s="7"/>
      <c r="AT746" s="8">
        <f>SUM(AO746:AS746)</f>
        <v>0</v>
      </c>
      <c r="AV746" s="6"/>
      <c r="AW746" s="7"/>
      <c r="AX746" s="7"/>
      <c r="AY746" s="7"/>
      <c r="AZ746" s="7"/>
      <c r="BA746" s="8">
        <f>SUM(AV746:AZ746)</f>
        <v>0</v>
      </c>
      <c r="BC746" s="6"/>
      <c r="BD746" s="7"/>
      <c r="BE746" s="7"/>
      <c r="BF746" s="7"/>
      <c r="BG746" s="7"/>
      <c r="BH746" s="8">
        <f>SUM(BC746:BG746)</f>
        <v>0</v>
      </c>
      <c r="BJ746" s="6"/>
      <c r="BK746" s="7"/>
      <c r="BL746" s="7"/>
      <c r="BM746" s="7"/>
      <c r="BN746" s="7"/>
      <c r="BO746" s="8">
        <f>SUM(BJ746:BN746)</f>
        <v>0</v>
      </c>
      <c r="BQ746" s="6"/>
      <c r="BR746" s="7"/>
      <c r="BS746" s="7"/>
      <c r="BT746" s="7"/>
      <c r="BU746" s="7"/>
      <c r="BV746" s="8">
        <f>SUM(BQ746:BU746)</f>
        <v>0</v>
      </c>
      <c r="BX746" s="6"/>
      <c r="BY746" s="7"/>
      <c r="BZ746" s="7"/>
      <c r="CA746" s="7"/>
      <c r="CB746" s="7"/>
      <c r="CC746" s="8">
        <f>SUM(BX746:CB746)</f>
        <v>0</v>
      </c>
      <c r="CE746" s="493">
        <f t="shared" si="3385"/>
        <v>0</v>
      </c>
      <c r="CF746" s="494">
        <f t="shared" si="3386"/>
        <v>0</v>
      </c>
      <c r="CG746" s="494">
        <f t="shared" si="3387"/>
        <v>0</v>
      </c>
      <c r="CH746" s="494">
        <f t="shared" si="3388"/>
        <v>0</v>
      </c>
      <c r="CI746" s="494">
        <f t="shared" si="3389"/>
        <v>0</v>
      </c>
      <c r="CJ746" s="495">
        <f>SUM(CE746:CI746)</f>
        <v>0</v>
      </c>
      <c r="CL746" s="6"/>
      <c r="CM746" s="7"/>
      <c r="CN746" s="7"/>
      <c r="CO746" s="7"/>
      <c r="CP746" s="7"/>
      <c r="CQ746" s="8">
        <f>SUM(CL746:CP746)</f>
        <v>0</v>
      </c>
      <c r="CS746" s="6"/>
      <c r="CT746" s="7"/>
      <c r="CU746" s="7"/>
      <c r="CV746" s="7"/>
      <c r="CW746" s="7"/>
      <c r="CX746" s="8">
        <f t="shared" si="3393"/>
        <v>0</v>
      </c>
      <c r="CZ746" s="6"/>
      <c r="DA746" s="7"/>
      <c r="DB746" s="7"/>
      <c r="DC746" s="7"/>
      <c r="DD746" s="7"/>
      <c r="DE746" s="8">
        <f t="shared" si="3394"/>
        <v>0</v>
      </c>
    </row>
    <row r="747" spans="2:110" ht="14" thickBot="1">
      <c r="C747" s="554"/>
      <c r="E747" s="9"/>
      <c r="F747" s="10">
        <f>SUM(F743:F746)</f>
        <v>0</v>
      </c>
      <c r="G747" s="11">
        <f t="shared" ref="G747:J747" si="3395">SUM(G743:G746)</f>
        <v>0</v>
      </c>
      <c r="H747" s="11">
        <f t="shared" si="3395"/>
        <v>0</v>
      </c>
      <c r="I747" s="11">
        <f t="shared" si="3395"/>
        <v>0</v>
      </c>
      <c r="J747" s="61">
        <f t="shared" si="3395"/>
        <v>0</v>
      </c>
      <c r="K747" s="25">
        <f>SUM(K743:K746)</f>
        <v>0</v>
      </c>
      <c r="M747" s="10">
        <f>SUM(M743:M746)</f>
        <v>0</v>
      </c>
      <c r="N747" s="11">
        <f t="shared" ref="N747:Q747" si="3396">SUM(N743:N746)</f>
        <v>0</v>
      </c>
      <c r="O747" s="11">
        <f t="shared" si="3396"/>
        <v>0</v>
      </c>
      <c r="P747" s="11">
        <f t="shared" si="3396"/>
        <v>0</v>
      </c>
      <c r="Q747" s="11">
        <f t="shared" si="3396"/>
        <v>0</v>
      </c>
      <c r="R747" s="25">
        <f>SUM(R743:R746)</f>
        <v>0</v>
      </c>
      <c r="T747" s="10">
        <f>SUM(T743:T746)</f>
        <v>0</v>
      </c>
      <c r="U747" s="11">
        <f t="shared" ref="U747:X747" si="3397">SUM(U743:U746)</f>
        <v>0</v>
      </c>
      <c r="V747" s="11">
        <f t="shared" si="3397"/>
        <v>0</v>
      </c>
      <c r="W747" s="11">
        <f t="shared" si="3397"/>
        <v>0</v>
      </c>
      <c r="X747" s="11">
        <f t="shared" si="3397"/>
        <v>0</v>
      </c>
      <c r="Y747" s="25">
        <f>SUM(Y743:Y746)</f>
        <v>0</v>
      </c>
      <c r="AA747" s="10">
        <f>SUM(AA743:AA746)</f>
        <v>0</v>
      </c>
      <c r="AB747" s="11">
        <f t="shared" ref="AB747:AE747" si="3398">SUM(AB743:AB746)</f>
        <v>0</v>
      </c>
      <c r="AC747" s="11">
        <f t="shared" si="3398"/>
        <v>0</v>
      </c>
      <c r="AD747" s="11">
        <f t="shared" si="3398"/>
        <v>0</v>
      </c>
      <c r="AE747" s="11">
        <f t="shared" si="3398"/>
        <v>0</v>
      </c>
      <c r="AF747" s="25">
        <f>SUM(AF743:AF746)</f>
        <v>0</v>
      </c>
      <c r="AH747" s="10">
        <f t="shared" ref="AH747:AM747" si="3399">SUM(AH743:AH746)</f>
        <v>0</v>
      </c>
      <c r="AI747" s="11">
        <f t="shared" si="3399"/>
        <v>0</v>
      </c>
      <c r="AJ747" s="11">
        <f t="shared" si="3399"/>
        <v>0</v>
      </c>
      <c r="AK747" s="11">
        <f t="shared" si="3399"/>
        <v>0</v>
      </c>
      <c r="AL747" s="11">
        <f t="shared" si="3399"/>
        <v>0</v>
      </c>
      <c r="AM747" s="25">
        <f t="shared" si="3399"/>
        <v>0</v>
      </c>
      <c r="AO747" s="10">
        <f t="shared" ref="AO747:AT747" si="3400">SUM(AO743:AO746)</f>
        <v>0</v>
      </c>
      <c r="AP747" s="11">
        <f t="shared" si="3400"/>
        <v>0</v>
      </c>
      <c r="AQ747" s="11">
        <f t="shared" si="3400"/>
        <v>0</v>
      </c>
      <c r="AR747" s="11">
        <f t="shared" si="3400"/>
        <v>0</v>
      </c>
      <c r="AS747" s="11">
        <f t="shared" si="3400"/>
        <v>0</v>
      </c>
      <c r="AT747" s="25">
        <f t="shared" si="3400"/>
        <v>0</v>
      </c>
      <c r="AV747" s="10">
        <f t="shared" ref="AV747:BA747" si="3401">SUM(AV743:AV746)</f>
        <v>0</v>
      </c>
      <c r="AW747" s="11">
        <f t="shared" si="3401"/>
        <v>0</v>
      </c>
      <c r="AX747" s="11">
        <f t="shared" si="3401"/>
        <v>0</v>
      </c>
      <c r="AY747" s="11">
        <f t="shared" si="3401"/>
        <v>0</v>
      </c>
      <c r="AZ747" s="11">
        <f t="shared" si="3401"/>
        <v>0</v>
      </c>
      <c r="BA747" s="25">
        <f t="shared" si="3401"/>
        <v>0</v>
      </c>
      <c r="BC747" s="10">
        <f t="shared" ref="BC747:BH747" si="3402">SUM(BC743:BC746)</f>
        <v>0</v>
      </c>
      <c r="BD747" s="11">
        <f t="shared" si="3402"/>
        <v>0</v>
      </c>
      <c r="BE747" s="11">
        <f t="shared" si="3402"/>
        <v>0</v>
      </c>
      <c r="BF747" s="11">
        <f t="shared" si="3402"/>
        <v>0</v>
      </c>
      <c r="BG747" s="11">
        <f t="shared" si="3402"/>
        <v>0</v>
      </c>
      <c r="BH747" s="25">
        <f t="shared" si="3402"/>
        <v>0</v>
      </c>
      <c r="BJ747" s="10">
        <f t="shared" ref="BJ747:BO747" si="3403">SUM(BJ743:BJ746)</f>
        <v>0</v>
      </c>
      <c r="BK747" s="11">
        <f t="shared" si="3403"/>
        <v>0</v>
      </c>
      <c r="BL747" s="11">
        <f t="shared" si="3403"/>
        <v>0</v>
      </c>
      <c r="BM747" s="11">
        <f t="shared" si="3403"/>
        <v>0</v>
      </c>
      <c r="BN747" s="11">
        <f t="shared" si="3403"/>
        <v>0</v>
      </c>
      <c r="BO747" s="25">
        <f t="shared" si="3403"/>
        <v>0</v>
      </c>
      <c r="BQ747" s="10">
        <f t="shared" ref="BQ747:BV747" si="3404">SUM(BQ743:BQ746)</f>
        <v>0</v>
      </c>
      <c r="BR747" s="11">
        <f t="shared" si="3404"/>
        <v>0</v>
      </c>
      <c r="BS747" s="11">
        <f t="shared" si="3404"/>
        <v>0</v>
      </c>
      <c r="BT747" s="11">
        <f t="shared" si="3404"/>
        <v>0</v>
      </c>
      <c r="BU747" s="11">
        <f t="shared" si="3404"/>
        <v>0</v>
      </c>
      <c r="BV747" s="25">
        <f t="shared" si="3404"/>
        <v>0</v>
      </c>
      <c r="BX747" s="10">
        <f t="shared" ref="BX747:CC747" si="3405">SUM(BX743:BX746)</f>
        <v>0</v>
      </c>
      <c r="BY747" s="11">
        <f t="shared" si="3405"/>
        <v>0</v>
      </c>
      <c r="BZ747" s="11">
        <f t="shared" si="3405"/>
        <v>0</v>
      </c>
      <c r="CA747" s="11">
        <f t="shared" si="3405"/>
        <v>0</v>
      </c>
      <c r="CB747" s="11">
        <f t="shared" si="3405"/>
        <v>0</v>
      </c>
      <c r="CC747" s="25">
        <f t="shared" si="3405"/>
        <v>0</v>
      </c>
      <c r="CE747" s="62">
        <f t="shared" ref="CE747:CJ747" si="3406">SUM(CE743:CE746)</f>
        <v>0</v>
      </c>
      <c r="CF747" s="63">
        <f t="shared" si="3406"/>
        <v>0</v>
      </c>
      <c r="CG747" s="63">
        <f t="shared" si="3406"/>
        <v>0</v>
      </c>
      <c r="CH747" s="63">
        <f t="shared" si="3406"/>
        <v>0</v>
      </c>
      <c r="CI747" s="63">
        <f t="shared" si="3406"/>
        <v>0</v>
      </c>
      <c r="CJ747" s="25">
        <f t="shared" si="3406"/>
        <v>0</v>
      </c>
      <c r="CL747" s="10">
        <f>SUM(CL743:CL746)</f>
        <v>0</v>
      </c>
      <c r="CM747" s="11">
        <f t="shared" ref="CM747:CQ747" si="3407">SUM(CM743:CM746)</f>
        <v>0</v>
      </c>
      <c r="CN747" s="11">
        <f t="shared" si="3407"/>
        <v>0</v>
      </c>
      <c r="CO747" s="11">
        <f t="shared" si="3407"/>
        <v>0</v>
      </c>
      <c r="CP747" s="11">
        <f t="shared" si="3407"/>
        <v>0</v>
      </c>
      <c r="CQ747" s="25">
        <f t="shared" si="3407"/>
        <v>0</v>
      </c>
      <c r="CS747" s="10">
        <f>SUM(CS743:CS746)</f>
        <v>0</v>
      </c>
      <c r="CT747" s="11">
        <f t="shared" ref="CT747:CW747" si="3408">SUM(CT743:CT746)</f>
        <v>0</v>
      </c>
      <c r="CU747" s="11">
        <f t="shared" si="3408"/>
        <v>0</v>
      </c>
      <c r="CV747" s="11">
        <f t="shared" si="3408"/>
        <v>0</v>
      </c>
      <c r="CW747" s="11">
        <f t="shared" si="3408"/>
        <v>0</v>
      </c>
      <c r="CX747" s="25">
        <f>SUM(CX743:CX746)</f>
        <v>0</v>
      </c>
      <c r="CZ747" s="10">
        <f>SUM(CZ743:CZ746)</f>
        <v>0</v>
      </c>
      <c r="DA747" s="11">
        <f t="shared" ref="DA747:DD747" si="3409">SUM(DA743:DA746)</f>
        <v>0</v>
      </c>
      <c r="DB747" s="11">
        <f t="shared" si="3409"/>
        <v>0</v>
      </c>
      <c r="DC747" s="11">
        <f t="shared" si="3409"/>
        <v>0</v>
      </c>
      <c r="DD747" s="11">
        <f t="shared" si="3409"/>
        <v>0</v>
      </c>
      <c r="DE747" s="25">
        <f>SUM(DE743:DE746)</f>
        <v>0</v>
      </c>
    </row>
    <row r="748" spans="2:110" ht="10.4" customHeight="1" thickBot="1"/>
    <row r="749" spans="2:110">
      <c r="C749" s="553">
        <v>2025</v>
      </c>
      <c r="E749" s="13" t="s">
        <v>59</v>
      </c>
      <c r="F749" s="21">
        <f>CE743</f>
        <v>0</v>
      </c>
      <c r="G749" s="22">
        <f t="shared" ref="G749:G752" si="3410">CF743</f>
        <v>0</v>
      </c>
      <c r="H749" s="22">
        <f t="shared" ref="H749:H752" si="3411">CG743</f>
        <v>0</v>
      </c>
      <c r="I749" s="22">
        <f t="shared" ref="I749:I752" si="3412">CH743</f>
        <v>0</v>
      </c>
      <c r="J749" s="22">
        <f t="shared" ref="J749:J752" si="3413">CI743</f>
        <v>0</v>
      </c>
      <c r="K749" s="15">
        <f>SUM(F749:J749)</f>
        <v>0</v>
      </c>
      <c r="M749" s="2"/>
      <c r="N749" s="3"/>
      <c r="O749" s="3"/>
      <c r="P749" s="3"/>
      <c r="Q749" s="3"/>
      <c r="R749" s="15">
        <f>SUM(M749:Q749)</f>
        <v>0</v>
      </c>
      <c r="T749" s="2"/>
      <c r="U749" s="3"/>
      <c r="V749" s="3"/>
      <c r="W749" s="3"/>
      <c r="X749" s="3"/>
      <c r="Y749" s="15">
        <f>SUM(T749:X749)</f>
        <v>0</v>
      </c>
      <c r="AA749" s="2"/>
      <c r="AB749" s="3"/>
      <c r="AC749" s="3"/>
      <c r="AD749" s="3"/>
      <c r="AE749" s="3"/>
      <c r="AF749" s="15">
        <f>SUM(AA749:AE749)</f>
        <v>0</v>
      </c>
      <c r="AH749" s="2"/>
      <c r="AI749" s="3"/>
      <c r="AJ749" s="3"/>
      <c r="AK749" s="3"/>
      <c r="AL749" s="3"/>
      <c r="AM749" s="15">
        <f>SUM(AH749:AL749)</f>
        <v>0</v>
      </c>
      <c r="AO749" s="2"/>
      <c r="AP749" s="3"/>
      <c r="AQ749" s="3"/>
      <c r="AR749" s="3"/>
      <c r="AS749" s="3"/>
      <c r="AT749" s="15">
        <f>SUM(AO749:AS749)</f>
        <v>0</v>
      </c>
      <c r="AV749" s="2"/>
      <c r="AW749" s="3"/>
      <c r="AX749" s="3"/>
      <c r="AY749" s="3"/>
      <c r="AZ749" s="3"/>
      <c r="BA749" s="15">
        <f>SUM(AV749:AZ749)</f>
        <v>0</v>
      </c>
      <c r="BC749" s="2"/>
      <c r="BD749" s="3"/>
      <c r="BE749" s="3"/>
      <c r="BF749" s="3"/>
      <c r="BG749" s="3"/>
      <c r="BH749" s="15">
        <f>SUM(BC749:BG749)</f>
        <v>0</v>
      </c>
      <c r="BJ749" s="2"/>
      <c r="BK749" s="3"/>
      <c r="BL749" s="3"/>
      <c r="BM749" s="3"/>
      <c r="BN749" s="3"/>
      <c r="BO749" s="15">
        <f>SUM(BJ749:BN749)</f>
        <v>0</v>
      </c>
      <c r="BQ749" s="2"/>
      <c r="BR749" s="3"/>
      <c r="BS749" s="3"/>
      <c r="BT749" s="3"/>
      <c r="BU749" s="3"/>
      <c r="BV749" s="15">
        <f>SUM(BQ749:BU749)</f>
        <v>0</v>
      </c>
      <c r="BX749" s="2"/>
      <c r="BY749" s="3"/>
      <c r="BZ749" s="3"/>
      <c r="CA749" s="3"/>
      <c r="CB749" s="3"/>
      <c r="CC749" s="15">
        <f>SUM(BX749:CB749)</f>
        <v>0</v>
      </c>
      <c r="CE749" s="26">
        <f t="shared" ref="CE749:CE752" si="3414">F749+M749+T749+AA749+AH749+AO749+AV749+BC749+BJ749+BQ749+BX749</f>
        <v>0</v>
      </c>
      <c r="CF749" s="27">
        <f t="shared" ref="CF749:CF752" si="3415">G749+N749+U749+AB749+AI749+AP749+AW749+BD749+BK749+BR749+BY749</f>
        <v>0</v>
      </c>
      <c r="CG749" s="27">
        <f t="shared" ref="CG749:CG752" si="3416">H749+O749+V749+AC749+AJ749+AQ749+AX749+BE749+BL749+BS749+BZ749</f>
        <v>0</v>
      </c>
      <c r="CH749" s="27">
        <f t="shared" ref="CH749:CH752" si="3417">I749+P749+W749+AD749+AK749+AR749+AY749+BF749+BM749+BT749+CA749</f>
        <v>0</v>
      </c>
      <c r="CI749" s="27">
        <f t="shared" ref="CI749:CI752" si="3418">J749+Q749+X749+AE749+AL749+AS749+AZ749+BG749+BN749+BU749+CB749</f>
        <v>0</v>
      </c>
      <c r="CJ749" s="4">
        <f>SUM(CE749:CI749)</f>
        <v>0</v>
      </c>
      <c r="CL749" s="2"/>
      <c r="CM749" s="3"/>
      <c r="CN749" s="3"/>
      <c r="CO749" s="3"/>
      <c r="CP749" s="3"/>
      <c r="CQ749" s="15">
        <f>SUM(CL749:CP749)</f>
        <v>0</v>
      </c>
      <c r="CS749" s="2"/>
      <c r="CT749" s="3"/>
      <c r="CU749" s="3"/>
      <c r="CV749" s="3"/>
      <c r="CW749" s="3"/>
      <c r="CX749" s="4">
        <f>SUM(CS749:CW749)</f>
        <v>0</v>
      </c>
      <c r="CZ749" s="2"/>
      <c r="DA749" s="3"/>
      <c r="DB749" s="3"/>
      <c r="DC749" s="3"/>
      <c r="DD749" s="3"/>
      <c r="DE749" s="15">
        <f>SUM(CZ749:DD749)</f>
        <v>0</v>
      </c>
    </row>
    <row r="750" spans="2:110">
      <c r="C750" s="567"/>
      <c r="E750" s="14" t="s">
        <v>60</v>
      </c>
      <c r="F750" s="23">
        <f t="shared" ref="F750:F752" si="3419">CE744</f>
        <v>0</v>
      </c>
      <c r="G750" s="24">
        <f t="shared" si="3410"/>
        <v>0</v>
      </c>
      <c r="H750" s="24">
        <f t="shared" si="3411"/>
        <v>0</v>
      </c>
      <c r="I750" s="24">
        <f t="shared" si="3412"/>
        <v>0</v>
      </c>
      <c r="J750" s="24">
        <f t="shared" si="3413"/>
        <v>0</v>
      </c>
      <c r="K750" s="16">
        <f t="shared" ref="K750:K752" si="3420">SUM(F750:J750)</f>
        <v>0</v>
      </c>
      <c r="M750" s="6"/>
      <c r="N750" s="7"/>
      <c r="O750" s="7"/>
      <c r="P750" s="7"/>
      <c r="Q750" s="7"/>
      <c r="R750" s="16">
        <f t="shared" ref="R750:R752" si="3421">SUM(M750:Q750)</f>
        <v>0</v>
      </c>
      <c r="T750" s="6"/>
      <c r="U750" s="7"/>
      <c r="V750" s="7"/>
      <c r="W750" s="7"/>
      <c r="X750" s="7"/>
      <c r="Y750" s="16">
        <f t="shared" ref="Y750:Y752" si="3422">SUM(T750:X750)</f>
        <v>0</v>
      </c>
      <c r="AA750" s="6"/>
      <c r="AB750" s="7"/>
      <c r="AC750" s="7"/>
      <c r="AD750" s="7"/>
      <c r="AE750" s="7"/>
      <c r="AF750" s="16">
        <f>SUM(AA750:AE750)</f>
        <v>0</v>
      </c>
      <c r="AH750" s="6"/>
      <c r="AI750" s="7"/>
      <c r="AJ750" s="7"/>
      <c r="AK750" s="7"/>
      <c r="AL750" s="7"/>
      <c r="AM750" s="16">
        <f>SUM(AH750:AL750)</f>
        <v>0</v>
      </c>
      <c r="AO750" s="6"/>
      <c r="AP750" s="7"/>
      <c r="AQ750" s="7"/>
      <c r="AR750" s="7"/>
      <c r="AS750" s="7"/>
      <c r="AT750" s="16">
        <f>SUM(AO750:AS750)</f>
        <v>0</v>
      </c>
      <c r="AV750" s="6"/>
      <c r="AW750" s="7"/>
      <c r="AX750" s="7"/>
      <c r="AY750" s="7"/>
      <c r="AZ750" s="7"/>
      <c r="BA750" s="16">
        <f>SUM(AV750:AZ750)</f>
        <v>0</v>
      </c>
      <c r="BC750" s="6"/>
      <c r="BD750" s="7"/>
      <c r="BE750" s="7"/>
      <c r="BF750" s="7"/>
      <c r="BG750" s="7"/>
      <c r="BH750" s="16">
        <f>SUM(BC750:BG750)</f>
        <v>0</v>
      </c>
      <c r="BJ750" s="6"/>
      <c r="BK750" s="7"/>
      <c r="BL750" s="7"/>
      <c r="BM750" s="7"/>
      <c r="BN750" s="7"/>
      <c r="BO750" s="16">
        <f>SUM(BJ750:BN750)</f>
        <v>0</v>
      </c>
      <c r="BQ750" s="6"/>
      <c r="BR750" s="7"/>
      <c r="BS750" s="7"/>
      <c r="BT750" s="7"/>
      <c r="BU750" s="7"/>
      <c r="BV750" s="16">
        <f>SUM(BQ750:BU750)</f>
        <v>0</v>
      </c>
      <c r="BX750" s="6"/>
      <c r="BY750" s="7"/>
      <c r="BZ750" s="7"/>
      <c r="CA750" s="7"/>
      <c r="CB750" s="7"/>
      <c r="CC750" s="16">
        <f>SUM(BX750:CB750)</f>
        <v>0</v>
      </c>
      <c r="CE750" s="28">
        <f t="shared" si="3414"/>
        <v>0</v>
      </c>
      <c r="CF750" s="29">
        <f t="shared" si="3415"/>
        <v>0</v>
      </c>
      <c r="CG750" s="29">
        <f t="shared" si="3416"/>
        <v>0</v>
      </c>
      <c r="CH750" s="29">
        <f t="shared" si="3417"/>
        <v>0</v>
      </c>
      <c r="CI750" s="29">
        <f t="shared" si="3418"/>
        <v>0</v>
      </c>
      <c r="CJ750" s="8">
        <f>SUM(CE750:CI750)</f>
        <v>0</v>
      </c>
      <c r="CL750" s="6"/>
      <c r="CM750" s="7"/>
      <c r="CN750" s="7"/>
      <c r="CO750" s="7"/>
      <c r="CP750" s="7"/>
      <c r="CQ750" s="16">
        <f>SUM(CL750:CP750)</f>
        <v>0</v>
      </c>
      <c r="CS750" s="6"/>
      <c r="CT750" s="7"/>
      <c r="CU750" s="7"/>
      <c r="CV750" s="7"/>
      <c r="CW750" s="7"/>
      <c r="CX750" s="8">
        <f t="shared" ref="CX750:CX752" si="3423">SUM(CS750:CW750)</f>
        <v>0</v>
      </c>
      <c r="CZ750" s="6"/>
      <c r="DA750" s="7"/>
      <c r="DB750" s="7"/>
      <c r="DC750" s="7"/>
      <c r="DD750" s="7"/>
      <c r="DE750" s="16">
        <f t="shared" ref="DE750:DE752" si="3424">SUM(CZ750:DD750)</f>
        <v>0</v>
      </c>
    </row>
    <row r="751" spans="2:110">
      <c r="C751" s="567"/>
      <c r="E751" s="14" t="s">
        <v>61</v>
      </c>
      <c r="F751" s="23">
        <f t="shared" si="3419"/>
        <v>0</v>
      </c>
      <c r="G751" s="24">
        <f t="shared" si="3410"/>
        <v>0</v>
      </c>
      <c r="H751" s="24">
        <f t="shared" si="3411"/>
        <v>0</v>
      </c>
      <c r="I751" s="24">
        <f t="shared" si="3412"/>
        <v>0</v>
      </c>
      <c r="J751" s="24">
        <f t="shared" si="3413"/>
        <v>0</v>
      </c>
      <c r="K751" s="16">
        <f t="shared" si="3420"/>
        <v>0</v>
      </c>
      <c r="M751" s="6"/>
      <c r="N751" s="7"/>
      <c r="O751" s="7"/>
      <c r="P751" s="7"/>
      <c r="Q751" s="7"/>
      <c r="R751" s="16">
        <f t="shared" si="3421"/>
        <v>0</v>
      </c>
      <c r="T751" s="6"/>
      <c r="U751" s="7"/>
      <c r="V751" s="7"/>
      <c r="W751" s="7"/>
      <c r="X751" s="7"/>
      <c r="Y751" s="16">
        <f t="shared" si="3422"/>
        <v>0</v>
      </c>
      <c r="AA751" s="6"/>
      <c r="AB751" s="7"/>
      <c r="AC751" s="7"/>
      <c r="AD751" s="7"/>
      <c r="AE751" s="7"/>
      <c r="AF751" s="16">
        <f>SUM(AA751:AE751)</f>
        <v>0</v>
      </c>
      <c r="AH751" s="6"/>
      <c r="AI751" s="7"/>
      <c r="AJ751" s="7"/>
      <c r="AK751" s="7"/>
      <c r="AL751" s="7"/>
      <c r="AM751" s="16">
        <f>SUM(AH751:AL751)</f>
        <v>0</v>
      </c>
      <c r="AO751" s="6"/>
      <c r="AP751" s="7"/>
      <c r="AQ751" s="7"/>
      <c r="AR751" s="7"/>
      <c r="AS751" s="7"/>
      <c r="AT751" s="16">
        <f>SUM(AO751:AS751)</f>
        <v>0</v>
      </c>
      <c r="AV751" s="6"/>
      <c r="AW751" s="7"/>
      <c r="AX751" s="7"/>
      <c r="AY751" s="7"/>
      <c r="AZ751" s="7"/>
      <c r="BA751" s="16">
        <f>SUM(AV751:AZ751)</f>
        <v>0</v>
      </c>
      <c r="BC751" s="6"/>
      <c r="BD751" s="7"/>
      <c r="BE751" s="7"/>
      <c r="BF751" s="7"/>
      <c r="BG751" s="7"/>
      <c r="BH751" s="16">
        <f>SUM(BC751:BG751)</f>
        <v>0</v>
      </c>
      <c r="BJ751" s="6"/>
      <c r="BK751" s="7"/>
      <c r="BL751" s="7"/>
      <c r="BM751" s="7"/>
      <c r="BN751" s="7"/>
      <c r="BO751" s="16">
        <f>SUM(BJ751:BN751)</f>
        <v>0</v>
      </c>
      <c r="BQ751" s="6"/>
      <c r="BR751" s="7"/>
      <c r="BS751" s="7"/>
      <c r="BT751" s="7"/>
      <c r="BU751" s="7"/>
      <c r="BV751" s="16">
        <f>SUM(BQ751:BU751)</f>
        <v>0</v>
      </c>
      <c r="BX751" s="6"/>
      <c r="BY751" s="7"/>
      <c r="BZ751" s="7"/>
      <c r="CA751" s="7"/>
      <c r="CB751" s="7"/>
      <c r="CC751" s="16">
        <f>SUM(BX751:CB751)</f>
        <v>0</v>
      </c>
      <c r="CE751" s="28">
        <f t="shared" si="3414"/>
        <v>0</v>
      </c>
      <c r="CF751" s="29">
        <f t="shared" si="3415"/>
        <v>0</v>
      </c>
      <c r="CG751" s="29">
        <f t="shared" si="3416"/>
        <v>0</v>
      </c>
      <c r="CH751" s="29">
        <f t="shared" si="3417"/>
        <v>0</v>
      </c>
      <c r="CI751" s="29">
        <f t="shared" si="3418"/>
        <v>0</v>
      </c>
      <c r="CJ751" s="8">
        <f>SUM(CE751:CI751)</f>
        <v>0</v>
      </c>
      <c r="CL751" s="6"/>
      <c r="CM751" s="7"/>
      <c r="CN751" s="7"/>
      <c r="CO751" s="7"/>
      <c r="CP751" s="7"/>
      <c r="CQ751" s="16">
        <f>SUM(CL751:CP751)</f>
        <v>0</v>
      </c>
      <c r="CS751" s="6"/>
      <c r="CT751" s="7"/>
      <c r="CU751" s="7"/>
      <c r="CV751" s="7"/>
      <c r="CW751" s="7"/>
      <c r="CX751" s="8">
        <f t="shared" si="3423"/>
        <v>0</v>
      </c>
      <c r="CZ751" s="6"/>
      <c r="DA751" s="7"/>
      <c r="DB751" s="7"/>
      <c r="DC751" s="7"/>
      <c r="DD751" s="7"/>
      <c r="DE751" s="16">
        <f t="shared" si="3424"/>
        <v>0</v>
      </c>
    </row>
    <row r="752" spans="2:110" ht="14" thickBot="1">
      <c r="C752" s="567"/>
      <c r="E752" s="14" t="s">
        <v>62</v>
      </c>
      <c r="F752" s="23">
        <f t="shared" si="3419"/>
        <v>0</v>
      </c>
      <c r="G752" s="24">
        <f t="shared" si="3410"/>
        <v>0</v>
      </c>
      <c r="H752" s="24">
        <f t="shared" si="3411"/>
        <v>0</v>
      </c>
      <c r="I752" s="24">
        <f t="shared" si="3412"/>
        <v>0</v>
      </c>
      <c r="J752" s="24">
        <f t="shared" si="3413"/>
        <v>0</v>
      </c>
      <c r="K752" s="16">
        <f t="shared" si="3420"/>
        <v>0</v>
      </c>
      <c r="M752" s="6"/>
      <c r="N752" s="7"/>
      <c r="O752" s="7"/>
      <c r="P752" s="7"/>
      <c r="Q752" s="7"/>
      <c r="R752" s="16">
        <f t="shared" si="3421"/>
        <v>0</v>
      </c>
      <c r="T752" s="6"/>
      <c r="U752" s="7"/>
      <c r="V752" s="7"/>
      <c r="W752" s="7"/>
      <c r="X752" s="7"/>
      <c r="Y752" s="16">
        <f t="shared" si="3422"/>
        <v>0</v>
      </c>
      <c r="AA752" s="6"/>
      <c r="AB752" s="7"/>
      <c r="AC752" s="7"/>
      <c r="AD752" s="7"/>
      <c r="AE752" s="7"/>
      <c r="AF752" s="16">
        <f>SUM(AA752:AE752)</f>
        <v>0</v>
      </c>
      <c r="AH752" s="6"/>
      <c r="AI752" s="7"/>
      <c r="AJ752" s="7"/>
      <c r="AK752" s="7"/>
      <c r="AL752" s="7"/>
      <c r="AM752" s="16">
        <f>SUM(AH752:AL752)</f>
        <v>0</v>
      </c>
      <c r="AO752" s="6"/>
      <c r="AP752" s="7"/>
      <c r="AQ752" s="7"/>
      <c r="AR752" s="7"/>
      <c r="AS752" s="7"/>
      <c r="AT752" s="16">
        <f>SUM(AO752:AS752)</f>
        <v>0</v>
      </c>
      <c r="AV752" s="6"/>
      <c r="AW752" s="7"/>
      <c r="AX752" s="7"/>
      <c r="AY752" s="7"/>
      <c r="AZ752" s="7"/>
      <c r="BA752" s="16">
        <f>SUM(AV752:AZ752)</f>
        <v>0</v>
      </c>
      <c r="BC752" s="6"/>
      <c r="BD752" s="7"/>
      <c r="BE752" s="7"/>
      <c r="BF752" s="7"/>
      <c r="BG752" s="7"/>
      <c r="BH752" s="16">
        <f>SUM(BC752:BG752)</f>
        <v>0</v>
      </c>
      <c r="BJ752" s="6"/>
      <c r="BK752" s="7"/>
      <c r="BL752" s="7"/>
      <c r="BM752" s="7"/>
      <c r="BN752" s="7"/>
      <c r="BO752" s="16">
        <f>SUM(BJ752:BN752)</f>
        <v>0</v>
      </c>
      <c r="BQ752" s="6"/>
      <c r="BR752" s="7"/>
      <c r="BS752" s="7"/>
      <c r="BT752" s="7"/>
      <c r="BU752" s="7"/>
      <c r="BV752" s="16">
        <f>SUM(BQ752:BU752)</f>
        <v>0</v>
      </c>
      <c r="BX752" s="6"/>
      <c r="BY752" s="7"/>
      <c r="BZ752" s="7"/>
      <c r="CA752" s="7"/>
      <c r="CB752" s="7"/>
      <c r="CC752" s="16">
        <f>SUM(BX752:CB752)</f>
        <v>0</v>
      </c>
      <c r="CE752" s="493">
        <f t="shared" si="3414"/>
        <v>0</v>
      </c>
      <c r="CF752" s="494">
        <f t="shared" si="3415"/>
        <v>0</v>
      </c>
      <c r="CG752" s="494">
        <f t="shared" si="3416"/>
        <v>0</v>
      </c>
      <c r="CH752" s="494">
        <f t="shared" si="3417"/>
        <v>0</v>
      </c>
      <c r="CI752" s="494">
        <f t="shared" si="3418"/>
        <v>0</v>
      </c>
      <c r="CJ752" s="495">
        <f>SUM(CE752:CI752)</f>
        <v>0</v>
      </c>
      <c r="CL752" s="6"/>
      <c r="CM752" s="7"/>
      <c r="CN752" s="7"/>
      <c r="CO752" s="7"/>
      <c r="CP752" s="7"/>
      <c r="CQ752" s="16">
        <f>SUM(CL752:CP752)</f>
        <v>0</v>
      </c>
      <c r="CS752" s="6"/>
      <c r="CT752" s="7"/>
      <c r="CU752" s="7"/>
      <c r="CV752" s="7"/>
      <c r="CW752" s="7"/>
      <c r="CX752" s="8">
        <f t="shared" si="3423"/>
        <v>0</v>
      </c>
      <c r="CZ752" s="6"/>
      <c r="DA752" s="7"/>
      <c r="DB752" s="7"/>
      <c r="DC752" s="7"/>
      <c r="DD752" s="7"/>
      <c r="DE752" s="16">
        <f t="shared" si="3424"/>
        <v>0</v>
      </c>
    </row>
    <row r="753" spans="3:109" ht="14" thickBot="1">
      <c r="C753" s="554"/>
      <c r="E753" s="17"/>
      <c r="F753" s="10">
        <f>SUM(F749:F752)</f>
        <v>0</v>
      </c>
      <c r="G753" s="11">
        <f t="shared" ref="G753:J753" si="3425">SUM(G749:G752)</f>
        <v>0</v>
      </c>
      <c r="H753" s="11">
        <f t="shared" si="3425"/>
        <v>0</v>
      </c>
      <c r="I753" s="11">
        <f t="shared" si="3425"/>
        <v>0</v>
      </c>
      <c r="J753" s="11">
        <f t="shared" si="3425"/>
        <v>0</v>
      </c>
      <c r="K753" s="25">
        <f>SUM(K749:K752)</f>
        <v>0</v>
      </c>
      <c r="M753" s="10">
        <f>SUM(M749:M752)</f>
        <v>0</v>
      </c>
      <c r="N753" s="11">
        <f t="shared" ref="N753:Q753" si="3426">SUM(N749:N752)</f>
        <v>0</v>
      </c>
      <c r="O753" s="11">
        <f t="shared" si="3426"/>
        <v>0</v>
      </c>
      <c r="P753" s="11">
        <f t="shared" si="3426"/>
        <v>0</v>
      </c>
      <c r="Q753" s="11">
        <f t="shared" si="3426"/>
        <v>0</v>
      </c>
      <c r="R753" s="25">
        <f>SUM(R749:R752)</f>
        <v>0</v>
      </c>
      <c r="T753" s="10">
        <f>SUM(T749:T752)</f>
        <v>0</v>
      </c>
      <c r="U753" s="11">
        <f t="shared" ref="U753:X753" si="3427">SUM(U749:U752)</f>
        <v>0</v>
      </c>
      <c r="V753" s="11">
        <f t="shared" si="3427"/>
        <v>0</v>
      </c>
      <c r="W753" s="11">
        <f t="shared" si="3427"/>
        <v>0</v>
      </c>
      <c r="X753" s="11">
        <f t="shared" si="3427"/>
        <v>0</v>
      </c>
      <c r="Y753" s="25">
        <f>SUM(Y749:Y752)</f>
        <v>0</v>
      </c>
      <c r="AA753" s="10">
        <f>SUM(AA749:AA752)</f>
        <v>0</v>
      </c>
      <c r="AB753" s="11">
        <f t="shared" ref="AB753:AE753" si="3428">SUM(AB749:AB752)</f>
        <v>0</v>
      </c>
      <c r="AC753" s="11">
        <f t="shared" si="3428"/>
        <v>0</v>
      </c>
      <c r="AD753" s="11">
        <f t="shared" si="3428"/>
        <v>0</v>
      </c>
      <c r="AE753" s="11">
        <f t="shared" si="3428"/>
        <v>0</v>
      </c>
      <c r="AF753" s="25">
        <f>SUM(AF749:AF752)</f>
        <v>0</v>
      </c>
      <c r="AH753" s="10">
        <f t="shared" ref="AH753:AM753" si="3429">SUM(AH749:AH752)</f>
        <v>0</v>
      </c>
      <c r="AI753" s="11">
        <f t="shared" si="3429"/>
        <v>0</v>
      </c>
      <c r="AJ753" s="11">
        <f t="shared" si="3429"/>
        <v>0</v>
      </c>
      <c r="AK753" s="11">
        <f t="shared" si="3429"/>
        <v>0</v>
      </c>
      <c r="AL753" s="11">
        <f t="shared" si="3429"/>
        <v>0</v>
      </c>
      <c r="AM753" s="25">
        <f t="shared" si="3429"/>
        <v>0</v>
      </c>
      <c r="AO753" s="10">
        <f t="shared" ref="AO753:AT753" si="3430">SUM(AO749:AO752)</f>
        <v>0</v>
      </c>
      <c r="AP753" s="11">
        <f t="shared" si="3430"/>
        <v>0</v>
      </c>
      <c r="AQ753" s="11">
        <f t="shared" si="3430"/>
        <v>0</v>
      </c>
      <c r="AR753" s="11">
        <f t="shared" si="3430"/>
        <v>0</v>
      </c>
      <c r="AS753" s="11">
        <f t="shared" si="3430"/>
        <v>0</v>
      </c>
      <c r="AT753" s="25">
        <f t="shared" si="3430"/>
        <v>0</v>
      </c>
      <c r="AV753" s="10">
        <f t="shared" ref="AV753:BA753" si="3431">SUM(AV749:AV752)</f>
        <v>0</v>
      </c>
      <c r="AW753" s="11">
        <f t="shared" si="3431"/>
        <v>0</v>
      </c>
      <c r="AX753" s="11">
        <f t="shared" si="3431"/>
        <v>0</v>
      </c>
      <c r="AY753" s="11">
        <f t="shared" si="3431"/>
        <v>0</v>
      </c>
      <c r="AZ753" s="11">
        <f t="shared" si="3431"/>
        <v>0</v>
      </c>
      <c r="BA753" s="25">
        <f t="shared" si="3431"/>
        <v>0</v>
      </c>
      <c r="BC753" s="10">
        <f t="shared" ref="BC753:BH753" si="3432">SUM(BC749:BC752)</f>
        <v>0</v>
      </c>
      <c r="BD753" s="11">
        <f t="shared" si="3432"/>
        <v>0</v>
      </c>
      <c r="BE753" s="11">
        <f t="shared" si="3432"/>
        <v>0</v>
      </c>
      <c r="BF753" s="11">
        <f t="shared" si="3432"/>
        <v>0</v>
      </c>
      <c r="BG753" s="11">
        <f t="shared" si="3432"/>
        <v>0</v>
      </c>
      <c r="BH753" s="25">
        <f t="shared" si="3432"/>
        <v>0</v>
      </c>
      <c r="BJ753" s="10">
        <f t="shared" ref="BJ753:BO753" si="3433">SUM(BJ749:BJ752)</f>
        <v>0</v>
      </c>
      <c r="BK753" s="11">
        <f t="shared" si="3433"/>
        <v>0</v>
      </c>
      <c r="BL753" s="11">
        <f t="shared" si="3433"/>
        <v>0</v>
      </c>
      <c r="BM753" s="11">
        <f t="shared" si="3433"/>
        <v>0</v>
      </c>
      <c r="BN753" s="11">
        <f t="shared" si="3433"/>
        <v>0</v>
      </c>
      <c r="BO753" s="25">
        <f t="shared" si="3433"/>
        <v>0</v>
      </c>
      <c r="BQ753" s="10">
        <f t="shared" ref="BQ753:BV753" si="3434">SUM(BQ749:BQ752)</f>
        <v>0</v>
      </c>
      <c r="BR753" s="11">
        <f t="shared" si="3434"/>
        <v>0</v>
      </c>
      <c r="BS753" s="11">
        <f t="shared" si="3434"/>
        <v>0</v>
      </c>
      <c r="BT753" s="11">
        <f t="shared" si="3434"/>
        <v>0</v>
      </c>
      <c r="BU753" s="11">
        <f t="shared" si="3434"/>
        <v>0</v>
      </c>
      <c r="BV753" s="25">
        <f t="shared" si="3434"/>
        <v>0</v>
      </c>
      <c r="BX753" s="10">
        <f t="shared" ref="BX753:CC753" si="3435">SUM(BX749:BX752)</f>
        <v>0</v>
      </c>
      <c r="BY753" s="11">
        <f t="shared" si="3435"/>
        <v>0</v>
      </c>
      <c r="BZ753" s="11">
        <f t="shared" si="3435"/>
        <v>0</v>
      </c>
      <c r="CA753" s="11">
        <f t="shared" si="3435"/>
        <v>0</v>
      </c>
      <c r="CB753" s="11">
        <f t="shared" si="3435"/>
        <v>0</v>
      </c>
      <c r="CC753" s="25">
        <f t="shared" si="3435"/>
        <v>0</v>
      </c>
      <c r="CE753" s="62">
        <f t="shared" ref="CE753:CJ753" si="3436">SUM(CE749:CE752)</f>
        <v>0</v>
      </c>
      <c r="CF753" s="63">
        <f t="shared" si="3436"/>
        <v>0</v>
      </c>
      <c r="CG753" s="63">
        <f t="shared" si="3436"/>
        <v>0</v>
      </c>
      <c r="CH753" s="63">
        <f t="shared" si="3436"/>
        <v>0</v>
      </c>
      <c r="CI753" s="63">
        <f t="shared" si="3436"/>
        <v>0</v>
      </c>
      <c r="CJ753" s="25">
        <f t="shared" si="3436"/>
        <v>0</v>
      </c>
      <c r="CL753" s="10">
        <f>SUM(CL749:CL752)</f>
        <v>0</v>
      </c>
      <c r="CM753" s="11">
        <f t="shared" ref="CM753:CQ753" si="3437">SUM(CM749:CM752)</f>
        <v>0</v>
      </c>
      <c r="CN753" s="11">
        <f t="shared" si="3437"/>
        <v>0</v>
      </c>
      <c r="CO753" s="11">
        <f t="shared" si="3437"/>
        <v>0</v>
      </c>
      <c r="CP753" s="11">
        <f t="shared" si="3437"/>
        <v>0</v>
      </c>
      <c r="CQ753" s="25">
        <f t="shared" si="3437"/>
        <v>0</v>
      </c>
      <c r="CS753" s="10">
        <f>SUM(CS749:CS752)</f>
        <v>0</v>
      </c>
      <c r="CT753" s="11">
        <f t="shared" ref="CT753:CW753" si="3438">SUM(CT749:CT752)</f>
        <v>0</v>
      </c>
      <c r="CU753" s="11">
        <f t="shared" si="3438"/>
        <v>0</v>
      </c>
      <c r="CV753" s="11">
        <f t="shared" si="3438"/>
        <v>0</v>
      </c>
      <c r="CW753" s="11">
        <f t="shared" si="3438"/>
        <v>0</v>
      </c>
      <c r="CX753" s="25">
        <f>SUM(CX749:CX752)</f>
        <v>0</v>
      </c>
      <c r="CZ753" s="10">
        <f>SUM(CZ749:CZ752)</f>
        <v>0</v>
      </c>
      <c r="DA753" s="11">
        <f t="shared" ref="DA753:DD753" si="3439">SUM(DA749:DA752)</f>
        <v>0</v>
      </c>
      <c r="DB753" s="11">
        <f t="shared" si="3439"/>
        <v>0</v>
      </c>
      <c r="DC753" s="11">
        <f t="shared" si="3439"/>
        <v>0</v>
      </c>
      <c r="DD753" s="11">
        <f t="shared" si="3439"/>
        <v>0</v>
      </c>
      <c r="DE753" s="25">
        <f>SUM(DE749:DE752)</f>
        <v>0</v>
      </c>
    </row>
    <row r="754" spans="3:109" ht="10.4" customHeight="1" thickBot="1"/>
    <row r="755" spans="3:109">
      <c r="C755" s="553">
        <v>2026</v>
      </c>
      <c r="E755" s="13" t="s">
        <v>59</v>
      </c>
      <c r="F755" s="21">
        <f>CE749</f>
        <v>0</v>
      </c>
      <c r="G755" s="22">
        <f t="shared" ref="G755:G758" si="3440">CF749</f>
        <v>0</v>
      </c>
      <c r="H755" s="22">
        <f t="shared" ref="H755:H758" si="3441">CG749</f>
        <v>0</v>
      </c>
      <c r="I755" s="22">
        <f t="shared" ref="I755:I758" si="3442">CH749</f>
        <v>0</v>
      </c>
      <c r="J755" s="22">
        <f t="shared" ref="J755:J758" si="3443">CI749</f>
        <v>0</v>
      </c>
      <c r="K755" s="4">
        <f>SUM(F755:J755)</f>
        <v>0</v>
      </c>
      <c r="M755" s="2"/>
      <c r="N755" s="3"/>
      <c r="O755" s="3"/>
      <c r="P755" s="3"/>
      <c r="Q755" s="3"/>
      <c r="R755" s="4">
        <f>SUM(M755:Q755)</f>
        <v>0</v>
      </c>
      <c r="T755" s="2"/>
      <c r="U755" s="3"/>
      <c r="V755" s="3"/>
      <c r="W755" s="3"/>
      <c r="X755" s="3"/>
      <c r="Y755" s="4">
        <f>SUM(T755:X755)</f>
        <v>0</v>
      </c>
      <c r="AA755" s="2"/>
      <c r="AB755" s="3"/>
      <c r="AC755" s="3"/>
      <c r="AD755" s="3"/>
      <c r="AE755" s="3"/>
      <c r="AF755" s="4">
        <f>SUM(AA755:AE755)</f>
        <v>0</v>
      </c>
      <c r="AH755" s="2"/>
      <c r="AI755" s="3"/>
      <c r="AJ755" s="3"/>
      <c r="AK755" s="3"/>
      <c r="AL755" s="3"/>
      <c r="AM755" s="4">
        <f>SUM(AH755:AL755)</f>
        <v>0</v>
      </c>
      <c r="AO755" s="2"/>
      <c r="AP755" s="3"/>
      <c r="AQ755" s="3"/>
      <c r="AR755" s="3"/>
      <c r="AS755" s="3"/>
      <c r="AT755" s="4">
        <f>SUM(AO755:AS755)</f>
        <v>0</v>
      </c>
      <c r="AV755" s="2"/>
      <c r="AW755" s="3"/>
      <c r="AX755" s="3"/>
      <c r="AY755" s="3"/>
      <c r="AZ755" s="3"/>
      <c r="BA755" s="4">
        <f>SUM(AV755:AZ755)</f>
        <v>0</v>
      </c>
      <c r="BC755" s="2"/>
      <c r="BD755" s="3"/>
      <c r="BE755" s="3"/>
      <c r="BF755" s="3"/>
      <c r="BG755" s="3"/>
      <c r="BH755" s="4">
        <f>SUM(BC755:BG755)</f>
        <v>0</v>
      </c>
      <c r="BJ755" s="2"/>
      <c r="BK755" s="3"/>
      <c r="BL755" s="3"/>
      <c r="BM755" s="3"/>
      <c r="BN755" s="3"/>
      <c r="BO755" s="4">
        <f>SUM(BJ755:BN755)</f>
        <v>0</v>
      </c>
      <c r="BQ755" s="2"/>
      <c r="BR755" s="3"/>
      <c r="BS755" s="3"/>
      <c r="BT755" s="3"/>
      <c r="BU755" s="3"/>
      <c r="BV755" s="4">
        <f>SUM(BQ755:BU755)</f>
        <v>0</v>
      </c>
      <c r="BX755" s="2"/>
      <c r="BY755" s="3"/>
      <c r="BZ755" s="3"/>
      <c r="CA755" s="3"/>
      <c r="CB755" s="3"/>
      <c r="CC755" s="4">
        <f>SUM(BX755:CB755)</f>
        <v>0</v>
      </c>
      <c r="CE755" s="26">
        <f t="shared" ref="CE755:CE758" si="3444">F755+M755+T755+AA755+AH755+AO755+AV755+BC755+BJ755+BQ755+BX755</f>
        <v>0</v>
      </c>
      <c r="CF755" s="27">
        <f t="shared" ref="CF755:CF758" si="3445">G755+N755+U755+AB755+AI755+AP755+AW755+BD755+BK755+BR755+BY755</f>
        <v>0</v>
      </c>
      <c r="CG755" s="27">
        <f t="shared" ref="CG755:CG758" si="3446">H755+O755+V755+AC755+AJ755+AQ755+AX755+BE755+BL755+BS755+BZ755</f>
        <v>0</v>
      </c>
      <c r="CH755" s="27">
        <f t="shared" ref="CH755:CH758" si="3447">I755+P755+W755+AD755+AK755+AR755+AY755+BF755+BM755+BT755+CA755</f>
        <v>0</v>
      </c>
      <c r="CI755" s="27">
        <f t="shared" ref="CI755:CI758" si="3448">J755+Q755+X755+AE755+AL755+AS755+AZ755+BG755+BN755+BU755+CB755</f>
        <v>0</v>
      </c>
      <c r="CJ755" s="4">
        <f>SUM(CE755:CI755)</f>
        <v>0</v>
      </c>
      <c r="CL755" s="2"/>
      <c r="CM755" s="3"/>
      <c r="CN755" s="3"/>
      <c r="CO755" s="3"/>
      <c r="CP755" s="3"/>
      <c r="CQ755" s="4">
        <f>SUM(CL755:CP755)</f>
        <v>0</v>
      </c>
      <c r="CS755" s="2"/>
      <c r="CT755" s="3"/>
      <c r="CU755" s="3"/>
      <c r="CV755" s="3"/>
      <c r="CW755" s="3"/>
      <c r="CX755" s="4">
        <f>SUM(CS755:CW755)</f>
        <v>0</v>
      </c>
      <c r="CZ755" s="2"/>
      <c r="DA755" s="3"/>
      <c r="DB755" s="3"/>
      <c r="DC755" s="3"/>
      <c r="DD755" s="3"/>
      <c r="DE755" s="4">
        <f>SUM(CZ755:DD755)</f>
        <v>0</v>
      </c>
    </row>
    <row r="756" spans="3:109">
      <c r="C756" s="567"/>
      <c r="E756" s="14" t="s">
        <v>60</v>
      </c>
      <c r="F756" s="23">
        <f t="shared" ref="F756:F758" si="3449">CE750</f>
        <v>0</v>
      </c>
      <c r="G756" s="24">
        <f t="shared" si="3440"/>
        <v>0</v>
      </c>
      <c r="H756" s="24">
        <f t="shared" si="3441"/>
        <v>0</v>
      </c>
      <c r="I756" s="24">
        <f t="shared" si="3442"/>
        <v>0</v>
      </c>
      <c r="J756" s="24">
        <f t="shared" si="3443"/>
        <v>0</v>
      </c>
      <c r="K756" s="8">
        <f t="shared" ref="K756:K758" si="3450">SUM(F756:J756)</f>
        <v>0</v>
      </c>
      <c r="M756" s="6"/>
      <c r="N756" s="7"/>
      <c r="O756" s="7"/>
      <c r="P756" s="7"/>
      <c r="Q756" s="7"/>
      <c r="R756" s="8">
        <f t="shared" ref="R756:R758" si="3451">SUM(M756:Q756)</f>
        <v>0</v>
      </c>
      <c r="T756" s="6"/>
      <c r="U756" s="7"/>
      <c r="V756" s="7"/>
      <c r="W756" s="7"/>
      <c r="X756" s="7"/>
      <c r="Y756" s="8">
        <f t="shared" ref="Y756:Y758" si="3452">SUM(T756:X756)</f>
        <v>0</v>
      </c>
      <c r="AA756" s="6"/>
      <c r="AB756" s="7"/>
      <c r="AC756" s="7"/>
      <c r="AD756" s="7"/>
      <c r="AE756" s="7"/>
      <c r="AF756" s="8">
        <f>SUM(AA756:AE756)</f>
        <v>0</v>
      </c>
      <c r="AH756" s="6"/>
      <c r="AI756" s="7"/>
      <c r="AJ756" s="7"/>
      <c r="AK756" s="7"/>
      <c r="AL756" s="7"/>
      <c r="AM756" s="8">
        <f>SUM(AH756:AL756)</f>
        <v>0</v>
      </c>
      <c r="AO756" s="6"/>
      <c r="AP756" s="7"/>
      <c r="AQ756" s="7"/>
      <c r="AR756" s="7"/>
      <c r="AS756" s="7"/>
      <c r="AT756" s="8">
        <f>SUM(AO756:AS756)</f>
        <v>0</v>
      </c>
      <c r="AV756" s="6"/>
      <c r="AW756" s="7"/>
      <c r="AX756" s="7"/>
      <c r="AY756" s="7"/>
      <c r="AZ756" s="7"/>
      <c r="BA756" s="8">
        <f>SUM(AV756:AZ756)</f>
        <v>0</v>
      </c>
      <c r="BC756" s="6"/>
      <c r="BD756" s="7"/>
      <c r="BE756" s="7"/>
      <c r="BF756" s="7"/>
      <c r="BG756" s="7"/>
      <c r="BH756" s="8">
        <f>SUM(BC756:BG756)</f>
        <v>0</v>
      </c>
      <c r="BJ756" s="6"/>
      <c r="BK756" s="7"/>
      <c r="BL756" s="7"/>
      <c r="BM756" s="7"/>
      <c r="BN756" s="7"/>
      <c r="BO756" s="8">
        <f>SUM(BJ756:BN756)</f>
        <v>0</v>
      </c>
      <c r="BQ756" s="6"/>
      <c r="BR756" s="7"/>
      <c r="BS756" s="7"/>
      <c r="BT756" s="7"/>
      <c r="BU756" s="7"/>
      <c r="BV756" s="8">
        <f>SUM(BQ756:BU756)</f>
        <v>0</v>
      </c>
      <c r="BX756" s="6"/>
      <c r="BY756" s="7"/>
      <c r="BZ756" s="7"/>
      <c r="CA756" s="7"/>
      <c r="CB756" s="7"/>
      <c r="CC756" s="8">
        <f>SUM(BX756:CB756)</f>
        <v>0</v>
      </c>
      <c r="CE756" s="28">
        <f t="shared" si="3444"/>
        <v>0</v>
      </c>
      <c r="CF756" s="29">
        <f t="shared" si="3445"/>
        <v>0</v>
      </c>
      <c r="CG756" s="29">
        <f t="shared" si="3446"/>
        <v>0</v>
      </c>
      <c r="CH756" s="29">
        <f t="shared" si="3447"/>
        <v>0</v>
      </c>
      <c r="CI756" s="29">
        <f t="shared" si="3448"/>
        <v>0</v>
      </c>
      <c r="CJ756" s="8">
        <f>SUM(CE756:CI756)</f>
        <v>0</v>
      </c>
      <c r="CL756" s="6"/>
      <c r="CM756" s="7"/>
      <c r="CN756" s="7"/>
      <c r="CO756" s="7"/>
      <c r="CP756" s="7"/>
      <c r="CQ756" s="8">
        <f>SUM(CL756:CP756)</f>
        <v>0</v>
      </c>
      <c r="CS756" s="6"/>
      <c r="CT756" s="7"/>
      <c r="CU756" s="7"/>
      <c r="CV756" s="7"/>
      <c r="CW756" s="7"/>
      <c r="CX756" s="8">
        <f t="shared" ref="CX756:CX758" si="3453">SUM(CS756:CW756)</f>
        <v>0</v>
      </c>
      <c r="CZ756" s="6"/>
      <c r="DA756" s="7"/>
      <c r="DB756" s="7"/>
      <c r="DC756" s="7"/>
      <c r="DD756" s="7"/>
      <c r="DE756" s="8">
        <f t="shared" ref="DE756:DE758" si="3454">SUM(CZ756:DD756)</f>
        <v>0</v>
      </c>
    </row>
    <row r="757" spans="3:109">
      <c r="C757" s="567"/>
      <c r="E757" s="14" t="s">
        <v>61</v>
      </c>
      <c r="F757" s="23">
        <f t="shared" si="3449"/>
        <v>0</v>
      </c>
      <c r="G757" s="24">
        <f t="shared" si="3440"/>
        <v>0</v>
      </c>
      <c r="H757" s="24">
        <f t="shared" si="3441"/>
        <v>0</v>
      </c>
      <c r="I757" s="24">
        <f t="shared" si="3442"/>
        <v>0</v>
      </c>
      <c r="J757" s="24">
        <f t="shared" si="3443"/>
        <v>0</v>
      </c>
      <c r="K757" s="8">
        <f t="shared" si="3450"/>
        <v>0</v>
      </c>
      <c r="M757" s="6"/>
      <c r="N757" s="7"/>
      <c r="O757" s="7"/>
      <c r="P757" s="7"/>
      <c r="Q757" s="7"/>
      <c r="R757" s="8">
        <f t="shared" si="3451"/>
        <v>0</v>
      </c>
      <c r="T757" s="6"/>
      <c r="U757" s="7"/>
      <c r="V757" s="7"/>
      <c r="W757" s="7"/>
      <c r="X757" s="7"/>
      <c r="Y757" s="8">
        <f t="shared" si="3452"/>
        <v>0</v>
      </c>
      <c r="AA757" s="6"/>
      <c r="AB757" s="7"/>
      <c r="AC757" s="7"/>
      <c r="AD757" s="7"/>
      <c r="AE757" s="7"/>
      <c r="AF757" s="8">
        <f>SUM(AA757:AE757)</f>
        <v>0</v>
      </c>
      <c r="AH757" s="6"/>
      <c r="AI757" s="7"/>
      <c r="AJ757" s="7"/>
      <c r="AK757" s="7"/>
      <c r="AL757" s="7"/>
      <c r="AM757" s="8">
        <f>SUM(AH757:AL757)</f>
        <v>0</v>
      </c>
      <c r="AO757" s="6"/>
      <c r="AP757" s="7"/>
      <c r="AQ757" s="7"/>
      <c r="AR757" s="7"/>
      <c r="AS757" s="7"/>
      <c r="AT757" s="8">
        <f>SUM(AO757:AS757)</f>
        <v>0</v>
      </c>
      <c r="AV757" s="6"/>
      <c r="AW757" s="7"/>
      <c r="AX757" s="7"/>
      <c r="AY757" s="7"/>
      <c r="AZ757" s="7"/>
      <c r="BA757" s="8">
        <f>SUM(AV757:AZ757)</f>
        <v>0</v>
      </c>
      <c r="BC757" s="6"/>
      <c r="BD757" s="7"/>
      <c r="BE757" s="7"/>
      <c r="BF757" s="7"/>
      <c r="BG757" s="7"/>
      <c r="BH757" s="8">
        <f>SUM(BC757:BG757)</f>
        <v>0</v>
      </c>
      <c r="BJ757" s="6"/>
      <c r="BK757" s="7"/>
      <c r="BL757" s="7"/>
      <c r="BM757" s="7"/>
      <c r="BN757" s="7"/>
      <c r="BO757" s="8">
        <f>SUM(BJ757:BN757)</f>
        <v>0</v>
      </c>
      <c r="BQ757" s="6"/>
      <c r="BR757" s="7"/>
      <c r="BS757" s="7"/>
      <c r="BT757" s="7"/>
      <c r="BU757" s="7"/>
      <c r="BV757" s="8">
        <f>SUM(BQ757:BU757)</f>
        <v>0</v>
      </c>
      <c r="BX757" s="6"/>
      <c r="BY757" s="7"/>
      <c r="BZ757" s="7"/>
      <c r="CA757" s="7"/>
      <c r="CB757" s="7"/>
      <c r="CC757" s="8">
        <f>SUM(BX757:CB757)</f>
        <v>0</v>
      </c>
      <c r="CE757" s="28">
        <f t="shared" si="3444"/>
        <v>0</v>
      </c>
      <c r="CF757" s="29">
        <f t="shared" si="3445"/>
        <v>0</v>
      </c>
      <c r="CG757" s="29">
        <f t="shared" si="3446"/>
        <v>0</v>
      </c>
      <c r="CH757" s="29">
        <f t="shared" si="3447"/>
        <v>0</v>
      </c>
      <c r="CI757" s="29">
        <f t="shared" si="3448"/>
        <v>0</v>
      </c>
      <c r="CJ757" s="8">
        <f>SUM(CE757:CI757)</f>
        <v>0</v>
      </c>
      <c r="CL757" s="6"/>
      <c r="CM757" s="7"/>
      <c r="CN757" s="7"/>
      <c r="CO757" s="7"/>
      <c r="CP757" s="7"/>
      <c r="CQ757" s="8">
        <f>SUM(CL757:CP757)</f>
        <v>0</v>
      </c>
      <c r="CS757" s="6"/>
      <c r="CT757" s="7"/>
      <c r="CU757" s="7"/>
      <c r="CV757" s="7"/>
      <c r="CW757" s="7"/>
      <c r="CX757" s="8">
        <f t="shared" si="3453"/>
        <v>0</v>
      </c>
      <c r="CZ757" s="6"/>
      <c r="DA757" s="7"/>
      <c r="DB757" s="7"/>
      <c r="DC757" s="7"/>
      <c r="DD757" s="7"/>
      <c r="DE757" s="8">
        <f t="shared" si="3454"/>
        <v>0</v>
      </c>
    </row>
    <row r="758" spans="3:109" ht="14" thickBot="1">
      <c r="C758" s="567"/>
      <c r="E758" s="14" t="s">
        <v>62</v>
      </c>
      <c r="F758" s="23">
        <f t="shared" si="3449"/>
        <v>0</v>
      </c>
      <c r="G758" s="24">
        <f t="shared" si="3440"/>
        <v>0</v>
      </c>
      <c r="H758" s="24">
        <f t="shared" si="3441"/>
        <v>0</v>
      </c>
      <c r="I758" s="24">
        <f t="shared" si="3442"/>
        <v>0</v>
      </c>
      <c r="J758" s="24">
        <f t="shared" si="3443"/>
        <v>0</v>
      </c>
      <c r="K758" s="8">
        <f t="shared" si="3450"/>
        <v>0</v>
      </c>
      <c r="M758" s="6"/>
      <c r="N758" s="7"/>
      <c r="O758" s="7"/>
      <c r="P758" s="7"/>
      <c r="Q758" s="7"/>
      <c r="R758" s="8">
        <f t="shared" si="3451"/>
        <v>0</v>
      </c>
      <c r="T758" s="6"/>
      <c r="U758" s="7"/>
      <c r="V758" s="7"/>
      <c r="W758" s="7"/>
      <c r="X758" s="7"/>
      <c r="Y758" s="8">
        <f t="shared" si="3452"/>
        <v>0</v>
      </c>
      <c r="AA758" s="6"/>
      <c r="AB758" s="7"/>
      <c r="AC758" s="7"/>
      <c r="AD758" s="7"/>
      <c r="AE758" s="7"/>
      <c r="AF758" s="8">
        <f>SUM(AA758:AE758)</f>
        <v>0</v>
      </c>
      <c r="AH758" s="6"/>
      <c r="AI758" s="7"/>
      <c r="AJ758" s="7"/>
      <c r="AK758" s="7"/>
      <c r="AL758" s="7"/>
      <c r="AM758" s="8">
        <f>SUM(AH758:AL758)</f>
        <v>0</v>
      </c>
      <c r="AO758" s="6"/>
      <c r="AP758" s="7"/>
      <c r="AQ758" s="7"/>
      <c r="AR758" s="7"/>
      <c r="AS758" s="7"/>
      <c r="AT758" s="8">
        <f>SUM(AO758:AS758)</f>
        <v>0</v>
      </c>
      <c r="AV758" s="6"/>
      <c r="AW758" s="7"/>
      <c r="AX758" s="7"/>
      <c r="AY758" s="7"/>
      <c r="AZ758" s="7"/>
      <c r="BA758" s="8">
        <f>SUM(AV758:AZ758)</f>
        <v>0</v>
      </c>
      <c r="BC758" s="6"/>
      <c r="BD758" s="7"/>
      <c r="BE758" s="7"/>
      <c r="BF758" s="7"/>
      <c r="BG758" s="7"/>
      <c r="BH758" s="8">
        <f>SUM(BC758:BG758)</f>
        <v>0</v>
      </c>
      <c r="BJ758" s="6"/>
      <c r="BK758" s="7"/>
      <c r="BL758" s="7"/>
      <c r="BM758" s="7"/>
      <c r="BN758" s="7"/>
      <c r="BO758" s="8">
        <f>SUM(BJ758:BN758)</f>
        <v>0</v>
      </c>
      <c r="BQ758" s="6"/>
      <c r="BR758" s="7"/>
      <c r="BS758" s="7"/>
      <c r="BT758" s="7"/>
      <c r="BU758" s="7"/>
      <c r="BV758" s="8">
        <f>SUM(BQ758:BU758)</f>
        <v>0</v>
      </c>
      <c r="BX758" s="6"/>
      <c r="BY758" s="7"/>
      <c r="BZ758" s="7"/>
      <c r="CA758" s="7"/>
      <c r="CB758" s="7"/>
      <c r="CC758" s="8">
        <f>SUM(BX758:CB758)</f>
        <v>0</v>
      </c>
      <c r="CE758" s="493">
        <f t="shared" si="3444"/>
        <v>0</v>
      </c>
      <c r="CF758" s="494">
        <f t="shared" si="3445"/>
        <v>0</v>
      </c>
      <c r="CG758" s="494">
        <f t="shared" si="3446"/>
        <v>0</v>
      </c>
      <c r="CH758" s="494">
        <f t="shared" si="3447"/>
        <v>0</v>
      </c>
      <c r="CI758" s="494">
        <f t="shared" si="3448"/>
        <v>0</v>
      </c>
      <c r="CJ758" s="495">
        <f>SUM(CE758:CI758)</f>
        <v>0</v>
      </c>
      <c r="CL758" s="6"/>
      <c r="CM758" s="7"/>
      <c r="CN758" s="7"/>
      <c r="CO758" s="7"/>
      <c r="CP758" s="7"/>
      <c r="CQ758" s="8">
        <f>SUM(CL758:CP758)</f>
        <v>0</v>
      </c>
      <c r="CS758" s="6"/>
      <c r="CT758" s="7"/>
      <c r="CU758" s="7"/>
      <c r="CV758" s="7"/>
      <c r="CW758" s="7"/>
      <c r="CX758" s="8">
        <f t="shared" si="3453"/>
        <v>0</v>
      </c>
      <c r="CZ758" s="6"/>
      <c r="DA758" s="7"/>
      <c r="DB758" s="7"/>
      <c r="DC758" s="7"/>
      <c r="DD758" s="7"/>
      <c r="DE758" s="8">
        <f t="shared" si="3454"/>
        <v>0</v>
      </c>
    </row>
    <row r="759" spans="3:109" ht="14" thickBot="1">
      <c r="C759" s="554"/>
      <c r="E759" s="17"/>
      <c r="F759" s="10">
        <f>SUM(F755:F758)</f>
        <v>0</v>
      </c>
      <c r="G759" s="11">
        <f t="shared" ref="G759:J759" si="3455">SUM(G755:G758)</f>
        <v>0</v>
      </c>
      <c r="H759" s="11">
        <f t="shared" si="3455"/>
        <v>0</v>
      </c>
      <c r="I759" s="11">
        <f t="shared" si="3455"/>
        <v>0</v>
      </c>
      <c r="J759" s="11">
        <f t="shared" si="3455"/>
        <v>0</v>
      </c>
      <c r="K759" s="25">
        <f>SUM(K755:K758)</f>
        <v>0</v>
      </c>
      <c r="M759" s="10">
        <f>SUM(M755:M758)</f>
        <v>0</v>
      </c>
      <c r="N759" s="11">
        <f t="shared" ref="N759:Q759" si="3456">SUM(N755:N758)</f>
        <v>0</v>
      </c>
      <c r="O759" s="11">
        <f t="shared" si="3456"/>
        <v>0</v>
      </c>
      <c r="P759" s="11">
        <f t="shared" si="3456"/>
        <v>0</v>
      </c>
      <c r="Q759" s="11">
        <f t="shared" si="3456"/>
        <v>0</v>
      </c>
      <c r="R759" s="25">
        <f>SUM(R755:R758)</f>
        <v>0</v>
      </c>
      <c r="T759" s="10">
        <f>SUM(T755:T758)</f>
        <v>0</v>
      </c>
      <c r="U759" s="11">
        <f t="shared" ref="U759:X759" si="3457">SUM(U755:U758)</f>
        <v>0</v>
      </c>
      <c r="V759" s="11">
        <f t="shared" si="3457"/>
        <v>0</v>
      </c>
      <c r="W759" s="11">
        <f t="shared" si="3457"/>
        <v>0</v>
      </c>
      <c r="X759" s="11">
        <f t="shared" si="3457"/>
        <v>0</v>
      </c>
      <c r="Y759" s="25">
        <f>SUM(Y755:Y758)</f>
        <v>0</v>
      </c>
      <c r="AA759" s="10">
        <f>SUM(AA755:AA758)</f>
        <v>0</v>
      </c>
      <c r="AB759" s="11">
        <f t="shared" ref="AB759:AE759" si="3458">SUM(AB755:AB758)</f>
        <v>0</v>
      </c>
      <c r="AC759" s="11">
        <f t="shared" si="3458"/>
        <v>0</v>
      </c>
      <c r="AD759" s="11">
        <f t="shared" si="3458"/>
        <v>0</v>
      </c>
      <c r="AE759" s="11">
        <f t="shared" si="3458"/>
        <v>0</v>
      </c>
      <c r="AF759" s="25">
        <f>SUM(AF755:AF758)</f>
        <v>0</v>
      </c>
      <c r="AH759" s="10">
        <f t="shared" ref="AH759:AM759" si="3459">SUM(AH755:AH758)</f>
        <v>0</v>
      </c>
      <c r="AI759" s="11">
        <f t="shared" si="3459"/>
        <v>0</v>
      </c>
      <c r="AJ759" s="11">
        <f t="shared" si="3459"/>
        <v>0</v>
      </c>
      <c r="AK759" s="11">
        <f t="shared" si="3459"/>
        <v>0</v>
      </c>
      <c r="AL759" s="11">
        <f t="shared" si="3459"/>
        <v>0</v>
      </c>
      <c r="AM759" s="25">
        <f t="shared" si="3459"/>
        <v>0</v>
      </c>
      <c r="AO759" s="10">
        <f t="shared" ref="AO759:AT759" si="3460">SUM(AO755:AO758)</f>
        <v>0</v>
      </c>
      <c r="AP759" s="11">
        <f t="shared" si="3460"/>
        <v>0</v>
      </c>
      <c r="AQ759" s="11">
        <f t="shared" si="3460"/>
        <v>0</v>
      </c>
      <c r="AR759" s="11">
        <f t="shared" si="3460"/>
        <v>0</v>
      </c>
      <c r="AS759" s="11">
        <f t="shared" si="3460"/>
        <v>0</v>
      </c>
      <c r="AT759" s="25">
        <f t="shared" si="3460"/>
        <v>0</v>
      </c>
      <c r="AV759" s="10">
        <f t="shared" ref="AV759:BA759" si="3461">SUM(AV755:AV758)</f>
        <v>0</v>
      </c>
      <c r="AW759" s="11">
        <f t="shared" si="3461"/>
        <v>0</v>
      </c>
      <c r="AX759" s="11">
        <f t="shared" si="3461"/>
        <v>0</v>
      </c>
      <c r="AY759" s="11">
        <f t="shared" si="3461"/>
        <v>0</v>
      </c>
      <c r="AZ759" s="11">
        <f t="shared" si="3461"/>
        <v>0</v>
      </c>
      <c r="BA759" s="25">
        <f t="shared" si="3461"/>
        <v>0</v>
      </c>
      <c r="BC759" s="10">
        <f t="shared" ref="BC759:BH759" si="3462">SUM(BC755:BC758)</f>
        <v>0</v>
      </c>
      <c r="BD759" s="11">
        <f t="shared" si="3462"/>
        <v>0</v>
      </c>
      <c r="BE759" s="11">
        <f t="shared" si="3462"/>
        <v>0</v>
      </c>
      <c r="BF759" s="11">
        <f t="shared" si="3462"/>
        <v>0</v>
      </c>
      <c r="BG759" s="11">
        <f t="shared" si="3462"/>
        <v>0</v>
      </c>
      <c r="BH759" s="25">
        <f t="shared" si="3462"/>
        <v>0</v>
      </c>
      <c r="BJ759" s="10">
        <f t="shared" ref="BJ759:BO759" si="3463">SUM(BJ755:BJ758)</f>
        <v>0</v>
      </c>
      <c r="BK759" s="11">
        <f t="shared" si="3463"/>
        <v>0</v>
      </c>
      <c r="BL759" s="11">
        <f t="shared" si="3463"/>
        <v>0</v>
      </c>
      <c r="BM759" s="11">
        <f t="shared" si="3463"/>
        <v>0</v>
      </c>
      <c r="BN759" s="11">
        <f t="shared" si="3463"/>
        <v>0</v>
      </c>
      <c r="BO759" s="25">
        <f t="shared" si="3463"/>
        <v>0</v>
      </c>
      <c r="BQ759" s="10">
        <f t="shared" ref="BQ759:BV759" si="3464">SUM(BQ755:BQ758)</f>
        <v>0</v>
      </c>
      <c r="BR759" s="11">
        <f t="shared" si="3464"/>
        <v>0</v>
      </c>
      <c r="BS759" s="11">
        <f t="shared" si="3464"/>
        <v>0</v>
      </c>
      <c r="BT759" s="11">
        <f t="shared" si="3464"/>
        <v>0</v>
      </c>
      <c r="BU759" s="11">
        <f t="shared" si="3464"/>
        <v>0</v>
      </c>
      <c r="BV759" s="25">
        <f t="shared" si="3464"/>
        <v>0</v>
      </c>
      <c r="BX759" s="10">
        <f t="shared" ref="BX759:CC759" si="3465">SUM(BX755:BX758)</f>
        <v>0</v>
      </c>
      <c r="BY759" s="11">
        <f t="shared" si="3465"/>
        <v>0</v>
      </c>
      <c r="BZ759" s="11">
        <f t="shared" si="3465"/>
        <v>0</v>
      </c>
      <c r="CA759" s="11">
        <f t="shared" si="3465"/>
        <v>0</v>
      </c>
      <c r="CB759" s="11">
        <f t="shared" si="3465"/>
        <v>0</v>
      </c>
      <c r="CC759" s="25">
        <f t="shared" si="3465"/>
        <v>0</v>
      </c>
      <c r="CE759" s="62">
        <f t="shared" ref="CE759:CJ759" si="3466">SUM(CE755:CE758)</f>
        <v>0</v>
      </c>
      <c r="CF759" s="63">
        <f t="shared" si="3466"/>
        <v>0</v>
      </c>
      <c r="CG759" s="63">
        <f t="shared" si="3466"/>
        <v>0</v>
      </c>
      <c r="CH759" s="63">
        <f t="shared" si="3466"/>
        <v>0</v>
      </c>
      <c r="CI759" s="63">
        <f t="shared" si="3466"/>
        <v>0</v>
      </c>
      <c r="CJ759" s="25">
        <f t="shared" si="3466"/>
        <v>0</v>
      </c>
      <c r="CL759" s="10">
        <f>SUM(CL755:CL758)</f>
        <v>0</v>
      </c>
      <c r="CM759" s="11">
        <f t="shared" ref="CM759:CQ759" si="3467">SUM(CM755:CM758)</f>
        <v>0</v>
      </c>
      <c r="CN759" s="11">
        <f t="shared" si="3467"/>
        <v>0</v>
      </c>
      <c r="CO759" s="11">
        <f t="shared" si="3467"/>
        <v>0</v>
      </c>
      <c r="CP759" s="11">
        <f t="shared" si="3467"/>
        <v>0</v>
      </c>
      <c r="CQ759" s="25">
        <f t="shared" si="3467"/>
        <v>0</v>
      </c>
      <c r="CS759" s="10">
        <f>SUM(CS755:CS758)</f>
        <v>0</v>
      </c>
      <c r="CT759" s="11">
        <f t="shared" ref="CT759:CW759" si="3468">SUM(CT755:CT758)</f>
        <v>0</v>
      </c>
      <c r="CU759" s="11">
        <f t="shared" si="3468"/>
        <v>0</v>
      </c>
      <c r="CV759" s="11">
        <f t="shared" si="3468"/>
        <v>0</v>
      </c>
      <c r="CW759" s="11">
        <f t="shared" si="3468"/>
        <v>0</v>
      </c>
      <c r="CX759" s="25">
        <f>SUM(CX755:CX758)</f>
        <v>0</v>
      </c>
      <c r="CZ759" s="10">
        <f>SUM(CZ755:CZ758)</f>
        <v>0</v>
      </c>
      <c r="DA759" s="11">
        <f t="shared" ref="DA759:DD759" si="3469">SUM(DA755:DA758)</f>
        <v>0</v>
      </c>
      <c r="DB759" s="11">
        <f t="shared" si="3469"/>
        <v>0</v>
      </c>
      <c r="DC759" s="11">
        <f t="shared" si="3469"/>
        <v>0</v>
      </c>
      <c r="DD759" s="11">
        <f t="shared" si="3469"/>
        <v>0</v>
      </c>
      <c r="DE759" s="25">
        <f>SUM(DE755:DE758)</f>
        <v>0</v>
      </c>
    </row>
    <row r="760" spans="3:109" ht="10.4" customHeight="1" thickBot="1"/>
    <row r="761" spans="3:109">
      <c r="C761" s="553">
        <v>2027</v>
      </c>
      <c r="E761" s="13" t="s">
        <v>59</v>
      </c>
      <c r="F761" s="21">
        <f>CE755</f>
        <v>0</v>
      </c>
      <c r="G761" s="22">
        <f t="shared" ref="G761:G764" si="3470">CF755</f>
        <v>0</v>
      </c>
      <c r="H761" s="22">
        <f t="shared" ref="H761:H764" si="3471">CG755</f>
        <v>0</v>
      </c>
      <c r="I761" s="22">
        <f t="shared" ref="I761:I764" si="3472">CH755</f>
        <v>0</v>
      </c>
      <c r="J761" s="22">
        <f t="shared" ref="J761:J764" si="3473">CI755</f>
        <v>0</v>
      </c>
      <c r="K761" s="4">
        <f>SUM(F761:J761)</f>
        <v>0</v>
      </c>
      <c r="M761" s="2"/>
      <c r="N761" s="3"/>
      <c r="O761" s="3"/>
      <c r="P761" s="3"/>
      <c r="Q761" s="3"/>
      <c r="R761" s="4">
        <f>SUM(M761:Q761)</f>
        <v>0</v>
      </c>
      <c r="T761" s="2"/>
      <c r="U761" s="3"/>
      <c r="V761" s="3"/>
      <c r="W761" s="3"/>
      <c r="X761" s="3"/>
      <c r="Y761" s="4">
        <f>SUM(T761:X761)</f>
        <v>0</v>
      </c>
      <c r="AA761" s="2"/>
      <c r="AB761" s="3"/>
      <c r="AC761" s="3"/>
      <c r="AD761" s="3"/>
      <c r="AE761" s="3"/>
      <c r="AF761" s="4">
        <f>SUM(AA761:AE761)</f>
        <v>0</v>
      </c>
      <c r="AH761" s="2"/>
      <c r="AI761" s="3"/>
      <c r="AJ761" s="3"/>
      <c r="AK761" s="3"/>
      <c r="AL761" s="3"/>
      <c r="AM761" s="4">
        <f>SUM(AH761:AL761)</f>
        <v>0</v>
      </c>
      <c r="AO761" s="2"/>
      <c r="AP761" s="3"/>
      <c r="AQ761" s="3"/>
      <c r="AR761" s="3"/>
      <c r="AS761" s="3"/>
      <c r="AT761" s="4">
        <f>SUM(AO761:AS761)</f>
        <v>0</v>
      </c>
      <c r="AV761" s="2"/>
      <c r="AW761" s="3"/>
      <c r="AX761" s="3"/>
      <c r="AY761" s="3"/>
      <c r="AZ761" s="3"/>
      <c r="BA761" s="4">
        <f>SUM(AV761:AZ761)</f>
        <v>0</v>
      </c>
      <c r="BC761" s="2"/>
      <c r="BD761" s="3"/>
      <c r="BE761" s="3"/>
      <c r="BF761" s="3"/>
      <c r="BG761" s="3"/>
      <c r="BH761" s="4">
        <f>SUM(BC761:BG761)</f>
        <v>0</v>
      </c>
      <c r="BJ761" s="2"/>
      <c r="BK761" s="3"/>
      <c r="BL761" s="3"/>
      <c r="BM761" s="3"/>
      <c r="BN761" s="3"/>
      <c r="BO761" s="4">
        <f>SUM(BJ761:BN761)</f>
        <v>0</v>
      </c>
      <c r="BQ761" s="2"/>
      <c r="BR761" s="3"/>
      <c r="BS761" s="3"/>
      <c r="BT761" s="3"/>
      <c r="BU761" s="3"/>
      <c r="BV761" s="4">
        <f>SUM(BQ761:BU761)</f>
        <v>0</v>
      </c>
      <c r="BX761" s="2"/>
      <c r="BY761" s="3"/>
      <c r="BZ761" s="3"/>
      <c r="CA761" s="3"/>
      <c r="CB761" s="3"/>
      <c r="CC761" s="4">
        <f>SUM(BX761:CB761)</f>
        <v>0</v>
      </c>
      <c r="CE761" s="26">
        <f t="shared" ref="CE761:CE764" si="3474">F761+M761+T761+AA761+AH761+AO761+AV761+BC761+BJ761+BQ761+BX761</f>
        <v>0</v>
      </c>
      <c r="CF761" s="27">
        <f t="shared" ref="CF761:CF764" si="3475">G761+N761+U761+AB761+AI761+AP761+AW761+BD761+BK761+BR761+BY761</f>
        <v>0</v>
      </c>
      <c r="CG761" s="27">
        <f t="shared" ref="CG761:CG764" si="3476">H761+O761+V761+AC761+AJ761+AQ761+AX761+BE761+BL761+BS761+BZ761</f>
        <v>0</v>
      </c>
      <c r="CH761" s="27">
        <f t="shared" ref="CH761:CH764" si="3477">I761+P761+W761+AD761+AK761+AR761+AY761+BF761+BM761+BT761+CA761</f>
        <v>0</v>
      </c>
      <c r="CI761" s="27">
        <f t="shared" ref="CI761:CI764" si="3478">J761+Q761+X761+AE761+AL761+AS761+AZ761+BG761+BN761+BU761+CB761</f>
        <v>0</v>
      </c>
      <c r="CJ761" s="4">
        <f>SUM(CE761:CI761)</f>
        <v>0</v>
      </c>
      <c r="CL761" s="2"/>
      <c r="CM761" s="3"/>
      <c r="CN761" s="3"/>
      <c r="CO761" s="3"/>
      <c r="CP761" s="3"/>
      <c r="CQ761" s="4">
        <f>SUM(CL761:CP761)</f>
        <v>0</v>
      </c>
      <c r="CS761" s="2"/>
      <c r="CT761" s="3"/>
      <c r="CU761" s="3"/>
      <c r="CV761" s="3"/>
      <c r="CW761" s="3"/>
      <c r="CX761" s="4">
        <f>SUM(CS761:CW761)</f>
        <v>0</v>
      </c>
      <c r="CZ761" s="2"/>
      <c r="DA761" s="3"/>
      <c r="DB761" s="3"/>
      <c r="DC761" s="3"/>
      <c r="DD761" s="3"/>
      <c r="DE761" s="4">
        <f>SUM(CZ761:DD761)</f>
        <v>0</v>
      </c>
    </row>
    <row r="762" spans="3:109">
      <c r="C762" s="567"/>
      <c r="E762" s="14" t="s">
        <v>60</v>
      </c>
      <c r="F762" s="23">
        <f t="shared" ref="F762:F764" si="3479">CE756</f>
        <v>0</v>
      </c>
      <c r="G762" s="24">
        <f t="shared" si="3470"/>
        <v>0</v>
      </c>
      <c r="H762" s="24">
        <f t="shared" si="3471"/>
        <v>0</v>
      </c>
      <c r="I762" s="24">
        <f t="shared" si="3472"/>
        <v>0</v>
      </c>
      <c r="J762" s="24">
        <f t="shared" si="3473"/>
        <v>0</v>
      </c>
      <c r="K762" s="8">
        <f t="shared" ref="K762:K764" si="3480">SUM(F762:J762)</f>
        <v>0</v>
      </c>
      <c r="M762" s="6"/>
      <c r="N762" s="7"/>
      <c r="O762" s="7"/>
      <c r="P762" s="7"/>
      <c r="Q762" s="7"/>
      <c r="R762" s="8">
        <f t="shared" ref="R762:R764" si="3481">SUM(M762:Q762)</f>
        <v>0</v>
      </c>
      <c r="T762" s="6"/>
      <c r="U762" s="7"/>
      <c r="V762" s="7"/>
      <c r="W762" s="7"/>
      <c r="X762" s="7"/>
      <c r="Y762" s="8">
        <f t="shared" ref="Y762:Y764" si="3482">SUM(T762:X762)</f>
        <v>0</v>
      </c>
      <c r="AA762" s="6"/>
      <c r="AB762" s="7"/>
      <c r="AC762" s="7"/>
      <c r="AD762" s="7"/>
      <c r="AE762" s="7"/>
      <c r="AF762" s="8">
        <f>SUM(AA762:AE762)</f>
        <v>0</v>
      </c>
      <c r="AH762" s="6"/>
      <c r="AI762" s="7"/>
      <c r="AJ762" s="7"/>
      <c r="AK762" s="7"/>
      <c r="AL762" s="7"/>
      <c r="AM762" s="8">
        <f>SUM(AH762:AL762)</f>
        <v>0</v>
      </c>
      <c r="AO762" s="6"/>
      <c r="AP762" s="7"/>
      <c r="AQ762" s="7"/>
      <c r="AR762" s="7"/>
      <c r="AS762" s="7"/>
      <c r="AT762" s="8">
        <f>SUM(AO762:AS762)</f>
        <v>0</v>
      </c>
      <c r="AV762" s="6"/>
      <c r="AW762" s="7"/>
      <c r="AX762" s="7"/>
      <c r="AY762" s="7"/>
      <c r="AZ762" s="7"/>
      <c r="BA762" s="8">
        <f>SUM(AV762:AZ762)</f>
        <v>0</v>
      </c>
      <c r="BC762" s="6"/>
      <c r="BD762" s="7"/>
      <c r="BE762" s="7"/>
      <c r="BF762" s="7"/>
      <c r="BG762" s="7"/>
      <c r="BH762" s="8">
        <f>SUM(BC762:BG762)</f>
        <v>0</v>
      </c>
      <c r="BJ762" s="6"/>
      <c r="BK762" s="7"/>
      <c r="BL762" s="7"/>
      <c r="BM762" s="7"/>
      <c r="BN762" s="7"/>
      <c r="BO762" s="8">
        <f>SUM(BJ762:BN762)</f>
        <v>0</v>
      </c>
      <c r="BQ762" s="6"/>
      <c r="BR762" s="7"/>
      <c r="BS762" s="7"/>
      <c r="BT762" s="7"/>
      <c r="BU762" s="7"/>
      <c r="BV762" s="8">
        <f>SUM(BQ762:BU762)</f>
        <v>0</v>
      </c>
      <c r="BX762" s="6"/>
      <c r="BY762" s="7"/>
      <c r="BZ762" s="7"/>
      <c r="CA762" s="7"/>
      <c r="CB762" s="7"/>
      <c r="CC762" s="8">
        <f>SUM(BX762:CB762)</f>
        <v>0</v>
      </c>
      <c r="CE762" s="28">
        <f t="shared" si="3474"/>
        <v>0</v>
      </c>
      <c r="CF762" s="29">
        <f t="shared" si="3475"/>
        <v>0</v>
      </c>
      <c r="CG762" s="29">
        <f t="shared" si="3476"/>
        <v>0</v>
      </c>
      <c r="CH762" s="29">
        <f t="shared" si="3477"/>
        <v>0</v>
      </c>
      <c r="CI762" s="29">
        <f t="shared" si="3478"/>
        <v>0</v>
      </c>
      <c r="CJ762" s="8">
        <f>SUM(CE762:CI762)</f>
        <v>0</v>
      </c>
      <c r="CL762" s="6"/>
      <c r="CM762" s="7"/>
      <c r="CN762" s="7"/>
      <c r="CO762" s="7"/>
      <c r="CP762" s="7"/>
      <c r="CQ762" s="8">
        <f>SUM(CL762:CP762)</f>
        <v>0</v>
      </c>
      <c r="CS762" s="6"/>
      <c r="CT762" s="7"/>
      <c r="CU762" s="7"/>
      <c r="CV762" s="7"/>
      <c r="CW762" s="7"/>
      <c r="CX762" s="8">
        <f t="shared" ref="CX762:CX764" si="3483">SUM(CS762:CW762)</f>
        <v>0</v>
      </c>
      <c r="CZ762" s="6"/>
      <c r="DA762" s="7"/>
      <c r="DB762" s="7"/>
      <c r="DC762" s="7"/>
      <c r="DD762" s="7"/>
      <c r="DE762" s="8">
        <f t="shared" ref="DE762:DE764" si="3484">SUM(CZ762:DD762)</f>
        <v>0</v>
      </c>
    </row>
    <row r="763" spans="3:109">
      <c r="C763" s="567"/>
      <c r="E763" s="14" t="s">
        <v>61</v>
      </c>
      <c r="F763" s="23">
        <f t="shared" si="3479"/>
        <v>0</v>
      </c>
      <c r="G763" s="24">
        <f t="shared" si="3470"/>
        <v>0</v>
      </c>
      <c r="H763" s="24">
        <f t="shared" si="3471"/>
        <v>0</v>
      </c>
      <c r="I763" s="24">
        <f t="shared" si="3472"/>
        <v>0</v>
      </c>
      <c r="J763" s="24">
        <f t="shared" si="3473"/>
        <v>0</v>
      </c>
      <c r="K763" s="8">
        <f t="shared" si="3480"/>
        <v>0</v>
      </c>
      <c r="M763" s="6"/>
      <c r="N763" s="7"/>
      <c r="O763" s="7"/>
      <c r="P763" s="7"/>
      <c r="Q763" s="7"/>
      <c r="R763" s="8">
        <f t="shared" si="3481"/>
        <v>0</v>
      </c>
      <c r="T763" s="6"/>
      <c r="U763" s="7"/>
      <c r="V763" s="7"/>
      <c r="W763" s="7"/>
      <c r="X763" s="7"/>
      <c r="Y763" s="8">
        <f t="shared" si="3482"/>
        <v>0</v>
      </c>
      <c r="AA763" s="6"/>
      <c r="AB763" s="7"/>
      <c r="AC763" s="7"/>
      <c r="AD763" s="7"/>
      <c r="AE763" s="7"/>
      <c r="AF763" s="8">
        <f>SUM(AA763:AE763)</f>
        <v>0</v>
      </c>
      <c r="AH763" s="6"/>
      <c r="AI763" s="7"/>
      <c r="AJ763" s="7"/>
      <c r="AK763" s="7"/>
      <c r="AL763" s="7"/>
      <c r="AM763" s="8">
        <f>SUM(AH763:AL763)</f>
        <v>0</v>
      </c>
      <c r="AO763" s="6"/>
      <c r="AP763" s="7"/>
      <c r="AQ763" s="7"/>
      <c r="AR763" s="7"/>
      <c r="AS763" s="7"/>
      <c r="AT763" s="8">
        <f>SUM(AO763:AS763)</f>
        <v>0</v>
      </c>
      <c r="AV763" s="6"/>
      <c r="AW763" s="7"/>
      <c r="AX763" s="7"/>
      <c r="AY763" s="7"/>
      <c r="AZ763" s="7"/>
      <c r="BA763" s="8">
        <f>SUM(AV763:AZ763)</f>
        <v>0</v>
      </c>
      <c r="BC763" s="6"/>
      <c r="BD763" s="7"/>
      <c r="BE763" s="7"/>
      <c r="BF763" s="7"/>
      <c r="BG763" s="7"/>
      <c r="BH763" s="8">
        <f>SUM(BC763:BG763)</f>
        <v>0</v>
      </c>
      <c r="BJ763" s="6"/>
      <c r="BK763" s="7"/>
      <c r="BL763" s="7"/>
      <c r="BM763" s="7"/>
      <c r="BN763" s="7"/>
      <c r="BO763" s="8">
        <f>SUM(BJ763:BN763)</f>
        <v>0</v>
      </c>
      <c r="BQ763" s="6"/>
      <c r="BR763" s="7"/>
      <c r="BS763" s="7"/>
      <c r="BT763" s="7"/>
      <c r="BU763" s="7"/>
      <c r="BV763" s="8">
        <f>SUM(BQ763:BU763)</f>
        <v>0</v>
      </c>
      <c r="BX763" s="6"/>
      <c r="BY763" s="7"/>
      <c r="BZ763" s="7"/>
      <c r="CA763" s="7"/>
      <c r="CB763" s="7"/>
      <c r="CC763" s="8">
        <f>SUM(BX763:CB763)</f>
        <v>0</v>
      </c>
      <c r="CE763" s="28">
        <f t="shared" si="3474"/>
        <v>0</v>
      </c>
      <c r="CF763" s="29">
        <f t="shared" si="3475"/>
        <v>0</v>
      </c>
      <c r="CG763" s="29">
        <f t="shared" si="3476"/>
        <v>0</v>
      </c>
      <c r="CH763" s="29">
        <f t="shared" si="3477"/>
        <v>0</v>
      </c>
      <c r="CI763" s="29">
        <f t="shared" si="3478"/>
        <v>0</v>
      </c>
      <c r="CJ763" s="8">
        <f>SUM(CE763:CI763)</f>
        <v>0</v>
      </c>
      <c r="CL763" s="6"/>
      <c r="CM763" s="7"/>
      <c r="CN763" s="7"/>
      <c r="CO763" s="7"/>
      <c r="CP763" s="7"/>
      <c r="CQ763" s="8">
        <f>SUM(CL763:CP763)</f>
        <v>0</v>
      </c>
      <c r="CS763" s="6"/>
      <c r="CT763" s="7"/>
      <c r="CU763" s="7"/>
      <c r="CV763" s="7"/>
      <c r="CW763" s="7"/>
      <c r="CX763" s="8">
        <f t="shared" si="3483"/>
        <v>0</v>
      </c>
      <c r="CZ763" s="6"/>
      <c r="DA763" s="7"/>
      <c r="DB763" s="7"/>
      <c r="DC763" s="7"/>
      <c r="DD763" s="7"/>
      <c r="DE763" s="8">
        <f t="shared" si="3484"/>
        <v>0</v>
      </c>
    </row>
    <row r="764" spans="3:109" ht="14" thickBot="1">
      <c r="C764" s="567"/>
      <c r="E764" s="14" t="s">
        <v>62</v>
      </c>
      <c r="F764" s="23">
        <f t="shared" si="3479"/>
        <v>0</v>
      </c>
      <c r="G764" s="24">
        <f t="shared" si="3470"/>
        <v>0</v>
      </c>
      <c r="H764" s="24">
        <f t="shared" si="3471"/>
        <v>0</v>
      </c>
      <c r="I764" s="24">
        <f t="shared" si="3472"/>
        <v>0</v>
      </c>
      <c r="J764" s="24">
        <f t="shared" si="3473"/>
        <v>0</v>
      </c>
      <c r="K764" s="8">
        <f t="shared" si="3480"/>
        <v>0</v>
      </c>
      <c r="M764" s="6"/>
      <c r="N764" s="7"/>
      <c r="O764" s="7"/>
      <c r="P764" s="7"/>
      <c r="Q764" s="7"/>
      <c r="R764" s="8">
        <f t="shared" si="3481"/>
        <v>0</v>
      </c>
      <c r="T764" s="6"/>
      <c r="U764" s="7"/>
      <c r="V764" s="7"/>
      <c r="W764" s="7"/>
      <c r="X764" s="7"/>
      <c r="Y764" s="8">
        <f t="shared" si="3482"/>
        <v>0</v>
      </c>
      <c r="AA764" s="6"/>
      <c r="AB764" s="7"/>
      <c r="AC764" s="7"/>
      <c r="AD764" s="7"/>
      <c r="AE764" s="7"/>
      <c r="AF764" s="8">
        <f>SUM(AA764:AE764)</f>
        <v>0</v>
      </c>
      <c r="AH764" s="6"/>
      <c r="AI764" s="7"/>
      <c r="AJ764" s="7"/>
      <c r="AK764" s="7"/>
      <c r="AL764" s="7"/>
      <c r="AM764" s="8">
        <f>SUM(AH764:AL764)</f>
        <v>0</v>
      </c>
      <c r="AO764" s="6"/>
      <c r="AP764" s="7"/>
      <c r="AQ764" s="7"/>
      <c r="AR764" s="7"/>
      <c r="AS764" s="7"/>
      <c r="AT764" s="8">
        <f>SUM(AO764:AS764)</f>
        <v>0</v>
      </c>
      <c r="AV764" s="6"/>
      <c r="AW764" s="7"/>
      <c r="AX764" s="7"/>
      <c r="AY764" s="7"/>
      <c r="AZ764" s="7"/>
      <c r="BA764" s="8">
        <f>SUM(AV764:AZ764)</f>
        <v>0</v>
      </c>
      <c r="BC764" s="6"/>
      <c r="BD764" s="7"/>
      <c r="BE764" s="7"/>
      <c r="BF764" s="7"/>
      <c r="BG764" s="7"/>
      <c r="BH764" s="8">
        <f>SUM(BC764:BG764)</f>
        <v>0</v>
      </c>
      <c r="BJ764" s="6"/>
      <c r="BK764" s="7"/>
      <c r="BL764" s="7"/>
      <c r="BM764" s="7"/>
      <c r="BN764" s="7"/>
      <c r="BO764" s="8">
        <f>SUM(BJ764:BN764)</f>
        <v>0</v>
      </c>
      <c r="BQ764" s="6"/>
      <c r="BR764" s="7"/>
      <c r="BS764" s="7"/>
      <c r="BT764" s="7"/>
      <c r="BU764" s="7"/>
      <c r="BV764" s="8">
        <f>SUM(BQ764:BU764)</f>
        <v>0</v>
      </c>
      <c r="BX764" s="6"/>
      <c r="BY764" s="7"/>
      <c r="BZ764" s="7"/>
      <c r="CA764" s="7"/>
      <c r="CB764" s="7"/>
      <c r="CC764" s="8">
        <f>SUM(BX764:CB764)</f>
        <v>0</v>
      </c>
      <c r="CE764" s="493">
        <f t="shared" si="3474"/>
        <v>0</v>
      </c>
      <c r="CF764" s="494">
        <f t="shared" si="3475"/>
        <v>0</v>
      </c>
      <c r="CG764" s="494">
        <f t="shared" si="3476"/>
        <v>0</v>
      </c>
      <c r="CH764" s="494">
        <f t="shared" si="3477"/>
        <v>0</v>
      </c>
      <c r="CI764" s="494">
        <f t="shared" si="3478"/>
        <v>0</v>
      </c>
      <c r="CJ764" s="495">
        <f>SUM(CE764:CI764)</f>
        <v>0</v>
      </c>
      <c r="CL764" s="6"/>
      <c r="CM764" s="7"/>
      <c r="CN764" s="7"/>
      <c r="CO764" s="7"/>
      <c r="CP764" s="7"/>
      <c r="CQ764" s="8">
        <f>SUM(CL764:CP764)</f>
        <v>0</v>
      </c>
      <c r="CS764" s="6"/>
      <c r="CT764" s="7"/>
      <c r="CU764" s="7"/>
      <c r="CV764" s="7"/>
      <c r="CW764" s="7"/>
      <c r="CX764" s="8">
        <f t="shared" si="3483"/>
        <v>0</v>
      </c>
      <c r="CZ764" s="6"/>
      <c r="DA764" s="7"/>
      <c r="DB764" s="7"/>
      <c r="DC764" s="7"/>
      <c r="DD764" s="7"/>
      <c r="DE764" s="8">
        <f t="shared" si="3484"/>
        <v>0</v>
      </c>
    </row>
    <row r="765" spans="3:109" ht="14" thickBot="1">
      <c r="C765" s="554"/>
      <c r="E765" s="17"/>
      <c r="F765" s="10">
        <f>SUM(F761:F764)</f>
        <v>0</v>
      </c>
      <c r="G765" s="11">
        <f t="shared" ref="G765:J765" si="3485">SUM(G761:G764)</f>
        <v>0</v>
      </c>
      <c r="H765" s="11">
        <f t="shared" si="3485"/>
        <v>0</v>
      </c>
      <c r="I765" s="11">
        <f t="shared" si="3485"/>
        <v>0</v>
      </c>
      <c r="J765" s="11">
        <f t="shared" si="3485"/>
        <v>0</v>
      </c>
      <c r="K765" s="25">
        <f>SUM(K761:K764)</f>
        <v>0</v>
      </c>
      <c r="M765" s="10">
        <f>SUM(M761:M764)</f>
        <v>0</v>
      </c>
      <c r="N765" s="11">
        <f t="shared" ref="N765:Q765" si="3486">SUM(N761:N764)</f>
        <v>0</v>
      </c>
      <c r="O765" s="11">
        <f t="shared" si="3486"/>
        <v>0</v>
      </c>
      <c r="P765" s="11">
        <f t="shared" si="3486"/>
        <v>0</v>
      </c>
      <c r="Q765" s="11">
        <f t="shared" si="3486"/>
        <v>0</v>
      </c>
      <c r="R765" s="25">
        <f>SUM(R761:R764)</f>
        <v>0</v>
      </c>
      <c r="T765" s="10">
        <f>SUM(T761:T764)</f>
        <v>0</v>
      </c>
      <c r="U765" s="11">
        <f t="shared" ref="U765:X765" si="3487">SUM(U761:U764)</f>
        <v>0</v>
      </c>
      <c r="V765" s="11">
        <f t="shared" si="3487"/>
        <v>0</v>
      </c>
      <c r="W765" s="11">
        <f t="shared" si="3487"/>
        <v>0</v>
      </c>
      <c r="X765" s="11">
        <f t="shared" si="3487"/>
        <v>0</v>
      </c>
      <c r="Y765" s="25">
        <f>SUM(Y761:Y764)</f>
        <v>0</v>
      </c>
      <c r="AA765" s="10">
        <f>SUM(AA761:AA764)</f>
        <v>0</v>
      </c>
      <c r="AB765" s="11">
        <f t="shared" ref="AB765:AE765" si="3488">SUM(AB761:AB764)</f>
        <v>0</v>
      </c>
      <c r="AC765" s="11">
        <f t="shared" si="3488"/>
        <v>0</v>
      </c>
      <c r="AD765" s="11">
        <f t="shared" si="3488"/>
        <v>0</v>
      </c>
      <c r="AE765" s="11">
        <f t="shared" si="3488"/>
        <v>0</v>
      </c>
      <c r="AF765" s="25">
        <f>SUM(AF761:AF764)</f>
        <v>0</v>
      </c>
      <c r="AH765" s="10">
        <f t="shared" ref="AH765:AM765" si="3489">SUM(AH761:AH764)</f>
        <v>0</v>
      </c>
      <c r="AI765" s="11">
        <f t="shared" si="3489"/>
        <v>0</v>
      </c>
      <c r="AJ765" s="11">
        <f t="shared" si="3489"/>
        <v>0</v>
      </c>
      <c r="AK765" s="11">
        <f t="shared" si="3489"/>
        <v>0</v>
      </c>
      <c r="AL765" s="11">
        <f t="shared" si="3489"/>
        <v>0</v>
      </c>
      <c r="AM765" s="25">
        <f t="shared" si="3489"/>
        <v>0</v>
      </c>
      <c r="AO765" s="10">
        <f t="shared" ref="AO765:AT765" si="3490">SUM(AO761:AO764)</f>
        <v>0</v>
      </c>
      <c r="AP765" s="11">
        <f t="shared" si="3490"/>
        <v>0</v>
      </c>
      <c r="AQ765" s="11">
        <f t="shared" si="3490"/>
        <v>0</v>
      </c>
      <c r="AR765" s="11">
        <f t="shared" si="3490"/>
        <v>0</v>
      </c>
      <c r="AS765" s="11">
        <f t="shared" si="3490"/>
        <v>0</v>
      </c>
      <c r="AT765" s="25">
        <f t="shared" si="3490"/>
        <v>0</v>
      </c>
      <c r="AV765" s="10">
        <f t="shared" ref="AV765:BA765" si="3491">SUM(AV761:AV764)</f>
        <v>0</v>
      </c>
      <c r="AW765" s="11">
        <f t="shared" si="3491"/>
        <v>0</v>
      </c>
      <c r="AX765" s="11">
        <f t="shared" si="3491"/>
        <v>0</v>
      </c>
      <c r="AY765" s="11">
        <f t="shared" si="3491"/>
        <v>0</v>
      </c>
      <c r="AZ765" s="11">
        <f t="shared" si="3491"/>
        <v>0</v>
      </c>
      <c r="BA765" s="25">
        <f t="shared" si="3491"/>
        <v>0</v>
      </c>
      <c r="BC765" s="10">
        <f t="shared" ref="BC765:BH765" si="3492">SUM(BC761:BC764)</f>
        <v>0</v>
      </c>
      <c r="BD765" s="11">
        <f t="shared" si="3492"/>
        <v>0</v>
      </c>
      <c r="BE765" s="11">
        <f t="shared" si="3492"/>
        <v>0</v>
      </c>
      <c r="BF765" s="11">
        <f t="shared" si="3492"/>
        <v>0</v>
      </c>
      <c r="BG765" s="11">
        <f t="shared" si="3492"/>
        <v>0</v>
      </c>
      <c r="BH765" s="25">
        <f t="shared" si="3492"/>
        <v>0</v>
      </c>
      <c r="BJ765" s="10">
        <f t="shared" ref="BJ765:BO765" si="3493">SUM(BJ761:BJ764)</f>
        <v>0</v>
      </c>
      <c r="BK765" s="11">
        <f t="shared" si="3493"/>
        <v>0</v>
      </c>
      <c r="BL765" s="11">
        <f t="shared" si="3493"/>
        <v>0</v>
      </c>
      <c r="BM765" s="11">
        <f t="shared" si="3493"/>
        <v>0</v>
      </c>
      <c r="BN765" s="11">
        <f t="shared" si="3493"/>
        <v>0</v>
      </c>
      <c r="BO765" s="25">
        <f t="shared" si="3493"/>
        <v>0</v>
      </c>
      <c r="BQ765" s="10">
        <f t="shared" ref="BQ765:BV765" si="3494">SUM(BQ761:BQ764)</f>
        <v>0</v>
      </c>
      <c r="BR765" s="11">
        <f t="shared" si="3494"/>
        <v>0</v>
      </c>
      <c r="BS765" s="11">
        <f t="shared" si="3494"/>
        <v>0</v>
      </c>
      <c r="BT765" s="11">
        <f t="shared" si="3494"/>
        <v>0</v>
      </c>
      <c r="BU765" s="11">
        <f t="shared" si="3494"/>
        <v>0</v>
      </c>
      <c r="BV765" s="25">
        <f t="shared" si="3494"/>
        <v>0</v>
      </c>
      <c r="BX765" s="10">
        <f t="shared" ref="BX765:CC765" si="3495">SUM(BX761:BX764)</f>
        <v>0</v>
      </c>
      <c r="BY765" s="11">
        <f t="shared" si="3495"/>
        <v>0</v>
      </c>
      <c r="BZ765" s="11">
        <f t="shared" si="3495"/>
        <v>0</v>
      </c>
      <c r="CA765" s="11">
        <f t="shared" si="3495"/>
        <v>0</v>
      </c>
      <c r="CB765" s="11">
        <f t="shared" si="3495"/>
        <v>0</v>
      </c>
      <c r="CC765" s="25">
        <f t="shared" si="3495"/>
        <v>0</v>
      </c>
      <c r="CE765" s="62">
        <f t="shared" ref="CE765:CJ765" si="3496">SUM(CE761:CE764)</f>
        <v>0</v>
      </c>
      <c r="CF765" s="63">
        <f t="shared" si="3496"/>
        <v>0</v>
      </c>
      <c r="CG765" s="63">
        <f t="shared" si="3496"/>
        <v>0</v>
      </c>
      <c r="CH765" s="63">
        <f t="shared" si="3496"/>
        <v>0</v>
      </c>
      <c r="CI765" s="63">
        <f t="shared" si="3496"/>
        <v>0</v>
      </c>
      <c r="CJ765" s="25">
        <f t="shared" si="3496"/>
        <v>0</v>
      </c>
      <c r="CL765" s="10">
        <f>SUM(CL761:CL764)</f>
        <v>0</v>
      </c>
      <c r="CM765" s="11">
        <f t="shared" ref="CM765:CQ765" si="3497">SUM(CM761:CM764)</f>
        <v>0</v>
      </c>
      <c r="CN765" s="11">
        <f t="shared" si="3497"/>
        <v>0</v>
      </c>
      <c r="CO765" s="11">
        <f t="shared" si="3497"/>
        <v>0</v>
      </c>
      <c r="CP765" s="11">
        <f t="shared" si="3497"/>
        <v>0</v>
      </c>
      <c r="CQ765" s="25">
        <f t="shared" si="3497"/>
        <v>0</v>
      </c>
      <c r="CS765" s="10">
        <f>SUM(CS761:CS764)</f>
        <v>0</v>
      </c>
      <c r="CT765" s="11">
        <f t="shared" ref="CT765:CW765" si="3498">SUM(CT761:CT764)</f>
        <v>0</v>
      </c>
      <c r="CU765" s="11">
        <f t="shared" si="3498"/>
        <v>0</v>
      </c>
      <c r="CV765" s="11">
        <f t="shared" si="3498"/>
        <v>0</v>
      </c>
      <c r="CW765" s="11">
        <f t="shared" si="3498"/>
        <v>0</v>
      </c>
      <c r="CX765" s="25">
        <f>SUM(CX761:CX764)</f>
        <v>0</v>
      </c>
      <c r="CZ765" s="10">
        <f>SUM(CZ761:CZ764)</f>
        <v>0</v>
      </c>
      <c r="DA765" s="11">
        <f t="shared" ref="DA765:DD765" si="3499">SUM(DA761:DA764)</f>
        <v>0</v>
      </c>
      <c r="DB765" s="11">
        <f t="shared" si="3499"/>
        <v>0</v>
      </c>
      <c r="DC765" s="11">
        <f t="shared" si="3499"/>
        <v>0</v>
      </c>
      <c r="DD765" s="11">
        <f t="shared" si="3499"/>
        <v>0</v>
      </c>
      <c r="DE765" s="25">
        <f>SUM(DE761:DE764)</f>
        <v>0</v>
      </c>
    </row>
    <row r="766" spans="3:109" ht="10.4" customHeight="1" thickBot="1"/>
    <row r="767" spans="3:109">
      <c r="C767" s="553">
        <v>2028</v>
      </c>
      <c r="E767" s="13" t="s">
        <v>59</v>
      </c>
      <c r="F767" s="21">
        <f>CE761</f>
        <v>0</v>
      </c>
      <c r="G767" s="22">
        <f t="shared" ref="G767:G770" si="3500">CF761</f>
        <v>0</v>
      </c>
      <c r="H767" s="22">
        <f t="shared" ref="H767:H770" si="3501">CG761</f>
        <v>0</v>
      </c>
      <c r="I767" s="22">
        <f t="shared" ref="I767:I770" si="3502">CH761</f>
        <v>0</v>
      </c>
      <c r="J767" s="22">
        <f t="shared" ref="J767:J770" si="3503">CI761</f>
        <v>0</v>
      </c>
      <c r="K767" s="4">
        <f>SUM(F767:J767)</f>
        <v>0</v>
      </c>
      <c r="M767" s="2"/>
      <c r="N767" s="3"/>
      <c r="O767" s="3"/>
      <c r="P767" s="3"/>
      <c r="Q767" s="3"/>
      <c r="R767" s="4">
        <f>SUM(M767:Q767)</f>
        <v>0</v>
      </c>
      <c r="T767" s="2"/>
      <c r="U767" s="3"/>
      <c r="V767" s="3"/>
      <c r="W767" s="3"/>
      <c r="X767" s="3"/>
      <c r="Y767" s="4">
        <f>SUM(T767:X767)</f>
        <v>0</v>
      </c>
      <c r="AA767" s="2"/>
      <c r="AB767" s="3"/>
      <c r="AC767" s="3"/>
      <c r="AD767" s="3"/>
      <c r="AE767" s="3"/>
      <c r="AF767" s="4">
        <f>SUM(AA767:AE767)</f>
        <v>0</v>
      </c>
      <c r="AH767" s="2"/>
      <c r="AI767" s="3"/>
      <c r="AJ767" s="3"/>
      <c r="AK767" s="3"/>
      <c r="AL767" s="3"/>
      <c r="AM767" s="4">
        <f>SUM(AH767:AL767)</f>
        <v>0</v>
      </c>
      <c r="AO767" s="2"/>
      <c r="AP767" s="3"/>
      <c r="AQ767" s="3"/>
      <c r="AR767" s="3"/>
      <c r="AS767" s="3"/>
      <c r="AT767" s="4">
        <f>SUM(AO767:AS767)</f>
        <v>0</v>
      </c>
      <c r="AV767" s="2"/>
      <c r="AW767" s="3"/>
      <c r="AX767" s="3"/>
      <c r="AY767" s="3"/>
      <c r="AZ767" s="3"/>
      <c r="BA767" s="4">
        <f>SUM(AV767:AZ767)</f>
        <v>0</v>
      </c>
      <c r="BC767" s="2"/>
      <c r="BD767" s="3"/>
      <c r="BE767" s="3"/>
      <c r="BF767" s="3"/>
      <c r="BG767" s="3"/>
      <c r="BH767" s="4">
        <f>SUM(BC767:BG767)</f>
        <v>0</v>
      </c>
      <c r="BJ767" s="2"/>
      <c r="BK767" s="3"/>
      <c r="BL767" s="3"/>
      <c r="BM767" s="3"/>
      <c r="BN767" s="3"/>
      <c r="BO767" s="4">
        <f>SUM(BJ767:BN767)</f>
        <v>0</v>
      </c>
      <c r="BQ767" s="2"/>
      <c r="BR767" s="3"/>
      <c r="BS767" s="3"/>
      <c r="BT767" s="3"/>
      <c r="BU767" s="3"/>
      <c r="BV767" s="4">
        <f>SUM(BQ767:BU767)</f>
        <v>0</v>
      </c>
      <c r="BX767" s="2"/>
      <c r="BY767" s="3"/>
      <c r="BZ767" s="3"/>
      <c r="CA767" s="3"/>
      <c r="CB767" s="3"/>
      <c r="CC767" s="4">
        <f>SUM(BX767:CB767)</f>
        <v>0</v>
      </c>
      <c r="CE767" s="26">
        <f t="shared" ref="CE767:CE770" si="3504">F767+M767+T767+AA767+AH767+AO767+AV767+BC767+BJ767+BQ767+BX767</f>
        <v>0</v>
      </c>
      <c r="CF767" s="27">
        <f t="shared" ref="CF767:CF770" si="3505">G767+N767+U767+AB767+AI767+AP767+AW767+BD767+BK767+BR767+BY767</f>
        <v>0</v>
      </c>
      <c r="CG767" s="27">
        <f t="shared" ref="CG767:CG770" si="3506">H767+O767+V767+AC767+AJ767+AQ767+AX767+BE767+BL767+BS767+BZ767</f>
        <v>0</v>
      </c>
      <c r="CH767" s="27">
        <f t="shared" ref="CH767:CH770" si="3507">I767+P767+W767+AD767+AK767+AR767+AY767+BF767+BM767+BT767+CA767</f>
        <v>0</v>
      </c>
      <c r="CI767" s="27">
        <f t="shared" ref="CI767:CI770" si="3508">J767+Q767+X767+AE767+AL767+AS767+AZ767+BG767+BN767+BU767+CB767</f>
        <v>0</v>
      </c>
      <c r="CJ767" s="4">
        <f>SUM(CE767:CI767)</f>
        <v>0</v>
      </c>
      <c r="CL767" s="2"/>
      <c r="CM767" s="3"/>
      <c r="CN767" s="3"/>
      <c r="CO767" s="3"/>
      <c r="CP767" s="3"/>
      <c r="CQ767" s="4">
        <f>SUM(CL767:CP767)</f>
        <v>0</v>
      </c>
      <c r="CS767" s="2"/>
      <c r="CT767" s="3"/>
      <c r="CU767" s="3"/>
      <c r="CV767" s="3"/>
      <c r="CW767" s="3"/>
      <c r="CX767" s="4">
        <f>SUM(CS767:CW767)</f>
        <v>0</v>
      </c>
      <c r="CZ767" s="2"/>
      <c r="DA767" s="3"/>
      <c r="DB767" s="3"/>
      <c r="DC767" s="3"/>
      <c r="DD767" s="3"/>
      <c r="DE767" s="4">
        <f>SUM(CZ767:DD767)</f>
        <v>0</v>
      </c>
    </row>
    <row r="768" spans="3:109">
      <c r="C768" s="567"/>
      <c r="E768" s="14" t="s">
        <v>60</v>
      </c>
      <c r="F768" s="23">
        <f t="shared" ref="F768:F770" si="3509">CE762</f>
        <v>0</v>
      </c>
      <c r="G768" s="24">
        <f t="shared" si="3500"/>
        <v>0</v>
      </c>
      <c r="H768" s="24">
        <f t="shared" si="3501"/>
        <v>0</v>
      </c>
      <c r="I768" s="24">
        <f t="shared" si="3502"/>
        <v>0</v>
      </c>
      <c r="J768" s="24">
        <f t="shared" si="3503"/>
        <v>0</v>
      </c>
      <c r="K768" s="8">
        <f t="shared" ref="K768:K770" si="3510">SUM(F768:J768)</f>
        <v>0</v>
      </c>
      <c r="M768" s="6"/>
      <c r="N768" s="7"/>
      <c r="O768" s="7"/>
      <c r="P768" s="7"/>
      <c r="Q768" s="7"/>
      <c r="R768" s="8">
        <f t="shared" ref="R768:R770" si="3511">SUM(M768:Q768)</f>
        <v>0</v>
      </c>
      <c r="T768" s="6"/>
      <c r="U768" s="7"/>
      <c r="V768" s="7"/>
      <c r="W768" s="7"/>
      <c r="X768" s="7"/>
      <c r="Y768" s="8">
        <f t="shared" ref="Y768:Y770" si="3512">SUM(T768:X768)</f>
        <v>0</v>
      </c>
      <c r="AA768" s="6"/>
      <c r="AB768" s="7"/>
      <c r="AC768" s="7"/>
      <c r="AD768" s="7"/>
      <c r="AE768" s="7"/>
      <c r="AF768" s="8">
        <f>SUM(AA768:AE768)</f>
        <v>0</v>
      </c>
      <c r="AH768" s="6"/>
      <c r="AI768" s="7"/>
      <c r="AJ768" s="7"/>
      <c r="AK768" s="7"/>
      <c r="AL768" s="7"/>
      <c r="AM768" s="8">
        <f>SUM(AH768:AL768)</f>
        <v>0</v>
      </c>
      <c r="AO768" s="6"/>
      <c r="AP768" s="7"/>
      <c r="AQ768" s="7"/>
      <c r="AR768" s="7"/>
      <c r="AS768" s="7"/>
      <c r="AT768" s="8">
        <f>SUM(AO768:AS768)</f>
        <v>0</v>
      </c>
      <c r="AV768" s="6"/>
      <c r="AW768" s="7"/>
      <c r="AX768" s="7"/>
      <c r="AY768" s="7"/>
      <c r="AZ768" s="7"/>
      <c r="BA768" s="8">
        <f>SUM(AV768:AZ768)</f>
        <v>0</v>
      </c>
      <c r="BC768" s="6"/>
      <c r="BD768" s="7"/>
      <c r="BE768" s="7"/>
      <c r="BF768" s="7"/>
      <c r="BG768" s="7"/>
      <c r="BH768" s="8">
        <f>SUM(BC768:BG768)</f>
        <v>0</v>
      </c>
      <c r="BJ768" s="6"/>
      <c r="BK768" s="7"/>
      <c r="BL768" s="7"/>
      <c r="BM768" s="7"/>
      <c r="BN768" s="7"/>
      <c r="BO768" s="8">
        <f>SUM(BJ768:BN768)</f>
        <v>0</v>
      </c>
      <c r="BQ768" s="6"/>
      <c r="BR768" s="7"/>
      <c r="BS768" s="7"/>
      <c r="BT768" s="7"/>
      <c r="BU768" s="7"/>
      <c r="BV768" s="8">
        <f>SUM(BQ768:BU768)</f>
        <v>0</v>
      </c>
      <c r="BX768" s="6"/>
      <c r="BY768" s="7"/>
      <c r="BZ768" s="7"/>
      <c r="CA768" s="7"/>
      <c r="CB768" s="7"/>
      <c r="CC768" s="8">
        <f>SUM(BX768:CB768)</f>
        <v>0</v>
      </c>
      <c r="CE768" s="28">
        <f t="shared" si="3504"/>
        <v>0</v>
      </c>
      <c r="CF768" s="29">
        <f t="shared" si="3505"/>
        <v>0</v>
      </c>
      <c r="CG768" s="29">
        <f t="shared" si="3506"/>
        <v>0</v>
      </c>
      <c r="CH768" s="29">
        <f t="shared" si="3507"/>
        <v>0</v>
      </c>
      <c r="CI768" s="29">
        <f t="shared" si="3508"/>
        <v>0</v>
      </c>
      <c r="CJ768" s="8">
        <f>SUM(CE768:CI768)</f>
        <v>0</v>
      </c>
      <c r="CL768" s="6"/>
      <c r="CM768" s="7"/>
      <c r="CN768" s="7"/>
      <c r="CO768" s="7"/>
      <c r="CP768" s="7"/>
      <c r="CQ768" s="8">
        <f>SUM(CL768:CP768)</f>
        <v>0</v>
      </c>
      <c r="CS768" s="6"/>
      <c r="CT768" s="7"/>
      <c r="CU768" s="7"/>
      <c r="CV768" s="7"/>
      <c r="CW768" s="7"/>
      <c r="CX768" s="8">
        <f t="shared" ref="CX768:CX770" si="3513">SUM(CS768:CW768)</f>
        <v>0</v>
      </c>
      <c r="CZ768" s="6"/>
      <c r="DA768" s="7"/>
      <c r="DB768" s="7"/>
      <c r="DC768" s="7"/>
      <c r="DD768" s="7"/>
      <c r="DE768" s="8">
        <f t="shared" ref="DE768:DE770" si="3514">SUM(CZ768:DD768)</f>
        <v>0</v>
      </c>
    </row>
    <row r="769" spans="2:110">
      <c r="C769" s="567"/>
      <c r="E769" s="14" t="s">
        <v>61</v>
      </c>
      <c r="F769" s="23">
        <f t="shared" si="3509"/>
        <v>0</v>
      </c>
      <c r="G769" s="24">
        <f t="shared" si="3500"/>
        <v>0</v>
      </c>
      <c r="H769" s="24">
        <f t="shared" si="3501"/>
        <v>0</v>
      </c>
      <c r="I769" s="24">
        <f t="shared" si="3502"/>
        <v>0</v>
      </c>
      <c r="J769" s="24">
        <f t="shared" si="3503"/>
        <v>0</v>
      </c>
      <c r="K769" s="8">
        <f t="shared" si="3510"/>
        <v>0</v>
      </c>
      <c r="M769" s="6"/>
      <c r="N769" s="7"/>
      <c r="O769" s="7"/>
      <c r="P769" s="7"/>
      <c r="Q769" s="7"/>
      <c r="R769" s="8">
        <f t="shared" si="3511"/>
        <v>0</v>
      </c>
      <c r="T769" s="6"/>
      <c r="U769" s="7"/>
      <c r="V769" s="7"/>
      <c r="W769" s="7"/>
      <c r="X769" s="7"/>
      <c r="Y769" s="8">
        <f t="shared" si="3512"/>
        <v>0</v>
      </c>
      <c r="AA769" s="6"/>
      <c r="AB769" s="7"/>
      <c r="AC769" s="7"/>
      <c r="AD769" s="7"/>
      <c r="AE769" s="7"/>
      <c r="AF769" s="8">
        <f>SUM(AA769:AE769)</f>
        <v>0</v>
      </c>
      <c r="AH769" s="6"/>
      <c r="AI769" s="7"/>
      <c r="AJ769" s="7"/>
      <c r="AK769" s="7"/>
      <c r="AL769" s="7"/>
      <c r="AM769" s="8">
        <f>SUM(AH769:AL769)</f>
        <v>0</v>
      </c>
      <c r="AO769" s="6"/>
      <c r="AP769" s="7"/>
      <c r="AQ769" s="7"/>
      <c r="AR769" s="7"/>
      <c r="AS769" s="7"/>
      <c r="AT769" s="8">
        <f>SUM(AO769:AS769)</f>
        <v>0</v>
      </c>
      <c r="AV769" s="6"/>
      <c r="AW769" s="7"/>
      <c r="AX769" s="7"/>
      <c r="AY769" s="7"/>
      <c r="AZ769" s="7"/>
      <c r="BA769" s="8">
        <f>SUM(AV769:AZ769)</f>
        <v>0</v>
      </c>
      <c r="BC769" s="6"/>
      <c r="BD769" s="7"/>
      <c r="BE769" s="7"/>
      <c r="BF769" s="7"/>
      <c r="BG769" s="7"/>
      <c r="BH769" s="8">
        <f>SUM(BC769:BG769)</f>
        <v>0</v>
      </c>
      <c r="BJ769" s="6"/>
      <c r="BK769" s="7"/>
      <c r="BL769" s="7"/>
      <c r="BM769" s="7"/>
      <c r="BN769" s="7"/>
      <c r="BO769" s="8">
        <f>SUM(BJ769:BN769)</f>
        <v>0</v>
      </c>
      <c r="BQ769" s="6"/>
      <c r="BR769" s="7"/>
      <c r="BS769" s="7"/>
      <c r="BT769" s="7"/>
      <c r="BU769" s="7"/>
      <c r="BV769" s="8">
        <f>SUM(BQ769:BU769)</f>
        <v>0</v>
      </c>
      <c r="BX769" s="6"/>
      <c r="BY769" s="7"/>
      <c r="BZ769" s="7"/>
      <c r="CA769" s="7"/>
      <c r="CB769" s="7"/>
      <c r="CC769" s="8">
        <f>SUM(BX769:CB769)</f>
        <v>0</v>
      </c>
      <c r="CE769" s="28">
        <f t="shared" si="3504"/>
        <v>0</v>
      </c>
      <c r="CF769" s="29">
        <f t="shared" si="3505"/>
        <v>0</v>
      </c>
      <c r="CG769" s="29">
        <f t="shared" si="3506"/>
        <v>0</v>
      </c>
      <c r="CH769" s="29">
        <f t="shared" si="3507"/>
        <v>0</v>
      </c>
      <c r="CI769" s="29">
        <f t="shared" si="3508"/>
        <v>0</v>
      </c>
      <c r="CJ769" s="8">
        <f>SUM(CE769:CI769)</f>
        <v>0</v>
      </c>
      <c r="CL769" s="6"/>
      <c r="CM769" s="7"/>
      <c r="CN769" s="7"/>
      <c r="CO769" s="7"/>
      <c r="CP769" s="7"/>
      <c r="CQ769" s="8">
        <f>SUM(CL769:CP769)</f>
        <v>0</v>
      </c>
      <c r="CS769" s="6"/>
      <c r="CT769" s="7"/>
      <c r="CU769" s="7"/>
      <c r="CV769" s="7"/>
      <c r="CW769" s="7"/>
      <c r="CX769" s="8">
        <f t="shared" si="3513"/>
        <v>0</v>
      </c>
      <c r="CZ769" s="6"/>
      <c r="DA769" s="7"/>
      <c r="DB769" s="7"/>
      <c r="DC769" s="7"/>
      <c r="DD769" s="7"/>
      <c r="DE769" s="8">
        <f t="shared" si="3514"/>
        <v>0</v>
      </c>
    </row>
    <row r="770" spans="2:110" ht="14" thickBot="1">
      <c r="C770" s="567"/>
      <c r="E770" s="14" t="s">
        <v>62</v>
      </c>
      <c r="F770" s="23">
        <f t="shared" si="3509"/>
        <v>0</v>
      </c>
      <c r="G770" s="24">
        <f t="shared" si="3500"/>
        <v>0</v>
      </c>
      <c r="H770" s="24">
        <f t="shared" si="3501"/>
        <v>0</v>
      </c>
      <c r="I770" s="24">
        <f t="shared" si="3502"/>
        <v>0</v>
      </c>
      <c r="J770" s="24">
        <f t="shared" si="3503"/>
        <v>0</v>
      </c>
      <c r="K770" s="8">
        <f t="shared" si="3510"/>
        <v>0</v>
      </c>
      <c r="M770" s="6"/>
      <c r="N770" s="7"/>
      <c r="O770" s="7"/>
      <c r="P770" s="7"/>
      <c r="Q770" s="7"/>
      <c r="R770" s="8">
        <f t="shared" si="3511"/>
        <v>0</v>
      </c>
      <c r="T770" s="6"/>
      <c r="U770" s="7"/>
      <c r="V770" s="7"/>
      <c r="W770" s="7"/>
      <c r="X770" s="7"/>
      <c r="Y770" s="8">
        <f t="shared" si="3512"/>
        <v>0</v>
      </c>
      <c r="AA770" s="6"/>
      <c r="AB770" s="7"/>
      <c r="AC770" s="7"/>
      <c r="AD770" s="7"/>
      <c r="AE770" s="7"/>
      <c r="AF770" s="8">
        <f>SUM(AA770:AE770)</f>
        <v>0</v>
      </c>
      <c r="AH770" s="6"/>
      <c r="AI770" s="7"/>
      <c r="AJ770" s="7"/>
      <c r="AK770" s="7"/>
      <c r="AL770" s="7"/>
      <c r="AM770" s="8">
        <f>SUM(AH770:AL770)</f>
        <v>0</v>
      </c>
      <c r="AO770" s="6"/>
      <c r="AP770" s="7"/>
      <c r="AQ770" s="7"/>
      <c r="AR770" s="7"/>
      <c r="AS770" s="7"/>
      <c r="AT770" s="8">
        <f>SUM(AO770:AS770)</f>
        <v>0</v>
      </c>
      <c r="AV770" s="6"/>
      <c r="AW770" s="7"/>
      <c r="AX770" s="7"/>
      <c r="AY770" s="7"/>
      <c r="AZ770" s="7"/>
      <c r="BA770" s="8">
        <f>SUM(AV770:AZ770)</f>
        <v>0</v>
      </c>
      <c r="BC770" s="6"/>
      <c r="BD770" s="7"/>
      <c r="BE770" s="7"/>
      <c r="BF770" s="7"/>
      <c r="BG770" s="7"/>
      <c r="BH770" s="8">
        <f>SUM(BC770:BG770)</f>
        <v>0</v>
      </c>
      <c r="BJ770" s="6"/>
      <c r="BK770" s="7"/>
      <c r="BL770" s="7"/>
      <c r="BM770" s="7"/>
      <c r="BN770" s="7"/>
      <c r="BO770" s="8">
        <f>SUM(BJ770:BN770)</f>
        <v>0</v>
      </c>
      <c r="BQ770" s="6"/>
      <c r="BR770" s="7"/>
      <c r="BS770" s="7"/>
      <c r="BT770" s="7"/>
      <c r="BU770" s="7"/>
      <c r="BV770" s="8">
        <f>SUM(BQ770:BU770)</f>
        <v>0</v>
      </c>
      <c r="BX770" s="6"/>
      <c r="BY770" s="7"/>
      <c r="BZ770" s="7"/>
      <c r="CA770" s="7"/>
      <c r="CB770" s="7"/>
      <c r="CC770" s="8">
        <f>SUM(BX770:CB770)</f>
        <v>0</v>
      </c>
      <c r="CE770" s="493">
        <f t="shared" si="3504"/>
        <v>0</v>
      </c>
      <c r="CF770" s="494">
        <f t="shared" si="3505"/>
        <v>0</v>
      </c>
      <c r="CG770" s="494">
        <f t="shared" si="3506"/>
        <v>0</v>
      </c>
      <c r="CH770" s="494">
        <f t="shared" si="3507"/>
        <v>0</v>
      </c>
      <c r="CI770" s="494">
        <f t="shared" si="3508"/>
        <v>0</v>
      </c>
      <c r="CJ770" s="495">
        <f>SUM(CE770:CI770)</f>
        <v>0</v>
      </c>
      <c r="CL770" s="6"/>
      <c r="CM770" s="7"/>
      <c r="CN770" s="7"/>
      <c r="CO770" s="7"/>
      <c r="CP770" s="7"/>
      <c r="CQ770" s="8">
        <f>SUM(CL770:CP770)</f>
        <v>0</v>
      </c>
      <c r="CS770" s="6"/>
      <c r="CT770" s="7"/>
      <c r="CU770" s="7"/>
      <c r="CV770" s="7"/>
      <c r="CW770" s="7"/>
      <c r="CX770" s="8">
        <f t="shared" si="3513"/>
        <v>0</v>
      </c>
      <c r="CZ770" s="6"/>
      <c r="DA770" s="7"/>
      <c r="DB770" s="7"/>
      <c r="DC770" s="7"/>
      <c r="DD770" s="7"/>
      <c r="DE770" s="8">
        <f t="shared" si="3514"/>
        <v>0</v>
      </c>
    </row>
    <row r="771" spans="2:110" ht="14" thickBot="1">
      <c r="C771" s="554"/>
      <c r="E771" s="9"/>
      <c r="F771" s="10">
        <f>SUM(F767:F770)</f>
        <v>0</v>
      </c>
      <c r="G771" s="11">
        <f t="shared" ref="G771:J771" si="3515">SUM(G767:G770)</f>
        <v>0</v>
      </c>
      <c r="H771" s="11">
        <f t="shared" si="3515"/>
        <v>0</v>
      </c>
      <c r="I771" s="11">
        <f t="shared" si="3515"/>
        <v>0</v>
      </c>
      <c r="J771" s="11">
        <f t="shared" si="3515"/>
        <v>0</v>
      </c>
      <c r="K771" s="25">
        <f>SUM(K767:K770)</f>
        <v>0</v>
      </c>
      <c r="M771" s="10">
        <f>SUM(M767:M770)</f>
        <v>0</v>
      </c>
      <c r="N771" s="11">
        <f t="shared" ref="N771:Q771" si="3516">SUM(N767:N770)</f>
        <v>0</v>
      </c>
      <c r="O771" s="11">
        <f t="shared" si="3516"/>
        <v>0</v>
      </c>
      <c r="P771" s="11">
        <f t="shared" si="3516"/>
        <v>0</v>
      </c>
      <c r="Q771" s="11">
        <f t="shared" si="3516"/>
        <v>0</v>
      </c>
      <c r="R771" s="25">
        <f>SUM(R767:R770)</f>
        <v>0</v>
      </c>
      <c r="T771" s="10">
        <f>SUM(T767:T770)</f>
        <v>0</v>
      </c>
      <c r="U771" s="11">
        <f t="shared" ref="U771:X771" si="3517">SUM(U767:U770)</f>
        <v>0</v>
      </c>
      <c r="V771" s="11">
        <f t="shared" si="3517"/>
        <v>0</v>
      </c>
      <c r="W771" s="11">
        <f t="shared" si="3517"/>
        <v>0</v>
      </c>
      <c r="X771" s="11">
        <f t="shared" si="3517"/>
        <v>0</v>
      </c>
      <c r="Y771" s="25">
        <f>SUM(Y767:Y770)</f>
        <v>0</v>
      </c>
      <c r="AA771" s="10">
        <f>SUM(AA767:AA770)</f>
        <v>0</v>
      </c>
      <c r="AB771" s="11">
        <f t="shared" ref="AB771:AE771" si="3518">SUM(AB767:AB770)</f>
        <v>0</v>
      </c>
      <c r="AC771" s="11">
        <f t="shared" si="3518"/>
        <v>0</v>
      </c>
      <c r="AD771" s="11">
        <f t="shared" si="3518"/>
        <v>0</v>
      </c>
      <c r="AE771" s="11">
        <f t="shared" si="3518"/>
        <v>0</v>
      </c>
      <c r="AF771" s="25">
        <f>SUM(AF767:AF770)</f>
        <v>0</v>
      </c>
      <c r="AH771" s="10">
        <f t="shared" ref="AH771:AM771" si="3519">SUM(AH767:AH770)</f>
        <v>0</v>
      </c>
      <c r="AI771" s="11">
        <f t="shared" si="3519"/>
        <v>0</v>
      </c>
      <c r="AJ771" s="11">
        <f t="shared" si="3519"/>
        <v>0</v>
      </c>
      <c r="AK771" s="11">
        <f t="shared" si="3519"/>
        <v>0</v>
      </c>
      <c r="AL771" s="11">
        <f t="shared" si="3519"/>
        <v>0</v>
      </c>
      <c r="AM771" s="25">
        <f t="shared" si="3519"/>
        <v>0</v>
      </c>
      <c r="AO771" s="10">
        <f t="shared" ref="AO771:AT771" si="3520">SUM(AO767:AO770)</f>
        <v>0</v>
      </c>
      <c r="AP771" s="11">
        <f t="shared" si="3520"/>
        <v>0</v>
      </c>
      <c r="AQ771" s="11">
        <f t="shared" si="3520"/>
        <v>0</v>
      </c>
      <c r="AR771" s="11">
        <f t="shared" si="3520"/>
        <v>0</v>
      </c>
      <c r="AS771" s="11">
        <f t="shared" si="3520"/>
        <v>0</v>
      </c>
      <c r="AT771" s="25">
        <f t="shared" si="3520"/>
        <v>0</v>
      </c>
      <c r="AV771" s="10">
        <f t="shared" ref="AV771:BA771" si="3521">SUM(AV767:AV770)</f>
        <v>0</v>
      </c>
      <c r="AW771" s="11">
        <f t="shared" si="3521"/>
        <v>0</v>
      </c>
      <c r="AX771" s="11">
        <f t="shared" si="3521"/>
        <v>0</v>
      </c>
      <c r="AY771" s="11">
        <f t="shared" si="3521"/>
        <v>0</v>
      </c>
      <c r="AZ771" s="11">
        <f t="shared" si="3521"/>
        <v>0</v>
      </c>
      <c r="BA771" s="25">
        <f t="shared" si="3521"/>
        <v>0</v>
      </c>
      <c r="BC771" s="10">
        <f t="shared" ref="BC771:BH771" si="3522">SUM(BC767:BC770)</f>
        <v>0</v>
      </c>
      <c r="BD771" s="11">
        <f t="shared" si="3522"/>
        <v>0</v>
      </c>
      <c r="BE771" s="11">
        <f t="shared" si="3522"/>
        <v>0</v>
      </c>
      <c r="BF771" s="11">
        <f t="shared" si="3522"/>
        <v>0</v>
      </c>
      <c r="BG771" s="11">
        <f t="shared" si="3522"/>
        <v>0</v>
      </c>
      <c r="BH771" s="25">
        <f t="shared" si="3522"/>
        <v>0</v>
      </c>
      <c r="BJ771" s="10">
        <f t="shared" ref="BJ771:BO771" si="3523">SUM(BJ767:BJ770)</f>
        <v>0</v>
      </c>
      <c r="BK771" s="11">
        <f t="shared" si="3523"/>
        <v>0</v>
      </c>
      <c r="BL771" s="11">
        <f t="shared" si="3523"/>
        <v>0</v>
      </c>
      <c r="BM771" s="11">
        <f t="shared" si="3523"/>
        <v>0</v>
      </c>
      <c r="BN771" s="11">
        <f t="shared" si="3523"/>
        <v>0</v>
      </c>
      <c r="BO771" s="25">
        <f t="shared" si="3523"/>
        <v>0</v>
      </c>
      <c r="BQ771" s="10">
        <f t="shared" ref="BQ771:BV771" si="3524">SUM(BQ767:BQ770)</f>
        <v>0</v>
      </c>
      <c r="BR771" s="11">
        <f t="shared" si="3524"/>
        <v>0</v>
      </c>
      <c r="BS771" s="11">
        <f t="shared" si="3524"/>
        <v>0</v>
      </c>
      <c r="BT771" s="11">
        <f t="shared" si="3524"/>
        <v>0</v>
      </c>
      <c r="BU771" s="11">
        <f t="shared" si="3524"/>
        <v>0</v>
      </c>
      <c r="BV771" s="25">
        <f t="shared" si="3524"/>
        <v>0</v>
      </c>
      <c r="BX771" s="10">
        <f t="shared" ref="BX771:CC771" si="3525">SUM(BX767:BX770)</f>
        <v>0</v>
      </c>
      <c r="BY771" s="11">
        <f t="shared" si="3525"/>
        <v>0</v>
      </c>
      <c r="BZ771" s="11">
        <f t="shared" si="3525"/>
        <v>0</v>
      </c>
      <c r="CA771" s="11">
        <f t="shared" si="3525"/>
        <v>0</v>
      </c>
      <c r="CB771" s="11">
        <f t="shared" si="3525"/>
        <v>0</v>
      </c>
      <c r="CC771" s="25">
        <f t="shared" si="3525"/>
        <v>0</v>
      </c>
      <c r="CE771" s="62">
        <f t="shared" ref="CE771:CJ771" si="3526">SUM(CE767:CE770)</f>
        <v>0</v>
      </c>
      <c r="CF771" s="63">
        <f t="shared" si="3526"/>
        <v>0</v>
      </c>
      <c r="CG771" s="63">
        <f t="shared" si="3526"/>
        <v>0</v>
      </c>
      <c r="CH771" s="63">
        <f t="shared" si="3526"/>
        <v>0</v>
      </c>
      <c r="CI771" s="63">
        <f t="shared" si="3526"/>
        <v>0</v>
      </c>
      <c r="CJ771" s="25">
        <f t="shared" si="3526"/>
        <v>0</v>
      </c>
      <c r="CL771" s="10">
        <f>SUM(CL767:CL770)</f>
        <v>0</v>
      </c>
      <c r="CM771" s="11">
        <f t="shared" ref="CM771:CQ771" si="3527">SUM(CM767:CM770)</f>
        <v>0</v>
      </c>
      <c r="CN771" s="11">
        <f t="shared" si="3527"/>
        <v>0</v>
      </c>
      <c r="CO771" s="11">
        <f t="shared" si="3527"/>
        <v>0</v>
      </c>
      <c r="CP771" s="11">
        <f t="shared" si="3527"/>
        <v>0</v>
      </c>
      <c r="CQ771" s="25">
        <f t="shared" si="3527"/>
        <v>0</v>
      </c>
      <c r="CS771" s="10">
        <f>SUM(CS767:CS770)</f>
        <v>0</v>
      </c>
      <c r="CT771" s="11">
        <f t="shared" ref="CT771:CW771" si="3528">SUM(CT767:CT770)</f>
        <v>0</v>
      </c>
      <c r="CU771" s="11">
        <f t="shared" si="3528"/>
        <v>0</v>
      </c>
      <c r="CV771" s="11">
        <f t="shared" si="3528"/>
        <v>0</v>
      </c>
      <c r="CW771" s="11">
        <f t="shared" si="3528"/>
        <v>0</v>
      </c>
      <c r="CX771" s="25">
        <f>SUM(CX767:CX770)</f>
        <v>0</v>
      </c>
      <c r="CZ771" s="10">
        <f>SUM(CZ767:CZ770)</f>
        <v>0</v>
      </c>
      <c r="DA771" s="11">
        <f t="shared" ref="DA771:DD771" si="3529">SUM(DA767:DA770)</f>
        <v>0</v>
      </c>
      <c r="DB771" s="11">
        <f t="shared" si="3529"/>
        <v>0</v>
      </c>
      <c r="DC771" s="11">
        <f t="shared" si="3529"/>
        <v>0</v>
      </c>
      <c r="DD771" s="11">
        <f t="shared" si="3529"/>
        <v>0</v>
      </c>
      <c r="DE771" s="25">
        <f>SUM(DE767:DE770)</f>
        <v>0</v>
      </c>
    </row>
    <row r="773" spans="2:110">
      <c r="B773" s="123"/>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row>
    <row r="774" spans="2:110" ht="14" thickBot="1">
      <c r="B774" s="94">
        <v>25</v>
      </c>
      <c r="C774" s="12" t="s">
        <v>86</v>
      </c>
    </row>
    <row r="775" spans="2:110">
      <c r="C775" s="553">
        <v>2024</v>
      </c>
      <c r="E775" s="1" t="s">
        <v>59</v>
      </c>
      <c r="F775" s="2"/>
      <c r="G775" s="3"/>
      <c r="H775" s="3"/>
      <c r="I775" s="3"/>
      <c r="J775" s="3"/>
      <c r="K775" s="4">
        <f>SUM(F775:J775)</f>
        <v>0</v>
      </c>
      <c r="M775" s="2"/>
      <c r="N775" s="3"/>
      <c r="O775" s="3"/>
      <c r="P775" s="3"/>
      <c r="Q775" s="3"/>
      <c r="R775" s="4">
        <f>SUM(M775:Q775)</f>
        <v>0</v>
      </c>
      <c r="T775" s="2"/>
      <c r="U775" s="3"/>
      <c r="V775" s="3"/>
      <c r="W775" s="3"/>
      <c r="X775" s="3"/>
      <c r="Y775" s="4">
        <f>SUM(T775:X775)</f>
        <v>0</v>
      </c>
      <c r="AA775" s="2"/>
      <c r="AB775" s="3"/>
      <c r="AC775" s="3"/>
      <c r="AD775" s="3"/>
      <c r="AE775" s="3"/>
      <c r="AF775" s="4">
        <f>SUM(AA775:AE775)</f>
        <v>0</v>
      </c>
      <c r="AH775" s="2"/>
      <c r="AI775" s="3"/>
      <c r="AJ775" s="3"/>
      <c r="AK775" s="3"/>
      <c r="AL775" s="3"/>
      <c r="AM775" s="4">
        <f>SUM(AH775:AL775)</f>
        <v>0</v>
      </c>
      <c r="AO775" s="2"/>
      <c r="AP775" s="3"/>
      <c r="AQ775" s="3"/>
      <c r="AR775" s="3"/>
      <c r="AS775" s="3"/>
      <c r="AT775" s="4">
        <f>SUM(AO775:AS775)</f>
        <v>0</v>
      </c>
      <c r="AV775" s="2"/>
      <c r="AW775" s="3"/>
      <c r="AX775" s="3"/>
      <c r="AY775" s="3"/>
      <c r="AZ775" s="3"/>
      <c r="BA775" s="4">
        <f>SUM(AV775:AZ775)</f>
        <v>0</v>
      </c>
      <c r="BC775" s="2"/>
      <c r="BD775" s="3"/>
      <c r="BE775" s="3"/>
      <c r="BF775" s="3"/>
      <c r="BG775" s="3"/>
      <c r="BH775" s="4">
        <f>SUM(BC775:BG775)</f>
        <v>0</v>
      </c>
      <c r="BJ775" s="2"/>
      <c r="BK775" s="3"/>
      <c r="BL775" s="3"/>
      <c r="BM775" s="3"/>
      <c r="BN775" s="3"/>
      <c r="BO775" s="4">
        <f>SUM(BJ775:BN775)</f>
        <v>0</v>
      </c>
      <c r="BQ775" s="2"/>
      <c r="BR775" s="3"/>
      <c r="BS775" s="3"/>
      <c r="BT775" s="3"/>
      <c r="BU775" s="3"/>
      <c r="BV775" s="4">
        <f>SUM(BQ775:BU775)</f>
        <v>0</v>
      </c>
      <c r="BX775" s="2"/>
      <c r="BY775" s="3"/>
      <c r="BZ775" s="3"/>
      <c r="CA775" s="3"/>
      <c r="CB775" s="3"/>
      <c r="CC775" s="4">
        <f>SUM(BX775:CB775)</f>
        <v>0</v>
      </c>
      <c r="CE775" s="26">
        <f t="shared" ref="CE775:CE778" si="3530">F775+M775+T775+AA775+AH775+AO775+AV775+BC775+BJ775+BQ775+BX775</f>
        <v>0</v>
      </c>
      <c r="CF775" s="27">
        <f t="shared" ref="CF775:CF778" si="3531">G775+N775+U775+AB775+AI775+AP775+AW775+BD775+BK775+BR775+BY775</f>
        <v>0</v>
      </c>
      <c r="CG775" s="27">
        <f t="shared" ref="CG775:CG778" si="3532">H775+O775+V775+AC775+AJ775+AQ775+AX775+BE775+BL775+BS775+BZ775</f>
        <v>0</v>
      </c>
      <c r="CH775" s="27">
        <f t="shared" ref="CH775:CH778" si="3533">I775+P775+W775+AD775+AK775+AR775+AY775+BF775+BM775+BT775+CA775</f>
        <v>0</v>
      </c>
      <c r="CI775" s="27">
        <f t="shared" ref="CI775:CI778" si="3534">J775+Q775+X775+AE775+AL775+AS775+AZ775+BG775+BN775+BU775+CB775</f>
        <v>0</v>
      </c>
      <c r="CJ775" s="4">
        <f>SUM(CE775:CI775)</f>
        <v>0</v>
      </c>
      <c r="CL775" s="2"/>
      <c r="CM775" s="3"/>
      <c r="CN775" s="3"/>
      <c r="CO775" s="3"/>
      <c r="CP775" s="3"/>
      <c r="CQ775" s="4">
        <f>SUM(CL775:CP775)</f>
        <v>0</v>
      </c>
      <c r="CS775" s="2"/>
      <c r="CT775" s="3"/>
      <c r="CU775" s="3"/>
      <c r="CV775" s="3"/>
      <c r="CW775" s="3"/>
      <c r="CX775" s="4">
        <f>SUM(CS775:CW775)</f>
        <v>0</v>
      </c>
      <c r="CZ775" s="2"/>
      <c r="DA775" s="3"/>
      <c r="DB775" s="3"/>
      <c r="DC775" s="3"/>
      <c r="DD775" s="3"/>
      <c r="DE775" s="4">
        <f>SUM(CZ775:DD775)</f>
        <v>0</v>
      </c>
    </row>
    <row r="776" spans="2:110">
      <c r="C776" s="567"/>
      <c r="E776" s="5" t="s">
        <v>60</v>
      </c>
      <c r="F776" s="6"/>
      <c r="G776" s="7"/>
      <c r="H776" s="7"/>
      <c r="I776" s="7"/>
      <c r="J776" s="7"/>
      <c r="K776" s="8">
        <f t="shared" ref="K776:K778" si="3535">SUM(F776:J776)</f>
        <v>0</v>
      </c>
      <c r="M776" s="6"/>
      <c r="N776" s="7"/>
      <c r="O776" s="7"/>
      <c r="P776" s="7"/>
      <c r="Q776" s="7"/>
      <c r="R776" s="8">
        <f t="shared" ref="R776:R778" si="3536">SUM(M776:Q776)</f>
        <v>0</v>
      </c>
      <c r="T776" s="6"/>
      <c r="U776" s="7"/>
      <c r="V776" s="7"/>
      <c r="W776" s="7"/>
      <c r="X776" s="7"/>
      <c r="Y776" s="8">
        <f t="shared" ref="Y776:Y778" si="3537">SUM(T776:X776)</f>
        <v>0</v>
      </c>
      <c r="AA776" s="6"/>
      <c r="AB776" s="7"/>
      <c r="AC776" s="7"/>
      <c r="AD776" s="7"/>
      <c r="AE776" s="7"/>
      <c r="AF776" s="8">
        <f>SUM(AA776:AE776)</f>
        <v>0</v>
      </c>
      <c r="AH776" s="6"/>
      <c r="AI776" s="7"/>
      <c r="AJ776" s="7"/>
      <c r="AK776" s="7"/>
      <c r="AL776" s="7"/>
      <c r="AM776" s="8">
        <f>SUM(AH776:AL776)</f>
        <v>0</v>
      </c>
      <c r="AO776" s="6"/>
      <c r="AP776" s="7"/>
      <c r="AQ776" s="7"/>
      <c r="AR776" s="7"/>
      <c r="AS776" s="7"/>
      <c r="AT776" s="8">
        <f>SUM(AO776:AS776)</f>
        <v>0</v>
      </c>
      <c r="AV776" s="6"/>
      <c r="AW776" s="7"/>
      <c r="AX776" s="7"/>
      <c r="AY776" s="7"/>
      <c r="AZ776" s="7"/>
      <c r="BA776" s="8">
        <f>SUM(AV776:AZ776)</f>
        <v>0</v>
      </c>
      <c r="BC776" s="6"/>
      <c r="BD776" s="7"/>
      <c r="BE776" s="7"/>
      <c r="BF776" s="7"/>
      <c r="BG776" s="7"/>
      <c r="BH776" s="8">
        <f>SUM(BC776:BG776)</f>
        <v>0</v>
      </c>
      <c r="BJ776" s="6"/>
      <c r="BK776" s="7"/>
      <c r="BL776" s="7"/>
      <c r="BM776" s="7"/>
      <c r="BN776" s="7"/>
      <c r="BO776" s="8">
        <f>SUM(BJ776:BN776)</f>
        <v>0</v>
      </c>
      <c r="BQ776" s="6"/>
      <c r="BR776" s="7"/>
      <c r="BS776" s="7"/>
      <c r="BT776" s="7"/>
      <c r="BU776" s="7"/>
      <c r="BV776" s="8">
        <f>SUM(BQ776:BU776)</f>
        <v>0</v>
      </c>
      <c r="BX776" s="6"/>
      <c r="BY776" s="7"/>
      <c r="BZ776" s="7"/>
      <c r="CA776" s="7"/>
      <c r="CB776" s="7"/>
      <c r="CC776" s="8">
        <f>SUM(BX776:CB776)</f>
        <v>0</v>
      </c>
      <c r="CE776" s="28">
        <f t="shared" si="3530"/>
        <v>0</v>
      </c>
      <c r="CF776" s="29">
        <f t="shared" si="3531"/>
        <v>0</v>
      </c>
      <c r="CG776" s="29">
        <f t="shared" si="3532"/>
        <v>0</v>
      </c>
      <c r="CH776" s="29">
        <f t="shared" si="3533"/>
        <v>0</v>
      </c>
      <c r="CI776" s="29">
        <f t="shared" si="3534"/>
        <v>0</v>
      </c>
      <c r="CJ776" s="8">
        <f>SUM(CE776:CI776)</f>
        <v>0</v>
      </c>
      <c r="CL776" s="6"/>
      <c r="CM776" s="7"/>
      <c r="CN776" s="7"/>
      <c r="CO776" s="7"/>
      <c r="CP776" s="7"/>
      <c r="CQ776" s="8">
        <f>SUM(CL776:CP776)</f>
        <v>0</v>
      </c>
      <c r="CS776" s="6"/>
      <c r="CT776" s="7"/>
      <c r="CU776" s="7"/>
      <c r="CV776" s="7"/>
      <c r="CW776" s="7"/>
      <c r="CX776" s="8">
        <f t="shared" ref="CX776:CX778" si="3538">SUM(CS776:CW776)</f>
        <v>0</v>
      </c>
      <c r="CZ776" s="6"/>
      <c r="DA776" s="7"/>
      <c r="DB776" s="7"/>
      <c r="DC776" s="7"/>
      <c r="DD776" s="7"/>
      <c r="DE776" s="8">
        <f t="shared" ref="DE776:DE778" si="3539">SUM(CZ776:DD776)</f>
        <v>0</v>
      </c>
    </row>
    <row r="777" spans="2:110">
      <c r="C777" s="567"/>
      <c r="E777" s="5" t="s">
        <v>61</v>
      </c>
      <c r="F777" s="6"/>
      <c r="G777" s="7"/>
      <c r="H777" s="7"/>
      <c r="I777" s="7"/>
      <c r="J777" s="7"/>
      <c r="K777" s="8">
        <f t="shared" si="3535"/>
        <v>0</v>
      </c>
      <c r="M777" s="6"/>
      <c r="N777" s="7"/>
      <c r="O777" s="7"/>
      <c r="P777" s="7"/>
      <c r="Q777" s="7"/>
      <c r="R777" s="8">
        <f t="shared" si="3536"/>
        <v>0</v>
      </c>
      <c r="T777" s="6"/>
      <c r="U777" s="7"/>
      <c r="V777" s="7"/>
      <c r="W777" s="7"/>
      <c r="X777" s="7"/>
      <c r="Y777" s="8">
        <f t="shared" si="3537"/>
        <v>0</v>
      </c>
      <c r="AA777" s="6"/>
      <c r="AB777" s="7"/>
      <c r="AC777" s="7"/>
      <c r="AD777" s="7"/>
      <c r="AE777" s="7"/>
      <c r="AF777" s="8">
        <f>SUM(AA777:AE777)</f>
        <v>0</v>
      </c>
      <c r="AH777" s="6"/>
      <c r="AI777" s="7"/>
      <c r="AJ777" s="7"/>
      <c r="AK777" s="7"/>
      <c r="AL777" s="7"/>
      <c r="AM777" s="8">
        <f>SUM(AH777:AL777)</f>
        <v>0</v>
      </c>
      <c r="AO777" s="6"/>
      <c r="AP777" s="7"/>
      <c r="AQ777" s="7"/>
      <c r="AR777" s="7"/>
      <c r="AS777" s="7"/>
      <c r="AT777" s="8">
        <f>SUM(AO777:AS777)</f>
        <v>0</v>
      </c>
      <c r="AV777" s="6"/>
      <c r="AW777" s="7"/>
      <c r="AX777" s="7"/>
      <c r="AY777" s="7"/>
      <c r="AZ777" s="7"/>
      <c r="BA777" s="8">
        <f>SUM(AV777:AZ777)</f>
        <v>0</v>
      </c>
      <c r="BC777" s="6"/>
      <c r="BD777" s="7"/>
      <c r="BE777" s="7"/>
      <c r="BF777" s="7"/>
      <c r="BG777" s="7"/>
      <c r="BH777" s="8">
        <f>SUM(BC777:BG777)</f>
        <v>0</v>
      </c>
      <c r="BJ777" s="6"/>
      <c r="BK777" s="7"/>
      <c r="BL777" s="7"/>
      <c r="BM777" s="7"/>
      <c r="BN777" s="7"/>
      <c r="BO777" s="8">
        <f>SUM(BJ777:BN777)</f>
        <v>0</v>
      </c>
      <c r="BQ777" s="6"/>
      <c r="BR777" s="7"/>
      <c r="BS777" s="7"/>
      <c r="BT777" s="7"/>
      <c r="BU777" s="7"/>
      <c r="BV777" s="8">
        <f>SUM(BQ777:BU777)</f>
        <v>0</v>
      </c>
      <c r="BX777" s="6"/>
      <c r="BY777" s="7"/>
      <c r="BZ777" s="7"/>
      <c r="CA777" s="7"/>
      <c r="CB777" s="7"/>
      <c r="CC777" s="8">
        <f>SUM(BX777:CB777)</f>
        <v>0</v>
      </c>
      <c r="CE777" s="28">
        <f t="shared" si="3530"/>
        <v>0</v>
      </c>
      <c r="CF777" s="29">
        <f t="shared" si="3531"/>
        <v>0</v>
      </c>
      <c r="CG777" s="29">
        <f t="shared" si="3532"/>
        <v>0</v>
      </c>
      <c r="CH777" s="29">
        <f t="shared" si="3533"/>
        <v>0</v>
      </c>
      <c r="CI777" s="29">
        <f t="shared" si="3534"/>
        <v>0</v>
      </c>
      <c r="CJ777" s="8">
        <f>SUM(CE777:CI777)</f>
        <v>0</v>
      </c>
      <c r="CL777" s="6"/>
      <c r="CM777" s="7"/>
      <c r="CN777" s="7"/>
      <c r="CO777" s="7"/>
      <c r="CP777" s="7"/>
      <c r="CQ777" s="8">
        <f>SUM(CL777:CP777)</f>
        <v>0</v>
      </c>
      <c r="CS777" s="6"/>
      <c r="CT777" s="7"/>
      <c r="CU777" s="7"/>
      <c r="CV777" s="7"/>
      <c r="CW777" s="7"/>
      <c r="CX777" s="8">
        <f t="shared" si="3538"/>
        <v>0</v>
      </c>
      <c r="CZ777" s="6"/>
      <c r="DA777" s="7"/>
      <c r="DB777" s="7"/>
      <c r="DC777" s="7"/>
      <c r="DD777" s="7"/>
      <c r="DE777" s="8">
        <f t="shared" si="3539"/>
        <v>0</v>
      </c>
    </row>
    <row r="778" spans="2:110" ht="14" thickBot="1">
      <c r="C778" s="567"/>
      <c r="E778" s="5" t="s">
        <v>62</v>
      </c>
      <c r="F778" s="6"/>
      <c r="G778" s="7"/>
      <c r="H778" s="7"/>
      <c r="I778" s="7"/>
      <c r="J778" s="7"/>
      <c r="K778" s="8">
        <f t="shared" si="3535"/>
        <v>0</v>
      </c>
      <c r="M778" s="6"/>
      <c r="N778" s="7"/>
      <c r="O778" s="7"/>
      <c r="P778" s="7"/>
      <c r="Q778" s="7"/>
      <c r="R778" s="8">
        <f t="shared" si="3536"/>
        <v>0</v>
      </c>
      <c r="T778" s="6"/>
      <c r="U778" s="7"/>
      <c r="V778" s="7"/>
      <c r="W778" s="7"/>
      <c r="X778" s="7"/>
      <c r="Y778" s="8">
        <f t="shared" si="3537"/>
        <v>0</v>
      </c>
      <c r="AA778" s="6"/>
      <c r="AB778" s="7"/>
      <c r="AC778" s="7"/>
      <c r="AD778" s="7"/>
      <c r="AE778" s="7"/>
      <c r="AF778" s="8">
        <f>SUM(AA778:AE778)</f>
        <v>0</v>
      </c>
      <c r="AH778" s="6"/>
      <c r="AI778" s="7"/>
      <c r="AJ778" s="7"/>
      <c r="AK778" s="7"/>
      <c r="AL778" s="7"/>
      <c r="AM778" s="8">
        <f>SUM(AH778:AL778)</f>
        <v>0</v>
      </c>
      <c r="AO778" s="6"/>
      <c r="AP778" s="7"/>
      <c r="AQ778" s="7"/>
      <c r="AR778" s="7"/>
      <c r="AS778" s="7"/>
      <c r="AT778" s="8">
        <f>SUM(AO778:AS778)</f>
        <v>0</v>
      </c>
      <c r="AV778" s="6"/>
      <c r="AW778" s="7"/>
      <c r="AX778" s="7"/>
      <c r="AY778" s="7"/>
      <c r="AZ778" s="7"/>
      <c r="BA778" s="8">
        <f>SUM(AV778:AZ778)</f>
        <v>0</v>
      </c>
      <c r="BC778" s="6"/>
      <c r="BD778" s="7"/>
      <c r="BE778" s="7"/>
      <c r="BF778" s="7"/>
      <c r="BG778" s="7"/>
      <c r="BH778" s="8">
        <f>SUM(BC778:BG778)</f>
        <v>0</v>
      </c>
      <c r="BJ778" s="6"/>
      <c r="BK778" s="7"/>
      <c r="BL778" s="7"/>
      <c r="BM778" s="7"/>
      <c r="BN778" s="7"/>
      <c r="BO778" s="8">
        <f>SUM(BJ778:BN778)</f>
        <v>0</v>
      </c>
      <c r="BQ778" s="6"/>
      <c r="BR778" s="7"/>
      <c r="BS778" s="7"/>
      <c r="BT778" s="7"/>
      <c r="BU778" s="7"/>
      <c r="BV778" s="8">
        <f>SUM(BQ778:BU778)</f>
        <v>0</v>
      </c>
      <c r="BX778" s="6"/>
      <c r="BY778" s="7"/>
      <c r="BZ778" s="7"/>
      <c r="CA778" s="7"/>
      <c r="CB778" s="7"/>
      <c r="CC778" s="8">
        <f>SUM(BX778:CB778)</f>
        <v>0</v>
      </c>
      <c r="CE778" s="493">
        <f t="shared" si="3530"/>
        <v>0</v>
      </c>
      <c r="CF778" s="494">
        <f t="shared" si="3531"/>
        <v>0</v>
      </c>
      <c r="CG778" s="494">
        <f t="shared" si="3532"/>
        <v>0</v>
      </c>
      <c r="CH778" s="494">
        <f t="shared" si="3533"/>
        <v>0</v>
      </c>
      <c r="CI778" s="494">
        <f t="shared" si="3534"/>
        <v>0</v>
      </c>
      <c r="CJ778" s="495">
        <f>SUM(CE778:CI778)</f>
        <v>0</v>
      </c>
      <c r="CL778" s="6"/>
      <c r="CM778" s="7"/>
      <c r="CN778" s="7"/>
      <c r="CO778" s="7"/>
      <c r="CP778" s="7"/>
      <c r="CQ778" s="8">
        <f>SUM(CL778:CP778)</f>
        <v>0</v>
      </c>
      <c r="CS778" s="6"/>
      <c r="CT778" s="7"/>
      <c r="CU778" s="7"/>
      <c r="CV778" s="7"/>
      <c r="CW778" s="7"/>
      <c r="CX778" s="8">
        <f t="shared" si="3538"/>
        <v>0</v>
      </c>
      <c r="CZ778" s="6"/>
      <c r="DA778" s="7"/>
      <c r="DB778" s="7"/>
      <c r="DC778" s="7"/>
      <c r="DD778" s="7"/>
      <c r="DE778" s="8">
        <f t="shared" si="3539"/>
        <v>0</v>
      </c>
    </row>
    <row r="779" spans="2:110" ht="14" thickBot="1">
      <c r="C779" s="554"/>
      <c r="E779" s="9"/>
      <c r="F779" s="10">
        <f>SUM(F775:F778)</f>
        <v>0</v>
      </c>
      <c r="G779" s="11">
        <f t="shared" ref="G779:J779" si="3540">SUM(G775:G778)</f>
        <v>0</v>
      </c>
      <c r="H779" s="11">
        <f t="shared" si="3540"/>
        <v>0</v>
      </c>
      <c r="I779" s="11">
        <f t="shared" si="3540"/>
        <v>0</v>
      </c>
      <c r="J779" s="61">
        <f t="shared" si="3540"/>
        <v>0</v>
      </c>
      <c r="K779" s="25">
        <f>SUM(K775:K778)</f>
        <v>0</v>
      </c>
      <c r="M779" s="10">
        <f>SUM(M775:M778)</f>
        <v>0</v>
      </c>
      <c r="N779" s="11">
        <f t="shared" ref="N779:Q779" si="3541">SUM(N775:N778)</f>
        <v>0</v>
      </c>
      <c r="O779" s="11">
        <f t="shared" si="3541"/>
        <v>0</v>
      </c>
      <c r="P779" s="11">
        <f t="shared" si="3541"/>
        <v>0</v>
      </c>
      <c r="Q779" s="11">
        <f t="shared" si="3541"/>
        <v>0</v>
      </c>
      <c r="R779" s="25">
        <f>SUM(R775:R778)</f>
        <v>0</v>
      </c>
      <c r="T779" s="10">
        <f>SUM(T775:T778)</f>
        <v>0</v>
      </c>
      <c r="U779" s="11">
        <f t="shared" ref="U779:X779" si="3542">SUM(U775:U778)</f>
        <v>0</v>
      </c>
      <c r="V779" s="11">
        <f t="shared" si="3542"/>
        <v>0</v>
      </c>
      <c r="W779" s="11">
        <f t="shared" si="3542"/>
        <v>0</v>
      </c>
      <c r="X779" s="11">
        <f t="shared" si="3542"/>
        <v>0</v>
      </c>
      <c r="Y779" s="25">
        <f>SUM(Y775:Y778)</f>
        <v>0</v>
      </c>
      <c r="AA779" s="10">
        <f>SUM(AA775:AA778)</f>
        <v>0</v>
      </c>
      <c r="AB779" s="11">
        <f t="shared" ref="AB779:AE779" si="3543">SUM(AB775:AB778)</f>
        <v>0</v>
      </c>
      <c r="AC779" s="11">
        <f t="shared" si="3543"/>
        <v>0</v>
      </c>
      <c r="AD779" s="11">
        <f t="shared" si="3543"/>
        <v>0</v>
      </c>
      <c r="AE779" s="11">
        <f t="shared" si="3543"/>
        <v>0</v>
      </c>
      <c r="AF779" s="25">
        <f>SUM(AF775:AF778)</f>
        <v>0</v>
      </c>
      <c r="AH779" s="10">
        <f t="shared" ref="AH779:AM779" si="3544">SUM(AH775:AH778)</f>
        <v>0</v>
      </c>
      <c r="AI779" s="11">
        <f t="shared" si="3544"/>
        <v>0</v>
      </c>
      <c r="AJ779" s="11">
        <f t="shared" si="3544"/>
        <v>0</v>
      </c>
      <c r="AK779" s="11">
        <f t="shared" si="3544"/>
        <v>0</v>
      </c>
      <c r="AL779" s="11">
        <f t="shared" si="3544"/>
        <v>0</v>
      </c>
      <c r="AM779" s="25">
        <f t="shared" si="3544"/>
        <v>0</v>
      </c>
      <c r="AO779" s="10">
        <f t="shared" ref="AO779:AT779" si="3545">SUM(AO775:AO778)</f>
        <v>0</v>
      </c>
      <c r="AP779" s="11">
        <f t="shared" si="3545"/>
        <v>0</v>
      </c>
      <c r="AQ779" s="11">
        <f t="shared" si="3545"/>
        <v>0</v>
      </c>
      <c r="AR779" s="11">
        <f t="shared" si="3545"/>
        <v>0</v>
      </c>
      <c r="AS779" s="11">
        <f t="shared" si="3545"/>
        <v>0</v>
      </c>
      <c r="AT779" s="25">
        <f t="shared" si="3545"/>
        <v>0</v>
      </c>
      <c r="AV779" s="10">
        <f t="shared" ref="AV779:BA779" si="3546">SUM(AV775:AV778)</f>
        <v>0</v>
      </c>
      <c r="AW779" s="11">
        <f t="shared" si="3546"/>
        <v>0</v>
      </c>
      <c r="AX779" s="11">
        <f t="shared" si="3546"/>
        <v>0</v>
      </c>
      <c r="AY779" s="11">
        <f t="shared" si="3546"/>
        <v>0</v>
      </c>
      <c r="AZ779" s="11">
        <f t="shared" si="3546"/>
        <v>0</v>
      </c>
      <c r="BA779" s="25">
        <f t="shared" si="3546"/>
        <v>0</v>
      </c>
      <c r="BC779" s="10">
        <f t="shared" ref="BC779:BH779" si="3547">SUM(BC775:BC778)</f>
        <v>0</v>
      </c>
      <c r="BD779" s="11">
        <f t="shared" si="3547"/>
        <v>0</v>
      </c>
      <c r="BE779" s="11">
        <f t="shared" si="3547"/>
        <v>0</v>
      </c>
      <c r="BF779" s="11">
        <f t="shared" si="3547"/>
        <v>0</v>
      </c>
      <c r="BG779" s="11">
        <f t="shared" si="3547"/>
        <v>0</v>
      </c>
      <c r="BH779" s="25">
        <f t="shared" si="3547"/>
        <v>0</v>
      </c>
      <c r="BJ779" s="10">
        <f t="shared" ref="BJ779:BO779" si="3548">SUM(BJ775:BJ778)</f>
        <v>0</v>
      </c>
      <c r="BK779" s="11">
        <f t="shared" si="3548"/>
        <v>0</v>
      </c>
      <c r="BL779" s="11">
        <f t="shared" si="3548"/>
        <v>0</v>
      </c>
      <c r="BM779" s="11">
        <f t="shared" si="3548"/>
        <v>0</v>
      </c>
      <c r="BN779" s="11">
        <f t="shared" si="3548"/>
        <v>0</v>
      </c>
      <c r="BO779" s="25">
        <f t="shared" si="3548"/>
        <v>0</v>
      </c>
      <c r="BQ779" s="10">
        <f t="shared" ref="BQ779:BV779" si="3549">SUM(BQ775:BQ778)</f>
        <v>0</v>
      </c>
      <c r="BR779" s="11">
        <f t="shared" si="3549"/>
        <v>0</v>
      </c>
      <c r="BS779" s="11">
        <f t="shared" si="3549"/>
        <v>0</v>
      </c>
      <c r="BT779" s="11">
        <f t="shared" si="3549"/>
        <v>0</v>
      </c>
      <c r="BU779" s="11">
        <f t="shared" si="3549"/>
        <v>0</v>
      </c>
      <c r="BV779" s="25">
        <f t="shared" si="3549"/>
        <v>0</v>
      </c>
      <c r="BX779" s="10">
        <f t="shared" ref="BX779:CC779" si="3550">SUM(BX775:BX778)</f>
        <v>0</v>
      </c>
      <c r="BY779" s="11">
        <f t="shared" si="3550"/>
        <v>0</v>
      </c>
      <c r="BZ779" s="11">
        <f t="shared" si="3550"/>
        <v>0</v>
      </c>
      <c r="CA779" s="11">
        <f t="shared" si="3550"/>
        <v>0</v>
      </c>
      <c r="CB779" s="11">
        <f t="shared" si="3550"/>
        <v>0</v>
      </c>
      <c r="CC779" s="25">
        <f t="shared" si="3550"/>
        <v>0</v>
      </c>
      <c r="CE779" s="62">
        <f t="shared" ref="CE779:CJ779" si="3551">SUM(CE775:CE778)</f>
        <v>0</v>
      </c>
      <c r="CF779" s="63">
        <f t="shared" si="3551"/>
        <v>0</v>
      </c>
      <c r="CG779" s="63">
        <f t="shared" si="3551"/>
        <v>0</v>
      </c>
      <c r="CH779" s="63">
        <f t="shared" si="3551"/>
        <v>0</v>
      </c>
      <c r="CI779" s="63">
        <f t="shared" si="3551"/>
        <v>0</v>
      </c>
      <c r="CJ779" s="25">
        <f t="shared" si="3551"/>
        <v>0</v>
      </c>
      <c r="CL779" s="10">
        <f>SUM(CL775:CL778)</f>
        <v>0</v>
      </c>
      <c r="CM779" s="11">
        <f t="shared" ref="CM779:CQ779" si="3552">SUM(CM775:CM778)</f>
        <v>0</v>
      </c>
      <c r="CN779" s="11">
        <f t="shared" si="3552"/>
        <v>0</v>
      </c>
      <c r="CO779" s="11">
        <f t="shared" si="3552"/>
        <v>0</v>
      </c>
      <c r="CP779" s="11">
        <f t="shared" si="3552"/>
        <v>0</v>
      </c>
      <c r="CQ779" s="25">
        <f t="shared" si="3552"/>
        <v>0</v>
      </c>
      <c r="CS779" s="10">
        <f>SUM(CS775:CS778)</f>
        <v>0</v>
      </c>
      <c r="CT779" s="11">
        <f t="shared" ref="CT779:CW779" si="3553">SUM(CT775:CT778)</f>
        <v>0</v>
      </c>
      <c r="CU779" s="11">
        <f t="shared" si="3553"/>
        <v>0</v>
      </c>
      <c r="CV779" s="11">
        <f t="shared" si="3553"/>
        <v>0</v>
      </c>
      <c r="CW779" s="11">
        <f t="shared" si="3553"/>
        <v>0</v>
      </c>
      <c r="CX779" s="25">
        <f>SUM(CX775:CX778)</f>
        <v>0</v>
      </c>
      <c r="CZ779" s="10">
        <f>SUM(CZ775:CZ778)</f>
        <v>0</v>
      </c>
      <c r="DA779" s="11">
        <f t="shared" ref="DA779:DD779" si="3554">SUM(DA775:DA778)</f>
        <v>0</v>
      </c>
      <c r="DB779" s="11">
        <f t="shared" si="3554"/>
        <v>0</v>
      </c>
      <c r="DC779" s="11">
        <f t="shared" si="3554"/>
        <v>0</v>
      </c>
      <c r="DD779" s="11">
        <f t="shared" si="3554"/>
        <v>0</v>
      </c>
      <c r="DE779" s="25">
        <f>SUM(DE775:DE778)</f>
        <v>0</v>
      </c>
    </row>
    <row r="780" spans="2:110" ht="10.4" customHeight="1" thickBot="1"/>
    <row r="781" spans="2:110">
      <c r="C781" s="553">
        <v>2025</v>
      </c>
      <c r="E781" s="13" t="s">
        <v>59</v>
      </c>
      <c r="F781" s="21">
        <f>CE775</f>
        <v>0</v>
      </c>
      <c r="G781" s="22">
        <f t="shared" ref="G781:G784" si="3555">CF775</f>
        <v>0</v>
      </c>
      <c r="H781" s="22">
        <f t="shared" ref="H781:H784" si="3556">CG775</f>
        <v>0</v>
      </c>
      <c r="I781" s="22">
        <f t="shared" ref="I781:I784" si="3557">CH775</f>
        <v>0</v>
      </c>
      <c r="J781" s="22">
        <f t="shared" ref="J781:J784" si="3558">CI775</f>
        <v>0</v>
      </c>
      <c r="K781" s="15">
        <f>SUM(F781:J781)</f>
        <v>0</v>
      </c>
      <c r="M781" s="2"/>
      <c r="N781" s="3"/>
      <c r="O781" s="3"/>
      <c r="P781" s="3"/>
      <c r="Q781" s="3"/>
      <c r="R781" s="15">
        <f>SUM(M781:Q781)</f>
        <v>0</v>
      </c>
      <c r="T781" s="2"/>
      <c r="U781" s="3"/>
      <c r="V781" s="3"/>
      <c r="W781" s="3"/>
      <c r="X781" s="3"/>
      <c r="Y781" s="15">
        <f>SUM(T781:X781)</f>
        <v>0</v>
      </c>
      <c r="AA781" s="2"/>
      <c r="AB781" s="3"/>
      <c r="AC781" s="3"/>
      <c r="AD781" s="3"/>
      <c r="AE781" s="3"/>
      <c r="AF781" s="15">
        <f>SUM(AA781:AE781)</f>
        <v>0</v>
      </c>
      <c r="AH781" s="2"/>
      <c r="AI781" s="3"/>
      <c r="AJ781" s="3"/>
      <c r="AK781" s="3"/>
      <c r="AL781" s="3"/>
      <c r="AM781" s="15">
        <f>SUM(AH781:AL781)</f>
        <v>0</v>
      </c>
      <c r="AO781" s="2"/>
      <c r="AP781" s="3"/>
      <c r="AQ781" s="3"/>
      <c r="AR781" s="3"/>
      <c r="AS781" s="3"/>
      <c r="AT781" s="15">
        <f>SUM(AO781:AS781)</f>
        <v>0</v>
      </c>
      <c r="AV781" s="2"/>
      <c r="AW781" s="3"/>
      <c r="AX781" s="3"/>
      <c r="AY781" s="3"/>
      <c r="AZ781" s="3"/>
      <c r="BA781" s="15">
        <f>SUM(AV781:AZ781)</f>
        <v>0</v>
      </c>
      <c r="BC781" s="2"/>
      <c r="BD781" s="3"/>
      <c r="BE781" s="3"/>
      <c r="BF781" s="3"/>
      <c r="BG781" s="3"/>
      <c r="BH781" s="15">
        <f>SUM(BC781:BG781)</f>
        <v>0</v>
      </c>
      <c r="BJ781" s="2"/>
      <c r="BK781" s="3"/>
      <c r="BL781" s="3"/>
      <c r="BM781" s="3"/>
      <c r="BN781" s="3"/>
      <c r="BO781" s="15">
        <f>SUM(BJ781:BN781)</f>
        <v>0</v>
      </c>
      <c r="BQ781" s="2"/>
      <c r="BR781" s="3"/>
      <c r="BS781" s="3"/>
      <c r="BT781" s="3"/>
      <c r="BU781" s="3"/>
      <c r="BV781" s="15">
        <f>SUM(BQ781:BU781)</f>
        <v>0</v>
      </c>
      <c r="BX781" s="2"/>
      <c r="BY781" s="3"/>
      <c r="BZ781" s="3"/>
      <c r="CA781" s="3"/>
      <c r="CB781" s="3"/>
      <c r="CC781" s="15">
        <f>SUM(BX781:CB781)</f>
        <v>0</v>
      </c>
      <c r="CE781" s="26">
        <f t="shared" ref="CE781:CE784" si="3559">F781+M781+T781+AA781+AH781+AO781+AV781+BC781+BJ781+BQ781+BX781</f>
        <v>0</v>
      </c>
      <c r="CF781" s="27">
        <f t="shared" ref="CF781:CF784" si="3560">G781+N781+U781+AB781+AI781+AP781+AW781+BD781+BK781+BR781+BY781</f>
        <v>0</v>
      </c>
      <c r="CG781" s="27">
        <f t="shared" ref="CG781:CG784" si="3561">H781+O781+V781+AC781+AJ781+AQ781+AX781+BE781+BL781+BS781+BZ781</f>
        <v>0</v>
      </c>
      <c r="CH781" s="27">
        <f t="shared" ref="CH781:CH784" si="3562">I781+P781+W781+AD781+AK781+AR781+AY781+BF781+BM781+BT781+CA781</f>
        <v>0</v>
      </c>
      <c r="CI781" s="27">
        <f t="shared" ref="CI781:CI784" si="3563">J781+Q781+X781+AE781+AL781+AS781+AZ781+BG781+BN781+BU781+CB781</f>
        <v>0</v>
      </c>
      <c r="CJ781" s="4">
        <f>SUM(CE781:CI781)</f>
        <v>0</v>
      </c>
      <c r="CL781" s="2"/>
      <c r="CM781" s="3"/>
      <c r="CN781" s="3"/>
      <c r="CO781" s="3"/>
      <c r="CP781" s="3"/>
      <c r="CQ781" s="15">
        <f>SUM(CL781:CP781)</f>
        <v>0</v>
      </c>
      <c r="CS781" s="2"/>
      <c r="CT781" s="3"/>
      <c r="CU781" s="3"/>
      <c r="CV781" s="3"/>
      <c r="CW781" s="3"/>
      <c r="CX781" s="4">
        <f>SUM(CS781:CW781)</f>
        <v>0</v>
      </c>
      <c r="CZ781" s="2"/>
      <c r="DA781" s="3"/>
      <c r="DB781" s="3"/>
      <c r="DC781" s="3"/>
      <c r="DD781" s="3"/>
      <c r="DE781" s="15">
        <f>SUM(CZ781:DD781)</f>
        <v>0</v>
      </c>
    </row>
    <row r="782" spans="2:110">
      <c r="C782" s="567"/>
      <c r="E782" s="14" t="s">
        <v>60</v>
      </c>
      <c r="F782" s="23">
        <f t="shared" ref="F782:F784" si="3564">CE776</f>
        <v>0</v>
      </c>
      <c r="G782" s="24">
        <f t="shared" si="3555"/>
        <v>0</v>
      </c>
      <c r="H782" s="24">
        <f t="shared" si="3556"/>
        <v>0</v>
      </c>
      <c r="I782" s="24">
        <f t="shared" si="3557"/>
        <v>0</v>
      </c>
      <c r="J782" s="24">
        <f t="shared" si="3558"/>
        <v>0</v>
      </c>
      <c r="K782" s="16">
        <f t="shared" ref="K782:K784" si="3565">SUM(F782:J782)</f>
        <v>0</v>
      </c>
      <c r="M782" s="6"/>
      <c r="N782" s="7"/>
      <c r="O782" s="7"/>
      <c r="P782" s="7"/>
      <c r="Q782" s="7"/>
      <c r="R782" s="16">
        <f t="shared" ref="R782:R784" si="3566">SUM(M782:Q782)</f>
        <v>0</v>
      </c>
      <c r="T782" s="6"/>
      <c r="U782" s="7"/>
      <c r="V782" s="7"/>
      <c r="W782" s="7"/>
      <c r="X782" s="7"/>
      <c r="Y782" s="16">
        <f t="shared" ref="Y782:Y784" si="3567">SUM(T782:X782)</f>
        <v>0</v>
      </c>
      <c r="AA782" s="6"/>
      <c r="AB782" s="7"/>
      <c r="AC782" s="7"/>
      <c r="AD782" s="7"/>
      <c r="AE782" s="7"/>
      <c r="AF782" s="16">
        <f>SUM(AA782:AE782)</f>
        <v>0</v>
      </c>
      <c r="AH782" s="6"/>
      <c r="AI782" s="7"/>
      <c r="AJ782" s="7"/>
      <c r="AK782" s="7"/>
      <c r="AL782" s="7"/>
      <c r="AM782" s="16">
        <f>SUM(AH782:AL782)</f>
        <v>0</v>
      </c>
      <c r="AO782" s="6"/>
      <c r="AP782" s="7"/>
      <c r="AQ782" s="7"/>
      <c r="AR782" s="7"/>
      <c r="AS782" s="7"/>
      <c r="AT782" s="16">
        <f>SUM(AO782:AS782)</f>
        <v>0</v>
      </c>
      <c r="AV782" s="6"/>
      <c r="AW782" s="7"/>
      <c r="AX782" s="7"/>
      <c r="AY782" s="7"/>
      <c r="AZ782" s="7"/>
      <c r="BA782" s="16">
        <f>SUM(AV782:AZ782)</f>
        <v>0</v>
      </c>
      <c r="BC782" s="6"/>
      <c r="BD782" s="7"/>
      <c r="BE782" s="7"/>
      <c r="BF782" s="7"/>
      <c r="BG782" s="7"/>
      <c r="BH782" s="16">
        <f>SUM(BC782:BG782)</f>
        <v>0</v>
      </c>
      <c r="BJ782" s="6"/>
      <c r="BK782" s="7"/>
      <c r="BL782" s="7"/>
      <c r="BM782" s="7"/>
      <c r="BN782" s="7"/>
      <c r="BO782" s="16">
        <f>SUM(BJ782:BN782)</f>
        <v>0</v>
      </c>
      <c r="BQ782" s="6"/>
      <c r="BR782" s="7"/>
      <c r="BS782" s="7"/>
      <c r="BT782" s="7"/>
      <c r="BU782" s="7"/>
      <c r="BV782" s="16">
        <f>SUM(BQ782:BU782)</f>
        <v>0</v>
      </c>
      <c r="BX782" s="6"/>
      <c r="BY782" s="7"/>
      <c r="BZ782" s="7"/>
      <c r="CA782" s="7"/>
      <c r="CB782" s="7"/>
      <c r="CC782" s="16">
        <f>SUM(BX782:CB782)</f>
        <v>0</v>
      </c>
      <c r="CE782" s="28">
        <f t="shared" si="3559"/>
        <v>0</v>
      </c>
      <c r="CF782" s="29">
        <f t="shared" si="3560"/>
        <v>0</v>
      </c>
      <c r="CG782" s="29">
        <f t="shared" si="3561"/>
        <v>0</v>
      </c>
      <c r="CH782" s="29">
        <f t="shared" si="3562"/>
        <v>0</v>
      </c>
      <c r="CI782" s="29">
        <f t="shared" si="3563"/>
        <v>0</v>
      </c>
      <c r="CJ782" s="8">
        <f>SUM(CE782:CI782)</f>
        <v>0</v>
      </c>
      <c r="CL782" s="6"/>
      <c r="CM782" s="7"/>
      <c r="CN782" s="7"/>
      <c r="CO782" s="7"/>
      <c r="CP782" s="7"/>
      <c r="CQ782" s="16">
        <f>SUM(CL782:CP782)</f>
        <v>0</v>
      </c>
      <c r="CS782" s="6"/>
      <c r="CT782" s="7"/>
      <c r="CU782" s="7"/>
      <c r="CV782" s="7"/>
      <c r="CW782" s="7"/>
      <c r="CX782" s="8">
        <f t="shared" ref="CX782:CX784" si="3568">SUM(CS782:CW782)</f>
        <v>0</v>
      </c>
      <c r="CZ782" s="6"/>
      <c r="DA782" s="7"/>
      <c r="DB782" s="7"/>
      <c r="DC782" s="7"/>
      <c r="DD782" s="7"/>
      <c r="DE782" s="16">
        <f t="shared" ref="DE782:DE784" si="3569">SUM(CZ782:DD782)</f>
        <v>0</v>
      </c>
    </row>
    <row r="783" spans="2:110">
      <c r="C783" s="567"/>
      <c r="E783" s="14" t="s">
        <v>61</v>
      </c>
      <c r="F783" s="23">
        <f t="shared" si="3564"/>
        <v>0</v>
      </c>
      <c r="G783" s="24">
        <f t="shared" si="3555"/>
        <v>0</v>
      </c>
      <c r="H783" s="24">
        <f t="shared" si="3556"/>
        <v>0</v>
      </c>
      <c r="I783" s="24">
        <f t="shared" si="3557"/>
        <v>0</v>
      </c>
      <c r="J783" s="24">
        <f t="shared" si="3558"/>
        <v>0</v>
      </c>
      <c r="K783" s="16">
        <f t="shared" si="3565"/>
        <v>0</v>
      </c>
      <c r="M783" s="6"/>
      <c r="N783" s="7"/>
      <c r="O783" s="7"/>
      <c r="P783" s="7"/>
      <c r="Q783" s="7"/>
      <c r="R783" s="16">
        <f t="shared" si="3566"/>
        <v>0</v>
      </c>
      <c r="T783" s="6"/>
      <c r="U783" s="7"/>
      <c r="V783" s="7"/>
      <c r="W783" s="7"/>
      <c r="X783" s="7"/>
      <c r="Y783" s="16">
        <f t="shared" si="3567"/>
        <v>0</v>
      </c>
      <c r="AA783" s="6"/>
      <c r="AB783" s="7"/>
      <c r="AC783" s="7"/>
      <c r="AD783" s="7"/>
      <c r="AE783" s="7"/>
      <c r="AF783" s="16">
        <f>SUM(AA783:AE783)</f>
        <v>0</v>
      </c>
      <c r="AH783" s="6"/>
      <c r="AI783" s="7"/>
      <c r="AJ783" s="7"/>
      <c r="AK783" s="7"/>
      <c r="AL783" s="7"/>
      <c r="AM783" s="16">
        <f>SUM(AH783:AL783)</f>
        <v>0</v>
      </c>
      <c r="AO783" s="6"/>
      <c r="AP783" s="7"/>
      <c r="AQ783" s="7"/>
      <c r="AR783" s="7"/>
      <c r="AS783" s="7"/>
      <c r="AT783" s="16">
        <f>SUM(AO783:AS783)</f>
        <v>0</v>
      </c>
      <c r="AV783" s="6"/>
      <c r="AW783" s="7"/>
      <c r="AX783" s="7"/>
      <c r="AY783" s="7"/>
      <c r="AZ783" s="7"/>
      <c r="BA783" s="16">
        <f>SUM(AV783:AZ783)</f>
        <v>0</v>
      </c>
      <c r="BC783" s="6"/>
      <c r="BD783" s="7"/>
      <c r="BE783" s="7"/>
      <c r="BF783" s="7"/>
      <c r="BG783" s="7"/>
      <c r="BH783" s="16">
        <f>SUM(BC783:BG783)</f>
        <v>0</v>
      </c>
      <c r="BJ783" s="6"/>
      <c r="BK783" s="7"/>
      <c r="BL783" s="7"/>
      <c r="BM783" s="7"/>
      <c r="BN783" s="7"/>
      <c r="BO783" s="16">
        <f>SUM(BJ783:BN783)</f>
        <v>0</v>
      </c>
      <c r="BQ783" s="6"/>
      <c r="BR783" s="7"/>
      <c r="BS783" s="7"/>
      <c r="BT783" s="7"/>
      <c r="BU783" s="7"/>
      <c r="BV783" s="16">
        <f>SUM(BQ783:BU783)</f>
        <v>0</v>
      </c>
      <c r="BX783" s="6"/>
      <c r="BY783" s="7"/>
      <c r="BZ783" s="7"/>
      <c r="CA783" s="7"/>
      <c r="CB783" s="7"/>
      <c r="CC783" s="16">
        <f>SUM(BX783:CB783)</f>
        <v>0</v>
      </c>
      <c r="CE783" s="28">
        <f t="shared" si="3559"/>
        <v>0</v>
      </c>
      <c r="CF783" s="29">
        <f t="shared" si="3560"/>
        <v>0</v>
      </c>
      <c r="CG783" s="29">
        <f t="shared" si="3561"/>
        <v>0</v>
      </c>
      <c r="CH783" s="29">
        <f t="shared" si="3562"/>
        <v>0</v>
      </c>
      <c r="CI783" s="29">
        <f t="shared" si="3563"/>
        <v>0</v>
      </c>
      <c r="CJ783" s="8">
        <f>SUM(CE783:CI783)</f>
        <v>0</v>
      </c>
      <c r="CL783" s="6"/>
      <c r="CM783" s="7"/>
      <c r="CN783" s="7"/>
      <c r="CO783" s="7"/>
      <c r="CP783" s="7"/>
      <c r="CQ783" s="16">
        <f>SUM(CL783:CP783)</f>
        <v>0</v>
      </c>
      <c r="CS783" s="6"/>
      <c r="CT783" s="7"/>
      <c r="CU783" s="7"/>
      <c r="CV783" s="7"/>
      <c r="CW783" s="7"/>
      <c r="CX783" s="8">
        <f t="shared" si="3568"/>
        <v>0</v>
      </c>
      <c r="CZ783" s="6"/>
      <c r="DA783" s="7"/>
      <c r="DB783" s="7"/>
      <c r="DC783" s="7"/>
      <c r="DD783" s="7"/>
      <c r="DE783" s="16">
        <f t="shared" si="3569"/>
        <v>0</v>
      </c>
    </row>
    <row r="784" spans="2:110" ht="14" thickBot="1">
      <c r="C784" s="567"/>
      <c r="E784" s="14" t="s">
        <v>62</v>
      </c>
      <c r="F784" s="23">
        <f t="shared" si="3564"/>
        <v>0</v>
      </c>
      <c r="G784" s="24">
        <f t="shared" si="3555"/>
        <v>0</v>
      </c>
      <c r="H784" s="24">
        <f t="shared" si="3556"/>
        <v>0</v>
      </c>
      <c r="I784" s="24">
        <f t="shared" si="3557"/>
        <v>0</v>
      </c>
      <c r="J784" s="24">
        <f t="shared" si="3558"/>
        <v>0</v>
      </c>
      <c r="K784" s="16">
        <f t="shared" si="3565"/>
        <v>0</v>
      </c>
      <c r="M784" s="6"/>
      <c r="N784" s="7"/>
      <c r="O784" s="7"/>
      <c r="P784" s="7"/>
      <c r="Q784" s="7"/>
      <c r="R784" s="16">
        <f t="shared" si="3566"/>
        <v>0</v>
      </c>
      <c r="T784" s="6"/>
      <c r="U784" s="7"/>
      <c r="V784" s="7"/>
      <c r="W784" s="7"/>
      <c r="X784" s="7"/>
      <c r="Y784" s="16">
        <f t="shared" si="3567"/>
        <v>0</v>
      </c>
      <c r="AA784" s="6"/>
      <c r="AB784" s="7"/>
      <c r="AC784" s="7"/>
      <c r="AD784" s="7"/>
      <c r="AE784" s="7"/>
      <c r="AF784" s="16">
        <f>SUM(AA784:AE784)</f>
        <v>0</v>
      </c>
      <c r="AH784" s="6"/>
      <c r="AI784" s="7"/>
      <c r="AJ784" s="7"/>
      <c r="AK784" s="7"/>
      <c r="AL784" s="7"/>
      <c r="AM784" s="16">
        <f>SUM(AH784:AL784)</f>
        <v>0</v>
      </c>
      <c r="AO784" s="6"/>
      <c r="AP784" s="7"/>
      <c r="AQ784" s="7"/>
      <c r="AR784" s="7"/>
      <c r="AS784" s="7"/>
      <c r="AT784" s="16">
        <f>SUM(AO784:AS784)</f>
        <v>0</v>
      </c>
      <c r="AV784" s="6"/>
      <c r="AW784" s="7"/>
      <c r="AX784" s="7"/>
      <c r="AY784" s="7"/>
      <c r="AZ784" s="7"/>
      <c r="BA784" s="16">
        <f>SUM(AV784:AZ784)</f>
        <v>0</v>
      </c>
      <c r="BC784" s="6"/>
      <c r="BD784" s="7"/>
      <c r="BE784" s="7"/>
      <c r="BF784" s="7"/>
      <c r="BG784" s="7"/>
      <c r="BH784" s="16">
        <f>SUM(BC784:BG784)</f>
        <v>0</v>
      </c>
      <c r="BJ784" s="6"/>
      <c r="BK784" s="7"/>
      <c r="BL784" s="7"/>
      <c r="BM784" s="7"/>
      <c r="BN784" s="7"/>
      <c r="BO784" s="16">
        <f>SUM(BJ784:BN784)</f>
        <v>0</v>
      </c>
      <c r="BQ784" s="6"/>
      <c r="BR784" s="7"/>
      <c r="BS784" s="7"/>
      <c r="BT784" s="7"/>
      <c r="BU784" s="7"/>
      <c r="BV784" s="16">
        <f>SUM(BQ784:BU784)</f>
        <v>0</v>
      </c>
      <c r="BX784" s="6"/>
      <c r="BY784" s="7"/>
      <c r="BZ784" s="7"/>
      <c r="CA784" s="7"/>
      <c r="CB784" s="7"/>
      <c r="CC784" s="16">
        <f>SUM(BX784:CB784)</f>
        <v>0</v>
      </c>
      <c r="CE784" s="493">
        <f t="shared" si="3559"/>
        <v>0</v>
      </c>
      <c r="CF784" s="494">
        <f t="shared" si="3560"/>
        <v>0</v>
      </c>
      <c r="CG784" s="494">
        <f t="shared" si="3561"/>
        <v>0</v>
      </c>
      <c r="CH784" s="494">
        <f t="shared" si="3562"/>
        <v>0</v>
      </c>
      <c r="CI784" s="494">
        <f t="shared" si="3563"/>
        <v>0</v>
      </c>
      <c r="CJ784" s="495">
        <f>SUM(CE784:CI784)</f>
        <v>0</v>
      </c>
      <c r="CL784" s="6"/>
      <c r="CM784" s="7"/>
      <c r="CN784" s="7"/>
      <c r="CO784" s="7"/>
      <c r="CP784" s="7"/>
      <c r="CQ784" s="16">
        <f>SUM(CL784:CP784)</f>
        <v>0</v>
      </c>
      <c r="CS784" s="6"/>
      <c r="CT784" s="7"/>
      <c r="CU784" s="7"/>
      <c r="CV784" s="7"/>
      <c r="CW784" s="7"/>
      <c r="CX784" s="8">
        <f t="shared" si="3568"/>
        <v>0</v>
      </c>
      <c r="CZ784" s="6"/>
      <c r="DA784" s="7"/>
      <c r="DB784" s="7"/>
      <c r="DC784" s="7"/>
      <c r="DD784" s="7"/>
      <c r="DE784" s="16">
        <f t="shared" si="3569"/>
        <v>0</v>
      </c>
    </row>
    <row r="785" spans="3:109" ht="14" thickBot="1">
      <c r="C785" s="554"/>
      <c r="E785" s="17"/>
      <c r="F785" s="10">
        <f>SUM(F781:F784)</f>
        <v>0</v>
      </c>
      <c r="G785" s="11">
        <f t="shared" ref="G785:J785" si="3570">SUM(G781:G784)</f>
        <v>0</v>
      </c>
      <c r="H785" s="11">
        <f t="shared" si="3570"/>
        <v>0</v>
      </c>
      <c r="I785" s="11">
        <f t="shared" si="3570"/>
        <v>0</v>
      </c>
      <c r="J785" s="11">
        <f t="shared" si="3570"/>
        <v>0</v>
      </c>
      <c r="K785" s="25">
        <f>SUM(K781:K784)</f>
        <v>0</v>
      </c>
      <c r="M785" s="10">
        <f>SUM(M781:M784)</f>
        <v>0</v>
      </c>
      <c r="N785" s="11">
        <f t="shared" ref="N785:Q785" si="3571">SUM(N781:N784)</f>
        <v>0</v>
      </c>
      <c r="O785" s="11">
        <f t="shared" si="3571"/>
        <v>0</v>
      </c>
      <c r="P785" s="11">
        <f t="shared" si="3571"/>
        <v>0</v>
      </c>
      <c r="Q785" s="11">
        <f t="shared" si="3571"/>
        <v>0</v>
      </c>
      <c r="R785" s="25">
        <f>SUM(R781:R784)</f>
        <v>0</v>
      </c>
      <c r="T785" s="10">
        <f>SUM(T781:T784)</f>
        <v>0</v>
      </c>
      <c r="U785" s="11">
        <f t="shared" ref="U785:X785" si="3572">SUM(U781:U784)</f>
        <v>0</v>
      </c>
      <c r="V785" s="11">
        <f t="shared" si="3572"/>
        <v>0</v>
      </c>
      <c r="W785" s="11">
        <f t="shared" si="3572"/>
        <v>0</v>
      </c>
      <c r="X785" s="11">
        <f t="shared" si="3572"/>
        <v>0</v>
      </c>
      <c r="Y785" s="25">
        <f>SUM(Y781:Y784)</f>
        <v>0</v>
      </c>
      <c r="AA785" s="10">
        <f>SUM(AA781:AA784)</f>
        <v>0</v>
      </c>
      <c r="AB785" s="11">
        <f t="shared" ref="AB785:AE785" si="3573">SUM(AB781:AB784)</f>
        <v>0</v>
      </c>
      <c r="AC785" s="11">
        <f t="shared" si="3573"/>
        <v>0</v>
      </c>
      <c r="AD785" s="11">
        <f t="shared" si="3573"/>
        <v>0</v>
      </c>
      <c r="AE785" s="11">
        <f t="shared" si="3573"/>
        <v>0</v>
      </c>
      <c r="AF785" s="25">
        <f>SUM(AF781:AF784)</f>
        <v>0</v>
      </c>
      <c r="AH785" s="10">
        <f t="shared" ref="AH785:AM785" si="3574">SUM(AH781:AH784)</f>
        <v>0</v>
      </c>
      <c r="AI785" s="11">
        <f t="shared" si="3574"/>
        <v>0</v>
      </c>
      <c r="AJ785" s="11">
        <f t="shared" si="3574"/>
        <v>0</v>
      </c>
      <c r="AK785" s="11">
        <f t="shared" si="3574"/>
        <v>0</v>
      </c>
      <c r="AL785" s="11">
        <f t="shared" si="3574"/>
        <v>0</v>
      </c>
      <c r="AM785" s="25">
        <f t="shared" si="3574"/>
        <v>0</v>
      </c>
      <c r="AO785" s="10">
        <f t="shared" ref="AO785:AT785" si="3575">SUM(AO781:AO784)</f>
        <v>0</v>
      </c>
      <c r="AP785" s="11">
        <f t="shared" si="3575"/>
        <v>0</v>
      </c>
      <c r="AQ785" s="11">
        <f t="shared" si="3575"/>
        <v>0</v>
      </c>
      <c r="AR785" s="11">
        <f t="shared" si="3575"/>
        <v>0</v>
      </c>
      <c r="AS785" s="11">
        <f t="shared" si="3575"/>
        <v>0</v>
      </c>
      <c r="AT785" s="25">
        <f t="shared" si="3575"/>
        <v>0</v>
      </c>
      <c r="AV785" s="10">
        <f t="shared" ref="AV785:BA785" si="3576">SUM(AV781:AV784)</f>
        <v>0</v>
      </c>
      <c r="AW785" s="11">
        <f t="shared" si="3576"/>
        <v>0</v>
      </c>
      <c r="AX785" s="11">
        <f t="shared" si="3576"/>
        <v>0</v>
      </c>
      <c r="AY785" s="11">
        <f t="shared" si="3576"/>
        <v>0</v>
      </c>
      <c r="AZ785" s="11">
        <f t="shared" si="3576"/>
        <v>0</v>
      </c>
      <c r="BA785" s="25">
        <f t="shared" si="3576"/>
        <v>0</v>
      </c>
      <c r="BC785" s="10">
        <f t="shared" ref="BC785:BH785" si="3577">SUM(BC781:BC784)</f>
        <v>0</v>
      </c>
      <c r="BD785" s="11">
        <f t="shared" si="3577"/>
        <v>0</v>
      </c>
      <c r="BE785" s="11">
        <f t="shared" si="3577"/>
        <v>0</v>
      </c>
      <c r="BF785" s="11">
        <f t="shared" si="3577"/>
        <v>0</v>
      </c>
      <c r="BG785" s="11">
        <f t="shared" si="3577"/>
        <v>0</v>
      </c>
      <c r="BH785" s="25">
        <f t="shared" si="3577"/>
        <v>0</v>
      </c>
      <c r="BJ785" s="10">
        <f t="shared" ref="BJ785:BO785" si="3578">SUM(BJ781:BJ784)</f>
        <v>0</v>
      </c>
      <c r="BK785" s="11">
        <f t="shared" si="3578"/>
        <v>0</v>
      </c>
      <c r="BL785" s="11">
        <f t="shared" si="3578"/>
        <v>0</v>
      </c>
      <c r="BM785" s="11">
        <f t="shared" si="3578"/>
        <v>0</v>
      </c>
      <c r="BN785" s="11">
        <f t="shared" si="3578"/>
        <v>0</v>
      </c>
      <c r="BO785" s="25">
        <f t="shared" si="3578"/>
        <v>0</v>
      </c>
      <c r="BQ785" s="10">
        <f t="shared" ref="BQ785:BV785" si="3579">SUM(BQ781:BQ784)</f>
        <v>0</v>
      </c>
      <c r="BR785" s="11">
        <f t="shared" si="3579"/>
        <v>0</v>
      </c>
      <c r="BS785" s="11">
        <f t="shared" si="3579"/>
        <v>0</v>
      </c>
      <c r="BT785" s="11">
        <f t="shared" si="3579"/>
        <v>0</v>
      </c>
      <c r="BU785" s="11">
        <f t="shared" si="3579"/>
        <v>0</v>
      </c>
      <c r="BV785" s="25">
        <f t="shared" si="3579"/>
        <v>0</v>
      </c>
      <c r="BX785" s="10">
        <f t="shared" ref="BX785:CC785" si="3580">SUM(BX781:BX784)</f>
        <v>0</v>
      </c>
      <c r="BY785" s="11">
        <f t="shared" si="3580"/>
        <v>0</v>
      </c>
      <c r="BZ785" s="11">
        <f t="shared" si="3580"/>
        <v>0</v>
      </c>
      <c r="CA785" s="11">
        <f t="shared" si="3580"/>
        <v>0</v>
      </c>
      <c r="CB785" s="11">
        <f t="shared" si="3580"/>
        <v>0</v>
      </c>
      <c r="CC785" s="25">
        <f t="shared" si="3580"/>
        <v>0</v>
      </c>
      <c r="CE785" s="62">
        <f t="shared" ref="CE785:CJ785" si="3581">SUM(CE781:CE784)</f>
        <v>0</v>
      </c>
      <c r="CF785" s="63">
        <f t="shared" si="3581"/>
        <v>0</v>
      </c>
      <c r="CG785" s="63">
        <f t="shared" si="3581"/>
        <v>0</v>
      </c>
      <c r="CH785" s="63">
        <f t="shared" si="3581"/>
        <v>0</v>
      </c>
      <c r="CI785" s="63">
        <f t="shared" si="3581"/>
        <v>0</v>
      </c>
      <c r="CJ785" s="25">
        <f t="shared" si="3581"/>
        <v>0</v>
      </c>
      <c r="CL785" s="10">
        <f>SUM(CL781:CL784)</f>
        <v>0</v>
      </c>
      <c r="CM785" s="11">
        <f t="shared" ref="CM785:CQ785" si="3582">SUM(CM781:CM784)</f>
        <v>0</v>
      </c>
      <c r="CN785" s="11">
        <f t="shared" si="3582"/>
        <v>0</v>
      </c>
      <c r="CO785" s="11">
        <f t="shared" si="3582"/>
        <v>0</v>
      </c>
      <c r="CP785" s="11">
        <f t="shared" si="3582"/>
        <v>0</v>
      </c>
      <c r="CQ785" s="25">
        <f t="shared" si="3582"/>
        <v>0</v>
      </c>
      <c r="CS785" s="10">
        <f>SUM(CS781:CS784)</f>
        <v>0</v>
      </c>
      <c r="CT785" s="11">
        <f t="shared" ref="CT785:CW785" si="3583">SUM(CT781:CT784)</f>
        <v>0</v>
      </c>
      <c r="CU785" s="11">
        <f t="shared" si="3583"/>
        <v>0</v>
      </c>
      <c r="CV785" s="11">
        <f t="shared" si="3583"/>
        <v>0</v>
      </c>
      <c r="CW785" s="11">
        <f t="shared" si="3583"/>
        <v>0</v>
      </c>
      <c r="CX785" s="25">
        <f>SUM(CX781:CX784)</f>
        <v>0</v>
      </c>
      <c r="CZ785" s="10">
        <f>SUM(CZ781:CZ784)</f>
        <v>0</v>
      </c>
      <c r="DA785" s="11">
        <f t="shared" ref="DA785:DD785" si="3584">SUM(DA781:DA784)</f>
        <v>0</v>
      </c>
      <c r="DB785" s="11">
        <f t="shared" si="3584"/>
        <v>0</v>
      </c>
      <c r="DC785" s="11">
        <f t="shared" si="3584"/>
        <v>0</v>
      </c>
      <c r="DD785" s="11">
        <f t="shared" si="3584"/>
        <v>0</v>
      </c>
      <c r="DE785" s="25">
        <f>SUM(DE781:DE784)</f>
        <v>0</v>
      </c>
    </row>
    <row r="786" spans="3:109" ht="10.4" customHeight="1" thickBot="1"/>
    <row r="787" spans="3:109">
      <c r="C787" s="553">
        <v>2026</v>
      </c>
      <c r="E787" s="13" t="s">
        <v>59</v>
      </c>
      <c r="F787" s="21">
        <f>CE781</f>
        <v>0</v>
      </c>
      <c r="G787" s="22">
        <f t="shared" ref="G787:G790" si="3585">CF781</f>
        <v>0</v>
      </c>
      <c r="H787" s="22">
        <f t="shared" ref="H787:H790" si="3586">CG781</f>
        <v>0</v>
      </c>
      <c r="I787" s="22">
        <f t="shared" ref="I787:I790" si="3587">CH781</f>
        <v>0</v>
      </c>
      <c r="J787" s="22">
        <f t="shared" ref="J787:J790" si="3588">CI781</f>
        <v>0</v>
      </c>
      <c r="K787" s="4">
        <f>SUM(F787:J787)</f>
        <v>0</v>
      </c>
      <c r="M787" s="2"/>
      <c r="N787" s="3"/>
      <c r="O787" s="3"/>
      <c r="P787" s="3"/>
      <c r="Q787" s="3"/>
      <c r="R787" s="4">
        <f>SUM(M787:Q787)</f>
        <v>0</v>
      </c>
      <c r="T787" s="2"/>
      <c r="U787" s="3"/>
      <c r="V787" s="3"/>
      <c r="W787" s="3"/>
      <c r="X787" s="3"/>
      <c r="Y787" s="4">
        <f>SUM(T787:X787)</f>
        <v>0</v>
      </c>
      <c r="AA787" s="2"/>
      <c r="AB787" s="3"/>
      <c r="AC787" s="3"/>
      <c r="AD787" s="3"/>
      <c r="AE787" s="3"/>
      <c r="AF787" s="4">
        <f>SUM(AA787:AE787)</f>
        <v>0</v>
      </c>
      <c r="AH787" s="2"/>
      <c r="AI787" s="3"/>
      <c r="AJ787" s="3"/>
      <c r="AK787" s="3"/>
      <c r="AL787" s="3"/>
      <c r="AM787" s="4">
        <f>SUM(AH787:AL787)</f>
        <v>0</v>
      </c>
      <c r="AO787" s="2"/>
      <c r="AP787" s="3"/>
      <c r="AQ787" s="3"/>
      <c r="AR787" s="3"/>
      <c r="AS787" s="3"/>
      <c r="AT787" s="4">
        <f>SUM(AO787:AS787)</f>
        <v>0</v>
      </c>
      <c r="AV787" s="2"/>
      <c r="AW787" s="3"/>
      <c r="AX787" s="3"/>
      <c r="AY787" s="3"/>
      <c r="AZ787" s="3"/>
      <c r="BA787" s="4">
        <f>SUM(AV787:AZ787)</f>
        <v>0</v>
      </c>
      <c r="BC787" s="2"/>
      <c r="BD787" s="3"/>
      <c r="BE787" s="3"/>
      <c r="BF787" s="3"/>
      <c r="BG787" s="3"/>
      <c r="BH787" s="4">
        <f>SUM(BC787:BG787)</f>
        <v>0</v>
      </c>
      <c r="BJ787" s="2"/>
      <c r="BK787" s="3"/>
      <c r="BL787" s="3"/>
      <c r="BM787" s="3"/>
      <c r="BN787" s="3"/>
      <c r="BO787" s="4">
        <f>SUM(BJ787:BN787)</f>
        <v>0</v>
      </c>
      <c r="BQ787" s="2"/>
      <c r="BR787" s="3"/>
      <c r="BS787" s="3"/>
      <c r="BT787" s="3"/>
      <c r="BU787" s="3"/>
      <c r="BV787" s="4">
        <f>SUM(BQ787:BU787)</f>
        <v>0</v>
      </c>
      <c r="BX787" s="2"/>
      <c r="BY787" s="3"/>
      <c r="BZ787" s="3"/>
      <c r="CA787" s="3"/>
      <c r="CB787" s="3"/>
      <c r="CC787" s="4">
        <f>SUM(BX787:CB787)</f>
        <v>0</v>
      </c>
      <c r="CE787" s="26">
        <f t="shared" ref="CE787:CE790" si="3589">F787+M787+T787+AA787+AH787+AO787+AV787+BC787+BJ787+BQ787+BX787</f>
        <v>0</v>
      </c>
      <c r="CF787" s="27">
        <f t="shared" ref="CF787:CF790" si="3590">G787+N787+U787+AB787+AI787+AP787+AW787+BD787+BK787+BR787+BY787</f>
        <v>0</v>
      </c>
      <c r="CG787" s="27">
        <f t="shared" ref="CG787:CG790" si="3591">H787+O787+V787+AC787+AJ787+AQ787+AX787+BE787+BL787+BS787+BZ787</f>
        <v>0</v>
      </c>
      <c r="CH787" s="27">
        <f t="shared" ref="CH787:CH790" si="3592">I787+P787+W787+AD787+AK787+AR787+AY787+BF787+BM787+BT787+CA787</f>
        <v>0</v>
      </c>
      <c r="CI787" s="27">
        <f t="shared" ref="CI787:CI790" si="3593">J787+Q787+X787+AE787+AL787+AS787+AZ787+BG787+BN787+BU787+CB787</f>
        <v>0</v>
      </c>
      <c r="CJ787" s="4">
        <f>SUM(CE787:CI787)</f>
        <v>0</v>
      </c>
      <c r="CL787" s="2"/>
      <c r="CM787" s="3"/>
      <c r="CN787" s="3"/>
      <c r="CO787" s="3"/>
      <c r="CP787" s="3"/>
      <c r="CQ787" s="4">
        <f>SUM(CL787:CP787)</f>
        <v>0</v>
      </c>
      <c r="CS787" s="2"/>
      <c r="CT787" s="3"/>
      <c r="CU787" s="3"/>
      <c r="CV787" s="3"/>
      <c r="CW787" s="3"/>
      <c r="CX787" s="4">
        <f>SUM(CS787:CW787)</f>
        <v>0</v>
      </c>
      <c r="CZ787" s="2"/>
      <c r="DA787" s="3"/>
      <c r="DB787" s="3"/>
      <c r="DC787" s="3"/>
      <c r="DD787" s="3"/>
      <c r="DE787" s="4">
        <f>SUM(CZ787:DD787)</f>
        <v>0</v>
      </c>
    </row>
    <row r="788" spans="3:109">
      <c r="C788" s="567"/>
      <c r="E788" s="14" t="s">
        <v>60</v>
      </c>
      <c r="F788" s="23">
        <f t="shared" ref="F788:F790" si="3594">CE782</f>
        <v>0</v>
      </c>
      <c r="G788" s="24">
        <f t="shared" si="3585"/>
        <v>0</v>
      </c>
      <c r="H788" s="24">
        <f t="shared" si="3586"/>
        <v>0</v>
      </c>
      <c r="I788" s="24">
        <f t="shared" si="3587"/>
        <v>0</v>
      </c>
      <c r="J788" s="24">
        <f t="shared" si="3588"/>
        <v>0</v>
      </c>
      <c r="K788" s="8">
        <f t="shared" ref="K788:K790" si="3595">SUM(F788:J788)</f>
        <v>0</v>
      </c>
      <c r="M788" s="6"/>
      <c r="N788" s="7"/>
      <c r="O788" s="7"/>
      <c r="P788" s="7"/>
      <c r="Q788" s="7"/>
      <c r="R788" s="8">
        <f t="shared" ref="R788:R790" si="3596">SUM(M788:Q788)</f>
        <v>0</v>
      </c>
      <c r="T788" s="6"/>
      <c r="U788" s="7"/>
      <c r="V788" s="7"/>
      <c r="W788" s="7"/>
      <c r="X788" s="7"/>
      <c r="Y788" s="8">
        <f t="shared" ref="Y788:Y790" si="3597">SUM(T788:X788)</f>
        <v>0</v>
      </c>
      <c r="AA788" s="6"/>
      <c r="AB788" s="7"/>
      <c r="AC788" s="7"/>
      <c r="AD788" s="7"/>
      <c r="AE788" s="7"/>
      <c r="AF788" s="8">
        <f>SUM(AA788:AE788)</f>
        <v>0</v>
      </c>
      <c r="AH788" s="6"/>
      <c r="AI788" s="7"/>
      <c r="AJ788" s="7"/>
      <c r="AK788" s="7"/>
      <c r="AL788" s="7"/>
      <c r="AM788" s="8">
        <f>SUM(AH788:AL788)</f>
        <v>0</v>
      </c>
      <c r="AO788" s="6"/>
      <c r="AP788" s="7"/>
      <c r="AQ788" s="7"/>
      <c r="AR788" s="7"/>
      <c r="AS788" s="7"/>
      <c r="AT788" s="8">
        <f>SUM(AO788:AS788)</f>
        <v>0</v>
      </c>
      <c r="AV788" s="6"/>
      <c r="AW788" s="7"/>
      <c r="AX788" s="7"/>
      <c r="AY788" s="7"/>
      <c r="AZ788" s="7"/>
      <c r="BA788" s="8">
        <f>SUM(AV788:AZ788)</f>
        <v>0</v>
      </c>
      <c r="BC788" s="6"/>
      <c r="BD788" s="7"/>
      <c r="BE788" s="7"/>
      <c r="BF788" s="7"/>
      <c r="BG788" s="7"/>
      <c r="BH788" s="8">
        <f>SUM(BC788:BG788)</f>
        <v>0</v>
      </c>
      <c r="BJ788" s="6"/>
      <c r="BK788" s="7"/>
      <c r="BL788" s="7"/>
      <c r="BM788" s="7"/>
      <c r="BN788" s="7"/>
      <c r="BO788" s="8">
        <f>SUM(BJ788:BN788)</f>
        <v>0</v>
      </c>
      <c r="BQ788" s="6"/>
      <c r="BR788" s="7"/>
      <c r="BS788" s="7"/>
      <c r="BT788" s="7"/>
      <c r="BU788" s="7"/>
      <c r="BV788" s="8">
        <f>SUM(BQ788:BU788)</f>
        <v>0</v>
      </c>
      <c r="BX788" s="6"/>
      <c r="BY788" s="7"/>
      <c r="BZ788" s="7"/>
      <c r="CA788" s="7"/>
      <c r="CB788" s="7"/>
      <c r="CC788" s="8">
        <f>SUM(BX788:CB788)</f>
        <v>0</v>
      </c>
      <c r="CE788" s="28">
        <f t="shared" si="3589"/>
        <v>0</v>
      </c>
      <c r="CF788" s="29">
        <f t="shared" si="3590"/>
        <v>0</v>
      </c>
      <c r="CG788" s="29">
        <f t="shared" si="3591"/>
        <v>0</v>
      </c>
      <c r="CH788" s="29">
        <f t="shared" si="3592"/>
        <v>0</v>
      </c>
      <c r="CI788" s="29">
        <f t="shared" si="3593"/>
        <v>0</v>
      </c>
      <c r="CJ788" s="8">
        <f>SUM(CE788:CI788)</f>
        <v>0</v>
      </c>
      <c r="CL788" s="6"/>
      <c r="CM788" s="7"/>
      <c r="CN788" s="7"/>
      <c r="CO788" s="7"/>
      <c r="CP788" s="7"/>
      <c r="CQ788" s="8">
        <f>SUM(CL788:CP788)</f>
        <v>0</v>
      </c>
      <c r="CS788" s="6"/>
      <c r="CT788" s="7"/>
      <c r="CU788" s="7"/>
      <c r="CV788" s="7"/>
      <c r="CW788" s="7"/>
      <c r="CX788" s="8">
        <f t="shared" ref="CX788:CX790" si="3598">SUM(CS788:CW788)</f>
        <v>0</v>
      </c>
      <c r="CZ788" s="6"/>
      <c r="DA788" s="7"/>
      <c r="DB788" s="7"/>
      <c r="DC788" s="7"/>
      <c r="DD788" s="7"/>
      <c r="DE788" s="8">
        <f t="shared" ref="DE788:DE790" si="3599">SUM(CZ788:DD788)</f>
        <v>0</v>
      </c>
    </row>
    <row r="789" spans="3:109">
      <c r="C789" s="567"/>
      <c r="E789" s="14" t="s">
        <v>61</v>
      </c>
      <c r="F789" s="23">
        <f t="shared" si="3594"/>
        <v>0</v>
      </c>
      <c r="G789" s="24">
        <f t="shared" si="3585"/>
        <v>0</v>
      </c>
      <c r="H789" s="24">
        <f t="shared" si="3586"/>
        <v>0</v>
      </c>
      <c r="I789" s="24">
        <f t="shared" si="3587"/>
        <v>0</v>
      </c>
      <c r="J789" s="24">
        <f t="shared" si="3588"/>
        <v>0</v>
      </c>
      <c r="K789" s="8">
        <f t="shared" si="3595"/>
        <v>0</v>
      </c>
      <c r="M789" s="6"/>
      <c r="N789" s="7"/>
      <c r="O789" s="7"/>
      <c r="P789" s="7"/>
      <c r="Q789" s="7"/>
      <c r="R789" s="8">
        <f t="shared" si="3596"/>
        <v>0</v>
      </c>
      <c r="T789" s="6"/>
      <c r="U789" s="7"/>
      <c r="V789" s="7"/>
      <c r="W789" s="7"/>
      <c r="X789" s="7"/>
      <c r="Y789" s="8">
        <f t="shared" si="3597"/>
        <v>0</v>
      </c>
      <c r="AA789" s="6"/>
      <c r="AB789" s="7"/>
      <c r="AC789" s="7"/>
      <c r="AD789" s="7"/>
      <c r="AE789" s="7"/>
      <c r="AF789" s="8">
        <f>SUM(AA789:AE789)</f>
        <v>0</v>
      </c>
      <c r="AH789" s="6"/>
      <c r="AI789" s="7"/>
      <c r="AJ789" s="7"/>
      <c r="AK789" s="7"/>
      <c r="AL789" s="7"/>
      <c r="AM789" s="8">
        <f>SUM(AH789:AL789)</f>
        <v>0</v>
      </c>
      <c r="AO789" s="6"/>
      <c r="AP789" s="7"/>
      <c r="AQ789" s="7"/>
      <c r="AR789" s="7"/>
      <c r="AS789" s="7"/>
      <c r="AT789" s="8">
        <f>SUM(AO789:AS789)</f>
        <v>0</v>
      </c>
      <c r="AV789" s="6"/>
      <c r="AW789" s="7"/>
      <c r="AX789" s="7"/>
      <c r="AY789" s="7"/>
      <c r="AZ789" s="7"/>
      <c r="BA789" s="8">
        <f>SUM(AV789:AZ789)</f>
        <v>0</v>
      </c>
      <c r="BC789" s="6"/>
      <c r="BD789" s="7"/>
      <c r="BE789" s="7"/>
      <c r="BF789" s="7"/>
      <c r="BG789" s="7"/>
      <c r="BH789" s="8">
        <f>SUM(BC789:BG789)</f>
        <v>0</v>
      </c>
      <c r="BJ789" s="6"/>
      <c r="BK789" s="7"/>
      <c r="BL789" s="7"/>
      <c r="BM789" s="7"/>
      <c r="BN789" s="7"/>
      <c r="BO789" s="8">
        <f>SUM(BJ789:BN789)</f>
        <v>0</v>
      </c>
      <c r="BQ789" s="6"/>
      <c r="BR789" s="7"/>
      <c r="BS789" s="7"/>
      <c r="BT789" s="7"/>
      <c r="BU789" s="7"/>
      <c r="BV789" s="8">
        <f>SUM(BQ789:BU789)</f>
        <v>0</v>
      </c>
      <c r="BX789" s="6"/>
      <c r="BY789" s="7"/>
      <c r="BZ789" s="7"/>
      <c r="CA789" s="7"/>
      <c r="CB789" s="7"/>
      <c r="CC789" s="8">
        <f>SUM(BX789:CB789)</f>
        <v>0</v>
      </c>
      <c r="CE789" s="28">
        <f t="shared" si="3589"/>
        <v>0</v>
      </c>
      <c r="CF789" s="29">
        <f t="shared" si="3590"/>
        <v>0</v>
      </c>
      <c r="CG789" s="29">
        <f t="shared" si="3591"/>
        <v>0</v>
      </c>
      <c r="CH789" s="29">
        <f t="shared" si="3592"/>
        <v>0</v>
      </c>
      <c r="CI789" s="29">
        <f t="shared" si="3593"/>
        <v>0</v>
      </c>
      <c r="CJ789" s="8">
        <f>SUM(CE789:CI789)</f>
        <v>0</v>
      </c>
      <c r="CL789" s="6"/>
      <c r="CM789" s="7"/>
      <c r="CN789" s="7"/>
      <c r="CO789" s="7"/>
      <c r="CP789" s="7"/>
      <c r="CQ789" s="8">
        <f>SUM(CL789:CP789)</f>
        <v>0</v>
      </c>
      <c r="CS789" s="6"/>
      <c r="CT789" s="7"/>
      <c r="CU789" s="7"/>
      <c r="CV789" s="7"/>
      <c r="CW789" s="7"/>
      <c r="CX789" s="8">
        <f t="shared" si="3598"/>
        <v>0</v>
      </c>
      <c r="CZ789" s="6"/>
      <c r="DA789" s="7"/>
      <c r="DB789" s="7"/>
      <c r="DC789" s="7"/>
      <c r="DD789" s="7"/>
      <c r="DE789" s="8">
        <f t="shared" si="3599"/>
        <v>0</v>
      </c>
    </row>
    <row r="790" spans="3:109" ht="14" thickBot="1">
      <c r="C790" s="567"/>
      <c r="E790" s="14" t="s">
        <v>62</v>
      </c>
      <c r="F790" s="23">
        <f t="shared" si="3594"/>
        <v>0</v>
      </c>
      <c r="G790" s="24">
        <f t="shared" si="3585"/>
        <v>0</v>
      </c>
      <c r="H790" s="24">
        <f t="shared" si="3586"/>
        <v>0</v>
      </c>
      <c r="I790" s="24">
        <f t="shared" si="3587"/>
        <v>0</v>
      </c>
      <c r="J790" s="24">
        <f t="shared" si="3588"/>
        <v>0</v>
      </c>
      <c r="K790" s="8">
        <f t="shared" si="3595"/>
        <v>0</v>
      </c>
      <c r="M790" s="6"/>
      <c r="N790" s="7"/>
      <c r="O790" s="7"/>
      <c r="P790" s="7"/>
      <c r="Q790" s="7"/>
      <c r="R790" s="8">
        <f t="shared" si="3596"/>
        <v>0</v>
      </c>
      <c r="T790" s="6"/>
      <c r="U790" s="7"/>
      <c r="V790" s="7"/>
      <c r="W790" s="7"/>
      <c r="X790" s="7"/>
      <c r="Y790" s="8">
        <f t="shared" si="3597"/>
        <v>0</v>
      </c>
      <c r="AA790" s="6"/>
      <c r="AB790" s="7"/>
      <c r="AC790" s="7"/>
      <c r="AD790" s="7"/>
      <c r="AE790" s="7"/>
      <c r="AF790" s="8">
        <f>SUM(AA790:AE790)</f>
        <v>0</v>
      </c>
      <c r="AH790" s="6"/>
      <c r="AI790" s="7"/>
      <c r="AJ790" s="7"/>
      <c r="AK790" s="7"/>
      <c r="AL790" s="7"/>
      <c r="AM790" s="8">
        <f>SUM(AH790:AL790)</f>
        <v>0</v>
      </c>
      <c r="AO790" s="6"/>
      <c r="AP790" s="7"/>
      <c r="AQ790" s="7"/>
      <c r="AR790" s="7"/>
      <c r="AS790" s="7"/>
      <c r="AT790" s="8">
        <f>SUM(AO790:AS790)</f>
        <v>0</v>
      </c>
      <c r="AV790" s="6"/>
      <c r="AW790" s="7"/>
      <c r="AX790" s="7"/>
      <c r="AY790" s="7"/>
      <c r="AZ790" s="7"/>
      <c r="BA790" s="8">
        <f>SUM(AV790:AZ790)</f>
        <v>0</v>
      </c>
      <c r="BC790" s="6"/>
      <c r="BD790" s="7"/>
      <c r="BE790" s="7"/>
      <c r="BF790" s="7"/>
      <c r="BG790" s="7"/>
      <c r="BH790" s="8">
        <f>SUM(BC790:BG790)</f>
        <v>0</v>
      </c>
      <c r="BJ790" s="6"/>
      <c r="BK790" s="7"/>
      <c r="BL790" s="7"/>
      <c r="BM790" s="7"/>
      <c r="BN790" s="7"/>
      <c r="BO790" s="8">
        <f>SUM(BJ790:BN790)</f>
        <v>0</v>
      </c>
      <c r="BQ790" s="6"/>
      <c r="BR790" s="7"/>
      <c r="BS790" s="7"/>
      <c r="BT790" s="7"/>
      <c r="BU790" s="7"/>
      <c r="BV790" s="8">
        <f>SUM(BQ790:BU790)</f>
        <v>0</v>
      </c>
      <c r="BX790" s="6"/>
      <c r="BY790" s="7"/>
      <c r="BZ790" s="7"/>
      <c r="CA790" s="7"/>
      <c r="CB790" s="7"/>
      <c r="CC790" s="8">
        <f>SUM(BX790:CB790)</f>
        <v>0</v>
      </c>
      <c r="CE790" s="493">
        <f t="shared" si="3589"/>
        <v>0</v>
      </c>
      <c r="CF790" s="494">
        <f t="shared" si="3590"/>
        <v>0</v>
      </c>
      <c r="CG790" s="494">
        <f t="shared" si="3591"/>
        <v>0</v>
      </c>
      <c r="CH790" s="494">
        <f t="shared" si="3592"/>
        <v>0</v>
      </c>
      <c r="CI790" s="494">
        <f t="shared" si="3593"/>
        <v>0</v>
      </c>
      <c r="CJ790" s="495">
        <f>SUM(CE790:CI790)</f>
        <v>0</v>
      </c>
      <c r="CL790" s="6"/>
      <c r="CM790" s="7"/>
      <c r="CN790" s="7"/>
      <c r="CO790" s="7"/>
      <c r="CP790" s="7"/>
      <c r="CQ790" s="8">
        <f>SUM(CL790:CP790)</f>
        <v>0</v>
      </c>
      <c r="CS790" s="6"/>
      <c r="CT790" s="7"/>
      <c r="CU790" s="7"/>
      <c r="CV790" s="7"/>
      <c r="CW790" s="7"/>
      <c r="CX790" s="8">
        <f t="shared" si="3598"/>
        <v>0</v>
      </c>
      <c r="CZ790" s="6"/>
      <c r="DA790" s="7"/>
      <c r="DB790" s="7"/>
      <c r="DC790" s="7"/>
      <c r="DD790" s="7"/>
      <c r="DE790" s="8">
        <f t="shared" si="3599"/>
        <v>0</v>
      </c>
    </row>
    <row r="791" spans="3:109" ht="14" thickBot="1">
      <c r="C791" s="554"/>
      <c r="E791" s="17"/>
      <c r="F791" s="10">
        <f>SUM(F787:F790)</f>
        <v>0</v>
      </c>
      <c r="G791" s="11">
        <f t="shared" ref="G791:J791" si="3600">SUM(G787:G790)</f>
        <v>0</v>
      </c>
      <c r="H791" s="11">
        <f t="shared" si="3600"/>
        <v>0</v>
      </c>
      <c r="I791" s="11">
        <f t="shared" si="3600"/>
        <v>0</v>
      </c>
      <c r="J791" s="11">
        <f t="shared" si="3600"/>
        <v>0</v>
      </c>
      <c r="K791" s="25">
        <f>SUM(K787:K790)</f>
        <v>0</v>
      </c>
      <c r="M791" s="10">
        <f>SUM(M787:M790)</f>
        <v>0</v>
      </c>
      <c r="N791" s="11">
        <f t="shared" ref="N791:Q791" si="3601">SUM(N787:N790)</f>
        <v>0</v>
      </c>
      <c r="O791" s="11">
        <f t="shared" si="3601"/>
        <v>0</v>
      </c>
      <c r="P791" s="11">
        <f t="shared" si="3601"/>
        <v>0</v>
      </c>
      <c r="Q791" s="11">
        <f t="shared" si="3601"/>
        <v>0</v>
      </c>
      <c r="R791" s="25">
        <f>SUM(R787:R790)</f>
        <v>0</v>
      </c>
      <c r="T791" s="10">
        <f>SUM(T787:T790)</f>
        <v>0</v>
      </c>
      <c r="U791" s="11">
        <f t="shared" ref="U791:X791" si="3602">SUM(U787:U790)</f>
        <v>0</v>
      </c>
      <c r="V791" s="11">
        <f t="shared" si="3602"/>
        <v>0</v>
      </c>
      <c r="W791" s="11">
        <f t="shared" si="3602"/>
        <v>0</v>
      </c>
      <c r="X791" s="11">
        <f t="shared" si="3602"/>
        <v>0</v>
      </c>
      <c r="Y791" s="25">
        <f>SUM(Y787:Y790)</f>
        <v>0</v>
      </c>
      <c r="AA791" s="10">
        <f>SUM(AA787:AA790)</f>
        <v>0</v>
      </c>
      <c r="AB791" s="11">
        <f t="shared" ref="AB791:AE791" si="3603">SUM(AB787:AB790)</f>
        <v>0</v>
      </c>
      <c r="AC791" s="11">
        <f t="shared" si="3603"/>
        <v>0</v>
      </c>
      <c r="AD791" s="11">
        <f t="shared" si="3603"/>
        <v>0</v>
      </c>
      <c r="AE791" s="11">
        <f t="shared" si="3603"/>
        <v>0</v>
      </c>
      <c r="AF791" s="25">
        <f>SUM(AF787:AF790)</f>
        <v>0</v>
      </c>
      <c r="AH791" s="10">
        <f t="shared" ref="AH791:AM791" si="3604">SUM(AH787:AH790)</f>
        <v>0</v>
      </c>
      <c r="AI791" s="11">
        <f t="shared" si="3604"/>
        <v>0</v>
      </c>
      <c r="AJ791" s="11">
        <f t="shared" si="3604"/>
        <v>0</v>
      </c>
      <c r="AK791" s="11">
        <f t="shared" si="3604"/>
        <v>0</v>
      </c>
      <c r="AL791" s="11">
        <f t="shared" si="3604"/>
        <v>0</v>
      </c>
      <c r="AM791" s="25">
        <f t="shared" si="3604"/>
        <v>0</v>
      </c>
      <c r="AO791" s="10">
        <f t="shared" ref="AO791:AT791" si="3605">SUM(AO787:AO790)</f>
        <v>0</v>
      </c>
      <c r="AP791" s="11">
        <f t="shared" si="3605"/>
        <v>0</v>
      </c>
      <c r="AQ791" s="11">
        <f t="shared" si="3605"/>
        <v>0</v>
      </c>
      <c r="AR791" s="11">
        <f t="shared" si="3605"/>
        <v>0</v>
      </c>
      <c r="AS791" s="11">
        <f t="shared" si="3605"/>
        <v>0</v>
      </c>
      <c r="AT791" s="25">
        <f t="shared" si="3605"/>
        <v>0</v>
      </c>
      <c r="AV791" s="10">
        <f t="shared" ref="AV791:BA791" si="3606">SUM(AV787:AV790)</f>
        <v>0</v>
      </c>
      <c r="AW791" s="11">
        <f t="shared" si="3606"/>
        <v>0</v>
      </c>
      <c r="AX791" s="11">
        <f t="shared" si="3606"/>
        <v>0</v>
      </c>
      <c r="AY791" s="11">
        <f t="shared" si="3606"/>
        <v>0</v>
      </c>
      <c r="AZ791" s="11">
        <f t="shared" si="3606"/>
        <v>0</v>
      </c>
      <c r="BA791" s="25">
        <f t="shared" si="3606"/>
        <v>0</v>
      </c>
      <c r="BC791" s="10">
        <f t="shared" ref="BC791:BH791" si="3607">SUM(BC787:BC790)</f>
        <v>0</v>
      </c>
      <c r="BD791" s="11">
        <f t="shared" si="3607"/>
        <v>0</v>
      </c>
      <c r="BE791" s="11">
        <f t="shared" si="3607"/>
        <v>0</v>
      </c>
      <c r="BF791" s="11">
        <f t="shared" si="3607"/>
        <v>0</v>
      </c>
      <c r="BG791" s="11">
        <f t="shared" si="3607"/>
        <v>0</v>
      </c>
      <c r="BH791" s="25">
        <f t="shared" si="3607"/>
        <v>0</v>
      </c>
      <c r="BJ791" s="10">
        <f t="shared" ref="BJ791:BO791" si="3608">SUM(BJ787:BJ790)</f>
        <v>0</v>
      </c>
      <c r="BK791" s="11">
        <f t="shared" si="3608"/>
        <v>0</v>
      </c>
      <c r="BL791" s="11">
        <f t="shared" si="3608"/>
        <v>0</v>
      </c>
      <c r="BM791" s="11">
        <f t="shared" si="3608"/>
        <v>0</v>
      </c>
      <c r="BN791" s="11">
        <f t="shared" si="3608"/>
        <v>0</v>
      </c>
      <c r="BO791" s="25">
        <f t="shared" si="3608"/>
        <v>0</v>
      </c>
      <c r="BQ791" s="10">
        <f t="shared" ref="BQ791:BV791" si="3609">SUM(BQ787:BQ790)</f>
        <v>0</v>
      </c>
      <c r="BR791" s="11">
        <f t="shared" si="3609"/>
        <v>0</v>
      </c>
      <c r="BS791" s="11">
        <f t="shared" si="3609"/>
        <v>0</v>
      </c>
      <c r="BT791" s="11">
        <f t="shared" si="3609"/>
        <v>0</v>
      </c>
      <c r="BU791" s="11">
        <f t="shared" si="3609"/>
        <v>0</v>
      </c>
      <c r="BV791" s="25">
        <f t="shared" si="3609"/>
        <v>0</v>
      </c>
      <c r="BX791" s="10">
        <f t="shared" ref="BX791:CC791" si="3610">SUM(BX787:BX790)</f>
        <v>0</v>
      </c>
      <c r="BY791" s="11">
        <f t="shared" si="3610"/>
        <v>0</v>
      </c>
      <c r="BZ791" s="11">
        <f t="shared" si="3610"/>
        <v>0</v>
      </c>
      <c r="CA791" s="11">
        <f t="shared" si="3610"/>
        <v>0</v>
      </c>
      <c r="CB791" s="11">
        <f t="shared" si="3610"/>
        <v>0</v>
      </c>
      <c r="CC791" s="25">
        <f t="shared" si="3610"/>
        <v>0</v>
      </c>
      <c r="CE791" s="62">
        <f t="shared" ref="CE791:CJ791" si="3611">SUM(CE787:CE790)</f>
        <v>0</v>
      </c>
      <c r="CF791" s="63">
        <f t="shared" si="3611"/>
        <v>0</v>
      </c>
      <c r="CG791" s="63">
        <f t="shared" si="3611"/>
        <v>0</v>
      </c>
      <c r="CH791" s="63">
        <f t="shared" si="3611"/>
        <v>0</v>
      </c>
      <c r="CI791" s="63">
        <f t="shared" si="3611"/>
        <v>0</v>
      </c>
      <c r="CJ791" s="25">
        <f t="shared" si="3611"/>
        <v>0</v>
      </c>
      <c r="CL791" s="10">
        <f>SUM(CL787:CL790)</f>
        <v>0</v>
      </c>
      <c r="CM791" s="11">
        <f t="shared" ref="CM791:CQ791" si="3612">SUM(CM787:CM790)</f>
        <v>0</v>
      </c>
      <c r="CN791" s="11">
        <f t="shared" si="3612"/>
        <v>0</v>
      </c>
      <c r="CO791" s="11">
        <f t="shared" si="3612"/>
        <v>0</v>
      </c>
      <c r="CP791" s="11">
        <f t="shared" si="3612"/>
        <v>0</v>
      </c>
      <c r="CQ791" s="25">
        <f t="shared" si="3612"/>
        <v>0</v>
      </c>
      <c r="CS791" s="10">
        <f>SUM(CS787:CS790)</f>
        <v>0</v>
      </c>
      <c r="CT791" s="11">
        <f t="shared" ref="CT791:CW791" si="3613">SUM(CT787:CT790)</f>
        <v>0</v>
      </c>
      <c r="CU791" s="11">
        <f t="shared" si="3613"/>
        <v>0</v>
      </c>
      <c r="CV791" s="11">
        <f t="shared" si="3613"/>
        <v>0</v>
      </c>
      <c r="CW791" s="11">
        <f t="shared" si="3613"/>
        <v>0</v>
      </c>
      <c r="CX791" s="25">
        <f>SUM(CX787:CX790)</f>
        <v>0</v>
      </c>
      <c r="CZ791" s="10">
        <f>SUM(CZ787:CZ790)</f>
        <v>0</v>
      </c>
      <c r="DA791" s="11">
        <f t="shared" ref="DA791:DD791" si="3614">SUM(DA787:DA790)</f>
        <v>0</v>
      </c>
      <c r="DB791" s="11">
        <f t="shared" si="3614"/>
        <v>0</v>
      </c>
      <c r="DC791" s="11">
        <f t="shared" si="3614"/>
        <v>0</v>
      </c>
      <c r="DD791" s="11">
        <f t="shared" si="3614"/>
        <v>0</v>
      </c>
      <c r="DE791" s="25">
        <f>SUM(DE787:DE790)</f>
        <v>0</v>
      </c>
    </row>
    <row r="792" spans="3:109" ht="10.4" customHeight="1" thickBot="1"/>
    <row r="793" spans="3:109">
      <c r="C793" s="553">
        <v>2027</v>
      </c>
      <c r="E793" s="13" t="s">
        <v>59</v>
      </c>
      <c r="F793" s="21">
        <f>CE787</f>
        <v>0</v>
      </c>
      <c r="G793" s="22">
        <f t="shared" ref="G793:G796" si="3615">CF787</f>
        <v>0</v>
      </c>
      <c r="H793" s="22">
        <f t="shared" ref="H793:H796" si="3616">CG787</f>
        <v>0</v>
      </c>
      <c r="I793" s="22">
        <f t="shared" ref="I793:I796" si="3617">CH787</f>
        <v>0</v>
      </c>
      <c r="J793" s="22">
        <f t="shared" ref="J793:J796" si="3618">CI787</f>
        <v>0</v>
      </c>
      <c r="K793" s="4">
        <f>SUM(F793:J793)</f>
        <v>0</v>
      </c>
      <c r="M793" s="2"/>
      <c r="N793" s="3"/>
      <c r="O793" s="3"/>
      <c r="P793" s="3"/>
      <c r="Q793" s="3"/>
      <c r="R793" s="4">
        <f>SUM(M793:Q793)</f>
        <v>0</v>
      </c>
      <c r="T793" s="2"/>
      <c r="U793" s="3"/>
      <c r="V793" s="3"/>
      <c r="W793" s="3"/>
      <c r="X793" s="3"/>
      <c r="Y793" s="4">
        <f>SUM(T793:X793)</f>
        <v>0</v>
      </c>
      <c r="AA793" s="2"/>
      <c r="AB793" s="3"/>
      <c r="AC793" s="3"/>
      <c r="AD793" s="3"/>
      <c r="AE793" s="3"/>
      <c r="AF793" s="4">
        <f>SUM(AA793:AE793)</f>
        <v>0</v>
      </c>
      <c r="AH793" s="2"/>
      <c r="AI793" s="3"/>
      <c r="AJ793" s="3"/>
      <c r="AK793" s="3"/>
      <c r="AL793" s="3"/>
      <c r="AM793" s="4">
        <f>SUM(AH793:AL793)</f>
        <v>0</v>
      </c>
      <c r="AO793" s="2"/>
      <c r="AP793" s="3"/>
      <c r="AQ793" s="3"/>
      <c r="AR793" s="3"/>
      <c r="AS793" s="3"/>
      <c r="AT793" s="4">
        <f>SUM(AO793:AS793)</f>
        <v>0</v>
      </c>
      <c r="AV793" s="2"/>
      <c r="AW793" s="3"/>
      <c r="AX793" s="3"/>
      <c r="AY793" s="3"/>
      <c r="AZ793" s="3"/>
      <c r="BA793" s="4">
        <f>SUM(AV793:AZ793)</f>
        <v>0</v>
      </c>
      <c r="BC793" s="2"/>
      <c r="BD793" s="3"/>
      <c r="BE793" s="3"/>
      <c r="BF793" s="3"/>
      <c r="BG793" s="3"/>
      <c r="BH793" s="4">
        <f>SUM(BC793:BG793)</f>
        <v>0</v>
      </c>
      <c r="BJ793" s="2"/>
      <c r="BK793" s="3"/>
      <c r="BL793" s="3"/>
      <c r="BM793" s="3"/>
      <c r="BN793" s="3"/>
      <c r="BO793" s="4">
        <f>SUM(BJ793:BN793)</f>
        <v>0</v>
      </c>
      <c r="BQ793" s="2"/>
      <c r="BR793" s="3"/>
      <c r="BS793" s="3"/>
      <c r="BT793" s="3"/>
      <c r="BU793" s="3"/>
      <c r="BV793" s="4">
        <f>SUM(BQ793:BU793)</f>
        <v>0</v>
      </c>
      <c r="BX793" s="2"/>
      <c r="BY793" s="3"/>
      <c r="BZ793" s="3"/>
      <c r="CA793" s="3"/>
      <c r="CB793" s="3"/>
      <c r="CC793" s="4">
        <f>SUM(BX793:CB793)</f>
        <v>0</v>
      </c>
      <c r="CE793" s="26">
        <f t="shared" ref="CE793:CE796" si="3619">F793+M793+T793+AA793+AH793+AO793+AV793+BC793+BJ793+BQ793+BX793</f>
        <v>0</v>
      </c>
      <c r="CF793" s="27">
        <f t="shared" ref="CF793:CF796" si="3620">G793+N793+U793+AB793+AI793+AP793+AW793+BD793+BK793+BR793+BY793</f>
        <v>0</v>
      </c>
      <c r="CG793" s="27">
        <f t="shared" ref="CG793:CG796" si="3621">H793+O793+V793+AC793+AJ793+AQ793+AX793+BE793+BL793+BS793+BZ793</f>
        <v>0</v>
      </c>
      <c r="CH793" s="27">
        <f t="shared" ref="CH793:CH796" si="3622">I793+P793+W793+AD793+AK793+AR793+AY793+BF793+BM793+BT793+CA793</f>
        <v>0</v>
      </c>
      <c r="CI793" s="27">
        <f t="shared" ref="CI793:CI796" si="3623">J793+Q793+X793+AE793+AL793+AS793+AZ793+BG793+BN793+BU793+CB793</f>
        <v>0</v>
      </c>
      <c r="CJ793" s="4">
        <f>SUM(CE793:CI793)</f>
        <v>0</v>
      </c>
      <c r="CL793" s="2"/>
      <c r="CM793" s="3"/>
      <c r="CN793" s="3"/>
      <c r="CO793" s="3"/>
      <c r="CP793" s="3"/>
      <c r="CQ793" s="4">
        <f>SUM(CL793:CP793)</f>
        <v>0</v>
      </c>
      <c r="CS793" s="2"/>
      <c r="CT793" s="3"/>
      <c r="CU793" s="3"/>
      <c r="CV793" s="3"/>
      <c r="CW793" s="3"/>
      <c r="CX793" s="4">
        <f>SUM(CS793:CW793)</f>
        <v>0</v>
      </c>
      <c r="CZ793" s="2"/>
      <c r="DA793" s="3"/>
      <c r="DB793" s="3"/>
      <c r="DC793" s="3"/>
      <c r="DD793" s="3"/>
      <c r="DE793" s="4">
        <f>SUM(CZ793:DD793)</f>
        <v>0</v>
      </c>
    </row>
    <row r="794" spans="3:109">
      <c r="C794" s="567"/>
      <c r="E794" s="14" t="s">
        <v>60</v>
      </c>
      <c r="F794" s="23">
        <f t="shared" ref="F794:F796" si="3624">CE788</f>
        <v>0</v>
      </c>
      <c r="G794" s="24">
        <f t="shared" si="3615"/>
        <v>0</v>
      </c>
      <c r="H794" s="24">
        <f t="shared" si="3616"/>
        <v>0</v>
      </c>
      <c r="I794" s="24">
        <f t="shared" si="3617"/>
        <v>0</v>
      </c>
      <c r="J794" s="24">
        <f t="shared" si="3618"/>
        <v>0</v>
      </c>
      <c r="K794" s="8">
        <f t="shared" ref="K794:K796" si="3625">SUM(F794:J794)</f>
        <v>0</v>
      </c>
      <c r="M794" s="6"/>
      <c r="N794" s="7"/>
      <c r="O794" s="7"/>
      <c r="P794" s="7"/>
      <c r="Q794" s="7"/>
      <c r="R794" s="8">
        <f t="shared" ref="R794:R796" si="3626">SUM(M794:Q794)</f>
        <v>0</v>
      </c>
      <c r="T794" s="6"/>
      <c r="U794" s="7"/>
      <c r="V794" s="7"/>
      <c r="W794" s="7"/>
      <c r="X794" s="7"/>
      <c r="Y794" s="8">
        <f t="shared" ref="Y794:Y796" si="3627">SUM(T794:X794)</f>
        <v>0</v>
      </c>
      <c r="AA794" s="6"/>
      <c r="AB794" s="7"/>
      <c r="AC794" s="7"/>
      <c r="AD794" s="7"/>
      <c r="AE794" s="7"/>
      <c r="AF794" s="8">
        <f>SUM(AA794:AE794)</f>
        <v>0</v>
      </c>
      <c r="AH794" s="6"/>
      <c r="AI794" s="7"/>
      <c r="AJ794" s="7"/>
      <c r="AK794" s="7"/>
      <c r="AL794" s="7"/>
      <c r="AM794" s="8">
        <f>SUM(AH794:AL794)</f>
        <v>0</v>
      </c>
      <c r="AO794" s="6"/>
      <c r="AP794" s="7"/>
      <c r="AQ794" s="7"/>
      <c r="AR794" s="7"/>
      <c r="AS794" s="7"/>
      <c r="AT794" s="8">
        <f>SUM(AO794:AS794)</f>
        <v>0</v>
      </c>
      <c r="AV794" s="6"/>
      <c r="AW794" s="7"/>
      <c r="AX794" s="7"/>
      <c r="AY794" s="7"/>
      <c r="AZ794" s="7"/>
      <c r="BA794" s="8">
        <f>SUM(AV794:AZ794)</f>
        <v>0</v>
      </c>
      <c r="BC794" s="6"/>
      <c r="BD794" s="7"/>
      <c r="BE794" s="7"/>
      <c r="BF794" s="7"/>
      <c r="BG794" s="7"/>
      <c r="BH794" s="8">
        <f>SUM(BC794:BG794)</f>
        <v>0</v>
      </c>
      <c r="BJ794" s="6"/>
      <c r="BK794" s="7"/>
      <c r="BL794" s="7"/>
      <c r="BM794" s="7"/>
      <c r="BN794" s="7"/>
      <c r="BO794" s="8">
        <f>SUM(BJ794:BN794)</f>
        <v>0</v>
      </c>
      <c r="BQ794" s="6"/>
      <c r="BR794" s="7"/>
      <c r="BS794" s="7"/>
      <c r="BT794" s="7"/>
      <c r="BU794" s="7"/>
      <c r="BV794" s="8">
        <f>SUM(BQ794:BU794)</f>
        <v>0</v>
      </c>
      <c r="BX794" s="6"/>
      <c r="BY794" s="7"/>
      <c r="BZ794" s="7"/>
      <c r="CA794" s="7"/>
      <c r="CB794" s="7"/>
      <c r="CC794" s="8">
        <f>SUM(BX794:CB794)</f>
        <v>0</v>
      </c>
      <c r="CE794" s="28">
        <f t="shared" si="3619"/>
        <v>0</v>
      </c>
      <c r="CF794" s="29">
        <f t="shared" si="3620"/>
        <v>0</v>
      </c>
      <c r="CG794" s="29">
        <f t="shared" si="3621"/>
        <v>0</v>
      </c>
      <c r="CH794" s="29">
        <f t="shared" si="3622"/>
        <v>0</v>
      </c>
      <c r="CI794" s="29">
        <f t="shared" si="3623"/>
        <v>0</v>
      </c>
      <c r="CJ794" s="8">
        <f>SUM(CE794:CI794)</f>
        <v>0</v>
      </c>
      <c r="CL794" s="6"/>
      <c r="CM794" s="7"/>
      <c r="CN794" s="7"/>
      <c r="CO794" s="7"/>
      <c r="CP794" s="7"/>
      <c r="CQ794" s="8">
        <f>SUM(CL794:CP794)</f>
        <v>0</v>
      </c>
      <c r="CS794" s="6"/>
      <c r="CT794" s="7"/>
      <c r="CU794" s="7"/>
      <c r="CV794" s="7"/>
      <c r="CW794" s="7"/>
      <c r="CX794" s="8">
        <f t="shared" ref="CX794:CX796" si="3628">SUM(CS794:CW794)</f>
        <v>0</v>
      </c>
      <c r="CZ794" s="6"/>
      <c r="DA794" s="7"/>
      <c r="DB794" s="7"/>
      <c r="DC794" s="7"/>
      <c r="DD794" s="7"/>
      <c r="DE794" s="8">
        <f t="shared" ref="DE794:DE796" si="3629">SUM(CZ794:DD794)</f>
        <v>0</v>
      </c>
    </row>
    <row r="795" spans="3:109">
      <c r="C795" s="567"/>
      <c r="E795" s="14" t="s">
        <v>61</v>
      </c>
      <c r="F795" s="23">
        <f t="shared" si="3624"/>
        <v>0</v>
      </c>
      <c r="G795" s="24">
        <f t="shared" si="3615"/>
        <v>0</v>
      </c>
      <c r="H795" s="24">
        <f t="shared" si="3616"/>
        <v>0</v>
      </c>
      <c r="I795" s="24">
        <f t="shared" si="3617"/>
        <v>0</v>
      </c>
      <c r="J795" s="24">
        <f t="shared" si="3618"/>
        <v>0</v>
      </c>
      <c r="K795" s="8">
        <f t="shared" si="3625"/>
        <v>0</v>
      </c>
      <c r="M795" s="6"/>
      <c r="N795" s="7"/>
      <c r="O795" s="7"/>
      <c r="P795" s="7"/>
      <c r="Q795" s="7"/>
      <c r="R795" s="8">
        <f t="shared" si="3626"/>
        <v>0</v>
      </c>
      <c r="T795" s="6"/>
      <c r="U795" s="7"/>
      <c r="V795" s="7"/>
      <c r="W795" s="7"/>
      <c r="X795" s="7"/>
      <c r="Y795" s="8">
        <f t="shared" si="3627"/>
        <v>0</v>
      </c>
      <c r="AA795" s="6"/>
      <c r="AB795" s="7"/>
      <c r="AC795" s="7"/>
      <c r="AD795" s="7"/>
      <c r="AE795" s="7"/>
      <c r="AF795" s="8">
        <f>SUM(AA795:AE795)</f>
        <v>0</v>
      </c>
      <c r="AH795" s="6"/>
      <c r="AI795" s="7"/>
      <c r="AJ795" s="7"/>
      <c r="AK795" s="7"/>
      <c r="AL795" s="7"/>
      <c r="AM795" s="8">
        <f>SUM(AH795:AL795)</f>
        <v>0</v>
      </c>
      <c r="AO795" s="6"/>
      <c r="AP795" s="7"/>
      <c r="AQ795" s="7"/>
      <c r="AR795" s="7"/>
      <c r="AS795" s="7"/>
      <c r="AT795" s="8">
        <f>SUM(AO795:AS795)</f>
        <v>0</v>
      </c>
      <c r="AV795" s="6"/>
      <c r="AW795" s="7"/>
      <c r="AX795" s="7"/>
      <c r="AY795" s="7"/>
      <c r="AZ795" s="7"/>
      <c r="BA795" s="8">
        <f>SUM(AV795:AZ795)</f>
        <v>0</v>
      </c>
      <c r="BC795" s="6"/>
      <c r="BD795" s="7"/>
      <c r="BE795" s="7"/>
      <c r="BF795" s="7"/>
      <c r="BG795" s="7"/>
      <c r="BH795" s="8">
        <f>SUM(BC795:BG795)</f>
        <v>0</v>
      </c>
      <c r="BJ795" s="6"/>
      <c r="BK795" s="7"/>
      <c r="BL795" s="7"/>
      <c r="BM795" s="7"/>
      <c r="BN795" s="7"/>
      <c r="BO795" s="8">
        <f>SUM(BJ795:BN795)</f>
        <v>0</v>
      </c>
      <c r="BQ795" s="6"/>
      <c r="BR795" s="7"/>
      <c r="BS795" s="7"/>
      <c r="BT795" s="7"/>
      <c r="BU795" s="7"/>
      <c r="BV795" s="8">
        <f>SUM(BQ795:BU795)</f>
        <v>0</v>
      </c>
      <c r="BX795" s="6"/>
      <c r="BY795" s="7"/>
      <c r="BZ795" s="7"/>
      <c r="CA795" s="7"/>
      <c r="CB795" s="7"/>
      <c r="CC795" s="8">
        <f>SUM(BX795:CB795)</f>
        <v>0</v>
      </c>
      <c r="CE795" s="28">
        <f t="shared" si="3619"/>
        <v>0</v>
      </c>
      <c r="CF795" s="29">
        <f t="shared" si="3620"/>
        <v>0</v>
      </c>
      <c r="CG795" s="29">
        <f t="shared" si="3621"/>
        <v>0</v>
      </c>
      <c r="CH795" s="29">
        <f t="shared" si="3622"/>
        <v>0</v>
      </c>
      <c r="CI795" s="29">
        <f t="shared" si="3623"/>
        <v>0</v>
      </c>
      <c r="CJ795" s="8">
        <f>SUM(CE795:CI795)</f>
        <v>0</v>
      </c>
      <c r="CL795" s="6"/>
      <c r="CM795" s="7"/>
      <c r="CN795" s="7"/>
      <c r="CO795" s="7"/>
      <c r="CP795" s="7"/>
      <c r="CQ795" s="8">
        <f>SUM(CL795:CP795)</f>
        <v>0</v>
      </c>
      <c r="CS795" s="6"/>
      <c r="CT795" s="7"/>
      <c r="CU795" s="7"/>
      <c r="CV795" s="7"/>
      <c r="CW795" s="7"/>
      <c r="CX795" s="8">
        <f t="shared" si="3628"/>
        <v>0</v>
      </c>
      <c r="CZ795" s="6"/>
      <c r="DA795" s="7"/>
      <c r="DB795" s="7"/>
      <c r="DC795" s="7"/>
      <c r="DD795" s="7"/>
      <c r="DE795" s="8">
        <f t="shared" si="3629"/>
        <v>0</v>
      </c>
    </row>
    <row r="796" spans="3:109" ht="14" thickBot="1">
      <c r="C796" s="567"/>
      <c r="E796" s="14" t="s">
        <v>62</v>
      </c>
      <c r="F796" s="23">
        <f t="shared" si="3624"/>
        <v>0</v>
      </c>
      <c r="G796" s="24">
        <f t="shared" si="3615"/>
        <v>0</v>
      </c>
      <c r="H796" s="24">
        <f t="shared" si="3616"/>
        <v>0</v>
      </c>
      <c r="I796" s="24">
        <f t="shared" si="3617"/>
        <v>0</v>
      </c>
      <c r="J796" s="24">
        <f t="shared" si="3618"/>
        <v>0</v>
      </c>
      <c r="K796" s="8">
        <f t="shared" si="3625"/>
        <v>0</v>
      </c>
      <c r="M796" s="6"/>
      <c r="N796" s="7"/>
      <c r="O796" s="7"/>
      <c r="P796" s="7"/>
      <c r="Q796" s="7"/>
      <c r="R796" s="8">
        <f t="shared" si="3626"/>
        <v>0</v>
      </c>
      <c r="T796" s="6"/>
      <c r="U796" s="7"/>
      <c r="V796" s="7"/>
      <c r="W796" s="7"/>
      <c r="X796" s="7"/>
      <c r="Y796" s="8">
        <f t="shared" si="3627"/>
        <v>0</v>
      </c>
      <c r="AA796" s="6"/>
      <c r="AB796" s="7"/>
      <c r="AC796" s="7"/>
      <c r="AD796" s="7"/>
      <c r="AE796" s="7"/>
      <c r="AF796" s="8">
        <f>SUM(AA796:AE796)</f>
        <v>0</v>
      </c>
      <c r="AH796" s="6"/>
      <c r="AI796" s="7"/>
      <c r="AJ796" s="7"/>
      <c r="AK796" s="7"/>
      <c r="AL796" s="7"/>
      <c r="AM796" s="8">
        <f>SUM(AH796:AL796)</f>
        <v>0</v>
      </c>
      <c r="AO796" s="6"/>
      <c r="AP796" s="7"/>
      <c r="AQ796" s="7"/>
      <c r="AR796" s="7"/>
      <c r="AS796" s="7"/>
      <c r="AT796" s="8">
        <f>SUM(AO796:AS796)</f>
        <v>0</v>
      </c>
      <c r="AV796" s="6"/>
      <c r="AW796" s="7"/>
      <c r="AX796" s="7"/>
      <c r="AY796" s="7"/>
      <c r="AZ796" s="7"/>
      <c r="BA796" s="8">
        <f>SUM(AV796:AZ796)</f>
        <v>0</v>
      </c>
      <c r="BC796" s="6"/>
      <c r="BD796" s="7"/>
      <c r="BE796" s="7"/>
      <c r="BF796" s="7"/>
      <c r="BG796" s="7"/>
      <c r="BH796" s="8">
        <f>SUM(BC796:BG796)</f>
        <v>0</v>
      </c>
      <c r="BJ796" s="6"/>
      <c r="BK796" s="7"/>
      <c r="BL796" s="7"/>
      <c r="BM796" s="7"/>
      <c r="BN796" s="7"/>
      <c r="BO796" s="8">
        <f>SUM(BJ796:BN796)</f>
        <v>0</v>
      </c>
      <c r="BQ796" s="6"/>
      <c r="BR796" s="7"/>
      <c r="BS796" s="7"/>
      <c r="BT796" s="7"/>
      <c r="BU796" s="7"/>
      <c r="BV796" s="8">
        <f>SUM(BQ796:BU796)</f>
        <v>0</v>
      </c>
      <c r="BX796" s="6"/>
      <c r="BY796" s="7"/>
      <c r="BZ796" s="7"/>
      <c r="CA796" s="7"/>
      <c r="CB796" s="7"/>
      <c r="CC796" s="8">
        <f>SUM(BX796:CB796)</f>
        <v>0</v>
      </c>
      <c r="CE796" s="493">
        <f t="shared" si="3619"/>
        <v>0</v>
      </c>
      <c r="CF796" s="494">
        <f t="shared" si="3620"/>
        <v>0</v>
      </c>
      <c r="CG796" s="494">
        <f t="shared" si="3621"/>
        <v>0</v>
      </c>
      <c r="CH796" s="494">
        <f t="shared" si="3622"/>
        <v>0</v>
      </c>
      <c r="CI796" s="494">
        <f t="shared" si="3623"/>
        <v>0</v>
      </c>
      <c r="CJ796" s="495">
        <f>SUM(CE796:CI796)</f>
        <v>0</v>
      </c>
      <c r="CL796" s="6"/>
      <c r="CM796" s="7"/>
      <c r="CN796" s="7"/>
      <c r="CO796" s="7"/>
      <c r="CP796" s="7"/>
      <c r="CQ796" s="8">
        <f>SUM(CL796:CP796)</f>
        <v>0</v>
      </c>
      <c r="CS796" s="6"/>
      <c r="CT796" s="7"/>
      <c r="CU796" s="7"/>
      <c r="CV796" s="7"/>
      <c r="CW796" s="7"/>
      <c r="CX796" s="8">
        <f t="shared" si="3628"/>
        <v>0</v>
      </c>
      <c r="CZ796" s="6"/>
      <c r="DA796" s="7"/>
      <c r="DB796" s="7"/>
      <c r="DC796" s="7"/>
      <c r="DD796" s="7"/>
      <c r="DE796" s="8">
        <f t="shared" si="3629"/>
        <v>0</v>
      </c>
    </row>
    <row r="797" spans="3:109" ht="14" thickBot="1">
      <c r="C797" s="554"/>
      <c r="E797" s="17"/>
      <c r="F797" s="10">
        <f>SUM(F793:F796)</f>
        <v>0</v>
      </c>
      <c r="G797" s="11">
        <f t="shared" ref="G797:J797" si="3630">SUM(G793:G796)</f>
        <v>0</v>
      </c>
      <c r="H797" s="11">
        <f t="shared" si="3630"/>
        <v>0</v>
      </c>
      <c r="I797" s="11">
        <f t="shared" si="3630"/>
        <v>0</v>
      </c>
      <c r="J797" s="11">
        <f t="shared" si="3630"/>
        <v>0</v>
      </c>
      <c r="K797" s="25">
        <f>SUM(K793:K796)</f>
        <v>0</v>
      </c>
      <c r="M797" s="10">
        <f>SUM(M793:M796)</f>
        <v>0</v>
      </c>
      <c r="N797" s="11">
        <f t="shared" ref="N797:Q797" si="3631">SUM(N793:N796)</f>
        <v>0</v>
      </c>
      <c r="O797" s="11">
        <f t="shared" si="3631"/>
        <v>0</v>
      </c>
      <c r="P797" s="11">
        <f t="shared" si="3631"/>
        <v>0</v>
      </c>
      <c r="Q797" s="11">
        <f t="shared" si="3631"/>
        <v>0</v>
      </c>
      <c r="R797" s="25">
        <f>SUM(R793:R796)</f>
        <v>0</v>
      </c>
      <c r="T797" s="10">
        <f>SUM(T793:T796)</f>
        <v>0</v>
      </c>
      <c r="U797" s="11">
        <f t="shared" ref="U797:X797" si="3632">SUM(U793:U796)</f>
        <v>0</v>
      </c>
      <c r="V797" s="11">
        <f t="shared" si="3632"/>
        <v>0</v>
      </c>
      <c r="W797" s="11">
        <f t="shared" si="3632"/>
        <v>0</v>
      </c>
      <c r="X797" s="11">
        <f t="shared" si="3632"/>
        <v>0</v>
      </c>
      <c r="Y797" s="25">
        <f>SUM(Y793:Y796)</f>
        <v>0</v>
      </c>
      <c r="AA797" s="10">
        <f>SUM(AA793:AA796)</f>
        <v>0</v>
      </c>
      <c r="AB797" s="11">
        <f t="shared" ref="AB797:AE797" si="3633">SUM(AB793:AB796)</f>
        <v>0</v>
      </c>
      <c r="AC797" s="11">
        <f t="shared" si="3633"/>
        <v>0</v>
      </c>
      <c r="AD797" s="11">
        <f t="shared" si="3633"/>
        <v>0</v>
      </c>
      <c r="AE797" s="11">
        <f t="shared" si="3633"/>
        <v>0</v>
      </c>
      <c r="AF797" s="25">
        <f>SUM(AF793:AF796)</f>
        <v>0</v>
      </c>
      <c r="AH797" s="10">
        <f t="shared" ref="AH797:AM797" si="3634">SUM(AH793:AH796)</f>
        <v>0</v>
      </c>
      <c r="AI797" s="11">
        <f t="shared" si="3634"/>
        <v>0</v>
      </c>
      <c r="AJ797" s="11">
        <f t="shared" si="3634"/>
        <v>0</v>
      </c>
      <c r="AK797" s="11">
        <f t="shared" si="3634"/>
        <v>0</v>
      </c>
      <c r="AL797" s="11">
        <f t="shared" si="3634"/>
        <v>0</v>
      </c>
      <c r="AM797" s="25">
        <f t="shared" si="3634"/>
        <v>0</v>
      </c>
      <c r="AO797" s="10">
        <f t="shared" ref="AO797:AT797" si="3635">SUM(AO793:AO796)</f>
        <v>0</v>
      </c>
      <c r="AP797" s="11">
        <f t="shared" si="3635"/>
        <v>0</v>
      </c>
      <c r="AQ797" s="11">
        <f t="shared" si="3635"/>
        <v>0</v>
      </c>
      <c r="AR797" s="11">
        <f t="shared" si="3635"/>
        <v>0</v>
      </c>
      <c r="AS797" s="11">
        <f t="shared" si="3635"/>
        <v>0</v>
      </c>
      <c r="AT797" s="25">
        <f t="shared" si="3635"/>
        <v>0</v>
      </c>
      <c r="AV797" s="10">
        <f t="shared" ref="AV797:BA797" si="3636">SUM(AV793:AV796)</f>
        <v>0</v>
      </c>
      <c r="AW797" s="11">
        <f t="shared" si="3636"/>
        <v>0</v>
      </c>
      <c r="AX797" s="11">
        <f t="shared" si="3636"/>
        <v>0</v>
      </c>
      <c r="AY797" s="11">
        <f t="shared" si="3636"/>
        <v>0</v>
      </c>
      <c r="AZ797" s="11">
        <f t="shared" si="3636"/>
        <v>0</v>
      </c>
      <c r="BA797" s="25">
        <f t="shared" si="3636"/>
        <v>0</v>
      </c>
      <c r="BC797" s="10">
        <f t="shared" ref="BC797:BH797" si="3637">SUM(BC793:BC796)</f>
        <v>0</v>
      </c>
      <c r="BD797" s="11">
        <f t="shared" si="3637"/>
        <v>0</v>
      </c>
      <c r="BE797" s="11">
        <f t="shared" si="3637"/>
        <v>0</v>
      </c>
      <c r="BF797" s="11">
        <f t="shared" si="3637"/>
        <v>0</v>
      </c>
      <c r="BG797" s="11">
        <f t="shared" si="3637"/>
        <v>0</v>
      </c>
      <c r="BH797" s="25">
        <f t="shared" si="3637"/>
        <v>0</v>
      </c>
      <c r="BJ797" s="10">
        <f t="shared" ref="BJ797:BO797" si="3638">SUM(BJ793:BJ796)</f>
        <v>0</v>
      </c>
      <c r="BK797" s="11">
        <f t="shared" si="3638"/>
        <v>0</v>
      </c>
      <c r="BL797" s="11">
        <f t="shared" si="3638"/>
        <v>0</v>
      </c>
      <c r="BM797" s="11">
        <f t="shared" si="3638"/>
        <v>0</v>
      </c>
      <c r="BN797" s="11">
        <f t="shared" si="3638"/>
        <v>0</v>
      </c>
      <c r="BO797" s="25">
        <f t="shared" si="3638"/>
        <v>0</v>
      </c>
      <c r="BQ797" s="10">
        <f t="shared" ref="BQ797:BV797" si="3639">SUM(BQ793:BQ796)</f>
        <v>0</v>
      </c>
      <c r="BR797" s="11">
        <f t="shared" si="3639"/>
        <v>0</v>
      </c>
      <c r="BS797" s="11">
        <f t="shared" si="3639"/>
        <v>0</v>
      </c>
      <c r="BT797" s="11">
        <f t="shared" si="3639"/>
        <v>0</v>
      </c>
      <c r="BU797" s="11">
        <f t="shared" si="3639"/>
        <v>0</v>
      </c>
      <c r="BV797" s="25">
        <f t="shared" si="3639"/>
        <v>0</v>
      </c>
      <c r="BX797" s="10">
        <f t="shared" ref="BX797:CC797" si="3640">SUM(BX793:BX796)</f>
        <v>0</v>
      </c>
      <c r="BY797" s="11">
        <f t="shared" si="3640"/>
        <v>0</v>
      </c>
      <c r="BZ797" s="11">
        <f t="shared" si="3640"/>
        <v>0</v>
      </c>
      <c r="CA797" s="11">
        <f t="shared" si="3640"/>
        <v>0</v>
      </c>
      <c r="CB797" s="11">
        <f t="shared" si="3640"/>
        <v>0</v>
      </c>
      <c r="CC797" s="25">
        <f t="shared" si="3640"/>
        <v>0</v>
      </c>
      <c r="CE797" s="62">
        <f t="shared" ref="CE797:CJ797" si="3641">SUM(CE793:CE796)</f>
        <v>0</v>
      </c>
      <c r="CF797" s="63">
        <f t="shared" si="3641"/>
        <v>0</v>
      </c>
      <c r="CG797" s="63">
        <f t="shared" si="3641"/>
        <v>0</v>
      </c>
      <c r="CH797" s="63">
        <f t="shared" si="3641"/>
        <v>0</v>
      </c>
      <c r="CI797" s="63">
        <f t="shared" si="3641"/>
        <v>0</v>
      </c>
      <c r="CJ797" s="25">
        <f t="shared" si="3641"/>
        <v>0</v>
      </c>
      <c r="CL797" s="10">
        <f>SUM(CL793:CL796)</f>
        <v>0</v>
      </c>
      <c r="CM797" s="11">
        <f t="shared" ref="CM797:CQ797" si="3642">SUM(CM793:CM796)</f>
        <v>0</v>
      </c>
      <c r="CN797" s="11">
        <f t="shared" si="3642"/>
        <v>0</v>
      </c>
      <c r="CO797" s="11">
        <f t="shared" si="3642"/>
        <v>0</v>
      </c>
      <c r="CP797" s="11">
        <f t="shared" si="3642"/>
        <v>0</v>
      </c>
      <c r="CQ797" s="25">
        <f t="shared" si="3642"/>
        <v>0</v>
      </c>
      <c r="CS797" s="10">
        <f>SUM(CS793:CS796)</f>
        <v>0</v>
      </c>
      <c r="CT797" s="11">
        <f t="shared" ref="CT797:CW797" si="3643">SUM(CT793:CT796)</f>
        <v>0</v>
      </c>
      <c r="CU797" s="11">
        <f t="shared" si="3643"/>
        <v>0</v>
      </c>
      <c r="CV797" s="11">
        <f t="shared" si="3643"/>
        <v>0</v>
      </c>
      <c r="CW797" s="11">
        <f t="shared" si="3643"/>
        <v>0</v>
      </c>
      <c r="CX797" s="25">
        <f>SUM(CX793:CX796)</f>
        <v>0</v>
      </c>
      <c r="CZ797" s="10">
        <f>SUM(CZ793:CZ796)</f>
        <v>0</v>
      </c>
      <c r="DA797" s="11">
        <f t="shared" ref="DA797:DD797" si="3644">SUM(DA793:DA796)</f>
        <v>0</v>
      </c>
      <c r="DB797" s="11">
        <f t="shared" si="3644"/>
        <v>0</v>
      </c>
      <c r="DC797" s="11">
        <f t="shared" si="3644"/>
        <v>0</v>
      </c>
      <c r="DD797" s="11">
        <f t="shared" si="3644"/>
        <v>0</v>
      </c>
      <c r="DE797" s="25">
        <f>SUM(DE793:DE796)</f>
        <v>0</v>
      </c>
    </row>
    <row r="798" spans="3:109" ht="10.4" customHeight="1" thickBot="1"/>
    <row r="799" spans="3:109">
      <c r="C799" s="553">
        <v>2028</v>
      </c>
      <c r="E799" s="13" t="s">
        <v>59</v>
      </c>
      <c r="F799" s="21">
        <f>CE793</f>
        <v>0</v>
      </c>
      <c r="G799" s="22">
        <f t="shared" ref="G799:G802" si="3645">CF793</f>
        <v>0</v>
      </c>
      <c r="H799" s="22">
        <f t="shared" ref="H799:H802" si="3646">CG793</f>
        <v>0</v>
      </c>
      <c r="I799" s="22">
        <f t="shared" ref="I799:I802" si="3647">CH793</f>
        <v>0</v>
      </c>
      <c r="J799" s="22">
        <f t="shared" ref="J799:J802" si="3648">CI793</f>
        <v>0</v>
      </c>
      <c r="K799" s="4">
        <f>SUM(F799:J799)</f>
        <v>0</v>
      </c>
      <c r="M799" s="2"/>
      <c r="N799" s="3"/>
      <c r="O799" s="3"/>
      <c r="P799" s="3"/>
      <c r="Q799" s="3"/>
      <c r="R799" s="4">
        <f>SUM(M799:Q799)</f>
        <v>0</v>
      </c>
      <c r="T799" s="2"/>
      <c r="U799" s="3"/>
      <c r="V799" s="3"/>
      <c r="W799" s="3"/>
      <c r="X799" s="3"/>
      <c r="Y799" s="4">
        <f>SUM(T799:X799)</f>
        <v>0</v>
      </c>
      <c r="AA799" s="2"/>
      <c r="AB799" s="3"/>
      <c r="AC799" s="3"/>
      <c r="AD799" s="3"/>
      <c r="AE799" s="3"/>
      <c r="AF799" s="4">
        <f>SUM(AA799:AE799)</f>
        <v>0</v>
      </c>
      <c r="AH799" s="2"/>
      <c r="AI799" s="3"/>
      <c r="AJ799" s="3"/>
      <c r="AK799" s="3"/>
      <c r="AL799" s="3"/>
      <c r="AM799" s="4">
        <f>SUM(AH799:AL799)</f>
        <v>0</v>
      </c>
      <c r="AO799" s="2"/>
      <c r="AP799" s="3"/>
      <c r="AQ799" s="3"/>
      <c r="AR799" s="3"/>
      <c r="AS799" s="3"/>
      <c r="AT799" s="4">
        <f>SUM(AO799:AS799)</f>
        <v>0</v>
      </c>
      <c r="AV799" s="2"/>
      <c r="AW799" s="3"/>
      <c r="AX799" s="3"/>
      <c r="AY799" s="3"/>
      <c r="AZ799" s="3"/>
      <c r="BA799" s="4">
        <f>SUM(AV799:AZ799)</f>
        <v>0</v>
      </c>
      <c r="BC799" s="2"/>
      <c r="BD799" s="3"/>
      <c r="BE799" s="3"/>
      <c r="BF799" s="3"/>
      <c r="BG799" s="3"/>
      <c r="BH799" s="4">
        <f>SUM(BC799:BG799)</f>
        <v>0</v>
      </c>
      <c r="BJ799" s="2"/>
      <c r="BK799" s="3"/>
      <c r="BL799" s="3"/>
      <c r="BM799" s="3"/>
      <c r="BN799" s="3"/>
      <c r="BO799" s="4">
        <f>SUM(BJ799:BN799)</f>
        <v>0</v>
      </c>
      <c r="BQ799" s="2"/>
      <c r="BR799" s="3"/>
      <c r="BS799" s="3"/>
      <c r="BT799" s="3"/>
      <c r="BU799" s="3"/>
      <c r="BV799" s="4">
        <f>SUM(BQ799:BU799)</f>
        <v>0</v>
      </c>
      <c r="BX799" s="2"/>
      <c r="BY799" s="3"/>
      <c r="BZ799" s="3"/>
      <c r="CA799" s="3"/>
      <c r="CB799" s="3"/>
      <c r="CC799" s="4">
        <f>SUM(BX799:CB799)</f>
        <v>0</v>
      </c>
      <c r="CE799" s="26">
        <f t="shared" ref="CE799:CE802" si="3649">F799+M799+T799+AA799+AH799+AO799+AV799+BC799+BJ799+BQ799+BX799</f>
        <v>0</v>
      </c>
      <c r="CF799" s="27">
        <f t="shared" ref="CF799:CF802" si="3650">G799+N799+U799+AB799+AI799+AP799+AW799+BD799+BK799+BR799+BY799</f>
        <v>0</v>
      </c>
      <c r="CG799" s="27">
        <f t="shared" ref="CG799:CG802" si="3651">H799+O799+V799+AC799+AJ799+AQ799+AX799+BE799+BL799+BS799+BZ799</f>
        <v>0</v>
      </c>
      <c r="CH799" s="27">
        <f t="shared" ref="CH799:CH802" si="3652">I799+P799+W799+AD799+AK799+AR799+AY799+BF799+BM799+BT799+CA799</f>
        <v>0</v>
      </c>
      <c r="CI799" s="27">
        <f t="shared" ref="CI799:CI802" si="3653">J799+Q799+X799+AE799+AL799+AS799+AZ799+BG799+BN799+BU799+CB799</f>
        <v>0</v>
      </c>
      <c r="CJ799" s="4">
        <f>SUM(CE799:CI799)</f>
        <v>0</v>
      </c>
      <c r="CL799" s="2"/>
      <c r="CM799" s="3"/>
      <c r="CN799" s="3"/>
      <c r="CO799" s="3"/>
      <c r="CP799" s="3"/>
      <c r="CQ799" s="4">
        <f>SUM(CL799:CP799)</f>
        <v>0</v>
      </c>
      <c r="CS799" s="2"/>
      <c r="CT799" s="3"/>
      <c r="CU799" s="3"/>
      <c r="CV799" s="3"/>
      <c r="CW799" s="3"/>
      <c r="CX799" s="4">
        <f>SUM(CS799:CW799)</f>
        <v>0</v>
      </c>
      <c r="CZ799" s="2"/>
      <c r="DA799" s="3"/>
      <c r="DB799" s="3"/>
      <c r="DC799" s="3"/>
      <c r="DD799" s="3"/>
      <c r="DE799" s="4">
        <f>SUM(CZ799:DD799)</f>
        <v>0</v>
      </c>
    </row>
    <row r="800" spans="3:109">
      <c r="C800" s="567"/>
      <c r="E800" s="14" t="s">
        <v>60</v>
      </c>
      <c r="F800" s="23">
        <f t="shared" ref="F800:F802" si="3654">CE794</f>
        <v>0</v>
      </c>
      <c r="G800" s="24">
        <f t="shared" si="3645"/>
        <v>0</v>
      </c>
      <c r="H800" s="24">
        <f t="shared" si="3646"/>
        <v>0</v>
      </c>
      <c r="I800" s="24">
        <f t="shared" si="3647"/>
        <v>0</v>
      </c>
      <c r="J800" s="24">
        <f t="shared" si="3648"/>
        <v>0</v>
      </c>
      <c r="K800" s="8">
        <f t="shared" ref="K800:K802" si="3655">SUM(F800:J800)</f>
        <v>0</v>
      </c>
      <c r="M800" s="6"/>
      <c r="N800" s="7"/>
      <c r="O800" s="7"/>
      <c r="P800" s="7"/>
      <c r="Q800" s="7"/>
      <c r="R800" s="8">
        <f t="shared" ref="R800:R802" si="3656">SUM(M800:Q800)</f>
        <v>0</v>
      </c>
      <c r="T800" s="6"/>
      <c r="U800" s="7"/>
      <c r="V800" s="7"/>
      <c r="W800" s="7"/>
      <c r="X800" s="7"/>
      <c r="Y800" s="8">
        <f t="shared" ref="Y800:Y802" si="3657">SUM(T800:X800)</f>
        <v>0</v>
      </c>
      <c r="AA800" s="6"/>
      <c r="AB800" s="7"/>
      <c r="AC800" s="7"/>
      <c r="AD800" s="7"/>
      <c r="AE800" s="7"/>
      <c r="AF800" s="8">
        <f>SUM(AA800:AE800)</f>
        <v>0</v>
      </c>
      <c r="AH800" s="6"/>
      <c r="AI800" s="7"/>
      <c r="AJ800" s="7"/>
      <c r="AK800" s="7"/>
      <c r="AL800" s="7"/>
      <c r="AM800" s="8">
        <f>SUM(AH800:AL800)</f>
        <v>0</v>
      </c>
      <c r="AO800" s="6"/>
      <c r="AP800" s="7"/>
      <c r="AQ800" s="7"/>
      <c r="AR800" s="7"/>
      <c r="AS800" s="7"/>
      <c r="AT800" s="8">
        <f>SUM(AO800:AS800)</f>
        <v>0</v>
      </c>
      <c r="AV800" s="6"/>
      <c r="AW800" s="7"/>
      <c r="AX800" s="7"/>
      <c r="AY800" s="7"/>
      <c r="AZ800" s="7"/>
      <c r="BA800" s="8">
        <f>SUM(AV800:AZ800)</f>
        <v>0</v>
      </c>
      <c r="BC800" s="6"/>
      <c r="BD800" s="7"/>
      <c r="BE800" s="7"/>
      <c r="BF800" s="7"/>
      <c r="BG800" s="7"/>
      <c r="BH800" s="8">
        <f>SUM(BC800:BG800)</f>
        <v>0</v>
      </c>
      <c r="BJ800" s="6"/>
      <c r="BK800" s="7"/>
      <c r="BL800" s="7"/>
      <c r="BM800" s="7"/>
      <c r="BN800" s="7"/>
      <c r="BO800" s="8">
        <f>SUM(BJ800:BN800)</f>
        <v>0</v>
      </c>
      <c r="BQ800" s="6"/>
      <c r="BR800" s="7"/>
      <c r="BS800" s="7"/>
      <c r="BT800" s="7"/>
      <c r="BU800" s="7"/>
      <c r="BV800" s="8">
        <f>SUM(BQ800:BU800)</f>
        <v>0</v>
      </c>
      <c r="BX800" s="6"/>
      <c r="BY800" s="7"/>
      <c r="BZ800" s="7"/>
      <c r="CA800" s="7"/>
      <c r="CB800" s="7"/>
      <c r="CC800" s="8">
        <f>SUM(BX800:CB800)</f>
        <v>0</v>
      </c>
      <c r="CE800" s="28">
        <f t="shared" si="3649"/>
        <v>0</v>
      </c>
      <c r="CF800" s="29">
        <f t="shared" si="3650"/>
        <v>0</v>
      </c>
      <c r="CG800" s="29">
        <f t="shared" si="3651"/>
        <v>0</v>
      </c>
      <c r="CH800" s="29">
        <f t="shared" si="3652"/>
        <v>0</v>
      </c>
      <c r="CI800" s="29">
        <f t="shared" si="3653"/>
        <v>0</v>
      </c>
      <c r="CJ800" s="8">
        <f>SUM(CE800:CI800)</f>
        <v>0</v>
      </c>
      <c r="CL800" s="6"/>
      <c r="CM800" s="7"/>
      <c r="CN800" s="7"/>
      <c r="CO800" s="7"/>
      <c r="CP800" s="7"/>
      <c r="CQ800" s="8">
        <f>SUM(CL800:CP800)</f>
        <v>0</v>
      </c>
      <c r="CS800" s="6"/>
      <c r="CT800" s="7"/>
      <c r="CU800" s="7"/>
      <c r="CV800" s="7"/>
      <c r="CW800" s="7"/>
      <c r="CX800" s="8">
        <f t="shared" ref="CX800:CX802" si="3658">SUM(CS800:CW800)</f>
        <v>0</v>
      </c>
      <c r="CZ800" s="6"/>
      <c r="DA800" s="7"/>
      <c r="DB800" s="7"/>
      <c r="DC800" s="7"/>
      <c r="DD800" s="7"/>
      <c r="DE800" s="8">
        <f t="shared" ref="DE800:DE802" si="3659">SUM(CZ800:DD800)</f>
        <v>0</v>
      </c>
    </row>
    <row r="801" spans="2:109">
      <c r="C801" s="567"/>
      <c r="E801" s="14" t="s">
        <v>61</v>
      </c>
      <c r="F801" s="23">
        <f t="shared" si="3654"/>
        <v>0</v>
      </c>
      <c r="G801" s="24">
        <f t="shared" si="3645"/>
        <v>0</v>
      </c>
      <c r="H801" s="24">
        <f t="shared" si="3646"/>
        <v>0</v>
      </c>
      <c r="I801" s="24">
        <f t="shared" si="3647"/>
        <v>0</v>
      </c>
      <c r="J801" s="24">
        <f t="shared" si="3648"/>
        <v>0</v>
      </c>
      <c r="K801" s="8">
        <f t="shared" si="3655"/>
        <v>0</v>
      </c>
      <c r="M801" s="6"/>
      <c r="N801" s="7"/>
      <c r="O801" s="7"/>
      <c r="P801" s="7"/>
      <c r="Q801" s="7"/>
      <c r="R801" s="8">
        <f t="shared" si="3656"/>
        <v>0</v>
      </c>
      <c r="T801" s="6"/>
      <c r="U801" s="7"/>
      <c r="V801" s="7"/>
      <c r="W801" s="7"/>
      <c r="X801" s="7"/>
      <c r="Y801" s="8">
        <f t="shared" si="3657"/>
        <v>0</v>
      </c>
      <c r="AA801" s="6"/>
      <c r="AB801" s="7"/>
      <c r="AC801" s="7"/>
      <c r="AD801" s="7"/>
      <c r="AE801" s="7"/>
      <c r="AF801" s="8">
        <f>SUM(AA801:AE801)</f>
        <v>0</v>
      </c>
      <c r="AH801" s="6"/>
      <c r="AI801" s="7"/>
      <c r="AJ801" s="7"/>
      <c r="AK801" s="7"/>
      <c r="AL801" s="7"/>
      <c r="AM801" s="8">
        <f>SUM(AH801:AL801)</f>
        <v>0</v>
      </c>
      <c r="AO801" s="6"/>
      <c r="AP801" s="7"/>
      <c r="AQ801" s="7"/>
      <c r="AR801" s="7"/>
      <c r="AS801" s="7"/>
      <c r="AT801" s="8">
        <f>SUM(AO801:AS801)</f>
        <v>0</v>
      </c>
      <c r="AV801" s="6"/>
      <c r="AW801" s="7"/>
      <c r="AX801" s="7"/>
      <c r="AY801" s="7"/>
      <c r="AZ801" s="7"/>
      <c r="BA801" s="8">
        <f>SUM(AV801:AZ801)</f>
        <v>0</v>
      </c>
      <c r="BC801" s="6"/>
      <c r="BD801" s="7"/>
      <c r="BE801" s="7"/>
      <c r="BF801" s="7"/>
      <c r="BG801" s="7"/>
      <c r="BH801" s="8">
        <f>SUM(BC801:BG801)</f>
        <v>0</v>
      </c>
      <c r="BJ801" s="6"/>
      <c r="BK801" s="7"/>
      <c r="BL801" s="7"/>
      <c r="BM801" s="7"/>
      <c r="BN801" s="7"/>
      <c r="BO801" s="8">
        <f>SUM(BJ801:BN801)</f>
        <v>0</v>
      </c>
      <c r="BQ801" s="6"/>
      <c r="BR801" s="7"/>
      <c r="BS801" s="7"/>
      <c r="BT801" s="7"/>
      <c r="BU801" s="7"/>
      <c r="BV801" s="8">
        <f>SUM(BQ801:BU801)</f>
        <v>0</v>
      </c>
      <c r="BX801" s="6"/>
      <c r="BY801" s="7"/>
      <c r="BZ801" s="7"/>
      <c r="CA801" s="7"/>
      <c r="CB801" s="7"/>
      <c r="CC801" s="8">
        <f>SUM(BX801:CB801)</f>
        <v>0</v>
      </c>
      <c r="CE801" s="28">
        <f t="shared" si="3649"/>
        <v>0</v>
      </c>
      <c r="CF801" s="29">
        <f t="shared" si="3650"/>
        <v>0</v>
      </c>
      <c r="CG801" s="29">
        <f t="shared" si="3651"/>
        <v>0</v>
      </c>
      <c r="CH801" s="29">
        <f t="shared" si="3652"/>
        <v>0</v>
      </c>
      <c r="CI801" s="29">
        <f t="shared" si="3653"/>
        <v>0</v>
      </c>
      <c r="CJ801" s="8">
        <f>SUM(CE801:CI801)</f>
        <v>0</v>
      </c>
      <c r="CL801" s="6"/>
      <c r="CM801" s="7"/>
      <c r="CN801" s="7"/>
      <c r="CO801" s="7"/>
      <c r="CP801" s="7"/>
      <c r="CQ801" s="8">
        <f>SUM(CL801:CP801)</f>
        <v>0</v>
      </c>
      <c r="CS801" s="6"/>
      <c r="CT801" s="7"/>
      <c r="CU801" s="7"/>
      <c r="CV801" s="7"/>
      <c r="CW801" s="7"/>
      <c r="CX801" s="8">
        <f t="shared" si="3658"/>
        <v>0</v>
      </c>
      <c r="CZ801" s="6"/>
      <c r="DA801" s="7"/>
      <c r="DB801" s="7"/>
      <c r="DC801" s="7"/>
      <c r="DD801" s="7"/>
      <c r="DE801" s="8">
        <f t="shared" si="3659"/>
        <v>0</v>
      </c>
    </row>
    <row r="802" spans="2:109" ht="14" thickBot="1">
      <c r="C802" s="567"/>
      <c r="E802" s="14" t="s">
        <v>62</v>
      </c>
      <c r="F802" s="23">
        <f t="shared" si="3654"/>
        <v>0</v>
      </c>
      <c r="G802" s="24">
        <f t="shared" si="3645"/>
        <v>0</v>
      </c>
      <c r="H802" s="24">
        <f t="shared" si="3646"/>
        <v>0</v>
      </c>
      <c r="I802" s="24">
        <f t="shared" si="3647"/>
        <v>0</v>
      </c>
      <c r="J802" s="24">
        <f t="shared" si="3648"/>
        <v>0</v>
      </c>
      <c r="K802" s="8">
        <f t="shared" si="3655"/>
        <v>0</v>
      </c>
      <c r="M802" s="6"/>
      <c r="N802" s="7"/>
      <c r="O802" s="7"/>
      <c r="P802" s="7"/>
      <c r="Q802" s="7"/>
      <c r="R802" s="8">
        <f t="shared" si="3656"/>
        <v>0</v>
      </c>
      <c r="T802" s="6"/>
      <c r="U802" s="7"/>
      <c r="V802" s="7"/>
      <c r="W802" s="7"/>
      <c r="X802" s="7"/>
      <c r="Y802" s="8">
        <f t="shared" si="3657"/>
        <v>0</v>
      </c>
      <c r="AA802" s="6"/>
      <c r="AB802" s="7"/>
      <c r="AC802" s="7"/>
      <c r="AD802" s="7"/>
      <c r="AE802" s="7"/>
      <c r="AF802" s="8">
        <f>SUM(AA802:AE802)</f>
        <v>0</v>
      </c>
      <c r="AH802" s="6"/>
      <c r="AI802" s="7"/>
      <c r="AJ802" s="7"/>
      <c r="AK802" s="7"/>
      <c r="AL802" s="7"/>
      <c r="AM802" s="8">
        <f>SUM(AH802:AL802)</f>
        <v>0</v>
      </c>
      <c r="AO802" s="6"/>
      <c r="AP802" s="7"/>
      <c r="AQ802" s="7"/>
      <c r="AR802" s="7"/>
      <c r="AS802" s="7"/>
      <c r="AT802" s="8">
        <f>SUM(AO802:AS802)</f>
        <v>0</v>
      </c>
      <c r="AV802" s="6"/>
      <c r="AW802" s="7"/>
      <c r="AX802" s="7"/>
      <c r="AY802" s="7"/>
      <c r="AZ802" s="7"/>
      <c r="BA802" s="8">
        <f>SUM(AV802:AZ802)</f>
        <v>0</v>
      </c>
      <c r="BC802" s="6"/>
      <c r="BD802" s="7"/>
      <c r="BE802" s="7"/>
      <c r="BF802" s="7"/>
      <c r="BG802" s="7"/>
      <c r="BH802" s="8">
        <f>SUM(BC802:BG802)</f>
        <v>0</v>
      </c>
      <c r="BJ802" s="6"/>
      <c r="BK802" s="7"/>
      <c r="BL802" s="7"/>
      <c r="BM802" s="7"/>
      <c r="BN802" s="7"/>
      <c r="BO802" s="8">
        <f>SUM(BJ802:BN802)</f>
        <v>0</v>
      </c>
      <c r="BQ802" s="6"/>
      <c r="BR802" s="7"/>
      <c r="BS802" s="7"/>
      <c r="BT802" s="7"/>
      <c r="BU802" s="7"/>
      <c r="BV802" s="8">
        <f>SUM(BQ802:BU802)</f>
        <v>0</v>
      </c>
      <c r="BX802" s="6"/>
      <c r="BY802" s="7"/>
      <c r="BZ802" s="7"/>
      <c r="CA802" s="7"/>
      <c r="CB802" s="7"/>
      <c r="CC802" s="8">
        <f>SUM(BX802:CB802)</f>
        <v>0</v>
      </c>
      <c r="CE802" s="493">
        <f t="shared" si="3649"/>
        <v>0</v>
      </c>
      <c r="CF802" s="494">
        <f t="shared" si="3650"/>
        <v>0</v>
      </c>
      <c r="CG802" s="494">
        <f t="shared" si="3651"/>
        <v>0</v>
      </c>
      <c r="CH802" s="494">
        <f t="shared" si="3652"/>
        <v>0</v>
      </c>
      <c r="CI802" s="494">
        <f t="shared" si="3653"/>
        <v>0</v>
      </c>
      <c r="CJ802" s="495">
        <f>SUM(CE802:CI802)</f>
        <v>0</v>
      </c>
      <c r="CL802" s="6"/>
      <c r="CM802" s="7"/>
      <c r="CN802" s="7"/>
      <c r="CO802" s="7"/>
      <c r="CP802" s="7"/>
      <c r="CQ802" s="8">
        <f>SUM(CL802:CP802)</f>
        <v>0</v>
      </c>
      <c r="CS802" s="6"/>
      <c r="CT802" s="7"/>
      <c r="CU802" s="7"/>
      <c r="CV802" s="7"/>
      <c r="CW802" s="7"/>
      <c r="CX802" s="8">
        <f t="shared" si="3658"/>
        <v>0</v>
      </c>
      <c r="CZ802" s="6"/>
      <c r="DA802" s="7"/>
      <c r="DB802" s="7"/>
      <c r="DC802" s="7"/>
      <c r="DD802" s="7"/>
      <c r="DE802" s="8">
        <f t="shared" si="3659"/>
        <v>0</v>
      </c>
    </row>
    <row r="803" spans="2:109" ht="14" thickBot="1">
      <c r="C803" s="554"/>
      <c r="E803" s="9"/>
      <c r="F803" s="10">
        <f>SUM(F799:F802)</f>
        <v>0</v>
      </c>
      <c r="G803" s="11">
        <f t="shared" ref="G803:J803" si="3660">SUM(G799:G802)</f>
        <v>0</v>
      </c>
      <c r="H803" s="11">
        <f t="shared" si="3660"/>
        <v>0</v>
      </c>
      <c r="I803" s="11">
        <f t="shared" si="3660"/>
        <v>0</v>
      </c>
      <c r="J803" s="11">
        <f t="shared" si="3660"/>
        <v>0</v>
      </c>
      <c r="K803" s="25">
        <f>SUM(K799:K802)</f>
        <v>0</v>
      </c>
      <c r="M803" s="10">
        <f>SUM(M799:M802)</f>
        <v>0</v>
      </c>
      <c r="N803" s="11">
        <f t="shared" ref="N803:Q803" si="3661">SUM(N799:N802)</f>
        <v>0</v>
      </c>
      <c r="O803" s="11">
        <f t="shared" si="3661"/>
        <v>0</v>
      </c>
      <c r="P803" s="11">
        <f t="shared" si="3661"/>
        <v>0</v>
      </c>
      <c r="Q803" s="11">
        <f t="shared" si="3661"/>
        <v>0</v>
      </c>
      <c r="R803" s="25">
        <f>SUM(R799:R802)</f>
        <v>0</v>
      </c>
      <c r="T803" s="10">
        <f>SUM(T799:T802)</f>
        <v>0</v>
      </c>
      <c r="U803" s="11">
        <f t="shared" ref="U803:X803" si="3662">SUM(U799:U802)</f>
        <v>0</v>
      </c>
      <c r="V803" s="11">
        <f t="shared" si="3662"/>
        <v>0</v>
      </c>
      <c r="W803" s="11">
        <f t="shared" si="3662"/>
        <v>0</v>
      </c>
      <c r="X803" s="11">
        <f t="shared" si="3662"/>
        <v>0</v>
      </c>
      <c r="Y803" s="25">
        <f>SUM(Y799:Y802)</f>
        <v>0</v>
      </c>
      <c r="AA803" s="10">
        <f>SUM(AA799:AA802)</f>
        <v>0</v>
      </c>
      <c r="AB803" s="11">
        <f t="shared" ref="AB803:AE803" si="3663">SUM(AB799:AB802)</f>
        <v>0</v>
      </c>
      <c r="AC803" s="11">
        <f t="shared" si="3663"/>
        <v>0</v>
      </c>
      <c r="AD803" s="11">
        <f t="shared" si="3663"/>
        <v>0</v>
      </c>
      <c r="AE803" s="11">
        <f t="shared" si="3663"/>
        <v>0</v>
      </c>
      <c r="AF803" s="25">
        <f>SUM(AF799:AF802)</f>
        <v>0</v>
      </c>
      <c r="AH803" s="10">
        <f t="shared" ref="AH803:AM803" si="3664">SUM(AH799:AH802)</f>
        <v>0</v>
      </c>
      <c r="AI803" s="11">
        <f t="shared" si="3664"/>
        <v>0</v>
      </c>
      <c r="AJ803" s="11">
        <f t="shared" si="3664"/>
        <v>0</v>
      </c>
      <c r="AK803" s="11">
        <f t="shared" si="3664"/>
        <v>0</v>
      </c>
      <c r="AL803" s="11">
        <f t="shared" si="3664"/>
        <v>0</v>
      </c>
      <c r="AM803" s="25">
        <f t="shared" si="3664"/>
        <v>0</v>
      </c>
      <c r="AO803" s="10">
        <f t="shared" ref="AO803:AT803" si="3665">SUM(AO799:AO802)</f>
        <v>0</v>
      </c>
      <c r="AP803" s="11">
        <f t="shared" si="3665"/>
        <v>0</v>
      </c>
      <c r="AQ803" s="11">
        <f t="shared" si="3665"/>
        <v>0</v>
      </c>
      <c r="AR803" s="11">
        <f t="shared" si="3665"/>
        <v>0</v>
      </c>
      <c r="AS803" s="11">
        <f t="shared" si="3665"/>
        <v>0</v>
      </c>
      <c r="AT803" s="25">
        <f t="shared" si="3665"/>
        <v>0</v>
      </c>
      <c r="AV803" s="10">
        <f t="shared" ref="AV803:BA803" si="3666">SUM(AV799:AV802)</f>
        <v>0</v>
      </c>
      <c r="AW803" s="11">
        <f t="shared" si="3666"/>
        <v>0</v>
      </c>
      <c r="AX803" s="11">
        <f t="shared" si="3666"/>
        <v>0</v>
      </c>
      <c r="AY803" s="11">
        <f t="shared" si="3666"/>
        <v>0</v>
      </c>
      <c r="AZ803" s="11">
        <f t="shared" si="3666"/>
        <v>0</v>
      </c>
      <c r="BA803" s="25">
        <f t="shared" si="3666"/>
        <v>0</v>
      </c>
      <c r="BC803" s="10">
        <f t="shared" ref="BC803:BH803" si="3667">SUM(BC799:BC802)</f>
        <v>0</v>
      </c>
      <c r="BD803" s="11">
        <f t="shared" si="3667"/>
        <v>0</v>
      </c>
      <c r="BE803" s="11">
        <f t="shared" si="3667"/>
        <v>0</v>
      </c>
      <c r="BF803" s="11">
        <f t="shared" si="3667"/>
        <v>0</v>
      </c>
      <c r="BG803" s="11">
        <f t="shared" si="3667"/>
        <v>0</v>
      </c>
      <c r="BH803" s="25">
        <f t="shared" si="3667"/>
        <v>0</v>
      </c>
      <c r="BJ803" s="10">
        <f t="shared" ref="BJ803:BO803" si="3668">SUM(BJ799:BJ802)</f>
        <v>0</v>
      </c>
      <c r="BK803" s="11">
        <f t="shared" si="3668"/>
        <v>0</v>
      </c>
      <c r="BL803" s="11">
        <f t="shared" si="3668"/>
        <v>0</v>
      </c>
      <c r="BM803" s="11">
        <f t="shared" si="3668"/>
        <v>0</v>
      </c>
      <c r="BN803" s="11">
        <f t="shared" si="3668"/>
        <v>0</v>
      </c>
      <c r="BO803" s="25">
        <f t="shared" si="3668"/>
        <v>0</v>
      </c>
      <c r="BQ803" s="10">
        <f t="shared" ref="BQ803:BV803" si="3669">SUM(BQ799:BQ802)</f>
        <v>0</v>
      </c>
      <c r="BR803" s="11">
        <f t="shared" si="3669"/>
        <v>0</v>
      </c>
      <c r="BS803" s="11">
        <f t="shared" si="3669"/>
        <v>0</v>
      </c>
      <c r="BT803" s="11">
        <f t="shared" si="3669"/>
        <v>0</v>
      </c>
      <c r="BU803" s="11">
        <f t="shared" si="3669"/>
        <v>0</v>
      </c>
      <c r="BV803" s="25">
        <f t="shared" si="3669"/>
        <v>0</v>
      </c>
      <c r="BX803" s="10">
        <f t="shared" ref="BX803:CC803" si="3670">SUM(BX799:BX802)</f>
        <v>0</v>
      </c>
      <c r="BY803" s="11">
        <f t="shared" si="3670"/>
        <v>0</v>
      </c>
      <c r="BZ803" s="11">
        <f t="shared" si="3670"/>
        <v>0</v>
      </c>
      <c r="CA803" s="11">
        <f t="shared" si="3670"/>
        <v>0</v>
      </c>
      <c r="CB803" s="11">
        <f t="shared" si="3670"/>
        <v>0</v>
      </c>
      <c r="CC803" s="25">
        <f t="shared" si="3670"/>
        <v>0</v>
      </c>
      <c r="CE803" s="62">
        <f t="shared" ref="CE803:CJ803" si="3671">SUM(CE799:CE802)</f>
        <v>0</v>
      </c>
      <c r="CF803" s="63">
        <f t="shared" si="3671"/>
        <v>0</v>
      </c>
      <c r="CG803" s="63">
        <f t="shared" si="3671"/>
        <v>0</v>
      </c>
      <c r="CH803" s="63">
        <f t="shared" si="3671"/>
        <v>0</v>
      </c>
      <c r="CI803" s="63">
        <f t="shared" si="3671"/>
        <v>0</v>
      </c>
      <c r="CJ803" s="25">
        <f t="shared" si="3671"/>
        <v>0</v>
      </c>
      <c r="CL803" s="10">
        <f>SUM(CL799:CL802)</f>
        <v>0</v>
      </c>
      <c r="CM803" s="11">
        <f t="shared" ref="CM803:CQ803" si="3672">SUM(CM799:CM802)</f>
        <v>0</v>
      </c>
      <c r="CN803" s="11">
        <f t="shared" si="3672"/>
        <v>0</v>
      </c>
      <c r="CO803" s="11">
        <f t="shared" si="3672"/>
        <v>0</v>
      </c>
      <c r="CP803" s="11">
        <f t="shared" si="3672"/>
        <v>0</v>
      </c>
      <c r="CQ803" s="25">
        <f t="shared" si="3672"/>
        <v>0</v>
      </c>
      <c r="CS803" s="10">
        <f>SUM(CS799:CS802)</f>
        <v>0</v>
      </c>
      <c r="CT803" s="11">
        <f t="shared" ref="CT803:CW803" si="3673">SUM(CT799:CT802)</f>
        <v>0</v>
      </c>
      <c r="CU803" s="11">
        <f t="shared" si="3673"/>
        <v>0</v>
      </c>
      <c r="CV803" s="11">
        <f t="shared" si="3673"/>
        <v>0</v>
      </c>
      <c r="CW803" s="11">
        <f t="shared" si="3673"/>
        <v>0</v>
      </c>
      <c r="CX803" s="25">
        <f>SUM(CX799:CX802)</f>
        <v>0</v>
      </c>
      <c r="CZ803" s="10">
        <f>SUM(CZ799:CZ802)</f>
        <v>0</v>
      </c>
      <c r="DA803" s="11">
        <f t="shared" ref="DA803:DD803" si="3674">SUM(DA799:DA802)</f>
        <v>0</v>
      </c>
      <c r="DB803" s="11">
        <f t="shared" si="3674"/>
        <v>0</v>
      </c>
      <c r="DC803" s="11">
        <f t="shared" si="3674"/>
        <v>0</v>
      </c>
      <c r="DD803" s="11">
        <f t="shared" si="3674"/>
        <v>0</v>
      </c>
      <c r="DE803" s="25">
        <f>SUM(DE799:DE802)</f>
        <v>0</v>
      </c>
    </row>
    <row r="805" spans="2:109">
      <c r="B805" s="123"/>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0"/>
      <c r="BX805" s="20"/>
      <c r="BY805" s="20"/>
      <c r="BZ805" s="20"/>
      <c r="CA805" s="20"/>
      <c r="CB805" s="20"/>
      <c r="CC805" s="20"/>
      <c r="CD805" s="20"/>
      <c r="CE805" s="20"/>
      <c r="CF805" s="20"/>
      <c r="CG805" s="20"/>
      <c r="CH805" s="20"/>
      <c r="CI805" s="20"/>
      <c r="CJ805" s="20"/>
      <c r="CL805" s="20"/>
      <c r="CM805" s="20"/>
      <c r="CN805" s="20"/>
      <c r="CO805" s="20"/>
      <c r="CP805" s="20"/>
      <c r="CQ805" s="20"/>
      <c r="CR805" s="20"/>
      <c r="CS805" s="20"/>
      <c r="CT805" s="20"/>
      <c r="CU805" s="20"/>
      <c r="CV805" s="20"/>
      <c r="CW805" s="20"/>
      <c r="CX805" s="20"/>
      <c r="CY805" s="20"/>
      <c r="CZ805" s="20"/>
      <c r="DA805" s="20"/>
      <c r="DB805" s="20"/>
      <c r="DC805" s="20"/>
      <c r="DD805" s="20"/>
      <c r="DE805" s="20"/>
    </row>
    <row r="806" spans="2:109" ht="14" thickBot="1">
      <c r="B806" s="94">
        <v>26</v>
      </c>
      <c r="C806" s="12" t="s">
        <v>87</v>
      </c>
    </row>
    <row r="807" spans="2:109">
      <c r="C807" s="553">
        <v>2024</v>
      </c>
      <c r="E807" s="1" t="s">
        <v>59</v>
      </c>
      <c r="F807" s="2"/>
      <c r="G807" s="3"/>
      <c r="H807" s="3"/>
      <c r="I807" s="3"/>
      <c r="J807" s="3"/>
      <c r="K807" s="4">
        <f>SUM(F807:J807)</f>
        <v>0</v>
      </c>
      <c r="M807" s="2"/>
      <c r="N807" s="3"/>
      <c r="O807" s="3"/>
      <c r="P807" s="3"/>
      <c r="Q807" s="3"/>
      <c r="R807" s="4">
        <f>SUM(M807:Q807)</f>
        <v>0</v>
      </c>
      <c r="T807" s="2"/>
      <c r="U807" s="3"/>
      <c r="V807" s="3"/>
      <c r="W807" s="3"/>
      <c r="X807" s="3"/>
      <c r="Y807" s="4">
        <f>SUM(T807:X807)</f>
        <v>0</v>
      </c>
      <c r="AA807" s="2"/>
      <c r="AB807" s="3"/>
      <c r="AC807" s="3"/>
      <c r="AD807" s="3"/>
      <c r="AE807" s="3"/>
      <c r="AF807" s="4">
        <f>SUM(AA807:AE807)</f>
        <v>0</v>
      </c>
      <c r="AH807" s="2"/>
      <c r="AI807" s="3"/>
      <c r="AJ807" s="3"/>
      <c r="AK807" s="3"/>
      <c r="AL807" s="3"/>
      <c r="AM807" s="4">
        <f>SUM(AH807:AL807)</f>
        <v>0</v>
      </c>
      <c r="AO807" s="2"/>
      <c r="AP807" s="3"/>
      <c r="AQ807" s="3"/>
      <c r="AR807" s="3"/>
      <c r="AS807" s="3"/>
      <c r="AT807" s="4">
        <f>SUM(AO807:AS807)</f>
        <v>0</v>
      </c>
      <c r="AV807" s="2"/>
      <c r="AW807" s="3"/>
      <c r="AX807" s="3"/>
      <c r="AY807" s="3"/>
      <c r="AZ807" s="3"/>
      <c r="BA807" s="4">
        <f>SUM(AV807:AZ807)</f>
        <v>0</v>
      </c>
      <c r="BC807" s="2"/>
      <c r="BD807" s="3"/>
      <c r="BE807" s="3"/>
      <c r="BF807" s="3"/>
      <c r="BG807" s="3"/>
      <c r="BH807" s="4">
        <f>SUM(BC807:BG807)</f>
        <v>0</v>
      </c>
      <c r="BJ807" s="2"/>
      <c r="BK807" s="3"/>
      <c r="BL807" s="3"/>
      <c r="BM807" s="3"/>
      <c r="BN807" s="3"/>
      <c r="BO807" s="4">
        <f>SUM(BJ807:BN807)</f>
        <v>0</v>
      </c>
      <c r="BQ807" s="2"/>
      <c r="BR807" s="3"/>
      <c r="BS807" s="3"/>
      <c r="BT807" s="3"/>
      <c r="BU807" s="3"/>
      <c r="BV807" s="4">
        <f>SUM(BQ807:BU807)</f>
        <v>0</v>
      </c>
      <c r="BX807" s="2"/>
      <c r="BY807" s="3"/>
      <c r="BZ807" s="3"/>
      <c r="CA807" s="3"/>
      <c r="CB807" s="3"/>
      <c r="CC807" s="4">
        <f>SUM(BX807:CB807)</f>
        <v>0</v>
      </c>
      <c r="CE807" s="26">
        <f t="shared" ref="CE807:CE810" si="3675">F807+M807+T807+AA807+AH807+AO807+AV807+BC807+BJ807+BQ807+BX807</f>
        <v>0</v>
      </c>
      <c r="CF807" s="27">
        <f t="shared" ref="CF807:CF810" si="3676">G807+N807+U807+AB807+AI807+AP807+AW807+BD807+BK807+BR807+BY807</f>
        <v>0</v>
      </c>
      <c r="CG807" s="27">
        <f t="shared" ref="CG807:CG810" si="3677">H807+O807+V807+AC807+AJ807+AQ807+AX807+BE807+BL807+BS807+BZ807</f>
        <v>0</v>
      </c>
      <c r="CH807" s="27">
        <f t="shared" ref="CH807:CH810" si="3678">I807+P807+W807+AD807+AK807+AR807+AY807+BF807+BM807+BT807+CA807</f>
        <v>0</v>
      </c>
      <c r="CI807" s="27">
        <f t="shared" ref="CI807:CI810" si="3679">J807+Q807+X807+AE807+AL807+AS807+AZ807+BG807+BN807+BU807+CB807</f>
        <v>0</v>
      </c>
      <c r="CJ807" s="4">
        <f>SUM(CE807:CI807)</f>
        <v>0</v>
      </c>
      <c r="CL807" s="2"/>
      <c r="CM807" s="3"/>
      <c r="CN807" s="3"/>
      <c r="CO807" s="3"/>
      <c r="CP807" s="3"/>
      <c r="CQ807" s="4">
        <f>SUM(CL807:CP807)</f>
        <v>0</v>
      </c>
      <c r="CS807" s="2"/>
      <c r="CT807" s="3"/>
      <c r="CU807" s="3"/>
      <c r="CV807" s="3"/>
      <c r="CW807" s="3"/>
      <c r="CX807" s="4">
        <f>SUM(CS807:CW807)</f>
        <v>0</v>
      </c>
      <c r="CZ807" s="2"/>
      <c r="DA807" s="3"/>
      <c r="DB807" s="3"/>
      <c r="DC807" s="3"/>
      <c r="DD807" s="3"/>
      <c r="DE807" s="4">
        <f>SUM(CZ807:DD807)</f>
        <v>0</v>
      </c>
    </row>
    <row r="808" spans="2:109">
      <c r="C808" s="567"/>
      <c r="E808" s="5" t="s">
        <v>60</v>
      </c>
      <c r="F808" s="6"/>
      <c r="G808" s="7"/>
      <c r="H808" s="7"/>
      <c r="I808" s="7"/>
      <c r="J808" s="7"/>
      <c r="K808" s="8">
        <f t="shared" ref="K808:K810" si="3680">SUM(F808:J808)</f>
        <v>0</v>
      </c>
      <c r="M808" s="6"/>
      <c r="N808" s="7"/>
      <c r="O808" s="7"/>
      <c r="P808" s="7"/>
      <c r="Q808" s="7"/>
      <c r="R808" s="8">
        <f t="shared" ref="R808:R810" si="3681">SUM(M808:Q808)</f>
        <v>0</v>
      </c>
      <c r="T808" s="6"/>
      <c r="U808" s="7"/>
      <c r="V808" s="7"/>
      <c r="W808" s="7"/>
      <c r="X808" s="7"/>
      <c r="Y808" s="8">
        <f t="shared" ref="Y808:Y810" si="3682">SUM(T808:X808)</f>
        <v>0</v>
      </c>
      <c r="AA808" s="6"/>
      <c r="AB808" s="7"/>
      <c r="AC808" s="7"/>
      <c r="AD808" s="7"/>
      <c r="AE808" s="7"/>
      <c r="AF808" s="8">
        <f>SUM(AA808:AE808)</f>
        <v>0</v>
      </c>
      <c r="AH808" s="6"/>
      <c r="AI808" s="7"/>
      <c r="AJ808" s="7"/>
      <c r="AK808" s="7"/>
      <c r="AL808" s="7"/>
      <c r="AM808" s="8">
        <f>SUM(AH808:AL808)</f>
        <v>0</v>
      </c>
      <c r="AO808" s="6"/>
      <c r="AP808" s="7"/>
      <c r="AQ808" s="7"/>
      <c r="AR808" s="7"/>
      <c r="AS808" s="7"/>
      <c r="AT808" s="8">
        <f>SUM(AO808:AS808)</f>
        <v>0</v>
      </c>
      <c r="AV808" s="6"/>
      <c r="AW808" s="7"/>
      <c r="AX808" s="7"/>
      <c r="AY808" s="7"/>
      <c r="AZ808" s="7"/>
      <c r="BA808" s="8">
        <f>SUM(AV808:AZ808)</f>
        <v>0</v>
      </c>
      <c r="BC808" s="6"/>
      <c r="BD808" s="7"/>
      <c r="BE808" s="7"/>
      <c r="BF808" s="7"/>
      <c r="BG808" s="7"/>
      <c r="BH808" s="8">
        <f>SUM(BC808:BG808)</f>
        <v>0</v>
      </c>
      <c r="BJ808" s="6"/>
      <c r="BK808" s="7"/>
      <c r="BL808" s="7"/>
      <c r="BM808" s="7"/>
      <c r="BN808" s="7"/>
      <c r="BO808" s="8">
        <f>SUM(BJ808:BN808)</f>
        <v>0</v>
      </c>
      <c r="BQ808" s="6"/>
      <c r="BR808" s="7"/>
      <c r="BS808" s="7"/>
      <c r="BT808" s="7"/>
      <c r="BU808" s="7"/>
      <c r="BV808" s="8">
        <f>SUM(BQ808:BU808)</f>
        <v>0</v>
      </c>
      <c r="BX808" s="6"/>
      <c r="BY808" s="7"/>
      <c r="BZ808" s="7"/>
      <c r="CA808" s="7"/>
      <c r="CB808" s="7"/>
      <c r="CC808" s="8">
        <f>SUM(BX808:CB808)</f>
        <v>0</v>
      </c>
      <c r="CE808" s="28">
        <f t="shared" si="3675"/>
        <v>0</v>
      </c>
      <c r="CF808" s="29">
        <f t="shared" si="3676"/>
        <v>0</v>
      </c>
      <c r="CG808" s="29">
        <f t="shared" si="3677"/>
        <v>0</v>
      </c>
      <c r="CH808" s="29">
        <f t="shared" si="3678"/>
        <v>0</v>
      </c>
      <c r="CI808" s="29">
        <f t="shared" si="3679"/>
        <v>0</v>
      </c>
      <c r="CJ808" s="8">
        <f>SUM(CE808:CI808)</f>
        <v>0</v>
      </c>
      <c r="CL808" s="6"/>
      <c r="CM808" s="7"/>
      <c r="CN808" s="7"/>
      <c r="CO808" s="7"/>
      <c r="CP808" s="7"/>
      <c r="CQ808" s="8">
        <f>SUM(CL808:CP808)</f>
        <v>0</v>
      </c>
      <c r="CS808" s="6"/>
      <c r="CT808" s="7"/>
      <c r="CU808" s="7"/>
      <c r="CV808" s="7"/>
      <c r="CW808" s="7"/>
      <c r="CX808" s="8">
        <f t="shared" ref="CX808:CX810" si="3683">SUM(CS808:CW808)</f>
        <v>0</v>
      </c>
      <c r="CZ808" s="6"/>
      <c r="DA808" s="7"/>
      <c r="DB808" s="7"/>
      <c r="DC808" s="7"/>
      <c r="DD808" s="7"/>
      <c r="DE808" s="8">
        <f t="shared" ref="DE808:DE810" si="3684">SUM(CZ808:DD808)</f>
        <v>0</v>
      </c>
    </row>
    <row r="809" spans="2:109">
      <c r="C809" s="567"/>
      <c r="E809" s="5" t="s">
        <v>61</v>
      </c>
      <c r="F809" s="6"/>
      <c r="G809" s="7"/>
      <c r="H809" s="7"/>
      <c r="I809" s="7"/>
      <c r="J809" s="7"/>
      <c r="K809" s="8">
        <f t="shared" si="3680"/>
        <v>0</v>
      </c>
      <c r="M809" s="6"/>
      <c r="N809" s="7"/>
      <c r="O809" s="7"/>
      <c r="P809" s="7"/>
      <c r="Q809" s="7"/>
      <c r="R809" s="8">
        <f t="shared" si="3681"/>
        <v>0</v>
      </c>
      <c r="T809" s="6"/>
      <c r="U809" s="7"/>
      <c r="V809" s="7"/>
      <c r="W809" s="7"/>
      <c r="X809" s="7"/>
      <c r="Y809" s="8">
        <f t="shared" si="3682"/>
        <v>0</v>
      </c>
      <c r="AA809" s="6"/>
      <c r="AB809" s="7"/>
      <c r="AC809" s="7"/>
      <c r="AD809" s="7"/>
      <c r="AE809" s="7"/>
      <c r="AF809" s="8">
        <f>SUM(AA809:AE809)</f>
        <v>0</v>
      </c>
      <c r="AH809" s="6"/>
      <c r="AI809" s="7"/>
      <c r="AJ809" s="7"/>
      <c r="AK809" s="7"/>
      <c r="AL809" s="7"/>
      <c r="AM809" s="8">
        <f>SUM(AH809:AL809)</f>
        <v>0</v>
      </c>
      <c r="AO809" s="6"/>
      <c r="AP809" s="7"/>
      <c r="AQ809" s="7"/>
      <c r="AR809" s="7"/>
      <c r="AS809" s="7"/>
      <c r="AT809" s="8">
        <f>SUM(AO809:AS809)</f>
        <v>0</v>
      </c>
      <c r="AV809" s="6"/>
      <c r="AW809" s="7"/>
      <c r="AX809" s="7"/>
      <c r="AY809" s="7"/>
      <c r="AZ809" s="7"/>
      <c r="BA809" s="8">
        <f>SUM(AV809:AZ809)</f>
        <v>0</v>
      </c>
      <c r="BC809" s="6"/>
      <c r="BD809" s="7"/>
      <c r="BE809" s="7"/>
      <c r="BF809" s="7"/>
      <c r="BG809" s="7"/>
      <c r="BH809" s="8">
        <f>SUM(BC809:BG809)</f>
        <v>0</v>
      </c>
      <c r="BJ809" s="6"/>
      <c r="BK809" s="7"/>
      <c r="BL809" s="7"/>
      <c r="BM809" s="7"/>
      <c r="BN809" s="7"/>
      <c r="BO809" s="8">
        <f>SUM(BJ809:BN809)</f>
        <v>0</v>
      </c>
      <c r="BQ809" s="6"/>
      <c r="BR809" s="7"/>
      <c r="BS809" s="7"/>
      <c r="BT809" s="7"/>
      <c r="BU809" s="7"/>
      <c r="BV809" s="8">
        <f>SUM(BQ809:BU809)</f>
        <v>0</v>
      </c>
      <c r="BX809" s="6"/>
      <c r="BY809" s="7"/>
      <c r="BZ809" s="7"/>
      <c r="CA809" s="7"/>
      <c r="CB809" s="7"/>
      <c r="CC809" s="8">
        <f>SUM(BX809:CB809)</f>
        <v>0</v>
      </c>
      <c r="CE809" s="28">
        <f t="shared" si="3675"/>
        <v>0</v>
      </c>
      <c r="CF809" s="29">
        <f t="shared" si="3676"/>
        <v>0</v>
      </c>
      <c r="CG809" s="29">
        <f t="shared" si="3677"/>
        <v>0</v>
      </c>
      <c r="CH809" s="29">
        <f t="shared" si="3678"/>
        <v>0</v>
      </c>
      <c r="CI809" s="29">
        <f t="shared" si="3679"/>
        <v>0</v>
      </c>
      <c r="CJ809" s="8">
        <f>SUM(CE809:CI809)</f>
        <v>0</v>
      </c>
      <c r="CL809" s="6"/>
      <c r="CM809" s="7"/>
      <c r="CN809" s="7"/>
      <c r="CO809" s="7"/>
      <c r="CP809" s="7"/>
      <c r="CQ809" s="8">
        <f>SUM(CL809:CP809)</f>
        <v>0</v>
      </c>
      <c r="CS809" s="6"/>
      <c r="CT809" s="7"/>
      <c r="CU809" s="7"/>
      <c r="CV809" s="7"/>
      <c r="CW809" s="7"/>
      <c r="CX809" s="8">
        <f t="shared" si="3683"/>
        <v>0</v>
      </c>
      <c r="CZ809" s="6"/>
      <c r="DA809" s="7"/>
      <c r="DB809" s="7"/>
      <c r="DC809" s="7"/>
      <c r="DD809" s="7"/>
      <c r="DE809" s="8">
        <f t="shared" si="3684"/>
        <v>0</v>
      </c>
    </row>
    <row r="810" spans="2:109" ht="14" thickBot="1">
      <c r="C810" s="567"/>
      <c r="E810" s="5" t="s">
        <v>62</v>
      </c>
      <c r="F810" s="6"/>
      <c r="G810" s="7"/>
      <c r="H810" s="7"/>
      <c r="I810" s="7"/>
      <c r="J810" s="7"/>
      <c r="K810" s="8">
        <f t="shared" si="3680"/>
        <v>0</v>
      </c>
      <c r="M810" s="6"/>
      <c r="N810" s="7"/>
      <c r="O810" s="7"/>
      <c r="P810" s="7"/>
      <c r="Q810" s="7"/>
      <c r="R810" s="8">
        <f t="shared" si="3681"/>
        <v>0</v>
      </c>
      <c r="T810" s="6"/>
      <c r="U810" s="7"/>
      <c r="V810" s="7"/>
      <c r="W810" s="7"/>
      <c r="X810" s="7"/>
      <c r="Y810" s="8">
        <f t="shared" si="3682"/>
        <v>0</v>
      </c>
      <c r="AA810" s="6"/>
      <c r="AB810" s="7"/>
      <c r="AC810" s="7"/>
      <c r="AD810" s="7"/>
      <c r="AE810" s="7"/>
      <c r="AF810" s="8">
        <f>SUM(AA810:AE810)</f>
        <v>0</v>
      </c>
      <c r="AH810" s="6"/>
      <c r="AI810" s="7"/>
      <c r="AJ810" s="7"/>
      <c r="AK810" s="7"/>
      <c r="AL810" s="7"/>
      <c r="AM810" s="8">
        <f>SUM(AH810:AL810)</f>
        <v>0</v>
      </c>
      <c r="AO810" s="6"/>
      <c r="AP810" s="7"/>
      <c r="AQ810" s="7"/>
      <c r="AR810" s="7"/>
      <c r="AS810" s="7"/>
      <c r="AT810" s="8">
        <f>SUM(AO810:AS810)</f>
        <v>0</v>
      </c>
      <c r="AV810" s="6"/>
      <c r="AW810" s="7"/>
      <c r="AX810" s="7"/>
      <c r="AY810" s="7"/>
      <c r="AZ810" s="7"/>
      <c r="BA810" s="8">
        <f>SUM(AV810:AZ810)</f>
        <v>0</v>
      </c>
      <c r="BC810" s="6"/>
      <c r="BD810" s="7"/>
      <c r="BE810" s="7"/>
      <c r="BF810" s="7"/>
      <c r="BG810" s="7"/>
      <c r="BH810" s="8">
        <f>SUM(BC810:BG810)</f>
        <v>0</v>
      </c>
      <c r="BJ810" s="6"/>
      <c r="BK810" s="7"/>
      <c r="BL810" s="7"/>
      <c r="BM810" s="7"/>
      <c r="BN810" s="7"/>
      <c r="BO810" s="8">
        <f>SUM(BJ810:BN810)</f>
        <v>0</v>
      </c>
      <c r="BQ810" s="6"/>
      <c r="BR810" s="7"/>
      <c r="BS810" s="7"/>
      <c r="BT810" s="7"/>
      <c r="BU810" s="7"/>
      <c r="BV810" s="8">
        <f>SUM(BQ810:BU810)</f>
        <v>0</v>
      </c>
      <c r="BX810" s="6"/>
      <c r="BY810" s="7"/>
      <c r="BZ810" s="7"/>
      <c r="CA810" s="7"/>
      <c r="CB810" s="7"/>
      <c r="CC810" s="8">
        <f>SUM(BX810:CB810)</f>
        <v>0</v>
      </c>
      <c r="CE810" s="493">
        <f t="shared" si="3675"/>
        <v>0</v>
      </c>
      <c r="CF810" s="494">
        <f t="shared" si="3676"/>
        <v>0</v>
      </c>
      <c r="CG810" s="494">
        <f t="shared" si="3677"/>
        <v>0</v>
      </c>
      <c r="CH810" s="494">
        <f t="shared" si="3678"/>
        <v>0</v>
      </c>
      <c r="CI810" s="494">
        <f t="shared" si="3679"/>
        <v>0</v>
      </c>
      <c r="CJ810" s="495">
        <f>SUM(CE810:CI810)</f>
        <v>0</v>
      </c>
      <c r="CL810" s="6"/>
      <c r="CM810" s="7"/>
      <c r="CN810" s="7"/>
      <c r="CO810" s="7"/>
      <c r="CP810" s="7"/>
      <c r="CQ810" s="8">
        <f>SUM(CL810:CP810)</f>
        <v>0</v>
      </c>
      <c r="CS810" s="6"/>
      <c r="CT810" s="7"/>
      <c r="CU810" s="7"/>
      <c r="CV810" s="7"/>
      <c r="CW810" s="7"/>
      <c r="CX810" s="8">
        <f t="shared" si="3683"/>
        <v>0</v>
      </c>
      <c r="CZ810" s="6"/>
      <c r="DA810" s="7"/>
      <c r="DB810" s="7"/>
      <c r="DC810" s="7"/>
      <c r="DD810" s="7"/>
      <c r="DE810" s="8">
        <f t="shared" si="3684"/>
        <v>0</v>
      </c>
    </row>
    <row r="811" spans="2:109" ht="14" thickBot="1">
      <c r="C811" s="554"/>
      <c r="E811" s="9"/>
      <c r="F811" s="10">
        <f>SUM(F807:F810)</f>
        <v>0</v>
      </c>
      <c r="G811" s="11">
        <f t="shared" ref="G811:J811" si="3685">SUM(G807:G810)</f>
        <v>0</v>
      </c>
      <c r="H811" s="11">
        <f t="shared" si="3685"/>
        <v>0</v>
      </c>
      <c r="I811" s="11">
        <f t="shared" si="3685"/>
        <v>0</v>
      </c>
      <c r="J811" s="61">
        <f t="shared" si="3685"/>
        <v>0</v>
      </c>
      <c r="K811" s="25">
        <f>SUM(K807:K810)</f>
        <v>0</v>
      </c>
      <c r="M811" s="10">
        <f>SUM(M807:M810)</f>
        <v>0</v>
      </c>
      <c r="N811" s="11">
        <f t="shared" ref="N811:Q811" si="3686">SUM(N807:N810)</f>
        <v>0</v>
      </c>
      <c r="O811" s="11">
        <f t="shared" si="3686"/>
        <v>0</v>
      </c>
      <c r="P811" s="11">
        <f t="shared" si="3686"/>
        <v>0</v>
      </c>
      <c r="Q811" s="11">
        <f t="shared" si="3686"/>
        <v>0</v>
      </c>
      <c r="R811" s="25">
        <f>SUM(R807:R810)</f>
        <v>0</v>
      </c>
      <c r="T811" s="10">
        <f>SUM(T807:T810)</f>
        <v>0</v>
      </c>
      <c r="U811" s="11">
        <f t="shared" ref="U811:X811" si="3687">SUM(U807:U810)</f>
        <v>0</v>
      </c>
      <c r="V811" s="11">
        <f t="shared" si="3687"/>
        <v>0</v>
      </c>
      <c r="W811" s="11">
        <f t="shared" si="3687"/>
        <v>0</v>
      </c>
      <c r="X811" s="11">
        <f t="shared" si="3687"/>
        <v>0</v>
      </c>
      <c r="Y811" s="25">
        <f>SUM(Y807:Y810)</f>
        <v>0</v>
      </c>
      <c r="AA811" s="10">
        <f>SUM(AA807:AA810)</f>
        <v>0</v>
      </c>
      <c r="AB811" s="11">
        <f t="shared" ref="AB811:AE811" si="3688">SUM(AB807:AB810)</f>
        <v>0</v>
      </c>
      <c r="AC811" s="11">
        <f t="shared" si="3688"/>
        <v>0</v>
      </c>
      <c r="AD811" s="11">
        <f t="shared" si="3688"/>
        <v>0</v>
      </c>
      <c r="AE811" s="11">
        <f t="shared" si="3688"/>
        <v>0</v>
      </c>
      <c r="AF811" s="25">
        <f>SUM(AF807:AF810)</f>
        <v>0</v>
      </c>
      <c r="AH811" s="10">
        <f t="shared" ref="AH811:AM811" si="3689">SUM(AH807:AH810)</f>
        <v>0</v>
      </c>
      <c r="AI811" s="11">
        <f t="shared" si="3689"/>
        <v>0</v>
      </c>
      <c r="AJ811" s="11">
        <f t="shared" si="3689"/>
        <v>0</v>
      </c>
      <c r="AK811" s="11">
        <f t="shared" si="3689"/>
        <v>0</v>
      </c>
      <c r="AL811" s="11">
        <f t="shared" si="3689"/>
        <v>0</v>
      </c>
      <c r="AM811" s="25">
        <f t="shared" si="3689"/>
        <v>0</v>
      </c>
      <c r="AO811" s="10">
        <f t="shared" ref="AO811:AT811" si="3690">SUM(AO807:AO810)</f>
        <v>0</v>
      </c>
      <c r="AP811" s="11">
        <f t="shared" si="3690"/>
        <v>0</v>
      </c>
      <c r="AQ811" s="11">
        <f t="shared" si="3690"/>
        <v>0</v>
      </c>
      <c r="AR811" s="11">
        <f t="shared" si="3690"/>
        <v>0</v>
      </c>
      <c r="AS811" s="11">
        <f t="shared" si="3690"/>
        <v>0</v>
      </c>
      <c r="AT811" s="25">
        <f t="shared" si="3690"/>
        <v>0</v>
      </c>
      <c r="AV811" s="10">
        <f t="shared" ref="AV811:BA811" si="3691">SUM(AV807:AV810)</f>
        <v>0</v>
      </c>
      <c r="AW811" s="11">
        <f t="shared" si="3691"/>
        <v>0</v>
      </c>
      <c r="AX811" s="11">
        <f t="shared" si="3691"/>
        <v>0</v>
      </c>
      <c r="AY811" s="11">
        <f t="shared" si="3691"/>
        <v>0</v>
      </c>
      <c r="AZ811" s="11">
        <f t="shared" si="3691"/>
        <v>0</v>
      </c>
      <c r="BA811" s="25">
        <f t="shared" si="3691"/>
        <v>0</v>
      </c>
      <c r="BC811" s="10">
        <f t="shared" ref="BC811:BH811" si="3692">SUM(BC807:BC810)</f>
        <v>0</v>
      </c>
      <c r="BD811" s="11">
        <f t="shared" si="3692"/>
        <v>0</v>
      </c>
      <c r="BE811" s="11">
        <f t="shared" si="3692"/>
        <v>0</v>
      </c>
      <c r="BF811" s="11">
        <f t="shared" si="3692"/>
        <v>0</v>
      </c>
      <c r="BG811" s="11">
        <f t="shared" si="3692"/>
        <v>0</v>
      </c>
      <c r="BH811" s="25">
        <f t="shared" si="3692"/>
        <v>0</v>
      </c>
      <c r="BJ811" s="10">
        <f t="shared" ref="BJ811:BO811" si="3693">SUM(BJ807:BJ810)</f>
        <v>0</v>
      </c>
      <c r="BK811" s="11">
        <f t="shared" si="3693"/>
        <v>0</v>
      </c>
      <c r="BL811" s="11">
        <f t="shared" si="3693"/>
        <v>0</v>
      </c>
      <c r="BM811" s="11">
        <f t="shared" si="3693"/>
        <v>0</v>
      </c>
      <c r="BN811" s="11">
        <f t="shared" si="3693"/>
        <v>0</v>
      </c>
      <c r="BO811" s="25">
        <f t="shared" si="3693"/>
        <v>0</v>
      </c>
      <c r="BQ811" s="10">
        <f t="shared" ref="BQ811:BV811" si="3694">SUM(BQ807:BQ810)</f>
        <v>0</v>
      </c>
      <c r="BR811" s="11">
        <f t="shared" si="3694"/>
        <v>0</v>
      </c>
      <c r="BS811" s="11">
        <f t="shared" si="3694"/>
        <v>0</v>
      </c>
      <c r="BT811" s="11">
        <f t="shared" si="3694"/>
        <v>0</v>
      </c>
      <c r="BU811" s="11">
        <f t="shared" si="3694"/>
        <v>0</v>
      </c>
      <c r="BV811" s="25">
        <f t="shared" si="3694"/>
        <v>0</v>
      </c>
      <c r="BX811" s="10">
        <f t="shared" ref="BX811:CC811" si="3695">SUM(BX807:BX810)</f>
        <v>0</v>
      </c>
      <c r="BY811" s="11">
        <f t="shared" si="3695"/>
        <v>0</v>
      </c>
      <c r="BZ811" s="11">
        <f t="shared" si="3695"/>
        <v>0</v>
      </c>
      <c r="CA811" s="11">
        <f t="shared" si="3695"/>
        <v>0</v>
      </c>
      <c r="CB811" s="11">
        <f t="shared" si="3695"/>
        <v>0</v>
      </c>
      <c r="CC811" s="25">
        <f t="shared" si="3695"/>
        <v>0</v>
      </c>
      <c r="CE811" s="62">
        <f t="shared" ref="CE811:CJ811" si="3696">SUM(CE807:CE810)</f>
        <v>0</v>
      </c>
      <c r="CF811" s="63">
        <f t="shared" si="3696"/>
        <v>0</v>
      </c>
      <c r="CG811" s="63">
        <f t="shared" si="3696"/>
        <v>0</v>
      </c>
      <c r="CH811" s="63">
        <f t="shared" si="3696"/>
        <v>0</v>
      </c>
      <c r="CI811" s="63">
        <f t="shared" si="3696"/>
        <v>0</v>
      </c>
      <c r="CJ811" s="25">
        <f t="shared" si="3696"/>
        <v>0</v>
      </c>
      <c r="CL811" s="10">
        <f>SUM(CL807:CL810)</f>
        <v>0</v>
      </c>
      <c r="CM811" s="11">
        <f t="shared" ref="CM811:CQ811" si="3697">SUM(CM807:CM810)</f>
        <v>0</v>
      </c>
      <c r="CN811" s="11">
        <f t="shared" si="3697"/>
        <v>0</v>
      </c>
      <c r="CO811" s="11">
        <f t="shared" si="3697"/>
        <v>0</v>
      </c>
      <c r="CP811" s="11">
        <f t="shared" si="3697"/>
        <v>0</v>
      </c>
      <c r="CQ811" s="25">
        <f t="shared" si="3697"/>
        <v>0</v>
      </c>
      <c r="CS811" s="10">
        <f>SUM(CS807:CS810)</f>
        <v>0</v>
      </c>
      <c r="CT811" s="11">
        <f t="shared" ref="CT811:CW811" si="3698">SUM(CT807:CT810)</f>
        <v>0</v>
      </c>
      <c r="CU811" s="11">
        <f t="shared" si="3698"/>
        <v>0</v>
      </c>
      <c r="CV811" s="11">
        <f t="shared" si="3698"/>
        <v>0</v>
      </c>
      <c r="CW811" s="11">
        <f t="shared" si="3698"/>
        <v>0</v>
      </c>
      <c r="CX811" s="25">
        <f>SUM(CX807:CX810)</f>
        <v>0</v>
      </c>
      <c r="CZ811" s="10">
        <f>SUM(CZ807:CZ810)</f>
        <v>0</v>
      </c>
      <c r="DA811" s="11">
        <f t="shared" ref="DA811:DD811" si="3699">SUM(DA807:DA810)</f>
        <v>0</v>
      </c>
      <c r="DB811" s="11">
        <f t="shared" si="3699"/>
        <v>0</v>
      </c>
      <c r="DC811" s="11">
        <f t="shared" si="3699"/>
        <v>0</v>
      </c>
      <c r="DD811" s="11">
        <f t="shared" si="3699"/>
        <v>0</v>
      </c>
      <c r="DE811" s="25">
        <f>SUM(DE807:DE810)</f>
        <v>0</v>
      </c>
    </row>
    <row r="812" spans="2:109" ht="10.4" customHeight="1" thickBot="1"/>
    <row r="813" spans="2:109">
      <c r="C813" s="553">
        <v>2025</v>
      </c>
      <c r="E813" s="13" t="s">
        <v>59</v>
      </c>
      <c r="F813" s="21">
        <f>CE807</f>
        <v>0</v>
      </c>
      <c r="G813" s="22">
        <f t="shared" ref="G813:G816" si="3700">CF807</f>
        <v>0</v>
      </c>
      <c r="H813" s="22">
        <f t="shared" ref="H813:H816" si="3701">CG807</f>
        <v>0</v>
      </c>
      <c r="I813" s="22">
        <f t="shared" ref="I813:I816" si="3702">CH807</f>
        <v>0</v>
      </c>
      <c r="J813" s="22">
        <f t="shared" ref="J813:J816" si="3703">CI807</f>
        <v>0</v>
      </c>
      <c r="K813" s="15">
        <f>SUM(F813:J813)</f>
        <v>0</v>
      </c>
      <c r="M813" s="2"/>
      <c r="N813" s="3"/>
      <c r="O813" s="3"/>
      <c r="P813" s="3"/>
      <c r="Q813" s="3"/>
      <c r="R813" s="15">
        <f>SUM(M813:Q813)</f>
        <v>0</v>
      </c>
      <c r="T813" s="2"/>
      <c r="U813" s="3"/>
      <c r="V813" s="3"/>
      <c r="W813" s="3"/>
      <c r="X813" s="3"/>
      <c r="Y813" s="15">
        <f>SUM(T813:X813)</f>
        <v>0</v>
      </c>
      <c r="AA813" s="2"/>
      <c r="AB813" s="3"/>
      <c r="AC813" s="3"/>
      <c r="AD813" s="3"/>
      <c r="AE813" s="3"/>
      <c r="AF813" s="15">
        <f>SUM(AA813:AE813)</f>
        <v>0</v>
      </c>
      <c r="AH813" s="2"/>
      <c r="AI813" s="3"/>
      <c r="AJ813" s="3"/>
      <c r="AK813" s="3"/>
      <c r="AL813" s="3"/>
      <c r="AM813" s="15">
        <f>SUM(AH813:AL813)</f>
        <v>0</v>
      </c>
      <c r="AO813" s="2"/>
      <c r="AP813" s="3"/>
      <c r="AQ813" s="3"/>
      <c r="AR813" s="3"/>
      <c r="AS813" s="3"/>
      <c r="AT813" s="15">
        <f>SUM(AO813:AS813)</f>
        <v>0</v>
      </c>
      <c r="AV813" s="2"/>
      <c r="AW813" s="3"/>
      <c r="AX813" s="3"/>
      <c r="AY813" s="3"/>
      <c r="AZ813" s="3"/>
      <c r="BA813" s="15">
        <f>SUM(AV813:AZ813)</f>
        <v>0</v>
      </c>
      <c r="BC813" s="2"/>
      <c r="BD813" s="3"/>
      <c r="BE813" s="3"/>
      <c r="BF813" s="3"/>
      <c r="BG813" s="3"/>
      <c r="BH813" s="15">
        <f>SUM(BC813:BG813)</f>
        <v>0</v>
      </c>
      <c r="BJ813" s="2"/>
      <c r="BK813" s="3"/>
      <c r="BL813" s="3"/>
      <c r="BM813" s="3"/>
      <c r="BN813" s="3"/>
      <c r="BO813" s="15">
        <f>SUM(BJ813:BN813)</f>
        <v>0</v>
      </c>
      <c r="BQ813" s="2"/>
      <c r="BR813" s="3"/>
      <c r="BS813" s="3"/>
      <c r="BT813" s="3"/>
      <c r="BU813" s="3"/>
      <c r="BV813" s="15">
        <f>SUM(BQ813:BU813)</f>
        <v>0</v>
      </c>
      <c r="BX813" s="2"/>
      <c r="BY813" s="3"/>
      <c r="BZ813" s="3"/>
      <c r="CA813" s="3"/>
      <c r="CB813" s="3"/>
      <c r="CC813" s="15">
        <f>SUM(BX813:CB813)</f>
        <v>0</v>
      </c>
      <c r="CE813" s="26">
        <f t="shared" ref="CE813:CE816" si="3704">F813+M813+T813+AA813+AH813+AO813+AV813+BC813+BJ813+BQ813+BX813</f>
        <v>0</v>
      </c>
      <c r="CF813" s="27">
        <f t="shared" ref="CF813:CF816" si="3705">G813+N813+U813+AB813+AI813+AP813+AW813+BD813+BK813+BR813+BY813</f>
        <v>0</v>
      </c>
      <c r="CG813" s="27">
        <f t="shared" ref="CG813:CG816" si="3706">H813+O813+V813+AC813+AJ813+AQ813+AX813+BE813+BL813+BS813+BZ813</f>
        <v>0</v>
      </c>
      <c r="CH813" s="27">
        <f t="shared" ref="CH813:CH816" si="3707">I813+P813+W813+AD813+AK813+AR813+AY813+BF813+BM813+BT813+CA813</f>
        <v>0</v>
      </c>
      <c r="CI813" s="27">
        <f t="shared" ref="CI813:CI816" si="3708">J813+Q813+X813+AE813+AL813+AS813+AZ813+BG813+BN813+BU813+CB813</f>
        <v>0</v>
      </c>
      <c r="CJ813" s="4">
        <f>SUM(CE813:CI813)</f>
        <v>0</v>
      </c>
      <c r="CL813" s="2"/>
      <c r="CM813" s="3"/>
      <c r="CN813" s="3"/>
      <c r="CO813" s="3"/>
      <c r="CP813" s="3"/>
      <c r="CQ813" s="15">
        <f>SUM(CL813:CP813)</f>
        <v>0</v>
      </c>
      <c r="CS813" s="2"/>
      <c r="CT813" s="3"/>
      <c r="CU813" s="3"/>
      <c r="CV813" s="3"/>
      <c r="CW813" s="3"/>
      <c r="CX813" s="4">
        <f>SUM(CS813:CW813)</f>
        <v>0</v>
      </c>
      <c r="CZ813" s="2"/>
      <c r="DA813" s="3"/>
      <c r="DB813" s="3"/>
      <c r="DC813" s="3"/>
      <c r="DD813" s="3"/>
      <c r="DE813" s="15">
        <f>SUM(CZ813:DD813)</f>
        <v>0</v>
      </c>
    </row>
    <row r="814" spans="2:109">
      <c r="C814" s="567"/>
      <c r="E814" s="14" t="s">
        <v>60</v>
      </c>
      <c r="F814" s="23">
        <f t="shared" ref="F814:F816" si="3709">CE808</f>
        <v>0</v>
      </c>
      <c r="G814" s="24">
        <f t="shared" si="3700"/>
        <v>0</v>
      </c>
      <c r="H814" s="24">
        <f t="shared" si="3701"/>
        <v>0</v>
      </c>
      <c r="I814" s="24">
        <f t="shared" si="3702"/>
        <v>0</v>
      </c>
      <c r="J814" s="24">
        <f t="shared" si="3703"/>
        <v>0</v>
      </c>
      <c r="K814" s="16">
        <f t="shared" ref="K814:K816" si="3710">SUM(F814:J814)</f>
        <v>0</v>
      </c>
      <c r="M814" s="6"/>
      <c r="N814" s="7"/>
      <c r="O814" s="7"/>
      <c r="P814" s="7"/>
      <c r="Q814" s="7"/>
      <c r="R814" s="16">
        <f t="shared" ref="R814:R816" si="3711">SUM(M814:Q814)</f>
        <v>0</v>
      </c>
      <c r="T814" s="6"/>
      <c r="U814" s="7"/>
      <c r="V814" s="7"/>
      <c r="W814" s="7"/>
      <c r="X814" s="7"/>
      <c r="Y814" s="16">
        <f t="shared" ref="Y814:Y816" si="3712">SUM(T814:X814)</f>
        <v>0</v>
      </c>
      <c r="AA814" s="6"/>
      <c r="AB814" s="7"/>
      <c r="AC814" s="7"/>
      <c r="AD814" s="7"/>
      <c r="AE814" s="7"/>
      <c r="AF814" s="16">
        <f>SUM(AA814:AE814)</f>
        <v>0</v>
      </c>
      <c r="AH814" s="6"/>
      <c r="AI814" s="7"/>
      <c r="AJ814" s="7"/>
      <c r="AK814" s="7"/>
      <c r="AL814" s="7"/>
      <c r="AM814" s="16">
        <f>SUM(AH814:AL814)</f>
        <v>0</v>
      </c>
      <c r="AO814" s="6"/>
      <c r="AP814" s="7"/>
      <c r="AQ814" s="7"/>
      <c r="AR814" s="7"/>
      <c r="AS814" s="7"/>
      <c r="AT814" s="16">
        <f>SUM(AO814:AS814)</f>
        <v>0</v>
      </c>
      <c r="AV814" s="6"/>
      <c r="AW814" s="7"/>
      <c r="AX814" s="7"/>
      <c r="AY814" s="7"/>
      <c r="AZ814" s="7"/>
      <c r="BA814" s="16">
        <f>SUM(AV814:AZ814)</f>
        <v>0</v>
      </c>
      <c r="BC814" s="6"/>
      <c r="BD814" s="7"/>
      <c r="BE814" s="7"/>
      <c r="BF814" s="7"/>
      <c r="BG814" s="7"/>
      <c r="BH814" s="16">
        <f>SUM(BC814:BG814)</f>
        <v>0</v>
      </c>
      <c r="BJ814" s="6"/>
      <c r="BK814" s="7"/>
      <c r="BL814" s="7"/>
      <c r="BM814" s="7"/>
      <c r="BN814" s="7"/>
      <c r="BO814" s="16">
        <f>SUM(BJ814:BN814)</f>
        <v>0</v>
      </c>
      <c r="BQ814" s="6"/>
      <c r="BR814" s="7"/>
      <c r="BS814" s="7"/>
      <c r="BT814" s="7"/>
      <c r="BU814" s="7"/>
      <c r="BV814" s="16">
        <f>SUM(BQ814:BU814)</f>
        <v>0</v>
      </c>
      <c r="BX814" s="6"/>
      <c r="BY814" s="7"/>
      <c r="BZ814" s="7"/>
      <c r="CA814" s="7"/>
      <c r="CB814" s="7"/>
      <c r="CC814" s="16">
        <f>SUM(BX814:CB814)</f>
        <v>0</v>
      </c>
      <c r="CE814" s="28">
        <f t="shared" si="3704"/>
        <v>0</v>
      </c>
      <c r="CF814" s="29">
        <f t="shared" si="3705"/>
        <v>0</v>
      </c>
      <c r="CG814" s="29">
        <f t="shared" si="3706"/>
        <v>0</v>
      </c>
      <c r="CH814" s="29">
        <f t="shared" si="3707"/>
        <v>0</v>
      </c>
      <c r="CI814" s="29">
        <f t="shared" si="3708"/>
        <v>0</v>
      </c>
      <c r="CJ814" s="8">
        <f>SUM(CE814:CI814)</f>
        <v>0</v>
      </c>
      <c r="CL814" s="6"/>
      <c r="CM814" s="7"/>
      <c r="CN814" s="7"/>
      <c r="CO814" s="7"/>
      <c r="CP814" s="7"/>
      <c r="CQ814" s="16">
        <f>SUM(CL814:CP814)</f>
        <v>0</v>
      </c>
      <c r="CS814" s="6"/>
      <c r="CT814" s="7"/>
      <c r="CU814" s="7"/>
      <c r="CV814" s="7"/>
      <c r="CW814" s="7"/>
      <c r="CX814" s="8">
        <f t="shared" ref="CX814:CX816" si="3713">SUM(CS814:CW814)</f>
        <v>0</v>
      </c>
      <c r="CZ814" s="6"/>
      <c r="DA814" s="7"/>
      <c r="DB814" s="7"/>
      <c r="DC814" s="7"/>
      <c r="DD814" s="7"/>
      <c r="DE814" s="16">
        <f t="shared" ref="DE814:DE816" si="3714">SUM(CZ814:DD814)</f>
        <v>0</v>
      </c>
    </row>
    <row r="815" spans="2:109">
      <c r="C815" s="567"/>
      <c r="E815" s="14" t="s">
        <v>61</v>
      </c>
      <c r="F815" s="23">
        <f t="shared" si="3709"/>
        <v>0</v>
      </c>
      <c r="G815" s="24">
        <f t="shared" si="3700"/>
        <v>0</v>
      </c>
      <c r="H815" s="24">
        <f t="shared" si="3701"/>
        <v>0</v>
      </c>
      <c r="I815" s="24">
        <f t="shared" si="3702"/>
        <v>0</v>
      </c>
      <c r="J815" s="24">
        <f t="shared" si="3703"/>
        <v>0</v>
      </c>
      <c r="K815" s="16">
        <f t="shared" si="3710"/>
        <v>0</v>
      </c>
      <c r="M815" s="6"/>
      <c r="N815" s="7"/>
      <c r="O815" s="7"/>
      <c r="P815" s="7"/>
      <c r="Q815" s="7"/>
      <c r="R815" s="16">
        <f t="shared" si="3711"/>
        <v>0</v>
      </c>
      <c r="T815" s="6"/>
      <c r="U815" s="7"/>
      <c r="V815" s="7"/>
      <c r="W815" s="7"/>
      <c r="X815" s="7"/>
      <c r="Y815" s="16">
        <f t="shared" si="3712"/>
        <v>0</v>
      </c>
      <c r="AA815" s="6"/>
      <c r="AB815" s="7"/>
      <c r="AC815" s="7"/>
      <c r="AD815" s="7"/>
      <c r="AE815" s="7"/>
      <c r="AF815" s="16">
        <f>SUM(AA815:AE815)</f>
        <v>0</v>
      </c>
      <c r="AH815" s="6"/>
      <c r="AI815" s="7"/>
      <c r="AJ815" s="7"/>
      <c r="AK815" s="7"/>
      <c r="AL815" s="7"/>
      <c r="AM815" s="16">
        <f>SUM(AH815:AL815)</f>
        <v>0</v>
      </c>
      <c r="AO815" s="6"/>
      <c r="AP815" s="7"/>
      <c r="AQ815" s="7"/>
      <c r="AR815" s="7"/>
      <c r="AS815" s="7"/>
      <c r="AT815" s="16">
        <f>SUM(AO815:AS815)</f>
        <v>0</v>
      </c>
      <c r="AV815" s="6"/>
      <c r="AW815" s="7"/>
      <c r="AX815" s="7"/>
      <c r="AY815" s="7"/>
      <c r="AZ815" s="7"/>
      <c r="BA815" s="16">
        <f>SUM(AV815:AZ815)</f>
        <v>0</v>
      </c>
      <c r="BC815" s="6"/>
      <c r="BD815" s="7"/>
      <c r="BE815" s="7"/>
      <c r="BF815" s="7"/>
      <c r="BG815" s="7"/>
      <c r="BH815" s="16">
        <f>SUM(BC815:BG815)</f>
        <v>0</v>
      </c>
      <c r="BJ815" s="6"/>
      <c r="BK815" s="7"/>
      <c r="BL815" s="7"/>
      <c r="BM815" s="7"/>
      <c r="BN815" s="7"/>
      <c r="BO815" s="16">
        <f>SUM(BJ815:BN815)</f>
        <v>0</v>
      </c>
      <c r="BQ815" s="6"/>
      <c r="BR815" s="7"/>
      <c r="BS815" s="7"/>
      <c r="BT815" s="7"/>
      <c r="BU815" s="7"/>
      <c r="BV815" s="16">
        <f>SUM(BQ815:BU815)</f>
        <v>0</v>
      </c>
      <c r="BX815" s="6"/>
      <c r="BY815" s="7"/>
      <c r="BZ815" s="7"/>
      <c r="CA815" s="7"/>
      <c r="CB815" s="7"/>
      <c r="CC815" s="16">
        <f>SUM(BX815:CB815)</f>
        <v>0</v>
      </c>
      <c r="CE815" s="28">
        <f t="shared" si="3704"/>
        <v>0</v>
      </c>
      <c r="CF815" s="29">
        <f t="shared" si="3705"/>
        <v>0</v>
      </c>
      <c r="CG815" s="29">
        <f t="shared" si="3706"/>
        <v>0</v>
      </c>
      <c r="CH815" s="29">
        <f t="shared" si="3707"/>
        <v>0</v>
      </c>
      <c r="CI815" s="29">
        <f t="shared" si="3708"/>
        <v>0</v>
      </c>
      <c r="CJ815" s="8">
        <f>SUM(CE815:CI815)</f>
        <v>0</v>
      </c>
      <c r="CL815" s="6"/>
      <c r="CM815" s="7"/>
      <c r="CN815" s="7"/>
      <c r="CO815" s="7"/>
      <c r="CP815" s="7"/>
      <c r="CQ815" s="16">
        <f>SUM(CL815:CP815)</f>
        <v>0</v>
      </c>
      <c r="CS815" s="6"/>
      <c r="CT815" s="7"/>
      <c r="CU815" s="7"/>
      <c r="CV815" s="7"/>
      <c r="CW815" s="7"/>
      <c r="CX815" s="8">
        <f t="shared" si="3713"/>
        <v>0</v>
      </c>
      <c r="CZ815" s="6"/>
      <c r="DA815" s="7"/>
      <c r="DB815" s="7"/>
      <c r="DC815" s="7"/>
      <c r="DD815" s="7"/>
      <c r="DE815" s="16">
        <f t="shared" si="3714"/>
        <v>0</v>
      </c>
    </row>
    <row r="816" spans="2:109" ht="14" thickBot="1">
      <c r="C816" s="567"/>
      <c r="E816" s="14" t="s">
        <v>62</v>
      </c>
      <c r="F816" s="23">
        <f t="shared" si="3709"/>
        <v>0</v>
      </c>
      <c r="G816" s="24">
        <f t="shared" si="3700"/>
        <v>0</v>
      </c>
      <c r="H816" s="24">
        <f t="shared" si="3701"/>
        <v>0</v>
      </c>
      <c r="I816" s="24">
        <f t="shared" si="3702"/>
        <v>0</v>
      </c>
      <c r="J816" s="24">
        <f t="shared" si="3703"/>
        <v>0</v>
      </c>
      <c r="K816" s="16">
        <f t="shared" si="3710"/>
        <v>0</v>
      </c>
      <c r="M816" s="6"/>
      <c r="N816" s="7"/>
      <c r="O816" s="7"/>
      <c r="P816" s="7"/>
      <c r="Q816" s="7"/>
      <c r="R816" s="16">
        <f t="shared" si="3711"/>
        <v>0</v>
      </c>
      <c r="T816" s="6"/>
      <c r="U816" s="7"/>
      <c r="V816" s="7"/>
      <c r="W816" s="7"/>
      <c r="X816" s="7"/>
      <c r="Y816" s="16">
        <f t="shared" si="3712"/>
        <v>0</v>
      </c>
      <c r="AA816" s="6"/>
      <c r="AB816" s="7"/>
      <c r="AC816" s="7"/>
      <c r="AD816" s="7"/>
      <c r="AE816" s="7"/>
      <c r="AF816" s="16">
        <f>SUM(AA816:AE816)</f>
        <v>0</v>
      </c>
      <c r="AH816" s="6"/>
      <c r="AI816" s="7"/>
      <c r="AJ816" s="7"/>
      <c r="AK816" s="7"/>
      <c r="AL816" s="7"/>
      <c r="AM816" s="16">
        <f>SUM(AH816:AL816)</f>
        <v>0</v>
      </c>
      <c r="AO816" s="6"/>
      <c r="AP816" s="7"/>
      <c r="AQ816" s="7"/>
      <c r="AR816" s="7"/>
      <c r="AS816" s="7"/>
      <c r="AT816" s="16">
        <f>SUM(AO816:AS816)</f>
        <v>0</v>
      </c>
      <c r="AV816" s="6"/>
      <c r="AW816" s="7"/>
      <c r="AX816" s="7"/>
      <c r="AY816" s="7"/>
      <c r="AZ816" s="7"/>
      <c r="BA816" s="16">
        <f>SUM(AV816:AZ816)</f>
        <v>0</v>
      </c>
      <c r="BC816" s="6"/>
      <c r="BD816" s="7"/>
      <c r="BE816" s="7"/>
      <c r="BF816" s="7"/>
      <c r="BG816" s="7"/>
      <c r="BH816" s="16">
        <f>SUM(BC816:BG816)</f>
        <v>0</v>
      </c>
      <c r="BJ816" s="6"/>
      <c r="BK816" s="7"/>
      <c r="BL816" s="7"/>
      <c r="BM816" s="7"/>
      <c r="BN816" s="7"/>
      <c r="BO816" s="16">
        <f>SUM(BJ816:BN816)</f>
        <v>0</v>
      </c>
      <c r="BQ816" s="6"/>
      <c r="BR816" s="7"/>
      <c r="BS816" s="7"/>
      <c r="BT816" s="7"/>
      <c r="BU816" s="7"/>
      <c r="BV816" s="16">
        <f>SUM(BQ816:BU816)</f>
        <v>0</v>
      </c>
      <c r="BX816" s="6"/>
      <c r="BY816" s="7"/>
      <c r="BZ816" s="7"/>
      <c r="CA816" s="7"/>
      <c r="CB816" s="7"/>
      <c r="CC816" s="16">
        <f>SUM(BX816:CB816)</f>
        <v>0</v>
      </c>
      <c r="CE816" s="493">
        <f t="shared" si="3704"/>
        <v>0</v>
      </c>
      <c r="CF816" s="494">
        <f t="shared" si="3705"/>
        <v>0</v>
      </c>
      <c r="CG816" s="494">
        <f t="shared" si="3706"/>
        <v>0</v>
      </c>
      <c r="CH816" s="494">
        <f t="shared" si="3707"/>
        <v>0</v>
      </c>
      <c r="CI816" s="494">
        <f t="shared" si="3708"/>
        <v>0</v>
      </c>
      <c r="CJ816" s="495">
        <f>SUM(CE816:CI816)</f>
        <v>0</v>
      </c>
      <c r="CL816" s="6"/>
      <c r="CM816" s="7"/>
      <c r="CN816" s="7"/>
      <c r="CO816" s="7"/>
      <c r="CP816" s="7"/>
      <c r="CQ816" s="16">
        <f>SUM(CL816:CP816)</f>
        <v>0</v>
      </c>
      <c r="CS816" s="6"/>
      <c r="CT816" s="7"/>
      <c r="CU816" s="7"/>
      <c r="CV816" s="7"/>
      <c r="CW816" s="7"/>
      <c r="CX816" s="8">
        <f t="shared" si="3713"/>
        <v>0</v>
      </c>
      <c r="CZ816" s="6"/>
      <c r="DA816" s="7"/>
      <c r="DB816" s="7"/>
      <c r="DC816" s="7"/>
      <c r="DD816" s="7"/>
      <c r="DE816" s="16">
        <f t="shared" si="3714"/>
        <v>0</v>
      </c>
    </row>
    <row r="817" spans="3:109" ht="14" thickBot="1">
      <c r="C817" s="554"/>
      <c r="E817" s="17"/>
      <c r="F817" s="10">
        <f>SUM(F813:F816)</f>
        <v>0</v>
      </c>
      <c r="G817" s="11">
        <f t="shared" ref="G817:J817" si="3715">SUM(G813:G816)</f>
        <v>0</v>
      </c>
      <c r="H817" s="11">
        <f t="shared" si="3715"/>
        <v>0</v>
      </c>
      <c r="I817" s="11">
        <f t="shared" si="3715"/>
        <v>0</v>
      </c>
      <c r="J817" s="11">
        <f t="shared" si="3715"/>
        <v>0</v>
      </c>
      <c r="K817" s="25">
        <f>SUM(K813:K816)</f>
        <v>0</v>
      </c>
      <c r="M817" s="10">
        <f>SUM(M813:M816)</f>
        <v>0</v>
      </c>
      <c r="N817" s="11">
        <f t="shared" ref="N817:Q817" si="3716">SUM(N813:N816)</f>
        <v>0</v>
      </c>
      <c r="O817" s="11">
        <f t="shared" si="3716"/>
        <v>0</v>
      </c>
      <c r="P817" s="11">
        <f t="shared" si="3716"/>
        <v>0</v>
      </c>
      <c r="Q817" s="11">
        <f t="shared" si="3716"/>
        <v>0</v>
      </c>
      <c r="R817" s="25">
        <f>SUM(R813:R816)</f>
        <v>0</v>
      </c>
      <c r="T817" s="10">
        <f>SUM(T813:T816)</f>
        <v>0</v>
      </c>
      <c r="U817" s="11">
        <f t="shared" ref="U817:X817" si="3717">SUM(U813:U816)</f>
        <v>0</v>
      </c>
      <c r="V817" s="11">
        <f t="shared" si="3717"/>
        <v>0</v>
      </c>
      <c r="W817" s="11">
        <f t="shared" si="3717"/>
        <v>0</v>
      </c>
      <c r="X817" s="11">
        <f t="shared" si="3717"/>
        <v>0</v>
      </c>
      <c r="Y817" s="25">
        <f>SUM(Y813:Y816)</f>
        <v>0</v>
      </c>
      <c r="AA817" s="10">
        <f>SUM(AA813:AA816)</f>
        <v>0</v>
      </c>
      <c r="AB817" s="11">
        <f t="shared" ref="AB817:AE817" si="3718">SUM(AB813:AB816)</f>
        <v>0</v>
      </c>
      <c r="AC817" s="11">
        <f t="shared" si="3718"/>
        <v>0</v>
      </c>
      <c r="AD817" s="11">
        <f t="shared" si="3718"/>
        <v>0</v>
      </c>
      <c r="AE817" s="11">
        <f t="shared" si="3718"/>
        <v>0</v>
      </c>
      <c r="AF817" s="25">
        <f>SUM(AF813:AF816)</f>
        <v>0</v>
      </c>
      <c r="AH817" s="10">
        <f t="shared" ref="AH817:AM817" si="3719">SUM(AH813:AH816)</f>
        <v>0</v>
      </c>
      <c r="AI817" s="11">
        <f t="shared" si="3719"/>
        <v>0</v>
      </c>
      <c r="AJ817" s="11">
        <f t="shared" si="3719"/>
        <v>0</v>
      </c>
      <c r="AK817" s="11">
        <f t="shared" si="3719"/>
        <v>0</v>
      </c>
      <c r="AL817" s="11">
        <f t="shared" si="3719"/>
        <v>0</v>
      </c>
      <c r="AM817" s="25">
        <f t="shared" si="3719"/>
        <v>0</v>
      </c>
      <c r="AO817" s="10">
        <f t="shared" ref="AO817:AT817" si="3720">SUM(AO813:AO816)</f>
        <v>0</v>
      </c>
      <c r="AP817" s="11">
        <f t="shared" si="3720"/>
        <v>0</v>
      </c>
      <c r="AQ817" s="11">
        <f t="shared" si="3720"/>
        <v>0</v>
      </c>
      <c r="AR817" s="11">
        <f t="shared" si="3720"/>
        <v>0</v>
      </c>
      <c r="AS817" s="11">
        <f t="shared" si="3720"/>
        <v>0</v>
      </c>
      <c r="AT817" s="25">
        <f t="shared" si="3720"/>
        <v>0</v>
      </c>
      <c r="AV817" s="10">
        <f t="shared" ref="AV817:BA817" si="3721">SUM(AV813:AV816)</f>
        <v>0</v>
      </c>
      <c r="AW817" s="11">
        <f t="shared" si="3721"/>
        <v>0</v>
      </c>
      <c r="AX817" s="11">
        <f t="shared" si="3721"/>
        <v>0</v>
      </c>
      <c r="AY817" s="11">
        <f t="shared" si="3721"/>
        <v>0</v>
      </c>
      <c r="AZ817" s="11">
        <f t="shared" si="3721"/>
        <v>0</v>
      </c>
      <c r="BA817" s="25">
        <f t="shared" si="3721"/>
        <v>0</v>
      </c>
      <c r="BC817" s="10">
        <f t="shared" ref="BC817:BH817" si="3722">SUM(BC813:BC816)</f>
        <v>0</v>
      </c>
      <c r="BD817" s="11">
        <f t="shared" si="3722"/>
        <v>0</v>
      </c>
      <c r="BE817" s="11">
        <f t="shared" si="3722"/>
        <v>0</v>
      </c>
      <c r="BF817" s="11">
        <f t="shared" si="3722"/>
        <v>0</v>
      </c>
      <c r="BG817" s="11">
        <f t="shared" si="3722"/>
        <v>0</v>
      </c>
      <c r="BH817" s="25">
        <f t="shared" si="3722"/>
        <v>0</v>
      </c>
      <c r="BJ817" s="10">
        <f t="shared" ref="BJ817:BO817" si="3723">SUM(BJ813:BJ816)</f>
        <v>0</v>
      </c>
      <c r="BK817" s="11">
        <f t="shared" si="3723"/>
        <v>0</v>
      </c>
      <c r="BL817" s="11">
        <f t="shared" si="3723"/>
        <v>0</v>
      </c>
      <c r="BM817" s="11">
        <f t="shared" si="3723"/>
        <v>0</v>
      </c>
      <c r="BN817" s="11">
        <f t="shared" si="3723"/>
        <v>0</v>
      </c>
      <c r="BO817" s="25">
        <f t="shared" si="3723"/>
        <v>0</v>
      </c>
      <c r="BQ817" s="10">
        <f t="shared" ref="BQ817:BV817" si="3724">SUM(BQ813:BQ816)</f>
        <v>0</v>
      </c>
      <c r="BR817" s="11">
        <f t="shared" si="3724"/>
        <v>0</v>
      </c>
      <c r="BS817" s="11">
        <f t="shared" si="3724"/>
        <v>0</v>
      </c>
      <c r="BT817" s="11">
        <f t="shared" si="3724"/>
        <v>0</v>
      </c>
      <c r="BU817" s="11">
        <f t="shared" si="3724"/>
        <v>0</v>
      </c>
      <c r="BV817" s="25">
        <f t="shared" si="3724"/>
        <v>0</v>
      </c>
      <c r="BX817" s="10">
        <f t="shared" ref="BX817:CC817" si="3725">SUM(BX813:BX816)</f>
        <v>0</v>
      </c>
      <c r="BY817" s="11">
        <f t="shared" si="3725"/>
        <v>0</v>
      </c>
      <c r="BZ817" s="11">
        <f t="shared" si="3725"/>
        <v>0</v>
      </c>
      <c r="CA817" s="11">
        <f t="shared" si="3725"/>
        <v>0</v>
      </c>
      <c r="CB817" s="11">
        <f t="shared" si="3725"/>
        <v>0</v>
      </c>
      <c r="CC817" s="25">
        <f t="shared" si="3725"/>
        <v>0</v>
      </c>
      <c r="CE817" s="62">
        <f t="shared" ref="CE817:CJ817" si="3726">SUM(CE813:CE816)</f>
        <v>0</v>
      </c>
      <c r="CF817" s="63">
        <f t="shared" si="3726"/>
        <v>0</v>
      </c>
      <c r="CG817" s="63">
        <f t="shared" si="3726"/>
        <v>0</v>
      </c>
      <c r="CH817" s="63">
        <f t="shared" si="3726"/>
        <v>0</v>
      </c>
      <c r="CI817" s="63">
        <f t="shared" si="3726"/>
        <v>0</v>
      </c>
      <c r="CJ817" s="25">
        <f t="shared" si="3726"/>
        <v>0</v>
      </c>
      <c r="CL817" s="10">
        <f>SUM(CL813:CL816)</f>
        <v>0</v>
      </c>
      <c r="CM817" s="11">
        <f t="shared" ref="CM817:CQ817" si="3727">SUM(CM813:CM816)</f>
        <v>0</v>
      </c>
      <c r="CN817" s="11">
        <f t="shared" si="3727"/>
        <v>0</v>
      </c>
      <c r="CO817" s="11">
        <f t="shared" si="3727"/>
        <v>0</v>
      </c>
      <c r="CP817" s="11">
        <f t="shared" si="3727"/>
        <v>0</v>
      </c>
      <c r="CQ817" s="25">
        <f t="shared" si="3727"/>
        <v>0</v>
      </c>
      <c r="CS817" s="10">
        <f>SUM(CS813:CS816)</f>
        <v>0</v>
      </c>
      <c r="CT817" s="11">
        <f t="shared" ref="CT817:CW817" si="3728">SUM(CT813:CT816)</f>
        <v>0</v>
      </c>
      <c r="CU817" s="11">
        <f t="shared" si="3728"/>
        <v>0</v>
      </c>
      <c r="CV817" s="11">
        <f t="shared" si="3728"/>
        <v>0</v>
      </c>
      <c r="CW817" s="11">
        <f t="shared" si="3728"/>
        <v>0</v>
      </c>
      <c r="CX817" s="25">
        <f>SUM(CX813:CX816)</f>
        <v>0</v>
      </c>
      <c r="CZ817" s="10">
        <f>SUM(CZ813:CZ816)</f>
        <v>0</v>
      </c>
      <c r="DA817" s="11">
        <f t="shared" ref="DA817:DD817" si="3729">SUM(DA813:DA816)</f>
        <v>0</v>
      </c>
      <c r="DB817" s="11">
        <f t="shared" si="3729"/>
        <v>0</v>
      </c>
      <c r="DC817" s="11">
        <f t="shared" si="3729"/>
        <v>0</v>
      </c>
      <c r="DD817" s="11">
        <f t="shared" si="3729"/>
        <v>0</v>
      </c>
      <c r="DE817" s="25">
        <f>SUM(DE813:DE816)</f>
        <v>0</v>
      </c>
    </row>
    <row r="818" spans="3:109" ht="10.4" customHeight="1" thickBot="1"/>
    <row r="819" spans="3:109">
      <c r="C819" s="553">
        <v>2026</v>
      </c>
      <c r="E819" s="13" t="s">
        <v>59</v>
      </c>
      <c r="F819" s="21">
        <f>CE813</f>
        <v>0</v>
      </c>
      <c r="G819" s="22">
        <f t="shared" ref="G819:G822" si="3730">CF813</f>
        <v>0</v>
      </c>
      <c r="H819" s="22">
        <f t="shared" ref="H819:H822" si="3731">CG813</f>
        <v>0</v>
      </c>
      <c r="I819" s="22">
        <f t="shared" ref="I819:I822" si="3732">CH813</f>
        <v>0</v>
      </c>
      <c r="J819" s="22">
        <f t="shared" ref="J819:J822" si="3733">CI813</f>
        <v>0</v>
      </c>
      <c r="K819" s="4">
        <f>SUM(F819:J819)</f>
        <v>0</v>
      </c>
      <c r="M819" s="2"/>
      <c r="N819" s="3"/>
      <c r="O819" s="3"/>
      <c r="P819" s="3"/>
      <c r="Q819" s="3"/>
      <c r="R819" s="4">
        <f>SUM(M819:Q819)</f>
        <v>0</v>
      </c>
      <c r="T819" s="2"/>
      <c r="U819" s="3"/>
      <c r="V819" s="3"/>
      <c r="W819" s="3"/>
      <c r="X819" s="3"/>
      <c r="Y819" s="4">
        <f>SUM(T819:X819)</f>
        <v>0</v>
      </c>
      <c r="AA819" s="2"/>
      <c r="AB819" s="3"/>
      <c r="AC819" s="3"/>
      <c r="AD819" s="3"/>
      <c r="AE819" s="3"/>
      <c r="AF819" s="4">
        <f>SUM(AA819:AE819)</f>
        <v>0</v>
      </c>
      <c r="AH819" s="2"/>
      <c r="AI819" s="3"/>
      <c r="AJ819" s="3"/>
      <c r="AK819" s="3"/>
      <c r="AL819" s="3"/>
      <c r="AM819" s="4">
        <f>SUM(AH819:AL819)</f>
        <v>0</v>
      </c>
      <c r="AO819" s="2"/>
      <c r="AP819" s="3"/>
      <c r="AQ819" s="3"/>
      <c r="AR819" s="3"/>
      <c r="AS819" s="3"/>
      <c r="AT819" s="4">
        <f>SUM(AO819:AS819)</f>
        <v>0</v>
      </c>
      <c r="AV819" s="2"/>
      <c r="AW819" s="3"/>
      <c r="AX819" s="3"/>
      <c r="AY819" s="3"/>
      <c r="AZ819" s="3"/>
      <c r="BA819" s="4">
        <f>SUM(AV819:AZ819)</f>
        <v>0</v>
      </c>
      <c r="BC819" s="2"/>
      <c r="BD819" s="3"/>
      <c r="BE819" s="3"/>
      <c r="BF819" s="3"/>
      <c r="BG819" s="3"/>
      <c r="BH819" s="4">
        <f>SUM(BC819:BG819)</f>
        <v>0</v>
      </c>
      <c r="BJ819" s="2"/>
      <c r="BK819" s="3"/>
      <c r="BL819" s="3"/>
      <c r="BM819" s="3"/>
      <c r="BN819" s="3"/>
      <c r="BO819" s="4">
        <f>SUM(BJ819:BN819)</f>
        <v>0</v>
      </c>
      <c r="BQ819" s="2"/>
      <c r="BR819" s="3"/>
      <c r="BS819" s="3"/>
      <c r="BT819" s="3"/>
      <c r="BU819" s="3"/>
      <c r="BV819" s="4">
        <f>SUM(BQ819:BU819)</f>
        <v>0</v>
      </c>
      <c r="BX819" s="2"/>
      <c r="BY819" s="3"/>
      <c r="BZ819" s="3"/>
      <c r="CA819" s="3"/>
      <c r="CB819" s="3"/>
      <c r="CC819" s="4">
        <f>SUM(BX819:CB819)</f>
        <v>0</v>
      </c>
      <c r="CE819" s="26">
        <f t="shared" ref="CE819:CE822" si="3734">F819+M819+T819+AA819+AH819+AO819+AV819+BC819+BJ819+BQ819+BX819</f>
        <v>0</v>
      </c>
      <c r="CF819" s="27">
        <f t="shared" ref="CF819:CF822" si="3735">G819+N819+U819+AB819+AI819+AP819+AW819+BD819+BK819+BR819+BY819</f>
        <v>0</v>
      </c>
      <c r="CG819" s="27">
        <f t="shared" ref="CG819:CG822" si="3736">H819+O819+V819+AC819+AJ819+AQ819+AX819+BE819+BL819+BS819+BZ819</f>
        <v>0</v>
      </c>
      <c r="CH819" s="27">
        <f t="shared" ref="CH819:CH822" si="3737">I819+P819+W819+AD819+AK819+AR819+AY819+BF819+BM819+BT819+CA819</f>
        <v>0</v>
      </c>
      <c r="CI819" s="27">
        <f t="shared" ref="CI819:CI822" si="3738">J819+Q819+X819+AE819+AL819+AS819+AZ819+BG819+BN819+BU819+CB819</f>
        <v>0</v>
      </c>
      <c r="CJ819" s="4">
        <f>SUM(CE819:CI819)</f>
        <v>0</v>
      </c>
      <c r="CL819" s="2"/>
      <c r="CM819" s="3"/>
      <c r="CN819" s="3"/>
      <c r="CO819" s="3"/>
      <c r="CP819" s="3"/>
      <c r="CQ819" s="4">
        <f>SUM(CL819:CP819)</f>
        <v>0</v>
      </c>
      <c r="CS819" s="2"/>
      <c r="CT819" s="3"/>
      <c r="CU819" s="3"/>
      <c r="CV819" s="3"/>
      <c r="CW819" s="3"/>
      <c r="CX819" s="4">
        <f>SUM(CS819:CW819)</f>
        <v>0</v>
      </c>
      <c r="CZ819" s="2"/>
      <c r="DA819" s="3"/>
      <c r="DB819" s="3"/>
      <c r="DC819" s="3"/>
      <c r="DD819" s="3"/>
      <c r="DE819" s="4">
        <f>SUM(CZ819:DD819)</f>
        <v>0</v>
      </c>
    </row>
    <row r="820" spans="3:109">
      <c r="C820" s="567"/>
      <c r="E820" s="14" t="s">
        <v>60</v>
      </c>
      <c r="F820" s="23">
        <f t="shared" ref="F820:F822" si="3739">CE814</f>
        <v>0</v>
      </c>
      <c r="G820" s="24">
        <f t="shared" si="3730"/>
        <v>0</v>
      </c>
      <c r="H820" s="24">
        <f t="shared" si="3731"/>
        <v>0</v>
      </c>
      <c r="I820" s="24">
        <f t="shared" si="3732"/>
        <v>0</v>
      </c>
      <c r="J820" s="24">
        <f t="shared" si="3733"/>
        <v>0</v>
      </c>
      <c r="K820" s="8">
        <f t="shared" ref="K820:K822" si="3740">SUM(F820:J820)</f>
        <v>0</v>
      </c>
      <c r="M820" s="6"/>
      <c r="N820" s="7"/>
      <c r="O820" s="7"/>
      <c r="P820" s="7"/>
      <c r="Q820" s="7"/>
      <c r="R820" s="8">
        <f t="shared" ref="R820:R822" si="3741">SUM(M820:Q820)</f>
        <v>0</v>
      </c>
      <c r="T820" s="6"/>
      <c r="U820" s="7"/>
      <c r="V820" s="7"/>
      <c r="W820" s="7"/>
      <c r="X820" s="7"/>
      <c r="Y820" s="8">
        <f t="shared" ref="Y820:Y822" si="3742">SUM(T820:X820)</f>
        <v>0</v>
      </c>
      <c r="AA820" s="6"/>
      <c r="AB820" s="7"/>
      <c r="AC820" s="7"/>
      <c r="AD820" s="7"/>
      <c r="AE820" s="7"/>
      <c r="AF820" s="8">
        <f>SUM(AA820:AE820)</f>
        <v>0</v>
      </c>
      <c r="AH820" s="6"/>
      <c r="AI820" s="7"/>
      <c r="AJ820" s="7"/>
      <c r="AK820" s="7"/>
      <c r="AL820" s="7"/>
      <c r="AM820" s="8">
        <f>SUM(AH820:AL820)</f>
        <v>0</v>
      </c>
      <c r="AO820" s="6"/>
      <c r="AP820" s="7"/>
      <c r="AQ820" s="7"/>
      <c r="AR820" s="7"/>
      <c r="AS820" s="7"/>
      <c r="AT820" s="8">
        <f>SUM(AO820:AS820)</f>
        <v>0</v>
      </c>
      <c r="AV820" s="6"/>
      <c r="AW820" s="7"/>
      <c r="AX820" s="7"/>
      <c r="AY820" s="7"/>
      <c r="AZ820" s="7"/>
      <c r="BA820" s="8">
        <f>SUM(AV820:AZ820)</f>
        <v>0</v>
      </c>
      <c r="BC820" s="6"/>
      <c r="BD820" s="7"/>
      <c r="BE820" s="7"/>
      <c r="BF820" s="7"/>
      <c r="BG820" s="7"/>
      <c r="BH820" s="8">
        <f>SUM(BC820:BG820)</f>
        <v>0</v>
      </c>
      <c r="BJ820" s="6"/>
      <c r="BK820" s="7"/>
      <c r="BL820" s="7"/>
      <c r="BM820" s="7"/>
      <c r="BN820" s="7"/>
      <c r="BO820" s="8">
        <f>SUM(BJ820:BN820)</f>
        <v>0</v>
      </c>
      <c r="BQ820" s="6"/>
      <c r="BR820" s="7"/>
      <c r="BS820" s="7"/>
      <c r="BT820" s="7"/>
      <c r="BU820" s="7"/>
      <c r="BV820" s="8">
        <f>SUM(BQ820:BU820)</f>
        <v>0</v>
      </c>
      <c r="BX820" s="6"/>
      <c r="BY820" s="7"/>
      <c r="BZ820" s="7"/>
      <c r="CA820" s="7"/>
      <c r="CB820" s="7"/>
      <c r="CC820" s="8">
        <f>SUM(BX820:CB820)</f>
        <v>0</v>
      </c>
      <c r="CE820" s="28">
        <f t="shared" si="3734"/>
        <v>0</v>
      </c>
      <c r="CF820" s="29">
        <f t="shared" si="3735"/>
        <v>0</v>
      </c>
      <c r="CG820" s="29">
        <f t="shared" si="3736"/>
        <v>0</v>
      </c>
      <c r="CH820" s="29">
        <f t="shared" si="3737"/>
        <v>0</v>
      </c>
      <c r="CI820" s="29">
        <f t="shared" si="3738"/>
        <v>0</v>
      </c>
      <c r="CJ820" s="8">
        <f>SUM(CE820:CI820)</f>
        <v>0</v>
      </c>
      <c r="CL820" s="6"/>
      <c r="CM820" s="7"/>
      <c r="CN820" s="7"/>
      <c r="CO820" s="7"/>
      <c r="CP820" s="7"/>
      <c r="CQ820" s="8">
        <f>SUM(CL820:CP820)</f>
        <v>0</v>
      </c>
      <c r="CS820" s="6"/>
      <c r="CT820" s="7"/>
      <c r="CU820" s="7"/>
      <c r="CV820" s="7"/>
      <c r="CW820" s="7"/>
      <c r="CX820" s="8">
        <f t="shared" ref="CX820:CX822" si="3743">SUM(CS820:CW820)</f>
        <v>0</v>
      </c>
      <c r="CZ820" s="6"/>
      <c r="DA820" s="7"/>
      <c r="DB820" s="7"/>
      <c r="DC820" s="7"/>
      <c r="DD820" s="7"/>
      <c r="DE820" s="8">
        <f t="shared" ref="DE820:DE822" si="3744">SUM(CZ820:DD820)</f>
        <v>0</v>
      </c>
    </row>
    <row r="821" spans="3:109">
      <c r="C821" s="567"/>
      <c r="E821" s="14" t="s">
        <v>61</v>
      </c>
      <c r="F821" s="23">
        <f t="shared" si="3739"/>
        <v>0</v>
      </c>
      <c r="G821" s="24">
        <f t="shared" si="3730"/>
        <v>0</v>
      </c>
      <c r="H821" s="24">
        <f t="shared" si="3731"/>
        <v>0</v>
      </c>
      <c r="I821" s="24">
        <f t="shared" si="3732"/>
        <v>0</v>
      </c>
      <c r="J821" s="24">
        <f t="shared" si="3733"/>
        <v>0</v>
      </c>
      <c r="K821" s="8">
        <f t="shared" si="3740"/>
        <v>0</v>
      </c>
      <c r="M821" s="6"/>
      <c r="N821" s="7"/>
      <c r="O821" s="7"/>
      <c r="P821" s="7"/>
      <c r="Q821" s="7"/>
      <c r="R821" s="8">
        <f t="shared" si="3741"/>
        <v>0</v>
      </c>
      <c r="T821" s="6"/>
      <c r="U821" s="7"/>
      <c r="V821" s="7"/>
      <c r="W821" s="7"/>
      <c r="X821" s="7"/>
      <c r="Y821" s="8">
        <f t="shared" si="3742"/>
        <v>0</v>
      </c>
      <c r="AA821" s="6"/>
      <c r="AB821" s="7"/>
      <c r="AC821" s="7"/>
      <c r="AD821" s="7"/>
      <c r="AE821" s="7"/>
      <c r="AF821" s="8">
        <f>SUM(AA821:AE821)</f>
        <v>0</v>
      </c>
      <c r="AH821" s="6"/>
      <c r="AI821" s="7"/>
      <c r="AJ821" s="7"/>
      <c r="AK821" s="7"/>
      <c r="AL821" s="7"/>
      <c r="AM821" s="8">
        <f>SUM(AH821:AL821)</f>
        <v>0</v>
      </c>
      <c r="AO821" s="6"/>
      <c r="AP821" s="7"/>
      <c r="AQ821" s="7"/>
      <c r="AR821" s="7"/>
      <c r="AS821" s="7"/>
      <c r="AT821" s="8">
        <f>SUM(AO821:AS821)</f>
        <v>0</v>
      </c>
      <c r="AV821" s="6"/>
      <c r="AW821" s="7"/>
      <c r="AX821" s="7"/>
      <c r="AY821" s="7"/>
      <c r="AZ821" s="7"/>
      <c r="BA821" s="8">
        <f>SUM(AV821:AZ821)</f>
        <v>0</v>
      </c>
      <c r="BC821" s="6"/>
      <c r="BD821" s="7"/>
      <c r="BE821" s="7"/>
      <c r="BF821" s="7"/>
      <c r="BG821" s="7"/>
      <c r="BH821" s="8">
        <f>SUM(BC821:BG821)</f>
        <v>0</v>
      </c>
      <c r="BJ821" s="6"/>
      <c r="BK821" s="7"/>
      <c r="BL821" s="7"/>
      <c r="BM821" s="7"/>
      <c r="BN821" s="7"/>
      <c r="BO821" s="8">
        <f>SUM(BJ821:BN821)</f>
        <v>0</v>
      </c>
      <c r="BQ821" s="6"/>
      <c r="BR821" s="7"/>
      <c r="BS821" s="7"/>
      <c r="BT821" s="7"/>
      <c r="BU821" s="7"/>
      <c r="BV821" s="8">
        <f>SUM(BQ821:BU821)</f>
        <v>0</v>
      </c>
      <c r="BX821" s="6"/>
      <c r="BY821" s="7"/>
      <c r="BZ821" s="7"/>
      <c r="CA821" s="7"/>
      <c r="CB821" s="7"/>
      <c r="CC821" s="8">
        <f>SUM(BX821:CB821)</f>
        <v>0</v>
      </c>
      <c r="CE821" s="28">
        <f t="shared" si="3734"/>
        <v>0</v>
      </c>
      <c r="CF821" s="29">
        <f t="shared" si="3735"/>
        <v>0</v>
      </c>
      <c r="CG821" s="29">
        <f t="shared" si="3736"/>
        <v>0</v>
      </c>
      <c r="CH821" s="29">
        <f t="shared" si="3737"/>
        <v>0</v>
      </c>
      <c r="CI821" s="29">
        <f t="shared" si="3738"/>
        <v>0</v>
      </c>
      <c r="CJ821" s="8">
        <f>SUM(CE821:CI821)</f>
        <v>0</v>
      </c>
      <c r="CL821" s="6"/>
      <c r="CM821" s="7"/>
      <c r="CN821" s="7"/>
      <c r="CO821" s="7"/>
      <c r="CP821" s="7"/>
      <c r="CQ821" s="8">
        <f>SUM(CL821:CP821)</f>
        <v>0</v>
      </c>
      <c r="CS821" s="6"/>
      <c r="CT821" s="7"/>
      <c r="CU821" s="7"/>
      <c r="CV821" s="7"/>
      <c r="CW821" s="7"/>
      <c r="CX821" s="8">
        <f t="shared" si="3743"/>
        <v>0</v>
      </c>
      <c r="CZ821" s="6"/>
      <c r="DA821" s="7"/>
      <c r="DB821" s="7"/>
      <c r="DC821" s="7"/>
      <c r="DD821" s="7"/>
      <c r="DE821" s="8">
        <f t="shared" si="3744"/>
        <v>0</v>
      </c>
    </row>
    <row r="822" spans="3:109" ht="14" thickBot="1">
      <c r="C822" s="567"/>
      <c r="E822" s="14" t="s">
        <v>62</v>
      </c>
      <c r="F822" s="23">
        <f t="shared" si="3739"/>
        <v>0</v>
      </c>
      <c r="G822" s="24">
        <f t="shared" si="3730"/>
        <v>0</v>
      </c>
      <c r="H822" s="24">
        <f t="shared" si="3731"/>
        <v>0</v>
      </c>
      <c r="I822" s="24">
        <f t="shared" si="3732"/>
        <v>0</v>
      </c>
      <c r="J822" s="24">
        <f t="shared" si="3733"/>
        <v>0</v>
      </c>
      <c r="K822" s="8">
        <f t="shared" si="3740"/>
        <v>0</v>
      </c>
      <c r="M822" s="6"/>
      <c r="N822" s="7"/>
      <c r="O822" s="7"/>
      <c r="P822" s="7"/>
      <c r="Q822" s="7"/>
      <c r="R822" s="8">
        <f t="shared" si="3741"/>
        <v>0</v>
      </c>
      <c r="T822" s="6"/>
      <c r="U822" s="7"/>
      <c r="V822" s="7"/>
      <c r="W822" s="7"/>
      <c r="X822" s="7"/>
      <c r="Y822" s="8">
        <f t="shared" si="3742"/>
        <v>0</v>
      </c>
      <c r="AA822" s="6"/>
      <c r="AB822" s="7"/>
      <c r="AC822" s="7"/>
      <c r="AD822" s="7"/>
      <c r="AE822" s="7"/>
      <c r="AF822" s="8">
        <f>SUM(AA822:AE822)</f>
        <v>0</v>
      </c>
      <c r="AH822" s="6"/>
      <c r="AI822" s="7"/>
      <c r="AJ822" s="7"/>
      <c r="AK822" s="7"/>
      <c r="AL822" s="7"/>
      <c r="AM822" s="8">
        <f>SUM(AH822:AL822)</f>
        <v>0</v>
      </c>
      <c r="AO822" s="6"/>
      <c r="AP822" s="7"/>
      <c r="AQ822" s="7"/>
      <c r="AR822" s="7"/>
      <c r="AS822" s="7"/>
      <c r="AT822" s="8">
        <f>SUM(AO822:AS822)</f>
        <v>0</v>
      </c>
      <c r="AV822" s="6"/>
      <c r="AW822" s="7"/>
      <c r="AX822" s="7"/>
      <c r="AY822" s="7"/>
      <c r="AZ822" s="7"/>
      <c r="BA822" s="8">
        <f>SUM(AV822:AZ822)</f>
        <v>0</v>
      </c>
      <c r="BC822" s="6"/>
      <c r="BD822" s="7"/>
      <c r="BE822" s="7"/>
      <c r="BF822" s="7"/>
      <c r="BG822" s="7"/>
      <c r="BH822" s="8">
        <f>SUM(BC822:BG822)</f>
        <v>0</v>
      </c>
      <c r="BJ822" s="6"/>
      <c r="BK822" s="7"/>
      <c r="BL822" s="7"/>
      <c r="BM822" s="7"/>
      <c r="BN822" s="7"/>
      <c r="BO822" s="8">
        <f>SUM(BJ822:BN822)</f>
        <v>0</v>
      </c>
      <c r="BQ822" s="6"/>
      <c r="BR822" s="7"/>
      <c r="BS822" s="7"/>
      <c r="BT822" s="7"/>
      <c r="BU822" s="7"/>
      <c r="BV822" s="8">
        <f>SUM(BQ822:BU822)</f>
        <v>0</v>
      </c>
      <c r="BX822" s="6"/>
      <c r="BY822" s="7"/>
      <c r="BZ822" s="7"/>
      <c r="CA822" s="7"/>
      <c r="CB822" s="7"/>
      <c r="CC822" s="8">
        <f>SUM(BX822:CB822)</f>
        <v>0</v>
      </c>
      <c r="CE822" s="493">
        <f t="shared" si="3734"/>
        <v>0</v>
      </c>
      <c r="CF822" s="494">
        <f t="shared" si="3735"/>
        <v>0</v>
      </c>
      <c r="CG822" s="494">
        <f t="shared" si="3736"/>
        <v>0</v>
      </c>
      <c r="CH822" s="494">
        <f t="shared" si="3737"/>
        <v>0</v>
      </c>
      <c r="CI822" s="494">
        <f t="shared" si="3738"/>
        <v>0</v>
      </c>
      <c r="CJ822" s="495">
        <f>SUM(CE822:CI822)</f>
        <v>0</v>
      </c>
      <c r="CL822" s="6"/>
      <c r="CM822" s="7"/>
      <c r="CN822" s="7"/>
      <c r="CO822" s="7"/>
      <c r="CP822" s="7"/>
      <c r="CQ822" s="8">
        <f>SUM(CL822:CP822)</f>
        <v>0</v>
      </c>
      <c r="CS822" s="6"/>
      <c r="CT822" s="7"/>
      <c r="CU822" s="7"/>
      <c r="CV822" s="7"/>
      <c r="CW822" s="7"/>
      <c r="CX822" s="8">
        <f t="shared" si="3743"/>
        <v>0</v>
      </c>
      <c r="CZ822" s="6"/>
      <c r="DA822" s="7"/>
      <c r="DB822" s="7"/>
      <c r="DC822" s="7"/>
      <c r="DD822" s="7"/>
      <c r="DE822" s="8">
        <f t="shared" si="3744"/>
        <v>0</v>
      </c>
    </row>
    <row r="823" spans="3:109" ht="14" thickBot="1">
      <c r="C823" s="554"/>
      <c r="E823" s="17"/>
      <c r="F823" s="10">
        <f>SUM(F819:F822)</f>
        <v>0</v>
      </c>
      <c r="G823" s="11">
        <f t="shared" ref="G823:J823" si="3745">SUM(G819:G822)</f>
        <v>0</v>
      </c>
      <c r="H823" s="11">
        <f t="shared" si="3745"/>
        <v>0</v>
      </c>
      <c r="I823" s="11">
        <f t="shared" si="3745"/>
        <v>0</v>
      </c>
      <c r="J823" s="11">
        <f t="shared" si="3745"/>
        <v>0</v>
      </c>
      <c r="K823" s="25">
        <f>SUM(K819:K822)</f>
        <v>0</v>
      </c>
      <c r="M823" s="10">
        <f>SUM(M819:M822)</f>
        <v>0</v>
      </c>
      <c r="N823" s="11">
        <f t="shared" ref="N823:Q823" si="3746">SUM(N819:N822)</f>
        <v>0</v>
      </c>
      <c r="O823" s="11">
        <f t="shared" si="3746"/>
        <v>0</v>
      </c>
      <c r="P823" s="11">
        <f t="shared" si="3746"/>
        <v>0</v>
      </c>
      <c r="Q823" s="11">
        <f t="shared" si="3746"/>
        <v>0</v>
      </c>
      <c r="R823" s="25">
        <f>SUM(R819:R822)</f>
        <v>0</v>
      </c>
      <c r="T823" s="10">
        <f>SUM(T819:T822)</f>
        <v>0</v>
      </c>
      <c r="U823" s="11">
        <f t="shared" ref="U823:X823" si="3747">SUM(U819:U822)</f>
        <v>0</v>
      </c>
      <c r="V823" s="11">
        <f t="shared" si="3747"/>
        <v>0</v>
      </c>
      <c r="W823" s="11">
        <f t="shared" si="3747"/>
        <v>0</v>
      </c>
      <c r="X823" s="11">
        <f t="shared" si="3747"/>
        <v>0</v>
      </c>
      <c r="Y823" s="25">
        <f>SUM(Y819:Y822)</f>
        <v>0</v>
      </c>
      <c r="AA823" s="10">
        <f>SUM(AA819:AA822)</f>
        <v>0</v>
      </c>
      <c r="AB823" s="11">
        <f t="shared" ref="AB823:AE823" si="3748">SUM(AB819:AB822)</f>
        <v>0</v>
      </c>
      <c r="AC823" s="11">
        <f t="shared" si="3748"/>
        <v>0</v>
      </c>
      <c r="AD823" s="11">
        <f t="shared" si="3748"/>
        <v>0</v>
      </c>
      <c r="AE823" s="11">
        <f t="shared" si="3748"/>
        <v>0</v>
      </c>
      <c r="AF823" s="25">
        <f>SUM(AF819:AF822)</f>
        <v>0</v>
      </c>
      <c r="AH823" s="10">
        <f t="shared" ref="AH823:AM823" si="3749">SUM(AH819:AH822)</f>
        <v>0</v>
      </c>
      <c r="AI823" s="11">
        <f t="shared" si="3749"/>
        <v>0</v>
      </c>
      <c r="AJ823" s="11">
        <f t="shared" si="3749"/>
        <v>0</v>
      </c>
      <c r="AK823" s="11">
        <f t="shared" si="3749"/>
        <v>0</v>
      </c>
      <c r="AL823" s="11">
        <f t="shared" si="3749"/>
        <v>0</v>
      </c>
      <c r="AM823" s="25">
        <f t="shared" si="3749"/>
        <v>0</v>
      </c>
      <c r="AO823" s="10">
        <f t="shared" ref="AO823:AT823" si="3750">SUM(AO819:AO822)</f>
        <v>0</v>
      </c>
      <c r="AP823" s="11">
        <f t="shared" si="3750"/>
        <v>0</v>
      </c>
      <c r="AQ823" s="11">
        <f t="shared" si="3750"/>
        <v>0</v>
      </c>
      <c r="AR823" s="11">
        <f t="shared" si="3750"/>
        <v>0</v>
      </c>
      <c r="AS823" s="11">
        <f t="shared" si="3750"/>
        <v>0</v>
      </c>
      <c r="AT823" s="25">
        <f t="shared" si="3750"/>
        <v>0</v>
      </c>
      <c r="AV823" s="10">
        <f t="shared" ref="AV823:BA823" si="3751">SUM(AV819:AV822)</f>
        <v>0</v>
      </c>
      <c r="AW823" s="11">
        <f t="shared" si="3751"/>
        <v>0</v>
      </c>
      <c r="AX823" s="11">
        <f t="shared" si="3751"/>
        <v>0</v>
      </c>
      <c r="AY823" s="11">
        <f t="shared" si="3751"/>
        <v>0</v>
      </c>
      <c r="AZ823" s="11">
        <f t="shared" si="3751"/>
        <v>0</v>
      </c>
      <c r="BA823" s="25">
        <f t="shared" si="3751"/>
        <v>0</v>
      </c>
      <c r="BC823" s="10">
        <f t="shared" ref="BC823:BH823" si="3752">SUM(BC819:BC822)</f>
        <v>0</v>
      </c>
      <c r="BD823" s="11">
        <f t="shared" si="3752"/>
        <v>0</v>
      </c>
      <c r="BE823" s="11">
        <f t="shared" si="3752"/>
        <v>0</v>
      </c>
      <c r="BF823" s="11">
        <f t="shared" si="3752"/>
        <v>0</v>
      </c>
      <c r="BG823" s="11">
        <f t="shared" si="3752"/>
        <v>0</v>
      </c>
      <c r="BH823" s="25">
        <f t="shared" si="3752"/>
        <v>0</v>
      </c>
      <c r="BJ823" s="10">
        <f t="shared" ref="BJ823:BO823" si="3753">SUM(BJ819:BJ822)</f>
        <v>0</v>
      </c>
      <c r="BK823" s="11">
        <f t="shared" si="3753"/>
        <v>0</v>
      </c>
      <c r="BL823" s="11">
        <f t="shared" si="3753"/>
        <v>0</v>
      </c>
      <c r="BM823" s="11">
        <f t="shared" si="3753"/>
        <v>0</v>
      </c>
      <c r="BN823" s="11">
        <f t="shared" si="3753"/>
        <v>0</v>
      </c>
      <c r="BO823" s="25">
        <f t="shared" si="3753"/>
        <v>0</v>
      </c>
      <c r="BQ823" s="10">
        <f t="shared" ref="BQ823:BV823" si="3754">SUM(BQ819:BQ822)</f>
        <v>0</v>
      </c>
      <c r="BR823" s="11">
        <f t="shared" si="3754"/>
        <v>0</v>
      </c>
      <c r="BS823" s="11">
        <f t="shared" si="3754"/>
        <v>0</v>
      </c>
      <c r="BT823" s="11">
        <f t="shared" si="3754"/>
        <v>0</v>
      </c>
      <c r="BU823" s="11">
        <f t="shared" si="3754"/>
        <v>0</v>
      </c>
      <c r="BV823" s="25">
        <f t="shared" si="3754"/>
        <v>0</v>
      </c>
      <c r="BX823" s="10">
        <f t="shared" ref="BX823:CC823" si="3755">SUM(BX819:BX822)</f>
        <v>0</v>
      </c>
      <c r="BY823" s="11">
        <f t="shared" si="3755"/>
        <v>0</v>
      </c>
      <c r="BZ823" s="11">
        <f t="shared" si="3755"/>
        <v>0</v>
      </c>
      <c r="CA823" s="11">
        <f t="shared" si="3755"/>
        <v>0</v>
      </c>
      <c r="CB823" s="11">
        <f t="shared" si="3755"/>
        <v>0</v>
      </c>
      <c r="CC823" s="25">
        <f t="shared" si="3755"/>
        <v>0</v>
      </c>
      <c r="CE823" s="62">
        <f t="shared" ref="CE823:CJ823" si="3756">SUM(CE819:CE822)</f>
        <v>0</v>
      </c>
      <c r="CF823" s="63">
        <f t="shared" si="3756"/>
        <v>0</v>
      </c>
      <c r="CG823" s="63">
        <f t="shared" si="3756"/>
        <v>0</v>
      </c>
      <c r="CH823" s="63">
        <f t="shared" si="3756"/>
        <v>0</v>
      </c>
      <c r="CI823" s="63">
        <f t="shared" si="3756"/>
        <v>0</v>
      </c>
      <c r="CJ823" s="25">
        <f t="shared" si="3756"/>
        <v>0</v>
      </c>
      <c r="CL823" s="10">
        <f>SUM(CL819:CL822)</f>
        <v>0</v>
      </c>
      <c r="CM823" s="11">
        <f t="shared" ref="CM823:CQ823" si="3757">SUM(CM819:CM822)</f>
        <v>0</v>
      </c>
      <c r="CN823" s="11">
        <f t="shared" si="3757"/>
        <v>0</v>
      </c>
      <c r="CO823" s="11">
        <f t="shared" si="3757"/>
        <v>0</v>
      </c>
      <c r="CP823" s="11">
        <f t="shared" si="3757"/>
        <v>0</v>
      </c>
      <c r="CQ823" s="25">
        <f t="shared" si="3757"/>
        <v>0</v>
      </c>
      <c r="CS823" s="10">
        <f>SUM(CS819:CS822)</f>
        <v>0</v>
      </c>
      <c r="CT823" s="11">
        <f t="shared" ref="CT823:CW823" si="3758">SUM(CT819:CT822)</f>
        <v>0</v>
      </c>
      <c r="CU823" s="11">
        <f t="shared" si="3758"/>
        <v>0</v>
      </c>
      <c r="CV823" s="11">
        <f t="shared" si="3758"/>
        <v>0</v>
      </c>
      <c r="CW823" s="11">
        <f t="shared" si="3758"/>
        <v>0</v>
      </c>
      <c r="CX823" s="25">
        <f>SUM(CX819:CX822)</f>
        <v>0</v>
      </c>
      <c r="CZ823" s="10">
        <f>SUM(CZ819:CZ822)</f>
        <v>0</v>
      </c>
      <c r="DA823" s="11">
        <f t="shared" ref="DA823:DD823" si="3759">SUM(DA819:DA822)</f>
        <v>0</v>
      </c>
      <c r="DB823" s="11">
        <f t="shared" si="3759"/>
        <v>0</v>
      </c>
      <c r="DC823" s="11">
        <f t="shared" si="3759"/>
        <v>0</v>
      </c>
      <c r="DD823" s="11">
        <f t="shared" si="3759"/>
        <v>0</v>
      </c>
      <c r="DE823" s="25">
        <f>SUM(DE819:DE822)</f>
        <v>0</v>
      </c>
    </row>
    <row r="824" spans="3:109" ht="10.4" customHeight="1" thickBot="1"/>
    <row r="825" spans="3:109">
      <c r="C825" s="553">
        <v>2027</v>
      </c>
      <c r="E825" s="13" t="s">
        <v>59</v>
      </c>
      <c r="F825" s="21">
        <f>CE819</f>
        <v>0</v>
      </c>
      <c r="G825" s="22">
        <f t="shared" ref="G825:G828" si="3760">CF819</f>
        <v>0</v>
      </c>
      <c r="H825" s="22">
        <f t="shared" ref="H825:H828" si="3761">CG819</f>
        <v>0</v>
      </c>
      <c r="I825" s="22">
        <f t="shared" ref="I825:I828" si="3762">CH819</f>
        <v>0</v>
      </c>
      <c r="J825" s="22">
        <f t="shared" ref="J825:J828" si="3763">CI819</f>
        <v>0</v>
      </c>
      <c r="K825" s="4">
        <f>SUM(F825:J825)</f>
        <v>0</v>
      </c>
      <c r="M825" s="2"/>
      <c r="N825" s="3"/>
      <c r="O825" s="3"/>
      <c r="P825" s="3"/>
      <c r="Q825" s="3"/>
      <c r="R825" s="4">
        <f>SUM(M825:Q825)</f>
        <v>0</v>
      </c>
      <c r="T825" s="2"/>
      <c r="U825" s="3"/>
      <c r="V825" s="3"/>
      <c r="W825" s="3"/>
      <c r="X825" s="3"/>
      <c r="Y825" s="4">
        <f>SUM(T825:X825)</f>
        <v>0</v>
      </c>
      <c r="AA825" s="2"/>
      <c r="AB825" s="3"/>
      <c r="AC825" s="3"/>
      <c r="AD825" s="3"/>
      <c r="AE825" s="3"/>
      <c r="AF825" s="4">
        <f>SUM(AA825:AE825)</f>
        <v>0</v>
      </c>
      <c r="AH825" s="2"/>
      <c r="AI825" s="3"/>
      <c r="AJ825" s="3"/>
      <c r="AK825" s="3"/>
      <c r="AL825" s="3"/>
      <c r="AM825" s="4">
        <f>SUM(AH825:AL825)</f>
        <v>0</v>
      </c>
      <c r="AO825" s="2"/>
      <c r="AP825" s="3"/>
      <c r="AQ825" s="3"/>
      <c r="AR825" s="3"/>
      <c r="AS825" s="3"/>
      <c r="AT825" s="4">
        <f>SUM(AO825:AS825)</f>
        <v>0</v>
      </c>
      <c r="AV825" s="2"/>
      <c r="AW825" s="3"/>
      <c r="AX825" s="3"/>
      <c r="AY825" s="3"/>
      <c r="AZ825" s="3"/>
      <c r="BA825" s="4">
        <f>SUM(AV825:AZ825)</f>
        <v>0</v>
      </c>
      <c r="BC825" s="2"/>
      <c r="BD825" s="3"/>
      <c r="BE825" s="3"/>
      <c r="BF825" s="3"/>
      <c r="BG825" s="3"/>
      <c r="BH825" s="4">
        <f>SUM(BC825:BG825)</f>
        <v>0</v>
      </c>
      <c r="BJ825" s="2"/>
      <c r="BK825" s="3"/>
      <c r="BL825" s="3"/>
      <c r="BM825" s="3"/>
      <c r="BN825" s="3"/>
      <c r="BO825" s="4">
        <f>SUM(BJ825:BN825)</f>
        <v>0</v>
      </c>
      <c r="BQ825" s="2"/>
      <c r="BR825" s="3"/>
      <c r="BS825" s="3"/>
      <c r="BT825" s="3"/>
      <c r="BU825" s="3"/>
      <c r="BV825" s="4">
        <f>SUM(BQ825:BU825)</f>
        <v>0</v>
      </c>
      <c r="BX825" s="2"/>
      <c r="BY825" s="3"/>
      <c r="BZ825" s="3"/>
      <c r="CA825" s="3"/>
      <c r="CB825" s="3"/>
      <c r="CC825" s="4">
        <f>SUM(BX825:CB825)</f>
        <v>0</v>
      </c>
      <c r="CE825" s="26">
        <f t="shared" ref="CE825:CE828" si="3764">F825+M825+T825+AA825+AH825+AO825+AV825+BC825+BJ825+BQ825+BX825</f>
        <v>0</v>
      </c>
      <c r="CF825" s="27">
        <f t="shared" ref="CF825:CF828" si="3765">G825+N825+U825+AB825+AI825+AP825+AW825+BD825+BK825+BR825+BY825</f>
        <v>0</v>
      </c>
      <c r="CG825" s="27">
        <f t="shared" ref="CG825:CG828" si="3766">H825+O825+V825+AC825+AJ825+AQ825+AX825+BE825+BL825+BS825+BZ825</f>
        <v>0</v>
      </c>
      <c r="CH825" s="27">
        <f t="shared" ref="CH825:CH828" si="3767">I825+P825+W825+AD825+AK825+AR825+AY825+BF825+BM825+BT825+CA825</f>
        <v>0</v>
      </c>
      <c r="CI825" s="27">
        <f t="shared" ref="CI825:CI828" si="3768">J825+Q825+X825+AE825+AL825+AS825+AZ825+BG825+BN825+BU825+CB825</f>
        <v>0</v>
      </c>
      <c r="CJ825" s="4">
        <f>SUM(CE825:CI825)</f>
        <v>0</v>
      </c>
      <c r="CL825" s="2"/>
      <c r="CM825" s="3"/>
      <c r="CN825" s="3"/>
      <c r="CO825" s="3"/>
      <c r="CP825" s="3"/>
      <c r="CQ825" s="4">
        <f>SUM(CL825:CP825)</f>
        <v>0</v>
      </c>
      <c r="CS825" s="2"/>
      <c r="CT825" s="3"/>
      <c r="CU825" s="3"/>
      <c r="CV825" s="3"/>
      <c r="CW825" s="3"/>
      <c r="CX825" s="4">
        <f>SUM(CS825:CW825)</f>
        <v>0</v>
      </c>
      <c r="CZ825" s="2"/>
      <c r="DA825" s="3"/>
      <c r="DB825" s="3"/>
      <c r="DC825" s="3"/>
      <c r="DD825" s="3"/>
      <c r="DE825" s="4">
        <f>SUM(CZ825:DD825)</f>
        <v>0</v>
      </c>
    </row>
    <row r="826" spans="3:109">
      <c r="C826" s="567"/>
      <c r="E826" s="14" t="s">
        <v>60</v>
      </c>
      <c r="F826" s="23">
        <f t="shared" ref="F826:F828" si="3769">CE820</f>
        <v>0</v>
      </c>
      <c r="G826" s="24">
        <f t="shared" si="3760"/>
        <v>0</v>
      </c>
      <c r="H826" s="24">
        <f t="shared" si="3761"/>
        <v>0</v>
      </c>
      <c r="I826" s="24">
        <f t="shared" si="3762"/>
        <v>0</v>
      </c>
      <c r="J826" s="24">
        <f t="shared" si="3763"/>
        <v>0</v>
      </c>
      <c r="K826" s="8">
        <f t="shared" ref="K826:K828" si="3770">SUM(F826:J826)</f>
        <v>0</v>
      </c>
      <c r="M826" s="6"/>
      <c r="N826" s="7"/>
      <c r="O826" s="7"/>
      <c r="P826" s="7"/>
      <c r="Q826" s="7"/>
      <c r="R826" s="8">
        <f t="shared" ref="R826:R828" si="3771">SUM(M826:Q826)</f>
        <v>0</v>
      </c>
      <c r="T826" s="6"/>
      <c r="U826" s="7"/>
      <c r="V826" s="7"/>
      <c r="W826" s="7"/>
      <c r="X826" s="7"/>
      <c r="Y826" s="8">
        <f t="shared" ref="Y826:Y828" si="3772">SUM(T826:X826)</f>
        <v>0</v>
      </c>
      <c r="AA826" s="6"/>
      <c r="AB826" s="7"/>
      <c r="AC826" s="7"/>
      <c r="AD826" s="7"/>
      <c r="AE826" s="7"/>
      <c r="AF826" s="8">
        <f>SUM(AA826:AE826)</f>
        <v>0</v>
      </c>
      <c r="AH826" s="6"/>
      <c r="AI826" s="7"/>
      <c r="AJ826" s="7"/>
      <c r="AK826" s="7"/>
      <c r="AL826" s="7"/>
      <c r="AM826" s="8">
        <f>SUM(AH826:AL826)</f>
        <v>0</v>
      </c>
      <c r="AO826" s="6"/>
      <c r="AP826" s="7"/>
      <c r="AQ826" s="7"/>
      <c r="AR826" s="7"/>
      <c r="AS826" s="7"/>
      <c r="AT826" s="8">
        <f>SUM(AO826:AS826)</f>
        <v>0</v>
      </c>
      <c r="AV826" s="6"/>
      <c r="AW826" s="7"/>
      <c r="AX826" s="7"/>
      <c r="AY826" s="7"/>
      <c r="AZ826" s="7"/>
      <c r="BA826" s="8">
        <f>SUM(AV826:AZ826)</f>
        <v>0</v>
      </c>
      <c r="BC826" s="6"/>
      <c r="BD826" s="7"/>
      <c r="BE826" s="7"/>
      <c r="BF826" s="7"/>
      <c r="BG826" s="7"/>
      <c r="BH826" s="8">
        <f>SUM(BC826:BG826)</f>
        <v>0</v>
      </c>
      <c r="BJ826" s="6"/>
      <c r="BK826" s="7"/>
      <c r="BL826" s="7"/>
      <c r="BM826" s="7"/>
      <c r="BN826" s="7"/>
      <c r="BO826" s="8">
        <f>SUM(BJ826:BN826)</f>
        <v>0</v>
      </c>
      <c r="BQ826" s="6"/>
      <c r="BR826" s="7"/>
      <c r="BS826" s="7"/>
      <c r="BT826" s="7"/>
      <c r="BU826" s="7"/>
      <c r="BV826" s="8">
        <f>SUM(BQ826:BU826)</f>
        <v>0</v>
      </c>
      <c r="BX826" s="6"/>
      <c r="BY826" s="7"/>
      <c r="BZ826" s="7"/>
      <c r="CA826" s="7"/>
      <c r="CB826" s="7"/>
      <c r="CC826" s="8">
        <f>SUM(BX826:CB826)</f>
        <v>0</v>
      </c>
      <c r="CE826" s="28">
        <f t="shared" si="3764"/>
        <v>0</v>
      </c>
      <c r="CF826" s="29">
        <f t="shared" si="3765"/>
        <v>0</v>
      </c>
      <c r="CG826" s="29">
        <f t="shared" si="3766"/>
        <v>0</v>
      </c>
      <c r="CH826" s="29">
        <f t="shared" si="3767"/>
        <v>0</v>
      </c>
      <c r="CI826" s="29">
        <f t="shared" si="3768"/>
        <v>0</v>
      </c>
      <c r="CJ826" s="8">
        <f>SUM(CE826:CI826)</f>
        <v>0</v>
      </c>
      <c r="CL826" s="6"/>
      <c r="CM826" s="7"/>
      <c r="CN826" s="7"/>
      <c r="CO826" s="7"/>
      <c r="CP826" s="7"/>
      <c r="CQ826" s="8">
        <f>SUM(CL826:CP826)</f>
        <v>0</v>
      </c>
      <c r="CS826" s="6"/>
      <c r="CT826" s="7"/>
      <c r="CU826" s="7"/>
      <c r="CV826" s="7"/>
      <c r="CW826" s="7"/>
      <c r="CX826" s="8">
        <f t="shared" ref="CX826:CX828" si="3773">SUM(CS826:CW826)</f>
        <v>0</v>
      </c>
      <c r="CZ826" s="6"/>
      <c r="DA826" s="7"/>
      <c r="DB826" s="7"/>
      <c r="DC826" s="7"/>
      <c r="DD826" s="7"/>
      <c r="DE826" s="8">
        <f t="shared" ref="DE826:DE828" si="3774">SUM(CZ826:DD826)</f>
        <v>0</v>
      </c>
    </row>
    <row r="827" spans="3:109">
      <c r="C827" s="567"/>
      <c r="E827" s="14" t="s">
        <v>61</v>
      </c>
      <c r="F827" s="23">
        <f t="shared" si="3769"/>
        <v>0</v>
      </c>
      <c r="G827" s="24">
        <f t="shared" si="3760"/>
        <v>0</v>
      </c>
      <c r="H827" s="24">
        <f t="shared" si="3761"/>
        <v>0</v>
      </c>
      <c r="I827" s="24">
        <f t="shared" si="3762"/>
        <v>0</v>
      </c>
      <c r="J827" s="24">
        <f t="shared" si="3763"/>
        <v>0</v>
      </c>
      <c r="K827" s="8">
        <f t="shared" si="3770"/>
        <v>0</v>
      </c>
      <c r="M827" s="6"/>
      <c r="N827" s="7"/>
      <c r="O827" s="7"/>
      <c r="P827" s="7"/>
      <c r="Q827" s="7"/>
      <c r="R827" s="8">
        <f t="shared" si="3771"/>
        <v>0</v>
      </c>
      <c r="T827" s="6"/>
      <c r="U827" s="7"/>
      <c r="V827" s="7"/>
      <c r="W827" s="7"/>
      <c r="X827" s="7"/>
      <c r="Y827" s="8">
        <f t="shared" si="3772"/>
        <v>0</v>
      </c>
      <c r="AA827" s="6"/>
      <c r="AB827" s="7"/>
      <c r="AC827" s="7"/>
      <c r="AD827" s="7"/>
      <c r="AE827" s="7"/>
      <c r="AF827" s="8">
        <f>SUM(AA827:AE827)</f>
        <v>0</v>
      </c>
      <c r="AH827" s="6"/>
      <c r="AI827" s="7"/>
      <c r="AJ827" s="7"/>
      <c r="AK827" s="7"/>
      <c r="AL827" s="7"/>
      <c r="AM827" s="8">
        <f>SUM(AH827:AL827)</f>
        <v>0</v>
      </c>
      <c r="AO827" s="6"/>
      <c r="AP827" s="7"/>
      <c r="AQ827" s="7"/>
      <c r="AR827" s="7"/>
      <c r="AS827" s="7"/>
      <c r="AT827" s="8">
        <f>SUM(AO827:AS827)</f>
        <v>0</v>
      </c>
      <c r="AV827" s="6"/>
      <c r="AW827" s="7"/>
      <c r="AX827" s="7"/>
      <c r="AY827" s="7"/>
      <c r="AZ827" s="7"/>
      <c r="BA827" s="8">
        <f>SUM(AV827:AZ827)</f>
        <v>0</v>
      </c>
      <c r="BC827" s="6"/>
      <c r="BD827" s="7"/>
      <c r="BE827" s="7"/>
      <c r="BF827" s="7"/>
      <c r="BG827" s="7"/>
      <c r="BH827" s="8">
        <f>SUM(BC827:BG827)</f>
        <v>0</v>
      </c>
      <c r="BJ827" s="6"/>
      <c r="BK827" s="7"/>
      <c r="BL827" s="7"/>
      <c r="BM827" s="7"/>
      <c r="BN827" s="7"/>
      <c r="BO827" s="8">
        <f>SUM(BJ827:BN827)</f>
        <v>0</v>
      </c>
      <c r="BQ827" s="6"/>
      <c r="BR827" s="7"/>
      <c r="BS827" s="7"/>
      <c r="BT827" s="7"/>
      <c r="BU827" s="7"/>
      <c r="BV827" s="8">
        <f>SUM(BQ827:BU827)</f>
        <v>0</v>
      </c>
      <c r="BX827" s="6"/>
      <c r="BY827" s="7"/>
      <c r="BZ827" s="7"/>
      <c r="CA827" s="7"/>
      <c r="CB827" s="7"/>
      <c r="CC827" s="8">
        <f>SUM(BX827:CB827)</f>
        <v>0</v>
      </c>
      <c r="CE827" s="28">
        <f t="shared" si="3764"/>
        <v>0</v>
      </c>
      <c r="CF827" s="29">
        <f t="shared" si="3765"/>
        <v>0</v>
      </c>
      <c r="CG827" s="29">
        <f t="shared" si="3766"/>
        <v>0</v>
      </c>
      <c r="CH827" s="29">
        <f t="shared" si="3767"/>
        <v>0</v>
      </c>
      <c r="CI827" s="29">
        <f t="shared" si="3768"/>
        <v>0</v>
      </c>
      <c r="CJ827" s="8">
        <f>SUM(CE827:CI827)</f>
        <v>0</v>
      </c>
      <c r="CL827" s="6"/>
      <c r="CM827" s="7"/>
      <c r="CN827" s="7"/>
      <c r="CO827" s="7"/>
      <c r="CP827" s="7"/>
      <c r="CQ827" s="8">
        <f>SUM(CL827:CP827)</f>
        <v>0</v>
      </c>
      <c r="CS827" s="6"/>
      <c r="CT827" s="7"/>
      <c r="CU827" s="7"/>
      <c r="CV827" s="7"/>
      <c r="CW827" s="7"/>
      <c r="CX827" s="8">
        <f t="shared" si="3773"/>
        <v>0</v>
      </c>
      <c r="CZ827" s="6"/>
      <c r="DA827" s="7"/>
      <c r="DB827" s="7"/>
      <c r="DC827" s="7"/>
      <c r="DD827" s="7"/>
      <c r="DE827" s="8">
        <f t="shared" si="3774"/>
        <v>0</v>
      </c>
    </row>
    <row r="828" spans="3:109" ht="14" thickBot="1">
      <c r="C828" s="567"/>
      <c r="E828" s="14" t="s">
        <v>62</v>
      </c>
      <c r="F828" s="23">
        <f t="shared" si="3769"/>
        <v>0</v>
      </c>
      <c r="G828" s="24">
        <f t="shared" si="3760"/>
        <v>0</v>
      </c>
      <c r="H828" s="24">
        <f t="shared" si="3761"/>
        <v>0</v>
      </c>
      <c r="I828" s="24">
        <f t="shared" si="3762"/>
        <v>0</v>
      </c>
      <c r="J828" s="24">
        <f t="shared" si="3763"/>
        <v>0</v>
      </c>
      <c r="K828" s="8">
        <f t="shared" si="3770"/>
        <v>0</v>
      </c>
      <c r="M828" s="6"/>
      <c r="N828" s="7"/>
      <c r="O828" s="7"/>
      <c r="P828" s="7"/>
      <c r="Q828" s="7"/>
      <c r="R828" s="8">
        <f t="shared" si="3771"/>
        <v>0</v>
      </c>
      <c r="T828" s="6"/>
      <c r="U828" s="7"/>
      <c r="V828" s="7"/>
      <c r="W828" s="7"/>
      <c r="X828" s="7"/>
      <c r="Y828" s="8">
        <f t="shared" si="3772"/>
        <v>0</v>
      </c>
      <c r="AA828" s="6"/>
      <c r="AB828" s="7"/>
      <c r="AC828" s="7"/>
      <c r="AD828" s="7"/>
      <c r="AE828" s="7"/>
      <c r="AF828" s="8">
        <f>SUM(AA828:AE828)</f>
        <v>0</v>
      </c>
      <c r="AH828" s="6"/>
      <c r="AI828" s="7"/>
      <c r="AJ828" s="7"/>
      <c r="AK828" s="7"/>
      <c r="AL828" s="7"/>
      <c r="AM828" s="8">
        <f>SUM(AH828:AL828)</f>
        <v>0</v>
      </c>
      <c r="AO828" s="6"/>
      <c r="AP828" s="7"/>
      <c r="AQ828" s="7"/>
      <c r="AR828" s="7"/>
      <c r="AS828" s="7"/>
      <c r="AT828" s="8">
        <f>SUM(AO828:AS828)</f>
        <v>0</v>
      </c>
      <c r="AV828" s="6"/>
      <c r="AW828" s="7"/>
      <c r="AX828" s="7"/>
      <c r="AY828" s="7"/>
      <c r="AZ828" s="7"/>
      <c r="BA828" s="8">
        <f>SUM(AV828:AZ828)</f>
        <v>0</v>
      </c>
      <c r="BC828" s="6"/>
      <c r="BD828" s="7"/>
      <c r="BE828" s="7"/>
      <c r="BF828" s="7"/>
      <c r="BG828" s="7"/>
      <c r="BH828" s="8">
        <f>SUM(BC828:BG828)</f>
        <v>0</v>
      </c>
      <c r="BJ828" s="6"/>
      <c r="BK828" s="7"/>
      <c r="BL828" s="7"/>
      <c r="BM828" s="7"/>
      <c r="BN828" s="7"/>
      <c r="BO828" s="8">
        <f>SUM(BJ828:BN828)</f>
        <v>0</v>
      </c>
      <c r="BQ828" s="6"/>
      <c r="BR828" s="7"/>
      <c r="BS828" s="7"/>
      <c r="BT828" s="7"/>
      <c r="BU828" s="7"/>
      <c r="BV828" s="8">
        <f>SUM(BQ828:BU828)</f>
        <v>0</v>
      </c>
      <c r="BX828" s="6"/>
      <c r="BY828" s="7"/>
      <c r="BZ828" s="7"/>
      <c r="CA828" s="7"/>
      <c r="CB828" s="7"/>
      <c r="CC828" s="8">
        <f>SUM(BX828:CB828)</f>
        <v>0</v>
      </c>
      <c r="CE828" s="493">
        <f t="shared" si="3764"/>
        <v>0</v>
      </c>
      <c r="CF828" s="494">
        <f t="shared" si="3765"/>
        <v>0</v>
      </c>
      <c r="CG828" s="494">
        <f t="shared" si="3766"/>
        <v>0</v>
      </c>
      <c r="CH828" s="494">
        <f t="shared" si="3767"/>
        <v>0</v>
      </c>
      <c r="CI828" s="494">
        <f t="shared" si="3768"/>
        <v>0</v>
      </c>
      <c r="CJ828" s="495">
        <f>SUM(CE828:CI828)</f>
        <v>0</v>
      </c>
      <c r="CL828" s="6"/>
      <c r="CM828" s="7"/>
      <c r="CN828" s="7"/>
      <c r="CO828" s="7"/>
      <c r="CP828" s="7"/>
      <c r="CQ828" s="8">
        <f>SUM(CL828:CP828)</f>
        <v>0</v>
      </c>
      <c r="CS828" s="6"/>
      <c r="CT828" s="7"/>
      <c r="CU828" s="7"/>
      <c r="CV828" s="7"/>
      <c r="CW828" s="7"/>
      <c r="CX828" s="8">
        <f t="shared" si="3773"/>
        <v>0</v>
      </c>
      <c r="CZ828" s="6"/>
      <c r="DA828" s="7"/>
      <c r="DB828" s="7"/>
      <c r="DC828" s="7"/>
      <c r="DD828" s="7"/>
      <c r="DE828" s="8">
        <f t="shared" si="3774"/>
        <v>0</v>
      </c>
    </row>
    <row r="829" spans="3:109" ht="14" thickBot="1">
      <c r="C829" s="554"/>
      <c r="E829" s="17"/>
      <c r="F829" s="10">
        <f>SUM(F825:F828)</f>
        <v>0</v>
      </c>
      <c r="G829" s="11">
        <f t="shared" ref="G829:J829" si="3775">SUM(G825:G828)</f>
        <v>0</v>
      </c>
      <c r="H829" s="11">
        <f t="shared" si="3775"/>
        <v>0</v>
      </c>
      <c r="I829" s="11">
        <f t="shared" si="3775"/>
        <v>0</v>
      </c>
      <c r="J829" s="11">
        <f t="shared" si="3775"/>
        <v>0</v>
      </c>
      <c r="K829" s="25">
        <f>SUM(K825:K828)</f>
        <v>0</v>
      </c>
      <c r="M829" s="10">
        <f>SUM(M825:M828)</f>
        <v>0</v>
      </c>
      <c r="N829" s="11">
        <f t="shared" ref="N829:Q829" si="3776">SUM(N825:N828)</f>
        <v>0</v>
      </c>
      <c r="O829" s="11">
        <f t="shared" si="3776"/>
        <v>0</v>
      </c>
      <c r="P829" s="11">
        <f t="shared" si="3776"/>
        <v>0</v>
      </c>
      <c r="Q829" s="11">
        <f t="shared" si="3776"/>
        <v>0</v>
      </c>
      <c r="R829" s="25">
        <f>SUM(R825:R828)</f>
        <v>0</v>
      </c>
      <c r="T829" s="10">
        <f>SUM(T825:T828)</f>
        <v>0</v>
      </c>
      <c r="U829" s="11">
        <f t="shared" ref="U829:X829" si="3777">SUM(U825:U828)</f>
        <v>0</v>
      </c>
      <c r="V829" s="11">
        <f t="shared" si="3777"/>
        <v>0</v>
      </c>
      <c r="W829" s="11">
        <f t="shared" si="3777"/>
        <v>0</v>
      </c>
      <c r="X829" s="11">
        <f t="shared" si="3777"/>
        <v>0</v>
      </c>
      <c r="Y829" s="25">
        <f>SUM(Y825:Y828)</f>
        <v>0</v>
      </c>
      <c r="AA829" s="10">
        <f>SUM(AA825:AA828)</f>
        <v>0</v>
      </c>
      <c r="AB829" s="11">
        <f t="shared" ref="AB829:AE829" si="3778">SUM(AB825:AB828)</f>
        <v>0</v>
      </c>
      <c r="AC829" s="11">
        <f t="shared" si="3778"/>
        <v>0</v>
      </c>
      <c r="AD829" s="11">
        <f t="shared" si="3778"/>
        <v>0</v>
      </c>
      <c r="AE829" s="11">
        <f t="shared" si="3778"/>
        <v>0</v>
      </c>
      <c r="AF829" s="25">
        <f>SUM(AF825:AF828)</f>
        <v>0</v>
      </c>
      <c r="AH829" s="10">
        <f t="shared" ref="AH829:AM829" si="3779">SUM(AH825:AH828)</f>
        <v>0</v>
      </c>
      <c r="AI829" s="11">
        <f t="shared" si="3779"/>
        <v>0</v>
      </c>
      <c r="AJ829" s="11">
        <f t="shared" si="3779"/>
        <v>0</v>
      </c>
      <c r="AK829" s="11">
        <f t="shared" si="3779"/>
        <v>0</v>
      </c>
      <c r="AL829" s="11">
        <f t="shared" si="3779"/>
        <v>0</v>
      </c>
      <c r="AM829" s="25">
        <f t="shared" si="3779"/>
        <v>0</v>
      </c>
      <c r="AO829" s="10">
        <f t="shared" ref="AO829:AT829" si="3780">SUM(AO825:AO828)</f>
        <v>0</v>
      </c>
      <c r="AP829" s="11">
        <f t="shared" si="3780"/>
        <v>0</v>
      </c>
      <c r="AQ829" s="11">
        <f t="shared" si="3780"/>
        <v>0</v>
      </c>
      <c r="AR829" s="11">
        <f t="shared" si="3780"/>
        <v>0</v>
      </c>
      <c r="AS829" s="11">
        <f t="shared" si="3780"/>
        <v>0</v>
      </c>
      <c r="AT829" s="25">
        <f t="shared" si="3780"/>
        <v>0</v>
      </c>
      <c r="AV829" s="10">
        <f t="shared" ref="AV829:BA829" si="3781">SUM(AV825:AV828)</f>
        <v>0</v>
      </c>
      <c r="AW829" s="11">
        <f t="shared" si="3781"/>
        <v>0</v>
      </c>
      <c r="AX829" s="11">
        <f t="shared" si="3781"/>
        <v>0</v>
      </c>
      <c r="AY829" s="11">
        <f t="shared" si="3781"/>
        <v>0</v>
      </c>
      <c r="AZ829" s="11">
        <f t="shared" si="3781"/>
        <v>0</v>
      </c>
      <c r="BA829" s="25">
        <f t="shared" si="3781"/>
        <v>0</v>
      </c>
      <c r="BC829" s="10">
        <f t="shared" ref="BC829:BH829" si="3782">SUM(BC825:BC828)</f>
        <v>0</v>
      </c>
      <c r="BD829" s="11">
        <f t="shared" si="3782"/>
        <v>0</v>
      </c>
      <c r="BE829" s="11">
        <f t="shared" si="3782"/>
        <v>0</v>
      </c>
      <c r="BF829" s="11">
        <f t="shared" si="3782"/>
        <v>0</v>
      </c>
      <c r="BG829" s="11">
        <f t="shared" si="3782"/>
        <v>0</v>
      </c>
      <c r="BH829" s="25">
        <f t="shared" si="3782"/>
        <v>0</v>
      </c>
      <c r="BJ829" s="10">
        <f t="shared" ref="BJ829:BO829" si="3783">SUM(BJ825:BJ828)</f>
        <v>0</v>
      </c>
      <c r="BK829" s="11">
        <f t="shared" si="3783"/>
        <v>0</v>
      </c>
      <c r="BL829" s="11">
        <f t="shared" si="3783"/>
        <v>0</v>
      </c>
      <c r="BM829" s="11">
        <f t="shared" si="3783"/>
        <v>0</v>
      </c>
      <c r="BN829" s="11">
        <f t="shared" si="3783"/>
        <v>0</v>
      </c>
      <c r="BO829" s="25">
        <f t="shared" si="3783"/>
        <v>0</v>
      </c>
      <c r="BQ829" s="10">
        <f t="shared" ref="BQ829:BV829" si="3784">SUM(BQ825:BQ828)</f>
        <v>0</v>
      </c>
      <c r="BR829" s="11">
        <f t="shared" si="3784"/>
        <v>0</v>
      </c>
      <c r="BS829" s="11">
        <f t="shared" si="3784"/>
        <v>0</v>
      </c>
      <c r="BT829" s="11">
        <f t="shared" si="3784"/>
        <v>0</v>
      </c>
      <c r="BU829" s="11">
        <f t="shared" si="3784"/>
        <v>0</v>
      </c>
      <c r="BV829" s="25">
        <f t="shared" si="3784"/>
        <v>0</v>
      </c>
      <c r="BX829" s="10">
        <f t="shared" ref="BX829:CC829" si="3785">SUM(BX825:BX828)</f>
        <v>0</v>
      </c>
      <c r="BY829" s="11">
        <f t="shared" si="3785"/>
        <v>0</v>
      </c>
      <c r="BZ829" s="11">
        <f t="shared" si="3785"/>
        <v>0</v>
      </c>
      <c r="CA829" s="11">
        <f t="shared" si="3785"/>
        <v>0</v>
      </c>
      <c r="CB829" s="11">
        <f t="shared" si="3785"/>
        <v>0</v>
      </c>
      <c r="CC829" s="25">
        <f t="shared" si="3785"/>
        <v>0</v>
      </c>
      <c r="CE829" s="62">
        <f t="shared" ref="CE829:CJ829" si="3786">SUM(CE825:CE828)</f>
        <v>0</v>
      </c>
      <c r="CF829" s="63">
        <f t="shared" si="3786"/>
        <v>0</v>
      </c>
      <c r="CG829" s="63">
        <f t="shared" si="3786"/>
        <v>0</v>
      </c>
      <c r="CH829" s="63">
        <f t="shared" si="3786"/>
        <v>0</v>
      </c>
      <c r="CI829" s="63">
        <f t="shared" si="3786"/>
        <v>0</v>
      </c>
      <c r="CJ829" s="25">
        <f t="shared" si="3786"/>
        <v>0</v>
      </c>
      <c r="CL829" s="10">
        <f>SUM(CL825:CL828)</f>
        <v>0</v>
      </c>
      <c r="CM829" s="11">
        <f t="shared" ref="CM829:CQ829" si="3787">SUM(CM825:CM828)</f>
        <v>0</v>
      </c>
      <c r="CN829" s="11">
        <f t="shared" si="3787"/>
        <v>0</v>
      </c>
      <c r="CO829" s="11">
        <f t="shared" si="3787"/>
        <v>0</v>
      </c>
      <c r="CP829" s="11">
        <f t="shared" si="3787"/>
        <v>0</v>
      </c>
      <c r="CQ829" s="25">
        <f t="shared" si="3787"/>
        <v>0</v>
      </c>
      <c r="CS829" s="10">
        <f>SUM(CS825:CS828)</f>
        <v>0</v>
      </c>
      <c r="CT829" s="11">
        <f t="shared" ref="CT829:CW829" si="3788">SUM(CT825:CT828)</f>
        <v>0</v>
      </c>
      <c r="CU829" s="11">
        <f t="shared" si="3788"/>
        <v>0</v>
      </c>
      <c r="CV829" s="11">
        <f t="shared" si="3788"/>
        <v>0</v>
      </c>
      <c r="CW829" s="11">
        <f t="shared" si="3788"/>
        <v>0</v>
      </c>
      <c r="CX829" s="25">
        <f>SUM(CX825:CX828)</f>
        <v>0</v>
      </c>
      <c r="CZ829" s="10">
        <f>SUM(CZ825:CZ828)</f>
        <v>0</v>
      </c>
      <c r="DA829" s="11">
        <f t="shared" ref="DA829:DD829" si="3789">SUM(DA825:DA828)</f>
        <v>0</v>
      </c>
      <c r="DB829" s="11">
        <f t="shared" si="3789"/>
        <v>0</v>
      </c>
      <c r="DC829" s="11">
        <f t="shared" si="3789"/>
        <v>0</v>
      </c>
      <c r="DD829" s="11">
        <f t="shared" si="3789"/>
        <v>0</v>
      </c>
      <c r="DE829" s="25">
        <f>SUM(DE825:DE828)</f>
        <v>0</v>
      </c>
    </row>
    <row r="830" spans="3:109" ht="10.4" customHeight="1" thickBot="1"/>
    <row r="831" spans="3:109">
      <c r="C831" s="553">
        <v>2028</v>
      </c>
      <c r="E831" s="13" t="s">
        <v>59</v>
      </c>
      <c r="F831" s="21">
        <f>CE825</f>
        <v>0</v>
      </c>
      <c r="G831" s="22">
        <f t="shared" ref="G831:G834" si="3790">CF825</f>
        <v>0</v>
      </c>
      <c r="H831" s="22">
        <f t="shared" ref="H831:H834" si="3791">CG825</f>
        <v>0</v>
      </c>
      <c r="I831" s="22">
        <f t="shared" ref="I831:I834" si="3792">CH825</f>
        <v>0</v>
      </c>
      <c r="J831" s="22">
        <f t="shared" ref="J831:J834" si="3793">CI825</f>
        <v>0</v>
      </c>
      <c r="K831" s="4">
        <f>SUM(F831:J831)</f>
        <v>0</v>
      </c>
      <c r="M831" s="2"/>
      <c r="N831" s="3"/>
      <c r="O831" s="3"/>
      <c r="P831" s="3"/>
      <c r="Q831" s="3"/>
      <c r="R831" s="4">
        <f>SUM(M831:Q831)</f>
        <v>0</v>
      </c>
      <c r="T831" s="2"/>
      <c r="U831" s="3"/>
      <c r="V831" s="3"/>
      <c r="W831" s="3"/>
      <c r="X831" s="3"/>
      <c r="Y831" s="4">
        <f>SUM(T831:X831)</f>
        <v>0</v>
      </c>
      <c r="AA831" s="2"/>
      <c r="AB831" s="3"/>
      <c r="AC831" s="3"/>
      <c r="AD831" s="3"/>
      <c r="AE831" s="3"/>
      <c r="AF831" s="4">
        <f>SUM(AA831:AE831)</f>
        <v>0</v>
      </c>
      <c r="AH831" s="2"/>
      <c r="AI831" s="3"/>
      <c r="AJ831" s="3"/>
      <c r="AK831" s="3"/>
      <c r="AL831" s="3"/>
      <c r="AM831" s="4">
        <f>SUM(AH831:AL831)</f>
        <v>0</v>
      </c>
      <c r="AO831" s="2"/>
      <c r="AP831" s="3"/>
      <c r="AQ831" s="3"/>
      <c r="AR831" s="3"/>
      <c r="AS831" s="3"/>
      <c r="AT831" s="4">
        <f>SUM(AO831:AS831)</f>
        <v>0</v>
      </c>
      <c r="AV831" s="2"/>
      <c r="AW831" s="3"/>
      <c r="AX831" s="3"/>
      <c r="AY831" s="3"/>
      <c r="AZ831" s="3"/>
      <c r="BA831" s="4">
        <f>SUM(AV831:AZ831)</f>
        <v>0</v>
      </c>
      <c r="BC831" s="2"/>
      <c r="BD831" s="3"/>
      <c r="BE831" s="3"/>
      <c r="BF831" s="3"/>
      <c r="BG831" s="3"/>
      <c r="BH831" s="4">
        <f>SUM(BC831:BG831)</f>
        <v>0</v>
      </c>
      <c r="BJ831" s="2"/>
      <c r="BK831" s="3"/>
      <c r="BL831" s="3"/>
      <c r="BM831" s="3"/>
      <c r="BN831" s="3"/>
      <c r="BO831" s="4">
        <f>SUM(BJ831:BN831)</f>
        <v>0</v>
      </c>
      <c r="BQ831" s="2"/>
      <c r="BR831" s="3"/>
      <c r="BS831" s="3"/>
      <c r="BT831" s="3"/>
      <c r="BU831" s="3"/>
      <c r="BV831" s="4">
        <f>SUM(BQ831:BU831)</f>
        <v>0</v>
      </c>
      <c r="BX831" s="2"/>
      <c r="BY831" s="3"/>
      <c r="BZ831" s="3"/>
      <c r="CA831" s="3"/>
      <c r="CB831" s="3"/>
      <c r="CC831" s="4">
        <f>SUM(BX831:CB831)</f>
        <v>0</v>
      </c>
      <c r="CE831" s="26">
        <f t="shared" ref="CE831:CE834" si="3794">F831+M831+T831+AA831+AH831+AO831+AV831+BC831+BJ831+BQ831+BX831</f>
        <v>0</v>
      </c>
      <c r="CF831" s="27">
        <f t="shared" ref="CF831:CF834" si="3795">G831+N831+U831+AB831+AI831+AP831+AW831+BD831+BK831+BR831+BY831</f>
        <v>0</v>
      </c>
      <c r="CG831" s="27">
        <f t="shared" ref="CG831:CG834" si="3796">H831+O831+V831+AC831+AJ831+AQ831+AX831+BE831+BL831+BS831+BZ831</f>
        <v>0</v>
      </c>
      <c r="CH831" s="27">
        <f t="shared" ref="CH831:CH834" si="3797">I831+P831+W831+AD831+AK831+AR831+AY831+BF831+BM831+BT831+CA831</f>
        <v>0</v>
      </c>
      <c r="CI831" s="27">
        <f t="shared" ref="CI831:CI834" si="3798">J831+Q831+X831+AE831+AL831+AS831+AZ831+BG831+BN831+BU831+CB831</f>
        <v>0</v>
      </c>
      <c r="CJ831" s="4">
        <f>SUM(CE831:CI831)</f>
        <v>0</v>
      </c>
      <c r="CL831" s="2"/>
      <c r="CM831" s="3"/>
      <c r="CN831" s="3"/>
      <c r="CO831" s="3"/>
      <c r="CP831" s="3"/>
      <c r="CQ831" s="4">
        <f>SUM(CL831:CP831)</f>
        <v>0</v>
      </c>
      <c r="CS831" s="2"/>
      <c r="CT831" s="3"/>
      <c r="CU831" s="3"/>
      <c r="CV831" s="3"/>
      <c r="CW831" s="3"/>
      <c r="CX831" s="4">
        <f>SUM(CS831:CW831)</f>
        <v>0</v>
      </c>
      <c r="CZ831" s="2"/>
      <c r="DA831" s="3"/>
      <c r="DB831" s="3"/>
      <c r="DC831" s="3"/>
      <c r="DD831" s="3"/>
      <c r="DE831" s="4">
        <f>SUM(CZ831:DD831)</f>
        <v>0</v>
      </c>
    </row>
    <row r="832" spans="3:109">
      <c r="C832" s="567"/>
      <c r="E832" s="14" t="s">
        <v>60</v>
      </c>
      <c r="F832" s="23">
        <f t="shared" ref="F832:F834" si="3799">CE826</f>
        <v>0</v>
      </c>
      <c r="G832" s="24">
        <f t="shared" si="3790"/>
        <v>0</v>
      </c>
      <c r="H832" s="24">
        <f t="shared" si="3791"/>
        <v>0</v>
      </c>
      <c r="I832" s="24">
        <f t="shared" si="3792"/>
        <v>0</v>
      </c>
      <c r="J832" s="24">
        <f t="shared" si="3793"/>
        <v>0</v>
      </c>
      <c r="K832" s="8">
        <f t="shared" ref="K832:K834" si="3800">SUM(F832:J832)</f>
        <v>0</v>
      </c>
      <c r="M832" s="6"/>
      <c r="N832" s="7"/>
      <c r="O832" s="7"/>
      <c r="P832" s="7"/>
      <c r="Q832" s="7"/>
      <c r="R832" s="8">
        <f t="shared" ref="R832:R834" si="3801">SUM(M832:Q832)</f>
        <v>0</v>
      </c>
      <c r="T832" s="6"/>
      <c r="U832" s="7"/>
      <c r="V832" s="7"/>
      <c r="W832" s="7"/>
      <c r="X832" s="7"/>
      <c r="Y832" s="8">
        <f t="shared" ref="Y832:Y834" si="3802">SUM(T832:X832)</f>
        <v>0</v>
      </c>
      <c r="AA832" s="6"/>
      <c r="AB832" s="7"/>
      <c r="AC832" s="7"/>
      <c r="AD832" s="7"/>
      <c r="AE832" s="7"/>
      <c r="AF832" s="8">
        <f>SUM(AA832:AE832)</f>
        <v>0</v>
      </c>
      <c r="AH832" s="6"/>
      <c r="AI832" s="7"/>
      <c r="AJ832" s="7"/>
      <c r="AK832" s="7"/>
      <c r="AL832" s="7"/>
      <c r="AM832" s="8">
        <f>SUM(AH832:AL832)</f>
        <v>0</v>
      </c>
      <c r="AO832" s="6"/>
      <c r="AP832" s="7"/>
      <c r="AQ832" s="7"/>
      <c r="AR832" s="7"/>
      <c r="AS832" s="7"/>
      <c r="AT832" s="8">
        <f>SUM(AO832:AS832)</f>
        <v>0</v>
      </c>
      <c r="AV832" s="6"/>
      <c r="AW832" s="7"/>
      <c r="AX832" s="7"/>
      <c r="AY832" s="7"/>
      <c r="AZ832" s="7"/>
      <c r="BA832" s="8">
        <f>SUM(AV832:AZ832)</f>
        <v>0</v>
      </c>
      <c r="BC832" s="6"/>
      <c r="BD832" s="7"/>
      <c r="BE832" s="7"/>
      <c r="BF832" s="7"/>
      <c r="BG832" s="7"/>
      <c r="BH832" s="8">
        <f>SUM(BC832:BG832)</f>
        <v>0</v>
      </c>
      <c r="BJ832" s="6"/>
      <c r="BK832" s="7"/>
      <c r="BL832" s="7"/>
      <c r="BM832" s="7"/>
      <c r="BN832" s="7"/>
      <c r="BO832" s="8">
        <f>SUM(BJ832:BN832)</f>
        <v>0</v>
      </c>
      <c r="BQ832" s="6"/>
      <c r="BR832" s="7"/>
      <c r="BS832" s="7"/>
      <c r="BT832" s="7"/>
      <c r="BU832" s="7"/>
      <c r="BV832" s="8">
        <f>SUM(BQ832:BU832)</f>
        <v>0</v>
      </c>
      <c r="BX832" s="6"/>
      <c r="BY832" s="7"/>
      <c r="BZ832" s="7"/>
      <c r="CA832" s="7"/>
      <c r="CB832" s="7"/>
      <c r="CC832" s="8">
        <f>SUM(BX832:CB832)</f>
        <v>0</v>
      </c>
      <c r="CE832" s="28">
        <f t="shared" si="3794"/>
        <v>0</v>
      </c>
      <c r="CF832" s="29">
        <f t="shared" si="3795"/>
        <v>0</v>
      </c>
      <c r="CG832" s="29">
        <f t="shared" si="3796"/>
        <v>0</v>
      </c>
      <c r="CH832" s="29">
        <f t="shared" si="3797"/>
        <v>0</v>
      </c>
      <c r="CI832" s="29">
        <f t="shared" si="3798"/>
        <v>0</v>
      </c>
      <c r="CJ832" s="8">
        <f>SUM(CE832:CI832)</f>
        <v>0</v>
      </c>
      <c r="CL832" s="6"/>
      <c r="CM832" s="7"/>
      <c r="CN832" s="7"/>
      <c r="CO832" s="7"/>
      <c r="CP832" s="7"/>
      <c r="CQ832" s="8">
        <f>SUM(CL832:CP832)</f>
        <v>0</v>
      </c>
      <c r="CS832" s="6"/>
      <c r="CT832" s="7"/>
      <c r="CU832" s="7"/>
      <c r="CV832" s="7"/>
      <c r="CW832" s="7"/>
      <c r="CX832" s="8">
        <f t="shared" ref="CX832:CX834" si="3803">SUM(CS832:CW832)</f>
        <v>0</v>
      </c>
      <c r="CZ832" s="6"/>
      <c r="DA832" s="7"/>
      <c r="DB832" s="7"/>
      <c r="DC832" s="7"/>
      <c r="DD832" s="7"/>
      <c r="DE832" s="8">
        <f t="shared" ref="DE832:DE834" si="3804">SUM(CZ832:DD832)</f>
        <v>0</v>
      </c>
    </row>
    <row r="833" spans="2:109">
      <c r="C833" s="567"/>
      <c r="E833" s="14" t="s">
        <v>61</v>
      </c>
      <c r="F833" s="23">
        <f t="shared" si="3799"/>
        <v>0</v>
      </c>
      <c r="G833" s="24">
        <f t="shared" si="3790"/>
        <v>0</v>
      </c>
      <c r="H833" s="24">
        <f t="shared" si="3791"/>
        <v>0</v>
      </c>
      <c r="I833" s="24">
        <f t="shared" si="3792"/>
        <v>0</v>
      </c>
      <c r="J833" s="24">
        <f t="shared" si="3793"/>
        <v>0</v>
      </c>
      <c r="K833" s="8">
        <f t="shared" si="3800"/>
        <v>0</v>
      </c>
      <c r="M833" s="6"/>
      <c r="N833" s="7"/>
      <c r="O833" s="7"/>
      <c r="P833" s="7"/>
      <c r="Q833" s="7"/>
      <c r="R833" s="8">
        <f t="shared" si="3801"/>
        <v>0</v>
      </c>
      <c r="T833" s="6"/>
      <c r="U833" s="7"/>
      <c r="V833" s="7"/>
      <c r="W833" s="7"/>
      <c r="X833" s="7"/>
      <c r="Y833" s="8">
        <f t="shared" si="3802"/>
        <v>0</v>
      </c>
      <c r="AA833" s="6"/>
      <c r="AB833" s="7"/>
      <c r="AC833" s="7"/>
      <c r="AD833" s="7"/>
      <c r="AE833" s="7"/>
      <c r="AF833" s="8">
        <f>SUM(AA833:AE833)</f>
        <v>0</v>
      </c>
      <c r="AH833" s="6"/>
      <c r="AI833" s="7"/>
      <c r="AJ833" s="7"/>
      <c r="AK833" s="7"/>
      <c r="AL833" s="7"/>
      <c r="AM833" s="8">
        <f>SUM(AH833:AL833)</f>
        <v>0</v>
      </c>
      <c r="AO833" s="6"/>
      <c r="AP833" s="7"/>
      <c r="AQ833" s="7"/>
      <c r="AR833" s="7"/>
      <c r="AS833" s="7"/>
      <c r="AT833" s="8">
        <f>SUM(AO833:AS833)</f>
        <v>0</v>
      </c>
      <c r="AV833" s="6"/>
      <c r="AW833" s="7"/>
      <c r="AX833" s="7"/>
      <c r="AY833" s="7"/>
      <c r="AZ833" s="7"/>
      <c r="BA833" s="8">
        <f>SUM(AV833:AZ833)</f>
        <v>0</v>
      </c>
      <c r="BC833" s="6"/>
      <c r="BD833" s="7"/>
      <c r="BE833" s="7"/>
      <c r="BF833" s="7"/>
      <c r="BG833" s="7"/>
      <c r="BH833" s="8">
        <f>SUM(BC833:BG833)</f>
        <v>0</v>
      </c>
      <c r="BJ833" s="6"/>
      <c r="BK833" s="7"/>
      <c r="BL833" s="7"/>
      <c r="BM833" s="7"/>
      <c r="BN833" s="7"/>
      <c r="BO833" s="8">
        <f>SUM(BJ833:BN833)</f>
        <v>0</v>
      </c>
      <c r="BQ833" s="6"/>
      <c r="BR833" s="7"/>
      <c r="BS833" s="7"/>
      <c r="BT833" s="7"/>
      <c r="BU833" s="7"/>
      <c r="BV833" s="8">
        <f>SUM(BQ833:BU833)</f>
        <v>0</v>
      </c>
      <c r="BX833" s="6"/>
      <c r="BY833" s="7"/>
      <c r="BZ833" s="7"/>
      <c r="CA833" s="7"/>
      <c r="CB833" s="7"/>
      <c r="CC833" s="8">
        <f>SUM(BX833:CB833)</f>
        <v>0</v>
      </c>
      <c r="CE833" s="28">
        <f t="shared" si="3794"/>
        <v>0</v>
      </c>
      <c r="CF833" s="29">
        <f t="shared" si="3795"/>
        <v>0</v>
      </c>
      <c r="CG833" s="29">
        <f t="shared" si="3796"/>
        <v>0</v>
      </c>
      <c r="CH833" s="29">
        <f t="shared" si="3797"/>
        <v>0</v>
      </c>
      <c r="CI833" s="29">
        <f t="shared" si="3798"/>
        <v>0</v>
      </c>
      <c r="CJ833" s="8">
        <f>SUM(CE833:CI833)</f>
        <v>0</v>
      </c>
      <c r="CL833" s="6"/>
      <c r="CM833" s="7"/>
      <c r="CN833" s="7"/>
      <c r="CO833" s="7"/>
      <c r="CP833" s="7"/>
      <c r="CQ833" s="8">
        <f>SUM(CL833:CP833)</f>
        <v>0</v>
      </c>
      <c r="CS833" s="6"/>
      <c r="CT833" s="7"/>
      <c r="CU833" s="7"/>
      <c r="CV833" s="7"/>
      <c r="CW833" s="7"/>
      <c r="CX833" s="8">
        <f t="shared" si="3803"/>
        <v>0</v>
      </c>
      <c r="CZ833" s="6"/>
      <c r="DA833" s="7"/>
      <c r="DB833" s="7"/>
      <c r="DC833" s="7"/>
      <c r="DD833" s="7"/>
      <c r="DE833" s="8">
        <f t="shared" si="3804"/>
        <v>0</v>
      </c>
    </row>
    <row r="834" spans="2:109" ht="14" thickBot="1">
      <c r="C834" s="567"/>
      <c r="E834" s="14" t="s">
        <v>62</v>
      </c>
      <c r="F834" s="23">
        <f t="shared" si="3799"/>
        <v>0</v>
      </c>
      <c r="G834" s="24">
        <f t="shared" si="3790"/>
        <v>0</v>
      </c>
      <c r="H834" s="24">
        <f t="shared" si="3791"/>
        <v>0</v>
      </c>
      <c r="I834" s="24">
        <f t="shared" si="3792"/>
        <v>0</v>
      </c>
      <c r="J834" s="24">
        <f t="shared" si="3793"/>
        <v>0</v>
      </c>
      <c r="K834" s="8">
        <f t="shared" si="3800"/>
        <v>0</v>
      </c>
      <c r="M834" s="6"/>
      <c r="N834" s="7"/>
      <c r="O834" s="7"/>
      <c r="P834" s="7"/>
      <c r="Q834" s="7"/>
      <c r="R834" s="8">
        <f t="shared" si="3801"/>
        <v>0</v>
      </c>
      <c r="T834" s="6"/>
      <c r="U834" s="7"/>
      <c r="V834" s="7"/>
      <c r="W834" s="7"/>
      <c r="X834" s="7"/>
      <c r="Y834" s="8">
        <f t="shared" si="3802"/>
        <v>0</v>
      </c>
      <c r="AA834" s="6"/>
      <c r="AB834" s="7"/>
      <c r="AC834" s="7"/>
      <c r="AD834" s="7"/>
      <c r="AE834" s="7"/>
      <c r="AF834" s="8">
        <f>SUM(AA834:AE834)</f>
        <v>0</v>
      </c>
      <c r="AH834" s="6"/>
      <c r="AI834" s="7"/>
      <c r="AJ834" s="7"/>
      <c r="AK834" s="7"/>
      <c r="AL834" s="7"/>
      <c r="AM834" s="8">
        <f>SUM(AH834:AL834)</f>
        <v>0</v>
      </c>
      <c r="AO834" s="6"/>
      <c r="AP834" s="7"/>
      <c r="AQ834" s="7"/>
      <c r="AR834" s="7"/>
      <c r="AS834" s="7"/>
      <c r="AT834" s="8">
        <f>SUM(AO834:AS834)</f>
        <v>0</v>
      </c>
      <c r="AV834" s="6"/>
      <c r="AW834" s="7"/>
      <c r="AX834" s="7"/>
      <c r="AY834" s="7"/>
      <c r="AZ834" s="7"/>
      <c r="BA834" s="8">
        <f>SUM(AV834:AZ834)</f>
        <v>0</v>
      </c>
      <c r="BC834" s="6"/>
      <c r="BD834" s="7"/>
      <c r="BE834" s="7"/>
      <c r="BF834" s="7"/>
      <c r="BG834" s="7"/>
      <c r="BH834" s="8">
        <f>SUM(BC834:BG834)</f>
        <v>0</v>
      </c>
      <c r="BJ834" s="6"/>
      <c r="BK834" s="7"/>
      <c r="BL834" s="7"/>
      <c r="BM834" s="7"/>
      <c r="BN834" s="7"/>
      <c r="BO834" s="8">
        <f>SUM(BJ834:BN834)</f>
        <v>0</v>
      </c>
      <c r="BQ834" s="6"/>
      <c r="BR834" s="7"/>
      <c r="BS834" s="7"/>
      <c r="BT834" s="7"/>
      <c r="BU834" s="7"/>
      <c r="BV834" s="8">
        <f>SUM(BQ834:BU834)</f>
        <v>0</v>
      </c>
      <c r="BX834" s="6"/>
      <c r="BY834" s="7"/>
      <c r="BZ834" s="7"/>
      <c r="CA834" s="7"/>
      <c r="CB834" s="7"/>
      <c r="CC834" s="8">
        <f>SUM(BX834:CB834)</f>
        <v>0</v>
      </c>
      <c r="CE834" s="493">
        <f t="shared" si="3794"/>
        <v>0</v>
      </c>
      <c r="CF834" s="494">
        <f t="shared" si="3795"/>
        <v>0</v>
      </c>
      <c r="CG834" s="494">
        <f t="shared" si="3796"/>
        <v>0</v>
      </c>
      <c r="CH834" s="494">
        <f t="shared" si="3797"/>
        <v>0</v>
      </c>
      <c r="CI834" s="494">
        <f t="shared" si="3798"/>
        <v>0</v>
      </c>
      <c r="CJ834" s="495">
        <f>SUM(CE834:CI834)</f>
        <v>0</v>
      </c>
      <c r="CL834" s="6"/>
      <c r="CM834" s="7"/>
      <c r="CN834" s="7"/>
      <c r="CO834" s="7"/>
      <c r="CP834" s="7"/>
      <c r="CQ834" s="8">
        <f>SUM(CL834:CP834)</f>
        <v>0</v>
      </c>
      <c r="CS834" s="6"/>
      <c r="CT834" s="7"/>
      <c r="CU834" s="7"/>
      <c r="CV834" s="7"/>
      <c r="CW834" s="7"/>
      <c r="CX834" s="8">
        <f t="shared" si="3803"/>
        <v>0</v>
      </c>
      <c r="CZ834" s="6"/>
      <c r="DA834" s="7"/>
      <c r="DB834" s="7"/>
      <c r="DC834" s="7"/>
      <c r="DD834" s="7"/>
      <c r="DE834" s="8">
        <f t="shared" si="3804"/>
        <v>0</v>
      </c>
    </row>
    <row r="835" spans="2:109" ht="14" thickBot="1">
      <c r="C835" s="554"/>
      <c r="E835" s="9"/>
      <c r="F835" s="10">
        <f>SUM(F831:F834)</f>
        <v>0</v>
      </c>
      <c r="G835" s="11">
        <f t="shared" ref="G835:J835" si="3805">SUM(G831:G834)</f>
        <v>0</v>
      </c>
      <c r="H835" s="11">
        <f t="shared" si="3805"/>
        <v>0</v>
      </c>
      <c r="I835" s="11">
        <f t="shared" si="3805"/>
        <v>0</v>
      </c>
      <c r="J835" s="11">
        <f t="shared" si="3805"/>
        <v>0</v>
      </c>
      <c r="K835" s="25">
        <f>SUM(K831:K834)</f>
        <v>0</v>
      </c>
      <c r="M835" s="10">
        <f>SUM(M831:M834)</f>
        <v>0</v>
      </c>
      <c r="N835" s="11">
        <f t="shared" ref="N835:Q835" si="3806">SUM(N831:N834)</f>
        <v>0</v>
      </c>
      <c r="O835" s="11">
        <f t="shared" si="3806"/>
        <v>0</v>
      </c>
      <c r="P835" s="11">
        <f t="shared" si="3806"/>
        <v>0</v>
      </c>
      <c r="Q835" s="11">
        <f t="shared" si="3806"/>
        <v>0</v>
      </c>
      <c r="R835" s="25">
        <f>SUM(R831:R834)</f>
        <v>0</v>
      </c>
      <c r="T835" s="10">
        <f>SUM(T831:T834)</f>
        <v>0</v>
      </c>
      <c r="U835" s="11">
        <f t="shared" ref="U835:X835" si="3807">SUM(U831:U834)</f>
        <v>0</v>
      </c>
      <c r="V835" s="11">
        <f t="shared" si="3807"/>
        <v>0</v>
      </c>
      <c r="W835" s="11">
        <f t="shared" si="3807"/>
        <v>0</v>
      </c>
      <c r="X835" s="11">
        <f t="shared" si="3807"/>
        <v>0</v>
      </c>
      <c r="Y835" s="25">
        <f>SUM(Y831:Y834)</f>
        <v>0</v>
      </c>
      <c r="AA835" s="10">
        <f>SUM(AA831:AA834)</f>
        <v>0</v>
      </c>
      <c r="AB835" s="11">
        <f t="shared" ref="AB835:AE835" si="3808">SUM(AB831:AB834)</f>
        <v>0</v>
      </c>
      <c r="AC835" s="11">
        <f t="shared" si="3808"/>
        <v>0</v>
      </c>
      <c r="AD835" s="11">
        <f t="shared" si="3808"/>
        <v>0</v>
      </c>
      <c r="AE835" s="11">
        <f t="shared" si="3808"/>
        <v>0</v>
      </c>
      <c r="AF835" s="25">
        <f>SUM(AF831:AF834)</f>
        <v>0</v>
      </c>
      <c r="AH835" s="10">
        <f t="shared" ref="AH835:AM835" si="3809">SUM(AH831:AH834)</f>
        <v>0</v>
      </c>
      <c r="AI835" s="11">
        <f t="shared" si="3809"/>
        <v>0</v>
      </c>
      <c r="AJ835" s="11">
        <f t="shared" si="3809"/>
        <v>0</v>
      </c>
      <c r="AK835" s="11">
        <f t="shared" si="3809"/>
        <v>0</v>
      </c>
      <c r="AL835" s="11">
        <f t="shared" si="3809"/>
        <v>0</v>
      </c>
      <c r="AM835" s="25">
        <f t="shared" si="3809"/>
        <v>0</v>
      </c>
      <c r="AO835" s="10">
        <f t="shared" ref="AO835:AT835" si="3810">SUM(AO831:AO834)</f>
        <v>0</v>
      </c>
      <c r="AP835" s="11">
        <f t="shared" si="3810"/>
        <v>0</v>
      </c>
      <c r="AQ835" s="11">
        <f t="shared" si="3810"/>
        <v>0</v>
      </c>
      <c r="AR835" s="11">
        <f t="shared" si="3810"/>
        <v>0</v>
      </c>
      <c r="AS835" s="11">
        <f t="shared" si="3810"/>
        <v>0</v>
      </c>
      <c r="AT835" s="25">
        <f t="shared" si="3810"/>
        <v>0</v>
      </c>
      <c r="AV835" s="10">
        <f t="shared" ref="AV835:BA835" si="3811">SUM(AV831:AV834)</f>
        <v>0</v>
      </c>
      <c r="AW835" s="11">
        <f t="shared" si="3811"/>
        <v>0</v>
      </c>
      <c r="AX835" s="11">
        <f t="shared" si="3811"/>
        <v>0</v>
      </c>
      <c r="AY835" s="11">
        <f t="shared" si="3811"/>
        <v>0</v>
      </c>
      <c r="AZ835" s="11">
        <f t="shared" si="3811"/>
        <v>0</v>
      </c>
      <c r="BA835" s="25">
        <f t="shared" si="3811"/>
        <v>0</v>
      </c>
      <c r="BC835" s="10">
        <f t="shared" ref="BC835:BH835" si="3812">SUM(BC831:BC834)</f>
        <v>0</v>
      </c>
      <c r="BD835" s="11">
        <f t="shared" si="3812"/>
        <v>0</v>
      </c>
      <c r="BE835" s="11">
        <f t="shared" si="3812"/>
        <v>0</v>
      </c>
      <c r="BF835" s="11">
        <f t="shared" si="3812"/>
        <v>0</v>
      </c>
      <c r="BG835" s="11">
        <f t="shared" si="3812"/>
        <v>0</v>
      </c>
      <c r="BH835" s="25">
        <f t="shared" si="3812"/>
        <v>0</v>
      </c>
      <c r="BJ835" s="10">
        <f t="shared" ref="BJ835:BO835" si="3813">SUM(BJ831:BJ834)</f>
        <v>0</v>
      </c>
      <c r="BK835" s="11">
        <f t="shared" si="3813"/>
        <v>0</v>
      </c>
      <c r="BL835" s="11">
        <f t="shared" si="3813"/>
        <v>0</v>
      </c>
      <c r="BM835" s="11">
        <f t="shared" si="3813"/>
        <v>0</v>
      </c>
      <c r="BN835" s="11">
        <f t="shared" si="3813"/>
        <v>0</v>
      </c>
      <c r="BO835" s="25">
        <f t="shared" si="3813"/>
        <v>0</v>
      </c>
      <c r="BQ835" s="10">
        <f t="shared" ref="BQ835:BV835" si="3814">SUM(BQ831:BQ834)</f>
        <v>0</v>
      </c>
      <c r="BR835" s="11">
        <f t="shared" si="3814"/>
        <v>0</v>
      </c>
      <c r="BS835" s="11">
        <f t="shared" si="3814"/>
        <v>0</v>
      </c>
      <c r="BT835" s="11">
        <f t="shared" si="3814"/>
        <v>0</v>
      </c>
      <c r="BU835" s="11">
        <f t="shared" si="3814"/>
        <v>0</v>
      </c>
      <c r="BV835" s="25">
        <f t="shared" si="3814"/>
        <v>0</v>
      </c>
      <c r="BX835" s="10">
        <f t="shared" ref="BX835:CC835" si="3815">SUM(BX831:BX834)</f>
        <v>0</v>
      </c>
      <c r="BY835" s="11">
        <f t="shared" si="3815"/>
        <v>0</v>
      </c>
      <c r="BZ835" s="11">
        <f t="shared" si="3815"/>
        <v>0</v>
      </c>
      <c r="CA835" s="11">
        <f t="shared" si="3815"/>
        <v>0</v>
      </c>
      <c r="CB835" s="11">
        <f t="shared" si="3815"/>
        <v>0</v>
      </c>
      <c r="CC835" s="25">
        <f t="shared" si="3815"/>
        <v>0</v>
      </c>
      <c r="CE835" s="62">
        <f t="shared" ref="CE835:CJ835" si="3816">SUM(CE831:CE834)</f>
        <v>0</v>
      </c>
      <c r="CF835" s="63">
        <f t="shared" si="3816"/>
        <v>0</v>
      </c>
      <c r="CG835" s="63">
        <f t="shared" si="3816"/>
        <v>0</v>
      </c>
      <c r="CH835" s="63">
        <f t="shared" si="3816"/>
        <v>0</v>
      </c>
      <c r="CI835" s="63">
        <f t="shared" si="3816"/>
        <v>0</v>
      </c>
      <c r="CJ835" s="25">
        <f t="shared" si="3816"/>
        <v>0</v>
      </c>
      <c r="CL835" s="10">
        <f>SUM(CL831:CL834)</f>
        <v>0</v>
      </c>
      <c r="CM835" s="11">
        <f t="shared" ref="CM835:CQ835" si="3817">SUM(CM831:CM834)</f>
        <v>0</v>
      </c>
      <c r="CN835" s="11">
        <f t="shared" si="3817"/>
        <v>0</v>
      </c>
      <c r="CO835" s="11">
        <f t="shared" si="3817"/>
        <v>0</v>
      </c>
      <c r="CP835" s="11">
        <f t="shared" si="3817"/>
        <v>0</v>
      </c>
      <c r="CQ835" s="25">
        <f t="shared" si="3817"/>
        <v>0</v>
      </c>
      <c r="CS835" s="10">
        <f>SUM(CS831:CS834)</f>
        <v>0</v>
      </c>
      <c r="CT835" s="11">
        <f t="shared" ref="CT835:CW835" si="3818">SUM(CT831:CT834)</f>
        <v>0</v>
      </c>
      <c r="CU835" s="11">
        <f t="shared" si="3818"/>
        <v>0</v>
      </c>
      <c r="CV835" s="11">
        <f t="shared" si="3818"/>
        <v>0</v>
      </c>
      <c r="CW835" s="11">
        <f t="shared" si="3818"/>
        <v>0</v>
      </c>
      <c r="CX835" s="25">
        <f>SUM(CX831:CX834)</f>
        <v>0</v>
      </c>
      <c r="CZ835" s="10">
        <f>SUM(CZ831:CZ834)</f>
        <v>0</v>
      </c>
      <c r="DA835" s="11">
        <f t="shared" ref="DA835:DD835" si="3819">SUM(DA831:DA834)</f>
        <v>0</v>
      </c>
      <c r="DB835" s="11">
        <f t="shared" si="3819"/>
        <v>0</v>
      </c>
      <c r="DC835" s="11">
        <f t="shared" si="3819"/>
        <v>0</v>
      </c>
      <c r="DD835" s="11">
        <f t="shared" si="3819"/>
        <v>0</v>
      </c>
      <c r="DE835" s="25">
        <f>SUM(DE831:DE834)</f>
        <v>0</v>
      </c>
    </row>
    <row r="837" spans="2:109" ht="14" thickBot="1">
      <c r="B837" s="123"/>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c r="BU837" s="20"/>
      <c r="BV837" s="20"/>
      <c r="BW837" s="20"/>
      <c r="BX837" s="20"/>
      <c r="BY837" s="20"/>
      <c r="BZ837" s="20"/>
      <c r="CA837" s="20"/>
      <c r="CB837" s="20"/>
      <c r="CC837" s="20"/>
      <c r="CD837" s="20"/>
      <c r="CE837" s="20"/>
      <c r="CF837" s="20"/>
      <c r="CG837" s="20"/>
      <c r="CH837" s="20"/>
      <c r="CI837" s="20"/>
      <c r="CJ837" s="20"/>
      <c r="CL837" s="20"/>
      <c r="CM837" s="20"/>
      <c r="CN837" s="20"/>
      <c r="CO837" s="20"/>
      <c r="CP837" s="20"/>
      <c r="CQ837" s="20"/>
      <c r="CR837" s="20"/>
      <c r="CS837" s="20"/>
      <c r="CT837" s="20"/>
      <c r="CU837" s="20"/>
      <c r="CV837" s="20"/>
      <c r="CW837" s="20"/>
      <c r="CX837" s="20"/>
      <c r="CY837" s="20"/>
      <c r="CZ837" s="20"/>
      <c r="DA837" s="20"/>
      <c r="DB837" s="20"/>
      <c r="DC837" s="20"/>
      <c r="DD837" s="20"/>
      <c r="DE837" s="20"/>
    </row>
    <row r="838" spans="2:109" ht="14" thickBot="1">
      <c r="B838" s="94">
        <v>27</v>
      </c>
      <c r="C838" s="12" t="s">
        <v>88</v>
      </c>
      <c r="F838" s="18"/>
      <c r="G838" s="19"/>
      <c r="H838" s="19"/>
      <c r="I838" s="19"/>
      <c r="J838" s="19"/>
      <c r="K838" s="492"/>
    </row>
    <row r="839" spans="2:109">
      <c r="C839" s="553">
        <v>2024</v>
      </c>
      <c r="E839" s="1" t="s">
        <v>59</v>
      </c>
      <c r="F839" s="85"/>
      <c r="G839" s="86"/>
      <c r="H839" s="86"/>
      <c r="I839" s="86"/>
      <c r="J839" s="86"/>
      <c r="K839" s="4">
        <f>SUM(F839:J839)</f>
        <v>0</v>
      </c>
      <c r="M839" s="2"/>
      <c r="N839" s="3"/>
      <c r="O839" s="3"/>
      <c r="P839" s="3"/>
      <c r="Q839" s="3"/>
      <c r="R839" s="4">
        <f>SUM(M839:Q839)</f>
        <v>0</v>
      </c>
      <c r="T839" s="2"/>
      <c r="U839" s="3"/>
      <c r="V839" s="3"/>
      <c r="W839" s="3"/>
      <c r="X839" s="3"/>
      <c r="Y839" s="4">
        <f>SUM(T839:X839)</f>
        <v>0</v>
      </c>
      <c r="AA839" s="2"/>
      <c r="AB839" s="3"/>
      <c r="AC839" s="3"/>
      <c r="AD839" s="3"/>
      <c r="AE839" s="3"/>
      <c r="AF839" s="4">
        <f>SUM(AA839:AE839)</f>
        <v>0</v>
      </c>
      <c r="AH839" s="2"/>
      <c r="AI839" s="3"/>
      <c r="AJ839" s="3"/>
      <c r="AK839" s="3"/>
      <c r="AL839" s="3"/>
      <c r="AM839" s="4">
        <f>SUM(AH839:AL839)</f>
        <v>0</v>
      </c>
      <c r="AO839" s="2"/>
      <c r="AP839" s="3"/>
      <c r="AQ839" s="3"/>
      <c r="AR839" s="3"/>
      <c r="AS839" s="3"/>
      <c r="AT839" s="4">
        <f>SUM(AO839:AS839)</f>
        <v>0</v>
      </c>
      <c r="AV839" s="2"/>
      <c r="AW839" s="3"/>
      <c r="AX839" s="3"/>
      <c r="AY839" s="3"/>
      <c r="AZ839" s="3"/>
      <c r="BA839" s="4">
        <f>SUM(AV839:AZ839)</f>
        <v>0</v>
      </c>
      <c r="BC839" s="2"/>
      <c r="BD839" s="3"/>
      <c r="BE839" s="3"/>
      <c r="BF839" s="3"/>
      <c r="BG839" s="3"/>
      <c r="BH839" s="4">
        <f>SUM(BC839:BG839)</f>
        <v>0</v>
      </c>
      <c r="BJ839" s="2"/>
      <c r="BK839" s="3"/>
      <c r="BL839" s="3"/>
      <c r="BM839" s="3"/>
      <c r="BN839" s="3"/>
      <c r="BO839" s="4">
        <f>SUM(BJ839:BN839)</f>
        <v>0</v>
      </c>
      <c r="BQ839" s="2"/>
      <c r="BR839" s="3"/>
      <c r="BS839" s="3"/>
      <c r="BT839" s="3"/>
      <c r="BU839" s="3"/>
      <c r="BV839" s="4">
        <f>SUM(BQ839:BU839)</f>
        <v>0</v>
      </c>
      <c r="BX839" s="2"/>
      <c r="BY839" s="3"/>
      <c r="BZ839" s="3"/>
      <c r="CA839" s="3"/>
      <c r="CB839" s="3"/>
      <c r="CC839" s="4">
        <f>SUM(BX839:CB839)</f>
        <v>0</v>
      </c>
      <c r="CE839" s="26">
        <f t="shared" ref="CE839:CE842" si="3820">F839+M839+T839+AA839+AH839+AO839+AV839+BC839+BJ839+BQ839+BX839</f>
        <v>0</v>
      </c>
      <c r="CF839" s="27">
        <f t="shared" ref="CF839:CF842" si="3821">G839+N839+U839+AB839+AI839+AP839+AW839+BD839+BK839+BR839+BY839</f>
        <v>0</v>
      </c>
      <c r="CG839" s="27">
        <f t="shared" ref="CG839:CG842" si="3822">H839+O839+V839+AC839+AJ839+AQ839+AX839+BE839+BL839+BS839+BZ839</f>
        <v>0</v>
      </c>
      <c r="CH839" s="27">
        <f t="shared" ref="CH839:CH842" si="3823">I839+P839+W839+AD839+AK839+AR839+AY839+BF839+BM839+BT839+CA839</f>
        <v>0</v>
      </c>
      <c r="CI839" s="27">
        <f t="shared" ref="CI839:CI842" si="3824">J839+Q839+X839+AE839+AL839+AS839+AZ839+BG839+BN839+BU839+CB839</f>
        <v>0</v>
      </c>
      <c r="CJ839" s="4">
        <f>SUM(CE839:CI839)</f>
        <v>0</v>
      </c>
      <c r="CL839" s="2"/>
      <c r="CM839" s="3"/>
      <c r="CN839" s="3"/>
      <c r="CO839" s="3"/>
      <c r="CP839" s="3"/>
      <c r="CQ839" s="4">
        <f>SUM(CL839:CP839)</f>
        <v>0</v>
      </c>
      <c r="CS839" s="2"/>
      <c r="CT839" s="3"/>
      <c r="CU839" s="3"/>
      <c r="CV839" s="3"/>
      <c r="CW839" s="3"/>
      <c r="CX839" s="4">
        <f>SUM(CS839:CW839)</f>
        <v>0</v>
      </c>
      <c r="CZ839" s="2"/>
      <c r="DA839" s="3"/>
      <c r="DB839" s="3"/>
      <c r="DC839" s="3"/>
      <c r="DD839" s="3"/>
      <c r="DE839" s="4">
        <f>SUM(CZ839:DD839)</f>
        <v>0</v>
      </c>
    </row>
    <row r="840" spans="2:109">
      <c r="C840" s="567"/>
      <c r="E840" s="5" t="s">
        <v>60</v>
      </c>
      <c r="F840" s="87"/>
      <c r="G840" s="88"/>
      <c r="H840" s="88"/>
      <c r="I840" s="88"/>
      <c r="J840" s="88"/>
      <c r="K840" s="8">
        <f t="shared" ref="K840:K842" si="3825">SUM(F840:J840)</f>
        <v>0</v>
      </c>
      <c r="M840" s="6"/>
      <c r="N840" s="7"/>
      <c r="O840" s="7"/>
      <c r="P840" s="7"/>
      <c r="Q840" s="7"/>
      <c r="R840" s="8">
        <f t="shared" ref="R840:R842" si="3826">SUM(M840:Q840)</f>
        <v>0</v>
      </c>
      <c r="T840" s="6"/>
      <c r="U840" s="7"/>
      <c r="V840" s="7"/>
      <c r="W840" s="7"/>
      <c r="X840" s="7"/>
      <c r="Y840" s="8">
        <f t="shared" ref="Y840:Y842" si="3827">SUM(T840:X840)</f>
        <v>0</v>
      </c>
      <c r="AA840" s="6"/>
      <c r="AB840" s="7"/>
      <c r="AC840" s="7"/>
      <c r="AD840" s="7"/>
      <c r="AE840" s="7"/>
      <c r="AF840" s="8">
        <f t="shared" ref="AF840:AF842" si="3828">SUM(AA840:AE840)</f>
        <v>0</v>
      </c>
      <c r="AH840" s="6"/>
      <c r="AI840" s="7"/>
      <c r="AJ840" s="7"/>
      <c r="AK840" s="7"/>
      <c r="AL840" s="7"/>
      <c r="AM840" s="8">
        <f t="shared" ref="AM840:AM842" si="3829">SUM(AH840:AL840)</f>
        <v>0</v>
      </c>
      <c r="AO840" s="6"/>
      <c r="AP840" s="7"/>
      <c r="AQ840" s="7"/>
      <c r="AR840" s="7"/>
      <c r="AS840" s="7"/>
      <c r="AT840" s="8">
        <f t="shared" ref="AT840:AT842" si="3830">SUM(AO840:AS840)</f>
        <v>0</v>
      </c>
      <c r="AV840" s="6"/>
      <c r="AW840" s="7"/>
      <c r="AX840" s="7"/>
      <c r="AY840" s="7"/>
      <c r="AZ840" s="7"/>
      <c r="BA840" s="8">
        <f t="shared" ref="BA840:BA842" si="3831">SUM(AV840:AZ840)</f>
        <v>0</v>
      </c>
      <c r="BC840" s="6"/>
      <c r="BD840" s="7"/>
      <c r="BE840" s="7"/>
      <c r="BF840" s="7"/>
      <c r="BG840" s="7"/>
      <c r="BH840" s="8">
        <f t="shared" ref="BH840:BH842" si="3832">SUM(BC840:BG840)</f>
        <v>0</v>
      </c>
      <c r="BJ840" s="6"/>
      <c r="BK840" s="7"/>
      <c r="BL840" s="7"/>
      <c r="BM840" s="7"/>
      <c r="BN840" s="7"/>
      <c r="BO840" s="8">
        <f t="shared" ref="BO840:BO842" si="3833">SUM(BJ840:BN840)</f>
        <v>0</v>
      </c>
      <c r="BQ840" s="6"/>
      <c r="BR840" s="7"/>
      <c r="BS840" s="7"/>
      <c r="BT840" s="7"/>
      <c r="BU840" s="7"/>
      <c r="BV840" s="8">
        <f t="shared" ref="BV840:BV842" si="3834">SUM(BQ840:BU840)</f>
        <v>0</v>
      </c>
      <c r="BX840" s="6"/>
      <c r="BY840" s="7"/>
      <c r="BZ840" s="7"/>
      <c r="CA840" s="7"/>
      <c r="CB840" s="7"/>
      <c r="CC840" s="8">
        <f t="shared" ref="CC840:CC842" si="3835">SUM(BX840:CB840)</f>
        <v>0</v>
      </c>
      <c r="CE840" s="28">
        <f t="shared" si="3820"/>
        <v>0</v>
      </c>
      <c r="CF840" s="29">
        <f t="shared" si="3821"/>
        <v>0</v>
      </c>
      <c r="CG840" s="29">
        <f t="shared" si="3822"/>
        <v>0</v>
      </c>
      <c r="CH840" s="29">
        <f t="shared" si="3823"/>
        <v>0</v>
      </c>
      <c r="CI840" s="29">
        <f t="shared" si="3824"/>
        <v>0</v>
      </c>
      <c r="CJ840" s="8">
        <f>SUM(CE840:CI840)</f>
        <v>0</v>
      </c>
      <c r="CL840" s="6"/>
      <c r="CM840" s="7"/>
      <c r="CN840" s="7"/>
      <c r="CO840" s="7"/>
      <c r="CP840" s="7"/>
      <c r="CQ840" s="8">
        <f t="shared" ref="CQ840:CQ842" si="3836">SUM(CL840:CP840)</f>
        <v>0</v>
      </c>
      <c r="CS840" s="6"/>
      <c r="CT840" s="7"/>
      <c r="CU840" s="7"/>
      <c r="CV840" s="7"/>
      <c r="CW840" s="7"/>
      <c r="CX840" s="8">
        <f t="shared" ref="CX840:CX842" si="3837">SUM(CS840:CW840)</f>
        <v>0</v>
      </c>
      <c r="CZ840" s="6"/>
      <c r="DA840" s="7"/>
      <c r="DB840" s="7"/>
      <c r="DC840" s="7"/>
      <c r="DD840" s="7"/>
      <c r="DE840" s="8">
        <f t="shared" ref="DE840:DE842" si="3838">SUM(CZ840:DD840)</f>
        <v>0</v>
      </c>
    </row>
    <row r="841" spans="2:109">
      <c r="C841" s="567"/>
      <c r="E841" s="5" t="s">
        <v>61</v>
      </c>
      <c r="F841" s="87"/>
      <c r="G841" s="88"/>
      <c r="H841" s="88"/>
      <c r="I841" s="88"/>
      <c r="J841" s="88"/>
      <c r="K841" s="8">
        <f t="shared" si="3825"/>
        <v>0</v>
      </c>
      <c r="M841" s="6"/>
      <c r="N841" s="7"/>
      <c r="O841" s="7"/>
      <c r="P841" s="7"/>
      <c r="Q841" s="7"/>
      <c r="R841" s="8">
        <f t="shared" si="3826"/>
        <v>0</v>
      </c>
      <c r="T841" s="6"/>
      <c r="U841" s="7"/>
      <c r="V841" s="7"/>
      <c r="W841" s="7"/>
      <c r="X841" s="7"/>
      <c r="Y841" s="8">
        <f t="shared" si="3827"/>
        <v>0</v>
      </c>
      <c r="AA841" s="6"/>
      <c r="AB841" s="7"/>
      <c r="AC841" s="7"/>
      <c r="AD841" s="7"/>
      <c r="AE841" s="7"/>
      <c r="AF841" s="8">
        <f t="shared" si="3828"/>
        <v>0</v>
      </c>
      <c r="AH841" s="6"/>
      <c r="AI841" s="7"/>
      <c r="AJ841" s="7"/>
      <c r="AK841" s="7"/>
      <c r="AL841" s="7"/>
      <c r="AM841" s="8">
        <f t="shared" si="3829"/>
        <v>0</v>
      </c>
      <c r="AO841" s="6"/>
      <c r="AP841" s="7"/>
      <c r="AQ841" s="7"/>
      <c r="AR841" s="7"/>
      <c r="AS841" s="7"/>
      <c r="AT841" s="8">
        <f t="shared" si="3830"/>
        <v>0</v>
      </c>
      <c r="AV841" s="6"/>
      <c r="AW841" s="7"/>
      <c r="AX841" s="7"/>
      <c r="AY841" s="7"/>
      <c r="AZ841" s="7"/>
      <c r="BA841" s="8">
        <f t="shared" si="3831"/>
        <v>0</v>
      </c>
      <c r="BC841" s="6"/>
      <c r="BD841" s="7"/>
      <c r="BE841" s="7"/>
      <c r="BF841" s="7"/>
      <c r="BG841" s="7"/>
      <c r="BH841" s="8">
        <f t="shared" si="3832"/>
        <v>0</v>
      </c>
      <c r="BJ841" s="6"/>
      <c r="BK841" s="7"/>
      <c r="BL841" s="7"/>
      <c r="BM841" s="7"/>
      <c r="BN841" s="7"/>
      <c r="BO841" s="8">
        <f t="shared" si="3833"/>
        <v>0</v>
      </c>
      <c r="BQ841" s="6"/>
      <c r="BR841" s="7"/>
      <c r="BS841" s="7"/>
      <c r="BT841" s="7"/>
      <c r="BU841" s="7"/>
      <c r="BV841" s="8">
        <f t="shared" si="3834"/>
        <v>0</v>
      </c>
      <c r="BX841" s="6"/>
      <c r="BY841" s="7"/>
      <c r="BZ841" s="7"/>
      <c r="CA841" s="7"/>
      <c r="CB841" s="7"/>
      <c r="CC841" s="8">
        <f t="shared" si="3835"/>
        <v>0</v>
      </c>
      <c r="CE841" s="28">
        <f t="shared" si="3820"/>
        <v>0</v>
      </c>
      <c r="CF841" s="29">
        <f t="shared" si="3821"/>
        <v>0</v>
      </c>
      <c r="CG841" s="29">
        <f t="shared" si="3822"/>
        <v>0</v>
      </c>
      <c r="CH841" s="29">
        <f t="shared" si="3823"/>
        <v>0</v>
      </c>
      <c r="CI841" s="29">
        <f t="shared" si="3824"/>
        <v>0</v>
      </c>
      <c r="CJ841" s="8">
        <f>SUM(CE841:CI841)</f>
        <v>0</v>
      </c>
      <c r="CL841" s="6"/>
      <c r="CM841" s="7"/>
      <c r="CN841" s="7"/>
      <c r="CO841" s="7"/>
      <c r="CP841" s="7"/>
      <c r="CQ841" s="8">
        <f t="shared" si="3836"/>
        <v>0</v>
      </c>
      <c r="CS841" s="6"/>
      <c r="CT841" s="7"/>
      <c r="CU841" s="7"/>
      <c r="CV841" s="7"/>
      <c r="CW841" s="7"/>
      <c r="CX841" s="8">
        <f t="shared" si="3837"/>
        <v>0</v>
      </c>
      <c r="CZ841" s="6"/>
      <c r="DA841" s="7"/>
      <c r="DB841" s="7"/>
      <c r="DC841" s="7"/>
      <c r="DD841" s="7"/>
      <c r="DE841" s="8">
        <f t="shared" si="3838"/>
        <v>0</v>
      </c>
    </row>
    <row r="842" spans="2:109" ht="14" thickBot="1">
      <c r="C842" s="567"/>
      <c r="E842" s="5" t="s">
        <v>62</v>
      </c>
      <c r="F842" s="87"/>
      <c r="G842" s="88"/>
      <c r="H842" s="88"/>
      <c r="I842" s="88"/>
      <c r="J842" s="88"/>
      <c r="K842" s="8">
        <f t="shared" si="3825"/>
        <v>0</v>
      </c>
      <c r="M842" s="6"/>
      <c r="N842" s="7"/>
      <c r="O842" s="7"/>
      <c r="P842" s="7"/>
      <c r="Q842" s="7"/>
      <c r="R842" s="8">
        <f t="shared" si="3826"/>
        <v>0</v>
      </c>
      <c r="T842" s="6"/>
      <c r="U842" s="7"/>
      <c r="V842" s="7"/>
      <c r="W842" s="7"/>
      <c r="X842" s="7"/>
      <c r="Y842" s="8">
        <f t="shared" si="3827"/>
        <v>0</v>
      </c>
      <c r="AA842" s="6"/>
      <c r="AB842" s="7"/>
      <c r="AC842" s="7"/>
      <c r="AD842" s="7"/>
      <c r="AE842" s="7"/>
      <c r="AF842" s="8">
        <f t="shared" si="3828"/>
        <v>0</v>
      </c>
      <c r="AH842" s="6"/>
      <c r="AI842" s="7"/>
      <c r="AJ842" s="7"/>
      <c r="AK842" s="7"/>
      <c r="AL842" s="7"/>
      <c r="AM842" s="8">
        <f t="shared" si="3829"/>
        <v>0</v>
      </c>
      <c r="AO842" s="6"/>
      <c r="AP842" s="7"/>
      <c r="AQ842" s="7"/>
      <c r="AR842" s="7"/>
      <c r="AS842" s="7"/>
      <c r="AT842" s="8">
        <f t="shared" si="3830"/>
        <v>0</v>
      </c>
      <c r="AV842" s="6"/>
      <c r="AW842" s="7"/>
      <c r="AX842" s="7"/>
      <c r="AY842" s="7"/>
      <c r="AZ842" s="7"/>
      <c r="BA842" s="8">
        <f t="shared" si="3831"/>
        <v>0</v>
      </c>
      <c r="BC842" s="6"/>
      <c r="BD842" s="7"/>
      <c r="BE842" s="7"/>
      <c r="BF842" s="7"/>
      <c r="BG842" s="7"/>
      <c r="BH842" s="8">
        <f t="shared" si="3832"/>
        <v>0</v>
      </c>
      <c r="BJ842" s="6"/>
      <c r="BK842" s="7"/>
      <c r="BL842" s="7"/>
      <c r="BM842" s="7"/>
      <c r="BN842" s="7"/>
      <c r="BO842" s="8">
        <f t="shared" si="3833"/>
        <v>0</v>
      </c>
      <c r="BQ842" s="6"/>
      <c r="BR842" s="7"/>
      <c r="BS842" s="7"/>
      <c r="BT842" s="7"/>
      <c r="BU842" s="7"/>
      <c r="BV842" s="8">
        <f t="shared" si="3834"/>
        <v>0</v>
      </c>
      <c r="BX842" s="6"/>
      <c r="BY842" s="7"/>
      <c r="BZ842" s="7"/>
      <c r="CA842" s="7"/>
      <c r="CB842" s="7"/>
      <c r="CC842" s="8">
        <f t="shared" si="3835"/>
        <v>0</v>
      </c>
      <c r="CE842" s="493">
        <f t="shared" si="3820"/>
        <v>0</v>
      </c>
      <c r="CF842" s="494">
        <f t="shared" si="3821"/>
        <v>0</v>
      </c>
      <c r="CG842" s="494">
        <f t="shared" si="3822"/>
        <v>0</v>
      </c>
      <c r="CH842" s="494">
        <f t="shared" si="3823"/>
        <v>0</v>
      </c>
      <c r="CI842" s="494">
        <f t="shared" si="3824"/>
        <v>0</v>
      </c>
      <c r="CJ842" s="495">
        <f>SUM(CE842:CI842)</f>
        <v>0</v>
      </c>
      <c r="CL842" s="6"/>
      <c r="CM842" s="7"/>
      <c r="CN842" s="7"/>
      <c r="CO842" s="7"/>
      <c r="CP842" s="7"/>
      <c r="CQ842" s="8">
        <f t="shared" si="3836"/>
        <v>0</v>
      </c>
      <c r="CS842" s="6"/>
      <c r="CT842" s="7"/>
      <c r="CU842" s="7"/>
      <c r="CV842" s="7"/>
      <c r="CW842" s="7"/>
      <c r="CX842" s="8">
        <f t="shared" si="3837"/>
        <v>0</v>
      </c>
      <c r="CZ842" s="6"/>
      <c r="DA842" s="7"/>
      <c r="DB842" s="7"/>
      <c r="DC842" s="7"/>
      <c r="DD842" s="7"/>
      <c r="DE842" s="8">
        <f t="shared" si="3838"/>
        <v>0</v>
      </c>
    </row>
    <row r="843" spans="2:109" ht="14" thickBot="1">
      <c r="C843" s="554"/>
      <c r="E843" s="9"/>
      <c r="F843" s="10">
        <f>SUM(F839:F842)</f>
        <v>0</v>
      </c>
      <c r="G843" s="11">
        <f t="shared" ref="G843:J843" si="3839">SUM(G839:G842)</f>
        <v>0</v>
      </c>
      <c r="H843" s="11">
        <f t="shared" si="3839"/>
        <v>0</v>
      </c>
      <c r="I843" s="11">
        <f t="shared" si="3839"/>
        <v>0</v>
      </c>
      <c r="J843" s="61">
        <f t="shared" si="3839"/>
        <v>0</v>
      </c>
      <c r="K843" s="25">
        <f>SUM(K839:K842)</f>
        <v>0</v>
      </c>
      <c r="M843" s="10">
        <f>SUM(M839:M842)</f>
        <v>0</v>
      </c>
      <c r="N843" s="11">
        <f t="shared" ref="N843:Q843" si="3840">SUM(N839:N842)</f>
        <v>0</v>
      </c>
      <c r="O843" s="11">
        <f t="shared" si="3840"/>
        <v>0</v>
      </c>
      <c r="P843" s="11">
        <f t="shared" si="3840"/>
        <v>0</v>
      </c>
      <c r="Q843" s="11">
        <f t="shared" si="3840"/>
        <v>0</v>
      </c>
      <c r="R843" s="25">
        <f>SUM(R839:R842)</f>
        <v>0</v>
      </c>
      <c r="T843" s="10">
        <f>SUM(T839:T842)</f>
        <v>0</v>
      </c>
      <c r="U843" s="11">
        <f t="shared" ref="U843:X843" si="3841">SUM(U839:U842)</f>
        <v>0</v>
      </c>
      <c r="V843" s="11">
        <f t="shared" si="3841"/>
        <v>0</v>
      </c>
      <c r="W843" s="11">
        <f t="shared" si="3841"/>
        <v>0</v>
      </c>
      <c r="X843" s="11">
        <f t="shared" si="3841"/>
        <v>0</v>
      </c>
      <c r="Y843" s="25">
        <f>SUM(Y839:Y842)</f>
        <v>0</v>
      </c>
      <c r="AA843" s="10">
        <f>SUM(AA839:AA842)</f>
        <v>0</v>
      </c>
      <c r="AB843" s="11">
        <f t="shared" ref="AB843:AE843" si="3842">SUM(AB839:AB842)</f>
        <v>0</v>
      </c>
      <c r="AC843" s="11">
        <f t="shared" si="3842"/>
        <v>0</v>
      </c>
      <c r="AD843" s="11">
        <f t="shared" si="3842"/>
        <v>0</v>
      </c>
      <c r="AE843" s="11">
        <f t="shared" si="3842"/>
        <v>0</v>
      </c>
      <c r="AF843" s="25">
        <f>SUM(AF839:AF842)</f>
        <v>0</v>
      </c>
      <c r="AH843" s="10">
        <f>SUM(AH839:AH842)</f>
        <v>0</v>
      </c>
      <c r="AI843" s="11">
        <f t="shared" ref="AI843:AL843" si="3843">SUM(AI839:AI842)</f>
        <v>0</v>
      </c>
      <c r="AJ843" s="11">
        <f t="shared" si="3843"/>
        <v>0</v>
      </c>
      <c r="AK843" s="11">
        <f t="shared" si="3843"/>
        <v>0</v>
      </c>
      <c r="AL843" s="11">
        <f t="shared" si="3843"/>
        <v>0</v>
      </c>
      <c r="AM843" s="25">
        <f>SUM(AM839:AM842)</f>
        <v>0</v>
      </c>
      <c r="AO843" s="10">
        <f>SUM(AO839:AO842)</f>
        <v>0</v>
      </c>
      <c r="AP843" s="11">
        <f t="shared" ref="AP843:AS843" si="3844">SUM(AP839:AP842)</f>
        <v>0</v>
      </c>
      <c r="AQ843" s="11">
        <f t="shared" si="3844"/>
        <v>0</v>
      </c>
      <c r="AR843" s="11">
        <f t="shared" si="3844"/>
        <v>0</v>
      </c>
      <c r="AS843" s="11">
        <f t="shared" si="3844"/>
        <v>0</v>
      </c>
      <c r="AT843" s="25">
        <f>SUM(AT839:AT842)</f>
        <v>0</v>
      </c>
      <c r="AV843" s="10">
        <f>SUM(AV839:AV842)</f>
        <v>0</v>
      </c>
      <c r="AW843" s="11">
        <f t="shared" ref="AW843:AZ843" si="3845">SUM(AW839:AW842)</f>
        <v>0</v>
      </c>
      <c r="AX843" s="11">
        <f t="shared" si="3845"/>
        <v>0</v>
      </c>
      <c r="AY843" s="11">
        <f t="shared" si="3845"/>
        <v>0</v>
      </c>
      <c r="AZ843" s="11">
        <f t="shared" si="3845"/>
        <v>0</v>
      </c>
      <c r="BA843" s="25">
        <f>SUM(BA839:BA842)</f>
        <v>0</v>
      </c>
      <c r="BC843" s="10">
        <f>SUM(BC839:BC842)</f>
        <v>0</v>
      </c>
      <c r="BD843" s="11">
        <f t="shared" ref="BD843:BG843" si="3846">SUM(BD839:BD842)</f>
        <v>0</v>
      </c>
      <c r="BE843" s="11">
        <f t="shared" si="3846"/>
        <v>0</v>
      </c>
      <c r="BF843" s="11">
        <f t="shared" si="3846"/>
        <v>0</v>
      </c>
      <c r="BG843" s="11">
        <f t="shared" si="3846"/>
        <v>0</v>
      </c>
      <c r="BH843" s="25">
        <f>SUM(BH839:BH842)</f>
        <v>0</v>
      </c>
      <c r="BJ843" s="10">
        <f>SUM(BJ839:BJ842)</f>
        <v>0</v>
      </c>
      <c r="BK843" s="11">
        <f t="shared" ref="BK843:BN843" si="3847">SUM(BK839:BK842)</f>
        <v>0</v>
      </c>
      <c r="BL843" s="11">
        <f t="shared" si="3847"/>
        <v>0</v>
      </c>
      <c r="BM843" s="11">
        <f t="shared" si="3847"/>
        <v>0</v>
      </c>
      <c r="BN843" s="11">
        <f t="shared" si="3847"/>
        <v>0</v>
      </c>
      <c r="BO843" s="25">
        <f>SUM(BO839:BO842)</f>
        <v>0</v>
      </c>
      <c r="BQ843" s="10">
        <f>SUM(BQ839:BQ842)</f>
        <v>0</v>
      </c>
      <c r="BR843" s="11">
        <f t="shared" ref="BR843:BU843" si="3848">SUM(BR839:BR842)</f>
        <v>0</v>
      </c>
      <c r="BS843" s="11">
        <f t="shared" si="3848"/>
        <v>0</v>
      </c>
      <c r="BT843" s="11">
        <f t="shared" si="3848"/>
        <v>0</v>
      </c>
      <c r="BU843" s="11">
        <f t="shared" si="3848"/>
        <v>0</v>
      </c>
      <c r="BV843" s="25">
        <f>SUM(BV839:BV842)</f>
        <v>0</v>
      </c>
      <c r="BX843" s="10">
        <f>SUM(BX839:BX842)</f>
        <v>0</v>
      </c>
      <c r="BY843" s="11">
        <f t="shared" ref="BY843:CB843" si="3849">SUM(BY839:BY842)</f>
        <v>0</v>
      </c>
      <c r="BZ843" s="11">
        <f t="shared" si="3849"/>
        <v>0</v>
      </c>
      <c r="CA843" s="11">
        <f t="shared" si="3849"/>
        <v>0</v>
      </c>
      <c r="CB843" s="11">
        <f t="shared" si="3849"/>
        <v>0</v>
      </c>
      <c r="CC843" s="25">
        <f>SUM(CC839:CC842)</f>
        <v>0</v>
      </c>
      <c r="CE843" s="62">
        <f t="shared" ref="CE843:CJ843" si="3850">SUM(CE839:CE842)</f>
        <v>0</v>
      </c>
      <c r="CF843" s="63">
        <f t="shared" si="3850"/>
        <v>0</v>
      </c>
      <c r="CG843" s="63">
        <f t="shared" si="3850"/>
        <v>0</v>
      </c>
      <c r="CH843" s="63">
        <f t="shared" si="3850"/>
        <v>0</v>
      </c>
      <c r="CI843" s="63">
        <f t="shared" si="3850"/>
        <v>0</v>
      </c>
      <c r="CJ843" s="25">
        <f t="shared" si="3850"/>
        <v>0</v>
      </c>
      <c r="CL843" s="10">
        <f>SUM(CL839:CL842)</f>
        <v>0</v>
      </c>
      <c r="CM843" s="11">
        <f t="shared" ref="CM843:CP843" si="3851">SUM(CM839:CM842)</f>
        <v>0</v>
      </c>
      <c r="CN843" s="11">
        <f t="shared" si="3851"/>
        <v>0</v>
      </c>
      <c r="CO843" s="11">
        <f t="shared" si="3851"/>
        <v>0</v>
      </c>
      <c r="CP843" s="11">
        <f t="shared" si="3851"/>
        <v>0</v>
      </c>
      <c r="CQ843" s="25">
        <f>SUM(CQ839:CQ842)</f>
        <v>0</v>
      </c>
      <c r="CS843" s="10">
        <f>SUM(CS839:CS842)</f>
        <v>0</v>
      </c>
      <c r="CT843" s="11">
        <f t="shared" ref="CT843:CW843" si="3852">SUM(CT839:CT842)</f>
        <v>0</v>
      </c>
      <c r="CU843" s="11">
        <f t="shared" si="3852"/>
        <v>0</v>
      </c>
      <c r="CV843" s="11">
        <f t="shared" si="3852"/>
        <v>0</v>
      </c>
      <c r="CW843" s="11">
        <f t="shared" si="3852"/>
        <v>0</v>
      </c>
      <c r="CX843" s="25">
        <f>SUM(CX839:CX842)</f>
        <v>0</v>
      </c>
      <c r="CZ843" s="10">
        <f>SUM(CZ839:CZ842)</f>
        <v>0</v>
      </c>
      <c r="DA843" s="11">
        <f t="shared" ref="DA843:DD843" si="3853">SUM(DA839:DA842)</f>
        <v>0</v>
      </c>
      <c r="DB843" s="11">
        <f t="shared" si="3853"/>
        <v>0</v>
      </c>
      <c r="DC843" s="11">
        <f t="shared" si="3853"/>
        <v>0</v>
      </c>
      <c r="DD843" s="11">
        <f t="shared" si="3853"/>
        <v>0</v>
      </c>
      <c r="DE843" s="25">
        <f>SUM(DE839:DE842)</f>
        <v>0</v>
      </c>
    </row>
    <row r="844" spans="2:109" ht="10.4" customHeight="1" thickBot="1"/>
    <row r="845" spans="2:109">
      <c r="C845" s="553">
        <v>2025</v>
      </c>
      <c r="E845" s="13" t="s">
        <v>59</v>
      </c>
      <c r="F845" s="21">
        <f>CE839</f>
        <v>0</v>
      </c>
      <c r="G845" s="22">
        <f t="shared" ref="G845:G848" si="3854">CF839</f>
        <v>0</v>
      </c>
      <c r="H845" s="22">
        <f t="shared" ref="H845:H848" si="3855">CG839</f>
        <v>0</v>
      </c>
      <c r="I845" s="22">
        <f t="shared" ref="I845:I848" si="3856">CH839</f>
        <v>0</v>
      </c>
      <c r="J845" s="22">
        <f t="shared" ref="J845:J848" si="3857">CI839</f>
        <v>0</v>
      </c>
      <c r="K845" s="15">
        <f>SUM(F845:J845)</f>
        <v>0</v>
      </c>
      <c r="M845" s="2"/>
      <c r="N845" s="3"/>
      <c r="O845" s="3"/>
      <c r="P845" s="3"/>
      <c r="Q845" s="3"/>
      <c r="R845" s="15">
        <f>SUM(M845:Q845)</f>
        <v>0</v>
      </c>
      <c r="T845" s="2"/>
      <c r="U845" s="3"/>
      <c r="V845" s="3"/>
      <c r="W845" s="3"/>
      <c r="X845" s="3"/>
      <c r="Y845" s="15">
        <f>SUM(T845:X845)</f>
        <v>0</v>
      </c>
      <c r="AA845" s="2"/>
      <c r="AB845" s="3"/>
      <c r="AC845" s="3"/>
      <c r="AD845" s="3"/>
      <c r="AE845" s="3"/>
      <c r="AF845" s="15">
        <f>SUM(AA845:AE845)</f>
        <v>0</v>
      </c>
      <c r="AH845" s="2"/>
      <c r="AI845" s="3"/>
      <c r="AJ845" s="3"/>
      <c r="AK845" s="3"/>
      <c r="AL845" s="3"/>
      <c r="AM845" s="15">
        <f>SUM(AH845:AL845)</f>
        <v>0</v>
      </c>
      <c r="AO845" s="2"/>
      <c r="AP845" s="3"/>
      <c r="AQ845" s="3"/>
      <c r="AR845" s="3"/>
      <c r="AS845" s="3"/>
      <c r="AT845" s="15">
        <f>SUM(AO845:AS845)</f>
        <v>0</v>
      </c>
      <c r="AV845" s="2"/>
      <c r="AW845" s="3"/>
      <c r="AX845" s="3"/>
      <c r="AY845" s="3"/>
      <c r="AZ845" s="3"/>
      <c r="BA845" s="15">
        <f>SUM(AV845:AZ845)</f>
        <v>0</v>
      </c>
      <c r="BC845" s="2"/>
      <c r="BD845" s="3"/>
      <c r="BE845" s="3"/>
      <c r="BF845" s="3"/>
      <c r="BG845" s="3"/>
      <c r="BH845" s="15">
        <f>SUM(BC845:BG845)</f>
        <v>0</v>
      </c>
      <c r="BJ845" s="2"/>
      <c r="BK845" s="3"/>
      <c r="BL845" s="3"/>
      <c r="BM845" s="3"/>
      <c r="BN845" s="3"/>
      <c r="BO845" s="15">
        <f>SUM(BJ845:BN845)</f>
        <v>0</v>
      </c>
      <c r="BQ845" s="2"/>
      <c r="BR845" s="3"/>
      <c r="BS845" s="3"/>
      <c r="BT845" s="3"/>
      <c r="BU845" s="3"/>
      <c r="BV845" s="15">
        <f>SUM(BQ845:BU845)</f>
        <v>0</v>
      </c>
      <c r="BX845" s="2"/>
      <c r="BY845" s="3"/>
      <c r="BZ845" s="3"/>
      <c r="CA845" s="3"/>
      <c r="CB845" s="3"/>
      <c r="CC845" s="15">
        <f>SUM(BX845:CB845)</f>
        <v>0</v>
      </c>
      <c r="CE845" s="26">
        <f t="shared" ref="CE845:CE848" si="3858">F845+M845+T845+AA845+AH845+AO845+AV845+BC845+BJ845+BQ845+BX845</f>
        <v>0</v>
      </c>
      <c r="CF845" s="27">
        <f t="shared" ref="CF845:CF848" si="3859">G845+N845+U845+AB845+AI845+AP845+AW845+BD845+BK845+BR845+BY845</f>
        <v>0</v>
      </c>
      <c r="CG845" s="27">
        <f t="shared" ref="CG845:CG848" si="3860">H845+O845+V845+AC845+AJ845+AQ845+AX845+BE845+BL845+BS845+BZ845</f>
        <v>0</v>
      </c>
      <c r="CH845" s="27">
        <f t="shared" ref="CH845:CH848" si="3861">I845+P845+W845+AD845+AK845+AR845+AY845+BF845+BM845+BT845+CA845</f>
        <v>0</v>
      </c>
      <c r="CI845" s="27">
        <f t="shared" ref="CI845:CI848" si="3862">J845+Q845+X845+AE845+AL845+AS845+AZ845+BG845+BN845+BU845+CB845</f>
        <v>0</v>
      </c>
      <c r="CJ845" s="4">
        <f>SUM(CE845:CI845)</f>
        <v>0</v>
      </c>
      <c r="CL845" s="2"/>
      <c r="CM845" s="3"/>
      <c r="CN845" s="3"/>
      <c r="CO845" s="3"/>
      <c r="CP845" s="3"/>
      <c r="CQ845" s="15">
        <f>SUM(CL845:CP845)</f>
        <v>0</v>
      </c>
      <c r="CS845" s="2"/>
      <c r="CT845" s="3"/>
      <c r="CU845" s="3"/>
      <c r="CV845" s="3"/>
      <c r="CW845" s="3"/>
      <c r="CX845" s="4">
        <f>SUM(CS845:CW845)</f>
        <v>0</v>
      </c>
      <c r="CZ845" s="2"/>
      <c r="DA845" s="3"/>
      <c r="DB845" s="3"/>
      <c r="DC845" s="3"/>
      <c r="DD845" s="3"/>
      <c r="DE845" s="15">
        <f>SUM(CZ845:DD845)</f>
        <v>0</v>
      </c>
    </row>
    <row r="846" spans="2:109">
      <c r="C846" s="567"/>
      <c r="E846" s="14" t="s">
        <v>60</v>
      </c>
      <c r="F846" s="23">
        <f t="shared" ref="F846:F848" si="3863">CE840</f>
        <v>0</v>
      </c>
      <c r="G846" s="24">
        <f t="shared" si="3854"/>
        <v>0</v>
      </c>
      <c r="H846" s="24">
        <f t="shared" si="3855"/>
        <v>0</v>
      </c>
      <c r="I846" s="24">
        <f t="shared" si="3856"/>
        <v>0</v>
      </c>
      <c r="J846" s="24">
        <f t="shared" si="3857"/>
        <v>0</v>
      </c>
      <c r="K846" s="16">
        <f t="shared" ref="K846:K848" si="3864">SUM(F846:J846)</f>
        <v>0</v>
      </c>
      <c r="M846" s="6"/>
      <c r="N846" s="7"/>
      <c r="O846" s="7"/>
      <c r="P846" s="7"/>
      <c r="Q846" s="7"/>
      <c r="R846" s="16">
        <f t="shared" ref="R846:R848" si="3865">SUM(M846:Q846)</f>
        <v>0</v>
      </c>
      <c r="T846" s="6"/>
      <c r="U846" s="7"/>
      <c r="V846" s="7"/>
      <c r="W846" s="7"/>
      <c r="X846" s="7"/>
      <c r="Y846" s="16">
        <f t="shared" ref="Y846:Y848" si="3866">SUM(T846:X846)</f>
        <v>0</v>
      </c>
      <c r="AA846" s="6"/>
      <c r="AB846" s="7"/>
      <c r="AC846" s="7"/>
      <c r="AD846" s="7"/>
      <c r="AE846" s="7"/>
      <c r="AF846" s="16">
        <f t="shared" ref="AF846:AF848" si="3867">SUM(AA846:AE846)</f>
        <v>0</v>
      </c>
      <c r="AH846" s="6"/>
      <c r="AI846" s="7"/>
      <c r="AJ846" s="7"/>
      <c r="AK846" s="7"/>
      <c r="AL846" s="7"/>
      <c r="AM846" s="16">
        <f t="shared" ref="AM846:AM848" si="3868">SUM(AH846:AL846)</f>
        <v>0</v>
      </c>
      <c r="AO846" s="6"/>
      <c r="AP846" s="7"/>
      <c r="AQ846" s="7"/>
      <c r="AR846" s="7"/>
      <c r="AS846" s="7"/>
      <c r="AT846" s="16">
        <f t="shared" ref="AT846:AT848" si="3869">SUM(AO846:AS846)</f>
        <v>0</v>
      </c>
      <c r="AV846" s="6"/>
      <c r="AW846" s="7"/>
      <c r="AX846" s="7"/>
      <c r="AY846" s="7"/>
      <c r="AZ846" s="7"/>
      <c r="BA846" s="16">
        <f t="shared" ref="BA846:BA848" si="3870">SUM(AV846:AZ846)</f>
        <v>0</v>
      </c>
      <c r="BC846" s="6"/>
      <c r="BD846" s="7"/>
      <c r="BE846" s="7"/>
      <c r="BF846" s="7"/>
      <c r="BG846" s="7"/>
      <c r="BH846" s="16">
        <f t="shared" ref="BH846:BH848" si="3871">SUM(BC846:BG846)</f>
        <v>0</v>
      </c>
      <c r="BJ846" s="6"/>
      <c r="BK846" s="7"/>
      <c r="BL846" s="7"/>
      <c r="BM846" s="7"/>
      <c r="BN846" s="7"/>
      <c r="BO846" s="16">
        <f t="shared" ref="BO846:BO848" si="3872">SUM(BJ846:BN846)</f>
        <v>0</v>
      </c>
      <c r="BQ846" s="6"/>
      <c r="BR846" s="7"/>
      <c r="BS846" s="7"/>
      <c r="BT846" s="7"/>
      <c r="BU846" s="7"/>
      <c r="BV846" s="16">
        <f t="shared" ref="BV846:BV848" si="3873">SUM(BQ846:BU846)</f>
        <v>0</v>
      </c>
      <c r="BX846" s="6"/>
      <c r="BY846" s="7"/>
      <c r="BZ846" s="7"/>
      <c r="CA846" s="7"/>
      <c r="CB846" s="7"/>
      <c r="CC846" s="16">
        <f t="shared" ref="CC846:CC848" si="3874">SUM(BX846:CB846)</f>
        <v>0</v>
      </c>
      <c r="CE846" s="28">
        <f t="shared" si="3858"/>
        <v>0</v>
      </c>
      <c r="CF846" s="29">
        <f t="shared" si="3859"/>
        <v>0</v>
      </c>
      <c r="CG846" s="29">
        <f t="shared" si="3860"/>
        <v>0</v>
      </c>
      <c r="CH846" s="29">
        <f t="shared" si="3861"/>
        <v>0</v>
      </c>
      <c r="CI846" s="29">
        <f t="shared" si="3862"/>
        <v>0</v>
      </c>
      <c r="CJ846" s="8">
        <f>SUM(CE846:CI846)</f>
        <v>0</v>
      </c>
      <c r="CL846" s="6"/>
      <c r="CM846" s="7"/>
      <c r="CN846" s="7"/>
      <c r="CO846" s="7"/>
      <c r="CP846" s="7"/>
      <c r="CQ846" s="16">
        <f t="shared" ref="CQ846:CQ848" si="3875">SUM(CL846:CP846)</f>
        <v>0</v>
      </c>
      <c r="CS846" s="6"/>
      <c r="CT846" s="7"/>
      <c r="CU846" s="7"/>
      <c r="CV846" s="7"/>
      <c r="CW846" s="7"/>
      <c r="CX846" s="8">
        <f t="shared" ref="CX846:CX848" si="3876">SUM(CS846:CW846)</f>
        <v>0</v>
      </c>
      <c r="CZ846" s="6"/>
      <c r="DA846" s="7"/>
      <c r="DB846" s="7"/>
      <c r="DC846" s="7"/>
      <c r="DD846" s="7"/>
      <c r="DE846" s="16">
        <f t="shared" ref="DE846:DE848" si="3877">SUM(CZ846:DD846)</f>
        <v>0</v>
      </c>
    </row>
    <row r="847" spans="2:109">
      <c r="C847" s="567"/>
      <c r="E847" s="14" t="s">
        <v>61</v>
      </c>
      <c r="F847" s="23">
        <f t="shared" si="3863"/>
        <v>0</v>
      </c>
      <c r="G847" s="24">
        <f t="shared" si="3854"/>
        <v>0</v>
      </c>
      <c r="H847" s="24">
        <f t="shared" si="3855"/>
        <v>0</v>
      </c>
      <c r="I847" s="24">
        <f t="shared" si="3856"/>
        <v>0</v>
      </c>
      <c r="J847" s="24">
        <f t="shared" si="3857"/>
        <v>0</v>
      </c>
      <c r="K847" s="16">
        <f t="shared" si="3864"/>
        <v>0</v>
      </c>
      <c r="M847" s="6"/>
      <c r="N847" s="7"/>
      <c r="O847" s="7"/>
      <c r="P847" s="7"/>
      <c r="Q847" s="7"/>
      <c r="R847" s="16">
        <f t="shared" si="3865"/>
        <v>0</v>
      </c>
      <c r="T847" s="6"/>
      <c r="U847" s="7"/>
      <c r="V847" s="7"/>
      <c r="W847" s="7"/>
      <c r="X847" s="7"/>
      <c r="Y847" s="16">
        <f t="shared" si="3866"/>
        <v>0</v>
      </c>
      <c r="AA847" s="6"/>
      <c r="AB847" s="7"/>
      <c r="AC847" s="7"/>
      <c r="AD847" s="7"/>
      <c r="AE847" s="7"/>
      <c r="AF847" s="16">
        <f t="shared" si="3867"/>
        <v>0</v>
      </c>
      <c r="AH847" s="6"/>
      <c r="AI847" s="7"/>
      <c r="AJ847" s="7"/>
      <c r="AK847" s="7"/>
      <c r="AL847" s="7"/>
      <c r="AM847" s="16">
        <f t="shared" si="3868"/>
        <v>0</v>
      </c>
      <c r="AO847" s="6"/>
      <c r="AP847" s="7"/>
      <c r="AQ847" s="7"/>
      <c r="AR847" s="7"/>
      <c r="AS847" s="7"/>
      <c r="AT847" s="16">
        <f t="shared" si="3869"/>
        <v>0</v>
      </c>
      <c r="AV847" s="6"/>
      <c r="AW847" s="7"/>
      <c r="AX847" s="7"/>
      <c r="AY847" s="7"/>
      <c r="AZ847" s="7"/>
      <c r="BA847" s="16">
        <f t="shared" si="3870"/>
        <v>0</v>
      </c>
      <c r="BC847" s="6"/>
      <c r="BD847" s="7"/>
      <c r="BE847" s="7"/>
      <c r="BF847" s="7"/>
      <c r="BG847" s="7"/>
      <c r="BH847" s="16">
        <f t="shared" si="3871"/>
        <v>0</v>
      </c>
      <c r="BJ847" s="6"/>
      <c r="BK847" s="7"/>
      <c r="BL847" s="7"/>
      <c r="BM847" s="7"/>
      <c r="BN847" s="7"/>
      <c r="BO847" s="16">
        <f t="shared" si="3872"/>
        <v>0</v>
      </c>
      <c r="BQ847" s="6"/>
      <c r="BR847" s="7"/>
      <c r="BS847" s="7"/>
      <c r="BT847" s="7"/>
      <c r="BU847" s="7"/>
      <c r="BV847" s="16">
        <f t="shared" si="3873"/>
        <v>0</v>
      </c>
      <c r="BX847" s="6"/>
      <c r="BY847" s="7"/>
      <c r="BZ847" s="7"/>
      <c r="CA847" s="7"/>
      <c r="CB847" s="7"/>
      <c r="CC847" s="16">
        <f t="shared" si="3874"/>
        <v>0</v>
      </c>
      <c r="CE847" s="28">
        <f t="shared" si="3858"/>
        <v>0</v>
      </c>
      <c r="CF847" s="29">
        <f t="shared" si="3859"/>
        <v>0</v>
      </c>
      <c r="CG847" s="29">
        <f t="shared" si="3860"/>
        <v>0</v>
      </c>
      <c r="CH847" s="29">
        <f t="shared" si="3861"/>
        <v>0</v>
      </c>
      <c r="CI847" s="29">
        <f t="shared" si="3862"/>
        <v>0</v>
      </c>
      <c r="CJ847" s="8">
        <f>SUM(CE847:CI847)</f>
        <v>0</v>
      </c>
      <c r="CL847" s="6"/>
      <c r="CM847" s="7"/>
      <c r="CN847" s="7"/>
      <c r="CO847" s="7"/>
      <c r="CP847" s="7"/>
      <c r="CQ847" s="16">
        <f t="shared" si="3875"/>
        <v>0</v>
      </c>
      <c r="CS847" s="6"/>
      <c r="CT847" s="7"/>
      <c r="CU847" s="7"/>
      <c r="CV847" s="7"/>
      <c r="CW847" s="7"/>
      <c r="CX847" s="8">
        <f t="shared" si="3876"/>
        <v>0</v>
      </c>
      <c r="CZ847" s="6"/>
      <c r="DA847" s="7"/>
      <c r="DB847" s="7"/>
      <c r="DC847" s="7"/>
      <c r="DD847" s="7"/>
      <c r="DE847" s="16">
        <f t="shared" si="3877"/>
        <v>0</v>
      </c>
    </row>
    <row r="848" spans="2:109" ht="14" thickBot="1">
      <c r="C848" s="567"/>
      <c r="E848" s="14" t="s">
        <v>62</v>
      </c>
      <c r="F848" s="23">
        <f t="shared" si="3863"/>
        <v>0</v>
      </c>
      <c r="G848" s="24">
        <f t="shared" si="3854"/>
        <v>0</v>
      </c>
      <c r="H848" s="24">
        <f t="shared" si="3855"/>
        <v>0</v>
      </c>
      <c r="I848" s="24">
        <f t="shared" si="3856"/>
        <v>0</v>
      </c>
      <c r="J848" s="24">
        <f t="shared" si="3857"/>
        <v>0</v>
      </c>
      <c r="K848" s="16">
        <f t="shared" si="3864"/>
        <v>0</v>
      </c>
      <c r="M848" s="6"/>
      <c r="N848" s="7"/>
      <c r="O848" s="7"/>
      <c r="P848" s="7"/>
      <c r="Q848" s="7"/>
      <c r="R848" s="16">
        <f t="shared" si="3865"/>
        <v>0</v>
      </c>
      <c r="T848" s="6"/>
      <c r="U848" s="7"/>
      <c r="V848" s="7"/>
      <c r="W848" s="7"/>
      <c r="X848" s="7"/>
      <c r="Y848" s="16">
        <f t="shared" si="3866"/>
        <v>0</v>
      </c>
      <c r="AA848" s="6"/>
      <c r="AB848" s="7"/>
      <c r="AC848" s="7"/>
      <c r="AD848" s="7"/>
      <c r="AE848" s="7"/>
      <c r="AF848" s="16">
        <f t="shared" si="3867"/>
        <v>0</v>
      </c>
      <c r="AH848" s="6"/>
      <c r="AI848" s="7"/>
      <c r="AJ848" s="7"/>
      <c r="AK848" s="7"/>
      <c r="AL848" s="7"/>
      <c r="AM848" s="16">
        <f t="shared" si="3868"/>
        <v>0</v>
      </c>
      <c r="AO848" s="6"/>
      <c r="AP848" s="7"/>
      <c r="AQ848" s="7"/>
      <c r="AR848" s="7"/>
      <c r="AS848" s="7"/>
      <c r="AT848" s="16">
        <f t="shared" si="3869"/>
        <v>0</v>
      </c>
      <c r="AV848" s="6"/>
      <c r="AW848" s="7"/>
      <c r="AX848" s="7"/>
      <c r="AY848" s="7"/>
      <c r="AZ848" s="7"/>
      <c r="BA848" s="16">
        <f t="shared" si="3870"/>
        <v>0</v>
      </c>
      <c r="BC848" s="6"/>
      <c r="BD848" s="7"/>
      <c r="BE848" s="7"/>
      <c r="BF848" s="7"/>
      <c r="BG848" s="7"/>
      <c r="BH848" s="16">
        <f t="shared" si="3871"/>
        <v>0</v>
      </c>
      <c r="BJ848" s="6"/>
      <c r="BK848" s="7"/>
      <c r="BL848" s="7"/>
      <c r="BM848" s="7"/>
      <c r="BN848" s="7"/>
      <c r="BO848" s="16">
        <f t="shared" si="3872"/>
        <v>0</v>
      </c>
      <c r="BQ848" s="6"/>
      <c r="BR848" s="7"/>
      <c r="BS848" s="7"/>
      <c r="BT848" s="7"/>
      <c r="BU848" s="7"/>
      <c r="BV848" s="16">
        <f t="shared" si="3873"/>
        <v>0</v>
      </c>
      <c r="BX848" s="6"/>
      <c r="BY848" s="7"/>
      <c r="BZ848" s="7"/>
      <c r="CA848" s="7"/>
      <c r="CB848" s="7"/>
      <c r="CC848" s="16">
        <f t="shared" si="3874"/>
        <v>0</v>
      </c>
      <c r="CE848" s="493">
        <f t="shared" si="3858"/>
        <v>0</v>
      </c>
      <c r="CF848" s="494">
        <f t="shared" si="3859"/>
        <v>0</v>
      </c>
      <c r="CG848" s="494">
        <f t="shared" si="3860"/>
        <v>0</v>
      </c>
      <c r="CH848" s="494">
        <f t="shared" si="3861"/>
        <v>0</v>
      </c>
      <c r="CI848" s="494">
        <f t="shared" si="3862"/>
        <v>0</v>
      </c>
      <c r="CJ848" s="495">
        <f>SUM(CE848:CI848)</f>
        <v>0</v>
      </c>
      <c r="CL848" s="6"/>
      <c r="CM848" s="7"/>
      <c r="CN848" s="7"/>
      <c r="CO848" s="7"/>
      <c r="CP848" s="7"/>
      <c r="CQ848" s="16">
        <f t="shared" si="3875"/>
        <v>0</v>
      </c>
      <c r="CS848" s="6"/>
      <c r="CT848" s="7"/>
      <c r="CU848" s="7"/>
      <c r="CV848" s="7"/>
      <c r="CW848" s="7"/>
      <c r="CX848" s="8">
        <f t="shared" si="3876"/>
        <v>0</v>
      </c>
      <c r="CZ848" s="6"/>
      <c r="DA848" s="7"/>
      <c r="DB848" s="7"/>
      <c r="DC848" s="7"/>
      <c r="DD848" s="7"/>
      <c r="DE848" s="16">
        <f t="shared" si="3877"/>
        <v>0</v>
      </c>
    </row>
    <row r="849" spans="3:109" ht="14" thickBot="1">
      <c r="C849" s="554"/>
      <c r="E849" s="17"/>
      <c r="F849" s="10">
        <f>SUM(F845:F848)</f>
        <v>0</v>
      </c>
      <c r="G849" s="11">
        <f t="shared" ref="G849:J849" si="3878">SUM(G845:G848)</f>
        <v>0</v>
      </c>
      <c r="H849" s="11">
        <f t="shared" si="3878"/>
        <v>0</v>
      </c>
      <c r="I849" s="11">
        <f t="shared" si="3878"/>
        <v>0</v>
      </c>
      <c r="J849" s="11">
        <f t="shared" si="3878"/>
        <v>0</v>
      </c>
      <c r="K849" s="25">
        <f>SUM(K845:K848)</f>
        <v>0</v>
      </c>
      <c r="M849" s="10">
        <f>SUM(M845:M848)</f>
        <v>0</v>
      </c>
      <c r="N849" s="11">
        <f t="shared" ref="N849:Q849" si="3879">SUM(N845:N848)</f>
        <v>0</v>
      </c>
      <c r="O849" s="11">
        <f t="shared" si="3879"/>
        <v>0</v>
      </c>
      <c r="P849" s="11">
        <f t="shared" si="3879"/>
        <v>0</v>
      </c>
      <c r="Q849" s="11">
        <f t="shared" si="3879"/>
        <v>0</v>
      </c>
      <c r="R849" s="25">
        <f>SUM(R845:R848)</f>
        <v>0</v>
      </c>
      <c r="T849" s="10">
        <f>SUM(T845:T848)</f>
        <v>0</v>
      </c>
      <c r="U849" s="11">
        <f t="shared" ref="U849:X849" si="3880">SUM(U845:U848)</f>
        <v>0</v>
      </c>
      <c r="V849" s="11">
        <f t="shared" si="3880"/>
        <v>0</v>
      </c>
      <c r="W849" s="11">
        <f t="shared" si="3880"/>
        <v>0</v>
      </c>
      <c r="X849" s="11">
        <f t="shared" si="3880"/>
        <v>0</v>
      </c>
      <c r="Y849" s="25">
        <f>SUM(Y845:Y848)</f>
        <v>0</v>
      </c>
      <c r="AA849" s="10">
        <f>SUM(AA845:AA848)</f>
        <v>0</v>
      </c>
      <c r="AB849" s="11">
        <f t="shared" ref="AB849:AE849" si="3881">SUM(AB845:AB848)</f>
        <v>0</v>
      </c>
      <c r="AC849" s="11">
        <f t="shared" si="3881"/>
        <v>0</v>
      </c>
      <c r="AD849" s="11">
        <f t="shared" si="3881"/>
        <v>0</v>
      </c>
      <c r="AE849" s="11">
        <f t="shared" si="3881"/>
        <v>0</v>
      </c>
      <c r="AF849" s="25">
        <f>SUM(AF845:AF848)</f>
        <v>0</v>
      </c>
      <c r="AH849" s="10">
        <f>SUM(AH845:AH848)</f>
        <v>0</v>
      </c>
      <c r="AI849" s="11">
        <f t="shared" ref="AI849:AL849" si="3882">SUM(AI845:AI848)</f>
        <v>0</v>
      </c>
      <c r="AJ849" s="11">
        <f t="shared" si="3882"/>
        <v>0</v>
      </c>
      <c r="AK849" s="11">
        <f t="shared" si="3882"/>
        <v>0</v>
      </c>
      <c r="AL849" s="11">
        <f t="shared" si="3882"/>
        <v>0</v>
      </c>
      <c r="AM849" s="25">
        <f>SUM(AM845:AM848)</f>
        <v>0</v>
      </c>
      <c r="AO849" s="10">
        <f>SUM(AO845:AO848)</f>
        <v>0</v>
      </c>
      <c r="AP849" s="11">
        <f t="shared" ref="AP849:AS849" si="3883">SUM(AP845:AP848)</f>
        <v>0</v>
      </c>
      <c r="AQ849" s="11">
        <f t="shared" si="3883"/>
        <v>0</v>
      </c>
      <c r="AR849" s="11">
        <f t="shared" si="3883"/>
        <v>0</v>
      </c>
      <c r="AS849" s="11">
        <f t="shared" si="3883"/>
        <v>0</v>
      </c>
      <c r="AT849" s="25">
        <f>SUM(AT845:AT848)</f>
        <v>0</v>
      </c>
      <c r="AV849" s="10">
        <f>SUM(AV845:AV848)</f>
        <v>0</v>
      </c>
      <c r="AW849" s="11">
        <f t="shared" ref="AW849:AZ849" si="3884">SUM(AW845:AW848)</f>
        <v>0</v>
      </c>
      <c r="AX849" s="11">
        <f t="shared" si="3884"/>
        <v>0</v>
      </c>
      <c r="AY849" s="11">
        <f t="shared" si="3884"/>
        <v>0</v>
      </c>
      <c r="AZ849" s="11">
        <f t="shared" si="3884"/>
        <v>0</v>
      </c>
      <c r="BA849" s="25">
        <f>SUM(BA845:BA848)</f>
        <v>0</v>
      </c>
      <c r="BC849" s="10">
        <f>SUM(BC845:BC848)</f>
        <v>0</v>
      </c>
      <c r="BD849" s="11">
        <f t="shared" ref="BD849:BG849" si="3885">SUM(BD845:BD848)</f>
        <v>0</v>
      </c>
      <c r="BE849" s="11">
        <f t="shared" si="3885"/>
        <v>0</v>
      </c>
      <c r="BF849" s="11">
        <f t="shared" si="3885"/>
        <v>0</v>
      </c>
      <c r="BG849" s="11">
        <f t="shared" si="3885"/>
        <v>0</v>
      </c>
      <c r="BH849" s="25">
        <f>SUM(BH845:BH848)</f>
        <v>0</v>
      </c>
      <c r="BJ849" s="10">
        <f>SUM(BJ845:BJ848)</f>
        <v>0</v>
      </c>
      <c r="BK849" s="11">
        <f t="shared" ref="BK849:BN849" si="3886">SUM(BK845:BK848)</f>
        <v>0</v>
      </c>
      <c r="BL849" s="11">
        <f t="shared" si="3886"/>
        <v>0</v>
      </c>
      <c r="BM849" s="11">
        <f t="shared" si="3886"/>
        <v>0</v>
      </c>
      <c r="BN849" s="11">
        <f t="shared" si="3886"/>
        <v>0</v>
      </c>
      <c r="BO849" s="25">
        <f>SUM(BO845:BO848)</f>
        <v>0</v>
      </c>
      <c r="BQ849" s="10">
        <f>SUM(BQ845:BQ848)</f>
        <v>0</v>
      </c>
      <c r="BR849" s="11">
        <f t="shared" ref="BR849:BU849" si="3887">SUM(BR845:BR848)</f>
        <v>0</v>
      </c>
      <c r="BS849" s="11">
        <f t="shared" si="3887"/>
        <v>0</v>
      </c>
      <c r="BT849" s="11">
        <f t="shared" si="3887"/>
        <v>0</v>
      </c>
      <c r="BU849" s="11">
        <f t="shared" si="3887"/>
        <v>0</v>
      </c>
      <c r="BV849" s="25">
        <f>SUM(BV845:BV848)</f>
        <v>0</v>
      </c>
      <c r="BX849" s="10">
        <f>SUM(BX845:BX848)</f>
        <v>0</v>
      </c>
      <c r="BY849" s="11">
        <f t="shared" ref="BY849:CB849" si="3888">SUM(BY845:BY848)</f>
        <v>0</v>
      </c>
      <c r="BZ849" s="11">
        <f t="shared" si="3888"/>
        <v>0</v>
      </c>
      <c r="CA849" s="11">
        <f t="shared" si="3888"/>
        <v>0</v>
      </c>
      <c r="CB849" s="11">
        <f t="shared" si="3888"/>
        <v>0</v>
      </c>
      <c r="CC849" s="25">
        <f>SUM(CC845:CC848)</f>
        <v>0</v>
      </c>
      <c r="CE849" s="62">
        <f t="shared" ref="CE849:CJ849" si="3889">SUM(CE845:CE848)</f>
        <v>0</v>
      </c>
      <c r="CF849" s="63">
        <f t="shared" si="3889"/>
        <v>0</v>
      </c>
      <c r="CG849" s="63">
        <f t="shared" si="3889"/>
        <v>0</v>
      </c>
      <c r="CH849" s="63">
        <f t="shared" si="3889"/>
        <v>0</v>
      </c>
      <c r="CI849" s="63">
        <f t="shared" si="3889"/>
        <v>0</v>
      </c>
      <c r="CJ849" s="25">
        <f t="shared" si="3889"/>
        <v>0</v>
      </c>
      <c r="CL849" s="10">
        <f>SUM(CL845:CL848)</f>
        <v>0</v>
      </c>
      <c r="CM849" s="11">
        <f t="shared" ref="CM849:CP849" si="3890">SUM(CM845:CM848)</f>
        <v>0</v>
      </c>
      <c r="CN849" s="11">
        <f t="shared" si="3890"/>
        <v>0</v>
      </c>
      <c r="CO849" s="11">
        <f t="shared" si="3890"/>
        <v>0</v>
      </c>
      <c r="CP849" s="11">
        <f t="shared" si="3890"/>
        <v>0</v>
      </c>
      <c r="CQ849" s="25">
        <f>SUM(CQ845:CQ848)</f>
        <v>0</v>
      </c>
      <c r="CS849" s="10">
        <f>SUM(CS845:CS848)</f>
        <v>0</v>
      </c>
      <c r="CT849" s="11">
        <f t="shared" ref="CT849:CW849" si="3891">SUM(CT845:CT848)</f>
        <v>0</v>
      </c>
      <c r="CU849" s="11">
        <f t="shared" si="3891"/>
        <v>0</v>
      </c>
      <c r="CV849" s="11">
        <f t="shared" si="3891"/>
        <v>0</v>
      </c>
      <c r="CW849" s="11">
        <f t="shared" si="3891"/>
        <v>0</v>
      </c>
      <c r="CX849" s="25">
        <f>SUM(CX845:CX848)</f>
        <v>0</v>
      </c>
      <c r="CZ849" s="10">
        <f>SUM(CZ845:CZ848)</f>
        <v>0</v>
      </c>
      <c r="DA849" s="11">
        <f t="shared" ref="DA849:DD849" si="3892">SUM(DA845:DA848)</f>
        <v>0</v>
      </c>
      <c r="DB849" s="11">
        <f t="shared" si="3892"/>
        <v>0</v>
      </c>
      <c r="DC849" s="11">
        <f t="shared" si="3892"/>
        <v>0</v>
      </c>
      <c r="DD849" s="11">
        <f t="shared" si="3892"/>
        <v>0</v>
      </c>
      <c r="DE849" s="25">
        <f>SUM(DE845:DE848)</f>
        <v>0</v>
      </c>
    </row>
    <row r="850" spans="3:109" ht="10.4" customHeight="1" thickBot="1"/>
    <row r="851" spans="3:109">
      <c r="C851" s="553">
        <v>2026</v>
      </c>
      <c r="E851" s="13" t="s">
        <v>59</v>
      </c>
      <c r="F851" s="21">
        <f>CE845</f>
        <v>0</v>
      </c>
      <c r="G851" s="22">
        <f t="shared" ref="G851:G854" si="3893">CF845</f>
        <v>0</v>
      </c>
      <c r="H851" s="22">
        <f t="shared" ref="H851:H854" si="3894">CG845</f>
        <v>0</v>
      </c>
      <c r="I851" s="22">
        <f t="shared" ref="I851:I854" si="3895">CH845</f>
        <v>0</v>
      </c>
      <c r="J851" s="22">
        <f t="shared" ref="J851:J854" si="3896">CI845</f>
        <v>0</v>
      </c>
      <c r="K851" s="4">
        <f>SUM(F851:J851)</f>
        <v>0</v>
      </c>
      <c r="M851" s="2"/>
      <c r="N851" s="3"/>
      <c r="O851" s="3"/>
      <c r="P851" s="3"/>
      <c r="Q851" s="3"/>
      <c r="R851" s="4">
        <f>SUM(M851:Q851)</f>
        <v>0</v>
      </c>
      <c r="T851" s="2"/>
      <c r="U851" s="3"/>
      <c r="V851" s="3"/>
      <c r="W851" s="3"/>
      <c r="X851" s="3"/>
      <c r="Y851" s="4">
        <f>SUM(T851:X851)</f>
        <v>0</v>
      </c>
      <c r="AA851" s="2"/>
      <c r="AB851" s="3"/>
      <c r="AC851" s="3"/>
      <c r="AD851" s="3"/>
      <c r="AE851" s="3"/>
      <c r="AF851" s="4">
        <f>SUM(AA851:AE851)</f>
        <v>0</v>
      </c>
      <c r="AH851" s="2"/>
      <c r="AI851" s="3"/>
      <c r="AJ851" s="3"/>
      <c r="AK851" s="3"/>
      <c r="AL851" s="3"/>
      <c r="AM851" s="4">
        <f>SUM(AH851:AL851)</f>
        <v>0</v>
      </c>
      <c r="AO851" s="2"/>
      <c r="AP851" s="3"/>
      <c r="AQ851" s="3"/>
      <c r="AR851" s="3"/>
      <c r="AS851" s="3"/>
      <c r="AT851" s="4">
        <f>SUM(AO851:AS851)</f>
        <v>0</v>
      </c>
      <c r="AV851" s="2"/>
      <c r="AW851" s="3"/>
      <c r="AX851" s="3"/>
      <c r="AY851" s="3"/>
      <c r="AZ851" s="3"/>
      <c r="BA851" s="4">
        <f>SUM(AV851:AZ851)</f>
        <v>0</v>
      </c>
      <c r="BC851" s="2"/>
      <c r="BD851" s="3"/>
      <c r="BE851" s="3"/>
      <c r="BF851" s="3"/>
      <c r="BG851" s="3"/>
      <c r="BH851" s="4">
        <f>SUM(BC851:BG851)</f>
        <v>0</v>
      </c>
      <c r="BJ851" s="2"/>
      <c r="BK851" s="3"/>
      <c r="BL851" s="3"/>
      <c r="BM851" s="3"/>
      <c r="BN851" s="3"/>
      <c r="BO851" s="4">
        <f>SUM(BJ851:BN851)</f>
        <v>0</v>
      </c>
      <c r="BQ851" s="2"/>
      <c r="BR851" s="3"/>
      <c r="BS851" s="3"/>
      <c r="BT851" s="3"/>
      <c r="BU851" s="3"/>
      <c r="BV851" s="4">
        <f>SUM(BQ851:BU851)</f>
        <v>0</v>
      </c>
      <c r="BX851" s="2"/>
      <c r="BY851" s="3"/>
      <c r="BZ851" s="3"/>
      <c r="CA851" s="3"/>
      <c r="CB851" s="3"/>
      <c r="CC851" s="4">
        <f>SUM(BX851:CB851)</f>
        <v>0</v>
      </c>
      <c r="CE851" s="26">
        <f t="shared" ref="CE851:CE854" si="3897">F851+M851+T851+AA851+AH851+AO851+AV851+BC851+BJ851+BQ851+BX851</f>
        <v>0</v>
      </c>
      <c r="CF851" s="27">
        <f t="shared" ref="CF851:CF854" si="3898">G851+N851+U851+AB851+AI851+AP851+AW851+BD851+BK851+BR851+BY851</f>
        <v>0</v>
      </c>
      <c r="CG851" s="27">
        <f t="shared" ref="CG851:CG854" si="3899">H851+O851+V851+AC851+AJ851+AQ851+AX851+BE851+BL851+BS851+BZ851</f>
        <v>0</v>
      </c>
      <c r="CH851" s="27">
        <f t="shared" ref="CH851:CH854" si="3900">I851+P851+W851+AD851+AK851+AR851+AY851+BF851+BM851+BT851+CA851</f>
        <v>0</v>
      </c>
      <c r="CI851" s="27">
        <f t="shared" ref="CI851:CI854" si="3901">J851+Q851+X851+AE851+AL851+AS851+AZ851+BG851+BN851+BU851+CB851</f>
        <v>0</v>
      </c>
      <c r="CJ851" s="4">
        <f>SUM(CE851:CI851)</f>
        <v>0</v>
      </c>
      <c r="CL851" s="2"/>
      <c r="CM851" s="3"/>
      <c r="CN851" s="3"/>
      <c r="CO851" s="3"/>
      <c r="CP851" s="3"/>
      <c r="CQ851" s="4">
        <f>SUM(CL851:CP851)</f>
        <v>0</v>
      </c>
      <c r="CS851" s="2"/>
      <c r="CT851" s="3"/>
      <c r="CU851" s="3"/>
      <c r="CV851" s="3"/>
      <c r="CW851" s="3"/>
      <c r="CX851" s="4">
        <f>SUM(CS851:CW851)</f>
        <v>0</v>
      </c>
      <c r="CZ851" s="2"/>
      <c r="DA851" s="3"/>
      <c r="DB851" s="3"/>
      <c r="DC851" s="3"/>
      <c r="DD851" s="3"/>
      <c r="DE851" s="4">
        <f>SUM(CZ851:DD851)</f>
        <v>0</v>
      </c>
    </row>
    <row r="852" spans="3:109">
      <c r="C852" s="567"/>
      <c r="E852" s="14" t="s">
        <v>60</v>
      </c>
      <c r="F852" s="23">
        <f t="shared" ref="F852:F854" si="3902">CE846</f>
        <v>0</v>
      </c>
      <c r="G852" s="24">
        <f t="shared" si="3893"/>
        <v>0</v>
      </c>
      <c r="H852" s="24">
        <f t="shared" si="3894"/>
        <v>0</v>
      </c>
      <c r="I852" s="24">
        <f t="shared" si="3895"/>
        <v>0</v>
      </c>
      <c r="J852" s="24">
        <f t="shared" si="3896"/>
        <v>0</v>
      </c>
      <c r="K852" s="8">
        <f t="shared" ref="K852:K854" si="3903">SUM(F852:J852)</f>
        <v>0</v>
      </c>
      <c r="M852" s="6"/>
      <c r="N852" s="7"/>
      <c r="O852" s="7"/>
      <c r="P852" s="7"/>
      <c r="Q852" s="7"/>
      <c r="R852" s="8">
        <f t="shared" ref="R852:R854" si="3904">SUM(M852:Q852)</f>
        <v>0</v>
      </c>
      <c r="T852" s="6"/>
      <c r="U852" s="7"/>
      <c r="V852" s="7"/>
      <c r="W852" s="7"/>
      <c r="X852" s="7"/>
      <c r="Y852" s="8">
        <f t="shared" ref="Y852:Y854" si="3905">SUM(T852:X852)</f>
        <v>0</v>
      </c>
      <c r="AA852" s="6"/>
      <c r="AB852" s="7"/>
      <c r="AC852" s="7"/>
      <c r="AD852" s="7"/>
      <c r="AE852" s="7"/>
      <c r="AF852" s="8">
        <f t="shared" ref="AF852:AF854" si="3906">SUM(AA852:AE852)</f>
        <v>0</v>
      </c>
      <c r="AH852" s="6"/>
      <c r="AI852" s="7"/>
      <c r="AJ852" s="7"/>
      <c r="AK852" s="7"/>
      <c r="AL852" s="7"/>
      <c r="AM852" s="8">
        <f t="shared" ref="AM852:AM854" si="3907">SUM(AH852:AL852)</f>
        <v>0</v>
      </c>
      <c r="AO852" s="6"/>
      <c r="AP852" s="7"/>
      <c r="AQ852" s="7"/>
      <c r="AR852" s="7"/>
      <c r="AS852" s="7"/>
      <c r="AT852" s="8">
        <f t="shared" ref="AT852:AT854" si="3908">SUM(AO852:AS852)</f>
        <v>0</v>
      </c>
      <c r="AV852" s="6"/>
      <c r="AW852" s="7"/>
      <c r="AX852" s="7"/>
      <c r="AY852" s="7"/>
      <c r="AZ852" s="7"/>
      <c r="BA852" s="8">
        <f t="shared" ref="BA852:BA854" si="3909">SUM(AV852:AZ852)</f>
        <v>0</v>
      </c>
      <c r="BC852" s="6"/>
      <c r="BD852" s="7"/>
      <c r="BE852" s="7"/>
      <c r="BF852" s="7"/>
      <c r="BG852" s="7"/>
      <c r="BH852" s="8">
        <f t="shared" ref="BH852:BH854" si="3910">SUM(BC852:BG852)</f>
        <v>0</v>
      </c>
      <c r="BJ852" s="6"/>
      <c r="BK852" s="7"/>
      <c r="BL852" s="7"/>
      <c r="BM852" s="7"/>
      <c r="BN852" s="7"/>
      <c r="BO852" s="8">
        <f t="shared" ref="BO852:BO854" si="3911">SUM(BJ852:BN852)</f>
        <v>0</v>
      </c>
      <c r="BQ852" s="6"/>
      <c r="BR852" s="7"/>
      <c r="BS852" s="7"/>
      <c r="BT852" s="7"/>
      <c r="BU852" s="7"/>
      <c r="BV852" s="8">
        <f t="shared" ref="BV852:BV854" si="3912">SUM(BQ852:BU852)</f>
        <v>0</v>
      </c>
      <c r="BX852" s="6"/>
      <c r="BY852" s="7"/>
      <c r="BZ852" s="7"/>
      <c r="CA852" s="7"/>
      <c r="CB852" s="7"/>
      <c r="CC852" s="8">
        <f t="shared" ref="CC852:CC854" si="3913">SUM(BX852:CB852)</f>
        <v>0</v>
      </c>
      <c r="CE852" s="28">
        <f t="shared" si="3897"/>
        <v>0</v>
      </c>
      <c r="CF852" s="29">
        <f t="shared" si="3898"/>
        <v>0</v>
      </c>
      <c r="CG852" s="29">
        <f t="shared" si="3899"/>
        <v>0</v>
      </c>
      <c r="CH852" s="29">
        <f t="shared" si="3900"/>
        <v>0</v>
      </c>
      <c r="CI852" s="29">
        <f t="shared" si="3901"/>
        <v>0</v>
      </c>
      <c r="CJ852" s="8">
        <f>SUM(CE852:CI852)</f>
        <v>0</v>
      </c>
      <c r="CL852" s="6"/>
      <c r="CM852" s="7"/>
      <c r="CN852" s="7"/>
      <c r="CO852" s="7"/>
      <c r="CP852" s="7"/>
      <c r="CQ852" s="8">
        <f t="shared" ref="CQ852:CQ854" si="3914">SUM(CL852:CP852)</f>
        <v>0</v>
      </c>
      <c r="CS852" s="6"/>
      <c r="CT852" s="7"/>
      <c r="CU852" s="7"/>
      <c r="CV852" s="7"/>
      <c r="CW852" s="7"/>
      <c r="CX852" s="8">
        <f t="shared" ref="CX852:CX854" si="3915">SUM(CS852:CW852)</f>
        <v>0</v>
      </c>
      <c r="CZ852" s="6"/>
      <c r="DA852" s="7"/>
      <c r="DB852" s="7"/>
      <c r="DC852" s="7"/>
      <c r="DD852" s="7"/>
      <c r="DE852" s="8">
        <f t="shared" ref="DE852:DE854" si="3916">SUM(CZ852:DD852)</f>
        <v>0</v>
      </c>
    </row>
    <row r="853" spans="3:109">
      <c r="C853" s="567"/>
      <c r="E853" s="14" t="s">
        <v>61</v>
      </c>
      <c r="F853" s="23">
        <f t="shared" si="3902"/>
        <v>0</v>
      </c>
      <c r="G853" s="24">
        <f t="shared" si="3893"/>
        <v>0</v>
      </c>
      <c r="H853" s="24">
        <f t="shared" si="3894"/>
        <v>0</v>
      </c>
      <c r="I853" s="24">
        <f t="shared" si="3895"/>
        <v>0</v>
      </c>
      <c r="J853" s="24">
        <f t="shared" si="3896"/>
        <v>0</v>
      </c>
      <c r="K853" s="8">
        <f t="shared" si="3903"/>
        <v>0</v>
      </c>
      <c r="M853" s="6"/>
      <c r="N853" s="7"/>
      <c r="O853" s="7"/>
      <c r="P853" s="7"/>
      <c r="Q853" s="7"/>
      <c r="R853" s="8">
        <f t="shared" si="3904"/>
        <v>0</v>
      </c>
      <c r="T853" s="6"/>
      <c r="U853" s="7"/>
      <c r="V853" s="7"/>
      <c r="W853" s="7"/>
      <c r="X853" s="7"/>
      <c r="Y853" s="8">
        <f t="shared" si="3905"/>
        <v>0</v>
      </c>
      <c r="AA853" s="6"/>
      <c r="AB853" s="7"/>
      <c r="AC853" s="7"/>
      <c r="AD853" s="7"/>
      <c r="AE853" s="7"/>
      <c r="AF853" s="8">
        <f t="shared" si="3906"/>
        <v>0</v>
      </c>
      <c r="AH853" s="6"/>
      <c r="AI853" s="7"/>
      <c r="AJ853" s="7"/>
      <c r="AK853" s="7"/>
      <c r="AL853" s="7"/>
      <c r="AM853" s="8">
        <f t="shared" si="3907"/>
        <v>0</v>
      </c>
      <c r="AO853" s="6"/>
      <c r="AP853" s="7"/>
      <c r="AQ853" s="7"/>
      <c r="AR853" s="7"/>
      <c r="AS853" s="7"/>
      <c r="AT853" s="8">
        <f t="shared" si="3908"/>
        <v>0</v>
      </c>
      <c r="AV853" s="6"/>
      <c r="AW853" s="7"/>
      <c r="AX853" s="7"/>
      <c r="AY853" s="7"/>
      <c r="AZ853" s="7"/>
      <c r="BA853" s="8">
        <f t="shared" si="3909"/>
        <v>0</v>
      </c>
      <c r="BC853" s="6"/>
      <c r="BD853" s="7"/>
      <c r="BE853" s="7"/>
      <c r="BF853" s="7"/>
      <c r="BG853" s="7"/>
      <c r="BH853" s="8">
        <f t="shared" si="3910"/>
        <v>0</v>
      </c>
      <c r="BJ853" s="6"/>
      <c r="BK853" s="7"/>
      <c r="BL853" s="7"/>
      <c r="BM853" s="7"/>
      <c r="BN853" s="7"/>
      <c r="BO853" s="8">
        <f t="shared" si="3911"/>
        <v>0</v>
      </c>
      <c r="BQ853" s="6"/>
      <c r="BR853" s="7"/>
      <c r="BS853" s="7"/>
      <c r="BT853" s="7"/>
      <c r="BU853" s="7"/>
      <c r="BV853" s="8">
        <f t="shared" si="3912"/>
        <v>0</v>
      </c>
      <c r="BX853" s="6"/>
      <c r="BY853" s="7"/>
      <c r="BZ853" s="7"/>
      <c r="CA853" s="7"/>
      <c r="CB853" s="7"/>
      <c r="CC853" s="8">
        <f t="shared" si="3913"/>
        <v>0</v>
      </c>
      <c r="CE853" s="28">
        <f t="shared" si="3897"/>
        <v>0</v>
      </c>
      <c r="CF853" s="29">
        <f t="shared" si="3898"/>
        <v>0</v>
      </c>
      <c r="CG853" s="29">
        <f t="shared" si="3899"/>
        <v>0</v>
      </c>
      <c r="CH853" s="29">
        <f t="shared" si="3900"/>
        <v>0</v>
      </c>
      <c r="CI853" s="29">
        <f t="shared" si="3901"/>
        <v>0</v>
      </c>
      <c r="CJ853" s="8">
        <f>SUM(CE853:CI853)</f>
        <v>0</v>
      </c>
      <c r="CL853" s="6"/>
      <c r="CM853" s="7"/>
      <c r="CN853" s="7"/>
      <c r="CO853" s="7"/>
      <c r="CP853" s="7"/>
      <c r="CQ853" s="8">
        <f t="shared" si="3914"/>
        <v>0</v>
      </c>
      <c r="CS853" s="6"/>
      <c r="CT853" s="7"/>
      <c r="CU853" s="7"/>
      <c r="CV853" s="7"/>
      <c r="CW853" s="7"/>
      <c r="CX853" s="8">
        <f t="shared" si="3915"/>
        <v>0</v>
      </c>
      <c r="CZ853" s="6"/>
      <c r="DA853" s="7"/>
      <c r="DB853" s="7"/>
      <c r="DC853" s="7"/>
      <c r="DD853" s="7"/>
      <c r="DE853" s="8">
        <f t="shared" si="3916"/>
        <v>0</v>
      </c>
    </row>
    <row r="854" spans="3:109" ht="14" thickBot="1">
      <c r="C854" s="567"/>
      <c r="E854" s="14" t="s">
        <v>62</v>
      </c>
      <c r="F854" s="23">
        <f t="shared" si="3902"/>
        <v>0</v>
      </c>
      <c r="G854" s="24">
        <f t="shared" si="3893"/>
        <v>0</v>
      </c>
      <c r="H854" s="24">
        <f t="shared" si="3894"/>
        <v>0</v>
      </c>
      <c r="I854" s="24">
        <f t="shared" si="3895"/>
        <v>0</v>
      </c>
      <c r="J854" s="24">
        <f t="shared" si="3896"/>
        <v>0</v>
      </c>
      <c r="K854" s="8">
        <f t="shared" si="3903"/>
        <v>0</v>
      </c>
      <c r="M854" s="6"/>
      <c r="N854" s="7"/>
      <c r="O854" s="7"/>
      <c r="P854" s="7"/>
      <c r="Q854" s="7"/>
      <c r="R854" s="8">
        <f t="shared" si="3904"/>
        <v>0</v>
      </c>
      <c r="T854" s="6"/>
      <c r="U854" s="7"/>
      <c r="V854" s="7"/>
      <c r="W854" s="7"/>
      <c r="X854" s="7"/>
      <c r="Y854" s="8">
        <f t="shared" si="3905"/>
        <v>0</v>
      </c>
      <c r="AA854" s="6"/>
      <c r="AB854" s="7"/>
      <c r="AC854" s="7"/>
      <c r="AD854" s="7"/>
      <c r="AE854" s="7"/>
      <c r="AF854" s="8">
        <f t="shared" si="3906"/>
        <v>0</v>
      </c>
      <c r="AH854" s="6"/>
      <c r="AI854" s="7"/>
      <c r="AJ854" s="7"/>
      <c r="AK854" s="7"/>
      <c r="AL854" s="7"/>
      <c r="AM854" s="8">
        <f t="shared" si="3907"/>
        <v>0</v>
      </c>
      <c r="AO854" s="6"/>
      <c r="AP854" s="7"/>
      <c r="AQ854" s="7"/>
      <c r="AR854" s="7"/>
      <c r="AS854" s="7"/>
      <c r="AT854" s="8">
        <f t="shared" si="3908"/>
        <v>0</v>
      </c>
      <c r="AV854" s="6"/>
      <c r="AW854" s="7"/>
      <c r="AX854" s="7"/>
      <c r="AY854" s="7"/>
      <c r="AZ854" s="7"/>
      <c r="BA854" s="8">
        <f t="shared" si="3909"/>
        <v>0</v>
      </c>
      <c r="BC854" s="6"/>
      <c r="BD854" s="7"/>
      <c r="BE854" s="7"/>
      <c r="BF854" s="7"/>
      <c r="BG854" s="7"/>
      <c r="BH854" s="8">
        <f t="shared" si="3910"/>
        <v>0</v>
      </c>
      <c r="BJ854" s="6"/>
      <c r="BK854" s="7"/>
      <c r="BL854" s="7"/>
      <c r="BM854" s="7"/>
      <c r="BN854" s="7"/>
      <c r="BO854" s="8">
        <f t="shared" si="3911"/>
        <v>0</v>
      </c>
      <c r="BQ854" s="6"/>
      <c r="BR854" s="7"/>
      <c r="BS854" s="7"/>
      <c r="BT854" s="7"/>
      <c r="BU854" s="7"/>
      <c r="BV854" s="8">
        <f t="shared" si="3912"/>
        <v>0</v>
      </c>
      <c r="BX854" s="6"/>
      <c r="BY854" s="7"/>
      <c r="BZ854" s="7"/>
      <c r="CA854" s="7"/>
      <c r="CB854" s="7"/>
      <c r="CC854" s="8">
        <f t="shared" si="3913"/>
        <v>0</v>
      </c>
      <c r="CE854" s="493">
        <f t="shared" si="3897"/>
        <v>0</v>
      </c>
      <c r="CF854" s="494">
        <f t="shared" si="3898"/>
        <v>0</v>
      </c>
      <c r="CG854" s="494">
        <f t="shared" si="3899"/>
        <v>0</v>
      </c>
      <c r="CH854" s="494">
        <f t="shared" si="3900"/>
        <v>0</v>
      </c>
      <c r="CI854" s="494">
        <f t="shared" si="3901"/>
        <v>0</v>
      </c>
      <c r="CJ854" s="495">
        <f>SUM(CE854:CI854)</f>
        <v>0</v>
      </c>
      <c r="CL854" s="6"/>
      <c r="CM854" s="7"/>
      <c r="CN854" s="7"/>
      <c r="CO854" s="7"/>
      <c r="CP854" s="7"/>
      <c r="CQ854" s="8">
        <f t="shared" si="3914"/>
        <v>0</v>
      </c>
      <c r="CS854" s="6"/>
      <c r="CT854" s="7"/>
      <c r="CU854" s="7"/>
      <c r="CV854" s="7"/>
      <c r="CW854" s="7"/>
      <c r="CX854" s="8">
        <f t="shared" si="3915"/>
        <v>0</v>
      </c>
      <c r="CZ854" s="6"/>
      <c r="DA854" s="7"/>
      <c r="DB854" s="7"/>
      <c r="DC854" s="7"/>
      <c r="DD854" s="7"/>
      <c r="DE854" s="8">
        <f t="shared" si="3916"/>
        <v>0</v>
      </c>
    </row>
    <row r="855" spans="3:109" ht="14" thickBot="1">
      <c r="C855" s="554"/>
      <c r="E855" s="17"/>
      <c r="F855" s="10">
        <f>SUM(F851:F854)</f>
        <v>0</v>
      </c>
      <c r="G855" s="11">
        <f t="shared" ref="G855:J855" si="3917">SUM(G851:G854)</f>
        <v>0</v>
      </c>
      <c r="H855" s="11">
        <f t="shared" si="3917"/>
        <v>0</v>
      </c>
      <c r="I855" s="11">
        <f t="shared" si="3917"/>
        <v>0</v>
      </c>
      <c r="J855" s="11">
        <f t="shared" si="3917"/>
        <v>0</v>
      </c>
      <c r="K855" s="25">
        <f>SUM(K851:K854)</f>
        <v>0</v>
      </c>
      <c r="M855" s="10">
        <f>SUM(M851:M854)</f>
        <v>0</v>
      </c>
      <c r="N855" s="11">
        <f t="shared" ref="N855:Q855" si="3918">SUM(N851:N854)</f>
        <v>0</v>
      </c>
      <c r="O855" s="11">
        <f t="shared" si="3918"/>
        <v>0</v>
      </c>
      <c r="P855" s="11">
        <f t="shared" si="3918"/>
        <v>0</v>
      </c>
      <c r="Q855" s="11">
        <f t="shared" si="3918"/>
        <v>0</v>
      </c>
      <c r="R855" s="25">
        <f>SUM(R851:R854)</f>
        <v>0</v>
      </c>
      <c r="T855" s="10">
        <f>SUM(T851:T854)</f>
        <v>0</v>
      </c>
      <c r="U855" s="11">
        <f t="shared" ref="U855:X855" si="3919">SUM(U851:U854)</f>
        <v>0</v>
      </c>
      <c r="V855" s="11">
        <f t="shared" si="3919"/>
        <v>0</v>
      </c>
      <c r="W855" s="11">
        <f t="shared" si="3919"/>
        <v>0</v>
      </c>
      <c r="X855" s="11">
        <f t="shared" si="3919"/>
        <v>0</v>
      </c>
      <c r="Y855" s="25">
        <f>SUM(Y851:Y854)</f>
        <v>0</v>
      </c>
      <c r="AA855" s="10">
        <f>SUM(AA851:AA854)</f>
        <v>0</v>
      </c>
      <c r="AB855" s="11">
        <f t="shared" ref="AB855:AE855" si="3920">SUM(AB851:AB854)</f>
        <v>0</v>
      </c>
      <c r="AC855" s="11">
        <f t="shared" si="3920"/>
        <v>0</v>
      </c>
      <c r="AD855" s="11">
        <f t="shared" si="3920"/>
        <v>0</v>
      </c>
      <c r="AE855" s="11">
        <f t="shared" si="3920"/>
        <v>0</v>
      </c>
      <c r="AF855" s="25">
        <f>SUM(AF851:AF854)</f>
        <v>0</v>
      </c>
      <c r="AH855" s="10">
        <f>SUM(AH851:AH854)</f>
        <v>0</v>
      </c>
      <c r="AI855" s="11">
        <f t="shared" ref="AI855:AL855" si="3921">SUM(AI851:AI854)</f>
        <v>0</v>
      </c>
      <c r="AJ855" s="11">
        <f t="shared" si="3921"/>
        <v>0</v>
      </c>
      <c r="AK855" s="11">
        <f t="shared" si="3921"/>
        <v>0</v>
      </c>
      <c r="AL855" s="11">
        <f t="shared" si="3921"/>
        <v>0</v>
      </c>
      <c r="AM855" s="25">
        <f>SUM(AM851:AM854)</f>
        <v>0</v>
      </c>
      <c r="AO855" s="10">
        <f>SUM(AO851:AO854)</f>
        <v>0</v>
      </c>
      <c r="AP855" s="11">
        <f t="shared" ref="AP855:AS855" si="3922">SUM(AP851:AP854)</f>
        <v>0</v>
      </c>
      <c r="AQ855" s="11">
        <f t="shared" si="3922"/>
        <v>0</v>
      </c>
      <c r="AR855" s="11">
        <f t="shared" si="3922"/>
        <v>0</v>
      </c>
      <c r="AS855" s="11">
        <f t="shared" si="3922"/>
        <v>0</v>
      </c>
      <c r="AT855" s="25">
        <f>SUM(AT851:AT854)</f>
        <v>0</v>
      </c>
      <c r="AV855" s="10">
        <f>SUM(AV851:AV854)</f>
        <v>0</v>
      </c>
      <c r="AW855" s="11">
        <f t="shared" ref="AW855:AZ855" si="3923">SUM(AW851:AW854)</f>
        <v>0</v>
      </c>
      <c r="AX855" s="11">
        <f t="shared" si="3923"/>
        <v>0</v>
      </c>
      <c r="AY855" s="11">
        <f t="shared" si="3923"/>
        <v>0</v>
      </c>
      <c r="AZ855" s="11">
        <f t="shared" si="3923"/>
        <v>0</v>
      </c>
      <c r="BA855" s="25">
        <f>SUM(BA851:BA854)</f>
        <v>0</v>
      </c>
      <c r="BC855" s="10">
        <f>SUM(BC851:BC854)</f>
        <v>0</v>
      </c>
      <c r="BD855" s="11">
        <f t="shared" ref="BD855:BG855" si="3924">SUM(BD851:BD854)</f>
        <v>0</v>
      </c>
      <c r="BE855" s="11">
        <f t="shared" si="3924"/>
        <v>0</v>
      </c>
      <c r="BF855" s="11">
        <f t="shared" si="3924"/>
        <v>0</v>
      </c>
      <c r="BG855" s="11">
        <f t="shared" si="3924"/>
        <v>0</v>
      </c>
      <c r="BH855" s="25">
        <f>SUM(BH851:BH854)</f>
        <v>0</v>
      </c>
      <c r="BJ855" s="10">
        <f>SUM(BJ851:BJ854)</f>
        <v>0</v>
      </c>
      <c r="BK855" s="11">
        <f t="shared" ref="BK855:BN855" si="3925">SUM(BK851:BK854)</f>
        <v>0</v>
      </c>
      <c r="BL855" s="11">
        <f t="shared" si="3925"/>
        <v>0</v>
      </c>
      <c r="BM855" s="11">
        <f t="shared" si="3925"/>
        <v>0</v>
      </c>
      <c r="BN855" s="11">
        <f t="shared" si="3925"/>
        <v>0</v>
      </c>
      <c r="BO855" s="25">
        <f>SUM(BO851:BO854)</f>
        <v>0</v>
      </c>
      <c r="BQ855" s="10">
        <f>SUM(BQ851:BQ854)</f>
        <v>0</v>
      </c>
      <c r="BR855" s="11">
        <f t="shared" ref="BR855:BU855" si="3926">SUM(BR851:BR854)</f>
        <v>0</v>
      </c>
      <c r="BS855" s="11">
        <f t="shared" si="3926"/>
        <v>0</v>
      </c>
      <c r="BT855" s="11">
        <f t="shared" si="3926"/>
        <v>0</v>
      </c>
      <c r="BU855" s="11">
        <f t="shared" si="3926"/>
        <v>0</v>
      </c>
      <c r="BV855" s="25">
        <f>SUM(BV851:BV854)</f>
        <v>0</v>
      </c>
      <c r="BX855" s="10">
        <f>SUM(BX851:BX854)</f>
        <v>0</v>
      </c>
      <c r="BY855" s="11">
        <f t="shared" ref="BY855:CB855" si="3927">SUM(BY851:BY854)</f>
        <v>0</v>
      </c>
      <c r="BZ855" s="11">
        <f t="shared" si="3927"/>
        <v>0</v>
      </c>
      <c r="CA855" s="11">
        <f t="shared" si="3927"/>
        <v>0</v>
      </c>
      <c r="CB855" s="11">
        <f t="shared" si="3927"/>
        <v>0</v>
      </c>
      <c r="CC855" s="25">
        <f>SUM(CC851:CC854)</f>
        <v>0</v>
      </c>
      <c r="CE855" s="62">
        <f t="shared" ref="CE855:CJ855" si="3928">SUM(CE851:CE854)</f>
        <v>0</v>
      </c>
      <c r="CF855" s="63">
        <f t="shared" si="3928"/>
        <v>0</v>
      </c>
      <c r="CG855" s="63">
        <f t="shared" si="3928"/>
        <v>0</v>
      </c>
      <c r="CH855" s="63">
        <f t="shared" si="3928"/>
        <v>0</v>
      </c>
      <c r="CI855" s="63">
        <f t="shared" si="3928"/>
        <v>0</v>
      </c>
      <c r="CJ855" s="25">
        <f t="shared" si="3928"/>
        <v>0</v>
      </c>
      <c r="CL855" s="10">
        <f>SUM(CL851:CL854)</f>
        <v>0</v>
      </c>
      <c r="CM855" s="11">
        <f t="shared" ref="CM855:CP855" si="3929">SUM(CM851:CM854)</f>
        <v>0</v>
      </c>
      <c r="CN855" s="11">
        <f t="shared" si="3929"/>
        <v>0</v>
      </c>
      <c r="CO855" s="11">
        <f t="shared" si="3929"/>
        <v>0</v>
      </c>
      <c r="CP855" s="11">
        <f t="shared" si="3929"/>
        <v>0</v>
      </c>
      <c r="CQ855" s="25">
        <f>SUM(CQ851:CQ854)</f>
        <v>0</v>
      </c>
      <c r="CS855" s="10">
        <f>SUM(CS851:CS854)</f>
        <v>0</v>
      </c>
      <c r="CT855" s="11">
        <f t="shared" ref="CT855:CW855" si="3930">SUM(CT851:CT854)</f>
        <v>0</v>
      </c>
      <c r="CU855" s="11">
        <f t="shared" si="3930"/>
        <v>0</v>
      </c>
      <c r="CV855" s="11">
        <f t="shared" si="3930"/>
        <v>0</v>
      </c>
      <c r="CW855" s="11">
        <f t="shared" si="3930"/>
        <v>0</v>
      </c>
      <c r="CX855" s="25">
        <f>SUM(CX851:CX854)</f>
        <v>0</v>
      </c>
      <c r="CZ855" s="10">
        <f>SUM(CZ851:CZ854)</f>
        <v>0</v>
      </c>
      <c r="DA855" s="11">
        <f t="shared" ref="DA855:DD855" si="3931">SUM(DA851:DA854)</f>
        <v>0</v>
      </c>
      <c r="DB855" s="11">
        <f t="shared" si="3931"/>
        <v>0</v>
      </c>
      <c r="DC855" s="11">
        <f t="shared" si="3931"/>
        <v>0</v>
      </c>
      <c r="DD855" s="11">
        <f t="shared" si="3931"/>
        <v>0</v>
      </c>
      <c r="DE855" s="25">
        <f>SUM(DE851:DE854)</f>
        <v>0</v>
      </c>
    </row>
    <row r="856" spans="3:109" ht="10.4" customHeight="1" thickBot="1"/>
    <row r="857" spans="3:109">
      <c r="C857" s="553">
        <v>2027</v>
      </c>
      <c r="E857" s="13" t="s">
        <v>59</v>
      </c>
      <c r="F857" s="21">
        <f>CE851</f>
        <v>0</v>
      </c>
      <c r="G857" s="22">
        <f t="shared" ref="G857:G860" si="3932">CF851</f>
        <v>0</v>
      </c>
      <c r="H857" s="22">
        <f t="shared" ref="H857:H860" si="3933">CG851</f>
        <v>0</v>
      </c>
      <c r="I857" s="22">
        <f t="shared" ref="I857:I860" si="3934">CH851</f>
        <v>0</v>
      </c>
      <c r="J857" s="22">
        <f t="shared" ref="J857:J860" si="3935">CI851</f>
        <v>0</v>
      </c>
      <c r="K857" s="4">
        <f>SUM(F857:J857)</f>
        <v>0</v>
      </c>
      <c r="M857" s="2"/>
      <c r="N857" s="3"/>
      <c r="O857" s="3"/>
      <c r="P857" s="3"/>
      <c r="Q857" s="3"/>
      <c r="R857" s="4">
        <f>SUM(M857:Q857)</f>
        <v>0</v>
      </c>
      <c r="T857" s="2"/>
      <c r="U857" s="3"/>
      <c r="V857" s="3"/>
      <c r="W857" s="3"/>
      <c r="X857" s="3"/>
      <c r="Y857" s="4">
        <f>SUM(T857:X857)</f>
        <v>0</v>
      </c>
      <c r="AA857" s="2"/>
      <c r="AB857" s="3"/>
      <c r="AC857" s="3"/>
      <c r="AD857" s="3"/>
      <c r="AE857" s="3"/>
      <c r="AF857" s="4">
        <f>SUM(AA857:AE857)</f>
        <v>0</v>
      </c>
      <c r="AH857" s="2"/>
      <c r="AI857" s="3"/>
      <c r="AJ857" s="3"/>
      <c r="AK857" s="3"/>
      <c r="AL857" s="3"/>
      <c r="AM857" s="4">
        <f>SUM(AH857:AL857)</f>
        <v>0</v>
      </c>
      <c r="AO857" s="2"/>
      <c r="AP857" s="3"/>
      <c r="AQ857" s="3"/>
      <c r="AR857" s="3"/>
      <c r="AS857" s="3"/>
      <c r="AT857" s="4">
        <f>SUM(AO857:AS857)</f>
        <v>0</v>
      </c>
      <c r="AV857" s="2"/>
      <c r="AW857" s="3"/>
      <c r="AX857" s="3"/>
      <c r="AY857" s="3"/>
      <c r="AZ857" s="3"/>
      <c r="BA857" s="4">
        <f>SUM(AV857:AZ857)</f>
        <v>0</v>
      </c>
      <c r="BC857" s="2"/>
      <c r="BD857" s="3"/>
      <c r="BE857" s="3"/>
      <c r="BF857" s="3"/>
      <c r="BG857" s="3"/>
      <c r="BH857" s="4">
        <f>SUM(BC857:BG857)</f>
        <v>0</v>
      </c>
      <c r="BJ857" s="2"/>
      <c r="BK857" s="3"/>
      <c r="BL857" s="3"/>
      <c r="BM857" s="3"/>
      <c r="BN857" s="3"/>
      <c r="BO857" s="4">
        <f>SUM(BJ857:BN857)</f>
        <v>0</v>
      </c>
      <c r="BQ857" s="2"/>
      <c r="BR857" s="3"/>
      <c r="BS857" s="3"/>
      <c r="BT857" s="3"/>
      <c r="BU857" s="3"/>
      <c r="BV857" s="4">
        <f>SUM(BQ857:BU857)</f>
        <v>0</v>
      </c>
      <c r="BX857" s="2"/>
      <c r="BY857" s="3"/>
      <c r="BZ857" s="3"/>
      <c r="CA857" s="3"/>
      <c r="CB857" s="3"/>
      <c r="CC857" s="4">
        <f>SUM(BX857:CB857)</f>
        <v>0</v>
      </c>
      <c r="CE857" s="26">
        <f t="shared" ref="CE857:CE860" si="3936">F857+M857+T857+AA857+AH857+AO857+AV857+BC857+BJ857+BQ857+BX857</f>
        <v>0</v>
      </c>
      <c r="CF857" s="27">
        <f t="shared" ref="CF857:CF860" si="3937">G857+N857+U857+AB857+AI857+AP857+AW857+BD857+BK857+BR857+BY857</f>
        <v>0</v>
      </c>
      <c r="CG857" s="27">
        <f t="shared" ref="CG857:CG860" si="3938">H857+O857+V857+AC857+AJ857+AQ857+AX857+BE857+BL857+BS857+BZ857</f>
        <v>0</v>
      </c>
      <c r="CH857" s="27">
        <f t="shared" ref="CH857:CH860" si="3939">I857+P857+W857+AD857+AK857+AR857+AY857+BF857+BM857+BT857+CA857</f>
        <v>0</v>
      </c>
      <c r="CI857" s="27">
        <f t="shared" ref="CI857:CI860" si="3940">J857+Q857+X857+AE857+AL857+AS857+AZ857+BG857+BN857+BU857+CB857</f>
        <v>0</v>
      </c>
      <c r="CJ857" s="4">
        <f>SUM(CE857:CI857)</f>
        <v>0</v>
      </c>
      <c r="CL857" s="2"/>
      <c r="CM857" s="3"/>
      <c r="CN857" s="3"/>
      <c r="CO857" s="3"/>
      <c r="CP857" s="3"/>
      <c r="CQ857" s="4">
        <f>SUM(CL857:CP857)</f>
        <v>0</v>
      </c>
      <c r="CS857" s="2"/>
      <c r="CT857" s="3"/>
      <c r="CU857" s="3"/>
      <c r="CV857" s="3"/>
      <c r="CW857" s="3"/>
      <c r="CX857" s="4">
        <f>SUM(CS857:CW857)</f>
        <v>0</v>
      </c>
      <c r="CZ857" s="2"/>
      <c r="DA857" s="3"/>
      <c r="DB857" s="3"/>
      <c r="DC857" s="3"/>
      <c r="DD857" s="3"/>
      <c r="DE857" s="4">
        <f>SUM(CZ857:DD857)</f>
        <v>0</v>
      </c>
    </row>
    <row r="858" spans="3:109">
      <c r="C858" s="567"/>
      <c r="E858" s="14" t="s">
        <v>60</v>
      </c>
      <c r="F858" s="23">
        <f t="shared" ref="F858:F860" si="3941">CE852</f>
        <v>0</v>
      </c>
      <c r="G858" s="24">
        <f t="shared" si="3932"/>
        <v>0</v>
      </c>
      <c r="H858" s="24">
        <f t="shared" si="3933"/>
        <v>0</v>
      </c>
      <c r="I858" s="24">
        <f t="shared" si="3934"/>
        <v>0</v>
      </c>
      <c r="J858" s="24">
        <f t="shared" si="3935"/>
        <v>0</v>
      </c>
      <c r="K858" s="8">
        <f t="shared" ref="K858:K860" si="3942">SUM(F858:J858)</f>
        <v>0</v>
      </c>
      <c r="M858" s="6"/>
      <c r="N858" s="7"/>
      <c r="O858" s="7"/>
      <c r="P858" s="7"/>
      <c r="Q858" s="7"/>
      <c r="R858" s="8">
        <f t="shared" ref="R858:R860" si="3943">SUM(M858:Q858)</f>
        <v>0</v>
      </c>
      <c r="T858" s="6"/>
      <c r="U858" s="7"/>
      <c r="V858" s="7"/>
      <c r="W858" s="7"/>
      <c r="X858" s="7"/>
      <c r="Y858" s="8">
        <f t="shared" ref="Y858:Y860" si="3944">SUM(T858:X858)</f>
        <v>0</v>
      </c>
      <c r="AA858" s="6"/>
      <c r="AB858" s="7"/>
      <c r="AC858" s="7"/>
      <c r="AD858" s="7"/>
      <c r="AE858" s="7"/>
      <c r="AF858" s="8">
        <f t="shared" ref="AF858:AF860" si="3945">SUM(AA858:AE858)</f>
        <v>0</v>
      </c>
      <c r="AH858" s="6"/>
      <c r="AI858" s="7"/>
      <c r="AJ858" s="7"/>
      <c r="AK858" s="7"/>
      <c r="AL858" s="7"/>
      <c r="AM858" s="8">
        <f t="shared" ref="AM858:AM860" si="3946">SUM(AH858:AL858)</f>
        <v>0</v>
      </c>
      <c r="AO858" s="6"/>
      <c r="AP858" s="7"/>
      <c r="AQ858" s="7"/>
      <c r="AR858" s="7"/>
      <c r="AS858" s="7"/>
      <c r="AT858" s="8">
        <f t="shared" ref="AT858:AT860" si="3947">SUM(AO858:AS858)</f>
        <v>0</v>
      </c>
      <c r="AV858" s="6"/>
      <c r="AW858" s="7"/>
      <c r="AX858" s="7"/>
      <c r="AY858" s="7"/>
      <c r="AZ858" s="7"/>
      <c r="BA858" s="8">
        <f t="shared" ref="BA858:BA860" si="3948">SUM(AV858:AZ858)</f>
        <v>0</v>
      </c>
      <c r="BC858" s="6"/>
      <c r="BD858" s="7"/>
      <c r="BE858" s="7"/>
      <c r="BF858" s="7"/>
      <c r="BG858" s="7"/>
      <c r="BH858" s="8">
        <f t="shared" ref="BH858:BH860" si="3949">SUM(BC858:BG858)</f>
        <v>0</v>
      </c>
      <c r="BJ858" s="6"/>
      <c r="BK858" s="7"/>
      <c r="BL858" s="7"/>
      <c r="BM858" s="7"/>
      <c r="BN858" s="7"/>
      <c r="BO858" s="8">
        <f t="shared" ref="BO858:BO860" si="3950">SUM(BJ858:BN858)</f>
        <v>0</v>
      </c>
      <c r="BQ858" s="6"/>
      <c r="BR858" s="7"/>
      <c r="BS858" s="7"/>
      <c r="BT858" s="7"/>
      <c r="BU858" s="7"/>
      <c r="BV858" s="8">
        <f t="shared" ref="BV858:BV860" si="3951">SUM(BQ858:BU858)</f>
        <v>0</v>
      </c>
      <c r="BX858" s="6"/>
      <c r="BY858" s="7"/>
      <c r="BZ858" s="7"/>
      <c r="CA858" s="7"/>
      <c r="CB858" s="7"/>
      <c r="CC858" s="8">
        <f t="shared" ref="CC858:CC860" si="3952">SUM(BX858:CB858)</f>
        <v>0</v>
      </c>
      <c r="CE858" s="28">
        <f t="shared" si="3936"/>
        <v>0</v>
      </c>
      <c r="CF858" s="29">
        <f t="shared" si="3937"/>
        <v>0</v>
      </c>
      <c r="CG858" s="29">
        <f t="shared" si="3938"/>
        <v>0</v>
      </c>
      <c r="CH858" s="29">
        <f t="shared" si="3939"/>
        <v>0</v>
      </c>
      <c r="CI858" s="29">
        <f t="shared" si="3940"/>
        <v>0</v>
      </c>
      <c r="CJ858" s="8">
        <f>SUM(CE858:CI858)</f>
        <v>0</v>
      </c>
      <c r="CL858" s="6"/>
      <c r="CM858" s="7"/>
      <c r="CN858" s="7"/>
      <c r="CO858" s="7"/>
      <c r="CP858" s="7"/>
      <c r="CQ858" s="8">
        <f t="shared" ref="CQ858:CQ860" si="3953">SUM(CL858:CP858)</f>
        <v>0</v>
      </c>
      <c r="CS858" s="6"/>
      <c r="CT858" s="7"/>
      <c r="CU858" s="7"/>
      <c r="CV858" s="7"/>
      <c r="CW858" s="7"/>
      <c r="CX858" s="8">
        <f t="shared" ref="CX858:CX860" si="3954">SUM(CS858:CW858)</f>
        <v>0</v>
      </c>
      <c r="CZ858" s="6"/>
      <c r="DA858" s="7"/>
      <c r="DB858" s="7"/>
      <c r="DC858" s="7"/>
      <c r="DD858" s="7"/>
      <c r="DE858" s="8">
        <f t="shared" ref="DE858:DE860" si="3955">SUM(CZ858:DD858)</f>
        <v>0</v>
      </c>
    </row>
    <row r="859" spans="3:109">
      <c r="C859" s="567"/>
      <c r="E859" s="14" t="s">
        <v>61</v>
      </c>
      <c r="F859" s="23">
        <f t="shared" si="3941"/>
        <v>0</v>
      </c>
      <c r="G859" s="24">
        <f t="shared" si="3932"/>
        <v>0</v>
      </c>
      <c r="H859" s="24">
        <f t="shared" si="3933"/>
        <v>0</v>
      </c>
      <c r="I859" s="24">
        <f t="shared" si="3934"/>
        <v>0</v>
      </c>
      <c r="J859" s="24">
        <f t="shared" si="3935"/>
        <v>0</v>
      </c>
      <c r="K859" s="8">
        <f t="shared" si="3942"/>
        <v>0</v>
      </c>
      <c r="M859" s="6"/>
      <c r="N859" s="7"/>
      <c r="O859" s="7"/>
      <c r="P859" s="7"/>
      <c r="Q859" s="7"/>
      <c r="R859" s="8">
        <f t="shared" si="3943"/>
        <v>0</v>
      </c>
      <c r="T859" s="6"/>
      <c r="U859" s="7"/>
      <c r="V859" s="7"/>
      <c r="W859" s="7"/>
      <c r="X859" s="7"/>
      <c r="Y859" s="8">
        <f t="shared" si="3944"/>
        <v>0</v>
      </c>
      <c r="AA859" s="6"/>
      <c r="AB859" s="7"/>
      <c r="AC859" s="7"/>
      <c r="AD859" s="7"/>
      <c r="AE859" s="7"/>
      <c r="AF859" s="8">
        <f t="shared" si="3945"/>
        <v>0</v>
      </c>
      <c r="AH859" s="6"/>
      <c r="AI859" s="7"/>
      <c r="AJ859" s="7"/>
      <c r="AK859" s="7"/>
      <c r="AL859" s="7"/>
      <c r="AM859" s="8">
        <f t="shared" si="3946"/>
        <v>0</v>
      </c>
      <c r="AO859" s="6"/>
      <c r="AP859" s="7"/>
      <c r="AQ859" s="7"/>
      <c r="AR859" s="7"/>
      <c r="AS859" s="7"/>
      <c r="AT859" s="8">
        <f t="shared" si="3947"/>
        <v>0</v>
      </c>
      <c r="AV859" s="6"/>
      <c r="AW859" s="7"/>
      <c r="AX859" s="7"/>
      <c r="AY859" s="7"/>
      <c r="AZ859" s="7"/>
      <c r="BA859" s="8">
        <f t="shared" si="3948"/>
        <v>0</v>
      </c>
      <c r="BC859" s="6"/>
      <c r="BD859" s="7"/>
      <c r="BE859" s="7"/>
      <c r="BF859" s="7"/>
      <c r="BG859" s="7"/>
      <c r="BH859" s="8">
        <f t="shared" si="3949"/>
        <v>0</v>
      </c>
      <c r="BJ859" s="6"/>
      <c r="BK859" s="7"/>
      <c r="BL859" s="7"/>
      <c r="BM859" s="7"/>
      <c r="BN859" s="7"/>
      <c r="BO859" s="8">
        <f t="shared" si="3950"/>
        <v>0</v>
      </c>
      <c r="BQ859" s="6"/>
      <c r="BR859" s="7"/>
      <c r="BS859" s="7"/>
      <c r="BT859" s="7"/>
      <c r="BU859" s="7"/>
      <c r="BV859" s="8">
        <f t="shared" si="3951"/>
        <v>0</v>
      </c>
      <c r="BX859" s="6"/>
      <c r="BY859" s="7"/>
      <c r="BZ859" s="7"/>
      <c r="CA859" s="7"/>
      <c r="CB859" s="7"/>
      <c r="CC859" s="8">
        <f t="shared" si="3952"/>
        <v>0</v>
      </c>
      <c r="CE859" s="28">
        <f t="shared" si="3936"/>
        <v>0</v>
      </c>
      <c r="CF859" s="29">
        <f t="shared" si="3937"/>
        <v>0</v>
      </c>
      <c r="CG859" s="29">
        <f t="shared" si="3938"/>
        <v>0</v>
      </c>
      <c r="CH859" s="29">
        <f t="shared" si="3939"/>
        <v>0</v>
      </c>
      <c r="CI859" s="29">
        <f t="shared" si="3940"/>
        <v>0</v>
      </c>
      <c r="CJ859" s="8">
        <f>SUM(CE859:CI859)</f>
        <v>0</v>
      </c>
      <c r="CL859" s="6"/>
      <c r="CM859" s="7"/>
      <c r="CN859" s="7"/>
      <c r="CO859" s="7"/>
      <c r="CP859" s="7"/>
      <c r="CQ859" s="8">
        <f t="shared" si="3953"/>
        <v>0</v>
      </c>
      <c r="CS859" s="6"/>
      <c r="CT859" s="7"/>
      <c r="CU859" s="7"/>
      <c r="CV859" s="7"/>
      <c r="CW859" s="7"/>
      <c r="CX859" s="8">
        <f t="shared" si="3954"/>
        <v>0</v>
      </c>
      <c r="CZ859" s="6"/>
      <c r="DA859" s="7"/>
      <c r="DB859" s="7"/>
      <c r="DC859" s="7"/>
      <c r="DD859" s="7"/>
      <c r="DE859" s="8">
        <f t="shared" si="3955"/>
        <v>0</v>
      </c>
    </row>
    <row r="860" spans="3:109" ht="14" thickBot="1">
      <c r="C860" s="567"/>
      <c r="E860" s="14" t="s">
        <v>62</v>
      </c>
      <c r="F860" s="23">
        <f t="shared" si="3941"/>
        <v>0</v>
      </c>
      <c r="G860" s="24">
        <f t="shared" si="3932"/>
        <v>0</v>
      </c>
      <c r="H860" s="24">
        <f t="shared" si="3933"/>
        <v>0</v>
      </c>
      <c r="I860" s="24">
        <f t="shared" si="3934"/>
        <v>0</v>
      </c>
      <c r="J860" s="24">
        <f t="shared" si="3935"/>
        <v>0</v>
      </c>
      <c r="K860" s="8">
        <f t="shared" si="3942"/>
        <v>0</v>
      </c>
      <c r="M860" s="6"/>
      <c r="N860" s="7"/>
      <c r="O860" s="7"/>
      <c r="P860" s="7"/>
      <c r="Q860" s="7"/>
      <c r="R860" s="8">
        <f t="shared" si="3943"/>
        <v>0</v>
      </c>
      <c r="T860" s="6"/>
      <c r="U860" s="7"/>
      <c r="V860" s="7"/>
      <c r="W860" s="7"/>
      <c r="X860" s="7"/>
      <c r="Y860" s="8">
        <f t="shared" si="3944"/>
        <v>0</v>
      </c>
      <c r="AA860" s="6"/>
      <c r="AB860" s="7"/>
      <c r="AC860" s="7"/>
      <c r="AD860" s="7"/>
      <c r="AE860" s="7"/>
      <c r="AF860" s="8">
        <f t="shared" si="3945"/>
        <v>0</v>
      </c>
      <c r="AH860" s="6"/>
      <c r="AI860" s="7"/>
      <c r="AJ860" s="7"/>
      <c r="AK860" s="7"/>
      <c r="AL860" s="7"/>
      <c r="AM860" s="8">
        <f t="shared" si="3946"/>
        <v>0</v>
      </c>
      <c r="AO860" s="6"/>
      <c r="AP860" s="7"/>
      <c r="AQ860" s="7"/>
      <c r="AR860" s="7"/>
      <c r="AS860" s="7"/>
      <c r="AT860" s="8">
        <f t="shared" si="3947"/>
        <v>0</v>
      </c>
      <c r="AV860" s="6"/>
      <c r="AW860" s="7"/>
      <c r="AX860" s="7"/>
      <c r="AY860" s="7"/>
      <c r="AZ860" s="7"/>
      <c r="BA860" s="8">
        <f t="shared" si="3948"/>
        <v>0</v>
      </c>
      <c r="BC860" s="6"/>
      <c r="BD860" s="7"/>
      <c r="BE860" s="7"/>
      <c r="BF860" s="7"/>
      <c r="BG860" s="7"/>
      <c r="BH860" s="8">
        <f t="shared" si="3949"/>
        <v>0</v>
      </c>
      <c r="BJ860" s="6"/>
      <c r="BK860" s="7"/>
      <c r="BL860" s="7"/>
      <c r="BM860" s="7"/>
      <c r="BN860" s="7"/>
      <c r="BO860" s="8">
        <f t="shared" si="3950"/>
        <v>0</v>
      </c>
      <c r="BQ860" s="6"/>
      <c r="BR860" s="7"/>
      <c r="BS860" s="7"/>
      <c r="BT860" s="7"/>
      <c r="BU860" s="7"/>
      <c r="BV860" s="8">
        <f t="shared" si="3951"/>
        <v>0</v>
      </c>
      <c r="BX860" s="6"/>
      <c r="BY860" s="7"/>
      <c r="BZ860" s="7"/>
      <c r="CA860" s="7"/>
      <c r="CB860" s="7"/>
      <c r="CC860" s="8">
        <f t="shared" si="3952"/>
        <v>0</v>
      </c>
      <c r="CE860" s="493">
        <f t="shared" si="3936"/>
        <v>0</v>
      </c>
      <c r="CF860" s="494">
        <f t="shared" si="3937"/>
        <v>0</v>
      </c>
      <c r="CG860" s="494">
        <f t="shared" si="3938"/>
        <v>0</v>
      </c>
      <c r="CH860" s="494">
        <f t="shared" si="3939"/>
        <v>0</v>
      </c>
      <c r="CI860" s="494">
        <f t="shared" si="3940"/>
        <v>0</v>
      </c>
      <c r="CJ860" s="495">
        <f>SUM(CE860:CI860)</f>
        <v>0</v>
      </c>
      <c r="CL860" s="6"/>
      <c r="CM860" s="7"/>
      <c r="CN860" s="7"/>
      <c r="CO860" s="7"/>
      <c r="CP860" s="7"/>
      <c r="CQ860" s="8">
        <f t="shared" si="3953"/>
        <v>0</v>
      </c>
      <c r="CS860" s="6"/>
      <c r="CT860" s="7"/>
      <c r="CU860" s="7"/>
      <c r="CV860" s="7"/>
      <c r="CW860" s="7"/>
      <c r="CX860" s="8">
        <f t="shared" si="3954"/>
        <v>0</v>
      </c>
      <c r="CZ860" s="6"/>
      <c r="DA860" s="7"/>
      <c r="DB860" s="7"/>
      <c r="DC860" s="7"/>
      <c r="DD860" s="7"/>
      <c r="DE860" s="8">
        <f t="shared" si="3955"/>
        <v>0</v>
      </c>
    </row>
    <row r="861" spans="3:109" ht="14" thickBot="1">
      <c r="C861" s="554"/>
      <c r="E861" s="17"/>
      <c r="F861" s="10">
        <f>SUM(F857:F860)</f>
        <v>0</v>
      </c>
      <c r="G861" s="11">
        <f t="shared" ref="G861:J861" si="3956">SUM(G857:G860)</f>
        <v>0</v>
      </c>
      <c r="H861" s="11">
        <f t="shared" si="3956"/>
        <v>0</v>
      </c>
      <c r="I861" s="11">
        <f t="shared" si="3956"/>
        <v>0</v>
      </c>
      <c r="J861" s="11">
        <f t="shared" si="3956"/>
        <v>0</v>
      </c>
      <c r="K861" s="25">
        <f>SUM(K857:K860)</f>
        <v>0</v>
      </c>
      <c r="M861" s="10">
        <f>SUM(M857:M860)</f>
        <v>0</v>
      </c>
      <c r="N861" s="11">
        <f t="shared" ref="N861:Q861" si="3957">SUM(N857:N860)</f>
        <v>0</v>
      </c>
      <c r="O861" s="11">
        <f t="shared" si="3957"/>
        <v>0</v>
      </c>
      <c r="P861" s="11">
        <f t="shared" si="3957"/>
        <v>0</v>
      </c>
      <c r="Q861" s="11">
        <f t="shared" si="3957"/>
        <v>0</v>
      </c>
      <c r="R861" s="25">
        <f>SUM(R857:R860)</f>
        <v>0</v>
      </c>
      <c r="T861" s="10">
        <f>SUM(T857:T860)</f>
        <v>0</v>
      </c>
      <c r="U861" s="11">
        <f t="shared" ref="U861:X861" si="3958">SUM(U857:U860)</f>
        <v>0</v>
      </c>
      <c r="V861" s="11">
        <f t="shared" si="3958"/>
        <v>0</v>
      </c>
      <c r="W861" s="11">
        <f t="shared" si="3958"/>
        <v>0</v>
      </c>
      <c r="X861" s="11">
        <f t="shared" si="3958"/>
        <v>0</v>
      </c>
      <c r="Y861" s="25">
        <f>SUM(Y857:Y860)</f>
        <v>0</v>
      </c>
      <c r="AA861" s="10">
        <f>SUM(AA857:AA860)</f>
        <v>0</v>
      </c>
      <c r="AB861" s="11">
        <f t="shared" ref="AB861:AE861" si="3959">SUM(AB857:AB860)</f>
        <v>0</v>
      </c>
      <c r="AC861" s="11">
        <f t="shared" si="3959"/>
        <v>0</v>
      </c>
      <c r="AD861" s="11">
        <f t="shared" si="3959"/>
        <v>0</v>
      </c>
      <c r="AE861" s="11">
        <f t="shared" si="3959"/>
        <v>0</v>
      </c>
      <c r="AF861" s="25">
        <f>SUM(AF857:AF860)</f>
        <v>0</v>
      </c>
      <c r="AH861" s="10">
        <f>SUM(AH857:AH860)</f>
        <v>0</v>
      </c>
      <c r="AI861" s="11">
        <f t="shared" ref="AI861:AL861" si="3960">SUM(AI857:AI860)</f>
        <v>0</v>
      </c>
      <c r="AJ861" s="11">
        <f t="shared" si="3960"/>
        <v>0</v>
      </c>
      <c r="AK861" s="11">
        <f t="shared" si="3960"/>
        <v>0</v>
      </c>
      <c r="AL861" s="11">
        <f t="shared" si="3960"/>
        <v>0</v>
      </c>
      <c r="AM861" s="25">
        <f>SUM(AM857:AM860)</f>
        <v>0</v>
      </c>
      <c r="AO861" s="10">
        <f>SUM(AO857:AO860)</f>
        <v>0</v>
      </c>
      <c r="AP861" s="11">
        <f t="shared" ref="AP861:AS861" si="3961">SUM(AP857:AP860)</f>
        <v>0</v>
      </c>
      <c r="AQ861" s="11">
        <f t="shared" si="3961"/>
        <v>0</v>
      </c>
      <c r="AR861" s="11">
        <f t="shared" si="3961"/>
        <v>0</v>
      </c>
      <c r="AS861" s="11">
        <f t="shared" si="3961"/>
        <v>0</v>
      </c>
      <c r="AT861" s="25">
        <f>SUM(AT857:AT860)</f>
        <v>0</v>
      </c>
      <c r="AV861" s="10">
        <f>SUM(AV857:AV860)</f>
        <v>0</v>
      </c>
      <c r="AW861" s="11">
        <f t="shared" ref="AW861:AZ861" si="3962">SUM(AW857:AW860)</f>
        <v>0</v>
      </c>
      <c r="AX861" s="11">
        <f t="shared" si="3962"/>
        <v>0</v>
      </c>
      <c r="AY861" s="11">
        <f t="shared" si="3962"/>
        <v>0</v>
      </c>
      <c r="AZ861" s="11">
        <f t="shared" si="3962"/>
        <v>0</v>
      </c>
      <c r="BA861" s="25">
        <f>SUM(BA857:BA860)</f>
        <v>0</v>
      </c>
      <c r="BC861" s="10">
        <f>SUM(BC857:BC860)</f>
        <v>0</v>
      </c>
      <c r="BD861" s="11">
        <f t="shared" ref="BD861:BG861" si="3963">SUM(BD857:BD860)</f>
        <v>0</v>
      </c>
      <c r="BE861" s="11">
        <f t="shared" si="3963"/>
        <v>0</v>
      </c>
      <c r="BF861" s="11">
        <f t="shared" si="3963"/>
        <v>0</v>
      </c>
      <c r="BG861" s="11">
        <f t="shared" si="3963"/>
        <v>0</v>
      </c>
      <c r="BH861" s="25">
        <f>SUM(BH857:BH860)</f>
        <v>0</v>
      </c>
      <c r="BJ861" s="10">
        <f>SUM(BJ857:BJ860)</f>
        <v>0</v>
      </c>
      <c r="BK861" s="11">
        <f t="shared" ref="BK861:BN861" si="3964">SUM(BK857:BK860)</f>
        <v>0</v>
      </c>
      <c r="BL861" s="11">
        <f t="shared" si="3964"/>
        <v>0</v>
      </c>
      <c r="BM861" s="11">
        <f t="shared" si="3964"/>
        <v>0</v>
      </c>
      <c r="BN861" s="11">
        <f t="shared" si="3964"/>
        <v>0</v>
      </c>
      <c r="BO861" s="25">
        <f>SUM(BO857:BO860)</f>
        <v>0</v>
      </c>
      <c r="BQ861" s="10">
        <f>SUM(BQ857:BQ860)</f>
        <v>0</v>
      </c>
      <c r="BR861" s="11">
        <f t="shared" ref="BR861:BU861" si="3965">SUM(BR857:BR860)</f>
        <v>0</v>
      </c>
      <c r="BS861" s="11">
        <f t="shared" si="3965"/>
        <v>0</v>
      </c>
      <c r="BT861" s="11">
        <f t="shared" si="3965"/>
        <v>0</v>
      </c>
      <c r="BU861" s="11">
        <f t="shared" si="3965"/>
        <v>0</v>
      </c>
      <c r="BV861" s="25">
        <f>SUM(BV857:BV860)</f>
        <v>0</v>
      </c>
      <c r="BX861" s="10">
        <f>SUM(BX857:BX860)</f>
        <v>0</v>
      </c>
      <c r="BY861" s="11">
        <f t="shared" ref="BY861:CB861" si="3966">SUM(BY857:BY860)</f>
        <v>0</v>
      </c>
      <c r="BZ861" s="11">
        <f t="shared" si="3966"/>
        <v>0</v>
      </c>
      <c r="CA861" s="11">
        <f t="shared" si="3966"/>
        <v>0</v>
      </c>
      <c r="CB861" s="11">
        <f t="shared" si="3966"/>
        <v>0</v>
      </c>
      <c r="CC861" s="25">
        <f>SUM(CC857:CC860)</f>
        <v>0</v>
      </c>
      <c r="CE861" s="62">
        <f t="shared" ref="CE861:CJ861" si="3967">SUM(CE857:CE860)</f>
        <v>0</v>
      </c>
      <c r="CF861" s="63">
        <f t="shared" si="3967"/>
        <v>0</v>
      </c>
      <c r="CG861" s="63">
        <f t="shared" si="3967"/>
        <v>0</v>
      </c>
      <c r="CH861" s="63">
        <f t="shared" si="3967"/>
        <v>0</v>
      </c>
      <c r="CI861" s="63">
        <f t="shared" si="3967"/>
        <v>0</v>
      </c>
      <c r="CJ861" s="25">
        <f t="shared" si="3967"/>
        <v>0</v>
      </c>
      <c r="CL861" s="10">
        <f>SUM(CL857:CL860)</f>
        <v>0</v>
      </c>
      <c r="CM861" s="11">
        <f t="shared" ref="CM861:CP861" si="3968">SUM(CM857:CM860)</f>
        <v>0</v>
      </c>
      <c r="CN861" s="11">
        <f t="shared" si="3968"/>
        <v>0</v>
      </c>
      <c r="CO861" s="11">
        <f t="shared" si="3968"/>
        <v>0</v>
      </c>
      <c r="CP861" s="11">
        <f t="shared" si="3968"/>
        <v>0</v>
      </c>
      <c r="CQ861" s="25">
        <f>SUM(CQ857:CQ860)</f>
        <v>0</v>
      </c>
      <c r="CS861" s="10">
        <f>SUM(CS857:CS860)</f>
        <v>0</v>
      </c>
      <c r="CT861" s="11">
        <f t="shared" ref="CT861:CW861" si="3969">SUM(CT857:CT860)</f>
        <v>0</v>
      </c>
      <c r="CU861" s="11">
        <f t="shared" si="3969"/>
        <v>0</v>
      </c>
      <c r="CV861" s="11">
        <f t="shared" si="3969"/>
        <v>0</v>
      </c>
      <c r="CW861" s="11">
        <f t="shared" si="3969"/>
        <v>0</v>
      </c>
      <c r="CX861" s="25">
        <f>SUM(CX857:CX860)</f>
        <v>0</v>
      </c>
      <c r="CZ861" s="10">
        <f>SUM(CZ857:CZ860)</f>
        <v>0</v>
      </c>
      <c r="DA861" s="11">
        <f t="shared" ref="DA861:DD861" si="3970">SUM(DA857:DA860)</f>
        <v>0</v>
      </c>
      <c r="DB861" s="11">
        <f t="shared" si="3970"/>
        <v>0</v>
      </c>
      <c r="DC861" s="11">
        <f t="shared" si="3970"/>
        <v>0</v>
      </c>
      <c r="DD861" s="11">
        <f t="shared" si="3970"/>
        <v>0</v>
      </c>
      <c r="DE861" s="25">
        <f>SUM(DE857:DE860)</f>
        <v>0</v>
      </c>
    </row>
    <row r="862" spans="3:109" ht="10.4" customHeight="1" thickBot="1"/>
    <row r="863" spans="3:109">
      <c r="C863" s="553">
        <v>2028</v>
      </c>
      <c r="E863" s="13" t="s">
        <v>59</v>
      </c>
      <c r="F863" s="21">
        <f>CE857</f>
        <v>0</v>
      </c>
      <c r="G863" s="22">
        <f t="shared" ref="G863:G866" si="3971">CF857</f>
        <v>0</v>
      </c>
      <c r="H863" s="22">
        <f t="shared" ref="H863:H866" si="3972">CG857</f>
        <v>0</v>
      </c>
      <c r="I863" s="22">
        <f t="shared" ref="I863:I866" si="3973">CH857</f>
        <v>0</v>
      </c>
      <c r="J863" s="22">
        <f t="shared" ref="J863:J866" si="3974">CI857</f>
        <v>0</v>
      </c>
      <c r="K863" s="4">
        <f>SUM(F863:J863)</f>
        <v>0</v>
      </c>
      <c r="M863" s="2"/>
      <c r="N863" s="3"/>
      <c r="O863" s="3"/>
      <c r="P863" s="3"/>
      <c r="Q863" s="3"/>
      <c r="R863" s="4">
        <f>SUM(M863:Q863)</f>
        <v>0</v>
      </c>
      <c r="T863" s="2"/>
      <c r="U863" s="3"/>
      <c r="V863" s="3"/>
      <c r="W863" s="3"/>
      <c r="X863" s="3"/>
      <c r="Y863" s="4">
        <f>SUM(T863:X863)</f>
        <v>0</v>
      </c>
      <c r="AA863" s="2"/>
      <c r="AB863" s="3"/>
      <c r="AC863" s="3"/>
      <c r="AD863" s="3"/>
      <c r="AE863" s="3"/>
      <c r="AF863" s="4">
        <f>SUM(AA863:AE863)</f>
        <v>0</v>
      </c>
      <c r="AH863" s="2"/>
      <c r="AI863" s="3"/>
      <c r="AJ863" s="3"/>
      <c r="AK863" s="3"/>
      <c r="AL863" s="3"/>
      <c r="AM863" s="4">
        <f>SUM(AH863:AL863)</f>
        <v>0</v>
      </c>
      <c r="AO863" s="2"/>
      <c r="AP863" s="3"/>
      <c r="AQ863" s="3"/>
      <c r="AR863" s="3"/>
      <c r="AS863" s="3"/>
      <c r="AT863" s="4">
        <f>SUM(AO863:AS863)</f>
        <v>0</v>
      </c>
      <c r="AV863" s="2"/>
      <c r="AW863" s="3"/>
      <c r="AX863" s="3"/>
      <c r="AY863" s="3"/>
      <c r="AZ863" s="3"/>
      <c r="BA863" s="4">
        <f>SUM(AV863:AZ863)</f>
        <v>0</v>
      </c>
      <c r="BC863" s="2"/>
      <c r="BD863" s="3"/>
      <c r="BE863" s="3"/>
      <c r="BF863" s="3"/>
      <c r="BG863" s="3"/>
      <c r="BH863" s="4">
        <f>SUM(BC863:BG863)</f>
        <v>0</v>
      </c>
      <c r="BJ863" s="2"/>
      <c r="BK863" s="3"/>
      <c r="BL863" s="3"/>
      <c r="BM863" s="3"/>
      <c r="BN863" s="3"/>
      <c r="BO863" s="4">
        <f>SUM(BJ863:BN863)</f>
        <v>0</v>
      </c>
      <c r="BQ863" s="2"/>
      <c r="BR863" s="3"/>
      <c r="BS863" s="3"/>
      <c r="BT863" s="3"/>
      <c r="BU863" s="3"/>
      <c r="BV863" s="4">
        <f>SUM(BQ863:BU863)</f>
        <v>0</v>
      </c>
      <c r="BX863" s="2"/>
      <c r="BY863" s="3"/>
      <c r="BZ863" s="3"/>
      <c r="CA863" s="3"/>
      <c r="CB863" s="3"/>
      <c r="CC863" s="4">
        <f>SUM(BX863:CB863)</f>
        <v>0</v>
      </c>
      <c r="CE863" s="26">
        <f t="shared" ref="CE863:CE866" si="3975">F863+M863+T863+AA863+AH863+AO863+AV863+BC863+BJ863+BQ863+BX863</f>
        <v>0</v>
      </c>
      <c r="CF863" s="27">
        <f t="shared" ref="CF863:CF866" si="3976">G863+N863+U863+AB863+AI863+AP863+AW863+BD863+BK863+BR863+BY863</f>
        <v>0</v>
      </c>
      <c r="CG863" s="27">
        <f t="shared" ref="CG863:CG866" si="3977">H863+O863+V863+AC863+AJ863+AQ863+AX863+BE863+BL863+BS863+BZ863</f>
        <v>0</v>
      </c>
      <c r="CH863" s="27">
        <f t="shared" ref="CH863:CH866" si="3978">I863+P863+W863+AD863+AK863+AR863+AY863+BF863+BM863+BT863+CA863</f>
        <v>0</v>
      </c>
      <c r="CI863" s="27">
        <f t="shared" ref="CI863:CI866" si="3979">J863+Q863+X863+AE863+AL863+AS863+AZ863+BG863+BN863+BU863+CB863</f>
        <v>0</v>
      </c>
      <c r="CJ863" s="4">
        <f>SUM(CE863:CI863)</f>
        <v>0</v>
      </c>
      <c r="CL863" s="2"/>
      <c r="CM863" s="3"/>
      <c r="CN863" s="3"/>
      <c r="CO863" s="3"/>
      <c r="CP863" s="3"/>
      <c r="CQ863" s="4">
        <f>SUM(CL863:CP863)</f>
        <v>0</v>
      </c>
      <c r="CS863" s="2"/>
      <c r="CT863" s="3"/>
      <c r="CU863" s="3"/>
      <c r="CV863" s="3"/>
      <c r="CW863" s="3"/>
      <c r="CX863" s="4">
        <f>SUM(CS863:CW863)</f>
        <v>0</v>
      </c>
      <c r="CZ863" s="2"/>
      <c r="DA863" s="3"/>
      <c r="DB863" s="3"/>
      <c r="DC863" s="3"/>
      <c r="DD863" s="3"/>
      <c r="DE863" s="4">
        <f>SUM(CZ863:DD863)</f>
        <v>0</v>
      </c>
    </row>
    <row r="864" spans="3:109">
      <c r="C864" s="567"/>
      <c r="E864" s="14" t="s">
        <v>60</v>
      </c>
      <c r="F864" s="23">
        <f t="shared" ref="F864:F866" si="3980">CE858</f>
        <v>0</v>
      </c>
      <c r="G864" s="24">
        <f t="shared" si="3971"/>
        <v>0</v>
      </c>
      <c r="H864" s="24">
        <f t="shared" si="3972"/>
        <v>0</v>
      </c>
      <c r="I864" s="24">
        <f t="shared" si="3973"/>
        <v>0</v>
      </c>
      <c r="J864" s="24">
        <f t="shared" si="3974"/>
        <v>0</v>
      </c>
      <c r="K864" s="8">
        <f t="shared" ref="K864:K866" si="3981">SUM(F864:J864)</f>
        <v>0</v>
      </c>
      <c r="M864" s="6"/>
      <c r="N864" s="7"/>
      <c r="O864" s="7"/>
      <c r="P864" s="7"/>
      <c r="Q864" s="7"/>
      <c r="R864" s="8">
        <f t="shared" ref="R864:R866" si="3982">SUM(M864:Q864)</f>
        <v>0</v>
      </c>
      <c r="T864" s="6"/>
      <c r="U864" s="7"/>
      <c r="V864" s="7"/>
      <c r="W864" s="7"/>
      <c r="X864" s="7"/>
      <c r="Y864" s="8">
        <f t="shared" ref="Y864:Y866" si="3983">SUM(T864:X864)</f>
        <v>0</v>
      </c>
      <c r="AA864" s="6"/>
      <c r="AB864" s="7"/>
      <c r="AC864" s="7"/>
      <c r="AD864" s="7"/>
      <c r="AE864" s="7"/>
      <c r="AF864" s="8">
        <f t="shared" ref="AF864:AF866" si="3984">SUM(AA864:AE864)</f>
        <v>0</v>
      </c>
      <c r="AH864" s="6"/>
      <c r="AI864" s="7"/>
      <c r="AJ864" s="7"/>
      <c r="AK864" s="7"/>
      <c r="AL864" s="7"/>
      <c r="AM864" s="8">
        <f t="shared" ref="AM864:AM866" si="3985">SUM(AH864:AL864)</f>
        <v>0</v>
      </c>
      <c r="AO864" s="6"/>
      <c r="AP864" s="7"/>
      <c r="AQ864" s="7"/>
      <c r="AR864" s="7"/>
      <c r="AS864" s="7"/>
      <c r="AT864" s="8">
        <f t="shared" ref="AT864:AT866" si="3986">SUM(AO864:AS864)</f>
        <v>0</v>
      </c>
      <c r="AV864" s="6"/>
      <c r="AW864" s="7"/>
      <c r="AX864" s="7"/>
      <c r="AY864" s="7"/>
      <c r="AZ864" s="7"/>
      <c r="BA864" s="8">
        <f t="shared" ref="BA864:BA866" si="3987">SUM(AV864:AZ864)</f>
        <v>0</v>
      </c>
      <c r="BC864" s="6"/>
      <c r="BD864" s="7"/>
      <c r="BE864" s="7"/>
      <c r="BF864" s="7"/>
      <c r="BG864" s="7"/>
      <c r="BH864" s="8">
        <f t="shared" ref="BH864:BH866" si="3988">SUM(BC864:BG864)</f>
        <v>0</v>
      </c>
      <c r="BJ864" s="6"/>
      <c r="BK864" s="7"/>
      <c r="BL864" s="7"/>
      <c r="BM864" s="7"/>
      <c r="BN864" s="7"/>
      <c r="BO864" s="8">
        <f t="shared" ref="BO864:BO866" si="3989">SUM(BJ864:BN864)</f>
        <v>0</v>
      </c>
      <c r="BQ864" s="6"/>
      <c r="BR864" s="7"/>
      <c r="BS864" s="7"/>
      <c r="BT864" s="7"/>
      <c r="BU864" s="7"/>
      <c r="BV864" s="8">
        <f t="shared" ref="BV864:BV866" si="3990">SUM(BQ864:BU864)</f>
        <v>0</v>
      </c>
      <c r="BX864" s="6"/>
      <c r="BY864" s="7"/>
      <c r="BZ864" s="7"/>
      <c r="CA864" s="7"/>
      <c r="CB864" s="7"/>
      <c r="CC864" s="8">
        <f t="shared" ref="CC864:CC866" si="3991">SUM(BX864:CB864)</f>
        <v>0</v>
      </c>
      <c r="CE864" s="28">
        <f t="shared" si="3975"/>
        <v>0</v>
      </c>
      <c r="CF864" s="29">
        <f t="shared" si="3976"/>
        <v>0</v>
      </c>
      <c r="CG864" s="29">
        <f t="shared" si="3977"/>
        <v>0</v>
      </c>
      <c r="CH864" s="29">
        <f t="shared" si="3978"/>
        <v>0</v>
      </c>
      <c r="CI864" s="29">
        <f t="shared" si="3979"/>
        <v>0</v>
      </c>
      <c r="CJ864" s="8">
        <f>SUM(CE864:CI864)</f>
        <v>0</v>
      </c>
      <c r="CL864" s="6"/>
      <c r="CM864" s="7"/>
      <c r="CN864" s="7"/>
      <c r="CO864" s="7"/>
      <c r="CP864" s="7"/>
      <c r="CQ864" s="8">
        <f t="shared" ref="CQ864:CQ866" si="3992">SUM(CL864:CP864)</f>
        <v>0</v>
      </c>
      <c r="CS864" s="6"/>
      <c r="CT864" s="7"/>
      <c r="CU864" s="7"/>
      <c r="CV864" s="7"/>
      <c r="CW864" s="7"/>
      <c r="CX864" s="8">
        <f t="shared" ref="CX864:CX866" si="3993">SUM(CS864:CW864)</f>
        <v>0</v>
      </c>
      <c r="CZ864" s="6"/>
      <c r="DA864" s="7"/>
      <c r="DB864" s="7"/>
      <c r="DC864" s="7"/>
      <c r="DD864" s="7"/>
      <c r="DE864" s="8">
        <f t="shared" ref="DE864:DE866" si="3994">SUM(CZ864:DD864)</f>
        <v>0</v>
      </c>
    </row>
    <row r="865" spans="2:109">
      <c r="C865" s="567"/>
      <c r="E865" s="14" t="s">
        <v>61</v>
      </c>
      <c r="F865" s="23">
        <f t="shared" si="3980"/>
        <v>0</v>
      </c>
      <c r="G865" s="24">
        <f t="shared" si="3971"/>
        <v>0</v>
      </c>
      <c r="H865" s="24">
        <f t="shared" si="3972"/>
        <v>0</v>
      </c>
      <c r="I865" s="24">
        <f t="shared" si="3973"/>
        <v>0</v>
      </c>
      <c r="J865" s="24">
        <f t="shared" si="3974"/>
        <v>0</v>
      </c>
      <c r="K865" s="8">
        <f t="shared" si="3981"/>
        <v>0</v>
      </c>
      <c r="M865" s="6"/>
      <c r="N865" s="7"/>
      <c r="O865" s="7"/>
      <c r="P865" s="7"/>
      <c r="Q865" s="7"/>
      <c r="R865" s="8">
        <f t="shared" si="3982"/>
        <v>0</v>
      </c>
      <c r="T865" s="6"/>
      <c r="U865" s="7"/>
      <c r="V865" s="7"/>
      <c r="W865" s="7"/>
      <c r="X865" s="7"/>
      <c r="Y865" s="8">
        <f t="shared" si="3983"/>
        <v>0</v>
      </c>
      <c r="AA865" s="6"/>
      <c r="AB865" s="7"/>
      <c r="AC865" s="7"/>
      <c r="AD865" s="7"/>
      <c r="AE865" s="7"/>
      <c r="AF865" s="8">
        <f t="shared" si="3984"/>
        <v>0</v>
      </c>
      <c r="AH865" s="6"/>
      <c r="AI865" s="7"/>
      <c r="AJ865" s="7"/>
      <c r="AK865" s="7"/>
      <c r="AL865" s="7"/>
      <c r="AM865" s="8">
        <f t="shared" si="3985"/>
        <v>0</v>
      </c>
      <c r="AO865" s="6"/>
      <c r="AP865" s="7"/>
      <c r="AQ865" s="7"/>
      <c r="AR865" s="7"/>
      <c r="AS865" s="7"/>
      <c r="AT865" s="8">
        <f t="shared" si="3986"/>
        <v>0</v>
      </c>
      <c r="AV865" s="6"/>
      <c r="AW865" s="7"/>
      <c r="AX865" s="7"/>
      <c r="AY865" s="7"/>
      <c r="AZ865" s="7"/>
      <c r="BA865" s="8">
        <f t="shared" si="3987"/>
        <v>0</v>
      </c>
      <c r="BC865" s="6"/>
      <c r="BD865" s="7"/>
      <c r="BE865" s="7"/>
      <c r="BF865" s="7"/>
      <c r="BG865" s="7"/>
      <c r="BH865" s="8">
        <f t="shared" si="3988"/>
        <v>0</v>
      </c>
      <c r="BJ865" s="6"/>
      <c r="BK865" s="7"/>
      <c r="BL865" s="7"/>
      <c r="BM865" s="7"/>
      <c r="BN865" s="7"/>
      <c r="BO865" s="8">
        <f t="shared" si="3989"/>
        <v>0</v>
      </c>
      <c r="BQ865" s="6"/>
      <c r="BR865" s="7"/>
      <c r="BS865" s="7"/>
      <c r="BT865" s="7"/>
      <c r="BU865" s="7"/>
      <c r="BV865" s="8">
        <f t="shared" si="3990"/>
        <v>0</v>
      </c>
      <c r="BX865" s="6"/>
      <c r="BY865" s="7"/>
      <c r="BZ865" s="7"/>
      <c r="CA865" s="7"/>
      <c r="CB865" s="7"/>
      <c r="CC865" s="8">
        <f t="shared" si="3991"/>
        <v>0</v>
      </c>
      <c r="CE865" s="28">
        <f t="shared" si="3975"/>
        <v>0</v>
      </c>
      <c r="CF865" s="29">
        <f t="shared" si="3976"/>
        <v>0</v>
      </c>
      <c r="CG865" s="29">
        <f t="shared" si="3977"/>
        <v>0</v>
      </c>
      <c r="CH865" s="29">
        <f t="shared" si="3978"/>
        <v>0</v>
      </c>
      <c r="CI865" s="29">
        <f t="shared" si="3979"/>
        <v>0</v>
      </c>
      <c r="CJ865" s="8">
        <f>SUM(CE865:CI865)</f>
        <v>0</v>
      </c>
      <c r="CL865" s="6"/>
      <c r="CM865" s="7"/>
      <c r="CN865" s="7"/>
      <c r="CO865" s="7"/>
      <c r="CP865" s="7"/>
      <c r="CQ865" s="8">
        <f t="shared" si="3992"/>
        <v>0</v>
      </c>
      <c r="CS865" s="6"/>
      <c r="CT865" s="7"/>
      <c r="CU865" s="7"/>
      <c r="CV865" s="7"/>
      <c r="CW865" s="7"/>
      <c r="CX865" s="8">
        <f t="shared" si="3993"/>
        <v>0</v>
      </c>
      <c r="CZ865" s="6"/>
      <c r="DA865" s="7"/>
      <c r="DB865" s="7"/>
      <c r="DC865" s="7"/>
      <c r="DD865" s="7"/>
      <c r="DE865" s="8">
        <f t="shared" si="3994"/>
        <v>0</v>
      </c>
    </row>
    <row r="866" spans="2:109" ht="14" thickBot="1">
      <c r="C866" s="567"/>
      <c r="E866" s="14" t="s">
        <v>62</v>
      </c>
      <c r="F866" s="23">
        <f t="shared" si="3980"/>
        <v>0</v>
      </c>
      <c r="G866" s="24">
        <f t="shared" si="3971"/>
        <v>0</v>
      </c>
      <c r="H866" s="24">
        <f t="shared" si="3972"/>
        <v>0</v>
      </c>
      <c r="I866" s="24">
        <f t="shared" si="3973"/>
        <v>0</v>
      </c>
      <c r="J866" s="24">
        <f t="shared" si="3974"/>
        <v>0</v>
      </c>
      <c r="K866" s="8">
        <f t="shared" si="3981"/>
        <v>0</v>
      </c>
      <c r="M866" s="6"/>
      <c r="N866" s="7"/>
      <c r="O866" s="7"/>
      <c r="P866" s="7"/>
      <c r="Q866" s="7"/>
      <c r="R866" s="8">
        <f t="shared" si="3982"/>
        <v>0</v>
      </c>
      <c r="T866" s="6"/>
      <c r="U866" s="7"/>
      <c r="V866" s="7"/>
      <c r="W866" s="7"/>
      <c r="X866" s="7"/>
      <c r="Y866" s="8">
        <f t="shared" si="3983"/>
        <v>0</v>
      </c>
      <c r="AA866" s="6"/>
      <c r="AB866" s="7"/>
      <c r="AC866" s="7"/>
      <c r="AD866" s="7"/>
      <c r="AE866" s="7"/>
      <c r="AF866" s="8">
        <f t="shared" si="3984"/>
        <v>0</v>
      </c>
      <c r="AH866" s="6"/>
      <c r="AI866" s="7"/>
      <c r="AJ866" s="7"/>
      <c r="AK866" s="7"/>
      <c r="AL866" s="7"/>
      <c r="AM866" s="8">
        <f t="shared" si="3985"/>
        <v>0</v>
      </c>
      <c r="AO866" s="6"/>
      <c r="AP866" s="7"/>
      <c r="AQ866" s="7"/>
      <c r="AR866" s="7"/>
      <c r="AS866" s="7"/>
      <c r="AT866" s="8">
        <f t="shared" si="3986"/>
        <v>0</v>
      </c>
      <c r="AV866" s="6"/>
      <c r="AW866" s="7"/>
      <c r="AX866" s="7"/>
      <c r="AY866" s="7"/>
      <c r="AZ866" s="7"/>
      <c r="BA866" s="8">
        <f t="shared" si="3987"/>
        <v>0</v>
      </c>
      <c r="BC866" s="6"/>
      <c r="BD866" s="7"/>
      <c r="BE866" s="7"/>
      <c r="BF866" s="7"/>
      <c r="BG866" s="7"/>
      <c r="BH866" s="8">
        <f t="shared" si="3988"/>
        <v>0</v>
      </c>
      <c r="BJ866" s="6"/>
      <c r="BK866" s="7"/>
      <c r="BL866" s="7"/>
      <c r="BM866" s="7"/>
      <c r="BN866" s="7"/>
      <c r="BO866" s="8">
        <f t="shared" si="3989"/>
        <v>0</v>
      </c>
      <c r="BQ866" s="6"/>
      <c r="BR866" s="7"/>
      <c r="BS866" s="7"/>
      <c r="BT866" s="7"/>
      <c r="BU866" s="7"/>
      <c r="BV866" s="8">
        <f t="shared" si="3990"/>
        <v>0</v>
      </c>
      <c r="BX866" s="6"/>
      <c r="BY866" s="7"/>
      <c r="BZ866" s="7"/>
      <c r="CA866" s="7"/>
      <c r="CB866" s="7"/>
      <c r="CC866" s="8">
        <f t="shared" si="3991"/>
        <v>0</v>
      </c>
      <c r="CE866" s="493">
        <f t="shared" si="3975"/>
        <v>0</v>
      </c>
      <c r="CF866" s="494">
        <f t="shared" si="3976"/>
        <v>0</v>
      </c>
      <c r="CG866" s="494">
        <f t="shared" si="3977"/>
        <v>0</v>
      </c>
      <c r="CH866" s="494">
        <f t="shared" si="3978"/>
        <v>0</v>
      </c>
      <c r="CI866" s="494">
        <f t="shared" si="3979"/>
        <v>0</v>
      </c>
      <c r="CJ866" s="495">
        <f>SUM(CE866:CI866)</f>
        <v>0</v>
      </c>
      <c r="CL866" s="6"/>
      <c r="CM866" s="7"/>
      <c r="CN866" s="7"/>
      <c r="CO866" s="7"/>
      <c r="CP866" s="7"/>
      <c r="CQ866" s="8">
        <f t="shared" si="3992"/>
        <v>0</v>
      </c>
      <c r="CS866" s="6"/>
      <c r="CT866" s="7"/>
      <c r="CU866" s="7"/>
      <c r="CV866" s="7"/>
      <c r="CW866" s="7"/>
      <c r="CX866" s="8">
        <f t="shared" si="3993"/>
        <v>0</v>
      </c>
      <c r="CZ866" s="6"/>
      <c r="DA866" s="7"/>
      <c r="DB866" s="7"/>
      <c r="DC866" s="7"/>
      <c r="DD866" s="7"/>
      <c r="DE866" s="8">
        <f t="shared" si="3994"/>
        <v>0</v>
      </c>
    </row>
    <row r="867" spans="2:109" ht="14" thickBot="1">
      <c r="C867" s="554"/>
      <c r="E867" s="9"/>
      <c r="F867" s="10">
        <f>SUM(F863:F866)</f>
        <v>0</v>
      </c>
      <c r="G867" s="11">
        <f t="shared" ref="G867:J867" si="3995">SUM(G863:G866)</f>
        <v>0</v>
      </c>
      <c r="H867" s="11">
        <f t="shared" si="3995"/>
        <v>0</v>
      </c>
      <c r="I867" s="11">
        <f t="shared" si="3995"/>
        <v>0</v>
      </c>
      <c r="J867" s="11">
        <f t="shared" si="3995"/>
        <v>0</v>
      </c>
      <c r="K867" s="25">
        <f>SUM(K863:K866)</f>
        <v>0</v>
      </c>
      <c r="M867" s="10">
        <f>SUM(M863:M866)</f>
        <v>0</v>
      </c>
      <c r="N867" s="11">
        <f t="shared" ref="N867:Q867" si="3996">SUM(N863:N866)</f>
        <v>0</v>
      </c>
      <c r="O867" s="11">
        <f t="shared" si="3996"/>
        <v>0</v>
      </c>
      <c r="P867" s="11">
        <f t="shared" si="3996"/>
        <v>0</v>
      </c>
      <c r="Q867" s="11">
        <f t="shared" si="3996"/>
        <v>0</v>
      </c>
      <c r="R867" s="25">
        <f>SUM(R863:R866)</f>
        <v>0</v>
      </c>
      <c r="T867" s="10">
        <f>SUM(T863:T866)</f>
        <v>0</v>
      </c>
      <c r="U867" s="11">
        <f t="shared" ref="U867:X867" si="3997">SUM(U863:U866)</f>
        <v>0</v>
      </c>
      <c r="V867" s="11">
        <f t="shared" si="3997"/>
        <v>0</v>
      </c>
      <c r="W867" s="11">
        <f t="shared" si="3997"/>
        <v>0</v>
      </c>
      <c r="X867" s="11">
        <f t="shared" si="3997"/>
        <v>0</v>
      </c>
      <c r="Y867" s="25">
        <f>SUM(Y863:Y866)</f>
        <v>0</v>
      </c>
      <c r="AA867" s="10">
        <f>SUM(AA863:AA866)</f>
        <v>0</v>
      </c>
      <c r="AB867" s="11">
        <f t="shared" ref="AB867:AE867" si="3998">SUM(AB863:AB866)</f>
        <v>0</v>
      </c>
      <c r="AC867" s="11">
        <f t="shared" si="3998"/>
        <v>0</v>
      </c>
      <c r="AD867" s="11">
        <f t="shared" si="3998"/>
        <v>0</v>
      </c>
      <c r="AE867" s="11">
        <f t="shared" si="3998"/>
        <v>0</v>
      </c>
      <c r="AF867" s="25">
        <f>SUM(AF863:AF866)</f>
        <v>0</v>
      </c>
      <c r="AH867" s="10">
        <f>SUM(AH863:AH866)</f>
        <v>0</v>
      </c>
      <c r="AI867" s="11">
        <f t="shared" ref="AI867:AL867" si="3999">SUM(AI863:AI866)</f>
        <v>0</v>
      </c>
      <c r="AJ867" s="11">
        <f t="shared" si="3999"/>
        <v>0</v>
      </c>
      <c r="AK867" s="11">
        <f t="shared" si="3999"/>
        <v>0</v>
      </c>
      <c r="AL867" s="11">
        <f t="shared" si="3999"/>
        <v>0</v>
      </c>
      <c r="AM867" s="25">
        <f>SUM(AM863:AM866)</f>
        <v>0</v>
      </c>
      <c r="AO867" s="10">
        <f>SUM(AO863:AO866)</f>
        <v>0</v>
      </c>
      <c r="AP867" s="11">
        <f t="shared" ref="AP867:AS867" si="4000">SUM(AP863:AP866)</f>
        <v>0</v>
      </c>
      <c r="AQ867" s="11">
        <f t="shared" si="4000"/>
        <v>0</v>
      </c>
      <c r="AR867" s="11">
        <f t="shared" si="4000"/>
        <v>0</v>
      </c>
      <c r="AS867" s="11">
        <f t="shared" si="4000"/>
        <v>0</v>
      </c>
      <c r="AT867" s="25">
        <f>SUM(AT863:AT866)</f>
        <v>0</v>
      </c>
      <c r="AV867" s="10">
        <f>SUM(AV863:AV866)</f>
        <v>0</v>
      </c>
      <c r="AW867" s="11">
        <f t="shared" ref="AW867:AZ867" si="4001">SUM(AW863:AW866)</f>
        <v>0</v>
      </c>
      <c r="AX867" s="11">
        <f t="shared" si="4001"/>
        <v>0</v>
      </c>
      <c r="AY867" s="11">
        <f t="shared" si="4001"/>
        <v>0</v>
      </c>
      <c r="AZ867" s="11">
        <f t="shared" si="4001"/>
        <v>0</v>
      </c>
      <c r="BA867" s="25">
        <f>SUM(BA863:BA866)</f>
        <v>0</v>
      </c>
      <c r="BC867" s="10">
        <f>SUM(BC863:BC866)</f>
        <v>0</v>
      </c>
      <c r="BD867" s="11">
        <f t="shared" ref="BD867:BG867" si="4002">SUM(BD863:BD866)</f>
        <v>0</v>
      </c>
      <c r="BE867" s="11">
        <f t="shared" si="4002"/>
        <v>0</v>
      </c>
      <c r="BF867" s="11">
        <f t="shared" si="4002"/>
        <v>0</v>
      </c>
      <c r="BG867" s="11">
        <f t="shared" si="4002"/>
        <v>0</v>
      </c>
      <c r="BH867" s="25">
        <f>SUM(BH863:BH866)</f>
        <v>0</v>
      </c>
      <c r="BJ867" s="10">
        <f>SUM(BJ863:BJ866)</f>
        <v>0</v>
      </c>
      <c r="BK867" s="11">
        <f t="shared" ref="BK867:BN867" si="4003">SUM(BK863:BK866)</f>
        <v>0</v>
      </c>
      <c r="BL867" s="11">
        <f t="shared" si="4003"/>
        <v>0</v>
      </c>
      <c r="BM867" s="11">
        <f t="shared" si="4003"/>
        <v>0</v>
      </c>
      <c r="BN867" s="11">
        <f t="shared" si="4003"/>
        <v>0</v>
      </c>
      <c r="BO867" s="25">
        <f>SUM(BO863:BO866)</f>
        <v>0</v>
      </c>
      <c r="BQ867" s="10">
        <f>SUM(BQ863:BQ866)</f>
        <v>0</v>
      </c>
      <c r="BR867" s="11">
        <f t="shared" ref="BR867:BU867" si="4004">SUM(BR863:BR866)</f>
        <v>0</v>
      </c>
      <c r="BS867" s="11">
        <f t="shared" si="4004"/>
        <v>0</v>
      </c>
      <c r="BT867" s="11">
        <f t="shared" si="4004"/>
        <v>0</v>
      </c>
      <c r="BU867" s="11">
        <f t="shared" si="4004"/>
        <v>0</v>
      </c>
      <c r="BV867" s="25">
        <f>SUM(BV863:BV866)</f>
        <v>0</v>
      </c>
      <c r="BX867" s="10">
        <f>SUM(BX863:BX866)</f>
        <v>0</v>
      </c>
      <c r="BY867" s="11">
        <f t="shared" ref="BY867:CB867" si="4005">SUM(BY863:BY866)</f>
        <v>0</v>
      </c>
      <c r="BZ867" s="11">
        <f t="shared" si="4005"/>
        <v>0</v>
      </c>
      <c r="CA867" s="11">
        <f t="shared" si="4005"/>
        <v>0</v>
      </c>
      <c r="CB867" s="11">
        <f t="shared" si="4005"/>
        <v>0</v>
      </c>
      <c r="CC867" s="25">
        <f>SUM(CC863:CC866)</f>
        <v>0</v>
      </c>
      <c r="CE867" s="62">
        <f t="shared" ref="CE867:CJ867" si="4006">SUM(CE863:CE866)</f>
        <v>0</v>
      </c>
      <c r="CF867" s="63">
        <f t="shared" si="4006"/>
        <v>0</v>
      </c>
      <c r="CG867" s="63">
        <f t="shared" si="4006"/>
        <v>0</v>
      </c>
      <c r="CH867" s="63">
        <f t="shared" si="4006"/>
        <v>0</v>
      </c>
      <c r="CI867" s="63">
        <f t="shared" si="4006"/>
        <v>0</v>
      </c>
      <c r="CJ867" s="25">
        <f t="shared" si="4006"/>
        <v>0</v>
      </c>
      <c r="CL867" s="10">
        <f>SUM(CL863:CL866)</f>
        <v>0</v>
      </c>
      <c r="CM867" s="11">
        <f t="shared" ref="CM867:CP867" si="4007">SUM(CM863:CM866)</f>
        <v>0</v>
      </c>
      <c r="CN867" s="11">
        <f t="shared" si="4007"/>
        <v>0</v>
      </c>
      <c r="CO867" s="11">
        <f t="shared" si="4007"/>
        <v>0</v>
      </c>
      <c r="CP867" s="11">
        <f t="shared" si="4007"/>
        <v>0</v>
      </c>
      <c r="CQ867" s="25">
        <f>SUM(CQ863:CQ866)</f>
        <v>0</v>
      </c>
      <c r="CS867" s="10">
        <f>SUM(CS863:CS866)</f>
        <v>0</v>
      </c>
      <c r="CT867" s="11">
        <f t="shared" ref="CT867:CW867" si="4008">SUM(CT863:CT866)</f>
        <v>0</v>
      </c>
      <c r="CU867" s="11">
        <f t="shared" si="4008"/>
        <v>0</v>
      </c>
      <c r="CV867" s="11">
        <f t="shared" si="4008"/>
        <v>0</v>
      </c>
      <c r="CW867" s="11">
        <f t="shared" si="4008"/>
        <v>0</v>
      </c>
      <c r="CX867" s="25">
        <f>SUM(CX863:CX866)</f>
        <v>0</v>
      </c>
      <c r="CZ867" s="10">
        <f>SUM(CZ863:CZ866)</f>
        <v>0</v>
      </c>
      <c r="DA867" s="11">
        <f t="shared" ref="DA867:DD867" si="4009">SUM(DA863:DA866)</f>
        <v>0</v>
      </c>
      <c r="DB867" s="11">
        <f t="shared" si="4009"/>
        <v>0</v>
      </c>
      <c r="DC867" s="11">
        <f t="shared" si="4009"/>
        <v>0</v>
      </c>
      <c r="DD867" s="11">
        <f t="shared" si="4009"/>
        <v>0</v>
      </c>
      <c r="DE867" s="25">
        <f>SUM(DE863:DE866)</f>
        <v>0</v>
      </c>
    </row>
    <row r="869" spans="2:109">
      <c r="B869" s="123"/>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c r="CC869" s="20"/>
      <c r="CD869" s="20"/>
      <c r="CE869" s="20"/>
      <c r="CF869" s="20"/>
      <c r="CG869" s="20"/>
      <c r="CH869" s="20"/>
      <c r="CI869" s="20"/>
      <c r="CJ869" s="20"/>
      <c r="CL869" s="20"/>
      <c r="CM869" s="20"/>
      <c r="CN869" s="20"/>
      <c r="CO869" s="20"/>
      <c r="CP869" s="20"/>
      <c r="CQ869" s="20"/>
      <c r="CR869" s="20"/>
      <c r="CS869" s="20"/>
      <c r="CT869" s="20"/>
      <c r="CU869" s="20"/>
      <c r="CV869" s="20"/>
      <c r="CW869" s="20"/>
      <c r="CX869" s="20"/>
      <c r="CY869" s="20"/>
      <c r="CZ869" s="20"/>
      <c r="DA869" s="20"/>
      <c r="DB869" s="20"/>
      <c r="DC869" s="20"/>
      <c r="DD869" s="20"/>
      <c r="DE869" s="20"/>
    </row>
    <row r="870" spans="2:109" ht="14" thickBot="1">
      <c r="B870" s="94">
        <v>28</v>
      </c>
      <c r="C870" s="12" t="s">
        <v>89</v>
      </c>
    </row>
    <row r="871" spans="2:109">
      <c r="C871" s="553">
        <v>2024</v>
      </c>
      <c r="E871" s="1" t="s">
        <v>59</v>
      </c>
      <c r="F871" s="2"/>
      <c r="G871" s="3"/>
      <c r="H871" s="3"/>
      <c r="I871" s="3"/>
      <c r="J871" s="3"/>
      <c r="K871" s="4">
        <f>SUM(F871:J871)</f>
        <v>0</v>
      </c>
      <c r="M871" s="2"/>
      <c r="N871" s="3"/>
      <c r="O871" s="3"/>
      <c r="P871" s="3"/>
      <c r="Q871" s="3"/>
      <c r="R871" s="4">
        <f>SUM(M871:Q871)</f>
        <v>0</v>
      </c>
      <c r="T871" s="2"/>
      <c r="U871" s="3"/>
      <c r="V871" s="3"/>
      <c r="W871" s="3"/>
      <c r="X871" s="3"/>
      <c r="Y871" s="4">
        <f>SUM(T871:X871)</f>
        <v>0</v>
      </c>
      <c r="AA871" s="2"/>
      <c r="AB871" s="3"/>
      <c r="AC871" s="3"/>
      <c r="AD871" s="3"/>
      <c r="AE871" s="3"/>
      <c r="AF871" s="4">
        <f>SUM(AA871:AE871)</f>
        <v>0</v>
      </c>
      <c r="AH871" s="2"/>
      <c r="AI871" s="3"/>
      <c r="AJ871" s="3"/>
      <c r="AK871" s="3"/>
      <c r="AL871" s="3"/>
      <c r="AM871" s="4">
        <f>SUM(AH871:AL871)</f>
        <v>0</v>
      </c>
      <c r="AO871" s="2"/>
      <c r="AP871" s="3"/>
      <c r="AQ871" s="3"/>
      <c r="AR871" s="3"/>
      <c r="AS871" s="3"/>
      <c r="AT871" s="4">
        <f>SUM(AO871:AS871)</f>
        <v>0</v>
      </c>
      <c r="AV871" s="2"/>
      <c r="AW871" s="3"/>
      <c r="AX871" s="3"/>
      <c r="AY871" s="3"/>
      <c r="AZ871" s="3"/>
      <c r="BA871" s="4">
        <f>SUM(AV871:AZ871)</f>
        <v>0</v>
      </c>
      <c r="BC871" s="2"/>
      <c r="BD871" s="3"/>
      <c r="BE871" s="3"/>
      <c r="BF871" s="3"/>
      <c r="BG871" s="3"/>
      <c r="BH871" s="4">
        <f>SUM(BC871:BG871)</f>
        <v>0</v>
      </c>
      <c r="BJ871" s="2"/>
      <c r="BK871" s="3"/>
      <c r="BL871" s="3"/>
      <c r="BM871" s="3"/>
      <c r="BN871" s="3"/>
      <c r="BO871" s="4">
        <f>SUM(BJ871:BN871)</f>
        <v>0</v>
      </c>
      <c r="BQ871" s="2"/>
      <c r="BR871" s="3"/>
      <c r="BS871" s="3"/>
      <c r="BT871" s="3"/>
      <c r="BU871" s="3"/>
      <c r="BV871" s="4">
        <f>SUM(BQ871:BU871)</f>
        <v>0</v>
      </c>
      <c r="BX871" s="2"/>
      <c r="BY871" s="3"/>
      <c r="BZ871" s="3"/>
      <c r="CA871" s="3"/>
      <c r="CB871" s="3"/>
      <c r="CC871" s="4">
        <f>SUM(BX871:CB871)</f>
        <v>0</v>
      </c>
      <c r="CE871" s="26">
        <f t="shared" ref="CE871:CE874" si="4010">F871+M871+T871+AA871+AH871+AO871+AV871+BC871+BJ871+BQ871+BX871</f>
        <v>0</v>
      </c>
      <c r="CF871" s="27">
        <f t="shared" ref="CF871:CF874" si="4011">G871+N871+U871+AB871+AI871+AP871+AW871+BD871+BK871+BR871+BY871</f>
        <v>0</v>
      </c>
      <c r="CG871" s="27">
        <f t="shared" ref="CG871:CG874" si="4012">H871+O871+V871+AC871+AJ871+AQ871+AX871+BE871+BL871+BS871+BZ871</f>
        <v>0</v>
      </c>
      <c r="CH871" s="27">
        <f t="shared" ref="CH871:CH874" si="4013">I871+P871+W871+AD871+AK871+AR871+AY871+BF871+BM871+BT871+CA871</f>
        <v>0</v>
      </c>
      <c r="CI871" s="27">
        <f t="shared" ref="CI871:CI874" si="4014">J871+Q871+X871+AE871+AL871+AS871+AZ871+BG871+BN871+BU871+CB871</f>
        <v>0</v>
      </c>
      <c r="CJ871" s="4">
        <f>SUM(CE871:CI871)</f>
        <v>0</v>
      </c>
      <c r="CL871" s="2"/>
      <c r="CM871" s="3"/>
      <c r="CN871" s="3"/>
      <c r="CO871" s="3"/>
      <c r="CP871" s="3"/>
      <c r="CQ871" s="4">
        <f>SUM(CL871:CP871)</f>
        <v>0</v>
      </c>
      <c r="CS871" s="2"/>
      <c r="CT871" s="3"/>
      <c r="CU871" s="3"/>
      <c r="CV871" s="3"/>
      <c r="CW871" s="3"/>
      <c r="CX871" s="4">
        <f>SUM(CS871:CW871)</f>
        <v>0</v>
      </c>
      <c r="CZ871" s="2"/>
      <c r="DA871" s="3"/>
      <c r="DB871" s="3"/>
      <c r="DC871" s="3"/>
      <c r="DD871" s="3"/>
      <c r="DE871" s="4">
        <f>SUM(CZ871:DD871)</f>
        <v>0</v>
      </c>
    </row>
    <row r="872" spans="2:109">
      <c r="C872" s="567"/>
      <c r="E872" s="5" t="s">
        <v>60</v>
      </c>
      <c r="F872" s="6"/>
      <c r="G872" s="7"/>
      <c r="H872" s="7"/>
      <c r="I872" s="7"/>
      <c r="J872" s="7"/>
      <c r="K872" s="8">
        <f t="shared" ref="K872:K874" si="4015">SUM(F872:J872)</f>
        <v>0</v>
      </c>
      <c r="M872" s="6"/>
      <c r="N872" s="7"/>
      <c r="O872" s="7"/>
      <c r="P872" s="7"/>
      <c r="Q872" s="7"/>
      <c r="R872" s="8">
        <f t="shared" ref="R872:R874" si="4016">SUM(M872:Q872)</f>
        <v>0</v>
      </c>
      <c r="T872" s="6"/>
      <c r="U872" s="7"/>
      <c r="V872" s="7"/>
      <c r="W872" s="7"/>
      <c r="X872" s="7"/>
      <c r="Y872" s="8">
        <f t="shared" ref="Y872:Y874" si="4017">SUM(T872:X872)</f>
        <v>0</v>
      </c>
      <c r="AA872" s="6"/>
      <c r="AB872" s="7"/>
      <c r="AC872" s="7"/>
      <c r="AD872" s="7"/>
      <c r="AE872" s="7"/>
      <c r="AF872" s="8">
        <f>SUM(AA872:AE872)</f>
        <v>0</v>
      </c>
      <c r="AH872" s="6"/>
      <c r="AI872" s="7"/>
      <c r="AJ872" s="7"/>
      <c r="AK872" s="7"/>
      <c r="AL872" s="7"/>
      <c r="AM872" s="8">
        <f>SUM(AH872:AL872)</f>
        <v>0</v>
      </c>
      <c r="AO872" s="6"/>
      <c r="AP872" s="7"/>
      <c r="AQ872" s="7"/>
      <c r="AR872" s="7"/>
      <c r="AS872" s="7"/>
      <c r="AT872" s="8">
        <f>SUM(AO872:AS872)</f>
        <v>0</v>
      </c>
      <c r="AV872" s="6"/>
      <c r="AW872" s="7"/>
      <c r="AX872" s="7"/>
      <c r="AY872" s="7"/>
      <c r="AZ872" s="7"/>
      <c r="BA872" s="8">
        <f>SUM(AV872:AZ872)</f>
        <v>0</v>
      </c>
      <c r="BC872" s="6"/>
      <c r="BD872" s="7"/>
      <c r="BE872" s="7"/>
      <c r="BF872" s="7"/>
      <c r="BG872" s="7"/>
      <c r="BH872" s="8">
        <f>SUM(BC872:BG872)</f>
        <v>0</v>
      </c>
      <c r="BJ872" s="6"/>
      <c r="BK872" s="7"/>
      <c r="BL872" s="7"/>
      <c r="BM872" s="7"/>
      <c r="BN872" s="7"/>
      <c r="BO872" s="8">
        <f>SUM(BJ872:BN872)</f>
        <v>0</v>
      </c>
      <c r="BQ872" s="6"/>
      <c r="BR872" s="7"/>
      <c r="BS872" s="7"/>
      <c r="BT872" s="7"/>
      <c r="BU872" s="7"/>
      <c r="BV872" s="8">
        <f>SUM(BQ872:BU872)</f>
        <v>0</v>
      </c>
      <c r="BX872" s="6"/>
      <c r="BY872" s="7"/>
      <c r="BZ872" s="7"/>
      <c r="CA872" s="7"/>
      <c r="CB872" s="7"/>
      <c r="CC872" s="8">
        <f>SUM(BX872:CB872)</f>
        <v>0</v>
      </c>
      <c r="CE872" s="28">
        <f t="shared" si="4010"/>
        <v>0</v>
      </c>
      <c r="CF872" s="29">
        <f t="shared" si="4011"/>
        <v>0</v>
      </c>
      <c r="CG872" s="29">
        <f t="shared" si="4012"/>
        <v>0</v>
      </c>
      <c r="CH872" s="29">
        <f t="shared" si="4013"/>
        <v>0</v>
      </c>
      <c r="CI872" s="29">
        <f t="shared" si="4014"/>
        <v>0</v>
      </c>
      <c r="CJ872" s="8">
        <f>SUM(CE872:CI872)</f>
        <v>0</v>
      </c>
      <c r="CL872" s="6"/>
      <c r="CM872" s="7"/>
      <c r="CN872" s="7"/>
      <c r="CO872" s="7"/>
      <c r="CP872" s="7"/>
      <c r="CQ872" s="8">
        <f>SUM(CL872:CP872)</f>
        <v>0</v>
      </c>
      <c r="CS872" s="6"/>
      <c r="CT872" s="7"/>
      <c r="CU872" s="7"/>
      <c r="CV872" s="7"/>
      <c r="CW872" s="7"/>
      <c r="CX872" s="8">
        <f t="shared" ref="CX872:CX874" si="4018">SUM(CS872:CW872)</f>
        <v>0</v>
      </c>
      <c r="CZ872" s="6"/>
      <c r="DA872" s="7"/>
      <c r="DB872" s="7"/>
      <c r="DC872" s="7"/>
      <c r="DD872" s="7"/>
      <c r="DE872" s="8">
        <f t="shared" ref="DE872:DE874" si="4019">SUM(CZ872:DD872)</f>
        <v>0</v>
      </c>
    </row>
    <row r="873" spans="2:109">
      <c r="C873" s="567"/>
      <c r="E873" s="5" t="s">
        <v>61</v>
      </c>
      <c r="F873" s="6"/>
      <c r="G873" s="7"/>
      <c r="H873" s="7"/>
      <c r="I873" s="7"/>
      <c r="J873" s="7"/>
      <c r="K873" s="8">
        <f t="shared" si="4015"/>
        <v>0</v>
      </c>
      <c r="M873" s="6"/>
      <c r="N873" s="7"/>
      <c r="O873" s="7"/>
      <c r="P873" s="7"/>
      <c r="Q873" s="7"/>
      <c r="R873" s="8">
        <f t="shared" si="4016"/>
        <v>0</v>
      </c>
      <c r="T873" s="6"/>
      <c r="U873" s="7"/>
      <c r="V873" s="7"/>
      <c r="W873" s="7"/>
      <c r="X873" s="7"/>
      <c r="Y873" s="8">
        <f t="shared" si="4017"/>
        <v>0</v>
      </c>
      <c r="AA873" s="6"/>
      <c r="AB873" s="7"/>
      <c r="AC873" s="7"/>
      <c r="AD873" s="7"/>
      <c r="AE873" s="7"/>
      <c r="AF873" s="8">
        <f>SUM(AA873:AE873)</f>
        <v>0</v>
      </c>
      <c r="AH873" s="6"/>
      <c r="AI873" s="7"/>
      <c r="AJ873" s="7"/>
      <c r="AK873" s="7"/>
      <c r="AL873" s="7"/>
      <c r="AM873" s="8">
        <f>SUM(AH873:AL873)</f>
        <v>0</v>
      </c>
      <c r="AO873" s="6"/>
      <c r="AP873" s="7"/>
      <c r="AQ873" s="7"/>
      <c r="AR873" s="7"/>
      <c r="AS873" s="7"/>
      <c r="AT873" s="8">
        <f>SUM(AO873:AS873)</f>
        <v>0</v>
      </c>
      <c r="AV873" s="6"/>
      <c r="AW873" s="7"/>
      <c r="AX873" s="7"/>
      <c r="AY873" s="7"/>
      <c r="AZ873" s="7"/>
      <c r="BA873" s="8">
        <f>SUM(AV873:AZ873)</f>
        <v>0</v>
      </c>
      <c r="BC873" s="6"/>
      <c r="BD873" s="7"/>
      <c r="BE873" s="7"/>
      <c r="BF873" s="7"/>
      <c r="BG873" s="7"/>
      <c r="BH873" s="8">
        <f>SUM(BC873:BG873)</f>
        <v>0</v>
      </c>
      <c r="BJ873" s="6"/>
      <c r="BK873" s="7"/>
      <c r="BL873" s="7"/>
      <c r="BM873" s="7"/>
      <c r="BN873" s="7"/>
      <c r="BO873" s="8">
        <f>SUM(BJ873:BN873)</f>
        <v>0</v>
      </c>
      <c r="BQ873" s="6"/>
      <c r="BR873" s="7"/>
      <c r="BS873" s="7"/>
      <c r="BT873" s="7"/>
      <c r="BU873" s="7"/>
      <c r="BV873" s="8">
        <f>SUM(BQ873:BU873)</f>
        <v>0</v>
      </c>
      <c r="BX873" s="6"/>
      <c r="BY873" s="7"/>
      <c r="BZ873" s="7"/>
      <c r="CA873" s="7"/>
      <c r="CB873" s="7"/>
      <c r="CC873" s="8">
        <f>SUM(BX873:CB873)</f>
        <v>0</v>
      </c>
      <c r="CE873" s="28">
        <f t="shared" si="4010"/>
        <v>0</v>
      </c>
      <c r="CF873" s="29">
        <f t="shared" si="4011"/>
        <v>0</v>
      </c>
      <c r="CG873" s="29">
        <f t="shared" si="4012"/>
        <v>0</v>
      </c>
      <c r="CH873" s="29">
        <f t="shared" si="4013"/>
        <v>0</v>
      </c>
      <c r="CI873" s="29">
        <f t="shared" si="4014"/>
        <v>0</v>
      </c>
      <c r="CJ873" s="8">
        <f>SUM(CE873:CI873)</f>
        <v>0</v>
      </c>
      <c r="CL873" s="6"/>
      <c r="CM873" s="7"/>
      <c r="CN873" s="7"/>
      <c r="CO873" s="7"/>
      <c r="CP873" s="7"/>
      <c r="CQ873" s="8">
        <f>SUM(CL873:CP873)</f>
        <v>0</v>
      </c>
      <c r="CS873" s="6"/>
      <c r="CT873" s="7"/>
      <c r="CU873" s="7"/>
      <c r="CV873" s="7"/>
      <c r="CW873" s="7"/>
      <c r="CX873" s="8">
        <f t="shared" si="4018"/>
        <v>0</v>
      </c>
      <c r="CZ873" s="6"/>
      <c r="DA873" s="7"/>
      <c r="DB873" s="7"/>
      <c r="DC873" s="7"/>
      <c r="DD873" s="7"/>
      <c r="DE873" s="8">
        <f t="shared" si="4019"/>
        <v>0</v>
      </c>
    </row>
    <row r="874" spans="2:109" ht="14" thickBot="1">
      <c r="C874" s="567"/>
      <c r="E874" s="5" t="s">
        <v>62</v>
      </c>
      <c r="F874" s="6"/>
      <c r="G874" s="7"/>
      <c r="H874" s="7"/>
      <c r="I874" s="7"/>
      <c r="J874" s="7"/>
      <c r="K874" s="8">
        <f t="shared" si="4015"/>
        <v>0</v>
      </c>
      <c r="M874" s="6"/>
      <c r="N874" s="7"/>
      <c r="O874" s="7"/>
      <c r="P874" s="7"/>
      <c r="Q874" s="7"/>
      <c r="R874" s="8">
        <f t="shared" si="4016"/>
        <v>0</v>
      </c>
      <c r="T874" s="6"/>
      <c r="U874" s="7"/>
      <c r="V874" s="7"/>
      <c r="W874" s="7"/>
      <c r="X874" s="7"/>
      <c r="Y874" s="8">
        <f t="shared" si="4017"/>
        <v>0</v>
      </c>
      <c r="AA874" s="6"/>
      <c r="AB874" s="7"/>
      <c r="AC874" s="7"/>
      <c r="AD874" s="7"/>
      <c r="AE874" s="7"/>
      <c r="AF874" s="8">
        <f>SUM(AA874:AE874)</f>
        <v>0</v>
      </c>
      <c r="AH874" s="6"/>
      <c r="AI874" s="7"/>
      <c r="AJ874" s="7"/>
      <c r="AK874" s="7"/>
      <c r="AL874" s="7"/>
      <c r="AM874" s="8">
        <f>SUM(AH874:AL874)</f>
        <v>0</v>
      </c>
      <c r="AO874" s="6"/>
      <c r="AP874" s="7"/>
      <c r="AQ874" s="7"/>
      <c r="AR874" s="7"/>
      <c r="AS874" s="7"/>
      <c r="AT874" s="8">
        <f>SUM(AO874:AS874)</f>
        <v>0</v>
      </c>
      <c r="AV874" s="6"/>
      <c r="AW874" s="7"/>
      <c r="AX874" s="7"/>
      <c r="AY874" s="7"/>
      <c r="AZ874" s="7"/>
      <c r="BA874" s="8">
        <f>SUM(AV874:AZ874)</f>
        <v>0</v>
      </c>
      <c r="BC874" s="6"/>
      <c r="BD874" s="7"/>
      <c r="BE874" s="7"/>
      <c r="BF874" s="7"/>
      <c r="BG874" s="7"/>
      <c r="BH874" s="8">
        <f>SUM(BC874:BG874)</f>
        <v>0</v>
      </c>
      <c r="BJ874" s="6"/>
      <c r="BK874" s="7"/>
      <c r="BL874" s="7"/>
      <c r="BM874" s="7"/>
      <c r="BN874" s="7"/>
      <c r="BO874" s="8">
        <f>SUM(BJ874:BN874)</f>
        <v>0</v>
      </c>
      <c r="BQ874" s="6"/>
      <c r="BR874" s="7"/>
      <c r="BS874" s="7"/>
      <c r="BT874" s="7"/>
      <c r="BU874" s="7"/>
      <c r="BV874" s="8">
        <f>SUM(BQ874:BU874)</f>
        <v>0</v>
      </c>
      <c r="BX874" s="6"/>
      <c r="BY874" s="7"/>
      <c r="BZ874" s="7"/>
      <c r="CA874" s="7"/>
      <c r="CB874" s="7"/>
      <c r="CC874" s="8">
        <f>SUM(BX874:CB874)</f>
        <v>0</v>
      </c>
      <c r="CE874" s="493">
        <f t="shared" si="4010"/>
        <v>0</v>
      </c>
      <c r="CF874" s="494">
        <f t="shared" si="4011"/>
        <v>0</v>
      </c>
      <c r="CG874" s="494">
        <f t="shared" si="4012"/>
        <v>0</v>
      </c>
      <c r="CH874" s="494">
        <f t="shared" si="4013"/>
        <v>0</v>
      </c>
      <c r="CI874" s="494">
        <f t="shared" si="4014"/>
        <v>0</v>
      </c>
      <c r="CJ874" s="495">
        <f>SUM(CE874:CI874)</f>
        <v>0</v>
      </c>
      <c r="CL874" s="6"/>
      <c r="CM874" s="7"/>
      <c r="CN874" s="7"/>
      <c r="CO874" s="7"/>
      <c r="CP874" s="7"/>
      <c r="CQ874" s="8">
        <f>SUM(CL874:CP874)</f>
        <v>0</v>
      </c>
      <c r="CS874" s="6"/>
      <c r="CT874" s="7"/>
      <c r="CU874" s="7"/>
      <c r="CV874" s="7"/>
      <c r="CW874" s="7"/>
      <c r="CX874" s="8">
        <f t="shared" si="4018"/>
        <v>0</v>
      </c>
      <c r="CZ874" s="6"/>
      <c r="DA874" s="7"/>
      <c r="DB874" s="7"/>
      <c r="DC874" s="7"/>
      <c r="DD874" s="7"/>
      <c r="DE874" s="8">
        <f t="shared" si="4019"/>
        <v>0</v>
      </c>
    </row>
    <row r="875" spans="2:109" ht="14" thickBot="1">
      <c r="C875" s="554"/>
      <c r="E875" s="9"/>
      <c r="F875" s="10">
        <f>SUM(F871:F874)</f>
        <v>0</v>
      </c>
      <c r="G875" s="11">
        <f t="shared" ref="G875:J875" si="4020">SUM(G871:G874)</f>
        <v>0</v>
      </c>
      <c r="H875" s="11">
        <f t="shared" si="4020"/>
        <v>0</v>
      </c>
      <c r="I875" s="11">
        <f t="shared" si="4020"/>
        <v>0</v>
      </c>
      <c r="J875" s="61">
        <f t="shared" si="4020"/>
        <v>0</v>
      </c>
      <c r="K875" s="25">
        <f>SUM(K871:K874)</f>
        <v>0</v>
      </c>
      <c r="M875" s="10">
        <f>SUM(M871:M874)</f>
        <v>0</v>
      </c>
      <c r="N875" s="11">
        <f t="shared" ref="N875:Q875" si="4021">SUM(N871:N874)</f>
        <v>0</v>
      </c>
      <c r="O875" s="11">
        <f t="shared" si="4021"/>
        <v>0</v>
      </c>
      <c r="P875" s="11">
        <f t="shared" si="4021"/>
        <v>0</v>
      </c>
      <c r="Q875" s="11">
        <f t="shared" si="4021"/>
        <v>0</v>
      </c>
      <c r="R875" s="25">
        <f>SUM(R871:R874)</f>
        <v>0</v>
      </c>
      <c r="T875" s="10">
        <f>SUM(T871:T874)</f>
        <v>0</v>
      </c>
      <c r="U875" s="11">
        <f t="shared" ref="U875:X875" si="4022">SUM(U871:U874)</f>
        <v>0</v>
      </c>
      <c r="V875" s="11">
        <f t="shared" si="4022"/>
        <v>0</v>
      </c>
      <c r="W875" s="11">
        <f t="shared" si="4022"/>
        <v>0</v>
      </c>
      <c r="X875" s="11">
        <f t="shared" si="4022"/>
        <v>0</v>
      </c>
      <c r="Y875" s="25">
        <f>SUM(Y871:Y874)</f>
        <v>0</v>
      </c>
      <c r="AA875" s="10">
        <f>SUM(AA871:AA874)</f>
        <v>0</v>
      </c>
      <c r="AB875" s="11">
        <f t="shared" ref="AB875:AE875" si="4023">SUM(AB871:AB874)</f>
        <v>0</v>
      </c>
      <c r="AC875" s="11">
        <f t="shared" si="4023"/>
        <v>0</v>
      </c>
      <c r="AD875" s="11">
        <f t="shared" si="4023"/>
        <v>0</v>
      </c>
      <c r="AE875" s="11">
        <f t="shared" si="4023"/>
        <v>0</v>
      </c>
      <c r="AF875" s="25">
        <f>SUM(AF871:AF874)</f>
        <v>0</v>
      </c>
      <c r="AH875" s="10">
        <f>SUM(AH871:AH874)</f>
        <v>0</v>
      </c>
      <c r="AI875" s="11">
        <f t="shared" ref="AI875:AL875" si="4024">SUM(AI871:AI874)</f>
        <v>0</v>
      </c>
      <c r="AJ875" s="11">
        <f t="shared" si="4024"/>
        <v>0</v>
      </c>
      <c r="AK875" s="11">
        <f t="shared" si="4024"/>
        <v>0</v>
      </c>
      <c r="AL875" s="11">
        <f t="shared" si="4024"/>
        <v>0</v>
      </c>
      <c r="AM875" s="25">
        <f>SUM(AM871:AM874)</f>
        <v>0</v>
      </c>
      <c r="AO875" s="10">
        <f>SUM(AO871:AO874)</f>
        <v>0</v>
      </c>
      <c r="AP875" s="11">
        <f t="shared" ref="AP875:AS875" si="4025">SUM(AP871:AP874)</f>
        <v>0</v>
      </c>
      <c r="AQ875" s="11">
        <f t="shared" si="4025"/>
        <v>0</v>
      </c>
      <c r="AR875" s="11">
        <f t="shared" si="4025"/>
        <v>0</v>
      </c>
      <c r="AS875" s="11">
        <f t="shared" si="4025"/>
        <v>0</v>
      </c>
      <c r="AT875" s="25">
        <f>SUM(AT871:AT874)</f>
        <v>0</v>
      </c>
      <c r="AV875" s="10">
        <f>SUM(AV871:AV874)</f>
        <v>0</v>
      </c>
      <c r="AW875" s="11">
        <f t="shared" ref="AW875:AZ875" si="4026">SUM(AW871:AW874)</f>
        <v>0</v>
      </c>
      <c r="AX875" s="11">
        <f t="shared" si="4026"/>
        <v>0</v>
      </c>
      <c r="AY875" s="11">
        <f t="shared" si="4026"/>
        <v>0</v>
      </c>
      <c r="AZ875" s="11">
        <f t="shared" si="4026"/>
        <v>0</v>
      </c>
      <c r="BA875" s="25">
        <f>SUM(BA871:BA874)</f>
        <v>0</v>
      </c>
      <c r="BC875" s="10">
        <f>SUM(BC871:BC874)</f>
        <v>0</v>
      </c>
      <c r="BD875" s="11">
        <f t="shared" ref="BD875:BG875" si="4027">SUM(BD871:BD874)</f>
        <v>0</v>
      </c>
      <c r="BE875" s="11">
        <f t="shared" si="4027"/>
        <v>0</v>
      </c>
      <c r="BF875" s="11">
        <f t="shared" si="4027"/>
        <v>0</v>
      </c>
      <c r="BG875" s="11">
        <f t="shared" si="4027"/>
        <v>0</v>
      </c>
      <c r="BH875" s="25">
        <f>SUM(BH871:BH874)</f>
        <v>0</v>
      </c>
      <c r="BJ875" s="10">
        <f>SUM(BJ871:BJ874)</f>
        <v>0</v>
      </c>
      <c r="BK875" s="11">
        <f t="shared" ref="BK875:BN875" si="4028">SUM(BK871:BK874)</f>
        <v>0</v>
      </c>
      <c r="BL875" s="11">
        <f t="shared" si="4028"/>
        <v>0</v>
      </c>
      <c r="BM875" s="11">
        <f t="shared" si="4028"/>
        <v>0</v>
      </c>
      <c r="BN875" s="11">
        <f t="shared" si="4028"/>
        <v>0</v>
      </c>
      <c r="BO875" s="25">
        <f>SUM(BO871:BO874)</f>
        <v>0</v>
      </c>
      <c r="BQ875" s="10">
        <f>SUM(BQ871:BQ874)</f>
        <v>0</v>
      </c>
      <c r="BR875" s="11">
        <f t="shared" ref="BR875:BU875" si="4029">SUM(BR871:BR874)</f>
        <v>0</v>
      </c>
      <c r="BS875" s="11">
        <f t="shared" si="4029"/>
        <v>0</v>
      </c>
      <c r="BT875" s="11">
        <f t="shared" si="4029"/>
        <v>0</v>
      </c>
      <c r="BU875" s="11">
        <f t="shared" si="4029"/>
        <v>0</v>
      </c>
      <c r="BV875" s="25">
        <f>SUM(BV871:BV874)</f>
        <v>0</v>
      </c>
      <c r="BX875" s="10">
        <f>SUM(BX871:BX874)</f>
        <v>0</v>
      </c>
      <c r="BY875" s="11">
        <f t="shared" ref="BY875:CB875" si="4030">SUM(BY871:BY874)</f>
        <v>0</v>
      </c>
      <c r="BZ875" s="11">
        <f t="shared" si="4030"/>
        <v>0</v>
      </c>
      <c r="CA875" s="11">
        <f t="shared" si="4030"/>
        <v>0</v>
      </c>
      <c r="CB875" s="11">
        <f t="shared" si="4030"/>
        <v>0</v>
      </c>
      <c r="CC875" s="25">
        <f>SUM(CC871:CC874)</f>
        <v>0</v>
      </c>
      <c r="CE875" s="62">
        <f t="shared" ref="CE875:CJ875" si="4031">SUM(CE871:CE874)</f>
        <v>0</v>
      </c>
      <c r="CF875" s="63">
        <f t="shared" si="4031"/>
        <v>0</v>
      </c>
      <c r="CG875" s="63">
        <f t="shared" si="4031"/>
        <v>0</v>
      </c>
      <c r="CH875" s="63">
        <f t="shared" si="4031"/>
        <v>0</v>
      </c>
      <c r="CI875" s="63">
        <f t="shared" si="4031"/>
        <v>0</v>
      </c>
      <c r="CJ875" s="25">
        <f t="shared" si="4031"/>
        <v>0</v>
      </c>
      <c r="CL875" s="10">
        <f>SUM(CL871:CL874)</f>
        <v>0</v>
      </c>
      <c r="CM875" s="11">
        <f t="shared" ref="CM875:CP875" si="4032">SUM(CM871:CM874)</f>
        <v>0</v>
      </c>
      <c r="CN875" s="11">
        <f t="shared" si="4032"/>
        <v>0</v>
      </c>
      <c r="CO875" s="11">
        <f t="shared" si="4032"/>
        <v>0</v>
      </c>
      <c r="CP875" s="11">
        <f t="shared" si="4032"/>
        <v>0</v>
      </c>
      <c r="CQ875" s="25">
        <f>SUM(CQ871:CQ874)</f>
        <v>0</v>
      </c>
      <c r="CS875" s="10">
        <f>SUM(CS871:CS874)</f>
        <v>0</v>
      </c>
      <c r="CT875" s="11">
        <f t="shared" ref="CT875:CW875" si="4033">SUM(CT871:CT874)</f>
        <v>0</v>
      </c>
      <c r="CU875" s="11">
        <f t="shared" si="4033"/>
        <v>0</v>
      </c>
      <c r="CV875" s="11">
        <f t="shared" si="4033"/>
        <v>0</v>
      </c>
      <c r="CW875" s="11">
        <f t="shared" si="4033"/>
        <v>0</v>
      </c>
      <c r="CX875" s="25">
        <f>SUM(CX871:CX874)</f>
        <v>0</v>
      </c>
      <c r="CZ875" s="10">
        <f>SUM(CZ871:CZ874)</f>
        <v>0</v>
      </c>
      <c r="DA875" s="11">
        <f t="shared" ref="DA875:DD875" si="4034">SUM(DA871:DA874)</f>
        <v>0</v>
      </c>
      <c r="DB875" s="11">
        <f t="shared" si="4034"/>
        <v>0</v>
      </c>
      <c r="DC875" s="11">
        <f t="shared" si="4034"/>
        <v>0</v>
      </c>
      <c r="DD875" s="11">
        <f t="shared" si="4034"/>
        <v>0</v>
      </c>
      <c r="DE875" s="25">
        <f>SUM(DE871:DE874)</f>
        <v>0</v>
      </c>
    </row>
    <row r="876" spans="2:109" ht="10.4" customHeight="1" thickBot="1"/>
    <row r="877" spans="2:109">
      <c r="C877" s="553">
        <v>2025</v>
      </c>
      <c r="E877" s="13" t="s">
        <v>59</v>
      </c>
      <c r="F877" s="21">
        <f>CE871</f>
        <v>0</v>
      </c>
      <c r="G877" s="22">
        <f t="shared" ref="G877:G880" si="4035">CF871</f>
        <v>0</v>
      </c>
      <c r="H877" s="22">
        <f t="shared" ref="H877:H880" si="4036">CG871</f>
        <v>0</v>
      </c>
      <c r="I877" s="22">
        <f t="shared" ref="I877:I880" si="4037">CH871</f>
        <v>0</v>
      </c>
      <c r="J877" s="22">
        <f t="shared" ref="J877:J880" si="4038">CI871</f>
        <v>0</v>
      </c>
      <c r="K877" s="15">
        <f>SUM(F877:J877)</f>
        <v>0</v>
      </c>
      <c r="M877" s="2"/>
      <c r="N877" s="3"/>
      <c r="O877" s="3"/>
      <c r="P877" s="3"/>
      <c r="Q877" s="3"/>
      <c r="R877" s="15">
        <f>SUM(M877:Q877)</f>
        <v>0</v>
      </c>
      <c r="T877" s="2"/>
      <c r="U877" s="3"/>
      <c r="V877" s="3"/>
      <c r="W877" s="3"/>
      <c r="X877" s="3"/>
      <c r="Y877" s="15">
        <f>SUM(T877:X877)</f>
        <v>0</v>
      </c>
      <c r="AA877" s="2"/>
      <c r="AB877" s="3"/>
      <c r="AC877" s="3"/>
      <c r="AD877" s="3"/>
      <c r="AE877" s="3"/>
      <c r="AF877" s="15">
        <f>SUM(AA877:AE877)</f>
        <v>0</v>
      </c>
      <c r="AH877" s="2"/>
      <c r="AI877" s="3"/>
      <c r="AJ877" s="3"/>
      <c r="AK877" s="3"/>
      <c r="AL877" s="3"/>
      <c r="AM877" s="15">
        <f>SUM(AH877:AL877)</f>
        <v>0</v>
      </c>
      <c r="AO877" s="2"/>
      <c r="AP877" s="3"/>
      <c r="AQ877" s="3"/>
      <c r="AR877" s="3"/>
      <c r="AS877" s="3"/>
      <c r="AT877" s="15">
        <f>SUM(AO877:AS877)</f>
        <v>0</v>
      </c>
      <c r="AV877" s="2"/>
      <c r="AW877" s="3"/>
      <c r="AX877" s="3"/>
      <c r="AY877" s="3"/>
      <c r="AZ877" s="3"/>
      <c r="BA877" s="15">
        <f>SUM(AV877:AZ877)</f>
        <v>0</v>
      </c>
      <c r="BC877" s="2"/>
      <c r="BD877" s="3"/>
      <c r="BE877" s="3"/>
      <c r="BF877" s="3"/>
      <c r="BG877" s="3"/>
      <c r="BH877" s="15">
        <f>SUM(BC877:BG877)</f>
        <v>0</v>
      </c>
      <c r="BJ877" s="2"/>
      <c r="BK877" s="3"/>
      <c r="BL877" s="3"/>
      <c r="BM877" s="3"/>
      <c r="BN877" s="3"/>
      <c r="BO877" s="15">
        <f>SUM(BJ877:BN877)</f>
        <v>0</v>
      </c>
      <c r="BQ877" s="2"/>
      <c r="BR877" s="3"/>
      <c r="BS877" s="3"/>
      <c r="BT877" s="3"/>
      <c r="BU877" s="3"/>
      <c r="BV877" s="15">
        <f>SUM(BQ877:BU877)</f>
        <v>0</v>
      </c>
      <c r="BX877" s="2"/>
      <c r="BY877" s="3"/>
      <c r="BZ877" s="3"/>
      <c r="CA877" s="3"/>
      <c r="CB877" s="3"/>
      <c r="CC877" s="15">
        <f>SUM(BX877:CB877)</f>
        <v>0</v>
      </c>
      <c r="CE877" s="26">
        <f t="shared" ref="CE877:CE880" si="4039">F877+M877+T877+AA877+AH877+AO877+AV877+BC877+BJ877+BQ877+BX877</f>
        <v>0</v>
      </c>
      <c r="CF877" s="27">
        <f t="shared" ref="CF877:CF880" si="4040">G877+N877+U877+AB877+AI877+AP877+AW877+BD877+BK877+BR877+BY877</f>
        <v>0</v>
      </c>
      <c r="CG877" s="27">
        <f t="shared" ref="CG877:CG880" si="4041">H877+O877+V877+AC877+AJ877+AQ877+AX877+BE877+BL877+BS877+BZ877</f>
        <v>0</v>
      </c>
      <c r="CH877" s="27">
        <f t="shared" ref="CH877:CH880" si="4042">I877+P877+W877+AD877+AK877+AR877+AY877+BF877+BM877+BT877+CA877</f>
        <v>0</v>
      </c>
      <c r="CI877" s="27">
        <f t="shared" ref="CI877:CI880" si="4043">J877+Q877+X877+AE877+AL877+AS877+AZ877+BG877+BN877+BU877+CB877</f>
        <v>0</v>
      </c>
      <c r="CJ877" s="4">
        <f>SUM(CE877:CI877)</f>
        <v>0</v>
      </c>
      <c r="CL877" s="2"/>
      <c r="CM877" s="3"/>
      <c r="CN877" s="3"/>
      <c r="CO877" s="3"/>
      <c r="CP877" s="3"/>
      <c r="CQ877" s="15">
        <f>SUM(CL877:CP877)</f>
        <v>0</v>
      </c>
      <c r="CS877" s="2"/>
      <c r="CT877" s="3"/>
      <c r="CU877" s="3"/>
      <c r="CV877" s="3"/>
      <c r="CW877" s="3"/>
      <c r="CX877" s="4">
        <f>SUM(CS877:CW877)</f>
        <v>0</v>
      </c>
      <c r="CZ877" s="2"/>
      <c r="DA877" s="3"/>
      <c r="DB877" s="3"/>
      <c r="DC877" s="3"/>
      <c r="DD877" s="3"/>
      <c r="DE877" s="15">
        <f>SUM(CZ877:DD877)</f>
        <v>0</v>
      </c>
    </row>
    <row r="878" spans="2:109">
      <c r="C878" s="567"/>
      <c r="E878" s="14" t="s">
        <v>60</v>
      </c>
      <c r="F878" s="23">
        <f t="shared" ref="F878:F880" si="4044">CE872</f>
        <v>0</v>
      </c>
      <c r="G878" s="24">
        <f t="shared" si="4035"/>
        <v>0</v>
      </c>
      <c r="H878" s="24">
        <f t="shared" si="4036"/>
        <v>0</v>
      </c>
      <c r="I878" s="24">
        <f t="shared" si="4037"/>
        <v>0</v>
      </c>
      <c r="J878" s="24">
        <f t="shared" si="4038"/>
        <v>0</v>
      </c>
      <c r="K878" s="16">
        <f t="shared" ref="K878:K880" si="4045">SUM(F878:J878)</f>
        <v>0</v>
      </c>
      <c r="M878" s="6"/>
      <c r="N878" s="7"/>
      <c r="O878" s="7"/>
      <c r="P878" s="7"/>
      <c r="Q878" s="7"/>
      <c r="R878" s="16">
        <f t="shared" ref="R878:R880" si="4046">SUM(M878:Q878)</f>
        <v>0</v>
      </c>
      <c r="T878" s="6"/>
      <c r="U878" s="7"/>
      <c r="V878" s="7"/>
      <c r="W878" s="7"/>
      <c r="X878" s="7"/>
      <c r="Y878" s="16">
        <f t="shared" ref="Y878:Y880" si="4047">SUM(T878:X878)</f>
        <v>0</v>
      </c>
      <c r="AA878" s="6"/>
      <c r="AB878" s="7"/>
      <c r="AC878" s="7"/>
      <c r="AD878" s="7"/>
      <c r="AE878" s="7"/>
      <c r="AF878" s="16">
        <f>SUM(AA878:AE878)</f>
        <v>0</v>
      </c>
      <c r="AH878" s="6"/>
      <c r="AI878" s="7"/>
      <c r="AJ878" s="7"/>
      <c r="AK878" s="7"/>
      <c r="AL878" s="7"/>
      <c r="AM878" s="16">
        <f>SUM(AH878:AL878)</f>
        <v>0</v>
      </c>
      <c r="AO878" s="6"/>
      <c r="AP878" s="7"/>
      <c r="AQ878" s="7"/>
      <c r="AR878" s="7"/>
      <c r="AS878" s="7"/>
      <c r="AT878" s="16">
        <f>SUM(AO878:AS878)</f>
        <v>0</v>
      </c>
      <c r="AV878" s="6"/>
      <c r="AW878" s="7"/>
      <c r="AX878" s="7"/>
      <c r="AY878" s="7"/>
      <c r="AZ878" s="7"/>
      <c r="BA878" s="16">
        <f>SUM(AV878:AZ878)</f>
        <v>0</v>
      </c>
      <c r="BC878" s="6"/>
      <c r="BD878" s="7"/>
      <c r="BE878" s="7"/>
      <c r="BF878" s="7"/>
      <c r="BG878" s="7"/>
      <c r="BH878" s="16">
        <f>SUM(BC878:BG878)</f>
        <v>0</v>
      </c>
      <c r="BJ878" s="6"/>
      <c r="BK878" s="7"/>
      <c r="BL878" s="7"/>
      <c r="BM878" s="7"/>
      <c r="BN878" s="7"/>
      <c r="BO878" s="16">
        <f>SUM(BJ878:BN878)</f>
        <v>0</v>
      </c>
      <c r="BQ878" s="6"/>
      <c r="BR878" s="7"/>
      <c r="BS878" s="7"/>
      <c r="BT878" s="7"/>
      <c r="BU878" s="7"/>
      <c r="BV878" s="16">
        <f>SUM(BQ878:BU878)</f>
        <v>0</v>
      </c>
      <c r="BX878" s="6"/>
      <c r="BY878" s="7"/>
      <c r="BZ878" s="7"/>
      <c r="CA878" s="7"/>
      <c r="CB878" s="7"/>
      <c r="CC878" s="16">
        <f>SUM(BX878:CB878)</f>
        <v>0</v>
      </c>
      <c r="CE878" s="28">
        <f t="shared" si="4039"/>
        <v>0</v>
      </c>
      <c r="CF878" s="29">
        <f t="shared" si="4040"/>
        <v>0</v>
      </c>
      <c r="CG878" s="29">
        <f t="shared" si="4041"/>
        <v>0</v>
      </c>
      <c r="CH878" s="29">
        <f t="shared" si="4042"/>
        <v>0</v>
      </c>
      <c r="CI878" s="29">
        <f t="shared" si="4043"/>
        <v>0</v>
      </c>
      <c r="CJ878" s="8">
        <f>SUM(CE878:CI878)</f>
        <v>0</v>
      </c>
      <c r="CL878" s="6"/>
      <c r="CM878" s="7"/>
      <c r="CN878" s="7"/>
      <c r="CO878" s="7"/>
      <c r="CP878" s="7"/>
      <c r="CQ878" s="16">
        <f>SUM(CL878:CP878)</f>
        <v>0</v>
      </c>
      <c r="CS878" s="6"/>
      <c r="CT878" s="7"/>
      <c r="CU878" s="7"/>
      <c r="CV878" s="7"/>
      <c r="CW878" s="7"/>
      <c r="CX878" s="8">
        <f t="shared" ref="CX878:CX880" si="4048">SUM(CS878:CW878)</f>
        <v>0</v>
      </c>
      <c r="CZ878" s="6"/>
      <c r="DA878" s="7"/>
      <c r="DB878" s="7"/>
      <c r="DC878" s="7"/>
      <c r="DD878" s="7"/>
      <c r="DE878" s="16">
        <f t="shared" ref="DE878:DE880" si="4049">SUM(CZ878:DD878)</f>
        <v>0</v>
      </c>
    </row>
    <row r="879" spans="2:109">
      <c r="C879" s="567"/>
      <c r="E879" s="14" t="s">
        <v>61</v>
      </c>
      <c r="F879" s="23">
        <f t="shared" si="4044"/>
        <v>0</v>
      </c>
      <c r="G879" s="24">
        <f t="shared" si="4035"/>
        <v>0</v>
      </c>
      <c r="H879" s="24">
        <f t="shared" si="4036"/>
        <v>0</v>
      </c>
      <c r="I879" s="24">
        <f t="shared" si="4037"/>
        <v>0</v>
      </c>
      <c r="J879" s="24">
        <f t="shared" si="4038"/>
        <v>0</v>
      </c>
      <c r="K879" s="16">
        <f t="shared" si="4045"/>
        <v>0</v>
      </c>
      <c r="M879" s="6"/>
      <c r="N879" s="7"/>
      <c r="O879" s="7"/>
      <c r="P879" s="7"/>
      <c r="Q879" s="7"/>
      <c r="R879" s="16">
        <f t="shared" si="4046"/>
        <v>0</v>
      </c>
      <c r="T879" s="6"/>
      <c r="U879" s="7"/>
      <c r="V879" s="7"/>
      <c r="W879" s="7"/>
      <c r="X879" s="7"/>
      <c r="Y879" s="16">
        <f t="shared" si="4047"/>
        <v>0</v>
      </c>
      <c r="AA879" s="6"/>
      <c r="AB879" s="7"/>
      <c r="AC879" s="7"/>
      <c r="AD879" s="7"/>
      <c r="AE879" s="7"/>
      <c r="AF879" s="16">
        <f>SUM(AA879:AE879)</f>
        <v>0</v>
      </c>
      <c r="AH879" s="6"/>
      <c r="AI879" s="7"/>
      <c r="AJ879" s="7"/>
      <c r="AK879" s="7"/>
      <c r="AL879" s="7"/>
      <c r="AM879" s="16">
        <f>SUM(AH879:AL879)</f>
        <v>0</v>
      </c>
      <c r="AO879" s="6"/>
      <c r="AP879" s="7"/>
      <c r="AQ879" s="7"/>
      <c r="AR879" s="7"/>
      <c r="AS879" s="7"/>
      <c r="AT879" s="16">
        <f>SUM(AO879:AS879)</f>
        <v>0</v>
      </c>
      <c r="AV879" s="6"/>
      <c r="AW879" s="7"/>
      <c r="AX879" s="7"/>
      <c r="AY879" s="7"/>
      <c r="AZ879" s="7"/>
      <c r="BA879" s="16">
        <f>SUM(AV879:AZ879)</f>
        <v>0</v>
      </c>
      <c r="BC879" s="6"/>
      <c r="BD879" s="7"/>
      <c r="BE879" s="7"/>
      <c r="BF879" s="7"/>
      <c r="BG879" s="7"/>
      <c r="BH879" s="16">
        <f>SUM(BC879:BG879)</f>
        <v>0</v>
      </c>
      <c r="BJ879" s="6"/>
      <c r="BK879" s="7"/>
      <c r="BL879" s="7"/>
      <c r="BM879" s="7"/>
      <c r="BN879" s="7"/>
      <c r="BO879" s="16">
        <f>SUM(BJ879:BN879)</f>
        <v>0</v>
      </c>
      <c r="BQ879" s="6"/>
      <c r="BR879" s="7"/>
      <c r="BS879" s="7"/>
      <c r="BT879" s="7"/>
      <c r="BU879" s="7"/>
      <c r="BV879" s="16">
        <f>SUM(BQ879:BU879)</f>
        <v>0</v>
      </c>
      <c r="BX879" s="6"/>
      <c r="BY879" s="7"/>
      <c r="BZ879" s="7"/>
      <c r="CA879" s="7"/>
      <c r="CB879" s="7"/>
      <c r="CC879" s="16">
        <f>SUM(BX879:CB879)</f>
        <v>0</v>
      </c>
      <c r="CE879" s="28">
        <f t="shared" si="4039"/>
        <v>0</v>
      </c>
      <c r="CF879" s="29">
        <f t="shared" si="4040"/>
        <v>0</v>
      </c>
      <c r="CG879" s="29">
        <f t="shared" si="4041"/>
        <v>0</v>
      </c>
      <c r="CH879" s="29">
        <f t="shared" si="4042"/>
        <v>0</v>
      </c>
      <c r="CI879" s="29">
        <f t="shared" si="4043"/>
        <v>0</v>
      </c>
      <c r="CJ879" s="8">
        <f>SUM(CE879:CI879)</f>
        <v>0</v>
      </c>
      <c r="CL879" s="6"/>
      <c r="CM879" s="7"/>
      <c r="CN879" s="7"/>
      <c r="CO879" s="7"/>
      <c r="CP879" s="7"/>
      <c r="CQ879" s="16">
        <f>SUM(CL879:CP879)</f>
        <v>0</v>
      </c>
      <c r="CS879" s="6"/>
      <c r="CT879" s="7"/>
      <c r="CU879" s="7"/>
      <c r="CV879" s="7"/>
      <c r="CW879" s="7"/>
      <c r="CX879" s="8">
        <f t="shared" si="4048"/>
        <v>0</v>
      </c>
      <c r="CZ879" s="6"/>
      <c r="DA879" s="7"/>
      <c r="DB879" s="7"/>
      <c r="DC879" s="7"/>
      <c r="DD879" s="7"/>
      <c r="DE879" s="16">
        <f t="shared" si="4049"/>
        <v>0</v>
      </c>
    </row>
    <row r="880" spans="2:109" ht="14" thickBot="1">
      <c r="C880" s="567"/>
      <c r="E880" s="14" t="s">
        <v>62</v>
      </c>
      <c r="F880" s="23">
        <f t="shared" si="4044"/>
        <v>0</v>
      </c>
      <c r="G880" s="24">
        <f t="shared" si="4035"/>
        <v>0</v>
      </c>
      <c r="H880" s="24">
        <f t="shared" si="4036"/>
        <v>0</v>
      </c>
      <c r="I880" s="24">
        <f t="shared" si="4037"/>
        <v>0</v>
      </c>
      <c r="J880" s="24">
        <f t="shared" si="4038"/>
        <v>0</v>
      </c>
      <c r="K880" s="16">
        <f t="shared" si="4045"/>
        <v>0</v>
      </c>
      <c r="M880" s="6"/>
      <c r="N880" s="7"/>
      <c r="O880" s="7"/>
      <c r="P880" s="7"/>
      <c r="Q880" s="7"/>
      <c r="R880" s="16">
        <f t="shared" si="4046"/>
        <v>0</v>
      </c>
      <c r="T880" s="6"/>
      <c r="U880" s="7"/>
      <c r="V880" s="7"/>
      <c r="W880" s="7"/>
      <c r="X880" s="7"/>
      <c r="Y880" s="16">
        <f t="shared" si="4047"/>
        <v>0</v>
      </c>
      <c r="AA880" s="6"/>
      <c r="AB880" s="7"/>
      <c r="AC880" s="7"/>
      <c r="AD880" s="7"/>
      <c r="AE880" s="7"/>
      <c r="AF880" s="16">
        <f>SUM(AA880:AE880)</f>
        <v>0</v>
      </c>
      <c r="AH880" s="6"/>
      <c r="AI880" s="7"/>
      <c r="AJ880" s="7"/>
      <c r="AK880" s="7"/>
      <c r="AL880" s="7"/>
      <c r="AM880" s="16">
        <f>SUM(AH880:AL880)</f>
        <v>0</v>
      </c>
      <c r="AO880" s="6"/>
      <c r="AP880" s="7"/>
      <c r="AQ880" s="7"/>
      <c r="AR880" s="7"/>
      <c r="AS880" s="7"/>
      <c r="AT880" s="16">
        <f>SUM(AO880:AS880)</f>
        <v>0</v>
      </c>
      <c r="AV880" s="6"/>
      <c r="AW880" s="7"/>
      <c r="AX880" s="7"/>
      <c r="AY880" s="7"/>
      <c r="AZ880" s="7"/>
      <c r="BA880" s="16">
        <f>SUM(AV880:AZ880)</f>
        <v>0</v>
      </c>
      <c r="BC880" s="6"/>
      <c r="BD880" s="7"/>
      <c r="BE880" s="7"/>
      <c r="BF880" s="7"/>
      <c r="BG880" s="7"/>
      <c r="BH880" s="16">
        <f>SUM(BC880:BG880)</f>
        <v>0</v>
      </c>
      <c r="BJ880" s="6"/>
      <c r="BK880" s="7"/>
      <c r="BL880" s="7"/>
      <c r="BM880" s="7"/>
      <c r="BN880" s="7"/>
      <c r="BO880" s="16">
        <f>SUM(BJ880:BN880)</f>
        <v>0</v>
      </c>
      <c r="BQ880" s="6"/>
      <c r="BR880" s="7"/>
      <c r="BS880" s="7"/>
      <c r="BT880" s="7"/>
      <c r="BU880" s="7"/>
      <c r="BV880" s="16">
        <f>SUM(BQ880:BU880)</f>
        <v>0</v>
      </c>
      <c r="BX880" s="6"/>
      <c r="BY880" s="7"/>
      <c r="BZ880" s="7"/>
      <c r="CA880" s="7"/>
      <c r="CB880" s="7"/>
      <c r="CC880" s="16">
        <f>SUM(BX880:CB880)</f>
        <v>0</v>
      </c>
      <c r="CE880" s="493">
        <f t="shared" si="4039"/>
        <v>0</v>
      </c>
      <c r="CF880" s="494">
        <f t="shared" si="4040"/>
        <v>0</v>
      </c>
      <c r="CG880" s="494">
        <f t="shared" si="4041"/>
        <v>0</v>
      </c>
      <c r="CH880" s="494">
        <f t="shared" si="4042"/>
        <v>0</v>
      </c>
      <c r="CI880" s="494">
        <f t="shared" si="4043"/>
        <v>0</v>
      </c>
      <c r="CJ880" s="495">
        <f>SUM(CE880:CI880)</f>
        <v>0</v>
      </c>
      <c r="CL880" s="6"/>
      <c r="CM880" s="7"/>
      <c r="CN880" s="7"/>
      <c r="CO880" s="7"/>
      <c r="CP880" s="7"/>
      <c r="CQ880" s="16">
        <f>SUM(CL880:CP880)</f>
        <v>0</v>
      </c>
      <c r="CS880" s="6"/>
      <c r="CT880" s="7"/>
      <c r="CU880" s="7"/>
      <c r="CV880" s="7"/>
      <c r="CW880" s="7"/>
      <c r="CX880" s="8">
        <f t="shared" si="4048"/>
        <v>0</v>
      </c>
      <c r="CZ880" s="6"/>
      <c r="DA880" s="7"/>
      <c r="DB880" s="7"/>
      <c r="DC880" s="7"/>
      <c r="DD880" s="7"/>
      <c r="DE880" s="16">
        <f t="shared" si="4049"/>
        <v>0</v>
      </c>
    </row>
    <row r="881" spans="3:109" ht="14" thickBot="1">
      <c r="C881" s="554"/>
      <c r="E881" s="17"/>
      <c r="F881" s="10">
        <f>SUM(F877:F880)</f>
        <v>0</v>
      </c>
      <c r="G881" s="11">
        <f t="shared" ref="G881:J881" si="4050">SUM(G877:G880)</f>
        <v>0</v>
      </c>
      <c r="H881" s="11">
        <f t="shared" si="4050"/>
        <v>0</v>
      </c>
      <c r="I881" s="11">
        <f t="shared" si="4050"/>
        <v>0</v>
      </c>
      <c r="J881" s="11">
        <f t="shared" si="4050"/>
        <v>0</v>
      </c>
      <c r="K881" s="25">
        <f>SUM(K877:K880)</f>
        <v>0</v>
      </c>
      <c r="M881" s="10">
        <f>SUM(M877:M880)</f>
        <v>0</v>
      </c>
      <c r="N881" s="11">
        <f t="shared" ref="N881:Q881" si="4051">SUM(N877:N880)</f>
        <v>0</v>
      </c>
      <c r="O881" s="11">
        <f t="shared" si="4051"/>
        <v>0</v>
      </c>
      <c r="P881" s="11">
        <f t="shared" si="4051"/>
        <v>0</v>
      </c>
      <c r="Q881" s="11">
        <f t="shared" si="4051"/>
        <v>0</v>
      </c>
      <c r="R881" s="25">
        <f>SUM(R877:R880)</f>
        <v>0</v>
      </c>
      <c r="T881" s="10">
        <f>SUM(T877:T880)</f>
        <v>0</v>
      </c>
      <c r="U881" s="11">
        <f t="shared" ref="U881:X881" si="4052">SUM(U877:U880)</f>
        <v>0</v>
      </c>
      <c r="V881" s="11">
        <f t="shared" si="4052"/>
        <v>0</v>
      </c>
      <c r="W881" s="11">
        <f t="shared" si="4052"/>
        <v>0</v>
      </c>
      <c r="X881" s="11">
        <f t="shared" si="4052"/>
        <v>0</v>
      </c>
      <c r="Y881" s="25">
        <f>SUM(Y877:Y880)</f>
        <v>0</v>
      </c>
      <c r="AA881" s="10">
        <f>SUM(AA877:AA880)</f>
        <v>0</v>
      </c>
      <c r="AB881" s="11">
        <f t="shared" ref="AB881:AE881" si="4053">SUM(AB877:AB880)</f>
        <v>0</v>
      </c>
      <c r="AC881" s="11">
        <f t="shared" si="4053"/>
        <v>0</v>
      </c>
      <c r="AD881" s="11">
        <f t="shared" si="4053"/>
        <v>0</v>
      </c>
      <c r="AE881" s="11">
        <f t="shared" si="4053"/>
        <v>0</v>
      </c>
      <c r="AF881" s="25">
        <f>SUM(AF877:AF880)</f>
        <v>0</v>
      </c>
      <c r="AH881" s="10">
        <f>SUM(AH877:AH880)</f>
        <v>0</v>
      </c>
      <c r="AI881" s="11">
        <f t="shared" ref="AI881:AL881" si="4054">SUM(AI877:AI880)</f>
        <v>0</v>
      </c>
      <c r="AJ881" s="11">
        <f t="shared" si="4054"/>
        <v>0</v>
      </c>
      <c r="AK881" s="11">
        <f t="shared" si="4054"/>
        <v>0</v>
      </c>
      <c r="AL881" s="11">
        <f t="shared" si="4054"/>
        <v>0</v>
      </c>
      <c r="AM881" s="25">
        <f>SUM(AM877:AM880)</f>
        <v>0</v>
      </c>
      <c r="AO881" s="10">
        <f>SUM(AO877:AO880)</f>
        <v>0</v>
      </c>
      <c r="AP881" s="11">
        <f t="shared" ref="AP881:AS881" si="4055">SUM(AP877:AP880)</f>
        <v>0</v>
      </c>
      <c r="AQ881" s="11">
        <f t="shared" si="4055"/>
        <v>0</v>
      </c>
      <c r="AR881" s="11">
        <f t="shared" si="4055"/>
        <v>0</v>
      </c>
      <c r="AS881" s="11">
        <f t="shared" si="4055"/>
        <v>0</v>
      </c>
      <c r="AT881" s="25">
        <f>SUM(AT877:AT880)</f>
        <v>0</v>
      </c>
      <c r="AV881" s="10">
        <f>SUM(AV877:AV880)</f>
        <v>0</v>
      </c>
      <c r="AW881" s="11">
        <f t="shared" ref="AW881:AZ881" si="4056">SUM(AW877:AW880)</f>
        <v>0</v>
      </c>
      <c r="AX881" s="11">
        <f t="shared" si="4056"/>
        <v>0</v>
      </c>
      <c r="AY881" s="11">
        <f t="shared" si="4056"/>
        <v>0</v>
      </c>
      <c r="AZ881" s="11">
        <f t="shared" si="4056"/>
        <v>0</v>
      </c>
      <c r="BA881" s="25">
        <f>SUM(BA877:BA880)</f>
        <v>0</v>
      </c>
      <c r="BC881" s="10">
        <f>SUM(BC877:BC880)</f>
        <v>0</v>
      </c>
      <c r="BD881" s="11">
        <f t="shared" ref="BD881:BG881" si="4057">SUM(BD877:BD880)</f>
        <v>0</v>
      </c>
      <c r="BE881" s="11">
        <f t="shared" si="4057"/>
        <v>0</v>
      </c>
      <c r="BF881" s="11">
        <f t="shared" si="4057"/>
        <v>0</v>
      </c>
      <c r="BG881" s="11">
        <f t="shared" si="4057"/>
        <v>0</v>
      </c>
      <c r="BH881" s="25">
        <f>SUM(BH877:BH880)</f>
        <v>0</v>
      </c>
      <c r="BJ881" s="10">
        <f>SUM(BJ877:BJ880)</f>
        <v>0</v>
      </c>
      <c r="BK881" s="11">
        <f t="shared" ref="BK881:BN881" si="4058">SUM(BK877:BK880)</f>
        <v>0</v>
      </c>
      <c r="BL881" s="11">
        <f t="shared" si="4058"/>
        <v>0</v>
      </c>
      <c r="BM881" s="11">
        <f t="shared" si="4058"/>
        <v>0</v>
      </c>
      <c r="BN881" s="11">
        <f t="shared" si="4058"/>
        <v>0</v>
      </c>
      <c r="BO881" s="25">
        <f>SUM(BO877:BO880)</f>
        <v>0</v>
      </c>
      <c r="BQ881" s="10">
        <f>SUM(BQ877:BQ880)</f>
        <v>0</v>
      </c>
      <c r="BR881" s="11">
        <f t="shared" ref="BR881:BU881" si="4059">SUM(BR877:BR880)</f>
        <v>0</v>
      </c>
      <c r="BS881" s="11">
        <f t="shared" si="4059"/>
        <v>0</v>
      </c>
      <c r="BT881" s="11">
        <f t="shared" si="4059"/>
        <v>0</v>
      </c>
      <c r="BU881" s="11">
        <f t="shared" si="4059"/>
        <v>0</v>
      </c>
      <c r="BV881" s="25">
        <f>SUM(BV877:BV880)</f>
        <v>0</v>
      </c>
      <c r="BX881" s="10">
        <f>SUM(BX877:BX880)</f>
        <v>0</v>
      </c>
      <c r="BY881" s="11">
        <f t="shared" ref="BY881:CB881" si="4060">SUM(BY877:BY880)</f>
        <v>0</v>
      </c>
      <c r="BZ881" s="11">
        <f t="shared" si="4060"/>
        <v>0</v>
      </c>
      <c r="CA881" s="11">
        <f t="shared" si="4060"/>
        <v>0</v>
      </c>
      <c r="CB881" s="11">
        <f t="shared" si="4060"/>
        <v>0</v>
      </c>
      <c r="CC881" s="25">
        <f>SUM(CC877:CC880)</f>
        <v>0</v>
      </c>
      <c r="CE881" s="62">
        <f t="shared" ref="CE881:CJ881" si="4061">SUM(CE877:CE880)</f>
        <v>0</v>
      </c>
      <c r="CF881" s="63">
        <f t="shared" si="4061"/>
        <v>0</v>
      </c>
      <c r="CG881" s="63">
        <f t="shared" si="4061"/>
        <v>0</v>
      </c>
      <c r="CH881" s="63">
        <f t="shared" si="4061"/>
        <v>0</v>
      </c>
      <c r="CI881" s="63">
        <f t="shared" si="4061"/>
        <v>0</v>
      </c>
      <c r="CJ881" s="25">
        <f t="shared" si="4061"/>
        <v>0</v>
      </c>
      <c r="CL881" s="10">
        <f>SUM(CL877:CL880)</f>
        <v>0</v>
      </c>
      <c r="CM881" s="11">
        <f t="shared" ref="CM881:CP881" si="4062">SUM(CM877:CM880)</f>
        <v>0</v>
      </c>
      <c r="CN881" s="11">
        <f t="shared" si="4062"/>
        <v>0</v>
      </c>
      <c r="CO881" s="11">
        <f t="shared" si="4062"/>
        <v>0</v>
      </c>
      <c r="CP881" s="11">
        <f t="shared" si="4062"/>
        <v>0</v>
      </c>
      <c r="CQ881" s="25">
        <f>SUM(CQ877:CQ880)</f>
        <v>0</v>
      </c>
      <c r="CS881" s="10">
        <f>SUM(CS877:CS880)</f>
        <v>0</v>
      </c>
      <c r="CT881" s="11">
        <f t="shared" ref="CT881:CW881" si="4063">SUM(CT877:CT880)</f>
        <v>0</v>
      </c>
      <c r="CU881" s="11">
        <f t="shared" si="4063"/>
        <v>0</v>
      </c>
      <c r="CV881" s="11">
        <f t="shared" si="4063"/>
        <v>0</v>
      </c>
      <c r="CW881" s="11">
        <f t="shared" si="4063"/>
        <v>0</v>
      </c>
      <c r="CX881" s="25">
        <f>SUM(CX877:CX880)</f>
        <v>0</v>
      </c>
      <c r="CZ881" s="10">
        <f>SUM(CZ877:CZ880)</f>
        <v>0</v>
      </c>
      <c r="DA881" s="11">
        <f t="shared" ref="DA881:DD881" si="4064">SUM(DA877:DA880)</f>
        <v>0</v>
      </c>
      <c r="DB881" s="11">
        <f t="shared" si="4064"/>
        <v>0</v>
      </c>
      <c r="DC881" s="11">
        <f t="shared" si="4064"/>
        <v>0</v>
      </c>
      <c r="DD881" s="11">
        <f t="shared" si="4064"/>
        <v>0</v>
      </c>
      <c r="DE881" s="25">
        <f>SUM(DE877:DE880)</f>
        <v>0</v>
      </c>
    </row>
    <row r="882" spans="3:109" ht="10.4" customHeight="1" thickBot="1"/>
    <row r="883" spans="3:109">
      <c r="C883" s="553">
        <v>2026</v>
      </c>
      <c r="E883" s="13" t="s">
        <v>59</v>
      </c>
      <c r="F883" s="21">
        <f>CE877</f>
        <v>0</v>
      </c>
      <c r="G883" s="22">
        <f t="shared" ref="G883:G886" si="4065">CF877</f>
        <v>0</v>
      </c>
      <c r="H883" s="22">
        <f t="shared" ref="H883:H886" si="4066">CG877</f>
        <v>0</v>
      </c>
      <c r="I883" s="22">
        <f t="shared" ref="I883:I886" si="4067">CH877</f>
        <v>0</v>
      </c>
      <c r="J883" s="22">
        <f t="shared" ref="J883:J886" si="4068">CI877</f>
        <v>0</v>
      </c>
      <c r="K883" s="4">
        <f>SUM(F883:J883)</f>
        <v>0</v>
      </c>
      <c r="M883" s="2"/>
      <c r="N883" s="3"/>
      <c r="O883" s="3"/>
      <c r="P883" s="3"/>
      <c r="Q883" s="3"/>
      <c r="R883" s="4">
        <f>SUM(M883:Q883)</f>
        <v>0</v>
      </c>
      <c r="T883" s="2"/>
      <c r="U883" s="3"/>
      <c r="V883" s="3"/>
      <c r="W883" s="3"/>
      <c r="X883" s="3"/>
      <c r="Y883" s="4">
        <f>SUM(T883:X883)</f>
        <v>0</v>
      </c>
      <c r="AA883" s="2"/>
      <c r="AB883" s="3"/>
      <c r="AC883" s="3"/>
      <c r="AD883" s="3"/>
      <c r="AE883" s="3"/>
      <c r="AF883" s="4">
        <f>SUM(AA883:AE883)</f>
        <v>0</v>
      </c>
      <c r="AH883" s="2"/>
      <c r="AI883" s="3"/>
      <c r="AJ883" s="3"/>
      <c r="AK883" s="3"/>
      <c r="AL883" s="3"/>
      <c r="AM883" s="4">
        <f>SUM(AH883:AL883)</f>
        <v>0</v>
      </c>
      <c r="AO883" s="2"/>
      <c r="AP883" s="3"/>
      <c r="AQ883" s="3"/>
      <c r="AR883" s="3"/>
      <c r="AS883" s="3"/>
      <c r="AT883" s="4">
        <f>SUM(AO883:AS883)</f>
        <v>0</v>
      </c>
      <c r="AV883" s="2"/>
      <c r="AW883" s="3"/>
      <c r="AX883" s="3"/>
      <c r="AY883" s="3"/>
      <c r="AZ883" s="3"/>
      <c r="BA883" s="4">
        <f>SUM(AV883:AZ883)</f>
        <v>0</v>
      </c>
      <c r="BC883" s="2"/>
      <c r="BD883" s="3"/>
      <c r="BE883" s="3"/>
      <c r="BF883" s="3"/>
      <c r="BG883" s="3"/>
      <c r="BH883" s="4">
        <f>SUM(BC883:BG883)</f>
        <v>0</v>
      </c>
      <c r="BJ883" s="2"/>
      <c r="BK883" s="3"/>
      <c r="BL883" s="3"/>
      <c r="BM883" s="3"/>
      <c r="BN883" s="3"/>
      <c r="BO883" s="4">
        <f>SUM(BJ883:BN883)</f>
        <v>0</v>
      </c>
      <c r="BQ883" s="2"/>
      <c r="BR883" s="3"/>
      <c r="BS883" s="3"/>
      <c r="BT883" s="3"/>
      <c r="BU883" s="3"/>
      <c r="BV883" s="4">
        <f>SUM(BQ883:BU883)</f>
        <v>0</v>
      </c>
      <c r="BX883" s="2"/>
      <c r="BY883" s="3"/>
      <c r="BZ883" s="3"/>
      <c r="CA883" s="3"/>
      <c r="CB883" s="3"/>
      <c r="CC883" s="4">
        <f>SUM(BX883:CB883)</f>
        <v>0</v>
      </c>
      <c r="CE883" s="26">
        <f t="shared" ref="CE883:CE886" si="4069">F883+M883+T883+AA883+AH883+AO883+AV883+BC883+BJ883+BQ883+BX883</f>
        <v>0</v>
      </c>
      <c r="CF883" s="27">
        <f t="shared" ref="CF883:CF886" si="4070">G883+N883+U883+AB883+AI883+AP883+AW883+BD883+BK883+BR883+BY883</f>
        <v>0</v>
      </c>
      <c r="CG883" s="27">
        <f t="shared" ref="CG883:CG886" si="4071">H883+O883+V883+AC883+AJ883+AQ883+AX883+BE883+BL883+BS883+BZ883</f>
        <v>0</v>
      </c>
      <c r="CH883" s="27">
        <f t="shared" ref="CH883:CH886" si="4072">I883+P883+W883+AD883+AK883+AR883+AY883+BF883+BM883+BT883+CA883</f>
        <v>0</v>
      </c>
      <c r="CI883" s="27">
        <f t="shared" ref="CI883:CI886" si="4073">J883+Q883+X883+AE883+AL883+AS883+AZ883+BG883+BN883+BU883+CB883</f>
        <v>0</v>
      </c>
      <c r="CJ883" s="4">
        <f>SUM(CE883:CI883)</f>
        <v>0</v>
      </c>
      <c r="CL883" s="2"/>
      <c r="CM883" s="3"/>
      <c r="CN883" s="3"/>
      <c r="CO883" s="3"/>
      <c r="CP883" s="3"/>
      <c r="CQ883" s="4">
        <f>SUM(CL883:CP883)</f>
        <v>0</v>
      </c>
      <c r="CS883" s="2"/>
      <c r="CT883" s="3"/>
      <c r="CU883" s="3"/>
      <c r="CV883" s="3"/>
      <c r="CW883" s="3"/>
      <c r="CX883" s="4">
        <f>SUM(CS883:CW883)</f>
        <v>0</v>
      </c>
      <c r="CZ883" s="2"/>
      <c r="DA883" s="3"/>
      <c r="DB883" s="3"/>
      <c r="DC883" s="3"/>
      <c r="DD883" s="3"/>
      <c r="DE883" s="4">
        <f>SUM(CZ883:DD883)</f>
        <v>0</v>
      </c>
    </row>
    <row r="884" spans="3:109">
      <c r="C884" s="567"/>
      <c r="E884" s="14" t="s">
        <v>60</v>
      </c>
      <c r="F884" s="23">
        <f t="shared" ref="F884:F886" si="4074">CE878</f>
        <v>0</v>
      </c>
      <c r="G884" s="24">
        <f t="shared" si="4065"/>
        <v>0</v>
      </c>
      <c r="H884" s="24">
        <f t="shared" si="4066"/>
        <v>0</v>
      </c>
      <c r="I884" s="24">
        <f t="shared" si="4067"/>
        <v>0</v>
      </c>
      <c r="J884" s="24">
        <f t="shared" si="4068"/>
        <v>0</v>
      </c>
      <c r="K884" s="8">
        <f t="shared" ref="K884:K886" si="4075">SUM(F884:J884)</f>
        <v>0</v>
      </c>
      <c r="M884" s="6"/>
      <c r="N884" s="7"/>
      <c r="O884" s="7"/>
      <c r="P884" s="7"/>
      <c r="Q884" s="7"/>
      <c r="R884" s="8">
        <f t="shared" ref="R884:R886" si="4076">SUM(M884:Q884)</f>
        <v>0</v>
      </c>
      <c r="T884" s="6"/>
      <c r="U884" s="7"/>
      <c r="V884" s="7"/>
      <c r="W884" s="7"/>
      <c r="X884" s="7"/>
      <c r="Y884" s="8">
        <f t="shared" ref="Y884:Y886" si="4077">SUM(T884:X884)</f>
        <v>0</v>
      </c>
      <c r="AA884" s="6"/>
      <c r="AB884" s="7"/>
      <c r="AC884" s="7"/>
      <c r="AD884" s="7"/>
      <c r="AE884" s="7"/>
      <c r="AF884" s="8">
        <f>SUM(AA884:AE884)</f>
        <v>0</v>
      </c>
      <c r="AH884" s="6"/>
      <c r="AI884" s="7"/>
      <c r="AJ884" s="7"/>
      <c r="AK884" s="7"/>
      <c r="AL884" s="7"/>
      <c r="AM884" s="8">
        <f>SUM(AH884:AL884)</f>
        <v>0</v>
      </c>
      <c r="AO884" s="6"/>
      <c r="AP884" s="7"/>
      <c r="AQ884" s="7"/>
      <c r="AR884" s="7"/>
      <c r="AS884" s="7"/>
      <c r="AT884" s="8">
        <f>SUM(AO884:AS884)</f>
        <v>0</v>
      </c>
      <c r="AV884" s="6"/>
      <c r="AW884" s="7"/>
      <c r="AX884" s="7"/>
      <c r="AY884" s="7"/>
      <c r="AZ884" s="7"/>
      <c r="BA884" s="8">
        <f>SUM(AV884:AZ884)</f>
        <v>0</v>
      </c>
      <c r="BC884" s="6"/>
      <c r="BD884" s="7"/>
      <c r="BE884" s="7"/>
      <c r="BF884" s="7"/>
      <c r="BG884" s="7"/>
      <c r="BH884" s="8">
        <f>SUM(BC884:BG884)</f>
        <v>0</v>
      </c>
      <c r="BJ884" s="6"/>
      <c r="BK884" s="7"/>
      <c r="BL884" s="7"/>
      <c r="BM884" s="7"/>
      <c r="BN884" s="7"/>
      <c r="BO884" s="8">
        <f>SUM(BJ884:BN884)</f>
        <v>0</v>
      </c>
      <c r="BQ884" s="6"/>
      <c r="BR884" s="7"/>
      <c r="BS884" s="7"/>
      <c r="BT884" s="7"/>
      <c r="BU884" s="7"/>
      <c r="BV884" s="8">
        <f>SUM(BQ884:BU884)</f>
        <v>0</v>
      </c>
      <c r="BX884" s="6"/>
      <c r="BY884" s="7"/>
      <c r="BZ884" s="7"/>
      <c r="CA884" s="7"/>
      <c r="CB884" s="7"/>
      <c r="CC884" s="8">
        <f>SUM(BX884:CB884)</f>
        <v>0</v>
      </c>
      <c r="CE884" s="28">
        <f t="shared" si="4069"/>
        <v>0</v>
      </c>
      <c r="CF884" s="29">
        <f t="shared" si="4070"/>
        <v>0</v>
      </c>
      <c r="CG884" s="29">
        <f t="shared" si="4071"/>
        <v>0</v>
      </c>
      <c r="CH884" s="29">
        <f t="shared" si="4072"/>
        <v>0</v>
      </c>
      <c r="CI884" s="29">
        <f t="shared" si="4073"/>
        <v>0</v>
      </c>
      <c r="CJ884" s="8">
        <f>SUM(CE884:CI884)</f>
        <v>0</v>
      </c>
      <c r="CL884" s="6"/>
      <c r="CM884" s="7"/>
      <c r="CN884" s="7"/>
      <c r="CO884" s="7"/>
      <c r="CP884" s="7"/>
      <c r="CQ884" s="8">
        <f>SUM(CL884:CP884)</f>
        <v>0</v>
      </c>
      <c r="CS884" s="6"/>
      <c r="CT884" s="7"/>
      <c r="CU884" s="7"/>
      <c r="CV884" s="7"/>
      <c r="CW884" s="7"/>
      <c r="CX884" s="8">
        <f t="shared" ref="CX884:CX886" si="4078">SUM(CS884:CW884)</f>
        <v>0</v>
      </c>
      <c r="CZ884" s="6"/>
      <c r="DA884" s="7"/>
      <c r="DB884" s="7"/>
      <c r="DC884" s="7"/>
      <c r="DD884" s="7"/>
      <c r="DE884" s="8">
        <f t="shared" ref="DE884:DE886" si="4079">SUM(CZ884:DD884)</f>
        <v>0</v>
      </c>
    </row>
    <row r="885" spans="3:109">
      <c r="C885" s="567"/>
      <c r="E885" s="14" t="s">
        <v>61</v>
      </c>
      <c r="F885" s="23">
        <f t="shared" si="4074"/>
        <v>0</v>
      </c>
      <c r="G885" s="24">
        <f t="shared" si="4065"/>
        <v>0</v>
      </c>
      <c r="H885" s="24">
        <f t="shared" si="4066"/>
        <v>0</v>
      </c>
      <c r="I885" s="24">
        <f t="shared" si="4067"/>
        <v>0</v>
      </c>
      <c r="J885" s="24">
        <f t="shared" si="4068"/>
        <v>0</v>
      </c>
      <c r="K885" s="8">
        <f t="shared" si="4075"/>
        <v>0</v>
      </c>
      <c r="M885" s="6"/>
      <c r="N885" s="7"/>
      <c r="O885" s="7"/>
      <c r="P885" s="7"/>
      <c r="Q885" s="7"/>
      <c r="R885" s="8">
        <f t="shared" si="4076"/>
        <v>0</v>
      </c>
      <c r="T885" s="6"/>
      <c r="U885" s="7"/>
      <c r="V885" s="7"/>
      <c r="W885" s="7"/>
      <c r="X885" s="7"/>
      <c r="Y885" s="8">
        <f t="shared" si="4077"/>
        <v>0</v>
      </c>
      <c r="AA885" s="6"/>
      <c r="AB885" s="7"/>
      <c r="AC885" s="7"/>
      <c r="AD885" s="7"/>
      <c r="AE885" s="7"/>
      <c r="AF885" s="8">
        <f>SUM(AA885:AE885)</f>
        <v>0</v>
      </c>
      <c r="AH885" s="6"/>
      <c r="AI885" s="7"/>
      <c r="AJ885" s="7"/>
      <c r="AK885" s="7"/>
      <c r="AL885" s="7"/>
      <c r="AM885" s="8">
        <f>SUM(AH885:AL885)</f>
        <v>0</v>
      </c>
      <c r="AO885" s="6"/>
      <c r="AP885" s="7"/>
      <c r="AQ885" s="7"/>
      <c r="AR885" s="7"/>
      <c r="AS885" s="7"/>
      <c r="AT885" s="8">
        <f>SUM(AO885:AS885)</f>
        <v>0</v>
      </c>
      <c r="AV885" s="6"/>
      <c r="AW885" s="7"/>
      <c r="AX885" s="7"/>
      <c r="AY885" s="7"/>
      <c r="AZ885" s="7"/>
      <c r="BA885" s="8">
        <f>SUM(AV885:AZ885)</f>
        <v>0</v>
      </c>
      <c r="BC885" s="6"/>
      <c r="BD885" s="7"/>
      <c r="BE885" s="7"/>
      <c r="BF885" s="7"/>
      <c r="BG885" s="7"/>
      <c r="BH885" s="8">
        <f>SUM(BC885:BG885)</f>
        <v>0</v>
      </c>
      <c r="BJ885" s="6"/>
      <c r="BK885" s="7"/>
      <c r="BL885" s="7"/>
      <c r="BM885" s="7"/>
      <c r="BN885" s="7"/>
      <c r="BO885" s="8">
        <f>SUM(BJ885:BN885)</f>
        <v>0</v>
      </c>
      <c r="BQ885" s="6"/>
      <c r="BR885" s="7"/>
      <c r="BS885" s="7"/>
      <c r="BT885" s="7"/>
      <c r="BU885" s="7"/>
      <c r="BV885" s="8">
        <f>SUM(BQ885:BU885)</f>
        <v>0</v>
      </c>
      <c r="BX885" s="6"/>
      <c r="BY885" s="7"/>
      <c r="BZ885" s="7"/>
      <c r="CA885" s="7"/>
      <c r="CB885" s="7"/>
      <c r="CC885" s="8">
        <f>SUM(BX885:CB885)</f>
        <v>0</v>
      </c>
      <c r="CE885" s="28">
        <f t="shared" si="4069"/>
        <v>0</v>
      </c>
      <c r="CF885" s="29">
        <f t="shared" si="4070"/>
        <v>0</v>
      </c>
      <c r="CG885" s="29">
        <f t="shared" si="4071"/>
        <v>0</v>
      </c>
      <c r="CH885" s="29">
        <f t="shared" si="4072"/>
        <v>0</v>
      </c>
      <c r="CI885" s="29">
        <f t="shared" si="4073"/>
        <v>0</v>
      </c>
      <c r="CJ885" s="8">
        <f>SUM(CE885:CI885)</f>
        <v>0</v>
      </c>
      <c r="CL885" s="6"/>
      <c r="CM885" s="7"/>
      <c r="CN885" s="7"/>
      <c r="CO885" s="7"/>
      <c r="CP885" s="7"/>
      <c r="CQ885" s="8">
        <f>SUM(CL885:CP885)</f>
        <v>0</v>
      </c>
      <c r="CS885" s="6"/>
      <c r="CT885" s="7"/>
      <c r="CU885" s="7"/>
      <c r="CV885" s="7"/>
      <c r="CW885" s="7"/>
      <c r="CX885" s="8">
        <f t="shared" si="4078"/>
        <v>0</v>
      </c>
      <c r="CZ885" s="6"/>
      <c r="DA885" s="7"/>
      <c r="DB885" s="7"/>
      <c r="DC885" s="7"/>
      <c r="DD885" s="7"/>
      <c r="DE885" s="8">
        <f t="shared" si="4079"/>
        <v>0</v>
      </c>
    </row>
    <row r="886" spans="3:109" ht="14" thickBot="1">
      <c r="C886" s="567"/>
      <c r="E886" s="14" t="s">
        <v>62</v>
      </c>
      <c r="F886" s="23">
        <f t="shared" si="4074"/>
        <v>0</v>
      </c>
      <c r="G886" s="24">
        <f t="shared" si="4065"/>
        <v>0</v>
      </c>
      <c r="H886" s="24">
        <f t="shared" si="4066"/>
        <v>0</v>
      </c>
      <c r="I886" s="24">
        <f t="shared" si="4067"/>
        <v>0</v>
      </c>
      <c r="J886" s="24">
        <f t="shared" si="4068"/>
        <v>0</v>
      </c>
      <c r="K886" s="8">
        <f t="shared" si="4075"/>
        <v>0</v>
      </c>
      <c r="M886" s="6"/>
      <c r="N886" s="7"/>
      <c r="O886" s="7"/>
      <c r="P886" s="7"/>
      <c r="Q886" s="7"/>
      <c r="R886" s="8">
        <f t="shared" si="4076"/>
        <v>0</v>
      </c>
      <c r="T886" s="6"/>
      <c r="U886" s="7"/>
      <c r="V886" s="7"/>
      <c r="W886" s="7"/>
      <c r="X886" s="7"/>
      <c r="Y886" s="8">
        <f t="shared" si="4077"/>
        <v>0</v>
      </c>
      <c r="AA886" s="6"/>
      <c r="AB886" s="7"/>
      <c r="AC886" s="7"/>
      <c r="AD886" s="7"/>
      <c r="AE886" s="7"/>
      <c r="AF886" s="8">
        <f>SUM(AA886:AE886)</f>
        <v>0</v>
      </c>
      <c r="AH886" s="6"/>
      <c r="AI886" s="7"/>
      <c r="AJ886" s="7"/>
      <c r="AK886" s="7"/>
      <c r="AL886" s="7"/>
      <c r="AM886" s="8">
        <f>SUM(AH886:AL886)</f>
        <v>0</v>
      </c>
      <c r="AO886" s="6"/>
      <c r="AP886" s="7"/>
      <c r="AQ886" s="7"/>
      <c r="AR886" s="7"/>
      <c r="AS886" s="7"/>
      <c r="AT886" s="8">
        <f>SUM(AO886:AS886)</f>
        <v>0</v>
      </c>
      <c r="AV886" s="6"/>
      <c r="AW886" s="7"/>
      <c r="AX886" s="7"/>
      <c r="AY886" s="7"/>
      <c r="AZ886" s="7"/>
      <c r="BA886" s="8">
        <f>SUM(AV886:AZ886)</f>
        <v>0</v>
      </c>
      <c r="BC886" s="6"/>
      <c r="BD886" s="7"/>
      <c r="BE886" s="7"/>
      <c r="BF886" s="7"/>
      <c r="BG886" s="7"/>
      <c r="BH886" s="8">
        <f>SUM(BC886:BG886)</f>
        <v>0</v>
      </c>
      <c r="BJ886" s="6"/>
      <c r="BK886" s="7"/>
      <c r="BL886" s="7"/>
      <c r="BM886" s="7"/>
      <c r="BN886" s="7"/>
      <c r="BO886" s="8">
        <f>SUM(BJ886:BN886)</f>
        <v>0</v>
      </c>
      <c r="BQ886" s="6"/>
      <c r="BR886" s="7"/>
      <c r="BS886" s="7"/>
      <c r="BT886" s="7"/>
      <c r="BU886" s="7"/>
      <c r="BV886" s="8">
        <f>SUM(BQ886:BU886)</f>
        <v>0</v>
      </c>
      <c r="BX886" s="6"/>
      <c r="BY886" s="7"/>
      <c r="BZ886" s="7"/>
      <c r="CA886" s="7"/>
      <c r="CB886" s="7"/>
      <c r="CC886" s="8">
        <f>SUM(BX886:CB886)</f>
        <v>0</v>
      </c>
      <c r="CE886" s="493">
        <f t="shared" si="4069"/>
        <v>0</v>
      </c>
      <c r="CF886" s="494">
        <f t="shared" si="4070"/>
        <v>0</v>
      </c>
      <c r="CG886" s="494">
        <f t="shared" si="4071"/>
        <v>0</v>
      </c>
      <c r="CH886" s="494">
        <f t="shared" si="4072"/>
        <v>0</v>
      </c>
      <c r="CI886" s="494">
        <f t="shared" si="4073"/>
        <v>0</v>
      </c>
      <c r="CJ886" s="495">
        <f>SUM(CE886:CI886)</f>
        <v>0</v>
      </c>
      <c r="CL886" s="6"/>
      <c r="CM886" s="7"/>
      <c r="CN886" s="7"/>
      <c r="CO886" s="7"/>
      <c r="CP886" s="7"/>
      <c r="CQ886" s="8">
        <f>SUM(CL886:CP886)</f>
        <v>0</v>
      </c>
      <c r="CS886" s="6"/>
      <c r="CT886" s="7"/>
      <c r="CU886" s="7"/>
      <c r="CV886" s="7"/>
      <c r="CW886" s="7"/>
      <c r="CX886" s="8">
        <f t="shared" si="4078"/>
        <v>0</v>
      </c>
      <c r="CZ886" s="6"/>
      <c r="DA886" s="7"/>
      <c r="DB886" s="7"/>
      <c r="DC886" s="7"/>
      <c r="DD886" s="7"/>
      <c r="DE886" s="8">
        <f t="shared" si="4079"/>
        <v>0</v>
      </c>
    </row>
    <row r="887" spans="3:109" ht="14" thickBot="1">
      <c r="C887" s="554"/>
      <c r="E887" s="17"/>
      <c r="F887" s="10">
        <f>SUM(F883:F886)</f>
        <v>0</v>
      </c>
      <c r="G887" s="11">
        <f t="shared" ref="G887:J887" si="4080">SUM(G883:G886)</f>
        <v>0</v>
      </c>
      <c r="H887" s="11">
        <f t="shared" si="4080"/>
        <v>0</v>
      </c>
      <c r="I887" s="11">
        <f t="shared" si="4080"/>
        <v>0</v>
      </c>
      <c r="J887" s="11">
        <f t="shared" si="4080"/>
        <v>0</v>
      </c>
      <c r="K887" s="25">
        <f>SUM(K883:K886)</f>
        <v>0</v>
      </c>
      <c r="M887" s="10">
        <f>SUM(M883:M886)</f>
        <v>0</v>
      </c>
      <c r="N887" s="11">
        <f t="shared" ref="N887:Q887" si="4081">SUM(N883:N886)</f>
        <v>0</v>
      </c>
      <c r="O887" s="11">
        <f t="shared" si="4081"/>
        <v>0</v>
      </c>
      <c r="P887" s="11">
        <f t="shared" si="4081"/>
        <v>0</v>
      </c>
      <c r="Q887" s="11">
        <f t="shared" si="4081"/>
        <v>0</v>
      </c>
      <c r="R887" s="25">
        <f>SUM(R883:R886)</f>
        <v>0</v>
      </c>
      <c r="T887" s="10">
        <f>SUM(T883:T886)</f>
        <v>0</v>
      </c>
      <c r="U887" s="11">
        <f t="shared" ref="U887:X887" si="4082">SUM(U883:U886)</f>
        <v>0</v>
      </c>
      <c r="V887" s="11">
        <f t="shared" si="4082"/>
        <v>0</v>
      </c>
      <c r="W887" s="11">
        <f t="shared" si="4082"/>
        <v>0</v>
      </c>
      <c r="X887" s="11">
        <f t="shared" si="4082"/>
        <v>0</v>
      </c>
      <c r="Y887" s="25">
        <f>SUM(Y883:Y886)</f>
        <v>0</v>
      </c>
      <c r="AA887" s="10">
        <f>SUM(AA883:AA886)</f>
        <v>0</v>
      </c>
      <c r="AB887" s="11">
        <f t="shared" ref="AB887:AE887" si="4083">SUM(AB883:AB886)</f>
        <v>0</v>
      </c>
      <c r="AC887" s="11">
        <f t="shared" si="4083"/>
        <v>0</v>
      </c>
      <c r="AD887" s="11">
        <f t="shared" si="4083"/>
        <v>0</v>
      </c>
      <c r="AE887" s="11">
        <f t="shared" si="4083"/>
        <v>0</v>
      </c>
      <c r="AF887" s="25">
        <f>SUM(AF883:AF886)</f>
        <v>0</v>
      </c>
      <c r="AH887" s="10">
        <f>SUM(AH883:AH886)</f>
        <v>0</v>
      </c>
      <c r="AI887" s="11">
        <f t="shared" ref="AI887:AL887" si="4084">SUM(AI883:AI886)</f>
        <v>0</v>
      </c>
      <c r="AJ887" s="11">
        <f t="shared" si="4084"/>
        <v>0</v>
      </c>
      <c r="AK887" s="11">
        <f t="shared" si="4084"/>
        <v>0</v>
      </c>
      <c r="AL887" s="11">
        <f t="shared" si="4084"/>
        <v>0</v>
      </c>
      <c r="AM887" s="25">
        <f>SUM(AM883:AM886)</f>
        <v>0</v>
      </c>
      <c r="AO887" s="10">
        <f>SUM(AO883:AO886)</f>
        <v>0</v>
      </c>
      <c r="AP887" s="11">
        <f t="shared" ref="AP887:AS887" si="4085">SUM(AP883:AP886)</f>
        <v>0</v>
      </c>
      <c r="AQ887" s="11">
        <f t="shared" si="4085"/>
        <v>0</v>
      </c>
      <c r="AR887" s="11">
        <f t="shared" si="4085"/>
        <v>0</v>
      </c>
      <c r="AS887" s="11">
        <f t="shared" si="4085"/>
        <v>0</v>
      </c>
      <c r="AT887" s="25">
        <f>SUM(AT883:AT886)</f>
        <v>0</v>
      </c>
      <c r="AV887" s="10">
        <f>SUM(AV883:AV886)</f>
        <v>0</v>
      </c>
      <c r="AW887" s="11">
        <f t="shared" ref="AW887:AZ887" si="4086">SUM(AW883:AW886)</f>
        <v>0</v>
      </c>
      <c r="AX887" s="11">
        <f t="shared" si="4086"/>
        <v>0</v>
      </c>
      <c r="AY887" s="11">
        <f t="shared" si="4086"/>
        <v>0</v>
      </c>
      <c r="AZ887" s="11">
        <f t="shared" si="4086"/>
        <v>0</v>
      </c>
      <c r="BA887" s="25">
        <f>SUM(BA883:BA886)</f>
        <v>0</v>
      </c>
      <c r="BC887" s="10">
        <f>SUM(BC883:BC886)</f>
        <v>0</v>
      </c>
      <c r="BD887" s="11">
        <f t="shared" ref="BD887:BG887" si="4087">SUM(BD883:BD886)</f>
        <v>0</v>
      </c>
      <c r="BE887" s="11">
        <f t="shared" si="4087"/>
        <v>0</v>
      </c>
      <c r="BF887" s="11">
        <f t="shared" si="4087"/>
        <v>0</v>
      </c>
      <c r="BG887" s="11">
        <f t="shared" si="4087"/>
        <v>0</v>
      </c>
      <c r="BH887" s="25">
        <f>SUM(BH883:BH886)</f>
        <v>0</v>
      </c>
      <c r="BJ887" s="10">
        <f>SUM(BJ883:BJ886)</f>
        <v>0</v>
      </c>
      <c r="BK887" s="11">
        <f t="shared" ref="BK887:BN887" si="4088">SUM(BK883:BK886)</f>
        <v>0</v>
      </c>
      <c r="BL887" s="11">
        <f t="shared" si="4088"/>
        <v>0</v>
      </c>
      <c r="BM887" s="11">
        <f t="shared" si="4088"/>
        <v>0</v>
      </c>
      <c r="BN887" s="11">
        <f t="shared" si="4088"/>
        <v>0</v>
      </c>
      <c r="BO887" s="25">
        <f>SUM(BO883:BO886)</f>
        <v>0</v>
      </c>
      <c r="BQ887" s="10">
        <f>SUM(BQ883:BQ886)</f>
        <v>0</v>
      </c>
      <c r="BR887" s="11">
        <f t="shared" ref="BR887:BU887" si="4089">SUM(BR883:BR886)</f>
        <v>0</v>
      </c>
      <c r="BS887" s="11">
        <f t="shared" si="4089"/>
        <v>0</v>
      </c>
      <c r="BT887" s="11">
        <f t="shared" si="4089"/>
        <v>0</v>
      </c>
      <c r="BU887" s="11">
        <f t="shared" si="4089"/>
        <v>0</v>
      </c>
      <c r="BV887" s="25">
        <f>SUM(BV883:BV886)</f>
        <v>0</v>
      </c>
      <c r="BX887" s="10">
        <f>SUM(BX883:BX886)</f>
        <v>0</v>
      </c>
      <c r="BY887" s="11">
        <f t="shared" ref="BY887:CB887" si="4090">SUM(BY883:BY886)</f>
        <v>0</v>
      </c>
      <c r="BZ887" s="11">
        <f t="shared" si="4090"/>
        <v>0</v>
      </c>
      <c r="CA887" s="11">
        <f t="shared" si="4090"/>
        <v>0</v>
      </c>
      <c r="CB887" s="11">
        <f t="shared" si="4090"/>
        <v>0</v>
      </c>
      <c r="CC887" s="25">
        <f>SUM(CC883:CC886)</f>
        <v>0</v>
      </c>
      <c r="CE887" s="62">
        <f t="shared" ref="CE887:CJ887" si="4091">SUM(CE883:CE886)</f>
        <v>0</v>
      </c>
      <c r="CF887" s="63">
        <f t="shared" si="4091"/>
        <v>0</v>
      </c>
      <c r="CG887" s="63">
        <f t="shared" si="4091"/>
        <v>0</v>
      </c>
      <c r="CH887" s="63">
        <f t="shared" si="4091"/>
        <v>0</v>
      </c>
      <c r="CI887" s="63">
        <f t="shared" si="4091"/>
        <v>0</v>
      </c>
      <c r="CJ887" s="25">
        <f t="shared" si="4091"/>
        <v>0</v>
      </c>
      <c r="CL887" s="10">
        <f>SUM(CL883:CL886)</f>
        <v>0</v>
      </c>
      <c r="CM887" s="11">
        <f t="shared" ref="CM887:CP887" si="4092">SUM(CM883:CM886)</f>
        <v>0</v>
      </c>
      <c r="CN887" s="11">
        <f t="shared" si="4092"/>
        <v>0</v>
      </c>
      <c r="CO887" s="11">
        <f t="shared" si="4092"/>
        <v>0</v>
      </c>
      <c r="CP887" s="11">
        <f t="shared" si="4092"/>
        <v>0</v>
      </c>
      <c r="CQ887" s="25">
        <f>SUM(CQ883:CQ886)</f>
        <v>0</v>
      </c>
      <c r="CS887" s="10">
        <f>SUM(CS883:CS886)</f>
        <v>0</v>
      </c>
      <c r="CT887" s="11">
        <f t="shared" ref="CT887:CW887" si="4093">SUM(CT883:CT886)</f>
        <v>0</v>
      </c>
      <c r="CU887" s="11">
        <f t="shared" si="4093"/>
        <v>0</v>
      </c>
      <c r="CV887" s="11">
        <f t="shared" si="4093"/>
        <v>0</v>
      </c>
      <c r="CW887" s="11">
        <f t="shared" si="4093"/>
        <v>0</v>
      </c>
      <c r="CX887" s="25">
        <f>SUM(CX883:CX886)</f>
        <v>0</v>
      </c>
      <c r="CZ887" s="10">
        <f>SUM(CZ883:CZ886)</f>
        <v>0</v>
      </c>
      <c r="DA887" s="11">
        <f t="shared" ref="DA887:DD887" si="4094">SUM(DA883:DA886)</f>
        <v>0</v>
      </c>
      <c r="DB887" s="11">
        <f t="shared" si="4094"/>
        <v>0</v>
      </c>
      <c r="DC887" s="11">
        <f t="shared" si="4094"/>
        <v>0</v>
      </c>
      <c r="DD887" s="11">
        <f t="shared" si="4094"/>
        <v>0</v>
      </c>
      <c r="DE887" s="25">
        <f>SUM(DE883:DE886)</f>
        <v>0</v>
      </c>
    </row>
    <row r="888" spans="3:109" ht="10.4" customHeight="1" thickBot="1"/>
    <row r="889" spans="3:109">
      <c r="C889" s="553">
        <v>2027</v>
      </c>
      <c r="E889" s="13" t="s">
        <v>59</v>
      </c>
      <c r="F889" s="21">
        <f>CE883</f>
        <v>0</v>
      </c>
      <c r="G889" s="22">
        <f t="shared" ref="G889:G892" si="4095">CF883</f>
        <v>0</v>
      </c>
      <c r="H889" s="22">
        <f t="shared" ref="H889:H892" si="4096">CG883</f>
        <v>0</v>
      </c>
      <c r="I889" s="22">
        <f t="shared" ref="I889:I892" si="4097">CH883</f>
        <v>0</v>
      </c>
      <c r="J889" s="22">
        <f t="shared" ref="J889:J892" si="4098">CI883</f>
        <v>0</v>
      </c>
      <c r="K889" s="4">
        <f>SUM(F889:J889)</f>
        <v>0</v>
      </c>
      <c r="M889" s="2"/>
      <c r="N889" s="3"/>
      <c r="O889" s="3"/>
      <c r="P889" s="3"/>
      <c r="Q889" s="3"/>
      <c r="R889" s="4">
        <f>SUM(M889:Q889)</f>
        <v>0</v>
      </c>
      <c r="T889" s="2"/>
      <c r="U889" s="3"/>
      <c r="V889" s="3"/>
      <c r="W889" s="3"/>
      <c r="X889" s="3"/>
      <c r="Y889" s="4">
        <f>SUM(T889:X889)</f>
        <v>0</v>
      </c>
      <c r="AA889" s="2"/>
      <c r="AB889" s="3"/>
      <c r="AC889" s="3"/>
      <c r="AD889" s="3"/>
      <c r="AE889" s="3"/>
      <c r="AF889" s="4">
        <f>SUM(AA889:AE889)</f>
        <v>0</v>
      </c>
      <c r="AH889" s="2"/>
      <c r="AI889" s="3"/>
      <c r="AJ889" s="3"/>
      <c r="AK889" s="3"/>
      <c r="AL889" s="3"/>
      <c r="AM889" s="4">
        <f>SUM(AH889:AL889)</f>
        <v>0</v>
      </c>
      <c r="AO889" s="2"/>
      <c r="AP889" s="3"/>
      <c r="AQ889" s="3"/>
      <c r="AR889" s="3"/>
      <c r="AS889" s="3"/>
      <c r="AT889" s="4">
        <f>SUM(AO889:AS889)</f>
        <v>0</v>
      </c>
      <c r="AV889" s="2"/>
      <c r="AW889" s="3"/>
      <c r="AX889" s="3"/>
      <c r="AY889" s="3"/>
      <c r="AZ889" s="3"/>
      <c r="BA889" s="4">
        <f>SUM(AV889:AZ889)</f>
        <v>0</v>
      </c>
      <c r="BC889" s="2"/>
      <c r="BD889" s="3"/>
      <c r="BE889" s="3"/>
      <c r="BF889" s="3"/>
      <c r="BG889" s="3"/>
      <c r="BH889" s="4">
        <f>SUM(BC889:BG889)</f>
        <v>0</v>
      </c>
      <c r="BJ889" s="2"/>
      <c r="BK889" s="3"/>
      <c r="BL889" s="3"/>
      <c r="BM889" s="3"/>
      <c r="BN889" s="3"/>
      <c r="BO889" s="4">
        <f>SUM(BJ889:BN889)</f>
        <v>0</v>
      </c>
      <c r="BQ889" s="2"/>
      <c r="BR889" s="3"/>
      <c r="BS889" s="3"/>
      <c r="BT889" s="3"/>
      <c r="BU889" s="3"/>
      <c r="BV889" s="4">
        <f>SUM(BQ889:BU889)</f>
        <v>0</v>
      </c>
      <c r="BX889" s="2"/>
      <c r="BY889" s="3"/>
      <c r="BZ889" s="3"/>
      <c r="CA889" s="3"/>
      <c r="CB889" s="3"/>
      <c r="CC889" s="4">
        <f>SUM(BX889:CB889)</f>
        <v>0</v>
      </c>
      <c r="CE889" s="26">
        <f t="shared" ref="CE889:CE892" si="4099">F889+M889+T889+AA889+AH889+AO889+AV889+BC889+BJ889+BQ889+BX889</f>
        <v>0</v>
      </c>
      <c r="CF889" s="27">
        <f t="shared" ref="CF889:CF892" si="4100">G889+N889+U889+AB889+AI889+AP889+AW889+BD889+BK889+BR889+BY889</f>
        <v>0</v>
      </c>
      <c r="CG889" s="27">
        <f t="shared" ref="CG889:CG892" si="4101">H889+O889+V889+AC889+AJ889+AQ889+AX889+BE889+BL889+BS889+BZ889</f>
        <v>0</v>
      </c>
      <c r="CH889" s="27">
        <f t="shared" ref="CH889:CH892" si="4102">I889+P889+W889+AD889+AK889+AR889+AY889+BF889+BM889+BT889+CA889</f>
        <v>0</v>
      </c>
      <c r="CI889" s="27">
        <f t="shared" ref="CI889:CI892" si="4103">J889+Q889+X889+AE889+AL889+AS889+AZ889+BG889+BN889+BU889+CB889</f>
        <v>0</v>
      </c>
      <c r="CJ889" s="4">
        <f>SUM(CE889:CI889)</f>
        <v>0</v>
      </c>
      <c r="CL889" s="2"/>
      <c r="CM889" s="3"/>
      <c r="CN889" s="3"/>
      <c r="CO889" s="3"/>
      <c r="CP889" s="3"/>
      <c r="CQ889" s="4">
        <f>SUM(CL889:CP889)</f>
        <v>0</v>
      </c>
      <c r="CS889" s="2"/>
      <c r="CT889" s="3"/>
      <c r="CU889" s="3"/>
      <c r="CV889" s="3"/>
      <c r="CW889" s="3"/>
      <c r="CX889" s="4">
        <f>SUM(CS889:CW889)</f>
        <v>0</v>
      </c>
      <c r="CZ889" s="2"/>
      <c r="DA889" s="3"/>
      <c r="DB889" s="3"/>
      <c r="DC889" s="3"/>
      <c r="DD889" s="3"/>
      <c r="DE889" s="4">
        <f>SUM(CZ889:DD889)</f>
        <v>0</v>
      </c>
    </row>
    <row r="890" spans="3:109">
      <c r="C890" s="567"/>
      <c r="E890" s="14" t="s">
        <v>60</v>
      </c>
      <c r="F890" s="23">
        <f t="shared" ref="F890:F892" si="4104">CE884</f>
        <v>0</v>
      </c>
      <c r="G890" s="24">
        <f t="shared" si="4095"/>
        <v>0</v>
      </c>
      <c r="H890" s="24">
        <f t="shared" si="4096"/>
        <v>0</v>
      </c>
      <c r="I890" s="24">
        <f t="shared" si="4097"/>
        <v>0</v>
      </c>
      <c r="J890" s="24">
        <f t="shared" si="4098"/>
        <v>0</v>
      </c>
      <c r="K890" s="8">
        <f t="shared" ref="K890:K892" si="4105">SUM(F890:J890)</f>
        <v>0</v>
      </c>
      <c r="M890" s="6"/>
      <c r="N890" s="7"/>
      <c r="O890" s="7"/>
      <c r="P890" s="7"/>
      <c r="Q890" s="7"/>
      <c r="R890" s="8">
        <f t="shared" ref="R890:R892" si="4106">SUM(M890:Q890)</f>
        <v>0</v>
      </c>
      <c r="T890" s="6"/>
      <c r="U890" s="7"/>
      <c r="V890" s="7"/>
      <c r="W890" s="7"/>
      <c r="X890" s="7"/>
      <c r="Y890" s="8">
        <f t="shared" ref="Y890:Y892" si="4107">SUM(T890:X890)</f>
        <v>0</v>
      </c>
      <c r="AA890" s="6"/>
      <c r="AB890" s="7"/>
      <c r="AC890" s="7"/>
      <c r="AD890" s="7"/>
      <c r="AE890" s="7"/>
      <c r="AF890" s="8">
        <f>SUM(AA890:AE890)</f>
        <v>0</v>
      </c>
      <c r="AH890" s="6"/>
      <c r="AI890" s="7"/>
      <c r="AJ890" s="7"/>
      <c r="AK890" s="7"/>
      <c r="AL890" s="7"/>
      <c r="AM890" s="8">
        <f>SUM(AH890:AL890)</f>
        <v>0</v>
      </c>
      <c r="AO890" s="6"/>
      <c r="AP890" s="7"/>
      <c r="AQ890" s="7"/>
      <c r="AR890" s="7"/>
      <c r="AS890" s="7"/>
      <c r="AT890" s="8">
        <f>SUM(AO890:AS890)</f>
        <v>0</v>
      </c>
      <c r="AV890" s="6"/>
      <c r="AW890" s="7"/>
      <c r="AX890" s="7"/>
      <c r="AY890" s="7"/>
      <c r="AZ890" s="7"/>
      <c r="BA890" s="8">
        <f>SUM(AV890:AZ890)</f>
        <v>0</v>
      </c>
      <c r="BC890" s="6"/>
      <c r="BD890" s="7"/>
      <c r="BE890" s="7"/>
      <c r="BF890" s="7"/>
      <c r="BG890" s="7"/>
      <c r="BH890" s="8">
        <f>SUM(BC890:BG890)</f>
        <v>0</v>
      </c>
      <c r="BJ890" s="6"/>
      <c r="BK890" s="7"/>
      <c r="BL890" s="7"/>
      <c r="BM890" s="7"/>
      <c r="BN890" s="7"/>
      <c r="BO890" s="8">
        <f>SUM(BJ890:BN890)</f>
        <v>0</v>
      </c>
      <c r="BQ890" s="6"/>
      <c r="BR890" s="7"/>
      <c r="BS890" s="7"/>
      <c r="BT890" s="7"/>
      <c r="BU890" s="7"/>
      <c r="BV890" s="8">
        <f>SUM(BQ890:BU890)</f>
        <v>0</v>
      </c>
      <c r="BX890" s="6"/>
      <c r="BY890" s="7"/>
      <c r="BZ890" s="7"/>
      <c r="CA890" s="7"/>
      <c r="CB890" s="7"/>
      <c r="CC890" s="8">
        <f>SUM(BX890:CB890)</f>
        <v>0</v>
      </c>
      <c r="CE890" s="28">
        <f t="shared" si="4099"/>
        <v>0</v>
      </c>
      <c r="CF890" s="29">
        <f t="shared" si="4100"/>
        <v>0</v>
      </c>
      <c r="CG890" s="29">
        <f t="shared" si="4101"/>
        <v>0</v>
      </c>
      <c r="CH890" s="29">
        <f t="shared" si="4102"/>
        <v>0</v>
      </c>
      <c r="CI890" s="29">
        <f t="shared" si="4103"/>
        <v>0</v>
      </c>
      <c r="CJ890" s="8">
        <f>SUM(CE890:CI890)</f>
        <v>0</v>
      </c>
      <c r="CL890" s="6"/>
      <c r="CM890" s="7"/>
      <c r="CN890" s="7"/>
      <c r="CO890" s="7"/>
      <c r="CP890" s="7"/>
      <c r="CQ890" s="8">
        <f>SUM(CL890:CP890)</f>
        <v>0</v>
      </c>
      <c r="CS890" s="6"/>
      <c r="CT890" s="7"/>
      <c r="CU890" s="7"/>
      <c r="CV890" s="7"/>
      <c r="CW890" s="7"/>
      <c r="CX890" s="8">
        <f t="shared" ref="CX890:CX892" si="4108">SUM(CS890:CW890)</f>
        <v>0</v>
      </c>
      <c r="CZ890" s="6"/>
      <c r="DA890" s="7"/>
      <c r="DB890" s="7"/>
      <c r="DC890" s="7"/>
      <c r="DD890" s="7"/>
      <c r="DE890" s="8">
        <f t="shared" ref="DE890:DE892" si="4109">SUM(CZ890:DD890)</f>
        <v>0</v>
      </c>
    </row>
    <row r="891" spans="3:109">
      <c r="C891" s="567"/>
      <c r="E891" s="14" t="s">
        <v>61</v>
      </c>
      <c r="F891" s="23">
        <f t="shared" si="4104"/>
        <v>0</v>
      </c>
      <c r="G891" s="24">
        <f t="shared" si="4095"/>
        <v>0</v>
      </c>
      <c r="H891" s="24">
        <f t="shared" si="4096"/>
        <v>0</v>
      </c>
      <c r="I891" s="24">
        <f t="shared" si="4097"/>
        <v>0</v>
      </c>
      <c r="J891" s="24">
        <f t="shared" si="4098"/>
        <v>0</v>
      </c>
      <c r="K891" s="8">
        <f t="shared" si="4105"/>
        <v>0</v>
      </c>
      <c r="M891" s="6"/>
      <c r="N891" s="7"/>
      <c r="O891" s="7"/>
      <c r="P891" s="7"/>
      <c r="Q891" s="7"/>
      <c r="R891" s="8">
        <f t="shared" si="4106"/>
        <v>0</v>
      </c>
      <c r="T891" s="6"/>
      <c r="U891" s="7"/>
      <c r="V891" s="7"/>
      <c r="W891" s="7"/>
      <c r="X891" s="7"/>
      <c r="Y891" s="8">
        <f t="shared" si="4107"/>
        <v>0</v>
      </c>
      <c r="AA891" s="6"/>
      <c r="AB891" s="7"/>
      <c r="AC891" s="7"/>
      <c r="AD891" s="7"/>
      <c r="AE891" s="7"/>
      <c r="AF891" s="8">
        <f>SUM(AA891:AE891)</f>
        <v>0</v>
      </c>
      <c r="AH891" s="6"/>
      <c r="AI891" s="7"/>
      <c r="AJ891" s="7"/>
      <c r="AK891" s="7"/>
      <c r="AL891" s="7"/>
      <c r="AM891" s="8">
        <f>SUM(AH891:AL891)</f>
        <v>0</v>
      </c>
      <c r="AO891" s="6"/>
      <c r="AP891" s="7"/>
      <c r="AQ891" s="7"/>
      <c r="AR891" s="7"/>
      <c r="AS891" s="7"/>
      <c r="AT891" s="8">
        <f>SUM(AO891:AS891)</f>
        <v>0</v>
      </c>
      <c r="AV891" s="6"/>
      <c r="AW891" s="7"/>
      <c r="AX891" s="7"/>
      <c r="AY891" s="7"/>
      <c r="AZ891" s="7"/>
      <c r="BA891" s="8">
        <f>SUM(AV891:AZ891)</f>
        <v>0</v>
      </c>
      <c r="BC891" s="6"/>
      <c r="BD891" s="7"/>
      <c r="BE891" s="7"/>
      <c r="BF891" s="7"/>
      <c r="BG891" s="7"/>
      <c r="BH891" s="8">
        <f>SUM(BC891:BG891)</f>
        <v>0</v>
      </c>
      <c r="BJ891" s="6"/>
      <c r="BK891" s="7"/>
      <c r="BL891" s="7"/>
      <c r="BM891" s="7"/>
      <c r="BN891" s="7"/>
      <c r="BO891" s="8">
        <f>SUM(BJ891:BN891)</f>
        <v>0</v>
      </c>
      <c r="BQ891" s="6"/>
      <c r="BR891" s="7"/>
      <c r="BS891" s="7"/>
      <c r="BT891" s="7"/>
      <c r="BU891" s="7"/>
      <c r="BV891" s="8">
        <f>SUM(BQ891:BU891)</f>
        <v>0</v>
      </c>
      <c r="BX891" s="6"/>
      <c r="BY891" s="7"/>
      <c r="BZ891" s="7"/>
      <c r="CA891" s="7"/>
      <c r="CB891" s="7"/>
      <c r="CC891" s="8">
        <f>SUM(BX891:CB891)</f>
        <v>0</v>
      </c>
      <c r="CE891" s="28">
        <f t="shared" si="4099"/>
        <v>0</v>
      </c>
      <c r="CF891" s="29">
        <f t="shared" si="4100"/>
        <v>0</v>
      </c>
      <c r="CG891" s="29">
        <f t="shared" si="4101"/>
        <v>0</v>
      </c>
      <c r="CH891" s="29">
        <f t="shared" si="4102"/>
        <v>0</v>
      </c>
      <c r="CI891" s="29">
        <f t="shared" si="4103"/>
        <v>0</v>
      </c>
      <c r="CJ891" s="8">
        <f>SUM(CE891:CI891)</f>
        <v>0</v>
      </c>
      <c r="CL891" s="6"/>
      <c r="CM891" s="7"/>
      <c r="CN891" s="7"/>
      <c r="CO891" s="7"/>
      <c r="CP891" s="7"/>
      <c r="CQ891" s="8">
        <f>SUM(CL891:CP891)</f>
        <v>0</v>
      </c>
      <c r="CS891" s="6"/>
      <c r="CT891" s="7"/>
      <c r="CU891" s="7"/>
      <c r="CV891" s="7"/>
      <c r="CW891" s="7"/>
      <c r="CX891" s="8">
        <f t="shared" si="4108"/>
        <v>0</v>
      </c>
      <c r="CZ891" s="6"/>
      <c r="DA891" s="7"/>
      <c r="DB891" s="7"/>
      <c r="DC891" s="7"/>
      <c r="DD891" s="7"/>
      <c r="DE891" s="8">
        <f t="shared" si="4109"/>
        <v>0</v>
      </c>
    </row>
    <row r="892" spans="3:109" ht="14" thickBot="1">
      <c r="C892" s="567"/>
      <c r="E892" s="14" t="s">
        <v>62</v>
      </c>
      <c r="F892" s="23">
        <f t="shared" si="4104"/>
        <v>0</v>
      </c>
      <c r="G892" s="24">
        <f t="shared" si="4095"/>
        <v>0</v>
      </c>
      <c r="H892" s="24">
        <f t="shared" si="4096"/>
        <v>0</v>
      </c>
      <c r="I892" s="24">
        <f t="shared" si="4097"/>
        <v>0</v>
      </c>
      <c r="J892" s="24">
        <f t="shared" si="4098"/>
        <v>0</v>
      </c>
      <c r="K892" s="8">
        <f t="shared" si="4105"/>
        <v>0</v>
      </c>
      <c r="M892" s="6"/>
      <c r="N892" s="7"/>
      <c r="O892" s="7"/>
      <c r="P892" s="7"/>
      <c r="Q892" s="7"/>
      <c r="R892" s="8">
        <f t="shared" si="4106"/>
        <v>0</v>
      </c>
      <c r="T892" s="6"/>
      <c r="U892" s="7"/>
      <c r="V892" s="7"/>
      <c r="W892" s="7"/>
      <c r="X892" s="7"/>
      <c r="Y892" s="8">
        <f t="shared" si="4107"/>
        <v>0</v>
      </c>
      <c r="AA892" s="6"/>
      <c r="AB892" s="7"/>
      <c r="AC892" s="7"/>
      <c r="AD892" s="7"/>
      <c r="AE892" s="7"/>
      <c r="AF892" s="8">
        <f>SUM(AA892:AE892)</f>
        <v>0</v>
      </c>
      <c r="AH892" s="6"/>
      <c r="AI892" s="7"/>
      <c r="AJ892" s="7"/>
      <c r="AK892" s="7"/>
      <c r="AL892" s="7"/>
      <c r="AM892" s="8">
        <f>SUM(AH892:AL892)</f>
        <v>0</v>
      </c>
      <c r="AO892" s="6"/>
      <c r="AP892" s="7"/>
      <c r="AQ892" s="7"/>
      <c r="AR892" s="7"/>
      <c r="AS892" s="7"/>
      <c r="AT892" s="8">
        <f>SUM(AO892:AS892)</f>
        <v>0</v>
      </c>
      <c r="AV892" s="6"/>
      <c r="AW892" s="7"/>
      <c r="AX892" s="7"/>
      <c r="AY892" s="7"/>
      <c r="AZ892" s="7"/>
      <c r="BA892" s="8">
        <f>SUM(AV892:AZ892)</f>
        <v>0</v>
      </c>
      <c r="BC892" s="6"/>
      <c r="BD892" s="7"/>
      <c r="BE892" s="7"/>
      <c r="BF892" s="7"/>
      <c r="BG892" s="7"/>
      <c r="BH892" s="8">
        <f>SUM(BC892:BG892)</f>
        <v>0</v>
      </c>
      <c r="BJ892" s="6"/>
      <c r="BK892" s="7"/>
      <c r="BL892" s="7"/>
      <c r="BM892" s="7"/>
      <c r="BN892" s="7"/>
      <c r="BO892" s="8">
        <f>SUM(BJ892:BN892)</f>
        <v>0</v>
      </c>
      <c r="BQ892" s="6"/>
      <c r="BR892" s="7"/>
      <c r="BS892" s="7"/>
      <c r="BT892" s="7"/>
      <c r="BU892" s="7"/>
      <c r="BV892" s="8">
        <f>SUM(BQ892:BU892)</f>
        <v>0</v>
      </c>
      <c r="BX892" s="6"/>
      <c r="BY892" s="7"/>
      <c r="BZ892" s="7"/>
      <c r="CA892" s="7"/>
      <c r="CB892" s="7"/>
      <c r="CC892" s="8">
        <f>SUM(BX892:CB892)</f>
        <v>0</v>
      </c>
      <c r="CE892" s="493">
        <f t="shared" si="4099"/>
        <v>0</v>
      </c>
      <c r="CF892" s="494">
        <f t="shared" si="4100"/>
        <v>0</v>
      </c>
      <c r="CG892" s="494">
        <f t="shared" si="4101"/>
        <v>0</v>
      </c>
      <c r="CH892" s="494">
        <f t="shared" si="4102"/>
        <v>0</v>
      </c>
      <c r="CI892" s="494">
        <f t="shared" si="4103"/>
        <v>0</v>
      </c>
      <c r="CJ892" s="495">
        <f>SUM(CE892:CI892)</f>
        <v>0</v>
      </c>
      <c r="CL892" s="6"/>
      <c r="CM892" s="7"/>
      <c r="CN892" s="7"/>
      <c r="CO892" s="7"/>
      <c r="CP892" s="7"/>
      <c r="CQ892" s="8">
        <f>SUM(CL892:CP892)</f>
        <v>0</v>
      </c>
      <c r="CS892" s="6"/>
      <c r="CT892" s="7"/>
      <c r="CU892" s="7"/>
      <c r="CV892" s="7"/>
      <c r="CW892" s="7"/>
      <c r="CX892" s="8">
        <f t="shared" si="4108"/>
        <v>0</v>
      </c>
      <c r="CZ892" s="6"/>
      <c r="DA892" s="7"/>
      <c r="DB892" s="7"/>
      <c r="DC892" s="7"/>
      <c r="DD892" s="7"/>
      <c r="DE892" s="8">
        <f t="shared" si="4109"/>
        <v>0</v>
      </c>
    </row>
    <row r="893" spans="3:109" ht="14" thickBot="1">
      <c r="C893" s="554"/>
      <c r="E893" s="17"/>
      <c r="F893" s="10">
        <f>SUM(F889:F892)</f>
        <v>0</v>
      </c>
      <c r="G893" s="11">
        <f t="shared" ref="G893:J893" si="4110">SUM(G889:G892)</f>
        <v>0</v>
      </c>
      <c r="H893" s="11">
        <f t="shared" si="4110"/>
        <v>0</v>
      </c>
      <c r="I893" s="11">
        <f t="shared" si="4110"/>
        <v>0</v>
      </c>
      <c r="J893" s="11">
        <f t="shared" si="4110"/>
        <v>0</v>
      </c>
      <c r="K893" s="25">
        <f>SUM(K889:K892)</f>
        <v>0</v>
      </c>
      <c r="M893" s="10">
        <f>SUM(M889:M892)</f>
        <v>0</v>
      </c>
      <c r="N893" s="11">
        <f t="shared" ref="N893:Q893" si="4111">SUM(N889:N892)</f>
        <v>0</v>
      </c>
      <c r="O893" s="11">
        <f t="shared" si="4111"/>
        <v>0</v>
      </c>
      <c r="P893" s="11">
        <f t="shared" si="4111"/>
        <v>0</v>
      </c>
      <c r="Q893" s="11">
        <f t="shared" si="4111"/>
        <v>0</v>
      </c>
      <c r="R893" s="25">
        <f>SUM(R889:R892)</f>
        <v>0</v>
      </c>
      <c r="T893" s="10">
        <f>SUM(T889:T892)</f>
        <v>0</v>
      </c>
      <c r="U893" s="11">
        <f t="shared" ref="U893:X893" si="4112">SUM(U889:U892)</f>
        <v>0</v>
      </c>
      <c r="V893" s="11">
        <f t="shared" si="4112"/>
        <v>0</v>
      </c>
      <c r="W893" s="11">
        <f t="shared" si="4112"/>
        <v>0</v>
      </c>
      <c r="X893" s="11">
        <f t="shared" si="4112"/>
        <v>0</v>
      </c>
      <c r="Y893" s="25">
        <f>SUM(Y889:Y892)</f>
        <v>0</v>
      </c>
      <c r="AA893" s="10">
        <f>SUM(AA889:AA892)</f>
        <v>0</v>
      </c>
      <c r="AB893" s="11">
        <f t="shared" ref="AB893:AE893" si="4113">SUM(AB889:AB892)</f>
        <v>0</v>
      </c>
      <c r="AC893" s="11">
        <f t="shared" si="4113"/>
        <v>0</v>
      </c>
      <c r="AD893" s="11">
        <f t="shared" si="4113"/>
        <v>0</v>
      </c>
      <c r="AE893" s="11">
        <f t="shared" si="4113"/>
        <v>0</v>
      </c>
      <c r="AF893" s="25">
        <f>SUM(AF889:AF892)</f>
        <v>0</v>
      </c>
      <c r="AH893" s="10">
        <f>SUM(AH889:AH892)</f>
        <v>0</v>
      </c>
      <c r="AI893" s="11">
        <f t="shared" ref="AI893:AL893" si="4114">SUM(AI889:AI892)</f>
        <v>0</v>
      </c>
      <c r="AJ893" s="11">
        <f t="shared" si="4114"/>
        <v>0</v>
      </c>
      <c r="AK893" s="11">
        <f t="shared" si="4114"/>
        <v>0</v>
      </c>
      <c r="AL893" s="11">
        <f t="shared" si="4114"/>
        <v>0</v>
      </c>
      <c r="AM893" s="25">
        <f>SUM(AM889:AM892)</f>
        <v>0</v>
      </c>
      <c r="AO893" s="10">
        <f>SUM(AO889:AO892)</f>
        <v>0</v>
      </c>
      <c r="AP893" s="11">
        <f t="shared" ref="AP893:AS893" si="4115">SUM(AP889:AP892)</f>
        <v>0</v>
      </c>
      <c r="AQ893" s="11">
        <f t="shared" si="4115"/>
        <v>0</v>
      </c>
      <c r="AR893" s="11">
        <f t="shared" si="4115"/>
        <v>0</v>
      </c>
      <c r="AS893" s="11">
        <f t="shared" si="4115"/>
        <v>0</v>
      </c>
      <c r="AT893" s="25">
        <f>SUM(AT889:AT892)</f>
        <v>0</v>
      </c>
      <c r="AV893" s="10">
        <f>SUM(AV889:AV892)</f>
        <v>0</v>
      </c>
      <c r="AW893" s="11">
        <f t="shared" ref="AW893:AZ893" si="4116">SUM(AW889:AW892)</f>
        <v>0</v>
      </c>
      <c r="AX893" s="11">
        <f t="shared" si="4116"/>
        <v>0</v>
      </c>
      <c r="AY893" s="11">
        <f t="shared" si="4116"/>
        <v>0</v>
      </c>
      <c r="AZ893" s="11">
        <f t="shared" si="4116"/>
        <v>0</v>
      </c>
      <c r="BA893" s="25">
        <f>SUM(BA889:BA892)</f>
        <v>0</v>
      </c>
      <c r="BC893" s="10">
        <f>SUM(BC889:BC892)</f>
        <v>0</v>
      </c>
      <c r="BD893" s="11">
        <f t="shared" ref="BD893:BG893" si="4117">SUM(BD889:BD892)</f>
        <v>0</v>
      </c>
      <c r="BE893" s="11">
        <f t="shared" si="4117"/>
        <v>0</v>
      </c>
      <c r="BF893" s="11">
        <f t="shared" si="4117"/>
        <v>0</v>
      </c>
      <c r="BG893" s="11">
        <f t="shared" si="4117"/>
        <v>0</v>
      </c>
      <c r="BH893" s="25">
        <f>SUM(BH889:BH892)</f>
        <v>0</v>
      </c>
      <c r="BJ893" s="10">
        <f>SUM(BJ889:BJ892)</f>
        <v>0</v>
      </c>
      <c r="BK893" s="11">
        <f t="shared" ref="BK893:BN893" si="4118">SUM(BK889:BK892)</f>
        <v>0</v>
      </c>
      <c r="BL893" s="11">
        <f t="shared" si="4118"/>
        <v>0</v>
      </c>
      <c r="BM893" s="11">
        <f t="shared" si="4118"/>
        <v>0</v>
      </c>
      <c r="BN893" s="11">
        <f t="shared" si="4118"/>
        <v>0</v>
      </c>
      <c r="BO893" s="25">
        <f>SUM(BO889:BO892)</f>
        <v>0</v>
      </c>
      <c r="BQ893" s="10">
        <f>SUM(BQ889:BQ892)</f>
        <v>0</v>
      </c>
      <c r="BR893" s="11">
        <f t="shared" ref="BR893:BU893" si="4119">SUM(BR889:BR892)</f>
        <v>0</v>
      </c>
      <c r="BS893" s="11">
        <f t="shared" si="4119"/>
        <v>0</v>
      </c>
      <c r="BT893" s="11">
        <f t="shared" si="4119"/>
        <v>0</v>
      </c>
      <c r="BU893" s="11">
        <f t="shared" si="4119"/>
        <v>0</v>
      </c>
      <c r="BV893" s="25">
        <f>SUM(BV889:BV892)</f>
        <v>0</v>
      </c>
      <c r="BX893" s="10">
        <f>SUM(BX889:BX892)</f>
        <v>0</v>
      </c>
      <c r="BY893" s="11">
        <f t="shared" ref="BY893:CB893" si="4120">SUM(BY889:BY892)</f>
        <v>0</v>
      </c>
      <c r="BZ893" s="11">
        <f t="shared" si="4120"/>
        <v>0</v>
      </c>
      <c r="CA893" s="11">
        <f t="shared" si="4120"/>
        <v>0</v>
      </c>
      <c r="CB893" s="11">
        <f t="shared" si="4120"/>
        <v>0</v>
      </c>
      <c r="CC893" s="25">
        <f>SUM(CC889:CC892)</f>
        <v>0</v>
      </c>
      <c r="CE893" s="62">
        <f t="shared" ref="CE893:CJ893" si="4121">SUM(CE889:CE892)</f>
        <v>0</v>
      </c>
      <c r="CF893" s="63">
        <f t="shared" si="4121"/>
        <v>0</v>
      </c>
      <c r="CG893" s="63">
        <f t="shared" si="4121"/>
        <v>0</v>
      </c>
      <c r="CH893" s="63">
        <f t="shared" si="4121"/>
        <v>0</v>
      </c>
      <c r="CI893" s="63">
        <f t="shared" si="4121"/>
        <v>0</v>
      </c>
      <c r="CJ893" s="25">
        <f t="shared" si="4121"/>
        <v>0</v>
      </c>
      <c r="CL893" s="10">
        <f>SUM(CL889:CL892)</f>
        <v>0</v>
      </c>
      <c r="CM893" s="11">
        <f t="shared" ref="CM893:CP893" si="4122">SUM(CM889:CM892)</f>
        <v>0</v>
      </c>
      <c r="CN893" s="11">
        <f t="shared" si="4122"/>
        <v>0</v>
      </c>
      <c r="CO893" s="11">
        <f t="shared" si="4122"/>
        <v>0</v>
      </c>
      <c r="CP893" s="11">
        <f t="shared" si="4122"/>
        <v>0</v>
      </c>
      <c r="CQ893" s="25">
        <f>SUM(CQ889:CQ892)</f>
        <v>0</v>
      </c>
      <c r="CS893" s="10">
        <f>SUM(CS889:CS892)</f>
        <v>0</v>
      </c>
      <c r="CT893" s="11">
        <f t="shared" ref="CT893:CW893" si="4123">SUM(CT889:CT892)</f>
        <v>0</v>
      </c>
      <c r="CU893" s="11">
        <f t="shared" si="4123"/>
        <v>0</v>
      </c>
      <c r="CV893" s="11">
        <f t="shared" si="4123"/>
        <v>0</v>
      </c>
      <c r="CW893" s="11">
        <f t="shared" si="4123"/>
        <v>0</v>
      </c>
      <c r="CX893" s="25">
        <f>SUM(CX889:CX892)</f>
        <v>0</v>
      </c>
      <c r="CZ893" s="10">
        <f>SUM(CZ889:CZ892)</f>
        <v>0</v>
      </c>
      <c r="DA893" s="11">
        <f t="shared" ref="DA893:DD893" si="4124">SUM(DA889:DA892)</f>
        <v>0</v>
      </c>
      <c r="DB893" s="11">
        <f t="shared" si="4124"/>
        <v>0</v>
      </c>
      <c r="DC893" s="11">
        <f t="shared" si="4124"/>
        <v>0</v>
      </c>
      <c r="DD893" s="11">
        <f t="shared" si="4124"/>
        <v>0</v>
      </c>
      <c r="DE893" s="25">
        <f>SUM(DE889:DE892)</f>
        <v>0</v>
      </c>
    </row>
    <row r="894" spans="3:109" ht="10.4" customHeight="1" thickBot="1"/>
    <row r="895" spans="3:109">
      <c r="C895" s="553">
        <v>2028</v>
      </c>
      <c r="E895" s="13" t="s">
        <v>59</v>
      </c>
      <c r="F895" s="21">
        <f>CE889</f>
        <v>0</v>
      </c>
      <c r="G895" s="22">
        <f t="shared" ref="G895:G898" si="4125">CF889</f>
        <v>0</v>
      </c>
      <c r="H895" s="22">
        <f t="shared" ref="H895:H898" si="4126">CG889</f>
        <v>0</v>
      </c>
      <c r="I895" s="22">
        <f t="shared" ref="I895:I898" si="4127">CH889</f>
        <v>0</v>
      </c>
      <c r="J895" s="22">
        <f t="shared" ref="J895:J898" si="4128">CI889</f>
        <v>0</v>
      </c>
      <c r="K895" s="4">
        <f>SUM(F895:J895)</f>
        <v>0</v>
      </c>
      <c r="M895" s="2"/>
      <c r="N895" s="3"/>
      <c r="O895" s="3"/>
      <c r="P895" s="3"/>
      <c r="Q895" s="3"/>
      <c r="R895" s="4">
        <f>SUM(M895:Q895)</f>
        <v>0</v>
      </c>
      <c r="T895" s="2"/>
      <c r="U895" s="3"/>
      <c r="V895" s="3"/>
      <c r="W895" s="3"/>
      <c r="X895" s="3"/>
      <c r="Y895" s="4">
        <f>SUM(T895:X895)</f>
        <v>0</v>
      </c>
      <c r="AA895" s="2"/>
      <c r="AB895" s="3"/>
      <c r="AC895" s="3"/>
      <c r="AD895" s="3"/>
      <c r="AE895" s="3"/>
      <c r="AF895" s="4">
        <f>SUM(AA895:AE895)</f>
        <v>0</v>
      </c>
      <c r="AH895" s="2"/>
      <c r="AI895" s="3"/>
      <c r="AJ895" s="3"/>
      <c r="AK895" s="3"/>
      <c r="AL895" s="3"/>
      <c r="AM895" s="4">
        <f>SUM(AH895:AL895)</f>
        <v>0</v>
      </c>
      <c r="AO895" s="2"/>
      <c r="AP895" s="3"/>
      <c r="AQ895" s="3"/>
      <c r="AR895" s="3"/>
      <c r="AS895" s="3"/>
      <c r="AT895" s="4">
        <f>SUM(AO895:AS895)</f>
        <v>0</v>
      </c>
      <c r="AV895" s="2"/>
      <c r="AW895" s="3"/>
      <c r="AX895" s="3"/>
      <c r="AY895" s="3"/>
      <c r="AZ895" s="3"/>
      <c r="BA895" s="4">
        <f>SUM(AV895:AZ895)</f>
        <v>0</v>
      </c>
      <c r="BC895" s="2"/>
      <c r="BD895" s="3"/>
      <c r="BE895" s="3"/>
      <c r="BF895" s="3"/>
      <c r="BG895" s="3"/>
      <c r="BH895" s="4">
        <f>SUM(BC895:BG895)</f>
        <v>0</v>
      </c>
      <c r="BJ895" s="2"/>
      <c r="BK895" s="3"/>
      <c r="BL895" s="3"/>
      <c r="BM895" s="3"/>
      <c r="BN895" s="3"/>
      <c r="BO895" s="4">
        <f>SUM(BJ895:BN895)</f>
        <v>0</v>
      </c>
      <c r="BQ895" s="2"/>
      <c r="BR895" s="3"/>
      <c r="BS895" s="3"/>
      <c r="BT895" s="3"/>
      <c r="BU895" s="3"/>
      <c r="BV895" s="4">
        <f>SUM(BQ895:BU895)</f>
        <v>0</v>
      </c>
      <c r="BX895" s="2"/>
      <c r="BY895" s="3"/>
      <c r="BZ895" s="3"/>
      <c r="CA895" s="3"/>
      <c r="CB895" s="3"/>
      <c r="CC895" s="4">
        <f>SUM(BX895:CB895)</f>
        <v>0</v>
      </c>
      <c r="CE895" s="26">
        <f t="shared" ref="CE895:CE898" si="4129">F895+M895+T895+AA895+AH895+AO895+AV895+BC895+BJ895+BQ895+BX895</f>
        <v>0</v>
      </c>
      <c r="CF895" s="27">
        <f t="shared" ref="CF895:CF898" si="4130">G895+N895+U895+AB895+AI895+AP895+AW895+BD895+BK895+BR895+BY895</f>
        <v>0</v>
      </c>
      <c r="CG895" s="27">
        <f t="shared" ref="CG895:CG898" si="4131">H895+O895+V895+AC895+AJ895+AQ895+AX895+BE895+BL895+BS895+BZ895</f>
        <v>0</v>
      </c>
      <c r="CH895" s="27">
        <f t="shared" ref="CH895:CH898" si="4132">I895+P895+W895+AD895+AK895+AR895+AY895+BF895+BM895+BT895+CA895</f>
        <v>0</v>
      </c>
      <c r="CI895" s="27">
        <f t="shared" ref="CI895:CI898" si="4133">J895+Q895+X895+AE895+AL895+AS895+AZ895+BG895+BN895+BU895+CB895</f>
        <v>0</v>
      </c>
      <c r="CJ895" s="4">
        <f>SUM(CE895:CI895)</f>
        <v>0</v>
      </c>
      <c r="CL895" s="2"/>
      <c r="CM895" s="3"/>
      <c r="CN895" s="3"/>
      <c r="CO895" s="3"/>
      <c r="CP895" s="3"/>
      <c r="CQ895" s="4">
        <f>SUM(CL895:CP895)</f>
        <v>0</v>
      </c>
      <c r="CS895" s="2"/>
      <c r="CT895" s="3"/>
      <c r="CU895" s="3"/>
      <c r="CV895" s="3"/>
      <c r="CW895" s="3"/>
      <c r="CX895" s="4">
        <f>SUM(CS895:CW895)</f>
        <v>0</v>
      </c>
      <c r="CZ895" s="2"/>
      <c r="DA895" s="3"/>
      <c r="DB895" s="3"/>
      <c r="DC895" s="3"/>
      <c r="DD895" s="3"/>
      <c r="DE895" s="4">
        <f>SUM(CZ895:DD895)</f>
        <v>0</v>
      </c>
    </row>
    <row r="896" spans="3:109">
      <c r="C896" s="567"/>
      <c r="E896" s="14" t="s">
        <v>60</v>
      </c>
      <c r="F896" s="23">
        <f t="shared" ref="F896:F898" si="4134">CE890</f>
        <v>0</v>
      </c>
      <c r="G896" s="24">
        <f t="shared" si="4125"/>
        <v>0</v>
      </c>
      <c r="H896" s="24">
        <f t="shared" si="4126"/>
        <v>0</v>
      </c>
      <c r="I896" s="24">
        <f t="shared" si="4127"/>
        <v>0</v>
      </c>
      <c r="J896" s="24">
        <f t="shared" si="4128"/>
        <v>0</v>
      </c>
      <c r="K896" s="8">
        <f t="shared" ref="K896:K898" si="4135">SUM(F896:J896)</f>
        <v>0</v>
      </c>
      <c r="M896" s="6"/>
      <c r="N896" s="7"/>
      <c r="O896" s="7"/>
      <c r="P896" s="7"/>
      <c r="Q896" s="7"/>
      <c r="R896" s="8">
        <f t="shared" ref="R896:R898" si="4136">SUM(M896:Q896)</f>
        <v>0</v>
      </c>
      <c r="T896" s="6"/>
      <c r="U896" s="7"/>
      <c r="V896" s="7"/>
      <c r="W896" s="7"/>
      <c r="X896" s="7"/>
      <c r="Y896" s="8">
        <f t="shared" ref="Y896:Y898" si="4137">SUM(T896:X896)</f>
        <v>0</v>
      </c>
      <c r="AA896" s="6"/>
      <c r="AB896" s="7"/>
      <c r="AC896" s="7"/>
      <c r="AD896" s="7"/>
      <c r="AE896" s="7"/>
      <c r="AF896" s="8">
        <f>SUM(AA896:AE896)</f>
        <v>0</v>
      </c>
      <c r="AH896" s="6"/>
      <c r="AI896" s="7"/>
      <c r="AJ896" s="7"/>
      <c r="AK896" s="7"/>
      <c r="AL896" s="7"/>
      <c r="AM896" s="8">
        <f>SUM(AH896:AL896)</f>
        <v>0</v>
      </c>
      <c r="AO896" s="6"/>
      <c r="AP896" s="7"/>
      <c r="AQ896" s="7"/>
      <c r="AR896" s="7"/>
      <c r="AS896" s="7"/>
      <c r="AT896" s="8">
        <f>SUM(AO896:AS896)</f>
        <v>0</v>
      </c>
      <c r="AV896" s="6"/>
      <c r="AW896" s="7"/>
      <c r="AX896" s="7"/>
      <c r="AY896" s="7"/>
      <c r="AZ896" s="7"/>
      <c r="BA896" s="8">
        <f>SUM(AV896:AZ896)</f>
        <v>0</v>
      </c>
      <c r="BC896" s="6"/>
      <c r="BD896" s="7"/>
      <c r="BE896" s="7"/>
      <c r="BF896" s="7"/>
      <c r="BG896" s="7"/>
      <c r="BH896" s="8">
        <f>SUM(BC896:BG896)</f>
        <v>0</v>
      </c>
      <c r="BJ896" s="6"/>
      <c r="BK896" s="7"/>
      <c r="BL896" s="7"/>
      <c r="BM896" s="7"/>
      <c r="BN896" s="7"/>
      <c r="BO896" s="8">
        <f>SUM(BJ896:BN896)</f>
        <v>0</v>
      </c>
      <c r="BQ896" s="6"/>
      <c r="BR896" s="7"/>
      <c r="BS896" s="7"/>
      <c r="BT896" s="7"/>
      <c r="BU896" s="7"/>
      <c r="BV896" s="8">
        <f>SUM(BQ896:BU896)</f>
        <v>0</v>
      </c>
      <c r="BX896" s="6"/>
      <c r="BY896" s="7"/>
      <c r="BZ896" s="7"/>
      <c r="CA896" s="7"/>
      <c r="CB896" s="7"/>
      <c r="CC896" s="8">
        <f>SUM(BX896:CB896)</f>
        <v>0</v>
      </c>
      <c r="CE896" s="28">
        <f t="shared" si="4129"/>
        <v>0</v>
      </c>
      <c r="CF896" s="29">
        <f t="shared" si="4130"/>
        <v>0</v>
      </c>
      <c r="CG896" s="29">
        <f t="shared" si="4131"/>
        <v>0</v>
      </c>
      <c r="CH896" s="29">
        <f t="shared" si="4132"/>
        <v>0</v>
      </c>
      <c r="CI896" s="29">
        <f t="shared" si="4133"/>
        <v>0</v>
      </c>
      <c r="CJ896" s="8">
        <f>SUM(CE896:CI896)</f>
        <v>0</v>
      </c>
      <c r="CL896" s="6"/>
      <c r="CM896" s="7"/>
      <c r="CN896" s="7"/>
      <c r="CO896" s="7"/>
      <c r="CP896" s="7"/>
      <c r="CQ896" s="8">
        <f>SUM(CL896:CP896)</f>
        <v>0</v>
      </c>
      <c r="CS896" s="6"/>
      <c r="CT896" s="7"/>
      <c r="CU896" s="7"/>
      <c r="CV896" s="7"/>
      <c r="CW896" s="7"/>
      <c r="CX896" s="8">
        <f t="shared" ref="CX896:CX898" si="4138">SUM(CS896:CW896)</f>
        <v>0</v>
      </c>
      <c r="CZ896" s="6"/>
      <c r="DA896" s="7"/>
      <c r="DB896" s="7"/>
      <c r="DC896" s="7"/>
      <c r="DD896" s="7"/>
      <c r="DE896" s="8">
        <f t="shared" ref="DE896:DE898" si="4139">SUM(CZ896:DD896)</f>
        <v>0</v>
      </c>
    </row>
    <row r="897" spans="2:109">
      <c r="C897" s="567"/>
      <c r="E897" s="14" t="s">
        <v>61</v>
      </c>
      <c r="F897" s="23">
        <f t="shared" si="4134"/>
        <v>0</v>
      </c>
      <c r="G897" s="24">
        <f t="shared" si="4125"/>
        <v>0</v>
      </c>
      <c r="H897" s="24">
        <f t="shared" si="4126"/>
        <v>0</v>
      </c>
      <c r="I897" s="24">
        <f t="shared" si="4127"/>
        <v>0</v>
      </c>
      <c r="J897" s="24">
        <f t="shared" si="4128"/>
        <v>0</v>
      </c>
      <c r="K897" s="8">
        <f t="shared" si="4135"/>
        <v>0</v>
      </c>
      <c r="M897" s="6"/>
      <c r="N897" s="7"/>
      <c r="O897" s="7"/>
      <c r="P897" s="7"/>
      <c r="Q897" s="7"/>
      <c r="R897" s="8">
        <f t="shared" si="4136"/>
        <v>0</v>
      </c>
      <c r="T897" s="6"/>
      <c r="U897" s="7"/>
      <c r="V897" s="7"/>
      <c r="W897" s="7"/>
      <c r="X897" s="7"/>
      <c r="Y897" s="8">
        <f t="shared" si="4137"/>
        <v>0</v>
      </c>
      <c r="AA897" s="6"/>
      <c r="AB897" s="7"/>
      <c r="AC897" s="7"/>
      <c r="AD897" s="7"/>
      <c r="AE897" s="7"/>
      <c r="AF897" s="8">
        <f>SUM(AA897:AE897)</f>
        <v>0</v>
      </c>
      <c r="AH897" s="6"/>
      <c r="AI897" s="7"/>
      <c r="AJ897" s="7"/>
      <c r="AK897" s="7"/>
      <c r="AL897" s="7"/>
      <c r="AM897" s="8">
        <f>SUM(AH897:AL897)</f>
        <v>0</v>
      </c>
      <c r="AO897" s="6"/>
      <c r="AP897" s="7"/>
      <c r="AQ897" s="7"/>
      <c r="AR897" s="7"/>
      <c r="AS897" s="7"/>
      <c r="AT897" s="8">
        <f>SUM(AO897:AS897)</f>
        <v>0</v>
      </c>
      <c r="AV897" s="6"/>
      <c r="AW897" s="7"/>
      <c r="AX897" s="7"/>
      <c r="AY897" s="7"/>
      <c r="AZ897" s="7"/>
      <c r="BA897" s="8">
        <f>SUM(AV897:AZ897)</f>
        <v>0</v>
      </c>
      <c r="BC897" s="6"/>
      <c r="BD897" s="7"/>
      <c r="BE897" s="7"/>
      <c r="BF897" s="7"/>
      <c r="BG897" s="7"/>
      <c r="BH897" s="8">
        <f>SUM(BC897:BG897)</f>
        <v>0</v>
      </c>
      <c r="BJ897" s="6"/>
      <c r="BK897" s="7"/>
      <c r="BL897" s="7"/>
      <c r="BM897" s="7"/>
      <c r="BN897" s="7"/>
      <c r="BO897" s="8">
        <f>SUM(BJ897:BN897)</f>
        <v>0</v>
      </c>
      <c r="BQ897" s="6"/>
      <c r="BR897" s="7"/>
      <c r="BS897" s="7"/>
      <c r="BT897" s="7"/>
      <c r="BU897" s="7"/>
      <c r="BV897" s="8">
        <f>SUM(BQ897:BU897)</f>
        <v>0</v>
      </c>
      <c r="BX897" s="6"/>
      <c r="BY897" s="7"/>
      <c r="BZ897" s="7"/>
      <c r="CA897" s="7"/>
      <c r="CB897" s="7"/>
      <c r="CC897" s="8">
        <f>SUM(BX897:CB897)</f>
        <v>0</v>
      </c>
      <c r="CE897" s="28">
        <f t="shared" si="4129"/>
        <v>0</v>
      </c>
      <c r="CF897" s="29">
        <f t="shared" si="4130"/>
        <v>0</v>
      </c>
      <c r="CG897" s="29">
        <f t="shared" si="4131"/>
        <v>0</v>
      </c>
      <c r="CH897" s="29">
        <f t="shared" si="4132"/>
        <v>0</v>
      </c>
      <c r="CI897" s="29">
        <f t="shared" si="4133"/>
        <v>0</v>
      </c>
      <c r="CJ897" s="8">
        <f>SUM(CE897:CI897)</f>
        <v>0</v>
      </c>
      <c r="CL897" s="6"/>
      <c r="CM897" s="7"/>
      <c r="CN897" s="7"/>
      <c r="CO897" s="7"/>
      <c r="CP897" s="7"/>
      <c r="CQ897" s="8">
        <f>SUM(CL897:CP897)</f>
        <v>0</v>
      </c>
      <c r="CS897" s="6"/>
      <c r="CT897" s="7"/>
      <c r="CU897" s="7"/>
      <c r="CV897" s="7"/>
      <c r="CW897" s="7"/>
      <c r="CX897" s="8">
        <f t="shared" si="4138"/>
        <v>0</v>
      </c>
      <c r="CZ897" s="6"/>
      <c r="DA897" s="7"/>
      <c r="DB897" s="7"/>
      <c r="DC897" s="7"/>
      <c r="DD897" s="7"/>
      <c r="DE897" s="8">
        <f t="shared" si="4139"/>
        <v>0</v>
      </c>
    </row>
    <row r="898" spans="2:109" ht="14" thickBot="1">
      <c r="C898" s="567"/>
      <c r="E898" s="14" t="s">
        <v>62</v>
      </c>
      <c r="F898" s="23">
        <f t="shared" si="4134"/>
        <v>0</v>
      </c>
      <c r="G898" s="24">
        <f t="shared" si="4125"/>
        <v>0</v>
      </c>
      <c r="H898" s="24">
        <f t="shared" si="4126"/>
        <v>0</v>
      </c>
      <c r="I898" s="24">
        <f t="shared" si="4127"/>
        <v>0</v>
      </c>
      <c r="J898" s="24">
        <f t="shared" si="4128"/>
        <v>0</v>
      </c>
      <c r="K898" s="8">
        <f t="shared" si="4135"/>
        <v>0</v>
      </c>
      <c r="M898" s="6"/>
      <c r="N898" s="7"/>
      <c r="O898" s="7"/>
      <c r="P898" s="7"/>
      <c r="Q898" s="7"/>
      <c r="R898" s="8">
        <f t="shared" si="4136"/>
        <v>0</v>
      </c>
      <c r="T898" s="6"/>
      <c r="U898" s="7"/>
      <c r="V898" s="7"/>
      <c r="W898" s="7"/>
      <c r="X898" s="7"/>
      <c r="Y898" s="8">
        <f t="shared" si="4137"/>
        <v>0</v>
      </c>
      <c r="AA898" s="6"/>
      <c r="AB898" s="7"/>
      <c r="AC898" s="7"/>
      <c r="AD898" s="7"/>
      <c r="AE898" s="7"/>
      <c r="AF898" s="8">
        <f>SUM(AA898:AE898)</f>
        <v>0</v>
      </c>
      <c r="AH898" s="6"/>
      <c r="AI898" s="7"/>
      <c r="AJ898" s="7"/>
      <c r="AK898" s="7"/>
      <c r="AL898" s="7"/>
      <c r="AM898" s="8">
        <f>SUM(AH898:AL898)</f>
        <v>0</v>
      </c>
      <c r="AO898" s="6"/>
      <c r="AP898" s="7"/>
      <c r="AQ898" s="7"/>
      <c r="AR898" s="7"/>
      <c r="AS898" s="7"/>
      <c r="AT898" s="8">
        <f>SUM(AO898:AS898)</f>
        <v>0</v>
      </c>
      <c r="AV898" s="6"/>
      <c r="AW898" s="7"/>
      <c r="AX898" s="7"/>
      <c r="AY898" s="7"/>
      <c r="AZ898" s="7"/>
      <c r="BA898" s="8">
        <f>SUM(AV898:AZ898)</f>
        <v>0</v>
      </c>
      <c r="BC898" s="6"/>
      <c r="BD898" s="7"/>
      <c r="BE898" s="7"/>
      <c r="BF898" s="7"/>
      <c r="BG898" s="7"/>
      <c r="BH898" s="8">
        <f>SUM(BC898:BG898)</f>
        <v>0</v>
      </c>
      <c r="BJ898" s="6"/>
      <c r="BK898" s="7"/>
      <c r="BL898" s="7"/>
      <c r="BM898" s="7"/>
      <c r="BN898" s="7"/>
      <c r="BO898" s="8">
        <f>SUM(BJ898:BN898)</f>
        <v>0</v>
      </c>
      <c r="BQ898" s="6"/>
      <c r="BR898" s="7"/>
      <c r="BS898" s="7"/>
      <c r="BT898" s="7"/>
      <c r="BU898" s="7"/>
      <c r="BV898" s="8">
        <f>SUM(BQ898:BU898)</f>
        <v>0</v>
      </c>
      <c r="BX898" s="6"/>
      <c r="BY898" s="7"/>
      <c r="BZ898" s="7"/>
      <c r="CA898" s="7"/>
      <c r="CB898" s="7"/>
      <c r="CC898" s="8">
        <f>SUM(BX898:CB898)</f>
        <v>0</v>
      </c>
      <c r="CE898" s="493">
        <f t="shared" si="4129"/>
        <v>0</v>
      </c>
      <c r="CF898" s="494">
        <f t="shared" si="4130"/>
        <v>0</v>
      </c>
      <c r="CG898" s="494">
        <f t="shared" si="4131"/>
        <v>0</v>
      </c>
      <c r="CH898" s="494">
        <f t="shared" si="4132"/>
        <v>0</v>
      </c>
      <c r="CI898" s="494">
        <f t="shared" si="4133"/>
        <v>0</v>
      </c>
      <c r="CJ898" s="495">
        <f>SUM(CE898:CI898)</f>
        <v>0</v>
      </c>
      <c r="CL898" s="6"/>
      <c r="CM898" s="7"/>
      <c r="CN898" s="7"/>
      <c r="CO898" s="7"/>
      <c r="CP898" s="7"/>
      <c r="CQ898" s="8">
        <f>SUM(CL898:CP898)</f>
        <v>0</v>
      </c>
      <c r="CS898" s="6"/>
      <c r="CT898" s="7"/>
      <c r="CU898" s="7"/>
      <c r="CV898" s="7"/>
      <c r="CW898" s="7"/>
      <c r="CX898" s="8">
        <f t="shared" si="4138"/>
        <v>0</v>
      </c>
      <c r="CZ898" s="6"/>
      <c r="DA898" s="7"/>
      <c r="DB898" s="7"/>
      <c r="DC898" s="7"/>
      <c r="DD898" s="7"/>
      <c r="DE898" s="8">
        <f t="shared" si="4139"/>
        <v>0</v>
      </c>
    </row>
    <row r="899" spans="2:109" ht="14" thickBot="1">
      <c r="C899" s="554"/>
      <c r="E899" s="9"/>
      <c r="F899" s="10">
        <f>SUM(F895:F898)</f>
        <v>0</v>
      </c>
      <c r="G899" s="11">
        <f t="shared" ref="G899:J899" si="4140">SUM(G895:G898)</f>
        <v>0</v>
      </c>
      <c r="H899" s="11">
        <f t="shared" si="4140"/>
        <v>0</v>
      </c>
      <c r="I899" s="11">
        <f t="shared" si="4140"/>
        <v>0</v>
      </c>
      <c r="J899" s="11">
        <f t="shared" si="4140"/>
        <v>0</v>
      </c>
      <c r="K899" s="25">
        <f>SUM(K895:K898)</f>
        <v>0</v>
      </c>
      <c r="M899" s="10">
        <f>SUM(M895:M898)</f>
        <v>0</v>
      </c>
      <c r="N899" s="11">
        <f t="shared" ref="N899:Q899" si="4141">SUM(N895:N898)</f>
        <v>0</v>
      </c>
      <c r="O899" s="11">
        <f t="shared" si="4141"/>
        <v>0</v>
      </c>
      <c r="P899" s="11">
        <f t="shared" si="4141"/>
        <v>0</v>
      </c>
      <c r="Q899" s="11">
        <f t="shared" si="4141"/>
        <v>0</v>
      </c>
      <c r="R899" s="25">
        <f>SUM(R895:R898)</f>
        <v>0</v>
      </c>
      <c r="T899" s="10">
        <f>SUM(T895:T898)</f>
        <v>0</v>
      </c>
      <c r="U899" s="11">
        <f t="shared" ref="U899:X899" si="4142">SUM(U895:U898)</f>
        <v>0</v>
      </c>
      <c r="V899" s="11">
        <f t="shared" si="4142"/>
        <v>0</v>
      </c>
      <c r="W899" s="11">
        <f t="shared" si="4142"/>
        <v>0</v>
      </c>
      <c r="X899" s="11">
        <f t="shared" si="4142"/>
        <v>0</v>
      </c>
      <c r="Y899" s="25">
        <f>SUM(Y895:Y898)</f>
        <v>0</v>
      </c>
      <c r="AA899" s="10">
        <f>SUM(AA895:AA898)</f>
        <v>0</v>
      </c>
      <c r="AB899" s="11">
        <f t="shared" ref="AB899:AE899" si="4143">SUM(AB895:AB898)</f>
        <v>0</v>
      </c>
      <c r="AC899" s="11">
        <f t="shared" si="4143"/>
        <v>0</v>
      </c>
      <c r="AD899" s="11">
        <f t="shared" si="4143"/>
        <v>0</v>
      </c>
      <c r="AE899" s="11">
        <f t="shared" si="4143"/>
        <v>0</v>
      </c>
      <c r="AF899" s="25">
        <f>SUM(AF895:AF898)</f>
        <v>0</v>
      </c>
      <c r="AH899" s="10">
        <f>SUM(AH895:AH898)</f>
        <v>0</v>
      </c>
      <c r="AI899" s="11">
        <f t="shared" ref="AI899:AL899" si="4144">SUM(AI895:AI898)</f>
        <v>0</v>
      </c>
      <c r="AJ899" s="11">
        <f t="shared" si="4144"/>
        <v>0</v>
      </c>
      <c r="AK899" s="11">
        <f t="shared" si="4144"/>
        <v>0</v>
      </c>
      <c r="AL899" s="11">
        <f t="shared" si="4144"/>
        <v>0</v>
      </c>
      <c r="AM899" s="25">
        <f>SUM(AM895:AM898)</f>
        <v>0</v>
      </c>
      <c r="AO899" s="10">
        <f>SUM(AO895:AO898)</f>
        <v>0</v>
      </c>
      <c r="AP899" s="11">
        <f t="shared" ref="AP899:AS899" si="4145">SUM(AP895:AP898)</f>
        <v>0</v>
      </c>
      <c r="AQ899" s="11">
        <f t="shared" si="4145"/>
        <v>0</v>
      </c>
      <c r="AR899" s="11">
        <f t="shared" si="4145"/>
        <v>0</v>
      </c>
      <c r="AS899" s="11">
        <f t="shared" si="4145"/>
        <v>0</v>
      </c>
      <c r="AT899" s="25">
        <f>SUM(AT895:AT898)</f>
        <v>0</v>
      </c>
      <c r="AV899" s="10">
        <f>SUM(AV895:AV898)</f>
        <v>0</v>
      </c>
      <c r="AW899" s="11">
        <f t="shared" ref="AW899:AZ899" si="4146">SUM(AW895:AW898)</f>
        <v>0</v>
      </c>
      <c r="AX899" s="11">
        <f t="shared" si="4146"/>
        <v>0</v>
      </c>
      <c r="AY899" s="11">
        <f t="shared" si="4146"/>
        <v>0</v>
      </c>
      <c r="AZ899" s="11">
        <f t="shared" si="4146"/>
        <v>0</v>
      </c>
      <c r="BA899" s="25">
        <f>SUM(BA895:BA898)</f>
        <v>0</v>
      </c>
      <c r="BC899" s="10">
        <f>SUM(BC895:BC898)</f>
        <v>0</v>
      </c>
      <c r="BD899" s="11">
        <f t="shared" ref="BD899:BG899" si="4147">SUM(BD895:BD898)</f>
        <v>0</v>
      </c>
      <c r="BE899" s="11">
        <f t="shared" si="4147"/>
        <v>0</v>
      </c>
      <c r="BF899" s="11">
        <f t="shared" si="4147"/>
        <v>0</v>
      </c>
      <c r="BG899" s="11">
        <f t="shared" si="4147"/>
        <v>0</v>
      </c>
      <c r="BH899" s="25">
        <f>SUM(BH895:BH898)</f>
        <v>0</v>
      </c>
      <c r="BJ899" s="10">
        <f>SUM(BJ895:BJ898)</f>
        <v>0</v>
      </c>
      <c r="BK899" s="11">
        <f t="shared" ref="BK899:BN899" si="4148">SUM(BK895:BK898)</f>
        <v>0</v>
      </c>
      <c r="BL899" s="11">
        <f t="shared" si="4148"/>
        <v>0</v>
      </c>
      <c r="BM899" s="11">
        <f t="shared" si="4148"/>
        <v>0</v>
      </c>
      <c r="BN899" s="11">
        <f t="shared" si="4148"/>
        <v>0</v>
      </c>
      <c r="BO899" s="25">
        <f>SUM(BO895:BO898)</f>
        <v>0</v>
      </c>
      <c r="BQ899" s="10">
        <f>SUM(BQ895:BQ898)</f>
        <v>0</v>
      </c>
      <c r="BR899" s="11">
        <f t="shared" ref="BR899:BU899" si="4149">SUM(BR895:BR898)</f>
        <v>0</v>
      </c>
      <c r="BS899" s="11">
        <f t="shared" si="4149"/>
        <v>0</v>
      </c>
      <c r="BT899" s="11">
        <f t="shared" si="4149"/>
        <v>0</v>
      </c>
      <c r="BU899" s="11">
        <f t="shared" si="4149"/>
        <v>0</v>
      </c>
      <c r="BV899" s="25">
        <f>SUM(BV895:BV898)</f>
        <v>0</v>
      </c>
      <c r="BX899" s="10">
        <f>SUM(BX895:BX898)</f>
        <v>0</v>
      </c>
      <c r="BY899" s="11">
        <f t="shared" ref="BY899:CB899" si="4150">SUM(BY895:BY898)</f>
        <v>0</v>
      </c>
      <c r="BZ899" s="11">
        <f t="shared" si="4150"/>
        <v>0</v>
      </c>
      <c r="CA899" s="11">
        <f t="shared" si="4150"/>
        <v>0</v>
      </c>
      <c r="CB899" s="11">
        <f t="shared" si="4150"/>
        <v>0</v>
      </c>
      <c r="CC899" s="25">
        <f>SUM(CC895:CC898)</f>
        <v>0</v>
      </c>
      <c r="CE899" s="62">
        <f t="shared" ref="CE899:CJ899" si="4151">SUM(CE895:CE898)</f>
        <v>0</v>
      </c>
      <c r="CF899" s="63">
        <f t="shared" si="4151"/>
        <v>0</v>
      </c>
      <c r="CG899" s="63">
        <f t="shared" si="4151"/>
        <v>0</v>
      </c>
      <c r="CH899" s="63">
        <f t="shared" si="4151"/>
        <v>0</v>
      </c>
      <c r="CI899" s="63">
        <f t="shared" si="4151"/>
        <v>0</v>
      </c>
      <c r="CJ899" s="25">
        <f t="shared" si="4151"/>
        <v>0</v>
      </c>
      <c r="CL899" s="10">
        <f>SUM(CL895:CL898)</f>
        <v>0</v>
      </c>
      <c r="CM899" s="11">
        <f t="shared" ref="CM899:CP899" si="4152">SUM(CM895:CM898)</f>
        <v>0</v>
      </c>
      <c r="CN899" s="11">
        <f t="shared" si="4152"/>
        <v>0</v>
      </c>
      <c r="CO899" s="11">
        <f t="shared" si="4152"/>
        <v>0</v>
      </c>
      <c r="CP899" s="11">
        <f t="shared" si="4152"/>
        <v>0</v>
      </c>
      <c r="CQ899" s="25">
        <f>SUM(CQ895:CQ898)</f>
        <v>0</v>
      </c>
      <c r="CS899" s="10">
        <f>SUM(CS895:CS898)</f>
        <v>0</v>
      </c>
      <c r="CT899" s="11">
        <f t="shared" ref="CT899:CW899" si="4153">SUM(CT895:CT898)</f>
        <v>0</v>
      </c>
      <c r="CU899" s="11">
        <f t="shared" si="4153"/>
        <v>0</v>
      </c>
      <c r="CV899" s="11">
        <f t="shared" si="4153"/>
        <v>0</v>
      </c>
      <c r="CW899" s="11">
        <f t="shared" si="4153"/>
        <v>0</v>
      </c>
      <c r="CX899" s="25">
        <f>SUM(CX895:CX898)</f>
        <v>0</v>
      </c>
      <c r="CZ899" s="10">
        <f>SUM(CZ895:CZ898)</f>
        <v>0</v>
      </c>
      <c r="DA899" s="11">
        <f t="shared" ref="DA899:DD899" si="4154">SUM(DA895:DA898)</f>
        <v>0</v>
      </c>
      <c r="DB899" s="11">
        <f t="shared" si="4154"/>
        <v>0</v>
      </c>
      <c r="DC899" s="11">
        <f t="shared" si="4154"/>
        <v>0</v>
      </c>
      <c r="DD899" s="11">
        <f t="shared" si="4154"/>
        <v>0</v>
      </c>
      <c r="DE899" s="25">
        <f>SUM(DE895:DE898)</f>
        <v>0</v>
      </c>
    </row>
    <row r="901" spans="2:109">
      <c r="B901" s="123"/>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c r="BU901" s="20"/>
      <c r="BV901" s="20"/>
      <c r="BW901" s="20"/>
      <c r="BX901" s="20"/>
      <c r="BY901" s="20"/>
      <c r="BZ901" s="20"/>
      <c r="CA901" s="20"/>
      <c r="CB901" s="20"/>
      <c r="CC901" s="20"/>
      <c r="CD901" s="20"/>
      <c r="CE901" s="20"/>
      <c r="CF901" s="20"/>
      <c r="CG901" s="20"/>
      <c r="CH901" s="20"/>
      <c r="CI901" s="20"/>
      <c r="CJ901" s="20"/>
      <c r="CL901" s="20"/>
      <c r="CM901" s="20"/>
      <c r="CN901" s="20"/>
      <c r="CO901" s="20"/>
      <c r="CP901" s="20"/>
      <c r="CQ901" s="20"/>
      <c r="CR901" s="20"/>
      <c r="CS901" s="20"/>
      <c r="CT901" s="20"/>
      <c r="CU901" s="20"/>
      <c r="CV901" s="20"/>
      <c r="CW901" s="20"/>
      <c r="CX901" s="20"/>
      <c r="CY901" s="20"/>
      <c r="CZ901" s="20"/>
      <c r="DA901" s="20"/>
      <c r="DB901" s="20"/>
      <c r="DC901" s="20"/>
      <c r="DD901" s="20"/>
      <c r="DE901" s="20"/>
    </row>
    <row r="902" spans="2:109" ht="14" thickBot="1">
      <c r="B902" s="94">
        <v>29</v>
      </c>
      <c r="C902" s="12" t="s">
        <v>90</v>
      </c>
    </row>
    <row r="903" spans="2:109">
      <c r="C903" s="553">
        <v>2024</v>
      </c>
      <c r="E903" s="1" t="s">
        <v>59</v>
      </c>
      <c r="F903" s="2"/>
      <c r="G903" s="3"/>
      <c r="H903" s="3"/>
      <c r="I903" s="3"/>
      <c r="J903" s="3"/>
      <c r="K903" s="4">
        <f>SUM(F903:J903)</f>
        <v>0</v>
      </c>
      <c r="M903" s="2"/>
      <c r="N903" s="3"/>
      <c r="O903" s="3"/>
      <c r="P903" s="3"/>
      <c r="Q903" s="3"/>
      <c r="R903" s="4">
        <f>SUM(M903:Q903)</f>
        <v>0</v>
      </c>
      <c r="T903" s="2"/>
      <c r="U903" s="3"/>
      <c r="V903" s="3"/>
      <c r="W903" s="3"/>
      <c r="X903" s="3"/>
      <c r="Y903" s="4">
        <f>SUM(T903:X903)</f>
        <v>0</v>
      </c>
      <c r="AA903" s="2"/>
      <c r="AB903" s="3"/>
      <c r="AC903" s="3"/>
      <c r="AD903" s="3"/>
      <c r="AE903" s="3"/>
      <c r="AF903" s="4">
        <f>SUM(AA903:AE903)</f>
        <v>0</v>
      </c>
      <c r="AH903" s="2"/>
      <c r="AI903" s="3"/>
      <c r="AJ903" s="3"/>
      <c r="AK903" s="3"/>
      <c r="AL903" s="3"/>
      <c r="AM903" s="4">
        <f>SUM(AH903:AL903)</f>
        <v>0</v>
      </c>
      <c r="AO903" s="2"/>
      <c r="AP903" s="3"/>
      <c r="AQ903" s="3"/>
      <c r="AR903" s="3"/>
      <c r="AS903" s="3"/>
      <c r="AT903" s="4">
        <f>SUM(AO903:AS903)</f>
        <v>0</v>
      </c>
      <c r="AV903" s="2"/>
      <c r="AW903" s="3"/>
      <c r="AX903" s="3"/>
      <c r="AY903" s="3"/>
      <c r="AZ903" s="3"/>
      <c r="BA903" s="4">
        <f>SUM(AV903:AZ903)</f>
        <v>0</v>
      </c>
      <c r="BC903" s="2"/>
      <c r="BD903" s="3"/>
      <c r="BE903" s="3"/>
      <c r="BF903" s="3"/>
      <c r="BG903" s="3"/>
      <c r="BH903" s="4">
        <f>SUM(BC903:BG903)</f>
        <v>0</v>
      </c>
      <c r="BJ903" s="2"/>
      <c r="BK903" s="3"/>
      <c r="BL903" s="3"/>
      <c r="BM903" s="3"/>
      <c r="BN903" s="3"/>
      <c r="BO903" s="4">
        <f>SUM(BJ903:BN903)</f>
        <v>0</v>
      </c>
      <c r="BQ903" s="2"/>
      <c r="BR903" s="3"/>
      <c r="BS903" s="3"/>
      <c r="BT903" s="3"/>
      <c r="BU903" s="3"/>
      <c r="BV903" s="4">
        <f>SUM(BQ903:BU903)</f>
        <v>0</v>
      </c>
      <c r="BX903" s="2"/>
      <c r="BY903" s="3"/>
      <c r="BZ903" s="3"/>
      <c r="CA903" s="3"/>
      <c r="CB903" s="3"/>
      <c r="CC903" s="4">
        <f>SUM(BX903:CB903)</f>
        <v>0</v>
      </c>
      <c r="CE903" s="26">
        <f t="shared" ref="CE903:CE906" si="4155">F903+M903+T903+AA903+AH903+AO903+AV903+BC903+BJ903+BQ903+BX903</f>
        <v>0</v>
      </c>
      <c r="CF903" s="27">
        <f t="shared" ref="CF903:CF906" si="4156">G903+N903+U903+AB903+AI903+AP903+AW903+BD903+BK903+BR903+BY903</f>
        <v>0</v>
      </c>
      <c r="CG903" s="27">
        <f t="shared" ref="CG903:CG906" si="4157">H903+O903+V903+AC903+AJ903+AQ903+AX903+BE903+BL903+BS903+BZ903</f>
        <v>0</v>
      </c>
      <c r="CH903" s="27">
        <f t="shared" ref="CH903:CH906" si="4158">I903+P903+W903+AD903+AK903+AR903+AY903+BF903+BM903+BT903+CA903</f>
        <v>0</v>
      </c>
      <c r="CI903" s="27">
        <f t="shared" ref="CI903:CI906" si="4159">J903+Q903+X903+AE903+AL903+AS903+AZ903+BG903+BN903+BU903+CB903</f>
        <v>0</v>
      </c>
      <c r="CJ903" s="4">
        <f>SUM(CE903:CI903)</f>
        <v>0</v>
      </c>
      <c r="CL903" s="2"/>
      <c r="CM903" s="3"/>
      <c r="CN903" s="3"/>
      <c r="CO903" s="3"/>
      <c r="CP903" s="3"/>
      <c r="CQ903" s="4">
        <f>SUM(CL903:CP903)</f>
        <v>0</v>
      </c>
      <c r="CS903" s="2"/>
      <c r="CT903" s="3"/>
      <c r="CU903" s="3"/>
      <c r="CV903" s="3"/>
      <c r="CW903" s="3"/>
      <c r="CX903" s="4">
        <f>SUM(CS903:CW903)</f>
        <v>0</v>
      </c>
      <c r="CZ903" s="2"/>
      <c r="DA903" s="3"/>
      <c r="DB903" s="3"/>
      <c r="DC903" s="3"/>
      <c r="DD903" s="3"/>
      <c r="DE903" s="4">
        <f>SUM(CZ903:DD903)</f>
        <v>0</v>
      </c>
    </row>
    <row r="904" spans="2:109">
      <c r="C904" s="567"/>
      <c r="E904" s="5" t="s">
        <v>60</v>
      </c>
      <c r="F904" s="6"/>
      <c r="G904" s="7"/>
      <c r="H904" s="7"/>
      <c r="I904" s="7"/>
      <c r="J904" s="7"/>
      <c r="K904" s="8">
        <f t="shared" ref="K904:K906" si="4160">SUM(F904:J904)</f>
        <v>0</v>
      </c>
      <c r="M904" s="6"/>
      <c r="N904" s="7"/>
      <c r="O904" s="7"/>
      <c r="P904" s="7"/>
      <c r="Q904" s="7"/>
      <c r="R904" s="8">
        <f t="shared" ref="R904:R906" si="4161">SUM(M904:Q904)</f>
        <v>0</v>
      </c>
      <c r="T904" s="6"/>
      <c r="U904" s="7"/>
      <c r="V904" s="7"/>
      <c r="W904" s="7"/>
      <c r="X904" s="7"/>
      <c r="Y904" s="8">
        <f t="shared" ref="Y904:Y906" si="4162">SUM(T904:X904)</f>
        <v>0</v>
      </c>
      <c r="AA904" s="6"/>
      <c r="AB904" s="7"/>
      <c r="AC904" s="7"/>
      <c r="AD904" s="7"/>
      <c r="AE904" s="7"/>
      <c r="AF904" s="8">
        <f>SUM(AA904:AE904)</f>
        <v>0</v>
      </c>
      <c r="AH904" s="6"/>
      <c r="AI904" s="7"/>
      <c r="AJ904" s="7"/>
      <c r="AK904" s="7"/>
      <c r="AL904" s="7"/>
      <c r="AM904" s="8">
        <f>SUM(AH904:AL904)</f>
        <v>0</v>
      </c>
      <c r="AO904" s="6"/>
      <c r="AP904" s="7"/>
      <c r="AQ904" s="7"/>
      <c r="AR904" s="7"/>
      <c r="AS904" s="7"/>
      <c r="AT904" s="8">
        <f>SUM(AO904:AS904)</f>
        <v>0</v>
      </c>
      <c r="AV904" s="6"/>
      <c r="AW904" s="7"/>
      <c r="AX904" s="7"/>
      <c r="AY904" s="7"/>
      <c r="AZ904" s="7"/>
      <c r="BA904" s="8">
        <f>SUM(AV904:AZ904)</f>
        <v>0</v>
      </c>
      <c r="BC904" s="6"/>
      <c r="BD904" s="7"/>
      <c r="BE904" s="7"/>
      <c r="BF904" s="7"/>
      <c r="BG904" s="7"/>
      <c r="BH904" s="8">
        <f>SUM(BC904:BG904)</f>
        <v>0</v>
      </c>
      <c r="BJ904" s="6"/>
      <c r="BK904" s="7"/>
      <c r="BL904" s="7"/>
      <c r="BM904" s="7"/>
      <c r="BN904" s="7"/>
      <c r="BO904" s="8">
        <f>SUM(BJ904:BN904)</f>
        <v>0</v>
      </c>
      <c r="BQ904" s="6"/>
      <c r="BR904" s="7"/>
      <c r="BS904" s="7"/>
      <c r="BT904" s="7"/>
      <c r="BU904" s="7"/>
      <c r="BV904" s="8">
        <f>SUM(BQ904:BU904)</f>
        <v>0</v>
      </c>
      <c r="BX904" s="6"/>
      <c r="BY904" s="7"/>
      <c r="BZ904" s="7"/>
      <c r="CA904" s="7"/>
      <c r="CB904" s="7"/>
      <c r="CC904" s="8">
        <f>SUM(BX904:CB904)</f>
        <v>0</v>
      </c>
      <c r="CE904" s="28">
        <f t="shared" si="4155"/>
        <v>0</v>
      </c>
      <c r="CF904" s="29">
        <f t="shared" si="4156"/>
        <v>0</v>
      </c>
      <c r="CG904" s="29">
        <f t="shared" si="4157"/>
        <v>0</v>
      </c>
      <c r="CH904" s="29">
        <f t="shared" si="4158"/>
        <v>0</v>
      </c>
      <c r="CI904" s="29">
        <f t="shared" si="4159"/>
        <v>0</v>
      </c>
      <c r="CJ904" s="8">
        <f>SUM(CE904:CI904)</f>
        <v>0</v>
      </c>
      <c r="CL904" s="6"/>
      <c r="CM904" s="7"/>
      <c r="CN904" s="7"/>
      <c r="CO904" s="7"/>
      <c r="CP904" s="7"/>
      <c r="CQ904" s="8">
        <f>SUM(CL904:CP904)</f>
        <v>0</v>
      </c>
      <c r="CS904" s="6"/>
      <c r="CT904" s="7"/>
      <c r="CU904" s="7"/>
      <c r="CV904" s="7"/>
      <c r="CW904" s="7"/>
      <c r="CX904" s="8">
        <f t="shared" ref="CX904:CX906" si="4163">SUM(CS904:CW904)</f>
        <v>0</v>
      </c>
      <c r="CZ904" s="6"/>
      <c r="DA904" s="7"/>
      <c r="DB904" s="7"/>
      <c r="DC904" s="7"/>
      <c r="DD904" s="7"/>
      <c r="DE904" s="8">
        <f t="shared" ref="DE904:DE906" si="4164">SUM(CZ904:DD904)</f>
        <v>0</v>
      </c>
    </row>
    <row r="905" spans="2:109">
      <c r="C905" s="567"/>
      <c r="E905" s="5" t="s">
        <v>61</v>
      </c>
      <c r="F905" s="6"/>
      <c r="G905" s="7"/>
      <c r="H905" s="7"/>
      <c r="I905" s="7"/>
      <c r="J905" s="7"/>
      <c r="K905" s="8">
        <f t="shared" si="4160"/>
        <v>0</v>
      </c>
      <c r="M905" s="6"/>
      <c r="N905" s="7"/>
      <c r="O905" s="7"/>
      <c r="P905" s="7"/>
      <c r="Q905" s="7"/>
      <c r="R905" s="8">
        <f t="shared" si="4161"/>
        <v>0</v>
      </c>
      <c r="T905" s="6"/>
      <c r="U905" s="7"/>
      <c r="V905" s="7"/>
      <c r="W905" s="7"/>
      <c r="X905" s="7"/>
      <c r="Y905" s="8">
        <f t="shared" si="4162"/>
        <v>0</v>
      </c>
      <c r="AA905" s="6"/>
      <c r="AB905" s="7"/>
      <c r="AC905" s="7"/>
      <c r="AD905" s="7"/>
      <c r="AE905" s="7"/>
      <c r="AF905" s="8">
        <f>SUM(AA905:AE905)</f>
        <v>0</v>
      </c>
      <c r="AH905" s="6"/>
      <c r="AI905" s="7"/>
      <c r="AJ905" s="7"/>
      <c r="AK905" s="7"/>
      <c r="AL905" s="7"/>
      <c r="AM905" s="8">
        <f>SUM(AH905:AL905)</f>
        <v>0</v>
      </c>
      <c r="AO905" s="6"/>
      <c r="AP905" s="7"/>
      <c r="AQ905" s="7"/>
      <c r="AR905" s="7"/>
      <c r="AS905" s="7"/>
      <c r="AT905" s="8">
        <f>SUM(AO905:AS905)</f>
        <v>0</v>
      </c>
      <c r="AV905" s="6"/>
      <c r="AW905" s="7"/>
      <c r="AX905" s="7"/>
      <c r="AY905" s="7"/>
      <c r="AZ905" s="7"/>
      <c r="BA905" s="8">
        <f>SUM(AV905:AZ905)</f>
        <v>0</v>
      </c>
      <c r="BC905" s="6"/>
      <c r="BD905" s="7"/>
      <c r="BE905" s="7"/>
      <c r="BF905" s="7"/>
      <c r="BG905" s="7"/>
      <c r="BH905" s="8">
        <f>SUM(BC905:BG905)</f>
        <v>0</v>
      </c>
      <c r="BJ905" s="6"/>
      <c r="BK905" s="7"/>
      <c r="BL905" s="7"/>
      <c r="BM905" s="7"/>
      <c r="BN905" s="7"/>
      <c r="BO905" s="8">
        <f>SUM(BJ905:BN905)</f>
        <v>0</v>
      </c>
      <c r="BQ905" s="6"/>
      <c r="BR905" s="7"/>
      <c r="BS905" s="7"/>
      <c r="BT905" s="7"/>
      <c r="BU905" s="7"/>
      <c r="BV905" s="8">
        <f>SUM(BQ905:BU905)</f>
        <v>0</v>
      </c>
      <c r="BX905" s="6"/>
      <c r="BY905" s="7"/>
      <c r="BZ905" s="7"/>
      <c r="CA905" s="7"/>
      <c r="CB905" s="7"/>
      <c r="CC905" s="8">
        <f>SUM(BX905:CB905)</f>
        <v>0</v>
      </c>
      <c r="CE905" s="28">
        <f t="shared" si="4155"/>
        <v>0</v>
      </c>
      <c r="CF905" s="29">
        <f t="shared" si="4156"/>
        <v>0</v>
      </c>
      <c r="CG905" s="29">
        <f t="shared" si="4157"/>
        <v>0</v>
      </c>
      <c r="CH905" s="29">
        <f t="shared" si="4158"/>
        <v>0</v>
      </c>
      <c r="CI905" s="29">
        <f t="shared" si="4159"/>
        <v>0</v>
      </c>
      <c r="CJ905" s="8">
        <f>SUM(CE905:CI905)</f>
        <v>0</v>
      </c>
      <c r="CL905" s="6"/>
      <c r="CM905" s="7"/>
      <c r="CN905" s="7"/>
      <c r="CO905" s="7"/>
      <c r="CP905" s="7"/>
      <c r="CQ905" s="8">
        <f>SUM(CL905:CP905)</f>
        <v>0</v>
      </c>
      <c r="CS905" s="6"/>
      <c r="CT905" s="7"/>
      <c r="CU905" s="7"/>
      <c r="CV905" s="7"/>
      <c r="CW905" s="7"/>
      <c r="CX905" s="8">
        <f t="shared" si="4163"/>
        <v>0</v>
      </c>
      <c r="CZ905" s="6"/>
      <c r="DA905" s="7"/>
      <c r="DB905" s="7"/>
      <c r="DC905" s="7"/>
      <c r="DD905" s="7"/>
      <c r="DE905" s="8">
        <f t="shared" si="4164"/>
        <v>0</v>
      </c>
    </row>
    <row r="906" spans="2:109" ht="14" thickBot="1">
      <c r="C906" s="567"/>
      <c r="E906" s="5" t="s">
        <v>62</v>
      </c>
      <c r="F906" s="6"/>
      <c r="G906" s="7"/>
      <c r="H906" s="7"/>
      <c r="I906" s="7"/>
      <c r="J906" s="7"/>
      <c r="K906" s="8">
        <f t="shared" si="4160"/>
        <v>0</v>
      </c>
      <c r="M906" s="6"/>
      <c r="N906" s="7"/>
      <c r="O906" s="7"/>
      <c r="P906" s="7"/>
      <c r="Q906" s="7"/>
      <c r="R906" s="8">
        <f t="shared" si="4161"/>
        <v>0</v>
      </c>
      <c r="T906" s="6"/>
      <c r="U906" s="7"/>
      <c r="V906" s="7"/>
      <c r="W906" s="7"/>
      <c r="X906" s="7"/>
      <c r="Y906" s="8">
        <f t="shared" si="4162"/>
        <v>0</v>
      </c>
      <c r="AA906" s="6"/>
      <c r="AB906" s="7"/>
      <c r="AC906" s="7"/>
      <c r="AD906" s="7"/>
      <c r="AE906" s="7"/>
      <c r="AF906" s="8">
        <f>SUM(AA906:AE906)</f>
        <v>0</v>
      </c>
      <c r="AH906" s="6"/>
      <c r="AI906" s="7"/>
      <c r="AJ906" s="7"/>
      <c r="AK906" s="7"/>
      <c r="AL906" s="7"/>
      <c r="AM906" s="8">
        <f>SUM(AH906:AL906)</f>
        <v>0</v>
      </c>
      <c r="AO906" s="6"/>
      <c r="AP906" s="7"/>
      <c r="AQ906" s="7"/>
      <c r="AR906" s="7"/>
      <c r="AS906" s="7"/>
      <c r="AT906" s="8">
        <f>SUM(AO906:AS906)</f>
        <v>0</v>
      </c>
      <c r="AV906" s="6"/>
      <c r="AW906" s="7"/>
      <c r="AX906" s="7"/>
      <c r="AY906" s="7"/>
      <c r="AZ906" s="7"/>
      <c r="BA906" s="8">
        <f>SUM(AV906:AZ906)</f>
        <v>0</v>
      </c>
      <c r="BC906" s="6"/>
      <c r="BD906" s="7"/>
      <c r="BE906" s="7"/>
      <c r="BF906" s="7"/>
      <c r="BG906" s="7"/>
      <c r="BH906" s="8">
        <f>SUM(BC906:BG906)</f>
        <v>0</v>
      </c>
      <c r="BJ906" s="6"/>
      <c r="BK906" s="7"/>
      <c r="BL906" s="7"/>
      <c r="BM906" s="7"/>
      <c r="BN906" s="7"/>
      <c r="BO906" s="8">
        <f>SUM(BJ906:BN906)</f>
        <v>0</v>
      </c>
      <c r="BQ906" s="6"/>
      <c r="BR906" s="7"/>
      <c r="BS906" s="7"/>
      <c r="BT906" s="7"/>
      <c r="BU906" s="7"/>
      <c r="BV906" s="8">
        <f>SUM(BQ906:BU906)</f>
        <v>0</v>
      </c>
      <c r="BX906" s="6"/>
      <c r="BY906" s="7"/>
      <c r="BZ906" s="7"/>
      <c r="CA906" s="7"/>
      <c r="CB906" s="7"/>
      <c r="CC906" s="8">
        <f>SUM(BX906:CB906)</f>
        <v>0</v>
      </c>
      <c r="CE906" s="493">
        <f t="shared" si="4155"/>
        <v>0</v>
      </c>
      <c r="CF906" s="494">
        <f t="shared" si="4156"/>
        <v>0</v>
      </c>
      <c r="CG906" s="494">
        <f t="shared" si="4157"/>
        <v>0</v>
      </c>
      <c r="CH906" s="494">
        <f t="shared" si="4158"/>
        <v>0</v>
      </c>
      <c r="CI906" s="494">
        <f t="shared" si="4159"/>
        <v>0</v>
      </c>
      <c r="CJ906" s="495">
        <f>SUM(CE906:CI906)</f>
        <v>0</v>
      </c>
      <c r="CL906" s="6"/>
      <c r="CM906" s="7"/>
      <c r="CN906" s="7"/>
      <c r="CO906" s="7"/>
      <c r="CP906" s="7"/>
      <c r="CQ906" s="8">
        <f>SUM(CL906:CP906)</f>
        <v>0</v>
      </c>
      <c r="CS906" s="6"/>
      <c r="CT906" s="7"/>
      <c r="CU906" s="7"/>
      <c r="CV906" s="7"/>
      <c r="CW906" s="7"/>
      <c r="CX906" s="8">
        <f t="shared" si="4163"/>
        <v>0</v>
      </c>
      <c r="CZ906" s="6"/>
      <c r="DA906" s="7"/>
      <c r="DB906" s="7"/>
      <c r="DC906" s="7"/>
      <c r="DD906" s="7"/>
      <c r="DE906" s="8">
        <f t="shared" si="4164"/>
        <v>0</v>
      </c>
    </row>
    <row r="907" spans="2:109" ht="14" thickBot="1">
      <c r="C907" s="554"/>
      <c r="E907" s="9"/>
      <c r="F907" s="10">
        <f>SUM(F903:F906)</f>
        <v>0</v>
      </c>
      <c r="G907" s="11">
        <f t="shared" ref="G907:J907" si="4165">SUM(G903:G906)</f>
        <v>0</v>
      </c>
      <c r="H907" s="11">
        <f t="shared" si="4165"/>
        <v>0</v>
      </c>
      <c r="I907" s="11">
        <f t="shared" si="4165"/>
        <v>0</v>
      </c>
      <c r="J907" s="61">
        <f t="shared" si="4165"/>
        <v>0</v>
      </c>
      <c r="K907" s="25">
        <f>SUM(K903:K906)</f>
        <v>0</v>
      </c>
      <c r="M907" s="10">
        <f>SUM(M903:M906)</f>
        <v>0</v>
      </c>
      <c r="N907" s="11">
        <f t="shared" ref="N907:Q907" si="4166">SUM(N903:N906)</f>
        <v>0</v>
      </c>
      <c r="O907" s="11">
        <f t="shared" si="4166"/>
        <v>0</v>
      </c>
      <c r="P907" s="11">
        <f t="shared" si="4166"/>
        <v>0</v>
      </c>
      <c r="Q907" s="11">
        <f t="shared" si="4166"/>
        <v>0</v>
      </c>
      <c r="R907" s="25">
        <f>SUM(R903:R906)</f>
        <v>0</v>
      </c>
      <c r="T907" s="10">
        <f>SUM(T903:T906)</f>
        <v>0</v>
      </c>
      <c r="U907" s="11">
        <f t="shared" ref="U907:X907" si="4167">SUM(U903:U906)</f>
        <v>0</v>
      </c>
      <c r="V907" s="11">
        <f t="shared" si="4167"/>
        <v>0</v>
      </c>
      <c r="W907" s="11">
        <f t="shared" si="4167"/>
        <v>0</v>
      </c>
      <c r="X907" s="11">
        <f t="shared" si="4167"/>
        <v>0</v>
      </c>
      <c r="Y907" s="25">
        <f>SUM(Y903:Y906)</f>
        <v>0</v>
      </c>
      <c r="AA907" s="10">
        <f>SUM(AA903:AA906)</f>
        <v>0</v>
      </c>
      <c r="AB907" s="11">
        <f t="shared" ref="AB907:AE907" si="4168">SUM(AB903:AB906)</f>
        <v>0</v>
      </c>
      <c r="AC907" s="11">
        <f t="shared" si="4168"/>
        <v>0</v>
      </c>
      <c r="AD907" s="11">
        <f t="shared" si="4168"/>
        <v>0</v>
      </c>
      <c r="AE907" s="11">
        <f t="shared" si="4168"/>
        <v>0</v>
      </c>
      <c r="AF907" s="25">
        <f>SUM(AF903:AF906)</f>
        <v>0</v>
      </c>
      <c r="AH907" s="10">
        <f>SUM(AH903:AH906)</f>
        <v>0</v>
      </c>
      <c r="AI907" s="11">
        <f t="shared" ref="AI907:AL907" si="4169">SUM(AI903:AI906)</f>
        <v>0</v>
      </c>
      <c r="AJ907" s="11">
        <f t="shared" si="4169"/>
        <v>0</v>
      </c>
      <c r="AK907" s="11">
        <f t="shared" si="4169"/>
        <v>0</v>
      </c>
      <c r="AL907" s="11">
        <f t="shared" si="4169"/>
        <v>0</v>
      </c>
      <c r="AM907" s="25">
        <f>SUM(AM903:AM906)</f>
        <v>0</v>
      </c>
      <c r="AO907" s="10">
        <f>SUM(AO903:AO906)</f>
        <v>0</v>
      </c>
      <c r="AP907" s="11">
        <f t="shared" ref="AP907:AS907" si="4170">SUM(AP903:AP906)</f>
        <v>0</v>
      </c>
      <c r="AQ907" s="11">
        <f t="shared" si="4170"/>
        <v>0</v>
      </c>
      <c r="AR907" s="11">
        <f t="shared" si="4170"/>
        <v>0</v>
      </c>
      <c r="AS907" s="11">
        <f t="shared" si="4170"/>
        <v>0</v>
      </c>
      <c r="AT907" s="25">
        <f>SUM(AT903:AT906)</f>
        <v>0</v>
      </c>
      <c r="AV907" s="10">
        <f>SUM(AV903:AV906)</f>
        <v>0</v>
      </c>
      <c r="AW907" s="11">
        <f t="shared" ref="AW907:AZ907" si="4171">SUM(AW903:AW906)</f>
        <v>0</v>
      </c>
      <c r="AX907" s="11">
        <f t="shared" si="4171"/>
        <v>0</v>
      </c>
      <c r="AY907" s="11">
        <f t="shared" si="4171"/>
        <v>0</v>
      </c>
      <c r="AZ907" s="11">
        <f t="shared" si="4171"/>
        <v>0</v>
      </c>
      <c r="BA907" s="25">
        <f>SUM(BA903:BA906)</f>
        <v>0</v>
      </c>
      <c r="BC907" s="10">
        <f>SUM(BC903:BC906)</f>
        <v>0</v>
      </c>
      <c r="BD907" s="11">
        <f t="shared" ref="BD907:BG907" si="4172">SUM(BD903:BD906)</f>
        <v>0</v>
      </c>
      <c r="BE907" s="11">
        <f t="shared" si="4172"/>
        <v>0</v>
      </c>
      <c r="BF907" s="11">
        <f t="shared" si="4172"/>
        <v>0</v>
      </c>
      <c r="BG907" s="11">
        <f t="shared" si="4172"/>
        <v>0</v>
      </c>
      <c r="BH907" s="25">
        <f>SUM(BH903:BH906)</f>
        <v>0</v>
      </c>
      <c r="BJ907" s="10">
        <f>SUM(BJ903:BJ906)</f>
        <v>0</v>
      </c>
      <c r="BK907" s="11">
        <f t="shared" ref="BK907:BN907" si="4173">SUM(BK903:BK906)</f>
        <v>0</v>
      </c>
      <c r="BL907" s="11">
        <f t="shared" si="4173"/>
        <v>0</v>
      </c>
      <c r="BM907" s="11">
        <f t="shared" si="4173"/>
        <v>0</v>
      </c>
      <c r="BN907" s="11">
        <f t="shared" si="4173"/>
        <v>0</v>
      </c>
      <c r="BO907" s="25">
        <f>SUM(BO903:BO906)</f>
        <v>0</v>
      </c>
      <c r="BQ907" s="10">
        <f>SUM(BQ903:BQ906)</f>
        <v>0</v>
      </c>
      <c r="BR907" s="11">
        <f t="shared" ref="BR907:BU907" si="4174">SUM(BR903:BR906)</f>
        <v>0</v>
      </c>
      <c r="BS907" s="11">
        <f t="shared" si="4174"/>
        <v>0</v>
      </c>
      <c r="BT907" s="11">
        <f t="shared" si="4174"/>
        <v>0</v>
      </c>
      <c r="BU907" s="11">
        <f t="shared" si="4174"/>
        <v>0</v>
      </c>
      <c r="BV907" s="25">
        <f>SUM(BV903:BV906)</f>
        <v>0</v>
      </c>
      <c r="BX907" s="10">
        <f>SUM(BX903:BX906)</f>
        <v>0</v>
      </c>
      <c r="BY907" s="11">
        <f t="shared" ref="BY907:CB907" si="4175">SUM(BY903:BY906)</f>
        <v>0</v>
      </c>
      <c r="BZ907" s="11">
        <f t="shared" si="4175"/>
        <v>0</v>
      </c>
      <c r="CA907" s="11">
        <f t="shared" si="4175"/>
        <v>0</v>
      </c>
      <c r="CB907" s="11">
        <f t="shared" si="4175"/>
        <v>0</v>
      </c>
      <c r="CC907" s="25">
        <f>SUM(CC903:CC906)</f>
        <v>0</v>
      </c>
      <c r="CE907" s="62">
        <f t="shared" ref="CE907:CJ907" si="4176">SUM(CE903:CE906)</f>
        <v>0</v>
      </c>
      <c r="CF907" s="63">
        <f t="shared" si="4176"/>
        <v>0</v>
      </c>
      <c r="CG907" s="63">
        <f t="shared" si="4176"/>
        <v>0</v>
      </c>
      <c r="CH907" s="63">
        <f t="shared" si="4176"/>
        <v>0</v>
      </c>
      <c r="CI907" s="63">
        <f t="shared" si="4176"/>
        <v>0</v>
      </c>
      <c r="CJ907" s="25">
        <f t="shared" si="4176"/>
        <v>0</v>
      </c>
      <c r="CL907" s="10">
        <f>SUM(CL903:CL906)</f>
        <v>0</v>
      </c>
      <c r="CM907" s="11">
        <f t="shared" ref="CM907:CP907" si="4177">SUM(CM903:CM906)</f>
        <v>0</v>
      </c>
      <c r="CN907" s="11">
        <f t="shared" si="4177"/>
        <v>0</v>
      </c>
      <c r="CO907" s="11">
        <f t="shared" si="4177"/>
        <v>0</v>
      </c>
      <c r="CP907" s="11">
        <f t="shared" si="4177"/>
        <v>0</v>
      </c>
      <c r="CQ907" s="25">
        <f>SUM(CQ903:CQ906)</f>
        <v>0</v>
      </c>
      <c r="CS907" s="10">
        <f>SUM(CS903:CS906)</f>
        <v>0</v>
      </c>
      <c r="CT907" s="11">
        <f t="shared" ref="CT907:CW907" si="4178">SUM(CT903:CT906)</f>
        <v>0</v>
      </c>
      <c r="CU907" s="11">
        <f t="shared" si="4178"/>
        <v>0</v>
      </c>
      <c r="CV907" s="11">
        <f t="shared" si="4178"/>
        <v>0</v>
      </c>
      <c r="CW907" s="11">
        <f t="shared" si="4178"/>
        <v>0</v>
      </c>
      <c r="CX907" s="25">
        <f>SUM(CX903:CX906)</f>
        <v>0</v>
      </c>
      <c r="CZ907" s="10">
        <f>SUM(CZ903:CZ906)</f>
        <v>0</v>
      </c>
      <c r="DA907" s="11">
        <f t="shared" ref="DA907:DD907" si="4179">SUM(DA903:DA906)</f>
        <v>0</v>
      </c>
      <c r="DB907" s="11">
        <f t="shared" si="4179"/>
        <v>0</v>
      </c>
      <c r="DC907" s="11">
        <f t="shared" si="4179"/>
        <v>0</v>
      </c>
      <c r="DD907" s="11">
        <f t="shared" si="4179"/>
        <v>0</v>
      </c>
      <c r="DE907" s="25">
        <f>SUM(DE903:DE906)</f>
        <v>0</v>
      </c>
    </row>
    <row r="908" spans="2:109" ht="10.4" customHeight="1" thickBot="1"/>
    <row r="909" spans="2:109">
      <c r="C909" s="553">
        <v>2025</v>
      </c>
      <c r="E909" s="13" t="s">
        <v>59</v>
      </c>
      <c r="F909" s="21">
        <f>CE903</f>
        <v>0</v>
      </c>
      <c r="G909" s="22">
        <f t="shared" ref="G909:G912" si="4180">CF903</f>
        <v>0</v>
      </c>
      <c r="H909" s="22">
        <f t="shared" ref="H909:H912" si="4181">CG903</f>
        <v>0</v>
      </c>
      <c r="I909" s="22">
        <f t="shared" ref="I909:I912" si="4182">CH903</f>
        <v>0</v>
      </c>
      <c r="J909" s="22">
        <f t="shared" ref="J909:J912" si="4183">CI903</f>
        <v>0</v>
      </c>
      <c r="K909" s="15">
        <f>SUM(F909:J909)</f>
        <v>0</v>
      </c>
      <c r="M909" s="2"/>
      <c r="N909" s="3"/>
      <c r="O909" s="3"/>
      <c r="P909" s="3"/>
      <c r="Q909" s="3"/>
      <c r="R909" s="15">
        <f>SUM(M909:Q909)</f>
        <v>0</v>
      </c>
      <c r="T909" s="2"/>
      <c r="U909" s="3"/>
      <c r="V909" s="3"/>
      <c r="W909" s="3"/>
      <c r="X909" s="3"/>
      <c r="Y909" s="15">
        <f>SUM(T909:X909)</f>
        <v>0</v>
      </c>
      <c r="AA909" s="2"/>
      <c r="AB909" s="3"/>
      <c r="AC909" s="3"/>
      <c r="AD909" s="3"/>
      <c r="AE909" s="3"/>
      <c r="AF909" s="15">
        <f>SUM(AA909:AE909)</f>
        <v>0</v>
      </c>
      <c r="AH909" s="2"/>
      <c r="AI909" s="3"/>
      <c r="AJ909" s="3"/>
      <c r="AK909" s="3"/>
      <c r="AL909" s="3"/>
      <c r="AM909" s="15">
        <f>SUM(AH909:AL909)</f>
        <v>0</v>
      </c>
      <c r="AO909" s="2"/>
      <c r="AP909" s="3"/>
      <c r="AQ909" s="3"/>
      <c r="AR909" s="3"/>
      <c r="AS909" s="3"/>
      <c r="AT909" s="15">
        <f>SUM(AO909:AS909)</f>
        <v>0</v>
      </c>
      <c r="AV909" s="2"/>
      <c r="AW909" s="3"/>
      <c r="AX909" s="3"/>
      <c r="AY909" s="3"/>
      <c r="AZ909" s="3"/>
      <c r="BA909" s="15">
        <f>SUM(AV909:AZ909)</f>
        <v>0</v>
      </c>
      <c r="BC909" s="2"/>
      <c r="BD909" s="3"/>
      <c r="BE909" s="3"/>
      <c r="BF909" s="3"/>
      <c r="BG909" s="3"/>
      <c r="BH909" s="15">
        <f>SUM(BC909:BG909)</f>
        <v>0</v>
      </c>
      <c r="BJ909" s="2"/>
      <c r="BK909" s="3"/>
      <c r="BL909" s="3"/>
      <c r="BM909" s="3"/>
      <c r="BN909" s="3"/>
      <c r="BO909" s="15">
        <f>SUM(BJ909:BN909)</f>
        <v>0</v>
      </c>
      <c r="BQ909" s="2"/>
      <c r="BR909" s="3"/>
      <c r="BS909" s="3"/>
      <c r="BT909" s="3"/>
      <c r="BU909" s="3"/>
      <c r="BV909" s="15">
        <f>SUM(BQ909:BU909)</f>
        <v>0</v>
      </c>
      <c r="BX909" s="2"/>
      <c r="BY909" s="3"/>
      <c r="BZ909" s="3"/>
      <c r="CA909" s="3"/>
      <c r="CB909" s="3"/>
      <c r="CC909" s="15">
        <f>SUM(BX909:CB909)</f>
        <v>0</v>
      </c>
      <c r="CE909" s="26">
        <f t="shared" ref="CE909:CE912" si="4184">F909+M909+T909+AA909+AH909+AO909+AV909+BC909+BJ909+BQ909+BX909</f>
        <v>0</v>
      </c>
      <c r="CF909" s="27">
        <f t="shared" ref="CF909:CF912" si="4185">G909+N909+U909+AB909+AI909+AP909+AW909+BD909+BK909+BR909+BY909</f>
        <v>0</v>
      </c>
      <c r="CG909" s="27">
        <f t="shared" ref="CG909:CG912" si="4186">H909+O909+V909+AC909+AJ909+AQ909+AX909+BE909+BL909+BS909+BZ909</f>
        <v>0</v>
      </c>
      <c r="CH909" s="27">
        <f t="shared" ref="CH909:CH912" si="4187">I909+P909+W909+AD909+AK909+AR909+AY909+BF909+BM909+BT909+CA909</f>
        <v>0</v>
      </c>
      <c r="CI909" s="27">
        <f t="shared" ref="CI909:CI912" si="4188">J909+Q909+X909+AE909+AL909+AS909+AZ909+BG909+BN909+BU909+CB909</f>
        <v>0</v>
      </c>
      <c r="CJ909" s="4">
        <f>SUM(CE909:CI909)</f>
        <v>0</v>
      </c>
      <c r="CL909" s="2"/>
      <c r="CM909" s="3"/>
      <c r="CN909" s="3"/>
      <c r="CO909" s="3"/>
      <c r="CP909" s="3"/>
      <c r="CQ909" s="15">
        <f>SUM(CL909:CP909)</f>
        <v>0</v>
      </c>
      <c r="CS909" s="2"/>
      <c r="CT909" s="3"/>
      <c r="CU909" s="3"/>
      <c r="CV909" s="3"/>
      <c r="CW909" s="3"/>
      <c r="CX909" s="4">
        <f>SUM(CS909:CW909)</f>
        <v>0</v>
      </c>
      <c r="CZ909" s="2"/>
      <c r="DA909" s="3"/>
      <c r="DB909" s="3"/>
      <c r="DC909" s="3"/>
      <c r="DD909" s="3"/>
      <c r="DE909" s="15">
        <f>SUM(CZ909:DD909)</f>
        <v>0</v>
      </c>
    </row>
    <row r="910" spans="2:109">
      <c r="C910" s="567"/>
      <c r="E910" s="14" t="s">
        <v>60</v>
      </c>
      <c r="F910" s="23">
        <f t="shared" ref="F910:F912" si="4189">CE904</f>
        <v>0</v>
      </c>
      <c r="G910" s="24">
        <f t="shared" si="4180"/>
        <v>0</v>
      </c>
      <c r="H910" s="24">
        <f t="shared" si="4181"/>
        <v>0</v>
      </c>
      <c r="I910" s="24">
        <f t="shared" si="4182"/>
        <v>0</v>
      </c>
      <c r="J910" s="24">
        <f t="shared" si="4183"/>
        <v>0</v>
      </c>
      <c r="K910" s="16">
        <f t="shared" ref="K910:K912" si="4190">SUM(F910:J910)</f>
        <v>0</v>
      </c>
      <c r="M910" s="6"/>
      <c r="N910" s="7"/>
      <c r="O910" s="7"/>
      <c r="P910" s="7"/>
      <c r="Q910" s="7"/>
      <c r="R910" s="16">
        <f t="shared" ref="R910:R912" si="4191">SUM(M910:Q910)</f>
        <v>0</v>
      </c>
      <c r="T910" s="6"/>
      <c r="U910" s="7"/>
      <c r="V910" s="7"/>
      <c r="W910" s="7"/>
      <c r="X910" s="7"/>
      <c r="Y910" s="16">
        <f t="shared" ref="Y910:Y912" si="4192">SUM(T910:X910)</f>
        <v>0</v>
      </c>
      <c r="AA910" s="6"/>
      <c r="AB910" s="7"/>
      <c r="AC910" s="7"/>
      <c r="AD910" s="7"/>
      <c r="AE910" s="7"/>
      <c r="AF910" s="16">
        <f>SUM(AA910:AE910)</f>
        <v>0</v>
      </c>
      <c r="AH910" s="6"/>
      <c r="AI910" s="7"/>
      <c r="AJ910" s="7"/>
      <c r="AK910" s="7"/>
      <c r="AL910" s="7"/>
      <c r="AM910" s="16">
        <f>SUM(AH910:AL910)</f>
        <v>0</v>
      </c>
      <c r="AO910" s="6"/>
      <c r="AP910" s="7"/>
      <c r="AQ910" s="7"/>
      <c r="AR910" s="7"/>
      <c r="AS910" s="7"/>
      <c r="AT910" s="16">
        <f>SUM(AO910:AS910)</f>
        <v>0</v>
      </c>
      <c r="AV910" s="6"/>
      <c r="AW910" s="7"/>
      <c r="AX910" s="7"/>
      <c r="AY910" s="7"/>
      <c r="AZ910" s="7"/>
      <c r="BA910" s="16">
        <f>SUM(AV910:AZ910)</f>
        <v>0</v>
      </c>
      <c r="BC910" s="6"/>
      <c r="BD910" s="7"/>
      <c r="BE910" s="7"/>
      <c r="BF910" s="7"/>
      <c r="BG910" s="7"/>
      <c r="BH910" s="16">
        <f>SUM(BC910:BG910)</f>
        <v>0</v>
      </c>
      <c r="BJ910" s="6"/>
      <c r="BK910" s="7"/>
      <c r="BL910" s="7"/>
      <c r="BM910" s="7"/>
      <c r="BN910" s="7"/>
      <c r="BO910" s="16">
        <f>SUM(BJ910:BN910)</f>
        <v>0</v>
      </c>
      <c r="BQ910" s="6"/>
      <c r="BR910" s="7"/>
      <c r="BS910" s="7"/>
      <c r="BT910" s="7"/>
      <c r="BU910" s="7"/>
      <c r="BV910" s="16">
        <f>SUM(BQ910:BU910)</f>
        <v>0</v>
      </c>
      <c r="BX910" s="6"/>
      <c r="BY910" s="7"/>
      <c r="BZ910" s="7"/>
      <c r="CA910" s="7"/>
      <c r="CB910" s="7"/>
      <c r="CC910" s="16">
        <f>SUM(BX910:CB910)</f>
        <v>0</v>
      </c>
      <c r="CE910" s="28">
        <f t="shared" si="4184"/>
        <v>0</v>
      </c>
      <c r="CF910" s="29">
        <f t="shared" si="4185"/>
        <v>0</v>
      </c>
      <c r="CG910" s="29">
        <f t="shared" si="4186"/>
        <v>0</v>
      </c>
      <c r="CH910" s="29">
        <f t="shared" si="4187"/>
        <v>0</v>
      </c>
      <c r="CI910" s="29">
        <f t="shared" si="4188"/>
        <v>0</v>
      </c>
      <c r="CJ910" s="8">
        <f>SUM(CE910:CI910)</f>
        <v>0</v>
      </c>
      <c r="CL910" s="6"/>
      <c r="CM910" s="7"/>
      <c r="CN910" s="7"/>
      <c r="CO910" s="7"/>
      <c r="CP910" s="7"/>
      <c r="CQ910" s="16">
        <f>SUM(CL910:CP910)</f>
        <v>0</v>
      </c>
      <c r="CS910" s="6"/>
      <c r="CT910" s="7"/>
      <c r="CU910" s="7"/>
      <c r="CV910" s="7"/>
      <c r="CW910" s="7"/>
      <c r="CX910" s="8">
        <f t="shared" ref="CX910:CX912" si="4193">SUM(CS910:CW910)</f>
        <v>0</v>
      </c>
      <c r="CZ910" s="6"/>
      <c r="DA910" s="7"/>
      <c r="DB910" s="7"/>
      <c r="DC910" s="7"/>
      <c r="DD910" s="7"/>
      <c r="DE910" s="16">
        <f t="shared" ref="DE910:DE912" si="4194">SUM(CZ910:DD910)</f>
        <v>0</v>
      </c>
    </row>
    <row r="911" spans="2:109">
      <c r="C911" s="567"/>
      <c r="E911" s="14" t="s">
        <v>61</v>
      </c>
      <c r="F911" s="23">
        <f t="shared" si="4189"/>
        <v>0</v>
      </c>
      <c r="G911" s="24">
        <f t="shared" si="4180"/>
        <v>0</v>
      </c>
      <c r="H911" s="24">
        <f t="shared" si="4181"/>
        <v>0</v>
      </c>
      <c r="I911" s="24">
        <f t="shared" si="4182"/>
        <v>0</v>
      </c>
      <c r="J911" s="24">
        <f t="shared" si="4183"/>
        <v>0</v>
      </c>
      <c r="K911" s="16">
        <f t="shared" si="4190"/>
        <v>0</v>
      </c>
      <c r="M911" s="6"/>
      <c r="N911" s="7"/>
      <c r="O911" s="7"/>
      <c r="P911" s="7"/>
      <c r="Q911" s="7"/>
      <c r="R911" s="16">
        <f t="shared" si="4191"/>
        <v>0</v>
      </c>
      <c r="T911" s="6"/>
      <c r="U911" s="7"/>
      <c r="V911" s="7"/>
      <c r="W911" s="7"/>
      <c r="X911" s="7"/>
      <c r="Y911" s="16">
        <f t="shared" si="4192"/>
        <v>0</v>
      </c>
      <c r="AA911" s="6"/>
      <c r="AB911" s="7"/>
      <c r="AC911" s="7"/>
      <c r="AD911" s="7"/>
      <c r="AE911" s="7"/>
      <c r="AF911" s="16">
        <f>SUM(AA911:AE911)</f>
        <v>0</v>
      </c>
      <c r="AH911" s="6"/>
      <c r="AI911" s="7"/>
      <c r="AJ911" s="7"/>
      <c r="AK911" s="7"/>
      <c r="AL911" s="7"/>
      <c r="AM911" s="16">
        <f>SUM(AH911:AL911)</f>
        <v>0</v>
      </c>
      <c r="AO911" s="6"/>
      <c r="AP911" s="7"/>
      <c r="AQ911" s="7"/>
      <c r="AR911" s="7"/>
      <c r="AS911" s="7"/>
      <c r="AT911" s="16">
        <f>SUM(AO911:AS911)</f>
        <v>0</v>
      </c>
      <c r="AV911" s="6"/>
      <c r="AW911" s="7"/>
      <c r="AX911" s="7"/>
      <c r="AY911" s="7"/>
      <c r="AZ911" s="7"/>
      <c r="BA911" s="16">
        <f>SUM(AV911:AZ911)</f>
        <v>0</v>
      </c>
      <c r="BC911" s="6"/>
      <c r="BD911" s="7"/>
      <c r="BE911" s="7"/>
      <c r="BF911" s="7"/>
      <c r="BG911" s="7"/>
      <c r="BH911" s="16">
        <f>SUM(BC911:BG911)</f>
        <v>0</v>
      </c>
      <c r="BJ911" s="6"/>
      <c r="BK911" s="7"/>
      <c r="BL911" s="7"/>
      <c r="BM911" s="7"/>
      <c r="BN911" s="7"/>
      <c r="BO911" s="16">
        <f>SUM(BJ911:BN911)</f>
        <v>0</v>
      </c>
      <c r="BQ911" s="6"/>
      <c r="BR911" s="7"/>
      <c r="BS911" s="7"/>
      <c r="BT911" s="7"/>
      <c r="BU911" s="7"/>
      <c r="BV911" s="16">
        <f>SUM(BQ911:BU911)</f>
        <v>0</v>
      </c>
      <c r="BX911" s="6"/>
      <c r="BY911" s="7"/>
      <c r="BZ911" s="7"/>
      <c r="CA911" s="7"/>
      <c r="CB911" s="7"/>
      <c r="CC911" s="16">
        <f>SUM(BX911:CB911)</f>
        <v>0</v>
      </c>
      <c r="CE911" s="28">
        <f t="shared" si="4184"/>
        <v>0</v>
      </c>
      <c r="CF911" s="29">
        <f t="shared" si="4185"/>
        <v>0</v>
      </c>
      <c r="CG911" s="29">
        <f t="shared" si="4186"/>
        <v>0</v>
      </c>
      <c r="CH911" s="29">
        <f t="shared" si="4187"/>
        <v>0</v>
      </c>
      <c r="CI911" s="29">
        <f t="shared" si="4188"/>
        <v>0</v>
      </c>
      <c r="CJ911" s="8">
        <f>SUM(CE911:CI911)</f>
        <v>0</v>
      </c>
      <c r="CL911" s="6"/>
      <c r="CM911" s="7"/>
      <c r="CN911" s="7"/>
      <c r="CO911" s="7"/>
      <c r="CP911" s="7"/>
      <c r="CQ911" s="16">
        <f>SUM(CL911:CP911)</f>
        <v>0</v>
      </c>
      <c r="CS911" s="6"/>
      <c r="CT911" s="7"/>
      <c r="CU911" s="7"/>
      <c r="CV911" s="7"/>
      <c r="CW911" s="7"/>
      <c r="CX911" s="8">
        <f t="shared" si="4193"/>
        <v>0</v>
      </c>
      <c r="CZ911" s="6"/>
      <c r="DA911" s="7"/>
      <c r="DB911" s="7"/>
      <c r="DC911" s="7"/>
      <c r="DD911" s="7"/>
      <c r="DE911" s="16">
        <f t="shared" si="4194"/>
        <v>0</v>
      </c>
    </row>
    <row r="912" spans="2:109" ht="14" thickBot="1">
      <c r="C912" s="567"/>
      <c r="E912" s="14" t="s">
        <v>62</v>
      </c>
      <c r="F912" s="23">
        <f t="shared" si="4189"/>
        <v>0</v>
      </c>
      <c r="G912" s="24">
        <f t="shared" si="4180"/>
        <v>0</v>
      </c>
      <c r="H912" s="24">
        <f t="shared" si="4181"/>
        <v>0</v>
      </c>
      <c r="I912" s="24">
        <f t="shared" si="4182"/>
        <v>0</v>
      </c>
      <c r="J912" s="24">
        <f t="shared" si="4183"/>
        <v>0</v>
      </c>
      <c r="K912" s="16">
        <f t="shared" si="4190"/>
        <v>0</v>
      </c>
      <c r="M912" s="6"/>
      <c r="N912" s="7"/>
      <c r="O912" s="7"/>
      <c r="P912" s="7"/>
      <c r="Q912" s="7"/>
      <c r="R912" s="16">
        <f t="shared" si="4191"/>
        <v>0</v>
      </c>
      <c r="T912" s="6"/>
      <c r="U912" s="7"/>
      <c r="V912" s="7"/>
      <c r="W912" s="7"/>
      <c r="X912" s="7"/>
      <c r="Y912" s="16">
        <f t="shared" si="4192"/>
        <v>0</v>
      </c>
      <c r="AA912" s="6"/>
      <c r="AB912" s="7"/>
      <c r="AC912" s="7"/>
      <c r="AD912" s="7"/>
      <c r="AE912" s="7"/>
      <c r="AF912" s="16">
        <f>SUM(AA912:AE912)</f>
        <v>0</v>
      </c>
      <c r="AH912" s="6"/>
      <c r="AI912" s="7"/>
      <c r="AJ912" s="7"/>
      <c r="AK912" s="7"/>
      <c r="AL912" s="7"/>
      <c r="AM912" s="16">
        <f>SUM(AH912:AL912)</f>
        <v>0</v>
      </c>
      <c r="AO912" s="6"/>
      <c r="AP912" s="7"/>
      <c r="AQ912" s="7"/>
      <c r="AR912" s="7"/>
      <c r="AS912" s="7"/>
      <c r="AT912" s="16">
        <f>SUM(AO912:AS912)</f>
        <v>0</v>
      </c>
      <c r="AV912" s="6"/>
      <c r="AW912" s="7"/>
      <c r="AX912" s="7"/>
      <c r="AY912" s="7"/>
      <c r="AZ912" s="7"/>
      <c r="BA912" s="16">
        <f>SUM(AV912:AZ912)</f>
        <v>0</v>
      </c>
      <c r="BC912" s="6"/>
      <c r="BD912" s="7"/>
      <c r="BE912" s="7"/>
      <c r="BF912" s="7"/>
      <c r="BG912" s="7"/>
      <c r="BH912" s="16">
        <f>SUM(BC912:BG912)</f>
        <v>0</v>
      </c>
      <c r="BJ912" s="6"/>
      <c r="BK912" s="7"/>
      <c r="BL912" s="7"/>
      <c r="BM912" s="7"/>
      <c r="BN912" s="7"/>
      <c r="BO912" s="16">
        <f>SUM(BJ912:BN912)</f>
        <v>0</v>
      </c>
      <c r="BQ912" s="6"/>
      <c r="BR912" s="7"/>
      <c r="BS912" s="7"/>
      <c r="BT912" s="7"/>
      <c r="BU912" s="7"/>
      <c r="BV912" s="16">
        <f>SUM(BQ912:BU912)</f>
        <v>0</v>
      </c>
      <c r="BX912" s="6"/>
      <c r="BY912" s="7"/>
      <c r="BZ912" s="7"/>
      <c r="CA912" s="7"/>
      <c r="CB912" s="7"/>
      <c r="CC912" s="16">
        <f>SUM(BX912:CB912)</f>
        <v>0</v>
      </c>
      <c r="CE912" s="493">
        <f t="shared" si="4184"/>
        <v>0</v>
      </c>
      <c r="CF912" s="494">
        <f t="shared" si="4185"/>
        <v>0</v>
      </c>
      <c r="CG912" s="494">
        <f t="shared" si="4186"/>
        <v>0</v>
      </c>
      <c r="CH912" s="494">
        <f t="shared" si="4187"/>
        <v>0</v>
      </c>
      <c r="CI912" s="494">
        <f t="shared" si="4188"/>
        <v>0</v>
      </c>
      <c r="CJ912" s="495">
        <f>SUM(CE912:CI912)</f>
        <v>0</v>
      </c>
      <c r="CL912" s="6"/>
      <c r="CM912" s="7"/>
      <c r="CN912" s="7"/>
      <c r="CO912" s="7"/>
      <c r="CP912" s="7"/>
      <c r="CQ912" s="16">
        <f>SUM(CL912:CP912)</f>
        <v>0</v>
      </c>
      <c r="CS912" s="6"/>
      <c r="CT912" s="7"/>
      <c r="CU912" s="7"/>
      <c r="CV912" s="7"/>
      <c r="CW912" s="7"/>
      <c r="CX912" s="8">
        <f t="shared" si="4193"/>
        <v>0</v>
      </c>
      <c r="CZ912" s="6"/>
      <c r="DA912" s="7"/>
      <c r="DB912" s="7"/>
      <c r="DC912" s="7"/>
      <c r="DD912" s="7"/>
      <c r="DE912" s="16">
        <f t="shared" si="4194"/>
        <v>0</v>
      </c>
    </row>
    <row r="913" spans="3:109" ht="14" thickBot="1">
      <c r="C913" s="554"/>
      <c r="E913" s="17"/>
      <c r="F913" s="10">
        <f>SUM(F909:F912)</f>
        <v>0</v>
      </c>
      <c r="G913" s="11">
        <f t="shared" ref="G913:J913" si="4195">SUM(G909:G912)</f>
        <v>0</v>
      </c>
      <c r="H913" s="11">
        <f t="shared" si="4195"/>
        <v>0</v>
      </c>
      <c r="I913" s="11">
        <f t="shared" si="4195"/>
        <v>0</v>
      </c>
      <c r="J913" s="11">
        <f t="shared" si="4195"/>
        <v>0</v>
      </c>
      <c r="K913" s="25">
        <f>SUM(K909:K912)</f>
        <v>0</v>
      </c>
      <c r="M913" s="10">
        <f>SUM(M909:M912)</f>
        <v>0</v>
      </c>
      <c r="N913" s="11">
        <f t="shared" ref="N913:Q913" si="4196">SUM(N909:N912)</f>
        <v>0</v>
      </c>
      <c r="O913" s="11">
        <f t="shared" si="4196"/>
        <v>0</v>
      </c>
      <c r="P913" s="11">
        <f t="shared" si="4196"/>
        <v>0</v>
      </c>
      <c r="Q913" s="11">
        <f t="shared" si="4196"/>
        <v>0</v>
      </c>
      <c r="R913" s="25">
        <f>SUM(R909:R912)</f>
        <v>0</v>
      </c>
      <c r="T913" s="10">
        <f>SUM(T909:T912)</f>
        <v>0</v>
      </c>
      <c r="U913" s="11">
        <f t="shared" ref="U913:X913" si="4197">SUM(U909:U912)</f>
        <v>0</v>
      </c>
      <c r="V913" s="11">
        <f t="shared" si="4197"/>
        <v>0</v>
      </c>
      <c r="W913" s="11">
        <f t="shared" si="4197"/>
        <v>0</v>
      </c>
      <c r="X913" s="11">
        <f t="shared" si="4197"/>
        <v>0</v>
      </c>
      <c r="Y913" s="25">
        <f>SUM(Y909:Y912)</f>
        <v>0</v>
      </c>
      <c r="AA913" s="10">
        <f>SUM(AA909:AA912)</f>
        <v>0</v>
      </c>
      <c r="AB913" s="11">
        <f t="shared" ref="AB913:AE913" si="4198">SUM(AB909:AB912)</f>
        <v>0</v>
      </c>
      <c r="AC913" s="11">
        <f t="shared" si="4198"/>
        <v>0</v>
      </c>
      <c r="AD913" s="11">
        <f t="shared" si="4198"/>
        <v>0</v>
      </c>
      <c r="AE913" s="11">
        <f t="shared" si="4198"/>
        <v>0</v>
      </c>
      <c r="AF913" s="25">
        <f>SUM(AF909:AF912)</f>
        <v>0</v>
      </c>
      <c r="AH913" s="10">
        <f>SUM(AH909:AH912)</f>
        <v>0</v>
      </c>
      <c r="AI913" s="11">
        <f t="shared" ref="AI913:AL913" si="4199">SUM(AI909:AI912)</f>
        <v>0</v>
      </c>
      <c r="AJ913" s="11">
        <f t="shared" si="4199"/>
        <v>0</v>
      </c>
      <c r="AK913" s="11">
        <f t="shared" si="4199"/>
        <v>0</v>
      </c>
      <c r="AL913" s="11">
        <f t="shared" si="4199"/>
        <v>0</v>
      </c>
      <c r="AM913" s="25">
        <f>SUM(AM909:AM912)</f>
        <v>0</v>
      </c>
      <c r="AO913" s="10">
        <f>SUM(AO909:AO912)</f>
        <v>0</v>
      </c>
      <c r="AP913" s="11">
        <f t="shared" ref="AP913:AS913" si="4200">SUM(AP909:AP912)</f>
        <v>0</v>
      </c>
      <c r="AQ913" s="11">
        <f t="shared" si="4200"/>
        <v>0</v>
      </c>
      <c r="AR913" s="11">
        <f t="shared" si="4200"/>
        <v>0</v>
      </c>
      <c r="AS913" s="11">
        <f t="shared" si="4200"/>
        <v>0</v>
      </c>
      <c r="AT913" s="25">
        <f>SUM(AT909:AT912)</f>
        <v>0</v>
      </c>
      <c r="AV913" s="10">
        <f>SUM(AV909:AV912)</f>
        <v>0</v>
      </c>
      <c r="AW913" s="11">
        <f t="shared" ref="AW913:AZ913" si="4201">SUM(AW909:AW912)</f>
        <v>0</v>
      </c>
      <c r="AX913" s="11">
        <f t="shared" si="4201"/>
        <v>0</v>
      </c>
      <c r="AY913" s="11">
        <f t="shared" si="4201"/>
        <v>0</v>
      </c>
      <c r="AZ913" s="11">
        <f t="shared" si="4201"/>
        <v>0</v>
      </c>
      <c r="BA913" s="25">
        <f>SUM(BA909:BA912)</f>
        <v>0</v>
      </c>
      <c r="BC913" s="10">
        <f>SUM(BC909:BC912)</f>
        <v>0</v>
      </c>
      <c r="BD913" s="11">
        <f t="shared" ref="BD913:BG913" si="4202">SUM(BD909:BD912)</f>
        <v>0</v>
      </c>
      <c r="BE913" s="11">
        <f t="shared" si="4202"/>
        <v>0</v>
      </c>
      <c r="BF913" s="11">
        <f t="shared" si="4202"/>
        <v>0</v>
      </c>
      <c r="BG913" s="11">
        <f t="shared" si="4202"/>
        <v>0</v>
      </c>
      <c r="BH913" s="25">
        <f>SUM(BH909:BH912)</f>
        <v>0</v>
      </c>
      <c r="BJ913" s="10">
        <f>SUM(BJ909:BJ912)</f>
        <v>0</v>
      </c>
      <c r="BK913" s="11">
        <f t="shared" ref="BK913:BN913" si="4203">SUM(BK909:BK912)</f>
        <v>0</v>
      </c>
      <c r="BL913" s="11">
        <f t="shared" si="4203"/>
        <v>0</v>
      </c>
      <c r="BM913" s="11">
        <f t="shared" si="4203"/>
        <v>0</v>
      </c>
      <c r="BN913" s="11">
        <f t="shared" si="4203"/>
        <v>0</v>
      </c>
      <c r="BO913" s="25">
        <f>SUM(BO909:BO912)</f>
        <v>0</v>
      </c>
      <c r="BQ913" s="10">
        <f>SUM(BQ909:BQ912)</f>
        <v>0</v>
      </c>
      <c r="BR913" s="11">
        <f t="shared" ref="BR913:BU913" si="4204">SUM(BR909:BR912)</f>
        <v>0</v>
      </c>
      <c r="BS913" s="11">
        <f t="shared" si="4204"/>
        <v>0</v>
      </c>
      <c r="BT913" s="11">
        <f t="shared" si="4204"/>
        <v>0</v>
      </c>
      <c r="BU913" s="11">
        <f t="shared" si="4204"/>
        <v>0</v>
      </c>
      <c r="BV913" s="25">
        <f>SUM(BV909:BV912)</f>
        <v>0</v>
      </c>
      <c r="BX913" s="10">
        <f>SUM(BX909:BX912)</f>
        <v>0</v>
      </c>
      <c r="BY913" s="11">
        <f t="shared" ref="BY913:CB913" si="4205">SUM(BY909:BY912)</f>
        <v>0</v>
      </c>
      <c r="BZ913" s="11">
        <f t="shared" si="4205"/>
        <v>0</v>
      </c>
      <c r="CA913" s="11">
        <f t="shared" si="4205"/>
        <v>0</v>
      </c>
      <c r="CB913" s="11">
        <f t="shared" si="4205"/>
        <v>0</v>
      </c>
      <c r="CC913" s="25">
        <f>SUM(CC909:CC912)</f>
        <v>0</v>
      </c>
      <c r="CE913" s="62">
        <f t="shared" ref="CE913:CJ913" si="4206">SUM(CE909:CE912)</f>
        <v>0</v>
      </c>
      <c r="CF913" s="63">
        <f t="shared" si="4206"/>
        <v>0</v>
      </c>
      <c r="CG913" s="63">
        <f t="shared" si="4206"/>
        <v>0</v>
      </c>
      <c r="CH913" s="63">
        <f t="shared" si="4206"/>
        <v>0</v>
      </c>
      <c r="CI913" s="63">
        <f t="shared" si="4206"/>
        <v>0</v>
      </c>
      <c r="CJ913" s="25">
        <f t="shared" si="4206"/>
        <v>0</v>
      </c>
      <c r="CL913" s="10">
        <f>SUM(CL909:CL912)</f>
        <v>0</v>
      </c>
      <c r="CM913" s="11">
        <f t="shared" ref="CM913:CP913" si="4207">SUM(CM909:CM912)</f>
        <v>0</v>
      </c>
      <c r="CN913" s="11">
        <f t="shared" si="4207"/>
        <v>0</v>
      </c>
      <c r="CO913" s="11">
        <f t="shared" si="4207"/>
        <v>0</v>
      </c>
      <c r="CP913" s="11">
        <f t="shared" si="4207"/>
        <v>0</v>
      </c>
      <c r="CQ913" s="25">
        <f>SUM(CQ909:CQ912)</f>
        <v>0</v>
      </c>
      <c r="CS913" s="10">
        <f>SUM(CS909:CS912)</f>
        <v>0</v>
      </c>
      <c r="CT913" s="11">
        <f t="shared" ref="CT913:CW913" si="4208">SUM(CT909:CT912)</f>
        <v>0</v>
      </c>
      <c r="CU913" s="11">
        <f t="shared" si="4208"/>
        <v>0</v>
      </c>
      <c r="CV913" s="11">
        <f t="shared" si="4208"/>
        <v>0</v>
      </c>
      <c r="CW913" s="11">
        <f t="shared" si="4208"/>
        <v>0</v>
      </c>
      <c r="CX913" s="25">
        <f>SUM(CX909:CX912)</f>
        <v>0</v>
      </c>
      <c r="CZ913" s="10">
        <f>SUM(CZ909:CZ912)</f>
        <v>0</v>
      </c>
      <c r="DA913" s="11">
        <f t="shared" ref="DA913:DD913" si="4209">SUM(DA909:DA912)</f>
        <v>0</v>
      </c>
      <c r="DB913" s="11">
        <f t="shared" si="4209"/>
        <v>0</v>
      </c>
      <c r="DC913" s="11">
        <f t="shared" si="4209"/>
        <v>0</v>
      </c>
      <c r="DD913" s="11">
        <f t="shared" si="4209"/>
        <v>0</v>
      </c>
      <c r="DE913" s="25">
        <f>SUM(DE909:DE912)</f>
        <v>0</v>
      </c>
    </row>
    <row r="914" spans="3:109" ht="10.4" customHeight="1" thickBot="1"/>
    <row r="915" spans="3:109">
      <c r="C915" s="553">
        <v>2026</v>
      </c>
      <c r="E915" s="13" t="s">
        <v>59</v>
      </c>
      <c r="F915" s="21">
        <f>CE909</f>
        <v>0</v>
      </c>
      <c r="G915" s="22">
        <f t="shared" ref="G915:G918" si="4210">CF909</f>
        <v>0</v>
      </c>
      <c r="H915" s="22">
        <f t="shared" ref="H915:H918" si="4211">CG909</f>
        <v>0</v>
      </c>
      <c r="I915" s="22">
        <f t="shared" ref="I915:I918" si="4212">CH909</f>
        <v>0</v>
      </c>
      <c r="J915" s="22">
        <f t="shared" ref="J915:J918" si="4213">CI909</f>
        <v>0</v>
      </c>
      <c r="K915" s="4">
        <f>SUM(F915:J915)</f>
        <v>0</v>
      </c>
      <c r="M915" s="2"/>
      <c r="N915" s="3"/>
      <c r="O915" s="3"/>
      <c r="P915" s="3"/>
      <c r="Q915" s="3"/>
      <c r="R915" s="4">
        <f>SUM(M915:Q915)</f>
        <v>0</v>
      </c>
      <c r="T915" s="2"/>
      <c r="U915" s="3"/>
      <c r="V915" s="3"/>
      <c r="W915" s="3"/>
      <c r="X915" s="3"/>
      <c r="Y915" s="4">
        <f>SUM(T915:X915)</f>
        <v>0</v>
      </c>
      <c r="AA915" s="2"/>
      <c r="AB915" s="3"/>
      <c r="AC915" s="3"/>
      <c r="AD915" s="3"/>
      <c r="AE915" s="3"/>
      <c r="AF915" s="4">
        <f>SUM(AA915:AE915)</f>
        <v>0</v>
      </c>
      <c r="AH915" s="2"/>
      <c r="AI915" s="3"/>
      <c r="AJ915" s="3"/>
      <c r="AK915" s="3"/>
      <c r="AL915" s="3"/>
      <c r="AM915" s="4">
        <f>SUM(AH915:AL915)</f>
        <v>0</v>
      </c>
      <c r="AO915" s="2"/>
      <c r="AP915" s="3"/>
      <c r="AQ915" s="3"/>
      <c r="AR915" s="3"/>
      <c r="AS915" s="3"/>
      <c r="AT915" s="4">
        <f>SUM(AO915:AS915)</f>
        <v>0</v>
      </c>
      <c r="AV915" s="2"/>
      <c r="AW915" s="3"/>
      <c r="AX915" s="3"/>
      <c r="AY915" s="3"/>
      <c r="AZ915" s="3"/>
      <c r="BA915" s="4">
        <f>SUM(AV915:AZ915)</f>
        <v>0</v>
      </c>
      <c r="BC915" s="2"/>
      <c r="BD915" s="3"/>
      <c r="BE915" s="3"/>
      <c r="BF915" s="3"/>
      <c r="BG915" s="3"/>
      <c r="BH915" s="4">
        <f>SUM(BC915:BG915)</f>
        <v>0</v>
      </c>
      <c r="BJ915" s="2"/>
      <c r="BK915" s="3"/>
      <c r="BL915" s="3"/>
      <c r="BM915" s="3"/>
      <c r="BN915" s="3"/>
      <c r="BO915" s="4">
        <f>SUM(BJ915:BN915)</f>
        <v>0</v>
      </c>
      <c r="BQ915" s="2"/>
      <c r="BR915" s="3"/>
      <c r="BS915" s="3"/>
      <c r="BT915" s="3"/>
      <c r="BU915" s="3"/>
      <c r="BV915" s="4">
        <f>SUM(BQ915:BU915)</f>
        <v>0</v>
      </c>
      <c r="BX915" s="2"/>
      <c r="BY915" s="3"/>
      <c r="BZ915" s="3"/>
      <c r="CA915" s="3"/>
      <c r="CB915" s="3"/>
      <c r="CC915" s="4">
        <f>SUM(BX915:CB915)</f>
        <v>0</v>
      </c>
      <c r="CE915" s="26">
        <f t="shared" ref="CE915:CE918" si="4214">F915+M915+T915+AA915+AH915+AO915+AV915+BC915+BJ915+BQ915+BX915</f>
        <v>0</v>
      </c>
      <c r="CF915" s="27">
        <f t="shared" ref="CF915:CF918" si="4215">G915+N915+U915+AB915+AI915+AP915+AW915+BD915+BK915+BR915+BY915</f>
        <v>0</v>
      </c>
      <c r="CG915" s="27">
        <f t="shared" ref="CG915:CG918" si="4216">H915+O915+V915+AC915+AJ915+AQ915+AX915+BE915+BL915+BS915+BZ915</f>
        <v>0</v>
      </c>
      <c r="CH915" s="27">
        <f t="shared" ref="CH915:CH918" si="4217">I915+P915+W915+AD915+AK915+AR915+AY915+BF915+BM915+BT915+CA915</f>
        <v>0</v>
      </c>
      <c r="CI915" s="27">
        <f t="shared" ref="CI915:CI918" si="4218">J915+Q915+X915+AE915+AL915+AS915+AZ915+BG915+BN915+BU915+CB915</f>
        <v>0</v>
      </c>
      <c r="CJ915" s="4">
        <f>SUM(CE915:CI915)</f>
        <v>0</v>
      </c>
      <c r="CL915" s="2"/>
      <c r="CM915" s="3"/>
      <c r="CN915" s="3"/>
      <c r="CO915" s="3"/>
      <c r="CP915" s="3"/>
      <c r="CQ915" s="4">
        <f>SUM(CL915:CP915)</f>
        <v>0</v>
      </c>
      <c r="CS915" s="2"/>
      <c r="CT915" s="3"/>
      <c r="CU915" s="3"/>
      <c r="CV915" s="3"/>
      <c r="CW915" s="3"/>
      <c r="CX915" s="4">
        <f>SUM(CS915:CW915)</f>
        <v>0</v>
      </c>
      <c r="CZ915" s="2"/>
      <c r="DA915" s="3"/>
      <c r="DB915" s="3"/>
      <c r="DC915" s="3"/>
      <c r="DD915" s="3"/>
      <c r="DE915" s="4">
        <f>SUM(CZ915:DD915)</f>
        <v>0</v>
      </c>
    </row>
    <row r="916" spans="3:109">
      <c r="C916" s="567"/>
      <c r="E916" s="14" t="s">
        <v>60</v>
      </c>
      <c r="F916" s="23">
        <f t="shared" ref="F916:F918" si="4219">CE910</f>
        <v>0</v>
      </c>
      <c r="G916" s="24">
        <f t="shared" si="4210"/>
        <v>0</v>
      </c>
      <c r="H916" s="24">
        <f t="shared" si="4211"/>
        <v>0</v>
      </c>
      <c r="I916" s="24">
        <f t="shared" si="4212"/>
        <v>0</v>
      </c>
      <c r="J916" s="24">
        <f t="shared" si="4213"/>
        <v>0</v>
      </c>
      <c r="K916" s="8">
        <f t="shared" ref="K916:K918" si="4220">SUM(F916:J916)</f>
        <v>0</v>
      </c>
      <c r="M916" s="6"/>
      <c r="N916" s="7"/>
      <c r="O916" s="7"/>
      <c r="P916" s="7"/>
      <c r="Q916" s="7"/>
      <c r="R916" s="8">
        <f t="shared" ref="R916:R918" si="4221">SUM(M916:Q916)</f>
        <v>0</v>
      </c>
      <c r="T916" s="6"/>
      <c r="U916" s="7"/>
      <c r="V916" s="7"/>
      <c r="W916" s="7"/>
      <c r="X916" s="7"/>
      <c r="Y916" s="8">
        <f t="shared" ref="Y916:Y918" si="4222">SUM(T916:X916)</f>
        <v>0</v>
      </c>
      <c r="AA916" s="6"/>
      <c r="AB916" s="7"/>
      <c r="AC916" s="7"/>
      <c r="AD916" s="7"/>
      <c r="AE916" s="7"/>
      <c r="AF916" s="8">
        <f>SUM(AA916:AE916)</f>
        <v>0</v>
      </c>
      <c r="AH916" s="6"/>
      <c r="AI916" s="7"/>
      <c r="AJ916" s="7"/>
      <c r="AK916" s="7"/>
      <c r="AL916" s="7"/>
      <c r="AM916" s="8">
        <f>SUM(AH916:AL916)</f>
        <v>0</v>
      </c>
      <c r="AO916" s="6"/>
      <c r="AP916" s="7"/>
      <c r="AQ916" s="7"/>
      <c r="AR916" s="7"/>
      <c r="AS916" s="7"/>
      <c r="AT916" s="8">
        <f>SUM(AO916:AS916)</f>
        <v>0</v>
      </c>
      <c r="AV916" s="6"/>
      <c r="AW916" s="7"/>
      <c r="AX916" s="7"/>
      <c r="AY916" s="7"/>
      <c r="AZ916" s="7"/>
      <c r="BA916" s="8">
        <f>SUM(AV916:AZ916)</f>
        <v>0</v>
      </c>
      <c r="BC916" s="6"/>
      <c r="BD916" s="7"/>
      <c r="BE916" s="7"/>
      <c r="BF916" s="7"/>
      <c r="BG916" s="7"/>
      <c r="BH916" s="8">
        <f>SUM(BC916:BG916)</f>
        <v>0</v>
      </c>
      <c r="BJ916" s="6"/>
      <c r="BK916" s="7"/>
      <c r="BL916" s="7"/>
      <c r="BM916" s="7"/>
      <c r="BN916" s="7"/>
      <c r="BO916" s="8">
        <f>SUM(BJ916:BN916)</f>
        <v>0</v>
      </c>
      <c r="BQ916" s="6"/>
      <c r="BR916" s="7"/>
      <c r="BS916" s="7"/>
      <c r="BT916" s="7"/>
      <c r="BU916" s="7"/>
      <c r="BV916" s="8">
        <f>SUM(BQ916:BU916)</f>
        <v>0</v>
      </c>
      <c r="BX916" s="6"/>
      <c r="BY916" s="7"/>
      <c r="BZ916" s="7"/>
      <c r="CA916" s="7"/>
      <c r="CB916" s="7"/>
      <c r="CC916" s="8">
        <f>SUM(BX916:CB916)</f>
        <v>0</v>
      </c>
      <c r="CE916" s="28">
        <f t="shared" si="4214"/>
        <v>0</v>
      </c>
      <c r="CF916" s="29">
        <f t="shared" si="4215"/>
        <v>0</v>
      </c>
      <c r="CG916" s="29">
        <f t="shared" si="4216"/>
        <v>0</v>
      </c>
      <c r="CH916" s="29">
        <f t="shared" si="4217"/>
        <v>0</v>
      </c>
      <c r="CI916" s="29">
        <f t="shared" si="4218"/>
        <v>0</v>
      </c>
      <c r="CJ916" s="8">
        <f>SUM(CE916:CI916)</f>
        <v>0</v>
      </c>
      <c r="CL916" s="6"/>
      <c r="CM916" s="7"/>
      <c r="CN916" s="7"/>
      <c r="CO916" s="7"/>
      <c r="CP916" s="7"/>
      <c r="CQ916" s="8">
        <f>SUM(CL916:CP916)</f>
        <v>0</v>
      </c>
      <c r="CS916" s="6"/>
      <c r="CT916" s="7"/>
      <c r="CU916" s="7"/>
      <c r="CV916" s="7"/>
      <c r="CW916" s="7"/>
      <c r="CX916" s="8">
        <f t="shared" ref="CX916:CX918" si="4223">SUM(CS916:CW916)</f>
        <v>0</v>
      </c>
      <c r="CZ916" s="6"/>
      <c r="DA916" s="7"/>
      <c r="DB916" s="7"/>
      <c r="DC916" s="7"/>
      <c r="DD916" s="7"/>
      <c r="DE916" s="8">
        <f t="shared" ref="DE916:DE918" si="4224">SUM(CZ916:DD916)</f>
        <v>0</v>
      </c>
    </row>
    <row r="917" spans="3:109">
      <c r="C917" s="567"/>
      <c r="E917" s="14" t="s">
        <v>61</v>
      </c>
      <c r="F917" s="23">
        <f t="shared" si="4219"/>
        <v>0</v>
      </c>
      <c r="G917" s="24">
        <f t="shared" si="4210"/>
        <v>0</v>
      </c>
      <c r="H917" s="24">
        <f t="shared" si="4211"/>
        <v>0</v>
      </c>
      <c r="I917" s="24">
        <f t="shared" si="4212"/>
        <v>0</v>
      </c>
      <c r="J917" s="24">
        <f t="shared" si="4213"/>
        <v>0</v>
      </c>
      <c r="K917" s="8">
        <f t="shared" si="4220"/>
        <v>0</v>
      </c>
      <c r="M917" s="6"/>
      <c r="N917" s="7"/>
      <c r="O917" s="7"/>
      <c r="P917" s="7"/>
      <c r="Q917" s="7"/>
      <c r="R917" s="8">
        <f t="shared" si="4221"/>
        <v>0</v>
      </c>
      <c r="T917" s="6"/>
      <c r="U917" s="7"/>
      <c r="V917" s="7"/>
      <c r="W917" s="7"/>
      <c r="X917" s="7"/>
      <c r="Y917" s="8">
        <f t="shared" si="4222"/>
        <v>0</v>
      </c>
      <c r="AA917" s="6"/>
      <c r="AB917" s="7"/>
      <c r="AC917" s="7"/>
      <c r="AD917" s="7"/>
      <c r="AE917" s="7"/>
      <c r="AF917" s="8">
        <f>SUM(AA917:AE917)</f>
        <v>0</v>
      </c>
      <c r="AH917" s="6"/>
      <c r="AI917" s="7"/>
      <c r="AJ917" s="7"/>
      <c r="AK917" s="7"/>
      <c r="AL917" s="7"/>
      <c r="AM917" s="8">
        <f>SUM(AH917:AL917)</f>
        <v>0</v>
      </c>
      <c r="AO917" s="6"/>
      <c r="AP917" s="7"/>
      <c r="AQ917" s="7"/>
      <c r="AR917" s="7"/>
      <c r="AS917" s="7"/>
      <c r="AT917" s="8">
        <f>SUM(AO917:AS917)</f>
        <v>0</v>
      </c>
      <c r="AV917" s="6"/>
      <c r="AW917" s="7"/>
      <c r="AX917" s="7"/>
      <c r="AY917" s="7"/>
      <c r="AZ917" s="7"/>
      <c r="BA917" s="8">
        <f>SUM(AV917:AZ917)</f>
        <v>0</v>
      </c>
      <c r="BC917" s="6"/>
      <c r="BD917" s="7"/>
      <c r="BE917" s="7"/>
      <c r="BF917" s="7"/>
      <c r="BG917" s="7"/>
      <c r="BH917" s="8">
        <f>SUM(BC917:BG917)</f>
        <v>0</v>
      </c>
      <c r="BJ917" s="6"/>
      <c r="BK917" s="7"/>
      <c r="BL917" s="7"/>
      <c r="BM917" s="7"/>
      <c r="BN917" s="7"/>
      <c r="BO917" s="8">
        <f>SUM(BJ917:BN917)</f>
        <v>0</v>
      </c>
      <c r="BQ917" s="6"/>
      <c r="BR917" s="7"/>
      <c r="BS917" s="7"/>
      <c r="BT917" s="7"/>
      <c r="BU917" s="7"/>
      <c r="BV917" s="8">
        <f>SUM(BQ917:BU917)</f>
        <v>0</v>
      </c>
      <c r="BX917" s="6"/>
      <c r="BY917" s="7"/>
      <c r="BZ917" s="7"/>
      <c r="CA917" s="7"/>
      <c r="CB917" s="7"/>
      <c r="CC917" s="8">
        <f>SUM(BX917:CB917)</f>
        <v>0</v>
      </c>
      <c r="CE917" s="28">
        <f t="shared" si="4214"/>
        <v>0</v>
      </c>
      <c r="CF917" s="29">
        <f t="shared" si="4215"/>
        <v>0</v>
      </c>
      <c r="CG917" s="29">
        <f t="shared" si="4216"/>
        <v>0</v>
      </c>
      <c r="CH917" s="29">
        <f t="shared" si="4217"/>
        <v>0</v>
      </c>
      <c r="CI917" s="29">
        <f t="shared" si="4218"/>
        <v>0</v>
      </c>
      <c r="CJ917" s="8">
        <f>SUM(CE917:CI917)</f>
        <v>0</v>
      </c>
      <c r="CL917" s="6"/>
      <c r="CM917" s="7"/>
      <c r="CN917" s="7"/>
      <c r="CO917" s="7"/>
      <c r="CP917" s="7"/>
      <c r="CQ917" s="8">
        <f>SUM(CL917:CP917)</f>
        <v>0</v>
      </c>
      <c r="CS917" s="6"/>
      <c r="CT917" s="7"/>
      <c r="CU917" s="7"/>
      <c r="CV917" s="7"/>
      <c r="CW917" s="7"/>
      <c r="CX917" s="8">
        <f t="shared" si="4223"/>
        <v>0</v>
      </c>
      <c r="CZ917" s="6"/>
      <c r="DA917" s="7"/>
      <c r="DB917" s="7"/>
      <c r="DC917" s="7"/>
      <c r="DD917" s="7"/>
      <c r="DE917" s="8">
        <f t="shared" si="4224"/>
        <v>0</v>
      </c>
    </row>
    <row r="918" spans="3:109" ht="14" thickBot="1">
      <c r="C918" s="567"/>
      <c r="E918" s="14" t="s">
        <v>62</v>
      </c>
      <c r="F918" s="23">
        <f t="shared" si="4219"/>
        <v>0</v>
      </c>
      <c r="G918" s="24">
        <f t="shared" si="4210"/>
        <v>0</v>
      </c>
      <c r="H918" s="24">
        <f t="shared" si="4211"/>
        <v>0</v>
      </c>
      <c r="I918" s="24">
        <f t="shared" si="4212"/>
        <v>0</v>
      </c>
      <c r="J918" s="24">
        <f t="shared" si="4213"/>
        <v>0</v>
      </c>
      <c r="K918" s="8">
        <f t="shared" si="4220"/>
        <v>0</v>
      </c>
      <c r="M918" s="6"/>
      <c r="N918" s="7"/>
      <c r="O918" s="7"/>
      <c r="P918" s="7"/>
      <c r="Q918" s="7"/>
      <c r="R918" s="8">
        <f t="shared" si="4221"/>
        <v>0</v>
      </c>
      <c r="T918" s="6"/>
      <c r="U918" s="7"/>
      <c r="V918" s="7"/>
      <c r="W918" s="7"/>
      <c r="X918" s="7"/>
      <c r="Y918" s="8">
        <f t="shared" si="4222"/>
        <v>0</v>
      </c>
      <c r="AA918" s="6"/>
      <c r="AB918" s="7"/>
      <c r="AC918" s="7"/>
      <c r="AD918" s="7"/>
      <c r="AE918" s="7"/>
      <c r="AF918" s="8">
        <f>SUM(AA918:AE918)</f>
        <v>0</v>
      </c>
      <c r="AH918" s="6"/>
      <c r="AI918" s="7"/>
      <c r="AJ918" s="7"/>
      <c r="AK918" s="7"/>
      <c r="AL918" s="7"/>
      <c r="AM918" s="8">
        <f>SUM(AH918:AL918)</f>
        <v>0</v>
      </c>
      <c r="AO918" s="6"/>
      <c r="AP918" s="7"/>
      <c r="AQ918" s="7"/>
      <c r="AR918" s="7"/>
      <c r="AS918" s="7"/>
      <c r="AT918" s="8">
        <f>SUM(AO918:AS918)</f>
        <v>0</v>
      </c>
      <c r="AV918" s="6"/>
      <c r="AW918" s="7"/>
      <c r="AX918" s="7"/>
      <c r="AY918" s="7"/>
      <c r="AZ918" s="7"/>
      <c r="BA918" s="8">
        <f>SUM(AV918:AZ918)</f>
        <v>0</v>
      </c>
      <c r="BC918" s="6"/>
      <c r="BD918" s="7"/>
      <c r="BE918" s="7"/>
      <c r="BF918" s="7"/>
      <c r="BG918" s="7"/>
      <c r="BH918" s="8">
        <f>SUM(BC918:BG918)</f>
        <v>0</v>
      </c>
      <c r="BJ918" s="6"/>
      <c r="BK918" s="7"/>
      <c r="BL918" s="7"/>
      <c r="BM918" s="7"/>
      <c r="BN918" s="7"/>
      <c r="BO918" s="8">
        <f>SUM(BJ918:BN918)</f>
        <v>0</v>
      </c>
      <c r="BQ918" s="6"/>
      <c r="BR918" s="7"/>
      <c r="BS918" s="7"/>
      <c r="BT918" s="7"/>
      <c r="BU918" s="7"/>
      <c r="BV918" s="8">
        <f>SUM(BQ918:BU918)</f>
        <v>0</v>
      </c>
      <c r="BX918" s="6"/>
      <c r="BY918" s="7"/>
      <c r="BZ918" s="7"/>
      <c r="CA918" s="7"/>
      <c r="CB918" s="7"/>
      <c r="CC918" s="8">
        <f>SUM(BX918:CB918)</f>
        <v>0</v>
      </c>
      <c r="CE918" s="493">
        <f t="shared" si="4214"/>
        <v>0</v>
      </c>
      <c r="CF918" s="494">
        <f t="shared" si="4215"/>
        <v>0</v>
      </c>
      <c r="CG918" s="494">
        <f t="shared" si="4216"/>
        <v>0</v>
      </c>
      <c r="CH918" s="494">
        <f t="shared" si="4217"/>
        <v>0</v>
      </c>
      <c r="CI918" s="494">
        <f t="shared" si="4218"/>
        <v>0</v>
      </c>
      <c r="CJ918" s="495">
        <f>SUM(CE918:CI918)</f>
        <v>0</v>
      </c>
      <c r="CL918" s="6"/>
      <c r="CM918" s="7"/>
      <c r="CN918" s="7"/>
      <c r="CO918" s="7"/>
      <c r="CP918" s="7"/>
      <c r="CQ918" s="8">
        <f>SUM(CL918:CP918)</f>
        <v>0</v>
      </c>
      <c r="CS918" s="6"/>
      <c r="CT918" s="7"/>
      <c r="CU918" s="7"/>
      <c r="CV918" s="7"/>
      <c r="CW918" s="7"/>
      <c r="CX918" s="8">
        <f t="shared" si="4223"/>
        <v>0</v>
      </c>
      <c r="CZ918" s="6"/>
      <c r="DA918" s="7"/>
      <c r="DB918" s="7"/>
      <c r="DC918" s="7"/>
      <c r="DD918" s="7"/>
      <c r="DE918" s="8">
        <f t="shared" si="4224"/>
        <v>0</v>
      </c>
    </row>
    <row r="919" spans="3:109" ht="14" thickBot="1">
      <c r="C919" s="554"/>
      <c r="E919" s="17"/>
      <c r="F919" s="10">
        <f>SUM(F915:F918)</f>
        <v>0</v>
      </c>
      <c r="G919" s="11">
        <f t="shared" ref="G919:J919" si="4225">SUM(G915:G918)</f>
        <v>0</v>
      </c>
      <c r="H919" s="11">
        <f t="shared" si="4225"/>
        <v>0</v>
      </c>
      <c r="I919" s="11">
        <f t="shared" si="4225"/>
        <v>0</v>
      </c>
      <c r="J919" s="11">
        <f t="shared" si="4225"/>
        <v>0</v>
      </c>
      <c r="K919" s="25">
        <f>SUM(K915:K918)</f>
        <v>0</v>
      </c>
      <c r="M919" s="10">
        <f>SUM(M915:M918)</f>
        <v>0</v>
      </c>
      <c r="N919" s="11">
        <f t="shared" ref="N919:Q919" si="4226">SUM(N915:N918)</f>
        <v>0</v>
      </c>
      <c r="O919" s="11">
        <f t="shared" si="4226"/>
        <v>0</v>
      </c>
      <c r="P919" s="11">
        <f t="shared" si="4226"/>
        <v>0</v>
      </c>
      <c r="Q919" s="11">
        <f t="shared" si="4226"/>
        <v>0</v>
      </c>
      <c r="R919" s="25">
        <f>SUM(R915:R918)</f>
        <v>0</v>
      </c>
      <c r="T919" s="10">
        <f>SUM(T915:T918)</f>
        <v>0</v>
      </c>
      <c r="U919" s="11">
        <f t="shared" ref="U919:X919" si="4227">SUM(U915:U918)</f>
        <v>0</v>
      </c>
      <c r="V919" s="11">
        <f t="shared" si="4227"/>
        <v>0</v>
      </c>
      <c r="W919" s="11">
        <f t="shared" si="4227"/>
        <v>0</v>
      </c>
      <c r="X919" s="11">
        <f t="shared" si="4227"/>
        <v>0</v>
      </c>
      <c r="Y919" s="25">
        <f>SUM(Y915:Y918)</f>
        <v>0</v>
      </c>
      <c r="AA919" s="10">
        <f>SUM(AA915:AA918)</f>
        <v>0</v>
      </c>
      <c r="AB919" s="11">
        <f t="shared" ref="AB919:AE919" si="4228">SUM(AB915:AB918)</f>
        <v>0</v>
      </c>
      <c r="AC919" s="11">
        <f t="shared" si="4228"/>
        <v>0</v>
      </c>
      <c r="AD919" s="11">
        <f t="shared" si="4228"/>
        <v>0</v>
      </c>
      <c r="AE919" s="11">
        <f t="shared" si="4228"/>
        <v>0</v>
      </c>
      <c r="AF919" s="25">
        <f>SUM(AF915:AF918)</f>
        <v>0</v>
      </c>
      <c r="AH919" s="10">
        <f>SUM(AH915:AH918)</f>
        <v>0</v>
      </c>
      <c r="AI919" s="11">
        <f t="shared" ref="AI919:AL919" si="4229">SUM(AI915:AI918)</f>
        <v>0</v>
      </c>
      <c r="AJ919" s="11">
        <f t="shared" si="4229"/>
        <v>0</v>
      </c>
      <c r="AK919" s="11">
        <f t="shared" si="4229"/>
        <v>0</v>
      </c>
      <c r="AL919" s="11">
        <f t="shared" si="4229"/>
        <v>0</v>
      </c>
      <c r="AM919" s="25">
        <f>SUM(AM915:AM918)</f>
        <v>0</v>
      </c>
      <c r="AO919" s="10">
        <f>SUM(AO915:AO918)</f>
        <v>0</v>
      </c>
      <c r="AP919" s="11">
        <f t="shared" ref="AP919:AS919" si="4230">SUM(AP915:AP918)</f>
        <v>0</v>
      </c>
      <c r="AQ919" s="11">
        <f t="shared" si="4230"/>
        <v>0</v>
      </c>
      <c r="AR919" s="11">
        <f t="shared" si="4230"/>
        <v>0</v>
      </c>
      <c r="AS919" s="11">
        <f t="shared" si="4230"/>
        <v>0</v>
      </c>
      <c r="AT919" s="25">
        <f>SUM(AT915:AT918)</f>
        <v>0</v>
      </c>
      <c r="AV919" s="10">
        <f>SUM(AV915:AV918)</f>
        <v>0</v>
      </c>
      <c r="AW919" s="11">
        <f t="shared" ref="AW919:AZ919" si="4231">SUM(AW915:AW918)</f>
        <v>0</v>
      </c>
      <c r="AX919" s="11">
        <f t="shared" si="4231"/>
        <v>0</v>
      </c>
      <c r="AY919" s="11">
        <f t="shared" si="4231"/>
        <v>0</v>
      </c>
      <c r="AZ919" s="11">
        <f t="shared" si="4231"/>
        <v>0</v>
      </c>
      <c r="BA919" s="25">
        <f>SUM(BA915:BA918)</f>
        <v>0</v>
      </c>
      <c r="BC919" s="10">
        <f>SUM(BC915:BC918)</f>
        <v>0</v>
      </c>
      <c r="BD919" s="11">
        <f t="shared" ref="BD919:BG919" si="4232">SUM(BD915:BD918)</f>
        <v>0</v>
      </c>
      <c r="BE919" s="11">
        <f t="shared" si="4232"/>
        <v>0</v>
      </c>
      <c r="BF919" s="11">
        <f t="shared" si="4232"/>
        <v>0</v>
      </c>
      <c r="BG919" s="11">
        <f t="shared" si="4232"/>
        <v>0</v>
      </c>
      <c r="BH919" s="25">
        <f>SUM(BH915:BH918)</f>
        <v>0</v>
      </c>
      <c r="BJ919" s="10">
        <f>SUM(BJ915:BJ918)</f>
        <v>0</v>
      </c>
      <c r="BK919" s="11">
        <f t="shared" ref="BK919:BN919" si="4233">SUM(BK915:BK918)</f>
        <v>0</v>
      </c>
      <c r="BL919" s="11">
        <f t="shared" si="4233"/>
        <v>0</v>
      </c>
      <c r="BM919" s="11">
        <f t="shared" si="4233"/>
        <v>0</v>
      </c>
      <c r="BN919" s="11">
        <f t="shared" si="4233"/>
        <v>0</v>
      </c>
      <c r="BO919" s="25">
        <f>SUM(BO915:BO918)</f>
        <v>0</v>
      </c>
      <c r="BQ919" s="10">
        <f>SUM(BQ915:BQ918)</f>
        <v>0</v>
      </c>
      <c r="BR919" s="11">
        <f t="shared" ref="BR919:BU919" si="4234">SUM(BR915:BR918)</f>
        <v>0</v>
      </c>
      <c r="BS919" s="11">
        <f t="shared" si="4234"/>
        <v>0</v>
      </c>
      <c r="BT919" s="11">
        <f t="shared" si="4234"/>
        <v>0</v>
      </c>
      <c r="BU919" s="11">
        <f t="shared" si="4234"/>
        <v>0</v>
      </c>
      <c r="BV919" s="25">
        <f>SUM(BV915:BV918)</f>
        <v>0</v>
      </c>
      <c r="BX919" s="10">
        <f>SUM(BX915:BX918)</f>
        <v>0</v>
      </c>
      <c r="BY919" s="11">
        <f t="shared" ref="BY919:CB919" si="4235">SUM(BY915:BY918)</f>
        <v>0</v>
      </c>
      <c r="BZ919" s="11">
        <f t="shared" si="4235"/>
        <v>0</v>
      </c>
      <c r="CA919" s="11">
        <f t="shared" si="4235"/>
        <v>0</v>
      </c>
      <c r="CB919" s="11">
        <f t="shared" si="4235"/>
        <v>0</v>
      </c>
      <c r="CC919" s="25">
        <f>SUM(CC915:CC918)</f>
        <v>0</v>
      </c>
      <c r="CE919" s="62">
        <f t="shared" ref="CE919:CJ919" si="4236">SUM(CE915:CE918)</f>
        <v>0</v>
      </c>
      <c r="CF919" s="63">
        <f t="shared" si="4236"/>
        <v>0</v>
      </c>
      <c r="CG919" s="63">
        <f t="shared" si="4236"/>
        <v>0</v>
      </c>
      <c r="CH919" s="63">
        <f t="shared" si="4236"/>
        <v>0</v>
      </c>
      <c r="CI919" s="63">
        <f t="shared" si="4236"/>
        <v>0</v>
      </c>
      <c r="CJ919" s="25">
        <f t="shared" si="4236"/>
        <v>0</v>
      </c>
      <c r="CL919" s="10">
        <f>SUM(CL915:CL918)</f>
        <v>0</v>
      </c>
      <c r="CM919" s="11">
        <f t="shared" ref="CM919:CP919" si="4237">SUM(CM915:CM918)</f>
        <v>0</v>
      </c>
      <c r="CN919" s="11">
        <f t="shared" si="4237"/>
        <v>0</v>
      </c>
      <c r="CO919" s="11">
        <f t="shared" si="4237"/>
        <v>0</v>
      </c>
      <c r="CP919" s="11">
        <f t="shared" si="4237"/>
        <v>0</v>
      </c>
      <c r="CQ919" s="25">
        <f>SUM(CQ915:CQ918)</f>
        <v>0</v>
      </c>
      <c r="CS919" s="10">
        <f>SUM(CS915:CS918)</f>
        <v>0</v>
      </c>
      <c r="CT919" s="11">
        <f t="shared" ref="CT919:CW919" si="4238">SUM(CT915:CT918)</f>
        <v>0</v>
      </c>
      <c r="CU919" s="11">
        <f t="shared" si="4238"/>
        <v>0</v>
      </c>
      <c r="CV919" s="11">
        <f t="shared" si="4238"/>
        <v>0</v>
      </c>
      <c r="CW919" s="11">
        <f t="shared" si="4238"/>
        <v>0</v>
      </c>
      <c r="CX919" s="25">
        <f>SUM(CX915:CX918)</f>
        <v>0</v>
      </c>
      <c r="CZ919" s="10">
        <f>SUM(CZ915:CZ918)</f>
        <v>0</v>
      </c>
      <c r="DA919" s="11">
        <f t="shared" ref="DA919:DD919" si="4239">SUM(DA915:DA918)</f>
        <v>0</v>
      </c>
      <c r="DB919" s="11">
        <f t="shared" si="4239"/>
        <v>0</v>
      </c>
      <c r="DC919" s="11">
        <f t="shared" si="4239"/>
        <v>0</v>
      </c>
      <c r="DD919" s="11">
        <f t="shared" si="4239"/>
        <v>0</v>
      </c>
      <c r="DE919" s="25">
        <f>SUM(DE915:DE918)</f>
        <v>0</v>
      </c>
    </row>
    <row r="920" spans="3:109" ht="10.4" customHeight="1" thickBot="1"/>
    <row r="921" spans="3:109">
      <c r="C921" s="553">
        <v>2027</v>
      </c>
      <c r="E921" s="13" t="s">
        <v>59</v>
      </c>
      <c r="F921" s="21">
        <f>CE915</f>
        <v>0</v>
      </c>
      <c r="G921" s="22">
        <f t="shared" ref="G921:G924" si="4240">CF915</f>
        <v>0</v>
      </c>
      <c r="H921" s="22">
        <f t="shared" ref="H921:H924" si="4241">CG915</f>
        <v>0</v>
      </c>
      <c r="I921" s="22">
        <f t="shared" ref="I921:I924" si="4242">CH915</f>
        <v>0</v>
      </c>
      <c r="J921" s="22">
        <f t="shared" ref="J921:J924" si="4243">CI915</f>
        <v>0</v>
      </c>
      <c r="K921" s="4">
        <f>SUM(F921:J921)</f>
        <v>0</v>
      </c>
      <c r="M921" s="2"/>
      <c r="N921" s="3"/>
      <c r="O921" s="3"/>
      <c r="P921" s="3"/>
      <c r="Q921" s="3"/>
      <c r="R921" s="4">
        <f>SUM(M921:Q921)</f>
        <v>0</v>
      </c>
      <c r="T921" s="2"/>
      <c r="U921" s="3"/>
      <c r="V921" s="3"/>
      <c r="W921" s="3"/>
      <c r="X921" s="3"/>
      <c r="Y921" s="4">
        <f>SUM(T921:X921)</f>
        <v>0</v>
      </c>
      <c r="AA921" s="2"/>
      <c r="AB921" s="3"/>
      <c r="AC921" s="3"/>
      <c r="AD921" s="3"/>
      <c r="AE921" s="3"/>
      <c r="AF921" s="4">
        <f>SUM(AA921:AE921)</f>
        <v>0</v>
      </c>
      <c r="AH921" s="2"/>
      <c r="AI921" s="3"/>
      <c r="AJ921" s="3"/>
      <c r="AK921" s="3"/>
      <c r="AL921" s="3"/>
      <c r="AM921" s="4">
        <f>SUM(AH921:AL921)</f>
        <v>0</v>
      </c>
      <c r="AO921" s="2"/>
      <c r="AP921" s="3"/>
      <c r="AQ921" s="3"/>
      <c r="AR921" s="3"/>
      <c r="AS921" s="3"/>
      <c r="AT921" s="4">
        <f>SUM(AO921:AS921)</f>
        <v>0</v>
      </c>
      <c r="AV921" s="2"/>
      <c r="AW921" s="3"/>
      <c r="AX921" s="3"/>
      <c r="AY921" s="3"/>
      <c r="AZ921" s="3"/>
      <c r="BA921" s="4">
        <f>SUM(AV921:AZ921)</f>
        <v>0</v>
      </c>
      <c r="BC921" s="2"/>
      <c r="BD921" s="3"/>
      <c r="BE921" s="3"/>
      <c r="BF921" s="3"/>
      <c r="BG921" s="3"/>
      <c r="BH921" s="4">
        <f>SUM(BC921:BG921)</f>
        <v>0</v>
      </c>
      <c r="BJ921" s="2"/>
      <c r="BK921" s="3"/>
      <c r="BL921" s="3"/>
      <c r="BM921" s="3"/>
      <c r="BN921" s="3"/>
      <c r="BO921" s="4">
        <f>SUM(BJ921:BN921)</f>
        <v>0</v>
      </c>
      <c r="BQ921" s="2"/>
      <c r="BR921" s="3"/>
      <c r="BS921" s="3"/>
      <c r="BT921" s="3"/>
      <c r="BU921" s="3"/>
      <c r="BV921" s="4">
        <f>SUM(BQ921:BU921)</f>
        <v>0</v>
      </c>
      <c r="BX921" s="2"/>
      <c r="BY921" s="3"/>
      <c r="BZ921" s="3"/>
      <c r="CA921" s="3"/>
      <c r="CB921" s="3"/>
      <c r="CC921" s="4">
        <f>SUM(BX921:CB921)</f>
        <v>0</v>
      </c>
      <c r="CE921" s="26">
        <f t="shared" ref="CE921:CE924" si="4244">F921+M921+T921+AA921+AH921+AO921+AV921+BC921+BJ921+BQ921+BX921</f>
        <v>0</v>
      </c>
      <c r="CF921" s="27">
        <f t="shared" ref="CF921:CF924" si="4245">G921+N921+U921+AB921+AI921+AP921+AW921+BD921+BK921+BR921+BY921</f>
        <v>0</v>
      </c>
      <c r="CG921" s="27">
        <f t="shared" ref="CG921:CG924" si="4246">H921+O921+V921+AC921+AJ921+AQ921+AX921+BE921+BL921+BS921+BZ921</f>
        <v>0</v>
      </c>
      <c r="CH921" s="27">
        <f t="shared" ref="CH921:CH924" si="4247">I921+P921+W921+AD921+AK921+AR921+AY921+BF921+BM921+BT921+CA921</f>
        <v>0</v>
      </c>
      <c r="CI921" s="27">
        <f t="shared" ref="CI921:CI924" si="4248">J921+Q921+X921+AE921+AL921+AS921+AZ921+BG921+BN921+BU921+CB921</f>
        <v>0</v>
      </c>
      <c r="CJ921" s="4">
        <f>SUM(CE921:CI921)</f>
        <v>0</v>
      </c>
      <c r="CL921" s="2"/>
      <c r="CM921" s="3"/>
      <c r="CN921" s="3"/>
      <c r="CO921" s="3"/>
      <c r="CP921" s="3"/>
      <c r="CQ921" s="4">
        <f>SUM(CL921:CP921)</f>
        <v>0</v>
      </c>
      <c r="CS921" s="2"/>
      <c r="CT921" s="3"/>
      <c r="CU921" s="3"/>
      <c r="CV921" s="3"/>
      <c r="CW921" s="3"/>
      <c r="CX921" s="4">
        <f>SUM(CS921:CW921)</f>
        <v>0</v>
      </c>
      <c r="CZ921" s="2"/>
      <c r="DA921" s="3"/>
      <c r="DB921" s="3"/>
      <c r="DC921" s="3"/>
      <c r="DD921" s="3"/>
      <c r="DE921" s="4">
        <f>SUM(CZ921:DD921)</f>
        <v>0</v>
      </c>
    </row>
    <row r="922" spans="3:109">
      <c r="C922" s="567"/>
      <c r="E922" s="14" t="s">
        <v>60</v>
      </c>
      <c r="F922" s="23">
        <f t="shared" ref="F922:F924" si="4249">CE916</f>
        <v>0</v>
      </c>
      <c r="G922" s="24">
        <f t="shared" si="4240"/>
        <v>0</v>
      </c>
      <c r="H922" s="24">
        <f t="shared" si="4241"/>
        <v>0</v>
      </c>
      <c r="I922" s="24">
        <f t="shared" si="4242"/>
        <v>0</v>
      </c>
      <c r="J922" s="24">
        <f t="shared" si="4243"/>
        <v>0</v>
      </c>
      <c r="K922" s="8">
        <f t="shared" ref="K922:K924" si="4250">SUM(F922:J922)</f>
        <v>0</v>
      </c>
      <c r="M922" s="6"/>
      <c r="N922" s="7"/>
      <c r="O922" s="7"/>
      <c r="P922" s="7"/>
      <c r="Q922" s="7"/>
      <c r="R922" s="8">
        <f t="shared" ref="R922:R924" si="4251">SUM(M922:Q922)</f>
        <v>0</v>
      </c>
      <c r="T922" s="6"/>
      <c r="U922" s="7"/>
      <c r="V922" s="7"/>
      <c r="W922" s="7"/>
      <c r="X922" s="7"/>
      <c r="Y922" s="8">
        <f t="shared" ref="Y922:Y924" si="4252">SUM(T922:X922)</f>
        <v>0</v>
      </c>
      <c r="AA922" s="6"/>
      <c r="AB922" s="7"/>
      <c r="AC922" s="7"/>
      <c r="AD922" s="7"/>
      <c r="AE922" s="7"/>
      <c r="AF922" s="8">
        <f>SUM(AA922:AE922)</f>
        <v>0</v>
      </c>
      <c r="AH922" s="6"/>
      <c r="AI922" s="7"/>
      <c r="AJ922" s="7"/>
      <c r="AK922" s="7"/>
      <c r="AL922" s="7"/>
      <c r="AM922" s="8">
        <f>SUM(AH922:AL922)</f>
        <v>0</v>
      </c>
      <c r="AO922" s="6"/>
      <c r="AP922" s="7"/>
      <c r="AQ922" s="7"/>
      <c r="AR922" s="7"/>
      <c r="AS922" s="7"/>
      <c r="AT922" s="8">
        <f>SUM(AO922:AS922)</f>
        <v>0</v>
      </c>
      <c r="AV922" s="6"/>
      <c r="AW922" s="7"/>
      <c r="AX922" s="7"/>
      <c r="AY922" s="7"/>
      <c r="AZ922" s="7"/>
      <c r="BA922" s="8">
        <f>SUM(AV922:AZ922)</f>
        <v>0</v>
      </c>
      <c r="BC922" s="6"/>
      <c r="BD922" s="7"/>
      <c r="BE922" s="7"/>
      <c r="BF922" s="7"/>
      <c r="BG922" s="7"/>
      <c r="BH922" s="8">
        <f>SUM(BC922:BG922)</f>
        <v>0</v>
      </c>
      <c r="BJ922" s="6"/>
      <c r="BK922" s="7"/>
      <c r="BL922" s="7"/>
      <c r="BM922" s="7"/>
      <c r="BN922" s="7"/>
      <c r="BO922" s="8">
        <f>SUM(BJ922:BN922)</f>
        <v>0</v>
      </c>
      <c r="BQ922" s="6"/>
      <c r="BR922" s="7"/>
      <c r="BS922" s="7"/>
      <c r="BT922" s="7"/>
      <c r="BU922" s="7"/>
      <c r="BV922" s="8">
        <f>SUM(BQ922:BU922)</f>
        <v>0</v>
      </c>
      <c r="BX922" s="6"/>
      <c r="BY922" s="7"/>
      <c r="BZ922" s="7"/>
      <c r="CA922" s="7"/>
      <c r="CB922" s="7"/>
      <c r="CC922" s="8">
        <f>SUM(BX922:CB922)</f>
        <v>0</v>
      </c>
      <c r="CE922" s="28">
        <f t="shared" si="4244"/>
        <v>0</v>
      </c>
      <c r="CF922" s="29">
        <f t="shared" si="4245"/>
        <v>0</v>
      </c>
      <c r="CG922" s="29">
        <f t="shared" si="4246"/>
        <v>0</v>
      </c>
      <c r="CH922" s="29">
        <f t="shared" si="4247"/>
        <v>0</v>
      </c>
      <c r="CI922" s="29">
        <f t="shared" si="4248"/>
        <v>0</v>
      </c>
      <c r="CJ922" s="8">
        <f>SUM(CE922:CI922)</f>
        <v>0</v>
      </c>
      <c r="CL922" s="6"/>
      <c r="CM922" s="7"/>
      <c r="CN922" s="7"/>
      <c r="CO922" s="7"/>
      <c r="CP922" s="7"/>
      <c r="CQ922" s="8">
        <f>SUM(CL922:CP922)</f>
        <v>0</v>
      </c>
      <c r="CS922" s="6"/>
      <c r="CT922" s="7"/>
      <c r="CU922" s="7"/>
      <c r="CV922" s="7"/>
      <c r="CW922" s="7"/>
      <c r="CX922" s="8">
        <f t="shared" ref="CX922:CX924" si="4253">SUM(CS922:CW922)</f>
        <v>0</v>
      </c>
      <c r="CZ922" s="6"/>
      <c r="DA922" s="7"/>
      <c r="DB922" s="7"/>
      <c r="DC922" s="7"/>
      <c r="DD922" s="7"/>
      <c r="DE922" s="8">
        <f t="shared" ref="DE922:DE924" si="4254">SUM(CZ922:DD922)</f>
        <v>0</v>
      </c>
    </row>
    <row r="923" spans="3:109">
      <c r="C923" s="567"/>
      <c r="E923" s="14" t="s">
        <v>61</v>
      </c>
      <c r="F923" s="23">
        <f t="shared" si="4249"/>
        <v>0</v>
      </c>
      <c r="G923" s="24">
        <f t="shared" si="4240"/>
        <v>0</v>
      </c>
      <c r="H923" s="24">
        <f t="shared" si="4241"/>
        <v>0</v>
      </c>
      <c r="I923" s="24">
        <f t="shared" si="4242"/>
        <v>0</v>
      </c>
      <c r="J923" s="24">
        <f t="shared" si="4243"/>
        <v>0</v>
      </c>
      <c r="K923" s="8">
        <f t="shared" si="4250"/>
        <v>0</v>
      </c>
      <c r="M923" s="6"/>
      <c r="N923" s="7"/>
      <c r="O923" s="7"/>
      <c r="P923" s="7"/>
      <c r="Q923" s="7"/>
      <c r="R923" s="8">
        <f t="shared" si="4251"/>
        <v>0</v>
      </c>
      <c r="T923" s="6"/>
      <c r="U923" s="7"/>
      <c r="V923" s="7"/>
      <c r="W923" s="7"/>
      <c r="X923" s="7"/>
      <c r="Y923" s="8">
        <f t="shared" si="4252"/>
        <v>0</v>
      </c>
      <c r="AA923" s="6"/>
      <c r="AB923" s="7"/>
      <c r="AC923" s="7"/>
      <c r="AD923" s="7"/>
      <c r="AE923" s="7"/>
      <c r="AF923" s="8">
        <f>SUM(AA923:AE923)</f>
        <v>0</v>
      </c>
      <c r="AH923" s="6"/>
      <c r="AI923" s="7"/>
      <c r="AJ923" s="7"/>
      <c r="AK923" s="7"/>
      <c r="AL923" s="7"/>
      <c r="AM923" s="8">
        <f>SUM(AH923:AL923)</f>
        <v>0</v>
      </c>
      <c r="AO923" s="6"/>
      <c r="AP923" s="7"/>
      <c r="AQ923" s="7"/>
      <c r="AR923" s="7"/>
      <c r="AS923" s="7"/>
      <c r="AT923" s="8">
        <f>SUM(AO923:AS923)</f>
        <v>0</v>
      </c>
      <c r="AV923" s="6"/>
      <c r="AW923" s="7"/>
      <c r="AX923" s="7"/>
      <c r="AY923" s="7"/>
      <c r="AZ923" s="7"/>
      <c r="BA923" s="8">
        <f>SUM(AV923:AZ923)</f>
        <v>0</v>
      </c>
      <c r="BC923" s="6"/>
      <c r="BD923" s="7"/>
      <c r="BE923" s="7"/>
      <c r="BF923" s="7"/>
      <c r="BG923" s="7"/>
      <c r="BH923" s="8">
        <f>SUM(BC923:BG923)</f>
        <v>0</v>
      </c>
      <c r="BJ923" s="6"/>
      <c r="BK923" s="7"/>
      <c r="BL923" s="7"/>
      <c r="BM923" s="7"/>
      <c r="BN923" s="7"/>
      <c r="BO923" s="8">
        <f>SUM(BJ923:BN923)</f>
        <v>0</v>
      </c>
      <c r="BQ923" s="6"/>
      <c r="BR923" s="7"/>
      <c r="BS923" s="7"/>
      <c r="BT923" s="7"/>
      <c r="BU923" s="7"/>
      <c r="BV923" s="8">
        <f>SUM(BQ923:BU923)</f>
        <v>0</v>
      </c>
      <c r="BX923" s="6"/>
      <c r="BY923" s="7"/>
      <c r="BZ923" s="7"/>
      <c r="CA923" s="7"/>
      <c r="CB923" s="7"/>
      <c r="CC923" s="8">
        <f>SUM(BX923:CB923)</f>
        <v>0</v>
      </c>
      <c r="CE923" s="28">
        <f t="shared" si="4244"/>
        <v>0</v>
      </c>
      <c r="CF923" s="29">
        <f t="shared" si="4245"/>
        <v>0</v>
      </c>
      <c r="CG923" s="29">
        <f t="shared" si="4246"/>
        <v>0</v>
      </c>
      <c r="CH923" s="29">
        <f t="shared" si="4247"/>
        <v>0</v>
      </c>
      <c r="CI923" s="29">
        <f t="shared" si="4248"/>
        <v>0</v>
      </c>
      <c r="CJ923" s="8">
        <f>SUM(CE923:CI923)</f>
        <v>0</v>
      </c>
      <c r="CL923" s="6"/>
      <c r="CM923" s="7"/>
      <c r="CN923" s="7"/>
      <c r="CO923" s="7"/>
      <c r="CP923" s="7"/>
      <c r="CQ923" s="8">
        <f>SUM(CL923:CP923)</f>
        <v>0</v>
      </c>
      <c r="CS923" s="6"/>
      <c r="CT923" s="7"/>
      <c r="CU923" s="7"/>
      <c r="CV923" s="7"/>
      <c r="CW923" s="7"/>
      <c r="CX923" s="8">
        <f t="shared" si="4253"/>
        <v>0</v>
      </c>
      <c r="CZ923" s="6"/>
      <c r="DA923" s="7"/>
      <c r="DB923" s="7"/>
      <c r="DC923" s="7"/>
      <c r="DD923" s="7"/>
      <c r="DE923" s="8">
        <f t="shared" si="4254"/>
        <v>0</v>
      </c>
    </row>
    <row r="924" spans="3:109" ht="14" thickBot="1">
      <c r="C924" s="567"/>
      <c r="E924" s="14" t="s">
        <v>62</v>
      </c>
      <c r="F924" s="23">
        <f t="shared" si="4249"/>
        <v>0</v>
      </c>
      <c r="G924" s="24">
        <f t="shared" si="4240"/>
        <v>0</v>
      </c>
      <c r="H924" s="24">
        <f t="shared" si="4241"/>
        <v>0</v>
      </c>
      <c r="I924" s="24">
        <f t="shared" si="4242"/>
        <v>0</v>
      </c>
      <c r="J924" s="24">
        <f t="shared" si="4243"/>
        <v>0</v>
      </c>
      <c r="K924" s="8">
        <f t="shared" si="4250"/>
        <v>0</v>
      </c>
      <c r="M924" s="6"/>
      <c r="N924" s="7"/>
      <c r="O924" s="7"/>
      <c r="P924" s="7"/>
      <c r="Q924" s="7"/>
      <c r="R924" s="8">
        <f t="shared" si="4251"/>
        <v>0</v>
      </c>
      <c r="T924" s="6"/>
      <c r="U924" s="7"/>
      <c r="V924" s="7"/>
      <c r="W924" s="7"/>
      <c r="X924" s="7"/>
      <c r="Y924" s="8">
        <f t="shared" si="4252"/>
        <v>0</v>
      </c>
      <c r="AA924" s="6"/>
      <c r="AB924" s="7"/>
      <c r="AC924" s="7"/>
      <c r="AD924" s="7"/>
      <c r="AE924" s="7"/>
      <c r="AF924" s="8">
        <f>SUM(AA924:AE924)</f>
        <v>0</v>
      </c>
      <c r="AH924" s="6"/>
      <c r="AI924" s="7"/>
      <c r="AJ924" s="7"/>
      <c r="AK924" s="7"/>
      <c r="AL924" s="7"/>
      <c r="AM924" s="8">
        <f>SUM(AH924:AL924)</f>
        <v>0</v>
      </c>
      <c r="AO924" s="6"/>
      <c r="AP924" s="7"/>
      <c r="AQ924" s="7"/>
      <c r="AR924" s="7"/>
      <c r="AS924" s="7"/>
      <c r="AT924" s="8">
        <f>SUM(AO924:AS924)</f>
        <v>0</v>
      </c>
      <c r="AV924" s="6"/>
      <c r="AW924" s="7"/>
      <c r="AX924" s="7"/>
      <c r="AY924" s="7"/>
      <c r="AZ924" s="7"/>
      <c r="BA924" s="8">
        <f>SUM(AV924:AZ924)</f>
        <v>0</v>
      </c>
      <c r="BC924" s="6"/>
      <c r="BD924" s="7"/>
      <c r="BE924" s="7"/>
      <c r="BF924" s="7"/>
      <c r="BG924" s="7"/>
      <c r="BH924" s="8">
        <f>SUM(BC924:BG924)</f>
        <v>0</v>
      </c>
      <c r="BJ924" s="6"/>
      <c r="BK924" s="7"/>
      <c r="BL924" s="7"/>
      <c r="BM924" s="7"/>
      <c r="BN924" s="7"/>
      <c r="BO924" s="8">
        <f>SUM(BJ924:BN924)</f>
        <v>0</v>
      </c>
      <c r="BQ924" s="6"/>
      <c r="BR924" s="7"/>
      <c r="BS924" s="7"/>
      <c r="BT924" s="7"/>
      <c r="BU924" s="7"/>
      <c r="BV924" s="8">
        <f>SUM(BQ924:BU924)</f>
        <v>0</v>
      </c>
      <c r="BX924" s="6"/>
      <c r="BY924" s="7"/>
      <c r="BZ924" s="7"/>
      <c r="CA924" s="7"/>
      <c r="CB924" s="7"/>
      <c r="CC924" s="8">
        <f>SUM(BX924:CB924)</f>
        <v>0</v>
      </c>
      <c r="CE924" s="493">
        <f t="shared" si="4244"/>
        <v>0</v>
      </c>
      <c r="CF924" s="494">
        <f t="shared" si="4245"/>
        <v>0</v>
      </c>
      <c r="CG924" s="494">
        <f t="shared" si="4246"/>
        <v>0</v>
      </c>
      <c r="CH924" s="494">
        <f t="shared" si="4247"/>
        <v>0</v>
      </c>
      <c r="CI924" s="494">
        <f t="shared" si="4248"/>
        <v>0</v>
      </c>
      <c r="CJ924" s="495">
        <f>SUM(CE924:CI924)</f>
        <v>0</v>
      </c>
      <c r="CL924" s="6"/>
      <c r="CM924" s="7"/>
      <c r="CN924" s="7"/>
      <c r="CO924" s="7"/>
      <c r="CP924" s="7"/>
      <c r="CQ924" s="8">
        <f>SUM(CL924:CP924)</f>
        <v>0</v>
      </c>
      <c r="CS924" s="6"/>
      <c r="CT924" s="7"/>
      <c r="CU924" s="7"/>
      <c r="CV924" s="7"/>
      <c r="CW924" s="7"/>
      <c r="CX924" s="8">
        <f t="shared" si="4253"/>
        <v>0</v>
      </c>
      <c r="CZ924" s="6"/>
      <c r="DA924" s="7"/>
      <c r="DB924" s="7"/>
      <c r="DC924" s="7"/>
      <c r="DD924" s="7"/>
      <c r="DE924" s="8">
        <f t="shared" si="4254"/>
        <v>0</v>
      </c>
    </row>
    <row r="925" spans="3:109" ht="14" thickBot="1">
      <c r="C925" s="554"/>
      <c r="E925" s="17"/>
      <c r="F925" s="10">
        <f>SUM(F921:F924)</f>
        <v>0</v>
      </c>
      <c r="G925" s="11">
        <f t="shared" ref="G925:J925" si="4255">SUM(G921:G924)</f>
        <v>0</v>
      </c>
      <c r="H925" s="11">
        <f t="shared" si="4255"/>
        <v>0</v>
      </c>
      <c r="I925" s="11">
        <f t="shared" si="4255"/>
        <v>0</v>
      </c>
      <c r="J925" s="11">
        <f t="shared" si="4255"/>
        <v>0</v>
      </c>
      <c r="K925" s="25">
        <f>SUM(K921:K924)</f>
        <v>0</v>
      </c>
      <c r="M925" s="10">
        <f>SUM(M921:M924)</f>
        <v>0</v>
      </c>
      <c r="N925" s="11">
        <f t="shared" ref="N925:Q925" si="4256">SUM(N921:N924)</f>
        <v>0</v>
      </c>
      <c r="O925" s="11">
        <f t="shared" si="4256"/>
        <v>0</v>
      </c>
      <c r="P925" s="11">
        <f t="shared" si="4256"/>
        <v>0</v>
      </c>
      <c r="Q925" s="11">
        <f t="shared" si="4256"/>
        <v>0</v>
      </c>
      <c r="R925" s="25">
        <f>SUM(R921:R924)</f>
        <v>0</v>
      </c>
      <c r="T925" s="10">
        <f>SUM(T921:T924)</f>
        <v>0</v>
      </c>
      <c r="U925" s="11">
        <f t="shared" ref="U925:X925" si="4257">SUM(U921:U924)</f>
        <v>0</v>
      </c>
      <c r="V925" s="11">
        <f t="shared" si="4257"/>
        <v>0</v>
      </c>
      <c r="W925" s="11">
        <f t="shared" si="4257"/>
        <v>0</v>
      </c>
      <c r="X925" s="11">
        <f t="shared" si="4257"/>
        <v>0</v>
      </c>
      <c r="Y925" s="25">
        <f>SUM(Y921:Y924)</f>
        <v>0</v>
      </c>
      <c r="AA925" s="10">
        <f>SUM(AA921:AA924)</f>
        <v>0</v>
      </c>
      <c r="AB925" s="11">
        <f t="shared" ref="AB925:AE925" si="4258">SUM(AB921:AB924)</f>
        <v>0</v>
      </c>
      <c r="AC925" s="11">
        <f t="shared" si="4258"/>
        <v>0</v>
      </c>
      <c r="AD925" s="11">
        <f t="shared" si="4258"/>
        <v>0</v>
      </c>
      <c r="AE925" s="11">
        <f t="shared" si="4258"/>
        <v>0</v>
      </c>
      <c r="AF925" s="25">
        <f>SUM(AF921:AF924)</f>
        <v>0</v>
      </c>
      <c r="AH925" s="10">
        <f>SUM(AH921:AH924)</f>
        <v>0</v>
      </c>
      <c r="AI925" s="11">
        <f t="shared" ref="AI925:AL925" si="4259">SUM(AI921:AI924)</f>
        <v>0</v>
      </c>
      <c r="AJ925" s="11">
        <f t="shared" si="4259"/>
        <v>0</v>
      </c>
      <c r="AK925" s="11">
        <f t="shared" si="4259"/>
        <v>0</v>
      </c>
      <c r="AL925" s="11">
        <f t="shared" si="4259"/>
        <v>0</v>
      </c>
      <c r="AM925" s="25">
        <f>SUM(AM921:AM924)</f>
        <v>0</v>
      </c>
      <c r="AO925" s="10">
        <f>SUM(AO921:AO924)</f>
        <v>0</v>
      </c>
      <c r="AP925" s="11">
        <f t="shared" ref="AP925:AS925" si="4260">SUM(AP921:AP924)</f>
        <v>0</v>
      </c>
      <c r="AQ925" s="11">
        <f t="shared" si="4260"/>
        <v>0</v>
      </c>
      <c r="AR925" s="11">
        <f t="shared" si="4260"/>
        <v>0</v>
      </c>
      <c r="AS925" s="11">
        <f t="shared" si="4260"/>
        <v>0</v>
      </c>
      <c r="AT925" s="25">
        <f>SUM(AT921:AT924)</f>
        <v>0</v>
      </c>
      <c r="AV925" s="10">
        <f>SUM(AV921:AV924)</f>
        <v>0</v>
      </c>
      <c r="AW925" s="11">
        <f t="shared" ref="AW925:AZ925" si="4261">SUM(AW921:AW924)</f>
        <v>0</v>
      </c>
      <c r="AX925" s="11">
        <f t="shared" si="4261"/>
        <v>0</v>
      </c>
      <c r="AY925" s="11">
        <f t="shared" si="4261"/>
        <v>0</v>
      </c>
      <c r="AZ925" s="11">
        <f t="shared" si="4261"/>
        <v>0</v>
      </c>
      <c r="BA925" s="25">
        <f>SUM(BA921:BA924)</f>
        <v>0</v>
      </c>
      <c r="BC925" s="10">
        <f>SUM(BC921:BC924)</f>
        <v>0</v>
      </c>
      <c r="BD925" s="11">
        <f t="shared" ref="BD925:BG925" si="4262">SUM(BD921:BD924)</f>
        <v>0</v>
      </c>
      <c r="BE925" s="11">
        <f t="shared" si="4262"/>
        <v>0</v>
      </c>
      <c r="BF925" s="11">
        <f t="shared" si="4262"/>
        <v>0</v>
      </c>
      <c r="BG925" s="11">
        <f t="shared" si="4262"/>
        <v>0</v>
      </c>
      <c r="BH925" s="25">
        <f>SUM(BH921:BH924)</f>
        <v>0</v>
      </c>
      <c r="BJ925" s="10">
        <f>SUM(BJ921:BJ924)</f>
        <v>0</v>
      </c>
      <c r="BK925" s="11">
        <f t="shared" ref="BK925:BN925" si="4263">SUM(BK921:BK924)</f>
        <v>0</v>
      </c>
      <c r="BL925" s="11">
        <f t="shared" si="4263"/>
        <v>0</v>
      </c>
      <c r="BM925" s="11">
        <f t="shared" si="4263"/>
        <v>0</v>
      </c>
      <c r="BN925" s="11">
        <f t="shared" si="4263"/>
        <v>0</v>
      </c>
      <c r="BO925" s="25">
        <f>SUM(BO921:BO924)</f>
        <v>0</v>
      </c>
      <c r="BQ925" s="10">
        <f>SUM(BQ921:BQ924)</f>
        <v>0</v>
      </c>
      <c r="BR925" s="11">
        <f t="shared" ref="BR925:BU925" si="4264">SUM(BR921:BR924)</f>
        <v>0</v>
      </c>
      <c r="BS925" s="11">
        <f t="shared" si="4264"/>
        <v>0</v>
      </c>
      <c r="BT925" s="11">
        <f t="shared" si="4264"/>
        <v>0</v>
      </c>
      <c r="BU925" s="11">
        <f t="shared" si="4264"/>
        <v>0</v>
      </c>
      <c r="BV925" s="25">
        <f>SUM(BV921:BV924)</f>
        <v>0</v>
      </c>
      <c r="BX925" s="10">
        <f>SUM(BX921:BX924)</f>
        <v>0</v>
      </c>
      <c r="BY925" s="11">
        <f t="shared" ref="BY925:CB925" si="4265">SUM(BY921:BY924)</f>
        <v>0</v>
      </c>
      <c r="BZ925" s="11">
        <f t="shared" si="4265"/>
        <v>0</v>
      </c>
      <c r="CA925" s="11">
        <f t="shared" si="4265"/>
        <v>0</v>
      </c>
      <c r="CB925" s="11">
        <f t="shared" si="4265"/>
        <v>0</v>
      </c>
      <c r="CC925" s="25">
        <f>SUM(CC921:CC924)</f>
        <v>0</v>
      </c>
      <c r="CE925" s="62">
        <f t="shared" ref="CE925:CJ925" si="4266">SUM(CE921:CE924)</f>
        <v>0</v>
      </c>
      <c r="CF925" s="63">
        <f t="shared" si="4266"/>
        <v>0</v>
      </c>
      <c r="CG925" s="63">
        <f t="shared" si="4266"/>
        <v>0</v>
      </c>
      <c r="CH925" s="63">
        <f t="shared" si="4266"/>
        <v>0</v>
      </c>
      <c r="CI925" s="63">
        <f t="shared" si="4266"/>
        <v>0</v>
      </c>
      <c r="CJ925" s="25">
        <f t="shared" si="4266"/>
        <v>0</v>
      </c>
      <c r="CL925" s="10">
        <f>SUM(CL921:CL924)</f>
        <v>0</v>
      </c>
      <c r="CM925" s="11">
        <f t="shared" ref="CM925:CP925" si="4267">SUM(CM921:CM924)</f>
        <v>0</v>
      </c>
      <c r="CN925" s="11">
        <f t="shared" si="4267"/>
        <v>0</v>
      </c>
      <c r="CO925" s="11">
        <f t="shared" si="4267"/>
        <v>0</v>
      </c>
      <c r="CP925" s="11">
        <f t="shared" si="4267"/>
        <v>0</v>
      </c>
      <c r="CQ925" s="25">
        <f>SUM(CQ921:CQ924)</f>
        <v>0</v>
      </c>
      <c r="CS925" s="10">
        <f>SUM(CS921:CS924)</f>
        <v>0</v>
      </c>
      <c r="CT925" s="11">
        <f t="shared" ref="CT925:CW925" si="4268">SUM(CT921:CT924)</f>
        <v>0</v>
      </c>
      <c r="CU925" s="11">
        <f t="shared" si="4268"/>
        <v>0</v>
      </c>
      <c r="CV925" s="11">
        <f t="shared" si="4268"/>
        <v>0</v>
      </c>
      <c r="CW925" s="11">
        <f t="shared" si="4268"/>
        <v>0</v>
      </c>
      <c r="CX925" s="25">
        <f>SUM(CX921:CX924)</f>
        <v>0</v>
      </c>
      <c r="CZ925" s="10">
        <f>SUM(CZ921:CZ924)</f>
        <v>0</v>
      </c>
      <c r="DA925" s="11">
        <f t="shared" ref="DA925:DD925" si="4269">SUM(DA921:DA924)</f>
        <v>0</v>
      </c>
      <c r="DB925" s="11">
        <f t="shared" si="4269"/>
        <v>0</v>
      </c>
      <c r="DC925" s="11">
        <f t="shared" si="4269"/>
        <v>0</v>
      </c>
      <c r="DD925" s="11">
        <f t="shared" si="4269"/>
        <v>0</v>
      </c>
      <c r="DE925" s="25">
        <f>SUM(DE921:DE924)</f>
        <v>0</v>
      </c>
    </row>
    <row r="926" spans="3:109" ht="10.4" customHeight="1" thickBot="1"/>
    <row r="927" spans="3:109">
      <c r="C927" s="553">
        <v>2028</v>
      </c>
      <c r="E927" s="13" t="s">
        <v>59</v>
      </c>
      <c r="F927" s="21">
        <f>CE921</f>
        <v>0</v>
      </c>
      <c r="G927" s="22">
        <f t="shared" ref="G927:G930" si="4270">CF921</f>
        <v>0</v>
      </c>
      <c r="H927" s="22">
        <f t="shared" ref="H927:H930" si="4271">CG921</f>
        <v>0</v>
      </c>
      <c r="I927" s="22">
        <f t="shared" ref="I927:I930" si="4272">CH921</f>
        <v>0</v>
      </c>
      <c r="J927" s="22">
        <f t="shared" ref="J927:J930" si="4273">CI921</f>
        <v>0</v>
      </c>
      <c r="K927" s="4">
        <f>SUM(F927:J927)</f>
        <v>0</v>
      </c>
      <c r="M927" s="2"/>
      <c r="N927" s="3"/>
      <c r="O927" s="3"/>
      <c r="P927" s="3"/>
      <c r="Q927" s="3"/>
      <c r="R927" s="4">
        <f>SUM(M927:Q927)</f>
        <v>0</v>
      </c>
      <c r="T927" s="2"/>
      <c r="U927" s="3"/>
      <c r="V927" s="3"/>
      <c r="W927" s="3"/>
      <c r="X927" s="3"/>
      <c r="Y927" s="4">
        <f>SUM(T927:X927)</f>
        <v>0</v>
      </c>
      <c r="AA927" s="2"/>
      <c r="AB927" s="3"/>
      <c r="AC927" s="3"/>
      <c r="AD927" s="3"/>
      <c r="AE927" s="3"/>
      <c r="AF927" s="4">
        <f>SUM(AA927:AE927)</f>
        <v>0</v>
      </c>
      <c r="AH927" s="2"/>
      <c r="AI927" s="3"/>
      <c r="AJ927" s="3"/>
      <c r="AK927" s="3"/>
      <c r="AL927" s="3"/>
      <c r="AM927" s="4">
        <f>SUM(AH927:AL927)</f>
        <v>0</v>
      </c>
      <c r="AO927" s="2"/>
      <c r="AP927" s="3"/>
      <c r="AQ927" s="3"/>
      <c r="AR927" s="3"/>
      <c r="AS927" s="3"/>
      <c r="AT927" s="4">
        <f>SUM(AO927:AS927)</f>
        <v>0</v>
      </c>
      <c r="AV927" s="2"/>
      <c r="AW927" s="3"/>
      <c r="AX927" s="3"/>
      <c r="AY927" s="3"/>
      <c r="AZ927" s="3"/>
      <c r="BA927" s="4">
        <f>SUM(AV927:AZ927)</f>
        <v>0</v>
      </c>
      <c r="BC927" s="2"/>
      <c r="BD927" s="3"/>
      <c r="BE927" s="3"/>
      <c r="BF927" s="3"/>
      <c r="BG927" s="3"/>
      <c r="BH927" s="4">
        <f>SUM(BC927:BG927)</f>
        <v>0</v>
      </c>
      <c r="BJ927" s="2"/>
      <c r="BK927" s="3"/>
      <c r="BL927" s="3"/>
      <c r="BM927" s="3"/>
      <c r="BN927" s="3"/>
      <c r="BO927" s="4">
        <f>SUM(BJ927:BN927)</f>
        <v>0</v>
      </c>
      <c r="BQ927" s="2"/>
      <c r="BR927" s="3"/>
      <c r="BS927" s="3"/>
      <c r="BT927" s="3"/>
      <c r="BU927" s="3"/>
      <c r="BV927" s="4">
        <f>SUM(BQ927:BU927)</f>
        <v>0</v>
      </c>
      <c r="BX927" s="2"/>
      <c r="BY927" s="3"/>
      <c r="BZ927" s="3"/>
      <c r="CA927" s="3"/>
      <c r="CB927" s="3"/>
      <c r="CC927" s="4">
        <f>SUM(BX927:CB927)</f>
        <v>0</v>
      </c>
      <c r="CE927" s="26">
        <f t="shared" ref="CE927:CE930" si="4274">F927+M927+T927+AA927+AH927+AO927+AV927+BC927+BJ927+BQ927+BX927</f>
        <v>0</v>
      </c>
      <c r="CF927" s="27">
        <f t="shared" ref="CF927:CF930" si="4275">G927+N927+U927+AB927+AI927+AP927+AW927+BD927+BK927+BR927+BY927</f>
        <v>0</v>
      </c>
      <c r="CG927" s="27">
        <f t="shared" ref="CG927:CG930" si="4276">H927+O927+V927+AC927+AJ927+AQ927+AX927+BE927+BL927+BS927+BZ927</f>
        <v>0</v>
      </c>
      <c r="CH927" s="27">
        <f t="shared" ref="CH927:CH930" si="4277">I927+P927+W927+AD927+AK927+AR927+AY927+BF927+BM927+BT927+CA927</f>
        <v>0</v>
      </c>
      <c r="CI927" s="27">
        <f t="shared" ref="CI927:CI930" si="4278">J927+Q927+X927+AE927+AL927+AS927+AZ927+BG927+BN927+BU927+CB927</f>
        <v>0</v>
      </c>
      <c r="CJ927" s="4">
        <f>SUM(CE927:CI927)</f>
        <v>0</v>
      </c>
      <c r="CL927" s="2"/>
      <c r="CM927" s="3"/>
      <c r="CN927" s="3"/>
      <c r="CO927" s="3"/>
      <c r="CP927" s="3"/>
      <c r="CQ927" s="4">
        <f>SUM(CL927:CP927)</f>
        <v>0</v>
      </c>
      <c r="CS927" s="2"/>
      <c r="CT927" s="3"/>
      <c r="CU927" s="3"/>
      <c r="CV927" s="3"/>
      <c r="CW927" s="3"/>
      <c r="CX927" s="4">
        <f>SUM(CS927:CW927)</f>
        <v>0</v>
      </c>
      <c r="CZ927" s="2"/>
      <c r="DA927" s="3"/>
      <c r="DB927" s="3"/>
      <c r="DC927" s="3"/>
      <c r="DD927" s="3"/>
      <c r="DE927" s="4">
        <f>SUM(CZ927:DD927)</f>
        <v>0</v>
      </c>
    </row>
    <row r="928" spans="3:109">
      <c r="C928" s="567"/>
      <c r="E928" s="14" t="s">
        <v>60</v>
      </c>
      <c r="F928" s="23">
        <f t="shared" ref="F928:F930" si="4279">CE922</f>
        <v>0</v>
      </c>
      <c r="G928" s="24">
        <f t="shared" si="4270"/>
        <v>0</v>
      </c>
      <c r="H928" s="24">
        <f t="shared" si="4271"/>
        <v>0</v>
      </c>
      <c r="I928" s="24">
        <f t="shared" si="4272"/>
        <v>0</v>
      </c>
      <c r="J928" s="24">
        <f t="shared" si="4273"/>
        <v>0</v>
      </c>
      <c r="K928" s="8">
        <f t="shared" ref="K928:K930" si="4280">SUM(F928:J928)</f>
        <v>0</v>
      </c>
      <c r="M928" s="6"/>
      <c r="N928" s="7"/>
      <c r="O928" s="7"/>
      <c r="P928" s="7"/>
      <c r="Q928" s="7"/>
      <c r="R928" s="8">
        <f t="shared" ref="R928:R930" si="4281">SUM(M928:Q928)</f>
        <v>0</v>
      </c>
      <c r="T928" s="6"/>
      <c r="U928" s="7"/>
      <c r="V928" s="7"/>
      <c r="W928" s="7"/>
      <c r="X928" s="7"/>
      <c r="Y928" s="8">
        <f t="shared" ref="Y928:Y930" si="4282">SUM(T928:X928)</f>
        <v>0</v>
      </c>
      <c r="AA928" s="6"/>
      <c r="AB928" s="7"/>
      <c r="AC928" s="7"/>
      <c r="AD928" s="7"/>
      <c r="AE928" s="7"/>
      <c r="AF928" s="8">
        <f>SUM(AA928:AE928)</f>
        <v>0</v>
      </c>
      <c r="AH928" s="6"/>
      <c r="AI928" s="7"/>
      <c r="AJ928" s="7"/>
      <c r="AK928" s="7"/>
      <c r="AL928" s="7"/>
      <c r="AM928" s="8">
        <f>SUM(AH928:AL928)</f>
        <v>0</v>
      </c>
      <c r="AO928" s="6"/>
      <c r="AP928" s="7"/>
      <c r="AQ928" s="7"/>
      <c r="AR928" s="7"/>
      <c r="AS928" s="7"/>
      <c r="AT928" s="8">
        <f>SUM(AO928:AS928)</f>
        <v>0</v>
      </c>
      <c r="AV928" s="6"/>
      <c r="AW928" s="7"/>
      <c r="AX928" s="7"/>
      <c r="AY928" s="7"/>
      <c r="AZ928" s="7"/>
      <c r="BA928" s="8">
        <f>SUM(AV928:AZ928)</f>
        <v>0</v>
      </c>
      <c r="BC928" s="6"/>
      <c r="BD928" s="7"/>
      <c r="BE928" s="7"/>
      <c r="BF928" s="7"/>
      <c r="BG928" s="7"/>
      <c r="BH928" s="8">
        <f>SUM(BC928:BG928)</f>
        <v>0</v>
      </c>
      <c r="BJ928" s="6"/>
      <c r="BK928" s="7"/>
      <c r="BL928" s="7"/>
      <c r="BM928" s="7"/>
      <c r="BN928" s="7"/>
      <c r="BO928" s="8">
        <f>SUM(BJ928:BN928)</f>
        <v>0</v>
      </c>
      <c r="BQ928" s="6"/>
      <c r="BR928" s="7"/>
      <c r="BS928" s="7"/>
      <c r="BT928" s="7"/>
      <c r="BU928" s="7"/>
      <c r="BV928" s="8">
        <f>SUM(BQ928:BU928)</f>
        <v>0</v>
      </c>
      <c r="BX928" s="6"/>
      <c r="BY928" s="7"/>
      <c r="BZ928" s="7"/>
      <c r="CA928" s="7"/>
      <c r="CB928" s="7"/>
      <c r="CC928" s="8">
        <f>SUM(BX928:CB928)</f>
        <v>0</v>
      </c>
      <c r="CE928" s="28">
        <f t="shared" si="4274"/>
        <v>0</v>
      </c>
      <c r="CF928" s="29">
        <f t="shared" si="4275"/>
        <v>0</v>
      </c>
      <c r="CG928" s="29">
        <f t="shared" si="4276"/>
        <v>0</v>
      </c>
      <c r="CH928" s="29">
        <f t="shared" si="4277"/>
        <v>0</v>
      </c>
      <c r="CI928" s="29">
        <f t="shared" si="4278"/>
        <v>0</v>
      </c>
      <c r="CJ928" s="8">
        <f>SUM(CE928:CI928)</f>
        <v>0</v>
      </c>
      <c r="CL928" s="6"/>
      <c r="CM928" s="7"/>
      <c r="CN928" s="7"/>
      <c r="CO928" s="7"/>
      <c r="CP928" s="7"/>
      <c r="CQ928" s="8">
        <f>SUM(CL928:CP928)</f>
        <v>0</v>
      </c>
      <c r="CS928" s="6"/>
      <c r="CT928" s="7"/>
      <c r="CU928" s="7"/>
      <c r="CV928" s="7"/>
      <c r="CW928" s="7"/>
      <c r="CX928" s="8">
        <f t="shared" ref="CX928:CX930" si="4283">SUM(CS928:CW928)</f>
        <v>0</v>
      </c>
      <c r="CZ928" s="6"/>
      <c r="DA928" s="7"/>
      <c r="DB928" s="7"/>
      <c r="DC928" s="7"/>
      <c r="DD928" s="7"/>
      <c r="DE928" s="8">
        <f t="shared" ref="DE928:DE930" si="4284">SUM(CZ928:DD928)</f>
        <v>0</v>
      </c>
    </row>
    <row r="929" spans="2:109">
      <c r="C929" s="567"/>
      <c r="E929" s="14" t="s">
        <v>61</v>
      </c>
      <c r="F929" s="23">
        <f t="shared" si="4279"/>
        <v>0</v>
      </c>
      <c r="G929" s="24">
        <f t="shared" si="4270"/>
        <v>0</v>
      </c>
      <c r="H929" s="24">
        <f t="shared" si="4271"/>
        <v>0</v>
      </c>
      <c r="I929" s="24">
        <f t="shared" si="4272"/>
        <v>0</v>
      </c>
      <c r="J929" s="24">
        <f t="shared" si="4273"/>
        <v>0</v>
      </c>
      <c r="K929" s="8">
        <f t="shared" si="4280"/>
        <v>0</v>
      </c>
      <c r="M929" s="6"/>
      <c r="N929" s="7"/>
      <c r="O929" s="7"/>
      <c r="P929" s="7"/>
      <c r="Q929" s="7"/>
      <c r="R929" s="8">
        <f t="shared" si="4281"/>
        <v>0</v>
      </c>
      <c r="T929" s="6"/>
      <c r="U929" s="7"/>
      <c r="V929" s="7"/>
      <c r="W929" s="7"/>
      <c r="X929" s="7"/>
      <c r="Y929" s="8">
        <f t="shared" si="4282"/>
        <v>0</v>
      </c>
      <c r="AA929" s="6"/>
      <c r="AB929" s="7"/>
      <c r="AC929" s="7"/>
      <c r="AD929" s="7"/>
      <c r="AE929" s="7"/>
      <c r="AF929" s="8">
        <f>SUM(AA929:AE929)</f>
        <v>0</v>
      </c>
      <c r="AH929" s="6"/>
      <c r="AI929" s="7"/>
      <c r="AJ929" s="7"/>
      <c r="AK929" s="7"/>
      <c r="AL929" s="7"/>
      <c r="AM929" s="8">
        <f>SUM(AH929:AL929)</f>
        <v>0</v>
      </c>
      <c r="AO929" s="6"/>
      <c r="AP929" s="7"/>
      <c r="AQ929" s="7"/>
      <c r="AR929" s="7"/>
      <c r="AS929" s="7"/>
      <c r="AT929" s="8">
        <f>SUM(AO929:AS929)</f>
        <v>0</v>
      </c>
      <c r="AV929" s="6"/>
      <c r="AW929" s="7"/>
      <c r="AX929" s="7"/>
      <c r="AY929" s="7"/>
      <c r="AZ929" s="7"/>
      <c r="BA929" s="8">
        <f>SUM(AV929:AZ929)</f>
        <v>0</v>
      </c>
      <c r="BC929" s="6"/>
      <c r="BD929" s="7"/>
      <c r="BE929" s="7"/>
      <c r="BF929" s="7"/>
      <c r="BG929" s="7"/>
      <c r="BH929" s="8">
        <f>SUM(BC929:BG929)</f>
        <v>0</v>
      </c>
      <c r="BJ929" s="6"/>
      <c r="BK929" s="7"/>
      <c r="BL929" s="7"/>
      <c r="BM929" s="7"/>
      <c r="BN929" s="7"/>
      <c r="BO929" s="8">
        <f>SUM(BJ929:BN929)</f>
        <v>0</v>
      </c>
      <c r="BQ929" s="6"/>
      <c r="BR929" s="7"/>
      <c r="BS929" s="7"/>
      <c r="BT929" s="7"/>
      <c r="BU929" s="7"/>
      <c r="BV929" s="8">
        <f>SUM(BQ929:BU929)</f>
        <v>0</v>
      </c>
      <c r="BX929" s="6"/>
      <c r="BY929" s="7"/>
      <c r="BZ929" s="7"/>
      <c r="CA929" s="7"/>
      <c r="CB929" s="7"/>
      <c r="CC929" s="8">
        <f>SUM(BX929:CB929)</f>
        <v>0</v>
      </c>
      <c r="CE929" s="28">
        <f t="shared" si="4274"/>
        <v>0</v>
      </c>
      <c r="CF929" s="29">
        <f t="shared" si="4275"/>
        <v>0</v>
      </c>
      <c r="CG929" s="29">
        <f t="shared" si="4276"/>
        <v>0</v>
      </c>
      <c r="CH929" s="29">
        <f t="shared" si="4277"/>
        <v>0</v>
      </c>
      <c r="CI929" s="29">
        <f t="shared" si="4278"/>
        <v>0</v>
      </c>
      <c r="CJ929" s="8">
        <f>SUM(CE929:CI929)</f>
        <v>0</v>
      </c>
      <c r="CL929" s="6"/>
      <c r="CM929" s="7"/>
      <c r="CN929" s="7"/>
      <c r="CO929" s="7"/>
      <c r="CP929" s="7"/>
      <c r="CQ929" s="8">
        <f>SUM(CL929:CP929)</f>
        <v>0</v>
      </c>
      <c r="CS929" s="6"/>
      <c r="CT929" s="7"/>
      <c r="CU929" s="7"/>
      <c r="CV929" s="7"/>
      <c r="CW929" s="7"/>
      <c r="CX929" s="8">
        <f t="shared" si="4283"/>
        <v>0</v>
      </c>
      <c r="CZ929" s="6"/>
      <c r="DA929" s="7"/>
      <c r="DB929" s="7"/>
      <c r="DC929" s="7"/>
      <c r="DD929" s="7"/>
      <c r="DE929" s="8">
        <f t="shared" si="4284"/>
        <v>0</v>
      </c>
    </row>
    <row r="930" spans="2:109" ht="14" thickBot="1">
      <c r="C930" s="567"/>
      <c r="E930" s="14" t="s">
        <v>62</v>
      </c>
      <c r="F930" s="23">
        <f t="shared" si="4279"/>
        <v>0</v>
      </c>
      <c r="G930" s="24">
        <f t="shared" si="4270"/>
        <v>0</v>
      </c>
      <c r="H930" s="24">
        <f t="shared" si="4271"/>
        <v>0</v>
      </c>
      <c r="I930" s="24">
        <f t="shared" si="4272"/>
        <v>0</v>
      </c>
      <c r="J930" s="24">
        <f t="shared" si="4273"/>
        <v>0</v>
      </c>
      <c r="K930" s="8">
        <f t="shared" si="4280"/>
        <v>0</v>
      </c>
      <c r="M930" s="6"/>
      <c r="N930" s="7"/>
      <c r="O930" s="7"/>
      <c r="P930" s="7"/>
      <c r="Q930" s="7"/>
      <c r="R930" s="8">
        <f t="shared" si="4281"/>
        <v>0</v>
      </c>
      <c r="T930" s="6"/>
      <c r="U930" s="7"/>
      <c r="V930" s="7"/>
      <c r="W930" s="7"/>
      <c r="X930" s="7"/>
      <c r="Y930" s="8">
        <f t="shared" si="4282"/>
        <v>0</v>
      </c>
      <c r="AA930" s="6"/>
      <c r="AB930" s="7"/>
      <c r="AC930" s="7"/>
      <c r="AD930" s="7"/>
      <c r="AE930" s="7"/>
      <c r="AF930" s="8">
        <f>SUM(AA930:AE930)</f>
        <v>0</v>
      </c>
      <c r="AH930" s="6"/>
      <c r="AI930" s="7"/>
      <c r="AJ930" s="7"/>
      <c r="AK930" s="7"/>
      <c r="AL930" s="7"/>
      <c r="AM930" s="8">
        <f>SUM(AH930:AL930)</f>
        <v>0</v>
      </c>
      <c r="AO930" s="6"/>
      <c r="AP930" s="7"/>
      <c r="AQ930" s="7"/>
      <c r="AR930" s="7"/>
      <c r="AS930" s="7"/>
      <c r="AT930" s="8">
        <f>SUM(AO930:AS930)</f>
        <v>0</v>
      </c>
      <c r="AV930" s="6"/>
      <c r="AW930" s="7"/>
      <c r="AX930" s="7"/>
      <c r="AY930" s="7"/>
      <c r="AZ930" s="7"/>
      <c r="BA930" s="8">
        <f>SUM(AV930:AZ930)</f>
        <v>0</v>
      </c>
      <c r="BC930" s="6"/>
      <c r="BD930" s="7"/>
      <c r="BE930" s="7"/>
      <c r="BF930" s="7"/>
      <c r="BG930" s="7"/>
      <c r="BH930" s="8">
        <f>SUM(BC930:BG930)</f>
        <v>0</v>
      </c>
      <c r="BJ930" s="6"/>
      <c r="BK930" s="7"/>
      <c r="BL930" s="7"/>
      <c r="BM930" s="7"/>
      <c r="BN930" s="7"/>
      <c r="BO930" s="8">
        <f>SUM(BJ930:BN930)</f>
        <v>0</v>
      </c>
      <c r="BQ930" s="6"/>
      <c r="BR930" s="7"/>
      <c r="BS930" s="7"/>
      <c r="BT930" s="7"/>
      <c r="BU930" s="7"/>
      <c r="BV930" s="8">
        <f>SUM(BQ930:BU930)</f>
        <v>0</v>
      </c>
      <c r="BX930" s="6"/>
      <c r="BY930" s="7"/>
      <c r="BZ930" s="7"/>
      <c r="CA930" s="7"/>
      <c r="CB930" s="7"/>
      <c r="CC930" s="8">
        <f>SUM(BX930:CB930)</f>
        <v>0</v>
      </c>
      <c r="CE930" s="493">
        <f t="shared" si="4274"/>
        <v>0</v>
      </c>
      <c r="CF930" s="494">
        <f t="shared" si="4275"/>
        <v>0</v>
      </c>
      <c r="CG930" s="494">
        <f t="shared" si="4276"/>
        <v>0</v>
      </c>
      <c r="CH930" s="494">
        <f t="shared" si="4277"/>
        <v>0</v>
      </c>
      <c r="CI930" s="494">
        <f t="shared" si="4278"/>
        <v>0</v>
      </c>
      <c r="CJ930" s="495">
        <f>SUM(CE930:CI930)</f>
        <v>0</v>
      </c>
      <c r="CL930" s="6"/>
      <c r="CM930" s="7"/>
      <c r="CN930" s="7"/>
      <c r="CO930" s="7"/>
      <c r="CP930" s="7"/>
      <c r="CQ930" s="8">
        <f>SUM(CL930:CP930)</f>
        <v>0</v>
      </c>
      <c r="CS930" s="6"/>
      <c r="CT930" s="7"/>
      <c r="CU930" s="7"/>
      <c r="CV930" s="7"/>
      <c r="CW930" s="7"/>
      <c r="CX930" s="8">
        <f t="shared" si="4283"/>
        <v>0</v>
      </c>
      <c r="CZ930" s="6"/>
      <c r="DA930" s="7"/>
      <c r="DB930" s="7"/>
      <c r="DC930" s="7"/>
      <c r="DD930" s="7"/>
      <c r="DE930" s="8">
        <f t="shared" si="4284"/>
        <v>0</v>
      </c>
    </row>
    <row r="931" spans="2:109" ht="14" thickBot="1">
      <c r="C931" s="554"/>
      <c r="E931" s="9"/>
      <c r="F931" s="10">
        <f>SUM(F927:F930)</f>
        <v>0</v>
      </c>
      <c r="G931" s="11">
        <f t="shared" ref="G931:J931" si="4285">SUM(G927:G930)</f>
        <v>0</v>
      </c>
      <c r="H931" s="11">
        <f t="shared" si="4285"/>
        <v>0</v>
      </c>
      <c r="I931" s="11">
        <f t="shared" si="4285"/>
        <v>0</v>
      </c>
      <c r="J931" s="11">
        <f t="shared" si="4285"/>
        <v>0</v>
      </c>
      <c r="K931" s="25">
        <f>SUM(K927:K930)</f>
        <v>0</v>
      </c>
      <c r="M931" s="10">
        <f>SUM(M927:M930)</f>
        <v>0</v>
      </c>
      <c r="N931" s="11">
        <f t="shared" ref="N931:Q931" si="4286">SUM(N927:N930)</f>
        <v>0</v>
      </c>
      <c r="O931" s="11">
        <f t="shared" si="4286"/>
        <v>0</v>
      </c>
      <c r="P931" s="11">
        <f t="shared" si="4286"/>
        <v>0</v>
      </c>
      <c r="Q931" s="11">
        <f t="shared" si="4286"/>
        <v>0</v>
      </c>
      <c r="R931" s="25">
        <f>SUM(R927:R930)</f>
        <v>0</v>
      </c>
      <c r="T931" s="10">
        <f>SUM(T927:T930)</f>
        <v>0</v>
      </c>
      <c r="U931" s="11">
        <f t="shared" ref="U931:X931" si="4287">SUM(U927:U930)</f>
        <v>0</v>
      </c>
      <c r="V931" s="11">
        <f t="shared" si="4287"/>
        <v>0</v>
      </c>
      <c r="W931" s="11">
        <f t="shared" si="4287"/>
        <v>0</v>
      </c>
      <c r="X931" s="11">
        <f t="shared" si="4287"/>
        <v>0</v>
      </c>
      <c r="Y931" s="25">
        <f>SUM(Y927:Y930)</f>
        <v>0</v>
      </c>
      <c r="AA931" s="10">
        <f>SUM(AA927:AA930)</f>
        <v>0</v>
      </c>
      <c r="AB931" s="11">
        <f t="shared" ref="AB931:AE931" si="4288">SUM(AB927:AB930)</f>
        <v>0</v>
      </c>
      <c r="AC931" s="11">
        <f t="shared" si="4288"/>
        <v>0</v>
      </c>
      <c r="AD931" s="11">
        <f t="shared" si="4288"/>
        <v>0</v>
      </c>
      <c r="AE931" s="11">
        <f t="shared" si="4288"/>
        <v>0</v>
      </c>
      <c r="AF931" s="25">
        <f>SUM(AF927:AF930)</f>
        <v>0</v>
      </c>
      <c r="AH931" s="10">
        <f>SUM(AH927:AH930)</f>
        <v>0</v>
      </c>
      <c r="AI931" s="11">
        <f t="shared" ref="AI931:AL931" si="4289">SUM(AI927:AI930)</f>
        <v>0</v>
      </c>
      <c r="AJ931" s="11">
        <f t="shared" si="4289"/>
        <v>0</v>
      </c>
      <c r="AK931" s="11">
        <f t="shared" si="4289"/>
        <v>0</v>
      </c>
      <c r="AL931" s="11">
        <f t="shared" si="4289"/>
        <v>0</v>
      </c>
      <c r="AM931" s="25">
        <f>SUM(AM927:AM930)</f>
        <v>0</v>
      </c>
      <c r="AO931" s="10">
        <f>SUM(AO927:AO930)</f>
        <v>0</v>
      </c>
      <c r="AP931" s="11">
        <f t="shared" ref="AP931:AS931" si="4290">SUM(AP927:AP930)</f>
        <v>0</v>
      </c>
      <c r="AQ931" s="11">
        <f t="shared" si="4290"/>
        <v>0</v>
      </c>
      <c r="AR931" s="11">
        <f t="shared" si="4290"/>
        <v>0</v>
      </c>
      <c r="AS931" s="11">
        <f t="shared" si="4290"/>
        <v>0</v>
      </c>
      <c r="AT931" s="25">
        <f>SUM(AT927:AT930)</f>
        <v>0</v>
      </c>
      <c r="AV931" s="10">
        <f>SUM(AV927:AV930)</f>
        <v>0</v>
      </c>
      <c r="AW931" s="11">
        <f t="shared" ref="AW931:AZ931" si="4291">SUM(AW927:AW930)</f>
        <v>0</v>
      </c>
      <c r="AX931" s="11">
        <f t="shared" si="4291"/>
        <v>0</v>
      </c>
      <c r="AY931" s="11">
        <f t="shared" si="4291"/>
        <v>0</v>
      </c>
      <c r="AZ931" s="11">
        <f t="shared" si="4291"/>
        <v>0</v>
      </c>
      <c r="BA931" s="25">
        <f>SUM(BA927:BA930)</f>
        <v>0</v>
      </c>
      <c r="BC931" s="10">
        <f>SUM(BC927:BC930)</f>
        <v>0</v>
      </c>
      <c r="BD931" s="11">
        <f t="shared" ref="BD931:BG931" si="4292">SUM(BD927:BD930)</f>
        <v>0</v>
      </c>
      <c r="BE931" s="11">
        <f t="shared" si="4292"/>
        <v>0</v>
      </c>
      <c r="BF931" s="11">
        <f t="shared" si="4292"/>
        <v>0</v>
      </c>
      <c r="BG931" s="11">
        <f t="shared" si="4292"/>
        <v>0</v>
      </c>
      <c r="BH931" s="25">
        <f>SUM(BH927:BH930)</f>
        <v>0</v>
      </c>
      <c r="BJ931" s="10">
        <f>SUM(BJ927:BJ930)</f>
        <v>0</v>
      </c>
      <c r="BK931" s="11">
        <f t="shared" ref="BK931:BN931" si="4293">SUM(BK927:BK930)</f>
        <v>0</v>
      </c>
      <c r="BL931" s="11">
        <f t="shared" si="4293"/>
        <v>0</v>
      </c>
      <c r="BM931" s="11">
        <f t="shared" si="4293"/>
        <v>0</v>
      </c>
      <c r="BN931" s="11">
        <f t="shared" si="4293"/>
        <v>0</v>
      </c>
      <c r="BO931" s="25">
        <f>SUM(BO927:BO930)</f>
        <v>0</v>
      </c>
      <c r="BQ931" s="10">
        <f>SUM(BQ927:BQ930)</f>
        <v>0</v>
      </c>
      <c r="BR931" s="11">
        <f t="shared" ref="BR931:BU931" si="4294">SUM(BR927:BR930)</f>
        <v>0</v>
      </c>
      <c r="BS931" s="11">
        <f t="shared" si="4294"/>
        <v>0</v>
      </c>
      <c r="BT931" s="11">
        <f t="shared" si="4294"/>
        <v>0</v>
      </c>
      <c r="BU931" s="11">
        <f t="shared" si="4294"/>
        <v>0</v>
      </c>
      <c r="BV931" s="25">
        <f>SUM(BV927:BV930)</f>
        <v>0</v>
      </c>
      <c r="BX931" s="10">
        <f>SUM(BX927:BX930)</f>
        <v>0</v>
      </c>
      <c r="BY931" s="11">
        <f t="shared" ref="BY931:CB931" si="4295">SUM(BY927:BY930)</f>
        <v>0</v>
      </c>
      <c r="BZ931" s="11">
        <f t="shared" si="4295"/>
        <v>0</v>
      </c>
      <c r="CA931" s="11">
        <f t="shared" si="4295"/>
        <v>0</v>
      </c>
      <c r="CB931" s="11">
        <f t="shared" si="4295"/>
        <v>0</v>
      </c>
      <c r="CC931" s="25">
        <f>SUM(CC927:CC930)</f>
        <v>0</v>
      </c>
      <c r="CE931" s="62">
        <f t="shared" ref="CE931:CJ931" si="4296">SUM(CE927:CE930)</f>
        <v>0</v>
      </c>
      <c r="CF931" s="63">
        <f t="shared" si="4296"/>
        <v>0</v>
      </c>
      <c r="CG931" s="63">
        <f t="shared" si="4296"/>
        <v>0</v>
      </c>
      <c r="CH931" s="63">
        <f t="shared" si="4296"/>
        <v>0</v>
      </c>
      <c r="CI931" s="63">
        <f t="shared" si="4296"/>
        <v>0</v>
      </c>
      <c r="CJ931" s="25">
        <f t="shared" si="4296"/>
        <v>0</v>
      </c>
      <c r="CL931" s="10">
        <f>SUM(CL927:CL930)</f>
        <v>0</v>
      </c>
      <c r="CM931" s="11">
        <f t="shared" ref="CM931:CP931" si="4297">SUM(CM927:CM930)</f>
        <v>0</v>
      </c>
      <c r="CN931" s="11">
        <f t="shared" si="4297"/>
        <v>0</v>
      </c>
      <c r="CO931" s="11">
        <f t="shared" si="4297"/>
        <v>0</v>
      </c>
      <c r="CP931" s="11">
        <f t="shared" si="4297"/>
        <v>0</v>
      </c>
      <c r="CQ931" s="25">
        <f>SUM(CQ927:CQ930)</f>
        <v>0</v>
      </c>
      <c r="CS931" s="10">
        <f>SUM(CS927:CS930)</f>
        <v>0</v>
      </c>
      <c r="CT931" s="11">
        <f t="shared" ref="CT931:CW931" si="4298">SUM(CT927:CT930)</f>
        <v>0</v>
      </c>
      <c r="CU931" s="11">
        <f t="shared" si="4298"/>
        <v>0</v>
      </c>
      <c r="CV931" s="11">
        <f t="shared" si="4298"/>
        <v>0</v>
      </c>
      <c r="CW931" s="11">
        <f t="shared" si="4298"/>
        <v>0</v>
      </c>
      <c r="CX931" s="25">
        <f>SUM(CX927:CX930)</f>
        <v>0</v>
      </c>
      <c r="CZ931" s="10">
        <f>SUM(CZ927:CZ930)</f>
        <v>0</v>
      </c>
      <c r="DA931" s="11">
        <f t="shared" ref="DA931:DD931" si="4299">SUM(DA927:DA930)</f>
        <v>0</v>
      </c>
      <c r="DB931" s="11">
        <f t="shared" si="4299"/>
        <v>0</v>
      </c>
      <c r="DC931" s="11">
        <f t="shared" si="4299"/>
        <v>0</v>
      </c>
      <c r="DD931" s="11">
        <f t="shared" si="4299"/>
        <v>0</v>
      </c>
      <c r="DE931" s="25">
        <f>SUM(DE927:DE930)</f>
        <v>0</v>
      </c>
    </row>
    <row r="933" spans="2:109">
      <c r="B933" s="123"/>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20"/>
      <c r="CC933" s="20"/>
      <c r="CD933" s="20"/>
      <c r="CE933" s="20"/>
      <c r="CF933" s="20"/>
      <c r="CG933" s="20"/>
      <c r="CH933" s="20"/>
      <c r="CI933" s="20"/>
      <c r="CJ933" s="20"/>
      <c r="CL933" s="20"/>
      <c r="CM933" s="20"/>
      <c r="CN933" s="20"/>
      <c r="CO933" s="20"/>
      <c r="CP933" s="20"/>
      <c r="CQ933" s="20"/>
      <c r="CR933" s="20"/>
      <c r="CS933" s="20"/>
      <c r="CT933" s="20"/>
      <c r="CU933" s="20"/>
      <c r="CV933" s="20"/>
      <c r="CW933" s="20"/>
      <c r="CX933" s="20"/>
      <c r="CY933" s="20"/>
      <c r="CZ933" s="20"/>
      <c r="DA933" s="20"/>
      <c r="DB933" s="20"/>
      <c r="DC933" s="20"/>
      <c r="DD933" s="20"/>
      <c r="DE933" s="20"/>
    </row>
    <row r="934" spans="2:109" ht="14" thickBot="1">
      <c r="B934" s="94">
        <v>30</v>
      </c>
      <c r="C934" s="12" t="s">
        <v>91</v>
      </c>
    </row>
    <row r="935" spans="2:109">
      <c r="C935" s="553">
        <v>2024</v>
      </c>
      <c r="E935" s="1" t="s">
        <v>59</v>
      </c>
      <c r="F935" s="2"/>
      <c r="G935" s="3"/>
      <c r="H935" s="3"/>
      <c r="I935" s="3"/>
      <c r="J935" s="3"/>
      <c r="K935" s="4">
        <f>SUM(F935:J935)</f>
        <v>0</v>
      </c>
      <c r="M935" s="2"/>
      <c r="N935" s="3"/>
      <c r="O935" s="3"/>
      <c r="P935" s="3"/>
      <c r="Q935" s="3"/>
      <c r="R935" s="4">
        <f>SUM(M935:Q935)</f>
        <v>0</v>
      </c>
      <c r="T935" s="2"/>
      <c r="U935" s="3"/>
      <c r="V935" s="3"/>
      <c r="W935" s="3"/>
      <c r="X935" s="3"/>
      <c r="Y935" s="4">
        <f>SUM(T935:X935)</f>
        <v>0</v>
      </c>
      <c r="AA935" s="2"/>
      <c r="AB935" s="3"/>
      <c r="AC935" s="3"/>
      <c r="AD935" s="3"/>
      <c r="AE935" s="3"/>
      <c r="AF935" s="4">
        <f>SUM(AA935:AE935)</f>
        <v>0</v>
      </c>
      <c r="AH935" s="2"/>
      <c r="AI935" s="3"/>
      <c r="AJ935" s="3"/>
      <c r="AK935" s="3"/>
      <c r="AL935" s="3"/>
      <c r="AM935" s="4">
        <f>SUM(AH935:AL935)</f>
        <v>0</v>
      </c>
      <c r="AO935" s="2"/>
      <c r="AP935" s="3"/>
      <c r="AQ935" s="3"/>
      <c r="AR935" s="3"/>
      <c r="AS935" s="3"/>
      <c r="AT935" s="4">
        <f>SUM(AO935:AS935)</f>
        <v>0</v>
      </c>
      <c r="AV935" s="2"/>
      <c r="AW935" s="3"/>
      <c r="AX935" s="3"/>
      <c r="AY935" s="3"/>
      <c r="AZ935" s="3"/>
      <c r="BA935" s="4">
        <f>SUM(AV935:AZ935)</f>
        <v>0</v>
      </c>
      <c r="BC935" s="2"/>
      <c r="BD935" s="3"/>
      <c r="BE935" s="3"/>
      <c r="BF935" s="3"/>
      <c r="BG935" s="3"/>
      <c r="BH935" s="4">
        <f>SUM(BC935:BG935)</f>
        <v>0</v>
      </c>
      <c r="BJ935" s="2"/>
      <c r="BK935" s="3"/>
      <c r="BL935" s="3"/>
      <c r="BM935" s="3"/>
      <c r="BN935" s="3"/>
      <c r="BO935" s="4">
        <f>SUM(BJ935:BN935)</f>
        <v>0</v>
      </c>
      <c r="BQ935" s="2"/>
      <c r="BR935" s="3"/>
      <c r="BS935" s="3"/>
      <c r="BT935" s="3"/>
      <c r="BU935" s="3"/>
      <c r="BV935" s="4">
        <f>SUM(BQ935:BU935)</f>
        <v>0</v>
      </c>
      <c r="BX935" s="2"/>
      <c r="BY935" s="3"/>
      <c r="BZ935" s="3"/>
      <c r="CA935" s="3"/>
      <c r="CB935" s="3"/>
      <c r="CC935" s="4">
        <f>SUM(BX935:CB935)</f>
        <v>0</v>
      </c>
      <c r="CE935" s="26">
        <f t="shared" ref="CE935:CE938" si="4300">F935+M935+T935+AA935+AH935+AO935+AV935+BC935+BJ935+BQ935+BX935</f>
        <v>0</v>
      </c>
      <c r="CF935" s="27">
        <f t="shared" ref="CF935:CF938" si="4301">G935+N935+U935+AB935+AI935+AP935+AW935+BD935+BK935+BR935+BY935</f>
        <v>0</v>
      </c>
      <c r="CG935" s="27">
        <f t="shared" ref="CG935:CG938" si="4302">H935+O935+V935+AC935+AJ935+AQ935+AX935+BE935+BL935+BS935+BZ935</f>
        <v>0</v>
      </c>
      <c r="CH935" s="27">
        <f t="shared" ref="CH935:CH938" si="4303">I935+P935+W935+AD935+AK935+AR935+AY935+BF935+BM935+BT935+CA935</f>
        <v>0</v>
      </c>
      <c r="CI935" s="27">
        <f t="shared" ref="CI935:CI938" si="4304">J935+Q935+X935+AE935+AL935+AS935+AZ935+BG935+BN935+BU935+CB935</f>
        <v>0</v>
      </c>
      <c r="CJ935" s="4">
        <f>SUM(CE935:CI935)</f>
        <v>0</v>
      </c>
      <c r="CL935" s="2"/>
      <c r="CM935" s="3"/>
      <c r="CN935" s="3"/>
      <c r="CO935" s="3"/>
      <c r="CP935" s="3"/>
      <c r="CQ935" s="4">
        <f>SUM(CL935:CP935)</f>
        <v>0</v>
      </c>
      <c r="CS935" s="2"/>
      <c r="CT935" s="3"/>
      <c r="CU935" s="3"/>
      <c r="CV935" s="3"/>
      <c r="CW935" s="3"/>
      <c r="CX935" s="4">
        <f>SUM(CS935:CW935)</f>
        <v>0</v>
      </c>
      <c r="CZ935" s="2"/>
      <c r="DA935" s="3"/>
      <c r="DB935" s="3"/>
      <c r="DC935" s="3"/>
      <c r="DD935" s="3"/>
      <c r="DE935" s="4">
        <f>SUM(CZ935:DD935)</f>
        <v>0</v>
      </c>
    </row>
    <row r="936" spans="2:109">
      <c r="C936" s="567"/>
      <c r="E936" s="5" t="s">
        <v>60</v>
      </c>
      <c r="F936" s="6"/>
      <c r="G936" s="7"/>
      <c r="H936" s="7"/>
      <c r="I936" s="7"/>
      <c r="J936" s="7"/>
      <c r="K936" s="8">
        <f t="shared" ref="K936:K938" si="4305">SUM(F936:J936)</f>
        <v>0</v>
      </c>
      <c r="M936" s="6"/>
      <c r="N936" s="7"/>
      <c r="O936" s="7"/>
      <c r="P936" s="7"/>
      <c r="Q936" s="7"/>
      <c r="R936" s="8">
        <f t="shared" ref="R936:R938" si="4306">SUM(M936:Q936)</f>
        <v>0</v>
      </c>
      <c r="T936" s="6"/>
      <c r="U936" s="7"/>
      <c r="V936" s="7"/>
      <c r="W936" s="7"/>
      <c r="X936" s="7"/>
      <c r="Y936" s="8">
        <f t="shared" ref="Y936:Y938" si="4307">SUM(T936:X936)</f>
        <v>0</v>
      </c>
      <c r="AA936" s="6"/>
      <c r="AB936" s="7"/>
      <c r="AC936" s="7"/>
      <c r="AD936" s="7"/>
      <c r="AE936" s="7"/>
      <c r="AF936" s="8">
        <f>SUM(AA936:AE936)</f>
        <v>0</v>
      </c>
      <c r="AH936" s="6"/>
      <c r="AI936" s="7"/>
      <c r="AJ936" s="7"/>
      <c r="AK936" s="7"/>
      <c r="AL936" s="7"/>
      <c r="AM936" s="8">
        <f>SUM(AH936:AL936)</f>
        <v>0</v>
      </c>
      <c r="AO936" s="6"/>
      <c r="AP936" s="7"/>
      <c r="AQ936" s="7"/>
      <c r="AR936" s="7"/>
      <c r="AS936" s="7"/>
      <c r="AT936" s="8">
        <f>SUM(AO936:AS936)</f>
        <v>0</v>
      </c>
      <c r="AV936" s="6"/>
      <c r="AW936" s="7"/>
      <c r="AX936" s="7"/>
      <c r="AY936" s="7"/>
      <c r="AZ936" s="7"/>
      <c r="BA936" s="8">
        <f>SUM(AV936:AZ936)</f>
        <v>0</v>
      </c>
      <c r="BC936" s="6"/>
      <c r="BD936" s="7"/>
      <c r="BE936" s="7"/>
      <c r="BF936" s="7"/>
      <c r="BG936" s="7"/>
      <c r="BH936" s="8">
        <f>SUM(BC936:BG936)</f>
        <v>0</v>
      </c>
      <c r="BJ936" s="6"/>
      <c r="BK936" s="7"/>
      <c r="BL936" s="7"/>
      <c r="BM936" s="7"/>
      <c r="BN936" s="7"/>
      <c r="BO936" s="8">
        <f>SUM(BJ936:BN936)</f>
        <v>0</v>
      </c>
      <c r="BQ936" s="6"/>
      <c r="BR936" s="7"/>
      <c r="BS936" s="7"/>
      <c r="BT936" s="7"/>
      <c r="BU936" s="7"/>
      <c r="BV936" s="8">
        <f>SUM(BQ936:BU936)</f>
        <v>0</v>
      </c>
      <c r="BX936" s="6"/>
      <c r="BY936" s="7"/>
      <c r="BZ936" s="7"/>
      <c r="CA936" s="7"/>
      <c r="CB936" s="7"/>
      <c r="CC936" s="8">
        <f>SUM(BX936:CB936)</f>
        <v>0</v>
      </c>
      <c r="CE936" s="28">
        <f t="shared" si="4300"/>
        <v>0</v>
      </c>
      <c r="CF936" s="29">
        <f t="shared" si="4301"/>
        <v>0</v>
      </c>
      <c r="CG936" s="29">
        <f t="shared" si="4302"/>
        <v>0</v>
      </c>
      <c r="CH936" s="29">
        <f t="shared" si="4303"/>
        <v>0</v>
      </c>
      <c r="CI936" s="29">
        <f t="shared" si="4304"/>
        <v>0</v>
      </c>
      <c r="CJ936" s="8">
        <f>SUM(CE936:CI936)</f>
        <v>0</v>
      </c>
      <c r="CL936" s="6"/>
      <c r="CM936" s="7"/>
      <c r="CN936" s="7"/>
      <c r="CO936" s="7"/>
      <c r="CP936" s="7"/>
      <c r="CQ936" s="8">
        <f>SUM(CL936:CP936)</f>
        <v>0</v>
      </c>
      <c r="CS936" s="6"/>
      <c r="CT936" s="7"/>
      <c r="CU936" s="7"/>
      <c r="CV936" s="7"/>
      <c r="CW936" s="7"/>
      <c r="CX936" s="8">
        <f t="shared" ref="CX936:CX938" si="4308">SUM(CS936:CW936)</f>
        <v>0</v>
      </c>
      <c r="CZ936" s="6"/>
      <c r="DA936" s="7"/>
      <c r="DB936" s="7"/>
      <c r="DC936" s="7"/>
      <c r="DD936" s="7"/>
      <c r="DE936" s="8">
        <f t="shared" ref="DE936:DE938" si="4309">SUM(CZ936:DD936)</f>
        <v>0</v>
      </c>
    </row>
    <row r="937" spans="2:109">
      <c r="C937" s="567"/>
      <c r="E937" s="5" t="s">
        <v>61</v>
      </c>
      <c r="F937" s="6"/>
      <c r="G937" s="7"/>
      <c r="H937" s="7"/>
      <c r="I937" s="7"/>
      <c r="J937" s="7"/>
      <c r="K937" s="8">
        <f t="shared" si="4305"/>
        <v>0</v>
      </c>
      <c r="M937" s="6"/>
      <c r="N937" s="7"/>
      <c r="O937" s="7"/>
      <c r="P937" s="7"/>
      <c r="Q937" s="7"/>
      <c r="R937" s="8">
        <f t="shared" si="4306"/>
        <v>0</v>
      </c>
      <c r="T937" s="6"/>
      <c r="U937" s="7"/>
      <c r="V937" s="7"/>
      <c r="W937" s="7"/>
      <c r="X937" s="7"/>
      <c r="Y937" s="8">
        <f t="shared" si="4307"/>
        <v>0</v>
      </c>
      <c r="AA937" s="6"/>
      <c r="AB937" s="7"/>
      <c r="AC937" s="7"/>
      <c r="AD937" s="7"/>
      <c r="AE937" s="7"/>
      <c r="AF937" s="8">
        <f>SUM(AA937:AE937)</f>
        <v>0</v>
      </c>
      <c r="AH937" s="6"/>
      <c r="AI937" s="7"/>
      <c r="AJ937" s="7"/>
      <c r="AK937" s="7"/>
      <c r="AL937" s="7"/>
      <c r="AM937" s="8">
        <f>SUM(AH937:AL937)</f>
        <v>0</v>
      </c>
      <c r="AO937" s="6"/>
      <c r="AP937" s="7"/>
      <c r="AQ937" s="7"/>
      <c r="AR937" s="7"/>
      <c r="AS937" s="7"/>
      <c r="AT937" s="8">
        <f>SUM(AO937:AS937)</f>
        <v>0</v>
      </c>
      <c r="AV937" s="6"/>
      <c r="AW937" s="7"/>
      <c r="AX937" s="7"/>
      <c r="AY937" s="7"/>
      <c r="AZ937" s="7"/>
      <c r="BA937" s="8">
        <f>SUM(AV937:AZ937)</f>
        <v>0</v>
      </c>
      <c r="BC937" s="6"/>
      <c r="BD937" s="7"/>
      <c r="BE937" s="7"/>
      <c r="BF937" s="7"/>
      <c r="BG937" s="7"/>
      <c r="BH937" s="8">
        <f>SUM(BC937:BG937)</f>
        <v>0</v>
      </c>
      <c r="BJ937" s="6"/>
      <c r="BK937" s="7"/>
      <c r="BL937" s="7"/>
      <c r="BM937" s="7"/>
      <c r="BN937" s="7"/>
      <c r="BO937" s="8">
        <f>SUM(BJ937:BN937)</f>
        <v>0</v>
      </c>
      <c r="BQ937" s="6"/>
      <c r="BR937" s="7"/>
      <c r="BS937" s="7"/>
      <c r="BT937" s="7"/>
      <c r="BU937" s="7"/>
      <c r="BV937" s="8">
        <f>SUM(BQ937:BU937)</f>
        <v>0</v>
      </c>
      <c r="BX937" s="6"/>
      <c r="BY937" s="7"/>
      <c r="BZ937" s="7"/>
      <c r="CA937" s="7"/>
      <c r="CB937" s="7"/>
      <c r="CC937" s="8">
        <f>SUM(BX937:CB937)</f>
        <v>0</v>
      </c>
      <c r="CE937" s="28">
        <f t="shared" si="4300"/>
        <v>0</v>
      </c>
      <c r="CF937" s="29">
        <f t="shared" si="4301"/>
        <v>0</v>
      </c>
      <c r="CG937" s="29">
        <f t="shared" si="4302"/>
        <v>0</v>
      </c>
      <c r="CH937" s="29">
        <f t="shared" si="4303"/>
        <v>0</v>
      </c>
      <c r="CI937" s="29">
        <f t="shared" si="4304"/>
        <v>0</v>
      </c>
      <c r="CJ937" s="8">
        <f>SUM(CE937:CI937)</f>
        <v>0</v>
      </c>
      <c r="CL937" s="6"/>
      <c r="CM937" s="7"/>
      <c r="CN937" s="7"/>
      <c r="CO937" s="7"/>
      <c r="CP937" s="7"/>
      <c r="CQ937" s="8">
        <f>SUM(CL937:CP937)</f>
        <v>0</v>
      </c>
      <c r="CS937" s="6"/>
      <c r="CT937" s="7"/>
      <c r="CU937" s="7"/>
      <c r="CV937" s="7"/>
      <c r="CW937" s="7"/>
      <c r="CX937" s="8">
        <f t="shared" si="4308"/>
        <v>0</v>
      </c>
      <c r="CZ937" s="6"/>
      <c r="DA937" s="7"/>
      <c r="DB937" s="7"/>
      <c r="DC937" s="7"/>
      <c r="DD937" s="7"/>
      <c r="DE937" s="8">
        <f t="shared" si="4309"/>
        <v>0</v>
      </c>
    </row>
    <row r="938" spans="2:109" ht="14" thickBot="1">
      <c r="C938" s="567"/>
      <c r="E938" s="5" t="s">
        <v>62</v>
      </c>
      <c r="F938" s="6"/>
      <c r="G938" s="7"/>
      <c r="H938" s="7"/>
      <c r="I938" s="7"/>
      <c r="J938" s="7"/>
      <c r="K938" s="8">
        <f t="shared" si="4305"/>
        <v>0</v>
      </c>
      <c r="M938" s="6"/>
      <c r="N938" s="7"/>
      <c r="O938" s="7"/>
      <c r="P938" s="7"/>
      <c r="Q938" s="7"/>
      <c r="R938" s="8">
        <f t="shared" si="4306"/>
        <v>0</v>
      </c>
      <c r="T938" s="6"/>
      <c r="U938" s="7"/>
      <c r="V938" s="7"/>
      <c r="W938" s="7"/>
      <c r="X938" s="7"/>
      <c r="Y938" s="8">
        <f t="shared" si="4307"/>
        <v>0</v>
      </c>
      <c r="AA938" s="6"/>
      <c r="AB938" s="7"/>
      <c r="AC938" s="7"/>
      <c r="AD938" s="7"/>
      <c r="AE938" s="7"/>
      <c r="AF938" s="8">
        <f>SUM(AA938:AE938)</f>
        <v>0</v>
      </c>
      <c r="AH938" s="6"/>
      <c r="AI938" s="7"/>
      <c r="AJ938" s="7"/>
      <c r="AK938" s="7"/>
      <c r="AL938" s="7"/>
      <c r="AM938" s="8">
        <f>SUM(AH938:AL938)</f>
        <v>0</v>
      </c>
      <c r="AO938" s="6"/>
      <c r="AP938" s="7"/>
      <c r="AQ938" s="7"/>
      <c r="AR938" s="7"/>
      <c r="AS938" s="7"/>
      <c r="AT938" s="8">
        <f>SUM(AO938:AS938)</f>
        <v>0</v>
      </c>
      <c r="AV938" s="6"/>
      <c r="AW938" s="7"/>
      <c r="AX938" s="7"/>
      <c r="AY938" s="7"/>
      <c r="AZ938" s="7"/>
      <c r="BA938" s="8">
        <f>SUM(AV938:AZ938)</f>
        <v>0</v>
      </c>
      <c r="BC938" s="6"/>
      <c r="BD938" s="7"/>
      <c r="BE938" s="7"/>
      <c r="BF938" s="7"/>
      <c r="BG938" s="7"/>
      <c r="BH938" s="8">
        <f>SUM(BC938:BG938)</f>
        <v>0</v>
      </c>
      <c r="BJ938" s="6"/>
      <c r="BK938" s="7"/>
      <c r="BL938" s="7"/>
      <c r="BM938" s="7"/>
      <c r="BN938" s="7"/>
      <c r="BO938" s="8">
        <f>SUM(BJ938:BN938)</f>
        <v>0</v>
      </c>
      <c r="BQ938" s="6"/>
      <c r="BR938" s="7"/>
      <c r="BS938" s="7"/>
      <c r="BT938" s="7"/>
      <c r="BU938" s="7"/>
      <c r="BV938" s="8">
        <f>SUM(BQ938:BU938)</f>
        <v>0</v>
      </c>
      <c r="BX938" s="6"/>
      <c r="BY938" s="7"/>
      <c r="BZ938" s="7"/>
      <c r="CA938" s="7"/>
      <c r="CB938" s="7"/>
      <c r="CC938" s="8">
        <f>SUM(BX938:CB938)</f>
        <v>0</v>
      </c>
      <c r="CE938" s="493">
        <f t="shared" si="4300"/>
        <v>0</v>
      </c>
      <c r="CF938" s="494">
        <f t="shared" si="4301"/>
        <v>0</v>
      </c>
      <c r="CG938" s="494">
        <f t="shared" si="4302"/>
        <v>0</v>
      </c>
      <c r="CH938" s="494">
        <f t="shared" si="4303"/>
        <v>0</v>
      </c>
      <c r="CI938" s="494">
        <f t="shared" si="4304"/>
        <v>0</v>
      </c>
      <c r="CJ938" s="495">
        <f>SUM(CE938:CI938)</f>
        <v>0</v>
      </c>
      <c r="CL938" s="6"/>
      <c r="CM938" s="7"/>
      <c r="CN938" s="7"/>
      <c r="CO938" s="7"/>
      <c r="CP938" s="7"/>
      <c r="CQ938" s="8">
        <f>SUM(CL938:CP938)</f>
        <v>0</v>
      </c>
      <c r="CS938" s="6"/>
      <c r="CT938" s="7"/>
      <c r="CU938" s="7"/>
      <c r="CV938" s="7"/>
      <c r="CW938" s="7"/>
      <c r="CX938" s="8">
        <f t="shared" si="4308"/>
        <v>0</v>
      </c>
      <c r="CZ938" s="6"/>
      <c r="DA938" s="7"/>
      <c r="DB938" s="7"/>
      <c r="DC938" s="7"/>
      <c r="DD938" s="7"/>
      <c r="DE938" s="8">
        <f t="shared" si="4309"/>
        <v>0</v>
      </c>
    </row>
    <row r="939" spans="2:109" ht="14" thickBot="1">
      <c r="C939" s="554"/>
      <c r="E939" s="9"/>
      <c r="F939" s="10">
        <f>SUM(F935:F938)</f>
        <v>0</v>
      </c>
      <c r="G939" s="11">
        <f t="shared" ref="G939:J939" si="4310">SUM(G935:G938)</f>
        <v>0</v>
      </c>
      <c r="H939" s="11">
        <f t="shared" si="4310"/>
        <v>0</v>
      </c>
      <c r="I939" s="11">
        <f t="shared" si="4310"/>
        <v>0</v>
      </c>
      <c r="J939" s="61">
        <f t="shared" si="4310"/>
        <v>0</v>
      </c>
      <c r="K939" s="25">
        <f>SUM(K935:K938)</f>
        <v>0</v>
      </c>
      <c r="M939" s="10">
        <f>SUM(M935:M938)</f>
        <v>0</v>
      </c>
      <c r="N939" s="11">
        <f t="shared" ref="N939:Q939" si="4311">SUM(N935:N938)</f>
        <v>0</v>
      </c>
      <c r="O939" s="11">
        <f t="shared" si="4311"/>
        <v>0</v>
      </c>
      <c r="P939" s="11">
        <f t="shared" si="4311"/>
        <v>0</v>
      </c>
      <c r="Q939" s="11">
        <f t="shared" si="4311"/>
        <v>0</v>
      </c>
      <c r="R939" s="25">
        <f>SUM(R935:R938)</f>
        <v>0</v>
      </c>
      <c r="T939" s="10">
        <f>SUM(T935:T938)</f>
        <v>0</v>
      </c>
      <c r="U939" s="11">
        <f t="shared" ref="U939:X939" si="4312">SUM(U935:U938)</f>
        <v>0</v>
      </c>
      <c r="V939" s="11">
        <f t="shared" si="4312"/>
        <v>0</v>
      </c>
      <c r="W939" s="11">
        <f t="shared" si="4312"/>
        <v>0</v>
      </c>
      <c r="X939" s="11">
        <f t="shared" si="4312"/>
        <v>0</v>
      </c>
      <c r="Y939" s="25">
        <f>SUM(Y935:Y938)</f>
        <v>0</v>
      </c>
      <c r="AA939" s="10">
        <f>SUM(AA935:AA938)</f>
        <v>0</v>
      </c>
      <c r="AB939" s="11">
        <f t="shared" ref="AB939:AE939" si="4313">SUM(AB935:AB938)</f>
        <v>0</v>
      </c>
      <c r="AC939" s="11">
        <f t="shared" si="4313"/>
        <v>0</v>
      </c>
      <c r="AD939" s="11">
        <f t="shared" si="4313"/>
        <v>0</v>
      </c>
      <c r="AE939" s="11">
        <f t="shared" si="4313"/>
        <v>0</v>
      </c>
      <c r="AF939" s="25">
        <f>SUM(AF935:AF938)</f>
        <v>0</v>
      </c>
      <c r="AH939" s="10">
        <f>SUM(AH935:AH938)</f>
        <v>0</v>
      </c>
      <c r="AI939" s="11">
        <f t="shared" ref="AI939:AL939" si="4314">SUM(AI935:AI938)</f>
        <v>0</v>
      </c>
      <c r="AJ939" s="11">
        <f t="shared" si="4314"/>
        <v>0</v>
      </c>
      <c r="AK939" s="11">
        <f t="shared" si="4314"/>
        <v>0</v>
      </c>
      <c r="AL939" s="11">
        <f t="shared" si="4314"/>
        <v>0</v>
      </c>
      <c r="AM939" s="25">
        <f>SUM(AM935:AM938)</f>
        <v>0</v>
      </c>
      <c r="AO939" s="10">
        <f>SUM(AO935:AO938)</f>
        <v>0</v>
      </c>
      <c r="AP939" s="11">
        <f t="shared" ref="AP939:AS939" si="4315">SUM(AP935:AP938)</f>
        <v>0</v>
      </c>
      <c r="AQ939" s="11">
        <f t="shared" si="4315"/>
        <v>0</v>
      </c>
      <c r="AR939" s="11">
        <f t="shared" si="4315"/>
        <v>0</v>
      </c>
      <c r="AS939" s="11">
        <f t="shared" si="4315"/>
        <v>0</v>
      </c>
      <c r="AT939" s="25">
        <f>SUM(AT935:AT938)</f>
        <v>0</v>
      </c>
      <c r="AV939" s="10">
        <f>SUM(AV935:AV938)</f>
        <v>0</v>
      </c>
      <c r="AW939" s="11">
        <f t="shared" ref="AW939:AZ939" si="4316">SUM(AW935:AW938)</f>
        <v>0</v>
      </c>
      <c r="AX939" s="11">
        <f t="shared" si="4316"/>
        <v>0</v>
      </c>
      <c r="AY939" s="11">
        <f t="shared" si="4316"/>
        <v>0</v>
      </c>
      <c r="AZ939" s="11">
        <f t="shared" si="4316"/>
        <v>0</v>
      </c>
      <c r="BA939" s="25">
        <f>SUM(BA935:BA938)</f>
        <v>0</v>
      </c>
      <c r="BC939" s="10">
        <f>SUM(BC935:BC938)</f>
        <v>0</v>
      </c>
      <c r="BD939" s="11">
        <f t="shared" ref="BD939:BG939" si="4317">SUM(BD935:BD938)</f>
        <v>0</v>
      </c>
      <c r="BE939" s="11">
        <f t="shared" si="4317"/>
        <v>0</v>
      </c>
      <c r="BF939" s="11">
        <f t="shared" si="4317"/>
        <v>0</v>
      </c>
      <c r="BG939" s="11">
        <f t="shared" si="4317"/>
        <v>0</v>
      </c>
      <c r="BH939" s="25">
        <f>SUM(BH935:BH938)</f>
        <v>0</v>
      </c>
      <c r="BJ939" s="10">
        <f>SUM(BJ935:BJ938)</f>
        <v>0</v>
      </c>
      <c r="BK939" s="11">
        <f t="shared" ref="BK939:BN939" si="4318">SUM(BK935:BK938)</f>
        <v>0</v>
      </c>
      <c r="BL939" s="11">
        <f t="shared" si="4318"/>
        <v>0</v>
      </c>
      <c r="BM939" s="11">
        <f t="shared" si="4318"/>
        <v>0</v>
      </c>
      <c r="BN939" s="11">
        <f t="shared" si="4318"/>
        <v>0</v>
      </c>
      <c r="BO939" s="25">
        <f>SUM(BO935:BO938)</f>
        <v>0</v>
      </c>
      <c r="BQ939" s="10">
        <f>SUM(BQ935:BQ938)</f>
        <v>0</v>
      </c>
      <c r="BR939" s="11">
        <f t="shared" ref="BR939:BU939" si="4319">SUM(BR935:BR938)</f>
        <v>0</v>
      </c>
      <c r="BS939" s="11">
        <f t="shared" si="4319"/>
        <v>0</v>
      </c>
      <c r="BT939" s="11">
        <f t="shared" si="4319"/>
        <v>0</v>
      </c>
      <c r="BU939" s="11">
        <f t="shared" si="4319"/>
        <v>0</v>
      </c>
      <c r="BV939" s="25">
        <f>SUM(BV935:BV938)</f>
        <v>0</v>
      </c>
      <c r="BX939" s="10">
        <f>SUM(BX935:BX938)</f>
        <v>0</v>
      </c>
      <c r="BY939" s="11">
        <f t="shared" ref="BY939:CB939" si="4320">SUM(BY935:BY938)</f>
        <v>0</v>
      </c>
      <c r="BZ939" s="11">
        <f t="shared" si="4320"/>
        <v>0</v>
      </c>
      <c r="CA939" s="11">
        <f t="shared" si="4320"/>
        <v>0</v>
      </c>
      <c r="CB939" s="11">
        <f t="shared" si="4320"/>
        <v>0</v>
      </c>
      <c r="CC939" s="25">
        <f>SUM(CC935:CC938)</f>
        <v>0</v>
      </c>
      <c r="CE939" s="62">
        <f t="shared" ref="CE939:CJ939" si="4321">SUM(CE935:CE938)</f>
        <v>0</v>
      </c>
      <c r="CF939" s="63">
        <f t="shared" si="4321"/>
        <v>0</v>
      </c>
      <c r="CG939" s="63">
        <f t="shared" si="4321"/>
        <v>0</v>
      </c>
      <c r="CH939" s="63">
        <f t="shared" si="4321"/>
        <v>0</v>
      </c>
      <c r="CI939" s="63">
        <f t="shared" si="4321"/>
        <v>0</v>
      </c>
      <c r="CJ939" s="25">
        <f t="shared" si="4321"/>
        <v>0</v>
      </c>
      <c r="CL939" s="10">
        <f>SUM(CL935:CL938)</f>
        <v>0</v>
      </c>
      <c r="CM939" s="11">
        <f t="shared" ref="CM939:CP939" si="4322">SUM(CM935:CM938)</f>
        <v>0</v>
      </c>
      <c r="CN939" s="11">
        <f t="shared" si="4322"/>
        <v>0</v>
      </c>
      <c r="CO939" s="11">
        <f t="shared" si="4322"/>
        <v>0</v>
      </c>
      <c r="CP939" s="11">
        <f t="shared" si="4322"/>
        <v>0</v>
      </c>
      <c r="CQ939" s="25">
        <f>SUM(CQ935:CQ938)</f>
        <v>0</v>
      </c>
      <c r="CS939" s="10">
        <f>SUM(CS935:CS938)</f>
        <v>0</v>
      </c>
      <c r="CT939" s="11">
        <f t="shared" ref="CT939:CW939" si="4323">SUM(CT935:CT938)</f>
        <v>0</v>
      </c>
      <c r="CU939" s="11">
        <f t="shared" si="4323"/>
        <v>0</v>
      </c>
      <c r="CV939" s="11">
        <f t="shared" si="4323"/>
        <v>0</v>
      </c>
      <c r="CW939" s="11">
        <f t="shared" si="4323"/>
        <v>0</v>
      </c>
      <c r="CX939" s="25">
        <f>SUM(CX935:CX938)</f>
        <v>0</v>
      </c>
      <c r="CZ939" s="10">
        <f>SUM(CZ935:CZ938)</f>
        <v>0</v>
      </c>
      <c r="DA939" s="11">
        <f t="shared" ref="DA939:DD939" si="4324">SUM(DA935:DA938)</f>
        <v>0</v>
      </c>
      <c r="DB939" s="11">
        <f t="shared" si="4324"/>
        <v>0</v>
      </c>
      <c r="DC939" s="11">
        <f t="shared" si="4324"/>
        <v>0</v>
      </c>
      <c r="DD939" s="11">
        <f t="shared" si="4324"/>
        <v>0</v>
      </c>
      <c r="DE939" s="25">
        <f>SUM(DE935:DE938)</f>
        <v>0</v>
      </c>
    </row>
    <row r="940" spans="2:109" ht="10.4" customHeight="1" thickBot="1"/>
    <row r="941" spans="2:109">
      <c r="C941" s="553">
        <v>2025</v>
      </c>
      <c r="E941" s="13" t="s">
        <v>59</v>
      </c>
      <c r="F941" s="21">
        <f>CE935</f>
        <v>0</v>
      </c>
      <c r="G941" s="22">
        <f t="shared" ref="G941:G944" si="4325">CF935</f>
        <v>0</v>
      </c>
      <c r="H941" s="22">
        <f t="shared" ref="H941:H944" si="4326">CG935</f>
        <v>0</v>
      </c>
      <c r="I941" s="22">
        <f t="shared" ref="I941:I944" si="4327">CH935</f>
        <v>0</v>
      </c>
      <c r="J941" s="22">
        <f t="shared" ref="J941:J944" si="4328">CI935</f>
        <v>0</v>
      </c>
      <c r="K941" s="15">
        <f>SUM(F941:J941)</f>
        <v>0</v>
      </c>
      <c r="M941" s="2"/>
      <c r="N941" s="3"/>
      <c r="O941" s="3"/>
      <c r="P941" s="3"/>
      <c r="Q941" s="3"/>
      <c r="R941" s="15">
        <f>SUM(M941:Q941)</f>
        <v>0</v>
      </c>
      <c r="T941" s="2"/>
      <c r="U941" s="3"/>
      <c r="V941" s="3"/>
      <c r="W941" s="3"/>
      <c r="X941" s="3"/>
      <c r="Y941" s="15">
        <f>SUM(T941:X941)</f>
        <v>0</v>
      </c>
      <c r="AA941" s="2"/>
      <c r="AB941" s="3"/>
      <c r="AC941" s="3"/>
      <c r="AD941" s="3"/>
      <c r="AE941" s="3"/>
      <c r="AF941" s="15">
        <f>SUM(AA941:AE941)</f>
        <v>0</v>
      </c>
      <c r="AH941" s="2"/>
      <c r="AI941" s="3"/>
      <c r="AJ941" s="3"/>
      <c r="AK941" s="3"/>
      <c r="AL941" s="3"/>
      <c r="AM941" s="15">
        <f>SUM(AH941:AL941)</f>
        <v>0</v>
      </c>
      <c r="AO941" s="2"/>
      <c r="AP941" s="3"/>
      <c r="AQ941" s="3"/>
      <c r="AR941" s="3"/>
      <c r="AS941" s="3"/>
      <c r="AT941" s="15">
        <f>SUM(AO941:AS941)</f>
        <v>0</v>
      </c>
      <c r="AV941" s="2"/>
      <c r="AW941" s="3"/>
      <c r="AX941" s="3"/>
      <c r="AY941" s="3"/>
      <c r="AZ941" s="3"/>
      <c r="BA941" s="15">
        <f>SUM(AV941:AZ941)</f>
        <v>0</v>
      </c>
      <c r="BC941" s="2"/>
      <c r="BD941" s="3"/>
      <c r="BE941" s="3"/>
      <c r="BF941" s="3"/>
      <c r="BG941" s="3"/>
      <c r="BH941" s="15">
        <f>SUM(BC941:BG941)</f>
        <v>0</v>
      </c>
      <c r="BJ941" s="2"/>
      <c r="BK941" s="3"/>
      <c r="BL941" s="3"/>
      <c r="BM941" s="3"/>
      <c r="BN941" s="3"/>
      <c r="BO941" s="15">
        <f>SUM(BJ941:BN941)</f>
        <v>0</v>
      </c>
      <c r="BQ941" s="2"/>
      <c r="BR941" s="3"/>
      <c r="BS941" s="3"/>
      <c r="BT941" s="3"/>
      <c r="BU941" s="3"/>
      <c r="BV941" s="15">
        <f>SUM(BQ941:BU941)</f>
        <v>0</v>
      </c>
      <c r="BX941" s="2"/>
      <c r="BY941" s="3"/>
      <c r="BZ941" s="3"/>
      <c r="CA941" s="3"/>
      <c r="CB941" s="3"/>
      <c r="CC941" s="15">
        <f>SUM(BX941:CB941)</f>
        <v>0</v>
      </c>
      <c r="CE941" s="26">
        <f t="shared" ref="CE941:CE944" si="4329">F941+M941+T941+AA941+AH941+AO941+AV941+BC941+BJ941+BQ941+BX941</f>
        <v>0</v>
      </c>
      <c r="CF941" s="27">
        <f t="shared" ref="CF941:CF944" si="4330">G941+N941+U941+AB941+AI941+AP941+AW941+BD941+BK941+BR941+BY941</f>
        <v>0</v>
      </c>
      <c r="CG941" s="27">
        <f t="shared" ref="CG941:CG944" si="4331">H941+O941+V941+AC941+AJ941+AQ941+AX941+BE941+BL941+BS941+BZ941</f>
        <v>0</v>
      </c>
      <c r="CH941" s="27">
        <f t="shared" ref="CH941:CH944" si="4332">I941+P941+W941+AD941+AK941+AR941+AY941+BF941+BM941+BT941+CA941</f>
        <v>0</v>
      </c>
      <c r="CI941" s="27">
        <f t="shared" ref="CI941:CI944" si="4333">J941+Q941+X941+AE941+AL941+AS941+AZ941+BG941+BN941+BU941+CB941</f>
        <v>0</v>
      </c>
      <c r="CJ941" s="4">
        <f>SUM(CE941:CI941)</f>
        <v>0</v>
      </c>
      <c r="CL941" s="2"/>
      <c r="CM941" s="3"/>
      <c r="CN941" s="3"/>
      <c r="CO941" s="3"/>
      <c r="CP941" s="3"/>
      <c r="CQ941" s="15">
        <f>SUM(CL941:CP941)</f>
        <v>0</v>
      </c>
      <c r="CS941" s="2"/>
      <c r="CT941" s="3"/>
      <c r="CU941" s="3"/>
      <c r="CV941" s="3"/>
      <c r="CW941" s="3"/>
      <c r="CX941" s="4">
        <f>SUM(CS941:CW941)</f>
        <v>0</v>
      </c>
      <c r="CZ941" s="2"/>
      <c r="DA941" s="3"/>
      <c r="DB941" s="3"/>
      <c r="DC941" s="3"/>
      <c r="DD941" s="3"/>
      <c r="DE941" s="15">
        <f>SUM(CZ941:DD941)</f>
        <v>0</v>
      </c>
    </row>
    <row r="942" spans="2:109">
      <c r="C942" s="567"/>
      <c r="E942" s="14" t="s">
        <v>60</v>
      </c>
      <c r="F942" s="23">
        <f t="shared" ref="F942:F944" si="4334">CE936</f>
        <v>0</v>
      </c>
      <c r="G942" s="24">
        <f t="shared" si="4325"/>
        <v>0</v>
      </c>
      <c r="H942" s="24">
        <f t="shared" si="4326"/>
        <v>0</v>
      </c>
      <c r="I942" s="24">
        <f t="shared" si="4327"/>
        <v>0</v>
      </c>
      <c r="J942" s="24">
        <f t="shared" si="4328"/>
        <v>0</v>
      </c>
      <c r="K942" s="16">
        <f t="shared" ref="K942:K944" si="4335">SUM(F942:J942)</f>
        <v>0</v>
      </c>
      <c r="M942" s="6"/>
      <c r="N942" s="7"/>
      <c r="O942" s="7"/>
      <c r="P942" s="7"/>
      <c r="Q942" s="7"/>
      <c r="R942" s="16">
        <f t="shared" ref="R942:R944" si="4336">SUM(M942:Q942)</f>
        <v>0</v>
      </c>
      <c r="T942" s="6"/>
      <c r="U942" s="7"/>
      <c r="V942" s="7"/>
      <c r="W942" s="7"/>
      <c r="X942" s="7"/>
      <c r="Y942" s="16">
        <f t="shared" ref="Y942:Y944" si="4337">SUM(T942:X942)</f>
        <v>0</v>
      </c>
      <c r="AA942" s="6"/>
      <c r="AB942" s="7"/>
      <c r="AC942" s="7"/>
      <c r="AD942" s="7"/>
      <c r="AE942" s="7"/>
      <c r="AF942" s="16">
        <f>SUM(AA942:AE942)</f>
        <v>0</v>
      </c>
      <c r="AH942" s="6"/>
      <c r="AI942" s="7"/>
      <c r="AJ942" s="7"/>
      <c r="AK942" s="7"/>
      <c r="AL942" s="7"/>
      <c r="AM942" s="16">
        <f>SUM(AH942:AL942)</f>
        <v>0</v>
      </c>
      <c r="AO942" s="6"/>
      <c r="AP942" s="7"/>
      <c r="AQ942" s="7"/>
      <c r="AR942" s="7"/>
      <c r="AS942" s="7"/>
      <c r="AT942" s="16">
        <f>SUM(AO942:AS942)</f>
        <v>0</v>
      </c>
      <c r="AV942" s="6"/>
      <c r="AW942" s="7"/>
      <c r="AX942" s="7"/>
      <c r="AY942" s="7"/>
      <c r="AZ942" s="7"/>
      <c r="BA942" s="16">
        <f>SUM(AV942:AZ942)</f>
        <v>0</v>
      </c>
      <c r="BC942" s="6"/>
      <c r="BD942" s="7"/>
      <c r="BE942" s="7"/>
      <c r="BF942" s="7"/>
      <c r="BG942" s="7"/>
      <c r="BH942" s="16">
        <f>SUM(BC942:BG942)</f>
        <v>0</v>
      </c>
      <c r="BJ942" s="6"/>
      <c r="BK942" s="7"/>
      <c r="BL942" s="7"/>
      <c r="BM942" s="7"/>
      <c r="BN942" s="7"/>
      <c r="BO942" s="16">
        <f>SUM(BJ942:BN942)</f>
        <v>0</v>
      </c>
      <c r="BQ942" s="6"/>
      <c r="BR942" s="7"/>
      <c r="BS942" s="7"/>
      <c r="BT942" s="7"/>
      <c r="BU942" s="7"/>
      <c r="BV942" s="16">
        <f>SUM(BQ942:BU942)</f>
        <v>0</v>
      </c>
      <c r="BX942" s="6"/>
      <c r="BY942" s="7"/>
      <c r="BZ942" s="7"/>
      <c r="CA942" s="7"/>
      <c r="CB942" s="7"/>
      <c r="CC942" s="16">
        <f>SUM(BX942:CB942)</f>
        <v>0</v>
      </c>
      <c r="CE942" s="28">
        <f t="shared" si="4329"/>
        <v>0</v>
      </c>
      <c r="CF942" s="29">
        <f t="shared" si="4330"/>
        <v>0</v>
      </c>
      <c r="CG942" s="29">
        <f t="shared" si="4331"/>
        <v>0</v>
      </c>
      <c r="CH942" s="29">
        <f t="shared" si="4332"/>
        <v>0</v>
      </c>
      <c r="CI942" s="29">
        <f t="shared" si="4333"/>
        <v>0</v>
      </c>
      <c r="CJ942" s="8">
        <f>SUM(CE942:CI942)</f>
        <v>0</v>
      </c>
      <c r="CL942" s="6"/>
      <c r="CM942" s="7"/>
      <c r="CN942" s="7"/>
      <c r="CO942" s="7"/>
      <c r="CP942" s="7"/>
      <c r="CQ942" s="16">
        <f>SUM(CL942:CP942)</f>
        <v>0</v>
      </c>
      <c r="CS942" s="6"/>
      <c r="CT942" s="7"/>
      <c r="CU942" s="7"/>
      <c r="CV942" s="7"/>
      <c r="CW942" s="7"/>
      <c r="CX942" s="8">
        <f t="shared" ref="CX942:CX944" si="4338">SUM(CS942:CW942)</f>
        <v>0</v>
      </c>
      <c r="CZ942" s="6"/>
      <c r="DA942" s="7"/>
      <c r="DB942" s="7"/>
      <c r="DC942" s="7"/>
      <c r="DD942" s="7"/>
      <c r="DE942" s="16">
        <f t="shared" ref="DE942:DE944" si="4339">SUM(CZ942:DD942)</f>
        <v>0</v>
      </c>
    </row>
    <row r="943" spans="2:109">
      <c r="C943" s="567"/>
      <c r="E943" s="14" t="s">
        <v>61</v>
      </c>
      <c r="F943" s="23">
        <f t="shared" si="4334"/>
        <v>0</v>
      </c>
      <c r="G943" s="24">
        <f t="shared" si="4325"/>
        <v>0</v>
      </c>
      <c r="H943" s="24">
        <f t="shared" si="4326"/>
        <v>0</v>
      </c>
      <c r="I943" s="24">
        <f t="shared" si="4327"/>
        <v>0</v>
      </c>
      <c r="J943" s="24">
        <f t="shared" si="4328"/>
        <v>0</v>
      </c>
      <c r="K943" s="16">
        <f t="shared" si="4335"/>
        <v>0</v>
      </c>
      <c r="M943" s="6"/>
      <c r="N943" s="7"/>
      <c r="O943" s="7"/>
      <c r="P943" s="7"/>
      <c r="Q943" s="7"/>
      <c r="R943" s="16">
        <f t="shared" si="4336"/>
        <v>0</v>
      </c>
      <c r="T943" s="6"/>
      <c r="U943" s="7"/>
      <c r="V943" s="7"/>
      <c r="W943" s="7"/>
      <c r="X943" s="7"/>
      <c r="Y943" s="16">
        <f t="shared" si="4337"/>
        <v>0</v>
      </c>
      <c r="AA943" s="6"/>
      <c r="AB943" s="7"/>
      <c r="AC943" s="7"/>
      <c r="AD943" s="7"/>
      <c r="AE943" s="7"/>
      <c r="AF943" s="16">
        <f>SUM(AA943:AE943)</f>
        <v>0</v>
      </c>
      <c r="AH943" s="6"/>
      <c r="AI943" s="7"/>
      <c r="AJ943" s="7"/>
      <c r="AK943" s="7"/>
      <c r="AL943" s="7"/>
      <c r="AM943" s="16">
        <f>SUM(AH943:AL943)</f>
        <v>0</v>
      </c>
      <c r="AO943" s="6"/>
      <c r="AP943" s="7"/>
      <c r="AQ943" s="7"/>
      <c r="AR943" s="7"/>
      <c r="AS943" s="7"/>
      <c r="AT943" s="16">
        <f>SUM(AO943:AS943)</f>
        <v>0</v>
      </c>
      <c r="AV943" s="6"/>
      <c r="AW943" s="7"/>
      <c r="AX943" s="7"/>
      <c r="AY943" s="7"/>
      <c r="AZ943" s="7"/>
      <c r="BA943" s="16">
        <f>SUM(AV943:AZ943)</f>
        <v>0</v>
      </c>
      <c r="BC943" s="6"/>
      <c r="BD943" s="7"/>
      <c r="BE943" s="7"/>
      <c r="BF943" s="7"/>
      <c r="BG943" s="7"/>
      <c r="BH943" s="16">
        <f>SUM(BC943:BG943)</f>
        <v>0</v>
      </c>
      <c r="BJ943" s="6"/>
      <c r="BK943" s="7"/>
      <c r="BL943" s="7"/>
      <c r="BM943" s="7"/>
      <c r="BN943" s="7"/>
      <c r="BO943" s="16">
        <f>SUM(BJ943:BN943)</f>
        <v>0</v>
      </c>
      <c r="BQ943" s="6"/>
      <c r="BR943" s="7"/>
      <c r="BS943" s="7"/>
      <c r="BT943" s="7"/>
      <c r="BU943" s="7"/>
      <c r="BV943" s="16">
        <f>SUM(BQ943:BU943)</f>
        <v>0</v>
      </c>
      <c r="BX943" s="6"/>
      <c r="BY943" s="7"/>
      <c r="BZ943" s="7"/>
      <c r="CA943" s="7"/>
      <c r="CB943" s="7"/>
      <c r="CC943" s="16">
        <f>SUM(BX943:CB943)</f>
        <v>0</v>
      </c>
      <c r="CE943" s="28">
        <f t="shared" si="4329"/>
        <v>0</v>
      </c>
      <c r="CF943" s="29">
        <f t="shared" si="4330"/>
        <v>0</v>
      </c>
      <c r="CG943" s="29">
        <f t="shared" si="4331"/>
        <v>0</v>
      </c>
      <c r="CH943" s="29">
        <f t="shared" si="4332"/>
        <v>0</v>
      </c>
      <c r="CI943" s="29">
        <f t="shared" si="4333"/>
        <v>0</v>
      </c>
      <c r="CJ943" s="8">
        <f>SUM(CE943:CI943)</f>
        <v>0</v>
      </c>
      <c r="CL943" s="6"/>
      <c r="CM943" s="7"/>
      <c r="CN943" s="7"/>
      <c r="CO943" s="7"/>
      <c r="CP943" s="7"/>
      <c r="CQ943" s="16">
        <f>SUM(CL943:CP943)</f>
        <v>0</v>
      </c>
      <c r="CS943" s="6"/>
      <c r="CT943" s="7"/>
      <c r="CU943" s="7"/>
      <c r="CV943" s="7"/>
      <c r="CW943" s="7"/>
      <c r="CX943" s="8">
        <f t="shared" si="4338"/>
        <v>0</v>
      </c>
      <c r="CZ943" s="6"/>
      <c r="DA943" s="7"/>
      <c r="DB943" s="7"/>
      <c r="DC943" s="7"/>
      <c r="DD943" s="7"/>
      <c r="DE943" s="16">
        <f t="shared" si="4339"/>
        <v>0</v>
      </c>
    </row>
    <row r="944" spans="2:109" ht="14" thickBot="1">
      <c r="C944" s="567"/>
      <c r="E944" s="14" t="s">
        <v>62</v>
      </c>
      <c r="F944" s="23">
        <f t="shared" si="4334"/>
        <v>0</v>
      </c>
      <c r="G944" s="24">
        <f t="shared" si="4325"/>
        <v>0</v>
      </c>
      <c r="H944" s="24">
        <f t="shared" si="4326"/>
        <v>0</v>
      </c>
      <c r="I944" s="24">
        <f t="shared" si="4327"/>
        <v>0</v>
      </c>
      <c r="J944" s="24">
        <f t="shared" si="4328"/>
        <v>0</v>
      </c>
      <c r="K944" s="16">
        <f t="shared" si="4335"/>
        <v>0</v>
      </c>
      <c r="M944" s="6"/>
      <c r="N944" s="7"/>
      <c r="O944" s="7"/>
      <c r="P944" s="7"/>
      <c r="Q944" s="7"/>
      <c r="R944" s="16">
        <f t="shared" si="4336"/>
        <v>0</v>
      </c>
      <c r="T944" s="6"/>
      <c r="U944" s="7"/>
      <c r="V944" s="7"/>
      <c r="W944" s="7"/>
      <c r="X944" s="7"/>
      <c r="Y944" s="16">
        <f t="shared" si="4337"/>
        <v>0</v>
      </c>
      <c r="AA944" s="6"/>
      <c r="AB944" s="7"/>
      <c r="AC944" s="7"/>
      <c r="AD944" s="7"/>
      <c r="AE944" s="7"/>
      <c r="AF944" s="16">
        <f>SUM(AA944:AE944)</f>
        <v>0</v>
      </c>
      <c r="AH944" s="6"/>
      <c r="AI944" s="7"/>
      <c r="AJ944" s="7"/>
      <c r="AK944" s="7"/>
      <c r="AL944" s="7"/>
      <c r="AM944" s="16">
        <f>SUM(AH944:AL944)</f>
        <v>0</v>
      </c>
      <c r="AO944" s="6"/>
      <c r="AP944" s="7"/>
      <c r="AQ944" s="7"/>
      <c r="AR944" s="7"/>
      <c r="AS944" s="7"/>
      <c r="AT944" s="16">
        <f>SUM(AO944:AS944)</f>
        <v>0</v>
      </c>
      <c r="AV944" s="6"/>
      <c r="AW944" s="7"/>
      <c r="AX944" s="7"/>
      <c r="AY944" s="7"/>
      <c r="AZ944" s="7"/>
      <c r="BA944" s="16">
        <f>SUM(AV944:AZ944)</f>
        <v>0</v>
      </c>
      <c r="BC944" s="6"/>
      <c r="BD944" s="7"/>
      <c r="BE944" s="7"/>
      <c r="BF944" s="7"/>
      <c r="BG944" s="7"/>
      <c r="BH944" s="16">
        <f>SUM(BC944:BG944)</f>
        <v>0</v>
      </c>
      <c r="BJ944" s="6"/>
      <c r="BK944" s="7"/>
      <c r="BL944" s="7"/>
      <c r="BM944" s="7"/>
      <c r="BN944" s="7"/>
      <c r="BO944" s="16">
        <f>SUM(BJ944:BN944)</f>
        <v>0</v>
      </c>
      <c r="BQ944" s="6"/>
      <c r="BR944" s="7"/>
      <c r="BS944" s="7"/>
      <c r="BT944" s="7"/>
      <c r="BU944" s="7"/>
      <c r="BV944" s="16">
        <f>SUM(BQ944:BU944)</f>
        <v>0</v>
      </c>
      <c r="BX944" s="6"/>
      <c r="BY944" s="7"/>
      <c r="BZ944" s="7"/>
      <c r="CA944" s="7"/>
      <c r="CB944" s="7"/>
      <c r="CC944" s="16">
        <f>SUM(BX944:CB944)</f>
        <v>0</v>
      </c>
      <c r="CE944" s="493">
        <f t="shared" si="4329"/>
        <v>0</v>
      </c>
      <c r="CF944" s="494">
        <f t="shared" si="4330"/>
        <v>0</v>
      </c>
      <c r="CG944" s="494">
        <f t="shared" si="4331"/>
        <v>0</v>
      </c>
      <c r="CH944" s="494">
        <f t="shared" si="4332"/>
        <v>0</v>
      </c>
      <c r="CI944" s="494">
        <f t="shared" si="4333"/>
        <v>0</v>
      </c>
      <c r="CJ944" s="495">
        <f>SUM(CE944:CI944)</f>
        <v>0</v>
      </c>
      <c r="CL944" s="6"/>
      <c r="CM944" s="7"/>
      <c r="CN944" s="7"/>
      <c r="CO944" s="7"/>
      <c r="CP944" s="7"/>
      <c r="CQ944" s="16">
        <f>SUM(CL944:CP944)</f>
        <v>0</v>
      </c>
      <c r="CS944" s="6"/>
      <c r="CT944" s="7"/>
      <c r="CU944" s="7"/>
      <c r="CV944" s="7"/>
      <c r="CW944" s="7"/>
      <c r="CX944" s="8">
        <f t="shared" si="4338"/>
        <v>0</v>
      </c>
      <c r="CZ944" s="6"/>
      <c r="DA944" s="7"/>
      <c r="DB944" s="7"/>
      <c r="DC944" s="7"/>
      <c r="DD944" s="7"/>
      <c r="DE944" s="16">
        <f t="shared" si="4339"/>
        <v>0</v>
      </c>
    </row>
    <row r="945" spans="3:109" ht="14" thickBot="1">
      <c r="C945" s="554"/>
      <c r="E945" s="17"/>
      <c r="F945" s="10">
        <f>SUM(F941:F944)</f>
        <v>0</v>
      </c>
      <c r="G945" s="11">
        <f t="shared" ref="G945:J945" si="4340">SUM(G941:G944)</f>
        <v>0</v>
      </c>
      <c r="H945" s="11">
        <f t="shared" si="4340"/>
        <v>0</v>
      </c>
      <c r="I945" s="11">
        <f t="shared" si="4340"/>
        <v>0</v>
      </c>
      <c r="J945" s="11">
        <f t="shared" si="4340"/>
        <v>0</v>
      </c>
      <c r="K945" s="25">
        <f>SUM(K941:K944)</f>
        <v>0</v>
      </c>
      <c r="M945" s="10">
        <f>SUM(M941:M944)</f>
        <v>0</v>
      </c>
      <c r="N945" s="11">
        <f t="shared" ref="N945:Q945" si="4341">SUM(N941:N944)</f>
        <v>0</v>
      </c>
      <c r="O945" s="11">
        <f t="shared" si="4341"/>
        <v>0</v>
      </c>
      <c r="P945" s="11">
        <f t="shared" si="4341"/>
        <v>0</v>
      </c>
      <c r="Q945" s="11">
        <f t="shared" si="4341"/>
        <v>0</v>
      </c>
      <c r="R945" s="25">
        <f>SUM(R941:R944)</f>
        <v>0</v>
      </c>
      <c r="T945" s="10">
        <f>SUM(T941:T944)</f>
        <v>0</v>
      </c>
      <c r="U945" s="11">
        <f t="shared" ref="U945:X945" si="4342">SUM(U941:U944)</f>
        <v>0</v>
      </c>
      <c r="V945" s="11">
        <f t="shared" si="4342"/>
        <v>0</v>
      </c>
      <c r="W945" s="11">
        <f t="shared" si="4342"/>
        <v>0</v>
      </c>
      <c r="X945" s="11">
        <f t="shared" si="4342"/>
        <v>0</v>
      </c>
      <c r="Y945" s="25">
        <f>SUM(Y941:Y944)</f>
        <v>0</v>
      </c>
      <c r="AA945" s="10">
        <f>SUM(AA941:AA944)</f>
        <v>0</v>
      </c>
      <c r="AB945" s="11">
        <f t="shared" ref="AB945:AE945" si="4343">SUM(AB941:AB944)</f>
        <v>0</v>
      </c>
      <c r="AC945" s="11">
        <f t="shared" si="4343"/>
        <v>0</v>
      </c>
      <c r="AD945" s="11">
        <f t="shared" si="4343"/>
        <v>0</v>
      </c>
      <c r="AE945" s="11">
        <f t="shared" si="4343"/>
        <v>0</v>
      </c>
      <c r="AF945" s="25">
        <f>SUM(AF941:AF944)</f>
        <v>0</v>
      </c>
      <c r="AH945" s="10">
        <f>SUM(AH941:AH944)</f>
        <v>0</v>
      </c>
      <c r="AI945" s="11">
        <f t="shared" ref="AI945:AL945" si="4344">SUM(AI941:AI944)</f>
        <v>0</v>
      </c>
      <c r="AJ945" s="11">
        <f t="shared" si="4344"/>
        <v>0</v>
      </c>
      <c r="AK945" s="11">
        <f t="shared" si="4344"/>
        <v>0</v>
      </c>
      <c r="AL945" s="11">
        <f t="shared" si="4344"/>
        <v>0</v>
      </c>
      <c r="AM945" s="25">
        <f>SUM(AM941:AM944)</f>
        <v>0</v>
      </c>
      <c r="AO945" s="10">
        <f>SUM(AO941:AO944)</f>
        <v>0</v>
      </c>
      <c r="AP945" s="11">
        <f t="shared" ref="AP945:AS945" si="4345">SUM(AP941:AP944)</f>
        <v>0</v>
      </c>
      <c r="AQ945" s="11">
        <f t="shared" si="4345"/>
        <v>0</v>
      </c>
      <c r="AR945" s="11">
        <f t="shared" si="4345"/>
        <v>0</v>
      </c>
      <c r="AS945" s="11">
        <f t="shared" si="4345"/>
        <v>0</v>
      </c>
      <c r="AT945" s="25">
        <f>SUM(AT941:AT944)</f>
        <v>0</v>
      </c>
      <c r="AV945" s="10">
        <f>SUM(AV941:AV944)</f>
        <v>0</v>
      </c>
      <c r="AW945" s="11">
        <f t="shared" ref="AW945:AZ945" si="4346">SUM(AW941:AW944)</f>
        <v>0</v>
      </c>
      <c r="AX945" s="11">
        <f t="shared" si="4346"/>
        <v>0</v>
      </c>
      <c r="AY945" s="11">
        <f t="shared" si="4346"/>
        <v>0</v>
      </c>
      <c r="AZ945" s="11">
        <f t="shared" si="4346"/>
        <v>0</v>
      </c>
      <c r="BA945" s="25">
        <f>SUM(BA941:BA944)</f>
        <v>0</v>
      </c>
      <c r="BC945" s="10">
        <f>SUM(BC941:BC944)</f>
        <v>0</v>
      </c>
      <c r="BD945" s="11">
        <f t="shared" ref="BD945:BG945" si="4347">SUM(BD941:BD944)</f>
        <v>0</v>
      </c>
      <c r="BE945" s="11">
        <f t="shared" si="4347"/>
        <v>0</v>
      </c>
      <c r="BF945" s="11">
        <f t="shared" si="4347"/>
        <v>0</v>
      </c>
      <c r="BG945" s="11">
        <f t="shared" si="4347"/>
        <v>0</v>
      </c>
      <c r="BH945" s="25">
        <f>SUM(BH941:BH944)</f>
        <v>0</v>
      </c>
      <c r="BJ945" s="10">
        <f>SUM(BJ941:BJ944)</f>
        <v>0</v>
      </c>
      <c r="BK945" s="11">
        <f t="shared" ref="BK945:BN945" si="4348">SUM(BK941:BK944)</f>
        <v>0</v>
      </c>
      <c r="BL945" s="11">
        <f t="shared" si="4348"/>
        <v>0</v>
      </c>
      <c r="BM945" s="11">
        <f t="shared" si="4348"/>
        <v>0</v>
      </c>
      <c r="BN945" s="11">
        <f t="shared" si="4348"/>
        <v>0</v>
      </c>
      <c r="BO945" s="25">
        <f>SUM(BO941:BO944)</f>
        <v>0</v>
      </c>
      <c r="BQ945" s="10">
        <f>SUM(BQ941:BQ944)</f>
        <v>0</v>
      </c>
      <c r="BR945" s="11">
        <f t="shared" ref="BR945:BU945" si="4349">SUM(BR941:BR944)</f>
        <v>0</v>
      </c>
      <c r="BS945" s="11">
        <f t="shared" si="4349"/>
        <v>0</v>
      </c>
      <c r="BT945" s="11">
        <f t="shared" si="4349"/>
        <v>0</v>
      </c>
      <c r="BU945" s="11">
        <f t="shared" si="4349"/>
        <v>0</v>
      </c>
      <c r="BV945" s="25">
        <f>SUM(BV941:BV944)</f>
        <v>0</v>
      </c>
      <c r="BX945" s="10">
        <f>SUM(BX941:BX944)</f>
        <v>0</v>
      </c>
      <c r="BY945" s="11">
        <f t="shared" ref="BY945:CB945" si="4350">SUM(BY941:BY944)</f>
        <v>0</v>
      </c>
      <c r="BZ945" s="11">
        <f t="shared" si="4350"/>
        <v>0</v>
      </c>
      <c r="CA945" s="11">
        <f t="shared" si="4350"/>
        <v>0</v>
      </c>
      <c r="CB945" s="11">
        <f t="shared" si="4350"/>
        <v>0</v>
      </c>
      <c r="CC945" s="25">
        <f>SUM(CC941:CC944)</f>
        <v>0</v>
      </c>
      <c r="CE945" s="62">
        <f t="shared" ref="CE945:CJ945" si="4351">SUM(CE941:CE944)</f>
        <v>0</v>
      </c>
      <c r="CF945" s="63">
        <f t="shared" si="4351"/>
        <v>0</v>
      </c>
      <c r="CG945" s="63">
        <f t="shared" si="4351"/>
        <v>0</v>
      </c>
      <c r="CH945" s="63">
        <f t="shared" si="4351"/>
        <v>0</v>
      </c>
      <c r="CI945" s="63">
        <f t="shared" si="4351"/>
        <v>0</v>
      </c>
      <c r="CJ945" s="25">
        <f t="shared" si="4351"/>
        <v>0</v>
      </c>
      <c r="CL945" s="10">
        <f>SUM(CL941:CL944)</f>
        <v>0</v>
      </c>
      <c r="CM945" s="11">
        <f t="shared" ref="CM945:CP945" si="4352">SUM(CM941:CM944)</f>
        <v>0</v>
      </c>
      <c r="CN945" s="11">
        <f t="shared" si="4352"/>
        <v>0</v>
      </c>
      <c r="CO945" s="11">
        <f t="shared" si="4352"/>
        <v>0</v>
      </c>
      <c r="CP945" s="11">
        <f t="shared" si="4352"/>
        <v>0</v>
      </c>
      <c r="CQ945" s="25">
        <f>SUM(CQ941:CQ944)</f>
        <v>0</v>
      </c>
      <c r="CS945" s="10">
        <f>SUM(CS941:CS944)</f>
        <v>0</v>
      </c>
      <c r="CT945" s="11">
        <f t="shared" ref="CT945:CW945" si="4353">SUM(CT941:CT944)</f>
        <v>0</v>
      </c>
      <c r="CU945" s="11">
        <f t="shared" si="4353"/>
        <v>0</v>
      </c>
      <c r="CV945" s="11">
        <f t="shared" si="4353"/>
        <v>0</v>
      </c>
      <c r="CW945" s="11">
        <f t="shared" si="4353"/>
        <v>0</v>
      </c>
      <c r="CX945" s="25">
        <f>SUM(CX941:CX944)</f>
        <v>0</v>
      </c>
      <c r="CZ945" s="10">
        <f>SUM(CZ941:CZ944)</f>
        <v>0</v>
      </c>
      <c r="DA945" s="11">
        <f t="shared" ref="DA945:DD945" si="4354">SUM(DA941:DA944)</f>
        <v>0</v>
      </c>
      <c r="DB945" s="11">
        <f t="shared" si="4354"/>
        <v>0</v>
      </c>
      <c r="DC945" s="11">
        <f t="shared" si="4354"/>
        <v>0</v>
      </c>
      <c r="DD945" s="11">
        <f t="shared" si="4354"/>
        <v>0</v>
      </c>
      <c r="DE945" s="25">
        <f>SUM(DE941:DE944)</f>
        <v>0</v>
      </c>
    </row>
    <row r="946" spans="3:109" ht="10.4" customHeight="1" thickBot="1"/>
    <row r="947" spans="3:109">
      <c r="C947" s="553">
        <v>2026</v>
      </c>
      <c r="E947" s="13" t="s">
        <v>59</v>
      </c>
      <c r="F947" s="21">
        <f>CE941</f>
        <v>0</v>
      </c>
      <c r="G947" s="22">
        <f t="shared" ref="G947:G950" si="4355">CF941</f>
        <v>0</v>
      </c>
      <c r="H947" s="22">
        <f t="shared" ref="H947:H950" si="4356">CG941</f>
        <v>0</v>
      </c>
      <c r="I947" s="22">
        <f t="shared" ref="I947:I950" si="4357">CH941</f>
        <v>0</v>
      </c>
      <c r="J947" s="22">
        <f t="shared" ref="J947:J950" si="4358">CI941</f>
        <v>0</v>
      </c>
      <c r="K947" s="4">
        <f>SUM(F947:J947)</f>
        <v>0</v>
      </c>
      <c r="M947" s="2"/>
      <c r="N947" s="3"/>
      <c r="O947" s="3"/>
      <c r="P947" s="3"/>
      <c r="Q947" s="3"/>
      <c r="R947" s="4">
        <f>SUM(M947:Q947)</f>
        <v>0</v>
      </c>
      <c r="T947" s="2"/>
      <c r="U947" s="3"/>
      <c r="V947" s="3"/>
      <c r="W947" s="3"/>
      <c r="X947" s="3"/>
      <c r="Y947" s="4">
        <f>SUM(T947:X947)</f>
        <v>0</v>
      </c>
      <c r="AA947" s="2"/>
      <c r="AB947" s="3"/>
      <c r="AC947" s="3"/>
      <c r="AD947" s="3"/>
      <c r="AE947" s="3"/>
      <c r="AF947" s="4">
        <f>SUM(AA947:AE947)</f>
        <v>0</v>
      </c>
      <c r="AH947" s="2"/>
      <c r="AI947" s="3"/>
      <c r="AJ947" s="3"/>
      <c r="AK947" s="3"/>
      <c r="AL947" s="3"/>
      <c r="AM947" s="4">
        <f>SUM(AH947:AL947)</f>
        <v>0</v>
      </c>
      <c r="AO947" s="2"/>
      <c r="AP947" s="3"/>
      <c r="AQ947" s="3"/>
      <c r="AR947" s="3"/>
      <c r="AS947" s="3"/>
      <c r="AT947" s="4">
        <f>SUM(AO947:AS947)</f>
        <v>0</v>
      </c>
      <c r="AV947" s="2"/>
      <c r="AW947" s="3"/>
      <c r="AX947" s="3"/>
      <c r="AY947" s="3"/>
      <c r="AZ947" s="3"/>
      <c r="BA947" s="4">
        <f>SUM(AV947:AZ947)</f>
        <v>0</v>
      </c>
      <c r="BC947" s="2"/>
      <c r="BD947" s="3"/>
      <c r="BE947" s="3"/>
      <c r="BF947" s="3"/>
      <c r="BG947" s="3"/>
      <c r="BH947" s="4">
        <f>SUM(BC947:BG947)</f>
        <v>0</v>
      </c>
      <c r="BJ947" s="2"/>
      <c r="BK947" s="3"/>
      <c r="BL947" s="3"/>
      <c r="BM947" s="3"/>
      <c r="BN947" s="3"/>
      <c r="BO947" s="4">
        <f>SUM(BJ947:BN947)</f>
        <v>0</v>
      </c>
      <c r="BQ947" s="2"/>
      <c r="BR947" s="3"/>
      <c r="BS947" s="3"/>
      <c r="BT947" s="3"/>
      <c r="BU947" s="3"/>
      <c r="BV947" s="4">
        <f>SUM(BQ947:BU947)</f>
        <v>0</v>
      </c>
      <c r="BX947" s="2"/>
      <c r="BY947" s="3"/>
      <c r="BZ947" s="3"/>
      <c r="CA947" s="3"/>
      <c r="CB947" s="3"/>
      <c r="CC947" s="4">
        <f>SUM(BX947:CB947)</f>
        <v>0</v>
      </c>
      <c r="CE947" s="26">
        <f t="shared" ref="CE947:CE950" si="4359">F947+M947+T947+AA947+AH947+AO947+AV947+BC947+BJ947+BQ947+BX947</f>
        <v>0</v>
      </c>
      <c r="CF947" s="27">
        <f t="shared" ref="CF947:CF950" si="4360">G947+N947+U947+AB947+AI947+AP947+AW947+BD947+BK947+BR947+BY947</f>
        <v>0</v>
      </c>
      <c r="CG947" s="27">
        <f t="shared" ref="CG947:CG950" si="4361">H947+O947+V947+AC947+AJ947+AQ947+AX947+BE947+BL947+BS947+BZ947</f>
        <v>0</v>
      </c>
      <c r="CH947" s="27">
        <f t="shared" ref="CH947:CH950" si="4362">I947+P947+W947+AD947+AK947+AR947+AY947+BF947+BM947+BT947+CA947</f>
        <v>0</v>
      </c>
      <c r="CI947" s="27">
        <f t="shared" ref="CI947:CI950" si="4363">J947+Q947+X947+AE947+AL947+AS947+AZ947+BG947+BN947+BU947+CB947</f>
        <v>0</v>
      </c>
      <c r="CJ947" s="4">
        <f>SUM(CE947:CI947)</f>
        <v>0</v>
      </c>
      <c r="CL947" s="2"/>
      <c r="CM947" s="3"/>
      <c r="CN947" s="3"/>
      <c r="CO947" s="3"/>
      <c r="CP947" s="3"/>
      <c r="CQ947" s="4">
        <f>SUM(CL947:CP947)</f>
        <v>0</v>
      </c>
      <c r="CS947" s="2"/>
      <c r="CT947" s="3"/>
      <c r="CU947" s="3"/>
      <c r="CV947" s="3"/>
      <c r="CW947" s="3"/>
      <c r="CX947" s="4">
        <f>SUM(CS947:CW947)</f>
        <v>0</v>
      </c>
      <c r="CZ947" s="2"/>
      <c r="DA947" s="3"/>
      <c r="DB947" s="3"/>
      <c r="DC947" s="3"/>
      <c r="DD947" s="3"/>
      <c r="DE947" s="4">
        <f>SUM(CZ947:DD947)</f>
        <v>0</v>
      </c>
    </row>
    <row r="948" spans="3:109">
      <c r="C948" s="567"/>
      <c r="E948" s="14" t="s">
        <v>60</v>
      </c>
      <c r="F948" s="23">
        <f t="shared" ref="F948:F950" si="4364">CE942</f>
        <v>0</v>
      </c>
      <c r="G948" s="24">
        <f t="shared" si="4355"/>
        <v>0</v>
      </c>
      <c r="H948" s="24">
        <f t="shared" si="4356"/>
        <v>0</v>
      </c>
      <c r="I948" s="24">
        <f t="shared" si="4357"/>
        <v>0</v>
      </c>
      <c r="J948" s="24">
        <f t="shared" si="4358"/>
        <v>0</v>
      </c>
      <c r="K948" s="8">
        <f t="shared" ref="K948:K950" si="4365">SUM(F948:J948)</f>
        <v>0</v>
      </c>
      <c r="M948" s="6"/>
      <c r="N948" s="7"/>
      <c r="O948" s="7"/>
      <c r="P948" s="7"/>
      <c r="Q948" s="7"/>
      <c r="R948" s="8">
        <f t="shared" ref="R948:R950" si="4366">SUM(M948:Q948)</f>
        <v>0</v>
      </c>
      <c r="T948" s="6"/>
      <c r="U948" s="7"/>
      <c r="V948" s="7"/>
      <c r="W948" s="7"/>
      <c r="X948" s="7"/>
      <c r="Y948" s="8">
        <f t="shared" ref="Y948:Y950" si="4367">SUM(T948:X948)</f>
        <v>0</v>
      </c>
      <c r="AA948" s="6"/>
      <c r="AB948" s="7"/>
      <c r="AC948" s="7"/>
      <c r="AD948" s="7"/>
      <c r="AE948" s="7"/>
      <c r="AF948" s="8">
        <f>SUM(AA948:AE948)</f>
        <v>0</v>
      </c>
      <c r="AH948" s="6"/>
      <c r="AI948" s="7"/>
      <c r="AJ948" s="7"/>
      <c r="AK948" s="7"/>
      <c r="AL948" s="7"/>
      <c r="AM948" s="8">
        <f>SUM(AH948:AL948)</f>
        <v>0</v>
      </c>
      <c r="AO948" s="6"/>
      <c r="AP948" s="7"/>
      <c r="AQ948" s="7"/>
      <c r="AR948" s="7"/>
      <c r="AS948" s="7"/>
      <c r="AT948" s="8">
        <f>SUM(AO948:AS948)</f>
        <v>0</v>
      </c>
      <c r="AV948" s="6"/>
      <c r="AW948" s="7"/>
      <c r="AX948" s="7"/>
      <c r="AY948" s="7"/>
      <c r="AZ948" s="7"/>
      <c r="BA948" s="8">
        <f>SUM(AV948:AZ948)</f>
        <v>0</v>
      </c>
      <c r="BC948" s="6"/>
      <c r="BD948" s="7"/>
      <c r="BE948" s="7"/>
      <c r="BF948" s="7"/>
      <c r="BG948" s="7"/>
      <c r="BH948" s="8">
        <f>SUM(BC948:BG948)</f>
        <v>0</v>
      </c>
      <c r="BJ948" s="6"/>
      <c r="BK948" s="7"/>
      <c r="BL948" s="7"/>
      <c r="BM948" s="7"/>
      <c r="BN948" s="7"/>
      <c r="BO948" s="8">
        <f>SUM(BJ948:BN948)</f>
        <v>0</v>
      </c>
      <c r="BQ948" s="6"/>
      <c r="BR948" s="7"/>
      <c r="BS948" s="7"/>
      <c r="BT948" s="7"/>
      <c r="BU948" s="7"/>
      <c r="BV948" s="8">
        <f>SUM(BQ948:BU948)</f>
        <v>0</v>
      </c>
      <c r="BX948" s="6"/>
      <c r="BY948" s="7"/>
      <c r="BZ948" s="7"/>
      <c r="CA948" s="7"/>
      <c r="CB948" s="7"/>
      <c r="CC948" s="8">
        <f>SUM(BX948:CB948)</f>
        <v>0</v>
      </c>
      <c r="CE948" s="28">
        <f t="shared" si="4359"/>
        <v>0</v>
      </c>
      <c r="CF948" s="29">
        <f t="shared" si="4360"/>
        <v>0</v>
      </c>
      <c r="CG948" s="29">
        <f t="shared" si="4361"/>
        <v>0</v>
      </c>
      <c r="CH948" s="29">
        <f t="shared" si="4362"/>
        <v>0</v>
      </c>
      <c r="CI948" s="29">
        <f t="shared" si="4363"/>
        <v>0</v>
      </c>
      <c r="CJ948" s="8">
        <f>SUM(CE948:CI948)</f>
        <v>0</v>
      </c>
      <c r="CL948" s="6"/>
      <c r="CM948" s="7"/>
      <c r="CN948" s="7"/>
      <c r="CO948" s="7"/>
      <c r="CP948" s="7"/>
      <c r="CQ948" s="8">
        <f>SUM(CL948:CP948)</f>
        <v>0</v>
      </c>
      <c r="CS948" s="6"/>
      <c r="CT948" s="7"/>
      <c r="CU948" s="7"/>
      <c r="CV948" s="7"/>
      <c r="CW948" s="7"/>
      <c r="CX948" s="8">
        <f t="shared" ref="CX948:CX950" si="4368">SUM(CS948:CW948)</f>
        <v>0</v>
      </c>
      <c r="CZ948" s="6"/>
      <c r="DA948" s="7"/>
      <c r="DB948" s="7"/>
      <c r="DC948" s="7"/>
      <c r="DD948" s="7"/>
      <c r="DE948" s="8">
        <f t="shared" ref="DE948:DE950" si="4369">SUM(CZ948:DD948)</f>
        <v>0</v>
      </c>
    </row>
    <row r="949" spans="3:109">
      <c r="C949" s="567"/>
      <c r="E949" s="14" t="s">
        <v>61</v>
      </c>
      <c r="F949" s="23">
        <f t="shared" si="4364"/>
        <v>0</v>
      </c>
      <c r="G949" s="24">
        <f t="shared" si="4355"/>
        <v>0</v>
      </c>
      <c r="H949" s="24">
        <f t="shared" si="4356"/>
        <v>0</v>
      </c>
      <c r="I949" s="24">
        <f t="shared" si="4357"/>
        <v>0</v>
      </c>
      <c r="J949" s="24">
        <f t="shared" si="4358"/>
        <v>0</v>
      </c>
      <c r="K949" s="8">
        <f t="shared" si="4365"/>
        <v>0</v>
      </c>
      <c r="M949" s="6"/>
      <c r="N949" s="7"/>
      <c r="O949" s="7"/>
      <c r="P949" s="7"/>
      <c r="Q949" s="7"/>
      <c r="R949" s="8">
        <f t="shared" si="4366"/>
        <v>0</v>
      </c>
      <c r="T949" s="6"/>
      <c r="U949" s="7"/>
      <c r="V949" s="7"/>
      <c r="W949" s="7"/>
      <c r="X949" s="7"/>
      <c r="Y949" s="8">
        <f t="shared" si="4367"/>
        <v>0</v>
      </c>
      <c r="AA949" s="6"/>
      <c r="AB949" s="7"/>
      <c r="AC949" s="7"/>
      <c r="AD949" s="7"/>
      <c r="AE949" s="7"/>
      <c r="AF949" s="8">
        <f>SUM(AA949:AE949)</f>
        <v>0</v>
      </c>
      <c r="AH949" s="6"/>
      <c r="AI949" s="7"/>
      <c r="AJ949" s="7"/>
      <c r="AK949" s="7"/>
      <c r="AL949" s="7"/>
      <c r="AM949" s="8">
        <f>SUM(AH949:AL949)</f>
        <v>0</v>
      </c>
      <c r="AO949" s="6"/>
      <c r="AP949" s="7"/>
      <c r="AQ949" s="7"/>
      <c r="AR949" s="7"/>
      <c r="AS949" s="7"/>
      <c r="AT949" s="8">
        <f>SUM(AO949:AS949)</f>
        <v>0</v>
      </c>
      <c r="AV949" s="6"/>
      <c r="AW949" s="7"/>
      <c r="AX949" s="7"/>
      <c r="AY949" s="7"/>
      <c r="AZ949" s="7"/>
      <c r="BA949" s="8">
        <f>SUM(AV949:AZ949)</f>
        <v>0</v>
      </c>
      <c r="BC949" s="6"/>
      <c r="BD949" s="7"/>
      <c r="BE949" s="7"/>
      <c r="BF949" s="7"/>
      <c r="BG949" s="7"/>
      <c r="BH949" s="8">
        <f>SUM(BC949:BG949)</f>
        <v>0</v>
      </c>
      <c r="BJ949" s="6"/>
      <c r="BK949" s="7"/>
      <c r="BL949" s="7"/>
      <c r="BM949" s="7"/>
      <c r="BN949" s="7"/>
      <c r="BO949" s="8">
        <f>SUM(BJ949:BN949)</f>
        <v>0</v>
      </c>
      <c r="BQ949" s="6"/>
      <c r="BR949" s="7"/>
      <c r="BS949" s="7"/>
      <c r="BT949" s="7"/>
      <c r="BU949" s="7"/>
      <c r="BV949" s="8">
        <f>SUM(BQ949:BU949)</f>
        <v>0</v>
      </c>
      <c r="BX949" s="6"/>
      <c r="BY949" s="7"/>
      <c r="BZ949" s="7"/>
      <c r="CA949" s="7"/>
      <c r="CB949" s="7"/>
      <c r="CC949" s="8">
        <f>SUM(BX949:CB949)</f>
        <v>0</v>
      </c>
      <c r="CE949" s="28">
        <f t="shared" si="4359"/>
        <v>0</v>
      </c>
      <c r="CF949" s="29">
        <f t="shared" si="4360"/>
        <v>0</v>
      </c>
      <c r="CG949" s="29">
        <f t="shared" si="4361"/>
        <v>0</v>
      </c>
      <c r="CH949" s="29">
        <f t="shared" si="4362"/>
        <v>0</v>
      </c>
      <c r="CI949" s="29">
        <f t="shared" si="4363"/>
        <v>0</v>
      </c>
      <c r="CJ949" s="8">
        <f>SUM(CE949:CI949)</f>
        <v>0</v>
      </c>
      <c r="CL949" s="6"/>
      <c r="CM949" s="7"/>
      <c r="CN949" s="7"/>
      <c r="CO949" s="7"/>
      <c r="CP949" s="7"/>
      <c r="CQ949" s="8">
        <f>SUM(CL949:CP949)</f>
        <v>0</v>
      </c>
      <c r="CS949" s="6"/>
      <c r="CT949" s="7"/>
      <c r="CU949" s="7"/>
      <c r="CV949" s="7"/>
      <c r="CW949" s="7"/>
      <c r="CX949" s="8">
        <f t="shared" si="4368"/>
        <v>0</v>
      </c>
      <c r="CZ949" s="6"/>
      <c r="DA949" s="7"/>
      <c r="DB949" s="7"/>
      <c r="DC949" s="7"/>
      <c r="DD949" s="7"/>
      <c r="DE949" s="8">
        <f t="shared" si="4369"/>
        <v>0</v>
      </c>
    </row>
    <row r="950" spans="3:109" ht="14" thickBot="1">
      <c r="C950" s="567"/>
      <c r="E950" s="14" t="s">
        <v>62</v>
      </c>
      <c r="F950" s="23">
        <f t="shared" si="4364"/>
        <v>0</v>
      </c>
      <c r="G950" s="24">
        <f t="shared" si="4355"/>
        <v>0</v>
      </c>
      <c r="H950" s="24">
        <f t="shared" si="4356"/>
        <v>0</v>
      </c>
      <c r="I950" s="24">
        <f t="shared" si="4357"/>
        <v>0</v>
      </c>
      <c r="J950" s="24">
        <f t="shared" si="4358"/>
        <v>0</v>
      </c>
      <c r="K950" s="8">
        <f t="shared" si="4365"/>
        <v>0</v>
      </c>
      <c r="M950" s="6"/>
      <c r="N950" s="7"/>
      <c r="O950" s="7"/>
      <c r="P950" s="7"/>
      <c r="Q950" s="7"/>
      <c r="R950" s="8">
        <f t="shared" si="4366"/>
        <v>0</v>
      </c>
      <c r="T950" s="6"/>
      <c r="U950" s="7"/>
      <c r="V950" s="7"/>
      <c r="W950" s="7"/>
      <c r="X950" s="7"/>
      <c r="Y950" s="8">
        <f t="shared" si="4367"/>
        <v>0</v>
      </c>
      <c r="AA950" s="6"/>
      <c r="AB950" s="7"/>
      <c r="AC950" s="7"/>
      <c r="AD950" s="7"/>
      <c r="AE950" s="7"/>
      <c r="AF950" s="8">
        <f>SUM(AA950:AE950)</f>
        <v>0</v>
      </c>
      <c r="AH950" s="6"/>
      <c r="AI950" s="7"/>
      <c r="AJ950" s="7"/>
      <c r="AK950" s="7"/>
      <c r="AL950" s="7"/>
      <c r="AM950" s="8">
        <f>SUM(AH950:AL950)</f>
        <v>0</v>
      </c>
      <c r="AO950" s="6"/>
      <c r="AP950" s="7"/>
      <c r="AQ950" s="7"/>
      <c r="AR950" s="7"/>
      <c r="AS950" s="7"/>
      <c r="AT950" s="8">
        <f>SUM(AO950:AS950)</f>
        <v>0</v>
      </c>
      <c r="AV950" s="6"/>
      <c r="AW950" s="7"/>
      <c r="AX950" s="7"/>
      <c r="AY950" s="7"/>
      <c r="AZ950" s="7"/>
      <c r="BA950" s="8">
        <f>SUM(AV950:AZ950)</f>
        <v>0</v>
      </c>
      <c r="BC950" s="6"/>
      <c r="BD950" s="7"/>
      <c r="BE950" s="7"/>
      <c r="BF950" s="7"/>
      <c r="BG950" s="7"/>
      <c r="BH950" s="8">
        <f>SUM(BC950:BG950)</f>
        <v>0</v>
      </c>
      <c r="BJ950" s="6"/>
      <c r="BK950" s="7"/>
      <c r="BL950" s="7"/>
      <c r="BM950" s="7"/>
      <c r="BN950" s="7"/>
      <c r="BO950" s="8">
        <f>SUM(BJ950:BN950)</f>
        <v>0</v>
      </c>
      <c r="BQ950" s="6"/>
      <c r="BR950" s="7"/>
      <c r="BS950" s="7"/>
      <c r="BT950" s="7"/>
      <c r="BU950" s="7"/>
      <c r="BV950" s="8">
        <f>SUM(BQ950:BU950)</f>
        <v>0</v>
      </c>
      <c r="BX950" s="6"/>
      <c r="BY950" s="7"/>
      <c r="BZ950" s="7"/>
      <c r="CA950" s="7"/>
      <c r="CB950" s="7"/>
      <c r="CC950" s="8">
        <f>SUM(BX950:CB950)</f>
        <v>0</v>
      </c>
      <c r="CE950" s="493">
        <f t="shared" si="4359"/>
        <v>0</v>
      </c>
      <c r="CF950" s="494">
        <f t="shared" si="4360"/>
        <v>0</v>
      </c>
      <c r="CG950" s="494">
        <f t="shared" si="4361"/>
        <v>0</v>
      </c>
      <c r="CH950" s="494">
        <f t="shared" si="4362"/>
        <v>0</v>
      </c>
      <c r="CI950" s="494">
        <f t="shared" si="4363"/>
        <v>0</v>
      </c>
      <c r="CJ950" s="495">
        <f>SUM(CE950:CI950)</f>
        <v>0</v>
      </c>
      <c r="CL950" s="6"/>
      <c r="CM950" s="7"/>
      <c r="CN950" s="7"/>
      <c r="CO950" s="7"/>
      <c r="CP950" s="7"/>
      <c r="CQ950" s="8">
        <f>SUM(CL950:CP950)</f>
        <v>0</v>
      </c>
      <c r="CS950" s="6"/>
      <c r="CT950" s="7"/>
      <c r="CU950" s="7"/>
      <c r="CV950" s="7"/>
      <c r="CW950" s="7"/>
      <c r="CX950" s="8">
        <f t="shared" si="4368"/>
        <v>0</v>
      </c>
      <c r="CZ950" s="6"/>
      <c r="DA950" s="7"/>
      <c r="DB950" s="7"/>
      <c r="DC950" s="7"/>
      <c r="DD950" s="7"/>
      <c r="DE950" s="8">
        <f t="shared" si="4369"/>
        <v>0</v>
      </c>
    </row>
    <row r="951" spans="3:109" ht="14" thickBot="1">
      <c r="C951" s="554"/>
      <c r="E951" s="17"/>
      <c r="F951" s="10">
        <f>SUM(F947:F950)</f>
        <v>0</v>
      </c>
      <c r="G951" s="11">
        <f t="shared" ref="G951:J951" si="4370">SUM(G947:G950)</f>
        <v>0</v>
      </c>
      <c r="H951" s="11">
        <f t="shared" si="4370"/>
        <v>0</v>
      </c>
      <c r="I951" s="11">
        <f t="shared" si="4370"/>
        <v>0</v>
      </c>
      <c r="J951" s="11">
        <f t="shared" si="4370"/>
        <v>0</v>
      </c>
      <c r="K951" s="25">
        <f>SUM(K947:K950)</f>
        <v>0</v>
      </c>
      <c r="M951" s="10">
        <f>SUM(M947:M950)</f>
        <v>0</v>
      </c>
      <c r="N951" s="11">
        <f t="shared" ref="N951:Q951" si="4371">SUM(N947:N950)</f>
        <v>0</v>
      </c>
      <c r="O951" s="11">
        <f t="shared" si="4371"/>
        <v>0</v>
      </c>
      <c r="P951" s="11">
        <f t="shared" si="4371"/>
        <v>0</v>
      </c>
      <c r="Q951" s="11">
        <f t="shared" si="4371"/>
        <v>0</v>
      </c>
      <c r="R951" s="25">
        <f>SUM(R947:R950)</f>
        <v>0</v>
      </c>
      <c r="T951" s="10">
        <f>SUM(T947:T950)</f>
        <v>0</v>
      </c>
      <c r="U951" s="11">
        <f t="shared" ref="U951:X951" si="4372">SUM(U947:U950)</f>
        <v>0</v>
      </c>
      <c r="V951" s="11">
        <f t="shared" si="4372"/>
        <v>0</v>
      </c>
      <c r="W951" s="11">
        <f t="shared" si="4372"/>
        <v>0</v>
      </c>
      <c r="X951" s="11">
        <f t="shared" si="4372"/>
        <v>0</v>
      </c>
      <c r="Y951" s="25">
        <f>SUM(Y947:Y950)</f>
        <v>0</v>
      </c>
      <c r="AA951" s="10">
        <f>SUM(AA947:AA950)</f>
        <v>0</v>
      </c>
      <c r="AB951" s="11">
        <f t="shared" ref="AB951:AE951" si="4373">SUM(AB947:AB950)</f>
        <v>0</v>
      </c>
      <c r="AC951" s="11">
        <f t="shared" si="4373"/>
        <v>0</v>
      </c>
      <c r="AD951" s="11">
        <f t="shared" si="4373"/>
        <v>0</v>
      </c>
      <c r="AE951" s="11">
        <f t="shared" si="4373"/>
        <v>0</v>
      </c>
      <c r="AF951" s="25">
        <f>SUM(AF947:AF950)</f>
        <v>0</v>
      </c>
      <c r="AH951" s="10">
        <f>SUM(AH947:AH950)</f>
        <v>0</v>
      </c>
      <c r="AI951" s="11">
        <f t="shared" ref="AI951:AL951" si="4374">SUM(AI947:AI950)</f>
        <v>0</v>
      </c>
      <c r="AJ951" s="11">
        <f t="shared" si="4374"/>
        <v>0</v>
      </c>
      <c r="AK951" s="11">
        <f t="shared" si="4374"/>
        <v>0</v>
      </c>
      <c r="AL951" s="11">
        <f t="shared" si="4374"/>
        <v>0</v>
      </c>
      <c r="AM951" s="25">
        <f>SUM(AM947:AM950)</f>
        <v>0</v>
      </c>
      <c r="AO951" s="10">
        <f>SUM(AO947:AO950)</f>
        <v>0</v>
      </c>
      <c r="AP951" s="11">
        <f t="shared" ref="AP951:AS951" si="4375">SUM(AP947:AP950)</f>
        <v>0</v>
      </c>
      <c r="AQ951" s="11">
        <f t="shared" si="4375"/>
        <v>0</v>
      </c>
      <c r="AR951" s="11">
        <f t="shared" si="4375"/>
        <v>0</v>
      </c>
      <c r="AS951" s="11">
        <f t="shared" si="4375"/>
        <v>0</v>
      </c>
      <c r="AT951" s="25">
        <f>SUM(AT947:AT950)</f>
        <v>0</v>
      </c>
      <c r="AV951" s="10">
        <f>SUM(AV947:AV950)</f>
        <v>0</v>
      </c>
      <c r="AW951" s="11">
        <f t="shared" ref="AW951:AZ951" si="4376">SUM(AW947:AW950)</f>
        <v>0</v>
      </c>
      <c r="AX951" s="11">
        <f t="shared" si="4376"/>
        <v>0</v>
      </c>
      <c r="AY951" s="11">
        <f t="shared" si="4376"/>
        <v>0</v>
      </c>
      <c r="AZ951" s="11">
        <f t="shared" si="4376"/>
        <v>0</v>
      </c>
      <c r="BA951" s="25">
        <f>SUM(BA947:BA950)</f>
        <v>0</v>
      </c>
      <c r="BC951" s="10">
        <f>SUM(BC947:BC950)</f>
        <v>0</v>
      </c>
      <c r="BD951" s="11">
        <f t="shared" ref="BD951:BG951" si="4377">SUM(BD947:BD950)</f>
        <v>0</v>
      </c>
      <c r="BE951" s="11">
        <f t="shared" si="4377"/>
        <v>0</v>
      </c>
      <c r="BF951" s="11">
        <f t="shared" si="4377"/>
        <v>0</v>
      </c>
      <c r="BG951" s="11">
        <f t="shared" si="4377"/>
        <v>0</v>
      </c>
      <c r="BH951" s="25">
        <f>SUM(BH947:BH950)</f>
        <v>0</v>
      </c>
      <c r="BJ951" s="10">
        <f>SUM(BJ947:BJ950)</f>
        <v>0</v>
      </c>
      <c r="BK951" s="11">
        <f t="shared" ref="BK951:BN951" si="4378">SUM(BK947:BK950)</f>
        <v>0</v>
      </c>
      <c r="BL951" s="11">
        <f t="shared" si="4378"/>
        <v>0</v>
      </c>
      <c r="BM951" s="11">
        <f t="shared" si="4378"/>
        <v>0</v>
      </c>
      <c r="BN951" s="11">
        <f t="shared" si="4378"/>
        <v>0</v>
      </c>
      <c r="BO951" s="25">
        <f>SUM(BO947:BO950)</f>
        <v>0</v>
      </c>
      <c r="BQ951" s="10">
        <f>SUM(BQ947:BQ950)</f>
        <v>0</v>
      </c>
      <c r="BR951" s="11">
        <f t="shared" ref="BR951:BU951" si="4379">SUM(BR947:BR950)</f>
        <v>0</v>
      </c>
      <c r="BS951" s="11">
        <f t="shared" si="4379"/>
        <v>0</v>
      </c>
      <c r="BT951" s="11">
        <f t="shared" si="4379"/>
        <v>0</v>
      </c>
      <c r="BU951" s="11">
        <f t="shared" si="4379"/>
        <v>0</v>
      </c>
      <c r="BV951" s="25">
        <f>SUM(BV947:BV950)</f>
        <v>0</v>
      </c>
      <c r="BX951" s="10">
        <f>SUM(BX947:BX950)</f>
        <v>0</v>
      </c>
      <c r="BY951" s="11">
        <f t="shared" ref="BY951:CB951" si="4380">SUM(BY947:BY950)</f>
        <v>0</v>
      </c>
      <c r="BZ951" s="11">
        <f t="shared" si="4380"/>
        <v>0</v>
      </c>
      <c r="CA951" s="11">
        <f t="shared" si="4380"/>
        <v>0</v>
      </c>
      <c r="CB951" s="11">
        <f t="shared" si="4380"/>
        <v>0</v>
      </c>
      <c r="CC951" s="25">
        <f>SUM(CC947:CC950)</f>
        <v>0</v>
      </c>
      <c r="CE951" s="62">
        <f t="shared" ref="CE951:CJ951" si="4381">SUM(CE947:CE950)</f>
        <v>0</v>
      </c>
      <c r="CF951" s="63">
        <f t="shared" si="4381"/>
        <v>0</v>
      </c>
      <c r="CG951" s="63">
        <f t="shared" si="4381"/>
        <v>0</v>
      </c>
      <c r="CH951" s="63">
        <f t="shared" si="4381"/>
        <v>0</v>
      </c>
      <c r="CI951" s="63">
        <f t="shared" si="4381"/>
        <v>0</v>
      </c>
      <c r="CJ951" s="25">
        <f t="shared" si="4381"/>
        <v>0</v>
      </c>
      <c r="CL951" s="10">
        <f>SUM(CL947:CL950)</f>
        <v>0</v>
      </c>
      <c r="CM951" s="11">
        <f t="shared" ref="CM951:CP951" si="4382">SUM(CM947:CM950)</f>
        <v>0</v>
      </c>
      <c r="CN951" s="11">
        <f t="shared" si="4382"/>
        <v>0</v>
      </c>
      <c r="CO951" s="11">
        <f t="shared" si="4382"/>
        <v>0</v>
      </c>
      <c r="CP951" s="11">
        <f t="shared" si="4382"/>
        <v>0</v>
      </c>
      <c r="CQ951" s="25">
        <f>SUM(CQ947:CQ950)</f>
        <v>0</v>
      </c>
      <c r="CS951" s="10">
        <f>SUM(CS947:CS950)</f>
        <v>0</v>
      </c>
      <c r="CT951" s="11">
        <f t="shared" ref="CT951:CW951" si="4383">SUM(CT947:CT950)</f>
        <v>0</v>
      </c>
      <c r="CU951" s="11">
        <f t="shared" si="4383"/>
        <v>0</v>
      </c>
      <c r="CV951" s="11">
        <f t="shared" si="4383"/>
        <v>0</v>
      </c>
      <c r="CW951" s="11">
        <f t="shared" si="4383"/>
        <v>0</v>
      </c>
      <c r="CX951" s="25">
        <f>SUM(CX947:CX950)</f>
        <v>0</v>
      </c>
      <c r="CZ951" s="10">
        <f>SUM(CZ947:CZ950)</f>
        <v>0</v>
      </c>
      <c r="DA951" s="11">
        <f t="shared" ref="DA951:DD951" si="4384">SUM(DA947:DA950)</f>
        <v>0</v>
      </c>
      <c r="DB951" s="11">
        <f t="shared" si="4384"/>
        <v>0</v>
      </c>
      <c r="DC951" s="11">
        <f t="shared" si="4384"/>
        <v>0</v>
      </c>
      <c r="DD951" s="11">
        <f t="shared" si="4384"/>
        <v>0</v>
      </c>
      <c r="DE951" s="25">
        <f>SUM(DE947:DE950)</f>
        <v>0</v>
      </c>
    </row>
    <row r="952" spans="3:109" ht="10.4" customHeight="1" thickBot="1"/>
    <row r="953" spans="3:109">
      <c r="C953" s="553">
        <v>2027</v>
      </c>
      <c r="E953" s="13" t="s">
        <v>59</v>
      </c>
      <c r="F953" s="21">
        <f>CE947</f>
        <v>0</v>
      </c>
      <c r="G953" s="22">
        <f t="shared" ref="G953:G956" si="4385">CF947</f>
        <v>0</v>
      </c>
      <c r="H953" s="22">
        <f t="shared" ref="H953:H956" si="4386">CG947</f>
        <v>0</v>
      </c>
      <c r="I953" s="22">
        <f t="shared" ref="I953:I956" si="4387">CH947</f>
        <v>0</v>
      </c>
      <c r="J953" s="22">
        <f t="shared" ref="J953:J956" si="4388">CI947</f>
        <v>0</v>
      </c>
      <c r="K953" s="4">
        <f>SUM(F953:J953)</f>
        <v>0</v>
      </c>
      <c r="M953" s="2"/>
      <c r="N953" s="3"/>
      <c r="O953" s="3"/>
      <c r="P953" s="3"/>
      <c r="Q953" s="3"/>
      <c r="R953" s="4">
        <f>SUM(M953:Q953)</f>
        <v>0</v>
      </c>
      <c r="T953" s="2"/>
      <c r="U953" s="3"/>
      <c r="V953" s="3"/>
      <c r="W953" s="3"/>
      <c r="X953" s="3"/>
      <c r="Y953" s="4">
        <f>SUM(T953:X953)</f>
        <v>0</v>
      </c>
      <c r="AA953" s="2"/>
      <c r="AB953" s="3"/>
      <c r="AC953" s="3"/>
      <c r="AD953" s="3"/>
      <c r="AE953" s="3"/>
      <c r="AF953" s="4">
        <f>SUM(AA953:AE953)</f>
        <v>0</v>
      </c>
      <c r="AH953" s="2"/>
      <c r="AI953" s="3"/>
      <c r="AJ953" s="3"/>
      <c r="AK953" s="3"/>
      <c r="AL953" s="3"/>
      <c r="AM953" s="4">
        <f>SUM(AH953:AL953)</f>
        <v>0</v>
      </c>
      <c r="AO953" s="2"/>
      <c r="AP953" s="3"/>
      <c r="AQ953" s="3"/>
      <c r="AR953" s="3"/>
      <c r="AS953" s="3"/>
      <c r="AT953" s="4">
        <f>SUM(AO953:AS953)</f>
        <v>0</v>
      </c>
      <c r="AV953" s="2"/>
      <c r="AW953" s="3"/>
      <c r="AX953" s="3"/>
      <c r="AY953" s="3"/>
      <c r="AZ953" s="3"/>
      <c r="BA953" s="4">
        <f>SUM(AV953:AZ953)</f>
        <v>0</v>
      </c>
      <c r="BC953" s="2"/>
      <c r="BD953" s="3"/>
      <c r="BE953" s="3"/>
      <c r="BF953" s="3"/>
      <c r="BG953" s="3"/>
      <c r="BH953" s="4">
        <f>SUM(BC953:BG953)</f>
        <v>0</v>
      </c>
      <c r="BJ953" s="2"/>
      <c r="BK953" s="3"/>
      <c r="BL953" s="3"/>
      <c r="BM953" s="3"/>
      <c r="BN953" s="3"/>
      <c r="BO953" s="4">
        <f>SUM(BJ953:BN953)</f>
        <v>0</v>
      </c>
      <c r="BQ953" s="2"/>
      <c r="BR953" s="3"/>
      <c r="BS953" s="3"/>
      <c r="BT953" s="3"/>
      <c r="BU953" s="3"/>
      <c r="BV953" s="4">
        <f>SUM(BQ953:BU953)</f>
        <v>0</v>
      </c>
      <c r="BX953" s="2"/>
      <c r="BY953" s="3"/>
      <c r="BZ953" s="3"/>
      <c r="CA953" s="3"/>
      <c r="CB953" s="3"/>
      <c r="CC953" s="4">
        <f>SUM(BX953:CB953)</f>
        <v>0</v>
      </c>
      <c r="CE953" s="26">
        <f t="shared" ref="CE953:CE956" si="4389">F953+M953+T953+AA953+AH953+AO953+AV953+BC953+BJ953+BQ953+BX953</f>
        <v>0</v>
      </c>
      <c r="CF953" s="27">
        <f t="shared" ref="CF953:CF956" si="4390">G953+N953+U953+AB953+AI953+AP953+AW953+BD953+BK953+BR953+BY953</f>
        <v>0</v>
      </c>
      <c r="CG953" s="27">
        <f t="shared" ref="CG953:CG956" si="4391">H953+O953+V953+AC953+AJ953+AQ953+AX953+BE953+BL953+BS953+BZ953</f>
        <v>0</v>
      </c>
      <c r="CH953" s="27">
        <f t="shared" ref="CH953:CH956" si="4392">I953+P953+W953+AD953+AK953+AR953+AY953+BF953+BM953+BT953+CA953</f>
        <v>0</v>
      </c>
      <c r="CI953" s="27">
        <f t="shared" ref="CI953:CI956" si="4393">J953+Q953+X953+AE953+AL953+AS953+AZ953+BG953+BN953+BU953+CB953</f>
        <v>0</v>
      </c>
      <c r="CJ953" s="4">
        <f>SUM(CE953:CI953)</f>
        <v>0</v>
      </c>
      <c r="CL953" s="2"/>
      <c r="CM953" s="3"/>
      <c r="CN953" s="3"/>
      <c r="CO953" s="3"/>
      <c r="CP953" s="3"/>
      <c r="CQ953" s="4">
        <f>SUM(CL953:CP953)</f>
        <v>0</v>
      </c>
      <c r="CS953" s="2"/>
      <c r="CT953" s="3"/>
      <c r="CU953" s="3"/>
      <c r="CV953" s="3"/>
      <c r="CW953" s="3"/>
      <c r="CX953" s="4">
        <f>SUM(CS953:CW953)</f>
        <v>0</v>
      </c>
      <c r="CZ953" s="2"/>
      <c r="DA953" s="3"/>
      <c r="DB953" s="3"/>
      <c r="DC953" s="3"/>
      <c r="DD953" s="3"/>
      <c r="DE953" s="4">
        <f>SUM(CZ953:DD953)</f>
        <v>0</v>
      </c>
    </row>
    <row r="954" spans="3:109">
      <c r="C954" s="567"/>
      <c r="E954" s="14" t="s">
        <v>60</v>
      </c>
      <c r="F954" s="23">
        <f t="shared" ref="F954:F956" si="4394">CE948</f>
        <v>0</v>
      </c>
      <c r="G954" s="24">
        <f t="shared" si="4385"/>
        <v>0</v>
      </c>
      <c r="H954" s="24">
        <f t="shared" si="4386"/>
        <v>0</v>
      </c>
      <c r="I954" s="24">
        <f t="shared" si="4387"/>
        <v>0</v>
      </c>
      <c r="J954" s="24">
        <f t="shared" si="4388"/>
        <v>0</v>
      </c>
      <c r="K954" s="8">
        <f t="shared" ref="K954:K956" si="4395">SUM(F954:J954)</f>
        <v>0</v>
      </c>
      <c r="M954" s="6"/>
      <c r="N954" s="7"/>
      <c r="O954" s="7"/>
      <c r="P954" s="7"/>
      <c r="Q954" s="7"/>
      <c r="R954" s="8">
        <f t="shared" ref="R954:R956" si="4396">SUM(M954:Q954)</f>
        <v>0</v>
      </c>
      <c r="T954" s="6"/>
      <c r="U954" s="7"/>
      <c r="V954" s="7"/>
      <c r="W954" s="7"/>
      <c r="X954" s="7"/>
      <c r="Y954" s="8">
        <f t="shared" ref="Y954:Y956" si="4397">SUM(T954:X954)</f>
        <v>0</v>
      </c>
      <c r="AA954" s="6"/>
      <c r="AB954" s="7"/>
      <c r="AC954" s="7"/>
      <c r="AD954" s="7"/>
      <c r="AE954" s="7"/>
      <c r="AF954" s="8">
        <f>SUM(AA954:AE954)</f>
        <v>0</v>
      </c>
      <c r="AH954" s="6"/>
      <c r="AI954" s="7"/>
      <c r="AJ954" s="7"/>
      <c r="AK954" s="7"/>
      <c r="AL954" s="7"/>
      <c r="AM954" s="8">
        <f>SUM(AH954:AL954)</f>
        <v>0</v>
      </c>
      <c r="AO954" s="6"/>
      <c r="AP954" s="7"/>
      <c r="AQ954" s="7"/>
      <c r="AR954" s="7"/>
      <c r="AS954" s="7"/>
      <c r="AT954" s="8">
        <f>SUM(AO954:AS954)</f>
        <v>0</v>
      </c>
      <c r="AV954" s="6"/>
      <c r="AW954" s="7"/>
      <c r="AX954" s="7"/>
      <c r="AY954" s="7"/>
      <c r="AZ954" s="7"/>
      <c r="BA954" s="8">
        <f>SUM(AV954:AZ954)</f>
        <v>0</v>
      </c>
      <c r="BC954" s="6"/>
      <c r="BD954" s="7"/>
      <c r="BE954" s="7"/>
      <c r="BF954" s="7"/>
      <c r="BG954" s="7"/>
      <c r="BH954" s="8">
        <f>SUM(BC954:BG954)</f>
        <v>0</v>
      </c>
      <c r="BJ954" s="6"/>
      <c r="BK954" s="7"/>
      <c r="BL954" s="7"/>
      <c r="BM954" s="7"/>
      <c r="BN954" s="7"/>
      <c r="BO954" s="8">
        <f>SUM(BJ954:BN954)</f>
        <v>0</v>
      </c>
      <c r="BQ954" s="6"/>
      <c r="BR954" s="7"/>
      <c r="BS954" s="7"/>
      <c r="BT954" s="7"/>
      <c r="BU954" s="7"/>
      <c r="BV954" s="8">
        <f>SUM(BQ954:BU954)</f>
        <v>0</v>
      </c>
      <c r="BX954" s="6"/>
      <c r="BY954" s="7"/>
      <c r="BZ954" s="7"/>
      <c r="CA954" s="7"/>
      <c r="CB954" s="7"/>
      <c r="CC954" s="8">
        <f>SUM(BX954:CB954)</f>
        <v>0</v>
      </c>
      <c r="CE954" s="28">
        <f t="shared" si="4389"/>
        <v>0</v>
      </c>
      <c r="CF954" s="29">
        <f t="shared" si="4390"/>
        <v>0</v>
      </c>
      <c r="CG954" s="29">
        <f t="shared" si="4391"/>
        <v>0</v>
      </c>
      <c r="CH954" s="29">
        <f t="shared" si="4392"/>
        <v>0</v>
      </c>
      <c r="CI954" s="29">
        <f t="shared" si="4393"/>
        <v>0</v>
      </c>
      <c r="CJ954" s="8">
        <f>SUM(CE954:CI954)</f>
        <v>0</v>
      </c>
      <c r="CL954" s="6"/>
      <c r="CM954" s="7"/>
      <c r="CN954" s="7"/>
      <c r="CO954" s="7"/>
      <c r="CP954" s="7"/>
      <c r="CQ954" s="8">
        <f>SUM(CL954:CP954)</f>
        <v>0</v>
      </c>
      <c r="CS954" s="6"/>
      <c r="CT954" s="7"/>
      <c r="CU954" s="7"/>
      <c r="CV954" s="7"/>
      <c r="CW954" s="7"/>
      <c r="CX954" s="8">
        <f t="shared" ref="CX954:CX956" si="4398">SUM(CS954:CW954)</f>
        <v>0</v>
      </c>
      <c r="CZ954" s="6"/>
      <c r="DA954" s="7"/>
      <c r="DB954" s="7"/>
      <c r="DC954" s="7"/>
      <c r="DD954" s="7"/>
      <c r="DE954" s="8">
        <f t="shared" ref="DE954:DE956" si="4399">SUM(CZ954:DD954)</f>
        <v>0</v>
      </c>
    </row>
    <row r="955" spans="3:109">
      <c r="C955" s="567"/>
      <c r="E955" s="14" t="s">
        <v>61</v>
      </c>
      <c r="F955" s="23">
        <f t="shared" si="4394"/>
        <v>0</v>
      </c>
      <c r="G955" s="24">
        <f t="shared" si="4385"/>
        <v>0</v>
      </c>
      <c r="H955" s="24">
        <f t="shared" si="4386"/>
        <v>0</v>
      </c>
      <c r="I955" s="24">
        <f t="shared" si="4387"/>
        <v>0</v>
      </c>
      <c r="J955" s="24">
        <f t="shared" si="4388"/>
        <v>0</v>
      </c>
      <c r="K955" s="8">
        <f t="shared" si="4395"/>
        <v>0</v>
      </c>
      <c r="M955" s="6"/>
      <c r="N955" s="7"/>
      <c r="O955" s="7"/>
      <c r="P955" s="7"/>
      <c r="Q955" s="7"/>
      <c r="R955" s="8">
        <f t="shared" si="4396"/>
        <v>0</v>
      </c>
      <c r="T955" s="6"/>
      <c r="U955" s="7"/>
      <c r="V955" s="7"/>
      <c r="W955" s="7"/>
      <c r="X955" s="7"/>
      <c r="Y955" s="8">
        <f t="shared" si="4397"/>
        <v>0</v>
      </c>
      <c r="AA955" s="6"/>
      <c r="AB955" s="7"/>
      <c r="AC955" s="7"/>
      <c r="AD955" s="7"/>
      <c r="AE955" s="7"/>
      <c r="AF955" s="8">
        <f>SUM(AA955:AE955)</f>
        <v>0</v>
      </c>
      <c r="AH955" s="6"/>
      <c r="AI955" s="7"/>
      <c r="AJ955" s="7"/>
      <c r="AK955" s="7"/>
      <c r="AL955" s="7"/>
      <c r="AM955" s="8">
        <f>SUM(AH955:AL955)</f>
        <v>0</v>
      </c>
      <c r="AO955" s="6"/>
      <c r="AP955" s="7"/>
      <c r="AQ955" s="7"/>
      <c r="AR955" s="7"/>
      <c r="AS955" s="7"/>
      <c r="AT955" s="8">
        <f>SUM(AO955:AS955)</f>
        <v>0</v>
      </c>
      <c r="AV955" s="6"/>
      <c r="AW955" s="7"/>
      <c r="AX955" s="7"/>
      <c r="AY955" s="7"/>
      <c r="AZ955" s="7"/>
      <c r="BA955" s="8">
        <f>SUM(AV955:AZ955)</f>
        <v>0</v>
      </c>
      <c r="BC955" s="6"/>
      <c r="BD955" s="7"/>
      <c r="BE955" s="7"/>
      <c r="BF955" s="7"/>
      <c r="BG955" s="7"/>
      <c r="BH955" s="8">
        <f>SUM(BC955:BG955)</f>
        <v>0</v>
      </c>
      <c r="BJ955" s="6"/>
      <c r="BK955" s="7"/>
      <c r="BL955" s="7"/>
      <c r="BM955" s="7"/>
      <c r="BN955" s="7"/>
      <c r="BO955" s="8">
        <f>SUM(BJ955:BN955)</f>
        <v>0</v>
      </c>
      <c r="BQ955" s="6"/>
      <c r="BR955" s="7"/>
      <c r="BS955" s="7"/>
      <c r="BT955" s="7"/>
      <c r="BU955" s="7"/>
      <c r="BV955" s="8">
        <f>SUM(BQ955:BU955)</f>
        <v>0</v>
      </c>
      <c r="BX955" s="6"/>
      <c r="BY955" s="7"/>
      <c r="BZ955" s="7"/>
      <c r="CA955" s="7"/>
      <c r="CB955" s="7"/>
      <c r="CC955" s="8">
        <f>SUM(BX955:CB955)</f>
        <v>0</v>
      </c>
      <c r="CE955" s="28">
        <f t="shared" si="4389"/>
        <v>0</v>
      </c>
      <c r="CF955" s="29">
        <f t="shared" si="4390"/>
        <v>0</v>
      </c>
      <c r="CG955" s="29">
        <f t="shared" si="4391"/>
        <v>0</v>
      </c>
      <c r="CH955" s="29">
        <f t="shared" si="4392"/>
        <v>0</v>
      </c>
      <c r="CI955" s="29">
        <f t="shared" si="4393"/>
        <v>0</v>
      </c>
      <c r="CJ955" s="8">
        <f>SUM(CE955:CI955)</f>
        <v>0</v>
      </c>
      <c r="CL955" s="6"/>
      <c r="CM955" s="7"/>
      <c r="CN955" s="7"/>
      <c r="CO955" s="7"/>
      <c r="CP955" s="7"/>
      <c r="CQ955" s="8">
        <f>SUM(CL955:CP955)</f>
        <v>0</v>
      </c>
      <c r="CS955" s="6"/>
      <c r="CT955" s="7"/>
      <c r="CU955" s="7"/>
      <c r="CV955" s="7"/>
      <c r="CW955" s="7"/>
      <c r="CX955" s="8">
        <f t="shared" si="4398"/>
        <v>0</v>
      </c>
      <c r="CZ955" s="6"/>
      <c r="DA955" s="7"/>
      <c r="DB955" s="7"/>
      <c r="DC955" s="7"/>
      <c r="DD955" s="7"/>
      <c r="DE955" s="8">
        <f t="shared" si="4399"/>
        <v>0</v>
      </c>
    </row>
    <row r="956" spans="3:109" ht="14" thickBot="1">
      <c r="C956" s="567"/>
      <c r="E956" s="14" t="s">
        <v>62</v>
      </c>
      <c r="F956" s="23">
        <f t="shared" si="4394"/>
        <v>0</v>
      </c>
      <c r="G956" s="24">
        <f t="shared" si="4385"/>
        <v>0</v>
      </c>
      <c r="H956" s="24">
        <f t="shared" si="4386"/>
        <v>0</v>
      </c>
      <c r="I956" s="24">
        <f t="shared" si="4387"/>
        <v>0</v>
      </c>
      <c r="J956" s="24">
        <f t="shared" si="4388"/>
        <v>0</v>
      </c>
      <c r="K956" s="8">
        <f t="shared" si="4395"/>
        <v>0</v>
      </c>
      <c r="M956" s="6"/>
      <c r="N956" s="7"/>
      <c r="O956" s="7"/>
      <c r="P956" s="7"/>
      <c r="Q956" s="7"/>
      <c r="R956" s="8">
        <f t="shared" si="4396"/>
        <v>0</v>
      </c>
      <c r="T956" s="6"/>
      <c r="U956" s="7"/>
      <c r="V956" s="7"/>
      <c r="W956" s="7"/>
      <c r="X956" s="7"/>
      <c r="Y956" s="8">
        <f t="shared" si="4397"/>
        <v>0</v>
      </c>
      <c r="AA956" s="6"/>
      <c r="AB956" s="7"/>
      <c r="AC956" s="7"/>
      <c r="AD956" s="7"/>
      <c r="AE956" s="7"/>
      <c r="AF956" s="8">
        <f>SUM(AA956:AE956)</f>
        <v>0</v>
      </c>
      <c r="AH956" s="6"/>
      <c r="AI956" s="7"/>
      <c r="AJ956" s="7"/>
      <c r="AK956" s="7"/>
      <c r="AL956" s="7"/>
      <c r="AM956" s="8">
        <f>SUM(AH956:AL956)</f>
        <v>0</v>
      </c>
      <c r="AO956" s="6"/>
      <c r="AP956" s="7"/>
      <c r="AQ956" s="7"/>
      <c r="AR956" s="7"/>
      <c r="AS956" s="7"/>
      <c r="AT956" s="8">
        <f>SUM(AO956:AS956)</f>
        <v>0</v>
      </c>
      <c r="AV956" s="6"/>
      <c r="AW956" s="7"/>
      <c r="AX956" s="7"/>
      <c r="AY956" s="7"/>
      <c r="AZ956" s="7"/>
      <c r="BA956" s="8">
        <f>SUM(AV956:AZ956)</f>
        <v>0</v>
      </c>
      <c r="BC956" s="6"/>
      <c r="BD956" s="7"/>
      <c r="BE956" s="7"/>
      <c r="BF956" s="7"/>
      <c r="BG956" s="7"/>
      <c r="BH956" s="8">
        <f>SUM(BC956:BG956)</f>
        <v>0</v>
      </c>
      <c r="BJ956" s="6"/>
      <c r="BK956" s="7"/>
      <c r="BL956" s="7"/>
      <c r="BM956" s="7"/>
      <c r="BN956" s="7"/>
      <c r="BO956" s="8">
        <f>SUM(BJ956:BN956)</f>
        <v>0</v>
      </c>
      <c r="BQ956" s="6"/>
      <c r="BR956" s="7"/>
      <c r="BS956" s="7"/>
      <c r="BT956" s="7"/>
      <c r="BU956" s="7"/>
      <c r="BV956" s="8">
        <f>SUM(BQ956:BU956)</f>
        <v>0</v>
      </c>
      <c r="BX956" s="6"/>
      <c r="BY956" s="7"/>
      <c r="BZ956" s="7"/>
      <c r="CA956" s="7"/>
      <c r="CB956" s="7"/>
      <c r="CC956" s="8">
        <f>SUM(BX956:CB956)</f>
        <v>0</v>
      </c>
      <c r="CE956" s="493">
        <f t="shared" si="4389"/>
        <v>0</v>
      </c>
      <c r="CF956" s="494">
        <f t="shared" si="4390"/>
        <v>0</v>
      </c>
      <c r="CG956" s="494">
        <f t="shared" si="4391"/>
        <v>0</v>
      </c>
      <c r="CH956" s="494">
        <f t="shared" si="4392"/>
        <v>0</v>
      </c>
      <c r="CI956" s="494">
        <f t="shared" si="4393"/>
        <v>0</v>
      </c>
      <c r="CJ956" s="495">
        <f>SUM(CE956:CI956)</f>
        <v>0</v>
      </c>
      <c r="CL956" s="6"/>
      <c r="CM956" s="7"/>
      <c r="CN956" s="7"/>
      <c r="CO956" s="7"/>
      <c r="CP956" s="7"/>
      <c r="CQ956" s="8">
        <f>SUM(CL956:CP956)</f>
        <v>0</v>
      </c>
      <c r="CS956" s="6"/>
      <c r="CT956" s="7"/>
      <c r="CU956" s="7"/>
      <c r="CV956" s="7"/>
      <c r="CW956" s="7"/>
      <c r="CX956" s="8">
        <f t="shared" si="4398"/>
        <v>0</v>
      </c>
      <c r="CZ956" s="6"/>
      <c r="DA956" s="7"/>
      <c r="DB956" s="7"/>
      <c r="DC956" s="7"/>
      <c r="DD956" s="7"/>
      <c r="DE956" s="8">
        <f t="shared" si="4399"/>
        <v>0</v>
      </c>
    </row>
    <row r="957" spans="3:109" ht="14" thickBot="1">
      <c r="C957" s="554"/>
      <c r="E957" s="17"/>
      <c r="F957" s="10">
        <f>SUM(F953:F956)</f>
        <v>0</v>
      </c>
      <c r="G957" s="11">
        <f t="shared" ref="G957:J957" si="4400">SUM(G953:G956)</f>
        <v>0</v>
      </c>
      <c r="H957" s="11">
        <f t="shared" si="4400"/>
        <v>0</v>
      </c>
      <c r="I957" s="11">
        <f t="shared" si="4400"/>
        <v>0</v>
      </c>
      <c r="J957" s="11">
        <f t="shared" si="4400"/>
        <v>0</v>
      </c>
      <c r="K957" s="25">
        <f>SUM(K953:K956)</f>
        <v>0</v>
      </c>
      <c r="M957" s="10">
        <f>SUM(M953:M956)</f>
        <v>0</v>
      </c>
      <c r="N957" s="11">
        <f t="shared" ref="N957:Q957" si="4401">SUM(N953:N956)</f>
        <v>0</v>
      </c>
      <c r="O957" s="11">
        <f t="shared" si="4401"/>
        <v>0</v>
      </c>
      <c r="P957" s="11">
        <f t="shared" si="4401"/>
        <v>0</v>
      </c>
      <c r="Q957" s="11">
        <f t="shared" si="4401"/>
        <v>0</v>
      </c>
      <c r="R957" s="25">
        <f>SUM(R953:R956)</f>
        <v>0</v>
      </c>
      <c r="T957" s="10">
        <f>SUM(T953:T956)</f>
        <v>0</v>
      </c>
      <c r="U957" s="11">
        <f t="shared" ref="U957:X957" si="4402">SUM(U953:U956)</f>
        <v>0</v>
      </c>
      <c r="V957" s="11">
        <f t="shared" si="4402"/>
        <v>0</v>
      </c>
      <c r="W957" s="11">
        <f t="shared" si="4402"/>
        <v>0</v>
      </c>
      <c r="X957" s="11">
        <f t="shared" si="4402"/>
        <v>0</v>
      </c>
      <c r="Y957" s="25">
        <f>SUM(Y953:Y956)</f>
        <v>0</v>
      </c>
      <c r="AA957" s="10">
        <f>SUM(AA953:AA956)</f>
        <v>0</v>
      </c>
      <c r="AB957" s="11">
        <f t="shared" ref="AB957:AE957" si="4403">SUM(AB953:AB956)</f>
        <v>0</v>
      </c>
      <c r="AC957" s="11">
        <f t="shared" si="4403"/>
        <v>0</v>
      </c>
      <c r="AD957" s="11">
        <f t="shared" si="4403"/>
        <v>0</v>
      </c>
      <c r="AE957" s="11">
        <f t="shared" si="4403"/>
        <v>0</v>
      </c>
      <c r="AF957" s="25">
        <f>SUM(AF953:AF956)</f>
        <v>0</v>
      </c>
      <c r="AH957" s="10">
        <f>SUM(AH953:AH956)</f>
        <v>0</v>
      </c>
      <c r="AI957" s="11">
        <f t="shared" ref="AI957:AL957" si="4404">SUM(AI953:AI956)</f>
        <v>0</v>
      </c>
      <c r="AJ957" s="11">
        <f t="shared" si="4404"/>
        <v>0</v>
      </c>
      <c r="AK957" s="11">
        <f t="shared" si="4404"/>
        <v>0</v>
      </c>
      <c r="AL957" s="11">
        <f t="shared" si="4404"/>
        <v>0</v>
      </c>
      <c r="AM957" s="25">
        <f>SUM(AM953:AM956)</f>
        <v>0</v>
      </c>
      <c r="AO957" s="10">
        <f>SUM(AO953:AO956)</f>
        <v>0</v>
      </c>
      <c r="AP957" s="11">
        <f t="shared" ref="AP957:AS957" si="4405">SUM(AP953:AP956)</f>
        <v>0</v>
      </c>
      <c r="AQ957" s="11">
        <f t="shared" si="4405"/>
        <v>0</v>
      </c>
      <c r="AR957" s="11">
        <f t="shared" si="4405"/>
        <v>0</v>
      </c>
      <c r="AS957" s="11">
        <f t="shared" si="4405"/>
        <v>0</v>
      </c>
      <c r="AT957" s="25">
        <f>SUM(AT953:AT956)</f>
        <v>0</v>
      </c>
      <c r="AV957" s="10">
        <f>SUM(AV953:AV956)</f>
        <v>0</v>
      </c>
      <c r="AW957" s="11">
        <f t="shared" ref="AW957:AZ957" si="4406">SUM(AW953:AW956)</f>
        <v>0</v>
      </c>
      <c r="AX957" s="11">
        <f t="shared" si="4406"/>
        <v>0</v>
      </c>
      <c r="AY957" s="11">
        <f t="shared" si="4406"/>
        <v>0</v>
      </c>
      <c r="AZ957" s="11">
        <f t="shared" si="4406"/>
        <v>0</v>
      </c>
      <c r="BA957" s="25">
        <f>SUM(BA953:BA956)</f>
        <v>0</v>
      </c>
      <c r="BC957" s="10">
        <f>SUM(BC953:BC956)</f>
        <v>0</v>
      </c>
      <c r="BD957" s="11">
        <f t="shared" ref="BD957:BG957" si="4407">SUM(BD953:BD956)</f>
        <v>0</v>
      </c>
      <c r="BE957" s="11">
        <f t="shared" si="4407"/>
        <v>0</v>
      </c>
      <c r="BF957" s="11">
        <f t="shared" si="4407"/>
        <v>0</v>
      </c>
      <c r="BG957" s="11">
        <f t="shared" si="4407"/>
        <v>0</v>
      </c>
      <c r="BH957" s="25">
        <f>SUM(BH953:BH956)</f>
        <v>0</v>
      </c>
      <c r="BJ957" s="10">
        <f>SUM(BJ953:BJ956)</f>
        <v>0</v>
      </c>
      <c r="BK957" s="11">
        <f t="shared" ref="BK957:BN957" si="4408">SUM(BK953:BK956)</f>
        <v>0</v>
      </c>
      <c r="BL957" s="11">
        <f t="shared" si="4408"/>
        <v>0</v>
      </c>
      <c r="BM957" s="11">
        <f t="shared" si="4408"/>
        <v>0</v>
      </c>
      <c r="BN957" s="11">
        <f t="shared" si="4408"/>
        <v>0</v>
      </c>
      <c r="BO957" s="25">
        <f>SUM(BO953:BO956)</f>
        <v>0</v>
      </c>
      <c r="BQ957" s="10">
        <f>SUM(BQ953:BQ956)</f>
        <v>0</v>
      </c>
      <c r="BR957" s="11">
        <f t="shared" ref="BR957:BU957" si="4409">SUM(BR953:BR956)</f>
        <v>0</v>
      </c>
      <c r="BS957" s="11">
        <f t="shared" si="4409"/>
        <v>0</v>
      </c>
      <c r="BT957" s="11">
        <f t="shared" si="4409"/>
        <v>0</v>
      </c>
      <c r="BU957" s="11">
        <f t="shared" si="4409"/>
        <v>0</v>
      </c>
      <c r="BV957" s="25">
        <f>SUM(BV953:BV956)</f>
        <v>0</v>
      </c>
      <c r="BX957" s="10">
        <f>SUM(BX953:BX956)</f>
        <v>0</v>
      </c>
      <c r="BY957" s="11">
        <f t="shared" ref="BY957:CB957" si="4410">SUM(BY953:BY956)</f>
        <v>0</v>
      </c>
      <c r="BZ957" s="11">
        <f t="shared" si="4410"/>
        <v>0</v>
      </c>
      <c r="CA957" s="11">
        <f t="shared" si="4410"/>
        <v>0</v>
      </c>
      <c r="CB957" s="11">
        <f t="shared" si="4410"/>
        <v>0</v>
      </c>
      <c r="CC957" s="25">
        <f>SUM(CC953:CC956)</f>
        <v>0</v>
      </c>
      <c r="CE957" s="62">
        <f t="shared" ref="CE957:CJ957" si="4411">SUM(CE953:CE956)</f>
        <v>0</v>
      </c>
      <c r="CF957" s="63">
        <f t="shared" si="4411"/>
        <v>0</v>
      </c>
      <c r="CG957" s="63">
        <f t="shared" si="4411"/>
        <v>0</v>
      </c>
      <c r="CH957" s="63">
        <f t="shared" si="4411"/>
        <v>0</v>
      </c>
      <c r="CI957" s="63">
        <f t="shared" si="4411"/>
        <v>0</v>
      </c>
      <c r="CJ957" s="25">
        <f t="shared" si="4411"/>
        <v>0</v>
      </c>
      <c r="CL957" s="10">
        <f>SUM(CL953:CL956)</f>
        <v>0</v>
      </c>
      <c r="CM957" s="11">
        <f t="shared" ref="CM957:CP957" si="4412">SUM(CM953:CM956)</f>
        <v>0</v>
      </c>
      <c r="CN957" s="11">
        <f t="shared" si="4412"/>
        <v>0</v>
      </c>
      <c r="CO957" s="11">
        <f t="shared" si="4412"/>
        <v>0</v>
      </c>
      <c r="CP957" s="11">
        <f t="shared" si="4412"/>
        <v>0</v>
      </c>
      <c r="CQ957" s="25">
        <f>SUM(CQ953:CQ956)</f>
        <v>0</v>
      </c>
      <c r="CS957" s="10">
        <f>SUM(CS953:CS956)</f>
        <v>0</v>
      </c>
      <c r="CT957" s="11">
        <f t="shared" ref="CT957:CW957" si="4413">SUM(CT953:CT956)</f>
        <v>0</v>
      </c>
      <c r="CU957" s="11">
        <f t="shared" si="4413"/>
        <v>0</v>
      </c>
      <c r="CV957" s="11">
        <f t="shared" si="4413"/>
        <v>0</v>
      </c>
      <c r="CW957" s="11">
        <f t="shared" si="4413"/>
        <v>0</v>
      </c>
      <c r="CX957" s="25">
        <f>SUM(CX953:CX956)</f>
        <v>0</v>
      </c>
      <c r="CZ957" s="10">
        <f>SUM(CZ953:CZ956)</f>
        <v>0</v>
      </c>
      <c r="DA957" s="11">
        <f t="shared" ref="DA957:DD957" si="4414">SUM(DA953:DA956)</f>
        <v>0</v>
      </c>
      <c r="DB957" s="11">
        <f t="shared" si="4414"/>
        <v>0</v>
      </c>
      <c r="DC957" s="11">
        <f t="shared" si="4414"/>
        <v>0</v>
      </c>
      <c r="DD957" s="11">
        <f t="shared" si="4414"/>
        <v>0</v>
      </c>
      <c r="DE957" s="25">
        <f>SUM(DE953:DE956)</f>
        <v>0</v>
      </c>
    </row>
    <row r="958" spans="3:109" ht="10.4" customHeight="1" thickBot="1"/>
    <row r="959" spans="3:109">
      <c r="C959" s="553">
        <v>2028</v>
      </c>
      <c r="E959" s="13" t="s">
        <v>59</v>
      </c>
      <c r="F959" s="21">
        <f>CE953</f>
        <v>0</v>
      </c>
      <c r="G959" s="22">
        <f t="shared" ref="G959:G962" si="4415">CF953</f>
        <v>0</v>
      </c>
      <c r="H959" s="22">
        <f t="shared" ref="H959:H962" si="4416">CG953</f>
        <v>0</v>
      </c>
      <c r="I959" s="22">
        <f t="shared" ref="I959:I962" si="4417">CH953</f>
        <v>0</v>
      </c>
      <c r="J959" s="22">
        <f t="shared" ref="J959:J962" si="4418">CI953</f>
        <v>0</v>
      </c>
      <c r="K959" s="4">
        <f>SUM(F959:J959)</f>
        <v>0</v>
      </c>
      <c r="M959" s="2"/>
      <c r="N959" s="3"/>
      <c r="O959" s="3"/>
      <c r="P959" s="3"/>
      <c r="Q959" s="3"/>
      <c r="R959" s="4">
        <f>SUM(M959:Q959)</f>
        <v>0</v>
      </c>
      <c r="T959" s="2"/>
      <c r="U959" s="3"/>
      <c r="V959" s="3"/>
      <c r="W959" s="3"/>
      <c r="X959" s="3"/>
      <c r="Y959" s="4">
        <f>SUM(T959:X959)</f>
        <v>0</v>
      </c>
      <c r="AA959" s="2"/>
      <c r="AB959" s="3"/>
      <c r="AC959" s="3"/>
      <c r="AD959" s="3"/>
      <c r="AE959" s="3"/>
      <c r="AF959" s="4">
        <f>SUM(AA959:AE959)</f>
        <v>0</v>
      </c>
      <c r="AH959" s="2"/>
      <c r="AI959" s="3"/>
      <c r="AJ959" s="3"/>
      <c r="AK959" s="3"/>
      <c r="AL959" s="3"/>
      <c r="AM959" s="4">
        <f>SUM(AH959:AL959)</f>
        <v>0</v>
      </c>
      <c r="AO959" s="2"/>
      <c r="AP959" s="3"/>
      <c r="AQ959" s="3"/>
      <c r="AR959" s="3"/>
      <c r="AS959" s="3"/>
      <c r="AT959" s="4">
        <f>SUM(AO959:AS959)</f>
        <v>0</v>
      </c>
      <c r="AV959" s="2"/>
      <c r="AW959" s="3"/>
      <c r="AX959" s="3"/>
      <c r="AY959" s="3"/>
      <c r="AZ959" s="3"/>
      <c r="BA959" s="4">
        <f>SUM(AV959:AZ959)</f>
        <v>0</v>
      </c>
      <c r="BC959" s="2"/>
      <c r="BD959" s="3"/>
      <c r="BE959" s="3"/>
      <c r="BF959" s="3"/>
      <c r="BG959" s="3"/>
      <c r="BH959" s="4">
        <f>SUM(BC959:BG959)</f>
        <v>0</v>
      </c>
      <c r="BJ959" s="2"/>
      <c r="BK959" s="3"/>
      <c r="BL959" s="3"/>
      <c r="BM959" s="3"/>
      <c r="BN959" s="3"/>
      <c r="BO959" s="4">
        <f>SUM(BJ959:BN959)</f>
        <v>0</v>
      </c>
      <c r="BQ959" s="2"/>
      <c r="BR959" s="3"/>
      <c r="BS959" s="3"/>
      <c r="BT959" s="3"/>
      <c r="BU959" s="3"/>
      <c r="BV959" s="4">
        <f>SUM(BQ959:BU959)</f>
        <v>0</v>
      </c>
      <c r="BX959" s="2"/>
      <c r="BY959" s="3"/>
      <c r="BZ959" s="3"/>
      <c r="CA959" s="3"/>
      <c r="CB959" s="3"/>
      <c r="CC959" s="4">
        <f>SUM(BX959:CB959)</f>
        <v>0</v>
      </c>
      <c r="CE959" s="26">
        <f t="shared" ref="CE959:CE962" si="4419">F959+M959+T959+AA959+AH959+AO959+AV959+BC959+BJ959+BQ959+BX959</f>
        <v>0</v>
      </c>
      <c r="CF959" s="27">
        <f t="shared" ref="CF959:CF962" si="4420">G959+N959+U959+AB959+AI959+AP959+AW959+BD959+BK959+BR959+BY959</f>
        <v>0</v>
      </c>
      <c r="CG959" s="27">
        <f t="shared" ref="CG959:CG962" si="4421">H959+O959+V959+AC959+AJ959+AQ959+AX959+BE959+BL959+BS959+BZ959</f>
        <v>0</v>
      </c>
      <c r="CH959" s="27">
        <f t="shared" ref="CH959:CH962" si="4422">I959+P959+W959+AD959+AK959+AR959+AY959+BF959+BM959+BT959+CA959</f>
        <v>0</v>
      </c>
      <c r="CI959" s="27">
        <f t="shared" ref="CI959:CI962" si="4423">J959+Q959+X959+AE959+AL959+AS959+AZ959+BG959+BN959+BU959+CB959</f>
        <v>0</v>
      </c>
      <c r="CJ959" s="4">
        <f>SUM(CE959:CI959)</f>
        <v>0</v>
      </c>
      <c r="CL959" s="2"/>
      <c r="CM959" s="3"/>
      <c r="CN959" s="3"/>
      <c r="CO959" s="3"/>
      <c r="CP959" s="3"/>
      <c r="CQ959" s="4">
        <f>SUM(CL959:CP959)</f>
        <v>0</v>
      </c>
      <c r="CS959" s="2"/>
      <c r="CT959" s="3"/>
      <c r="CU959" s="3"/>
      <c r="CV959" s="3"/>
      <c r="CW959" s="3"/>
      <c r="CX959" s="4">
        <f>SUM(CS959:CW959)</f>
        <v>0</v>
      </c>
      <c r="CZ959" s="2"/>
      <c r="DA959" s="3"/>
      <c r="DB959" s="3"/>
      <c r="DC959" s="3"/>
      <c r="DD959" s="3"/>
      <c r="DE959" s="4">
        <f>SUM(CZ959:DD959)</f>
        <v>0</v>
      </c>
    </row>
    <row r="960" spans="3:109">
      <c r="C960" s="567"/>
      <c r="E960" s="14" t="s">
        <v>60</v>
      </c>
      <c r="F960" s="23">
        <f t="shared" ref="F960:F962" si="4424">CE954</f>
        <v>0</v>
      </c>
      <c r="G960" s="24">
        <f t="shared" si="4415"/>
        <v>0</v>
      </c>
      <c r="H960" s="24">
        <f t="shared" si="4416"/>
        <v>0</v>
      </c>
      <c r="I960" s="24">
        <f t="shared" si="4417"/>
        <v>0</v>
      </c>
      <c r="J960" s="24">
        <f t="shared" si="4418"/>
        <v>0</v>
      </c>
      <c r="K960" s="8">
        <f t="shared" ref="K960:K962" si="4425">SUM(F960:J960)</f>
        <v>0</v>
      </c>
      <c r="M960" s="6"/>
      <c r="N960" s="7"/>
      <c r="O960" s="7"/>
      <c r="P960" s="7"/>
      <c r="Q960" s="7"/>
      <c r="R960" s="8">
        <f t="shared" ref="R960:R962" si="4426">SUM(M960:Q960)</f>
        <v>0</v>
      </c>
      <c r="T960" s="6"/>
      <c r="U960" s="7"/>
      <c r="V960" s="7"/>
      <c r="W960" s="7"/>
      <c r="X960" s="7"/>
      <c r="Y960" s="8">
        <f t="shared" ref="Y960:Y962" si="4427">SUM(T960:X960)</f>
        <v>0</v>
      </c>
      <c r="AA960" s="6"/>
      <c r="AB960" s="7"/>
      <c r="AC960" s="7"/>
      <c r="AD960" s="7"/>
      <c r="AE960" s="7"/>
      <c r="AF960" s="8">
        <f>SUM(AA960:AE960)</f>
        <v>0</v>
      </c>
      <c r="AH960" s="6"/>
      <c r="AI960" s="7"/>
      <c r="AJ960" s="7"/>
      <c r="AK960" s="7"/>
      <c r="AL960" s="7"/>
      <c r="AM960" s="8">
        <f>SUM(AH960:AL960)</f>
        <v>0</v>
      </c>
      <c r="AO960" s="6"/>
      <c r="AP960" s="7"/>
      <c r="AQ960" s="7"/>
      <c r="AR960" s="7"/>
      <c r="AS960" s="7"/>
      <c r="AT960" s="8">
        <f>SUM(AO960:AS960)</f>
        <v>0</v>
      </c>
      <c r="AV960" s="6"/>
      <c r="AW960" s="7"/>
      <c r="AX960" s="7"/>
      <c r="AY960" s="7"/>
      <c r="AZ960" s="7"/>
      <c r="BA960" s="8">
        <f>SUM(AV960:AZ960)</f>
        <v>0</v>
      </c>
      <c r="BC960" s="6"/>
      <c r="BD960" s="7"/>
      <c r="BE960" s="7"/>
      <c r="BF960" s="7"/>
      <c r="BG960" s="7"/>
      <c r="BH960" s="8">
        <f>SUM(BC960:BG960)</f>
        <v>0</v>
      </c>
      <c r="BJ960" s="6"/>
      <c r="BK960" s="7"/>
      <c r="BL960" s="7"/>
      <c r="BM960" s="7"/>
      <c r="BN960" s="7"/>
      <c r="BO960" s="8">
        <f>SUM(BJ960:BN960)</f>
        <v>0</v>
      </c>
      <c r="BQ960" s="6"/>
      <c r="BR960" s="7"/>
      <c r="BS960" s="7"/>
      <c r="BT960" s="7"/>
      <c r="BU960" s="7"/>
      <c r="BV960" s="8">
        <f>SUM(BQ960:BU960)</f>
        <v>0</v>
      </c>
      <c r="BX960" s="6"/>
      <c r="BY960" s="7"/>
      <c r="BZ960" s="7"/>
      <c r="CA960" s="7"/>
      <c r="CB960" s="7"/>
      <c r="CC960" s="8">
        <f>SUM(BX960:CB960)</f>
        <v>0</v>
      </c>
      <c r="CE960" s="28">
        <f t="shared" si="4419"/>
        <v>0</v>
      </c>
      <c r="CF960" s="29">
        <f t="shared" si="4420"/>
        <v>0</v>
      </c>
      <c r="CG960" s="29">
        <f t="shared" si="4421"/>
        <v>0</v>
      </c>
      <c r="CH960" s="29">
        <f t="shared" si="4422"/>
        <v>0</v>
      </c>
      <c r="CI960" s="29">
        <f t="shared" si="4423"/>
        <v>0</v>
      </c>
      <c r="CJ960" s="8">
        <f>SUM(CE960:CI960)</f>
        <v>0</v>
      </c>
      <c r="CL960" s="6"/>
      <c r="CM960" s="7"/>
      <c r="CN960" s="7"/>
      <c r="CO960" s="7"/>
      <c r="CP960" s="7"/>
      <c r="CQ960" s="8">
        <f>SUM(CL960:CP960)</f>
        <v>0</v>
      </c>
      <c r="CS960" s="6"/>
      <c r="CT960" s="7"/>
      <c r="CU960" s="7"/>
      <c r="CV960" s="7"/>
      <c r="CW960" s="7"/>
      <c r="CX960" s="8">
        <f t="shared" ref="CX960:CX962" si="4428">SUM(CS960:CW960)</f>
        <v>0</v>
      </c>
      <c r="CZ960" s="6"/>
      <c r="DA960" s="7"/>
      <c r="DB960" s="7"/>
      <c r="DC960" s="7"/>
      <c r="DD960" s="7"/>
      <c r="DE960" s="8">
        <f t="shared" ref="DE960:DE962" si="4429">SUM(CZ960:DD960)</f>
        <v>0</v>
      </c>
    </row>
    <row r="961" spans="2:109">
      <c r="C961" s="567"/>
      <c r="E961" s="14" t="s">
        <v>61</v>
      </c>
      <c r="F961" s="23">
        <f t="shared" si="4424"/>
        <v>0</v>
      </c>
      <c r="G961" s="24">
        <f t="shared" si="4415"/>
        <v>0</v>
      </c>
      <c r="H961" s="24">
        <f t="shared" si="4416"/>
        <v>0</v>
      </c>
      <c r="I961" s="24">
        <f t="shared" si="4417"/>
        <v>0</v>
      </c>
      <c r="J961" s="24">
        <f t="shared" si="4418"/>
        <v>0</v>
      </c>
      <c r="K961" s="8">
        <f t="shared" si="4425"/>
        <v>0</v>
      </c>
      <c r="M961" s="6"/>
      <c r="N961" s="7"/>
      <c r="O961" s="7"/>
      <c r="P961" s="7"/>
      <c r="Q961" s="7"/>
      <c r="R961" s="8">
        <f t="shared" si="4426"/>
        <v>0</v>
      </c>
      <c r="T961" s="6"/>
      <c r="U961" s="7"/>
      <c r="V961" s="7"/>
      <c r="W961" s="7"/>
      <c r="X961" s="7"/>
      <c r="Y961" s="8">
        <f t="shared" si="4427"/>
        <v>0</v>
      </c>
      <c r="AA961" s="6"/>
      <c r="AB961" s="7"/>
      <c r="AC961" s="7"/>
      <c r="AD961" s="7"/>
      <c r="AE961" s="7"/>
      <c r="AF961" s="8">
        <f>SUM(AA961:AE961)</f>
        <v>0</v>
      </c>
      <c r="AH961" s="6"/>
      <c r="AI961" s="7"/>
      <c r="AJ961" s="7"/>
      <c r="AK961" s="7"/>
      <c r="AL961" s="7"/>
      <c r="AM961" s="8">
        <f>SUM(AH961:AL961)</f>
        <v>0</v>
      </c>
      <c r="AO961" s="6"/>
      <c r="AP961" s="7"/>
      <c r="AQ961" s="7"/>
      <c r="AR961" s="7"/>
      <c r="AS961" s="7"/>
      <c r="AT961" s="8">
        <f>SUM(AO961:AS961)</f>
        <v>0</v>
      </c>
      <c r="AV961" s="6"/>
      <c r="AW961" s="7"/>
      <c r="AX961" s="7"/>
      <c r="AY961" s="7"/>
      <c r="AZ961" s="7"/>
      <c r="BA961" s="8">
        <f>SUM(AV961:AZ961)</f>
        <v>0</v>
      </c>
      <c r="BC961" s="6"/>
      <c r="BD961" s="7"/>
      <c r="BE961" s="7"/>
      <c r="BF961" s="7"/>
      <c r="BG961" s="7"/>
      <c r="BH961" s="8">
        <f>SUM(BC961:BG961)</f>
        <v>0</v>
      </c>
      <c r="BJ961" s="6"/>
      <c r="BK961" s="7"/>
      <c r="BL961" s="7"/>
      <c r="BM961" s="7"/>
      <c r="BN961" s="7"/>
      <c r="BO961" s="8">
        <f>SUM(BJ961:BN961)</f>
        <v>0</v>
      </c>
      <c r="BQ961" s="6"/>
      <c r="BR961" s="7"/>
      <c r="BS961" s="7"/>
      <c r="BT961" s="7"/>
      <c r="BU961" s="7"/>
      <c r="BV961" s="8">
        <f>SUM(BQ961:BU961)</f>
        <v>0</v>
      </c>
      <c r="BX961" s="6"/>
      <c r="BY961" s="7"/>
      <c r="BZ961" s="7"/>
      <c r="CA961" s="7"/>
      <c r="CB961" s="7"/>
      <c r="CC961" s="8">
        <f>SUM(BX961:CB961)</f>
        <v>0</v>
      </c>
      <c r="CE961" s="28">
        <f t="shared" si="4419"/>
        <v>0</v>
      </c>
      <c r="CF961" s="29">
        <f t="shared" si="4420"/>
        <v>0</v>
      </c>
      <c r="CG961" s="29">
        <f t="shared" si="4421"/>
        <v>0</v>
      </c>
      <c r="CH961" s="29">
        <f t="shared" si="4422"/>
        <v>0</v>
      </c>
      <c r="CI961" s="29">
        <f t="shared" si="4423"/>
        <v>0</v>
      </c>
      <c r="CJ961" s="8">
        <f>SUM(CE961:CI961)</f>
        <v>0</v>
      </c>
      <c r="CL961" s="6"/>
      <c r="CM961" s="7"/>
      <c r="CN961" s="7"/>
      <c r="CO961" s="7"/>
      <c r="CP961" s="7"/>
      <c r="CQ961" s="8">
        <f>SUM(CL961:CP961)</f>
        <v>0</v>
      </c>
      <c r="CS961" s="6"/>
      <c r="CT961" s="7"/>
      <c r="CU961" s="7"/>
      <c r="CV961" s="7"/>
      <c r="CW961" s="7"/>
      <c r="CX961" s="8">
        <f t="shared" si="4428"/>
        <v>0</v>
      </c>
      <c r="CZ961" s="6"/>
      <c r="DA961" s="7"/>
      <c r="DB961" s="7"/>
      <c r="DC961" s="7"/>
      <c r="DD961" s="7"/>
      <c r="DE961" s="8">
        <f t="shared" si="4429"/>
        <v>0</v>
      </c>
    </row>
    <row r="962" spans="2:109" ht="14" thickBot="1">
      <c r="C962" s="567"/>
      <c r="E962" s="14" t="s">
        <v>62</v>
      </c>
      <c r="F962" s="23">
        <f t="shared" si="4424"/>
        <v>0</v>
      </c>
      <c r="G962" s="24">
        <f t="shared" si="4415"/>
        <v>0</v>
      </c>
      <c r="H962" s="24">
        <f t="shared" si="4416"/>
        <v>0</v>
      </c>
      <c r="I962" s="24">
        <f t="shared" si="4417"/>
        <v>0</v>
      </c>
      <c r="J962" s="24">
        <f t="shared" si="4418"/>
        <v>0</v>
      </c>
      <c r="K962" s="8">
        <f t="shared" si="4425"/>
        <v>0</v>
      </c>
      <c r="M962" s="6"/>
      <c r="N962" s="7"/>
      <c r="O962" s="7"/>
      <c r="P962" s="7"/>
      <c r="Q962" s="7"/>
      <c r="R962" s="8">
        <f t="shared" si="4426"/>
        <v>0</v>
      </c>
      <c r="T962" s="6"/>
      <c r="U962" s="7"/>
      <c r="V962" s="7"/>
      <c r="W962" s="7"/>
      <c r="X962" s="7"/>
      <c r="Y962" s="8">
        <f t="shared" si="4427"/>
        <v>0</v>
      </c>
      <c r="AA962" s="6"/>
      <c r="AB962" s="7"/>
      <c r="AC962" s="7"/>
      <c r="AD962" s="7"/>
      <c r="AE962" s="7"/>
      <c r="AF962" s="8">
        <f>SUM(AA962:AE962)</f>
        <v>0</v>
      </c>
      <c r="AH962" s="6"/>
      <c r="AI962" s="7"/>
      <c r="AJ962" s="7"/>
      <c r="AK962" s="7"/>
      <c r="AL962" s="7"/>
      <c r="AM962" s="8">
        <f>SUM(AH962:AL962)</f>
        <v>0</v>
      </c>
      <c r="AO962" s="6"/>
      <c r="AP962" s="7"/>
      <c r="AQ962" s="7"/>
      <c r="AR962" s="7"/>
      <c r="AS962" s="7"/>
      <c r="AT962" s="8">
        <f>SUM(AO962:AS962)</f>
        <v>0</v>
      </c>
      <c r="AV962" s="6"/>
      <c r="AW962" s="7"/>
      <c r="AX962" s="7"/>
      <c r="AY962" s="7"/>
      <c r="AZ962" s="7"/>
      <c r="BA962" s="8">
        <f>SUM(AV962:AZ962)</f>
        <v>0</v>
      </c>
      <c r="BC962" s="6"/>
      <c r="BD962" s="7"/>
      <c r="BE962" s="7"/>
      <c r="BF962" s="7"/>
      <c r="BG962" s="7"/>
      <c r="BH962" s="8">
        <f>SUM(BC962:BG962)</f>
        <v>0</v>
      </c>
      <c r="BJ962" s="6"/>
      <c r="BK962" s="7"/>
      <c r="BL962" s="7"/>
      <c r="BM962" s="7"/>
      <c r="BN962" s="7"/>
      <c r="BO962" s="8">
        <f>SUM(BJ962:BN962)</f>
        <v>0</v>
      </c>
      <c r="BQ962" s="6"/>
      <c r="BR962" s="7"/>
      <c r="BS962" s="7"/>
      <c r="BT962" s="7"/>
      <c r="BU962" s="7"/>
      <c r="BV962" s="8">
        <f>SUM(BQ962:BU962)</f>
        <v>0</v>
      </c>
      <c r="BX962" s="6"/>
      <c r="BY962" s="7"/>
      <c r="BZ962" s="7"/>
      <c r="CA962" s="7"/>
      <c r="CB962" s="7"/>
      <c r="CC962" s="8">
        <f>SUM(BX962:CB962)</f>
        <v>0</v>
      </c>
      <c r="CE962" s="493">
        <f t="shared" si="4419"/>
        <v>0</v>
      </c>
      <c r="CF962" s="494">
        <f t="shared" si="4420"/>
        <v>0</v>
      </c>
      <c r="CG962" s="494">
        <f t="shared" si="4421"/>
        <v>0</v>
      </c>
      <c r="CH962" s="494">
        <f t="shared" si="4422"/>
        <v>0</v>
      </c>
      <c r="CI962" s="494">
        <f t="shared" si="4423"/>
        <v>0</v>
      </c>
      <c r="CJ962" s="495">
        <f>SUM(CE962:CI962)</f>
        <v>0</v>
      </c>
      <c r="CL962" s="6"/>
      <c r="CM962" s="7"/>
      <c r="CN962" s="7"/>
      <c r="CO962" s="7"/>
      <c r="CP962" s="7"/>
      <c r="CQ962" s="8">
        <f>SUM(CL962:CP962)</f>
        <v>0</v>
      </c>
      <c r="CS962" s="6"/>
      <c r="CT962" s="7"/>
      <c r="CU962" s="7"/>
      <c r="CV962" s="7"/>
      <c r="CW962" s="7"/>
      <c r="CX962" s="8">
        <f t="shared" si="4428"/>
        <v>0</v>
      </c>
      <c r="CZ962" s="6"/>
      <c r="DA962" s="7"/>
      <c r="DB962" s="7"/>
      <c r="DC962" s="7"/>
      <c r="DD962" s="7"/>
      <c r="DE962" s="8">
        <f t="shared" si="4429"/>
        <v>0</v>
      </c>
    </row>
    <row r="963" spans="2:109" ht="14" thickBot="1">
      <c r="C963" s="554"/>
      <c r="E963" s="9"/>
      <c r="F963" s="10">
        <f>SUM(F959:F962)</f>
        <v>0</v>
      </c>
      <c r="G963" s="11">
        <f t="shared" ref="G963:J963" si="4430">SUM(G959:G962)</f>
        <v>0</v>
      </c>
      <c r="H963" s="11">
        <f t="shared" si="4430"/>
        <v>0</v>
      </c>
      <c r="I963" s="11">
        <f t="shared" si="4430"/>
        <v>0</v>
      </c>
      <c r="J963" s="11">
        <f t="shared" si="4430"/>
        <v>0</v>
      </c>
      <c r="K963" s="25">
        <f>SUM(K959:K962)</f>
        <v>0</v>
      </c>
      <c r="M963" s="10">
        <f>SUM(M959:M962)</f>
        <v>0</v>
      </c>
      <c r="N963" s="11">
        <f t="shared" ref="N963:Q963" si="4431">SUM(N959:N962)</f>
        <v>0</v>
      </c>
      <c r="O963" s="11">
        <f t="shared" si="4431"/>
        <v>0</v>
      </c>
      <c r="P963" s="11">
        <f t="shared" si="4431"/>
        <v>0</v>
      </c>
      <c r="Q963" s="11">
        <f t="shared" si="4431"/>
        <v>0</v>
      </c>
      <c r="R963" s="25">
        <f>SUM(R959:R962)</f>
        <v>0</v>
      </c>
      <c r="T963" s="10">
        <f>SUM(T959:T962)</f>
        <v>0</v>
      </c>
      <c r="U963" s="11">
        <f t="shared" ref="U963:X963" si="4432">SUM(U959:U962)</f>
        <v>0</v>
      </c>
      <c r="V963" s="11">
        <f t="shared" si="4432"/>
        <v>0</v>
      </c>
      <c r="W963" s="11">
        <f t="shared" si="4432"/>
        <v>0</v>
      </c>
      <c r="X963" s="11">
        <f t="shared" si="4432"/>
        <v>0</v>
      </c>
      <c r="Y963" s="25">
        <f>SUM(Y959:Y962)</f>
        <v>0</v>
      </c>
      <c r="AA963" s="10">
        <f>SUM(AA959:AA962)</f>
        <v>0</v>
      </c>
      <c r="AB963" s="11">
        <f t="shared" ref="AB963:AE963" si="4433">SUM(AB959:AB962)</f>
        <v>0</v>
      </c>
      <c r="AC963" s="11">
        <f t="shared" si="4433"/>
        <v>0</v>
      </c>
      <c r="AD963" s="11">
        <f t="shared" si="4433"/>
        <v>0</v>
      </c>
      <c r="AE963" s="11">
        <f t="shared" si="4433"/>
        <v>0</v>
      </c>
      <c r="AF963" s="25">
        <f>SUM(AF959:AF962)</f>
        <v>0</v>
      </c>
      <c r="AH963" s="10">
        <f>SUM(AH959:AH962)</f>
        <v>0</v>
      </c>
      <c r="AI963" s="11">
        <f t="shared" ref="AI963:AL963" si="4434">SUM(AI959:AI962)</f>
        <v>0</v>
      </c>
      <c r="AJ963" s="11">
        <f t="shared" si="4434"/>
        <v>0</v>
      </c>
      <c r="AK963" s="11">
        <f t="shared" si="4434"/>
        <v>0</v>
      </c>
      <c r="AL963" s="11">
        <f t="shared" si="4434"/>
        <v>0</v>
      </c>
      <c r="AM963" s="25">
        <f>SUM(AM959:AM962)</f>
        <v>0</v>
      </c>
      <c r="AO963" s="10">
        <f>SUM(AO959:AO962)</f>
        <v>0</v>
      </c>
      <c r="AP963" s="11">
        <f t="shared" ref="AP963:AS963" si="4435">SUM(AP959:AP962)</f>
        <v>0</v>
      </c>
      <c r="AQ963" s="11">
        <f t="shared" si="4435"/>
        <v>0</v>
      </c>
      <c r="AR963" s="11">
        <f t="shared" si="4435"/>
        <v>0</v>
      </c>
      <c r="AS963" s="11">
        <f t="shared" si="4435"/>
        <v>0</v>
      </c>
      <c r="AT963" s="25">
        <f>SUM(AT959:AT962)</f>
        <v>0</v>
      </c>
      <c r="AV963" s="10">
        <f>SUM(AV959:AV962)</f>
        <v>0</v>
      </c>
      <c r="AW963" s="11">
        <f t="shared" ref="AW963:AZ963" si="4436">SUM(AW959:AW962)</f>
        <v>0</v>
      </c>
      <c r="AX963" s="11">
        <f t="shared" si="4436"/>
        <v>0</v>
      </c>
      <c r="AY963" s="11">
        <f t="shared" si="4436"/>
        <v>0</v>
      </c>
      <c r="AZ963" s="11">
        <f t="shared" si="4436"/>
        <v>0</v>
      </c>
      <c r="BA963" s="25">
        <f>SUM(BA959:BA962)</f>
        <v>0</v>
      </c>
      <c r="BC963" s="10">
        <f>SUM(BC959:BC962)</f>
        <v>0</v>
      </c>
      <c r="BD963" s="11">
        <f t="shared" ref="BD963:BG963" si="4437">SUM(BD959:BD962)</f>
        <v>0</v>
      </c>
      <c r="BE963" s="11">
        <f t="shared" si="4437"/>
        <v>0</v>
      </c>
      <c r="BF963" s="11">
        <f t="shared" si="4437"/>
        <v>0</v>
      </c>
      <c r="BG963" s="11">
        <f t="shared" si="4437"/>
        <v>0</v>
      </c>
      <c r="BH963" s="25">
        <f>SUM(BH959:BH962)</f>
        <v>0</v>
      </c>
      <c r="BJ963" s="10">
        <f>SUM(BJ959:BJ962)</f>
        <v>0</v>
      </c>
      <c r="BK963" s="11">
        <f t="shared" ref="BK963:BN963" si="4438">SUM(BK959:BK962)</f>
        <v>0</v>
      </c>
      <c r="BL963" s="11">
        <f t="shared" si="4438"/>
        <v>0</v>
      </c>
      <c r="BM963" s="11">
        <f t="shared" si="4438"/>
        <v>0</v>
      </c>
      <c r="BN963" s="11">
        <f t="shared" si="4438"/>
        <v>0</v>
      </c>
      <c r="BO963" s="25">
        <f>SUM(BO959:BO962)</f>
        <v>0</v>
      </c>
      <c r="BQ963" s="10">
        <f>SUM(BQ959:BQ962)</f>
        <v>0</v>
      </c>
      <c r="BR963" s="11">
        <f t="shared" ref="BR963:BU963" si="4439">SUM(BR959:BR962)</f>
        <v>0</v>
      </c>
      <c r="BS963" s="11">
        <f t="shared" si="4439"/>
        <v>0</v>
      </c>
      <c r="BT963" s="11">
        <f t="shared" si="4439"/>
        <v>0</v>
      </c>
      <c r="BU963" s="11">
        <f t="shared" si="4439"/>
        <v>0</v>
      </c>
      <c r="BV963" s="25">
        <f>SUM(BV959:BV962)</f>
        <v>0</v>
      </c>
      <c r="BX963" s="10">
        <f>SUM(BX959:BX962)</f>
        <v>0</v>
      </c>
      <c r="BY963" s="11">
        <f t="shared" ref="BY963:CB963" si="4440">SUM(BY959:BY962)</f>
        <v>0</v>
      </c>
      <c r="BZ963" s="11">
        <f t="shared" si="4440"/>
        <v>0</v>
      </c>
      <c r="CA963" s="11">
        <f t="shared" si="4440"/>
        <v>0</v>
      </c>
      <c r="CB963" s="11">
        <f t="shared" si="4440"/>
        <v>0</v>
      </c>
      <c r="CC963" s="25">
        <f>SUM(CC959:CC962)</f>
        <v>0</v>
      </c>
      <c r="CE963" s="62">
        <f t="shared" ref="CE963:CJ963" si="4441">SUM(CE959:CE962)</f>
        <v>0</v>
      </c>
      <c r="CF963" s="63">
        <f t="shared" si="4441"/>
        <v>0</v>
      </c>
      <c r="CG963" s="63">
        <f t="shared" si="4441"/>
        <v>0</v>
      </c>
      <c r="CH963" s="63">
        <f t="shared" si="4441"/>
        <v>0</v>
      </c>
      <c r="CI963" s="63">
        <f t="shared" si="4441"/>
        <v>0</v>
      </c>
      <c r="CJ963" s="25">
        <f t="shared" si="4441"/>
        <v>0</v>
      </c>
      <c r="CL963" s="10">
        <f>SUM(CL959:CL962)</f>
        <v>0</v>
      </c>
      <c r="CM963" s="11">
        <f t="shared" ref="CM963:CP963" si="4442">SUM(CM959:CM962)</f>
        <v>0</v>
      </c>
      <c r="CN963" s="11">
        <f t="shared" si="4442"/>
        <v>0</v>
      </c>
      <c r="CO963" s="11">
        <f t="shared" si="4442"/>
        <v>0</v>
      </c>
      <c r="CP963" s="11">
        <f t="shared" si="4442"/>
        <v>0</v>
      </c>
      <c r="CQ963" s="25">
        <f>SUM(CQ959:CQ962)</f>
        <v>0</v>
      </c>
      <c r="CS963" s="10">
        <f>SUM(CS959:CS962)</f>
        <v>0</v>
      </c>
      <c r="CT963" s="11">
        <f t="shared" ref="CT963:CW963" si="4443">SUM(CT959:CT962)</f>
        <v>0</v>
      </c>
      <c r="CU963" s="11">
        <f t="shared" si="4443"/>
        <v>0</v>
      </c>
      <c r="CV963" s="11">
        <f t="shared" si="4443"/>
        <v>0</v>
      </c>
      <c r="CW963" s="11">
        <f t="shared" si="4443"/>
        <v>0</v>
      </c>
      <c r="CX963" s="25">
        <f>SUM(CX959:CX962)</f>
        <v>0</v>
      </c>
      <c r="CZ963" s="10">
        <f>SUM(CZ959:CZ962)</f>
        <v>0</v>
      </c>
      <c r="DA963" s="11">
        <f t="shared" ref="DA963:DD963" si="4444">SUM(DA959:DA962)</f>
        <v>0</v>
      </c>
      <c r="DB963" s="11">
        <f t="shared" si="4444"/>
        <v>0</v>
      </c>
      <c r="DC963" s="11">
        <f t="shared" si="4444"/>
        <v>0</v>
      </c>
      <c r="DD963" s="11">
        <f t="shared" si="4444"/>
        <v>0</v>
      </c>
      <c r="DE963" s="25">
        <f>SUM(DE959:DE962)</f>
        <v>0</v>
      </c>
    </row>
    <row r="965" spans="2:109">
      <c r="B965" s="123"/>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c r="BU965" s="20"/>
      <c r="BV965" s="20"/>
      <c r="BW965" s="20"/>
      <c r="BX965" s="20"/>
      <c r="BY965" s="20"/>
      <c r="BZ965" s="20"/>
      <c r="CA965" s="20"/>
      <c r="CB965" s="20"/>
      <c r="CC965" s="20"/>
      <c r="CD965" s="20"/>
      <c r="CE965" s="20"/>
      <c r="CF965" s="20"/>
      <c r="CG965" s="20"/>
      <c r="CH965" s="20"/>
      <c r="CI965" s="20"/>
      <c r="CJ965" s="20"/>
      <c r="CL965" s="20"/>
      <c r="CM965" s="20"/>
      <c r="CN965" s="20"/>
      <c r="CO965" s="20"/>
      <c r="CP965" s="20"/>
      <c r="CQ965" s="20"/>
      <c r="CR965" s="20"/>
      <c r="CS965" s="20"/>
      <c r="CT965" s="20"/>
      <c r="CU965" s="20"/>
      <c r="CV965" s="20"/>
      <c r="CW965" s="20"/>
      <c r="CX965" s="20"/>
      <c r="CY965" s="20"/>
      <c r="CZ965" s="20"/>
      <c r="DA965" s="20"/>
      <c r="DB965" s="20"/>
      <c r="DC965" s="20"/>
      <c r="DD965" s="20"/>
      <c r="DE965" s="20"/>
    </row>
    <row r="966" spans="2:109" ht="14" thickBot="1">
      <c r="B966" s="94">
        <v>31</v>
      </c>
      <c r="C966" s="12" t="s">
        <v>92</v>
      </c>
    </row>
    <row r="967" spans="2:109">
      <c r="C967" s="553">
        <v>2024</v>
      </c>
      <c r="E967" s="1" t="s">
        <v>59</v>
      </c>
      <c r="F967" s="2"/>
      <c r="G967" s="3"/>
      <c r="H967" s="3"/>
      <c r="I967" s="3"/>
      <c r="J967" s="3"/>
      <c r="K967" s="4">
        <f>SUM(F967:J967)</f>
        <v>0</v>
      </c>
      <c r="M967" s="2"/>
      <c r="N967" s="3"/>
      <c r="O967" s="3"/>
      <c r="P967" s="3"/>
      <c r="Q967" s="3"/>
      <c r="R967" s="4">
        <f>SUM(M967:Q967)</f>
        <v>0</v>
      </c>
      <c r="T967" s="2"/>
      <c r="U967" s="3"/>
      <c r="V967" s="3"/>
      <c r="W967" s="3"/>
      <c r="X967" s="3"/>
      <c r="Y967" s="4">
        <f>SUM(T967:X967)</f>
        <v>0</v>
      </c>
      <c r="AA967" s="2"/>
      <c r="AB967" s="3"/>
      <c r="AC967" s="3"/>
      <c r="AD967" s="3"/>
      <c r="AE967" s="3"/>
      <c r="AF967" s="4">
        <f>SUM(AA967:AE967)</f>
        <v>0</v>
      </c>
      <c r="AH967" s="2"/>
      <c r="AI967" s="3"/>
      <c r="AJ967" s="3"/>
      <c r="AK967" s="3"/>
      <c r="AL967" s="3"/>
      <c r="AM967" s="4">
        <f>SUM(AH967:AL967)</f>
        <v>0</v>
      </c>
      <c r="AO967" s="2"/>
      <c r="AP967" s="3"/>
      <c r="AQ967" s="3"/>
      <c r="AR967" s="3"/>
      <c r="AS967" s="3"/>
      <c r="AT967" s="4">
        <f>SUM(AO967:AS967)</f>
        <v>0</v>
      </c>
      <c r="AV967" s="2"/>
      <c r="AW967" s="3"/>
      <c r="AX967" s="3"/>
      <c r="AY967" s="3"/>
      <c r="AZ967" s="3"/>
      <c r="BA967" s="4">
        <f>SUM(AV967:AZ967)</f>
        <v>0</v>
      </c>
      <c r="BC967" s="2"/>
      <c r="BD967" s="3"/>
      <c r="BE967" s="3"/>
      <c r="BF967" s="3"/>
      <c r="BG967" s="3"/>
      <c r="BH967" s="4">
        <f>SUM(BC967:BG967)</f>
        <v>0</v>
      </c>
      <c r="BJ967" s="2"/>
      <c r="BK967" s="3"/>
      <c r="BL967" s="3"/>
      <c r="BM967" s="3"/>
      <c r="BN967" s="3"/>
      <c r="BO967" s="4">
        <f>SUM(BJ967:BN967)</f>
        <v>0</v>
      </c>
      <c r="BQ967" s="2"/>
      <c r="BR967" s="3"/>
      <c r="BS967" s="3"/>
      <c r="BT967" s="3"/>
      <c r="BU967" s="3"/>
      <c r="BV967" s="4">
        <f>SUM(BQ967:BU967)</f>
        <v>0</v>
      </c>
      <c r="BX967" s="2"/>
      <c r="BY967" s="3"/>
      <c r="BZ967" s="3"/>
      <c r="CA967" s="3"/>
      <c r="CB967" s="3"/>
      <c r="CC967" s="4">
        <f>SUM(BX967:CB967)</f>
        <v>0</v>
      </c>
      <c r="CE967" s="26">
        <f t="shared" ref="CE967:CE970" si="4445">F967+M967+T967+AA967+AH967+AO967+AV967+BC967+BJ967+BQ967+BX967</f>
        <v>0</v>
      </c>
      <c r="CF967" s="27">
        <f t="shared" ref="CF967:CF970" si="4446">G967+N967+U967+AB967+AI967+AP967+AW967+BD967+BK967+BR967+BY967</f>
        <v>0</v>
      </c>
      <c r="CG967" s="27">
        <f t="shared" ref="CG967:CG970" si="4447">H967+O967+V967+AC967+AJ967+AQ967+AX967+BE967+BL967+BS967+BZ967</f>
        <v>0</v>
      </c>
      <c r="CH967" s="27">
        <f t="shared" ref="CH967:CH970" si="4448">I967+P967+W967+AD967+AK967+AR967+AY967+BF967+BM967+BT967+CA967</f>
        <v>0</v>
      </c>
      <c r="CI967" s="27">
        <f t="shared" ref="CI967:CI970" si="4449">J967+Q967+X967+AE967+AL967+AS967+AZ967+BG967+BN967+BU967+CB967</f>
        <v>0</v>
      </c>
      <c r="CJ967" s="4">
        <f>SUM(CE967:CI967)</f>
        <v>0</v>
      </c>
      <c r="CL967" s="2"/>
      <c r="CM967" s="3"/>
      <c r="CN967" s="3"/>
      <c r="CO967" s="3"/>
      <c r="CP967" s="3"/>
      <c r="CQ967" s="4">
        <f>SUM(CL967:CP967)</f>
        <v>0</v>
      </c>
      <c r="CS967" s="2"/>
      <c r="CT967" s="3"/>
      <c r="CU967" s="3"/>
      <c r="CV967" s="3"/>
      <c r="CW967" s="3"/>
      <c r="CX967" s="4">
        <f>SUM(CS967:CW967)</f>
        <v>0</v>
      </c>
      <c r="CZ967" s="2"/>
      <c r="DA967" s="3"/>
      <c r="DB967" s="3"/>
      <c r="DC967" s="3"/>
      <c r="DD967" s="3"/>
      <c r="DE967" s="4">
        <f>SUM(CZ967:DD967)</f>
        <v>0</v>
      </c>
    </row>
    <row r="968" spans="2:109">
      <c r="C968" s="567"/>
      <c r="E968" s="5" t="s">
        <v>60</v>
      </c>
      <c r="F968" s="6"/>
      <c r="G968" s="7"/>
      <c r="H968" s="7"/>
      <c r="I968" s="7"/>
      <c r="J968" s="7"/>
      <c r="K968" s="8">
        <f t="shared" ref="K968:K970" si="4450">SUM(F968:J968)</f>
        <v>0</v>
      </c>
      <c r="M968" s="6"/>
      <c r="N968" s="7"/>
      <c r="O968" s="7"/>
      <c r="P968" s="7"/>
      <c r="Q968" s="7"/>
      <c r="R968" s="8">
        <f t="shared" ref="R968:R970" si="4451">SUM(M968:Q968)</f>
        <v>0</v>
      </c>
      <c r="T968" s="6"/>
      <c r="U968" s="7"/>
      <c r="V968" s="7"/>
      <c r="W968" s="7"/>
      <c r="X968" s="7"/>
      <c r="Y968" s="8">
        <f t="shared" ref="Y968:Y970" si="4452">SUM(T968:X968)</f>
        <v>0</v>
      </c>
      <c r="AA968" s="6"/>
      <c r="AB968" s="7"/>
      <c r="AC968" s="7"/>
      <c r="AD968" s="7"/>
      <c r="AE968" s="7"/>
      <c r="AF968" s="8">
        <f>SUM(AA968:AE968)</f>
        <v>0</v>
      </c>
      <c r="AH968" s="6"/>
      <c r="AI968" s="7"/>
      <c r="AJ968" s="7"/>
      <c r="AK968" s="7"/>
      <c r="AL968" s="7"/>
      <c r="AM968" s="8">
        <f>SUM(AH968:AL968)</f>
        <v>0</v>
      </c>
      <c r="AO968" s="6"/>
      <c r="AP968" s="7"/>
      <c r="AQ968" s="7"/>
      <c r="AR968" s="7"/>
      <c r="AS968" s="7"/>
      <c r="AT968" s="8">
        <f>SUM(AO968:AS968)</f>
        <v>0</v>
      </c>
      <c r="AV968" s="6"/>
      <c r="AW968" s="7"/>
      <c r="AX968" s="7"/>
      <c r="AY968" s="7"/>
      <c r="AZ968" s="7"/>
      <c r="BA968" s="8">
        <f>SUM(AV968:AZ968)</f>
        <v>0</v>
      </c>
      <c r="BC968" s="6"/>
      <c r="BD968" s="7"/>
      <c r="BE968" s="7"/>
      <c r="BF968" s="7"/>
      <c r="BG968" s="7"/>
      <c r="BH968" s="8">
        <f>SUM(BC968:BG968)</f>
        <v>0</v>
      </c>
      <c r="BJ968" s="6"/>
      <c r="BK968" s="7"/>
      <c r="BL968" s="7"/>
      <c r="BM968" s="7"/>
      <c r="BN968" s="7"/>
      <c r="BO968" s="8">
        <f>SUM(BJ968:BN968)</f>
        <v>0</v>
      </c>
      <c r="BQ968" s="6"/>
      <c r="BR968" s="7"/>
      <c r="BS968" s="7"/>
      <c r="BT968" s="7"/>
      <c r="BU968" s="7"/>
      <c r="BV968" s="8">
        <f>SUM(BQ968:BU968)</f>
        <v>0</v>
      </c>
      <c r="BX968" s="6"/>
      <c r="BY968" s="7"/>
      <c r="BZ968" s="7"/>
      <c r="CA968" s="7"/>
      <c r="CB968" s="7"/>
      <c r="CC968" s="8">
        <f>SUM(BX968:CB968)</f>
        <v>0</v>
      </c>
      <c r="CE968" s="28">
        <f t="shared" si="4445"/>
        <v>0</v>
      </c>
      <c r="CF968" s="29">
        <f t="shared" si="4446"/>
        <v>0</v>
      </c>
      <c r="CG968" s="29">
        <f t="shared" si="4447"/>
        <v>0</v>
      </c>
      <c r="CH968" s="29">
        <f t="shared" si="4448"/>
        <v>0</v>
      </c>
      <c r="CI968" s="29">
        <f t="shared" si="4449"/>
        <v>0</v>
      </c>
      <c r="CJ968" s="8">
        <f>SUM(CE968:CI968)</f>
        <v>0</v>
      </c>
      <c r="CL968" s="6"/>
      <c r="CM968" s="7"/>
      <c r="CN968" s="7"/>
      <c r="CO968" s="7"/>
      <c r="CP968" s="7"/>
      <c r="CQ968" s="8">
        <f>SUM(CL968:CP968)</f>
        <v>0</v>
      </c>
      <c r="CS968" s="6"/>
      <c r="CT968" s="7"/>
      <c r="CU968" s="7"/>
      <c r="CV968" s="7"/>
      <c r="CW968" s="7"/>
      <c r="CX968" s="8">
        <f t="shared" ref="CX968:CX970" si="4453">SUM(CS968:CW968)</f>
        <v>0</v>
      </c>
      <c r="CZ968" s="6"/>
      <c r="DA968" s="7"/>
      <c r="DB968" s="7"/>
      <c r="DC968" s="7"/>
      <c r="DD968" s="7"/>
      <c r="DE968" s="8">
        <f t="shared" ref="DE968:DE970" si="4454">SUM(CZ968:DD968)</f>
        <v>0</v>
      </c>
    </row>
    <row r="969" spans="2:109">
      <c r="C969" s="567"/>
      <c r="E969" s="5" t="s">
        <v>61</v>
      </c>
      <c r="F969" s="6"/>
      <c r="G969" s="7"/>
      <c r="H969" s="7"/>
      <c r="I969" s="7"/>
      <c r="J969" s="7"/>
      <c r="K969" s="8">
        <f t="shared" si="4450"/>
        <v>0</v>
      </c>
      <c r="M969" s="6"/>
      <c r="N969" s="7"/>
      <c r="O969" s="7"/>
      <c r="P969" s="7"/>
      <c r="Q969" s="7"/>
      <c r="R969" s="8">
        <f t="shared" si="4451"/>
        <v>0</v>
      </c>
      <c r="T969" s="6"/>
      <c r="U969" s="7"/>
      <c r="V969" s="7"/>
      <c r="W969" s="7"/>
      <c r="X969" s="7"/>
      <c r="Y969" s="8">
        <f t="shared" si="4452"/>
        <v>0</v>
      </c>
      <c r="AA969" s="6"/>
      <c r="AB969" s="7"/>
      <c r="AC969" s="7"/>
      <c r="AD969" s="7"/>
      <c r="AE969" s="7"/>
      <c r="AF969" s="8">
        <f>SUM(AA969:AE969)</f>
        <v>0</v>
      </c>
      <c r="AH969" s="6"/>
      <c r="AI969" s="7"/>
      <c r="AJ969" s="7"/>
      <c r="AK969" s="7"/>
      <c r="AL969" s="7"/>
      <c r="AM969" s="8">
        <f>SUM(AH969:AL969)</f>
        <v>0</v>
      </c>
      <c r="AO969" s="6"/>
      <c r="AP969" s="7"/>
      <c r="AQ969" s="7"/>
      <c r="AR969" s="7"/>
      <c r="AS969" s="7"/>
      <c r="AT969" s="8">
        <f>SUM(AO969:AS969)</f>
        <v>0</v>
      </c>
      <c r="AV969" s="6"/>
      <c r="AW969" s="7"/>
      <c r="AX969" s="7"/>
      <c r="AY969" s="7"/>
      <c r="AZ969" s="7"/>
      <c r="BA969" s="8">
        <f>SUM(AV969:AZ969)</f>
        <v>0</v>
      </c>
      <c r="BC969" s="6"/>
      <c r="BD969" s="7"/>
      <c r="BE969" s="7"/>
      <c r="BF969" s="7"/>
      <c r="BG969" s="7"/>
      <c r="BH969" s="8">
        <f>SUM(BC969:BG969)</f>
        <v>0</v>
      </c>
      <c r="BJ969" s="6"/>
      <c r="BK969" s="7"/>
      <c r="BL969" s="7"/>
      <c r="BM969" s="7"/>
      <c r="BN969" s="7"/>
      <c r="BO969" s="8">
        <f>SUM(BJ969:BN969)</f>
        <v>0</v>
      </c>
      <c r="BQ969" s="6"/>
      <c r="BR969" s="7"/>
      <c r="BS969" s="7"/>
      <c r="BT969" s="7"/>
      <c r="BU969" s="7"/>
      <c r="BV969" s="8">
        <f>SUM(BQ969:BU969)</f>
        <v>0</v>
      </c>
      <c r="BX969" s="6"/>
      <c r="BY969" s="7"/>
      <c r="BZ969" s="7"/>
      <c r="CA969" s="7"/>
      <c r="CB969" s="7"/>
      <c r="CC969" s="8">
        <f>SUM(BX969:CB969)</f>
        <v>0</v>
      </c>
      <c r="CE969" s="28">
        <f t="shared" si="4445"/>
        <v>0</v>
      </c>
      <c r="CF969" s="29">
        <f t="shared" si="4446"/>
        <v>0</v>
      </c>
      <c r="CG969" s="29">
        <f t="shared" si="4447"/>
        <v>0</v>
      </c>
      <c r="CH969" s="29">
        <f t="shared" si="4448"/>
        <v>0</v>
      </c>
      <c r="CI969" s="29">
        <f t="shared" si="4449"/>
        <v>0</v>
      </c>
      <c r="CJ969" s="8">
        <f>SUM(CE969:CI969)</f>
        <v>0</v>
      </c>
      <c r="CL969" s="6"/>
      <c r="CM969" s="7"/>
      <c r="CN969" s="7"/>
      <c r="CO969" s="7"/>
      <c r="CP969" s="7"/>
      <c r="CQ969" s="8">
        <f>SUM(CL969:CP969)</f>
        <v>0</v>
      </c>
      <c r="CS969" s="6"/>
      <c r="CT969" s="7"/>
      <c r="CU969" s="7"/>
      <c r="CV969" s="7"/>
      <c r="CW969" s="7"/>
      <c r="CX969" s="8">
        <f t="shared" si="4453"/>
        <v>0</v>
      </c>
      <c r="CZ969" s="6"/>
      <c r="DA969" s="7"/>
      <c r="DB969" s="7"/>
      <c r="DC969" s="7"/>
      <c r="DD969" s="7"/>
      <c r="DE969" s="8">
        <f t="shared" si="4454"/>
        <v>0</v>
      </c>
    </row>
    <row r="970" spans="2:109" ht="14" thickBot="1">
      <c r="C970" s="567"/>
      <c r="E970" s="5" t="s">
        <v>62</v>
      </c>
      <c r="F970" s="6"/>
      <c r="G970" s="7"/>
      <c r="H970" s="7"/>
      <c r="I970" s="7"/>
      <c r="J970" s="7"/>
      <c r="K970" s="8">
        <f t="shared" si="4450"/>
        <v>0</v>
      </c>
      <c r="M970" s="6"/>
      <c r="N970" s="7"/>
      <c r="O970" s="7"/>
      <c r="P970" s="7"/>
      <c r="Q970" s="7"/>
      <c r="R970" s="8">
        <f t="shared" si="4451"/>
        <v>0</v>
      </c>
      <c r="T970" s="6"/>
      <c r="U970" s="7"/>
      <c r="V970" s="7"/>
      <c r="W970" s="7"/>
      <c r="X970" s="7"/>
      <c r="Y970" s="8">
        <f t="shared" si="4452"/>
        <v>0</v>
      </c>
      <c r="AA970" s="6"/>
      <c r="AB970" s="7"/>
      <c r="AC970" s="7"/>
      <c r="AD970" s="7"/>
      <c r="AE970" s="7"/>
      <c r="AF970" s="8">
        <f>SUM(AA970:AE970)</f>
        <v>0</v>
      </c>
      <c r="AH970" s="6"/>
      <c r="AI970" s="7"/>
      <c r="AJ970" s="7"/>
      <c r="AK970" s="7"/>
      <c r="AL970" s="7"/>
      <c r="AM970" s="8">
        <f>SUM(AH970:AL970)</f>
        <v>0</v>
      </c>
      <c r="AO970" s="6"/>
      <c r="AP970" s="7"/>
      <c r="AQ970" s="7"/>
      <c r="AR970" s="7"/>
      <c r="AS970" s="7"/>
      <c r="AT970" s="8">
        <f>SUM(AO970:AS970)</f>
        <v>0</v>
      </c>
      <c r="AV970" s="6"/>
      <c r="AW970" s="7"/>
      <c r="AX970" s="7"/>
      <c r="AY970" s="7"/>
      <c r="AZ970" s="7"/>
      <c r="BA970" s="8">
        <f>SUM(AV970:AZ970)</f>
        <v>0</v>
      </c>
      <c r="BC970" s="6"/>
      <c r="BD970" s="7"/>
      <c r="BE970" s="7"/>
      <c r="BF970" s="7"/>
      <c r="BG970" s="7"/>
      <c r="BH970" s="8">
        <f>SUM(BC970:BG970)</f>
        <v>0</v>
      </c>
      <c r="BJ970" s="6"/>
      <c r="BK970" s="7"/>
      <c r="BL970" s="7"/>
      <c r="BM970" s="7"/>
      <c r="BN970" s="7"/>
      <c r="BO970" s="8">
        <f>SUM(BJ970:BN970)</f>
        <v>0</v>
      </c>
      <c r="BQ970" s="6"/>
      <c r="BR970" s="7"/>
      <c r="BS970" s="7"/>
      <c r="BT970" s="7"/>
      <c r="BU970" s="7"/>
      <c r="BV970" s="8">
        <f>SUM(BQ970:BU970)</f>
        <v>0</v>
      </c>
      <c r="BX970" s="6"/>
      <c r="BY970" s="7"/>
      <c r="BZ970" s="7"/>
      <c r="CA970" s="7"/>
      <c r="CB970" s="7"/>
      <c r="CC970" s="8">
        <f>SUM(BX970:CB970)</f>
        <v>0</v>
      </c>
      <c r="CE970" s="493">
        <f t="shared" si="4445"/>
        <v>0</v>
      </c>
      <c r="CF970" s="494">
        <f t="shared" si="4446"/>
        <v>0</v>
      </c>
      <c r="CG970" s="494">
        <f t="shared" si="4447"/>
        <v>0</v>
      </c>
      <c r="CH970" s="494">
        <f t="shared" si="4448"/>
        <v>0</v>
      </c>
      <c r="CI970" s="494">
        <f t="shared" si="4449"/>
        <v>0</v>
      </c>
      <c r="CJ970" s="495">
        <f>SUM(CE970:CI970)</f>
        <v>0</v>
      </c>
      <c r="CL970" s="6"/>
      <c r="CM970" s="7"/>
      <c r="CN970" s="7"/>
      <c r="CO970" s="7"/>
      <c r="CP970" s="7"/>
      <c r="CQ970" s="8">
        <f>SUM(CL970:CP970)</f>
        <v>0</v>
      </c>
      <c r="CS970" s="6"/>
      <c r="CT970" s="7"/>
      <c r="CU970" s="7"/>
      <c r="CV970" s="7"/>
      <c r="CW970" s="7"/>
      <c r="CX970" s="8">
        <f t="shared" si="4453"/>
        <v>0</v>
      </c>
      <c r="CZ970" s="6"/>
      <c r="DA970" s="7"/>
      <c r="DB970" s="7"/>
      <c r="DC970" s="7"/>
      <c r="DD970" s="7"/>
      <c r="DE970" s="8">
        <f t="shared" si="4454"/>
        <v>0</v>
      </c>
    </row>
    <row r="971" spans="2:109" ht="14" thickBot="1">
      <c r="C971" s="554"/>
      <c r="E971" s="9"/>
      <c r="F971" s="10">
        <f>SUM(F967:F970)</f>
        <v>0</v>
      </c>
      <c r="G971" s="11">
        <f t="shared" ref="G971:J971" si="4455">SUM(G967:G970)</f>
        <v>0</v>
      </c>
      <c r="H971" s="11">
        <f t="shared" si="4455"/>
        <v>0</v>
      </c>
      <c r="I971" s="11">
        <f t="shared" si="4455"/>
        <v>0</v>
      </c>
      <c r="J971" s="61">
        <f t="shared" si="4455"/>
        <v>0</v>
      </c>
      <c r="K971" s="25">
        <f>SUM(K967:K970)</f>
        <v>0</v>
      </c>
      <c r="M971" s="10">
        <f>SUM(M967:M970)</f>
        <v>0</v>
      </c>
      <c r="N971" s="11">
        <f t="shared" ref="N971:Q971" si="4456">SUM(N967:N970)</f>
        <v>0</v>
      </c>
      <c r="O971" s="11">
        <f t="shared" si="4456"/>
        <v>0</v>
      </c>
      <c r="P971" s="11">
        <f t="shared" si="4456"/>
        <v>0</v>
      </c>
      <c r="Q971" s="11">
        <f t="shared" si="4456"/>
        <v>0</v>
      </c>
      <c r="R971" s="25">
        <f>SUM(R967:R970)</f>
        <v>0</v>
      </c>
      <c r="T971" s="10">
        <f>SUM(T967:T970)</f>
        <v>0</v>
      </c>
      <c r="U971" s="11">
        <f t="shared" ref="U971:X971" si="4457">SUM(U967:U970)</f>
        <v>0</v>
      </c>
      <c r="V971" s="11">
        <f t="shared" si="4457"/>
        <v>0</v>
      </c>
      <c r="W971" s="11">
        <f t="shared" si="4457"/>
        <v>0</v>
      </c>
      <c r="X971" s="11">
        <f t="shared" si="4457"/>
        <v>0</v>
      </c>
      <c r="Y971" s="25">
        <f>SUM(Y967:Y970)</f>
        <v>0</v>
      </c>
      <c r="AA971" s="10">
        <f>SUM(AA967:AA970)</f>
        <v>0</v>
      </c>
      <c r="AB971" s="11">
        <f t="shared" ref="AB971:AE971" si="4458">SUM(AB967:AB970)</f>
        <v>0</v>
      </c>
      <c r="AC971" s="11">
        <f t="shared" si="4458"/>
        <v>0</v>
      </c>
      <c r="AD971" s="11">
        <f t="shared" si="4458"/>
        <v>0</v>
      </c>
      <c r="AE971" s="11">
        <f t="shared" si="4458"/>
        <v>0</v>
      </c>
      <c r="AF971" s="25">
        <f>SUM(AF967:AF970)</f>
        <v>0</v>
      </c>
      <c r="AH971" s="10">
        <f>SUM(AH967:AH970)</f>
        <v>0</v>
      </c>
      <c r="AI971" s="11">
        <f t="shared" ref="AI971:AL971" si="4459">SUM(AI967:AI970)</f>
        <v>0</v>
      </c>
      <c r="AJ971" s="11">
        <f t="shared" si="4459"/>
        <v>0</v>
      </c>
      <c r="AK971" s="11">
        <f t="shared" si="4459"/>
        <v>0</v>
      </c>
      <c r="AL971" s="11">
        <f t="shared" si="4459"/>
        <v>0</v>
      </c>
      <c r="AM971" s="25">
        <f>SUM(AM967:AM970)</f>
        <v>0</v>
      </c>
      <c r="AO971" s="10">
        <f>SUM(AO967:AO970)</f>
        <v>0</v>
      </c>
      <c r="AP971" s="11">
        <f t="shared" ref="AP971:AS971" si="4460">SUM(AP967:AP970)</f>
        <v>0</v>
      </c>
      <c r="AQ971" s="11">
        <f t="shared" si="4460"/>
        <v>0</v>
      </c>
      <c r="AR971" s="11">
        <f t="shared" si="4460"/>
        <v>0</v>
      </c>
      <c r="AS971" s="11">
        <f t="shared" si="4460"/>
        <v>0</v>
      </c>
      <c r="AT971" s="25">
        <f>SUM(AT967:AT970)</f>
        <v>0</v>
      </c>
      <c r="AV971" s="10">
        <f>SUM(AV967:AV970)</f>
        <v>0</v>
      </c>
      <c r="AW971" s="11">
        <f t="shared" ref="AW971:AZ971" si="4461">SUM(AW967:AW970)</f>
        <v>0</v>
      </c>
      <c r="AX971" s="11">
        <f t="shared" si="4461"/>
        <v>0</v>
      </c>
      <c r="AY971" s="11">
        <f t="shared" si="4461"/>
        <v>0</v>
      </c>
      <c r="AZ971" s="11">
        <f t="shared" si="4461"/>
        <v>0</v>
      </c>
      <c r="BA971" s="25">
        <f>SUM(BA967:BA970)</f>
        <v>0</v>
      </c>
      <c r="BC971" s="10">
        <f>SUM(BC967:BC970)</f>
        <v>0</v>
      </c>
      <c r="BD971" s="11">
        <f t="shared" ref="BD971:BG971" si="4462">SUM(BD967:BD970)</f>
        <v>0</v>
      </c>
      <c r="BE971" s="11">
        <f t="shared" si="4462"/>
        <v>0</v>
      </c>
      <c r="BF971" s="11">
        <f t="shared" si="4462"/>
        <v>0</v>
      </c>
      <c r="BG971" s="11">
        <f t="shared" si="4462"/>
        <v>0</v>
      </c>
      <c r="BH971" s="25">
        <f>SUM(BH967:BH970)</f>
        <v>0</v>
      </c>
      <c r="BJ971" s="10">
        <f>SUM(BJ967:BJ970)</f>
        <v>0</v>
      </c>
      <c r="BK971" s="11">
        <f t="shared" ref="BK971:BN971" si="4463">SUM(BK967:BK970)</f>
        <v>0</v>
      </c>
      <c r="BL971" s="11">
        <f t="shared" si="4463"/>
        <v>0</v>
      </c>
      <c r="BM971" s="11">
        <f t="shared" si="4463"/>
        <v>0</v>
      </c>
      <c r="BN971" s="11">
        <f t="shared" si="4463"/>
        <v>0</v>
      </c>
      <c r="BO971" s="25">
        <f>SUM(BO967:BO970)</f>
        <v>0</v>
      </c>
      <c r="BQ971" s="10">
        <f>SUM(BQ967:BQ970)</f>
        <v>0</v>
      </c>
      <c r="BR971" s="11">
        <f t="shared" ref="BR971:BU971" si="4464">SUM(BR967:BR970)</f>
        <v>0</v>
      </c>
      <c r="BS971" s="11">
        <f t="shared" si="4464"/>
        <v>0</v>
      </c>
      <c r="BT971" s="11">
        <f t="shared" si="4464"/>
        <v>0</v>
      </c>
      <c r="BU971" s="11">
        <f t="shared" si="4464"/>
        <v>0</v>
      </c>
      <c r="BV971" s="25">
        <f>SUM(BV967:BV970)</f>
        <v>0</v>
      </c>
      <c r="BX971" s="10">
        <f>SUM(BX967:BX970)</f>
        <v>0</v>
      </c>
      <c r="BY971" s="11">
        <f t="shared" ref="BY971:CB971" si="4465">SUM(BY967:BY970)</f>
        <v>0</v>
      </c>
      <c r="BZ971" s="11">
        <f t="shared" si="4465"/>
        <v>0</v>
      </c>
      <c r="CA971" s="11">
        <f t="shared" si="4465"/>
        <v>0</v>
      </c>
      <c r="CB971" s="11">
        <f t="shared" si="4465"/>
        <v>0</v>
      </c>
      <c r="CC971" s="25">
        <f>SUM(CC967:CC970)</f>
        <v>0</v>
      </c>
      <c r="CE971" s="62">
        <f t="shared" ref="CE971:CJ971" si="4466">SUM(CE967:CE970)</f>
        <v>0</v>
      </c>
      <c r="CF971" s="63">
        <f t="shared" si="4466"/>
        <v>0</v>
      </c>
      <c r="CG971" s="63">
        <f t="shared" si="4466"/>
        <v>0</v>
      </c>
      <c r="CH971" s="63">
        <f t="shared" si="4466"/>
        <v>0</v>
      </c>
      <c r="CI971" s="63">
        <f t="shared" si="4466"/>
        <v>0</v>
      </c>
      <c r="CJ971" s="25">
        <f t="shared" si="4466"/>
        <v>0</v>
      </c>
      <c r="CL971" s="10">
        <f>SUM(CL967:CL970)</f>
        <v>0</v>
      </c>
      <c r="CM971" s="11">
        <f t="shared" ref="CM971:CP971" si="4467">SUM(CM967:CM970)</f>
        <v>0</v>
      </c>
      <c r="CN971" s="11">
        <f t="shared" si="4467"/>
        <v>0</v>
      </c>
      <c r="CO971" s="11">
        <f t="shared" si="4467"/>
        <v>0</v>
      </c>
      <c r="CP971" s="11">
        <f t="shared" si="4467"/>
        <v>0</v>
      </c>
      <c r="CQ971" s="25">
        <f>SUM(CQ967:CQ970)</f>
        <v>0</v>
      </c>
      <c r="CS971" s="10">
        <f>SUM(CS967:CS970)</f>
        <v>0</v>
      </c>
      <c r="CT971" s="11">
        <f t="shared" ref="CT971:CW971" si="4468">SUM(CT967:CT970)</f>
        <v>0</v>
      </c>
      <c r="CU971" s="11">
        <f t="shared" si="4468"/>
        <v>0</v>
      </c>
      <c r="CV971" s="11">
        <f t="shared" si="4468"/>
        <v>0</v>
      </c>
      <c r="CW971" s="11">
        <f t="shared" si="4468"/>
        <v>0</v>
      </c>
      <c r="CX971" s="25">
        <f>SUM(CX967:CX970)</f>
        <v>0</v>
      </c>
      <c r="CZ971" s="10">
        <f>SUM(CZ967:CZ970)</f>
        <v>0</v>
      </c>
      <c r="DA971" s="11">
        <f t="shared" ref="DA971:DD971" si="4469">SUM(DA967:DA970)</f>
        <v>0</v>
      </c>
      <c r="DB971" s="11">
        <f t="shared" si="4469"/>
        <v>0</v>
      </c>
      <c r="DC971" s="11">
        <f t="shared" si="4469"/>
        <v>0</v>
      </c>
      <c r="DD971" s="11">
        <f t="shared" si="4469"/>
        <v>0</v>
      </c>
      <c r="DE971" s="25">
        <f>SUM(DE967:DE970)</f>
        <v>0</v>
      </c>
    </row>
    <row r="972" spans="2:109" ht="10.4" customHeight="1" thickBot="1"/>
    <row r="973" spans="2:109">
      <c r="C973" s="553">
        <v>2025</v>
      </c>
      <c r="E973" s="13" t="s">
        <v>59</v>
      </c>
      <c r="F973" s="21">
        <f>CE967</f>
        <v>0</v>
      </c>
      <c r="G973" s="22">
        <f t="shared" ref="G973:G976" si="4470">CF967</f>
        <v>0</v>
      </c>
      <c r="H973" s="22">
        <f t="shared" ref="H973:H976" si="4471">CG967</f>
        <v>0</v>
      </c>
      <c r="I973" s="22">
        <f t="shared" ref="I973:I976" si="4472">CH967</f>
        <v>0</v>
      </c>
      <c r="J973" s="22">
        <f t="shared" ref="J973:J976" si="4473">CI967</f>
        <v>0</v>
      </c>
      <c r="K973" s="15">
        <f>SUM(F973:J973)</f>
        <v>0</v>
      </c>
      <c r="M973" s="2"/>
      <c r="N973" s="3"/>
      <c r="O973" s="3"/>
      <c r="P973" s="3"/>
      <c r="Q973" s="3"/>
      <c r="R973" s="15">
        <f>SUM(M973:Q973)</f>
        <v>0</v>
      </c>
      <c r="T973" s="2"/>
      <c r="U973" s="3"/>
      <c r="V973" s="3"/>
      <c r="W973" s="3"/>
      <c r="X973" s="3"/>
      <c r="Y973" s="15">
        <f>SUM(T973:X973)</f>
        <v>0</v>
      </c>
      <c r="AA973" s="2"/>
      <c r="AB973" s="3"/>
      <c r="AC973" s="3"/>
      <c r="AD973" s="3"/>
      <c r="AE973" s="3"/>
      <c r="AF973" s="15">
        <f>SUM(AA973:AE973)</f>
        <v>0</v>
      </c>
      <c r="AH973" s="2"/>
      <c r="AI973" s="3"/>
      <c r="AJ973" s="3"/>
      <c r="AK973" s="3"/>
      <c r="AL973" s="3"/>
      <c r="AM973" s="15">
        <f>SUM(AH973:AL973)</f>
        <v>0</v>
      </c>
      <c r="AO973" s="2"/>
      <c r="AP973" s="3"/>
      <c r="AQ973" s="3"/>
      <c r="AR973" s="3"/>
      <c r="AS973" s="3"/>
      <c r="AT973" s="15">
        <f>SUM(AO973:AS973)</f>
        <v>0</v>
      </c>
      <c r="AV973" s="2"/>
      <c r="AW973" s="3"/>
      <c r="AX973" s="3"/>
      <c r="AY973" s="3"/>
      <c r="AZ973" s="3"/>
      <c r="BA973" s="15">
        <f>SUM(AV973:AZ973)</f>
        <v>0</v>
      </c>
      <c r="BC973" s="2"/>
      <c r="BD973" s="3"/>
      <c r="BE973" s="3"/>
      <c r="BF973" s="3"/>
      <c r="BG973" s="3"/>
      <c r="BH973" s="15">
        <f>SUM(BC973:BG973)</f>
        <v>0</v>
      </c>
      <c r="BJ973" s="2"/>
      <c r="BK973" s="3"/>
      <c r="BL973" s="3"/>
      <c r="BM973" s="3"/>
      <c r="BN973" s="3"/>
      <c r="BO973" s="15">
        <f>SUM(BJ973:BN973)</f>
        <v>0</v>
      </c>
      <c r="BQ973" s="2"/>
      <c r="BR973" s="3"/>
      <c r="BS973" s="3"/>
      <c r="BT973" s="3"/>
      <c r="BU973" s="3"/>
      <c r="BV973" s="15">
        <f>SUM(BQ973:BU973)</f>
        <v>0</v>
      </c>
      <c r="BX973" s="2"/>
      <c r="BY973" s="3"/>
      <c r="BZ973" s="3"/>
      <c r="CA973" s="3"/>
      <c r="CB973" s="3"/>
      <c r="CC973" s="15">
        <f>SUM(BX973:CB973)</f>
        <v>0</v>
      </c>
      <c r="CE973" s="26">
        <f t="shared" ref="CE973:CE976" si="4474">F973+M973+T973+AA973+AH973+AO973+AV973+BC973+BJ973+BQ973+BX973</f>
        <v>0</v>
      </c>
      <c r="CF973" s="27">
        <f t="shared" ref="CF973:CF976" si="4475">G973+N973+U973+AB973+AI973+AP973+AW973+BD973+BK973+BR973+BY973</f>
        <v>0</v>
      </c>
      <c r="CG973" s="27">
        <f t="shared" ref="CG973:CG976" si="4476">H973+O973+V973+AC973+AJ973+AQ973+AX973+BE973+BL973+BS973+BZ973</f>
        <v>0</v>
      </c>
      <c r="CH973" s="27">
        <f t="shared" ref="CH973:CH976" si="4477">I973+P973+W973+AD973+AK973+AR973+AY973+BF973+BM973+BT973+CA973</f>
        <v>0</v>
      </c>
      <c r="CI973" s="27">
        <f t="shared" ref="CI973:CI976" si="4478">J973+Q973+X973+AE973+AL973+AS973+AZ973+BG973+BN973+BU973+CB973</f>
        <v>0</v>
      </c>
      <c r="CJ973" s="4">
        <f>SUM(CE973:CI973)</f>
        <v>0</v>
      </c>
      <c r="CL973" s="2"/>
      <c r="CM973" s="3"/>
      <c r="CN973" s="3"/>
      <c r="CO973" s="3"/>
      <c r="CP973" s="3"/>
      <c r="CQ973" s="15">
        <f>SUM(CL973:CP973)</f>
        <v>0</v>
      </c>
      <c r="CS973" s="2"/>
      <c r="CT973" s="3"/>
      <c r="CU973" s="3"/>
      <c r="CV973" s="3"/>
      <c r="CW973" s="3"/>
      <c r="CX973" s="4">
        <f>SUM(CS973:CW973)</f>
        <v>0</v>
      </c>
      <c r="CZ973" s="2"/>
      <c r="DA973" s="3"/>
      <c r="DB973" s="3"/>
      <c r="DC973" s="3"/>
      <c r="DD973" s="3"/>
      <c r="DE973" s="15">
        <f>SUM(CZ973:DD973)</f>
        <v>0</v>
      </c>
    </row>
    <row r="974" spans="2:109">
      <c r="C974" s="567"/>
      <c r="E974" s="14" t="s">
        <v>60</v>
      </c>
      <c r="F974" s="23">
        <f t="shared" ref="F974:F976" si="4479">CE968</f>
        <v>0</v>
      </c>
      <c r="G974" s="24">
        <f t="shared" si="4470"/>
        <v>0</v>
      </c>
      <c r="H974" s="24">
        <f t="shared" si="4471"/>
        <v>0</v>
      </c>
      <c r="I974" s="24">
        <f t="shared" si="4472"/>
        <v>0</v>
      </c>
      <c r="J974" s="24">
        <f t="shared" si="4473"/>
        <v>0</v>
      </c>
      <c r="K974" s="16">
        <f t="shared" ref="K974:K976" si="4480">SUM(F974:J974)</f>
        <v>0</v>
      </c>
      <c r="M974" s="6"/>
      <c r="N974" s="7"/>
      <c r="O974" s="7"/>
      <c r="P974" s="7"/>
      <c r="Q974" s="7"/>
      <c r="R974" s="16">
        <f t="shared" ref="R974:R976" si="4481">SUM(M974:Q974)</f>
        <v>0</v>
      </c>
      <c r="T974" s="6"/>
      <c r="U974" s="7"/>
      <c r="V974" s="7"/>
      <c r="W974" s="7"/>
      <c r="X974" s="7"/>
      <c r="Y974" s="16">
        <f t="shared" ref="Y974:Y976" si="4482">SUM(T974:X974)</f>
        <v>0</v>
      </c>
      <c r="AA974" s="6"/>
      <c r="AB974" s="7"/>
      <c r="AC974" s="7"/>
      <c r="AD974" s="7"/>
      <c r="AE974" s="7"/>
      <c r="AF974" s="16">
        <f>SUM(AA974:AE974)</f>
        <v>0</v>
      </c>
      <c r="AH974" s="6"/>
      <c r="AI974" s="7"/>
      <c r="AJ974" s="7"/>
      <c r="AK974" s="7"/>
      <c r="AL974" s="7"/>
      <c r="AM974" s="16">
        <f>SUM(AH974:AL974)</f>
        <v>0</v>
      </c>
      <c r="AO974" s="6"/>
      <c r="AP974" s="7"/>
      <c r="AQ974" s="7"/>
      <c r="AR974" s="7"/>
      <c r="AS974" s="7"/>
      <c r="AT974" s="16">
        <f>SUM(AO974:AS974)</f>
        <v>0</v>
      </c>
      <c r="AV974" s="6"/>
      <c r="AW974" s="7"/>
      <c r="AX974" s="7"/>
      <c r="AY974" s="7"/>
      <c r="AZ974" s="7"/>
      <c r="BA974" s="16">
        <f>SUM(AV974:AZ974)</f>
        <v>0</v>
      </c>
      <c r="BC974" s="6"/>
      <c r="BD974" s="7"/>
      <c r="BE974" s="7"/>
      <c r="BF974" s="7"/>
      <c r="BG974" s="7"/>
      <c r="BH974" s="16">
        <f>SUM(BC974:BG974)</f>
        <v>0</v>
      </c>
      <c r="BJ974" s="6"/>
      <c r="BK974" s="7"/>
      <c r="BL974" s="7"/>
      <c r="BM974" s="7"/>
      <c r="BN974" s="7"/>
      <c r="BO974" s="16">
        <f>SUM(BJ974:BN974)</f>
        <v>0</v>
      </c>
      <c r="BQ974" s="6"/>
      <c r="BR974" s="7"/>
      <c r="BS974" s="7"/>
      <c r="BT974" s="7"/>
      <c r="BU974" s="7"/>
      <c r="BV974" s="16">
        <f>SUM(BQ974:BU974)</f>
        <v>0</v>
      </c>
      <c r="BX974" s="6"/>
      <c r="BY974" s="7"/>
      <c r="BZ974" s="7"/>
      <c r="CA974" s="7"/>
      <c r="CB974" s="7"/>
      <c r="CC974" s="16">
        <f>SUM(BX974:CB974)</f>
        <v>0</v>
      </c>
      <c r="CE974" s="28">
        <f t="shared" si="4474"/>
        <v>0</v>
      </c>
      <c r="CF974" s="29">
        <f t="shared" si="4475"/>
        <v>0</v>
      </c>
      <c r="CG974" s="29">
        <f t="shared" si="4476"/>
        <v>0</v>
      </c>
      <c r="CH974" s="29">
        <f t="shared" si="4477"/>
        <v>0</v>
      </c>
      <c r="CI974" s="29">
        <f t="shared" si="4478"/>
        <v>0</v>
      </c>
      <c r="CJ974" s="8">
        <f>SUM(CE974:CI974)</f>
        <v>0</v>
      </c>
      <c r="CL974" s="6"/>
      <c r="CM974" s="7"/>
      <c r="CN974" s="7"/>
      <c r="CO974" s="7"/>
      <c r="CP974" s="7"/>
      <c r="CQ974" s="16">
        <f>SUM(CL974:CP974)</f>
        <v>0</v>
      </c>
      <c r="CS974" s="6"/>
      <c r="CT974" s="7"/>
      <c r="CU974" s="7"/>
      <c r="CV974" s="7"/>
      <c r="CW974" s="7"/>
      <c r="CX974" s="8">
        <f t="shared" ref="CX974:CX976" si="4483">SUM(CS974:CW974)</f>
        <v>0</v>
      </c>
      <c r="CZ974" s="6"/>
      <c r="DA974" s="7"/>
      <c r="DB974" s="7"/>
      <c r="DC974" s="7"/>
      <c r="DD974" s="7"/>
      <c r="DE974" s="16">
        <f t="shared" ref="DE974:DE976" si="4484">SUM(CZ974:DD974)</f>
        <v>0</v>
      </c>
    </row>
    <row r="975" spans="2:109">
      <c r="C975" s="567"/>
      <c r="E975" s="14" t="s">
        <v>61</v>
      </c>
      <c r="F975" s="23">
        <f t="shared" si="4479"/>
        <v>0</v>
      </c>
      <c r="G975" s="24">
        <f t="shared" si="4470"/>
        <v>0</v>
      </c>
      <c r="H975" s="24">
        <f t="shared" si="4471"/>
        <v>0</v>
      </c>
      <c r="I975" s="24">
        <f t="shared" si="4472"/>
        <v>0</v>
      </c>
      <c r="J975" s="24">
        <f t="shared" si="4473"/>
        <v>0</v>
      </c>
      <c r="K975" s="16">
        <f t="shared" si="4480"/>
        <v>0</v>
      </c>
      <c r="M975" s="6"/>
      <c r="N975" s="7"/>
      <c r="O975" s="7"/>
      <c r="P975" s="7"/>
      <c r="Q975" s="7"/>
      <c r="R975" s="16">
        <f t="shared" si="4481"/>
        <v>0</v>
      </c>
      <c r="T975" s="6"/>
      <c r="U975" s="7"/>
      <c r="V975" s="7"/>
      <c r="W975" s="7"/>
      <c r="X975" s="7"/>
      <c r="Y975" s="16">
        <f t="shared" si="4482"/>
        <v>0</v>
      </c>
      <c r="AA975" s="6"/>
      <c r="AB975" s="7"/>
      <c r="AC975" s="7"/>
      <c r="AD975" s="7"/>
      <c r="AE975" s="7"/>
      <c r="AF975" s="16">
        <f>SUM(AA975:AE975)</f>
        <v>0</v>
      </c>
      <c r="AH975" s="6"/>
      <c r="AI975" s="7"/>
      <c r="AJ975" s="7"/>
      <c r="AK975" s="7"/>
      <c r="AL975" s="7"/>
      <c r="AM975" s="16">
        <f>SUM(AH975:AL975)</f>
        <v>0</v>
      </c>
      <c r="AO975" s="6"/>
      <c r="AP975" s="7"/>
      <c r="AQ975" s="7"/>
      <c r="AR975" s="7"/>
      <c r="AS975" s="7"/>
      <c r="AT975" s="16">
        <f>SUM(AO975:AS975)</f>
        <v>0</v>
      </c>
      <c r="AV975" s="6"/>
      <c r="AW975" s="7"/>
      <c r="AX975" s="7"/>
      <c r="AY975" s="7"/>
      <c r="AZ975" s="7"/>
      <c r="BA975" s="16">
        <f>SUM(AV975:AZ975)</f>
        <v>0</v>
      </c>
      <c r="BC975" s="6"/>
      <c r="BD975" s="7"/>
      <c r="BE975" s="7"/>
      <c r="BF975" s="7"/>
      <c r="BG975" s="7"/>
      <c r="BH975" s="16">
        <f>SUM(BC975:BG975)</f>
        <v>0</v>
      </c>
      <c r="BJ975" s="6"/>
      <c r="BK975" s="7"/>
      <c r="BL975" s="7"/>
      <c r="BM975" s="7"/>
      <c r="BN975" s="7"/>
      <c r="BO975" s="16">
        <f>SUM(BJ975:BN975)</f>
        <v>0</v>
      </c>
      <c r="BQ975" s="6"/>
      <c r="BR975" s="7"/>
      <c r="BS975" s="7"/>
      <c r="BT975" s="7"/>
      <c r="BU975" s="7"/>
      <c r="BV975" s="16">
        <f>SUM(BQ975:BU975)</f>
        <v>0</v>
      </c>
      <c r="BX975" s="6"/>
      <c r="BY975" s="7"/>
      <c r="BZ975" s="7"/>
      <c r="CA975" s="7"/>
      <c r="CB975" s="7"/>
      <c r="CC975" s="16">
        <f>SUM(BX975:CB975)</f>
        <v>0</v>
      </c>
      <c r="CE975" s="28">
        <f t="shared" si="4474"/>
        <v>0</v>
      </c>
      <c r="CF975" s="29">
        <f t="shared" si="4475"/>
        <v>0</v>
      </c>
      <c r="CG975" s="29">
        <f t="shared" si="4476"/>
        <v>0</v>
      </c>
      <c r="CH975" s="29">
        <f t="shared" si="4477"/>
        <v>0</v>
      </c>
      <c r="CI975" s="29">
        <f t="shared" si="4478"/>
        <v>0</v>
      </c>
      <c r="CJ975" s="8">
        <f>SUM(CE975:CI975)</f>
        <v>0</v>
      </c>
      <c r="CL975" s="6"/>
      <c r="CM975" s="7"/>
      <c r="CN975" s="7"/>
      <c r="CO975" s="7"/>
      <c r="CP975" s="7"/>
      <c r="CQ975" s="16">
        <f>SUM(CL975:CP975)</f>
        <v>0</v>
      </c>
      <c r="CS975" s="6"/>
      <c r="CT975" s="7"/>
      <c r="CU975" s="7"/>
      <c r="CV975" s="7"/>
      <c r="CW975" s="7"/>
      <c r="CX975" s="8">
        <f t="shared" si="4483"/>
        <v>0</v>
      </c>
      <c r="CZ975" s="6"/>
      <c r="DA975" s="7"/>
      <c r="DB975" s="7"/>
      <c r="DC975" s="7"/>
      <c r="DD975" s="7"/>
      <c r="DE975" s="16">
        <f t="shared" si="4484"/>
        <v>0</v>
      </c>
    </row>
    <row r="976" spans="2:109" ht="14" thickBot="1">
      <c r="C976" s="567"/>
      <c r="E976" s="14" t="s">
        <v>62</v>
      </c>
      <c r="F976" s="23">
        <f t="shared" si="4479"/>
        <v>0</v>
      </c>
      <c r="G976" s="24">
        <f t="shared" si="4470"/>
        <v>0</v>
      </c>
      <c r="H976" s="24">
        <f t="shared" si="4471"/>
        <v>0</v>
      </c>
      <c r="I976" s="24">
        <f t="shared" si="4472"/>
        <v>0</v>
      </c>
      <c r="J976" s="24">
        <f t="shared" si="4473"/>
        <v>0</v>
      </c>
      <c r="K976" s="16">
        <f t="shared" si="4480"/>
        <v>0</v>
      </c>
      <c r="M976" s="6"/>
      <c r="N976" s="7"/>
      <c r="O976" s="7"/>
      <c r="P976" s="7"/>
      <c r="Q976" s="7"/>
      <c r="R976" s="16">
        <f t="shared" si="4481"/>
        <v>0</v>
      </c>
      <c r="T976" s="6"/>
      <c r="U976" s="7"/>
      <c r="V976" s="7"/>
      <c r="W976" s="7"/>
      <c r="X976" s="7"/>
      <c r="Y976" s="16">
        <f t="shared" si="4482"/>
        <v>0</v>
      </c>
      <c r="AA976" s="6"/>
      <c r="AB976" s="7"/>
      <c r="AC976" s="7"/>
      <c r="AD976" s="7"/>
      <c r="AE976" s="7"/>
      <c r="AF976" s="16">
        <f>SUM(AA976:AE976)</f>
        <v>0</v>
      </c>
      <c r="AH976" s="6"/>
      <c r="AI976" s="7"/>
      <c r="AJ976" s="7"/>
      <c r="AK976" s="7"/>
      <c r="AL976" s="7"/>
      <c r="AM976" s="16">
        <f>SUM(AH976:AL976)</f>
        <v>0</v>
      </c>
      <c r="AO976" s="6"/>
      <c r="AP976" s="7"/>
      <c r="AQ976" s="7"/>
      <c r="AR976" s="7"/>
      <c r="AS976" s="7"/>
      <c r="AT976" s="16">
        <f>SUM(AO976:AS976)</f>
        <v>0</v>
      </c>
      <c r="AV976" s="6"/>
      <c r="AW976" s="7"/>
      <c r="AX976" s="7"/>
      <c r="AY976" s="7"/>
      <c r="AZ976" s="7"/>
      <c r="BA976" s="16">
        <f>SUM(AV976:AZ976)</f>
        <v>0</v>
      </c>
      <c r="BC976" s="6"/>
      <c r="BD976" s="7"/>
      <c r="BE976" s="7"/>
      <c r="BF976" s="7"/>
      <c r="BG976" s="7"/>
      <c r="BH976" s="16">
        <f>SUM(BC976:BG976)</f>
        <v>0</v>
      </c>
      <c r="BJ976" s="6"/>
      <c r="BK976" s="7"/>
      <c r="BL976" s="7"/>
      <c r="BM976" s="7"/>
      <c r="BN976" s="7"/>
      <c r="BO976" s="16">
        <f>SUM(BJ976:BN976)</f>
        <v>0</v>
      </c>
      <c r="BQ976" s="6"/>
      <c r="BR976" s="7"/>
      <c r="BS976" s="7"/>
      <c r="BT976" s="7"/>
      <c r="BU976" s="7"/>
      <c r="BV976" s="16">
        <f>SUM(BQ976:BU976)</f>
        <v>0</v>
      </c>
      <c r="BX976" s="6"/>
      <c r="BY976" s="7"/>
      <c r="BZ976" s="7"/>
      <c r="CA976" s="7"/>
      <c r="CB976" s="7"/>
      <c r="CC976" s="16">
        <f>SUM(BX976:CB976)</f>
        <v>0</v>
      </c>
      <c r="CE976" s="493">
        <f t="shared" si="4474"/>
        <v>0</v>
      </c>
      <c r="CF976" s="494">
        <f t="shared" si="4475"/>
        <v>0</v>
      </c>
      <c r="CG976" s="494">
        <f t="shared" si="4476"/>
        <v>0</v>
      </c>
      <c r="CH976" s="494">
        <f t="shared" si="4477"/>
        <v>0</v>
      </c>
      <c r="CI976" s="494">
        <f t="shared" si="4478"/>
        <v>0</v>
      </c>
      <c r="CJ976" s="495">
        <f>SUM(CE976:CI976)</f>
        <v>0</v>
      </c>
      <c r="CL976" s="6"/>
      <c r="CM976" s="7"/>
      <c r="CN976" s="7"/>
      <c r="CO976" s="7"/>
      <c r="CP976" s="7"/>
      <c r="CQ976" s="16">
        <f>SUM(CL976:CP976)</f>
        <v>0</v>
      </c>
      <c r="CS976" s="6"/>
      <c r="CT976" s="7"/>
      <c r="CU976" s="7"/>
      <c r="CV976" s="7"/>
      <c r="CW976" s="7"/>
      <c r="CX976" s="8">
        <f t="shared" si="4483"/>
        <v>0</v>
      </c>
      <c r="CZ976" s="6"/>
      <c r="DA976" s="7"/>
      <c r="DB976" s="7"/>
      <c r="DC976" s="7"/>
      <c r="DD976" s="7"/>
      <c r="DE976" s="16">
        <f t="shared" si="4484"/>
        <v>0</v>
      </c>
    </row>
    <row r="977" spans="3:109" ht="14" thickBot="1">
      <c r="C977" s="554"/>
      <c r="E977" s="17"/>
      <c r="F977" s="10">
        <f>SUM(F973:F976)</f>
        <v>0</v>
      </c>
      <c r="G977" s="11">
        <f t="shared" ref="G977:J977" si="4485">SUM(G973:G976)</f>
        <v>0</v>
      </c>
      <c r="H977" s="11">
        <f t="shared" si="4485"/>
        <v>0</v>
      </c>
      <c r="I977" s="11">
        <f t="shared" si="4485"/>
        <v>0</v>
      </c>
      <c r="J977" s="11">
        <f t="shared" si="4485"/>
        <v>0</v>
      </c>
      <c r="K977" s="25">
        <f>SUM(K973:K976)</f>
        <v>0</v>
      </c>
      <c r="M977" s="10">
        <f>SUM(M973:M976)</f>
        <v>0</v>
      </c>
      <c r="N977" s="11">
        <f t="shared" ref="N977:Q977" si="4486">SUM(N973:N976)</f>
        <v>0</v>
      </c>
      <c r="O977" s="11">
        <f t="shared" si="4486"/>
        <v>0</v>
      </c>
      <c r="P977" s="11">
        <f t="shared" si="4486"/>
        <v>0</v>
      </c>
      <c r="Q977" s="11">
        <f t="shared" si="4486"/>
        <v>0</v>
      </c>
      <c r="R977" s="25">
        <f>SUM(R973:R976)</f>
        <v>0</v>
      </c>
      <c r="T977" s="10">
        <f>SUM(T973:T976)</f>
        <v>0</v>
      </c>
      <c r="U977" s="11">
        <f t="shared" ref="U977:X977" si="4487">SUM(U973:U976)</f>
        <v>0</v>
      </c>
      <c r="V977" s="11">
        <f t="shared" si="4487"/>
        <v>0</v>
      </c>
      <c r="W977" s="11">
        <f t="shared" si="4487"/>
        <v>0</v>
      </c>
      <c r="X977" s="11">
        <f t="shared" si="4487"/>
        <v>0</v>
      </c>
      <c r="Y977" s="25">
        <f>SUM(Y973:Y976)</f>
        <v>0</v>
      </c>
      <c r="AA977" s="10">
        <f>SUM(AA973:AA976)</f>
        <v>0</v>
      </c>
      <c r="AB977" s="11">
        <f t="shared" ref="AB977:AE977" si="4488">SUM(AB973:AB976)</f>
        <v>0</v>
      </c>
      <c r="AC977" s="11">
        <f t="shared" si="4488"/>
        <v>0</v>
      </c>
      <c r="AD977" s="11">
        <f t="shared" si="4488"/>
        <v>0</v>
      </c>
      <c r="AE977" s="11">
        <f t="shared" si="4488"/>
        <v>0</v>
      </c>
      <c r="AF977" s="25">
        <f>SUM(AF973:AF976)</f>
        <v>0</v>
      </c>
      <c r="AH977" s="10">
        <f>SUM(AH973:AH976)</f>
        <v>0</v>
      </c>
      <c r="AI977" s="11">
        <f t="shared" ref="AI977:AL977" si="4489">SUM(AI973:AI976)</f>
        <v>0</v>
      </c>
      <c r="AJ977" s="11">
        <f t="shared" si="4489"/>
        <v>0</v>
      </c>
      <c r="AK977" s="11">
        <f t="shared" si="4489"/>
        <v>0</v>
      </c>
      <c r="AL977" s="11">
        <f t="shared" si="4489"/>
        <v>0</v>
      </c>
      <c r="AM977" s="25">
        <f>SUM(AM973:AM976)</f>
        <v>0</v>
      </c>
      <c r="AO977" s="10">
        <f>SUM(AO973:AO976)</f>
        <v>0</v>
      </c>
      <c r="AP977" s="11">
        <f t="shared" ref="AP977:AS977" si="4490">SUM(AP973:AP976)</f>
        <v>0</v>
      </c>
      <c r="AQ977" s="11">
        <f t="shared" si="4490"/>
        <v>0</v>
      </c>
      <c r="AR977" s="11">
        <f t="shared" si="4490"/>
        <v>0</v>
      </c>
      <c r="AS977" s="11">
        <f t="shared" si="4490"/>
        <v>0</v>
      </c>
      <c r="AT977" s="25">
        <f>SUM(AT973:AT976)</f>
        <v>0</v>
      </c>
      <c r="AV977" s="10">
        <f>SUM(AV973:AV976)</f>
        <v>0</v>
      </c>
      <c r="AW977" s="11">
        <f t="shared" ref="AW977:AZ977" si="4491">SUM(AW973:AW976)</f>
        <v>0</v>
      </c>
      <c r="AX977" s="11">
        <f t="shared" si="4491"/>
        <v>0</v>
      </c>
      <c r="AY977" s="11">
        <f t="shared" si="4491"/>
        <v>0</v>
      </c>
      <c r="AZ977" s="11">
        <f t="shared" si="4491"/>
        <v>0</v>
      </c>
      <c r="BA977" s="25">
        <f>SUM(BA973:BA976)</f>
        <v>0</v>
      </c>
      <c r="BC977" s="10">
        <f>SUM(BC973:BC976)</f>
        <v>0</v>
      </c>
      <c r="BD977" s="11">
        <f t="shared" ref="BD977:BG977" si="4492">SUM(BD973:BD976)</f>
        <v>0</v>
      </c>
      <c r="BE977" s="11">
        <f t="shared" si="4492"/>
        <v>0</v>
      </c>
      <c r="BF977" s="11">
        <f t="shared" si="4492"/>
        <v>0</v>
      </c>
      <c r="BG977" s="11">
        <f t="shared" si="4492"/>
        <v>0</v>
      </c>
      <c r="BH977" s="25">
        <f>SUM(BH973:BH976)</f>
        <v>0</v>
      </c>
      <c r="BJ977" s="10">
        <f>SUM(BJ973:BJ976)</f>
        <v>0</v>
      </c>
      <c r="BK977" s="11">
        <f t="shared" ref="BK977:BN977" si="4493">SUM(BK973:BK976)</f>
        <v>0</v>
      </c>
      <c r="BL977" s="11">
        <f t="shared" si="4493"/>
        <v>0</v>
      </c>
      <c r="BM977" s="11">
        <f t="shared" si="4493"/>
        <v>0</v>
      </c>
      <c r="BN977" s="11">
        <f t="shared" si="4493"/>
        <v>0</v>
      </c>
      <c r="BO977" s="25">
        <f>SUM(BO973:BO976)</f>
        <v>0</v>
      </c>
      <c r="BQ977" s="10">
        <f>SUM(BQ973:BQ976)</f>
        <v>0</v>
      </c>
      <c r="BR977" s="11">
        <f t="shared" ref="BR977:BU977" si="4494">SUM(BR973:BR976)</f>
        <v>0</v>
      </c>
      <c r="BS977" s="11">
        <f t="shared" si="4494"/>
        <v>0</v>
      </c>
      <c r="BT977" s="11">
        <f t="shared" si="4494"/>
        <v>0</v>
      </c>
      <c r="BU977" s="11">
        <f t="shared" si="4494"/>
        <v>0</v>
      </c>
      <c r="BV977" s="25">
        <f>SUM(BV973:BV976)</f>
        <v>0</v>
      </c>
      <c r="BX977" s="10">
        <f>SUM(BX973:BX976)</f>
        <v>0</v>
      </c>
      <c r="BY977" s="11">
        <f t="shared" ref="BY977:CB977" si="4495">SUM(BY973:BY976)</f>
        <v>0</v>
      </c>
      <c r="BZ977" s="11">
        <f t="shared" si="4495"/>
        <v>0</v>
      </c>
      <c r="CA977" s="11">
        <f t="shared" si="4495"/>
        <v>0</v>
      </c>
      <c r="CB977" s="11">
        <f t="shared" si="4495"/>
        <v>0</v>
      </c>
      <c r="CC977" s="25">
        <f>SUM(CC973:CC976)</f>
        <v>0</v>
      </c>
      <c r="CE977" s="62">
        <f t="shared" ref="CE977:CJ977" si="4496">SUM(CE973:CE976)</f>
        <v>0</v>
      </c>
      <c r="CF977" s="63">
        <f t="shared" si="4496"/>
        <v>0</v>
      </c>
      <c r="CG977" s="63">
        <f t="shared" si="4496"/>
        <v>0</v>
      </c>
      <c r="CH977" s="63">
        <f t="shared" si="4496"/>
        <v>0</v>
      </c>
      <c r="CI977" s="63">
        <f t="shared" si="4496"/>
        <v>0</v>
      </c>
      <c r="CJ977" s="25">
        <f t="shared" si="4496"/>
        <v>0</v>
      </c>
      <c r="CL977" s="10">
        <f>SUM(CL973:CL976)</f>
        <v>0</v>
      </c>
      <c r="CM977" s="11">
        <f t="shared" ref="CM977:CP977" si="4497">SUM(CM973:CM976)</f>
        <v>0</v>
      </c>
      <c r="CN977" s="11">
        <f t="shared" si="4497"/>
        <v>0</v>
      </c>
      <c r="CO977" s="11">
        <f t="shared" si="4497"/>
        <v>0</v>
      </c>
      <c r="CP977" s="11">
        <f t="shared" si="4497"/>
        <v>0</v>
      </c>
      <c r="CQ977" s="25">
        <f>SUM(CQ973:CQ976)</f>
        <v>0</v>
      </c>
      <c r="CS977" s="10">
        <f>SUM(CS973:CS976)</f>
        <v>0</v>
      </c>
      <c r="CT977" s="11">
        <f t="shared" ref="CT977:CW977" si="4498">SUM(CT973:CT976)</f>
        <v>0</v>
      </c>
      <c r="CU977" s="11">
        <f t="shared" si="4498"/>
        <v>0</v>
      </c>
      <c r="CV977" s="11">
        <f t="shared" si="4498"/>
        <v>0</v>
      </c>
      <c r="CW977" s="11">
        <f t="shared" si="4498"/>
        <v>0</v>
      </c>
      <c r="CX977" s="25">
        <f>SUM(CX973:CX976)</f>
        <v>0</v>
      </c>
      <c r="CZ977" s="10">
        <f>SUM(CZ973:CZ976)</f>
        <v>0</v>
      </c>
      <c r="DA977" s="11">
        <f t="shared" ref="DA977:DD977" si="4499">SUM(DA973:DA976)</f>
        <v>0</v>
      </c>
      <c r="DB977" s="11">
        <f t="shared" si="4499"/>
        <v>0</v>
      </c>
      <c r="DC977" s="11">
        <f t="shared" si="4499"/>
        <v>0</v>
      </c>
      <c r="DD977" s="11">
        <f t="shared" si="4499"/>
        <v>0</v>
      </c>
      <c r="DE977" s="25">
        <f>SUM(DE973:DE976)</f>
        <v>0</v>
      </c>
    </row>
    <row r="978" spans="3:109" ht="10.4" customHeight="1" thickBot="1"/>
    <row r="979" spans="3:109">
      <c r="C979" s="553">
        <v>2026</v>
      </c>
      <c r="E979" s="1" t="s">
        <v>59</v>
      </c>
      <c r="F979" s="21">
        <f>CE973</f>
        <v>0</v>
      </c>
      <c r="G979" s="22">
        <f t="shared" ref="G979:G982" si="4500">CF973</f>
        <v>0</v>
      </c>
      <c r="H979" s="22">
        <f t="shared" ref="H979:H982" si="4501">CG973</f>
        <v>0</v>
      </c>
      <c r="I979" s="22">
        <f t="shared" ref="I979:I982" si="4502">CH973</f>
        <v>0</v>
      </c>
      <c r="J979" s="22">
        <f t="shared" ref="J979:J982" si="4503">CI973</f>
        <v>0</v>
      </c>
      <c r="K979" s="4">
        <f>SUM(F979:J979)</f>
        <v>0</v>
      </c>
      <c r="M979" s="2"/>
      <c r="N979" s="3"/>
      <c r="O979" s="3"/>
      <c r="P979" s="3"/>
      <c r="Q979" s="3"/>
      <c r="R979" s="4">
        <f>SUM(M979:Q979)</f>
        <v>0</v>
      </c>
      <c r="T979" s="2"/>
      <c r="U979" s="3"/>
      <c r="V979" s="3"/>
      <c r="W979" s="3"/>
      <c r="X979" s="3"/>
      <c r="Y979" s="4">
        <f>SUM(T979:X979)</f>
        <v>0</v>
      </c>
      <c r="AA979" s="2"/>
      <c r="AB979" s="3"/>
      <c r="AC979" s="3"/>
      <c r="AD979" s="3"/>
      <c r="AE979" s="3"/>
      <c r="AF979" s="4">
        <f>SUM(AA979:AE979)</f>
        <v>0</v>
      </c>
      <c r="AH979" s="2"/>
      <c r="AI979" s="3"/>
      <c r="AJ979" s="3"/>
      <c r="AK979" s="3"/>
      <c r="AL979" s="3"/>
      <c r="AM979" s="4">
        <f>SUM(AH979:AL979)</f>
        <v>0</v>
      </c>
      <c r="AO979" s="2"/>
      <c r="AP979" s="3"/>
      <c r="AQ979" s="3"/>
      <c r="AR979" s="3"/>
      <c r="AS979" s="3"/>
      <c r="AT979" s="4">
        <f>SUM(AO979:AS979)</f>
        <v>0</v>
      </c>
      <c r="AV979" s="2"/>
      <c r="AW979" s="3"/>
      <c r="AX979" s="3"/>
      <c r="AY979" s="3"/>
      <c r="AZ979" s="3"/>
      <c r="BA979" s="4">
        <f>SUM(AV979:AZ979)</f>
        <v>0</v>
      </c>
      <c r="BC979" s="2"/>
      <c r="BD979" s="3"/>
      <c r="BE979" s="3"/>
      <c r="BF979" s="3"/>
      <c r="BG979" s="3"/>
      <c r="BH979" s="4">
        <f>SUM(BC979:BG979)</f>
        <v>0</v>
      </c>
      <c r="BJ979" s="2"/>
      <c r="BK979" s="3"/>
      <c r="BL979" s="3"/>
      <c r="BM979" s="3"/>
      <c r="BN979" s="3"/>
      <c r="BO979" s="4">
        <f>SUM(BJ979:BN979)</f>
        <v>0</v>
      </c>
      <c r="BQ979" s="2"/>
      <c r="BR979" s="3"/>
      <c r="BS979" s="3"/>
      <c r="BT979" s="3"/>
      <c r="BU979" s="3"/>
      <c r="BV979" s="4">
        <f>SUM(BQ979:BU979)</f>
        <v>0</v>
      </c>
      <c r="BX979" s="2"/>
      <c r="BY979" s="3"/>
      <c r="BZ979" s="3"/>
      <c r="CA979" s="3"/>
      <c r="CB979" s="3"/>
      <c r="CC979" s="4">
        <f>SUM(BX979:CB979)</f>
        <v>0</v>
      </c>
      <c r="CE979" s="26">
        <f t="shared" ref="CE979:CE982" si="4504">F979+M979+T979+AA979+AH979+AO979+AV979+BC979+BJ979+BQ979+BX979</f>
        <v>0</v>
      </c>
      <c r="CF979" s="27">
        <f t="shared" ref="CF979:CF982" si="4505">G979+N979+U979+AB979+AI979+AP979+AW979+BD979+BK979+BR979+BY979</f>
        <v>0</v>
      </c>
      <c r="CG979" s="27">
        <f t="shared" ref="CG979:CG982" si="4506">H979+O979+V979+AC979+AJ979+AQ979+AX979+BE979+BL979+BS979+BZ979</f>
        <v>0</v>
      </c>
      <c r="CH979" s="27">
        <f t="shared" ref="CH979:CH982" si="4507">I979+P979+W979+AD979+AK979+AR979+AY979+BF979+BM979+BT979+CA979</f>
        <v>0</v>
      </c>
      <c r="CI979" s="27">
        <f t="shared" ref="CI979:CI982" si="4508">J979+Q979+X979+AE979+AL979+AS979+AZ979+BG979+BN979+BU979+CB979</f>
        <v>0</v>
      </c>
      <c r="CJ979" s="4">
        <f>SUM(CE979:CI979)</f>
        <v>0</v>
      </c>
      <c r="CL979" s="2"/>
      <c r="CM979" s="3"/>
      <c r="CN979" s="3"/>
      <c r="CO979" s="3"/>
      <c r="CP979" s="3"/>
      <c r="CQ979" s="4">
        <f>SUM(CL979:CP979)</f>
        <v>0</v>
      </c>
      <c r="CS979" s="2"/>
      <c r="CT979" s="3"/>
      <c r="CU979" s="3"/>
      <c r="CV979" s="3"/>
      <c r="CW979" s="3"/>
      <c r="CX979" s="4">
        <f>SUM(CS979:CW979)</f>
        <v>0</v>
      </c>
      <c r="CZ979" s="2"/>
      <c r="DA979" s="3"/>
      <c r="DB979" s="3"/>
      <c r="DC979" s="3"/>
      <c r="DD979" s="3"/>
      <c r="DE979" s="4">
        <f>SUM(CZ979:DD979)</f>
        <v>0</v>
      </c>
    </row>
    <row r="980" spans="3:109">
      <c r="C980" s="567"/>
      <c r="E980" s="5" t="s">
        <v>60</v>
      </c>
      <c r="F980" s="23">
        <f t="shared" ref="F980:F982" si="4509">CE974</f>
        <v>0</v>
      </c>
      <c r="G980" s="24">
        <f t="shared" si="4500"/>
        <v>0</v>
      </c>
      <c r="H980" s="24">
        <f t="shared" si="4501"/>
        <v>0</v>
      </c>
      <c r="I980" s="24">
        <f t="shared" si="4502"/>
        <v>0</v>
      </c>
      <c r="J980" s="24">
        <f t="shared" si="4503"/>
        <v>0</v>
      </c>
      <c r="K980" s="8">
        <f t="shared" ref="K980:K982" si="4510">SUM(F980:J980)</f>
        <v>0</v>
      </c>
      <c r="M980" s="6"/>
      <c r="N980" s="7"/>
      <c r="O980" s="7"/>
      <c r="P980" s="7"/>
      <c r="Q980" s="7"/>
      <c r="R980" s="8">
        <f t="shared" ref="R980:R982" si="4511">SUM(M980:Q980)</f>
        <v>0</v>
      </c>
      <c r="T980" s="6"/>
      <c r="U980" s="7"/>
      <c r="V980" s="7"/>
      <c r="W980" s="7"/>
      <c r="X980" s="7"/>
      <c r="Y980" s="8">
        <f t="shared" ref="Y980:Y982" si="4512">SUM(T980:X980)</f>
        <v>0</v>
      </c>
      <c r="AA980" s="6"/>
      <c r="AB980" s="7"/>
      <c r="AC980" s="7"/>
      <c r="AD980" s="7"/>
      <c r="AE980" s="7"/>
      <c r="AF980" s="8">
        <f>SUM(AA980:AE980)</f>
        <v>0</v>
      </c>
      <c r="AH980" s="6"/>
      <c r="AI980" s="7"/>
      <c r="AJ980" s="7"/>
      <c r="AK980" s="7"/>
      <c r="AL980" s="7"/>
      <c r="AM980" s="8">
        <f>SUM(AH980:AL980)</f>
        <v>0</v>
      </c>
      <c r="AO980" s="6"/>
      <c r="AP980" s="7"/>
      <c r="AQ980" s="7"/>
      <c r="AR980" s="7"/>
      <c r="AS980" s="7"/>
      <c r="AT980" s="8">
        <f>SUM(AO980:AS980)</f>
        <v>0</v>
      </c>
      <c r="AV980" s="6"/>
      <c r="AW980" s="7"/>
      <c r="AX980" s="7"/>
      <c r="AY980" s="7"/>
      <c r="AZ980" s="7"/>
      <c r="BA980" s="8">
        <f>SUM(AV980:AZ980)</f>
        <v>0</v>
      </c>
      <c r="BC980" s="6"/>
      <c r="BD980" s="7"/>
      <c r="BE980" s="7"/>
      <c r="BF980" s="7"/>
      <c r="BG980" s="7"/>
      <c r="BH980" s="8">
        <f>SUM(BC980:BG980)</f>
        <v>0</v>
      </c>
      <c r="BJ980" s="6"/>
      <c r="BK980" s="7"/>
      <c r="BL980" s="7"/>
      <c r="BM980" s="7"/>
      <c r="BN980" s="7"/>
      <c r="BO980" s="8">
        <f>SUM(BJ980:BN980)</f>
        <v>0</v>
      </c>
      <c r="BQ980" s="6"/>
      <c r="BR980" s="7"/>
      <c r="BS980" s="7"/>
      <c r="BT980" s="7"/>
      <c r="BU980" s="7"/>
      <c r="BV980" s="8">
        <f>SUM(BQ980:BU980)</f>
        <v>0</v>
      </c>
      <c r="BX980" s="6"/>
      <c r="BY980" s="7"/>
      <c r="BZ980" s="7"/>
      <c r="CA980" s="7"/>
      <c r="CB980" s="7"/>
      <c r="CC980" s="8">
        <f>SUM(BX980:CB980)</f>
        <v>0</v>
      </c>
      <c r="CE980" s="28">
        <f t="shared" si="4504"/>
        <v>0</v>
      </c>
      <c r="CF980" s="29">
        <f t="shared" si="4505"/>
        <v>0</v>
      </c>
      <c r="CG980" s="29">
        <f t="shared" si="4506"/>
        <v>0</v>
      </c>
      <c r="CH980" s="29">
        <f t="shared" si="4507"/>
        <v>0</v>
      </c>
      <c r="CI980" s="29">
        <f t="shared" si="4508"/>
        <v>0</v>
      </c>
      <c r="CJ980" s="8">
        <f>SUM(CE980:CI980)</f>
        <v>0</v>
      </c>
      <c r="CL980" s="6"/>
      <c r="CM980" s="7"/>
      <c r="CN980" s="7"/>
      <c r="CO980" s="7"/>
      <c r="CP980" s="7"/>
      <c r="CQ980" s="8">
        <f>SUM(CL980:CP980)</f>
        <v>0</v>
      </c>
      <c r="CS980" s="6"/>
      <c r="CT980" s="7"/>
      <c r="CU980" s="7"/>
      <c r="CV980" s="7"/>
      <c r="CW980" s="7"/>
      <c r="CX980" s="8">
        <f t="shared" ref="CX980:CX982" si="4513">SUM(CS980:CW980)</f>
        <v>0</v>
      </c>
      <c r="CZ980" s="6"/>
      <c r="DA980" s="7"/>
      <c r="DB980" s="7"/>
      <c r="DC980" s="7"/>
      <c r="DD980" s="7"/>
      <c r="DE980" s="8">
        <f t="shared" ref="DE980:DE982" si="4514">SUM(CZ980:DD980)</f>
        <v>0</v>
      </c>
    </row>
    <row r="981" spans="3:109">
      <c r="C981" s="567"/>
      <c r="E981" s="5" t="s">
        <v>61</v>
      </c>
      <c r="F981" s="23">
        <f t="shared" si="4509"/>
        <v>0</v>
      </c>
      <c r="G981" s="24">
        <f t="shared" si="4500"/>
        <v>0</v>
      </c>
      <c r="H981" s="24">
        <f t="shared" si="4501"/>
        <v>0</v>
      </c>
      <c r="I981" s="24">
        <f t="shared" si="4502"/>
        <v>0</v>
      </c>
      <c r="J981" s="24">
        <f t="shared" si="4503"/>
        <v>0</v>
      </c>
      <c r="K981" s="8">
        <f t="shared" si="4510"/>
        <v>0</v>
      </c>
      <c r="M981" s="6"/>
      <c r="N981" s="7"/>
      <c r="O981" s="7"/>
      <c r="P981" s="7"/>
      <c r="Q981" s="7"/>
      <c r="R981" s="8">
        <f t="shared" si="4511"/>
        <v>0</v>
      </c>
      <c r="T981" s="6"/>
      <c r="U981" s="7"/>
      <c r="V981" s="7"/>
      <c r="W981" s="7"/>
      <c r="X981" s="7"/>
      <c r="Y981" s="8">
        <f t="shared" si="4512"/>
        <v>0</v>
      </c>
      <c r="AA981" s="6"/>
      <c r="AB981" s="7"/>
      <c r="AC981" s="7"/>
      <c r="AD981" s="7"/>
      <c r="AE981" s="7"/>
      <c r="AF981" s="8">
        <f>SUM(AA981:AE981)</f>
        <v>0</v>
      </c>
      <c r="AH981" s="6"/>
      <c r="AI981" s="7"/>
      <c r="AJ981" s="7"/>
      <c r="AK981" s="7"/>
      <c r="AL981" s="7"/>
      <c r="AM981" s="8">
        <f>SUM(AH981:AL981)</f>
        <v>0</v>
      </c>
      <c r="AO981" s="6"/>
      <c r="AP981" s="7"/>
      <c r="AQ981" s="7"/>
      <c r="AR981" s="7"/>
      <c r="AS981" s="7"/>
      <c r="AT981" s="8">
        <f>SUM(AO981:AS981)</f>
        <v>0</v>
      </c>
      <c r="AV981" s="6"/>
      <c r="AW981" s="7"/>
      <c r="AX981" s="7"/>
      <c r="AY981" s="7"/>
      <c r="AZ981" s="7"/>
      <c r="BA981" s="8">
        <f>SUM(AV981:AZ981)</f>
        <v>0</v>
      </c>
      <c r="BC981" s="6"/>
      <c r="BD981" s="7"/>
      <c r="BE981" s="7"/>
      <c r="BF981" s="7"/>
      <c r="BG981" s="7"/>
      <c r="BH981" s="8">
        <f>SUM(BC981:BG981)</f>
        <v>0</v>
      </c>
      <c r="BJ981" s="6"/>
      <c r="BK981" s="7"/>
      <c r="BL981" s="7"/>
      <c r="BM981" s="7"/>
      <c r="BN981" s="7"/>
      <c r="BO981" s="8">
        <f>SUM(BJ981:BN981)</f>
        <v>0</v>
      </c>
      <c r="BQ981" s="6"/>
      <c r="BR981" s="7"/>
      <c r="BS981" s="7"/>
      <c r="BT981" s="7"/>
      <c r="BU981" s="7"/>
      <c r="BV981" s="8">
        <f>SUM(BQ981:BU981)</f>
        <v>0</v>
      </c>
      <c r="BX981" s="6"/>
      <c r="BY981" s="7"/>
      <c r="BZ981" s="7"/>
      <c r="CA981" s="7"/>
      <c r="CB981" s="7"/>
      <c r="CC981" s="8">
        <f>SUM(BX981:CB981)</f>
        <v>0</v>
      </c>
      <c r="CE981" s="28">
        <f t="shared" si="4504"/>
        <v>0</v>
      </c>
      <c r="CF981" s="29">
        <f t="shared" si="4505"/>
        <v>0</v>
      </c>
      <c r="CG981" s="29">
        <f t="shared" si="4506"/>
        <v>0</v>
      </c>
      <c r="CH981" s="29">
        <f t="shared" si="4507"/>
        <v>0</v>
      </c>
      <c r="CI981" s="29">
        <f t="shared" si="4508"/>
        <v>0</v>
      </c>
      <c r="CJ981" s="8">
        <f>SUM(CE981:CI981)</f>
        <v>0</v>
      </c>
      <c r="CL981" s="6"/>
      <c r="CM981" s="7"/>
      <c r="CN981" s="7"/>
      <c r="CO981" s="7"/>
      <c r="CP981" s="7"/>
      <c r="CQ981" s="8">
        <f>SUM(CL981:CP981)</f>
        <v>0</v>
      </c>
      <c r="CS981" s="6"/>
      <c r="CT981" s="7"/>
      <c r="CU981" s="7"/>
      <c r="CV981" s="7"/>
      <c r="CW981" s="7"/>
      <c r="CX981" s="8">
        <f t="shared" si="4513"/>
        <v>0</v>
      </c>
      <c r="CZ981" s="6"/>
      <c r="DA981" s="7"/>
      <c r="DB981" s="7"/>
      <c r="DC981" s="7"/>
      <c r="DD981" s="7"/>
      <c r="DE981" s="8">
        <f t="shared" si="4514"/>
        <v>0</v>
      </c>
    </row>
    <row r="982" spans="3:109" ht="14" thickBot="1">
      <c r="C982" s="567"/>
      <c r="E982" s="5" t="s">
        <v>62</v>
      </c>
      <c r="F982" s="23">
        <f t="shared" si="4509"/>
        <v>0</v>
      </c>
      <c r="G982" s="24">
        <f t="shared" si="4500"/>
        <v>0</v>
      </c>
      <c r="H982" s="24">
        <f t="shared" si="4501"/>
        <v>0</v>
      </c>
      <c r="I982" s="24">
        <f t="shared" si="4502"/>
        <v>0</v>
      </c>
      <c r="J982" s="24">
        <f t="shared" si="4503"/>
        <v>0</v>
      </c>
      <c r="K982" s="8">
        <f t="shared" si="4510"/>
        <v>0</v>
      </c>
      <c r="M982" s="6"/>
      <c r="N982" s="7"/>
      <c r="O982" s="7"/>
      <c r="P982" s="7"/>
      <c r="Q982" s="7"/>
      <c r="R982" s="8">
        <f t="shared" si="4511"/>
        <v>0</v>
      </c>
      <c r="T982" s="6"/>
      <c r="U982" s="7"/>
      <c r="V982" s="7"/>
      <c r="W982" s="7"/>
      <c r="X982" s="7"/>
      <c r="Y982" s="8">
        <f t="shared" si="4512"/>
        <v>0</v>
      </c>
      <c r="AA982" s="6"/>
      <c r="AB982" s="7"/>
      <c r="AC982" s="7"/>
      <c r="AD982" s="7"/>
      <c r="AE982" s="7"/>
      <c r="AF982" s="8">
        <f>SUM(AA982:AE982)</f>
        <v>0</v>
      </c>
      <c r="AH982" s="6"/>
      <c r="AI982" s="7"/>
      <c r="AJ982" s="7"/>
      <c r="AK982" s="7"/>
      <c r="AL982" s="7"/>
      <c r="AM982" s="8">
        <f>SUM(AH982:AL982)</f>
        <v>0</v>
      </c>
      <c r="AO982" s="6"/>
      <c r="AP982" s="7"/>
      <c r="AQ982" s="7"/>
      <c r="AR982" s="7"/>
      <c r="AS982" s="7"/>
      <c r="AT982" s="8">
        <f>SUM(AO982:AS982)</f>
        <v>0</v>
      </c>
      <c r="AV982" s="6"/>
      <c r="AW982" s="7"/>
      <c r="AX982" s="7"/>
      <c r="AY982" s="7"/>
      <c r="AZ982" s="7"/>
      <c r="BA982" s="8">
        <f>SUM(AV982:AZ982)</f>
        <v>0</v>
      </c>
      <c r="BC982" s="6"/>
      <c r="BD982" s="7"/>
      <c r="BE982" s="7"/>
      <c r="BF982" s="7"/>
      <c r="BG982" s="7"/>
      <c r="BH982" s="8">
        <f>SUM(BC982:BG982)</f>
        <v>0</v>
      </c>
      <c r="BJ982" s="6"/>
      <c r="BK982" s="7"/>
      <c r="BL982" s="7"/>
      <c r="BM982" s="7"/>
      <c r="BN982" s="7"/>
      <c r="BO982" s="8">
        <f>SUM(BJ982:BN982)</f>
        <v>0</v>
      </c>
      <c r="BQ982" s="6"/>
      <c r="BR982" s="7"/>
      <c r="BS982" s="7"/>
      <c r="BT982" s="7"/>
      <c r="BU982" s="7"/>
      <c r="BV982" s="8">
        <f>SUM(BQ982:BU982)</f>
        <v>0</v>
      </c>
      <c r="BX982" s="6"/>
      <c r="BY982" s="7"/>
      <c r="BZ982" s="7"/>
      <c r="CA982" s="7"/>
      <c r="CB982" s="7"/>
      <c r="CC982" s="8">
        <f>SUM(BX982:CB982)</f>
        <v>0</v>
      </c>
      <c r="CE982" s="493">
        <f t="shared" si="4504"/>
        <v>0</v>
      </c>
      <c r="CF982" s="494">
        <f t="shared" si="4505"/>
        <v>0</v>
      </c>
      <c r="CG982" s="494">
        <f t="shared" si="4506"/>
        <v>0</v>
      </c>
      <c r="CH982" s="494">
        <f t="shared" si="4507"/>
        <v>0</v>
      </c>
      <c r="CI982" s="494">
        <f t="shared" si="4508"/>
        <v>0</v>
      </c>
      <c r="CJ982" s="495">
        <f>SUM(CE982:CI982)</f>
        <v>0</v>
      </c>
      <c r="CL982" s="6"/>
      <c r="CM982" s="7"/>
      <c r="CN982" s="7"/>
      <c r="CO982" s="7"/>
      <c r="CP982" s="7"/>
      <c r="CQ982" s="8">
        <f>SUM(CL982:CP982)</f>
        <v>0</v>
      </c>
      <c r="CS982" s="6"/>
      <c r="CT982" s="7"/>
      <c r="CU982" s="7"/>
      <c r="CV982" s="7"/>
      <c r="CW982" s="7"/>
      <c r="CX982" s="8">
        <f t="shared" si="4513"/>
        <v>0</v>
      </c>
      <c r="CZ982" s="6"/>
      <c r="DA982" s="7"/>
      <c r="DB982" s="7"/>
      <c r="DC982" s="7"/>
      <c r="DD982" s="7"/>
      <c r="DE982" s="8">
        <f t="shared" si="4514"/>
        <v>0</v>
      </c>
    </row>
    <row r="983" spans="3:109" ht="14" thickBot="1">
      <c r="C983" s="554"/>
      <c r="E983" s="9"/>
      <c r="F983" s="10">
        <f>SUM(F979:F982)</f>
        <v>0</v>
      </c>
      <c r="G983" s="11">
        <f t="shared" ref="G983:J983" si="4515">SUM(G979:G982)</f>
        <v>0</v>
      </c>
      <c r="H983" s="11">
        <f t="shared" si="4515"/>
        <v>0</v>
      </c>
      <c r="I983" s="11">
        <f t="shared" si="4515"/>
        <v>0</v>
      </c>
      <c r="J983" s="11">
        <f t="shared" si="4515"/>
        <v>0</v>
      </c>
      <c r="K983" s="25">
        <f>SUM(K979:K982)</f>
        <v>0</v>
      </c>
      <c r="M983" s="10">
        <f>SUM(M979:M982)</f>
        <v>0</v>
      </c>
      <c r="N983" s="11">
        <f t="shared" ref="N983:Q983" si="4516">SUM(N979:N982)</f>
        <v>0</v>
      </c>
      <c r="O983" s="11">
        <f t="shared" si="4516"/>
        <v>0</v>
      </c>
      <c r="P983" s="11">
        <f t="shared" si="4516"/>
        <v>0</v>
      </c>
      <c r="Q983" s="11">
        <f t="shared" si="4516"/>
        <v>0</v>
      </c>
      <c r="R983" s="25">
        <f>SUM(R979:R982)</f>
        <v>0</v>
      </c>
      <c r="T983" s="10">
        <f>SUM(T979:T982)</f>
        <v>0</v>
      </c>
      <c r="U983" s="11">
        <f t="shared" ref="U983:X983" si="4517">SUM(U979:U982)</f>
        <v>0</v>
      </c>
      <c r="V983" s="11">
        <f t="shared" si="4517"/>
        <v>0</v>
      </c>
      <c r="W983" s="11">
        <f t="shared" si="4517"/>
        <v>0</v>
      </c>
      <c r="X983" s="11">
        <f t="shared" si="4517"/>
        <v>0</v>
      </c>
      <c r="Y983" s="25">
        <f>SUM(Y979:Y982)</f>
        <v>0</v>
      </c>
      <c r="AA983" s="10">
        <f>SUM(AA979:AA982)</f>
        <v>0</v>
      </c>
      <c r="AB983" s="11">
        <f t="shared" ref="AB983:AE983" si="4518">SUM(AB979:AB982)</f>
        <v>0</v>
      </c>
      <c r="AC983" s="11">
        <f t="shared" si="4518"/>
        <v>0</v>
      </c>
      <c r="AD983" s="11">
        <f t="shared" si="4518"/>
        <v>0</v>
      </c>
      <c r="AE983" s="11">
        <f t="shared" si="4518"/>
        <v>0</v>
      </c>
      <c r="AF983" s="25">
        <f>SUM(AF979:AF982)</f>
        <v>0</v>
      </c>
      <c r="AH983" s="10">
        <f>SUM(AH979:AH982)</f>
        <v>0</v>
      </c>
      <c r="AI983" s="11">
        <f t="shared" ref="AI983:AL983" si="4519">SUM(AI979:AI982)</f>
        <v>0</v>
      </c>
      <c r="AJ983" s="11">
        <f t="shared" si="4519"/>
        <v>0</v>
      </c>
      <c r="AK983" s="11">
        <f t="shared" si="4519"/>
        <v>0</v>
      </c>
      <c r="AL983" s="11">
        <f t="shared" si="4519"/>
        <v>0</v>
      </c>
      <c r="AM983" s="25">
        <f>SUM(AM979:AM982)</f>
        <v>0</v>
      </c>
      <c r="AO983" s="10">
        <f>SUM(AO979:AO982)</f>
        <v>0</v>
      </c>
      <c r="AP983" s="11">
        <f t="shared" ref="AP983:AS983" si="4520">SUM(AP979:AP982)</f>
        <v>0</v>
      </c>
      <c r="AQ983" s="11">
        <f t="shared" si="4520"/>
        <v>0</v>
      </c>
      <c r="AR983" s="11">
        <f t="shared" si="4520"/>
        <v>0</v>
      </c>
      <c r="AS983" s="11">
        <f t="shared" si="4520"/>
        <v>0</v>
      </c>
      <c r="AT983" s="25">
        <f>SUM(AT979:AT982)</f>
        <v>0</v>
      </c>
      <c r="AV983" s="10">
        <f>SUM(AV979:AV982)</f>
        <v>0</v>
      </c>
      <c r="AW983" s="11">
        <f t="shared" ref="AW983:AZ983" si="4521">SUM(AW979:AW982)</f>
        <v>0</v>
      </c>
      <c r="AX983" s="11">
        <f t="shared" si="4521"/>
        <v>0</v>
      </c>
      <c r="AY983" s="11">
        <f t="shared" si="4521"/>
        <v>0</v>
      </c>
      <c r="AZ983" s="11">
        <f t="shared" si="4521"/>
        <v>0</v>
      </c>
      <c r="BA983" s="25">
        <f>SUM(BA979:BA982)</f>
        <v>0</v>
      </c>
      <c r="BC983" s="10">
        <f>SUM(BC979:BC982)</f>
        <v>0</v>
      </c>
      <c r="BD983" s="11">
        <f t="shared" ref="BD983:BG983" si="4522">SUM(BD979:BD982)</f>
        <v>0</v>
      </c>
      <c r="BE983" s="11">
        <f t="shared" si="4522"/>
        <v>0</v>
      </c>
      <c r="BF983" s="11">
        <f t="shared" si="4522"/>
        <v>0</v>
      </c>
      <c r="BG983" s="11">
        <f t="shared" si="4522"/>
        <v>0</v>
      </c>
      <c r="BH983" s="25">
        <f>SUM(BH979:BH982)</f>
        <v>0</v>
      </c>
      <c r="BJ983" s="10">
        <f>SUM(BJ979:BJ982)</f>
        <v>0</v>
      </c>
      <c r="BK983" s="11">
        <f t="shared" ref="BK983:BN983" si="4523">SUM(BK979:BK982)</f>
        <v>0</v>
      </c>
      <c r="BL983" s="11">
        <f t="shared" si="4523"/>
        <v>0</v>
      </c>
      <c r="BM983" s="11">
        <f t="shared" si="4523"/>
        <v>0</v>
      </c>
      <c r="BN983" s="11">
        <f t="shared" si="4523"/>
        <v>0</v>
      </c>
      <c r="BO983" s="25">
        <f>SUM(BO979:BO982)</f>
        <v>0</v>
      </c>
      <c r="BQ983" s="10">
        <f>SUM(BQ979:BQ982)</f>
        <v>0</v>
      </c>
      <c r="BR983" s="11">
        <f t="shared" ref="BR983:BU983" si="4524">SUM(BR979:BR982)</f>
        <v>0</v>
      </c>
      <c r="BS983" s="11">
        <f t="shared" si="4524"/>
        <v>0</v>
      </c>
      <c r="BT983" s="11">
        <f t="shared" si="4524"/>
        <v>0</v>
      </c>
      <c r="BU983" s="11">
        <f t="shared" si="4524"/>
        <v>0</v>
      </c>
      <c r="BV983" s="25">
        <f>SUM(BV979:BV982)</f>
        <v>0</v>
      </c>
      <c r="BX983" s="10">
        <f>SUM(BX979:BX982)</f>
        <v>0</v>
      </c>
      <c r="BY983" s="11">
        <f t="shared" ref="BY983:CB983" si="4525">SUM(BY979:BY982)</f>
        <v>0</v>
      </c>
      <c r="BZ983" s="11">
        <f t="shared" si="4525"/>
        <v>0</v>
      </c>
      <c r="CA983" s="11">
        <f t="shared" si="4525"/>
        <v>0</v>
      </c>
      <c r="CB983" s="11">
        <f t="shared" si="4525"/>
        <v>0</v>
      </c>
      <c r="CC983" s="25">
        <f>SUM(CC979:CC982)</f>
        <v>0</v>
      </c>
      <c r="CE983" s="62">
        <f t="shared" ref="CE983:CJ983" si="4526">SUM(CE979:CE982)</f>
        <v>0</v>
      </c>
      <c r="CF983" s="63">
        <f t="shared" si="4526"/>
        <v>0</v>
      </c>
      <c r="CG983" s="63">
        <f t="shared" si="4526"/>
        <v>0</v>
      </c>
      <c r="CH983" s="63">
        <f t="shared" si="4526"/>
        <v>0</v>
      </c>
      <c r="CI983" s="63">
        <f t="shared" si="4526"/>
        <v>0</v>
      </c>
      <c r="CJ983" s="25">
        <f t="shared" si="4526"/>
        <v>0</v>
      </c>
      <c r="CL983" s="10">
        <f>SUM(CL979:CL982)</f>
        <v>0</v>
      </c>
      <c r="CM983" s="11">
        <f t="shared" ref="CM983:CP983" si="4527">SUM(CM979:CM982)</f>
        <v>0</v>
      </c>
      <c r="CN983" s="11">
        <f t="shared" si="4527"/>
        <v>0</v>
      </c>
      <c r="CO983" s="11">
        <f t="shared" si="4527"/>
        <v>0</v>
      </c>
      <c r="CP983" s="11">
        <f t="shared" si="4527"/>
        <v>0</v>
      </c>
      <c r="CQ983" s="25">
        <f>SUM(CQ979:CQ982)</f>
        <v>0</v>
      </c>
      <c r="CS983" s="10">
        <f>SUM(CS979:CS982)</f>
        <v>0</v>
      </c>
      <c r="CT983" s="11">
        <f t="shared" ref="CT983:CW983" si="4528">SUM(CT979:CT982)</f>
        <v>0</v>
      </c>
      <c r="CU983" s="11">
        <f t="shared" si="4528"/>
        <v>0</v>
      </c>
      <c r="CV983" s="11">
        <f t="shared" si="4528"/>
        <v>0</v>
      </c>
      <c r="CW983" s="11">
        <f t="shared" si="4528"/>
        <v>0</v>
      </c>
      <c r="CX983" s="25">
        <f>SUM(CX979:CX982)</f>
        <v>0</v>
      </c>
      <c r="CZ983" s="10">
        <f>SUM(CZ979:CZ982)</f>
        <v>0</v>
      </c>
      <c r="DA983" s="11">
        <f t="shared" ref="DA983:DD983" si="4529">SUM(DA979:DA982)</f>
        <v>0</v>
      </c>
      <c r="DB983" s="11">
        <f t="shared" si="4529"/>
        <v>0</v>
      </c>
      <c r="DC983" s="11">
        <f t="shared" si="4529"/>
        <v>0</v>
      </c>
      <c r="DD983" s="11">
        <f t="shared" si="4529"/>
        <v>0</v>
      </c>
      <c r="DE983" s="25">
        <f>SUM(DE979:DE982)</f>
        <v>0</v>
      </c>
    </row>
    <row r="984" spans="3:109" ht="10.4" customHeight="1" thickBot="1"/>
    <row r="985" spans="3:109">
      <c r="C985" s="553">
        <v>2027</v>
      </c>
      <c r="E985" s="1" t="s">
        <v>59</v>
      </c>
      <c r="F985" s="21">
        <f>CE979</f>
        <v>0</v>
      </c>
      <c r="G985" s="22">
        <f t="shared" ref="G985:G988" si="4530">CF979</f>
        <v>0</v>
      </c>
      <c r="H985" s="22">
        <f t="shared" ref="H985:H988" si="4531">CG979</f>
        <v>0</v>
      </c>
      <c r="I985" s="22">
        <f t="shared" ref="I985:I988" si="4532">CH979</f>
        <v>0</v>
      </c>
      <c r="J985" s="22">
        <f t="shared" ref="J985:J988" si="4533">CI979</f>
        <v>0</v>
      </c>
      <c r="K985" s="4">
        <f>SUM(F985:J985)</f>
        <v>0</v>
      </c>
      <c r="M985" s="2"/>
      <c r="N985" s="3"/>
      <c r="O985" s="3"/>
      <c r="P985" s="3"/>
      <c r="Q985" s="3"/>
      <c r="R985" s="4">
        <f>SUM(M985:Q985)</f>
        <v>0</v>
      </c>
      <c r="T985" s="2"/>
      <c r="U985" s="3"/>
      <c r="V985" s="3"/>
      <c r="W985" s="3"/>
      <c r="X985" s="3"/>
      <c r="Y985" s="4">
        <f>SUM(T985:X985)</f>
        <v>0</v>
      </c>
      <c r="AA985" s="2"/>
      <c r="AB985" s="3"/>
      <c r="AC985" s="3"/>
      <c r="AD985" s="3"/>
      <c r="AE985" s="3"/>
      <c r="AF985" s="4">
        <f>SUM(AA985:AE985)</f>
        <v>0</v>
      </c>
      <c r="AH985" s="2"/>
      <c r="AI985" s="3"/>
      <c r="AJ985" s="3"/>
      <c r="AK985" s="3"/>
      <c r="AL985" s="3"/>
      <c r="AM985" s="4">
        <f>SUM(AH985:AL985)</f>
        <v>0</v>
      </c>
      <c r="AO985" s="2"/>
      <c r="AP985" s="3"/>
      <c r="AQ985" s="3"/>
      <c r="AR985" s="3"/>
      <c r="AS985" s="3"/>
      <c r="AT985" s="4">
        <f>SUM(AO985:AS985)</f>
        <v>0</v>
      </c>
      <c r="AV985" s="2"/>
      <c r="AW985" s="3"/>
      <c r="AX985" s="3"/>
      <c r="AY985" s="3"/>
      <c r="AZ985" s="3"/>
      <c r="BA985" s="4">
        <f>SUM(AV985:AZ985)</f>
        <v>0</v>
      </c>
      <c r="BC985" s="2"/>
      <c r="BD985" s="3"/>
      <c r="BE985" s="3"/>
      <c r="BF985" s="3"/>
      <c r="BG985" s="3"/>
      <c r="BH985" s="4">
        <f>SUM(BC985:BG985)</f>
        <v>0</v>
      </c>
      <c r="BJ985" s="2"/>
      <c r="BK985" s="3"/>
      <c r="BL985" s="3"/>
      <c r="BM985" s="3"/>
      <c r="BN985" s="3"/>
      <c r="BO985" s="4">
        <f>SUM(BJ985:BN985)</f>
        <v>0</v>
      </c>
      <c r="BQ985" s="2"/>
      <c r="BR985" s="3"/>
      <c r="BS985" s="3"/>
      <c r="BT985" s="3"/>
      <c r="BU985" s="3"/>
      <c r="BV985" s="4">
        <f>SUM(BQ985:BU985)</f>
        <v>0</v>
      </c>
      <c r="BX985" s="2"/>
      <c r="BY985" s="3"/>
      <c r="BZ985" s="3"/>
      <c r="CA985" s="3"/>
      <c r="CB985" s="3"/>
      <c r="CC985" s="4">
        <f>SUM(BX985:CB985)</f>
        <v>0</v>
      </c>
      <c r="CE985" s="26">
        <f t="shared" ref="CE985:CE988" si="4534">F985+M985+T985+AA985+AH985+AO985+AV985+BC985+BJ985+BQ985+BX985</f>
        <v>0</v>
      </c>
      <c r="CF985" s="27">
        <f t="shared" ref="CF985:CF988" si="4535">G985+N985+U985+AB985+AI985+AP985+AW985+BD985+BK985+BR985+BY985</f>
        <v>0</v>
      </c>
      <c r="CG985" s="27">
        <f t="shared" ref="CG985:CG988" si="4536">H985+O985+V985+AC985+AJ985+AQ985+AX985+BE985+BL985+BS985+BZ985</f>
        <v>0</v>
      </c>
      <c r="CH985" s="27">
        <f t="shared" ref="CH985:CH988" si="4537">I985+P985+W985+AD985+AK985+AR985+AY985+BF985+BM985+BT985+CA985</f>
        <v>0</v>
      </c>
      <c r="CI985" s="27">
        <f t="shared" ref="CI985:CI988" si="4538">J985+Q985+X985+AE985+AL985+AS985+AZ985+BG985+BN985+BU985+CB985</f>
        <v>0</v>
      </c>
      <c r="CJ985" s="4">
        <f>SUM(CE985:CI985)</f>
        <v>0</v>
      </c>
      <c r="CL985" s="2"/>
      <c r="CM985" s="3"/>
      <c r="CN985" s="3"/>
      <c r="CO985" s="3"/>
      <c r="CP985" s="3"/>
      <c r="CQ985" s="4">
        <f>SUM(CL985:CP985)</f>
        <v>0</v>
      </c>
      <c r="CS985" s="2"/>
      <c r="CT985" s="3"/>
      <c r="CU985" s="3"/>
      <c r="CV985" s="3"/>
      <c r="CW985" s="3"/>
      <c r="CX985" s="4">
        <f>SUM(CS985:CW985)</f>
        <v>0</v>
      </c>
      <c r="CZ985" s="2"/>
      <c r="DA985" s="3"/>
      <c r="DB985" s="3"/>
      <c r="DC985" s="3"/>
      <c r="DD985" s="3"/>
      <c r="DE985" s="4">
        <f>SUM(CZ985:DD985)</f>
        <v>0</v>
      </c>
    </row>
    <row r="986" spans="3:109">
      <c r="C986" s="567"/>
      <c r="E986" s="5" t="s">
        <v>60</v>
      </c>
      <c r="F986" s="23">
        <f t="shared" ref="F986:F988" si="4539">CE980</f>
        <v>0</v>
      </c>
      <c r="G986" s="24">
        <f t="shared" si="4530"/>
        <v>0</v>
      </c>
      <c r="H986" s="24">
        <f t="shared" si="4531"/>
        <v>0</v>
      </c>
      <c r="I986" s="24">
        <f t="shared" si="4532"/>
        <v>0</v>
      </c>
      <c r="J986" s="24">
        <f t="shared" si="4533"/>
        <v>0</v>
      </c>
      <c r="K986" s="8">
        <f t="shared" ref="K986:K988" si="4540">SUM(F986:J986)</f>
        <v>0</v>
      </c>
      <c r="M986" s="6"/>
      <c r="N986" s="7"/>
      <c r="O986" s="7"/>
      <c r="P986" s="7"/>
      <c r="Q986" s="7"/>
      <c r="R986" s="8">
        <f t="shared" ref="R986:R988" si="4541">SUM(M986:Q986)</f>
        <v>0</v>
      </c>
      <c r="T986" s="6"/>
      <c r="U986" s="7"/>
      <c r="V986" s="7"/>
      <c r="W986" s="7"/>
      <c r="X986" s="7"/>
      <c r="Y986" s="8">
        <f t="shared" ref="Y986:Y988" si="4542">SUM(T986:X986)</f>
        <v>0</v>
      </c>
      <c r="AA986" s="6"/>
      <c r="AB986" s="7"/>
      <c r="AC986" s="7"/>
      <c r="AD986" s="7"/>
      <c r="AE986" s="7"/>
      <c r="AF986" s="8">
        <f>SUM(AA986:AE986)</f>
        <v>0</v>
      </c>
      <c r="AH986" s="6"/>
      <c r="AI986" s="7"/>
      <c r="AJ986" s="7"/>
      <c r="AK986" s="7"/>
      <c r="AL986" s="7"/>
      <c r="AM986" s="8">
        <f>SUM(AH986:AL986)</f>
        <v>0</v>
      </c>
      <c r="AO986" s="6"/>
      <c r="AP986" s="7"/>
      <c r="AQ986" s="7"/>
      <c r="AR986" s="7"/>
      <c r="AS986" s="7"/>
      <c r="AT986" s="8">
        <f>SUM(AO986:AS986)</f>
        <v>0</v>
      </c>
      <c r="AV986" s="6"/>
      <c r="AW986" s="7"/>
      <c r="AX986" s="7"/>
      <c r="AY986" s="7"/>
      <c r="AZ986" s="7"/>
      <c r="BA986" s="8">
        <f>SUM(AV986:AZ986)</f>
        <v>0</v>
      </c>
      <c r="BC986" s="6"/>
      <c r="BD986" s="7"/>
      <c r="BE986" s="7"/>
      <c r="BF986" s="7"/>
      <c r="BG986" s="7"/>
      <c r="BH986" s="8">
        <f>SUM(BC986:BG986)</f>
        <v>0</v>
      </c>
      <c r="BJ986" s="6"/>
      <c r="BK986" s="7"/>
      <c r="BL986" s="7"/>
      <c r="BM986" s="7"/>
      <c r="BN986" s="7"/>
      <c r="BO986" s="8">
        <f>SUM(BJ986:BN986)</f>
        <v>0</v>
      </c>
      <c r="BQ986" s="6"/>
      <c r="BR986" s="7"/>
      <c r="BS986" s="7"/>
      <c r="BT986" s="7"/>
      <c r="BU986" s="7"/>
      <c r="BV986" s="8">
        <f>SUM(BQ986:BU986)</f>
        <v>0</v>
      </c>
      <c r="BX986" s="6"/>
      <c r="BY986" s="7"/>
      <c r="BZ986" s="7"/>
      <c r="CA986" s="7"/>
      <c r="CB986" s="7"/>
      <c r="CC986" s="8">
        <f>SUM(BX986:CB986)</f>
        <v>0</v>
      </c>
      <c r="CE986" s="28">
        <f t="shared" si="4534"/>
        <v>0</v>
      </c>
      <c r="CF986" s="29">
        <f t="shared" si="4535"/>
        <v>0</v>
      </c>
      <c r="CG986" s="29">
        <f t="shared" si="4536"/>
        <v>0</v>
      </c>
      <c r="CH986" s="29">
        <f t="shared" si="4537"/>
        <v>0</v>
      </c>
      <c r="CI986" s="29">
        <f t="shared" si="4538"/>
        <v>0</v>
      </c>
      <c r="CJ986" s="8">
        <f>SUM(CE986:CI986)</f>
        <v>0</v>
      </c>
      <c r="CL986" s="6"/>
      <c r="CM986" s="7"/>
      <c r="CN986" s="7"/>
      <c r="CO986" s="7"/>
      <c r="CP986" s="7"/>
      <c r="CQ986" s="8">
        <f>SUM(CL986:CP986)</f>
        <v>0</v>
      </c>
      <c r="CS986" s="6"/>
      <c r="CT986" s="7"/>
      <c r="CU986" s="7"/>
      <c r="CV986" s="7"/>
      <c r="CW986" s="7"/>
      <c r="CX986" s="8">
        <f t="shared" ref="CX986:CX988" si="4543">SUM(CS986:CW986)</f>
        <v>0</v>
      </c>
      <c r="CZ986" s="6"/>
      <c r="DA986" s="7"/>
      <c r="DB986" s="7"/>
      <c r="DC986" s="7"/>
      <c r="DD986" s="7"/>
      <c r="DE986" s="8">
        <f t="shared" ref="DE986:DE988" si="4544">SUM(CZ986:DD986)</f>
        <v>0</v>
      </c>
    </row>
    <row r="987" spans="3:109">
      <c r="C987" s="567"/>
      <c r="E987" s="5" t="s">
        <v>61</v>
      </c>
      <c r="F987" s="23">
        <f t="shared" si="4539"/>
        <v>0</v>
      </c>
      <c r="G987" s="24">
        <f t="shared" si="4530"/>
        <v>0</v>
      </c>
      <c r="H987" s="24">
        <f t="shared" si="4531"/>
        <v>0</v>
      </c>
      <c r="I987" s="24">
        <f t="shared" si="4532"/>
        <v>0</v>
      </c>
      <c r="J987" s="24">
        <f t="shared" si="4533"/>
        <v>0</v>
      </c>
      <c r="K987" s="8">
        <f t="shared" si="4540"/>
        <v>0</v>
      </c>
      <c r="M987" s="6"/>
      <c r="N987" s="7"/>
      <c r="O987" s="7"/>
      <c r="P987" s="7"/>
      <c r="Q987" s="7"/>
      <c r="R987" s="8">
        <f t="shared" si="4541"/>
        <v>0</v>
      </c>
      <c r="T987" s="6"/>
      <c r="U987" s="7"/>
      <c r="V987" s="7"/>
      <c r="W987" s="7"/>
      <c r="X987" s="7"/>
      <c r="Y987" s="8">
        <f t="shared" si="4542"/>
        <v>0</v>
      </c>
      <c r="AA987" s="6"/>
      <c r="AB987" s="7"/>
      <c r="AC987" s="7"/>
      <c r="AD987" s="7"/>
      <c r="AE987" s="7"/>
      <c r="AF987" s="8">
        <f>SUM(AA987:AE987)</f>
        <v>0</v>
      </c>
      <c r="AH987" s="6"/>
      <c r="AI987" s="7"/>
      <c r="AJ987" s="7"/>
      <c r="AK987" s="7"/>
      <c r="AL987" s="7"/>
      <c r="AM987" s="8">
        <f>SUM(AH987:AL987)</f>
        <v>0</v>
      </c>
      <c r="AO987" s="6"/>
      <c r="AP987" s="7"/>
      <c r="AQ987" s="7"/>
      <c r="AR987" s="7"/>
      <c r="AS987" s="7"/>
      <c r="AT987" s="8">
        <f>SUM(AO987:AS987)</f>
        <v>0</v>
      </c>
      <c r="AV987" s="6"/>
      <c r="AW987" s="7"/>
      <c r="AX987" s="7"/>
      <c r="AY987" s="7"/>
      <c r="AZ987" s="7"/>
      <c r="BA987" s="8">
        <f>SUM(AV987:AZ987)</f>
        <v>0</v>
      </c>
      <c r="BC987" s="6"/>
      <c r="BD987" s="7"/>
      <c r="BE987" s="7"/>
      <c r="BF987" s="7"/>
      <c r="BG987" s="7"/>
      <c r="BH987" s="8">
        <f>SUM(BC987:BG987)</f>
        <v>0</v>
      </c>
      <c r="BJ987" s="6"/>
      <c r="BK987" s="7"/>
      <c r="BL987" s="7"/>
      <c r="BM987" s="7"/>
      <c r="BN987" s="7"/>
      <c r="BO987" s="8">
        <f>SUM(BJ987:BN987)</f>
        <v>0</v>
      </c>
      <c r="BQ987" s="6"/>
      <c r="BR987" s="7"/>
      <c r="BS987" s="7"/>
      <c r="BT987" s="7"/>
      <c r="BU987" s="7"/>
      <c r="BV987" s="8">
        <f>SUM(BQ987:BU987)</f>
        <v>0</v>
      </c>
      <c r="BX987" s="6"/>
      <c r="BY987" s="7"/>
      <c r="BZ987" s="7"/>
      <c r="CA987" s="7"/>
      <c r="CB987" s="7"/>
      <c r="CC987" s="8">
        <f>SUM(BX987:CB987)</f>
        <v>0</v>
      </c>
      <c r="CE987" s="28">
        <f t="shared" si="4534"/>
        <v>0</v>
      </c>
      <c r="CF987" s="29">
        <f t="shared" si="4535"/>
        <v>0</v>
      </c>
      <c r="CG987" s="29">
        <f t="shared" si="4536"/>
        <v>0</v>
      </c>
      <c r="CH987" s="29">
        <f t="shared" si="4537"/>
        <v>0</v>
      </c>
      <c r="CI987" s="29">
        <f t="shared" si="4538"/>
        <v>0</v>
      </c>
      <c r="CJ987" s="8">
        <f>SUM(CE987:CI987)</f>
        <v>0</v>
      </c>
      <c r="CL987" s="6"/>
      <c r="CM987" s="7"/>
      <c r="CN987" s="7"/>
      <c r="CO987" s="7"/>
      <c r="CP987" s="7"/>
      <c r="CQ987" s="8">
        <f>SUM(CL987:CP987)</f>
        <v>0</v>
      </c>
      <c r="CS987" s="6"/>
      <c r="CT987" s="7"/>
      <c r="CU987" s="7"/>
      <c r="CV987" s="7"/>
      <c r="CW987" s="7"/>
      <c r="CX987" s="8">
        <f t="shared" si="4543"/>
        <v>0</v>
      </c>
      <c r="CZ987" s="6"/>
      <c r="DA987" s="7"/>
      <c r="DB987" s="7"/>
      <c r="DC987" s="7"/>
      <c r="DD987" s="7"/>
      <c r="DE987" s="8">
        <f t="shared" si="4544"/>
        <v>0</v>
      </c>
    </row>
    <row r="988" spans="3:109" ht="14" thickBot="1">
      <c r="C988" s="567"/>
      <c r="E988" s="5" t="s">
        <v>62</v>
      </c>
      <c r="F988" s="23">
        <f t="shared" si="4539"/>
        <v>0</v>
      </c>
      <c r="G988" s="24">
        <f t="shared" si="4530"/>
        <v>0</v>
      </c>
      <c r="H988" s="24">
        <f t="shared" si="4531"/>
        <v>0</v>
      </c>
      <c r="I988" s="24">
        <f t="shared" si="4532"/>
        <v>0</v>
      </c>
      <c r="J988" s="24">
        <f t="shared" si="4533"/>
        <v>0</v>
      </c>
      <c r="K988" s="8">
        <f t="shared" si="4540"/>
        <v>0</v>
      </c>
      <c r="M988" s="6"/>
      <c r="N988" s="7"/>
      <c r="O988" s="7"/>
      <c r="P988" s="7"/>
      <c r="Q988" s="7"/>
      <c r="R988" s="8">
        <f t="shared" si="4541"/>
        <v>0</v>
      </c>
      <c r="T988" s="6"/>
      <c r="U988" s="7"/>
      <c r="V988" s="7"/>
      <c r="W988" s="7"/>
      <c r="X988" s="7"/>
      <c r="Y988" s="8">
        <f t="shared" si="4542"/>
        <v>0</v>
      </c>
      <c r="AA988" s="6"/>
      <c r="AB988" s="7"/>
      <c r="AC988" s="7"/>
      <c r="AD988" s="7"/>
      <c r="AE988" s="7"/>
      <c r="AF988" s="8">
        <f>SUM(AA988:AE988)</f>
        <v>0</v>
      </c>
      <c r="AH988" s="6"/>
      <c r="AI988" s="7"/>
      <c r="AJ988" s="7"/>
      <c r="AK988" s="7"/>
      <c r="AL988" s="7"/>
      <c r="AM988" s="8">
        <f>SUM(AH988:AL988)</f>
        <v>0</v>
      </c>
      <c r="AO988" s="6"/>
      <c r="AP988" s="7"/>
      <c r="AQ988" s="7"/>
      <c r="AR988" s="7"/>
      <c r="AS988" s="7"/>
      <c r="AT988" s="8">
        <f>SUM(AO988:AS988)</f>
        <v>0</v>
      </c>
      <c r="AV988" s="6"/>
      <c r="AW988" s="7"/>
      <c r="AX988" s="7"/>
      <c r="AY988" s="7"/>
      <c r="AZ988" s="7"/>
      <c r="BA988" s="8">
        <f>SUM(AV988:AZ988)</f>
        <v>0</v>
      </c>
      <c r="BC988" s="6"/>
      <c r="BD988" s="7"/>
      <c r="BE988" s="7"/>
      <c r="BF988" s="7"/>
      <c r="BG988" s="7"/>
      <c r="BH988" s="8">
        <f>SUM(BC988:BG988)</f>
        <v>0</v>
      </c>
      <c r="BJ988" s="6"/>
      <c r="BK988" s="7"/>
      <c r="BL988" s="7"/>
      <c r="BM988" s="7"/>
      <c r="BN988" s="7"/>
      <c r="BO988" s="8">
        <f>SUM(BJ988:BN988)</f>
        <v>0</v>
      </c>
      <c r="BQ988" s="6"/>
      <c r="BR988" s="7"/>
      <c r="BS988" s="7"/>
      <c r="BT988" s="7"/>
      <c r="BU988" s="7"/>
      <c r="BV988" s="8">
        <f>SUM(BQ988:BU988)</f>
        <v>0</v>
      </c>
      <c r="BX988" s="6"/>
      <c r="BY988" s="7"/>
      <c r="BZ988" s="7"/>
      <c r="CA988" s="7"/>
      <c r="CB988" s="7"/>
      <c r="CC988" s="8">
        <f>SUM(BX988:CB988)</f>
        <v>0</v>
      </c>
      <c r="CE988" s="493">
        <f t="shared" si="4534"/>
        <v>0</v>
      </c>
      <c r="CF988" s="494">
        <f t="shared" si="4535"/>
        <v>0</v>
      </c>
      <c r="CG988" s="494">
        <f t="shared" si="4536"/>
        <v>0</v>
      </c>
      <c r="CH988" s="494">
        <f t="shared" si="4537"/>
        <v>0</v>
      </c>
      <c r="CI988" s="494">
        <f t="shared" si="4538"/>
        <v>0</v>
      </c>
      <c r="CJ988" s="495">
        <f>SUM(CE988:CI988)</f>
        <v>0</v>
      </c>
      <c r="CL988" s="6"/>
      <c r="CM988" s="7"/>
      <c r="CN988" s="7"/>
      <c r="CO988" s="7"/>
      <c r="CP988" s="7"/>
      <c r="CQ988" s="8">
        <f>SUM(CL988:CP988)</f>
        <v>0</v>
      </c>
      <c r="CS988" s="6"/>
      <c r="CT988" s="7"/>
      <c r="CU988" s="7"/>
      <c r="CV988" s="7"/>
      <c r="CW988" s="7"/>
      <c r="CX988" s="8">
        <f t="shared" si="4543"/>
        <v>0</v>
      </c>
      <c r="CZ988" s="6"/>
      <c r="DA988" s="7"/>
      <c r="DB988" s="7"/>
      <c r="DC988" s="7"/>
      <c r="DD988" s="7"/>
      <c r="DE988" s="8">
        <f t="shared" si="4544"/>
        <v>0</v>
      </c>
    </row>
    <row r="989" spans="3:109" ht="14" thickBot="1">
      <c r="C989" s="554"/>
      <c r="E989" s="9"/>
      <c r="F989" s="10">
        <f>SUM(F985:F988)</f>
        <v>0</v>
      </c>
      <c r="G989" s="11">
        <f t="shared" ref="G989:J989" si="4545">SUM(G985:G988)</f>
        <v>0</v>
      </c>
      <c r="H989" s="11">
        <f t="shared" si="4545"/>
        <v>0</v>
      </c>
      <c r="I989" s="11">
        <f t="shared" si="4545"/>
        <v>0</v>
      </c>
      <c r="J989" s="11">
        <f t="shared" si="4545"/>
        <v>0</v>
      </c>
      <c r="K989" s="25">
        <f>SUM(K985:K988)</f>
        <v>0</v>
      </c>
      <c r="M989" s="10">
        <f>SUM(M985:M988)</f>
        <v>0</v>
      </c>
      <c r="N989" s="11">
        <f t="shared" ref="N989:Q989" si="4546">SUM(N985:N988)</f>
        <v>0</v>
      </c>
      <c r="O989" s="11">
        <f t="shared" si="4546"/>
        <v>0</v>
      </c>
      <c r="P989" s="11">
        <f t="shared" si="4546"/>
        <v>0</v>
      </c>
      <c r="Q989" s="11">
        <f t="shared" si="4546"/>
        <v>0</v>
      </c>
      <c r="R989" s="25">
        <f>SUM(R985:R988)</f>
        <v>0</v>
      </c>
      <c r="T989" s="10">
        <f>SUM(T985:T988)</f>
        <v>0</v>
      </c>
      <c r="U989" s="11">
        <f t="shared" ref="U989:X989" si="4547">SUM(U985:U988)</f>
        <v>0</v>
      </c>
      <c r="V989" s="11">
        <f t="shared" si="4547"/>
        <v>0</v>
      </c>
      <c r="W989" s="11">
        <f t="shared" si="4547"/>
        <v>0</v>
      </c>
      <c r="X989" s="11">
        <f t="shared" si="4547"/>
        <v>0</v>
      </c>
      <c r="Y989" s="25">
        <f>SUM(Y985:Y988)</f>
        <v>0</v>
      </c>
      <c r="AA989" s="10">
        <f>SUM(AA985:AA988)</f>
        <v>0</v>
      </c>
      <c r="AB989" s="11">
        <f t="shared" ref="AB989:AE989" si="4548">SUM(AB985:AB988)</f>
        <v>0</v>
      </c>
      <c r="AC989" s="11">
        <f t="shared" si="4548"/>
        <v>0</v>
      </c>
      <c r="AD989" s="11">
        <f t="shared" si="4548"/>
        <v>0</v>
      </c>
      <c r="AE989" s="11">
        <f t="shared" si="4548"/>
        <v>0</v>
      </c>
      <c r="AF989" s="25">
        <f>SUM(AF985:AF988)</f>
        <v>0</v>
      </c>
      <c r="AH989" s="10">
        <f>SUM(AH985:AH988)</f>
        <v>0</v>
      </c>
      <c r="AI989" s="11">
        <f t="shared" ref="AI989:AL989" si="4549">SUM(AI985:AI988)</f>
        <v>0</v>
      </c>
      <c r="AJ989" s="11">
        <f t="shared" si="4549"/>
        <v>0</v>
      </c>
      <c r="AK989" s="11">
        <f t="shared" si="4549"/>
        <v>0</v>
      </c>
      <c r="AL989" s="11">
        <f t="shared" si="4549"/>
        <v>0</v>
      </c>
      <c r="AM989" s="25">
        <f>SUM(AM985:AM988)</f>
        <v>0</v>
      </c>
      <c r="AO989" s="10">
        <f>SUM(AO985:AO988)</f>
        <v>0</v>
      </c>
      <c r="AP989" s="11">
        <f t="shared" ref="AP989:AS989" si="4550">SUM(AP985:AP988)</f>
        <v>0</v>
      </c>
      <c r="AQ989" s="11">
        <f t="shared" si="4550"/>
        <v>0</v>
      </c>
      <c r="AR989" s="11">
        <f t="shared" si="4550"/>
        <v>0</v>
      </c>
      <c r="AS989" s="11">
        <f t="shared" si="4550"/>
        <v>0</v>
      </c>
      <c r="AT989" s="25">
        <f>SUM(AT985:AT988)</f>
        <v>0</v>
      </c>
      <c r="AV989" s="10">
        <f>SUM(AV985:AV988)</f>
        <v>0</v>
      </c>
      <c r="AW989" s="11">
        <f t="shared" ref="AW989:AZ989" si="4551">SUM(AW985:AW988)</f>
        <v>0</v>
      </c>
      <c r="AX989" s="11">
        <f t="shared" si="4551"/>
        <v>0</v>
      </c>
      <c r="AY989" s="11">
        <f t="shared" si="4551"/>
        <v>0</v>
      </c>
      <c r="AZ989" s="11">
        <f t="shared" si="4551"/>
        <v>0</v>
      </c>
      <c r="BA989" s="25">
        <f>SUM(BA985:BA988)</f>
        <v>0</v>
      </c>
      <c r="BC989" s="10">
        <f>SUM(BC985:BC988)</f>
        <v>0</v>
      </c>
      <c r="BD989" s="11">
        <f t="shared" ref="BD989:BG989" si="4552">SUM(BD985:BD988)</f>
        <v>0</v>
      </c>
      <c r="BE989" s="11">
        <f t="shared" si="4552"/>
        <v>0</v>
      </c>
      <c r="BF989" s="11">
        <f t="shared" si="4552"/>
        <v>0</v>
      </c>
      <c r="BG989" s="11">
        <f t="shared" si="4552"/>
        <v>0</v>
      </c>
      <c r="BH989" s="25">
        <f>SUM(BH985:BH988)</f>
        <v>0</v>
      </c>
      <c r="BJ989" s="10">
        <f>SUM(BJ985:BJ988)</f>
        <v>0</v>
      </c>
      <c r="BK989" s="11">
        <f t="shared" ref="BK989:BN989" si="4553">SUM(BK985:BK988)</f>
        <v>0</v>
      </c>
      <c r="BL989" s="11">
        <f t="shared" si="4553"/>
        <v>0</v>
      </c>
      <c r="BM989" s="11">
        <f t="shared" si="4553"/>
        <v>0</v>
      </c>
      <c r="BN989" s="11">
        <f t="shared" si="4553"/>
        <v>0</v>
      </c>
      <c r="BO989" s="25">
        <f>SUM(BO985:BO988)</f>
        <v>0</v>
      </c>
      <c r="BQ989" s="10">
        <f>SUM(BQ985:BQ988)</f>
        <v>0</v>
      </c>
      <c r="BR989" s="11">
        <f t="shared" ref="BR989:BU989" si="4554">SUM(BR985:BR988)</f>
        <v>0</v>
      </c>
      <c r="BS989" s="11">
        <f t="shared" si="4554"/>
        <v>0</v>
      </c>
      <c r="BT989" s="11">
        <f t="shared" si="4554"/>
        <v>0</v>
      </c>
      <c r="BU989" s="11">
        <f t="shared" si="4554"/>
        <v>0</v>
      </c>
      <c r="BV989" s="25">
        <f>SUM(BV985:BV988)</f>
        <v>0</v>
      </c>
      <c r="BX989" s="10">
        <f>SUM(BX985:BX988)</f>
        <v>0</v>
      </c>
      <c r="BY989" s="11">
        <f t="shared" ref="BY989:CB989" si="4555">SUM(BY985:BY988)</f>
        <v>0</v>
      </c>
      <c r="BZ989" s="11">
        <f t="shared" si="4555"/>
        <v>0</v>
      </c>
      <c r="CA989" s="11">
        <f t="shared" si="4555"/>
        <v>0</v>
      </c>
      <c r="CB989" s="11">
        <f t="shared" si="4555"/>
        <v>0</v>
      </c>
      <c r="CC989" s="25">
        <f>SUM(CC985:CC988)</f>
        <v>0</v>
      </c>
      <c r="CE989" s="62">
        <f t="shared" ref="CE989:CJ989" si="4556">SUM(CE985:CE988)</f>
        <v>0</v>
      </c>
      <c r="CF989" s="63">
        <f t="shared" si="4556"/>
        <v>0</v>
      </c>
      <c r="CG989" s="63">
        <f t="shared" si="4556"/>
        <v>0</v>
      </c>
      <c r="CH989" s="63">
        <f t="shared" si="4556"/>
        <v>0</v>
      </c>
      <c r="CI989" s="63">
        <f t="shared" si="4556"/>
        <v>0</v>
      </c>
      <c r="CJ989" s="25">
        <f t="shared" si="4556"/>
        <v>0</v>
      </c>
      <c r="CL989" s="10">
        <f>SUM(CL985:CL988)</f>
        <v>0</v>
      </c>
      <c r="CM989" s="11">
        <f t="shared" ref="CM989:CP989" si="4557">SUM(CM985:CM988)</f>
        <v>0</v>
      </c>
      <c r="CN989" s="11">
        <f t="shared" si="4557"/>
        <v>0</v>
      </c>
      <c r="CO989" s="11">
        <f t="shared" si="4557"/>
        <v>0</v>
      </c>
      <c r="CP989" s="11">
        <f t="shared" si="4557"/>
        <v>0</v>
      </c>
      <c r="CQ989" s="25">
        <f>SUM(CQ985:CQ988)</f>
        <v>0</v>
      </c>
      <c r="CS989" s="10">
        <f>SUM(CS985:CS988)</f>
        <v>0</v>
      </c>
      <c r="CT989" s="11">
        <f t="shared" ref="CT989:CW989" si="4558">SUM(CT985:CT988)</f>
        <v>0</v>
      </c>
      <c r="CU989" s="11">
        <f t="shared" si="4558"/>
        <v>0</v>
      </c>
      <c r="CV989" s="11">
        <f t="shared" si="4558"/>
        <v>0</v>
      </c>
      <c r="CW989" s="11">
        <f t="shared" si="4558"/>
        <v>0</v>
      </c>
      <c r="CX989" s="25">
        <f>SUM(CX985:CX988)</f>
        <v>0</v>
      </c>
      <c r="CZ989" s="10">
        <f>SUM(CZ985:CZ988)</f>
        <v>0</v>
      </c>
      <c r="DA989" s="11">
        <f t="shared" ref="DA989:DD989" si="4559">SUM(DA985:DA988)</f>
        <v>0</v>
      </c>
      <c r="DB989" s="11">
        <f t="shared" si="4559"/>
        <v>0</v>
      </c>
      <c r="DC989" s="11">
        <f t="shared" si="4559"/>
        <v>0</v>
      </c>
      <c r="DD989" s="11">
        <f t="shared" si="4559"/>
        <v>0</v>
      </c>
      <c r="DE989" s="25">
        <f>SUM(DE985:DE988)</f>
        <v>0</v>
      </c>
    </row>
    <row r="990" spans="3:109" ht="10.4" customHeight="1" thickBot="1"/>
    <row r="991" spans="3:109">
      <c r="C991" s="553">
        <v>2028</v>
      </c>
      <c r="E991" s="1" t="s">
        <v>59</v>
      </c>
      <c r="F991" s="21">
        <f>CE985</f>
        <v>0</v>
      </c>
      <c r="G991" s="22">
        <f t="shared" ref="G991:G994" si="4560">CF985</f>
        <v>0</v>
      </c>
      <c r="H991" s="22">
        <f t="shared" ref="H991:H994" si="4561">CG985</f>
        <v>0</v>
      </c>
      <c r="I991" s="22">
        <f t="shared" ref="I991:I994" si="4562">CH985</f>
        <v>0</v>
      </c>
      <c r="J991" s="22">
        <f t="shared" ref="J991:J994" si="4563">CI985</f>
        <v>0</v>
      </c>
      <c r="K991" s="4">
        <f>SUM(F991:J991)</f>
        <v>0</v>
      </c>
      <c r="M991" s="2"/>
      <c r="N991" s="3"/>
      <c r="O991" s="3"/>
      <c r="P991" s="3"/>
      <c r="Q991" s="3"/>
      <c r="R991" s="4">
        <f>SUM(M991:Q991)</f>
        <v>0</v>
      </c>
      <c r="T991" s="2"/>
      <c r="U991" s="3"/>
      <c r="V991" s="3"/>
      <c r="W991" s="3"/>
      <c r="X991" s="3"/>
      <c r="Y991" s="4">
        <f>SUM(T991:X991)</f>
        <v>0</v>
      </c>
      <c r="AA991" s="2"/>
      <c r="AB991" s="3"/>
      <c r="AC991" s="3"/>
      <c r="AD991" s="3"/>
      <c r="AE991" s="3"/>
      <c r="AF991" s="4">
        <f>SUM(AA991:AE991)</f>
        <v>0</v>
      </c>
      <c r="AH991" s="2"/>
      <c r="AI991" s="3"/>
      <c r="AJ991" s="3"/>
      <c r="AK991" s="3"/>
      <c r="AL991" s="3"/>
      <c r="AM991" s="4">
        <f>SUM(AH991:AL991)</f>
        <v>0</v>
      </c>
      <c r="AO991" s="2"/>
      <c r="AP991" s="3"/>
      <c r="AQ991" s="3"/>
      <c r="AR991" s="3"/>
      <c r="AS991" s="3"/>
      <c r="AT991" s="4">
        <f>SUM(AO991:AS991)</f>
        <v>0</v>
      </c>
      <c r="AV991" s="2"/>
      <c r="AW991" s="3"/>
      <c r="AX991" s="3"/>
      <c r="AY991" s="3"/>
      <c r="AZ991" s="3"/>
      <c r="BA991" s="4">
        <f>SUM(AV991:AZ991)</f>
        <v>0</v>
      </c>
      <c r="BC991" s="2"/>
      <c r="BD991" s="3"/>
      <c r="BE991" s="3"/>
      <c r="BF991" s="3"/>
      <c r="BG991" s="3"/>
      <c r="BH991" s="4">
        <f>SUM(BC991:BG991)</f>
        <v>0</v>
      </c>
      <c r="BJ991" s="2"/>
      <c r="BK991" s="3"/>
      <c r="BL991" s="3"/>
      <c r="BM991" s="3"/>
      <c r="BN991" s="3"/>
      <c r="BO991" s="4">
        <f>SUM(BJ991:BN991)</f>
        <v>0</v>
      </c>
      <c r="BQ991" s="2"/>
      <c r="BR991" s="3"/>
      <c r="BS991" s="3"/>
      <c r="BT991" s="3"/>
      <c r="BU991" s="3"/>
      <c r="BV991" s="4">
        <f>SUM(BQ991:BU991)</f>
        <v>0</v>
      </c>
      <c r="BX991" s="2"/>
      <c r="BY991" s="3"/>
      <c r="BZ991" s="3"/>
      <c r="CA991" s="3"/>
      <c r="CB991" s="3"/>
      <c r="CC991" s="4">
        <f>SUM(BX991:CB991)</f>
        <v>0</v>
      </c>
      <c r="CE991" s="26">
        <f t="shared" ref="CE991:CE994" si="4564">F991+M991+T991+AA991+AH991+AO991+AV991+BC991+BJ991+BQ991+BX991</f>
        <v>0</v>
      </c>
      <c r="CF991" s="27">
        <f t="shared" ref="CF991:CF994" si="4565">G991+N991+U991+AB991+AI991+AP991+AW991+BD991+BK991+BR991+BY991</f>
        <v>0</v>
      </c>
      <c r="CG991" s="27">
        <f t="shared" ref="CG991:CG994" si="4566">H991+O991+V991+AC991+AJ991+AQ991+AX991+BE991+BL991+BS991+BZ991</f>
        <v>0</v>
      </c>
      <c r="CH991" s="27">
        <f t="shared" ref="CH991:CH994" si="4567">I991+P991+W991+AD991+AK991+AR991+AY991+BF991+BM991+BT991+CA991</f>
        <v>0</v>
      </c>
      <c r="CI991" s="27">
        <f t="shared" ref="CI991:CI994" si="4568">J991+Q991+X991+AE991+AL991+AS991+AZ991+BG991+BN991+BU991+CB991</f>
        <v>0</v>
      </c>
      <c r="CJ991" s="4">
        <f>SUM(CE991:CI991)</f>
        <v>0</v>
      </c>
      <c r="CL991" s="2"/>
      <c r="CM991" s="3"/>
      <c r="CN991" s="3"/>
      <c r="CO991" s="3"/>
      <c r="CP991" s="3"/>
      <c r="CQ991" s="4">
        <f>SUM(CL991:CP991)</f>
        <v>0</v>
      </c>
      <c r="CS991" s="2"/>
      <c r="CT991" s="3"/>
      <c r="CU991" s="3"/>
      <c r="CV991" s="3"/>
      <c r="CW991" s="3"/>
      <c r="CX991" s="4">
        <f>SUM(CS991:CW991)</f>
        <v>0</v>
      </c>
      <c r="CZ991" s="2"/>
      <c r="DA991" s="3"/>
      <c r="DB991" s="3"/>
      <c r="DC991" s="3"/>
      <c r="DD991" s="3"/>
      <c r="DE991" s="4">
        <f>SUM(CZ991:DD991)</f>
        <v>0</v>
      </c>
    </row>
    <row r="992" spans="3:109">
      <c r="C992" s="567"/>
      <c r="E992" s="5" t="s">
        <v>60</v>
      </c>
      <c r="F992" s="23">
        <f t="shared" ref="F992:F994" si="4569">CE986</f>
        <v>0</v>
      </c>
      <c r="G992" s="24">
        <f t="shared" si="4560"/>
        <v>0</v>
      </c>
      <c r="H992" s="24">
        <f t="shared" si="4561"/>
        <v>0</v>
      </c>
      <c r="I992" s="24">
        <f t="shared" si="4562"/>
        <v>0</v>
      </c>
      <c r="J992" s="24">
        <f t="shared" si="4563"/>
        <v>0</v>
      </c>
      <c r="K992" s="8">
        <f t="shared" ref="K992:K994" si="4570">SUM(F992:J992)</f>
        <v>0</v>
      </c>
      <c r="M992" s="6"/>
      <c r="N992" s="7"/>
      <c r="O992" s="7"/>
      <c r="P992" s="7"/>
      <c r="Q992" s="7"/>
      <c r="R992" s="8">
        <f t="shared" ref="R992:R994" si="4571">SUM(M992:Q992)</f>
        <v>0</v>
      </c>
      <c r="T992" s="6"/>
      <c r="U992" s="7"/>
      <c r="V992" s="7"/>
      <c r="W992" s="7"/>
      <c r="X992" s="7"/>
      <c r="Y992" s="8">
        <f t="shared" ref="Y992:Y994" si="4572">SUM(T992:X992)</f>
        <v>0</v>
      </c>
      <c r="AA992" s="6"/>
      <c r="AB992" s="7"/>
      <c r="AC992" s="7"/>
      <c r="AD992" s="7"/>
      <c r="AE992" s="7"/>
      <c r="AF992" s="8">
        <f>SUM(AA992:AE992)</f>
        <v>0</v>
      </c>
      <c r="AH992" s="6"/>
      <c r="AI992" s="7"/>
      <c r="AJ992" s="7"/>
      <c r="AK992" s="7"/>
      <c r="AL992" s="7"/>
      <c r="AM992" s="8">
        <f>SUM(AH992:AL992)</f>
        <v>0</v>
      </c>
      <c r="AO992" s="6"/>
      <c r="AP992" s="7"/>
      <c r="AQ992" s="7"/>
      <c r="AR992" s="7"/>
      <c r="AS992" s="7"/>
      <c r="AT992" s="8">
        <f>SUM(AO992:AS992)</f>
        <v>0</v>
      </c>
      <c r="AV992" s="6"/>
      <c r="AW992" s="7"/>
      <c r="AX992" s="7"/>
      <c r="AY992" s="7"/>
      <c r="AZ992" s="7"/>
      <c r="BA992" s="8">
        <f>SUM(AV992:AZ992)</f>
        <v>0</v>
      </c>
      <c r="BC992" s="6"/>
      <c r="BD992" s="7"/>
      <c r="BE992" s="7"/>
      <c r="BF992" s="7"/>
      <c r="BG992" s="7"/>
      <c r="BH992" s="8">
        <f>SUM(BC992:BG992)</f>
        <v>0</v>
      </c>
      <c r="BJ992" s="6"/>
      <c r="BK992" s="7"/>
      <c r="BL992" s="7"/>
      <c r="BM992" s="7"/>
      <c r="BN992" s="7"/>
      <c r="BO992" s="8">
        <f>SUM(BJ992:BN992)</f>
        <v>0</v>
      </c>
      <c r="BQ992" s="6"/>
      <c r="BR992" s="7"/>
      <c r="BS992" s="7"/>
      <c r="BT992" s="7"/>
      <c r="BU992" s="7"/>
      <c r="BV992" s="8">
        <f>SUM(BQ992:BU992)</f>
        <v>0</v>
      </c>
      <c r="BX992" s="6"/>
      <c r="BY992" s="7"/>
      <c r="BZ992" s="7"/>
      <c r="CA992" s="7"/>
      <c r="CB992" s="7"/>
      <c r="CC992" s="8">
        <f>SUM(BX992:CB992)</f>
        <v>0</v>
      </c>
      <c r="CE992" s="28">
        <f t="shared" si="4564"/>
        <v>0</v>
      </c>
      <c r="CF992" s="29">
        <f t="shared" si="4565"/>
        <v>0</v>
      </c>
      <c r="CG992" s="29">
        <f t="shared" si="4566"/>
        <v>0</v>
      </c>
      <c r="CH992" s="29">
        <f t="shared" si="4567"/>
        <v>0</v>
      </c>
      <c r="CI992" s="29">
        <f t="shared" si="4568"/>
        <v>0</v>
      </c>
      <c r="CJ992" s="8">
        <f>SUM(CE992:CI992)</f>
        <v>0</v>
      </c>
      <c r="CL992" s="6"/>
      <c r="CM992" s="7"/>
      <c r="CN992" s="7"/>
      <c r="CO992" s="7"/>
      <c r="CP992" s="7"/>
      <c r="CQ992" s="8">
        <f>SUM(CL992:CP992)</f>
        <v>0</v>
      </c>
      <c r="CS992" s="6"/>
      <c r="CT992" s="7"/>
      <c r="CU992" s="7"/>
      <c r="CV992" s="7"/>
      <c r="CW992" s="7"/>
      <c r="CX992" s="8">
        <f t="shared" ref="CX992:CX994" si="4573">SUM(CS992:CW992)</f>
        <v>0</v>
      </c>
      <c r="CZ992" s="6"/>
      <c r="DA992" s="7"/>
      <c r="DB992" s="7"/>
      <c r="DC992" s="7"/>
      <c r="DD992" s="7"/>
      <c r="DE992" s="8">
        <f t="shared" ref="DE992:DE994" si="4574">SUM(CZ992:DD992)</f>
        <v>0</v>
      </c>
    </row>
    <row r="993" spans="2:109">
      <c r="C993" s="567"/>
      <c r="E993" s="5" t="s">
        <v>61</v>
      </c>
      <c r="F993" s="23">
        <f t="shared" si="4569"/>
        <v>0</v>
      </c>
      <c r="G993" s="24">
        <f t="shared" si="4560"/>
        <v>0</v>
      </c>
      <c r="H993" s="24">
        <f t="shared" si="4561"/>
        <v>0</v>
      </c>
      <c r="I993" s="24">
        <f t="shared" si="4562"/>
        <v>0</v>
      </c>
      <c r="J993" s="24">
        <f t="shared" si="4563"/>
        <v>0</v>
      </c>
      <c r="K993" s="8">
        <f t="shared" si="4570"/>
        <v>0</v>
      </c>
      <c r="M993" s="6"/>
      <c r="N993" s="7"/>
      <c r="O993" s="7"/>
      <c r="P993" s="7"/>
      <c r="Q993" s="7"/>
      <c r="R993" s="8">
        <f t="shared" si="4571"/>
        <v>0</v>
      </c>
      <c r="T993" s="6"/>
      <c r="U993" s="7"/>
      <c r="V993" s="7"/>
      <c r="W993" s="7"/>
      <c r="X993" s="7"/>
      <c r="Y993" s="8">
        <f t="shared" si="4572"/>
        <v>0</v>
      </c>
      <c r="AA993" s="6"/>
      <c r="AB993" s="7"/>
      <c r="AC993" s="7"/>
      <c r="AD993" s="7"/>
      <c r="AE993" s="7"/>
      <c r="AF993" s="8">
        <f>SUM(AA993:AE993)</f>
        <v>0</v>
      </c>
      <c r="AH993" s="6"/>
      <c r="AI993" s="7"/>
      <c r="AJ993" s="7"/>
      <c r="AK993" s="7"/>
      <c r="AL993" s="7"/>
      <c r="AM993" s="8">
        <f>SUM(AH993:AL993)</f>
        <v>0</v>
      </c>
      <c r="AO993" s="6"/>
      <c r="AP993" s="7"/>
      <c r="AQ993" s="7"/>
      <c r="AR993" s="7"/>
      <c r="AS993" s="7"/>
      <c r="AT993" s="8">
        <f>SUM(AO993:AS993)</f>
        <v>0</v>
      </c>
      <c r="AV993" s="6"/>
      <c r="AW993" s="7"/>
      <c r="AX993" s="7"/>
      <c r="AY993" s="7"/>
      <c r="AZ993" s="7"/>
      <c r="BA993" s="8">
        <f>SUM(AV993:AZ993)</f>
        <v>0</v>
      </c>
      <c r="BC993" s="6"/>
      <c r="BD993" s="7"/>
      <c r="BE993" s="7"/>
      <c r="BF993" s="7"/>
      <c r="BG993" s="7"/>
      <c r="BH993" s="8">
        <f>SUM(BC993:BG993)</f>
        <v>0</v>
      </c>
      <c r="BJ993" s="6"/>
      <c r="BK993" s="7"/>
      <c r="BL993" s="7"/>
      <c r="BM993" s="7"/>
      <c r="BN993" s="7"/>
      <c r="BO993" s="8">
        <f>SUM(BJ993:BN993)</f>
        <v>0</v>
      </c>
      <c r="BQ993" s="6"/>
      <c r="BR993" s="7"/>
      <c r="BS993" s="7"/>
      <c r="BT993" s="7"/>
      <c r="BU993" s="7"/>
      <c r="BV993" s="8">
        <f>SUM(BQ993:BU993)</f>
        <v>0</v>
      </c>
      <c r="BX993" s="6"/>
      <c r="BY993" s="7"/>
      <c r="BZ993" s="7"/>
      <c r="CA993" s="7"/>
      <c r="CB993" s="7"/>
      <c r="CC993" s="8">
        <f>SUM(BX993:CB993)</f>
        <v>0</v>
      </c>
      <c r="CE993" s="28">
        <f t="shared" si="4564"/>
        <v>0</v>
      </c>
      <c r="CF993" s="29">
        <f t="shared" si="4565"/>
        <v>0</v>
      </c>
      <c r="CG993" s="29">
        <f t="shared" si="4566"/>
        <v>0</v>
      </c>
      <c r="CH993" s="29">
        <f t="shared" si="4567"/>
        <v>0</v>
      </c>
      <c r="CI993" s="29">
        <f t="shared" si="4568"/>
        <v>0</v>
      </c>
      <c r="CJ993" s="8">
        <f>SUM(CE993:CI993)</f>
        <v>0</v>
      </c>
      <c r="CL993" s="6"/>
      <c r="CM993" s="7"/>
      <c r="CN993" s="7"/>
      <c r="CO993" s="7"/>
      <c r="CP993" s="7"/>
      <c r="CQ993" s="8">
        <f>SUM(CL993:CP993)</f>
        <v>0</v>
      </c>
      <c r="CS993" s="6"/>
      <c r="CT993" s="7"/>
      <c r="CU993" s="7"/>
      <c r="CV993" s="7"/>
      <c r="CW993" s="7"/>
      <c r="CX993" s="8">
        <f t="shared" si="4573"/>
        <v>0</v>
      </c>
      <c r="CZ993" s="6"/>
      <c r="DA993" s="7"/>
      <c r="DB993" s="7"/>
      <c r="DC993" s="7"/>
      <c r="DD993" s="7"/>
      <c r="DE993" s="8">
        <f t="shared" si="4574"/>
        <v>0</v>
      </c>
    </row>
    <row r="994" spans="2:109" ht="14" thickBot="1">
      <c r="C994" s="567"/>
      <c r="E994" s="5" t="s">
        <v>62</v>
      </c>
      <c r="F994" s="23">
        <f t="shared" si="4569"/>
        <v>0</v>
      </c>
      <c r="G994" s="24">
        <f t="shared" si="4560"/>
        <v>0</v>
      </c>
      <c r="H994" s="24">
        <f t="shared" si="4561"/>
        <v>0</v>
      </c>
      <c r="I994" s="24">
        <f t="shared" si="4562"/>
        <v>0</v>
      </c>
      <c r="J994" s="24">
        <f t="shared" si="4563"/>
        <v>0</v>
      </c>
      <c r="K994" s="8">
        <f t="shared" si="4570"/>
        <v>0</v>
      </c>
      <c r="M994" s="6"/>
      <c r="N994" s="7"/>
      <c r="O994" s="7"/>
      <c r="P994" s="7"/>
      <c r="Q994" s="7"/>
      <c r="R994" s="8">
        <f t="shared" si="4571"/>
        <v>0</v>
      </c>
      <c r="T994" s="6"/>
      <c r="U994" s="7"/>
      <c r="V994" s="7"/>
      <c r="W994" s="7"/>
      <c r="X994" s="7"/>
      <c r="Y994" s="8">
        <f t="shared" si="4572"/>
        <v>0</v>
      </c>
      <c r="AA994" s="6"/>
      <c r="AB994" s="7"/>
      <c r="AC994" s="7"/>
      <c r="AD994" s="7"/>
      <c r="AE994" s="7"/>
      <c r="AF994" s="8">
        <f>SUM(AA994:AE994)</f>
        <v>0</v>
      </c>
      <c r="AH994" s="6"/>
      <c r="AI994" s="7"/>
      <c r="AJ994" s="7"/>
      <c r="AK994" s="7"/>
      <c r="AL994" s="7"/>
      <c r="AM994" s="8">
        <f>SUM(AH994:AL994)</f>
        <v>0</v>
      </c>
      <c r="AO994" s="6"/>
      <c r="AP994" s="7"/>
      <c r="AQ994" s="7"/>
      <c r="AR994" s="7"/>
      <c r="AS994" s="7"/>
      <c r="AT994" s="8">
        <f>SUM(AO994:AS994)</f>
        <v>0</v>
      </c>
      <c r="AV994" s="6"/>
      <c r="AW994" s="7"/>
      <c r="AX994" s="7"/>
      <c r="AY994" s="7"/>
      <c r="AZ994" s="7"/>
      <c r="BA994" s="8">
        <f>SUM(AV994:AZ994)</f>
        <v>0</v>
      </c>
      <c r="BC994" s="6"/>
      <c r="BD994" s="7"/>
      <c r="BE994" s="7"/>
      <c r="BF994" s="7"/>
      <c r="BG994" s="7"/>
      <c r="BH994" s="8">
        <f>SUM(BC994:BG994)</f>
        <v>0</v>
      </c>
      <c r="BJ994" s="6"/>
      <c r="BK994" s="7"/>
      <c r="BL994" s="7"/>
      <c r="BM994" s="7"/>
      <c r="BN994" s="7"/>
      <c r="BO994" s="8">
        <f>SUM(BJ994:BN994)</f>
        <v>0</v>
      </c>
      <c r="BQ994" s="6"/>
      <c r="BR994" s="7"/>
      <c r="BS994" s="7"/>
      <c r="BT994" s="7"/>
      <c r="BU994" s="7"/>
      <c r="BV994" s="8">
        <f>SUM(BQ994:BU994)</f>
        <v>0</v>
      </c>
      <c r="BX994" s="6"/>
      <c r="BY994" s="7"/>
      <c r="BZ994" s="7"/>
      <c r="CA994" s="7"/>
      <c r="CB994" s="7"/>
      <c r="CC994" s="8">
        <f>SUM(BX994:CB994)</f>
        <v>0</v>
      </c>
      <c r="CE994" s="493">
        <f t="shared" si="4564"/>
        <v>0</v>
      </c>
      <c r="CF994" s="494">
        <f t="shared" si="4565"/>
        <v>0</v>
      </c>
      <c r="CG994" s="494">
        <f t="shared" si="4566"/>
        <v>0</v>
      </c>
      <c r="CH994" s="494">
        <f t="shared" si="4567"/>
        <v>0</v>
      </c>
      <c r="CI994" s="494">
        <f t="shared" si="4568"/>
        <v>0</v>
      </c>
      <c r="CJ994" s="495">
        <f>SUM(CE994:CI994)</f>
        <v>0</v>
      </c>
      <c r="CL994" s="6"/>
      <c r="CM994" s="7"/>
      <c r="CN994" s="7"/>
      <c r="CO994" s="7"/>
      <c r="CP994" s="7"/>
      <c r="CQ994" s="8">
        <f>SUM(CL994:CP994)</f>
        <v>0</v>
      </c>
      <c r="CS994" s="6"/>
      <c r="CT994" s="7"/>
      <c r="CU994" s="7"/>
      <c r="CV994" s="7"/>
      <c r="CW994" s="7"/>
      <c r="CX994" s="8">
        <f t="shared" si="4573"/>
        <v>0</v>
      </c>
      <c r="CZ994" s="6"/>
      <c r="DA994" s="7"/>
      <c r="DB994" s="7"/>
      <c r="DC994" s="7"/>
      <c r="DD994" s="7"/>
      <c r="DE994" s="8">
        <f t="shared" si="4574"/>
        <v>0</v>
      </c>
    </row>
    <row r="995" spans="2:109" ht="14" thickBot="1">
      <c r="C995" s="554"/>
      <c r="E995" s="9"/>
      <c r="F995" s="10">
        <f>SUM(F991:F994)</f>
        <v>0</v>
      </c>
      <c r="G995" s="11">
        <f t="shared" ref="G995:J995" si="4575">SUM(G991:G994)</f>
        <v>0</v>
      </c>
      <c r="H995" s="11">
        <f t="shared" si="4575"/>
        <v>0</v>
      </c>
      <c r="I995" s="11">
        <f t="shared" si="4575"/>
        <v>0</v>
      </c>
      <c r="J995" s="11">
        <f t="shared" si="4575"/>
        <v>0</v>
      </c>
      <c r="K995" s="25">
        <f>SUM(K991:K994)</f>
        <v>0</v>
      </c>
      <c r="M995" s="10">
        <f>SUM(M991:M994)</f>
        <v>0</v>
      </c>
      <c r="N995" s="11">
        <f t="shared" ref="N995:Q995" si="4576">SUM(N991:N994)</f>
        <v>0</v>
      </c>
      <c r="O995" s="11">
        <f t="shared" si="4576"/>
        <v>0</v>
      </c>
      <c r="P995" s="11">
        <f t="shared" si="4576"/>
        <v>0</v>
      </c>
      <c r="Q995" s="11">
        <f t="shared" si="4576"/>
        <v>0</v>
      </c>
      <c r="R995" s="25">
        <f>SUM(R991:R994)</f>
        <v>0</v>
      </c>
      <c r="T995" s="10">
        <f>SUM(T991:T994)</f>
        <v>0</v>
      </c>
      <c r="U995" s="11">
        <f t="shared" ref="U995:X995" si="4577">SUM(U991:U994)</f>
        <v>0</v>
      </c>
      <c r="V995" s="11">
        <f t="shared" si="4577"/>
        <v>0</v>
      </c>
      <c r="W995" s="11">
        <f t="shared" si="4577"/>
        <v>0</v>
      </c>
      <c r="X995" s="11">
        <f t="shared" si="4577"/>
        <v>0</v>
      </c>
      <c r="Y995" s="25">
        <f>SUM(Y991:Y994)</f>
        <v>0</v>
      </c>
      <c r="AA995" s="10">
        <f>SUM(AA991:AA994)</f>
        <v>0</v>
      </c>
      <c r="AB995" s="11">
        <f t="shared" ref="AB995:AE995" si="4578">SUM(AB991:AB994)</f>
        <v>0</v>
      </c>
      <c r="AC995" s="11">
        <f t="shared" si="4578"/>
        <v>0</v>
      </c>
      <c r="AD995" s="11">
        <f t="shared" si="4578"/>
        <v>0</v>
      </c>
      <c r="AE995" s="11">
        <f t="shared" si="4578"/>
        <v>0</v>
      </c>
      <c r="AF995" s="25">
        <f>SUM(AF991:AF994)</f>
        <v>0</v>
      </c>
      <c r="AH995" s="10">
        <f>SUM(AH991:AH994)</f>
        <v>0</v>
      </c>
      <c r="AI995" s="11">
        <f t="shared" ref="AI995:AL995" si="4579">SUM(AI991:AI994)</f>
        <v>0</v>
      </c>
      <c r="AJ995" s="11">
        <f t="shared" si="4579"/>
        <v>0</v>
      </c>
      <c r="AK995" s="11">
        <f t="shared" si="4579"/>
        <v>0</v>
      </c>
      <c r="AL995" s="11">
        <f t="shared" si="4579"/>
        <v>0</v>
      </c>
      <c r="AM995" s="25">
        <f>SUM(AM991:AM994)</f>
        <v>0</v>
      </c>
      <c r="AO995" s="10">
        <f>SUM(AO991:AO994)</f>
        <v>0</v>
      </c>
      <c r="AP995" s="11">
        <f t="shared" ref="AP995:AS995" si="4580">SUM(AP991:AP994)</f>
        <v>0</v>
      </c>
      <c r="AQ995" s="11">
        <f t="shared" si="4580"/>
        <v>0</v>
      </c>
      <c r="AR995" s="11">
        <f t="shared" si="4580"/>
        <v>0</v>
      </c>
      <c r="AS995" s="11">
        <f t="shared" si="4580"/>
        <v>0</v>
      </c>
      <c r="AT995" s="25">
        <f>SUM(AT991:AT994)</f>
        <v>0</v>
      </c>
      <c r="AV995" s="10">
        <f>SUM(AV991:AV994)</f>
        <v>0</v>
      </c>
      <c r="AW995" s="11">
        <f t="shared" ref="AW995:AZ995" si="4581">SUM(AW991:AW994)</f>
        <v>0</v>
      </c>
      <c r="AX995" s="11">
        <f t="shared" si="4581"/>
        <v>0</v>
      </c>
      <c r="AY995" s="11">
        <f t="shared" si="4581"/>
        <v>0</v>
      </c>
      <c r="AZ995" s="11">
        <f t="shared" si="4581"/>
        <v>0</v>
      </c>
      <c r="BA995" s="25">
        <f>SUM(BA991:BA994)</f>
        <v>0</v>
      </c>
      <c r="BC995" s="10">
        <f>SUM(BC991:BC994)</f>
        <v>0</v>
      </c>
      <c r="BD995" s="11">
        <f t="shared" ref="BD995:BG995" si="4582">SUM(BD991:BD994)</f>
        <v>0</v>
      </c>
      <c r="BE995" s="11">
        <f t="shared" si="4582"/>
        <v>0</v>
      </c>
      <c r="BF995" s="11">
        <f t="shared" si="4582"/>
        <v>0</v>
      </c>
      <c r="BG995" s="11">
        <f t="shared" si="4582"/>
        <v>0</v>
      </c>
      <c r="BH995" s="25">
        <f>SUM(BH991:BH994)</f>
        <v>0</v>
      </c>
      <c r="BJ995" s="10">
        <f>SUM(BJ991:BJ994)</f>
        <v>0</v>
      </c>
      <c r="BK995" s="11">
        <f t="shared" ref="BK995:BN995" si="4583">SUM(BK991:BK994)</f>
        <v>0</v>
      </c>
      <c r="BL995" s="11">
        <f t="shared" si="4583"/>
        <v>0</v>
      </c>
      <c r="BM995" s="11">
        <f t="shared" si="4583"/>
        <v>0</v>
      </c>
      <c r="BN995" s="11">
        <f t="shared" si="4583"/>
        <v>0</v>
      </c>
      <c r="BO995" s="25">
        <f>SUM(BO991:BO994)</f>
        <v>0</v>
      </c>
      <c r="BQ995" s="10">
        <f>SUM(BQ991:BQ994)</f>
        <v>0</v>
      </c>
      <c r="BR995" s="11">
        <f t="shared" ref="BR995:BU995" si="4584">SUM(BR991:BR994)</f>
        <v>0</v>
      </c>
      <c r="BS995" s="11">
        <f t="shared" si="4584"/>
        <v>0</v>
      </c>
      <c r="BT995" s="11">
        <f t="shared" si="4584"/>
        <v>0</v>
      </c>
      <c r="BU995" s="11">
        <f t="shared" si="4584"/>
        <v>0</v>
      </c>
      <c r="BV995" s="25">
        <f>SUM(BV991:BV994)</f>
        <v>0</v>
      </c>
      <c r="BX995" s="10">
        <f>SUM(BX991:BX994)</f>
        <v>0</v>
      </c>
      <c r="BY995" s="11">
        <f t="shared" ref="BY995:CB995" si="4585">SUM(BY991:BY994)</f>
        <v>0</v>
      </c>
      <c r="BZ995" s="11">
        <f t="shared" si="4585"/>
        <v>0</v>
      </c>
      <c r="CA995" s="11">
        <f t="shared" si="4585"/>
        <v>0</v>
      </c>
      <c r="CB995" s="11">
        <f t="shared" si="4585"/>
        <v>0</v>
      </c>
      <c r="CC995" s="25">
        <f>SUM(CC991:CC994)</f>
        <v>0</v>
      </c>
      <c r="CE995" s="62">
        <f t="shared" ref="CE995:CJ995" si="4586">SUM(CE991:CE994)</f>
        <v>0</v>
      </c>
      <c r="CF995" s="63">
        <f t="shared" si="4586"/>
        <v>0</v>
      </c>
      <c r="CG995" s="63">
        <f t="shared" si="4586"/>
        <v>0</v>
      </c>
      <c r="CH995" s="63">
        <f t="shared" si="4586"/>
        <v>0</v>
      </c>
      <c r="CI995" s="63">
        <f t="shared" si="4586"/>
        <v>0</v>
      </c>
      <c r="CJ995" s="25">
        <f t="shared" si="4586"/>
        <v>0</v>
      </c>
      <c r="CL995" s="10">
        <f>SUM(CL991:CL994)</f>
        <v>0</v>
      </c>
      <c r="CM995" s="11">
        <f t="shared" ref="CM995:CP995" si="4587">SUM(CM991:CM994)</f>
        <v>0</v>
      </c>
      <c r="CN995" s="11">
        <f t="shared" si="4587"/>
        <v>0</v>
      </c>
      <c r="CO995" s="11">
        <f t="shared" si="4587"/>
        <v>0</v>
      </c>
      <c r="CP995" s="11">
        <f t="shared" si="4587"/>
        <v>0</v>
      </c>
      <c r="CQ995" s="25">
        <f>SUM(CQ991:CQ994)</f>
        <v>0</v>
      </c>
      <c r="CS995" s="10">
        <f>SUM(CS991:CS994)</f>
        <v>0</v>
      </c>
      <c r="CT995" s="11">
        <f t="shared" ref="CT995:CW995" si="4588">SUM(CT991:CT994)</f>
        <v>0</v>
      </c>
      <c r="CU995" s="11">
        <f t="shared" si="4588"/>
        <v>0</v>
      </c>
      <c r="CV995" s="11">
        <f t="shared" si="4588"/>
        <v>0</v>
      </c>
      <c r="CW995" s="11">
        <f t="shared" si="4588"/>
        <v>0</v>
      </c>
      <c r="CX995" s="25">
        <f>SUM(CX991:CX994)</f>
        <v>0</v>
      </c>
      <c r="CZ995" s="10">
        <f>SUM(CZ991:CZ994)</f>
        <v>0</v>
      </c>
      <c r="DA995" s="11">
        <f t="shared" ref="DA995:DD995" si="4589">SUM(DA991:DA994)</f>
        <v>0</v>
      </c>
      <c r="DB995" s="11">
        <f t="shared" si="4589"/>
        <v>0</v>
      </c>
      <c r="DC995" s="11">
        <f t="shared" si="4589"/>
        <v>0</v>
      </c>
      <c r="DD995" s="11">
        <f t="shared" si="4589"/>
        <v>0</v>
      </c>
      <c r="DE995" s="25">
        <f>SUM(DE991:DE994)</f>
        <v>0</v>
      </c>
    </row>
    <row r="997" spans="2:109">
      <c r="B997" s="123"/>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c r="BU997" s="20"/>
      <c r="BV997" s="20"/>
      <c r="BW997" s="20"/>
      <c r="BX997" s="20"/>
      <c r="BY997" s="20"/>
      <c r="BZ997" s="20"/>
      <c r="CA997" s="20"/>
      <c r="CB997" s="20"/>
      <c r="CC997" s="20"/>
      <c r="CD997" s="20"/>
      <c r="CE997" s="20"/>
      <c r="CF997" s="20"/>
      <c r="CG997" s="20"/>
      <c r="CH997" s="20"/>
      <c r="CI997" s="20"/>
      <c r="CJ997" s="20"/>
      <c r="CL997" s="20"/>
      <c r="CM997" s="20"/>
      <c r="CN997" s="20"/>
      <c r="CO997" s="20"/>
      <c r="CP997" s="20"/>
      <c r="CQ997" s="20"/>
      <c r="CR997" s="20"/>
      <c r="CS997" s="20"/>
      <c r="CT997" s="20"/>
      <c r="CU997" s="20"/>
      <c r="CV997" s="20"/>
      <c r="CW997" s="20"/>
      <c r="CX997" s="20"/>
      <c r="CY997" s="20"/>
      <c r="CZ997" s="20"/>
      <c r="DA997" s="20"/>
      <c r="DB997" s="20"/>
      <c r="DC997" s="20"/>
      <c r="DD997" s="20"/>
      <c r="DE997" s="20"/>
    </row>
    <row r="998" spans="2:109" ht="14" thickBot="1">
      <c r="B998" s="94">
        <v>32</v>
      </c>
      <c r="C998" s="12" t="s">
        <v>93</v>
      </c>
    </row>
    <row r="999" spans="2:109">
      <c r="C999" s="553">
        <v>2024</v>
      </c>
      <c r="E999" s="1" t="s">
        <v>59</v>
      </c>
      <c r="F999" s="145"/>
      <c r="G999" s="146"/>
      <c r="H999" s="146"/>
      <c r="I999" s="146"/>
      <c r="J999" s="146"/>
      <c r="K999" s="4">
        <f>SUM(F999:J999)</f>
        <v>0</v>
      </c>
      <c r="M999" s="145"/>
      <c r="N999" s="146"/>
      <c r="O999" s="146"/>
      <c r="P999" s="146"/>
      <c r="Q999" s="146"/>
      <c r="R999" s="4">
        <f>SUM(M999:Q999)</f>
        <v>0</v>
      </c>
      <c r="T999" s="145"/>
      <c r="U999" s="146"/>
      <c r="V999" s="146"/>
      <c r="W999" s="146"/>
      <c r="X999" s="146"/>
      <c r="Y999" s="4">
        <f>SUM(T999:X999)</f>
        <v>0</v>
      </c>
      <c r="AA999" s="145"/>
      <c r="AB999" s="146"/>
      <c r="AC999" s="146"/>
      <c r="AD999" s="146"/>
      <c r="AE999" s="146"/>
      <c r="AF999" s="4">
        <f>SUM(AA999:AE999)</f>
        <v>0</v>
      </c>
      <c r="AH999" s="145"/>
      <c r="AI999" s="146"/>
      <c r="AJ999" s="146"/>
      <c r="AK999" s="146"/>
      <c r="AL999" s="146"/>
      <c r="AM999" s="4">
        <f>SUM(AH999:AL999)</f>
        <v>0</v>
      </c>
      <c r="AO999" s="145"/>
      <c r="AP999" s="146"/>
      <c r="AQ999" s="146"/>
      <c r="AR999" s="146"/>
      <c r="AS999" s="146"/>
      <c r="AT999" s="4">
        <f>SUM(AO999:AS999)</f>
        <v>0</v>
      </c>
      <c r="AV999" s="145"/>
      <c r="AW999" s="146"/>
      <c r="AX999" s="146"/>
      <c r="AY999" s="146"/>
      <c r="AZ999" s="146"/>
      <c r="BA999" s="4">
        <f>SUM(AV999:AZ999)</f>
        <v>0</v>
      </c>
      <c r="BC999" s="145"/>
      <c r="BD999" s="146"/>
      <c r="BE999" s="146"/>
      <c r="BF999" s="146"/>
      <c r="BG999" s="146"/>
      <c r="BH999" s="4">
        <f>SUM(BC999:BG999)</f>
        <v>0</v>
      </c>
      <c r="BJ999" s="145"/>
      <c r="BK999" s="146"/>
      <c r="BL999" s="146"/>
      <c r="BM999" s="146"/>
      <c r="BN999" s="146"/>
      <c r="BO999" s="4">
        <f>SUM(BJ999:BN999)</f>
        <v>0</v>
      </c>
      <c r="BQ999" s="145"/>
      <c r="BR999" s="146"/>
      <c r="BS999" s="146"/>
      <c r="BT999" s="146"/>
      <c r="BU999" s="146"/>
      <c r="BV999" s="4">
        <f>SUM(BQ999:BU999)</f>
        <v>0</v>
      </c>
      <c r="BX999" s="145"/>
      <c r="BY999" s="146"/>
      <c r="BZ999" s="146"/>
      <c r="CA999" s="146"/>
      <c r="CB999" s="146"/>
      <c r="CC999" s="4">
        <f>SUM(BX999:CB999)</f>
        <v>0</v>
      </c>
      <c r="CE999" s="26">
        <f t="shared" ref="CE999:CE1002" si="4590">F999+M999+T999+AA999+AH999+AO999+AV999+BC999+BJ999+BQ999+BX999</f>
        <v>0</v>
      </c>
      <c r="CF999" s="27">
        <f t="shared" ref="CF999:CF1002" si="4591">G999+N999+U999+AB999+AI999+AP999+AW999+BD999+BK999+BR999+BY999</f>
        <v>0</v>
      </c>
      <c r="CG999" s="27">
        <f t="shared" ref="CG999:CG1002" si="4592">H999+O999+V999+AC999+AJ999+AQ999+AX999+BE999+BL999+BS999+BZ999</f>
        <v>0</v>
      </c>
      <c r="CH999" s="27">
        <f t="shared" ref="CH999:CH1002" si="4593">I999+P999+W999+AD999+AK999+AR999+AY999+BF999+BM999+BT999+CA999</f>
        <v>0</v>
      </c>
      <c r="CI999" s="27">
        <f t="shared" ref="CI999:CI1002" si="4594">J999+Q999+X999+AE999+AL999+AS999+AZ999+BG999+BN999+BU999+CB999</f>
        <v>0</v>
      </c>
      <c r="CJ999" s="4">
        <f>SUM(CE999:CI999)</f>
        <v>0</v>
      </c>
      <c r="CL999" s="145"/>
      <c r="CM999" s="146"/>
      <c r="CN999" s="146"/>
      <c r="CO999" s="146"/>
      <c r="CP999" s="146"/>
      <c r="CQ999" s="4">
        <f>SUM(CL999:CP999)</f>
        <v>0</v>
      </c>
      <c r="CS999" s="145"/>
      <c r="CT999" s="146"/>
      <c r="CU999" s="146"/>
      <c r="CV999" s="146"/>
      <c r="CW999" s="146"/>
      <c r="CX999" s="4">
        <f>SUM(CS999:CW999)</f>
        <v>0</v>
      </c>
      <c r="CZ999" s="145"/>
      <c r="DA999" s="146"/>
      <c r="DB999" s="146"/>
      <c r="DC999" s="146"/>
      <c r="DD999" s="146"/>
      <c r="DE999" s="4">
        <f>SUM(CZ999:DD999)</f>
        <v>0</v>
      </c>
    </row>
    <row r="1000" spans="2:109">
      <c r="C1000" s="567"/>
      <c r="E1000" s="5" t="s">
        <v>60</v>
      </c>
      <c r="F1000" s="147"/>
      <c r="G1000" s="148"/>
      <c r="H1000" s="148"/>
      <c r="I1000" s="148"/>
      <c r="J1000" s="148"/>
      <c r="K1000" s="8">
        <f t="shared" ref="K1000:K1002" si="4595">SUM(F1000:J1000)</f>
        <v>0</v>
      </c>
      <c r="M1000" s="147"/>
      <c r="N1000" s="148"/>
      <c r="O1000" s="148"/>
      <c r="P1000" s="148"/>
      <c r="Q1000" s="148"/>
      <c r="R1000" s="8">
        <f t="shared" ref="R1000:R1002" si="4596">SUM(M1000:Q1000)</f>
        <v>0</v>
      </c>
      <c r="T1000" s="147"/>
      <c r="U1000" s="148"/>
      <c r="V1000" s="148"/>
      <c r="W1000" s="148"/>
      <c r="X1000" s="148"/>
      <c r="Y1000" s="8">
        <f t="shared" ref="Y1000:Y1002" si="4597">SUM(T1000:X1000)</f>
        <v>0</v>
      </c>
      <c r="AA1000" s="147"/>
      <c r="AB1000" s="148"/>
      <c r="AC1000" s="148"/>
      <c r="AD1000" s="148"/>
      <c r="AE1000" s="148"/>
      <c r="AF1000" s="8">
        <f>SUM(AA1000:AE1000)</f>
        <v>0</v>
      </c>
      <c r="AH1000" s="147"/>
      <c r="AI1000" s="148"/>
      <c r="AJ1000" s="148"/>
      <c r="AK1000" s="148"/>
      <c r="AL1000" s="148"/>
      <c r="AM1000" s="8">
        <f>SUM(AH1000:AL1000)</f>
        <v>0</v>
      </c>
      <c r="AO1000" s="147"/>
      <c r="AP1000" s="148"/>
      <c r="AQ1000" s="148"/>
      <c r="AR1000" s="148"/>
      <c r="AS1000" s="148"/>
      <c r="AT1000" s="8">
        <f>SUM(AO1000:AS1000)</f>
        <v>0</v>
      </c>
      <c r="AV1000" s="147"/>
      <c r="AW1000" s="148"/>
      <c r="AX1000" s="148"/>
      <c r="AY1000" s="148"/>
      <c r="AZ1000" s="148"/>
      <c r="BA1000" s="8">
        <f>SUM(AV1000:AZ1000)</f>
        <v>0</v>
      </c>
      <c r="BC1000" s="147"/>
      <c r="BD1000" s="148"/>
      <c r="BE1000" s="148"/>
      <c r="BF1000" s="148"/>
      <c r="BG1000" s="148"/>
      <c r="BH1000" s="8">
        <f>SUM(BC1000:BG1000)</f>
        <v>0</v>
      </c>
      <c r="BJ1000" s="147"/>
      <c r="BK1000" s="148"/>
      <c r="BL1000" s="148"/>
      <c r="BM1000" s="148"/>
      <c r="BN1000" s="148"/>
      <c r="BO1000" s="8">
        <f>SUM(BJ1000:BN1000)</f>
        <v>0</v>
      </c>
      <c r="BQ1000" s="147"/>
      <c r="BR1000" s="148"/>
      <c r="BS1000" s="148"/>
      <c r="BT1000" s="148"/>
      <c r="BU1000" s="148"/>
      <c r="BV1000" s="8">
        <f>SUM(BQ1000:BU1000)</f>
        <v>0</v>
      </c>
      <c r="BX1000" s="147"/>
      <c r="BY1000" s="148"/>
      <c r="BZ1000" s="148"/>
      <c r="CA1000" s="148"/>
      <c r="CB1000" s="148"/>
      <c r="CC1000" s="8">
        <f>SUM(BX1000:CB1000)</f>
        <v>0</v>
      </c>
      <c r="CE1000" s="28">
        <f t="shared" si="4590"/>
        <v>0</v>
      </c>
      <c r="CF1000" s="29">
        <f t="shared" si="4591"/>
        <v>0</v>
      </c>
      <c r="CG1000" s="29">
        <f t="shared" si="4592"/>
        <v>0</v>
      </c>
      <c r="CH1000" s="29">
        <f t="shared" si="4593"/>
        <v>0</v>
      </c>
      <c r="CI1000" s="29">
        <f t="shared" si="4594"/>
        <v>0</v>
      </c>
      <c r="CJ1000" s="8">
        <f>SUM(CE1000:CI1000)</f>
        <v>0</v>
      </c>
      <c r="CL1000" s="147"/>
      <c r="CM1000" s="148"/>
      <c r="CN1000" s="148"/>
      <c r="CO1000" s="148"/>
      <c r="CP1000" s="148"/>
      <c r="CQ1000" s="8">
        <f>SUM(CL1000:CP1000)</f>
        <v>0</v>
      </c>
      <c r="CS1000" s="147"/>
      <c r="CT1000" s="148"/>
      <c r="CU1000" s="148"/>
      <c r="CV1000" s="148"/>
      <c r="CW1000" s="148"/>
      <c r="CX1000" s="8">
        <f t="shared" ref="CX1000:CX1002" si="4598">SUM(CS1000:CW1000)</f>
        <v>0</v>
      </c>
      <c r="CZ1000" s="147"/>
      <c r="DA1000" s="148"/>
      <c r="DB1000" s="148"/>
      <c r="DC1000" s="148"/>
      <c r="DD1000" s="148"/>
      <c r="DE1000" s="8">
        <f t="shared" ref="DE1000:DE1002" si="4599">SUM(CZ1000:DD1000)</f>
        <v>0</v>
      </c>
    </row>
    <row r="1001" spans="2:109">
      <c r="C1001" s="567"/>
      <c r="E1001" s="5" t="s">
        <v>61</v>
      </c>
      <c r="F1001" s="147"/>
      <c r="G1001" s="148"/>
      <c r="H1001" s="148"/>
      <c r="I1001" s="148"/>
      <c r="J1001" s="148"/>
      <c r="K1001" s="8">
        <f t="shared" si="4595"/>
        <v>0</v>
      </c>
      <c r="M1001" s="147"/>
      <c r="N1001" s="148"/>
      <c r="O1001" s="148"/>
      <c r="P1001" s="148"/>
      <c r="Q1001" s="148"/>
      <c r="R1001" s="8">
        <f t="shared" si="4596"/>
        <v>0</v>
      </c>
      <c r="T1001" s="147"/>
      <c r="U1001" s="148"/>
      <c r="V1001" s="148"/>
      <c r="W1001" s="148"/>
      <c r="X1001" s="148"/>
      <c r="Y1001" s="8">
        <f t="shared" si="4597"/>
        <v>0</v>
      </c>
      <c r="AA1001" s="147"/>
      <c r="AB1001" s="148"/>
      <c r="AC1001" s="148"/>
      <c r="AD1001" s="148"/>
      <c r="AE1001" s="148"/>
      <c r="AF1001" s="8">
        <f>SUM(AA1001:AE1001)</f>
        <v>0</v>
      </c>
      <c r="AH1001" s="147"/>
      <c r="AI1001" s="148"/>
      <c r="AJ1001" s="148"/>
      <c r="AK1001" s="148"/>
      <c r="AL1001" s="148"/>
      <c r="AM1001" s="8">
        <f>SUM(AH1001:AL1001)</f>
        <v>0</v>
      </c>
      <c r="AO1001" s="147"/>
      <c r="AP1001" s="148"/>
      <c r="AQ1001" s="148"/>
      <c r="AR1001" s="148"/>
      <c r="AS1001" s="148"/>
      <c r="AT1001" s="8">
        <f>SUM(AO1001:AS1001)</f>
        <v>0</v>
      </c>
      <c r="AV1001" s="147"/>
      <c r="AW1001" s="148"/>
      <c r="AX1001" s="148"/>
      <c r="AY1001" s="148"/>
      <c r="AZ1001" s="148"/>
      <c r="BA1001" s="8">
        <f>SUM(AV1001:AZ1001)</f>
        <v>0</v>
      </c>
      <c r="BC1001" s="147"/>
      <c r="BD1001" s="148"/>
      <c r="BE1001" s="148"/>
      <c r="BF1001" s="148"/>
      <c r="BG1001" s="148"/>
      <c r="BH1001" s="8">
        <f>SUM(BC1001:BG1001)</f>
        <v>0</v>
      </c>
      <c r="BJ1001" s="147"/>
      <c r="BK1001" s="148"/>
      <c r="BL1001" s="148"/>
      <c r="BM1001" s="148"/>
      <c r="BN1001" s="148"/>
      <c r="BO1001" s="8">
        <f>SUM(BJ1001:BN1001)</f>
        <v>0</v>
      </c>
      <c r="BQ1001" s="147"/>
      <c r="BR1001" s="148"/>
      <c r="BS1001" s="148"/>
      <c r="BT1001" s="148"/>
      <c r="BU1001" s="148"/>
      <c r="BV1001" s="8">
        <f>SUM(BQ1001:BU1001)</f>
        <v>0</v>
      </c>
      <c r="BX1001" s="147"/>
      <c r="BY1001" s="148"/>
      <c r="BZ1001" s="148"/>
      <c r="CA1001" s="148"/>
      <c r="CB1001" s="148"/>
      <c r="CC1001" s="8">
        <f>SUM(BX1001:CB1001)</f>
        <v>0</v>
      </c>
      <c r="CE1001" s="28">
        <f t="shared" si="4590"/>
        <v>0</v>
      </c>
      <c r="CF1001" s="29">
        <f t="shared" si="4591"/>
        <v>0</v>
      </c>
      <c r="CG1001" s="29">
        <f t="shared" si="4592"/>
        <v>0</v>
      </c>
      <c r="CH1001" s="29">
        <f t="shared" si="4593"/>
        <v>0</v>
      </c>
      <c r="CI1001" s="29">
        <f t="shared" si="4594"/>
        <v>0</v>
      </c>
      <c r="CJ1001" s="8">
        <f>SUM(CE1001:CI1001)</f>
        <v>0</v>
      </c>
      <c r="CL1001" s="147"/>
      <c r="CM1001" s="148"/>
      <c r="CN1001" s="148"/>
      <c r="CO1001" s="148"/>
      <c r="CP1001" s="148"/>
      <c r="CQ1001" s="8">
        <f>SUM(CL1001:CP1001)</f>
        <v>0</v>
      </c>
      <c r="CS1001" s="147"/>
      <c r="CT1001" s="148"/>
      <c r="CU1001" s="148"/>
      <c r="CV1001" s="148"/>
      <c r="CW1001" s="148"/>
      <c r="CX1001" s="8">
        <f t="shared" si="4598"/>
        <v>0</v>
      </c>
      <c r="CZ1001" s="147"/>
      <c r="DA1001" s="148"/>
      <c r="DB1001" s="148"/>
      <c r="DC1001" s="148"/>
      <c r="DD1001" s="148"/>
      <c r="DE1001" s="8">
        <f t="shared" si="4599"/>
        <v>0</v>
      </c>
    </row>
    <row r="1002" spans="2:109" ht="14" thickBot="1">
      <c r="C1002" s="567"/>
      <c r="E1002" s="5" t="s">
        <v>62</v>
      </c>
      <c r="F1002" s="147"/>
      <c r="G1002" s="148"/>
      <c r="H1002" s="148"/>
      <c r="I1002" s="148"/>
      <c r="J1002" s="148"/>
      <c r="K1002" s="8">
        <f t="shared" si="4595"/>
        <v>0</v>
      </c>
      <c r="M1002" s="147"/>
      <c r="N1002" s="148"/>
      <c r="O1002" s="148"/>
      <c r="P1002" s="148"/>
      <c r="Q1002" s="148"/>
      <c r="R1002" s="8">
        <f t="shared" si="4596"/>
        <v>0</v>
      </c>
      <c r="T1002" s="147"/>
      <c r="U1002" s="148"/>
      <c r="V1002" s="148"/>
      <c r="W1002" s="148"/>
      <c r="X1002" s="148"/>
      <c r="Y1002" s="8">
        <f t="shared" si="4597"/>
        <v>0</v>
      </c>
      <c r="AA1002" s="147"/>
      <c r="AB1002" s="148"/>
      <c r="AC1002" s="148"/>
      <c r="AD1002" s="148"/>
      <c r="AE1002" s="148"/>
      <c r="AF1002" s="8">
        <f>SUM(AA1002:AE1002)</f>
        <v>0</v>
      </c>
      <c r="AH1002" s="147"/>
      <c r="AI1002" s="148"/>
      <c r="AJ1002" s="148"/>
      <c r="AK1002" s="148"/>
      <c r="AL1002" s="148"/>
      <c r="AM1002" s="8">
        <f>SUM(AH1002:AL1002)</f>
        <v>0</v>
      </c>
      <c r="AO1002" s="147"/>
      <c r="AP1002" s="148"/>
      <c r="AQ1002" s="148"/>
      <c r="AR1002" s="148"/>
      <c r="AS1002" s="148"/>
      <c r="AT1002" s="8">
        <f>SUM(AO1002:AS1002)</f>
        <v>0</v>
      </c>
      <c r="AV1002" s="147"/>
      <c r="AW1002" s="148"/>
      <c r="AX1002" s="148"/>
      <c r="AY1002" s="148"/>
      <c r="AZ1002" s="148"/>
      <c r="BA1002" s="8">
        <f>SUM(AV1002:AZ1002)</f>
        <v>0</v>
      </c>
      <c r="BC1002" s="147"/>
      <c r="BD1002" s="148"/>
      <c r="BE1002" s="148"/>
      <c r="BF1002" s="148"/>
      <c r="BG1002" s="148"/>
      <c r="BH1002" s="8">
        <f>SUM(BC1002:BG1002)</f>
        <v>0</v>
      </c>
      <c r="BJ1002" s="147"/>
      <c r="BK1002" s="148"/>
      <c r="BL1002" s="148"/>
      <c r="BM1002" s="148"/>
      <c r="BN1002" s="148"/>
      <c r="BO1002" s="8">
        <f>SUM(BJ1002:BN1002)</f>
        <v>0</v>
      </c>
      <c r="BQ1002" s="147"/>
      <c r="BR1002" s="148"/>
      <c r="BS1002" s="148"/>
      <c r="BT1002" s="148"/>
      <c r="BU1002" s="148"/>
      <c r="BV1002" s="8">
        <f>SUM(BQ1002:BU1002)</f>
        <v>0</v>
      </c>
      <c r="BX1002" s="147"/>
      <c r="BY1002" s="148"/>
      <c r="BZ1002" s="148"/>
      <c r="CA1002" s="148"/>
      <c r="CB1002" s="148"/>
      <c r="CC1002" s="8">
        <f>SUM(BX1002:CB1002)</f>
        <v>0</v>
      </c>
      <c r="CE1002" s="493">
        <f t="shared" si="4590"/>
        <v>0</v>
      </c>
      <c r="CF1002" s="494">
        <f t="shared" si="4591"/>
        <v>0</v>
      </c>
      <c r="CG1002" s="494">
        <f t="shared" si="4592"/>
        <v>0</v>
      </c>
      <c r="CH1002" s="494">
        <f t="shared" si="4593"/>
        <v>0</v>
      </c>
      <c r="CI1002" s="494">
        <f t="shared" si="4594"/>
        <v>0</v>
      </c>
      <c r="CJ1002" s="495">
        <f>SUM(CE1002:CI1002)</f>
        <v>0</v>
      </c>
      <c r="CL1002" s="147"/>
      <c r="CM1002" s="148"/>
      <c r="CN1002" s="148"/>
      <c r="CO1002" s="148"/>
      <c r="CP1002" s="148"/>
      <c r="CQ1002" s="8">
        <f>SUM(CL1002:CP1002)</f>
        <v>0</v>
      </c>
      <c r="CS1002" s="147"/>
      <c r="CT1002" s="148"/>
      <c r="CU1002" s="148"/>
      <c r="CV1002" s="148"/>
      <c r="CW1002" s="148"/>
      <c r="CX1002" s="8">
        <f t="shared" si="4598"/>
        <v>0</v>
      </c>
      <c r="CZ1002" s="147"/>
      <c r="DA1002" s="148"/>
      <c r="DB1002" s="148"/>
      <c r="DC1002" s="148"/>
      <c r="DD1002" s="148"/>
      <c r="DE1002" s="8">
        <f t="shared" si="4599"/>
        <v>0</v>
      </c>
    </row>
    <row r="1003" spans="2:109" ht="14" thickBot="1">
      <c r="C1003" s="554"/>
      <c r="E1003" s="9"/>
      <c r="F1003" s="10">
        <f>SUM(F999:F1002)</f>
        <v>0</v>
      </c>
      <c r="G1003" s="11">
        <f t="shared" ref="G1003:J1003" si="4600">SUM(G999:G1002)</f>
        <v>0</v>
      </c>
      <c r="H1003" s="11">
        <f t="shared" si="4600"/>
        <v>0</v>
      </c>
      <c r="I1003" s="11">
        <f t="shared" si="4600"/>
        <v>0</v>
      </c>
      <c r="J1003" s="61">
        <f t="shared" si="4600"/>
        <v>0</v>
      </c>
      <c r="K1003" s="25">
        <f>SUM(K999:K1002)</f>
        <v>0</v>
      </c>
      <c r="M1003" s="10">
        <f>SUM(M999:M1002)</f>
        <v>0</v>
      </c>
      <c r="N1003" s="11">
        <f t="shared" ref="N1003:Q1003" si="4601">SUM(N999:N1002)</f>
        <v>0</v>
      </c>
      <c r="O1003" s="11">
        <f t="shared" si="4601"/>
        <v>0</v>
      </c>
      <c r="P1003" s="11">
        <f t="shared" si="4601"/>
        <v>0</v>
      </c>
      <c r="Q1003" s="11">
        <f t="shared" si="4601"/>
        <v>0</v>
      </c>
      <c r="R1003" s="25">
        <f>SUM(R999:R1002)</f>
        <v>0</v>
      </c>
      <c r="T1003" s="10">
        <f>SUM(T999:T1002)</f>
        <v>0</v>
      </c>
      <c r="U1003" s="11">
        <f t="shared" ref="U1003:X1003" si="4602">SUM(U999:U1002)</f>
        <v>0</v>
      </c>
      <c r="V1003" s="11">
        <f t="shared" si="4602"/>
        <v>0</v>
      </c>
      <c r="W1003" s="11">
        <f t="shared" si="4602"/>
        <v>0</v>
      </c>
      <c r="X1003" s="11">
        <f t="shared" si="4602"/>
        <v>0</v>
      </c>
      <c r="Y1003" s="25">
        <f>SUM(Y999:Y1002)</f>
        <v>0</v>
      </c>
      <c r="AA1003" s="10">
        <f>SUM(AA999:AA1002)</f>
        <v>0</v>
      </c>
      <c r="AB1003" s="11">
        <f t="shared" ref="AB1003:AE1003" si="4603">SUM(AB999:AB1002)</f>
        <v>0</v>
      </c>
      <c r="AC1003" s="11">
        <f t="shared" si="4603"/>
        <v>0</v>
      </c>
      <c r="AD1003" s="11">
        <f t="shared" si="4603"/>
        <v>0</v>
      </c>
      <c r="AE1003" s="11">
        <f t="shared" si="4603"/>
        <v>0</v>
      </c>
      <c r="AF1003" s="25">
        <f>SUM(AF999:AF1002)</f>
        <v>0</v>
      </c>
      <c r="AH1003" s="10">
        <f t="shared" ref="AH1003:AM1003" si="4604">SUM(AH999:AH1002)</f>
        <v>0</v>
      </c>
      <c r="AI1003" s="11">
        <f t="shared" si="4604"/>
        <v>0</v>
      </c>
      <c r="AJ1003" s="11">
        <f t="shared" si="4604"/>
        <v>0</v>
      </c>
      <c r="AK1003" s="11">
        <f t="shared" si="4604"/>
        <v>0</v>
      </c>
      <c r="AL1003" s="11">
        <f t="shared" si="4604"/>
        <v>0</v>
      </c>
      <c r="AM1003" s="25">
        <f t="shared" si="4604"/>
        <v>0</v>
      </c>
      <c r="AO1003" s="10">
        <f t="shared" ref="AO1003:AT1003" si="4605">SUM(AO999:AO1002)</f>
        <v>0</v>
      </c>
      <c r="AP1003" s="11">
        <f t="shared" si="4605"/>
        <v>0</v>
      </c>
      <c r="AQ1003" s="11">
        <f t="shared" si="4605"/>
        <v>0</v>
      </c>
      <c r="AR1003" s="11">
        <f t="shared" si="4605"/>
        <v>0</v>
      </c>
      <c r="AS1003" s="11">
        <f t="shared" si="4605"/>
        <v>0</v>
      </c>
      <c r="AT1003" s="25">
        <f t="shared" si="4605"/>
        <v>0</v>
      </c>
      <c r="AV1003" s="10">
        <f t="shared" ref="AV1003:BA1003" si="4606">SUM(AV999:AV1002)</f>
        <v>0</v>
      </c>
      <c r="AW1003" s="11">
        <f t="shared" si="4606"/>
        <v>0</v>
      </c>
      <c r="AX1003" s="11">
        <f t="shared" si="4606"/>
        <v>0</v>
      </c>
      <c r="AY1003" s="11">
        <f t="shared" si="4606"/>
        <v>0</v>
      </c>
      <c r="AZ1003" s="11">
        <f t="shared" si="4606"/>
        <v>0</v>
      </c>
      <c r="BA1003" s="25">
        <f t="shared" si="4606"/>
        <v>0</v>
      </c>
      <c r="BC1003" s="10">
        <f t="shared" ref="BC1003:BH1003" si="4607">SUM(BC999:BC1002)</f>
        <v>0</v>
      </c>
      <c r="BD1003" s="11">
        <f t="shared" si="4607"/>
        <v>0</v>
      </c>
      <c r="BE1003" s="11">
        <f t="shared" si="4607"/>
        <v>0</v>
      </c>
      <c r="BF1003" s="11">
        <f t="shared" si="4607"/>
        <v>0</v>
      </c>
      <c r="BG1003" s="11">
        <f t="shared" si="4607"/>
        <v>0</v>
      </c>
      <c r="BH1003" s="25">
        <f t="shared" si="4607"/>
        <v>0</v>
      </c>
      <c r="BJ1003" s="10">
        <f t="shared" ref="BJ1003:BO1003" si="4608">SUM(BJ999:BJ1002)</f>
        <v>0</v>
      </c>
      <c r="BK1003" s="11">
        <f t="shared" si="4608"/>
        <v>0</v>
      </c>
      <c r="BL1003" s="11">
        <f t="shared" si="4608"/>
        <v>0</v>
      </c>
      <c r="BM1003" s="11">
        <f t="shared" si="4608"/>
        <v>0</v>
      </c>
      <c r="BN1003" s="11">
        <f t="shared" si="4608"/>
        <v>0</v>
      </c>
      <c r="BO1003" s="25">
        <f t="shared" si="4608"/>
        <v>0</v>
      </c>
      <c r="BQ1003" s="10">
        <f t="shared" ref="BQ1003:BV1003" si="4609">SUM(BQ999:BQ1002)</f>
        <v>0</v>
      </c>
      <c r="BR1003" s="11">
        <f t="shared" si="4609"/>
        <v>0</v>
      </c>
      <c r="BS1003" s="11">
        <f t="shared" si="4609"/>
        <v>0</v>
      </c>
      <c r="BT1003" s="11">
        <f t="shared" si="4609"/>
        <v>0</v>
      </c>
      <c r="BU1003" s="11">
        <f t="shared" si="4609"/>
        <v>0</v>
      </c>
      <c r="BV1003" s="25">
        <f t="shared" si="4609"/>
        <v>0</v>
      </c>
      <c r="BX1003" s="10">
        <f t="shared" ref="BX1003:CC1003" si="4610">SUM(BX999:BX1002)</f>
        <v>0</v>
      </c>
      <c r="BY1003" s="11">
        <f t="shared" si="4610"/>
        <v>0</v>
      </c>
      <c r="BZ1003" s="11">
        <f t="shared" si="4610"/>
        <v>0</v>
      </c>
      <c r="CA1003" s="11">
        <f t="shared" si="4610"/>
        <v>0</v>
      </c>
      <c r="CB1003" s="11">
        <f t="shared" si="4610"/>
        <v>0</v>
      </c>
      <c r="CC1003" s="25">
        <f t="shared" si="4610"/>
        <v>0</v>
      </c>
      <c r="CE1003" s="62">
        <f t="shared" ref="CE1003:CJ1003" si="4611">SUM(CE999:CE1002)</f>
        <v>0</v>
      </c>
      <c r="CF1003" s="63">
        <f t="shared" si="4611"/>
        <v>0</v>
      </c>
      <c r="CG1003" s="63">
        <f t="shared" si="4611"/>
        <v>0</v>
      </c>
      <c r="CH1003" s="63">
        <f t="shared" si="4611"/>
        <v>0</v>
      </c>
      <c r="CI1003" s="63">
        <f t="shared" si="4611"/>
        <v>0</v>
      </c>
      <c r="CJ1003" s="25">
        <f t="shared" si="4611"/>
        <v>0</v>
      </c>
      <c r="CL1003" s="10">
        <f>SUM(CL999:CL1002)</f>
        <v>0</v>
      </c>
      <c r="CM1003" s="11">
        <f t="shared" ref="CM1003:CQ1003" si="4612">SUM(CM999:CM1002)</f>
        <v>0</v>
      </c>
      <c r="CN1003" s="11">
        <f t="shared" si="4612"/>
        <v>0</v>
      </c>
      <c r="CO1003" s="11">
        <f t="shared" si="4612"/>
        <v>0</v>
      </c>
      <c r="CP1003" s="11">
        <f t="shared" si="4612"/>
        <v>0</v>
      </c>
      <c r="CQ1003" s="25">
        <f t="shared" si="4612"/>
        <v>0</v>
      </c>
      <c r="CS1003" s="10">
        <f>SUM(CS999:CS1002)</f>
        <v>0</v>
      </c>
      <c r="CT1003" s="11">
        <f t="shared" ref="CT1003:CW1003" si="4613">SUM(CT999:CT1002)</f>
        <v>0</v>
      </c>
      <c r="CU1003" s="11">
        <f t="shared" si="4613"/>
        <v>0</v>
      </c>
      <c r="CV1003" s="11">
        <f t="shared" si="4613"/>
        <v>0</v>
      </c>
      <c r="CW1003" s="11">
        <f t="shared" si="4613"/>
        <v>0</v>
      </c>
      <c r="CX1003" s="25">
        <f>SUM(CX999:CX1002)</f>
        <v>0</v>
      </c>
      <c r="CZ1003" s="10">
        <f>SUM(CZ999:CZ1002)</f>
        <v>0</v>
      </c>
      <c r="DA1003" s="11">
        <f t="shared" ref="DA1003:DD1003" si="4614">SUM(DA999:DA1002)</f>
        <v>0</v>
      </c>
      <c r="DB1003" s="11">
        <f t="shared" si="4614"/>
        <v>0</v>
      </c>
      <c r="DC1003" s="11">
        <f t="shared" si="4614"/>
        <v>0</v>
      </c>
      <c r="DD1003" s="11">
        <f t="shared" si="4614"/>
        <v>0</v>
      </c>
      <c r="DE1003" s="25">
        <f>SUM(DE999:DE1002)</f>
        <v>0</v>
      </c>
    </row>
    <row r="1004" spans="2:109" ht="10.4" customHeight="1" thickBot="1"/>
    <row r="1005" spans="2:109">
      <c r="C1005" s="553">
        <v>2025</v>
      </c>
      <c r="E1005" s="13" t="s">
        <v>59</v>
      </c>
      <c r="F1005" s="21">
        <f>CE999</f>
        <v>0</v>
      </c>
      <c r="G1005" s="22">
        <f t="shared" ref="G1005:G1008" si="4615">CF999</f>
        <v>0</v>
      </c>
      <c r="H1005" s="22">
        <f t="shared" ref="H1005:H1008" si="4616">CG999</f>
        <v>0</v>
      </c>
      <c r="I1005" s="22">
        <f t="shared" ref="I1005:I1008" si="4617">CH999</f>
        <v>0</v>
      </c>
      <c r="J1005" s="22">
        <f t="shared" ref="J1005:J1008" si="4618">CI999</f>
        <v>0</v>
      </c>
      <c r="K1005" s="15">
        <f>SUM(F1005:J1005)</f>
        <v>0</v>
      </c>
      <c r="M1005" s="145"/>
      <c r="N1005" s="146"/>
      <c r="O1005" s="146"/>
      <c r="P1005" s="146"/>
      <c r="Q1005" s="146"/>
      <c r="R1005" s="15">
        <f>SUM(M1005:Q1005)</f>
        <v>0</v>
      </c>
      <c r="T1005" s="145"/>
      <c r="U1005" s="146"/>
      <c r="V1005" s="146"/>
      <c r="W1005" s="146"/>
      <c r="X1005" s="146"/>
      <c r="Y1005" s="15">
        <f>SUM(T1005:X1005)</f>
        <v>0</v>
      </c>
      <c r="AA1005" s="145"/>
      <c r="AB1005" s="146"/>
      <c r="AC1005" s="146"/>
      <c r="AD1005" s="146"/>
      <c r="AE1005" s="146"/>
      <c r="AF1005" s="15">
        <f>SUM(AA1005:AE1005)</f>
        <v>0</v>
      </c>
      <c r="AH1005" s="145"/>
      <c r="AI1005" s="146"/>
      <c r="AJ1005" s="146"/>
      <c r="AK1005" s="146"/>
      <c r="AL1005" s="146"/>
      <c r="AM1005" s="15">
        <f>SUM(AH1005:AL1005)</f>
        <v>0</v>
      </c>
      <c r="AO1005" s="145"/>
      <c r="AP1005" s="146"/>
      <c r="AQ1005" s="146"/>
      <c r="AR1005" s="146"/>
      <c r="AS1005" s="146"/>
      <c r="AT1005" s="15">
        <f>SUM(AO1005:AS1005)</f>
        <v>0</v>
      </c>
      <c r="AV1005" s="145"/>
      <c r="AW1005" s="146"/>
      <c r="AX1005" s="146"/>
      <c r="AY1005" s="146"/>
      <c r="AZ1005" s="146"/>
      <c r="BA1005" s="15">
        <f>SUM(AV1005:AZ1005)</f>
        <v>0</v>
      </c>
      <c r="BC1005" s="145"/>
      <c r="BD1005" s="146"/>
      <c r="BE1005" s="146"/>
      <c r="BF1005" s="146"/>
      <c r="BG1005" s="146"/>
      <c r="BH1005" s="15">
        <f>SUM(BC1005:BG1005)</f>
        <v>0</v>
      </c>
      <c r="BJ1005" s="145"/>
      <c r="BK1005" s="146"/>
      <c r="BL1005" s="146"/>
      <c r="BM1005" s="146"/>
      <c r="BN1005" s="146"/>
      <c r="BO1005" s="15">
        <f>SUM(BJ1005:BN1005)</f>
        <v>0</v>
      </c>
      <c r="BQ1005" s="145"/>
      <c r="BR1005" s="146"/>
      <c r="BS1005" s="146"/>
      <c r="BT1005" s="146"/>
      <c r="BU1005" s="146"/>
      <c r="BV1005" s="15">
        <f>SUM(BQ1005:BU1005)</f>
        <v>0</v>
      </c>
      <c r="BX1005" s="145"/>
      <c r="BY1005" s="146"/>
      <c r="BZ1005" s="146"/>
      <c r="CA1005" s="146"/>
      <c r="CB1005" s="146"/>
      <c r="CC1005" s="15">
        <f>SUM(BX1005:CB1005)</f>
        <v>0</v>
      </c>
      <c r="CE1005" s="26">
        <f t="shared" ref="CE1005:CE1008" si="4619">F1005+M1005+T1005+AA1005+AH1005+AO1005+AV1005+BC1005+BJ1005+BQ1005+BX1005</f>
        <v>0</v>
      </c>
      <c r="CF1005" s="27">
        <f t="shared" ref="CF1005:CF1008" si="4620">G1005+N1005+U1005+AB1005+AI1005+AP1005+AW1005+BD1005+BK1005+BR1005+BY1005</f>
        <v>0</v>
      </c>
      <c r="CG1005" s="27">
        <f t="shared" ref="CG1005:CG1008" si="4621">H1005+O1005+V1005+AC1005+AJ1005+AQ1005+AX1005+BE1005+BL1005+BS1005+BZ1005</f>
        <v>0</v>
      </c>
      <c r="CH1005" s="27">
        <f t="shared" ref="CH1005:CH1008" si="4622">I1005+P1005+W1005+AD1005+AK1005+AR1005+AY1005+BF1005+BM1005+BT1005+CA1005</f>
        <v>0</v>
      </c>
      <c r="CI1005" s="27">
        <f t="shared" ref="CI1005:CI1008" si="4623">J1005+Q1005+X1005+AE1005+AL1005+AS1005+AZ1005+BG1005+BN1005+BU1005+CB1005</f>
        <v>0</v>
      </c>
      <c r="CJ1005" s="4">
        <f>SUM(CE1005:CI1005)</f>
        <v>0</v>
      </c>
      <c r="CL1005" s="145"/>
      <c r="CM1005" s="146"/>
      <c r="CN1005" s="146"/>
      <c r="CO1005" s="146"/>
      <c r="CP1005" s="146"/>
      <c r="CQ1005" s="15">
        <f>SUM(CL1005:CP1005)</f>
        <v>0</v>
      </c>
      <c r="CS1005" s="145"/>
      <c r="CT1005" s="146"/>
      <c r="CU1005" s="146"/>
      <c r="CV1005" s="146"/>
      <c r="CW1005" s="146"/>
      <c r="CX1005" s="15">
        <f>SUM(CS1005:CW1005)</f>
        <v>0</v>
      </c>
      <c r="CZ1005" s="145"/>
      <c r="DA1005" s="146"/>
      <c r="DB1005" s="146"/>
      <c r="DC1005" s="146"/>
      <c r="DD1005" s="146"/>
      <c r="DE1005" s="15">
        <f>SUM(CZ1005:DD1005)</f>
        <v>0</v>
      </c>
    </row>
    <row r="1006" spans="2:109">
      <c r="C1006" s="567"/>
      <c r="E1006" s="14" t="s">
        <v>60</v>
      </c>
      <c r="F1006" s="23">
        <f t="shared" ref="F1006:F1008" si="4624">CE1000</f>
        <v>0</v>
      </c>
      <c r="G1006" s="24">
        <f t="shared" si="4615"/>
        <v>0</v>
      </c>
      <c r="H1006" s="24">
        <f t="shared" si="4616"/>
        <v>0</v>
      </c>
      <c r="I1006" s="24">
        <f t="shared" si="4617"/>
        <v>0</v>
      </c>
      <c r="J1006" s="24">
        <f t="shared" si="4618"/>
        <v>0</v>
      </c>
      <c r="K1006" s="16">
        <f t="shared" ref="K1006:K1008" si="4625">SUM(F1006:J1006)</f>
        <v>0</v>
      </c>
      <c r="M1006" s="147"/>
      <c r="N1006" s="148"/>
      <c r="O1006" s="148"/>
      <c r="P1006" s="148"/>
      <c r="Q1006" s="148"/>
      <c r="R1006" s="16">
        <f t="shared" ref="R1006:R1008" si="4626">SUM(M1006:Q1006)</f>
        <v>0</v>
      </c>
      <c r="T1006" s="147"/>
      <c r="U1006" s="148"/>
      <c r="V1006" s="148"/>
      <c r="W1006" s="148"/>
      <c r="X1006" s="148"/>
      <c r="Y1006" s="16">
        <f t="shared" ref="Y1006:Y1008" si="4627">SUM(T1006:X1006)</f>
        <v>0</v>
      </c>
      <c r="AA1006" s="147"/>
      <c r="AB1006" s="148"/>
      <c r="AC1006" s="148"/>
      <c r="AD1006" s="148"/>
      <c r="AE1006" s="148"/>
      <c r="AF1006" s="16">
        <f>SUM(AA1006:AE1006)</f>
        <v>0</v>
      </c>
      <c r="AH1006" s="147"/>
      <c r="AI1006" s="148"/>
      <c r="AJ1006" s="148"/>
      <c r="AK1006" s="148"/>
      <c r="AL1006" s="148"/>
      <c r="AM1006" s="16">
        <f>SUM(AH1006:AL1006)</f>
        <v>0</v>
      </c>
      <c r="AO1006" s="147"/>
      <c r="AP1006" s="148"/>
      <c r="AQ1006" s="148"/>
      <c r="AR1006" s="148"/>
      <c r="AS1006" s="148"/>
      <c r="AT1006" s="16">
        <f>SUM(AO1006:AS1006)</f>
        <v>0</v>
      </c>
      <c r="AV1006" s="147"/>
      <c r="AW1006" s="148"/>
      <c r="AX1006" s="148"/>
      <c r="AY1006" s="148"/>
      <c r="AZ1006" s="148"/>
      <c r="BA1006" s="16">
        <f>SUM(AV1006:AZ1006)</f>
        <v>0</v>
      </c>
      <c r="BC1006" s="147"/>
      <c r="BD1006" s="148"/>
      <c r="BE1006" s="148"/>
      <c r="BF1006" s="148"/>
      <c r="BG1006" s="148"/>
      <c r="BH1006" s="16">
        <f>SUM(BC1006:BG1006)</f>
        <v>0</v>
      </c>
      <c r="BJ1006" s="147"/>
      <c r="BK1006" s="148"/>
      <c r="BL1006" s="148"/>
      <c r="BM1006" s="148"/>
      <c r="BN1006" s="148"/>
      <c r="BO1006" s="16">
        <f>SUM(BJ1006:BN1006)</f>
        <v>0</v>
      </c>
      <c r="BQ1006" s="147"/>
      <c r="BR1006" s="148"/>
      <c r="BS1006" s="148"/>
      <c r="BT1006" s="148"/>
      <c r="BU1006" s="148"/>
      <c r="BV1006" s="16">
        <f>SUM(BQ1006:BU1006)</f>
        <v>0</v>
      </c>
      <c r="BX1006" s="147"/>
      <c r="BY1006" s="148"/>
      <c r="BZ1006" s="148"/>
      <c r="CA1006" s="148"/>
      <c r="CB1006" s="148"/>
      <c r="CC1006" s="16">
        <f>SUM(BX1006:CB1006)</f>
        <v>0</v>
      </c>
      <c r="CE1006" s="28">
        <f t="shared" si="4619"/>
        <v>0</v>
      </c>
      <c r="CF1006" s="29">
        <f t="shared" si="4620"/>
        <v>0</v>
      </c>
      <c r="CG1006" s="29">
        <f t="shared" si="4621"/>
        <v>0</v>
      </c>
      <c r="CH1006" s="29">
        <f t="shared" si="4622"/>
        <v>0</v>
      </c>
      <c r="CI1006" s="29">
        <f t="shared" si="4623"/>
        <v>0</v>
      </c>
      <c r="CJ1006" s="8">
        <f>SUM(CE1006:CI1006)</f>
        <v>0</v>
      </c>
      <c r="CL1006" s="147"/>
      <c r="CM1006" s="148"/>
      <c r="CN1006" s="148"/>
      <c r="CO1006" s="148"/>
      <c r="CP1006" s="148"/>
      <c r="CQ1006" s="16">
        <f>SUM(CL1006:CP1006)</f>
        <v>0</v>
      </c>
      <c r="CS1006" s="147"/>
      <c r="CT1006" s="148"/>
      <c r="CU1006" s="148"/>
      <c r="CV1006" s="148"/>
      <c r="CW1006" s="148"/>
      <c r="CX1006" s="16">
        <f t="shared" ref="CX1006:CX1008" si="4628">SUM(CS1006:CW1006)</f>
        <v>0</v>
      </c>
      <c r="CZ1006" s="147"/>
      <c r="DA1006" s="148"/>
      <c r="DB1006" s="148"/>
      <c r="DC1006" s="148"/>
      <c r="DD1006" s="148"/>
      <c r="DE1006" s="16">
        <f t="shared" ref="DE1006:DE1008" si="4629">SUM(CZ1006:DD1006)</f>
        <v>0</v>
      </c>
    </row>
    <row r="1007" spans="2:109">
      <c r="C1007" s="567"/>
      <c r="E1007" s="14" t="s">
        <v>61</v>
      </c>
      <c r="F1007" s="23">
        <f t="shared" si="4624"/>
        <v>0</v>
      </c>
      <c r="G1007" s="24">
        <f t="shared" si="4615"/>
        <v>0</v>
      </c>
      <c r="H1007" s="24">
        <f t="shared" si="4616"/>
        <v>0</v>
      </c>
      <c r="I1007" s="24">
        <f t="shared" si="4617"/>
        <v>0</v>
      </c>
      <c r="J1007" s="24">
        <f t="shared" si="4618"/>
        <v>0</v>
      </c>
      <c r="K1007" s="16">
        <f t="shared" si="4625"/>
        <v>0</v>
      </c>
      <c r="M1007" s="147"/>
      <c r="N1007" s="148"/>
      <c r="O1007" s="148"/>
      <c r="P1007" s="148"/>
      <c r="Q1007" s="148"/>
      <c r="R1007" s="16">
        <f t="shared" si="4626"/>
        <v>0</v>
      </c>
      <c r="T1007" s="147"/>
      <c r="U1007" s="148"/>
      <c r="V1007" s="148"/>
      <c r="W1007" s="148"/>
      <c r="X1007" s="148"/>
      <c r="Y1007" s="16">
        <f t="shared" si="4627"/>
        <v>0</v>
      </c>
      <c r="AA1007" s="147"/>
      <c r="AB1007" s="148"/>
      <c r="AC1007" s="148"/>
      <c r="AD1007" s="148"/>
      <c r="AE1007" s="148"/>
      <c r="AF1007" s="16">
        <f>SUM(AA1007:AE1007)</f>
        <v>0</v>
      </c>
      <c r="AH1007" s="147"/>
      <c r="AI1007" s="148"/>
      <c r="AJ1007" s="148"/>
      <c r="AK1007" s="148"/>
      <c r="AL1007" s="148"/>
      <c r="AM1007" s="16">
        <f>SUM(AH1007:AL1007)</f>
        <v>0</v>
      </c>
      <c r="AO1007" s="147"/>
      <c r="AP1007" s="148"/>
      <c r="AQ1007" s="148"/>
      <c r="AR1007" s="148"/>
      <c r="AS1007" s="148"/>
      <c r="AT1007" s="16">
        <f>SUM(AO1007:AS1007)</f>
        <v>0</v>
      </c>
      <c r="AV1007" s="147"/>
      <c r="AW1007" s="148"/>
      <c r="AX1007" s="148"/>
      <c r="AY1007" s="148"/>
      <c r="AZ1007" s="148"/>
      <c r="BA1007" s="16">
        <f>SUM(AV1007:AZ1007)</f>
        <v>0</v>
      </c>
      <c r="BC1007" s="147"/>
      <c r="BD1007" s="148"/>
      <c r="BE1007" s="148"/>
      <c r="BF1007" s="148"/>
      <c r="BG1007" s="148"/>
      <c r="BH1007" s="16">
        <f>SUM(BC1007:BG1007)</f>
        <v>0</v>
      </c>
      <c r="BJ1007" s="147"/>
      <c r="BK1007" s="148"/>
      <c r="BL1007" s="148"/>
      <c r="BM1007" s="148"/>
      <c r="BN1007" s="148"/>
      <c r="BO1007" s="16">
        <f>SUM(BJ1007:BN1007)</f>
        <v>0</v>
      </c>
      <c r="BQ1007" s="147"/>
      <c r="BR1007" s="148"/>
      <c r="BS1007" s="148"/>
      <c r="BT1007" s="148"/>
      <c r="BU1007" s="148"/>
      <c r="BV1007" s="16">
        <f>SUM(BQ1007:BU1007)</f>
        <v>0</v>
      </c>
      <c r="BX1007" s="147"/>
      <c r="BY1007" s="148"/>
      <c r="BZ1007" s="148"/>
      <c r="CA1007" s="148"/>
      <c r="CB1007" s="148"/>
      <c r="CC1007" s="16">
        <f>SUM(BX1007:CB1007)</f>
        <v>0</v>
      </c>
      <c r="CE1007" s="28">
        <f t="shared" si="4619"/>
        <v>0</v>
      </c>
      <c r="CF1007" s="29">
        <f t="shared" si="4620"/>
        <v>0</v>
      </c>
      <c r="CG1007" s="29">
        <f t="shared" si="4621"/>
        <v>0</v>
      </c>
      <c r="CH1007" s="29">
        <f t="shared" si="4622"/>
        <v>0</v>
      </c>
      <c r="CI1007" s="29">
        <f t="shared" si="4623"/>
        <v>0</v>
      </c>
      <c r="CJ1007" s="8">
        <f>SUM(CE1007:CI1007)</f>
        <v>0</v>
      </c>
      <c r="CL1007" s="147"/>
      <c r="CM1007" s="148"/>
      <c r="CN1007" s="148"/>
      <c r="CO1007" s="148"/>
      <c r="CP1007" s="148"/>
      <c r="CQ1007" s="16">
        <f>SUM(CL1007:CP1007)</f>
        <v>0</v>
      </c>
      <c r="CS1007" s="147"/>
      <c r="CT1007" s="148"/>
      <c r="CU1007" s="148"/>
      <c r="CV1007" s="148"/>
      <c r="CW1007" s="148"/>
      <c r="CX1007" s="16">
        <f t="shared" si="4628"/>
        <v>0</v>
      </c>
      <c r="CZ1007" s="147"/>
      <c r="DA1007" s="148"/>
      <c r="DB1007" s="148"/>
      <c r="DC1007" s="148"/>
      <c r="DD1007" s="148"/>
      <c r="DE1007" s="16">
        <f t="shared" si="4629"/>
        <v>0</v>
      </c>
    </row>
    <row r="1008" spans="2:109" ht="14" thickBot="1">
      <c r="C1008" s="567"/>
      <c r="E1008" s="14" t="s">
        <v>62</v>
      </c>
      <c r="F1008" s="23">
        <f t="shared" si="4624"/>
        <v>0</v>
      </c>
      <c r="G1008" s="24">
        <f t="shared" si="4615"/>
        <v>0</v>
      </c>
      <c r="H1008" s="24">
        <f t="shared" si="4616"/>
        <v>0</v>
      </c>
      <c r="I1008" s="24">
        <f t="shared" si="4617"/>
        <v>0</v>
      </c>
      <c r="J1008" s="24">
        <f t="shared" si="4618"/>
        <v>0</v>
      </c>
      <c r="K1008" s="16">
        <f t="shared" si="4625"/>
        <v>0</v>
      </c>
      <c r="M1008" s="147"/>
      <c r="N1008" s="148"/>
      <c r="O1008" s="148"/>
      <c r="P1008" s="148"/>
      <c r="Q1008" s="148"/>
      <c r="R1008" s="16">
        <f t="shared" si="4626"/>
        <v>0</v>
      </c>
      <c r="T1008" s="147"/>
      <c r="U1008" s="148"/>
      <c r="V1008" s="148"/>
      <c r="W1008" s="148"/>
      <c r="X1008" s="148"/>
      <c r="Y1008" s="16">
        <f t="shared" si="4627"/>
        <v>0</v>
      </c>
      <c r="AA1008" s="147"/>
      <c r="AB1008" s="148"/>
      <c r="AC1008" s="148"/>
      <c r="AD1008" s="148"/>
      <c r="AE1008" s="148"/>
      <c r="AF1008" s="16">
        <f>SUM(AA1008:AE1008)</f>
        <v>0</v>
      </c>
      <c r="AH1008" s="147"/>
      <c r="AI1008" s="148"/>
      <c r="AJ1008" s="148"/>
      <c r="AK1008" s="148"/>
      <c r="AL1008" s="148"/>
      <c r="AM1008" s="16">
        <f>SUM(AH1008:AL1008)</f>
        <v>0</v>
      </c>
      <c r="AO1008" s="147"/>
      <c r="AP1008" s="148"/>
      <c r="AQ1008" s="148"/>
      <c r="AR1008" s="148"/>
      <c r="AS1008" s="148"/>
      <c r="AT1008" s="16">
        <f>SUM(AO1008:AS1008)</f>
        <v>0</v>
      </c>
      <c r="AV1008" s="147"/>
      <c r="AW1008" s="148"/>
      <c r="AX1008" s="148"/>
      <c r="AY1008" s="148"/>
      <c r="AZ1008" s="148"/>
      <c r="BA1008" s="16">
        <f>SUM(AV1008:AZ1008)</f>
        <v>0</v>
      </c>
      <c r="BC1008" s="147"/>
      <c r="BD1008" s="148"/>
      <c r="BE1008" s="148"/>
      <c r="BF1008" s="148"/>
      <c r="BG1008" s="148"/>
      <c r="BH1008" s="16">
        <f>SUM(BC1008:BG1008)</f>
        <v>0</v>
      </c>
      <c r="BJ1008" s="147"/>
      <c r="BK1008" s="148"/>
      <c r="BL1008" s="148"/>
      <c r="BM1008" s="148"/>
      <c r="BN1008" s="148"/>
      <c r="BO1008" s="16">
        <f>SUM(BJ1008:BN1008)</f>
        <v>0</v>
      </c>
      <c r="BQ1008" s="147"/>
      <c r="BR1008" s="148"/>
      <c r="BS1008" s="148"/>
      <c r="BT1008" s="148"/>
      <c r="BU1008" s="148"/>
      <c r="BV1008" s="16">
        <f>SUM(BQ1008:BU1008)</f>
        <v>0</v>
      </c>
      <c r="BX1008" s="147"/>
      <c r="BY1008" s="148"/>
      <c r="BZ1008" s="148"/>
      <c r="CA1008" s="148"/>
      <c r="CB1008" s="148"/>
      <c r="CC1008" s="16">
        <f>SUM(BX1008:CB1008)</f>
        <v>0</v>
      </c>
      <c r="CE1008" s="493">
        <f t="shared" si="4619"/>
        <v>0</v>
      </c>
      <c r="CF1008" s="494">
        <f t="shared" si="4620"/>
        <v>0</v>
      </c>
      <c r="CG1008" s="494">
        <f t="shared" si="4621"/>
        <v>0</v>
      </c>
      <c r="CH1008" s="494">
        <f t="shared" si="4622"/>
        <v>0</v>
      </c>
      <c r="CI1008" s="494">
        <f t="shared" si="4623"/>
        <v>0</v>
      </c>
      <c r="CJ1008" s="495">
        <f>SUM(CE1008:CI1008)</f>
        <v>0</v>
      </c>
      <c r="CL1008" s="147"/>
      <c r="CM1008" s="148"/>
      <c r="CN1008" s="148"/>
      <c r="CO1008" s="148"/>
      <c r="CP1008" s="148"/>
      <c r="CQ1008" s="16">
        <f>SUM(CL1008:CP1008)</f>
        <v>0</v>
      </c>
      <c r="CS1008" s="147"/>
      <c r="CT1008" s="148"/>
      <c r="CU1008" s="148"/>
      <c r="CV1008" s="148"/>
      <c r="CW1008" s="148"/>
      <c r="CX1008" s="16">
        <f t="shared" si="4628"/>
        <v>0</v>
      </c>
      <c r="CZ1008" s="147"/>
      <c r="DA1008" s="148"/>
      <c r="DB1008" s="148"/>
      <c r="DC1008" s="148"/>
      <c r="DD1008" s="148"/>
      <c r="DE1008" s="16">
        <f t="shared" si="4629"/>
        <v>0</v>
      </c>
    </row>
    <row r="1009" spans="3:109" ht="14" thickBot="1">
      <c r="C1009" s="554"/>
      <c r="E1009" s="17"/>
      <c r="F1009" s="10">
        <f>SUM(F1005:F1008)</f>
        <v>0</v>
      </c>
      <c r="G1009" s="11">
        <f t="shared" ref="G1009:J1009" si="4630">SUM(G1005:G1008)</f>
        <v>0</v>
      </c>
      <c r="H1009" s="11">
        <f t="shared" si="4630"/>
        <v>0</v>
      </c>
      <c r="I1009" s="11">
        <f t="shared" si="4630"/>
        <v>0</v>
      </c>
      <c r="J1009" s="11">
        <f t="shared" si="4630"/>
        <v>0</v>
      </c>
      <c r="K1009" s="25">
        <f>SUM(K1005:K1008)</f>
        <v>0</v>
      </c>
      <c r="M1009" s="10">
        <f>SUM(M1005:M1008)</f>
        <v>0</v>
      </c>
      <c r="N1009" s="11">
        <f t="shared" ref="N1009:Q1009" si="4631">SUM(N1005:N1008)</f>
        <v>0</v>
      </c>
      <c r="O1009" s="11">
        <f t="shared" si="4631"/>
        <v>0</v>
      </c>
      <c r="P1009" s="11">
        <f t="shared" si="4631"/>
        <v>0</v>
      </c>
      <c r="Q1009" s="11">
        <f t="shared" si="4631"/>
        <v>0</v>
      </c>
      <c r="R1009" s="25">
        <f>SUM(R1005:R1008)</f>
        <v>0</v>
      </c>
      <c r="T1009" s="10">
        <f>SUM(T1005:T1008)</f>
        <v>0</v>
      </c>
      <c r="U1009" s="11">
        <f t="shared" ref="U1009:X1009" si="4632">SUM(U1005:U1008)</f>
        <v>0</v>
      </c>
      <c r="V1009" s="11">
        <f t="shared" si="4632"/>
        <v>0</v>
      </c>
      <c r="W1009" s="11">
        <f t="shared" si="4632"/>
        <v>0</v>
      </c>
      <c r="X1009" s="11">
        <f t="shared" si="4632"/>
        <v>0</v>
      </c>
      <c r="Y1009" s="25">
        <f>SUM(Y1005:Y1008)</f>
        <v>0</v>
      </c>
      <c r="AA1009" s="10">
        <f>SUM(AA1005:AA1008)</f>
        <v>0</v>
      </c>
      <c r="AB1009" s="11">
        <f t="shared" ref="AB1009:AE1009" si="4633">SUM(AB1005:AB1008)</f>
        <v>0</v>
      </c>
      <c r="AC1009" s="11">
        <f t="shared" si="4633"/>
        <v>0</v>
      </c>
      <c r="AD1009" s="11">
        <f t="shared" si="4633"/>
        <v>0</v>
      </c>
      <c r="AE1009" s="11">
        <f t="shared" si="4633"/>
        <v>0</v>
      </c>
      <c r="AF1009" s="25">
        <f>SUM(AF1005:AF1008)</f>
        <v>0</v>
      </c>
      <c r="AH1009" s="10">
        <f t="shared" ref="AH1009:AM1009" si="4634">SUM(AH1005:AH1008)</f>
        <v>0</v>
      </c>
      <c r="AI1009" s="11">
        <f t="shared" si="4634"/>
        <v>0</v>
      </c>
      <c r="AJ1009" s="11">
        <f t="shared" si="4634"/>
        <v>0</v>
      </c>
      <c r="AK1009" s="11">
        <f t="shared" si="4634"/>
        <v>0</v>
      </c>
      <c r="AL1009" s="11">
        <f t="shared" si="4634"/>
        <v>0</v>
      </c>
      <c r="AM1009" s="25">
        <f t="shared" si="4634"/>
        <v>0</v>
      </c>
      <c r="AO1009" s="10">
        <f t="shared" ref="AO1009:AT1009" si="4635">SUM(AO1005:AO1008)</f>
        <v>0</v>
      </c>
      <c r="AP1009" s="11">
        <f t="shared" si="4635"/>
        <v>0</v>
      </c>
      <c r="AQ1009" s="11">
        <f t="shared" si="4635"/>
        <v>0</v>
      </c>
      <c r="AR1009" s="11">
        <f t="shared" si="4635"/>
        <v>0</v>
      </c>
      <c r="AS1009" s="11">
        <f t="shared" si="4635"/>
        <v>0</v>
      </c>
      <c r="AT1009" s="25">
        <f t="shared" si="4635"/>
        <v>0</v>
      </c>
      <c r="AV1009" s="10">
        <f t="shared" ref="AV1009:BA1009" si="4636">SUM(AV1005:AV1008)</f>
        <v>0</v>
      </c>
      <c r="AW1009" s="11">
        <f t="shared" si="4636"/>
        <v>0</v>
      </c>
      <c r="AX1009" s="11">
        <f t="shared" si="4636"/>
        <v>0</v>
      </c>
      <c r="AY1009" s="11">
        <f t="shared" si="4636"/>
        <v>0</v>
      </c>
      <c r="AZ1009" s="11">
        <f t="shared" si="4636"/>
        <v>0</v>
      </c>
      <c r="BA1009" s="25">
        <f t="shared" si="4636"/>
        <v>0</v>
      </c>
      <c r="BC1009" s="10">
        <f t="shared" ref="BC1009:BH1009" si="4637">SUM(BC1005:BC1008)</f>
        <v>0</v>
      </c>
      <c r="BD1009" s="11">
        <f t="shared" si="4637"/>
        <v>0</v>
      </c>
      <c r="BE1009" s="11">
        <f t="shared" si="4637"/>
        <v>0</v>
      </c>
      <c r="BF1009" s="11">
        <f t="shared" si="4637"/>
        <v>0</v>
      </c>
      <c r="BG1009" s="11">
        <f t="shared" si="4637"/>
        <v>0</v>
      </c>
      <c r="BH1009" s="25">
        <f t="shared" si="4637"/>
        <v>0</v>
      </c>
      <c r="BJ1009" s="10">
        <f t="shared" ref="BJ1009:BO1009" si="4638">SUM(BJ1005:BJ1008)</f>
        <v>0</v>
      </c>
      <c r="BK1009" s="11">
        <f t="shared" si="4638"/>
        <v>0</v>
      </c>
      <c r="BL1009" s="11">
        <f t="shared" si="4638"/>
        <v>0</v>
      </c>
      <c r="BM1009" s="11">
        <f t="shared" si="4638"/>
        <v>0</v>
      </c>
      <c r="BN1009" s="11">
        <f t="shared" si="4638"/>
        <v>0</v>
      </c>
      <c r="BO1009" s="25">
        <f t="shared" si="4638"/>
        <v>0</v>
      </c>
      <c r="BQ1009" s="10">
        <f t="shared" ref="BQ1009:BV1009" si="4639">SUM(BQ1005:BQ1008)</f>
        <v>0</v>
      </c>
      <c r="BR1009" s="11">
        <f t="shared" si="4639"/>
        <v>0</v>
      </c>
      <c r="BS1009" s="11">
        <f t="shared" si="4639"/>
        <v>0</v>
      </c>
      <c r="BT1009" s="11">
        <f t="shared" si="4639"/>
        <v>0</v>
      </c>
      <c r="BU1009" s="11">
        <f t="shared" si="4639"/>
        <v>0</v>
      </c>
      <c r="BV1009" s="25">
        <f t="shared" si="4639"/>
        <v>0</v>
      </c>
      <c r="BX1009" s="10">
        <f t="shared" ref="BX1009:CC1009" si="4640">SUM(BX1005:BX1008)</f>
        <v>0</v>
      </c>
      <c r="BY1009" s="11">
        <f t="shared" si="4640"/>
        <v>0</v>
      </c>
      <c r="BZ1009" s="11">
        <f t="shared" si="4640"/>
        <v>0</v>
      </c>
      <c r="CA1009" s="11">
        <f t="shared" si="4640"/>
        <v>0</v>
      </c>
      <c r="CB1009" s="11">
        <f t="shared" si="4640"/>
        <v>0</v>
      </c>
      <c r="CC1009" s="25">
        <f t="shared" si="4640"/>
        <v>0</v>
      </c>
      <c r="CE1009" s="62">
        <f t="shared" ref="CE1009:CJ1009" si="4641">SUM(CE1005:CE1008)</f>
        <v>0</v>
      </c>
      <c r="CF1009" s="63">
        <f t="shared" si="4641"/>
        <v>0</v>
      </c>
      <c r="CG1009" s="63">
        <f t="shared" si="4641"/>
        <v>0</v>
      </c>
      <c r="CH1009" s="63">
        <f t="shared" si="4641"/>
        <v>0</v>
      </c>
      <c r="CI1009" s="63">
        <f t="shared" si="4641"/>
        <v>0</v>
      </c>
      <c r="CJ1009" s="25">
        <f t="shared" si="4641"/>
        <v>0</v>
      </c>
      <c r="CL1009" s="10">
        <f>SUM(CL1005:CL1008)</f>
        <v>0</v>
      </c>
      <c r="CM1009" s="11">
        <f t="shared" ref="CM1009:CQ1009" si="4642">SUM(CM1005:CM1008)</f>
        <v>0</v>
      </c>
      <c r="CN1009" s="11">
        <f t="shared" si="4642"/>
        <v>0</v>
      </c>
      <c r="CO1009" s="11">
        <f t="shared" si="4642"/>
        <v>0</v>
      </c>
      <c r="CP1009" s="11">
        <f t="shared" si="4642"/>
        <v>0</v>
      </c>
      <c r="CQ1009" s="25">
        <f t="shared" si="4642"/>
        <v>0</v>
      </c>
      <c r="CS1009" s="10">
        <f>SUM(CS1005:CS1008)</f>
        <v>0</v>
      </c>
      <c r="CT1009" s="11">
        <f t="shared" ref="CT1009:CW1009" si="4643">SUM(CT1005:CT1008)</f>
        <v>0</v>
      </c>
      <c r="CU1009" s="11">
        <f t="shared" si="4643"/>
        <v>0</v>
      </c>
      <c r="CV1009" s="11">
        <f t="shared" si="4643"/>
        <v>0</v>
      </c>
      <c r="CW1009" s="11">
        <f t="shared" si="4643"/>
        <v>0</v>
      </c>
      <c r="CX1009" s="25">
        <f>SUM(CX1005:CX1008)</f>
        <v>0</v>
      </c>
      <c r="CZ1009" s="10">
        <f>SUM(CZ1005:CZ1008)</f>
        <v>0</v>
      </c>
      <c r="DA1009" s="11">
        <f t="shared" ref="DA1009:DD1009" si="4644">SUM(DA1005:DA1008)</f>
        <v>0</v>
      </c>
      <c r="DB1009" s="11">
        <f t="shared" si="4644"/>
        <v>0</v>
      </c>
      <c r="DC1009" s="11">
        <f t="shared" si="4644"/>
        <v>0</v>
      </c>
      <c r="DD1009" s="11">
        <f t="shared" si="4644"/>
        <v>0</v>
      </c>
      <c r="DE1009" s="25">
        <f>SUM(DE1005:DE1008)</f>
        <v>0</v>
      </c>
    </row>
    <row r="1010" spans="3:109" ht="10.4" customHeight="1" thickBot="1"/>
    <row r="1011" spans="3:109">
      <c r="C1011" s="553">
        <v>2026</v>
      </c>
      <c r="E1011" s="1" t="s">
        <v>59</v>
      </c>
      <c r="F1011" s="21">
        <f>CE1005</f>
        <v>0</v>
      </c>
      <c r="G1011" s="22">
        <f t="shared" ref="G1011:G1014" si="4645">CF1005</f>
        <v>0</v>
      </c>
      <c r="H1011" s="22">
        <f t="shared" ref="H1011:H1014" si="4646">CG1005</f>
        <v>0</v>
      </c>
      <c r="I1011" s="22">
        <f t="shared" ref="I1011:I1014" si="4647">CH1005</f>
        <v>0</v>
      </c>
      <c r="J1011" s="22">
        <f t="shared" ref="J1011:J1014" si="4648">CI1005</f>
        <v>0</v>
      </c>
      <c r="K1011" s="4">
        <f>SUM(F1011:J1011)</f>
        <v>0</v>
      </c>
      <c r="M1011" s="145"/>
      <c r="N1011" s="146"/>
      <c r="O1011" s="146"/>
      <c r="P1011" s="146"/>
      <c r="Q1011" s="146"/>
      <c r="R1011" s="4">
        <f>SUM(M1011:Q1011)</f>
        <v>0</v>
      </c>
      <c r="T1011" s="145"/>
      <c r="U1011" s="146"/>
      <c r="V1011" s="146"/>
      <c r="W1011" s="146"/>
      <c r="X1011" s="146"/>
      <c r="Y1011" s="4">
        <f>SUM(T1011:X1011)</f>
        <v>0</v>
      </c>
      <c r="AA1011" s="145"/>
      <c r="AB1011" s="146"/>
      <c r="AC1011" s="146"/>
      <c r="AD1011" s="146"/>
      <c r="AE1011" s="146"/>
      <c r="AF1011" s="4">
        <f>SUM(AA1011:AE1011)</f>
        <v>0</v>
      </c>
      <c r="AH1011" s="145"/>
      <c r="AI1011" s="146"/>
      <c r="AJ1011" s="146"/>
      <c r="AK1011" s="146"/>
      <c r="AL1011" s="146"/>
      <c r="AM1011" s="4">
        <f>SUM(AH1011:AL1011)</f>
        <v>0</v>
      </c>
      <c r="AO1011" s="145"/>
      <c r="AP1011" s="146"/>
      <c r="AQ1011" s="146"/>
      <c r="AR1011" s="146"/>
      <c r="AS1011" s="146"/>
      <c r="AT1011" s="4">
        <f>SUM(AO1011:AS1011)</f>
        <v>0</v>
      </c>
      <c r="AV1011" s="145"/>
      <c r="AW1011" s="146"/>
      <c r="AX1011" s="146"/>
      <c r="AY1011" s="146"/>
      <c r="AZ1011" s="146"/>
      <c r="BA1011" s="4">
        <f>SUM(AV1011:AZ1011)</f>
        <v>0</v>
      </c>
      <c r="BC1011" s="145"/>
      <c r="BD1011" s="146"/>
      <c r="BE1011" s="146"/>
      <c r="BF1011" s="146"/>
      <c r="BG1011" s="146"/>
      <c r="BH1011" s="4">
        <f>SUM(BC1011:BG1011)</f>
        <v>0</v>
      </c>
      <c r="BJ1011" s="145"/>
      <c r="BK1011" s="146"/>
      <c r="BL1011" s="146"/>
      <c r="BM1011" s="146"/>
      <c r="BN1011" s="146"/>
      <c r="BO1011" s="4">
        <f>SUM(BJ1011:BN1011)</f>
        <v>0</v>
      </c>
      <c r="BQ1011" s="145"/>
      <c r="BR1011" s="146"/>
      <c r="BS1011" s="146"/>
      <c r="BT1011" s="146"/>
      <c r="BU1011" s="146"/>
      <c r="BV1011" s="4">
        <f>SUM(BQ1011:BU1011)</f>
        <v>0</v>
      </c>
      <c r="BX1011" s="145"/>
      <c r="BY1011" s="146"/>
      <c r="BZ1011" s="146"/>
      <c r="CA1011" s="146"/>
      <c r="CB1011" s="146"/>
      <c r="CC1011" s="4">
        <f>SUM(BX1011:CB1011)</f>
        <v>0</v>
      </c>
      <c r="CE1011" s="26">
        <f t="shared" ref="CE1011:CE1014" si="4649">F1011+M1011+T1011+AA1011+AH1011+AO1011+AV1011+BC1011+BJ1011+BQ1011+BX1011</f>
        <v>0</v>
      </c>
      <c r="CF1011" s="27">
        <f t="shared" ref="CF1011:CF1014" si="4650">G1011+N1011+U1011+AB1011+AI1011+AP1011+AW1011+BD1011+BK1011+BR1011+BY1011</f>
        <v>0</v>
      </c>
      <c r="CG1011" s="27">
        <f t="shared" ref="CG1011:CG1014" si="4651">H1011+O1011+V1011+AC1011+AJ1011+AQ1011+AX1011+BE1011+BL1011+BS1011+BZ1011</f>
        <v>0</v>
      </c>
      <c r="CH1011" s="27">
        <f t="shared" ref="CH1011:CH1014" si="4652">I1011+P1011+W1011+AD1011+AK1011+AR1011+AY1011+BF1011+BM1011+BT1011+CA1011</f>
        <v>0</v>
      </c>
      <c r="CI1011" s="27">
        <f t="shared" ref="CI1011:CI1014" si="4653">J1011+Q1011+X1011+AE1011+AL1011+AS1011+AZ1011+BG1011+BN1011+BU1011+CB1011</f>
        <v>0</v>
      </c>
      <c r="CJ1011" s="4">
        <f>SUM(CE1011:CI1011)</f>
        <v>0</v>
      </c>
      <c r="CL1011" s="145"/>
      <c r="CM1011" s="146"/>
      <c r="CN1011" s="146"/>
      <c r="CO1011" s="146"/>
      <c r="CP1011" s="146"/>
      <c r="CQ1011" s="4">
        <f>SUM(CL1011:CP1011)</f>
        <v>0</v>
      </c>
      <c r="CS1011" s="145"/>
      <c r="CT1011" s="146"/>
      <c r="CU1011" s="146"/>
      <c r="CV1011" s="146"/>
      <c r="CW1011" s="146"/>
      <c r="CX1011" s="4">
        <f>SUM(CS1011:CW1011)</f>
        <v>0</v>
      </c>
      <c r="CZ1011" s="145"/>
      <c r="DA1011" s="146"/>
      <c r="DB1011" s="146"/>
      <c r="DC1011" s="146"/>
      <c r="DD1011" s="146"/>
      <c r="DE1011" s="4">
        <f>SUM(CZ1011:DD1011)</f>
        <v>0</v>
      </c>
    </row>
    <row r="1012" spans="3:109">
      <c r="C1012" s="567"/>
      <c r="E1012" s="5" t="s">
        <v>60</v>
      </c>
      <c r="F1012" s="23">
        <f t="shared" ref="F1012:F1014" si="4654">CE1006</f>
        <v>0</v>
      </c>
      <c r="G1012" s="24">
        <f t="shared" si="4645"/>
        <v>0</v>
      </c>
      <c r="H1012" s="24">
        <f t="shared" si="4646"/>
        <v>0</v>
      </c>
      <c r="I1012" s="24">
        <f t="shared" si="4647"/>
        <v>0</v>
      </c>
      <c r="J1012" s="24">
        <f t="shared" si="4648"/>
        <v>0</v>
      </c>
      <c r="K1012" s="8">
        <f t="shared" ref="K1012:K1014" si="4655">SUM(F1012:J1012)</f>
        <v>0</v>
      </c>
      <c r="M1012" s="147"/>
      <c r="N1012" s="148"/>
      <c r="O1012" s="148"/>
      <c r="P1012" s="148"/>
      <c r="Q1012" s="148"/>
      <c r="R1012" s="8">
        <f t="shared" ref="R1012:R1014" si="4656">SUM(M1012:Q1012)</f>
        <v>0</v>
      </c>
      <c r="T1012" s="147"/>
      <c r="U1012" s="148"/>
      <c r="V1012" s="148"/>
      <c r="W1012" s="148"/>
      <c r="X1012" s="148"/>
      <c r="Y1012" s="8">
        <f t="shared" ref="Y1012:Y1014" si="4657">SUM(T1012:X1012)</f>
        <v>0</v>
      </c>
      <c r="AA1012" s="147"/>
      <c r="AB1012" s="148"/>
      <c r="AC1012" s="148"/>
      <c r="AD1012" s="148"/>
      <c r="AE1012" s="148"/>
      <c r="AF1012" s="8">
        <f>SUM(AA1012:AE1012)</f>
        <v>0</v>
      </c>
      <c r="AH1012" s="147"/>
      <c r="AI1012" s="148"/>
      <c r="AJ1012" s="148"/>
      <c r="AK1012" s="148"/>
      <c r="AL1012" s="148"/>
      <c r="AM1012" s="8">
        <f>SUM(AH1012:AL1012)</f>
        <v>0</v>
      </c>
      <c r="AO1012" s="147"/>
      <c r="AP1012" s="148"/>
      <c r="AQ1012" s="148"/>
      <c r="AR1012" s="148"/>
      <c r="AS1012" s="148"/>
      <c r="AT1012" s="8">
        <f>SUM(AO1012:AS1012)</f>
        <v>0</v>
      </c>
      <c r="AV1012" s="147"/>
      <c r="AW1012" s="148"/>
      <c r="AX1012" s="148"/>
      <c r="AY1012" s="148"/>
      <c r="AZ1012" s="148"/>
      <c r="BA1012" s="8">
        <f>SUM(AV1012:AZ1012)</f>
        <v>0</v>
      </c>
      <c r="BC1012" s="147"/>
      <c r="BD1012" s="148"/>
      <c r="BE1012" s="148"/>
      <c r="BF1012" s="148"/>
      <c r="BG1012" s="148"/>
      <c r="BH1012" s="8">
        <f>SUM(BC1012:BG1012)</f>
        <v>0</v>
      </c>
      <c r="BJ1012" s="147"/>
      <c r="BK1012" s="148"/>
      <c r="BL1012" s="148"/>
      <c r="BM1012" s="148"/>
      <c r="BN1012" s="148"/>
      <c r="BO1012" s="8">
        <f>SUM(BJ1012:BN1012)</f>
        <v>0</v>
      </c>
      <c r="BQ1012" s="147"/>
      <c r="BR1012" s="148"/>
      <c r="BS1012" s="148"/>
      <c r="BT1012" s="148"/>
      <c r="BU1012" s="148"/>
      <c r="BV1012" s="8">
        <f>SUM(BQ1012:BU1012)</f>
        <v>0</v>
      </c>
      <c r="BX1012" s="147"/>
      <c r="BY1012" s="148"/>
      <c r="BZ1012" s="148"/>
      <c r="CA1012" s="148"/>
      <c r="CB1012" s="148"/>
      <c r="CC1012" s="8">
        <f>SUM(BX1012:CB1012)</f>
        <v>0</v>
      </c>
      <c r="CE1012" s="28">
        <f t="shared" si="4649"/>
        <v>0</v>
      </c>
      <c r="CF1012" s="29">
        <f t="shared" si="4650"/>
        <v>0</v>
      </c>
      <c r="CG1012" s="29">
        <f t="shared" si="4651"/>
        <v>0</v>
      </c>
      <c r="CH1012" s="29">
        <f t="shared" si="4652"/>
        <v>0</v>
      </c>
      <c r="CI1012" s="29">
        <f t="shared" si="4653"/>
        <v>0</v>
      </c>
      <c r="CJ1012" s="8">
        <f>SUM(CE1012:CI1012)</f>
        <v>0</v>
      </c>
      <c r="CL1012" s="147"/>
      <c r="CM1012" s="148"/>
      <c r="CN1012" s="148"/>
      <c r="CO1012" s="148"/>
      <c r="CP1012" s="148"/>
      <c r="CQ1012" s="8">
        <f>SUM(CL1012:CP1012)</f>
        <v>0</v>
      </c>
      <c r="CS1012" s="147"/>
      <c r="CT1012" s="148"/>
      <c r="CU1012" s="148"/>
      <c r="CV1012" s="148"/>
      <c r="CW1012" s="148"/>
      <c r="CX1012" s="8">
        <f t="shared" ref="CX1012:CX1014" si="4658">SUM(CS1012:CW1012)</f>
        <v>0</v>
      </c>
      <c r="CZ1012" s="147"/>
      <c r="DA1012" s="148"/>
      <c r="DB1012" s="148"/>
      <c r="DC1012" s="148"/>
      <c r="DD1012" s="148"/>
      <c r="DE1012" s="8">
        <f t="shared" ref="DE1012:DE1014" si="4659">SUM(CZ1012:DD1012)</f>
        <v>0</v>
      </c>
    </row>
    <row r="1013" spans="3:109">
      <c r="C1013" s="567"/>
      <c r="E1013" s="5" t="s">
        <v>61</v>
      </c>
      <c r="F1013" s="23">
        <f t="shared" si="4654"/>
        <v>0</v>
      </c>
      <c r="G1013" s="24">
        <f t="shared" si="4645"/>
        <v>0</v>
      </c>
      <c r="H1013" s="24">
        <f t="shared" si="4646"/>
        <v>0</v>
      </c>
      <c r="I1013" s="24">
        <f t="shared" si="4647"/>
        <v>0</v>
      </c>
      <c r="J1013" s="24">
        <f t="shared" si="4648"/>
        <v>0</v>
      </c>
      <c r="K1013" s="8">
        <f t="shared" si="4655"/>
        <v>0</v>
      </c>
      <c r="M1013" s="147"/>
      <c r="N1013" s="148"/>
      <c r="O1013" s="148"/>
      <c r="P1013" s="148"/>
      <c r="Q1013" s="148"/>
      <c r="R1013" s="8">
        <f t="shared" si="4656"/>
        <v>0</v>
      </c>
      <c r="T1013" s="147"/>
      <c r="U1013" s="148"/>
      <c r="V1013" s="148"/>
      <c r="W1013" s="148"/>
      <c r="X1013" s="148"/>
      <c r="Y1013" s="8">
        <f t="shared" si="4657"/>
        <v>0</v>
      </c>
      <c r="AA1013" s="147"/>
      <c r="AB1013" s="148"/>
      <c r="AC1013" s="148"/>
      <c r="AD1013" s="148"/>
      <c r="AE1013" s="148"/>
      <c r="AF1013" s="8">
        <f>SUM(AA1013:AE1013)</f>
        <v>0</v>
      </c>
      <c r="AH1013" s="147"/>
      <c r="AI1013" s="148"/>
      <c r="AJ1013" s="148"/>
      <c r="AK1013" s="148"/>
      <c r="AL1013" s="148"/>
      <c r="AM1013" s="8">
        <f>SUM(AH1013:AL1013)</f>
        <v>0</v>
      </c>
      <c r="AO1013" s="147"/>
      <c r="AP1013" s="148"/>
      <c r="AQ1013" s="148"/>
      <c r="AR1013" s="148"/>
      <c r="AS1013" s="148"/>
      <c r="AT1013" s="8">
        <f>SUM(AO1013:AS1013)</f>
        <v>0</v>
      </c>
      <c r="AV1013" s="147"/>
      <c r="AW1013" s="148"/>
      <c r="AX1013" s="148"/>
      <c r="AY1013" s="148"/>
      <c r="AZ1013" s="148"/>
      <c r="BA1013" s="8">
        <f>SUM(AV1013:AZ1013)</f>
        <v>0</v>
      </c>
      <c r="BC1013" s="147"/>
      <c r="BD1013" s="148"/>
      <c r="BE1013" s="148"/>
      <c r="BF1013" s="148"/>
      <c r="BG1013" s="148"/>
      <c r="BH1013" s="8">
        <f>SUM(BC1013:BG1013)</f>
        <v>0</v>
      </c>
      <c r="BJ1013" s="147"/>
      <c r="BK1013" s="148"/>
      <c r="BL1013" s="148"/>
      <c r="BM1013" s="148"/>
      <c r="BN1013" s="148"/>
      <c r="BO1013" s="8">
        <f>SUM(BJ1013:BN1013)</f>
        <v>0</v>
      </c>
      <c r="BQ1013" s="147"/>
      <c r="BR1013" s="148"/>
      <c r="BS1013" s="148"/>
      <c r="BT1013" s="148"/>
      <c r="BU1013" s="148"/>
      <c r="BV1013" s="8">
        <f>SUM(BQ1013:BU1013)</f>
        <v>0</v>
      </c>
      <c r="BX1013" s="147"/>
      <c r="BY1013" s="148"/>
      <c r="BZ1013" s="148"/>
      <c r="CA1013" s="148"/>
      <c r="CB1013" s="148"/>
      <c r="CC1013" s="8">
        <f>SUM(BX1013:CB1013)</f>
        <v>0</v>
      </c>
      <c r="CE1013" s="28">
        <f t="shared" si="4649"/>
        <v>0</v>
      </c>
      <c r="CF1013" s="29">
        <f t="shared" si="4650"/>
        <v>0</v>
      </c>
      <c r="CG1013" s="29">
        <f t="shared" si="4651"/>
        <v>0</v>
      </c>
      <c r="CH1013" s="29">
        <f t="shared" si="4652"/>
        <v>0</v>
      </c>
      <c r="CI1013" s="29">
        <f t="shared" si="4653"/>
        <v>0</v>
      </c>
      <c r="CJ1013" s="8">
        <f>SUM(CE1013:CI1013)</f>
        <v>0</v>
      </c>
      <c r="CL1013" s="147"/>
      <c r="CM1013" s="148"/>
      <c r="CN1013" s="148"/>
      <c r="CO1013" s="148"/>
      <c r="CP1013" s="148"/>
      <c r="CQ1013" s="8">
        <f>SUM(CL1013:CP1013)</f>
        <v>0</v>
      </c>
      <c r="CS1013" s="147"/>
      <c r="CT1013" s="148"/>
      <c r="CU1013" s="148"/>
      <c r="CV1013" s="148"/>
      <c r="CW1013" s="148"/>
      <c r="CX1013" s="8">
        <f t="shared" si="4658"/>
        <v>0</v>
      </c>
      <c r="CZ1013" s="147"/>
      <c r="DA1013" s="148"/>
      <c r="DB1013" s="148"/>
      <c r="DC1013" s="148"/>
      <c r="DD1013" s="148"/>
      <c r="DE1013" s="8">
        <f t="shared" si="4659"/>
        <v>0</v>
      </c>
    </row>
    <row r="1014" spans="3:109" ht="14" thickBot="1">
      <c r="C1014" s="567"/>
      <c r="E1014" s="5" t="s">
        <v>62</v>
      </c>
      <c r="F1014" s="23">
        <f t="shared" si="4654"/>
        <v>0</v>
      </c>
      <c r="G1014" s="24">
        <f t="shared" si="4645"/>
        <v>0</v>
      </c>
      <c r="H1014" s="24">
        <f t="shared" si="4646"/>
        <v>0</v>
      </c>
      <c r="I1014" s="24">
        <f t="shared" si="4647"/>
        <v>0</v>
      </c>
      <c r="J1014" s="24">
        <f t="shared" si="4648"/>
        <v>0</v>
      </c>
      <c r="K1014" s="8">
        <f t="shared" si="4655"/>
        <v>0</v>
      </c>
      <c r="M1014" s="147"/>
      <c r="N1014" s="148"/>
      <c r="O1014" s="148"/>
      <c r="P1014" s="148"/>
      <c r="Q1014" s="148"/>
      <c r="R1014" s="8">
        <f t="shared" si="4656"/>
        <v>0</v>
      </c>
      <c r="T1014" s="147"/>
      <c r="U1014" s="148"/>
      <c r="V1014" s="148"/>
      <c r="W1014" s="148"/>
      <c r="X1014" s="148"/>
      <c r="Y1014" s="8">
        <f t="shared" si="4657"/>
        <v>0</v>
      </c>
      <c r="AA1014" s="147"/>
      <c r="AB1014" s="148"/>
      <c r="AC1014" s="148"/>
      <c r="AD1014" s="148"/>
      <c r="AE1014" s="148"/>
      <c r="AF1014" s="8">
        <f>SUM(AA1014:AE1014)</f>
        <v>0</v>
      </c>
      <c r="AH1014" s="147"/>
      <c r="AI1014" s="148"/>
      <c r="AJ1014" s="148"/>
      <c r="AK1014" s="148"/>
      <c r="AL1014" s="148"/>
      <c r="AM1014" s="8">
        <f>SUM(AH1014:AL1014)</f>
        <v>0</v>
      </c>
      <c r="AO1014" s="147"/>
      <c r="AP1014" s="148"/>
      <c r="AQ1014" s="148"/>
      <c r="AR1014" s="148"/>
      <c r="AS1014" s="148"/>
      <c r="AT1014" s="8">
        <f>SUM(AO1014:AS1014)</f>
        <v>0</v>
      </c>
      <c r="AV1014" s="147"/>
      <c r="AW1014" s="148"/>
      <c r="AX1014" s="148"/>
      <c r="AY1014" s="148"/>
      <c r="AZ1014" s="148"/>
      <c r="BA1014" s="8">
        <f>SUM(AV1014:AZ1014)</f>
        <v>0</v>
      </c>
      <c r="BC1014" s="147"/>
      <c r="BD1014" s="148"/>
      <c r="BE1014" s="148"/>
      <c r="BF1014" s="148"/>
      <c r="BG1014" s="148"/>
      <c r="BH1014" s="8">
        <f>SUM(BC1014:BG1014)</f>
        <v>0</v>
      </c>
      <c r="BJ1014" s="147"/>
      <c r="BK1014" s="148"/>
      <c r="BL1014" s="148"/>
      <c r="BM1014" s="148"/>
      <c r="BN1014" s="148"/>
      <c r="BO1014" s="8">
        <f>SUM(BJ1014:BN1014)</f>
        <v>0</v>
      </c>
      <c r="BQ1014" s="147"/>
      <c r="BR1014" s="148"/>
      <c r="BS1014" s="148"/>
      <c r="BT1014" s="148"/>
      <c r="BU1014" s="148"/>
      <c r="BV1014" s="8">
        <f>SUM(BQ1014:BU1014)</f>
        <v>0</v>
      </c>
      <c r="BX1014" s="147"/>
      <c r="BY1014" s="148"/>
      <c r="BZ1014" s="148"/>
      <c r="CA1014" s="148"/>
      <c r="CB1014" s="148"/>
      <c r="CC1014" s="8">
        <f>SUM(BX1014:CB1014)</f>
        <v>0</v>
      </c>
      <c r="CE1014" s="493">
        <f t="shared" si="4649"/>
        <v>0</v>
      </c>
      <c r="CF1014" s="494">
        <f t="shared" si="4650"/>
        <v>0</v>
      </c>
      <c r="CG1014" s="494">
        <f t="shared" si="4651"/>
        <v>0</v>
      </c>
      <c r="CH1014" s="494">
        <f t="shared" si="4652"/>
        <v>0</v>
      </c>
      <c r="CI1014" s="494">
        <f t="shared" si="4653"/>
        <v>0</v>
      </c>
      <c r="CJ1014" s="495">
        <f>SUM(CE1014:CI1014)</f>
        <v>0</v>
      </c>
      <c r="CL1014" s="147"/>
      <c r="CM1014" s="148"/>
      <c r="CN1014" s="148"/>
      <c r="CO1014" s="148"/>
      <c r="CP1014" s="148"/>
      <c r="CQ1014" s="8">
        <f>SUM(CL1014:CP1014)</f>
        <v>0</v>
      </c>
      <c r="CS1014" s="147"/>
      <c r="CT1014" s="148"/>
      <c r="CU1014" s="148"/>
      <c r="CV1014" s="148"/>
      <c r="CW1014" s="148"/>
      <c r="CX1014" s="8">
        <f t="shared" si="4658"/>
        <v>0</v>
      </c>
      <c r="CZ1014" s="147"/>
      <c r="DA1014" s="148"/>
      <c r="DB1014" s="148"/>
      <c r="DC1014" s="148"/>
      <c r="DD1014" s="148"/>
      <c r="DE1014" s="8">
        <f t="shared" si="4659"/>
        <v>0</v>
      </c>
    </row>
    <row r="1015" spans="3:109" ht="14" thickBot="1">
      <c r="C1015" s="554"/>
      <c r="E1015" s="9"/>
      <c r="F1015" s="10">
        <f>SUM(F1011:F1014)</f>
        <v>0</v>
      </c>
      <c r="G1015" s="11">
        <f t="shared" ref="G1015:J1015" si="4660">SUM(G1011:G1014)</f>
        <v>0</v>
      </c>
      <c r="H1015" s="11">
        <f t="shared" si="4660"/>
        <v>0</v>
      </c>
      <c r="I1015" s="11">
        <f t="shared" si="4660"/>
        <v>0</v>
      </c>
      <c r="J1015" s="11">
        <f t="shared" si="4660"/>
        <v>0</v>
      </c>
      <c r="K1015" s="25">
        <f>SUM(K1011:K1014)</f>
        <v>0</v>
      </c>
      <c r="M1015" s="10">
        <f>SUM(M1011:M1014)</f>
        <v>0</v>
      </c>
      <c r="N1015" s="11">
        <f t="shared" ref="N1015:Q1015" si="4661">SUM(N1011:N1014)</f>
        <v>0</v>
      </c>
      <c r="O1015" s="11">
        <f t="shared" si="4661"/>
        <v>0</v>
      </c>
      <c r="P1015" s="11">
        <f t="shared" si="4661"/>
        <v>0</v>
      </c>
      <c r="Q1015" s="11">
        <f t="shared" si="4661"/>
        <v>0</v>
      </c>
      <c r="R1015" s="25">
        <f>SUM(R1011:R1014)</f>
        <v>0</v>
      </c>
      <c r="T1015" s="10">
        <f>SUM(T1011:T1014)</f>
        <v>0</v>
      </c>
      <c r="U1015" s="11">
        <f t="shared" ref="U1015:X1015" si="4662">SUM(U1011:U1014)</f>
        <v>0</v>
      </c>
      <c r="V1015" s="11">
        <f t="shared" si="4662"/>
        <v>0</v>
      </c>
      <c r="W1015" s="11">
        <f t="shared" si="4662"/>
        <v>0</v>
      </c>
      <c r="X1015" s="11">
        <f t="shared" si="4662"/>
        <v>0</v>
      </c>
      <c r="Y1015" s="25">
        <f>SUM(Y1011:Y1014)</f>
        <v>0</v>
      </c>
      <c r="AA1015" s="10">
        <f>SUM(AA1011:AA1014)</f>
        <v>0</v>
      </c>
      <c r="AB1015" s="11">
        <f t="shared" ref="AB1015:AE1015" si="4663">SUM(AB1011:AB1014)</f>
        <v>0</v>
      </c>
      <c r="AC1015" s="11">
        <f t="shared" si="4663"/>
        <v>0</v>
      </c>
      <c r="AD1015" s="11">
        <f t="shared" si="4663"/>
        <v>0</v>
      </c>
      <c r="AE1015" s="11">
        <f t="shared" si="4663"/>
        <v>0</v>
      </c>
      <c r="AF1015" s="25">
        <f>SUM(AF1011:AF1014)</f>
        <v>0</v>
      </c>
      <c r="AH1015" s="10">
        <f t="shared" ref="AH1015:AM1015" si="4664">SUM(AH1011:AH1014)</f>
        <v>0</v>
      </c>
      <c r="AI1015" s="11">
        <f t="shared" si="4664"/>
        <v>0</v>
      </c>
      <c r="AJ1015" s="11">
        <f t="shared" si="4664"/>
        <v>0</v>
      </c>
      <c r="AK1015" s="11">
        <f t="shared" si="4664"/>
        <v>0</v>
      </c>
      <c r="AL1015" s="11">
        <f t="shared" si="4664"/>
        <v>0</v>
      </c>
      <c r="AM1015" s="25">
        <f t="shared" si="4664"/>
        <v>0</v>
      </c>
      <c r="AO1015" s="10">
        <f t="shared" ref="AO1015:AT1015" si="4665">SUM(AO1011:AO1014)</f>
        <v>0</v>
      </c>
      <c r="AP1015" s="11">
        <f t="shared" si="4665"/>
        <v>0</v>
      </c>
      <c r="AQ1015" s="11">
        <f t="shared" si="4665"/>
        <v>0</v>
      </c>
      <c r="AR1015" s="11">
        <f t="shared" si="4665"/>
        <v>0</v>
      </c>
      <c r="AS1015" s="11">
        <f t="shared" si="4665"/>
        <v>0</v>
      </c>
      <c r="AT1015" s="25">
        <f t="shared" si="4665"/>
        <v>0</v>
      </c>
      <c r="AV1015" s="10">
        <f t="shared" ref="AV1015:BA1015" si="4666">SUM(AV1011:AV1014)</f>
        <v>0</v>
      </c>
      <c r="AW1015" s="11">
        <f t="shared" si="4666"/>
        <v>0</v>
      </c>
      <c r="AX1015" s="11">
        <f t="shared" si="4666"/>
        <v>0</v>
      </c>
      <c r="AY1015" s="11">
        <f t="shared" si="4666"/>
        <v>0</v>
      </c>
      <c r="AZ1015" s="11">
        <f t="shared" si="4666"/>
        <v>0</v>
      </c>
      <c r="BA1015" s="25">
        <f t="shared" si="4666"/>
        <v>0</v>
      </c>
      <c r="BC1015" s="10">
        <f t="shared" ref="BC1015:BH1015" si="4667">SUM(BC1011:BC1014)</f>
        <v>0</v>
      </c>
      <c r="BD1015" s="11">
        <f t="shared" si="4667"/>
        <v>0</v>
      </c>
      <c r="BE1015" s="11">
        <f t="shared" si="4667"/>
        <v>0</v>
      </c>
      <c r="BF1015" s="11">
        <f t="shared" si="4667"/>
        <v>0</v>
      </c>
      <c r="BG1015" s="11">
        <f t="shared" si="4667"/>
        <v>0</v>
      </c>
      <c r="BH1015" s="25">
        <f t="shared" si="4667"/>
        <v>0</v>
      </c>
      <c r="BJ1015" s="10">
        <f t="shared" ref="BJ1015:BO1015" si="4668">SUM(BJ1011:BJ1014)</f>
        <v>0</v>
      </c>
      <c r="BK1015" s="11">
        <f t="shared" si="4668"/>
        <v>0</v>
      </c>
      <c r="BL1015" s="11">
        <f t="shared" si="4668"/>
        <v>0</v>
      </c>
      <c r="BM1015" s="11">
        <f t="shared" si="4668"/>
        <v>0</v>
      </c>
      <c r="BN1015" s="11">
        <f t="shared" si="4668"/>
        <v>0</v>
      </c>
      <c r="BO1015" s="25">
        <f t="shared" si="4668"/>
        <v>0</v>
      </c>
      <c r="BQ1015" s="10">
        <f t="shared" ref="BQ1015:BV1015" si="4669">SUM(BQ1011:BQ1014)</f>
        <v>0</v>
      </c>
      <c r="BR1015" s="11">
        <f t="shared" si="4669"/>
        <v>0</v>
      </c>
      <c r="BS1015" s="11">
        <f t="shared" si="4669"/>
        <v>0</v>
      </c>
      <c r="BT1015" s="11">
        <f t="shared" si="4669"/>
        <v>0</v>
      </c>
      <c r="BU1015" s="11">
        <f t="shared" si="4669"/>
        <v>0</v>
      </c>
      <c r="BV1015" s="25">
        <f t="shared" si="4669"/>
        <v>0</v>
      </c>
      <c r="BX1015" s="10">
        <f t="shared" ref="BX1015:CC1015" si="4670">SUM(BX1011:BX1014)</f>
        <v>0</v>
      </c>
      <c r="BY1015" s="11">
        <f t="shared" si="4670"/>
        <v>0</v>
      </c>
      <c r="BZ1015" s="11">
        <f t="shared" si="4670"/>
        <v>0</v>
      </c>
      <c r="CA1015" s="11">
        <f t="shared" si="4670"/>
        <v>0</v>
      </c>
      <c r="CB1015" s="11">
        <f t="shared" si="4670"/>
        <v>0</v>
      </c>
      <c r="CC1015" s="25">
        <f t="shared" si="4670"/>
        <v>0</v>
      </c>
      <c r="CE1015" s="62">
        <f t="shared" ref="CE1015:CJ1015" si="4671">SUM(CE1011:CE1014)</f>
        <v>0</v>
      </c>
      <c r="CF1015" s="63">
        <f t="shared" si="4671"/>
        <v>0</v>
      </c>
      <c r="CG1015" s="63">
        <f t="shared" si="4671"/>
        <v>0</v>
      </c>
      <c r="CH1015" s="63">
        <f t="shared" si="4671"/>
        <v>0</v>
      </c>
      <c r="CI1015" s="63">
        <f t="shared" si="4671"/>
        <v>0</v>
      </c>
      <c r="CJ1015" s="25">
        <f t="shared" si="4671"/>
        <v>0</v>
      </c>
      <c r="CL1015" s="10">
        <f>SUM(CL1011:CL1014)</f>
        <v>0</v>
      </c>
      <c r="CM1015" s="11">
        <f t="shared" ref="CM1015:CQ1015" si="4672">SUM(CM1011:CM1014)</f>
        <v>0</v>
      </c>
      <c r="CN1015" s="11">
        <f t="shared" si="4672"/>
        <v>0</v>
      </c>
      <c r="CO1015" s="11">
        <f t="shared" si="4672"/>
        <v>0</v>
      </c>
      <c r="CP1015" s="11">
        <f t="shared" si="4672"/>
        <v>0</v>
      </c>
      <c r="CQ1015" s="25">
        <f t="shared" si="4672"/>
        <v>0</v>
      </c>
      <c r="CS1015" s="10">
        <f>SUM(CS1011:CS1014)</f>
        <v>0</v>
      </c>
      <c r="CT1015" s="11">
        <f t="shared" ref="CT1015:CW1015" si="4673">SUM(CT1011:CT1014)</f>
        <v>0</v>
      </c>
      <c r="CU1015" s="11">
        <f t="shared" si="4673"/>
        <v>0</v>
      </c>
      <c r="CV1015" s="11">
        <f t="shared" si="4673"/>
        <v>0</v>
      </c>
      <c r="CW1015" s="11">
        <f t="shared" si="4673"/>
        <v>0</v>
      </c>
      <c r="CX1015" s="25">
        <f>SUM(CX1011:CX1014)</f>
        <v>0</v>
      </c>
      <c r="CZ1015" s="10">
        <f>SUM(CZ1011:CZ1014)</f>
        <v>0</v>
      </c>
      <c r="DA1015" s="11">
        <f t="shared" ref="DA1015:DD1015" si="4674">SUM(DA1011:DA1014)</f>
        <v>0</v>
      </c>
      <c r="DB1015" s="11">
        <f t="shared" si="4674"/>
        <v>0</v>
      </c>
      <c r="DC1015" s="11">
        <f t="shared" si="4674"/>
        <v>0</v>
      </c>
      <c r="DD1015" s="11">
        <f t="shared" si="4674"/>
        <v>0</v>
      </c>
      <c r="DE1015" s="25">
        <f>SUM(DE1011:DE1014)</f>
        <v>0</v>
      </c>
    </row>
    <row r="1016" spans="3:109" ht="10.4" customHeight="1" thickBot="1"/>
    <row r="1017" spans="3:109">
      <c r="C1017" s="553">
        <v>2027</v>
      </c>
      <c r="E1017" s="1" t="s">
        <v>59</v>
      </c>
      <c r="F1017" s="21">
        <f>CE1011</f>
        <v>0</v>
      </c>
      <c r="G1017" s="22">
        <f t="shared" ref="G1017:G1020" si="4675">CF1011</f>
        <v>0</v>
      </c>
      <c r="H1017" s="22">
        <f t="shared" ref="H1017:H1020" si="4676">CG1011</f>
        <v>0</v>
      </c>
      <c r="I1017" s="22">
        <f t="shared" ref="I1017:I1020" si="4677">CH1011</f>
        <v>0</v>
      </c>
      <c r="J1017" s="22">
        <f t="shared" ref="J1017:J1020" si="4678">CI1011</f>
        <v>0</v>
      </c>
      <c r="K1017" s="4">
        <f>SUM(F1017:J1017)</f>
        <v>0</v>
      </c>
      <c r="M1017" s="145"/>
      <c r="N1017" s="146"/>
      <c r="O1017" s="146"/>
      <c r="P1017" s="146"/>
      <c r="Q1017" s="146"/>
      <c r="R1017" s="4">
        <f>SUM(M1017:Q1017)</f>
        <v>0</v>
      </c>
      <c r="T1017" s="145"/>
      <c r="U1017" s="146"/>
      <c r="V1017" s="146"/>
      <c r="W1017" s="146"/>
      <c r="X1017" s="146"/>
      <c r="Y1017" s="4">
        <f>SUM(T1017:X1017)</f>
        <v>0</v>
      </c>
      <c r="AA1017" s="145"/>
      <c r="AB1017" s="146"/>
      <c r="AC1017" s="146"/>
      <c r="AD1017" s="146"/>
      <c r="AE1017" s="146"/>
      <c r="AF1017" s="4">
        <f>SUM(AA1017:AE1017)</f>
        <v>0</v>
      </c>
      <c r="AH1017" s="145"/>
      <c r="AI1017" s="146"/>
      <c r="AJ1017" s="146"/>
      <c r="AK1017" s="146"/>
      <c r="AL1017" s="146"/>
      <c r="AM1017" s="4">
        <f>SUM(AH1017:AL1017)</f>
        <v>0</v>
      </c>
      <c r="AO1017" s="145"/>
      <c r="AP1017" s="146"/>
      <c r="AQ1017" s="146"/>
      <c r="AR1017" s="146"/>
      <c r="AS1017" s="146"/>
      <c r="AT1017" s="4">
        <f>SUM(AO1017:AS1017)</f>
        <v>0</v>
      </c>
      <c r="AV1017" s="145"/>
      <c r="AW1017" s="146"/>
      <c r="AX1017" s="146"/>
      <c r="AY1017" s="146"/>
      <c r="AZ1017" s="146"/>
      <c r="BA1017" s="4">
        <f>SUM(AV1017:AZ1017)</f>
        <v>0</v>
      </c>
      <c r="BC1017" s="145"/>
      <c r="BD1017" s="146"/>
      <c r="BE1017" s="146"/>
      <c r="BF1017" s="146"/>
      <c r="BG1017" s="146"/>
      <c r="BH1017" s="4">
        <f>SUM(BC1017:BG1017)</f>
        <v>0</v>
      </c>
      <c r="BJ1017" s="145"/>
      <c r="BK1017" s="146"/>
      <c r="BL1017" s="146"/>
      <c r="BM1017" s="146"/>
      <c r="BN1017" s="146"/>
      <c r="BO1017" s="4">
        <f>SUM(BJ1017:BN1017)</f>
        <v>0</v>
      </c>
      <c r="BQ1017" s="145"/>
      <c r="BR1017" s="146"/>
      <c r="BS1017" s="146"/>
      <c r="BT1017" s="146"/>
      <c r="BU1017" s="146"/>
      <c r="BV1017" s="4">
        <f>SUM(BQ1017:BU1017)</f>
        <v>0</v>
      </c>
      <c r="BX1017" s="145"/>
      <c r="BY1017" s="146"/>
      <c r="BZ1017" s="146"/>
      <c r="CA1017" s="146"/>
      <c r="CB1017" s="146"/>
      <c r="CC1017" s="4">
        <f>SUM(BX1017:CB1017)</f>
        <v>0</v>
      </c>
      <c r="CE1017" s="26">
        <f t="shared" ref="CE1017:CE1020" si="4679">F1017+M1017+T1017+AA1017+AH1017+AO1017+AV1017+BC1017+BJ1017+BQ1017+BX1017</f>
        <v>0</v>
      </c>
      <c r="CF1017" s="27">
        <f t="shared" ref="CF1017:CF1020" si="4680">G1017+N1017+U1017+AB1017+AI1017+AP1017+AW1017+BD1017+BK1017+BR1017+BY1017</f>
        <v>0</v>
      </c>
      <c r="CG1017" s="27">
        <f t="shared" ref="CG1017:CG1020" si="4681">H1017+O1017+V1017+AC1017+AJ1017+AQ1017+AX1017+BE1017+BL1017+BS1017+BZ1017</f>
        <v>0</v>
      </c>
      <c r="CH1017" s="27">
        <f t="shared" ref="CH1017:CH1020" si="4682">I1017+P1017+W1017+AD1017+AK1017+AR1017+AY1017+BF1017+BM1017+BT1017+CA1017</f>
        <v>0</v>
      </c>
      <c r="CI1017" s="27">
        <f t="shared" ref="CI1017:CI1020" si="4683">J1017+Q1017+X1017+AE1017+AL1017+AS1017+AZ1017+BG1017+BN1017+BU1017+CB1017</f>
        <v>0</v>
      </c>
      <c r="CJ1017" s="4">
        <f>SUM(CE1017:CI1017)</f>
        <v>0</v>
      </c>
      <c r="CL1017" s="145"/>
      <c r="CM1017" s="146"/>
      <c r="CN1017" s="146"/>
      <c r="CO1017" s="146"/>
      <c r="CP1017" s="146"/>
      <c r="CQ1017" s="4">
        <f>SUM(CL1017:CP1017)</f>
        <v>0</v>
      </c>
      <c r="CS1017" s="145"/>
      <c r="CT1017" s="146"/>
      <c r="CU1017" s="146"/>
      <c r="CV1017" s="146"/>
      <c r="CW1017" s="146"/>
      <c r="CX1017" s="4">
        <f>SUM(CS1017:CW1017)</f>
        <v>0</v>
      </c>
      <c r="CZ1017" s="145"/>
      <c r="DA1017" s="146"/>
      <c r="DB1017" s="146"/>
      <c r="DC1017" s="146"/>
      <c r="DD1017" s="146"/>
      <c r="DE1017" s="4">
        <f>SUM(CZ1017:DD1017)</f>
        <v>0</v>
      </c>
    </row>
    <row r="1018" spans="3:109">
      <c r="C1018" s="567"/>
      <c r="E1018" s="5" t="s">
        <v>60</v>
      </c>
      <c r="F1018" s="23">
        <f t="shared" ref="F1018:F1020" si="4684">CE1012</f>
        <v>0</v>
      </c>
      <c r="G1018" s="24">
        <f t="shared" si="4675"/>
        <v>0</v>
      </c>
      <c r="H1018" s="24">
        <f t="shared" si="4676"/>
        <v>0</v>
      </c>
      <c r="I1018" s="24">
        <f t="shared" si="4677"/>
        <v>0</v>
      </c>
      <c r="J1018" s="24">
        <f t="shared" si="4678"/>
        <v>0</v>
      </c>
      <c r="K1018" s="8">
        <f t="shared" ref="K1018:K1020" si="4685">SUM(F1018:J1018)</f>
        <v>0</v>
      </c>
      <c r="M1018" s="147"/>
      <c r="N1018" s="148"/>
      <c r="O1018" s="148"/>
      <c r="P1018" s="148"/>
      <c r="Q1018" s="148"/>
      <c r="R1018" s="8">
        <f t="shared" ref="R1018:R1020" si="4686">SUM(M1018:Q1018)</f>
        <v>0</v>
      </c>
      <c r="T1018" s="147"/>
      <c r="U1018" s="148"/>
      <c r="V1018" s="148"/>
      <c r="W1018" s="148"/>
      <c r="X1018" s="148"/>
      <c r="Y1018" s="8">
        <f t="shared" ref="Y1018:Y1020" si="4687">SUM(T1018:X1018)</f>
        <v>0</v>
      </c>
      <c r="AA1018" s="147"/>
      <c r="AB1018" s="148"/>
      <c r="AC1018" s="148"/>
      <c r="AD1018" s="148"/>
      <c r="AE1018" s="148"/>
      <c r="AF1018" s="8">
        <f>SUM(AA1018:AE1018)</f>
        <v>0</v>
      </c>
      <c r="AH1018" s="147"/>
      <c r="AI1018" s="148"/>
      <c r="AJ1018" s="148"/>
      <c r="AK1018" s="148"/>
      <c r="AL1018" s="148"/>
      <c r="AM1018" s="8">
        <f>SUM(AH1018:AL1018)</f>
        <v>0</v>
      </c>
      <c r="AO1018" s="147"/>
      <c r="AP1018" s="148"/>
      <c r="AQ1018" s="148"/>
      <c r="AR1018" s="148"/>
      <c r="AS1018" s="148"/>
      <c r="AT1018" s="8">
        <f>SUM(AO1018:AS1018)</f>
        <v>0</v>
      </c>
      <c r="AV1018" s="147"/>
      <c r="AW1018" s="148"/>
      <c r="AX1018" s="148"/>
      <c r="AY1018" s="148"/>
      <c r="AZ1018" s="148"/>
      <c r="BA1018" s="8">
        <f>SUM(AV1018:AZ1018)</f>
        <v>0</v>
      </c>
      <c r="BC1018" s="147"/>
      <c r="BD1018" s="148"/>
      <c r="BE1018" s="148"/>
      <c r="BF1018" s="148"/>
      <c r="BG1018" s="148"/>
      <c r="BH1018" s="8">
        <f>SUM(BC1018:BG1018)</f>
        <v>0</v>
      </c>
      <c r="BJ1018" s="147"/>
      <c r="BK1018" s="148"/>
      <c r="BL1018" s="148"/>
      <c r="BM1018" s="148"/>
      <c r="BN1018" s="148"/>
      <c r="BO1018" s="8">
        <f>SUM(BJ1018:BN1018)</f>
        <v>0</v>
      </c>
      <c r="BQ1018" s="147"/>
      <c r="BR1018" s="148"/>
      <c r="BS1018" s="148"/>
      <c r="BT1018" s="148"/>
      <c r="BU1018" s="148"/>
      <c r="BV1018" s="8">
        <f>SUM(BQ1018:BU1018)</f>
        <v>0</v>
      </c>
      <c r="BX1018" s="147"/>
      <c r="BY1018" s="148"/>
      <c r="BZ1018" s="148"/>
      <c r="CA1018" s="148"/>
      <c r="CB1018" s="148"/>
      <c r="CC1018" s="8">
        <f>SUM(BX1018:CB1018)</f>
        <v>0</v>
      </c>
      <c r="CE1018" s="28">
        <f t="shared" si="4679"/>
        <v>0</v>
      </c>
      <c r="CF1018" s="29">
        <f t="shared" si="4680"/>
        <v>0</v>
      </c>
      <c r="CG1018" s="29">
        <f t="shared" si="4681"/>
        <v>0</v>
      </c>
      <c r="CH1018" s="29">
        <f t="shared" si="4682"/>
        <v>0</v>
      </c>
      <c r="CI1018" s="29">
        <f t="shared" si="4683"/>
        <v>0</v>
      </c>
      <c r="CJ1018" s="8">
        <f>SUM(CE1018:CI1018)</f>
        <v>0</v>
      </c>
      <c r="CL1018" s="147"/>
      <c r="CM1018" s="148"/>
      <c r="CN1018" s="148"/>
      <c r="CO1018" s="148"/>
      <c r="CP1018" s="148"/>
      <c r="CQ1018" s="8">
        <f>SUM(CL1018:CP1018)</f>
        <v>0</v>
      </c>
      <c r="CS1018" s="147"/>
      <c r="CT1018" s="148"/>
      <c r="CU1018" s="148"/>
      <c r="CV1018" s="148"/>
      <c r="CW1018" s="148"/>
      <c r="CX1018" s="8">
        <f t="shared" ref="CX1018:CX1020" si="4688">SUM(CS1018:CW1018)</f>
        <v>0</v>
      </c>
      <c r="CZ1018" s="147"/>
      <c r="DA1018" s="148"/>
      <c r="DB1018" s="148"/>
      <c r="DC1018" s="148"/>
      <c r="DD1018" s="148"/>
      <c r="DE1018" s="8">
        <f t="shared" ref="DE1018:DE1020" si="4689">SUM(CZ1018:DD1018)</f>
        <v>0</v>
      </c>
    </row>
    <row r="1019" spans="3:109">
      <c r="C1019" s="567"/>
      <c r="E1019" s="5" t="s">
        <v>61</v>
      </c>
      <c r="F1019" s="23">
        <f t="shared" si="4684"/>
        <v>0</v>
      </c>
      <c r="G1019" s="24">
        <f t="shared" si="4675"/>
        <v>0</v>
      </c>
      <c r="H1019" s="24">
        <f t="shared" si="4676"/>
        <v>0</v>
      </c>
      <c r="I1019" s="24">
        <f t="shared" si="4677"/>
        <v>0</v>
      </c>
      <c r="J1019" s="24">
        <f t="shared" si="4678"/>
        <v>0</v>
      </c>
      <c r="K1019" s="8">
        <f t="shared" si="4685"/>
        <v>0</v>
      </c>
      <c r="M1019" s="147"/>
      <c r="N1019" s="148"/>
      <c r="O1019" s="148"/>
      <c r="P1019" s="148"/>
      <c r="Q1019" s="148"/>
      <c r="R1019" s="8">
        <f t="shared" si="4686"/>
        <v>0</v>
      </c>
      <c r="T1019" s="147"/>
      <c r="U1019" s="148"/>
      <c r="V1019" s="148"/>
      <c r="W1019" s="148"/>
      <c r="X1019" s="148"/>
      <c r="Y1019" s="8">
        <f t="shared" si="4687"/>
        <v>0</v>
      </c>
      <c r="AA1019" s="147"/>
      <c r="AB1019" s="148"/>
      <c r="AC1019" s="148"/>
      <c r="AD1019" s="148"/>
      <c r="AE1019" s="148"/>
      <c r="AF1019" s="8">
        <f>SUM(AA1019:AE1019)</f>
        <v>0</v>
      </c>
      <c r="AH1019" s="147"/>
      <c r="AI1019" s="148"/>
      <c r="AJ1019" s="148"/>
      <c r="AK1019" s="148"/>
      <c r="AL1019" s="148"/>
      <c r="AM1019" s="8">
        <f>SUM(AH1019:AL1019)</f>
        <v>0</v>
      </c>
      <c r="AO1019" s="147"/>
      <c r="AP1019" s="148"/>
      <c r="AQ1019" s="148"/>
      <c r="AR1019" s="148"/>
      <c r="AS1019" s="148"/>
      <c r="AT1019" s="8">
        <f>SUM(AO1019:AS1019)</f>
        <v>0</v>
      </c>
      <c r="AV1019" s="147"/>
      <c r="AW1019" s="148"/>
      <c r="AX1019" s="148"/>
      <c r="AY1019" s="148"/>
      <c r="AZ1019" s="148"/>
      <c r="BA1019" s="8">
        <f>SUM(AV1019:AZ1019)</f>
        <v>0</v>
      </c>
      <c r="BC1019" s="147"/>
      <c r="BD1019" s="148"/>
      <c r="BE1019" s="148"/>
      <c r="BF1019" s="148"/>
      <c r="BG1019" s="148"/>
      <c r="BH1019" s="8">
        <f>SUM(BC1019:BG1019)</f>
        <v>0</v>
      </c>
      <c r="BJ1019" s="147"/>
      <c r="BK1019" s="148"/>
      <c r="BL1019" s="148"/>
      <c r="BM1019" s="148"/>
      <c r="BN1019" s="148"/>
      <c r="BO1019" s="8">
        <f>SUM(BJ1019:BN1019)</f>
        <v>0</v>
      </c>
      <c r="BQ1019" s="147"/>
      <c r="BR1019" s="148"/>
      <c r="BS1019" s="148"/>
      <c r="BT1019" s="148"/>
      <c r="BU1019" s="148"/>
      <c r="BV1019" s="8">
        <f>SUM(BQ1019:BU1019)</f>
        <v>0</v>
      </c>
      <c r="BX1019" s="147"/>
      <c r="BY1019" s="148"/>
      <c r="BZ1019" s="148"/>
      <c r="CA1019" s="148"/>
      <c r="CB1019" s="148"/>
      <c r="CC1019" s="8">
        <f>SUM(BX1019:CB1019)</f>
        <v>0</v>
      </c>
      <c r="CE1019" s="28">
        <f t="shared" si="4679"/>
        <v>0</v>
      </c>
      <c r="CF1019" s="29">
        <f t="shared" si="4680"/>
        <v>0</v>
      </c>
      <c r="CG1019" s="29">
        <f t="shared" si="4681"/>
        <v>0</v>
      </c>
      <c r="CH1019" s="29">
        <f t="shared" si="4682"/>
        <v>0</v>
      </c>
      <c r="CI1019" s="29">
        <f t="shared" si="4683"/>
        <v>0</v>
      </c>
      <c r="CJ1019" s="8">
        <f>SUM(CE1019:CI1019)</f>
        <v>0</v>
      </c>
      <c r="CL1019" s="147"/>
      <c r="CM1019" s="148"/>
      <c r="CN1019" s="148"/>
      <c r="CO1019" s="148"/>
      <c r="CP1019" s="148"/>
      <c r="CQ1019" s="8">
        <f>SUM(CL1019:CP1019)</f>
        <v>0</v>
      </c>
      <c r="CS1019" s="147"/>
      <c r="CT1019" s="148"/>
      <c r="CU1019" s="148"/>
      <c r="CV1019" s="148"/>
      <c r="CW1019" s="148"/>
      <c r="CX1019" s="8">
        <f t="shared" si="4688"/>
        <v>0</v>
      </c>
      <c r="CZ1019" s="147"/>
      <c r="DA1019" s="148"/>
      <c r="DB1019" s="148"/>
      <c r="DC1019" s="148"/>
      <c r="DD1019" s="148"/>
      <c r="DE1019" s="8">
        <f t="shared" si="4689"/>
        <v>0</v>
      </c>
    </row>
    <row r="1020" spans="3:109" ht="14" thickBot="1">
      <c r="C1020" s="567"/>
      <c r="E1020" s="5" t="s">
        <v>62</v>
      </c>
      <c r="F1020" s="23">
        <f t="shared" si="4684"/>
        <v>0</v>
      </c>
      <c r="G1020" s="24">
        <f t="shared" si="4675"/>
        <v>0</v>
      </c>
      <c r="H1020" s="24">
        <f t="shared" si="4676"/>
        <v>0</v>
      </c>
      <c r="I1020" s="24">
        <f t="shared" si="4677"/>
        <v>0</v>
      </c>
      <c r="J1020" s="24">
        <f t="shared" si="4678"/>
        <v>0</v>
      </c>
      <c r="K1020" s="8">
        <f t="shared" si="4685"/>
        <v>0</v>
      </c>
      <c r="M1020" s="147"/>
      <c r="N1020" s="148"/>
      <c r="O1020" s="148"/>
      <c r="P1020" s="148"/>
      <c r="Q1020" s="148"/>
      <c r="R1020" s="8">
        <f t="shared" si="4686"/>
        <v>0</v>
      </c>
      <c r="T1020" s="147"/>
      <c r="U1020" s="148"/>
      <c r="V1020" s="148"/>
      <c r="W1020" s="148"/>
      <c r="X1020" s="148"/>
      <c r="Y1020" s="8">
        <f t="shared" si="4687"/>
        <v>0</v>
      </c>
      <c r="AA1020" s="147"/>
      <c r="AB1020" s="148"/>
      <c r="AC1020" s="148"/>
      <c r="AD1020" s="148"/>
      <c r="AE1020" s="148"/>
      <c r="AF1020" s="8">
        <f>SUM(AA1020:AE1020)</f>
        <v>0</v>
      </c>
      <c r="AH1020" s="147"/>
      <c r="AI1020" s="148"/>
      <c r="AJ1020" s="148"/>
      <c r="AK1020" s="148"/>
      <c r="AL1020" s="148"/>
      <c r="AM1020" s="8">
        <f>SUM(AH1020:AL1020)</f>
        <v>0</v>
      </c>
      <c r="AO1020" s="147"/>
      <c r="AP1020" s="148"/>
      <c r="AQ1020" s="148"/>
      <c r="AR1020" s="148"/>
      <c r="AS1020" s="148"/>
      <c r="AT1020" s="8">
        <f>SUM(AO1020:AS1020)</f>
        <v>0</v>
      </c>
      <c r="AV1020" s="147"/>
      <c r="AW1020" s="148"/>
      <c r="AX1020" s="148"/>
      <c r="AY1020" s="148"/>
      <c r="AZ1020" s="148"/>
      <c r="BA1020" s="8">
        <f>SUM(AV1020:AZ1020)</f>
        <v>0</v>
      </c>
      <c r="BC1020" s="147"/>
      <c r="BD1020" s="148"/>
      <c r="BE1020" s="148"/>
      <c r="BF1020" s="148"/>
      <c r="BG1020" s="148"/>
      <c r="BH1020" s="8">
        <f>SUM(BC1020:BG1020)</f>
        <v>0</v>
      </c>
      <c r="BJ1020" s="147"/>
      <c r="BK1020" s="148"/>
      <c r="BL1020" s="148"/>
      <c r="BM1020" s="148"/>
      <c r="BN1020" s="148"/>
      <c r="BO1020" s="8">
        <f>SUM(BJ1020:BN1020)</f>
        <v>0</v>
      </c>
      <c r="BQ1020" s="147"/>
      <c r="BR1020" s="148"/>
      <c r="BS1020" s="148"/>
      <c r="BT1020" s="148"/>
      <c r="BU1020" s="148"/>
      <c r="BV1020" s="8">
        <f>SUM(BQ1020:BU1020)</f>
        <v>0</v>
      </c>
      <c r="BX1020" s="147"/>
      <c r="BY1020" s="148"/>
      <c r="BZ1020" s="148"/>
      <c r="CA1020" s="148"/>
      <c r="CB1020" s="148"/>
      <c r="CC1020" s="8">
        <f>SUM(BX1020:CB1020)</f>
        <v>0</v>
      </c>
      <c r="CE1020" s="493">
        <f t="shared" si="4679"/>
        <v>0</v>
      </c>
      <c r="CF1020" s="494">
        <f t="shared" si="4680"/>
        <v>0</v>
      </c>
      <c r="CG1020" s="494">
        <f t="shared" si="4681"/>
        <v>0</v>
      </c>
      <c r="CH1020" s="494">
        <f t="shared" si="4682"/>
        <v>0</v>
      </c>
      <c r="CI1020" s="494">
        <f t="shared" si="4683"/>
        <v>0</v>
      </c>
      <c r="CJ1020" s="495">
        <f>SUM(CE1020:CI1020)</f>
        <v>0</v>
      </c>
      <c r="CL1020" s="147"/>
      <c r="CM1020" s="148"/>
      <c r="CN1020" s="148"/>
      <c r="CO1020" s="148"/>
      <c r="CP1020" s="148"/>
      <c r="CQ1020" s="8">
        <f>SUM(CL1020:CP1020)</f>
        <v>0</v>
      </c>
      <c r="CS1020" s="147"/>
      <c r="CT1020" s="148"/>
      <c r="CU1020" s="148"/>
      <c r="CV1020" s="148"/>
      <c r="CW1020" s="148"/>
      <c r="CX1020" s="8">
        <f t="shared" si="4688"/>
        <v>0</v>
      </c>
      <c r="CZ1020" s="147"/>
      <c r="DA1020" s="148"/>
      <c r="DB1020" s="148"/>
      <c r="DC1020" s="148"/>
      <c r="DD1020" s="148"/>
      <c r="DE1020" s="8">
        <f t="shared" si="4689"/>
        <v>0</v>
      </c>
    </row>
    <row r="1021" spans="3:109" ht="14" thickBot="1">
      <c r="C1021" s="554"/>
      <c r="E1021" s="9"/>
      <c r="F1021" s="10">
        <f>SUM(F1017:F1020)</f>
        <v>0</v>
      </c>
      <c r="G1021" s="11">
        <f t="shared" ref="G1021:J1021" si="4690">SUM(G1017:G1020)</f>
        <v>0</v>
      </c>
      <c r="H1021" s="11">
        <f t="shared" si="4690"/>
        <v>0</v>
      </c>
      <c r="I1021" s="11">
        <f t="shared" si="4690"/>
        <v>0</v>
      </c>
      <c r="J1021" s="11">
        <f t="shared" si="4690"/>
        <v>0</v>
      </c>
      <c r="K1021" s="25">
        <f>SUM(K1017:K1020)</f>
        <v>0</v>
      </c>
      <c r="M1021" s="10">
        <f>SUM(M1017:M1020)</f>
        <v>0</v>
      </c>
      <c r="N1021" s="11">
        <f t="shared" ref="N1021:Q1021" si="4691">SUM(N1017:N1020)</f>
        <v>0</v>
      </c>
      <c r="O1021" s="11">
        <f t="shared" si="4691"/>
        <v>0</v>
      </c>
      <c r="P1021" s="11">
        <f t="shared" si="4691"/>
        <v>0</v>
      </c>
      <c r="Q1021" s="11">
        <f t="shared" si="4691"/>
        <v>0</v>
      </c>
      <c r="R1021" s="25">
        <f>SUM(R1017:R1020)</f>
        <v>0</v>
      </c>
      <c r="T1021" s="10">
        <f>SUM(T1017:T1020)</f>
        <v>0</v>
      </c>
      <c r="U1021" s="11">
        <f t="shared" ref="U1021:X1021" si="4692">SUM(U1017:U1020)</f>
        <v>0</v>
      </c>
      <c r="V1021" s="11">
        <f t="shared" si="4692"/>
        <v>0</v>
      </c>
      <c r="W1021" s="11">
        <f t="shared" si="4692"/>
        <v>0</v>
      </c>
      <c r="X1021" s="11">
        <f t="shared" si="4692"/>
        <v>0</v>
      </c>
      <c r="Y1021" s="25">
        <f>SUM(Y1017:Y1020)</f>
        <v>0</v>
      </c>
      <c r="AA1021" s="10">
        <f>SUM(AA1017:AA1020)</f>
        <v>0</v>
      </c>
      <c r="AB1021" s="11">
        <f t="shared" ref="AB1021:AE1021" si="4693">SUM(AB1017:AB1020)</f>
        <v>0</v>
      </c>
      <c r="AC1021" s="11">
        <f t="shared" si="4693"/>
        <v>0</v>
      </c>
      <c r="AD1021" s="11">
        <f t="shared" si="4693"/>
        <v>0</v>
      </c>
      <c r="AE1021" s="11">
        <f t="shared" si="4693"/>
        <v>0</v>
      </c>
      <c r="AF1021" s="25">
        <f>SUM(AF1017:AF1020)</f>
        <v>0</v>
      </c>
      <c r="AH1021" s="10">
        <f t="shared" ref="AH1021:AM1021" si="4694">SUM(AH1017:AH1020)</f>
        <v>0</v>
      </c>
      <c r="AI1021" s="11">
        <f t="shared" si="4694"/>
        <v>0</v>
      </c>
      <c r="AJ1021" s="11">
        <f t="shared" si="4694"/>
        <v>0</v>
      </c>
      <c r="AK1021" s="11">
        <f t="shared" si="4694"/>
        <v>0</v>
      </c>
      <c r="AL1021" s="11">
        <f t="shared" si="4694"/>
        <v>0</v>
      </c>
      <c r="AM1021" s="25">
        <f t="shared" si="4694"/>
        <v>0</v>
      </c>
      <c r="AO1021" s="10">
        <f t="shared" ref="AO1021:AT1021" si="4695">SUM(AO1017:AO1020)</f>
        <v>0</v>
      </c>
      <c r="AP1021" s="11">
        <f t="shared" si="4695"/>
        <v>0</v>
      </c>
      <c r="AQ1021" s="11">
        <f t="shared" si="4695"/>
        <v>0</v>
      </c>
      <c r="AR1021" s="11">
        <f t="shared" si="4695"/>
        <v>0</v>
      </c>
      <c r="AS1021" s="11">
        <f t="shared" si="4695"/>
        <v>0</v>
      </c>
      <c r="AT1021" s="25">
        <f t="shared" si="4695"/>
        <v>0</v>
      </c>
      <c r="AV1021" s="10">
        <f t="shared" ref="AV1021:BA1021" si="4696">SUM(AV1017:AV1020)</f>
        <v>0</v>
      </c>
      <c r="AW1021" s="11">
        <f t="shared" si="4696"/>
        <v>0</v>
      </c>
      <c r="AX1021" s="11">
        <f t="shared" si="4696"/>
        <v>0</v>
      </c>
      <c r="AY1021" s="11">
        <f t="shared" si="4696"/>
        <v>0</v>
      </c>
      <c r="AZ1021" s="11">
        <f t="shared" si="4696"/>
        <v>0</v>
      </c>
      <c r="BA1021" s="25">
        <f t="shared" si="4696"/>
        <v>0</v>
      </c>
      <c r="BC1021" s="10">
        <f t="shared" ref="BC1021:BH1021" si="4697">SUM(BC1017:BC1020)</f>
        <v>0</v>
      </c>
      <c r="BD1021" s="11">
        <f t="shared" si="4697"/>
        <v>0</v>
      </c>
      <c r="BE1021" s="11">
        <f t="shared" si="4697"/>
        <v>0</v>
      </c>
      <c r="BF1021" s="11">
        <f t="shared" si="4697"/>
        <v>0</v>
      </c>
      <c r="BG1021" s="11">
        <f t="shared" si="4697"/>
        <v>0</v>
      </c>
      <c r="BH1021" s="25">
        <f t="shared" si="4697"/>
        <v>0</v>
      </c>
      <c r="BJ1021" s="10">
        <f t="shared" ref="BJ1021:BO1021" si="4698">SUM(BJ1017:BJ1020)</f>
        <v>0</v>
      </c>
      <c r="BK1021" s="11">
        <f t="shared" si="4698"/>
        <v>0</v>
      </c>
      <c r="BL1021" s="11">
        <f t="shared" si="4698"/>
        <v>0</v>
      </c>
      <c r="BM1021" s="11">
        <f t="shared" si="4698"/>
        <v>0</v>
      </c>
      <c r="BN1021" s="11">
        <f t="shared" si="4698"/>
        <v>0</v>
      </c>
      <c r="BO1021" s="25">
        <f t="shared" si="4698"/>
        <v>0</v>
      </c>
      <c r="BQ1021" s="10">
        <f t="shared" ref="BQ1021:BV1021" si="4699">SUM(BQ1017:BQ1020)</f>
        <v>0</v>
      </c>
      <c r="BR1021" s="11">
        <f t="shared" si="4699"/>
        <v>0</v>
      </c>
      <c r="BS1021" s="11">
        <f t="shared" si="4699"/>
        <v>0</v>
      </c>
      <c r="BT1021" s="11">
        <f t="shared" si="4699"/>
        <v>0</v>
      </c>
      <c r="BU1021" s="11">
        <f t="shared" si="4699"/>
        <v>0</v>
      </c>
      <c r="BV1021" s="25">
        <f t="shared" si="4699"/>
        <v>0</v>
      </c>
      <c r="BX1021" s="10">
        <f t="shared" ref="BX1021:CC1021" si="4700">SUM(BX1017:BX1020)</f>
        <v>0</v>
      </c>
      <c r="BY1021" s="11">
        <f t="shared" si="4700"/>
        <v>0</v>
      </c>
      <c r="BZ1021" s="11">
        <f t="shared" si="4700"/>
        <v>0</v>
      </c>
      <c r="CA1021" s="11">
        <f t="shared" si="4700"/>
        <v>0</v>
      </c>
      <c r="CB1021" s="11">
        <f t="shared" si="4700"/>
        <v>0</v>
      </c>
      <c r="CC1021" s="25">
        <f t="shared" si="4700"/>
        <v>0</v>
      </c>
      <c r="CE1021" s="62">
        <f t="shared" ref="CE1021:CJ1021" si="4701">SUM(CE1017:CE1020)</f>
        <v>0</v>
      </c>
      <c r="CF1021" s="63">
        <f t="shared" si="4701"/>
        <v>0</v>
      </c>
      <c r="CG1021" s="63">
        <f t="shared" si="4701"/>
        <v>0</v>
      </c>
      <c r="CH1021" s="63">
        <f t="shared" si="4701"/>
        <v>0</v>
      </c>
      <c r="CI1021" s="63">
        <f t="shared" si="4701"/>
        <v>0</v>
      </c>
      <c r="CJ1021" s="25">
        <f t="shared" si="4701"/>
        <v>0</v>
      </c>
      <c r="CL1021" s="10">
        <f>SUM(CL1017:CL1020)</f>
        <v>0</v>
      </c>
      <c r="CM1021" s="11">
        <f t="shared" ref="CM1021:CQ1021" si="4702">SUM(CM1017:CM1020)</f>
        <v>0</v>
      </c>
      <c r="CN1021" s="11">
        <f t="shared" si="4702"/>
        <v>0</v>
      </c>
      <c r="CO1021" s="11">
        <f t="shared" si="4702"/>
        <v>0</v>
      </c>
      <c r="CP1021" s="11">
        <f t="shared" si="4702"/>
        <v>0</v>
      </c>
      <c r="CQ1021" s="25">
        <f t="shared" si="4702"/>
        <v>0</v>
      </c>
      <c r="CS1021" s="10">
        <f>SUM(CS1017:CS1020)</f>
        <v>0</v>
      </c>
      <c r="CT1021" s="11">
        <f t="shared" ref="CT1021:CW1021" si="4703">SUM(CT1017:CT1020)</f>
        <v>0</v>
      </c>
      <c r="CU1021" s="11">
        <f t="shared" si="4703"/>
        <v>0</v>
      </c>
      <c r="CV1021" s="11">
        <f t="shared" si="4703"/>
        <v>0</v>
      </c>
      <c r="CW1021" s="11">
        <f t="shared" si="4703"/>
        <v>0</v>
      </c>
      <c r="CX1021" s="25">
        <f>SUM(CX1017:CX1020)</f>
        <v>0</v>
      </c>
      <c r="CZ1021" s="10">
        <f>SUM(CZ1017:CZ1020)</f>
        <v>0</v>
      </c>
      <c r="DA1021" s="11">
        <f t="shared" ref="DA1021:DD1021" si="4704">SUM(DA1017:DA1020)</f>
        <v>0</v>
      </c>
      <c r="DB1021" s="11">
        <f t="shared" si="4704"/>
        <v>0</v>
      </c>
      <c r="DC1021" s="11">
        <f t="shared" si="4704"/>
        <v>0</v>
      </c>
      <c r="DD1021" s="11">
        <f t="shared" si="4704"/>
        <v>0</v>
      </c>
      <c r="DE1021" s="25">
        <f>SUM(DE1017:DE1020)</f>
        <v>0</v>
      </c>
    </row>
    <row r="1022" spans="3:109" ht="10.4" customHeight="1" thickBot="1"/>
    <row r="1023" spans="3:109">
      <c r="C1023" s="553">
        <v>2028</v>
      </c>
      <c r="E1023" s="1" t="s">
        <v>59</v>
      </c>
      <c r="F1023" s="21">
        <f>CE1017</f>
        <v>0</v>
      </c>
      <c r="G1023" s="22">
        <f t="shared" ref="G1023:G1026" si="4705">CF1017</f>
        <v>0</v>
      </c>
      <c r="H1023" s="22">
        <f t="shared" ref="H1023:H1026" si="4706">CG1017</f>
        <v>0</v>
      </c>
      <c r="I1023" s="22">
        <f t="shared" ref="I1023:I1026" si="4707">CH1017</f>
        <v>0</v>
      </c>
      <c r="J1023" s="22">
        <f t="shared" ref="J1023:J1026" si="4708">CI1017</f>
        <v>0</v>
      </c>
      <c r="K1023" s="4">
        <f>SUM(F1023:J1023)</f>
        <v>0</v>
      </c>
      <c r="M1023" s="2"/>
      <c r="N1023" s="3"/>
      <c r="O1023" s="3"/>
      <c r="P1023" s="3"/>
      <c r="Q1023" s="3"/>
      <c r="R1023" s="4">
        <f>SUM(M1023:Q1023)</f>
        <v>0</v>
      </c>
      <c r="T1023" s="2"/>
      <c r="U1023" s="3"/>
      <c r="V1023" s="3"/>
      <c r="W1023" s="3"/>
      <c r="X1023" s="3"/>
      <c r="Y1023" s="4">
        <f>SUM(T1023:X1023)</f>
        <v>0</v>
      </c>
      <c r="AA1023" s="2"/>
      <c r="AB1023" s="3"/>
      <c r="AC1023" s="3"/>
      <c r="AD1023" s="3"/>
      <c r="AE1023" s="3"/>
      <c r="AF1023" s="4">
        <f>SUM(AA1023:AE1023)</f>
        <v>0</v>
      </c>
      <c r="AH1023" s="2"/>
      <c r="AI1023" s="3"/>
      <c r="AJ1023" s="3"/>
      <c r="AK1023" s="3"/>
      <c r="AL1023" s="3"/>
      <c r="AM1023" s="4">
        <f>SUM(AH1023:AL1023)</f>
        <v>0</v>
      </c>
      <c r="AO1023" s="2"/>
      <c r="AP1023" s="3"/>
      <c r="AQ1023" s="3"/>
      <c r="AR1023" s="3"/>
      <c r="AS1023" s="3"/>
      <c r="AT1023" s="4">
        <f>SUM(AO1023:AS1023)</f>
        <v>0</v>
      </c>
      <c r="AV1023" s="2"/>
      <c r="AW1023" s="3"/>
      <c r="AX1023" s="3"/>
      <c r="AY1023" s="3"/>
      <c r="AZ1023" s="3"/>
      <c r="BA1023" s="4">
        <f>SUM(AV1023:AZ1023)</f>
        <v>0</v>
      </c>
      <c r="BC1023" s="2"/>
      <c r="BD1023" s="3"/>
      <c r="BE1023" s="3"/>
      <c r="BF1023" s="3"/>
      <c r="BG1023" s="3"/>
      <c r="BH1023" s="4">
        <f>SUM(BC1023:BG1023)</f>
        <v>0</v>
      </c>
      <c r="BJ1023" s="2"/>
      <c r="BK1023" s="3"/>
      <c r="BL1023" s="3"/>
      <c r="BM1023" s="3"/>
      <c r="BN1023" s="3"/>
      <c r="BO1023" s="4">
        <f>SUM(BJ1023:BN1023)</f>
        <v>0</v>
      </c>
      <c r="BQ1023" s="2"/>
      <c r="BR1023" s="3"/>
      <c r="BS1023" s="3"/>
      <c r="BT1023" s="3"/>
      <c r="BU1023" s="3"/>
      <c r="BV1023" s="4">
        <f>SUM(BQ1023:BU1023)</f>
        <v>0</v>
      </c>
      <c r="BX1023" s="2"/>
      <c r="BY1023" s="3"/>
      <c r="BZ1023" s="3"/>
      <c r="CA1023" s="3"/>
      <c r="CB1023" s="3"/>
      <c r="CC1023" s="4">
        <f>SUM(BX1023:CB1023)</f>
        <v>0</v>
      </c>
      <c r="CE1023" s="26">
        <f t="shared" ref="CE1023:CE1026" si="4709">F1023+M1023+T1023+AA1023+AH1023+AO1023+AV1023+BC1023+BJ1023+BQ1023+BX1023</f>
        <v>0</v>
      </c>
      <c r="CF1023" s="27">
        <f t="shared" ref="CF1023:CF1026" si="4710">G1023+N1023+U1023+AB1023+AI1023+AP1023+AW1023+BD1023+BK1023+BR1023+BY1023</f>
        <v>0</v>
      </c>
      <c r="CG1023" s="27">
        <f t="shared" ref="CG1023:CG1026" si="4711">H1023+O1023+V1023+AC1023+AJ1023+AQ1023+AX1023+BE1023+BL1023+BS1023+BZ1023</f>
        <v>0</v>
      </c>
      <c r="CH1023" s="27">
        <f t="shared" ref="CH1023:CH1026" si="4712">I1023+P1023+W1023+AD1023+AK1023+AR1023+AY1023+BF1023+BM1023+BT1023+CA1023</f>
        <v>0</v>
      </c>
      <c r="CI1023" s="27">
        <f t="shared" ref="CI1023:CI1026" si="4713">J1023+Q1023+X1023+AE1023+AL1023+AS1023+AZ1023+BG1023+BN1023+BU1023+CB1023</f>
        <v>0</v>
      </c>
      <c r="CJ1023" s="4">
        <f>SUM(CE1023:CI1023)</f>
        <v>0</v>
      </c>
      <c r="CL1023" s="2"/>
      <c r="CM1023" s="3"/>
      <c r="CN1023" s="3"/>
      <c r="CO1023" s="3"/>
      <c r="CP1023" s="3"/>
      <c r="CQ1023" s="4">
        <f>SUM(CL1023:CP1023)</f>
        <v>0</v>
      </c>
      <c r="CS1023" s="2"/>
      <c r="CT1023" s="3"/>
      <c r="CU1023" s="3"/>
      <c r="CV1023" s="3"/>
      <c r="CW1023" s="3"/>
      <c r="CX1023" s="4">
        <f>SUM(CS1023:CW1023)</f>
        <v>0</v>
      </c>
      <c r="CZ1023" s="2"/>
      <c r="DA1023" s="3"/>
      <c r="DB1023" s="3"/>
      <c r="DC1023" s="3"/>
      <c r="DD1023" s="3"/>
      <c r="DE1023" s="4">
        <f>SUM(CZ1023:DD1023)</f>
        <v>0</v>
      </c>
    </row>
    <row r="1024" spans="3:109">
      <c r="C1024" s="567"/>
      <c r="E1024" s="5" t="s">
        <v>60</v>
      </c>
      <c r="F1024" s="23">
        <f t="shared" ref="F1024:F1026" si="4714">CE1018</f>
        <v>0</v>
      </c>
      <c r="G1024" s="24">
        <f t="shared" si="4705"/>
        <v>0</v>
      </c>
      <c r="H1024" s="24">
        <f t="shared" si="4706"/>
        <v>0</v>
      </c>
      <c r="I1024" s="24">
        <f t="shared" si="4707"/>
        <v>0</v>
      </c>
      <c r="J1024" s="24">
        <f t="shared" si="4708"/>
        <v>0</v>
      </c>
      <c r="K1024" s="8">
        <f t="shared" ref="K1024:K1026" si="4715">SUM(F1024:J1024)</f>
        <v>0</v>
      </c>
      <c r="M1024" s="6"/>
      <c r="N1024" s="7"/>
      <c r="O1024" s="7"/>
      <c r="P1024" s="7"/>
      <c r="Q1024" s="7"/>
      <c r="R1024" s="8">
        <f t="shared" ref="R1024:R1026" si="4716">SUM(M1024:Q1024)</f>
        <v>0</v>
      </c>
      <c r="T1024" s="6"/>
      <c r="U1024" s="7"/>
      <c r="V1024" s="7"/>
      <c r="W1024" s="7"/>
      <c r="X1024" s="7"/>
      <c r="Y1024" s="8">
        <f t="shared" ref="Y1024:Y1026" si="4717">SUM(T1024:X1024)</f>
        <v>0</v>
      </c>
      <c r="AA1024" s="6"/>
      <c r="AB1024" s="7"/>
      <c r="AC1024" s="7"/>
      <c r="AD1024" s="7"/>
      <c r="AE1024" s="7"/>
      <c r="AF1024" s="8">
        <f>SUM(AA1024:AE1024)</f>
        <v>0</v>
      </c>
      <c r="AH1024" s="6"/>
      <c r="AI1024" s="7"/>
      <c r="AJ1024" s="7"/>
      <c r="AK1024" s="7"/>
      <c r="AL1024" s="7"/>
      <c r="AM1024" s="8">
        <f>SUM(AH1024:AL1024)</f>
        <v>0</v>
      </c>
      <c r="AO1024" s="6"/>
      <c r="AP1024" s="7"/>
      <c r="AQ1024" s="7"/>
      <c r="AR1024" s="7"/>
      <c r="AS1024" s="7"/>
      <c r="AT1024" s="8">
        <f>SUM(AO1024:AS1024)</f>
        <v>0</v>
      </c>
      <c r="AV1024" s="6"/>
      <c r="AW1024" s="7"/>
      <c r="AX1024" s="7"/>
      <c r="AY1024" s="7"/>
      <c r="AZ1024" s="7"/>
      <c r="BA1024" s="8">
        <f>SUM(AV1024:AZ1024)</f>
        <v>0</v>
      </c>
      <c r="BC1024" s="6"/>
      <c r="BD1024" s="7"/>
      <c r="BE1024" s="7"/>
      <c r="BF1024" s="7"/>
      <c r="BG1024" s="7"/>
      <c r="BH1024" s="8">
        <f>SUM(BC1024:BG1024)</f>
        <v>0</v>
      </c>
      <c r="BJ1024" s="6"/>
      <c r="BK1024" s="7"/>
      <c r="BL1024" s="7"/>
      <c r="BM1024" s="7"/>
      <c r="BN1024" s="7"/>
      <c r="BO1024" s="8">
        <f>SUM(BJ1024:BN1024)</f>
        <v>0</v>
      </c>
      <c r="BQ1024" s="6"/>
      <c r="BR1024" s="7"/>
      <c r="BS1024" s="7"/>
      <c r="BT1024" s="7"/>
      <c r="BU1024" s="7"/>
      <c r="BV1024" s="8">
        <f>SUM(BQ1024:BU1024)</f>
        <v>0</v>
      </c>
      <c r="BX1024" s="6"/>
      <c r="BY1024" s="7"/>
      <c r="BZ1024" s="7"/>
      <c r="CA1024" s="7"/>
      <c r="CB1024" s="7"/>
      <c r="CC1024" s="8">
        <f>SUM(BX1024:CB1024)</f>
        <v>0</v>
      </c>
      <c r="CE1024" s="28">
        <f t="shared" si="4709"/>
        <v>0</v>
      </c>
      <c r="CF1024" s="29">
        <f t="shared" si="4710"/>
        <v>0</v>
      </c>
      <c r="CG1024" s="29">
        <f t="shared" si="4711"/>
        <v>0</v>
      </c>
      <c r="CH1024" s="29">
        <f t="shared" si="4712"/>
        <v>0</v>
      </c>
      <c r="CI1024" s="29">
        <f t="shared" si="4713"/>
        <v>0</v>
      </c>
      <c r="CJ1024" s="8">
        <f>SUM(CE1024:CI1024)</f>
        <v>0</v>
      </c>
      <c r="CL1024" s="6"/>
      <c r="CM1024" s="7"/>
      <c r="CN1024" s="7"/>
      <c r="CO1024" s="7"/>
      <c r="CP1024" s="7"/>
      <c r="CQ1024" s="8">
        <f>SUM(CL1024:CP1024)</f>
        <v>0</v>
      </c>
      <c r="CS1024" s="6"/>
      <c r="CT1024" s="7"/>
      <c r="CU1024" s="7"/>
      <c r="CV1024" s="7"/>
      <c r="CW1024" s="7"/>
      <c r="CX1024" s="8">
        <f t="shared" ref="CX1024:CX1026" si="4718">SUM(CS1024:CW1024)</f>
        <v>0</v>
      </c>
      <c r="CZ1024" s="6"/>
      <c r="DA1024" s="7"/>
      <c r="DB1024" s="7"/>
      <c r="DC1024" s="7"/>
      <c r="DD1024" s="7"/>
      <c r="DE1024" s="8">
        <f t="shared" ref="DE1024:DE1026" si="4719">SUM(CZ1024:DD1024)</f>
        <v>0</v>
      </c>
    </row>
    <row r="1025" spans="2:110">
      <c r="C1025" s="567"/>
      <c r="E1025" s="5" t="s">
        <v>61</v>
      </c>
      <c r="F1025" s="23">
        <f t="shared" si="4714"/>
        <v>0</v>
      </c>
      <c r="G1025" s="24">
        <f t="shared" si="4705"/>
        <v>0</v>
      </c>
      <c r="H1025" s="24">
        <f t="shared" si="4706"/>
        <v>0</v>
      </c>
      <c r="I1025" s="24">
        <f t="shared" si="4707"/>
        <v>0</v>
      </c>
      <c r="J1025" s="24">
        <f t="shared" si="4708"/>
        <v>0</v>
      </c>
      <c r="K1025" s="8">
        <f t="shared" si="4715"/>
        <v>0</v>
      </c>
      <c r="M1025" s="6"/>
      <c r="N1025" s="7"/>
      <c r="O1025" s="7"/>
      <c r="P1025" s="7"/>
      <c r="Q1025" s="7"/>
      <c r="R1025" s="8">
        <f t="shared" si="4716"/>
        <v>0</v>
      </c>
      <c r="T1025" s="6"/>
      <c r="U1025" s="7"/>
      <c r="V1025" s="7"/>
      <c r="W1025" s="7"/>
      <c r="X1025" s="7"/>
      <c r="Y1025" s="8">
        <f t="shared" si="4717"/>
        <v>0</v>
      </c>
      <c r="AA1025" s="6"/>
      <c r="AB1025" s="7"/>
      <c r="AC1025" s="7"/>
      <c r="AD1025" s="7"/>
      <c r="AE1025" s="7"/>
      <c r="AF1025" s="8">
        <f>SUM(AA1025:AE1025)</f>
        <v>0</v>
      </c>
      <c r="AH1025" s="6"/>
      <c r="AI1025" s="7"/>
      <c r="AJ1025" s="7"/>
      <c r="AK1025" s="7"/>
      <c r="AL1025" s="7"/>
      <c r="AM1025" s="8">
        <f>SUM(AH1025:AL1025)</f>
        <v>0</v>
      </c>
      <c r="AO1025" s="6"/>
      <c r="AP1025" s="7"/>
      <c r="AQ1025" s="7"/>
      <c r="AR1025" s="7"/>
      <c r="AS1025" s="7"/>
      <c r="AT1025" s="8">
        <f>SUM(AO1025:AS1025)</f>
        <v>0</v>
      </c>
      <c r="AV1025" s="6"/>
      <c r="AW1025" s="7"/>
      <c r="AX1025" s="7"/>
      <c r="AY1025" s="7"/>
      <c r="AZ1025" s="7"/>
      <c r="BA1025" s="8">
        <f>SUM(AV1025:AZ1025)</f>
        <v>0</v>
      </c>
      <c r="BC1025" s="6"/>
      <c r="BD1025" s="7"/>
      <c r="BE1025" s="7"/>
      <c r="BF1025" s="7"/>
      <c r="BG1025" s="7"/>
      <c r="BH1025" s="8">
        <f>SUM(BC1025:BG1025)</f>
        <v>0</v>
      </c>
      <c r="BJ1025" s="6"/>
      <c r="BK1025" s="7"/>
      <c r="BL1025" s="7"/>
      <c r="BM1025" s="7"/>
      <c r="BN1025" s="7"/>
      <c r="BO1025" s="8">
        <f>SUM(BJ1025:BN1025)</f>
        <v>0</v>
      </c>
      <c r="BQ1025" s="6"/>
      <c r="BR1025" s="7"/>
      <c r="BS1025" s="7"/>
      <c r="BT1025" s="7"/>
      <c r="BU1025" s="7"/>
      <c r="BV1025" s="8">
        <f>SUM(BQ1025:BU1025)</f>
        <v>0</v>
      </c>
      <c r="BX1025" s="6"/>
      <c r="BY1025" s="7"/>
      <c r="BZ1025" s="7"/>
      <c r="CA1025" s="7"/>
      <c r="CB1025" s="7"/>
      <c r="CC1025" s="8">
        <f>SUM(BX1025:CB1025)</f>
        <v>0</v>
      </c>
      <c r="CE1025" s="28">
        <f t="shared" si="4709"/>
        <v>0</v>
      </c>
      <c r="CF1025" s="29">
        <f t="shared" si="4710"/>
        <v>0</v>
      </c>
      <c r="CG1025" s="29">
        <f t="shared" si="4711"/>
        <v>0</v>
      </c>
      <c r="CH1025" s="29">
        <f t="shared" si="4712"/>
        <v>0</v>
      </c>
      <c r="CI1025" s="29">
        <f t="shared" si="4713"/>
        <v>0</v>
      </c>
      <c r="CJ1025" s="8">
        <f>SUM(CE1025:CI1025)</f>
        <v>0</v>
      </c>
      <c r="CL1025" s="6"/>
      <c r="CM1025" s="7"/>
      <c r="CN1025" s="7"/>
      <c r="CO1025" s="7"/>
      <c r="CP1025" s="7"/>
      <c r="CQ1025" s="8">
        <f>SUM(CL1025:CP1025)</f>
        <v>0</v>
      </c>
      <c r="CS1025" s="6"/>
      <c r="CT1025" s="7"/>
      <c r="CU1025" s="7"/>
      <c r="CV1025" s="7"/>
      <c r="CW1025" s="7"/>
      <c r="CX1025" s="8">
        <f t="shared" si="4718"/>
        <v>0</v>
      </c>
      <c r="CZ1025" s="6"/>
      <c r="DA1025" s="7"/>
      <c r="DB1025" s="7"/>
      <c r="DC1025" s="7"/>
      <c r="DD1025" s="7"/>
      <c r="DE1025" s="8">
        <f t="shared" si="4719"/>
        <v>0</v>
      </c>
    </row>
    <row r="1026" spans="2:110" ht="14" thickBot="1">
      <c r="C1026" s="567"/>
      <c r="E1026" s="5" t="s">
        <v>62</v>
      </c>
      <c r="F1026" s="23">
        <f t="shared" si="4714"/>
        <v>0</v>
      </c>
      <c r="G1026" s="24">
        <f t="shared" si="4705"/>
        <v>0</v>
      </c>
      <c r="H1026" s="24">
        <f t="shared" si="4706"/>
        <v>0</v>
      </c>
      <c r="I1026" s="24">
        <f t="shared" si="4707"/>
        <v>0</v>
      </c>
      <c r="J1026" s="24">
        <f t="shared" si="4708"/>
        <v>0</v>
      </c>
      <c r="K1026" s="8">
        <f t="shared" si="4715"/>
        <v>0</v>
      </c>
      <c r="M1026" s="6"/>
      <c r="N1026" s="7"/>
      <c r="O1026" s="7"/>
      <c r="P1026" s="7"/>
      <c r="Q1026" s="7"/>
      <c r="R1026" s="8">
        <f t="shared" si="4716"/>
        <v>0</v>
      </c>
      <c r="T1026" s="6"/>
      <c r="U1026" s="7"/>
      <c r="V1026" s="7"/>
      <c r="W1026" s="7"/>
      <c r="X1026" s="7"/>
      <c r="Y1026" s="8">
        <f t="shared" si="4717"/>
        <v>0</v>
      </c>
      <c r="AA1026" s="6"/>
      <c r="AB1026" s="7"/>
      <c r="AC1026" s="7"/>
      <c r="AD1026" s="7"/>
      <c r="AE1026" s="7"/>
      <c r="AF1026" s="8">
        <f>SUM(AA1026:AE1026)</f>
        <v>0</v>
      </c>
      <c r="AH1026" s="6"/>
      <c r="AI1026" s="7"/>
      <c r="AJ1026" s="7"/>
      <c r="AK1026" s="7"/>
      <c r="AL1026" s="7"/>
      <c r="AM1026" s="8">
        <f>SUM(AH1026:AL1026)</f>
        <v>0</v>
      </c>
      <c r="AO1026" s="6"/>
      <c r="AP1026" s="7"/>
      <c r="AQ1026" s="7"/>
      <c r="AR1026" s="7"/>
      <c r="AS1026" s="7"/>
      <c r="AT1026" s="8">
        <f>SUM(AO1026:AS1026)</f>
        <v>0</v>
      </c>
      <c r="AV1026" s="6"/>
      <c r="AW1026" s="7"/>
      <c r="AX1026" s="7"/>
      <c r="AY1026" s="7"/>
      <c r="AZ1026" s="7"/>
      <c r="BA1026" s="8">
        <f>SUM(AV1026:AZ1026)</f>
        <v>0</v>
      </c>
      <c r="BC1026" s="6"/>
      <c r="BD1026" s="7"/>
      <c r="BE1026" s="7"/>
      <c r="BF1026" s="7"/>
      <c r="BG1026" s="7"/>
      <c r="BH1026" s="8">
        <f>SUM(BC1026:BG1026)</f>
        <v>0</v>
      </c>
      <c r="BJ1026" s="6"/>
      <c r="BK1026" s="7"/>
      <c r="BL1026" s="7"/>
      <c r="BM1026" s="7"/>
      <c r="BN1026" s="7"/>
      <c r="BO1026" s="8">
        <f>SUM(BJ1026:BN1026)</f>
        <v>0</v>
      </c>
      <c r="BQ1026" s="6"/>
      <c r="BR1026" s="7"/>
      <c r="BS1026" s="7"/>
      <c r="BT1026" s="7"/>
      <c r="BU1026" s="7"/>
      <c r="BV1026" s="8">
        <f>SUM(BQ1026:BU1026)</f>
        <v>0</v>
      </c>
      <c r="BX1026" s="6"/>
      <c r="BY1026" s="7"/>
      <c r="BZ1026" s="7"/>
      <c r="CA1026" s="7"/>
      <c r="CB1026" s="7"/>
      <c r="CC1026" s="8">
        <f>SUM(BX1026:CB1026)</f>
        <v>0</v>
      </c>
      <c r="CE1026" s="493">
        <f t="shared" si="4709"/>
        <v>0</v>
      </c>
      <c r="CF1026" s="494">
        <f t="shared" si="4710"/>
        <v>0</v>
      </c>
      <c r="CG1026" s="494">
        <f t="shared" si="4711"/>
        <v>0</v>
      </c>
      <c r="CH1026" s="494">
        <f t="shared" si="4712"/>
        <v>0</v>
      </c>
      <c r="CI1026" s="494">
        <f t="shared" si="4713"/>
        <v>0</v>
      </c>
      <c r="CJ1026" s="495">
        <f>SUM(CE1026:CI1026)</f>
        <v>0</v>
      </c>
      <c r="CL1026" s="6"/>
      <c r="CM1026" s="7"/>
      <c r="CN1026" s="7"/>
      <c r="CO1026" s="7"/>
      <c r="CP1026" s="7"/>
      <c r="CQ1026" s="8">
        <f>SUM(CL1026:CP1026)</f>
        <v>0</v>
      </c>
      <c r="CS1026" s="6"/>
      <c r="CT1026" s="7"/>
      <c r="CU1026" s="7"/>
      <c r="CV1026" s="7"/>
      <c r="CW1026" s="7"/>
      <c r="CX1026" s="8">
        <f t="shared" si="4718"/>
        <v>0</v>
      </c>
      <c r="CZ1026" s="6"/>
      <c r="DA1026" s="7"/>
      <c r="DB1026" s="7"/>
      <c r="DC1026" s="7"/>
      <c r="DD1026" s="7"/>
      <c r="DE1026" s="8">
        <f t="shared" si="4719"/>
        <v>0</v>
      </c>
    </row>
    <row r="1027" spans="2:110" ht="14" thickBot="1">
      <c r="C1027" s="554"/>
      <c r="E1027" s="9"/>
      <c r="F1027" s="10">
        <f>SUM(F1023:F1026)</f>
        <v>0</v>
      </c>
      <c r="G1027" s="11">
        <f t="shared" ref="G1027:J1027" si="4720">SUM(G1023:G1026)</f>
        <v>0</v>
      </c>
      <c r="H1027" s="11">
        <f t="shared" si="4720"/>
        <v>0</v>
      </c>
      <c r="I1027" s="11">
        <f t="shared" si="4720"/>
        <v>0</v>
      </c>
      <c r="J1027" s="11">
        <f t="shared" si="4720"/>
        <v>0</v>
      </c>
      <c r="K1027" s="25">
        <f>SUM(K1023:K1026)</f>
        <v>0</v>
      </c>
      <c r="M1027" s="10">
        <f>SUM(M1023:M1026)</f>
        <v>0</v>
      </c>
      <c r="N1027" s="11">
        <f t="shared" ref="N1027:Q1027" si="4721">SUM(N1023:N1026)</f>
        <v>0</v>
      </c>
      <c r="O1027" s="11">
        <f t="shared" si="4721"/>
        <v>0</v>
      </c>
      <c r="P1027" s="11">
        <f t="shared" si="4721"/>
        <v>0</v>
      </c>
      <c r="Q1027" s="11">
        <f t="shared" si="4721"/>
        <v>0</v>
      </c>
      <c r="R1027" s="25">
        <f>SUM(R1023:R1026)</f>
        <v>0</v>
      </c>
      <c r="T1027" s="10">
        <f>SUM(T1023:T1026)</f>
        <v>0</v>
      </c>
      <c r="U1027" s="11">
        <f t="shared" ref="U1027:X1027" si="4722">SUM(U1023:U1026)</f>
        <v>0</v>
      </c>
      <c r="V1027" s="11">
        <f t="shared" si="4722"/>
        <v>0</v>
      </c>
      <c r="W1027" s="11">
        <f t="shared" si="4722"/>
        <v>0</v>
      </c>
      <c r="X1027" s="11">
        <f t="shared" si="4722"/>
        <v>0</v>
      </c>
      <c r="Y1027" s="25">
        <f>SUM(Y1023:Y1026)</f>
        <v>0</v>
      </c>
      <c r="AA1027" s="10">
        <f>SUM(AA1023:AA1026)</f>
        <v>0</v>
      </c>
      <c r="AB1027" s="11">
        <f t="shared" ref="AB1027:AE1027" si="4723">SUM(AB1023:AB1026)</f>
        <v>0</v>
      </c>
      <c r="AC1027" s="11">
        <f t="shared" si="4723"/>
        <v>0</v>
      </c>
      <c r="AD1027" s="11">
        <f t="shared" si="4723"/>
        <v>0</v>
      </c>
      <c r="AE1027" s="11">
        <f t="shared" si="4723"/>
        <v>0</v>
      </c>
      <c r="AF1027" s="25">
        <f>SUM(AF1023:AF1026)</f>
        <v>0</v>
      </c>
      <c r="AH1027" s="10">
        <f t="shared" ref="AH1027:AM1027" si="4724">SUM(AH1023:AH1026)</f>
        <v>0</v>
      </c>
      <c r="AI1027" s="11">
        <f t="shared" si="4724"/>
        <v>0</v>
      </c>
      <c r="AJ1027" s="11">
        <f t="shared" si="4724"/>
        <v>0</v>
      </c>
      <c r="AK1027" s="11">
        <f t="shared" si="4724"/>
        <v>0</v>
      </c>
      <c r="AL1027" s="11">
        <f t="shared" si="4724"/>
        <v>0</v>
      </c>
      <c r="AM1027" s="25">
        <f t="shared" si="4724"/>
        <v>0</v>
      </c>
      <c r="AO1027" s="10">
        <f t="shared" ref="AO1027:AT1027" si="4725">SUM(AO1023:AO1026)</f>
        <v>0</v>
      </c>
      <c r="AP1027" s="11">
        <f t="shared" si="4725"/>
        <v>0</v>
      </c>
      <c r="AQ1027" s="11">
        <f t="shared" si="4725"/>
        <v>0</v>
      </c>
      <c r="AR1027" s="11">
        <f t="shared" si="4725"/>
        <v>0</v>
      </c>
      <c r="AS1027" s="11">
        <f t="shared" si="4725"/>
        <v>0</v>
      </c>
      <c r="AT1027" s="25">
        <f t="shared" si="4725"/>
        <v>0</v>
      </c>
      <c r="AV1027" s="10">
        <f t="shared" ref="AV1027:BA1027" si="4726">SUM(AV1023:AV1026)</f>
        <v>0</v>
      </c>
      <c r="AW1027" s="11">
        <f t="shared" si="4726"/>
        <v>0</v>
      </c>
      <c r="AX1027" s="11">
        <f t="shared" si="4726"/>
        <v>0</v>
      </c>
      <c r="AY1027" s="11">
        <f t="shared" si="4726"/>
        <v>0</v>
      </c>
      <c r="AZ1027" s="11">
        <f t="shared" si="4726"/>
        <v>0</v>
      </c>
      <c r="BA1027" s="25">
        <f t="shared" si="4726"/>
        <v>0</v>
      </c>
      <c r="BC1027" s="10">
        <f t="shared" ref="BC1027:BH1027" si="4727">SUM(BC1023:BC1026)</f>
        <v>0</v>
      </c>
      <c r="BD1027" s="11">
        <f t="shared" si="4727"/>
        <v>0</v>
      </c>
      <c r="BE1027" s="11">
        <f t="shared" si="4727"/>
        <v>0</v>
      </c>
      <c r="BF1027" s="11">
        <f t="shared" si="4727"/>
        <v>0</v>
      </c>
      <c r="BG1027" s="11">
        <f t="shared" si="4727"/>
        <v>0</v>
      </c>
      <c r="BH1027" s="25">
        <f t="shared" si="4727"/>
        <v>0</v>
      </c>
      <c r="BJ1027" s="10">
        <f t="shared" ref="BJ1027:BO1027" si="4728">SUM(BJ1023:BJ1026)</f>
        <v>0</v>
      </c>
      <c r="BK1027" s="11">
        <f t="shared" si="4728"/>
        <v>0</v>
      </c>
      <c r="BL1027" s="11">
        <f t="shared" si="4728"/>
        <v>0</v>
      </c>
      <c r="BM1027" s="11">
        <f t="shared" si="4728"/>
        <v>0</v>
      </c>
      <c r="BN1027" s="11">
        <f t="shared" si="4728"/>
        <v>0</v>
      </c>
      <c r="BO1027" s="25">
        <f t="shared" si="4728"/>
        <v>0</v>
      </c>
      <c r="BQ1027" s="10">
        <f t="shared" ref="BQ1027:BV1027" si="4729">SUM(BQ1023:BQ1026)</f>
        <v>0</v>
      </c>
      <c r="BR1027" s="11">
        <f t="shared" si="4729"/>
        <v>0</v>
      </c>
      <c r="BS1027" s="11">
        <f t="shared" si="4729"/>
        <v>0</v>
      </c>
      <c r="BT1027" s="11">
        <f t="shared" si="4729"/>
        <v>0</v>
      </c>
      <c r="BU1027" s="11">
        <f t="shared" si="4729"/>
        <v>0</v>
      </c>
      <c r="BV1027" s="25">
        <f t="shared" si="4729"/>
        <v>0</v>
      </c>
      <c r="BX1027" s="10">
        <f t="shared" ref="BX1027:CC1027" si="4730">SUM(BX1023:BX1026)</f>
        <v>0</v>
      </c>
      <c r="BY1027" s="11">
        <f t="shared" si="4730"/>
        <v>0</v>
      </c>
      <c r="BZ1027" s="11">
        <f t="shared" si="4730"/>
        <v>0</v>
      </c>
      <c r="CA1027" s="11">
        <f t="shared" si="4730"/>
        <v>0</v>
      </c>
      <c r="CB1027" s="11">
        <f t="shared" si="4730"/>
        <v>0</v>
      </c>
      <c r="CC1027" s="25">
        <f t="shared" si="4730"/>
        <v>0</v>
      </c>
      <c r="CE1027" s="62">
        <f t="shared" ref="CE1027:CJ1027" si="4731">SUM(CE1023:CE1026)</f>
        <v>0</v>
      </c>
      <c r="CF1027" s="63">
        <f t="shared" si="4731"/>
        <v>0</v>
      </c>
      <c r="CG1027" s="63">
        <f t="shared" si="4731"/>
        <v>0</v>
      </c>
      <c r="CH1027" s="63">
        <f t="shared" si="4731"/>
        <v>0</v>
      </c>
      <c r="CI1027" s="63">
        <f t="shared" si="4731"/>
        <v>0</v>
      </c>
      <c r="CJ1027" s="25">
        <f t="shared" si="4731"/>
        <v>0</v>
      </c>
      <c r="CL1027" s="10">
        <f>SUM(CL1023:CL1026)</f>
        <v>0</v>
      </c>
      <c r="CM1027" s="11">
        <f t="shared" ref="CM1027:CQ1027" si="4732">SUM(CM1023:CM1026)</f>
        <v>0</v>
      </c>
      <c r="CN1027" s="11">
        <f t="shared" si="4732"/>
        <v>0</v>
      </c>
      <c r="CO1027" s="11">
        <f t="shared" si="4732"/>
        <v>0</v>
      </c>
      <c r="CP1027" s="11">
        <f t="shared" si="4732"/>
        <v>0</v>
      </c>
      <c r="CQ1027" s="25">
        <f t="shared" si="4732"/>
        <v>0</v>
      </c>
      <c r="CS1027" s="10">
        <f>SUM(CS1023:CS1026)</f>
        <v>0</v>
      </c>
      <c r="CT1027" s="11">
        <f t="shared" ref="CT1027:CW1027" si="4733">SUM(CT1023:CT1026)</f>
        <v>0</v>
      </c>
      <c r="CU1027" s="11">
        <f t="shared" si="4733"/>
        <v>0</v>
      </c>
      <c r="CV1027" s="11">
        <f t="shared" si="4733"/>
        <v>0</v>
      </c>
      <c r="CW1027" s="11">
        <f t="shared" si="4733"/>
        <v>0</v>
      </c>
      <c r="CX1027" s="25">
        <f>SUM(CX1023:CX1026)</f>
        <v>0</v>
      </c>
      <c r="CZ1027" s="10">
        <f>SUM(CZ1023:CZ1026)</f>
        <v>0</v>
      </c>
      <c r="DA1027" s="11">
        <f t="shared" ref="DA1027:DD1027" si="4734">SUM(DA1023:DA1026)</f>
        <v>0</v>
      </c>
      <c r="DB1027" s="11">
        <f t="shared" si="4734"/>
        <v>0</v>
      </c>
      <c r="DC1027" s="11">
        <f t="shared" si="4734"/>
        <v>0</v>
      </c>
      <c r="DD1027" s="11">
        <f t="shared" si="4734"/>
        <v>0</v>
      </c>
      <c r="DE1027" s="25">
        <f>SUM(DE1023:DE1026)</f>
        <v>0</v>
      </c>
    </row>
    <row r="1029" spans="2:110">
      <c r="B1029" s="123"/>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c r="BU1029" s="20"/>
      <c r="BV1029" s="20"/>
      <c r="BW1029" s="20"/>
      <c r="BX1029" s="20"/>
      <c r="BY1029" s="20"/>
      <c r="BZ1029" s="20"/>
      <c r="CA1029" s="20"/>
      <c r="CB1029" s="20"/>
      <c r="CC1029" s="20"/>
      <c r="CD1029" s="20"/>
      <c r="CE1029" s="20"/>
      <c r="CF1029" s="20"/>
      <c r="CG1029" s="20"/>
      <c r="CH1029" s="20"/>
      <c r="CI1029" s="20"/>
      <c r="CJ1029" s="20"/>
      <c r="CK1029" s="20"/>
      <c r="CL1029" s="20"/>
      <c r="CM1029" s="20"/>
      <c r="CN1029" s="20"/>
      <c r="CO1029" s="20"/>
      <c r="CP1029" s="20"/>
      <c r="CQ1029" s="20"/>
      <c r="CR1029" s="20"/>
      <c r="CS1029" s="20"/>
      <c r="CT1029" s="20"/>
      <c r="CU1029" s="20"/>
      <c r="CV1029" s="20"/>
      <c r="CW1029" s="20"/>
      <c r="CX1029" s="20"/>
      <c r="CY1029" s="20"/>
      <c r="CZ1029" s="20"/>
      <c r="DA1029" s="20"/>
      <c r="DB1029" s="20"/>
      <c r="DC1029" s="20"/>
      <c r="DD1029" s="20"/>
      <c r="DE1029" s="20"/>
      <c r="DF1029" s="20"/>
    </row>
    <row r="1030" spans="2:110" ht="14" thickBot="1">
      <c r="B1030" s="94">
        <v>33</v>
      </c>
      <c r="C1030" s="12" t="s">
        <v>94</v>
      </c>
    </row>
    <row r="1031" spans="2:110">
      <c r="C1031" s="553">
        <v>2024</v>
      </c>
      <c r="E1031" s="1" t="s">
        <v>59</v>
      </c>
      <c r="F1031" s="2"/>
      <c r="G1031" s="3"/>
      <c r="H1031" s="3"/>
      <c r="I1031" s="3"/>
      <c r="J1031" s="3"/>
      <c r="K1031" s="4">
        <f>SUM(F1031:J1031)</f>
        <v>0</v>
      </c>
      <c r="M1031" s="2"/>
      <c r="N1031" s="3"/>
      <c r="O1031" s="3"/>
      <c r="P1031" s="3"/>
      <c r="Q1031" s="3"/>
      <c r="R1031" s="4">
        <f>SUM(M1031:Q1031)</f>
        <v>0</v>
      </c>
      <c r="T1031" s="2"/>
      <c r="U1031" s="3"/>
      <c r="V1031" s="3"/>
      <c r="W1031" s="3"/>
      <c r="X1031" s="3"/>
      <c r="Y1031" s="4">
        <f>SUM(T1031:X1031)</f>
        <v>0</v>
      </c>
      <c r="AA1031" s="2"/>
      <c r="AB1031" s="3"/>
      <c r="AC1031" s="3"/>
      <c r="AD1031" s="3"/>
      <c r="AE1031" s="3"/>
      <c r="AF1031" s="4">
        <f>SUM(AA1031:AE1031)</f>
        <v>0</v>
      </c>
      <c r="AH1031" s="2"/>
      <c r="AI1031" s="3"/>
      <c r="AJ1031" s="3"/>
      <c r="AK1031" s="3"/>
      <c r="AL1031" s="3"/>
      <c r="AM1031" s="4">
        <f>SUM(AH1031:AL1031)</f>
        <v>0</v>
      </c>
      <c r="AO1031" s="2"/>
      <c r="AP1031" s="3"/>
      <c r="AQ1031" s="3"/>
      <c r="AR1031" s="3"/>
      <c r="AS1031" s="3"/>
      <c r="AT1031" s="4">
        <f>SUM(AO1031:AS1031)</f>
        <v>0</v>
      </c>
      <c r="AV1031" s="2"/>
      <c r="AW1031" s="3"/>
      <c r="AX1031" s="3"/>
      <c r="AY1031" s="3"/>
      <c r="AZ1031" s="3"/>
      <c r="BA1031" s="4">
        <f>SUM(AV1031:AZ1031)</f>
        <v>0</v>
      </c>
      <c r="BC1031" s="2"/>
      <c r="BD1031" s="3"/>
      <c r="BE1031" s="3"/>
      <c r="BF1031" s="3"/>
      <c r="BG1031" s="3"/>
      <c r="BH1031" s="4">
        <f>SUM(BC1031:BG1031)</f>
        <v>0</v>
      </c>
      <c r="BJ1031" s="2"/>
      <c r="BK1031" s="3"/>
      <c r="BL1031" s="3"/>
      <c r="BM1031" s="3"/>
      <c r="BN1031" s="3"/>
      <c r="BO1031" s="4">
        <f>SUM(BJ1031:BN1031)</f>
        <v>0</v>
      </c>
      <c r="BQ1031" s="2"/>
      <c r="BR1031" s="3"/>
      <c r="BS1031" s="3"/>
      <c r="BT1031" s="3"/>
      <c r="BU1031" s="3"/>
      <c r="BV1031" s="4">
        <f>SUM(BQ1031:BU1031)</f>
        <v>0</v>
      </c>
      <c r="BX1031" s="2"/>
      <c r="BY1031" s="3"/>
      <c r="BZ1031" s="3"/>
      <c r="CA1031" s="3"/>
      <c r="CB1031" s="3"/>
      <c r="CC1031" s="4">
        <f>SUM(BX1031:CB1031)</f>
        <v>0</v>
      </c>
      <c r="CE1031" s="26">
        <f t="shared" ref="CE1031:CE1034" si="4735">F1031+M1031+T1031+AA1031+AH1031+AO1031+AV1031+BC1031+BJ1031+BQ1031+BX1031</f>
        <v>0</v>
      </c>
      <c r="CF1031" s="27">
        <f t="shared" ref="CF1031:CF1034" si="4736">G1031+N1031+U1031+AB1031+AI1031+AP1031+AW1031+BD1031+BK1031+BR1031+BY1031</f>
        <v>0</v>
      </c>
      <c r="CG1031" s="27">
        <f t="shared" ref="CG1031:CG1034" si="4737">H1031+O1031+V1031+AC1031+AJ1031+AQ1031+AX1031+BE1031+BL1031+BS1031+BZ1031</f>
        <v>0</v>
      </c>
      <c r="CH1031" s="27">
        <f t="shared" ref="CH1031:CH1034" si="4738">I1031+P1031+W1031+AD1031+AK1031+AR1031+AY1031+BF1031+BM1031+BT1031+CA1031</f>
        <v>0</v>
      </c>
      <c r="CI1031" s="27">
        <f t="shared" ref="CI1031:CI1034" si="4739">J1031+Q1031+X1031+AE1031+AL1031+AS1031+AZ1031+BG1031+BN1031+BU1031+CB1031</f>
        <v>0</v>
      </c>
      <c r="CJ1031" s="4">
        <f>SUM(CE1031:CI1031)</f>
        <v>0</v>
      </c>
      <c r="CL1031" s="2"/>
      <c r="CM1031" s="3"/>
      <c r="CN1031" s="3"/>
      <c r="CO1031" s="3"/>
      <c r="CP1031" s="3"/>
      <c r="CQ1031" s="4">
        <f>SUM(CL1031:CP1031)</f>
        <v>0</v>
      </c>
      <c r="CS1031" s="2"/>
      <c r="CT1031" s="3"/>
      <c r="CU1031" s="3"/>
      <c r="CV1031" s="3"/>
      <c r="CW1031" s="3"/>
      <c r="CX1031" s="4">
        <f>SUM(CS1031:CW1031)</f>
        <v>0</v>
      </c>
      <c r="CZ1031" s="2"/>
      <c r="DA1031" s="3"/>
      <c r="DB1031" s="3"/>
      <c r="DC1031" s="3"/>
      <c r="DD1031" s="3"/>
      <c r="DE1031" s="4">
        <f>SUM(CZ1031:DD1031)</f>
        <v>0</v>
      </c>
    </row>
    <row r="1032" spans="2:110">
      <c r="C1032" s="567"/>
      <c r="E1032" s="5" t="s">
        <v>60</v>
      </c>
      <c r="F1032" s="6"/>
      <c r="G1032" s="7"/>
      <c r="H1032" s="7"/>
      <c r="I1032" s="7"/>
      <c r="J1032" s="7"/>
      <c r="K1032" s="8">
        <f t="shared" ref="K1032:K1034" si="4740">SUM(F1032:J1032)</f>
        <v>0</v>
      </c>
      <c r="M1032" s="6"/>
      <c r="N1032" s="7"/>
      <c r="O1032" s="7"/>
      <c r="P1032" s="7"/>
      <c r="Q1032" s="7"/>
      <c r="R1032" s="8">
        <f t="shared" ref="R1032:R1034" si="4741">SUM(M1032:Q1032)</f>
        <v>0</v>
      </c>
      <c r="T1032" s="6"/>
      <c r="U1032" s="7"/>
      <c r="V1032" s="7"/>
      <c r="W1032" s="7"/>
      <c r="X1032" s="7"/>
      <c r="Y1032" s="8">
        <f t="shared" ref="Y1032:Y1034" si="4742">SUM(T1032:X1032)</f>
        <v>0</v>
      </c>
      <c r="AA1032" s="6"/>
      <c r="AB1032" s="7"/>
      <c r="AC1032" s="7"/>
      <c r="AD1032" s="7"/>
      <c r="AE1032" s="7"/>
      <c r="AF1032" s="8">
        <f>SUM(AA1032:AE1032)</f>
        <v>0</v>
      </c>
      <c r="AH1032" s="6"/>
      <c r="AI1032" s="7"/>
      <c r="AJ1032" s="7"/>
      <c r="AK1032" s="7"/>
      <c r="AL1032" s="7"/>
      <c r="AM1032" s="8">
        <f>SUM(AH1032:AL1032)</f>
        <v>0</v>
      </c>
      <c r="AO1032" s="6"/>
      <c r="AP1032" s="7"/>
      <c r="AQ1032" s="7"/>
      <c r="AR1032" s="7"/>
      <c r="AS1032" s="7"/>
      <c r="AT1032" s="8">
        <f>SUM(AO1032:AS1032)</f>
        <v>0</v>
      </c>
      <c r="AV1032" s="6"/>
      <c r="AW1032" s="7"/>
      <c r="AX1032" s="7"/>
      <c r="AY1032" s="7"/>
      <c r="AZ1032" s="7"/>
      <c r="BA1032" s="8">
        <f>SUM(AV1032:AZ1032)</f>
        <v>0</v>
      </c>
      <c r="BC1032" s="6"/>
      <c r="BD1032" s="7"/>
      <c r="BE1032" s="7"/>
      <c r="BF1032" s="7"/>
      <c r="BG1032" s="7"/>
      <c r="BH1032" s="8">
        <f>SUM(BC1032:BG1032)</f>
        <v>0</v>
      </c>
      <c r="BJ1032" s="6"/>
      <c r="BK1032" s="7"/>
      <c r="BL1032" s="7"/>
      <c r="BM1032" s="7"/>
      <c r="BN1032" s="7"/>
      <c r="BO1032" s="8">
        <f>SUM(BJ1032:BN1032)</f>
        <v>0</v>
      </c>
      <c r="BQ1032" s="6"/>
      <c r="BR1032" s="7"/>
      <c r="BS1032" s="7"/>
      <c r="BT1032" s="7"/>
      <c r="BU1032" s="7"/>
      <c r="BV1032" s="8">
        <f>SUM(BQ1032:BU1032)</f>
        <v>0</v>
      </c>
      <c r="BX1032" s="6"/>
      <c r="BY1032" s="7"/>
      <c r="BZ1032" s="7"/>
      <c r="CA1032" s="7"/>
      <c r="CB1032" s="7"/>
      <c r="CC1032" s="8">
        <f>SUM(BX1032:CB1032)</f>
        <v>0</v>
      </c>
      <c r="CE1032" s="28">
        <f t="shared" si="4735"/>
        <v>0</v>
      </c>
      <c r="CF1032" s="29">
        <f t="shared" si="4736"/>
        <v>0</v>
      </c>
      <c r="CG1032" s="29">
        <f t="shared" si="4737"/>
        <v>0</v>
      </c>
      <c r="CH1032" s="29">
        <f t="shared" si="4738"/>
        <v>0</v>
      </c>
      <c r="CI1032" s="29">
        <f t="shared" si="4739"/>
        <v>0</v>
      </c>
      <c r="CJ1032" s="8">
        <f>SUM(CE1032:CI1032)</f>
        <v>0</v>
      </c>
      <c r="CL1032" s="6"/>
      <c r="CM1032" s="7"/>
      <c r="CN1032" s="7"/>
      <c r="CO1032" s="7"/>
      <c r="CP1032" s="7"/>
      <c r="CQ1032" s="8">
        <f>SUM(CL1032:CP1032)</f>
        <v>0</v>
      </c>
      <c r="CS1032" s="6"/>
      <c r="CT1032" s="7"/>
      <c r="CU1032" s="7"/>
      <c r="CV1032" s="7"/>
      <c r="CW1032" s="7"/>
      <c r="CX1032" s="8">
        <f t="shared" ref="CX1032:CX1034" si="4743">SUM(CS1032:CW1032)</f>
        <v>0</v>
      </c>
      <c r="CZ1032" s="6"/>
      <c r="DA1032" s="7"/>
      <c r="DB1032" s="7"/>
      <c r="DC1032" s="7"/>
      <c r="DD1032" s="7"/>
      <c r="DE1032" s="8">
        <f t="shared" ref="DE1032:DE1034" si="4744">SUM(CZ1032:DD1032)</f>
        <v>0</v>
      </c>
    </row>
    <row r="1033" spans="2:110">
      <c r="C1033" s="567"/>
      <c r="E1033" s="5" t="s">
        <v>61</v>
      </c>
      <c r="F1033" s="6"/>
      <c r="G1033" s="7"/>
      <c r="H1033" s="7"/>
      <c r="I1033" s="7"/>
      <c r="J1033" s="7"/>
      <c r="K1033" s="8">
        <f t="shared" si="4740"/>
        <v>0</v>
      </c>
      <c r="M1033" s="6"/>
      <c r="N1033" s="7"/>
      <c r="O1033" s="7"/>
      <c r="P1033" s="7"/>
      <c r="Q1033" s="7"/>
      <c r="R1033" s="8">
        <f t="shared" si="4741"/>
        <v>0</v>
      </c>
      <c r="T1033" s="6"/>
      <c r="U1033" s="7"/>
      <c r="V1033" s="7"/>
      <c r="W1033" s="7"/>
      <c r="X1033" s="7"/>
      <c r="Y1033" s="8">
        <f t="shared" si="4742"/>
        <v>0</v>
      </c>
      <c r="AA1033" s="6"/>
      <c r="AB1033" s="7"/>
      <c r="AC1033" s="7"/>
      <c r="AD1033" s="7"/>
      <c r="AE1033" s="7"/>
      <c r="AF1033" s="8">
        <f>SUM(AA1033:AE1033)</f>
        <v>0</v>
      </c>
      <c r="AH1033" s="6"/>
      <c r="AI1033" s="7"/>
      <c r="AJ1033" s="7"/>
      <c r="AK1033" s="7"/>
      <c r="AL1033" s="7"/>
      <c r="AM1033" s="8">
        <f>SUM(AH1033:AL1033)</f>
        <v>0</v>
      </c>
      <c r="AO1033" s="6"/>
      <c r="AP1033" s="7"/>
      <c r="AQ1033" s="7"/>
      <c r="AR1033" s="7"/>
      <c r="AS1033" s="7"/>
      <c r="AT1033" s="8">
        <f>SUM(AO1033:AS1033)</f>
        <v>0</v>
      </c>
      <c r="AV1033" s="6"/>
      <c r="AW1033" s="7"/>
      <c r="AX1033" s="7"/>
      <c r="AY1033" s="7"/>
      <c r="AZ1033" s="7"/>
      <c r="BA1033" s="8">
        <f>SUM(AV1033:AZ1033)</f>
        <v>0</v>
      </c>
      <c r="BC1033" s="6"/>
      <c r="BD1033" s="7"/>
      <c r="BE1033" s="7"/>
      <c r="BF1033" s="7"/>
      <c r="BG1033" s="7"/>
      <c r="BH1033" s="8">
        <f>SUM(BC1033:BG1033)</f>
        <v>0</v>
      </c>
      <c r="BJ1033" s="6"/>
      <c r="BK1033" s="7"/>
      <c r="BL1033" s="7"/>
      <c r="BM1033" s="7"/>
      <c r="BN1033" s="7"/>
      <c r="BO1033" s="8">
        <f>SUM(BJ1033:BN1033)</f>
        <v>0</v>
      </c>
      <c r="BQ1033" s="6"/>
      <c r="BR1033" s="7"/>
      <c r="BS1033" s="7"/>
      <c r="BT1033" s="7"/>
      <c r="BU1033" s="7"/>
      <c r="BV1033" s="8">
        <f>SUM(BQ1033:BU1033)</f>
        <v>0</v>
      </c>
      <c r="BX1033" s="6"/>
      <c r="BY1033" s="7"/>
      <c r="BZ1033" s="7"/>
      <c r="CA1033" s="7"/>
      <c r="CB1033" s="7"/>
      <c r="CC1033" s="8">
        <f>SUM(BX1033:CB1033)</f>
        <v>0</v>
      </c>
      <c r="CE1033" s="28">
        <f t="shared" si="4735"/>
        <v>0</v>
      </c>
      <c r="CF1033" s="29">
        <f t="shared" si="4736"/>
        <v>0</v>
      </c>
      <c r="CG1033" s="29">
        <f t="shared" si="4737"/>
        <v>0</v>
      </c>
      <c r="CH1033" s="29">
        <f t="shared" si="4738"/>
        <v>0</v>
      </c>
      <c r="CI1033" s="29">
        <f t="shared" si="4739"/>
        <v>0</v>
      </c>
      <c r="CJ1033" s="8">
        <f>SUM(CE1033:CI1033)</f>
        <v>0</v>
      </c>
      <c r="CL1033" s="6"/>
      <c r="CM1033" s="7"/>
      <c r="CN1033" s="7"/>
      <c r="CO1033" s="7"/>
      <c r="CP1033" s="7"/>
      <c r="CQ1033" s="8">
        <f>SUM(CL1033:CP1033)</f>
        <v>0</v>
      </c>
      <c r="CS1033" s="6"/>
      <c r="CT1033" s="7"/>
      <c r="CU1033" s="7"/>
      <c r="CV1033" s="7"/>
      <c r="CW1033" s="7"/>
      <c r="CX1033" s="8">
        <f t="shared" si="4743"/>
        <v>0</v>
      </c>
      <c r="CZ1033" s="6"/>
      <c r="DA1033" s="7"/>
      <c r="DB1033" s="7"/>
      <c r="DC1033" s="7"/>
      <c r="DD1033" s="7"/>
      <c r="DE1033" s="8">
        <f t="shared" si="4744"/>
        <v>0</v>
      </c>
    </row>
    <row r="1034" spans="2:110" ht="14" thickBot="1">
      <c r="C1034" s="567"/>
      <c r="E1034" s="5" t="s">
        <v>62</v>
      </c>
      <c r="F1034" s="6"/>
      <c r="G1034" s="7"/>
      <c r="H1034" s="7"/>
      <c r="I1034" s="7"/>
      <c r="J1034" s="7"/>
      <c r="K1034" s="8">
        <f t="shared" si="4740"/>
        <v>0</v>
      </c>
      <c r="M1034" s="6"/>
      <c r="N1034" s="7"/>
      <c r="O1034" s="7"/>
      <c r="P1034" s="7"/>
      <c r="Q1034" s="7"/>
      <c r="R1034" s="8">
        <f t="shared" si="4741"/>
        <v>0</v>
      </c>
      <c r="T1034" s="6"/>
      <c r="U1034" s="7"/>
      <c r="V1034" s="7"/>
      <c r="W1034" s="7"/>
      <c r="X1034" s="7"/>
      <c r="Y1034" s="8">
        <f t="shared" si="4742"/>
        <v>0</v>
      </c>
      <c r="AA1034" s="6"/>
      <c r="AB1034" s="7"/>
      <c r="AC1034" s="7"/>
      <c r="AD1034" s="7"/>
      <c r="AE1034" s="7"/>
      <c r="AF1034" s="8">
        <f>SUM(AA1034:AE1034)</f>
        <v>0</v>
      </c>
      <c r="AH1034" s="6"/>
      <c r="AI1034" s="7"/>
      <c r="AJ1034" s="7"/>
      <c r="AK1034" s="7"/>
      <c r="AL1034" s="7"/>
      <c r="AM1034" s="8">
        <f>SUM(AH1034:AL1034)</f>
        <v>0</v>
      </c>
      <c r="AO1034" s="6"/>
      <c r="AP1034" s="7"/>
      <c r="AQ1034" s="7"/>
      <c r="AR1034" s="7"/>
      <c r="AS1034" s="7"/>
      <c r="AT1034" s="8">
        <f>SUM(AO1034:AS1034)</f>
        <v>0</v>
      </c>
      <c r="AV1034" s="6"/>
      <c r="AW1034" s="7"/>
      <c r="AX1034" s="7"/>
      <c r="AY1034" s="7"/>
      <c r="AZ1034" s="7"/>
      <c r="BA1034" s="8">
        <f>SUM(AV1034:AZ1034)</f>
        <v>0</v>
      </c>
      <c r="BC1034" s="6"/>
      <c r="BD1034" s="7"/>
      <c r="BE1034" s="7"/>
      <c r="BF1034" s="7"/>
      <c r="BG1034" s="7"/>
      <c r="BH1034" s="8">
        <f>SUM(BC1034:BG1034)</f>
        <v>0</v>
      </c>
      <c r="BJ1034" s="6"/>
      <c r="BK1034" s="7"/>
      <c r="BL1034" s="7"/>
      <c r="BM1034" s="7"/>
      <c r="BN1034" s="7"/>
      <c r="BO1034" s="8">
        <f>SUM(BJ1034:BN1034)</f>
        <v>0</v>
      </c>
      <c r="BQ1034" s="6"/>
      <c r="BR1034" s="7"/>
      <c r="BS1034" s="7"/>
      <c r="BT1034" s="7"/>
      <c r="BU1034" s="7"/>
      <c r="BV1034" s="8">
        <f>SUM(BQ1034:BU1034)</f>
        <v>0</v>
      </c>
      <c r="BX1034" s="6"/>
      <c r="BY1034" s="7"/>
      <c r="BZ1034" s="7"/>
      <c r="CA1034" s="7"/>
      <c r="CB1034" s="7"/>
      <c r="CC1034" s="8">
        <f>SUM(BX1034:CB1034)</f>
        <v>0</v>
      </c>
      <c r="CE1034" s="493">
        <f t="shared" si="4735"/>
        <v>0</v>
      </c>
      <c r="CF1034" s="494">
        <f t="shared" si="4736"/>
        <v>0</v>
      </c>
      <c r="CG1034" s="494">
        <f t="shared" si="4737"/>
        <v>0</v>
      </c>
      <c r="CH1034" s="494">
        <f t="shared" si="4738"/>
        <v>0</v>
      </c>
      <c r="CI1034" s="494">
        <f t="shared" si="4739"/>
        <v>0</v>
      </c>
      <c r="CJ1034" s="495">
        <f>SUM(CE1034:CI1034)</f>
        <v>0</v>
      </c>
      <c r="CL1034" s="6"/>
      <c r="CM1034" s="7"/>
      <c r="CN1034" s="7"/>
      <c r="CO1034" s="7"/>
      <c r="CP1034" s="7"/>
      <c r="CQ1034" s="8">
        <f>SUM(CL1034:CP1034)</f>
        <v>0</v>
      </c>
      <c r="CS1034" s="6"/>
      <c r="CT1034" s="7"/>
      <c r="CU1034" s="7"/>
      <c r="CV1034" s="7"/>
      <c r="CW1034" s="7"/>
      <c r="CX1034" s="8">
        <f t="shared" si="4743"/>
        <v>0</v>
      </c>
      <c r="CZ1034" s="6"/>
      <c r="DA1034" s="7"/>
      <c r="DB1034" s="7"/>
      <c r="DC1034" s="7"/>
      <c r="DD1034" s="7"/>
      <c r="DE1034" s="8">
        <f t="shared" si="4744"/>
        <v>0</v>
      </c>
    </row>
    <row r="1035" spans="2:110" ht="14" thickBot="1">
      <c r="C1035" s="554"/>
      <c r="E1035" s="9"/>
      <c r="F1035" s="10">
        <f>SUM(F1031:F1034)</f>
        <v>0</v>
      </c>
      <c r="G1035" s="11">
        <f t="shared" ref="G1035:J1035" si="4745">SUM(G1031:G1034)</f>
        <v>0</v>
      </c>
      <c r="H1035" s="11">
        <f t="shared" si="4745"/>
        <v>0</v>
      </c>
      <c r="I1035" s="11">
        <f t="shared" si="4745"/>
        <v>0</v>
      </c>
      <c r="J1035" s="61">
        <f t="shared" si="4745"/>
        <v>0</v>
      </c>
      <c r="K1035" s="25">
        <f>SUM(K1031:K1034)</f>
        <v>0</v>
      </c>
      <c r="M1035" s="10">
        <f>SUM(M1031:M1034)</f>
        <v>0</v>
      </c>
      <c r="N1035" s="11">
        <f t="shared" ref="N1035:Q1035" si="4746">SUM(N1031:N1034)</f>
        <v>0</v>
      </c>
      <c r="O1035" s="11">
        <f t="shared" si="4746"/>
        <v>0</v>
      </c>
      <c r="P1035" s="11">
        <f t="shared" si="4746"/>
        <v>0</v>
      </c>
      <c r="Q1035" s="11">
        <f t="shared" si="4746"/>
        <v>0</v>
      </c>
      <c r="R1035" s="25">
        <f>SUM(R1031:R1034)</f>
        <v>0</v>
      </c>
      <c r="T1035" s="10">
        <f>SUM(T1031:T1034)</f>
        <v>0</v>
      </c>
      <c r="U1035" s="11">
        <f t="shared" ref="U1035:X1035" si="4747">SUM(U1031:U1034)</f>
        <v>0</v>
      </c>
      <c r="V1035" s="11">
        <f t="shared" si="4747"/>
        <v>0</v>
      </c>
      <c r="W1035" s="11">
        <f t="shared" si="4747"/>
        <v>0</v>
      </c>
      <c r="X1035" s="11">
        <f t="shared" si="4747"/>
        <v>0</v>
      </c>
      <c r="Y1035" s="25">
        <f>SUM(Y1031:Y1034)</f>
        <v>0</v>
      </c>
      <c r="AA1035" s="10">
        <f>SUM(AA1031:AA1034)</f>
        <v>0</v>
      </c>
      <c r="AB1035" s="11">
        <f t="shared" ref="AB1035:AE1035" si="4748">SUM(AB1031:AB1034)</f>
        <v>0</v>
      </c>
      <c r="AC1035" s="11">
        <f t="shared" si="4748"/>
        <v>0</v>
      </c>
      <c r="AD1035" s="11">
        <f t="shared" si="4748"/>
        <v>0</v>
      </c>
      <c r="AE1035" s="11">
        <f t="shared" si="4748"/>
        <v>0</v>
      </c>
      <c r="AF1035" s="25">
        <f>SUM(AF1031:AF1034)</f>
        <v>0</v>
      </c>
      <c r="AH1035" s="10">
        <f t="shared" ref="AH1035:AM1035" si="4749">SUM(AH1031:AH1034)</f>
        <v>0</v>
      </c>
      <c r="AI1035" s="11">
        <f t="shared" si="4749"/>
        <v>0</v>
      </c>
      <c r="AJ1035" s="11">
        <f t="shared" si="4749"/>
        <v>0</v>
      </c>
      <c r="AK1035" s="11">
        <f t="shared" si="4749"/>
        <v>0</v>
      </c>
      <c r="AL1035" s="11">
        <f t="shared" si="4749"/>
        <v>0</v>
      </c>
      <c r="AM1035" s="25">
        <f t="shared" si="4749"/>
        <v>0</v>
      </c>
      <c r="AO1035" s="10">
        <f t="shared" ref="AO1035:AT1035" si="4750">SUM(AO1031:AO1034)</f>
        <v>0</v>
      </c>
      <c r="AP1035" s="11">
        <f t="shared" si="4750"/>
        <v>0</v>
      </c>
      <c r="AQ1035" s="11">
        <f t="shared" si="4750"/>
        <v>0</v>
      </c>
      <c r="AR1035" s="11">
        <f t="shared" si="4750"/>
        <v>0</v>
      </c>
      <c r="AS1035" s="11">
        <f t="shared" si="4750"/>
        <v>0</v>
      </c>
      <c r="AT1035" s="25">
        <f t="shared" si="4750"/>
        <v>0</v>
      </c>
      <c r="AV1035" s="10">
        <f t="shared" ref="AV1035:BA1035" si="4751">SUM(AV1031:AV1034)</f>
        <v>0</v>
      </c>
      <c r="AW1035" s="11">
        <f t="shared" si="4751"/>
        <v>0</v>
      </c>
      <c r="AX1035" s="11">
        <f t="shared" si="4751"/>
        <v>0</v>
      </c>
      <c r="AY1035" s="11">
        <f t="shared" si="4751"/>
        <v>0</v>
      </c>
      <c r="AZ1035" s="11">
        <f t="shared" si="4751"/>
        <v>0</v>
      </c>
      <c r="BA1035" s="25">
        <f t="shared" si="4751"/>
        <v>0</v>
      </c>
      <c r="BC1035" s="10">
        <f t="shared" ref="BC1035:BH1035" si="4752">SUM(BC1031:BC1034)</f>
        <v>0</v>
      </c>
      <c r="BD1035" s="11">
        <f t="shared" si="4752"/>
        <v>0</v>
      </c>
      <c r="BE1035" s="11">
        <f t="shared" si="4752"/>
        <v>0</v>
      </c>
      <c r="BF1035" s="11">
        <f t="shared" si="4752"/>
        <v>0</v>
      </c>
      <c r="BG1035" s="11">
        <f t="shared" si="4752"/>
        <v>0</v>
      </c>
      <c r="BH1035" s="25">
        <f t="shared" si="4752"/>
        <v>0</v>
      </c>
      <c r="BJ1035" s="10">
        <f t="shared" ref="BJ1035:BO1035" si="4753">SUM(BJ1031:BJ1034)</f>
        <v>0</v>
      </c>
      <c r="BK1035" s="11">
        <f t="shared" si="4753"/>
        <v>0</v>
      </c>
      <c r="BL1035" s="11">
        <f t="shared" si="4753"/>
        <v>0</v>
      </c>
      <c r="BM1035" s="11">
        <f t="shared" si="4753"/>
        <v>0</v>
      </c>
      <c r="BN1035" s="11">
        <f t="shared" si="4753"/>
        <v>0</v>
      </c>
      <c r="BO1035" s="25">
        <f t="shared" si="4753"/>
        <v>0</v>
      </c>
      <c r="BQ1035" s="10">
        <f t="shared" ref="BQ1035:BV1035" si="4754">SUM(BQ1031:BQ1034)</f>
        <v>0</v>
      </c>
      <c r="BR1035" s="11">
        <f t="shared" si="4754"/>
        <v>0</v>
      </c>
      <c r="BS1035" s="11">
        <f t="shared" si="4754"/>
        <v>0</v>
      </c>
      <c r="BT1035" s="11">
        <f t="shared" si="4754"/>
        <v>0</v>
      </c>
      <c r="BU1035" s="11">
        <f t="shared" si="4754"/>
        <v>0</v>
      </c>
      <c r="BV1035" s="25">
        <f t="shared" si="4754"/>
        <v>0</v>
      </c>
      <c r="BX1035" s="10">
        <f t="shared" ref="BX1035:CC1035" si="4755">SUM(BX1031:BX1034)</f>
        <v>0</v>
      </c>
      <c r="BY1035" s="11">
        <f t="shared" si="4755"/>
        <v>0</v>
      </c>
      <c r="BZ1035" s="11">
        <f t="shared" si="4755"/>
        <v>0</v>
      </c>
      <c r="CA1035" s="11">
        <f t="shared" si="4755"/>
        <v>0</v>
      </c>
      <c r="CB1035" s="11">
        <f t="shared" si="4755"/>
        <v>0</v>
      </c>
      <c r="CC1035" s="25">
        <f t="shared" si="4755"/>
        <v>0</v>
      </c>
      <c r="CE1035" s="62">
        <f t="shared" ref="CE1035:CJ1035" si="4756">SUM(CE1031:CE1034)</f>
        <v>0</v>
      </c>
      <c r="CF1035" s="63">
        <f t="shared" si="4756"/>
        <v>0</v>
      </c>
      <c r="CG1035" s="63">
        <f t="shared" si="4756"/>
        <v>0</v>
      </c>
      <c r="CH1035" s="63">
        <f t="shared" si="4756"/>
        <v>0</v>
      </c>
      <c r="CI1035" s="63">
        <f t="shared" si="4756"/>
        <v>0</v>
      </c>
      <c r="CJ1035" s="25">
        <f t="shared" si="4756"/>
        <v>0</v>
      </c>
      <c r="CL1035" s="10">
        <f>SUM(CL1031:CL1034)</f>
        <v>0</v>
      </c>
      <c r="CM1035" s="11">
        <f t="shared" ref="CM1035:CQ1035" si="4757">SUM(CM1031:CM1034)</f>
        <v>0</v>
      </c>
      <c r="CN1035" s="11">
        <f t="shared" si="4757"/>
        <v>0</v>
      </c>
      <c r="CO1035" s="11">
        <f t="shared" si="4757"/>
        <v>0</v>
      </c>
      <c r="CP1035" s="11">
        <f t="shared" si="4757"/>
        <v>0</v>
      </c>
      <c r="CQ1035" s="25">
        <f t="shared" si="4757"/>
        <v>0</v>
      </c>
      <c r="CS1035" s="10">
        <f>SUM(CS1031:CS1034)</f>
        <v>0</v>
      </c>
      <c r="CT1035" s="11">
        <f t="shared" ref="CT1035:CW1035" si="4758">SUM(CT1031:CT1034)</f>
        <v>0</v>
      </c>
      <c r="CU1035" s="11">
        <f t="shared" si="4758"/>
        <v>0</v>
      </c>
      <c r="CV1035" s="11">
        <f t="shared" si="4758"/>
        <v>0</v>
      </c>
      <c r="CW1035" s="11">
        <f t="shared" si="4758"/>
        <v>0</v>
      </c>
      <c r="CX1035" s="25">
        <f>SUM(CX1031:CX1034)</f>
        <v>0</v>
      </c>
      <c r="CZ1035" s="10">
        <f>SUM(CZ1031:CZ1034)</f>
        <v>0</v>
      </c>
      <c r="DA1035" s="11">
        <f t="shared" ref="DA1035:DD1035" si="4759">SUM(DA1031:DA1034)</f>
        <v>0</v>
      </c>
      <c r="DB1035" s="11">
        <f t="shared" si="4759"/>
        <v>0</v>
      </c>
      <c r="DC1035" s="11">
        <f t="shared" si="4759"/>
        <v>0</v>
      </c>
      <c r="DD1035" s="11">
        <f t="shared" si="4759"/>
        <v>0</v>
      </c>
      <c r="DE1035" s="25">
        <f>SUM(DE1031:DE1034)</f>
        <v>0</v>
      </c>
    </row>
    <row r="1036" spans="2:110" ht="10.4" customHeight="1" thickBot="1"/>
    <row r="1037" spans="2:110">
      <c r="C1037" s="553">
        <v>2025</v>
      </c>
      <c r="E1037" s="13" t="s">
        <v>59</v>
      </c>
      <c r="F1037" s="21">
        <f>CE1031</f>
        <v>0</v>
      </c>
      <c r="G1037" s="22">
        <f t="shared" ref="G1037:G1040" si="4760">CF1031</f>
        <v>0</v>
      </c>
      <c r="H1037" s="22">
        <f t="shared" ref="H1037:H1040" si="4761">CG1031</f>
        <v>0</v>
      </c>
      <c r="I1037" s="22">
        <f t="shared" ref="I1037:I1040" si="4762">CH1031</f>
        <v>0</v>
      </c>
      <c r="J1037" s="22">
        <f t="shared" ref="J1037:J1040" si="4763">CI1031</f>
        <v>0</v>
      </c>
      <c r="K1037" s="15">
        <f>SUM(F1037:J1037)</f>
        <v>0</v>
      </c>
      <c r="M1037" s="2"/>
      <c r="N1037" s="3"/>
      <c r="O1037" s="3"/>
      <c r="P1037" s="3"/>
      <c r="Q1037" s="3"/>
      <c r="R1037" s="15">
        <f>SUM(M1037:Q1037)</f>
        <v>0</v>
      </c>
      <c r="T1037" s="2"/>
      <c r="U1037" s="3"/>
      <c r="V1037" s="3"/>
      <c r="W1037" s="3"/>
      <c r="X1037" s="3"/>
      <c r="Y1037" s="15">
        <f>SUM(T1037:X1037)</f>
        <v>0</v>
      </c>
      <c r="AA1037" s="2"/>
      <c r="AB1037" s="3"/>
      <c r="AC1037" s="3"/>
      <c r="AD1037" s="3"/>
      <c r="AE1037" s="3"/>
      <c r="AF1037" s="15">
        <f>SUM(AA1037:AE1037)</f>
        <v>0</v>
      </c>
      <c r="AH1037" s="2"/>
      <c r="AI1037" s="3"/>
      <c r="AJ1037" s="3"/>
      <c r="AK1037" s="3"/>
      <c r="AL1037" s="3"/>
      <c r="AM1037" s="15">
        <f>SUM(AH1037:AL1037)</f>
        <v>0</v>
      </c>
      <c r="AO1037" s="2"/>
      <c r="AP1037" s="3"/>
      <c r="AQ1037" s="3"/>
      <c r="AR1037" s="3"/>
      <c r="AS1037" s="3"/>
      <c r="AT1037" s="15">
        <f>SUM(AO1037:AS1037)</f>
        <v>0</v>
      </c>
      <c r="AV1037" s="2"/>
      <c r="AW1037" s="3"/>
      <c r="AX1037" s="3"/>
      <c r="AY1037" s="3"/>
      <c r="AZ1037" s="3"/>
      <c r="BA1037" s="15">
        <f>SUM(AV1037:AZ1037)</f>
        <v>0</v>
      </c>
      <c r="BC1037" s="2"/>
      <c r="BD1037" s="3"/>
      <c r="BE1037" s="3"/>
      <c r="BF1037" s="3"/>
      <c r="BG1037" s="3"/>
      <c r="BH1037" s="15">
        <f>SUM(BC1037:BG1037)</f>
        <v>0</v>
      </c>
      <c r="BJ1037" s="2"/>
      <c r="BK1037" s="3"/>
      <c r="BL1037" s="3"/>
      <c r="BM1037" s="3"/>
      <c r="BN1037" s="3"/>
      <c r="BO1037" s="15">
        <f>SUM(BJ1037:BN1037)</f>
        <v>0</v>
      </c>
      <c r="BQ1037" s="2"/>
      <c r="BR1037" s="3"/>
      <c r="BS1037" s="3"/>
      <c r="BT1037" s="3"/>
      <c r="BU1037" s="3"/>
      <c r="BV1037" s="15">
        <f>SUM(BQ1037:BU1037)</f>
        <v>0</v>
      </c>
      <c r="BX1037" s="2"/>
      <c r="BY1037" s="3"/>
      <c r="BZ1037" s="3"/>
      <c r="CA1037" s="3"/>
      <c r="CB1037" s="3"/>
      <c r="CC1037" s="15">
        <f>SUM(BX1037:CB1037)</f>
        <v>0</v>
      </c>
      <c r="CE1037" s="26">
        <f t="shared" ref="CE1037:CE1040" si="4764">F1037+M1037+T1037+AA1037+AH1037+AO1037+AV1037+BC1037+BJ1037+BQ1037+BX1037</f>
        <v>0</v>
      </c>
      <c r="CF1037" s="27">
        <f t="shared" ref="CF1037:CF1040" si="4765">G1037+N1037+U1037+AB1037+AI1037+AP1037+AW1037+BD1037+BK1037+BR1037+BY1037</f>
        <v>0</v>
      </c>
      <c r="CG1037" s="27">
        <f t="shared" ref="CG1037:CG1040" si="4766">H1037+O1037+V1037+AC1037+AJ1037+AQ1037+AX1037+BE1037+BL1037+BS1037+BZ1037</f>
        <v>0</v>
      </c>
      <c r="CH1037" s="27">
        <f t="shared" ref="CH1037:CH1040" si="4767">I1037+P1037+W1037+AD1037+AK1037+AR1037+AY1037+BF1037+BM1037+BT1037+CA1037</f>
        <v>0</v>
      </c>
      <c r="CI1037" s="27">
        <f t="shared" ref="CI1037:CI1040" si="4768">J1037+Q1037+X1037+AE1037+AL1037+AS1037+AZ1037+BG1037+BN1037+BU1037+CB1037</f>
        <v>0</v>
      </c>
      <c r="CJ1037" s="4">
        <f>SUM(CE1037:CI1037)</f>
        <v>0</v>
      </c>
      <c r="CL1037" s="2"/>
      <c r="CM1037" s="3"/>
      <c r="CN1037" s="3"/>
      <c r="CO1037" s="3"/>
      <c r="CP1037" s="3"/>
      <c r="CQ1037" s="15">
        <f>SUM(CL1037:CP1037)</f>
        <v>0</v>
      </c>
      <c r="CS1037" s="2"/>
      <c r="CT1037" s="3"/>
      <c r="CU1037" s="3"/>
      <c r="CV1037" s="3"/>
      <c r="CW1037" s="3"/>
      <c r="CX1037" s="4">
        <f>SUM(CS1037:CW1037)</f>
        <v>0</v>
      </c>
      <c r="CZ1037" s="2"/>
      <c r="DA1037" s="3"/>
      <c r="DB1037" s="3"/>
      <c r="DC1037" s="3"/>
      <c r="DD1037" s="3"/>
      <c r="DE1037" s="15">
        <f>SUM(CZ1037:DD1037)</f>
        <v>0</v>
      </c>
    </row>
    <row r="1038" spans="2:110">
      <c r="C1038" s="567"/>
      <c r="E1038" s="14" t="s">
        <v>60</v>
      </c>
      <c r="F1038" s="23">
        <f t="shared" ref="F1038:F1040" si="4769">CE1032</f>
        <v>0</v>
      </c>
      <c r="G1038" s="24">
        <f t="shared" si="4760"/>
        <v>0</v>
      </c>
      <c r="H1038" s="24">
        <f t="shared" si="4761"/>
        <v>0</v>
      </c>
      <c r="I1038" s="24">
        <f t="shared" si="4762"/>
        <v>0</v>
      </c>
      <c r="J1038" s="24">
        <f t="shared" si="4763"/>
        <v>0</v>
      </c>
      <c r="K1038" s="16">
        <f t="shared" ref="K1038:K1040" si="4770">SUM(F1038:J1038)</f>
        <v>0</v>
      </c>
      <c r="M1038" s="6"/>
      <c r="N1038" s="7"/>
      <c r="O1038" s="7"/>
      <c r="P1038" s="7"/>
      <c r="Q1038" s="7"/>
      <c r="R1038" s="16">
        <f t="shared" ref="R1038:R1040" si="4771">SUM(M1038:Q1038)</f>
        <v>0</v>
      </c>
      <c r="T1038" s="6"/>
      <c r="U1038" s="7"/>
      <c r="V1038" s="7"/>
      <c r="W1038" s="7"/>
      <c r="X1038" s="7"/>
      <c r="Y1038" s="16">
        <f t="shared" ref="Y1038:Y1040" si="4772">SUM(T1038:X1038)</f>
        <v>0</v>
      </c>
      <c r="AA1038" s="6"/>
      <c r="AB1038" s="7"/>
      <c r="AC1038" s="7"/>
      <c r="AD1038" s="7"/>
      <c r="AE1038" s="7"/>
      <c r="AF1038" s="16">
        <f>SUM(AA1038:AE1038)</f>
        <v>0</v>
      </c>
      <c r="AH1038" s="6"/>
      <c r="AI1038" s="7"/>
      <c r="AJ1038" s="7"/>
      <c r="AK1038" s="7"/>
      <c r="AL1038" s="7"/>
      <c r="AM1038" s="16">
        <f>SUM(AH1038:AL1038)</f>
        <v>0</v>
      </c>
      <c r="AO1038" s="6"/>
      <c r="AP1038" s="7"/>
      <c r="AQ1038" s="7"/>
      <c r="AR1038" s="7"/>
      <c r="AS1038" s="7"/>
      <c r="AT1038" s="16">
        <f>SUM(AO1038:AS1038)</f>
        <v>0</v>
      </c>
      <c r="AV1038" s="6"/>
      <c r="AW1038" s="7"/>
      <c r="AX1038" s="7"/>
      <c r="AY1038" s="7"/>
      <c r="AZ1038" s="7"/>
      <c r="BA1038" s="16">
        <f>SUM(AV1038:AZ1038)</f>
        <v>0</v>
      </c>
      <c r="BC1038" s="6"/>
      <c r="BD1038" s="7"/>
      <c r="BE1038" s="7"/>
      <c r="BF1038" s="7"/>
      <c r="BG1038" s="7"/>
      <c r="BH1038" s="16">
        <f>SUM(BC1038:BG1038)</f>
        <v>0</v>
      </c>
      <c r="BJ1038" s="6"/>
      <c r="BK1038" s="7"/>
      <c r="BL1038" s="7"/>
      <c r="BM1038" s="7"/>
      <c r="BN1038" s="7"/>
      <c r="BO1038" s="16">
        <f>SUM(BJ1038:BN1038)</f>
        <v>0</v>
      </c>
      <c r="BQ1038" s="6"/>
      <c r="BR1038" s="7"/>
      <c r="BS1038" s="7"/>
      <c r="BT1038" s="7"/>
      <c r="BU1038" s="7"/>
      <c r="BV1038" s="16">
        <f>SUM(BQ1038:BU1038)</f>
        <v>0</v>
      </c>
      <c r="BX1038" s="6"/>
      <c r="BY1038" s="7"/>
      <c r="BZ1038" s="7"/>
      <c r="CA1038" s="7"/>
      <c r="CB1038" s="7"/>
      <c r="CC1038" s="16">
        <f>SUM(BX1038:CB1038)</f>
        <v>0</v>
      </c>
      <c r="CE1038" s="28">
        <f t="shared" si="4764"/>
        <v>0</v>
      </c>
      <c r="CF1038" s="29">
        <f t="shared" si="4765"/>
        <v>0</v>
      </c>
      <c r="CG1038" s="29">
        <f t="shared" si="4766"/>
        <v>0</v>
      </c>
      <c r="CH1038" s="29">
        <f t="shared" si="4767"/>
        <v>0</v>
      </c>
      <c r="CI1038" s="29">
        <f t="shared" si="4768"/>
        <v>0</v>
      </c>
      <c r="CJ1038" s="8">
        <f>SUM(CE1038:CI1038)</f>
        <v>0</v>
      </c>
      <c r="CL1038" s="6"/>
      <c r="CM1038" s="7"/>
      <c r="CN1038" s="7"/>
      <c r="CO1038" s="7"/>
      <c r="CP1038" s="7"/>
      <c r="CQ1038" s="16">
        <f>SUM(CL1038:CP1038)</f>
        <v>0</v>
      </c>
      <c r="CS1038" s="6"/>
      <c r="CT1038" s="7"/>
      <c r="CU1038" s="7"/>
      <c r="CV1038" s="7"/>
      <c r="CW1038" s="7"/>
      <c r="CX1038" s="8">
        <f t="shared" ref="CX1038:CX1040" si="4773">SUM(CS1038:CW1038)</f>
        <v>0</v>
      </c>
      <c r="CZ1038" s="6"/>
      <c r="DA1038" s="7"/>
      <c r="DB1038" s="7"/>
      <c r="DC1038" s="7"/>
      <c r="DD1038" s="7"/>
      <c r="DE1038" s="16">
        <f t="shared" ref="DE1038:DE1040" si="4774">SUM(CZ1038:DD1038)</f>
        <v>0</v>
      </c>
    </row>
    <row r="1039" spans="2:110">
      <c r="C1039" s="567"/>
      <c r="E1039" s="14" t="s">
        <v>61</v>
      </c>
      <c r="F1039" s="23">
        <f t="shared" si="4769"/>
        <v>0</v>
      </c>
      <c r="G1039" s="24">
        <f t="shared" si="4760"/>
        <v>0</v>
      </c>
      <c r="H1039" s="24">
        <f t="shared" si="4761"/>
        <v>0</v>
      </c>
      <c r="I1039" s="24">
        <f t="shared" si="4762"/>
        <v>0</v>
      </c>
      <c r="J1039" s="24">
        <f t="shared" si="4763"/>
        <v>0</v>
      </c>
      <c r="K1039" s="16">
        <f t="shared" si="4770"/>
        <v>0</v>
      </c>
      <c r="M1039" s="6"/>
      <c r="N1039" s="7"/>
      <c r="O1039" s="7"/>
      <c r="P1039" s="7"/>
      <c r="Q1039" s="7"/>
      <c r="R1039" s="16">
        <f t="shared" si="4771"/>
        <v>0</v>
      </c>
      <c r="T1039" s="6"/>
      <c r="U1039" s="7"/>
      <c r="V1039" s="7"/>
      <c r="W1039" s="7"/>
      <c r="X1039" s="7"/>
      <c r="Y1039" s="16">
        <f t="shared" si="4772"/>
        <v>0</v>
      </c>
      <c r="AA1039" s="6"/>
      <c r="AB1039" s="7"/>
      <c r="AC1039" s="7"/>
      <c r="AD1039" s="7"/>
      <c r="AE1039" s="7"/>
      <c r="AF1039" s="16">
        <f>SUM(AA1039:AE1039)</f>
        <v>0</v>
      </c>
      <c r="AH1039" s="6"/>
      <c r="AI1039" s="7"/>
      <c r="AJ1039" s="7"/>
      <c r="AK1039" s="7"/>
      <c r="AL1039" s="7"/>
      <c r="AM1039" s="16">
        <f>SUM(AH1039:AL1039)</f>
        <v>0</v>
      </c>
      <c r="AO1039" s="6"/>
      <c r="AP1039" s="7"/>
      <c r="AQ1039" s="7"/>
      <c r="AR1039" s="7"/>
      <c r="AS1039" s="7"/>
      <c r="AT1039" s="16">
        <f>SUM(AO1039:AS1039)</f>
        <v>0</v>
      </c>
      <c r="AV1039" s="6"/>
      <c r="AW1039" s="7"/>
      <c r="AX1039" s="7"/>
      <c r="AY1039" s="7"/>
      <c r="AZ1039" s="7"/>
      <c r="BA1039" s="16">
        <f>SUM(AV1039:AZ1039)</f>
        <v>0</v>
      </c>
      <c r="BC1039" s="6"/>
      <c r="BD1039" s="7"/>
      <c r="BE1039" s="7"/>
      <c r="BF1039" s="7"/>
      <c r="BG1039" s="7"/>
      <c r="BH1039" s="16">
        <f>SUM(BC1039:BG1039)</f>
        <v>0</v>
      </c>
      <c r="BJ1039" s="6"/>
      <c r="BK1039" s="7"/>
      <c r="BL1039" s="7"/>
      <c r="BM1039" s="7"/>
      <c r="BN1039" s="7"/>
      <c r="BO1039" s="16">
        <f>SUM(BJ1039:BN1039)</f>
        <v>0</v>
      </c>
      <c r="BQ1039" s="6"/>
      <c r="BR1039" s="7"/>
      <c r="BS1039" s="7"/>
      <c r="BT1039" s="7"/>
      <c r="BU1039" s="7"/>
      <c r="BV1039" s="16">
        <f>SUM(BQ1039:BU1039)</f>
        <v>0</v>
      </c>
      <c r="BX1039" s="6"/>
      <c r="BY1039" s="7"/>
      <c r="BZ1039" s="7"/>
      <c r="CA1039" s="7"/>
      <c r="CB1039" s="7"/>
      <c r="CC1039" s="16">
        <f>SUM(BX1039:CB1039)</f>
        <v>0</v>
      </c>
      <c r="CE1039" s="28">
        <f t="shared" si="4764"/>
        <v>0</v>
      </c>
      <c r="CF1039" s="29">
        <f t="shared" si="4765"/>
        <v>0</v>
      </c>
      <c r="CG1039" s="29">
        <f t="shared" si="4766"/>
        <v>0</v>
      </c>
      <c r="CH1039" s="29">
        <f t="shared" si="4767"/>
        <v>0</v>
      </c>
      <c r="CI1039" s="29">
        <f t="shared" si="4768"/>
        <v>0</v>
      </c>
      <c r="CJ1039" s="8">
        <f>SUM(CE1039:CI1039)</f>
        <v>0</v>
      </c>
      <c r="CL1039" s="6"/>
      <c r="CM1039" s="7"/>
      <c r="CN1039" s="7"/>
      <c r="CO1039" s="7"/>
      <c r="CP1039" s="7"/>
      <c r="CQ1039" s="16">
        <f>SUM(CL1039:CP1039)</f>
        <v>0</v>
      </c>
      <c r="CS1039" s="6"/>
      <c r="CT1039" s="7"/>
      <c r="CU1039" s="7"/>
      <c r="CV1039" s="7"/>
      <c r="CW1039" s="7"/>
      <c r="CX1039" s="8">
        <f t="shared" si="4773"/>
        <v>0</v>
      </c>
      <c r="CZ1039" s="6"/>
      <c r="DA1039" s="7"/>
      <c r="DB1039" s="7"/>
      <c r="DC1039" s="7"/>
      <c r="DD1039" s="7"/>
      <c r="DE1039" s="16">
        <f t="shared" si="4774"/>
        <v>0</v>
      </c>
    </row>
    <row r="1040" spans="2:110" ht="14" thickBot="1">
      <c r="C1040" s="567"/>
      <c r="E1040" s="14" t="s">
        <v>62</v>
      </c>
      <c r="F1040" s="23">
        <f t="shared" si="4769"/>
        <v>0</v>
      </c>
      <c r="G1040" s="24">
        <f t="shared" si="4760"/>
        <v>0</v>
      </c>
      <c r="H1040" s="24">
        <f t="shared" si="4761"/>
        <v>0</v>
      </c>
      <c r="I1040" s="24">
        <f t="shared" si="4762"/>
        <v>0</v>
      </c>
      <c r="J1040" s="24">
        <f t="shared" si="4763"/>
        <v>0</v>
      </c>
      <c r="K1040" s="16">
        <f t="shared" si="4770"/>
        <v>0</v>
      </c>
      <c r="M1040" s="6"/>
      <c r="N1040" s="7"/>
      <c r="O1040" s="7"/>
      <c r="P1040" s="7"/>
      <c r="Q1040" s="7"/>
      <c r="R1040" s="16">
        <f t="shared" si="4771"/>
        <v>0</v>
      </c>
      <c r="T1040" s="6"/>
      <c r="U1040" s="7"/>
      <c r="V1040" s="7"/>
      <c r="W1040" s="7"/>
      <c r="X1040" s="7"/>
      <c r="Y1040" s="16">
        <f t="shared" si="4772"/>
        <v>0</v>
      </c>
      <c r="AA1040" s="6"/>
      <c r="AB1040" s="7"/>
      <c r="AC1040" s="7"/>
      <c r="AD1040" s="7"/>
      <c r="AE1040" s="7"/>
      <c r="AF1040" s="16">
        <f>SUM(AA1040:AE1040)</f>
        <v>0</v>
      </c>
      <c r="AH1040" s="6"/>
      <c r="AI1040" s="7"/>
      <c r="AJ1040" s="7"/>
      <c r="AK1040" s="7"/>
      <c r="AL1040" s="7"/>
      <c r="AM1040" s="16">
        <f>SUM(AH1040:AL1040)</f>
        <v>0</v>
      </c>
      <c r="AO1040" s="6"/>
      <c r="AP1040" s="7"/>
      <c r="AQ1040" s="7"/>
      <c r="AR1040" s="7"/>
      <c r="AS1040" s="7"/>
      <c r="AT1040" s="16">
        <f>SUM(AO1040:AS1040)</f>
        <v>0</v>
      </c>
      <c r="AV1040" s="6"/>
      <c r="AW1040" s="7"/>
      <c r="AX1040" s="7"/>
      <c r="AY1040" s="7"/>
      <c r="AZ1040" s="7"/>
      <c r="BA1040" s="16">
        <f>SUM(AV1040:AZ1040)</f>
        <v>0</v>
      </c>
      <c r="BC1040" s="6"/>
      <c r="BD1040" s="7"/>
      <c r="BE1040" s="7"/>
      <c r="BF1040" s="7"/>
      <c r="BG1040" s="7"/>
      <c r="BH1040" s="16">
        <f>SUM(BC1040:BG1040)</f>
        <v>0</v>
      </c>
      <c r="BJ1040" s="6"/>
      <c r="BK1040" s="7"/>
      <c r="BL1040" s="7"/>
      <c r="BM1040" s="7"/>
      <c r="BN1040" s="7"/>
      <c r="BO1040" s="16">
        <f>SUM(BJ1040:BN1040)</f>
        <v>0</v>
      </c>
      <c r="BQ1040" s="6"/>
      <c r="BR1040" s="7"/>
      <c r="BS1040" s="7"/>
      <c r="BT1040" s="7"/>
      <c r="BU1040" s="7"/>
      <c r="BV1040" s="16">
        <f>SUM(BQ1040:BU1040)</f>
        <v>0</v>
      </c>
      <c r="BX1040" s="6"/>
      <c r="BY1040" s="7"/>
      <c r="BZ1040" s="7"/>
      <c r="CA1040" s="7"/>
      <c r="CB1040" s="7"/>
      <c r="CC1040" s="16">
        <f>SUM(BX1040:CB1040)</f>
        <v>0</v>
      </c>
      <c r="CE1040" s="493">
        <f t="shared" si="4764"/>
        <v>0</v>
      </c>
      <c r="CF1040" s="494">
        <f t="shared" si="4765"/>
        <v>0</v>
      </c>
      <c r="CG1040" s="494">
        <f t="shared" si="4766"/>
        <v>0</v>
      </c>
      <c r="CH1040" s="494">
        <f t="shared" si="4767"/>
        <v>0</v>
      </c>
      <c r="CI1040" s="494">
        <f t="shared" si="4768"/>
        <v>0</v>
      </c>
      <c r="CJ1040" s="495">
        <f>SUM(CE1040:CI1040)</f>
        <v>0</v>
      </c>
      <c r="CL1040" s="6"/>
      <c r="CM1040" s="7"/>
      <c r="CN1040" s="7"/>
      <c r="CO1040" s="7"/>
      <c r="CP1040" s="7"/>
      <c r="CQ1040" s="16">
        <f>SUM(CL1040:CP1040)</f>
        <v>0</v>
      </c>
      <c r="CS1040" s="6"/>
      <c r="CT1040" s="7"/>
      <c r="CU1040" s="7"/>
      <c r="CV1040" s="7"/>
      <c r="CW1040" s="7"/>
      <c r="CX1040" s="8">
        <f t="shared" si="4773"/>
        <v>0</v>
      </c>
      <c r="CZ1040" s="6"/>
      <c r="DA1040" s="7"/>
      <c r="DB1040" s="7"/>
      <c r="DC1040" s="7"/>
      <c r="DD1040" s="7"/>
      <c r="DE1040" s="16">
        <f t="shared" si="4774"/>
        <v>0</v>
      </c>
    </row>
    <row r="1041" spans="3:109" ht="14" thickBot="1">
      <c r="C1041" s="554"/>
      <c r="E1041" s="17"/>
      <c r="F1041" s="10">
        <f>SUM(F1037:F1040)</f>
        <v>0</v>
      </c>
      <c r="G1041" s="11">
        <f t="shared" ref="G1041:J1041" si="4775">SUM(G1037:G1040)</f>
        <v>0</v>
      </c>
      <c r="H1041" s="11">
        <f t="shared" si="4775"/>
        <v>0</v>
      </c>
      <c r="I1041" s="11">
        <f t="shared" si="4775"/>
        <v>0</v>
      </c>
      <c r="J1041" s="11">
        <f t="shared" si="4775"/>
        <v>0</v>
      </c>
      <c r="K1041" s="25">
        <f>SUM(K1037:K1040)</f>
        <v>0</v>
      </c>
      <c r="M1041" s="10">
        <f>SUM(M1037:M1040)</f>
        <v>0</v>
      </c>
      <c r="N1041" s="11">
        <f t="shared" ref="N1041:Q1041" si="4776">SUM(N1037:N1040)</f>
        <v>0</v>
      </c>
      <c r="O1041" s="11">
        <f t="shared" si="4776"/>
        <v>0</v>
      </c>
      <c r="P1041" s="11">
        <f t="shared" si="4776"/>
        <v>0</v>
      </c>
      <c r="Q1041" s="11">
        <f t="shared" si="4776"/>
        <v>0</v>
      </c>
      <c r="R1041" s="25">
        <f>SUM(R1037:R1040)</f>
        <v>0</v>
      </c>
      <c r="T1041" s="10">
        <f>SUM(T1037:T1040)</f>
        <v>0</v>
      </c>
      <c r="U1041" s="11">
        <f t="shared" ref="U1041:X1041" si="4777">SUM(U1037:U1040)</f>
        <v>0</v>
      </c>
      <c r="V1041" s="11">
        <f t="shared" si="4777"/>
        <v>0</v>
      </c>
      <c r="W1041" s="11">
        <f t="shared" si="4777"/>
        <v>0</v>
      </c>
      <c r="X1041" s="11">
        <f t="shared" si="4777"/>
        <v>0</v>
      </c>
      <c r="Y1041" s="25">
        <f>SUM(Y1037:Y1040)</f>
        <v>0</v>
      </c>
      <c r="AA1041" s="10">
        <f>SUM(AA1037:AA1040)</f>
        <v>0</v>
      </c>
      <c r="AB1041" s="11">
        <f t="shared" ref="AB1041:AE1041" si="4778">SUM(AB1037:AB1040)</f>
        <v>0</v>
      </c>
      <c r="AC1041" s="11">
        <f t="shared" si="4778"/>
        <v>0</v>
      </c>
      <c r="AD1041" s="11">
        <f t="shared" si="4778"/>
        <v>0</v>
      </c>
      <c r="AE1041" s="11">
        <f t="shared" si="4778"/>
        <v>0</v>
      </c>
      <c r="AF1041" s="25">
        <f>SUM(AF1037:AF1040)</f>
        <v>0</v>
      </c>
      <c r="AH1041" s="10">
        <f t="shared" ref="AH1041:AM1041" si="4779">SUM(AH1037:AH1040)</f>
        <v>0</v>
      </c>
      <c r="AI1041" s="11">
        <f t="shared" si="4779"/>
        <v>0</v>
      </c>
      <c r="AJ1041" s="11">
        <f t="shared" si="4779"/>
        <v>0</v>
      </c>
      <c r="AK1041" s="11">
        <f t="shared" si="4779"/>
        <v>0</v>
      </c>
      <c r="AL1041" s="11">
        <f t="shared" si="4779"/>
        <v>0</v>
      </c>
      <c r="AM1041" s="25">
        <f t="shared" si="4779"/>
        <v>0</v>
      </c>
      <c r="AO1041" s="10">
        <f t="shared" ref="AO1041:AT1041" si="4780">SUM(AO1037:AO1040)</f>
        <v>0</v>
      </c>
      <c r="AP1041" s="11">
        <f t="shared" si="4780"/>
        <v>0</v>
      </c>
      <c r="AQ1041" s="11">
        <f t="shared" si="4780"/>
        <v>0</v>
      </c>
      <c r="AR1041" s="11">
        <f t="shared" si="4780"/>
        <v>0</v>
      </c>
      <c r="AS1041" s="11">
        <f t="shared" si="4780"/>
        <v>0</v>
      </c>
      <c r="AT1041" s="25">
        <f t="shared" si="4780"/>
        <v>0</v>
      </c>
      <c r="AV1041" s="10">
        <f t="shared" ref="AV1041:BA1041" si="4781">SUM(AV1037:AV1040)</f>
        <v>0</v>
      </c>
      <c r="AW1041" s="11">
        <f t="shared" si="4781"/>
        <v>0</v>
      </c>
      <c r="AX1041" s="11">
        <f t="shared" si="4781"/>
        <v>0</v>
      </c>
      <c r="AY1041" s="11">
        <f t="shared" si="4781"/>
        <v>0</v>
      </c>
      <c r="AZ1041" s="11">
        <f t="shared" si="4781"/>
        <v>0</v>
      </c>
      <c r="BA1041" s="25">
        <f t="shared" si="4781"/>
        <v>0</v>
      </c>
      <c r="BC1041" s="10">
        <f t="shared" ref="BC1041:BH1041" si="4782">SUM(BC1037:BC1040)</f>
        <v>0</v>
      </c>
      <c r="BD1041" s="11">
        <f t="shared" si="4782"/>
        <v>0</v>
      </c>
      <c r="BE1041" s="11">
        <f t="shared" si="4782"/>
        <v>0</v>
      </c>
      <c r="BF1041" s="11">
        <f t="shared" si="4782"/>
        <v>0</v>
      </c>
      <c r="BG1041" s="11">
        <f t="shared" si="4782"/>
        <v>0</v>
      </c>
      <c r="BH1041" s="25">
        <f t="shared" si="4782"/>
        <v>0</v>
      </c>
      <c r="BJ1041" s="10">
        <f t="shared" ref="BJ1041:BO1041" si="4783">SUM(BJ1037:BJ1040)</f>
        <v>0</v>
      </c>
      <c r="BK1041" s="11">
        <f t="shared" si="4783"/>
        <v>0</v>
      </c>
      <c r="BL1041" s="11">
        <f t="shared" si="4783"/>
        <v>0</v>
      </c>
      <c r="BM1041" s="11">
        <f t="shared" si="4783"/>
        <v>0</v>
      </c>
      <c r="BN1041" s="11">
        <f t="shared" si="4783"/>
        <v>0</v>
      </c>
      <c r="BO1041" s="25">
        <f t="shared" si="4783"/>
        <v>0</v>
      </c>
      <c r="BQ1041" s="10">
        <f t="shared" ref="BQ1041:BV1041" si="4784">SUM(BQ1037:BQ1040)</f>
        <v>0</v>
      </c>
      <c r="BR1041" s="11">
        <f t="shared" si="4784"/>
        <v>0</v>
      </c>
      <c r="BS1041" s="11">
        <f t="shared" si="4784"/>
        <v>0</v>
      </c>
      <c r="BT1041" s="11">
        <f t="shared" si="4784"/>
        <v>0</v>
      </c>
      <c r="BU1041" s="11">
        <f t="shared" si="4784"/>
        <v>0</v>
      </c>
      <c r="BV1041" s="25">
        <f t="shared" si="4784"/>
        <v>0</v>
      </c>
      <c r="BX1041" s="10">
        <f t="shared" ref="BX1041:CC1041" si="4785">SUM(BX1037:BX1040)</f>
        <v>0</v>
      </c>
      <c r="BY1041" s="11">
        <f t="shared" si="4785"/>
        <v>0</v>
      </c>
      <c r="BZ1041" s="11">
        <f t="shared" si="4785"/>
        <v>0</v>
      </c>
      <c r="CA1041" s="11">
        <f t="shared" si="4785"/>
        <v>0</v>
      </c>
      <c r="CB1041" s="11">
        <f t="shared" si="4785"/>
        <v>0</v>
      </c>
      <c r="CC1041" s="25">
        <f t="shared" si="4785"/>
        <v>0</v>
      </c>
      <c r="CE1041" s="62">
        <f t="shared" ref="CE1041:CJ1041" si="4786">SUM(CE1037:CE1040)</f>
        <v>0</v>
      </c>
      <c r="CF1041" s="63">
        <f t="shared" si="4786"/>
        <v>0</v>
      </c>
      <c r="CG1041" s="63">
        <f t="shared" si="4786"/>
        <v>0</v>
      </c>
      <c r="CH1041" s="63">
        <f t="shared" si="4786"/>
        <v>0</v>
      </c>
      <c r="CI1041" s="63">
        <f t="shared" si="4786"/>
        <v>0</v>
      </c>
      <c r="CJ1041" s="25">
        <f t="shared" si="4786"/>
        <v>0</v>
      </c>
      <c r="CL1041" s="10">
        <f>SUM(CL1037:CL1040)</f>
        <v>0</v>
      </c>
      <c r="CM1041" s="11">
        <f t="shared" ref="CM1041:CQ1041" si="4787">SUM(CM1037:CM1040)</f>
        <v>0</v>
      </c>
      <c r="CN1041" s="11">
        <f t="shared" si="4787"/>
        <v>0</v>
      </c>
      <c r="CO1041" s="11">
        <f t="shared" si="4787"/>
        <v>0</v>
      </c>
      <c r="CP1041" s="11">
        <f t="shared" si="4787"/>
        <v>0</v>
      </c>
      <c r="CQ1041" s="25">
        <f t="shared" si="4787"/>
        <v>0</v>
      </c>
      <c r="CS1041" s="10">
        <f>SUM(CS1037:CS1040)</f>
        <v>0</v>
      </c>
      <c r="CT1041" s="11">
        <f t="shared" ref="CT1041:CW1041" si="4788">SUM(CT1037:CT1040)</f>
        <v>0</v>
      </c>
      <c r="CU1041" s="11">
        <f t="shared" si="4788"/>
        <v>0</v>
      </c>
      <c r="CV1041" s="11">
        <f t="shared" si="4788"/>
        <v>0</v>
      </c>
      <c r="CW1041" s="11">
        <f t="shared" si="4788"/>
        <v>0</v>
      </c>
      <c r="CX1041" s="25">
        <f>SUM(CX1037:CX1040)</f>
        <v>0</v>
      </c>
      <c r="CZ1041" s="10">
        <f>SUM(CZ1037:CZ1040)</f>
        <v>0</v>
      </c>
      <c r="DA1041" s="11">
        <f t="shared" ref="DA1041:DD1041" si="4789">SUM(DA1037:DA1040)</f>
        <v>0</v>
      </c>
      <c r="DB1041" s="11">
        <f t="shared" si="4789"/>
        <v>0</v>
      </c>
      <c r="DC1041" s="11">
        <f t="shared" si="4789"/>
        <v>0</v>
      </c>
      <c r="DD1041" s="11">
        <f t="shared" si="4789"/>
        <v>0</v>
      </c>
      <c r="DE1041" s="25">
        <f>SUM(DE1037:DE1040)</f>
        <v>0</v>
      </c>
    </row>
    <row r="1042" spans="3:109" ht="10.4" customHeight="1" thickBot="1"/>
    <row r="1043" spans="3:109">
      <c r="C1043" s="553">
        <v>2026</v>
      </c>
      <c r="E1043" s="1" t="s">
        <v>59</v>
      </c>
      <c r="F1043" s="21">
        <f>CE1037</f>
        <v>0</v>
      </c>
      <c r="G1043" s="22">
        <f t="shared" ref="G1043:G1046" si="4790">CF1037</f>
        <v>0</v>
      </c>
      <c r="H1043" s="22">
        <f t="shared" ref="H1043:H1046" si="4791">CG1037</f>
        <v>0</v>
      </c>
      <c r="I1043" s="22">
        <f t="shared" ref="I1043:I1046" si="4792">CH1037</f>
        <v>0</v>
      </c>
      <c r="J1043" s="22">
        <f t="shared" ref="J1043:J1046" si="4793">CI1037</f>
        <v>0</v>
      </c>
      <c r="K1043" s="4">
        <f>SUM(F1043:J1043)</f>
        <v>0</v>
      </c>
      <c r="M1043" s="2"/>
      <c r="N1043" s="3"/>
      <c r="O1043" s="3"/>
      <c r="P1043" s="3"/>
      <c r="Q1043" s="3"/>
      <c r="R1043" s="4">
        <f>SUM(M1043:Q1043)</f>
        <v>0</v>
      </c>
      <c r="T1043" s="2"/>
      <c r="U1043" s="3"/>
      <c r="V1043" s="3"/>
      <c r="W1043" s="3"/>
      <c r="X1043" s="3"/>
      <c r="Y1043" s="4">
        <f>SUM(T1043:X1043)</f>
        <v>0</v>
      </c>
      <c r="AA1043" s="2"/>
      <c r="AB1043" s="3"/>
      <c r="AC1043" s="3"/>
      <c r="AD1043" s="3"/>
      <c r="AE1043" s="3"/>
      <c r="AF1043" s="4">
        <f>SUM(AA1043:AE1043)</f>
        <v>0</v>
      </c>
      <c r="AH1043" s="2"/>
      <c r="AI1043" s="3"/>
      <c r="AJ1043" s="3"/>
      <c r="AK1043" s="3"/>
      <c r="AL1043" s="3"/>
      <c r="AM1043" s="4">
        <f>SUM(AH1043:AL1043)</f>
        <v>0</v>
      </c>
      <c r="AO1043" s="2"/>
      <c r="AP1043" s="3"/>
      <c r="AQ1043" s="3"/>
      <c r="AR1043" s="3"/>
      <c r="AS1043" s="3"/>
      <c r="AT1043" s="4">
        <f>SUM(AO1043:AS1043)</f>
        <v>0</v>
      </c>
      <c r="AV1043" s="2"/>
      <c r="AW1043" s="3"/>
      <c r="AX1043" s="3"/>
      <c r="AY1043" s="3"/>
      <c r="AZ1043" s="3"/>
      <c r="BA1043" s="4">
        <f>SUM(AV1043:AZ1043)</f>
        <v>0</v>
      </c>
      <c r="BC1043" s="2"/>
      <c r="BD1043" s="3"/>
      <c r="BE1043" s="3"/>
      <c r="BF1043" s="3"/>
      <c r="BG1043" s="3"/>
      <c r="BH1043" s="4">
        <f>SUM(BC1043:BG1043)</f>
        <v>0</v>
      </c>
      <c r="BJ1043" s="2"/>
      <c r="BK1043" s="3"/>
      <c r="BL1043" s="3"/>
      <c r="BM1043" s="3"/>
      <c r="BN1043" s="3"/>
      <c r="BO1043" s="4">
        <f>SUM(BJ1043:BN1043)</f>
        <v>0</v>
      </c>
      <c r="BQ1043" s="2"/>
      <c r="BR1043" s="3"/>
      <c r="BS1043" s="3"/>
      <c r="BT1043" s="3"/>
      <c r="BU1043" s="3"/>
      <c r="BV1043" s="4">
        <f>SUM(BQ1043:BU1043)</f>
        <v>0</v>
      </c>
      <c r="BX1043" s="2"/>
      <c r="BY1043" s="3"/>
      <c r="BZ1043" s="3"/>
      <c r="CA1043" s="3"/>
      <c r="CB1043" s="3"/>
      <c r="CC1043" s="4">
        <f>SUM(BX1043:CB1043)</f>
        <v>0</v>
      </c>
      <c r="CE1043" s="26">
        <f t="shared" ref="CE1043:CE1046" si="4794">F1043+M1043+T1043+AA1043+AH1043+AO1043+AV1043+BC1043+BJ1043+BQ1043+BX1043</f>
        <v>0</v>
      </c>
      <c r="CF1043" s="27">
        <f t="shared" ref="CF1043:CF1046" si="4795">G1043+N1043+U1043+AB1043+AI1043+AP1043+AW1043+BD1043+BK1043+BR1043+BY1043</f>
        <v>0</v>
      </c>
      <c r="CG1043" s="27">
        <f t="shared" ref="CG1043:CG1046" si="4796">H1043+O1043+V1043+AC1043+AJ1043+AQ1043+AX1043+BE1043+BL1043+BS1043+BZ1043</f>
        <v>0</v>
      </c>
      <c r="CH1043" s="27">
        <f t="shared" ref="CH1043:CH1046" si="4797">I1043+P1043+W1043+AD1043+AK1043+AR1043+AY1043+BF1043+BM1043+BT1043+CA1043</f>
        <v>0</v>
      </c>
      <c r="CI1043" s="27">
        <f t="shared" ref="CI1043:CI1046" si="4798">J1043+Q1043+X1043+AE1043+AL1043+AS1043+AZ1043+BG1043+BN1043+BU1043+CB1043</f>
        <v>0</v>
      </c>
      <c r="CJ1043" s="4">
        <f>SUM(CE1043:CI1043)</f>
        <v>0</v>
      </c>
      <c r="CL1043" s="2"/>
      <c r="CM1043" s="3"/>
      <c r="CN1043" s="3"/>
      <c r="CO1043" s="3"/>
      <c r="CP1043" s="3"/>
      <c r="CQ1043" s="4">
        <f>SUM(CL1043:CP1043)</f>
        <v>0</v>
      </c>
      <c r="CS1043" s="2"/>
      <c r="CT1043" s="3"/>
      <c r="CU1043" s="3"/>
      <c r="CV1043" s="3"/>
      <c r="CW1043" s="3"/>
      <c r="CX1043" s="4">
        <f>SUM(CS1043:CW1043)</f>
        <v>0</v>
      </c>
      <c r="CZ1043" s="2"/>
      <c r="DA1043" s="3"/>
      <c r="DB1043" s="3"/>
      <c r="DC1043" s="3"/>
      <c r="DD1043" s="3"/>
      <c r="DE1043" s="4">
        <f>SUM(CZ1043:DD1043)</f>
        <v>0</v>
      </c>
    </row>
    <row r="1044" spans="3:109">
      <c r="C1044" s="567"/>
      <c r="E1044" s="5" t="s">
        <v>60</v>
      </c>
      <c r="F1044" s="23">
        <f t="shared" ref="F1044:F1046" si="4799">CE1038</f>
        <v>0</v>
      </c>
      <c r="G1044" s="24">
        <f t="shared" si="4790"/>
        <v>0</v>
      </c>
      <c r="H1044" s="24">
        <f t="shared" si="4791"/>
        <v>0</v>
      </c>
      <c r="I1044" s="24">
        <f t="shared" si="4792"/>
        <v>0</v>
      </c>
      <c r="J1044" s="24">
        <f t="shared" si="4793"/>
        <v>0</v>
      </c>
      <c r="K1044" s="8">
        <f t="shared" ref="K1044:K1046" si="4800">SUM(F1044:J1044)</f>
        <v>0</v>
      </c>
      <c r="M1044" s="6"/>
      <c r="N1044" s="7"/>
      <c r="O1044" s="7"/>
      <c r="P1044" s="7"/>
      <c r="Q1044" s="7"/>
      <c r="R1044" s="8">
        <f t="shared" ref="R1044:R1046" si="4801">SUM(M1044:Q1044)</f>
        <v>0</v>
      </c>
      <c r="T1044" s="6"/>
      <c r="U1044" s="7"/>
      <c r="V1044" s="7"/>
      <c r="W1044" s="7"/>
      <c r="X1044" s="7"/>
      <c r="Y1044" s="8">
        <f t="shared" ref="Y1044:Y1046" si="4802">SUM(T1044:X1044)</f>
        <v>0</v>
      </c>
      <c r="AA1044" s="6"/>
      <c r="AB1044" s="7"/>
      <c r="AC1044" s="7"/>
      <c r="AD1044" s="7"/>
      <c r="AE1044" s="7"/>
      <c r="AF1044" s="8">
        <f>SUM(AA1044:AE1044)</f>
        <v>0</v>
      </c>
      <c r="AH1044" s="6"/>
      <c r="AI1044" s="7"/>
      <c r="AJ1044" s="7"/>
      <c r="AK1044" s="7"/>
      <c r="AL1044" s="7"/>
      <c r="AM1044" s="8">
        <f>SUM(AH1044:AL1044)</f>
        <v>0</v>
      </c>
      <c r="AO1044" s="6"/>
      <c r="AP1044" s="7"/>
      <c r="AQ1044" s="7"/>
      <c r="AR1044" s="7"/>
      <c r="AS1044" s="7"/>
      <c r="AT1044" s="8">
        <f>SUM(AO1044:AS1044)</f>
        <v>0</v>
      </c>
      <c r="AV1044" s="6"/>
      <c r="AW1044" s="7"/>
      <c r="AX1044" s="7"/>
      <c r="AY1044" s="7"/>
      <c r="AZ1044" s="7"/>
      <c r="BA1044" s="8">
        <f>SUM(AV1044:AZ1044)</f>
        <v>0</v>
      </c>
      <c r="BC1044" s="6"/>
      <c r="BD1044" s="7"/>
      <c r="BE1044" s="7"/>
      <c r="BF1044" s="7"/>
      <c r="BG1044" s="7"/>
      <c r="BH1044" s="8">
        <f>SUM(BC1044:BG1044)</f>
        <v>0</v>
      </c>
      <c r="BJ1044" s="6"/>
      <c r="BK1044" s="7"/>
      <c r="BL1044" s="7"/>
      <c r="BM1044" s="7"/>
      <c r="BN1044" s="7"/>
      <c r="BO1044" s="8">
        <f>SUM(BJ1044:BN1044)</f>
        <v>0</v>
      </c>
      <c r="BQ1044" s="6"/>
      <c r="BR1044" s="7"/>
      <c r="BS1044" s="7"/>
      <c r="BT1044" s="7"/>
      <c r="BU1044" s="7"/>
      <c r="BV1044" s="8">
        <f>SUM(BQ1044:BU1044)</f>
        <v>0</v>
      </c>
      <c r="BX1044" s="6"/>
      <c r="BY1044" s="7"/>
      <c r="BZ1044" s="7"/>
      <c r="CA1044" s="7"/>
      <c r="CB1044" s="7"/>
      <c r="CC1044" s="8">
        <f>SUM(BX1044:CB1044)</f>
        <v>0</v>
      </c>
      <c r="CE1044" s="28">
        <f t="shared" si="4794"/>
        <v>0</v>
      </c>
      <c r="CF1044" s="29">
        <f t="shared" si="4795"/>
        <v>0</v>
      </c>
      <c r="CG1044" s="29">
        <f t="shared" si="4796"/>
        <v>0</v>
      </c>
      <c r="CH1044" s="29">
        <f t="shared" si="4797"/>
        <v>0</v>
      </c>
      <c r="CI1044" s="29">
        <f t="shared" si="4798"/>
        <v>0</v>
      </c>
      <c r="CJ1044" s="8">
        <f>SUM(CE1044:CI1044)</f>
        <v>0</v>
      </c>
      <c r="CL1044" s="6"/>
      <c r="CM1044" s="7"/>
      <c r="CN1044" s="7"/>
      <c r="CO1044" s="7"/>
      <c r="CP1044" s="7"/>
      <c r="CQ1044" s="8">
        <f>SUM(CL1044:CP1044)</f>
        <v>0</v>
      </c>
      <c r="CS1044" s="6"/>
      <c r="CT1044" s="7"/>
      <c r="CU1044" s="7"/>
      <c r="CV1044" s="7"/>
      <c r="CW1044" s="7"/>
      <c r="CX1044" s="8">
        <f t="shared" ref="CX1044:CX1046" si="4803">SUM(CS1044:CW1044)</f>
        <v>0</v>
      </c>
      <c r="CZ1044" s="6"/>
      <c r="DA1044" s="7"/>
      <c r="DB1044" s="7"/>
      <c r="DC1044" s="7"/>
      <c r="DD1044" s="7"/>
      <c r="DE1044" s="8">
        <f t="shared" ref="DE1044:DE1046" si="4804">SUM(CZ1044:DD1044)</f>
        <v>0</v>
      </c>
    </row>
    <row r="1045" spans="3:109">
      <c r="C1045" s="567"/>
      <c r="E1045" s="5" t="s">
        <v>61</v>
      </c>
      <c r="F1045" s="23">
        <f t="shared" si="4799"/>
        <v>0</v>
      </c>
      <c r="G1045" s="24">
        <f t="shared" si="4790"/>
        <v>0</v>
      </c>
      <c r="H1045" s="24">
        <f t="shared" si="4791"/>
        <v>0</v>
      </c>
      <c r="I1045" s="24">
        <f t="shared" si="4792"/>
        <v>0</v>
      </c>
      <c r="J1045" s="24">
        <f t="shared" si="4793"/>
        <v>0</v>
      </c>
      <c r="K1045" s="8">
        <f t="shared" si="4800"/>
        <v>0</v>
      </c>
      <c r="M1045" s="6"/>
      <c r="N1045" s="7"/>
      <c r="O1045" s="7"/>
      <c r="P1045" s="7"/>
      <c r="Q1045" s="7"/>
      <c r="R1045" s="8">
        <f t="shared" si="4801"/>
        <v>0</v>
      </c>
      <c r="T1045" s="6"/>
      <c r="U1045" s="7"/>
      <c r="V1045" s="7"/>
      <c r="W1045" s="7"/>
      <c r="X1045" s="7"/>
      <c r="Y1045" s="8">
        <f t="shared" si="4802"/>
        <v>0</v>
      </c>
      <c r="AA1045" s="6"/>
      <c r="AB1045" s="7"/>
      <c r="AC1045" s="7"/>
      <c r="AD1045" s="7"/>
      <c r="AE1045" s="7"/>
      <c r="AF1045" s="8">
        <f>SUM(AA1045:AE1045)</f>
        <v>0</v>
      </c>
      <c r="AH1045" s="6"/>
      <c r="AI1045" s="7"/>
      <c r="AJ1045" s="7"/>
      <c r="AK1045" s="7"/>
      <c r="AL1045" s="7"/>
      <c r="AM1045" s="8">
        <f>SUM(AH1045:AL1045)</f>
        <v>0</v>
      </c>
      <c r="AO1045" s="6"/>
      <c r="AP1045" s="7"/>
      <c r="AQ1045" s="7"/>
      <c r="AR1045" s="7"/>
      <c r="AS1045" s="7"/>
      <c r="AT1045" s="8">
        <f>SUM(AO1045:AS1045)</f>
        <v>0</v>
      </c>
      <c r="AV1045" s="6"/>
      <c r="AW1045" s="7"/>
      <c r="AX1045" s="7"/>
      <c r="AY1045" s="7"/>
      <c r="AZ1045" s="7"/>
      <c r="BA1045" s="8">
        <f>SUM(AV1045:AZ1045)</f>
        <v>0</v>
      </c>
      <c r="BC1045" s="6"/>
      <c r="BD1045" s="7"/>
      <c r="BE1045" s="7"/>
      <c r="BF1045" s="7"/>
      <c r="BG1045" s="7"/>
      <c r="BH1045" s="8">
        <f>SUM(BC1045:BG1045)</f>
        <v>0</v>
      </c>
      <c r="BJ1045" s="6"/>
      <c r="BK1045" s="7"/>
      <c r="BL1045" s="7"/>
      <c r="BM1045" s="7"/>
      <c r="BN1045" s="7"/>
      <c r="BO1045" s="8">
        <f>SUM(BJ1045:BN1045)</f>
        <v>0</v>
      </c>
      <c r="BQ1045" s="6"/>
      <c r="BR1045" s="7"/>
      <c r="BS1045" s="7"/>
      <c r="BT1045" s="7"/>
      <c r="BU1045" s="7"/>
      <c r="BV1045" s="8">
        <f>SUM(BQ1045:BU1045)</f>
        <v>0</v>
      </c>
      <c r="BX1045" s="6"/>
      <c r="BY1045" s="7"/>
      <c r="BZ1045" s="7"/>
      <c r="CA1045" s="7"/>
      <c r="CB1045" s="7"/>
      <c r="CC1045" s="8">
        <f>SUM(BX1045:CB1045)</f>
        <v>0</v>
      </c>
      <c r="CE1045" s="28">
        <f t="shared" si="4794"/>
        <v>0</v>
      </c>
      <c r="CF1045" s="29">
        <f t="shared" si="4795"/>
        <v>0</v>
      </c>
      <c r="CG1045" s="29">
        <f t="shared" si="4796"/>
        <v>0</v>
      </c>
      <c r="CH1045" s="29">
        <f t="shared" si="4797"/>
        <v>0</v>
      </c>
      <c r="CI1045" s="29">
        <f t="shared" si="4798"/>
        <v>0</v>
      </c>
      <c r="CJ1045" s="8">
        <f>SUM(CE1045:CI1045)</f>
        <v>0</v>
      </c>
      <c r="CL1045" s="6"/>
      <c r="CM1045" s="7"/>
      <c r="CN1045" s="7"/>
      <c r="CO1045" s="7"/>
      <c r="CP1045" s="7"/>
      <c r="CQ1045" s="8">
        <f>SUM(CL1045:CP1045)</f>
        <v>0</v>
      </c>
      <c r="CS1045" s="6"/>
      <c r="CT1045" s="7"/>
      <c r="CU1045" s="7"/>
      <c r="CV1045" s="7"/>
      <c r="CW1045" s="7"/>
      <c r="CX1045" s="8">
        <f t="shared" si="4803"/>
        <v>0</v>
      </c>
      <c r="CZ1045" s="6"/>
      <c r="DA1045" s="7"/>
      <c r="DB1045" s="7"/>
      <c r="DC1045" s="7"/>
      <c r="DD1045" s="7"/>
      <c r="DE1045" s="8">
        <f t="shared" si="4804"/>
        <v>0</v>
      </c>
    </row>
    <row r="1046" spans="3:109" ht="14" thickBot="1">
      <c r="C1046" s="567"/>
      <c r="E1046" s="5" t="s">
        <v>62</v>
      </c>
      <c r="F1046" s="23">
        <f t="shared" si="4799"/>
        <v>0</v>
      </c>
      <c r="G1046" s="24">
        <f t="shared" si="4790"/>
        <v>0</v>
      </c>
      <c r="H1046" s="24">
        <f t="shared" si="4791"/>
        <v>0</v>
      </c>
      <c r="I1046" s="24">
        <f t="shared" si="4792"/>
        <v>0</v>
      </c>
      <c r="J1046" s="24">
        <f t="shared" si="4793"/>
        <v>0</v>
      </c>
      <c r="K1046" s="8">
        <f t="shared" si="4800"/>
        <v>0</v>
      </c>
      <c r="M1046" s="6"/>
      <c r="N1046" s="7"/>
      <c r="O1046" s="7"/>
      <c r="P1046" s="7"/>
      <c r="Q1046" s="7"/>
      <c r="R1046" s="8">
        <f t="shared" si="4801"/>
        <v>0</v>
      </c>
      <c r="T1046" s="6"/>
      <c r="U1046" s="7"/>
      <c r="V1046" s="7"/>
      <c r="W1046" s="7"/>
      <c r="X1046" s="7"/>
      <c r="Y1046" s="8">
        <f t="shared" si="4802"/>
        <v>0</v>
      </c>
      <c r="AA1046" s="6"/>
      <c r="AB1046" s="7"/>
      <c r="AC1046" s="7"/>
      <c r="AD1046" s="7"/>
      <c r="AE1046" s="7"/>
      <c r="AF1046" s="8">
        <f>SUM(AA1046:AE1046)</f>
        <v>0</v>
      </c>
      <c r="AH1046" s="6"/>
      <c r="AI1046" s="7"/>
      <c r="AJ1046" s="7"/>
      <c r="AK1046" s="7"/>
      <c r="AL1046" s="7"/>
      <c r="AM1046" s="8">
        <f>SUM(AH1046:AL1046)</f>
        <v>0</v>
      </c>
      <c r="AO1046" s="6"/>
      <c r="AP1046" s="7"/>
      <c r="AQ1046" s="7"/>
      <c r="AR1046" s="7"/>
      <c r="AS1046" s="7"/>
      <c r="AT1046" s="8">
        <f>SUM(AO1046:AS1046)</f>
        <v>0</v>
      </c>
      <c r="AV1046" s="6"/>
      <c r="AW1046" s="7"/>
      <c r="AX1046" s="7"/>
      <c r="AY1046" s="7"/>
      <c r="AZ1046" s="7"/>
      <c r="BA1046" s="8">
        <f>SUM(AV1046:AZ1046)</f>
        <v>0</v>
      </c>
      <c r="BC1046" s="6"/>
      <c r="BD1046" s="7"/>
      <c r="BE1046" s="7"/>
      <c r="BF1046" s="7"/>
      <c r="BG1046" s="7"/>
      <c r="BH1046" s="8">
        <f>SUM(BC1046:BG1046)</f>
        <v>0</v>
      </c>
      <c r="BJ1046" s="6"/>
      <c r="BK1046" s="7"/>
      <c r="BL1046" s="7"/>
      <c r="BM1046" s="7"/>
      <c r="BN1046" s="7"/>
      <c r="BO1046" s="8">
        <f>SUM(BJ1046:BN1046)</f>
        <v>0</v>
      </c>
      <c r="BQ1046" s="6"/>
      <c r="BR1046" s="7"/>
      <c r="BS1046" s="7"/>
      <c r="BT1046" s="7"/>
      <c r="BU1046" s="7"/>
      <c r="BV1046" s="8">
        <f>SUM(BQ1046:BU1046)</f>
        <v>0</v>
      </c>
      <c r="BX1046" s="6"/>
      <c r="BY1046" s="7"/>
      <c r="BZ1046" s="7"/>
      <c r="CA1046" s="7"/>
      <c r="CB1046" s="7"/>
      <c r="CC1046" s="8">
        <f>SUM(BX1046:CB1046)</f>
        <v>0</v>
      </c>
      <c r="CE1046" s="493">
        <f t="shared" si="4794"/>
        <v>0</v>
      </c>
      <c r="CF1046" s="494">
        <f t="shared" si="4795"/>
        <v>0</v>
      </c>
      <c r="CG1046" s="494">
        <f t="shared" si="4796"/>
        <v>0</v>
      </c>
      <c r="CH1046" s="494">
        <f t="shared" si="4797"/>
        <v>0</v>
      </c>
      <c r="CI1046" s="494">
        <f t="shared" si="4798"/>
        <v>0</v>
      </c>
      <c r="CJ1046" s="495">
        <f>SUM(CE1046:CI1046)</f>
        <v>0</v>
      </c>
      <c r="CL1046" s="6"/>
      <c r="CM1046" s="7"/>
      <c r="CN1046" s="7"/>
      <c r="CO1046" s="7"/>
      <c r="CP1046" s="7"/>
      <c r="CQ1046" s="8">
        <f>SUM(CL1046:CP1046)</f>
        <v>0</v>
      </c>
      <c r="CS1046" s="6"/>
      <c r="CT1046" s="7"/>
      <c r="CU1046" s="7"/>
      <c r="CV1046" s="7"/>
      <c r="CW1046" s="7"/>
      <c r="CX1046" s="8">
        <f t="shared" si="4803"/>
        <v>0</v>
      </c>
      <c r="CZ1046" s="6"/>
      <c r="DA1046" s="7"/>
      <c r="DB1046" s="7"/>
      <c r="DC1046" s="7"/>
      <c r="DD1046" s="7"/>
      <c r="DE1046" s="8">
        <f t="shared" si="4804"/>
        <v>0</v>
      </c>
    </row>
    <row r="1047" spans="3:109" ht="14" thickBot="1">
      <c r="C1047" s="554"/>
      <c r="E1047" s="9"/>
      <c r="F1047" s="10">
        <f>SUM(F1043:F1046)</f>
        <v>0</v>
      </c>
      <c r="G1047" s="11">
        <f t="shared" ref="G1047:J1047" si="4805">SUM(G1043:G1046)</f>
        <v>0</v>
      </c>
      <c r="H1047" s="11">
        <f t="shared" si="4805"/>
        <v>0</v>
      </c>
      <c r="I1047" s="11">
        <f t="shared" si="4805"/>
        <v>0</v>
      </c>
      <c r="J1047" s="11">
        <f t="shared" si="4805"/>
        <v>0</v>
      </c>
      <c r="K1047" s="25">
        <f>SUM(K1043:K1046)</f>
        <v>0</v>
      </c>
      <c r="M1047" s="10">
        <f>SUM(M1043:M1046)</f>
        <v>0</v>
      </c>
      <c r="N1047" s="11">
        <f t="shared" ref="N1047:Q1047" si="4806">SUM(N1043:N1046)</f>
        <v>0</v>
      </c>
      <c r="O1047" s="11">
        <f t="shared" si="4806"/>
        <v>0</v>
      </c>
      <c r="P1047" s="11">
        <f t="shared" si="4806"/>
        <v>0</v>
      </c>
      <c r="Q1047" s="11">
        <f t="shared" si="4806"/>
        <v>0</v>
      </c>
      <c r="R1047" s="25">
        <f>SUM(R1043:R1046)</f>
        <v>0</v>
      </c>
      <c r="T1047" s="10">
        <f>SUM(T1043:T1046)</f>
        <v>0</v>
      </c>
      <c r="U1047" s="11">
        <f t="shared" ref="U1047:X1047" si="4807">SUM(U1043:U1046)</f>
        <v>0</v>
      </c>
      <c r="V1047" s="11">
        <f t="shared" si="4807"/>
        <v>0</v>
      </c>
      <c r="W1047" s="11">
        <f t="shared" si="4807"/>
        <v>0</v>
      </c>
      <c r="X1047" s="11">
        <f t="shared" si="4807"/>
        <v>0</v>
      </c>
      <c r="Y1047" s="25">
        <f>SUM(Y1043:Y1046)</f>
        <v>0</v>
      </c>
      <c r="AA1047" s="10">
        <f>SUM(AA1043:AA1046)</f>
        <v>0</v>
      </c>
      <c r="AB1047" s="11">
        <f t="shared" ref="AB1047:AE1047" si="4808">SUM(AB1043:AB1046)</f>
        <v>0</v>
      </c>
      <c r="AC1047" s="11">
        <f t="shared" si="4808"/>
        <v>0</v>
      </c>
      <c r="AD1047" s="11">
        <f t="shared" si="4808"/>
        <v>0</v>
      </c>
      <c r="AE1047" s="11">
        <f t="shared" si="4808"/>
        <v>0</v>
      </c>
      <c r="AF1047" s="25">
        <f>SUM(AF1043:AF1046)</f>
        <v>0</v>
      </c>
      <c r="AH1047" s="10">
        <f t="shared" ref="AH1047:AM1047" si="4809">SUM(AH1043:AH1046)</f>
        <v>0</v>
      </c>
      <c r="AI1047" s="11">
        <f t="shared" si="4809"/>
        <v>0</v>
      </c>
      <c r="AJ1047" s="11">
        <f t="shared" si="4809"/>
        <v>0</v>
      </c>
      <c r="AK1047" s="11">
        <f t="shared" si="4809"/>
        <v>0</v>
      </c>
      <c r="AL1047" s="11">
        <f t="shared" si="4809"/>
        <v>0</v>
      </c>
      <c r="AM1047" s="25">
        <f t="shared" si="4809"/>
        <v>0</v>
      </c>
      <c r="AO1047" s="10">
        <f t="shared" ref="AO1047:AT1047" si="4810">SUM(AO1043:AO1046)</f>
        <v>0</v>
      </c>
      <c r="AP1047" s="11">
        <f t="shared" si="4810"/>
        <v>0</v>
      </c>
      <c r="AQ1047" s="11">
        <f t="shared" si="4810"/>
        <v>0</v>
      </c>
      <c r="AR1047" s="11">
        <f t="shared" si="4810"/>
        <v>0</v>
      </c>
      <c r="AS1047" s="11">
        <f t="shared" si="4810"/>
        <v>0</v>
      </c>
      <c r="AT1047" s="25">
        <f t="shared" si="4810"/>
        <v>0</v>
      </c>
      <c r="AV1047" s="10">
        <f t="shared" ref="AV1047:BA1047" si="4811">SUM(AV1043:AV1046)</f>
        <v>0</v>
      </c>
      <c r="AW1047" s="11">
        <f t="shared" si="4811"/>
        <v>0</v>
      </c>
      <c r="AX1047" s="11">
        <f t="shared" si="4811"/>
        <v>0</v>
      </c>
      <c r="AY1047" s="11">
        <f t="shared" si="4811"/>
        <v>0</v>
      </c>
      <c r="AZ1047" s="11">
        <f t="shared" si="4811"/>
        <v>0</v>
      </c>
      <c r="BA1047" s="25">
        <f t="shared" si="4811"/>
        <v>0</v>
      </c>
      <c r="BC1047" s="10">
        <f t="shared" ref="BC1047:BH1047" si="4812">SUM(BC1043:BC1046)</f>
        <v>0</v>
      </c>
      <c r="BD1047" s="11">
        <f t="shared" si="4812"/>
        <v>0</v>
      </c>
      <c r="BE1047" s="11">
        <f t="shared" si="4812"/>
        <v>0</v>
      </c>
      <c r="BF1047" s="11">
        <f t="shared" si="4812"/>
        <v>0</v>
      </c>
      <c r="BG1047" s="11">
        <f t="shared" si="4812"/>
        <v>0</v>
      </c>
      <c r="BH1047" s="25">
        <f t="shared" si="4812"/>
        <v>0</v>
      </c>
      <c r="BJ1047" s="10">
        <f t="shared" ref="BJ1047:BO1047" si="4813">SUM(BJ1043:BJ1046)</f>
        <v>0</v>
      </c>
      <c r="BK1047" s="11">
        <f t="shared" si="4813"/>
        <v>0</v>
      </c>
      <c r="BL1047" s="11">
        <f t="shared" si="4813"/>
        <v>0</v>
      </c>
      <c r="BM1047" s="11">
        <f t="shared" si="4813"/>
        <v>0</v>
      </c>
      <c r="BN1047" s="11">
        <f t="shared" si="4813"/>
        <v>0</v>
      </c>
      <c r="BO1047" s="25">
        <f t="shared" si="4813"/>
        <v>0</v>
      </c>
      <c r="BQ1047" s="10">
        <f t="shared" ref="BQ1047:BV1047" si="4814">SUM(BQ1043:BQ1046)</f>
        <v>0</v>
      </c>
      <c r="BR1047" s="11">
        <f t="shared" si="4814"/>
        <v>0</v>
      </c>
      <c r="BS1047" s="11">
        <f t="shared" si="4814"/>
        <v>0</v>
      </c>
      <c r="BT1047" s="11">
        <f t="shared" si="4814"/>
        <v>0</v>
      </c>
      <c r="BU1047" s="11">
        <f t="shared" si="4814"/>
        <v>0</v>
      </c>
      <c r="BV1047" s="25">
        <f t="shared" si="4814"/>
        <v>0</v>
      </c>
      <c r="BX1047" s="10">
        <f t="shared" ref="BX1047:CC1047" si="4815">SUM(BX1043:BX1046)</f>
        <v>0</v>
      </c>
      <c r="BY1047" s="11">
        <f t="shared" si="4815"/>
        <v>0</v>
      </c>
      <c r="BZ1047" s="11">
        <f t="shared" si="4815"/>
        <v>0</v>
      </c>
      <c r="CA1047" s="11">
        <f t="shared" si="4815"/>
        <v>0</v>
      </c>
      <c r="CB1047" s="11">
        <f t="shared" si="4815"/>
        <v>0</v>
      </c>
      <c r="CC1047" s="25">
        <f t="shared" si="4815"/>
        <v>0</v>
      </c>
      <c r="CE1047" s="62">
        <f t="shared" ref="CE1047:CJ1047" si="4816">SUM(CE1043:CE1046)</f>
        <v>0</v>
      </c>
      <c r="CF1047" s="63">
        <f t="shared" si="4816"/>
        <v>0</v>
      </c>
      <c r="CG1047" s="63">
        <f t="shared" si="4816"/>
        <v>0</v>
      </c>
      <c r="CH1047" s="63">
        <f t="shared" si="4816"/>
        <v>0</v>
      </c>
      <c r="CI1047" s="63">
        <f t="shared" si="4816"/>
        <v>0</v>
      </c>
      <c r="CJ1047" s="25">
        <f t="shared" si="4816"/>
        <v>0</v>
      </c>
      <c r="CL1047" s="10">
        <f>SUM(CL1043:CL1046)</f>
        <v>0</v>
      </c>
      <c r="CM1047" s="11">
        <f t="shared" ref="CM1047:CQ1047" si="4817">SUM(CM1043:CM1046)</f>
        <v>0</v>
      </c>
      <c r="CN1047" s="11">
        <f t="shared" si="4817"/>
        <v>0</v>
      </c>
      <c r="CO1047" s="11">
        <f t="shared" si="4817"/>
        <v>0</v>
      </c>
      <c r="CP1047" s="11">
        <f t="shared" si="4817"/>
        <v>0</v>
      </c>
      <c r="CQ1047" s="25">
        <f t="shared" si="4817"/>
        <v>0</v>
      </c>
      <c r="CS1047" s="10">
        <f>SUM(CS1043:CS1046)</f>
        <v>0</v>
      </c>
      <c r="CT1047" s="11">
        <f t="shared" ref="CT1047:CW1047" si="4818">SUM(CT1043:CT1046)</f>
        <v>0</v>
      </c>
      <c r="CU1047" s="11">
        <f t="shared" si="4818"/>
        <v>0</v>
      </c>
      <c r="CV1047" s="11">
        <f t="shared" si="4818"/>
        <v>0</v>
      </c>
      <c r="CW1047" s="11">
        <f t="shared" si="4818"/>
        <v>0</v>
      </c>
      <c r="CX1047" s="25">
        <f>SUM(CX1043:CX1046)</f>
        <v>0</v>
      </c>
      <c r="CZ1047" s="10">
        <f>SUM(CZ1043:CZ1046)</f>
        <v>0</v>
      </c>
      <c r="DA1047" s="11">
        <f t="shared" ref="DA1047:DD1047" si="4819">SUM(DA1043:DA1046)</f>
        <v>0</v>
      </c>
      <c r="DB1047" s="11">
        <f t="shared" si="4819"/>
        <v>0</v>
      </c>
      <c r="DC1047" s="11">
        <f t="shared" si="4819"/>
        <v>0</v>
      </c>
      <c r="DD1047" s="11">
        <f t="shared" si="4819"/>
        <v>0</v>
      </c>
      <c r="DE1047" s="25">
        <f>SUM(DE1043:DE1046)</f>
        <v>0</v>
      </c>
    </row>
    <row r="1048" spans="3:109" ht="10.4" customHeight="1" thickBot="1"/>
    <row r="1049" spans="3:109">
      <c r="C1049" s="553">
        <v>2027</v>
      </c>
      <c r="E1049" s="1" t="s">
        <v>59</v>
      </c>
      <c r="F1049" s="21">
        <f>CE1043</f>
        <v>0</v>
      </c>
      <c r="G1049" s="22">
        <f t="shared" ref="G1049:G1052" si="4820">CF1043</f>
        <v>0</v>
      </c>
      <c r="H1049" s="22">
        <f t="shared" ref="H1049:H1052" si="4821">CG1043</f>
        <v>0</v>
      </c>
      <c r="I1049" s="22">
        <f t="shared" ref="I1049:I1052" si="4822">CH1043</f>
        <v>0</v>
      </c>
      <c r="J1049" s="22">
        <f t="shared" ref="J1049:J1052" si="4823">CI1043</f>
        <v>0</v>
      </c>
      <c r="K1049" s="4">
        <f>SUM(F1049:J1049)</f>
        <v>0</v>
      </c>
      <c r="M1049" s="2"/>
      <c r="N1049" s="3"/>
      <c r="O1049" s="3"/>
      <c r="P1049" s="3"/>
      <c r="Q1049" s="3"/>
      <c r="R1049" s="4">
        <f>SUM(M1049:Q1049)</f>
        <v>0</v>
      </c>
      <c r="T1049" s="2"/>
      <c r="U1049" s="3"/>
      <c r="V1049" s="3"/>
      <c r="W1049" s="3"/>
      <c r="X1049" s="3"/>
      <c r="Y1049" s="4">
        <f>SUM(T1049:X1049)</f>
        <v>0</v>
      </c>
      <c r="AA1049" s="2"/>
      <c r="AB1049" s="3"/>
      <c r="AC1049" s="3"/>
      <c r="AD1049" s="3"/>
      <c r="AE1049" s="3"/>
      <c r="AF1049" s="4">
        <f>SUM(AA1049:AE1049)</f>
        <v>0</v>
      </c>
      <c r="AH1049" s="2"/>
      <c r="AI1049" s="3"/>
      <c r="AJ1049" s="3"/>
      <c r="AK1049" s="3"/>
      <c r="AL1049" s="3"/>
      <c r="AM1049" s="4">
        <f>SUM(AH1049:AL1049)</f>
        <v>0</v>
      </c>
      <c r="AO1049" s="2"/>
      <c r="AP1049" s="3"/>
      <c r="AQ1049" s="3"/>
      <c r="AR1049" s="3"/>
      <c r="AS1049" s="3"/>
      <c r="AT1049" s="4">
        <f>SUM(AO1049:AS1049)</f>
        <v>0</v>
      </c>
      <c r="AV1049" s="2"/>
      <c r="AW1049" s="3"/>
      <c r="AX1049" s="3"/>
      <c r="AY1049" s="3"/>
      <c r="AZ1049" s="3"/>
      <c r="BA1049" s="4">
        <f>SUM(AV1049:AZ1049)</f>
        <v>0</v>
      </c>
      <c r="BC1049" s="2"/>
      <c r="BD1049" s="3"/>
      <c r="BE1049" s="3"/>
      <c r="BF1049" s="3"/>
      <c r="BG1049" s="3"/>
      <c r="BH1049" s="4">
        <f>SUM(BC1049:BG1049)</f>
        <v>0</v>
      </c>
      <c r="BJ1049" s="2"/>
      <c r="BK1049" s="3"/>
      <c r="BL1049" s="3"/>
      <c r="BM1049" s="3"/>
      <c r="BN1049" s="3"/>
      <c r="BO1049" s="4">
        <f>SUM(BJ1049:BN1049)</f>
        <v>0</v>
      </c>
      <c r="BQ1049" s="2"/>
      <c r="BR1049" s="3"/>
      <c r="BS1049" s="3"/>
      <c r="BT1049" s="3"/>
      <c r="BU1049" s="3"/>
      <c r="BV1049" s="4">
        <f>SUM(BQ1049:BU1049)</f>
        <v>0</v>
      </c>
      <c r="BX1049" s="2"/>
      <c r="BY1049" s="3"/>
      <c r="BZ1049" s="3"/>
      <c r="CA1049" s="3"/>
      <c r="CB1049" s="3"/>
      <c r="CC1049" s="4">
        <f>SUM(BX1049:CB1049)</f>
        <v>0</v>
      </c>
      <c r="CE1049" s="26">
        <f t="shared" ref="CE1049:CE1052" si="4824">F1049+M1049+T1049+AA1049+AH1049+AO1049+AV1049+BC1049+BJ1049+BQ1049+BX1049</f>
        <v>0</v>
      </c>
      <c r="CF1049" s="27">
        <f t="shared" ref="CF1049:CF1052" si="4825">G1049+N1049+U1049+AB1049+AI1049+AP1049+AW1049+BD1049+BK1049+BR1049+BY1049</f>
        <v>0</v>
      </c>
      <c r="CG1049" s="27">
        <f t="shared" ref="CG1049:CG1052" si="4826">H1049+O1049+V1049+AC1049+AJ1049+AQ1049+AX1049+BE1049+BL1049+BS1049+BZ1049</f>
        <v>0</v>
      </c>
      <c r="CH1049" s="27">
        <f t="shared" ref="CH1049:CH1052" si="4827">I1049+P1049+W1049+AD1049+AK1049+AR1049+AY1049+BF1049+BM1049+BT1049+CA1049</f>
        <v>0</v>
      </c>
      <c r="CI1049" s="27">
        <f t="shared" ref="CI1049:CI1052" si="4828">J1049+Q1049+X1049+AE1049+AL1049+AS1049+AZ1049+BG1049+BN1049+BU1049+CB1049</f>
        <v>0</v>
      </c>
      <c r="CJ1049" s="4">
        <f>SUM(CE1049:CI1049)</f>
        <v>0</v>
      </c>
      <c r="CL1049" s="2"/>
      <c r="CM1049" s="3"/>
      <c r="CN1049" s="3"/>
      <c r="CO1049" s="3"/>
      <c r="CP1049" s="3"/>
      <c r="CQ1049" s="4">
        <f>SUM(CL1049:CP1049)</f>
        <v>0</v>
      </c>
      <c r="CS1049" s="2"/>
      <c r="CT1049" s="3"/>
      <c r="CU1049" s="3"/>
      <c r="CV1049" s="3"/>
      <c r="CW1049" s="3"/>
      <c r="CX1049" s="4">
        <f>SUM(CS1049:CW1049)</f>
        <v>0</v>
      </c>
      <c r="CZ1049" s="2"/>
      <c r="DA1049" s="3"/>
      <c r="DB1049" s="3"/>
      <c r="DC1049" s="3"/>
      <c r="DD1049" s="3"/>
      <c r="DE1049" s="4">
        <f>SUM(CZ1049:DD1049)</f>
        <v>0</v>
      </c>
    </row>
    <row r="1050" spans="3:109">
      <c r="C1050" s="567"/>
      <c r="E1050" s="5" t="s">
        <v>60</v>
      </c>
      <c r="F1050" s="23">
        <f t="shared" ref="F1050:F1052" si="4829">CE1044</f>
        <v>0</v>
      </c>
      <c r="G1050" s="24">
        <f t="shared" si="4820"/>
        <v>0</v>
      </c>
      <c r="H1050" s="24">
        <f t="shared" si="4821"/>
        <v>0</v>
      </c>
      <c r="I1050" s="24">
        <f t="shared" si="4822"/>
        <v>0</v>
      </c>
      <c r="J1050" s="24">
        <f t="shared" si="4823"/>
        <v>0</v>
      </c>
      <c r="K1050" s="8">
        <f t="shared" ref="K1050:K1052" si="4830">SUM(F1050:J1050)</f>
        <v>0</v>
      </c>
      <c r="M1050" s="6"/>
      <c r="N1050" s="7"/>
      <c r="O1050" s="7"/>
      <c r="P1050" s="7"/>
      <c r="Q1050" s="7"/>
      <c r="R1050" s="8">
        <f t="shared" ref="R1050:R1052" si="4831">SUM(M1050:Q1050)</f>
        <v>0</v>
      </c>
      <c r="T1050" s="6"/>
      <c r="U1050" s="7"/>
      <c r="V1050" s="7"/>
      <c r="W1050" s="7"/>
      <c r="X1050" s="7"/>
      <c r="Y1050" s="8">
        <f t="shared" ref="Y1050:Y1052" si="4832">SUM(T1050:X1050)</f>
        <v>0</v>
      </c>
      <c r="AA1050" s="6"/>
      <c r="AB1050" s="7"/>
      <c r="AC1050" s="7"/>
      <c r="AD1050" s="7"/>
      <c r="AE1050" s="7"/>
      <c r="AF1050" s="8">
        <f>SUM(AA1050:AE1050)</f>
        <v>0</v>
      </c>
      <c r="AH1050" s="6"/>
      <c r="AI1050" s="7"/>
      <c r="AJ1050" s="7"/>
      <c r="AK1050" s="7"/>
      <c r="AL1050" s="7"/>
      <c r="AM1050" s="8">
        <f>SUM(AH1050:AL1050)</f>
        <v>0</v>
      </c>
      <c r="AO1050" s="6"/>
      <c r="AP1050" s="7"/>
      <c r="AQ1050" s="7"/>
      <c r="AR1050" s="7"/>
      <c r="AS1050" s="7"/>
      <c r="AT1050" s="8">
        <f>SUM(AO1050:AS1050)</f>
        <v>0</v>
      </c>
      <c r="AV1050" s="6"/>
      <c r="AW1050" s="7"/>
      <c r="AX1050" s="7"/>
      <c r="AY1050" s="7"/>
      <c r="AZ1050" s="7"/>
      <c r="BA1050" s="8">
        <f>SUM(AV1050:AZ1050)</f>
        <v>0</v>
      </c>
      <c r="BC1050" s="6"/>
      <c r="BD1050" s="7"/>
      <c r="BE1050" s="7"/>
      <c r="BF1050" s="7"/>
      <c r="BG1050" s="7"/>
      <c r="BH1050" s="8">
        <f>SUM(BC1050:BG1050)</f>
        <v>0</v>
      </c>
      <c r="BJ1050" s="6"/>
      <c r="BK1050" s="7"/>
      <c r="BL1050" s="7"/>
      <c r="BM1050" s="7"/>
      <c r="BN1050" s="7"/>
      <c r="BO1050" s="8">
        <f>SUM(BJ1050:BN1050)</f>
        <v>0</v>
      </c>
      <c r="BQ1050" s="6"/>
      <c r="BR1050" s="7"/>
      <c r="BS1050" s="7"/>
      <c r="BT1050" s="7"/>
      <c r="BU1050" s="7"/>
      <c r="BV1050" s="8">
        <f>SUM(BQ1050:BU1050)</f>
        <v>0</v>
      </c>
      <c r="BX1050" s="6"/>
      <c r="BY1050" s="7"/>
      <c r="BZ1050" s="7"/>
      <c r="CA1050" s="7"/>
      <c r="CB1050" s="7"/>
      <c r="CC1050" s="8">
        <f>SUM(BX1050:CB1050)</f>
        <v>0</v>
      </c>
      <c r="CE1050" s="28">
        <f t="shared" si="4824"/>
        <v>0</v>
      </c>
      <c r="CF1050" s="29">
        <f t="shared" si="4825"/>
        <v>0</v>
      </c>
      <c r="CG1050" s="29">
        <f t="shared" si="4826"/>
        <v>0</v>
      </c>
      <c r="CH1050" s="29">
        <f t="shared" si="4827"/>
        <v>0</v>
      </c>
      <c r="CI1050" s="29">
        <f t="shared" si="4828"/>
        <v>0</v>
      </c>
      <c r="CJ1050" s="8">
        <f>SUM(CE1050:CI1050)</f>
        <v>0</v>
      </c>
      <c r="CL1050" s="6"/>
      <c r="CM1050" s="7"/>
      <c r="CN1050" s="7"/>
      <c r="CO1050" s="7"/>
      <c r="CP1050" s="7"/>
      <c r="CQ1050" s="8">
        <f>SUM(CL1050:CP1050)</f>
        <v>0</v>
      </c>
      <c r="CS1050" s="6"/>
      <c r="CT1050" s="7"/>
      <c r="CU1050" s="7"/>
      <c r="CV1050" s="7"/>
      <c r="CW1050" s="7"/>
      <c r="CX1050" s="8">
        <f t="shared" ref="CX1050:CX1052" si="4833">SUM(CS1050:CW1050)</f>
        <v>0</v>
      </c>
      <c r="CZ1050" s="6"/>
      <c r="DA1050" s="7"/>
      <c r="DB1050" s="7"/>
      <c r="DC1050" s="7"/>
      <c r="DD1050" s="7"/>
      <c r="DE1050" s="8">
        <f t="shared" ref="DE1050:DE1052" si="4834">SUM(CZ1050:DD1050)</f>
        <v>0</v>
      </c>
    </row>
    <row r="1051" spans="3:109">
      <c r="C1051" s="567"/>
      <c r="E1051" s="5" t="s">
        <v>61</v>
      </c>
      <c r="F1051" s="23">
        <f t="shared" si="4829"/>
        <v>0</v>
      </c>
      <c r="G1051" s="24">
        <f t="shared" si="4820"/>
        <v>0</v>
      </c>
      <c r="H1051" s="24">
        <f t="shared" si="4821"/>
        <v>0</v>
      </c>
      <c r="I1051" s="24">
        <f t="shared" si="4822"/>
        <v>0</v>
      </c>
      <c r="J1051" s="24">
        <f t="shared" si="4823"/>
        <v>0</v>
      </c>
      <c r="K1051" s="8">
        <f t="shared" si="4830"/>
        <v>0</v>
      </c>
      <c r="M1051" s="6"/>
      <c r="N1051" s="7"/>
      <c r="O1051" s="7"/>
      <c r="P1051" s="7"/>
      <c r="Q1051" s="7"/>
      <c r="R1051" s="8">
        <f t="shared" si="4831"/>
        <v>0</v>
      </c>
      <c r="T1051" s="6"/>
      <c r="U1051" s="7"/>
      <c r="V1051" s="7"/>
      <c r="W1051" s="7"/>
      <c r="X1051" s="7"/>
      <c r="Y1051" s="8">
        <f t="shared" si="4832"/>
        <v>0</v>
      </c>
      <c r="AA1051" s="6"/>
      <c r="AB1051" s="7"/>
      <c r="AC1051" s="7"/>
      <c r="AD1051" s="7"/>
      <c r="AE1051" s="7"/>
      <c r="AF1051" s="8">
        <f>SUM(AA1051:AE1051)</f>
        <v>0</v>
      </c>
      <c r="AH1051" s="6"/>
      <c r="AI1051" s="7"/>
      <c r="AJ1051" s="7"/>
      <c r="AK1051" s="7"/>
      <c r="AL1051" s="7"/>
      <c r="AM1051" s="8">
        <f>SUM(AH1051:AL1051)</f>
        <v>0</v>
      </c>
      <c r="AO1051" s="6"/>
      <c r="AP1051" s="7"/>
      <c r="AQ1051" s="7"/>
      <c r="AR1051" s="7"/>
      <c r="AS1051" s="7"/>
      <c r="AT1051" s="8">
        <f>SUM(AO1051:AS1051)</f>
        <v>0</v>
      </c>
      <c r="AV1051" s="6"/>
      <c r="AW1051" s="7"/>
      <c r="AX1051" s="7"/>
      <c r="AY1051" s="7"/>
      <c r="AZ1051" s="7"/>
      <c r="BA1051" s="8">
        <f>SUM(AV1051:AZ1051)</f>
        <v>0</v>
      </c>
      <c r="BC1051" s="6"/>
      <c r="BD1051" s="7"/>
      <c r="BE1051" s="7"/>
      <c r="BF1051" s="7"/>
      <c r="BG1051" s="7"/>
      <c r="BH1051" s="8">
        <f>SUM(BC1051:BG1051)</f>
        <v>0</v>
      </c>
      <c r="BJ1051" s="6"/>
      <c r="BK1051" s="7"/>
      <c r="BL1051" s="7"/>
      <c r="BM1051" s="7"/>
      <c r="BN1051" s="7"/>
      <c r="BO1051" s="8">
        <f>SUM(BJ1051:BN1051)</f>
        <v>0</v>
      </c>
      <c r="BQ1051" s="6"/>
      <c r="BR1051" s="7"/>
      <c r="BS1051" s="7"/>
      <c r="BT1051" s="7"/>
      <c r="BU1051" s="7"/>
      <c r="BV1051" s="8">
        <f>SUM(BQ1051:BU1051)</f>
        <v>0</v>
      </c>
      <c r="BX1051" s="6"/>
      <c r="BY1051" s="7"/>
      <c r="BZ1051" s="7"/>
      <c r="CA1051" s="7"/>
      <c r="CB1051" s="7"/>
      <c r="CC1051" s="8">
        <f>SUM(BX1051:CB1051)</f>
        <v>0</v>
      </c>
      <c r="CE1051" s="28">
        <f t="shared" si="4824"/>
        <v>0</v>
      </c>
      <c r="CF1051" s="29">
        <f t="shared" si="4825"/>
        <v>0</v>
      </c>
      <c r="CG1051" s="29">
        <f t="shared" si="4826"/>
        <v>0</v>
      </c>
      <c r="CH1051" s="29">
        <f t="shared" si="4827"/>
        <v>0</v>
      </c>
      <c r="CI1051" s="29">
        <f t="shared" si="4828"/>
        <v>0</v>
      </c>
      <c r="CJ1051" s="8">
        <f>SUM(CE1051:CI1051)</f>
        <v>0</v>
      </c>
      <c r="CL1051" s="6"/>
      <c r="CM1051" s="7"/>
      <c r="CN1051" s="7"/>
      <c r="CO1051" s="7"/>
      <c r="CP1051" s="7"/>
      <c r="CQ1051" s="8">
        <f>SUM(CL1051:CP1051)</f>
        <v>0</v>
      </c>
      <c r="CS1051" s="6"/>
      <c r="CT1051" s="7"/>
      <c r="CU1051" s="7"/>
      <c r="CV1051" s="7"/>
      <c r="CW1051" s="7"/>
      <c r="CX1051" s="8">
        <f t="shared" si="4833"/>
        <v>0</v>
      </c>
      <c r="CZ1051" s="6"/>
      <c r="DA1051" s="7"/>
      <c r="DB1051" s="7"/>
      <c r="DC1051" s="7"/>
      <c r="DD1051" s="7"/>
      <c r="DE1051" s="8">
        <f t="shared" si="4834"/>
        <v>0</v>
      </c>
    </row>
    <row r="1052" spans="3:109" ht="14" thickBot="1">
      <c r="C1052" s="567"/>
      <c r="E1052" s="5" t="s">
        <v>62</v>
      </c>
      <c r="F1052" s="23">
        <f t="shared" si="4829"/>
        <v>0</v>
      </c>
      <c r="G1052" s="24">
        <f t="shared" si="4820"/>
        <v>0</v>
      </c>
      <c r="H1052" s="24">
        <f t="shared" si="4821"/>
        <v>0</v>
      </c>
      <c r="I1052" s="24">
        <f t="shared" si="4822"/>
        <v>0</v>
      </c>
      <c r="J1052" s="24">
        <f t="shared" si="4823"/>
        <v>0</v>
      </c>
      <c r="K1052" s="8">
        <f t="shared" si="4830"/>
        <v>0</v>
      </c>
      <c r="M1052" s="6"/>
      <c r="N1052" s="7"/>
      <c r="O1052" s="7"/>
      <c r="P1052" s="7"/>
      <c r="Q1052" s="7"/>
      <c r="R1052" s="8">
        <f t="shared" si="4831"/>
        <v>0</v>
      </c>
      <c r="T1052" s="6"/>
      <c r="U1052" s="7"/>
      <c r="V1052" s="7"/>
      <c r="W1052" s="7"/>
      <c r="X1052" s="7"/>
      <c r="Y1052" s="8">
        <f t="shared" si="4832"/>
        <v>0</v>
      </c>
      <c r="AA1052" s="6"/>
      <c r="AB1052" s="7"/>
      <c r="AC1052" s="7"/>
      <c r="AD1052" s="7"/>
      <c r="AE1052" s="7"/>
      <c r="AF1052" s="8">
        <f>SUM(AA1052:AE1052)</f>
        <v>0</v>
      </c>
      <c r="AH1052" s="6"/>
      <c r="AI1052" s="7"/>
      <c r="AJ1052" s="7"/>
      <c r="AK1052" s="7"/>
      <c r="AL1052" s="7"/>
      <c r="AM1052" s="8">
        <f>SUM(AH1052:AL1052)</f>
        <v>0</v>
      </c>
      <c r="AO1052" s="6"/>
      <c r="AP1052" s="7"/>
      <c r="AQ1052" s="7"/>
      <c r="AR1052" s="7"/>
      <c r="AS1052" s="7"/>
      <c r="AT1052" s="8">
        <f>SUM(AO1052:AS1052)</f>
        <v>0</v>
      </c>
      <c r="AV1052" s="6"/>
      <c r="AW1052" s="7"/>
      <c r="AX1052" s="7"/>
      <c r="AY1052" s="7"/>
      <c r="AZ1052" s="7"/>
      <c r="BA1052" s="8">
        <f>SUM(AV1052:AZ1052)</f>
        <v>0</v>
      </c>
      <c r="BC1052" s="6"/>
      <c r="BD1052" s="7"/>
      <c r="BE1052" s="7"/>
      <c r="BF1052" s="7"/>
      <c r="BG1052" s="7"/>
      <c r="BH1052" s="8">
        <f>SUM(BC1052:BG1052)</f>
        <v>0</v>
      </c>
      <c r="BJ1052" s="6"/>
      <c r="BK1052" s="7"/>
      <c r="BL1052" s="7"/>
      <c r="BM1052" s="7"/>
      <c r="BN1052" s="7"/>
      <c r="BO1052" s="8">
        <f>SUM(BJ1052:BN1052)</f>
        <v>0</v>
      </c>
      <c r="BQ1052" s="6"/>
      <c r="BR1052" s="7"/>
      <c r="BS1052" s="7"/>
      <c r="BT1052" s="7"/>
      <c r="BU1052" s="7"/>
      <c r="BV1052" s="8">
        <f>SUM(BQ1052:BU1052)</f>
        <v>0</v>
      </c>
      <c r="BX1052" s="6"/>
      <c r="BY1052" s="7"/>
      <c r="BZ1052" s="7"/>
      <c r="CA1052" s="7"/>
      <c r="CB1052" s="7"/>
      <c r="CC1052" s="8">
        <f>SUM(BX1052:CB1052)</f>
        <v>0</v>
      </c>
      <c r="CE1052" s="493">
        <f t="shared" si="4824"/>
        <v>0</v>
      </c>
      <c r="CF1052" s="494">
        <f t="shared" si="4825"/>
        <v>0</v>
      </c>
      <c r="CG1052" s="494">
        <f t="shared" si="4826"/>
        <v>0</v>
      </c>
      <c r="CH1052" s="494">
        <f t="shared" si="4827"/>
        <v>0</v>
      </c>
      <c r="CI1052" s="494">
        <f t="shared" si="4828"/>
        <v>0</v>
      </c>
      <c r="CJ1052" s="495">
        <f>SUM(CE1052:CI1052)</f>
        <v>0</v>
      </c>
      <c r="CL1052" s="6"/>
      <c r="CM1052" s="7"/>
      <c r="CN1052" s="7"/>
      <c r="CO1052" s="7"/>
      <c r="CP1052" s="7"/>
      <c r="CQ1052" s="8">
        <f>SUM(CL1052:CP1052)</f>
        <v>0</v>
      </c>
      <c r="CS1052" s="6"/>
      <c r="CT1052" s="7"/>
      <c r="CU1052" s="7"/>
      <c r="CV1052" s="7"/>
      <c r="CW1052" s="7"/>
      <c r="CX1052" s="8">
        <f t="shared" si="4833"/>
        <v>0</v>
      </c>
      <c r="CZ1052" s="6"/>
      <c r="DA1052" s="7"/>
      <c r="DB1052" s="7"/>
      <c r="DC1052" s="7"/>
      <c r="DD1052" s="7"/>
      <c r="DE1052" s="8">
        <f t="shared" si="4834"/>
        <v>0</v>
      </c>
    </row>
    <row r="1053" spans="3:109" ht="14" thickBot="1">
      <c r="C1053" s="554"/>
      <c r="E1053" s="9"/>
      <c r="F1053" s="10">
        <f>SUM(F1049:F1052)</f>
        <v>0</v>
      </c>
      <c r="G1053" s="11">
        <f t="shared" ref="G1053:J1053" si="4835">SUM(G1049:G1052)</f>
        <v>0</v>
      </c>
      <c r="H1053" s="11">
        <f t="shared" si="4835"/>
        <v>0</v>
      </c>
      <c r="I1053" s="11">
        <f t="shared" si="4835"/>
        <v>0</v>
      </c>
      <c r="J1053" s="11">
        <f t="shared" si="4835"/>
        <v>0</v>
      </c>
      <c r="K1053" s="25">
        <f>SUM(K1049:K1052)</f>
        <v>0</v>
      </c>
      <c r="M1053" s="10">
        <f>SUM(M1049:M1052)</f>
        <v>0</v>
      </c>
      <c r="N1053" s="11">
        <f t="shared" ref="N1053:Q1053" si="4836">SUM(N1049:N1052)</f>
        <v>0</v>
      </c>
      <c r="O1053" s="11">
        <f t="shared" si="4836"/>
        <v>0</v>
      </c>
      <c r="P1053" s="11">
        <f t="shared" si="4836"/>
        <v>0</v>
      </c>
      <c r="Q1053" s="11">
        <f t="shared" si="4836"/>
        <v>0</v>
      </c>
      <c r="R1053" s="25">
        <f>SUM(R1049:R1052)</f>
        <v>0</v>
      </c>
      <c r="T1053" s="10">
        <f>SUM(T1049:T1052)</f>
        <v>0</v>
      </c>
      <c r="U1053" s="11">
        <f t="shared" ref="U1053:X1053" si="4837">SUM(U1049:U1052)</f>
        <v>0</v>
      </c>
      <c r="V1053" s="11">
        <f t="shared" si="4837"/>
        <v>0</v>
      </c>
      <c r="W1053" s="11">
        <f t="shared" si="4837"/>
        <v>0</v>
      </c>
      <c r="X1053" s="11">
        <f t="shared" si="4837"/>
        <v>0</v>
      </c>
      <c r="Y1053" s="25">
        <f>SUM(Y1049:Y1052)</f>
        <v>0</v>
      </c>
      <c r="AA1053" s="10">
        <f>SUM(AA1049:AA1052)</f>
        <v>0</v>
      </c>
      <c r="AB1053" s="11">
        <f t="shared" ref="AB1053:AE1053" si="4838">SUM(AB1049:AB1052)</f>
        <v>0</v>
      </c>
      <c r="AC1053" s="11">
        <f t="shared" si="4838"/>
        <v>0</v>
      </c>
      <c r="AD1053" s="11">
        <f t="shared" si="4838"/>
        <v>0</v>
      </c>
      <c r="AE1053" s="11">
        <f t="shared" si="4838"/>
        <v>0</v>
      </c>
      <c r="AF1053" s="25">
        <f>SUM(AF1049:AF1052)</f>
        <v>0</v>
      </c>
      <c r="AH1053" s="10">
        <f t="shared" ref="AH1053:AM1053" si="4839">SUM(AH1049:AH1052)</f>
        <v>0</v>
      </c>
      <c r="AI1053" s="11">
        <f t="shared" si="4839"/>
        <v>0</v>
      </c>
      <c r="AJ1053" s="11">
        <f t="shared" si="4839"/>
        <v>0</v>
      </c>
      <c r="AK1053" s="11">
        <f t="shared" si="4839"/>
        <v>0</v>
      </c>
      <c r="AL1053" s="11">
        <f t="shared" si="4839"/>
        <v>0</v>
      </c>
      <c r="AM1053" s="25">
        <f t="shared" si="4839"/>
        <v>0</v>
      </c>
      <c r="AO1053" s="10">
        <f t="shared" ref="AO1053:AT1053" si="4840">SUM(AO1049:AO1052)</f>
        <v>0</v>
      </c>
      <c r="AP1053" s="11">
        <f t="shared" si="4840"/>
        <v>0</v>
      </c>
      <c r="AQ1053" s="11">
        <f t="shared" si="4840"/>
        <v>0</v>
      </c>
      <c r="AR1053" s="11">
        <f t="shared" si="4840"/>
        <v>0</v>
      </c>
      <c r="AS1053" s="11">
        <f t="shared" si="4840"/>
        <v>0</v>
      </c>
      <c r="AT1053" s="25">
        <f t="shared" si="4840"/>
        <v>0</v>
      </c>
      <c r="AV1053" s="10">
        <f t="shared" ref="AV1053:BA1053" si="4841">SUM(AV1049:AV1052)</f>
        <v>0</v>
      </c>
      <c r="AW1053" s="11">
        <f t="shared" si="4841"/>
        <v>0</v>
      </c>
      <c r="AX1053" s="11">
        <f t="shared" si="4841"/>
        <v>0</v>
      </c>
      <c r="AY1053" s="11">
        <f t="shared" si="4841"/>
        <v>0</v>
      </c>
      <c r="AZ1053" s="11">
        <f t="shared" si="4841"/>
        <v>0</v>
      </c>
      <c r="BA1053" s="25">
        <f t="shared" si="4841"/>
        <v>0</v>
      </c>
      <c r="BC1053" s="10">
        <f t="shared" ref="BC1053:BH1053" si="4842">SUM(BC1049:BC1052)</f>
        <v>0</v>
      </c>
      <c r="BD1053" s="11">
        <f t="shared" si="4842"/>
        <v>0</v>
      </c>
      <c r="BE1053" s="11">
        <f t="shared" si="4842"/>
        <v>0</v>
      </c>
      <c r="BF1053" s="11">
        <f t="shared" si="4842"/>
        <v>0</v>
      </c>
      <c r="BG1053" s="11">
        <f t="shared" si="4842"/>
        <v>0</v>
      </c>
      <c r="BH1053" s="25">
        <f t="shared" si="4842"/>
        <v>0</v>
      </c>
      <c r="BJ1053" s="10">
        <f t="shared" ref="BJ1053:BO1053" si="4843">SUM(BJ1049:BJ1052)</f>
        <v>0</v>
      </c>
      <c r="BK1053" s="11">
        <f t="shared" si="4843"/>
        <v>0</v>
      </c>
      <c r="BL1053" s="11">
        <f t="shared" si="4843"/>
        <v>0</v>
      </c>
      <c r="BM1053" s="11">
        <f t="shared" si="4843"/>
        <v>0</v>
      </c>
      <c r="BN1053" s="11">
        <f t="shared" si="4843"/>
        <v>0</v>
      </c>
      <c r="BO1053" s="25">
        <f t="shared" si="4843"/>
        <v>0</v>
      </c>
      <c r="BQ1053" s="10">
        <f t="shared" ref="BQ1053:BV1053" si="4844">SUM(BQ1049:BQ1052)</f>
        <v>0</v>
      </c>
      <c r="BR1053" s="11">
        <f t="shared" si="4844"/>
        <v>0</v>
      </c>
      <c r="BS1053" s="11">
        <f t="shared" si="4844"/>
        <v>0</v>
      </c>
      <c r="BT1053" s="11">
        <f t="shared" si="4844"/>
        <v>0</v>
      </c>
      <c r="BU1053" s="11">
        <f t="shared" si="4844"/>
        <v>0</v>
      </c>
      <c r="BV1053" s="25">
        <f t="shared" si="4844"/>
        <v>0</v>
      </c>
      <c r="BX1053" s="10">
        <f t="shared" ref="BX1053:CC1053" si="4845">SUM(BX1049:BX1052)</f>
        <v>0</v>
      </c>
      <c r="BY1053" s="11">
        <f t="shared" si="4845"/>
        <v>0</v>
      </c>
      <c r="BZ1053" s="11">
        <f t="shared" si="4845"/>
        <v>0</v>
      </c>
      <c r="CA1053" s="11">
        <f t="shared" si="4845"/>
        <v>0</v>
      </c>
      <c r="CB1053" s="11">
        <f t="shared" si="4845"/>
        <v>0</v>
      </c>
      <c r="CC1053" s="25">
        <f t="shared" si="4845"/>
        <v>0</v>
      </c>
      <c r="CE1053" s="62">
        <f t="shared" ref="CE1053:CJ1053" si="4846">SUM(CE1049:CE1052)</f>
        <v>0</v>
      </c>
      <c r="CF1053" s="63">
        <f t="shared" si="4846"/>
        <v>0</v>
      </c>
      <c r="CG1053" s="63">
        <f t="shared" si="4846"/>
        <v>0</v>
      </c>
      <c r="CH1053" s="63">
        <f t="shared" si="4846"/>
        <v>0</v>
      </c>
      <c r="CI1053" s="63">
        <f t="shared" si="4846"/>
        <v>0</v>
      </c>
      <c r="CJ1053" s="25">
        <f t="shared" si="4846"/>
        <v>0</v>
      </c>
      <c r="CL1053" s="10">
        <f>SUM(CL1049:CL1052)</f>
        <v>0</v>
      </c>
      <c r="CM1053" s="11">
        <f t="shared" ref="CM1053:CQ1053" si="4847">SUM(CM1049:CM1052)</f>
        <v>0</v>
      </c>
      <c r="CN1053" s="11">
        <f t="shared" si="4847"/>
        <v>0</v>
      </c>
      <c r="CO1053" s="11">
        <f t="shared" si="4847"/>
        <v>0</v>
      </c>
      <c r="CP1053" s="11">
        <f t="shared" si="4847"/>
        <v>0</v>
      </c>
      <c r="CQ1053" s="25">
        <f t="shared" si="4847"/>
        <v>0</v>
      </c>
      <c r="CS1053" s="10">
        <f>SUM(CS1049:CS1052)</f>
        <v>0</v>
      </c>
      <c r="CT1053" s="11">
        <f t="shared" ref="CT1053:CW1053" si="4848">SUM(CT1049:CT1052)</f>
        <v>0</v>
      </c>
      <c r="CU1053" s="11">
        <f t="shared" si="4848"/>
        <v>0</v>
      </c>
      <c r="CV1053" s="11">
        <f t="shared" si="4848"/>
        <v>0</v>
      </c>
      <c r="CW1053" s="11">
        <f t="shared" si="4848"/>
        <v>0</v>
      </c>
      <c r="CX1053" s="25">
        <f>SUM(CX1049:CX1052)</f>
        <v>0</v>
      </c>
      <c r="CZ1053" s="10">
        <f>SUM(CZ1049:CZ1052)</f>
        <v>0</v>
      </c>
      <c r="DA1053" s="11">
        <f t="shared" ref="DA1053:DD1053" si="4849">SUM(DA1049:DA1052)</f>
        <v>0</v>
      </c>
      <c r="DB1053" s="11">
        <f t="shared" si="4849"/>
        <v>0</v>
      </c>
      <c r="DC1053" s="11">
        <f t="shared" si="4849"/>
        <v>0</v>
      </c>
      <c r="DD1053" s="11">
        <f t="shared" si="4849"/>
        <v>0</v>
      </c>
      <c r="DE1053" s="25">
        <f>SUM(DE1049:DE1052)</f>
        <v>0</v>
      </c>
    </row>
    <row r="1054" spans="3:109" ht="10.4" customHeight="1" thickBot="1"/>
    <row r="1055" spans="3:109">
      <c r="C1055" s="553">
        <v>2028</v>
      </c>
      <c r="E1055" s="1" t="s">
        <v>59</v>
      </c>
      <c r="F1055" s="21">
        <f>CE1049</f>
        <v>0</v>
      </c>
      <c r="G1055" s="22">
        <f t="shared" ref="G1055:G1058" si="4850">CF1049</f>
        <v>0</v>
      </c>
      <c r="H1055" s="22">
        <f t="shared" ref="H1055:H1058" si="4851">CG1049</f>
        <v>0</v>
      </c>
      <c r="I1055" s="22">
        <f t="shared" ref="I1055:I1058" si="4852">CH1049</f>
        <v>0</v>
      </c>
      <c r="J1055" s="22">
        <f t="shared" ref="J1055:J1058" si="4853">CI1049</f>
        <v>0</v>
      </c>
      <c r="K1055" s="4">
        <f>SUM(F1055:J1055)</f>
        <v>0</v>
      </c>
      <c r="M1055" s="2"/>
      <c r="N1055" s="3"/>
      <c r="O1055" s="3"/>
      <c r="P1055" s="3"/>
      <c r="Q1055" s="3"/>
      <c r="R1055" s="4">
        <f>SUM(M1055:Q1055)</f>
        <v>0</v>
      </c>
      <c r="T1055" s="2"/>
      <c r="U1055" s="3"/>
      <c r="V1055" s="3"/>
      <c r="W1055" s="3"/>
      <c r="X1055" s="3"/>
      <c r="Y1055" s="4">
        <f>SUM(T1055:X1055)</f>
        <v>0</v>
      </c>
      <c r="AA1055" s="2"/>
      <c r="AB1055" s="3"/>
      <c r="AC1055" s="3"/>
      <c r="AD1055" s="3"/>
      <c r="AE1055" s="3"/>
      <c r="AF1055" s="4">
        <f>SUM(AA1055:AE1055)</f>
        <v>0</v>
      </c>
      <c r="AH1055" s="2"/>
      <c r="AI1055" s="3"/>
      <c r="AJ1055" s="3"/>
      <c r="AK1055" s="3"/>
      <c r="AL1055" s="3"/>
      <c r="AM1055" s="4">
        <f>SUM(AH1055:AL1055)</f>
        <v>0</v>
      </c>
      <c r="AO1055" s="2"/>
      <c r="AP1055" s="3"/>
      <c r="AQ1055" s="3"/>
      <c r="AR1055" s="3"/>
      <c r="AS1055" s="3"/>
      <c r="AT1055" s="4">
        <f>SUM(AO1055:AS1055)</f>
        <v>0</v>
      </c>
      <c r="AV1055" s="2"/>
      <c r="AW1055" s="3"/>
      <c r="AX1055" s="3"/>
      <c r="AY1055" s="3"/>
      <c r="AZ1055" s="3"/>
      <c r="BA1055" s="4">
        <f>SUM(AV1055:AZ1055)</f>
        <v>0</v>
      </c>
      <c r="BC1055" s="2"/>
      <c r="BD1055" s="3"/>
      <c r="BE1055" s="3"/>
      <c r="BF1055" s="3"/>
      <c r="BG1055" s="3"/>
      <c r="BH1055" s="4">
        <f>SUM(BC1055:BG1055)</f>
        <v>0</v>
      </c>
      <c r="BJ1055" s="2"/>
      <c r="BK1055" s="3"/>
      <c r="BL1055" s="3"/>
      <c r="BM1055" s="3"/>
      <c r="BN1055" s="3"/>
      <c r="BO1055" s="4">
        <f>SUM(BJ1055:BN1055)</f>
        <v>0</v>
      </c>
      <c r="BQ1055" s="2"/>
      <c r="BR1055" s="3"/>
      <c r="BS1055" s="3"/>
      <c r="BT1055" s="3"/>
      <c r="BU1055" s="3"/>
      <c r="BV1055" s="4">
        <f>SUM(BQ1055:BU1055)</f>
        <v>0</v>
      </c>
      <c r="BX1055" s="2"/>
      <c r="BY1055" s="3"/>
      <c r="BZ1055" s="3"/>
      <c r="CA1055" s="3"/>
      <c r="CB1055" s="3"/>
      <c r="CC1055" s="4">
        <f>SUM(BX1055:CB1055)</f>
        <v>0</v>
      </c>
      <c r="CE1055" s="26">
        <f t="shared" ref="CE1055:CE1058" si="4854">F1055+M1055+T1055+AA1055+AH1055+AO1055+AV1055+BC1055+BJ1055+BQ1055+BX1055</f>
        <v>0</v>
      </c>
      <c r="CF1055" s="27">
        <f t="shared" ref="CF1055:CF1058" si="4855">G1055+N1055+U1055+AB1055+AI1055+AP1055+AW1055+BD1055+BK1055+BR1055+BY1055</f>
        <v>0</v>
      </c>
      <c r="CG1055" s="27">
        <f t="shared" ref="CG1055:CG1058" si="4856">H1055+O1055+V1055+AC1055+AJ1055+AQ1055+AX1055+BE1055+BL1055+BS1055+BZ1055</f>
        <v>0</v>
      </c>
      <c r="CH1055" s="27">
        <f t="shared" ref="CH1055:CH1058" si="4857">I1055+P1055+W1055+AD1055+AK1055+AR1055+AY1055+BF1055+BM1055+BT1055+CA1055</f>
        <v>0</v>
      </c>
      <c r="CI1055" s="27">
        <f t="shared" ref="CI1055:CI1058" si="4858">J1055+Q1055+X1055+AE1055+AL1055+AS1055+AZ1055+BG1055+BN1055+BU1055+CB1055</f>
        <v>0</v>
      </c>
      <c r="CJ1055" s="4">
        <f>SUM(CE1055:CI1055)</f>
        <v>0</v>
      </c>
      <c r="CL1055" s="2"/>
      <c r="CM1055" s="3"/>
      <c r="CN1055" s="3"/>
      <c r="CO1055" s="3"/>
      <c r="CP1055" s="3"/>
      <c r="CQ1055" s="4">
        <f>SUM(CL1055:CP1055)</f>
        <v>0</v>
      </c>
      <c r="CS1055" s="2"/>
      <c r="CT1055" s="3"/>
      <c r="CU1055" s="3"/>
      <c r="CV1055" s="3"/>
      <c r="CW1055" s="3"/>
      <c r="CX1055" s="4">
        <f>SUM(CS1055:CW1055)</f>
        <v>0</v>
      </c>
      <c r="CZ1055" s="2"/>
      <c r="DA1055" s="3"/>
      <c r="DB1055" s="3"/>
      <c r="DC1055" s="3"/>
      <c r="DD1055" s="3"/>
      <c r="DE1055" s="4">
        <f>SUM(CZ1055:DD1055)</f>
        <v>0</v>
      </c>
    </row>
    <row r="1056" spans="3:109">
      <c r="C1056" s="567"/>
      <c r="E1056" s="5" t="s">
        <v>60</v>
      </c>
      <c r="F1056" s="23">
        <f t="shared" ref="F1056:F1058" si="4859">CE1050</f>
        <v>0</v>
      </c>
      <c r="G1056" s="24">
        <f t="shared" si="4850"/>
        <v>0</v>
      </c>
      <c r="H1056" s="24">
        <f t="shared" si="4851"/>
        <v>0</v>
      </c>
      <c r="I1056" s="24">
        <f t="shared" si="4852"/>
        <v>0</v>
      </c>
      <c r="J1056" s="24">
        <f t="shared" si="4853"/>
        <v>0</v>
      </c>
      <c r="K1056" s="8">
        <f t="shared" ref="K1056:K1058" si="4860">SUM(F1056:J1056)</f>
        <v>0</v>
      </c>
      <c r="M1056" s="6"/>
      <c r="N1056" s="7"/>
      <c r="O1056" s="7"/>
      <c r="P1056" s="7"/>
      <c r="Q1056" s="7"/>
      <c r="R1056" s="8">
        <f t="shared" ref="R1056:R1058" si="4861">SUM(M1056:Q1056)</f>
        <v>0</v>
      </c>
      <c r="T1056" s="6"/>
      <c r="U1056" s="7"/>
      <c r="V1056" s="7"/>
      <c r="W1056" s="7"/>
      <c r="X1056" s="7"/>
      <c r="Y1056" s="8">
        <f t="shared" ref="Y1056:Y1058" si="4862">SUM(T1056:X1056)</f>
        <v>0</v>
      </c>
      <c r="AA1056" s="6"/>
      <c r="AB1056" s="7"/>
      <c r="AC1056" s="7"/>
      <c r="AD1056" s="7"/>
      <c r="AE1056" s="7"/>
      <c r="AF1056" s="8">
        <f>SUM(AA1056:AE1056)</f>
        <v>0</v>
      </c>
      <c r="AH1056" s="6"/>
      <c r="AI1056" s="7"/>
      <c r="AJ1056" s="7"/>
      <c r="AK1056" s="7"/>
      <c r="AL1056" s="7"/>
      <c r="AM1056" s="8">
        <f>SUM(AH1056:AL1056)</f>
        <v>0</v>
      </c>
      <c r="AO1056" s="6"/>
      <c r="AP1056" s="7"/>
      <c r="AQ1056" s="7"/>
      <c r="AR1056" s="7"/>
      <c r="AS1056" s="7"/>
      <c r="AT1056" s="8">
        <f>SUM(AO1056:AS1056)</f>
        <v>0</v>
      </c>
      <c r="AV1056" s="6"/>
      <c r="AW1056" s="7"/>
      <c r="AX1056" s="7"/>
      <c r="AY1056" s="7"/>
      <c r="AZ1056" s="7"/>
      <c r="BA1056" s="8">
        <f>SUM(AV1056:AZ1056)</f>
        <v>0</v>
      </c>
      <c r="BC1056" s="6"/>
      <c r="BD1056" s="7"/>
      <c r="BE1056" s="7"/>
      <c r="BF1056" s="7"/>
      <c r="BG1056" s="7"/>
      <c r="BH1056" s="8">
        <f>SUM(BC1056:BG1056)</f>
        <v>0</v>
      </c>
      <c r="BJ1056" s="6"/>
      <c r="BK1056" s="7"/>
      <c r="BL1056" s="7"/>
      <c r="BM1056" s="7"/>
      <c r="BN1056" s="7"/>
      <c r="BO1056" s="8">
        <f>SUM(BJ1056:BN1056)</f>
        <v>0</v>
      </c>
      <c r="BQ1056" s="6"/>
      <c r="BR1056" s="7"/>
      <c r="BS1056" s="7"/>
      <c r="BT1056" s="7"/>
      <c r="BU1056" s="7"/>
      <c r="BV1056" s="8">
        <f>SUM(BQ1056:BU1056)</f>
        <v>0</v>
      </c>
      <c r="BX1056" s="6"/>
      <c r="BY1056" s="7"/>
      <c r="BZ1056" s="7"/>
      <c r="CA1056" s="7"/>
      <c r="CB1056" s="7"/>
      <c r="CC1056" s="8">
        <f>SUM(BX1056:CB1056)</f>
        <v>0</v>
      </c>
      <c r="CE1056" s="28">
        <f t="shared" si="4854"/>
        <v>0</v>
      </c>
      <c r="CF1056" s="29">
        <f t="shared" si="4855"/>
        <v>0</v>
      </c>
      <c r="CG1056" s="29">
        <f t="shared" si="4856"/>
        <v>0</v>
      </c>
      <c r="CH1056" s="29">
        <f t="shared" si="4857"/>
        <v>0</v>
      </c>
      <c r="CI1056" s="29">
        <f t="shared" si="4858"/>
        <v>0</v>
      </c>
      <c r="CJ1056" s="8">
        <f>SUM(CE1056:CI1056)</f>
        <v>0</v>
      </c>
      <c r="CL1056" s="6"/>
      <c r="CM1056" s="7"/>
      <c r="CN1056" s="7"/>
      <c r="CO1056" s="7"/>
      <c r="CP1056" s="7"/>
      <c r="CQ1056" s="8">
        <f>SUM(CL1056:CP1056)</f>
        <v>0</v>
      </c>
      <c r="CS1056" s="6"/>
      <c r="CT1056" s="7"/>
      <c r="CU1056" s="7"/>
      <c r="CV1056" s="7"/>
      <c r="CW1056" s="7"/>
      <c r="CX1056" s="8">
        <f t="shared" ref="CX1056:CX1058" si="4863">SUM(CS1056:CW1056)</f>
        <v>0</v>
      </c>
      <c r="CZ1056" s="6"/>
      <c r="DA1056" s="7"/>
      <c r="DB1056" s="7"/>
      <c r="DC1056" s="7"/>
      <c r="DD1056" s="7"/>
      <c r="DE1056" s="8">
        <f t="shared" ref="DE1056:DE1058" si="4864">SUM(CZ1056:DD1056)</f>
        <v>0</v>
      </c>
    </row>
    <row r="1057" spans="2:110">
      <c r="C1057" s="567"/>
      <c r="E1057" s="5" t="s">
        <v>61</v>
      </c>
      <c r="F1057" s="23">
        <f t="shared" si="4859"/>
        <v>0</v>
      </c>
      <c r="G1057" s="24">
        <f t="shared" si="4850"/>
        <v>0</v>
      </c>
      <c r="H1057" s="24">
        <f t="shared" si="4851"/>
        <v>0</v>
      </c>
      <c r="I1057" s="24">
        <f t="shared" si="4852"/>
        <v>0</v>
      </c>
      <c r="J1057" s="24">
        <f t="shared" si="4853"/>
        <v>0</v>
      </c>
      <c r="K1057" s="8">
        <f t="shared" si="4860"/>
        <v>0</v>
      </c>
      <c r="M1057" s="6"/>
      <c r="N1057" s="7"/>
      <c r="O1057" s="7"/>
      <c r="P1057" s="7"/>
      <c r="Q1057" s="7"/>
      <c r="R1057" s="8">
        <f t="shared" si="4861"/>
        <v>0</v>
      </c>
      <c r="T1057" s="6"/>
      <c r="U1057" s="7"/>
      <c r="V1057" s="7"/>
      <c r="W1057" s="7"/>
      <c r="X1057" s="7"/>
      <c r="Y1057" s="8">
        <f t="shared" si="4862"/>
        <v>0</v>
      </c>
      <c r="AA1057" s="6"/>
      <c r="AB1057" s="7"/>
      <c r="AC1057" s="7"/>
      <c r="AD1057" s="7"/>
      <c r="AE1057" s="7"/>
      <c r="AF1057" s="8">
        <f>SUM(AA1057:AE1057)</f>
        <v>0</v>
      </c>
      <c r="AH1057" s="6"/>
      <c r="AI1057" s="7"/>
      <c r="AJ1057" s="7"/>
      <c r="AK1057" s="7"/>
      <c r="AL1057" s="7"/>
      <c r="AM1057" s="8">
        <f>SUM(AH1057:AL1057)</f>
        <v>0</v>
      </c>
      <c r="AO1057" s="6"/>
      <c r="AP1057" s="7"/>
      <c r="AQ1057" s="7"/>
      <c r="AR1057" s="7"/>
      <c r="AS1057" s="7"/>
      <c r="AT1057" s="8">
        <f>SUM(AO1057:AS1057)</f>
        <v>0</v>
      </c>
      <c r="AV1057" s="6"/>
      <c r="AW1057" s="7"/>
      <c r="AX1057" s="7"/>
      <c r="AY1057" s="7"/>
      <c r="AZ1057" s="7"/>
      <c r="BA1057" s="8">
        <f>SUM(AV1057:AZ1057)</f>
        <v>0</v>
      </c>
      <c r="BC1057" s="6"/>
      <c r="BD1057" s="7"/>
      <c r="BE1057" s="7"/>
      <c r="BF1057" s="7"/>
      <c r="BG1057" s="7"/>
      <c r="BH1057" s="8">
        <f>SUM(BC1057:BG1057)</f>
        <v>0</v>
      </c>
      <c r="BJ1057" s="6"/>
      <c r="BK1057" s="7"/>
      <c r="BL1057" s="7"/>
      <c r="BM1057" s="7"/>
      <c r="BN1057" s="7"/>
      <c r="BO1057" s="8">
        <f>SUM(BJ1057:BN1057)</f>
        <v>0</v>
      </c>
      <c r="BQ1057" s="6"/>
      <c r="BR1057" s="7"/>
      <c r="BS1057" s="7"/>
      <c r="BT1057" s="7"/>
      <c r="BU1057" s="7"/>
      <c r="BV1057" s="8">
        <f>SUM(BQ1057:BU1057)</f>
        <v>0</v>
      </c>
      <c r="BX1057" s="6"/>
      <c r="BY1057" s="7"/>
      <c r="BZ1057" s="7"/>
      <c r="CA1057" s="7"/>
      <c r="CB1057" s="7"/>
      <c r="CC1057" s="8">
        <f>SUM(BX1057:CB1057)</f>
        <v>0</v>
      </c>
      <c r="CE1057" s="28">
        <f t="shared" si="4854"/>
        <v>0</v>
      </c>
      <c r="CF1057" s="29">
        <f t="shared" si="4855"/>
        <v>0</v>
      </c>
      <c r="CG1057" s="29">
        <f t="shared" si="4856"/>
        <v>0</v>
      </c>
      <c r="CH1057" s="29">
        <f t="shared" si="4857"/>
        <v>0</v>
      </c>
      <c r="CI1057" s="29">
        <f t="shared" si="4858"/>
        <v>0</v>
      </c>
      <c r="CJ1057" s="8">
        <f>SUM(CE1057:CI1057)</f>
        <v>0</v>
      </c>
      <c r="CL1057" s="6"/>
      <c r="CM1057" s="7"/>
      <c r="CN1057" s="7"/>
      <c r="CO1057" s="7"/>
      <c r="CP1057" s="7"/>
      <c r="CQ1057" s="8">
        <f>SUM(CL1057:CP1057)</f>
        <v>0</v>
      </c>
      <c r="CS1057" s="6"/>
      <c r="CT1057" s="7"/>
      <c r="CU1057" s="7"/>
      <c r="CV1057" s="7"/>
      <c r="CW1057" s="7"/>
      <c r="CX1057" s="8">
        <f t="shared" si="4863"/>
        <v>0</v>
      </c>
      <c r="CZ1057" s="6"/>
      <c r="DA1057" s="7"/>
      <c r="DB1057" s="7"/>
      <c r="DC1057" s="7"/>
      <c r="DD1057" s="7"/>
      <c r="DE1057" s="8">
        <f t="shared" si="4864"/>
        <v>0</v>
      </c>
    </row>
    <row r="1058" spans="2:110" ht="14" thickBot="1">
      <c r="C1058" s="567"/>
      <c r="E1058" s="5" t="s">
        <v>62</v>
      </c>
      <c r="F1058" s="23">
        <f t="shared" si="4859"/>
        <v>0</v>
      </c>
      <c r="G1058" s="24">
        <f t="shared" si="4850"/>
        <v>0</v>
      </c>
      <c r="H1058" s="24">
        <f t="shared" si="4851"/>
        <v>0</v>
      </c>
      <c r="I1058" s="24">
        <f t="shared" si="4852"/>
        <v>0</v>
      </c>
      <c r="J1058" s="24">
        <f t="shared" si="4853"/>
        <v>0</v>
      </c>
      <c r="K1058" s="8">
        <f t="shared" si="4860"/>
        <v>0</v>
      </c>
      <c r="M1058" s="6"/>
      <c r="N1058" s="7"/>
      <c r="O1058" s="7"/>
      <c r="P1058" s="7"/>
      <c r="Q1058" s="7"/>
      <c r="R1058" s="8">
        <f t="shared" si="4861"/>
        <v>0</v>
      </c>
      <c r="T1058" s="6"/>
      <c r="U1058" s="7"/>
      <c r="V1058" s="7"/>
      <c r="W1058" s="7"/>
      <c r="X1058" s="7"/>
      <c r="Y1058" s="8">
        <f t="shared" si="4862"/>
        <v>0</v>
      </c>
      <c r="AA1058" s="6"/>
      <c r="AB1058" s="7"/>
      <c r="AC1058" s="7"/>
      <c r="AD1058" s="7"/>
      <c r="AE1058" s="7"/>
      <c r="AF1058" s="8">
        <f>SUM(AA1058:AE1058)</f>
        <v>0</v>
      </c>
      <c r="AH1058" s="6"/>
      <c r="AI1058" s="7"/>
      <c r="AJ1058" s="7"/>
      <c r="AK1058" s="7"/>
      <c r="AL1058" s="7"/>
      <c r="AM1058" s="8">
        <f>SUM(AH1058:AL1058)</f>
        <v>0</v>
      </c>
      <c r="AO1058" s="6"/>
      <c r="AP1058" s="7"/>
      <c r="AQ1058" s="7"/>
      <c r="AR1058" s="7"/>
      <c r="AS1058" s="7"/>
      <c r="AT1058" s="8">
        <f>SUM(AO1058:AS1058)</f>
        <v>0</v>
      </c>
      <c r="AV1058" s="6"/>
      <c r="AW1058" s="7"/>
      <c r="AX1058" s="7"/>
      <c r="AY1058" s="7"/>
      <c r="AZ1058" s="7"/>
      <c r="BA1058" s="8">
        <f>SUM(AV1058:AZ1058)</f>
        <v>0</v>
      </c>
      <c r="BC1058" s="6"/>
      <c r="BD1058" s="7"/>
      <c r="BE1058" s="7"/>
      <c r="BF1058" s="7"/>
      <c r="BG1058" s="7"/>
      <c r="BH1058" s="8">
        <f>SUM(BC1058:BG1058)</f>
        <v>0</v>
      </c>
      <c r="BJ1058" s="6"/>
      <c r="BK1058" s="7"/>
      <c r="BL1058" s="7"/>
      <c r="BM1058" s="7"/>
      <c r="BN1058" s="7"/>
      <c r="BO1058" s="8">
        <f>SUM(BJ1058:BN1058)</f>
        <v>0</v>
      </c>
      <c r="BQ1058" s="6"/>
      <c r="BR1058" s="7"/>
      <c r="BS1058" s="7"/>
      <c r="BT1058" s="7"/>
      <c r="BU1058" s="7"/>
      <c r="BV1058" s="8">
        <f>SUM(BQ1058:BU1058)</f>
        <v>0</v>
      </c>
      <c r="BX1058" s="6"/>
      <c r="BY1058" s="7"/>
      <c r="BZ1058" s="7"/>
      <c r="CA1058" s="7"/>
      <c r="CB1058" s="7"/>
      <c r="CC1058" s="8">
        <f>SUM(BX1058:CB1058)</f>
        <v>0</v>
      </c>
      <c r="CE1058" s="493">
        <f t="shared" si="4854"/>
        <v>0</v>
      </c>
      <c r="CF1058" s="494">
        <f t="shared" si="4855"/>
        <v>0</v>
      </c>
      <c r="CG1058" s="494">
        <f t="shared" si="4856"/>
        <v>0</v>
      </c>
      <c r="CH1058" s="494">
        <f t="shared" si="4857"/>
        <v>0</v>
      </c>
      <c r="CI1058" s="494">
        <f t="shared" si="4858"/>
        <v>0</v>
      </c>
      <c r="CJ1058" s="495">
        <f>SUM(CE1058:CI1058)</f>
        <v>0</v>
      </c>
      <c r="CL1058" s="6"/>
      <c r="CM1058" s="7"/>
      <c r="CN1058" s="7"/>
      <c r="CO1058" s="7"/>
      <c r="CP1058" s="7"/>
      <c r="CQ1058" s="8">
        <f>SUM(CL1058:CP1058)</f>
        <v>0</v>
      </c>
      <c r="CS1058" s="6"/>
      <c r="CT1058" s="7"/>
      <c r="CU1058" s="7"/>
      <c r="CV1058" s="7"/>
      <c r="CW1058" s="7"/>
      <c r="CX1058" s="8">
        <f t="shared" si="4863"/>
        <v>0</v>
      </c>
      <c r="CZ1058" s="6"/>
      <c r="DA1058" s="7"/>
      <c r="DB1058" s="7"/>
      <c r="DC1058" s="7"/>
      <c r="DD1058" s="7"/>
      <c r="DE1058" s="8">
        <f t="shared" si="4864"/>
        <v>0</v>
      </c>
    </row>
    <row r="1059" spans="2:110" ht="14" thickBot="1">
      <c r="C1059" s="554"/>
      <c r="E1059" s="9"/>
      <c r="F1059" s="10">
        <f>SUM(F1055:F1058)</f>
        <v>0</v>
      </c>
      <c r="G1059" s="11">
        <f t="shared" ref="G1059:J1059" si="4865">SUM(G1055:G1058)</f>
        <v>0</v>
      </c>
      <c r="H1059" s="11">
        <f t="shared" si="4865"/>
        <v>0</v>
      </c>
      <c r="I1059" s="11">
        <f t="shared" si="4865"/>
        <v>0</v>
      </c>
      <c r="J1059" s="11">
        <f t="shared" si="4865"/>
        <v>0</v>
      </c>
      <c r="K1059" s="25">
        <f>SUM(K1055:K1058)</f>
        <v>0</v>
      </c>
      <c r="M1059" s="10">
        <f>SUM(M1055:M1058)</f>
        <v>0</v>
      </c>
      <c r="N1059" s="11">
        <f t="shared" ref="N1059:Q1059" si="4866">SUM(N1055:N1058)</f>
        <v>0</v>
      </c>
      <c r="O1059" s="11">
        <f t="shared" si="4866"/>
        <v>0</v>
      </c>
      <c r="P1059" s="11">
        <f t="shared" si="4866"/>
        <v>0</v>
      </c>
      <c r="Q1059" s="11">
        <f t="shared" si="4866"/>
        <v>0</v>
      </c>
      <c r="R1059" s="25">
        <f>SUM(R1055:R1058)</f>
        <v>0</v>
      </c>
      <c r="T1059" s="10">
        <f>SUM(T1055:T1058)</f>
        <v>0</v>
      </c>
      <c r="U1059" s="11">
        <f t="shared" ref="U1059:X1059" si="4867">SUM(U1055:U1058)</f>
        <v>0</v>
      </c>
      <c r="V1059" s="11">
        <f t="shared" si="4867"/>
        <v>0</v>
      </c>
      <c r="W1059" s="11">
        <f t="shared" si="4867"/>
        <v>0</v>
      </c>
      <c r="X1059" s="11">
        <f t="shared" si="4867"/>
        <v>0</v>
      </c>
      <c r="Y1059" s="25">
        <f>SUM(Y1055:Y1058)</f>
        <v>0</v>
      </c>
      <c r="AA1059" s="10">
        <f>SUM(AA1055:AA1058)</f>
        <v>0</v>
      </c>
      <c r="AB1059" s="11">
        <f t="shared" ref="AB1059:AE1059" si="4868">SUM(AB1055:AB1058)</f>
        <v>0</v>
      </c>
      <c r="AC1059" s="11">
        <f t="shared" si="4868"/>
        <v>0</v>
      </c>
      <c r="AD1059" s="11">
        <f t="shared" si="4868"/>
        <v>0</v>
      </c>
      <c r="AE1059" s="11">
        <f t="shared" si="4868"/>
        <v>0</v>
      </c>
      <c r="AF1059" s="25">
        <f>SUM(AF1055:AF1058)</f>
        <v>0</v>
      </c>
      <c r="AH1059" s="10">
        <f t="shared" ref="AH1059:AM1059" si="4869">SUM(AH1055:AH1058)</f>
        <v>0</v>
      </c>
      <c r="AI1059" s="11">
        <f t="shared" si="4869"/>
        <v>0</v>
      </c>
      <c r="AJ1059" s="11">
        <f t="shared" si="4869"/>
        <v>0</v>
      </c>
      <c r="AK1059" s="11">
        <f t="shared" si="4869"/>
        <v>0</v>
      </c>
      <c r="AL1059" s="11">
        <f t="shared" si="4869"/>
        <v>0</v>
      </c>
      <c r="AM1059" s="25">
        <f t="shared" si="4869"/>
        <v>0</v>
      </c>
      <c r="AO1059" s="10">
        <f t="shared" ref="AO1059:AT1059" si="4870">SUM(AO1055:AO1058)</f>
        <v>0</v>
      </c>
      <c r="AP1059" s="11">
        <f t="shared" si="4870"/>
        <v>0</v>
      </c>
      <c r="AQ1059" s="11">
        <f t="shared" si="4870"/>
        <v>0</v>
      </c>
      <c r="AR1059" s="11">
        <f t="shared" si="4870"/>
        <v>0</v>
      </c>
      <c r="AS1059" s="11">
        <f t="shared" si="4870"/>
        <v>0</v>
      </c>
      <c r="AT1059" s="25">
        <f t="shared" si="4870"/>
        <v>0</v>
      </c>
      <c r="AV1059" s="10">
        <f t="shared" ref="AV1059:BA1059" si="4871">SUM(AV1055:AV1058)</f>
        <v>0</v>
      </c>
      <c r="AW1059" s="11">
        <f t="shared" si="4871"/>
        <v>0</v>
      </c>
      <c r="AX1059" s="11">
        <f t="shared" si="4871"/>
        <v>0</v>
      </c>
      <c r="AY1059" s="11">
        <f t="shared" si="4871"/>
        <v>0</v>
      </c>
      <c r="AZ1059" s="11">
        <f t="shared" si="4871"/>
        <v>0</v>
      </c>
      <c r="BA1059" s="25">
        <f t="shared" si="4871"/>
        <v>0</v>
      </c>
      <c r="BC1059" s="10">
        <f t="shared" ref="BC1059:BH1059" si="4872">SUM(BC1055:BC1058)</f>
        <v>0</v>
      </c>
      <c r="BD1059" s="11">
        <f t="shared" si="4872"/>
        <v>0</v>
      </c>
      <c r="BE1059" s="11">
        <f t="shared" si="4872"/>
        <v>0</v>
      </c>
      <c r="BF1059" s="11">
        <f t="shared" si="4872"/>
        <v>0</v>
      </c>
      <c r="BG1059" s="11">
        <f t="shared" si="4872"/>
        <v>0</v>
      </c>
      <c r="BH1059" s="25">
        <f t="shared" si="4872"/>
        <v>0</v>
      </c>
      <c r="BJ1059" s="10">
        <f t="shared" ref="BJ1059:BO1059" si="4873">SUM(BJ1055:BJ1058)</f>
        <v>0</v>
      </c>
      <c r="BK1059" s="11">
        <f t="shared" si="4873"/>
        <v>0</v>
      </c>
      <c r="BL1059" s="11">
        <f t="shared" si="4873"/>
        <v>0</v>
      </c>
      <c r="BM1059" s="11">
        <f t="shared" si="4873"/>
        <v>0</v>
      </c>
      <c r="BN1059" s="11">
        <f t="shared" si="4873"/>
        <v>0</v>
      </c>
      <c r="BO1059" s="25">
        <f t="shared" si="4873"/>
        <v>0</v>
      </c>
      <c r="BQ1059" s="10">
        <f t="shared" ref="BQ1059:BV1059" si="4874">SUM(BQ1055:BQ1058)</f>
        <v>0</v>
      </c>
      <c r="BR1059" s="11">
        <f t="shared" si="4874"/>
        <v>0</v>
      </c>
      <c r="BS1059" s="11">
        <f t="shared" si="4874"/>
        <v>0</v>
      </c>
      <c r="BT1059" s="11">
        <f t="shared" si="4874"/>
        <v>0</v>
      </c>
      <c r="BU1059" s="11">
        <f t="shared" si="4874"/>
        <v>0</v>
      </c>
      <c r="BV1059" s="25">
        <f t="shared" si="4874"/>
        <v>0</v>
      </c>
      <c r="BX1059" s="10">
        <f t="shared" ref="BX1059:CC1059" si="4875">SUM(BX1055:BX1058)</f>
        <v>0</v>
      </c>
      <c r="BY1059" s="11">
        <f t="shared" si="4875"/>
        <v>0</v>
      </c>
      <c r="BZ1059" s="11">
        <f t="shared" si="4875"/>
        <v>0</v>
      </c>
      <c r="CA1059" s="11">
        <f t="shared" si="4875"/>
        <v>0</v>
      </c>
      <c r="CB1059" s="11">
        <f t="shared" si="4875"/>
        <v>0</v>
      </c>
      <c r="CC1059" s="25">
        <f t="shared" si="4875"/>
        <v>0</v>
      </c>
      <c r="CE1059" s="62">
        <f t="shared" ref="CE1059:CJ1059" si="4876">SUM(CE1055:CE1058)</f>
        <v>0</v>
      </c>
      <c r="CF1059" s="63">
        <f t="shared" si="4876"/>
        <v>0</v>
      </c>
      <c r="CG1059" s="63">
        <f t="shared" si="4876"/>
        <v>0</v>
      </c>
      <c r="CH1059" s="63">
        <f t="shared" si="4876"/>
        <v>0</v>
      </c>
      <c r="CI1059" s="63">
        <f t="shared" si="4876"/>
        <v>0</v>
      </c>
      <c r="CJ1059" s="25">
        <f t="shared" si="4876"/>
        <v>0</v>
      </c>
      <c r="CL1059" s="10">
        <f>SUM(CL1055:CL1058)</f>
        <v>0</v>
      </c>
      <c r="CM1059" s="11">
        <f t="shared" ref="CM1059:CQ1059" si="4877">SUM(CM1055:CM1058)</f>
        <v>0</v>
      </c>
      <c r="CN1059" s="11">
        <f t="shared" si="4877"/>
        <v>0</v>
      </c>
      <c r="CO1059" s="11">
        <f t="shared" si="4877"/>
        <v>0</v>
      </c>
      <c r="CP1059" s="11">
        <f t="shared" si="4877"/>
        <v>0</v>
      </c>
      <c r="CQ1059" s="25">
        <f t="shared" si="4877"/>
        <v>0</v>
      </c>
      <c r="CS1059" s="10">
        <f>SUM(CS1055:CS1058)</f>
        <v>0</v>
      </c>
      <c r="CT1059" s="11">
        <f t="shared" ref="CT1059:CW1059" si="4878">SUM(CT1055:CT1058)</f>
        <v>0</v>
      </c>
      <c r="CU1059" s="11">
        <f t="shared" si="4878"/>
        <v>0</v>
      </c>
      <c r="CV1059" s="11">
        <f t="shared" si="4878"/>
        <v>0</v>
      </c>
      <c r="CW1059" s="11">
        <f t="shared" si="4878"/>
        <v>0</v>
      </c>
      <c r="CX1059" s="25">
        <f>SUM(CX1055:CX1058)</f>
        <v>0</v>
      </c>
      <c r="CZ1059" s="10">
        <f>SUM(CZ1055:CZ1058)</f>
        <v>0</v>
      </c>
      <c r="DA1059" s="11">
        <f t="shared" ref="DA1059:DD1059" si="4879">SUM(DA1055:DA1058)</f>
        <v>0</v>
      </c>
      <c r="DB1059" s="11">
        <f t="shared" si="4879"/>
        <v>0</v>
      </c>
      <c r="DC1059" s="11">
        <f t="shared" si="4879"/>
        <v>0</v>
      </c>
      <c r="DD1059" s="11">
        <f t="shared" si="4879"/>
        <v>0</v>
      </c>
      <c r="DE1059" s="25">
        <f>SUM(DE1055:DE1058)</f>
        <v>0</v>
      </c>
    </row>
    <row r="1061" spans="2:110">
      <c r="B1061" s="123"/>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row>
    <row r="1062" spans="2:110" ht="14" thickBot="1">
      <c r="B1062" s="94">
        <v>34</v>
      </c>
      <c r="C1062" s="12" t="s">
        <v>95</v>
      </c>
    </row>
    <row r="1063" spans="2:110">
      <c r="C1063" s="553">
        <v>2024</v>
      </c>
      <c r="E1063" s="1" t="s">
        <v>59</v>
      </c>
      <c r="F1063" s="2"/>
      <c r="G1063" s="3"/>
      <c r="H1063" s="3"/>
      <c r="I1063" s="3"/>
      <c r="J1063" s="3"/>
      <c r="K1063" s="4">
        <f>SUM(F1063:J1063)</f>
        <v>0</v>
      </c>
      <c r="M1063" s="2"/>
      <c r="N1063" s="3"/>
      <c r="O1063" s="3"/>
      <c r="P1063" s="3"/>
      <c r="Q1063" s="3"/>
      <c r="R1063" s="4">
        <f>SUM(M1063:Q1063)</f>
        <v>0</v>
      </c>
      <c r="T1063" s="2"/>
      <c r="U1063" s="3"/>
      <c r="V1063" s="3"/>
      <c r="W1063" s="3"/>
      <c r="X1063" s="3"/>
      <c r="Y1063" s="4">
        <f>SUM(T1063:X1063)</f>
        <v>0</v>
      </c>
      <c r="AA1063" s="2"/>
      <c r="AB1063" s="3"/>
      <c r="AC1063" s="3"/>
      <c r="AD1063" s="3"/>
      <c r="AE1063" s="3"/>
      <c r="AF1063" s="4">
        <f>SUM(AA1063:AE1063)</f>
        <v>0</v>
      </c>
      <c r="AH1063" s="2"/>
      <c r="AI1063" s="3"/>
      <c r="AJ1063" s="3"/>
      <c r="AK1063" s="3"/>
      <c r="AL1063" s="3"/>
      <c r="AM1063" s="4">
        <f>SUM(AH1063:AL1063)</f>
        <v>0</v>
      </c>
      <c r="AO1063" s="2"/>
      <c r="AP1063" s="3"/>
      <c r="AQ1063" s="3"/>
      <c r="AR1063" s="3"/>
      <c r="AS1063" s="3"/>
      <c r="AT1063" s="4">
        <f>SUM(AO1063:AS1063)</f>
        <v>0</v>
      </c>
      <c r="AV1063" s="2"/>
      <c r="AW1063" s="3"/>
      <c r="AX1063" s="3"/>
      <c r="AY1063" s="3"/>
      <c r="AZ1063" s="3"/>
      <c r="BA1063" s="4">
        <f>SUM(AV1063:AZ1063)</f>
        <v>0</v>
      </c>
      <c r="BC1063" s="2"/>
      <c r="BD1063" s="3"/>
      <c r="BE1063" s="3"/>
      <c r="BF1063" s="3"/>
      <c r="BG1063" s="3"/>
      <c r="BH1063" s="4">
        <f>SUM(BC1063:BG1063)</f>
        <v>0</v>
      </c>
      <c r="BJ1063" s="2"/>
      <c r="BK1063" s="3"/>
      <c r="BL1063" s="3"/>
      <c r="BM1063" s="3"/>
      <c r="BN1063" s="3"/>
      <c r="BO1063" s="4">
        <f>SUM(BJ1063:BN1063)</f>
        <v>0</v>
      </c>
      <c r="BQ1063" s="2"/>
      <c r="BR1063" s="3"/>
      <c r="BS1063" s="3"/>
      <c r="BT1063" s="3"/>
      <c r="BU1063" s="3"/>
      <c r="BV1063" s="4">
        <f>SUM(BQ1063:BU1063)</f>
        <v>0</v>
      </c>
      <c r="BX1063" s="2"/>
      <c r="BY1063" s="3"/>
      <c r="BZ1063" s="3"/>
      <c r="CA1063" s="3"/>
      <c r="CB1063" s="3"/>
      <c r="CC1063" s="4">
        <f>SUM(BX1063:CB1063)</f>
        <v>0</v>
      </c>
      <c r="CE1063" s="26">
        <f t="shared" ref="CE1063:CE1066" si="4880">F1063+M1063+T1063+AA1063+AH1063+AO1063+AV1063+BC1063+BJ1063+BQ1063+BX1063</f>
        <v>0</v>
      </c>
      <c r="CF1063" s="27">
        <f t="shared" ref="CF1063:CF1066" si="4881">G1063+N1063+U1063+AB1063+AI1063+AP1063+AW1063+BD1063+BK1063+BR1063+BY1063</f>
        <v>0</v>
      </c>
      <c r="CG1063" s="27">
        <f t="shared" ref="CG1063:CG1066" si="4882">H1063+O1063+V1063+AC1063+AJ1063+AQ1063+AX1063+BE1063+BL1063+BS1063+BZ1063</f>
        <v>0</v>
      </c>
      <c r="CH1063" s="27">
        <f t="shared" ref="CH1063:CH1066" si="4883">I1063+P1063+W1063+AD1063+AK1063+AR1063+AY1063+BF1063+BM1063+BT1063+CA1063</f>
        <v>0</v>
      </c>
      <c r="CI1063" s="27">
        <f t="shared" ref="CI1063:CI1066" si="4884">J1063+Q1063+X1063+AE1063+AL1063+AS1063+AZ1063+BG1063+BN1063+BU1063+CB1063</f>
        <v>0</v>
      </c>
      <c r="CJ1063" s="4">
        <f>SUM(CE1063:CI1063)</f>
        <v>0</v>
      </c>
      <c r="CL1063" s="2"/>
      <c r="CM1063" s="3"/>
      <c r="CN1063" s="3"/>
      <c r="CO1063" s="3"/>
      <c r="CP1063" s="3"/>
      <c r="CQ1063" s="4">
        <f>SUM(CL1063:CP1063)</f>
        <v>0</v>
      </c>
      <c r="CS1063" s="2"/>
      <c r="CT1063" s="3"/>
      <c r="CU1063" s="3"/>
      <c r="CV1063" s="3"/>
      <c r="CW1063" s="3"/>
      <c r="CX1063" s="4">
        <f>SUM(CS1063:CW1063)</f>
        <v>0</v>
      </c>
      <c r="CZ1063" s="2"/>
      <c r="DA1063" s="3"/>
      <c r="DB1063" s="3"/>
      <c r="DC1063" s="3"/>
      <c r="DD1063" s="3"/>
      <c r="DE1063" s="4">
        <f>SUM(CZ1063:DD1063)</f>
        <v>0</v>
      </c>
    </row>
    <row r="1064" spans="2:110">
      <c r="C1064" s="567"/>
      <c r="E1064" s="5" t="s">
        <v>60</v>
      </c>
      <c r="F1064" s="6"/>
      <c r="G1064" s="7"/>
      <c r="H1064" s="7"/>
      <c r="I1064" s="7"/>
      <c r="J1064" s="7"/>
      <c r="K1064" s="8">
        <f t="shared" ref="K1064:K1066" si="4885">SUM(F1064:J1064)</f>
        <v>0</v>
      </c>
      <c r="M1064" s="6"/>
      <c r="N1064" s="7"/>
      <c r="O1064" s="7"/>
      <c r="P1064" s="7"/>
      <c r="Q1064" s="7"/>
      <c r="R1064" s="8">
        <f t="shared" ref="R1064:R1066" si="4886">SUM(M1064:Q1064)</f>
        <v>0</v>
      </c>
      <c r="T1064" s="6"/>
      <c r="U1064" s="7"/>
      <c r="V1064" s="7"/>
      <c r="W1064" s="7"/>
      <c r="X1064" s="7"/>
      <c r="Y1064" s="8">
        <f t="shared" ref="Y1064:Y1066" si="4887">SUM(T1064:X1064)</f>
        <v>0</v>
      </c>
      <c r="AA1064" s="6"/>
      <c r="AB1064" s="7"/>
      <c r="AC1064" s="7"/>
      <c r="AD1064" s="7"/>
      <c r="AE1064" s="7"/>
      <c r="AF1064" s="8">
        <f>SUM(AA1064:AE1064)</f>
        <v>0</v>
      </c>
      <c r="AH1064" s="6"/>
      <c r="AI1064" s="7"/>
      <c r="AJ1064" s="7"/>
      <c r="AK1064" s="7"/>
      <c r="AL1064" s="7"/>
      <c r="AM1064" s="8">
        <f>SUM(AH1064:AL1064)</f>
        <v>0</v>
      </c>
      <c r="AO1064" s="6"/>
      <c r="AP1064" s="7"/>
      <c r="AQ1064" s="7"/>
      <c r="AR1064" s="7"/>
      <c r="AS1064" s="7"/>
      <c r="AT1064" s="8">
        <f>SUM(AO1064:AS1064)</f>
        <v>0</v>
      </c>
      <c r="AV1064" s="6"/>
      <c r="AW1064" s="7"/>
      <c r="AX1064" s="7"/>
      <c r="AY1064" s="7"/>
      <c r="AZ1064" s="7"/>
      <c r="BA1064" s="8">
        <f>SUM(AV1064:AZ1064)</f>
        <v>0</v>
      </c>
      <c r="BC1064" s="6"/>
      <c r="BD1064" s="7"/>
      <c r="BE1064" s="7"/>
      <c r="BF1064" s="7"/>
      <c r="BG1064" s="7"/>
      <c r="BH1064" s="8">
        <f>SUM(BC1064:BG1064)</f>
        <v>0</v>
      </c>
      <c r="BJ1064" s="6"/>
      <c r="BK1064" s="7"/>
      <c r="BL1064" s="7"/>
      <c r="BM1064" s="7"/>
      <c r="BN1064" s="7"/>
      <c r="BO1064" s="8">
        <f>SUM(BJ1064:BN1064)</f>
        <v>0</v>
      </c>
      <c r="BQ1064" s="6"/>
      <c r="BR1064" s="7"/>
      <c r="BS1064" s="7"/>
      <c r="BT1064" s="7"/>
      <c r="BU1064" s="7"/>
      <c r="BV1064" s="8">
        <f>SUM(BQ1064:BU1064)</f>
        <v>0</v>
      </c>
      <c r="BX1064" s="6"/>
      <c r="BY1064" s="7"/>
      <c r="BZ1064" s="7"/>
      <c r="CA1064" s="7"/>
      <c r="CB1064" s="7"/>
      <c r="CC1064" s="8">
        <f>SUM(BX1064:CB1064)</f>
        <v>0</v>
      </c>
      <c r="CE1064" s="28">
        <f t="shared" si="4880"/>
        <v>0</v>
      </c>
      <c r="CF1064" s="29">
        <f t="shared" si="4881"/>
        <v>0</v>
      </c>
      <c r="CG1064" s="29">
        <f t="shared" si="4882"/>
        <v>0</v>
      </c>
      <c r="CH1064" s="29">
        <f t="shared" si="4883"/>
        <v>0</v>
      </c>
      <c r="CI1064" s="29">
        <f t="shared" si="4884"/>
        <v>0</v>
      </c>
      <c r="CJ1064" s="8">
        <f>SUM(CE1064:CI1064)</f>
        <v>0</v>
      </c>
      <c r="CL1064" s="6"/>
      <c r="CM1064" s="7"/>
      <c r="CN1064" s="7"/>
      <c r="CO1064" s="7"/>
      <c r="CP1064" s="7"/>
      <c r="CQ1064" s="8">
        <f>SUM(CL1064:CP1064)</f>
        <v>0</v>
      </c>
      <c r="CS1064" s="6"/>
      <c r="CT1064" s="7"/>
      <c r="CU1064" s="7"/>
      <c r="CV1064" s="7"/>
      <c r="CW1064" s="7"/>
      <c r="CX1064" s="8">
        <f t="shared" ref="CX1064:CX1066" si="4888">SUM(CS1064:CW1064)</f>
        <v>0</v>
      </c>
      <c r="CZ1064" s="6"/>
      <c r="DA1064" s="7"/>
      <c r="DB1064" s="7"/>
      <c r="DC1064" s="7"/>
      <c r="DD1064" s="7"/>
      <c r="DE1064" s="8">
        <f t="shared" ref="DE1064:DE1066" si="4889">SUM(CZ1064:DD1064)</f>
        <v>0</v>
      </c>
    </row>
    <row r="1065" spans="2:110">
      <c r="C1065" s="567"/>
      <c r="E1065" s="5" t="s">
        <v>61</v>
      </c>
      <c r="F1065" s="6"/>
      <c r="G1065" s="7"/>
      <c r="H1065" s="7"/>
      <c r="I1065" s="7"/>
      <c r="J1065" s="7"/>
      <c r="K1065" s="8">
        <f t="shared" si="4885"/>
        <v>0</v>
      </c>
      <c r="M1065" s="6"/>
      <c r="N1065" s="7"/>
      <c r="O1065" s="7"/>
      <c r="P1065" s="7"/>
      <c r="Q1065" s="7"/>
      <c r="R1065" s="8">
        <f t="shared" si="4886"/>
        <v>0</v>
      </c>
      <c r="T1065" s="6"/>
      <c r="U1065" s="7"/>
      <c r="V1065" s="7"/>
      <c r="W1065" s="7"/>
      <c r="X1065" s="7"/>
      <c r="Y1065" s="8">
        <f t="shared" si="4887"/>
        <v>0</v>
      </c>
      <c r="AA1065" s="6"/>
      <c r="AB1065" s="7"/>
      <c r="AC1065" s="7"/>
      <c r="AD1065" s="7"/>
      <c r="AE1065" s="7"/>
      <c r="AF1065" s="8">
        <f>SUM(AA1065:AE1065)</f>
        <v>0</v>
      </c>
      <c r="AH1065" s="6"/>
      <c r="AI1065" s="7"/>
      <c r="AJ1065" s="7"/>
      <c r="AK1065" s="7"/>
      <c r="AL1065" s="7"/>
      <c r="AM1065" s="8">
        <f>SUM(AH1065:AL1065)</f>
        <v>0</v>
      </c>
      <c r="AO1065" s="6"/>
      <c r="AP1065" s="7"/>
      <c r="AQ1065" s="7"/>
      <c r="AR1065" s="7"/>
      <c r="AS1065" s="7"/>
      <c r="AT1065" s="8">
        <f>SUM(AO1065:AS1065)</f>
        <v>0</v>
      </c>
      <c r="AV1065" s="6"/>
      <c r="AW1065" s="7"/>
      <c r="AX1065" s="7"/>
      <c r="AY1065" s="7"/>
      <c r="AZ1065" s="7"/>
      <c r="BA1065" s="8">
        <f>SUM(AV1065:AZ1065)</f>
        <v>0</v>
      </c>
      <c r="BC1065" s="6"/>
      <c r="BD1065" s="7"/>
      <c r="BE1065" s="7"/>
      <c r="BF1065" s="7"/>
      <c r="BG1065" s="7"/>
      <c r="BH1065" s="8">
        <f>SUM(BC1065:BG1065)</f>
        <v>0</v>
      </c>
      <c r="BJ1065" s="6"/>
      <c r="BK1065" s="7"/>
      <c r="BL1065" s="7"/>
      <c r="BM1065" s="7"/>
      <c r="BN1065" s="7"/>
      <c r="BO1065" s="8">
        <f>SUM(BJ1065:BN1065)</f>
        <v>0</v>
      </c>
      <c r="BQ1065" s="6"/>
      <c r="BR1065" s="7"/>
      <c r="BS1065" s="7"/>
      <c r="BT1065" s="7"/>
      <c r="BU1065" s="7"/>
      <c r="BV1065" s="8">
        <f>SUM(BQ1065:BU1065)</f>
        <v>0</v>
      </c>
      <c r="BX1065" s="6"/>
      <c r="BY1065" s="7"/>
      <c r="BZ1065" s="7"/>
      <c r="CA1065" s="7"/>
      <c r="CB1065" s="7"/>
      <c r="CC1065" s="8">
        <f>SUM(BX1065:CB1065)</f>
        <v>0</v>
      </c>
      <c r="CE1065" s="28">
        <f t="shared" si="4880"/>
        <v>0</v>
      </c>
      <c r="CF1065" s="29">
        <f t="shared" si="4881"/>
        <v>0</v>
      </c>
      <c r="CG1065" s="29">
        <f t="shared" si="4882"/>
        <v>0</v>
      </c>
      <c r="CH1065" s="29">
        <f t="shared" si="4883"/>
        <v>0</v>
      </c>
      <c r="CI1065" s="29">
        <f t="shared" si="4884"/>
        <v>0</v>
      </c>
      <c r="CJ1065" s="8">
        <f>SUM(CE1065:CI1065)</f>
        <v>0</v>
      </c>
      <c r="CL1065" s="6"/>
      <c r="CM1065" s="7"/>
      <c r="CN1065" s="7"/>
      <c r="CO1065" s="7"/>
      <c r="CP1065" s="7"/>
      <c r="CQ1065" s="8">
        <f>SUM(CL1065:CP1065)</f>
        <v>0</v>
      </c>
      <c r="CS1065" s="6"/>
      <c r="CT1065" s="7"/>
      <c r="CU1065" s="7"/>
      <c r="CV1065" s="7"/>
      <c r="CW1065" s="7"/>
      <c r="CX1065" s="8">
        <f t="shared" si="4888"/>
        <v>0</v>
      </c>
      <c r="CZ1065" s="6"/>
      <c r="DA1065" s="7"/>
      <c r="DB1065" s="7"/>
      <c r="DC1065" s="7"/>
      <c r="DD1065" s="7"/>
      <c r="DE1065" s="8">
        <f t="shared" si="4889"/>
        <v>0</v>
      </c>
    </row>
    <row r="1066" spans="2:110" ht="14" thickBot="1">
      <c r="C1066" s="567"/>
      <c r="E1066" s="5" t="s">
        <v>62</v>
      </c>
      <c r="F1066" s="6"/>
      <c r="G1066" s="7"/>
      <c r="H1066" s="7"/>
      <c r="I1066" s="7"/>
      <c r="J1066" s="7"/>
      <c r="K1066" s="8">
        <f t="shared" si="4885"/>
        <v>0</v>
      </c>
      <c r="M1066" s="6"/>
      <c r="N1066" s="7"/>
      <c r="O1066" s="7"/>
      <c r="P1066" s="7"/>
      <c r="Q1066" s="7"/>
      <c r="R1066" s="8">
        <f t="shared" si="4886"/>
        <v>0</v>
      </c>
      <c r="T1066" s="6"/>
      <c r="U1066" s="7"/>
      <c r="V1066" s="7"/>
      <c r="W1066" s="7"/>
      <c r="X1066" s="7"/>
      <c r="Y1066" s="8">
        <f t="shared" si="4887"/>
        <v>0</v>
      </c>
      <c r="AA1066" s="6"/>
      <c r="AB1066" s="7"/>
      <c r="AC1066" s="7"/>
      <c r="AD1066" s="7"/>
      <c r="AE1066" s="7"/>
      <c r="AF1066" s="8">
        <f>SUM(AA1066:AE1066)</f>
        <v>0</v>
      </c>
      <c r="AH1066" s="6"/>
      <c r="AI1066" s="7"/>
      <c r="AJ1066" s="7"/>
      <c r="AK1066" s="7"/>
      <c r="AL1066" s="7"/>
      <c r="AM1066" s="8">
        <f>SUM(AH1066:AL1066)</f>
        <v>0</v>
      </c>
      <c r="AO1066" s="6"/>
      <c r="AP1066" s="7"/>
      <c r="AQ1066" s="7"/>
      <c r="AR1066" s="7"/>
      <c r="AS1066" s="7"/>
      <c r="AT1066" s="8">
        <f>SUM(AO1066:AS1066)</f>
        <v>0</v>
      </c>
      <c r="AV1066" s="6"/>
      <c r="AW1066" s="7"/>
      <c r="AX1066" s="7"/>
      <c r="AY1066" s="7"/>
      <c r="AZ1066" s="7"/>
      <c r="BA1066" s="8">
        <f>SUM(AV1066:AZ1066)</f>
        <v>0</v>
      </c>
      <c r="BC1066" s="6"/>
      <c r="BD1066" s="7"/>
      <c r="BE1066" s="7"/>
      <c r="BF1066" s="7"/>
      <c r="BG1066" s="7"/>
      <c r="BH1066" s="8">
        <f>SUM(BC1066:BG1066)</f>
        <v>0</v>
      </c>
      <c r="BJ1066" s="6"/>
      <c r="BK1066" s="7"/>
      <c r="BL1066" s="7"/>
      <c r="BM1066" s="7"/>
      <c r="BN1066" s="7"/>
      <c r="BO1066" s="8">
        <f>SUM(BJ1066:BN1066)</f>
        <v>0</v>
      </c>
      <c r="BQ1066" s="6"/>
      <c r="BR1066" s="7"/>
      <c r="BS1066" s="7"/>
      <c r="BT1066" s="7"/>
      <c r="BU1066" s="7"/>
      <c r="BV1066" s="8">
        <f>SUM(BQ1066:BU1066)</f>
        <v>0</v>
      </c>
      <c r="BX1066" s="6"/>
      <c r="BY1066" s="7"/>
      <c r="BZ1066" s="7"/>
      <c r="CA1066" s="7"/>
      <c r="CB1066" s="7"/>
      <c r="CC1066" s="8">
        <f>SUM(BX1066:CB1066)</f>
        <v>0</v>
      </c>
      <c r="CE1066" s="493">
        <f t="shared" si="4880"/>
        <v>0</v>
      </c>
      <c r="CF1066" s="494">
        <f t="shared" si="4881"/>
        <v>0</v>
      </c>
      <c r="CG1066" s="494">
        <f t="shared" si="4882"/>
        <v>0</v>
      </c>
      <c r="CH1066" s="494">
        <f t="shared" si="4883"/>
        <v>0</v>
      </c>
      <c r="CI1066" s="494">
        <f t="shared" si="4884"/>
        <v>0</v>
      </c>
      <c r="CJ1066" s="495">
        <f>SUM(CE1066:CI1066)</f>
        <v>0</v>
      </c>
      <c r="CL1066" s="6"/>
      <c r="CM1066" s="7"/>
      <c r="CN1066" s="7"/>
      <c r="CO1066" s="7"/>
      <c r="CP1066" s="7"/>
      <c r="CQ1066" s="8">
        <f>SUM(CL1066:CP1066)</f>
        <v>0</v>
      </c>
      <c r="CS1066" s="6"/>
      <c r="CT1066" s="7"/>
      <c r="CU1066" s="7"/>
      <c r="CV1066" s="7"/>
      <c r="CW1066" s="7"/>
      <c r="CX1066" s="8">
        <f t="shared" si="4888"/>
        <v>0</v>
      </c>
      <c r="CZ1066" s="6"/>
      <c r="DA1066" s="7"/>
      <c r="DB1066" s="7"/>
      <c r="DC1066" s="7"/>
      <c r="DD1066" s="7"/>
      <c r="DE1066" s="8">
        <f t="shared" si="4889"/>
        <v>0</v>
      </c>
    </row>
    <row r="1067" spans="2:110" ht="14" thickBot="1">
      <c r="C1067" s="554"/>
      <c r="E1067" s="9"/>
      <c r="F1067" s="10">
        <f>SUM(F1063:F1066)</f>
        <v>0</v>
      </c>
      <c r="G1067" s="11">
        <f t="shared" ref="G1067:J1067" si="4890">SUM(G1063:G1066)</f>
        <v>0</v>
      </c>
      <c r="H1067" s="11">
        <f t="shared" si="4890"/>
        <v>0</v>
      </c>
      <c r="I1067" s="11">
        <f t="shared" si="4890"/>
        <v>0</v>
      </c>
      <c r="J1067" s="61">
        <f t="shared" si="4890"/>
        <v>0</v>
      </c>
      <c r="K1067" s="25">
        <f>SUM(K1063:K1066)</f>
        <v>0</v>
      </c>
      <c r="M1067" s="10">
        <f>SUM(M1063:M1066)</f>
        <v>0</v>
      </c>
      <c r="N1067" s="11">
        <f t="shared" ref="N1067:Q1067" si="4891">SUM(N1063:N1066)</f>
        <v>0</v>
      </c>
      <c r="O1067" s="11">
        <f t="shared" si="4891"/>
        <v>0</v>
      </c>
      <c r="P1067" s="11">
        <f t="shared" si="4891"/>
        <v>0</v>
      </c>
      <c r="Q1067" s="11">
        <f t="shared" si="4891"/>
        <v>0</v>
      </c>
      <c r="R1067" s="25">
        <f>SUM(R1063:R1066)</f>
        <v>0</v>
      </c>
      <c r="T1067" s="10">
        <f>SUM(T1063:T1066)</f>
        <v>0</v>
      </c>
      <c r="U1067" s="11">
        <f t="shared" ref="U1067:X1067" si="4892">SUM(U1063:U1066)</f>
        <v>0</v>
      </c>
      <c r="V1067" s="11">
        <f t="shared" si="4892"/>
        <v>0</v>
      </c>
      <c r="W1067" s="11">
        <f t="shared" si="4892"/>
        <v>0</v>
      </c>
      <c r="X1067" s="11">
        <f t="shared" si="4892"/>
        <v>0</v>
      </c>
      <c r="Y1067" s="25">
        <f>SUM(Y1063:Y1066)</f>
        <v>0</v>
      </c>
      <c r="AA1067" s="10">
        <f>SUM(AA1063:AA1066)</f>
        <v>0</v>
      </c>
      <c r="AB1067" s="11">
        <f t="shared" ref="AB1067:AE1067" si="4893">SUM(AB1063:AB1066)</f>
        <v>0</v>
      </c>
      <c r="AC1067" s="11">
        <f t="shared" si="4893"/>
        <v>0</v>
      </c>
      <c r="AD1067" s="11">
        <f t="shared" si="4893"/>
        <v>0</v>
      </c>
      <c r="AE1067" s="11">
        <f t="shared" si="4893"/>
        <v>0</v>
      </c>
      <c r="AF1067" s="25">
        <f>SUM(AF1063:AF1066)</f>
        <v>0</v>
      </c>
      <c r="AH1067" s="10">
        <f t="shared" ref="AH1067:AM1067" si="4894">SUM(AH1063:AH1066)</f>
        <v>0</v>
      </c>
      <c r="AI1067" s="11">
        <f t="shared" si="4894"/>
        <v>0</v>
      </c>
      <c r="AJ1067" s="11">
        <f t="shared" si="4894"/>
        <v>0</v>
      </c>
      <c r="AK1067" s="11">
        <f t="shared" si="4894"/>
        <v>0</v>
      </c>
      <c r="AL1067" s="11">
        <f t="shared" si="4894"/>
        <v>0</v>
      </c>
      <c r="AM1067" s="25">
        <f t="shared" si="4894"/>
        <v>0</v>
      </c>
      <c r="AO1067" s="10">
        <f t="shared" ref="AO1067:AT1067" si="4895">SUM(AO1063:AO1066)</f>
        <v>0</v>
      </c>
      <c r="AP1067" s="11">
        <f t="shared" si="4895"/>
        <v>0</v>
      </c>
      <c r="AQ1067" s="11">
        <f t="shared" si="4895"/>
        <v>0</v>
      </c>
      <c r="AR1067" s="11">
        <f t="shared" si="4895"/>
        <v>0</v>
      </c>
      <c r="AS1067" s="11">
        <f t="shared" si="4895"/>
        <v>0</v>
      </c>
      <c r="AT1067" s="25">
        <f t="shared" si="4895"/>
        <v>0</v>
      </c>
      <c r="AV1067" s="10">
        <f t="shared" ref="AV1067:BA1067" si="4896">SUM(AV1063:AV1066)</f>
        <v>0</v>
      </c>
      <c r="AW1067" s="11">
        <f t="shared" si="4896"/>
        <v>0</v>
      </c>
      <c r="AX1067" s="11">
        <f t="shared" si="4896"/>
        <v>0</v>
      </c>
      <c r="AY1067" s="11">
        <f t="shared" si="4896"/>
        <v>0</v>
      </c>
      <c r="AZ1067" s="11">
        <f t="shared" si="4896"/>
        <v>0</v>
      </c>
      <c r="BA1067" s="25">
        <f t="shared" si="4896"/>
        <v>0</v>
      </c>
      <c r="BC1067" s="10">
        <f t="shared" ref="BC1067:BH1067" si="4897">SUM(BC1063:BC1066)</f>
        <v>0</v>
      </c>
      <c r="BD1067" s="11">
        <f t="shared" si="4897"/>
        <v>0</v>
      </c>
      <c r="BE1067" s="11">
        <f t="shared" si="4897"/>
        <v>0</v>
      </c>
      <c r="BF1067" s="11">
        <f t="shared" si="4897"/>
        <v>0</v>
      </c>
      <c r="BG1067" s="11">
        <f t="shared" si="4897"/>
        <v>0</v>
      </c>
      <c r="BH1067" s="25">
        <f t="shared" si="4897"/>
        <v>0</v>
      </c>
      <c r="BJ1067" s="10">
        <f t="shared" ref="BJ1067:BO1067" si="4898">SUM(BJ1063:BJ1066)</f>
        <v>0</v>
      </c>
      <c r="BK1067" s="11">
        <f t="shared" si="4898"/>
        <v>0</v>
      </c>
      <c r="BL1067" s="11">
        <f t="shared" si="4898"/>
        <v>0</v>
      </c>
      <c r="BM1067" s="11">
        <f t="shared" si="4898"/>
        <v>0</v>
      </c>
      <c r="BN1067" s="11">
        <f t="shared" si="4898"/>
        <v>0</v>
      </c>
      <c r="BO1067" s="25">
        <f t="shared" si="4898"/>
        <v>0</v>
      </c>
      <c r="BQ1067" s="10">
        <f t="shared" ref="BQ1067:BV1067" si="4899">SUM(BQ1063:BQ1066)</f>
        <v>0</v>
      </c>
      <c r="BR1067" s="11">
        <f t="shared" si="4899"/>
        <v>0</v>
      </c>
      <c r="BS1067" s="11">
        <f t="shared" si="4899"/>
        <v>0</v>
      </c>
      <c r="BT1067" s="11">
        <f t="shared" si="4899"/>
        <v>0</v>
      </c>
      <c r="BU1067" s="11">
        <f t="shared" si="4899"/>
        <v>0</v>
      </c>
      <c r="BV1067" s="25">
        <f t="shared" si="4899"/>
        <v>0</v>
      </c>
      <c r="BX1067" s="10">
        <f t="shared" ref="BX1067:CC1067" si="4900">SUM(BX1063:BX1066)</f>
        <v>0</v>
      </c>
      <c r="BY1067" s="11">
        <f t="shared" si="4900"/>
        <v>0</v>
      </c>
      <c r="BZ1067" s="11">
        <f t="shared" si="4900"/>
        <v>0</v>
      </c>
      <c r="CA1067" s="11">
        <f t="shared" si="4900"/>
        <v>0</v>
      </c>
      <c r="CB1067" s="11">
        <f t="shared" si="4900"/>
        <v>0</v>
      </c>
      <c r="CC1067" s="25">
        <f t="shared" si="4900"/>
        <v>0</v>
      </c>
      <c r="CE1067" s="62">
        <f t="shared" ref="CE1067:CJ1067" si="4901">SUM(CE1063:CE1066)</f>
        <v>0</v>
      </c>
      <c r="CF1067" s="63">
        <f t="shared" si="4901"/>
        <v>0</v>
      </c>
      <c r="CG1067" s="63">
        <f t="shared" si="4901"/>
        <v>0</v>
      </c>
      <c r="CH1067" s="63">
        <f t="shared" si="4901"/>
        <v>0</v>
      </c>
      <c r="CI1067" s="63">
        <f t="shared" si="4901"/>
        <v>0</v>
      </c>
      <c r="CJ1067" s="25">
        <f t="shared" si="4901"/>
        <v>0</v>
      </c>
      <c r="CL1067" s="10">
        <f>SUM(CL1063:CL1066)</f>
        <v>0</v>
      </c>
      <c r="CM1067" s="11">
        <f t="shared" ref="CM1067:CQ1067" si="4902">SUM(CM1063:CM1066)</f>
        <v>0</v>
      </c>
      <c r="CN1067" s="11">
        <f t="shared" si="4902"/>
        <v>0</v>
      </c>
      <c r="CO1067" s="11">
        <f t="shared" si="4902"/>
        <v>0</v>
      </c>
      <c r="CP1067" s="11">
        <f t="shared" si="4902"/>
        <v>0</v>
      </c>
      <c r="CQ1067" s="25">
        <f t="shared" si="4902"/>
        <v>0</v>
      </c>
      <c r="CS1067" s="10">
        <f>SUM(CS1063:CS1066)</f>
        <v>0</v>
      </c>
      <c r="CT1067" s="11">
        <f t="shared" ref="CT1067:CW1067" si="4903">SUM(CT1063:CT1066)</f>
        <v>0</v>
      </c>
      <c r="CU1067" s="11">
        <f t="shared" si="4903"/>
        <v>0</v>
      </c>
      <c r="CV1067" s="11">
        <f t="shared" si="4903"/>
        <v>0</v>
      </c>
      <c r="CW1067" s="11">
        <f t="shared" si="4903"/>
        <v>0</v>
      </c>
      <c r="CX1067" s="25">
        <f>SUM(CX1063:CX1066)</f>
        <v>0</v>
      </c>
      <c r="CZ1067" s="10">
        <f>SUM(CZ1063:CZ1066)</f>
        <v>0</v>
      </c>
      <c r="DA1067" s="11">
        <f t="shared" ref="DA1067:DD1067" si="4904">SUM(DA1063:DA1066)</f>
        <v>0</v>
      </c>
      <c r="DB1067" s="11">
        <f t="shared" si="4904"/>
        <v>0</v>
      </c>
      <c r="DC1067" s="11">
        <f t="shared" si="4904"/>
        <v>0</v>
      </c>
      <c r="DD1067" s="11">
        <f t="shared" si="4904"/>
        <v>0</v>
      </c>
      <c r="DE1067" s="25">
        <f>SUM(DE1063:DE1066)</f>
        <v>0</v>
      </c>
    </row>
    <row r="1068" spans="2:110" ht="10.4" customHeight="1" thickBot="1"/>
    <row r="1069" spans="2:110">
      <c r="C1069" s="553">
        <v>2025</v>
      </c>
      <c r="E1069" s="13" t="s">
        <v>59</v>
      </c>
      <c r="F1069" s="21">
        <f>CE1063</f>
        <v>0</v>
      </c>
      <c r="G1069" s="22">
        <f t="shared" ref="G1069:G1072" si="4905">CF1063</f>
        <v>0</v>
      </c>
      <c r="H1069" s="22">
        <f t="shared" ref="H1069:H1072" si="4906">CG1063</f>
        <v>0</v>
      </c>
      <c r="I1069" s="22">
        <f t="shared" ref="I1069:I1072" si="4907">CH1063</f>
        <v>0</v>
      </c>
      <c r="J1069" s="22">
        <f t="shared" ref="J1069:J1072" si="4908">CI1063</f>
        <v>0</v>
      </c>
      <c r="K1069" s="15">
        <f>SUM(F1069:J1069)</f>
        <v>0</v>
      </c>
      <c r="M1069" s="2"/>
      <c r="N1069" s="3"/>
      <c r="O1069" s="3"/>
      <c r="P1069" s="3"/>
      <c r="Q1069" s="3"/>
      <c r="R1069" s="15">
        <f>SUM(M1069:Q1069)</f>
        <v>0</v>
      </c>
      <c r="T1069" s="2"/>
      <c r="U1069" s="3"/>
      <c r="V1069" s="3"/>
      <c r="W1069" s="3"/>
      <c r="X1069" s="3"/>
      <c r="Y1069" s="15">
        <f>SUM(T1069:X1069)</f>
        <v>0</v>
      </c>
      <c r="AA1069" s="2"/>
      <c r="AB1069" s="3"/>
      <c r="AC1069" s="3"/>
      <c r="AD1069" s="3"/>
      <c r="AE1069" s="3"/>
      <c r="AF1069" s="15">
        <f>SUM(AA1069:AE1069)</f>
        <v>0</v>
      </c>
      <c r="AH1069" s="2"/>
      <c r="AI1069" s="3"/>
      <c r="AJ1069" s="3"/>
      <c r="AK1069" s="3"/>
      <c r="AL1069" s="3"/>
      <c r="AM1069" s="15">
        <f>SUM(AH1069:AL1069)</f>
        <v>0</v>
      </c>
      <c r="AO1069" s="2"/>
      <c r="AP1069" s="3"/>
      <c r="AQ1069" s="3"/>
      <c r="AR1069" s="3"/>
      <c r="AS1069" s="3"/>
      <c r="AT1069" s="15">
        <f>SUM(AO1069:AS1069)</f>
        <v>0</v>
      </c>
      <c r="AV1069" s="2"/>
      <c r="AW1069" s="3"/>
      <c r="AX1069" s="3"/>
      <c r="AY1069" s="3"/>
      <c r="AZ1069" s="3"/>
      <c r="BA1069" s="15">
        <f>SUM(AV1069:AZ1069)</f>
        <v>0</v>
      </c>
      <c r="BC1069" s="2"/>
      <c r="BD1069" s="3"/>
      <c r="BE1069" s="3"/>
      <c r="BF1069" s="3"/>
      <c r="BG1069" s="3"/>
      <c r="BH1069" s="15">
        <f>SUM(BC1069:BG1069)</f>
        <v>0</v>
      </c>
      <c r="BJ1069" s="2"/>
      <c r="BK1069" s="3"/>
      <c r="BL1069" s="3"/>
      <c r="BM1069" s="3"/>
      <c r="BN1069" s="3"/>
      <c r="BO1069" s="15">
        <f>SUM(BJ1069:BN1069)</f>
        <v>0</v>
      </c>
      <c r="BQ1069" s="2"/>
      <c r="BR1069" s="3"/>
      <c r="BS1069" s="3"/>
      <c r="BT1069" s="3"/>
      <c r="BU1069" s="3"/>
      <c r="BV1069" s="15">
        <f>SUM(BQ1069:BU1069)</f>
        <v>0</v>
      </c>
      <c r="BX1069" s="2"/>
      <c r="BY1069" s="3"/>
      <c r="BZ1069" s="3"/>
      <c r="CA1069" s="3"/>
      <c r="CB1069" s="3"/>
      <c r="CC1069" s="15">
        <f>SUM(BX1069:CB1069)</f>
        <v>0</v>
      </c>
      <c r="CE1069" s="26">
        <f t="shared" ref="CE1069:CE1072" si="4909">F1069+M1069+T1069+AA1069+AH1069+AO1069+AV1069+BC1069+BJ1069+BQ1069+BX1069</f>
        <v>0</v>
      </c>
      <c r="CF1069" s="27">
        <f t="shared" ref="CF1069:CF1072" si="4910">G1069+N1069+U1069+AB1069+AI1069+AP1069+AW1069+BD1069+BK1069+BR1069+BY1069</f>
        <v>0</v>
      </c>
      <c r="CG1069" s="27">
        <f t="shared" ref="CG1069:CG1072" si="4911">H1069+O1069+V1069+AC1069+AJ1069+AQ1069+AX1069+BE1069+BL1069+BS1069+BZ1069</f>
        <v>0</v>
      </c>
      <c r="CH1069" s="27">
        <f t="shared" ref="CH1069:CH1072" si="4912">I1069+P1069+W1069+AD1069+AK1069+AR1069+AY1069+BF1069+BM1069+BT1069+CA1069</f>
        <v>0</v>
      </c>
      <c r="CI1069" s="27">
        <f t="shared" ref="CI1069:CI1072" si="4913">J1069+Q1069+X1069+AE1069+AL1069+AS1069+AZ1069+BG1069+BN1069+BU1069+CB1069</f>
        <v>0</v>
      </c>
      <c r="CJ1069" s="4">
        <f>SUM(CE1069:CI1069)</f>
        <v>0</v>
      </c>
      <c r="CL1069" s="2"/>
      <c r="CM1069" s="3"/>
      <c r="CN1069" s="3"/>
      <c r="CO1069" s="3"/>
      <c r="CP1069" s="3"/>
      <c r="CQ1069" s="15">
        <f>SUM(CL1069:CP1069)</f>
        <v>0</v>
      </c>
      <c r="CS1069" s="2"/>
      <c r="CT1069" s="3"/>
      <c r="CU1069" s="3"/>
      <c r="CV1069" s="3"/>
      <c r="CW1069" s="3"/>
      <c r="CX1069" s="4">
        <f>SUM(CS1069:CW1069)</f>
        <v>0</v>
      </c>
      <c r="CZ1069" s="2"/>
      <c r="DA1069" s="3"/>
      <c r="DB1069" s="3"/>
      <c r="DC1069" s="3"/>
      <c r="DD1069" s="3"/>
      <c r="DE1069" s="15">
        <f>SUM(CZ1069:DD1069)</f>
        <v>0</v>
      </c>
    </row>
    <row r="1070" spans="2:110">
      <c r="C1070" s="567"/>
      <c r="E1070" s="14" t="s">
        <v>60</v>
      </c>
      <c r="F1070" s="23">
        <f t="shared" ref="F1070:F1072" si="4914">CE1064</f>
        <v>0</v>
      </c>
      <c r="G1070" s="24">
        <f t="shared" si="4905"/>
        <v>0</v>
      </c>
      <c r="H1070" s="24">
        <f t="shared" si="4906"/>
        <v>0</v>
      </c>
      <c r="I1070" s="24">
        <f t="shared" si="4907"/>
        <v>0</v>
      </c>
      <c r="J1070" s="24">
        <f t="shared" si="4908"/>
        <v>0</v>
      </c>
      <c r="K1070" s="16">
        <f t="shared" ref="K1070:K1072" si="4915">SUM(F1070:J1070)</f>
        <v>0</v>
      </c>
      <c r="M1070" s="6"/>
      <c r="N1070" s="7"/>
      <c r="O1070" s="7"/>
      <c r="P1070" s="7"/>
      <c r="Q1070" s="7"/>
      <c r="R1070" s="16">
        <f t="shared" ref="R1070:R1072" si="4916">SUM(M1070:Q1070)</f>
        <v>0</v>
      </c>
      <c r="T1070" s="6"/>
      <c r="U1070" s="7"/>
      <c r="V1070" s="7"/>
      <c r="W1070" s="7"/>
      <c r="X1070" s="7"/>
      <c r="Y1070" s="16">
        <f t="shared" ref="Y1070:Y1072" si="4917">SUM(T1070:X1070)</f>
        <v>0</v>
      </c>
      <c r="AA1070" s="6"/>
      <c r="AB1070" s="7"/>
      <c r="AC1070" s="7"/>
      <c r="AD1070" s="7"/>
      <c r="AE1070" s="7"/>
      <c r="AF1070" s="16">
        <f>SUM(AA1070:AE1070)</f>
        <v>0</v>
      </c>
      <c r="AH1070" s="6"/>
      <c r="AI1070" s="7"/>
      <c r="AJ1070" s="7"/>
      <c r="AK1070" s="7"/>
      <c r="AL1070" s="7"/>
      <c r="AM1070" s="16">
        <f>SUM(AH1070:AL1070)</f>
        <v>0</v>
      </c>
      <c r="AO1070" s="6"/>
      <c r="AP1070" s="7"/>
      <c r="AQ1070" s="7"/>
      <c r="AR1070" s="7"/>
      <c r="AS1070" s="7"/>
      <c r="AT1070" s="16">
        <f>SUM(AO1070:AS1070)</f>
        <v>0</v>
      </c>
      <c r="AV1070" s="6"/>
      <c r="AW1070" s="7"/>
      <c r="AX1070" s="7"/>
      <c r="AY1070" s="7"/>
      <c r="AZ1070" s="7"/>
      <c r="BA1070" s="16">
        <f>SUM(AV1070:AZ1070)</f>
        <v>0</v>
      </c>
      <c r="BC1070" s="6"/>
      <c r="BD1070" s="7"/>
      <c r="BE1070" s="7"/>
      <c r="BF1070" s="7"/>
      <c r="BG1070" s="7"/>
      <c r="BH1070" s="16">
        <f>SUM(BC1070:BG1070)</f>
        <v>0</v>
      </c>
      <c r="BJ1070" s="6"/>
      <c r="BK1070" s="7"/>
      <c r="BL1070" s="7"/>
      <c r="BM1070" s="7"/>
      <c r="BN1070" s="7"/>
      <c r="BO1070" s="16">
        <f>SUM(BJ1070:BN1070)</f>
        <v>0</v>
      </c>
      <c r="BQ1070" s="6"/>
      <c r="BR1070" s="7"/>
      <c r="BS1070" s="7"/>
      <c r="BT1070" s="7"/>
      <c r="BU1070" s="7"/>
      <c r="BV1070" s="16">
        <f>SUM(BQ1070:BU1070)</f>
        <v>0</v>
      </c>
      <c r="BX1070" s="6"/>
      <c r="BY1070" s="7"/>
      <c r="BZ1070" s="7"/>
      <c r="CA1070" s="7"/>
      <c r="CB1070" s="7"/>
      <c r="CC1070" s="16">
        <f>SUM(BX1070:CB1070)</f>
        <v>0</v>
      </c>
      <c r="CE1070" s="28">
        <f t="shared" si="4909"/>
        <v>0</v>
      </c>
      <c r="CF1070" s="29">
        <f t="shared" si="4910"/>
        <v>0</v>
      </c>
      <c r="CG1070" s="29">
        <f t="shared" si="4911"/>
        <v>0</v>
      </c>
      <c r="CH1070" s="29">
        <f t="shared" si="4912"/>
        <v>0</v>
      </c>
      <c r="CI1070" s="29">
        <f t="shared" si="4913"/>
        <v>0</v>
      </c>
      <c r="CJ1070" s="8">
        <f>SUM(CE1070:CI1070)</f>
        <v>0</v>
      </c>
      <c r="CL1070" s="6"/>
      <c r="CM1070" s="7"/>
      <c r="CN1070" s="7"/>
      <c r="CO1070" s="7"/>
      <c r="CP1070" s="7"/>
      <c r="CQ1070" s="16">
        <f>SUM(CL1070:CP1070)</f>
        <v>0</v>
      </c>
      <c r="CS1070" s="6"/>
      <c r="CT1070" s="7"/>
      <c r="CU1070" s="7"/>
      <c r="CV1070" s="7"/>
      <c r="CW1070" s="7"/>
      <c r="CX1070" s="8">
        <f t="shared" ref="CX1070:CX1072" si="4918">SUM(CS1070:CW1070)</f>
        <v>0</v>
      </c>
      <c r="CZ1070" s="6"/>
      <c r="DA1070" s="7"/>
      <c r="DB1070" s="7"/>
      <c r="DC1070" s="7"/>
      <c r="DD1070" s="7"/>
      <c r="DE1070" s="16">
        <f t="shared" ref="DE1070:DE1072" si="4919">SUM(CZ1070:DD1070)</f>
        <v>0</v>
      </c>
    </row>
    <row r="1071" spans="2:110">
      <c r="C1071" s="567"/>
      <c r="E1071" s="14" t="s">
        <v>61</v>
      </c>
      <c r="F1071" s="23">
        <f t="shared" si="4914"/>
        <v>0</v>
      </c>
      <c r="G1071" s="24">
        <f t="shared" si="4905"/>
        <v>0</v>
      </c>
      <c r="H1071" s="24">
        <f t="shared" si="4906"/>
        <v>0</v>
      </c>
      <c r="I1071" s="24">
        <f t="shared" si="4907"/>
        <v>0</v>
      </c>
      <c r="J1071" s="24">
        <f t="shared" si="4908"/>
        <v>0</v>
      </c>
      <c r="K1071" s="16">
        <f t="shared" si="4915"/>
        <v>0</v>
      </c>
      <c r="M1071" s="6"/>
      <c r="N1071" s="7"/>
      <c r="O1071" s="7"/>
      <c r="P1071" s="7"/>
      <c r="Q1071" s="7"/>
      <c r="R1071" s="16">
        <f t="shared" si="4916"/>
        <v>0</v>
      </c>
      <c r="T1071" s="6"/>
      <c r="U1071" s="7"/>
      <c r="V1071" s="7"/>
      <c r="W1071" s="7"/>
      <c r="X1071" s="7"/>
      <c r="Y1071" s="16">
        <f t="shared" si="4917"/>
        <v>0</v>
      </c>
      <c r="AA1071" s="6"/>
      <c r="AB1071" s="7"/>
      <c r="AC1071" s="7"/>
      <c r="AD1071" s="7"/>
      <c r="AE1071" s="7"/>
      <c r="AF1071" s="16">
        <f>SUM(AA1071:AE1071)</f>
        <v>0</v>
      </c>
      <c r="AH1071" s="6"/>
      <c r="AI1071" s="7"/>
      <c r="AJ1071" s="7"/>
      <c r="AK1071" s="7"/>
      <c r="AL1071" s="7"/>
      <c r="AM1071" s="16">
        <f>SUM(AH1071:AL1071)</f>
        <v>0</v>
      </c>
      <c r="AO1071" s="6"/>
      <c r="AP1071" s="7"/>
      <c r="AQ1071" s="7"/>
      <c r="AR1071" s="7"/>
      <c r="AS1071" s="7"/>
      <c r="AT1071" s="16">
        <f>SUM(AO1071:AS1071)</f>
        <v>0</v>
      </c>
      <c r="AV1071" s="6"/>
      <c r="AW1071" s="7"/>
      <c r="AX1071" s="7"/>
      <c r="AY1071" s="7"/>
      <c r="AZ1071" s="7"/>
      <c r="BA1071" s="16">
        <f>SUM(AV1071:AZ1071)</f>
        <v>0</v>
      </c>
      <c r="BC1071" s="6"/>
      <c r="BD1071" s="7"/>
      <c r="BE1071" s="7"/>
      <c r="BF1071" s="7"/>
      <c r="BG1071" s="7"/>
      <c r="BH1071" s="16">
        <f>SUM(BC1071:BG1071)</f>
        <v>0</v>
      </c>
      <c r="BJ1071" s="6"/>
      <c r="BK1071" s="7"/>
      <c r="BL1071" s="7"/>
      <c r="BM1071" s="7"/>
      <c r="BN1071" s="7"/>
      <c r="BO1071" s="16">
        <f>SUM(BJ1071:BN1071)</f>
        <v>0</v>
      </c>
      <c r="BQ1071" s="6"/>
      <c r="BR1071" s="7"/>
      <c r="BS1071" s="7"/>
      <c r="BT1071" s="7"/>
      <c r="BU1071" s="7"/>
      <c r="BV1071" s="16">
        <f>SUM(BQ1071:BU1071)</f>
        <v>0</v>
      </c>
      <c r="BX1071" s="6"/>
      <c r="BY1071" s="7"/>
      <c r="BZ1071" s="7"/>
      <c r="CA1071" s="7"/>
      <c r="CB1071" s="7"/>
      <c r="CC1071" s="16">
        <f>SUM(BX1071:CB1071)</f>
        <v>0</v>
      </c>
      <c r="CE1071" s="28">
        <f t="shared" si="4909"/>
        <v>0</v>
      </c>
      <c r="CF1071" s="29">
        <f t="shared" si="4910"/>
        <v>0</v>
      </c>
      <c r="CG1071" s="29">
        <f t="shared" si="4911"/>
        <v>0</v>
      </c>
      <c r="CH1071" s="29">
        <f t="shared" si="4912"/>
        <v>0</v>
      </c>
      <c r="CI1071" s="29">
        <f t="shared" si="4913"/>
        <v>0</v>
      </c>
      <c r="CJ1071" s="8">
        <f>SUM(CE1071:CI1071)</f>
        <v>0</v>
      </c>
      <c r="CL1071" s="6"/>
      <c r="CM1071" s="7"/>
      <c r="CN1071" s="7"/>
      <c r="CO1071" s="7"/>
      <c r="CP1071" s="7"/>
      <c r="CQ1071" s="16">
        <f>SUM(CL1071:CP1071)</f>
        <v>0</v>
      </c>
      <c r="CS1071" s="6"/>
      <c r="CT1071" s="7"/>
      <c r="CU1071" s="7"/>
      <c r="CV1071" s="7"/>
      <c r="CW1071" s="7"/>
      <c r="CX1071" s="8">
        <f t="shared" si="4918"/>
        <v>0</v>
      </c>
      <c r="CZ1071" s="6"/>
      <c r="DA1071" s="7"/>
      <c r="DB1071" s="7"/>
      <c r="DC1071" s="7"/>
      <c r="DD1071" s="7"/>
      <c r="DE1071" s="16">
        <f t="shared" si="4919"/>
        <v>0</v>
      </c>
    </row>
    <row r="1072" spans="2:110" ht="14" thickBot="1">
      <c r="C1072" s="567"/>
      <c r="E1072" s="14" t="s">
        <v>62</v>
      </c>
      <c r="F1072" s="23">
        <f t="shared" si="4914"/>
        <v>0</v>
      </c>
      <c r="G1072" s="24">
        <f t="shared" si="4905"/>
        <v>0</v>
      </c>
      <c r="H1072" s="24">
        <f t="shared" si="4906"/>
        <v>0</v>
      </c>
      <c r="I1072" s="24">
        <f t="shared" si="4907"/>
        <v>0</v>
      </c>
      <c r="J1072" s="24">
        <f t="shared" si="4908"/>
        <v>0</v>
      </c>
      <c r="K1072" s="16">
        <f t="shared" si="4915"/>
        <v>0</v>
      </c>
      <c r="M1072" s="6"/>
      <c r="N1072" s="7"/>
      <c r="O1072" s="7"/>
      <c r="P1072" s="7"/>
      <c r="Q1072" s="7"/>
      <c r="R1072" s="16">
        <f t="shared" si="4916"/>
        <v>0</v>
      </c>
      <c r="T1072" s="6"/>
      <c r="U1072" s="7"/>
      <c r="V1072" s="7"/>
      <c r="W1072" s="7"/>
      <c r="X1072" s="7"/>
      <c r="Y1072" s="16">
        <f t="shared" si="4917"/>
        <v>0</v>
      </c>
      <c r="AA1072" s="6"/>
      <c r="AB1072" s="7"/>
      <c r="AC1072" s="7"/>
      <c r="AD1072" s="7"/>
      <c r="AE1072" s="7"/>
      <c r="AF1072" s="16">
        <f>SUM(AA1072:AE1072)</f>
        <v>0</v>
      </c>
      <c r="AH1072" s="6"/>
      <c r="AI1072" s="7"/>
      <c r="AJ1072" s="7"/>
      <c r="AK1072" s="7"/>
      <c r="AL1072" s="7"/>
      <c r="AM1072" s="16">
        <f>SUM(AH1072:AL1072)</f>
        <v>0</v>
      </c>
      <c r="AO1072" s="6"/>
      <c r="AP1072" s="7"/>
      <c r="AQ1072" s="7"/>
      <c r="AR1072" s="7"/>
      <c r="AS1072" s="7"/>
      <c r="AT1072" s="16">
        <f>SUM(AO1072:AS1072)</f>
        <v>0</v>
      </c>
      <c r="AV1072" s="6"/>
      <c r="AW1072" s="7"/>
      <c r="AX1072" s="7"/>
      <c r="AY1072" s="7"/>
      <c r="AZ1072" s="7"/>
      <c r="BA1072" s="16">
        <f>SUM(AV1072:AZ1072)</f>
        <v>0</v>
      </c>
      <c r="BC1072" s="6"/>
      <c r="BD1072" s="7"/>
      <c r="BE1072" s="7"/>
      <c r="BF1072" s="7"/>
      <c r="BG1072" s="7"/>
      <c r="BH1072" s="16">
        <f>SUM(BC1072:BG1072)</f>
        <v>0</v>
      </c>
      <c r="BJ1072" s="6"/>
      <c r="BK1072" s="7"/>
      <c r="BL1072" s="7"/>
      <c r="BM1072" s="7"/>
      <c r="BN1072" s="7"/>
      <c r="BO1072" s="16">
        <f>SUM(BJ1072:BN1072)</f>
        <v>0</v>
      </c>
      <c r="BQ1072" s="6"/>
      <c r="BR1072" s="7"/>
      <c r="BS1072" s="7"/>
      <c r="BT1072" s="7"/>
      <c r="BU1072" s="7"/>
      <c r="BV1072" s="16">
        <f>SUM(BQ1072:BU1072)</f>
        <v>0</v>
      </c>
      <c r="BX1072" s="6"/>
      <c r="BY1072" s="7"/>
      <c r="BZ1072" s="7"/>
      <c r="CA1072" s="7"/>
      <c r="CB1072" s="7"/>
      <c r="CC1072" s="16">
        <f>SUM(BX1072:CB1072)</f>
        <v>0</v>
      </c>
      <c r="CE1072" s="493">
        <f t="shared" si="4909"/>
        <v>0</v>
      </c>
      <c r="CF1072" s="494">
        <f t="shared" si="4910"/>
        <v>0</v>
      </c>
      <c r="CG1072" s="494">
        <f t="shared" si="4911"/>
        <v>0</v>
      </c>
      <c r="CH1072" s="494">
        <f t="shared" si="4912"/>
        <v>0</v>
      </c>
      <c r="CI1072" s="494">
        <f t="shared" si="4913"/>
        <v>0</v>
      </c>
      <c r="CJ1072" s="495">
        <f>SUM(CE1072:CI1072)</f>
        <v>0</v>
      </c>
      <c r="CL1072" s="6"/>
      <c r="CM1072" s="7"/>
      <c r="CN1072" s="7"/>
      <c r="CO1072" s="7"/>
      <c r="CP1072" s="7"/>
      <c r="CQ1072" s="16">
        <f>SUM(CL1072:CP1072)</f>
        <v>0</v>
      </c>
      <c r="CS1072" s="6"/>
      <c r="CT1072" s="7"/>
      <c r="CU1072" s="7"/>
      <c r="CV1072" s="7"/>
      <c r="CW1072" s="7"/>
      <c r="CX1072" s="8">
        <f t="shared" si="4918"/>
        <v>0</v>
      </c>
      <c r="CZ1072" s="6"/>
      <c r="DA1072" s="7"/>
      <c r="DB1072" s="7"/>
      <c r="DC1072" s="7"/>
      <c r="DD1072" s="7"/>
      <c r="DE1072" s="16">
        <f t="shared" si="4919"/>
        <v>0</v>
      </c>
    </row>
    <row r="1073" spans="3:109" ht="14" thickBot="1">
      <c r="C1073" s="554"/>
      <c r="E1073" s="17"/>
      <c r="F1073" s="10">
        <f>SUM(F1069:F1072)</f>
        <v>0</v>
      </c>
      <c r="G1073" s="11">
        <f t="shared" ref="G1073:J1073" si="4920">SUM(G1069:G1072)</f>
        <v>0</v>
      </c>
      <c r="H1073" s="11">
        <f t="shared" si="4920"/>
        <v>0</v>
      </c>
      <c r="I1073" s="11">
        <f t="shared" si="4920"/>
        <v>0</v>
      </c>
      <c r="J1073" s="11">
        <f t="shared" si="4920"/>
        <v>0</v>
      </c>
      <c r="K1073" s="25">
        <f>SUM(K1069:K1072)</f>
        <v>0</v>
      </c>
      <c r="M1073" s="10">
        <f>SUM(M1069:M1072)</f>
        <v>0</v>
      </c>
      <c r="N1073" s="11">
        <f t="shared" ref="N1073:Q1073" si="4921">SUM(N1069:N1072)</f>
        <v>0</v>
      </c>
      <c r="O1073" s="11">
        <f t="shared" si="4921"/>
        <v>0</v>
      </c>
      <c r="P1073" s="11">
        <f t="shared" si="4921"/>
        <v>0</v>
      </c>
      <c r="Q1073" s="11">
        <f t="shared" si="4921"/>
        <v>0</v>
      </c>
      <c r="R1073" s="25">
        <f>SUM(R1069:R1072)</f>
        <v>0</v>
      </c>
      <c r="T1073" s="10">
        <f>SUM(T1069:T1072)</f>
        <v>0</v>
      </c>
      <c r="U1073" s="11">
        <f t="shared" ref="U1073:X1073" si="4922">SUM(U1069:U1072)</f>
        <v>0</v>
      </c>
      <c r="V1073" s="11">
        <f t="shared" si="4922"/>
        <v>0</v>
      </c>
      <c r="W1073" s="11">
        <f t="shared" si="4922"/>
        <v>0</v>
      </c>
      <c r="X1073" s="11">
        <f t="shared" si="4922"/>
        <v>0</v>
      </c>
      <c r="Y1073" s="25">
        <f>SUM(Y1069:Y1072)</f>
        <v>0</v>
      </c>
      <c r="AA1073" s="10">
        <f>SUM(AA1069:AA1072)</f>
        <v>0</v>
      </c>
      <c r="AB1073" s="11">
        <f t="shared" ref="AB1073:AE1073" si="4923">SUM(AB1069:AB1072)</f>
        <v>0</v>
      </c>
      <c r="AC1073" s="11">
        <f t="shared" si="4923"/>
        <v>0</v>
      </c>
      <c r="AD1073" s="11">
        <f t="shared" si="4923"/>
        <v>0</v>
      </c>
      <c r="AE1073" s="11">
        <f t="shared" si="4923"/>
        <v>0</v>
      </c>
      <c r="AF1073" s="25">
        <f>SUM(AF1069:AF1072)</f>
        <v>0</v>
      </c>
      <c r="AH1073" s="10">
        <f t="shared" ref="AH1073:AM1073" si="4924">SUM(AH1069:AH1072)</f>
        <v>0</v>
      </c>
      <c r="AI1073" s="11">
        <f t="shared" si="4924"/>
        <v>0</v>
      </c>
      <c r="AJ1073" s="11">
        <f t="shared" si="4924"/>
        <v>0</v>
      </c>
      <c r="AK1073" s="11">
        <f t="shared" si="4924"/>
        <v>0</v>
      </c>
      <c r="AL1073" s="11">
        <f t="shared" si="4924"/>
        <v>0</v>
      </c>
      <c r="AM1073" s="25">
        <f t="shared" si="4924"/>
        <v>0</v>
      </c>
      <c r="AO1073" s="10">
        <f t="shared" ref="AO1073:AT1073" si="4925">SUM(AO1069:AO1072)</f>
        <v>0</v>
      </c>
      <c r="AP1073" s="11">
        <f t="shared" si="4925"/>
        <v>0</v>
      </c>
      <c r="AQ1073" s="11">
        <f t="shared" si="4925"/>
        <v>0</v>
      </c>
      <c r="AR1073" s="11">
        <f t="shared" si="4925"/>
        <v>0</v>
      </c>
      <c r="AS1073" s="11">
        <f t="shared" si="4925"/>
        <v>0</v>
      </c>
      <c r="AT1073" s="25">
        <f t="shared" si="4925"/>
        <v>0</v>
      </c>
      <c r="AV1073" s="10">
        <f t="shared" ref="AV1073:BA1073" si="4926">SUM(AV1069:AV1072)</f>
        <v>0</v>
      </c>
      <c r="AW1073" s="11">
        <f t="shared" si="4926"/>
        <v>0</v>
      </c>
      <c r="AX1073" s="11">
        <f t="shared" si="4926"/>
        <v>0</v>
      </c>
      <c r="AY1073" s="11">
        <f t="shared" si="4926"/>
        <v>0</v>
      </c>
      <c r="AZ1073" s="11">
        <f t="shared" si="4926"/>
        <v>0</v>
      </c>
      <c r="BA1073" s="25">
        <f t="shared" si="4926"/>
        <v>0</v>
      </c>
      <c r="BC1073" s="10">
        <f t="shared" ref="BC1073:BH1073" si="4927">SUM(BC1069:BC1072)</f>
        <v>0</v>
      </c>
      <c r="BD1073" s="11">
        <f t="shared" si="4927"/>
        <v>0</v>
      </c>
      <c r="BE1073" s="11">
        <f t="shared" si="4927"/>
        <v>0</v>
      </c>
      <c r="BF1073" s="11">
        <f t="shared" si="4927"/>
        <v>0</v>
      </c>
      <c r="BG1073" s="11">
        <f t="shared" si="4927"/>
        <v>0</v>
      </c>
      <c r="BH1073" s="25">
        <f t="shared" si="4927"/>
        <v>0</v>
      </c>
      <c r="BJ1073" s="10">
        <f t="shared" ref="BJ1073:BO1073" si="4928">SUM(BJ1069:BJ1072)</f>
        <v>0</v>
      </c>
      <c r="BK1073" s="11">
        <f t="shared" si="4928"/>
        <v>0</v>
      </c>
      <c r="BL1073" s="11">
        <f t="shared" si="4928"/>
        <v>0</v>
      </c>
      <c r="BM1073" s="11">
        <f t="shared" si="4928"/>
        <v>0</v>
      </c>
      <c r="BN1073" s="11">
        <f t="shared" si="4928"/>
        <v>0</v>
      </c>
      <c r="BO1073" s="25">
        <f t="shared" si="4928"/>
        <v>0</v>
      </c>
      <c r="BQ1073" s="10">
        <f t="shared" ref="BQ1073:BV1073" si="4929">SUM(BQ1069:BQ1072)</f>
        <v>0</v>
      </c>
      <c r="BR1073" s="11">
        <f t="shared" si="4929"/>
        <v>0</v>
      </c>
      <c r="BS1073" s="11">
        <f t="shared" si="4929"/>
        <v>0</v>
      </c>
      <c r="BT1073" s="11">
        <f t="shared" si="4929"/>
        <v>0</v>
      </c>
      <c r="BU1073" s="11">
        <f t="shared" si="4929"/>
        <v>0</v>
      </c>
      <c r="BV1073" s="25">
        <f t="shared" si="4929"/>
        <v>0</v>
      </c>
      <c r="BX1073" s="10">
        <f t="shared" ref="BX1073:CC1073" si="4930">SUM(BX1069:BX1072)</f>
        <v>0</v>
      </c>
      <c r="BY1073" s="11">
        <f t="shared" si="4930"/>
        <v>0</v>
      </c>
      <c r="BZ1073" s="11">
        <f t="shared" si="4930"/>
        <v>0</v>
      </c>
      <c r="CA1073" s="11">
        <f t="shared" si="4930"/>
        <v>0</v>
      </c>
      <c r="CB1073" s="11">
        <f t="shared" si="4930"/>
        <v>0</v>
      </c>
      <c r="CC1073" s="25">
        <f t="shared" si="4930"/>
        <v>0</v>
      </c>
      <c r="CE1073" s="62">
        <f t="shared" ref="CE1073:CJ1073" si="4931">SUM(CE1069:CE1072)</f>
        <v>0</v>
      </c>
      <c r="CF1073" s="63">
        <f t="shared" si="4931"/>
        <v>0</v>
      </c>
      <c r="CG1073" s="63">
        <f t="shared" si="4931"/>
        <v>0</v>
      </c>
      <c r="CH1073" s="63">
        <f t="shared" si="4931"/>
        <v>0</v>
      </c>
      <c r="CI1073" s="63">
        <f t="shared" si="4931"/>
        <v>0</v>
      </c>
      <c r="CJ1073" s="25">
        <f t="shared" si="4931"/>
        <v>0</v>
      </c>
      <c r="CL1073" s="10">
        <f>SUM(CL1069:CL1072)</f>
        <v>0</v>
      </c>
      <c r="CM1073" s="11">
        <f t="shared" ref="CM1073:CQ1073" si="4932">SUM(CM1069:CM1072)</f>
        <v>0</v>
      </c>
      <c r="CN1073" s="11">
        <f t="shared" si="4932"/>
        <v>0</v>
      </c>
      <c r="CO1073" s="11">
        <f t="shared" si="4932"/>
        <v>0</v>
      </c>
      <c r="CP1073" s="11">
        <f t="shared" si="4932"/>
        <v>0</v>
      </c>
      <c r="CQ1073" s="25">
        <f t="shared" si="4932"/>
        <v>0</v>
      </c>
      <c r="CS1073" s="10">
        <f>SUM(CS1069:CS1072)</f>
        <v>0</v>
      </c>
      <c r="CT1073" s="11">
        <f t="shared" ref="CT1073:CW1073" si="4933">SUM(CT1069:CT1072)</f>
        <v>0</v>
      </c>
      <c r="CU1073" s="11">
        <f t="shared" si="4933"/>
        <v>0</v>
      </c>
      <c r="CV1073" s="11">
        <f t="shared" si="4933"/>
        <v>0</v>
      </c>
      <c r="CW1073" s="11">
        <f t="shared" si="4933"/>
        <v>0</v>
      </c>
      <c r="CX1073" s="25">
        <f>SUM(CX1069:CX1072)</f>
        <v>0</v>
      </c>
      <c r="CZ1073" s="10">
        <f>SUM(CZ1069:CZ1072)</f>
        <v>0</v>
      </c>
      <c r="DA1073" s="11">
        <f t="shared" ref="DA1073:DD1073" si="4934">SUM(DA1069:DA1072)</f>
        <v>0</v>
      </c>
      <c r="DB1073" s="11">
        <f t="shared" si="4934"/>
        <v>0</v>
      </c>
      <c r="DC1073" s="11">
        <f t="shared" si="4934"/>
        <v>0</v>
      </c>
      <c r="DD1073" s="11">
        <f t="shared" si="4934"/>
        <v>0</v>
      </c>
      <c r="DE1073" s="25">
        <f>SUM(DE1069:DE1072)</f>
        <v>0</v>
      </c>
    </row>
    <row r="1074" spans="3:109" ht="10.4" customHeight="1" thickBot="1"/>
    <row r="1075" spans="3:109">
      <c r="C1075" s="553">
        <v>2026</v>
      </c>
      <c r="E1075" s="1" t="s">
        <v>59</v>
      </c>
      <c r="F1075" s="21">
        <f>CE1069</f>
        <v>0</v>
      </c>
      <c r="G1075" s="22">
        <f t="shared" ref="G1075:G1078" si="4935">CF1069</f>
        <v>0</v>
      </c>
      <c r="H1075" s="22">
        <f t="shared" ref="H1075:H1078" si="4936">CG1069</f>
        <v>0</v>
      </c>
      <c r="I1075" s="22">
        <f t="shared" ref="I1075:I1078" si="4937">CH1069</f>
        <v>0</v>
      </c>
      <c r="J1075" s="22">
        <f t="shared" ref="J1075:J1078" si="4938">CI1069</f>
        <v>0</v>
      </c>
      <c r="K1075" s="4">
        <f>SUM(F1075:J1075)</f>
        <v>0</v>
      </c>
      <c r="M1075" s="2"/>
      <c r="N1075" s="3"/>
      <c r="O1075" s="3"/>
      <c r="P1075" s="3"/>
      <c r="Q1075" s="3"/>
      <c r="R1075" s="4">
        <f>SUM(M1075:Q1075)</f>
        <v>0</v>
      </c>
      <c r="T1075" s="2"/>
      <c r="U1075" s="3"/>
      <c r="V1075" s="3"/>
      <c r="W1075" s="3"/>
      <c r="X1075" s="3"/>
      <c r="Y1075" s="4">
        <f>SUM(T1075:X1075)</f>
        <v>0</v>
      </c>
      <c r="AA1075" s="2"/>
      <c r="AB1075" s="3"/>
      <c r="AC1075" s="3"/>
      <c r="AD1075" s="3"/>
      <c r="AE1075" s="3"/>
      <c r="AF1075" s="4">
        <f>SUM(AA1075:AE1075)</f>
        <v>0</v>
      </c>
      <c r="AH1075" s="2"/>
      <c r="AI1075" s="3"/>
      <c r="AJ1075" s="3"/>
      <c r="AK1075" s="3"/>
      <c r="AL1075" s="3"/>
      <c r="AM1075" s="4">
        <f>SUM(AH1075:AL1075)</f>
        <v>0</v>
      </c>
      <c r="AO1075" s="2"/>
      <c r="AP1075" s="3"/>
      <c r="AQ1075" s="3"/>
      <c r="AR1075" s="3"/>
      <c r="AS1075" s="3"/>
      <c r="AT1075" s="4">
        <f>SUM(AO1075:AS1075)</f>
        <v>0</v>
      </c>
      <c r="AV1075" s="2"/>
      <c r="AW1075" s="3"/>
      <c r="AX1075" s="3"/>
      <c r="AY1075" s="3"/>
      <c r="AZ1075" s="3"/>
      <c r="BA1075" s="4">
        <f>SUM(AV1075:AZ1075)</f>
        <v>0</v>
      </c>
      <c r="BC1075" s="2"/>
      <c r="BD1075" s="3"/>
      <c r="BE1075" s="3"/>
      <c r="BF1075" s="3"/>
      <c r="BG1075" s="3"/>
      <c r="BH1075" s="4">
        <f>SUM(BC1075:BG1075)</f>
        <v>0</v>
      </c>
      <c r="BJ1075" s="2"/>
      <c r="BK1075" s="3"/>
      <c r="BL1075" s="3"/>
      <c r="BM1075" s="3"/>
      <c r="BN1075" s="3"/>
      <c r="BO1075" s="4">
        <f>SUM(BJ1075:BN1075)</f>
        <v>0</v>
      </c>
      <c r="BQ1075" s="2"/>
      <c r="BR1075" s="3"/>
      <c r="BS1075" s="3"/>
      <c r="BT1075" s="3"/>
      <c r="BU1075" s="3"/>
      <c r="BV1075" s="4">
        <f>SUM(BQ1075:BU1075)</f>
        <v>0</v>
      </c>
      <c r="BX1075" s="2"/>
      <c r="BY1075" s="3"/>
      <c r="BZ1075" s="3"/>
      <c r="CA1075" s="3"/>
      <c r="CB1075" s="3"/>
      <c r="CC1075" s="4">
        <f>SUM(BX1075:CB1075)</f>
        <v>0</v>
      </c>
      <c r="CE1075" s="26">
        <f t="shared" ref="CE1075:CE1078" si="4939">F1075+M1075+T1075+AA1075+AH1075+AO1075+AV1075+BC1075+BJ1075+BQ1075+BX1075</f>
        <v>0</v>
      </c>
      <c r="CF1075" s="27">
        <f t="shared" ref="CF1075:CF1078" si="4940">G1075+N1075+U1075+AB1075+AI1075+AP1075+AW1075+BD1075+BK1075+BR1075+BY1075</f>
        <v>0</v>
      </c>
      <c r="CG1075" s="27">
        <f t="shared" ref="CG1075:CG1078" si="4941">H1075+O1075+V1075+AC1075+AJ1075+AQ1075+AX1075+BE1075+BL1075+BS1075+BZ1075</f>
        <v>0</v>
      </c>
      <c r="CH1075" s="27">
        <f t="shared" ref="CH1075:CH1078" si="4942">I1075+P1075+W1075+AD1075+AK1075+AR1075+AY1075+BF1075+BM1075+BT1075+CA1075</f>
        <v>0</v>
      </c>
      <c r="CI1075" s="27">
        <f t="shared" ref="CI1075:CI1078" si="4943">J1075+Q1075+X1075+AE1075+AL1075+AS1075+AZ1075+BG1075+BN1075+BU1075+CB1075</f>
        <v>0</v>
      </c>
      <c r="CJ1075" s="4">
        <f>SUM(CE1075:CI1075)</f>
        <v>0</v>
      </c>
      <c r="CL1075" s="2"/>
      <c r="CM1075" s="3"/>
      <c r="CN1075" s="3"/>
      <c r="CO1075" s="3"/>
      <c r="CP1075" s="3"/>
      <c r="CQ1075" s="4">
        <f>SUM(CL1075:CP1075)</f>
        <v>0</v>
      </c>
      <c r="CS1075" s="2"/>
      <c r="CT1075" s="3"/>
      <c r="CU1075" s="3"/>
      <c r="CV1075" s="3"/>
      <c r="CW1075" s="3"/>
      <c r="CX1075" s="4">
        <f>SUM(CS1075:CW1075)</f>
        <v>0</v>
      </c>
      <c r="CZ1075" s="2"/>
      <c r="DA1075" s="3"/>
      <c r="DB1075" s="3"/>
      <c r="DC1075" s="3"/>
      <c r="DD1075" s="3"/>
      <c r="DE1075" s="4">
        <f>SUM(CZ1075:DD1075)</f>
        <v>0</v>
      </c>
    </row>
    <row r="1076" spans="3:109">
      <c r="C1076" s="567"/>
      <c r="E1076" s="5" t="s">
        <v>60</v>
      </c>
      <c r="F1076" s="23">
        <f t="shared" ref="F1076:F1078" si="4944">CE1070</f>
        <v>0</v>
      </c>
      <c r="G1076" s="24">
        <f t="shared" si="4935"/>
        <v>0</v>
      </c>
      <c r="H1076" s="24">
        <f t="shared" si="4936"/>
        <v>0</v>
      </c>
      <c r="I1076" s="24">
        <f t="shared" si="4937"/>
        <v>0</v>
      </c>
      <c r="J1076" s="24">
        <f t="shared" si="4938"/>
        <v>0</v>
      </c>
      <c r="K1076" s="8">
        <f t="shared" ref="K1076:K1078" si="4945">SUM(F1076:J1076)</f>
        <v>0</v>
      </c>
      <c r="M1076" s="6"/>
      <c r="N1076" s="7"/>
      <c r="O1076" s="7"/>
      <c r="P1076" s="7"/>
      <c r="Q1076" s="7"/>
      <c r="R1076" s="8">
        <f t="shared" ref="R1076:R1078" si="4946">SUM(M1076:Q1076)</f>
        <v>0</v>
      </c>
      <c r="T1076" s="6"/>
      <c r="U1076" s="7"/>
      <c r="V1076" s="7"/>
      <c r="W1076" s="7"/>
      <c r="X1076" s="7"/>
      <c r="Y1076" s="8">
        <f t="shared" ref="Y1076:Y1078" si="4947">SUM(T1076:X1076)</f>
        <v>0</v>
      </c>
      <c r="AA1076" s="6"/>
      <c r="AB1076" s="7"/>
      <c r="AC1076" s="7"/>
      <c r="AD1076" s="7"/>
      <c r="AE1076" s="7"/>
      <c r="AF1076" s="8">
        <f>SUM(AA1076:AE1076)</f>
        <v>0</v>
      </c>
      <c r="AH1076" s="6"/>
      <c r="AI1076" s="7"/>
      <c r="AJ1076" s="7"/>
      <c r="AK1076" s="7"/>
      <c r="AL1076" s="7"/>
      <c r="AM1076" s="8">
        <f>SUM(AH1076:AL1076)</f>
        <v>0</v>
      </c>
      <c r="AO1076" s="6"/>
      <c r="AP1076" s="7"/>
      <c r="AQ1076" s="7"/>
      <c r="AR1076" s="7"/>
      <c r="AS1076" s="7"/>
      <c r="AT1076" s="8">
        <f>SUM(AO1076:AS1076)</f>
        <v>0</v>
      </c>
      <c r="AV1076" s="6"/>
      <c r="AW1076" s="7"/>
      <c r="AX1076" s="7"/>
      <c r="AY1076" s="7"/>
      <c r="AZ1076" s="7"/>
      <c r="BA1076" s="8">
        <f>SUM(AV1076:AZ1076)</f>
        <v>0</v>
      </c>
      <c r="BC1076" s="6"/>
      <c r="BD1076" s="7"/>
      <c r="BE1076" s="7"/>
      <c r="BF1076" s="7"/>
      <c r="BG1076" s="7"/>
      <c r="BH1076" s="8">
        <f>SUM(BC1076:BG1076)</f>
        <v>0</v>
      </c>
      <c r="BJ1076" s="6"/>
      <c r="BK1076" s="7"/>
      <c r="BL1076" s="7"/>
      <c r="BM1076" s="7"/>
      <c r="BN1076" s="7"/>
      <c r="BO1076" s="8">
        <f>SUM(BJ1076:BN1076)</f>
        <v>0</v>
      </c>
      <c r="BQ1076" s="6"/>
      <c r="BR1076" s="7"/>
      <c r="BS1076" s="7"/>
      <c r="BT1076" s="7"/>
      <c r="BU1076" s="7"/>
      <c r="BV1076" s="8">
        <f>SUM(BQ1076:BU1076)</f>
        <v>0</v>
      </c>
      <c r="BX1076" s="6"/>
      <c r="BY1076" s="7"/>
      <c r="BZ1076" s="7"/>
      <c r="CA1076" s="7"/>
      <c r="CB1076" s="7"/>
      <c r="CC1076" s="8">
        <f>SUM(BX1076:CB1076)</f>
        <v>0</v>
      </c>
      <c r="CE1076" s="28">
        <f t="shared" si="4939"/>
        <v>0</v>
      </c>
      <c r="CF1076" s="29">
        <f t="shared" si="4940"/>
        <v>0</v>
      </c>
      <c r="CG1076" s="29">
        <f t="shared" si="4941"/>
        <v>0</v>
      </c>
      <c r="CH1076" s="29">
        <f t="shared" si="4942"/>
        <v>0</v>
      </c>
      <c r="CI1076" s="29">
        <f t="shared" si="4943"/>
        <v>0</v>
      </c>
      <c r="CJ1076" s="8">
        <f>SUM(CE1076:CI1076)</f>
        <v>0</v>
      </c>
      <c r="CL1076" s="6"/>
      <c r="CM1076" s="7"/>
      <c r="CN1076" s="7"/>
      <c r="CO1076" s="7"/>
      <c r="CP1076" s="7"/>
      <c r="CQ1076" s="8">
        <f>SUM(CL1076:CP1076)</f>
        <v>0</v>
      </c>
      <c r="CS1076" s="6"/>
      <c r="CT1076" s="7"/>
      <c r="CU1076" s="7"/>
      <c r="CV1076" s="7"/>
      <c r="CW1076" s="7"/>
      <c r="CX1076" s="8">
        <f t="shared" ref="CX1076:CX1078" si="4948">SUM(CS1076:CW1076)</f>
        <v>0</v>
      </c>
      <c r="CZ1076" s="6"/>
      <c r="DA1076" s="7"/>
      <c r="DB1076" s="7"/>
      <c r="DC1076" s="7"/>
      <c r="DD1076" s="7"/>
      <c r="DE1076" s="8">
        <f t="shared" ref="DE1076:DE1078" si="4949">SUM(CZ1076:DD1076)</f>
        <v>0</v>
      </c>
    </row>
    <row r="1077" spans="3:109">
      <c r="C1077" s="567"/>
      <c r="E1077" s="5" t="s">
        <v>61</v>
      </c>
      <c r="F1077" s="23">
        <f t="shared" si="4944"/>
        <v>0</v>
      </c>
      <c r="G1077" s="24">
        <f t="shared" si="4935"/>
        <v>0</v>
      </c>
      <c r="H1077" s="24">
        <f t="shared" si="4936"/>
        <v>0</v>
      </c>
      <c r="I1077" s="24">
        <f t="shared" si="4937"/>
        <v>0</v>
      </c>
      <c r="J1077" s="24">
        <f t="shared" si="4938"/>
        <v>0</v>
      </c>
      <c r="K1077" s="8">
        <f t="shared" si="4945"/>
        <v>0</v>
      </c>
      <c r="M1077" s="6"/>
      <c r="N1077" s="7"/>
      <c r="O1077" s="7"/>
      <c r="P1077" s="7"/>
      <c r="Q1077" s="7"/>
      <c r="R1077" s="8">
        <f t="shared" si="4946"/>
        <v>0</v>
      </c>
      <c r="T1077" s="6"/>
      <c r="U1077" s="7"/>
      <c r="V1077" s="7"/>
      <c r="W1077" s="7"/>
      <c r="X1077" s="7"/>
      <c r="Y1077" s="8">
        <f t="shared" si="4947"/>
        <v>0</v>
      </c>
      <c r="AA1077" s="6"/>
      <c r="AB1077" s="7"/>
      <c r="AC1077" s="7"/>
      <c r="AD1077" s="7"/>
      <c r="AE1077" s="7"/>
      <c r="AF1077" s="8">
        <f>SUM(AA1077:AE1077)</f>
        <v>0</v>
      </c>
      <c r="AH1077" s="6"/>
      <c r="AI1077" s="7"/>
      <c r="AJ1077" s="7"/>
      <c r="AK1077" s="7"/>
      <c r="AL1077" s="7"/>
      <c r="AM1077" s="8">
        <f>SUM(AH1077:AL1077)</f>
        <v>0</v>
      </c>
      <c r="AO1077" s="6"/>
      <c r="AP1077" s="7"/>
      <c r="AQ1077" s="7"/>
      <c r="AR1077" s="7"/>
      <c r="AS1077" s="7"/>
      <c r="AT1077" s="8">
        <f>SUM(AO1077:AS1077)</f>
        <v>0</v>
      </c>
      <c r="AV1077" s="6"/>
      <c r="AW1077" s="7"/>
      <c r="AX1077" s="7"/>
      <c r="AY1077" s="7"/>
      <c r="AZ1077" s="7"/>
      <c r="BA1077" s="8">
        <f>SUM(AV1077:AZ1077)</f>
        <v>0</v>
      </c>
      <c r="BC1077" s="6"/>
      <c r="BD1077" s="7"/>
      <c r="BE1077" s="7"/>
      <c r="BF1077" s="7"/>
      <c r="BG1077" s="7"/>
      <c r="BH1077" s="8">
        <f>SUM(BC1077:BG1077)</f>
        <v>0</v>
      </c>
      <c r="BJ1077" s="6"/>
      <c r="BK1077" s="7"/>
      <c r="BL1077" s="7"/>
      <c r="BM1077" s="7"/>
      <c r="BN1077" s="7"/>
      <c r="BO1077" s="8">
        <f>SUM(BJ1077:BN1077)</f>
        <v>0</v>
      </c>
      <c r="BQ1077" s="6"/>
      <c r="BR1077" s="7"/>
      <c r="BS1077" s="7"/>
      <c r="BT1077" s="7"/>
      <c r="BU1077" s="7"/>
      <c r="BV1077" s="8">
        <f>SUM(BQ1077:BU1077)</f>
        <v>0</v>
      </c>
      <c r="BX1077" s="6"/>
      <c r="BY1077" s="7"/>
      <c r="BZ1077" s="7"/>
      <c r="CA1077" s="7"/>
      <c r="CB1077" s="7"/>
      <c r="CC1077" s="8">
        <f>SUM(BX1077:CB1077)</f>
        <v>0</v>
      </c>
      <c r="CE1077" s="28">
        <f t="shared" si="4939"/>
        <v>0</v>
      </c>
      <c r="CF1077" s="29">
        <f t="shared" si="4940"/>
        <v>0</v>
      </c>
      <c r="CG1077" s="29">
        <f t="shared" si="4941"/>
        <v>0</v>
      </c>
      <c r="CH1077" s="29">
        <f t="shared" si="4942"/>
        <v>0</v>
      </c>
      <c r="CI1077" s="29">
        <f t="shared" si="4943"/>
        <v>0</v>
      </c>
      <c r="CJ1077" s="8">
        <f>SUM(CE1077:CI1077)</f>
        <v>0</v>
      </c>
      <c r="CL1077" s="6"/>
      <c r="CM1077" s="7"/>
      <c r="CN1077" s="7"/>
      <c r="CO1077" s="7"/>
      <c r="CP1077" s="7"/>
      <c r="CQ1077" s="8">
        <f>SUM(CL1077:CP1077)</f>
        <v>0</v>
      </c>
      <c r="CS1077" s="6"/>
      <c r="CT1077" s="7"/>
      <c r="CU1077" s="7"/>
      <c r="CV1077" s="7"/>
      <c r="CW1077" s="7"/>
      <c r="CX1077" s="8">
        <f t="shared" si="4948"/>
        <v>0</v>
      </c>
      <c r="CZ1077" s="6"/>
      <c r="DA1077" s="7"/>
      <c r="DB1077" s="7"/>
      <c r="DC1077" s="7"/>
      <c r="DD1077" s="7"/>
      <c r="DE1077" s="8">
        <f t="shared" si="4949"/>
        <v>0</v>
      </c>
    </row>
    <row r="1078" spans="3:109" ht="14" thickBot="1">
      <c r="C1078" s="567"/>
      <c r="E1078" s="5" t="s">
        <v>62</v>
      </c>
      <c r="F1078" s="23">
        <f t="shared" si="4944"/>
        <v>0</v>
      </c>
      <c r="G1078" s="24">
        <f t="shared" si="4935"/>
        <v>0</v>
      </c>
      <c r="H1078" s="24">
        <f t="shared" si="4936"/>
        <v>0</v>
      </c>
      <c r="I1078" s="24">
        <f t="shared" si="4937"/>
        <v>0</v>
      </c>
      <c r="J1078" s="24">
        <f t="shared" si="4938"/>
        <v>0</v>
      </c>
      <c r="K1078" s="8">
        <f t="shared" si="4945"/>
        <v>0</v>
      </c>
      <c r="M1078" s="6"/>
      <c r="N1078" s="7"/>
      <c r="O1078" s="7"/>
      <c r="P1078" s="7"/>
      <c r="Q1078" s="7"/>
      <c r="R1078" s="8">
        <f t="shared" si="4946"/>
        <v>0</v>
      </c>
      <c r="T1078" s="6"/>
      <c r="U1078" s="7"/>
      <c r="V1078" s="7"/>
      <c r="W1078" s="7"/>
      <c r="X1078" s="7"/>
      <c r="Y1078" s="8">
        <f t="shared" si="4947"/>
        <v>0</v>
      </c>
      <c r="AA1078" s="6"/>
      <c r="AB1078" s="7"/>
      <c r="AC1078" s="7"/>
      <c r="AD1078" s="7"/>
      <c r="AE1078" s="7"/>
      <c r="AF1078" s="8">
        <f>SUM(AA1078:AE1078)</f>
        <v>0</v>
      </c>
      <c r="AH1078" s="6"/>
      <c r="AI1078" s="7"/>
      <c r="AJ1078" s="7"/>
      <c r="AK1078" s="7"/>
      <c r="AL1078" s="7"/>
      <c r="AM1078" s="8">
        <f>SUM(AH1078:AL1078)</f>
        <v>0</v>
      </c>
      <c r="AO1078" s="6"/>
      <c r="AP1078" s="7"/>
      <c r="AQ1078" s="7"/>
      <c r="AR1078" s="7"/>
      <c r="AS1078" s="7"/>
      <c r="AT1078" s="8">
        <f>SUM(AO1078:AS1078)</f>
        <v>0</v>
      </c>
      <c r="AV1078" s="6"/>
      <c r="AW1078" s="7"/>
      <c r="AX1078" s="7"/>
      <c r="AY1078" s="7"/>
      <c r="AZ1078" s="7"/>
      <c r="BA1078" s="8">
        <f>SUM(AV1078:AZ1078)</f>
        <v>0</v>
      </c>
      <c r="BC1078" s="6"/>
      <c r="BD1078" s="7"/>
      <c r="BE1078" s="7"/>
      <c r="BF1078" s="7"/>
      <c r="BG1078" s="7"/>
      <c r="BH1078" s="8">
        <f>SUM(BC1078:BG1078)</f>
        <v>0</v>
      </c>
      <c r="BJ1078" s="6"/>
      <c r="BK1078" s="7"/>
      <c r="BL1078" s="7"/>
      <c r="BM1078" s="7"/>
      <c r="BN1078" s="7"/>
      <c r="BO1078" s="8">
        <f>SUM(BJ1078:BN1078)</f>
        <v>0</v>
      </c>
      <c r="BQ1078" s="6"/>
      <c r="BR1078" s="7"/>
      <c r="BS1078" s="7"/>
      <c r="BT1078" s="7"/>
      <c r="BU1078" s="7"/>
      <c r="BV1078" s="8">
        <f>SUM(BQ1078:BU1078)</f>
        <v>0</v>
      </c>
      <c r="BX1078" s="6"/>
      <c r="BY1078" s="7"/>
      <c r="BZ1078" s="7"/>
      <c r="CA1078" s="7"/>
      <c r="CB1078" s="7"/>
      <c r="CC1078" s="8">
        <f>SUM(BX1078:CB1078)</f>
        <v>0</v>
      </c>
      <c r="CE1078" s="493">
        <f t="shared" si="4939"/>
        <v>0</v>
      </c>
      <c r="CF1078" s="494">
        <f t="shared" si="4940"/>
        <v>0</v>
      </c>
      <c r="CG1078" s="494">
        <f t="shared" si="4941"/>
        <v>0</v>
      </c>
      <c r="CH1078" s="494">
        <f t="shared" si="4942"/>
        <v>0</v>
      </c>
      <c r="CI1078" s="494">
        <f t="shared" si="4943"/>
        <v>0</v>
      </c>
      <c r="CJ1078" s="495">
        <f>SUM(CE1078:CI1078)</f>
        <v>0</v>
      </c>
      <c r="CL1078" s="6"/>
      <c r="CM1078" s="7"/>
      <c r="CN1078" s="7"/>
      <c r="CO1078" s="7"/>
      <c r="CP1078" s="7"/>
      <c r="CQ1078" s="8">
        <f>SUM(CL1078:CP1078)</f>
        <v>0</v>
      </c>
      <c r="CS1078" s="6"/>
      <c r="CT1078" s="7"/>
      <c r="CU1078" s="7"/>
      <c r="CV1078" s="7"/>
      <c r="CW1078" s="7"/>
      <c r="CX1078" s="8">
        <f t="shared" si="4948"/>
        <v>0</v>
      </c>
      <c r="CZ1078" s="6"/>
      <c r="DA1078" s="7"/>
      <c r="DB1078" s="7"/>
      <c r="DC1078" s="7"/>
      <c r="DD1078" s="7"/>
      <c r="DE1078" s="8">
        <f t="shared" si="4949"/>
        <v>0</v>
      </c>
    </row>
    <row r="1079" spans="3:109" ht="14" thickBot="1">
      <c r="C1079" s="554"/>
      <c r="E1079" s="9"/>
      <c r="F1079" s="10">
        <f>SUM(F1075:F1078)</f>
        <v>0</v>
      </c>
      <c r="G1079" s="11">
        <f t="shared" ref="G1079:J1079" si="4950">SUM(G1075:G1078)</f>
        <v>0</v>
      </c>
      <c r="H1079" s="11">
        <f t="shared" si="4950"/>
        <v>0</v>
      </c>
      <c r="I1079" s="11">
        <f t="shared" si="4950"/>
        <v>0</v>
      </c>
      <c r="J1079" s="11">
        <f t="shared" si="4950"/>
        <v>0</v>
      </c>
      <c r="K1079" s="25">
        <f>SUM(K1075:K1078)</f>
        <v>0</v>
      </c>
      <c r="M1079" s="10">
        <f>SUM(M1075:M1078)</f>
        <v>0</v>
      </c>
      <c r="N1079" s="11">
        <f t="shared" ref="N1079:Q1079" si="4951">SUM(N1075:N1078)</f>
        <v>0</v>
      </c>
      <c r="O1079" s="11">
        <f t="shared" si="4951"/>
        <v>0</v>
      </c>
      <c r="P1079" s="11">
        <f t="shared" si="4951"/>
        <v>0</v>
      </c>
      <c r="Q1079" s="11">
        <f t="shared" si="4951"/>
        <v>0</v>
      </c>
      <c r="R1079" s="25">
        <f>SUM(R1075:R1078)</f>
        <v>0</v>
      </c>
      <c r="T1079" s="10">
        <f>SUM(T1075:T1078)</f>
        <v>0</v>
      </c>
      <c r="U1079" s="11">
        <f t="shared" ref="U1079:X1079" si="4952">SUM(U1075:U1078)</f>
        <v>0</v>
      </c>
      <c r="V1079" s="11">
        <f t="shared" si="4952"/>
        <v>0</v>
      </c>
      <c r="W1079" s="11">
        <f t="shared" si="4952"/>
        <v>0</v>
      </c>
      <c r="X1079" s="11">
        <f t="shared" si="4952"/>
        <v>0</v>
      </c>
      <c r="Y1079" s="25">
        <f>SUM(Y1075:Y1078)</f>
        <v>0</v>
      </c>
      <c r="AA1079" s="10">
        <f>SUM(AA1075:AA1078)</f>
        <v>0</v>
      </c>
      <c r="AB1079" s="11">
        <f t="shared" ref="AB1079:AE1079" si="4953">SUM(AB1075:AB1078)</f>
        <v>0</v>
      </c>
      <c r="AC1079" s="11">
        <f t="shared" si="4953"/>
        <v>0</v>
      </c>
      <c r="AD1079" s="11">
        <f t="shared" si="4953"/>
        <v>0</v>
      </c>
      <c r="AE1079" s="11">
        <f t="shared" si="4953"/>
        <v>0</v>
      </c>
      <c r="AF1079" s="25">
        <f>SUM(AF1075:AF1078)</f>
        <v>0</v>
      </c>
      <c r="AH1079" s="10">
        <f t="shared" ref="AH1079:AM1079" si="4954">SUM(AH1075:AH1078)</f>
        <v>0</v>
      </c>
      <c r="AI1079" s="11">
        <f t="shared" si="4954"/>
        <v>0</v>
      </c>
      <c r="AJ1079" s="11">
        <f t="shared" si="4954"/>
        <v>0</v>
      </c>
      <c r="AK1079" s="11">
        <f t="shared" si="4954"/>
        <v>0</v>
      </c>
      <c r="AL1079" s="11">
        <f t="shared" si="4954"/>
        <v>0</v>
      </c>
      <c r="AM1079" s="25">
        <f t="shared" si="4954"/>
        <v>0</v>
      </c>
      <c r="AO1079" s="10">
        <f t="shared" ref="AO1079:AT1079" si="4955">SUM(AO1075:AO1078)</f>
        <v>0</v>
      </c>
      <c r="AP1079" s="11">
        <f t="shared" si="4955"/>
        <v>0</v>
      </c>
      <c r="AQ1079" s="11">
        <f t="shared" si="4955"/>
        <v>0</v>
      </c>
      <c r="AR1079" s="11">
        <f t="shared" si="4955"/>
        <v>0</v>
      </c>
      <c r="AS1079" s="11">
        <f t="shared" si="4955"/>
        <v>0</v>
      </c>
      <c r="AT1079" s="25">
        <f t="shared" si="4955"/>
        <v>0</v>
      </c>
      <c r="AV1079" s="10">
        <f t="shared" ref="AV1079:BA1079" si="4956">SUM(AV1075:AV1078)</f>
        <v>0</v>
      </c>
      <c r="AW1079" s="11">
        <f t="shared" si="4956"/>
        <v>0</v>
      </c>
      <c r="AX1079" s="11">
        <f t="shared" si="4956"/>
        <v>0</v>
      </c>
      <c r="AY1079" s="11">
        <f t="shared" si="4956"/>
        <v>0</v>
      </c>
      <c r="AZ1079" s="11">
        <f t="shared" si="4956"/>
        <v>0</v>
      </c>
      <c r="BA1079" s="25">
        <f t="shared" si="4956"/>
        <v>0</v>
      </c>
      <c r="BC1079" s="10">
        <f t="shared" ref="BC1079:BH1079" si="4957">SUM(BC1075:BC1078)</f>
        <v>0</v>
      </c>
      <c r="BD1079" s="11">
        <f t="shared" si="4957"/>
        <v>0</v>
      </c>
      <c r="BE1079" s="11">
        <f t="shared" si="4957"/>
        <v>0</v>
      </c>
      <c r="BF1079" s="11">
        <f t="shared" si="4957"/>
        <v>0</v>
      </c>
      <c r="BG1079" s="11">
        <f t="shared" si="4957"/>
        <v>0</v>
      </c>
      <c r="BH1079" s="25">
        <f t="shared" si="4957"/>
        <v>0</v>
      </c>
      <c r="BJ1079" s="10">
        <f t="shared" ref="BJ1079:BO1079" si="4958">SUM(BJ1075:BJ1078)</f>
        <v>0</v>
      </c>
      <c r="BK1079" s="11">
        <f t="shared" si="4958"/>
        <v>0</v>
      </c>
      <c r="BL1079" s="11">
        <f t="shared" si="4958"/>
        <v>0</v>
      </c>
      <c r="BM1079" s="11">
        <f t="shared" si="4958"/>
        <v>0</v>
      </c>
      <c r="BN1079" s="11">
        <f t="shared" si="4958"/>
        <v>0</v>
      </c>
      <c r="BO1079" s="25">
        <f t="shared" si="4958"/>
        <v>0</v>
      </c>
      <c r="BQ1079" s="10">
        <f t="shared" ref="BQ1079:BV1079" si="4959">SUM(BQ1075:BQ1078)</f>
        <v>0</v>
      </c>
      <c r="BR1079" s="11">
        <f t="shared" si="4959"/>
        <v>0</v>
      </c>
      <c r="BS1079" s="11">
        <f t="shared" si="4959"/>
        <v>0</v>
      </c>
      <c r="BT1079" s="11">
        <f t="shared" si="4959"/>
        <v>0</v>
      </c>
      <c r="BU1079" s="11">
        <f t="shared" si="4959"/>
        <v>0</v>
      </c>
      <c r="BV1079" s="25">
        <f t="shared" si="4959"/>
        <v>0</v>
      </c>
      <c r="BX1079" s="10">
        <f t="shared" ref="BX1079:CC1079" si="4960">SUM(BX1075:BX1078)</f>
        <v>0</v>
      </c>
      <c r="BY1079" s="11">
        <f t="shared" si="4960"/>
        <v>0</v>
      </c>
      <c r="BZ1079" s="11">
        <f t="shared" si="4960"/>
        <v>0</v>
      </c>
      <c r="CA1079" s="11">
        <f t="shared" si="4960"/>
        <v>0</v>
      </c>
      <c r="CB1079" s="11">
        <f t="shared" si="4960"/>
        <v>0</v>
      </c>
      <c r="CC1079" s="25">
        <f t="shared" si="4960"/>
        <v>0</v>
      </c>
      <c r="CE1079" s="62">
        <f t="shared" ref="CE1079:CJ1079" si="4961">SUM(CE1075:CE1078)</f>
        <v>0</v>
      </c>
      <c r="CF1079" s="63">
        <f t="shared" si="4961"/>
        <v>0</v>
      </c>
      <c r="CG1079" s="63">
        <f t="shared" si="4961"/>
        <v>0</v>
      </c>
      <c r="CH1079" s="63">
        <f t="shared" si="4961"/>
        <v>0</v>
      </c>
      <c r="CI1079" s="63">
        <f t="shared" si="4961"/>
        <v>0</v>
      </c>
      <c r="CJ1079" s="25">
        <f t="shared" si="4961"/>
        <v>0</v>
      </c>
      <c r="CL1079" s="10">
        <f>SUM(CL1075:CL1078)</f>
        <v>0</v>
      </c>
      <c r="CM1079" s="11">
        <f t="shared" ref="CM1079:CQ1079" si="4962">SUM(CM1075:CM1078)</f>
        <v>0</v>
      </c>
      <c r="CN1079" s="11">
        <f t="shared" si="4962"/>
        <v>0</v>
      </c>
      <c r="CO1079" s="11">
        <f t="shared" si="4962"/>
        <v>0</v>
      </c>
      <c r="CP1079" s="11">
        <f t="shared" si="4962"/>
        <v>0</v>
      </c>
      <c r="CQ1079" s="25">
        <f t="shared" si="4962"/>
        <v>0</v>
      </c>
      <c r="CS1079" s="10">
        <f>SUM(CS1075:CS1078)</f>
        <v>0</v>
      </c>
      <c r="CT1079" s="11">
        <f t="shared" ref="CT1079:CW1079" si="4963">SUM(CT1075:CT1078)</f>
        <v>0</v>
      </c>
      <c r="CU1079" s="11">
        <f t="shared" si="4963"/>
        <v>0</v>
      </c>
      <c r="CV1079" s="11">
        <f t="shared" si="4963"/>
        <v>0</v>
      </c>
      <c r="CW1079" s="11">
        <f t="shared" si="4963"/>
        <v>0</v>
      </c>
      <c r="CX1079" s="25">
        <f>SUM(CX1075:CX1078)</f>
        <v>0</v>
      </c>
      <c r="CZ1079" s="10">
        <f>SUM(CZ1075:CZ1078)</f>
        <v>0</v>
      </c>
      <c r="DA1079" s="11">
        <f t="shared" ref="DA1079:DD1079" si="4964">SUM(DA1075:DA1078)</f>
        <v>0</v>
      </c>
      <c r="DB1079" s="11">
        <f t="shared" si="4964"/>
        <v>0</v>
      </c>
      <c r="DC1079" s="11">
        <f t="shared" si="4964"/>
        <v>0</v>
      </c>
      <c r="DD1079" s="11">
        <f t="shared" si="4964"/>
        <v>0</v>
      </c>
      <c r="DE1079" s="25">
        <f>SUM(DE1075:DE1078)</f>
        <v>0</v>
      </c>
    </row>
    <row r="1080" spans="3:109" ht="10.4" customHeight="1" thickBot="1"/>
    <row r="1081" spans="3:109">
      <c r="C1081" s="553">
        <v>2027</v>
      </c>
      <c r="E1081" s="1" t="s">
        <v>59</v>
      </c>
      <c r="F1081" s="21">
        <f>CE1075</f>
        <v>0</v>
      </c>
      <c r="G1081" s="22">
        <f t="shared" ref="G1081:G1084" si="4965">CF1075</f>
        <v>0</v>
      </c>
      <c r="H1081" s="22">
        <f t="shared" ref="H1081:H1084" si="4966">CG1075</f>
        <v>0</v>
      </c>
      <c r="I1081" s="22">
        <f t="shared" ref="I1081:I1084" si="4967">CH1075</f>
        <v>0</v>
      </c>
      <c r="J1081" s="22">
        <f t="shared" ref="J1081:J1084" si="4968">CI1075</f>
        <v>0</v>
      </c>
      <c r="K1081" s="4">
        <f>SUM(F1081:J1081)</f>
        <v>0</v>
      </c>
      <c r="M1081" s="2"/>
      <c r="N1081" s="3"/>
      <c r="O1081" s="3"/>
      <c r="P1081" s="3"/>
      <c r="Q1081" s="3"/>
      <c r="R1081" s="4">
        <f>SUM(M1081:Q1081)</f>
        <v>0</v>
      </c>
      <c r="T1081" s="2"/>
      <c r="U1081" s="3"/>
      <c r="V1081" s="3"/>
      <c r="W1081" s="3"/>
      <c r="X1081" s="3"/>
      <c r="Y1081" s="4">
        <f>SUM(T1081:X1081)</f>
        <v>0</v>
      </c>
      <c r="AA1081" s="2"/>
      <c r="AB1081" s="3"/>
      <c r="AC1081" s="3"/>
      <c r="AD1081" s="3"/>
      <c r="AE1081" s="3"/>
      <c r="AF1081" s="4">
        <f>SUM(AA1081:AE1081)</f>
        <v>0</v>
      </c>
      <c r="AH1081" s="2"/>
      <c r="AI1081" s="3"/>
      <c r="AJ1081" s="3"/>
      <c r="AK1081" s="3"/>
      <c r="AL1081" s="3"/>
      <c r="AM1081" s="4">
        <f>SUM(AH1081:AL1081)</f>
        <v>0</v>
      </c>
      <c r="AO1081" s="2"/>
      <c r="AP1081" s="3"/>
      <c r="AQ1081" s="3"/>
      <c r="AR1081" s="3"/>
      <c r="AS1081" s="3"/>
      <c r="AT1081" s="4">
        <f>SUM(AO1081:AS1081)</f>
        <v>0</v>
      </c>
      <c r="AV1081" s="2"/>
      <c r="AW1081" s="3"/>
      <c r="AX1081" s="3"/>
      <c r="AY1081" s="3"/>
      <c r="AZ1081" s="3"/>
      <c r="BA1081" s="4">
        <f>SUM(AV1081:AZ1081)</f>
        <v>0</v>
      </c>
      <c r="BC1081" s="2"/>
      <c r="BD1081" s="3"/>
      <c r="BE1081" s="3"/>
      <c r="BF1081" s="3"/>
      <c r="BG1081" s="3"/>
      <c r="BH1081" s="4">
        <f>SUM(BC1081:BG1081)</f>
        <v>0</v>
      </c>
      <c r="BJ1081" s="2"/>
      <c r="BK1081" s="3"/>
      <c r="BL1081" s="3"/>
      <c r="BM1081" s="3"/>
      <c r="BN1081" s="3"/>
      <c r="BO1081" s="4">
        <f>SUM(BJ1081:BN1081)</f>
        <v>0</v>
      </c>
      <c r="BQ1081" s="2"/>
      <c r="BR1081" s="3"/>
      <c r="BS1081" s="3"/>
      <c r="BT1081" s="3"/>
      <c r="BU1081" s="3"/>
      <c r="BV1081" s="4">
        <f>SUM(BQ1081:BU1081)</f>
        <v>0</v>
      </c>
      <c r="BX1081" s="2"/>
      <c r="BY1081" s="3"/>
      <c r="BZ1081" s="3"/>
      <c r="CA1081" s="3"/>
      <c r="CB1081" s="3"/>
      <c r="CC1081" s="4">
        <f>SUM(BX1081:CB1081)</f>
        <v>0</v>
      </c>
      <c r="CE1081" s="26">
        <f t="shared" ref="CE1081:CE1084" si="4969">F1081+M1081+T1081+AA1081+AH1081+AO1081+AV1081+BC1081+BJ1081+BQ1081+BX1081</f>
        <v>0</v>
      </c>
      <c r="CF1081" s="27">
        <f t="shared" ref="CF1081:CF1084" si="4970">G1081+N1081+U1081+AB1081+AI1081+AP1081+AW1081+BD1081+BK1081+BR1081+BY1081</f>
        <v>0</v>
      </c>
      <c r="CG1081" s="27">
        <f t="shared" ref="CG1081:CG1084" si="4971">H1081+O1081+V1081+AC1081+AJ1081+AQ1081+AX1081+BE1081+BL1081+BS1081+BZ1081</f>
        <v>0</v>
      </c>
      <c r="CH1081" s="27">
        <f t="shared" ref="CH1081:CH1084" si="4972">I1081+P1081+W1081+AD1081+AK1081+AR1081+AY1081+BF1081+BM1081+BT1081+CA1081</f>
        <v>0</v>
      </c>
      <c r="CI1081" s="27">
        <f t="shared" ref="CI1081:CI1084" si="4973">J1081+Q1081+X1081+AE1081+AL1081+AS1081+AZ1081+BG1081+BN1081+BU1081+CB1081</f>
        <v>0</v>
      </c>
      <c r="CJ1081" s="4">
        <f>SUM(CE1081:CI1081)</f>
        <v>0</v>
      </c>
      <c r="CL1081" s="2"/>
      <c r="CM1081" s="3"/>
      <c r="CN1081" s="3"/>
      <c r="CO1081" s="3"/>
      <c r="CP1081" s="3"/>
      <c r="CQ1081" s="4">
        <f>SUM(CL1081:CP1081)</f>
        <v>0</v>
      </c>
      <c r="CS1081" s="2"/>
      <c r="CT1081" s="3"/>
      <c r="CU1081" s="3"/>
      <c r="CV1081" s="3"/>
      <c r="CW1081" s="3"/>
      <c r="CX1081" s="4">
        <f>SUM(CS1081:CW1081)</f>
        <v>0</v>
      </c>
      <c r="CZ1081" s="2"/>
      <c r="DA1081" s="3"/>
      <c r="DB1081" s="3"/>
      <c r="DC1081" s="3"/>
      <c r="DD1081" s="3"/>
      <c r="DE1081" s="4">
        <f>SUM(CZ1081:DD1081)</f>
        <v>0</v>
      </c>
    </row>
    <row r="1082" spans="3:109">
      <c r="C1082" s="567"/>
      <c r="E1082" s="5" t="s">
        <v>60</v>
      </c>
      <c r="F1082" s="23">
        <f t="shared" ref="F1082:F1084" si="4974">CE1076</f>
        <v>0</v>
      </c>
      <c r="G1082" s="24">
        <f t="shared" si="4965"/>
        <v>0</v>
      </c>
      <c r="H1082" s="24">
        <f t="shared" si="4966"/>
        <v>0</v>
      </c>
      <c r="I1082" s="24">
        <f t="shared" si="4967"/>
        <v>0</v>
      </c>
      <c r="J1082" s="24">
        <f t="shared" si="4968"/>
        <v>0</v>
      </c>
      <c r="K1082" s="8">
        <f t="shared" ref="K1082:K1084" si="4975">SUM(F1082:J1082)</f>
        <v>0</v>
      </c>
      <c r="M1082" s="6"/>
      <c r="N1082" s="7"/>
      <c r="O1082" s="7"/>
      <c r="P1082" s="7"/>
      <c r="Q1082" s="7"/>
      <c r="R1082" s="8">
        <f t="shared" ref="R1082:R1084" si="4976">SUM(M1082:Q1082)</f>
        <v>0</v>
      </c>
      <c r="T1082" s="6"/>
      <c r="U1082" s="7"/>
      <c r="V1082" s="7"/>
      <c r="W1082" s="7"/>
      <c r="X1082" s="7"/>
      <c r="Y1082" s="8">
        <f t="shared" ref="Y1082:Y1084" si="4977">SUM(T1082:X1082)</f>
        <v>0</v>
      </c>
      <c r="AA1082" s="6"/>
      <c r="AB1082" s="7"/>
      <c r="AC1082" s="7"/>
      <c r="AD1082" s="7"/>
      <c r="AE1082" s="7"/>
      <c r="AF1082" s="8">
        <f>SUM(AA1082:AE1082)</f>
        <v>0</v>
      </c>
      <c r="AH1082" s="6"/>
      <c r="AI1082" s="7"/>
      <c r="AJ1082" s="7"/>
      <c r="AK1082" s="7"/>
      <c r="AL1082" s="7"/>
      <c r="AM1082" s="8">
        <f>SUM(AH1082:AL1082)</f>
        <v>0</v>
      </c>
      <c r="AO1082" s="6"/>
      <c r="AP1082" s="7"/>
      <c r="AQ1082" s="7"/>
      <c r="AR1082" s="7"/>
      <c r="AS1082" s="7"/>
      <c r="AT1082" s="8">
        <f>SUM(AO1082:AS1082)</f>
        <v>0</v>
      </c>
      <c r="AV1082" s="6"/>
      <c r="AW1082" s="7"/>
      <c r="AX1082" s="7"/>
      <c r="AY1082" s="7"/>
      <c r="AZ1082" s="7"/>
      <c r="BA1082" s="8">
        <f>SUM(AV1082:AZ1082)</f>
        <v>0</v>
      </c>
      <c r="BC1082" s="6"/>
      <c r="BD1082" s="7"/>
      <c r="BE1082" s="7"/>
      <c r="BF1082" s="7"/>
      <c r="BG1082" s="7"/>
      <c r="BH1082" s="8">
        <f>SUM(BC1082:BG1082)</f>
        <v>0</v>
      </c>
      <c r="BJ1082" s="6"/>
      <c r="BK1082" s="7"/>
      <c r="BL1082" s="7"/>
      <c r="BM1082" s="7"/>
      <c r="BN1082" s="7"/>
      <c r="BO1082" s="8">
        <f>SUM(BJ1082:BN1082)</f>
        <v>0</v>
      </c>
      <c r="BQ1082" s="6"/>
      <c r="BR1082" s="7"/>
      <c r="BS1082" s="7"/>
      <c r="BT1082" s="7"/>
      <c r="BU1082" s="7"/>
      <c r="BV1082" s="8">
        <f>SUM(BQ1082:BU1082)</f>
        <v>0</v>
      </c>
      <c r="BX1082" s="6"/>
      <c r="BY1082" s="7"/>
      <c r="BZ1082" s="7"/>
      <c r="CA1082" s="7"/>
      <c r="CB1082" s="7"/>
      <c r="CC1082" s="8">
        <f>SUM(BX1082:CB1082)</f>
        <v>0</v>
      </c>
      <c r="CE1082" s="28">
        <f t="shared" si="4969"/>
        <v>0</v>
      </c>
      <c r="CF1082" s="29">
        <f t="shared" si="4970"/>
        <v>0</v>
      </c>
      <c r="CG1082" s="29">
        <f t="shared" si="4971"/>
        <v>0</v>
      </c>
      <c r="CH1082" s="29">
        <f t="shared" si="4972"/>
        <v>0</v>
      </c>
      <c r="CI1082" s="29">
        <f t="shared" si="4973"/>
        <v>0</v>
      </c>
      <c r="CJ1082" s="8">
        <f>SUM(CE1082:CI1082)</f>
        <v>0</v>
      </c>
      <c r="CL1082" s="6"/>
      <c r="CM1082" s="7"/>
      <c r="CN1082" s="7"/>
      <c r="CO1082" s="7"/>
      <c r="CP1082" s="7"/>
      <c r="CQ1082" s="8">
        <f>SUM(CL1082:CP1082)</f>
        <v>0</v>
      </c>
      <c r="CS1082" s="6"/>
      <c r="CT1082" s="7"/>
      <c r="CU1082" s="7"/>
      <c r="CV1082" s="7"/>
      <c r="CW1082" s="7"/>
      <c r="CX1082" s="8">
        <f t="shared" ref="CX1082:CX1084" si="4978">SUM(CS1082:CW1082)</f>
        <v>0</v>
      </c>
      <c r="CZ1082" s="6"/>
      <c r="DA1082" s="7"/>
      <c r="DB1082" s="7"/>
      <c r="DC1082" s="7"/>
      <c r="DD1082" s="7"/>
      <c r="DE1082" s="8">
        <f t="shared" ref="DE1082:DE1084" si="4979">SUM(CZ1082:DD1082)</f>
        <v>0</v>
      </c>
    </row>
    <row r="1083" spans="3:109">
      <c r="C1083" s="567"/>
      <c r="E1083" s="5" t="s">
        <v>61</v>
      </c>
      <c r="F1083" s="23">
        <f t="shared" si="4974"/>
        <v>0</v>
      </c>
      <c r="G1083" s="24">
        <f t="shared" si="4965"/>
        <v>0</v>
      </c>
      <c r="H1083" s="24">
        <f t="shared" si="4966"/>
        <v>0</v>
      </c>
      <c r="I1083" s="24">
        <f t="shared" si="4967"/>
        <v>0</v>
      </c>
      <c r="J1083" s="24">
        <f t="shared" si="4968"/>
        <v>0</v>
      </c>
      <c r="K1083" s="8">
        <f t="shared" si="4975"/>
        <v>0</v>
      </c>
      <c r="M1083" s="6"/>
      <c r="N1083" s="7"/>
      <c r="O1083" s="7"/>
      <c r="P1083" s="7"/>
      <c r="Q1083" s="7"/>
      <c r="R1083" s="8">
        <f t="shared" si="4976"/>
        <v>0</v>
      </c>
      <c r="T1083" s="6"/>
      <c r="U1083" s="7"/>
      <c r="V1083" s="7"/>
      <c r="W1083" s="7"/>
      <c r="X1083" s="7"/>
      <c r="Y1083" s="8">
        <f t="shared" si="4977"/>
        <v>0</v>
      </c>
      <c r="AA1083" s="6"/>
      <c r="AB1083" s="7"/>
      <c r="AC1083" s="7"/>
      <c r="AD1083" s="7"/>
      <c r="AE1083" s="7"/>
      <c r="AF1083" s="8">
        <f>SUM(AA1083:AE1083)</f>
        <v>0</v>
      </c>
      <c r="AH1083" s="6"/>
      <c r="AI1083" s="7"/>
      <c r="AJ1083" s="7"/>
      <c r="AK1083" s="7"/>
      <c r="AL1083" s="7"/>
      <c r="AM1083" s="8">
        <f>SUM(AH1083:AL1083)</f>
        <v>0</v>
      </c>
      <c r="AO1083" s="6"/>
      <c r="AP1083" s="7"/>
      <c r="AQ1083" s="7"/>
      <c r="AR1083" s="7"/>
      <c r="AS1083" s="7"/>
      <c r="AT1083" s="8">
        <f>SUM(AO1083:AS1083)</f>
        <v>0</v>
      </c>
      <c r="AV1083" s="6"/>
      <c r="AW1083" s="7"/>
      <c r="AX1083" s="7"/>
      <c r="AY1083" s="7"/>
      <c r="AZ1083" s="7"/>
      <c r="BA1083" s="8">
        <f>SUM(AV1083:AZ1083)</f>
        <v>0</v>
      </c>
      <c r="BC1083" s="6"/>
      <c r="BD1083" s="7"/>
      <c r="BE1083" s="7"/>
      <c r="BF1083" s="7"/>
      <c r="BG1083" s="7"/>
      <c r="BH1083" s="8">
        <f>SUM(BC1083:BG1083)</f>
        <v>0</v>
      </c>
      <c r="BJ1083" s="6"/>
      <c r="BK1083" s="7"/>
      <c r="BL1083" s="7"/>
      <c r="BM1083" s="7"/>
      <c r="BN1083" s="7"/>
      <c r="BO1083" s="8">
        <f>SUM(BJ1083:BN1083)</f>
        <v>0</v>
      </c>
      <c r="BQ1083" s="6"/>
      <c r="BR1083" s="7"/>
      <c r="BS1083" s="7"/>
      <c r="BT1083" s="7"/>
      <c r="BU1083" s="7"/>
      <c r="BV1083" s="8">
        <f>SUM(BQ1083:BU1083)</f>
        <v>0</v>
      </c>
      <c r="BX1083" s="6"/>
      <c r="BY1083" s="7"/>
      <c r="BZ1083" s="7"/>
      <c r="CA1083" s="7"/>
      <c r="CB1083" s="7"/>
      <c r="CC1083" s="8">
        <f>SUM(BX1083:CB1083)</f>
        <v>0</v>
      </c>
      <c r="CE1083" s="28">
        <f t="shared" si="4969"/>
        <v>0</v>
      </c>
      <c r="CF1083" s="29">
        <f t="shared" si="4970"/>
        <v>0</v>
      </c>
      <c r="CG1083" s="29">
        <f t="shared" si="4971"/>
        <v>0</v>
      </c>
      <c r="CH1083" s="29">
        <f t="shared" si="4972"/>
        <v>0</v>
      </c>
      <c r="CI1083" s="29">
        <f t="shared" si="4973"/>
        <v>0</v>
      </c>
      <c r="CJ1083" s="8">
        <f>SUM(CE1083:CI1083)</f>
        <v>0</v>
      </c>
      <c r="CL1083" s="6"/>
      <c r="CM1083" s="7"/>
      <c r="CN1083" s="7"/>
      <c r="CO1083" s="7"/>
      <c r="CP1083" s="7"/>
      <c r="CQ1083" s="8">
        <f>SUM(CL1083:CP1083)</f>
        <v>0</v>
      </c>
      <c r="CS1083" s="6"/>
      <c r="CT1083" s="7"/>
      <c r="CU1083" s="7"/>
      <c r="CV1083" s="7"/>
      <c r="CW1083" s="7"/>
      <c r="CX1083" s="8">
        <f t="shared" si="4978"/>
        <v>0</v>
      </c>
      <c r="CZ1083" s="6"/>
      <c r="DA1083" s="7"/>
      <c r="DB1083" s="7"/>
      <c r="DC1083" s="7"/>
      <c r="DD1083" s="7"/>
      <c r="DE1083" s="8">
        <f t="shared" si="4979"/>
        <v>0</v>
      </c>
    </row>
    <row r="1084" spans="3:109" ht="14" thickBot="1">
      <c r="C1084" s="567"/>
      <c r="E1084" s="5" t="s">
        <v>62</v>
      </c>
      <c r="F1084" s="23">
        <f t="shared" si="4974"/>
        <v>0</v>
      </c>
      <c r="G1084" s="24">
        <f t="shared" si="4965"/>
        <v>0</v>
      </c>
      <c r="H1084" s="24">
        <f t="shared" si="4966"/>
        <v>0</v>
      </c>
      <c r="I1084" s="24">
        <f t="shared" si="4967"/>
        <v>0</v>
      </c>
      <c r="J1084" s="24">
        <f t="shared" si="4968"/>
        <v>0</v>
      </c>
      <c r="K1084" s="8">
        <f t="shared" si="4975"/>
        <v>0</v>
      </c>
      <c r="M1084" s="6"/>
      <c r="N1084" s="7"/>
      <c r="O1084" s="7"/>
      <c r="P1084" s="7"/>
      <c r="Q1084" s="7"/>
      <c r="R1084" s="8">
        <f t="shared" si="4976"/>
        <v>0</v>
      </c>
      <c r="T1084" s="6"/>
      <c r="U1084" s="7"/>
      <c r="V1084" s="7"/>
      <c r="W1084" s="7"/>
      <c r="X1084" s="7"/>
      <c r="Y1084" s="8">
        <f t="shared" si="4977"/>
        <v>0</v>
      </c>
      <c r="AA1084" s="6"/>
      <c r="AB1084" s="7"/>
      <c r="AC1084" s="7"/>
      <c r="AD1084" s="7"/>
      <c r="AE1084" s="7"/>
      <c r="AF1084" s="8">
        <f>SUM(AA1084:AE1084)</f>
        <v>0</v>
      </c>
      <c r="AH1084" s="6"/>
      <c r="AI1084" s="7"/>
      <c r="AJ1084" s="7"/>
      <c r="AK1084" s="7"/>
      <c r="AL1084" s="7"/>
      <c r="AM1084" s="8">
        <f>SUM(AH1084:AL1084)</f>
        <v>0</v>
      </c>
      <c r="AO1084" s="6"/>
      <c r="AP1084" s="7"/>
      <c r="AQ1084" s="7"/>
      <c r="AR1084" s="7"/>
      <c r="AS1084" s="7"/>
      <c r="AT1084" s="8">
        <f>SUM(AO1084:AS1084)</f>
        <v>0</v>
      </c>
      <c r="AV1084" s="6"/>
      <c r="AW1084" s="7"/>
      <c r="AX1084" s="7"/>
      <c r="AY1084" s="7"/>
      <c r="AZ1084" s="7"/>
      <c r="BA1084" s="8">
        <f>SUM(AV1084:AZ1084)</f>
        <v>0</v>
      </c>
      <c r="BC1084" s="6"/>
      <c r="BD1084" s="7"/>
      <c r="BE1084" s="7"/>
      <c r="BF1084" s="7"/>
      <c r="BG1084" s="7"/>
      <c r="BH1084" s="8">
        <f>SUM(BC1084:BG1084)</f>
        <v>0</v>
      </c>
      <c r="BJ1084" s="6"/>
      <c r="BK1084" s="7"/>
      <c r="BL1084" s="7"/>
      <c r="BM1084" s="7"/>
      <c r="BN1084" s="7"/>
      <c r="BO1084" s="8">
        <f>SUM(BJ1084:BN1084)</f>
        <v>0</v>
      </c>
      <c r="BQ1084" s="6"/>
      <c r="BR1084" s="7"/>
      <c r="BS1084" s="7"/>
      <c r="BT1084" s="7"/>
      <c r="BU1084" s="7"/>
      <c r="BV1084" s="8">
        <f>SUM(BQ1084:BU1084)</f>
        <v>0</v>
      </c>
      <c r="BX1084" s="6"/>
      <c r="BY1084" s="7"/>
      <c r="BZ1084" s="7"/>
      <c r="CA1084" s="7"/>
      <c r="CB1084" s="7"/>
      <c r="CC1084" s="8">
        <f>SUM(BX1084:CB1084)</f>
        <v>0</v>
      </c>
      <c r="CE1084" s="493">
        <f t="shared" si="4969"/>
        <v>0</v>
      </c>
      <c r="CF1084" s="494">
        <f t="shared" si="4970"/>
        <v>0</v>
      </c>
      <c r="CG1084" s="494">
        <f t="shared" si="4971"/>
        <v>0</v>
      </c>
      <c r="CH1084" s="494">
        <f t="shared" si="4972"/>
        <v>0</v>
      </c>
      <c r="CI1084" s="494">
        <f t="shared" si="4973"/>
        <v>0</v>
      </c>
      <c r="CJ1084" s="495">
        <f>SUM(CE1084:CI1084)</f>
        <v>0</v>
      </c>
      <c r="CL1084" s="6"/>
      <c r="CM1084" s="7"/>
      <c r="CN1084" s="7"/>
      <c r="CO1084" s="7"/>
      <c r="CP1084" s="7"/>
      <c r="CQ1084" s="8">
        <f>SUM(CL1084:CP1084)</f>
        <v>0</v>
      </c>
      <c r="CS1084" s="6"/>
      <c r="CT1084" s="7"/>
      <c r="CU1084" s="7"/>
      <c r="CV1084" s="7"/>
      <c r="CW1084" s="7"/>
      <c r="CX1084" s="8">
        <f t="shared" si="4978"/>
        <v>0</v>
      </c>
      <c r="CZ1084" s="6"/>
      <c r="DA1084" s="7"/>
      <c r="DB1084" s="7"/>
      <c r="DC1084" s="7"/>
      <c r="DD1084" s="7"/>
      <c r="DE1084" s="8">
        <f t="shared" si="4979"/>
        <v>0</v>
      </c>
    </row>
    <row r="1085" spans="3:109" ht="14" thickBot="1">
      <c r="C1085" s="554"/>
      <c r="E1085" s="9"/>
      <c r="F1085" s="10">
        <f>SUM(F1081:F1084)</f>
        <v>0</v>
      </c>
      <c r="G1085" s="11">
        <f t="shared" ref="G1085:J1085" si="4980">SUM(G1081:G1084)</f>
        <v>0</v>
      </c>
      <c r="H1085" s="11">
        <f t="shared" si="4980"/>
        <v>0</v>
      </c>
      <c r="I1085" s="11">
        <f t="shared" si="4980"/>
        <v>0</v>
      </c>
      <c r="J1085" s="11">
        <f t="shared" si="4980"/>
        <v>0</v>
      </c>
      <c r="K1085" s="25">
        <f>SUM(K1081:K1084)</f>
        <v>0</v>
      </c>
      <c r="M1085" s="10">
        <f>SUM(M1081:M1084)</f>
        <v>0</v>
      </c>
      <c r="N1085" s="11">
        <f t="shared" ref="N1085:Q1085" si="4981">SUM(N1081:N1084)</f>
        <v>0</v>
      </c>
      <c r="O1085" s="11">
        <f t="shared" si="4981"/>
        <v>0</v>
      </c>
      <c r="P1085" s="11">
        <f t="shared" si="4981"/>
        <v>0</v>
      </c>
      <c r="Q1085" s="11">
        <f t="shared" si="4981"/>
        <v>0</v>
      </c>
      <c r="R1085" s="25">
        <f>SUM(R1081:R1084)</f>
        <v>0</v>
      </c>
      <c r="T1085" s="10">
        <f>SUM(T1081:T1084)</f>
        <v>0</v>
      </c>
      <c r="U1085" s="11">
        <f t="shared" ref="U1085:X1085" si="4982">SUM(U1081:U1084)</f>
        <v>0</v>
      </c>
      <c r="V1085" s="11">
        <f t="shared" si="4982"/>
        <v>0</v>
      </c>
      <c r="W1085" s="11">
        <f t="shared" si="4982"/>
        <v>0</v>
      </c>
      <c r="X1085" s="11">
        <f t="shared" si="4982"/>
        <v>0</v>
      </c>
      <c r="Y1085" s="25">
        <f>SUM(Y1081:Y1084)</f>
        <v>0</v>
      </c>
      <c r="AA1085" s="10">
        <f>SUM(AA1081:AA1084)</f>
        <v>0</v>
      </c>
      <c r="AB1085" s="11">
        <f t="shared" ref="AB1085:AE1085" si="4983">SUM(AB1081:AB1084)</f>
        <v>0</v>
      </c>
      <c r="AC1085" s="11">
        <f t="shared" si="4983"/>
        <v>0</v>
      </c>
      <c r="AD1085" s="11">
        <f t="shared" si="4983"/>
        <v>0</v>
      </c>
      <c r="AE1085" s="11">
        <f t="shared" si="4983"/>
        <v>0</v>
      </c>
      <c r="AF1085" s="25">
        <f>SUM(AF1081:AF1084)</f>
        <v>0</v>
      </c>
      <c r="AH1085" s="10">
        <f t="shared" ref="AH1085:AM1085" si="4984">SUM(AH1081:AH1084)</f>
        <v>0</v>
      </c>
      <c r="AI1085" s="11">
        <f t="shared" si="4984"/>
        <v>0</v>
      </c>
      <c r="AJ1085" s="11">
        <f t="shared" si="4984"/>
        <v>0</v>
      </c>
      <c r="AK1085" s="11">
        <f t="shared" si="4984"/>
        <v>0</v>
      </c>
      <c r="AL1085" s="11">
        <f t="shared" si="4984"/>
        <v>0</v>
      </c>
      <c r="AM1085" s="25">
        <f t="shared" si="4984"/>
        <v>0</v>
      </c>
      <c r="AO1085" s="10">
        <f t="shared" ref="AO1085:AT1085" si="4985">SUM(AO1081:AO1084)</f>
        <v>0</v>
      </c>
      <c r="AP1085" s="11">
        <f t="shared" si="4985"/>
        <v>0</v>
      </c>
      <c r="AQ1085" s="11">
        <f t="shared" si="4985"/>
        <v>0</v>
      </c>
      <c r="AR1085" s="11">
        <f t="shared" si="4985"/>
        <v>0</v>
      </c>
      <c r="AS1085" s="11">
        <f t="shared" si="4985"/>
        <v>0</v>
      </c>
      <c r="AT1085" s="25">
        <f t="shared" si="4985"/>
        <v>0</v>
      </c>
      <c r="AV1085" s="10">
        <f t="shared" ref="AV1085:BA1085" si="4986">SUM(AV1081:AV1084)</f>
        <v>0</v>
      </c>
      <c r="AW1085" s="11">
        <f t="shared" si="4986"/>
        <v>0</v>
      </c>
      <c r="AX1085" s="11">
        <f t="shared" si="4986"/>
        <v>0</v>
      </c>
      <c r="AY1085" s="11">
        <f t="shared" si="4986"/>
        <v>0</v>
      </c>
      <c r="AZ1085" s="11">
        <f t="shared" si="4986"/>
        <v>0</v>
      </c>
      <c r="BA1085" s="25">
        <f t="shared" si="4986"/>
        <v>0</v>
      </c>
      <c r="BC1085" s="10">
        <f t="shared" ref="BC1085:BH1085" si="4987">SUM(BC1081:BC1084)</f>
        <v>0</v>
      </c>
      <c r="BD1085" s="11">
        <f t="shared" si="4987"/>
        <v>0</v>
      </c>
      <c r="BE1085" s="11">
        <f t="shared" si="4987"/>
        <v>0</v>
      </c>
      <c r="BF1085" s="11">
        <f t="shared" si="4987"/>
        <v>0</v>
      </c>
      <c r="BG1085" s="11">
        <f t="shared" si="4987"/>
        <v>0</v>
      </c>
      <c r="BH1085" s="25">
        <f t="shared" si="4987"/>
        <v>0</v>
      </c>
      <c r="BJ1085" s="10">
        <f t="shared" ref="BJ1085:BO1085" si="4988">SUM(BJ1081:BJ1084)</f>
        <v>0</v>
      </c>
      <c r="BK1085" s="11">
        <f t="shared" si="4988"/>
        <v>0</v>
      </c>
      <c r="BL1085" s="11">
        <f t="shared" si="4988"/>
        <v>0</v>
      </c>
      <c r="BM1085" s="11">
        <f t="shared" si="4988"/>
        <v>0</v>
      </c>
      <c r="BN1085" s="11">
        <f t="shared" si="4988"/>
        <v>0</v>
      </c>
      <c r="BO1085" s="25">
        <f t="shared" si="4988"/>
        <v>0</v>
      </c>
      <c r="BQ1085" s="10">
        <f t="shared" ref="BQ1085:BV1085" si="4989">SUM(BQ1081:BQ1084)</f>
        <v>0</v>
      </c>
      <c r="BR1085" s="11">
        <f t="shared" si="4989"/>
        <v>0</v>
      </c>
      <c r="BS1085" s="11">
        <f t="shared" si="4989"/>
        <v>0</v>
      </c>
      <c r="BT1085" s="11">
        <f t="shared" si="4989"/>
        <v>0</v>
      </c>
      <c r="BU1085" s="11">
        <f t="shared" si="4989"/>
        <v>0</v>
      </c>
      <c r="BV1085" s="25">
        <f t="shared" si="4989"/>
        <v>0</v>
      </c>
      <c r="BX1085" s="10">
        <f t="shared" ref="BX1085:CC1085" si="4990">SUM(BX1081:BX1084)</f>
        <v>0</v>
      </c>
      <c r="BY1085" s="11">
        <f t="shared" si="4990"/>
        <v>0</v>
      </c>
      <c r="BZ1085" s="11">
        <f t="shared" si="4990"/>
        <v>0</v>
      </c>
      <c r="CA1085" s="11">
        <f t="shared" si="4990"/>
        <v>0</v>
      </c>
      <c r="CB1085" s="11">
        <f t="shared" si="4990"/>
        <v>0</v>
      </c>
      <c r="CC1085" s="25">
        <f t="shared" si="4990"/>
        <v>0</v>
      </c>
      <c r="CE1085" s="62">
        <f t="shared" ref="CE1085:CJ1085" si="4991">SUM(CE1081:CE1084)</f>
        <v>0</v>
      </c>
      <c r="CF1085" s="63">
        <f t="shared" si="4991"/>
        <v>0</v>
      </c>
      <c r="CG1085" s="63">
        <f t="shared" si="4991"/>
        <v>0</v>
      </c>
      <c r="CH1085" s="63">
        <f t="shared" si="4991"/>
        <v>0</v>
      </c>
      <c r="CI1085" s="63">
        <f t="shared" si="4991"/>
        <v>0</v>
      </c>
      <c r="CJ1085" s="25">
        <f t="shared" si="4991"/>
        <v>0</v>
      </c>
      <c r="CL1085" s="10">
        <f>SUM(CL1081:CL1084)</f>
        <v>0</v>
      </c>
      <c r="CM1085" s="11">
        <f t="shared" ref="CM1085:CQ1085" si="4992">SUM(CM1081:CM1084)</f>
        <v>0</v>
      </c>
      <c r="CN1085" s="11">
        <f t="shared" si="4992"/>
        <v>0</v>
      </c>
      <c r="CO1085" s="11">
        <f t="shared" si="4992"/>
        <v>0</v>
      </c>
      <c r="CP1085" s="11">
        <f t="shared" si="4992"/>
        <v>0</v>
      </c>
      <c r="CQ1085" s="25">
        <f t="shared" si="4992"/>
        <v>0</v>
      </c>
      <c r="CS1085" s="10">
        <f>SUM(CS1081:CS1084)</f>
        <v>0</v>
      </c>
      <c r="CT1085" s="11">
        <f t="shared" ref="CT1085:CW1085" si="4993">SUM(CT1081:CT1084)</f>
        <v>0</v>
      </c>
      <c r="CU1085" s="11">
        <f t="shared" si="4993"/>
        <v>0</v>
      </c>
      <c r="CV1085" s="11">
        <f t="shared" si="4993"/>
        <v>0</v>
      </c>
      <c r="CW1085" s="11">
        <f t="shared" si="4993"/>
        <v>0</v>
      </c>
      <c r="CX1085" s="25">
        <f>SUM(CX1081:CX1084)</f>
        <v>0</v>
      </c>
      <c r="CZ1085" s="10">
        <f>SUM(CZ1081:CZ1084)</f>
        <v>0</v>
      </c>
      <c r="DA1085" s="11">
        <f t="shared" ref="DA1085:DD1085" si="4994">SUM(DA1081:DA1084)</f>
        <v>0</v>
      </c>
      <c r="DB1085" s="11">
        <f t="shared" si="4994"/>
        <v>0</v>
      </c>
      <c r="DC1085" s="11">
        <f t="shared" si="4994"/>
        <v>0</v>
      </c>
      <c r="DD1085" s="11">
        <f t="shared" si="4994"/>
        <v>0</v>
      </c>
      <c r="DE1085" s="25">
        <f>SUM(DE1081:DE1084)</f>
        <v>0</v>
      </c>
    </row>
    <row r="1086" spans="3:109" ht="10.4" customHeight="1" thickBot="1"/>
    <row r="1087" spans="3:109">
      <c r="C1087" s="553">
        <v>2028</v>
      </c>
      <c r="E1087" s="1" t="s">
        <v>59</v>
      </c>
      <c r="F1087" s="21">
        <f>CE1081</f>
        <v>0</v>
      </c>
      <c r="G1087" s="22">
        <f t="shared" ref="G1087:G1090" si="4995">CF1081</f>
        <v>0</v>
      </c>
      <c r="H1087" s="22">
        <f t="shared" ref="H1087:H1090" si="4996">CG1081</f>
        <v>0</v>
      </c>
      <c r="I1087" s="22">
        <f t="shared" ref="I1087:I1090" si="4997">CH1081</f>
        <v>0</v>
      </c>
      <c r="J1087" s="22">
        <f t="shared" ref="J1087:J1090" si="4998">CI1081</f>
        <v>0</v>
      </c>
      <c r="K1087" s="4">
        <f>SUM(F1087:J1087)</f>
        <v>0</v>
      </c>
      <c r="M1087" s="2"/>
      <c r="N1087" s="3"/>
      <c r="O1087" s="3"/>
      <c r="P1087" s="3"/>
      <c r="Q1087" s="3"/>
      <c r="R1087" s="4">
        <f>SUM(M1087:Q1087)</f>
        <v>0</v>
      </c>
      <c r="T1087" s="2"/>
      <c r="U1087" s="3"/>
      <c r="V1087" s="3"/>
      <c r="W1087" s="3"/>
      <c r="X1087" s="3"/>
      <c r="Y1087" s="4">
        <f>SUM(T1087:X1087)</f>
        <v>0</v>
      </c>
      <c r="AA1087" s="2"/>
      <c r="AB1087" s="3"/>
      <c r="AC1087" s="3"/>
      <c r="AD1087" s="3"/>
      <c r="AE1087" s="3"/>
      <c r="AF1087" s="4">
        <f>SUM(AA1087:AE1087)</f>
        <v>0</v>
      </c>
      <c r="AH1087" s="2"/>
      <c r="AI1087" s="3"/>
      <c r="AJ1087" s="3"/>
      <c r="AK1087" s="3"/>
      <c r="AL1087" s="3"/>
      <c r="AM1087" s="4">
        <f>SUM(AH1087:AL1087)</f>
        <v>0</v>
      </c>
      <c r="AO1087" s="2"/>
      <c r="AP1087" s="3"/>
      <c r="AQ1087" s="3"/>
      <c r="AR1087" s="3"/>
      <c r="AS1087" s="3"/>
      <c r="AT1087" s="4">
        <f>SUM(AO1087:AS1087)</f>
        <v>0</v>
      </c>
      <c r="AV1087" s="2"/>
      <c r="AW1087" s="3"/>
      <c r="AX1087" s="3"/>
      <c r="AY1087" s="3"/>
      <c r="AZ1087" s="3"/>
      <c r="BA1087" s="4">
        <f>SUM(AV1087:AZ1087)</f>
        <v>0</v>
      </c>
      <c r="BC1087" s="2"/>
      <c r="BD1087" s="3"/>
      <c r="BE1087" s="3"/>
      <c r="BF1087" s="3"/>
      <c r="BG1087" s="3"/>
      <c r="BH1087" s="4">
        <f>SUM(BC1087:BG1087)</f>
        <v>0</v>
      </c>
      <c r="BJ1087" s="2"/>
      <c r="BK1087" s="3"/>
      <c r="BL1087" s="3"/>
      <c r="BM1087" s="3"/>
      <c r="BN1087" s="3"/>
      <c r="BO1087" s="4">
        <f>SUM(BJ1087:BN1087)</f>
        <v>0</v>
      </c>
      <c r="BQ1087" s="2"/>
      <c r="BR1087" s="3"/>
      <c r="BS1087" s="3"/>
      <c r="BT1087" s="3"/>
      <c r="BU1087" s="3"/>
      <c r="BV1087" s="4">
        <f>SUM(BQ1087:BU1087)</f>
        <v>0</v>
      </c>
      <c r="BX1087" s="2"/>
      <c r="BY1087" s="3"/>
      <c r="BZ1087" s="3"/>
      <c r="CA1087" s="3"/>
      <c r="CB1087" s="3"/>
      <c r="CC1087" s="4">
        <f>SUM(BX1087:CB1087)</f>
        <v>0</v>
      </c>
      <c r="CE1087" s="26">
        <f t="shared" ref="CE1087:CE1090" si="4999">F1087+M1087+T1087+AA1087+AH1087+AO1087+AV1087+BC1087+BJ1087+BQ1087+BX1087</f>
        <v>0</v>
      </c>
      <c r="CF1087" s="27">
        <f t="shared" ref="CF1087:CF1090" si="5000">G1087+N1087+U1087+AB1087+AI1087+AP1087+AW1087+BD1087+BK1087+BR1087+BY1087</f>
        <v>0</v>
      </c>
      <c r="CG1087" s="27">
        <f t="shared" ref="CG1087:CG1090" si="5001">H1087+O1087+V1087+AC1087+AJ1087+AQ1087+AX1087+BE1087+BL1087+BS1087+BZ1087</f>
        <v>0</v>
      </c>
      <c r="CH1087" s="27">
        <f t="shared" ref="CH1087:CH1090" si="5002">I1087+P1087+W1087+AD1087+AK1087+AR1087+AY1087+BF1087+BM1087+BT1087+CA1087</f>
        <v>0</v>
      </c>
      <c r="CI1087" s="27">
        <f t="shared" ref="CI1087:CI1090" si="5003">J1087+Q1087+X1087+AE1087+AL1087+AS1087+AZ1087+BG1087+BN1087+BU1087+CB1087</f>
        <v>0</v>
      </c>
      <c r="CJ1087" s="4">
        <f>SUM(CE1087:CI1087)</f>
        <v>0</v>
      </c>
      <c r="CL1087" s="2"/>
      <c r="CM1087" s="3"/>
      <c r="CN1087" s="3"/>
      <c r="CO1087" s="3"/>
      <c r="CP1087" s="3"/>
      <c r="CQ1087" s="4">
        <f>SUM(CL1087:CP1087)</f>
        <v>0</v>
      </c>
      <c r="CS1087" s="2"/>
      <c r="CT1087" s="3"/>
      <c r="CU1087" s="3"/>
      <c r="CV1087" s="3"/>
      <c r="CW1087" s="3"/>
      <c r="CX1087" s="4">
        <f>SUM(CS1087:CW1087)</f>
        <v>0</v>
      </c>
      <c r="CZ1087" s="2"/>
      <c r="DA1087" s="3"/>
      <c r="DB1087" s="3"/>
      <c r="DC1087" s="3"/>
      <c r="DD1087" s="3"/>
      <c r="DE1087" s="4">
        <f>SUM(CZ1087:DD1087)</f>
        <v>0</v>
      </c>
    </row>
    <row r="1088" spans="3:109">
      <c r="C1088" s="567"/>
      <c r="E1088" s="5" t="s">
        <v>60</v>
      </c>
      <c r="F1088" s="23">
        <f t="shared" ref="F1088:F1090" si="5004">CE1082</f>
        <v>0</v>
      </c>
      <c r="G1088" s="24">
        <f t="shared" si="4995"/>
        <v>0</v>
      </c>
      <c r="H1088" s="24">
        <f t="shared" si="4996"/>
        <v>0</v>
      </c>
      <c r="I1088" s="24">
        <f t="shared" si="4997"/>
        <v>0</v>
      </c>
      <c r="J1088" s="24">
        <f t="shared" si="4998"/>
        <v>0</v>
      </c>
      <c r="K1088" s="8">
        <f t="shared" ref="K1088:K1090" si="5005">SUM(F1088:J1088)</f>
        <v>0</v>
      </c>
      <c r="M1088" s="6"/>
      <c r="N1088" s="7"/>
      <c r="O1088" s="7"/>
      <c r="P1088" s="7"/>
      <c r="Q1088" s="7"/>
      <c r="R1088" s="8">
        <f t="shared" ref="R1088:R1090" si="5006">SUM(M1088:Q1088)</f>
        <v>0</v>
      </c>
      <c r="T1088" s="6"/>
      <c r="U1088" s="7"/>
      <c r="V1088" s="7"/>
      <c r="W1088" s="7"/>
      <c r="X1088" s="7"/>
      <c r="Y1088" s="8">
        <f t="shared" ref="Y1088:Y1090" si="5007">SUM(T1088:X1088)</f>
        <v>0</v>
      </c>
      <c r="AA1088" s="6"/>
      <c r="AB1088" s="7"/>
      <c r="AC1088" s="7"/>
      <c r="AD1088" s="7"/>
      <c r="AE1088" s="7"/>
      <c r="AF1088" s="8">
        <f>SUM(AA1088:AE1088)</f>
        <v>0</v>
      </c>
      <c r="AH1088" s="6"/>
      <c r="AI1088" s="7"/>
      <c r="AJ1088" s="7"/>
      <c r="AK1088" s="7"/>
      <c r="AL1088" s="7"/>
      <c r="AM1088" s="8">
        <f>SUM(AH1088:AL1088)</f>
        <v>0</v>
      </c>
      <c r="AO1088" s="6"/>
      <c r="AP1088" s="7"/>
      <c r="AQ1088" s="7"/>
      <c r="AR1088" s="7"/>
      <c r="AS1088" s="7"/>
      <c r="AT1088" s="8">
        <f>SUM(AO1088:AS1088)</f>
        <v>0</v>
      </c>
      <c r="AV1088" s="6"/>
      <c r="AW1088" s="7"/>
      <c r="AX1088" s="7"/>
      <c r="AY1088" s="7"/>
      <c r="AZ1088" s="7"/>
      <c r="BA1088" s="8">
        <f>SUM(AV1088:AZ1088)</f>
        <v>0</v>
      </c>
      <c r="BC1088" s="6"/>
      <c r="BD1088" s="7"/>
      <c r="BE1088" s="7"/>
      <c r="BF1088" s="7"/>
      <c r="BG1088" s="7"/>
      <c r="BH1088" s="8">
        <f>SUM(BC1088:BG1088)</f>
        <v>0</v>
      </c>
      <c r="BJ1088" s="6"/>
      <c r="BK1088" s="7"/>
      <c r="BL1088" s="7"/>
      <c r="BM1088" s="7"/>
      <c r="BN1088" s="7"/>
      <c r="BO1088" s="8">
        <f>SUM(BJ1088:BN1088)</f>
        <v>0</v>
      </c>
      <c r="BQ1088" s="6"/>
      <c r="BR1088" s="7"/>
      <c r="BS1088" s="7"/>
      <c r="BT1088" s="7"/>
      <c r="BU1088" s="7"/>
      <c r="BV1088" s="8">
        <f>SUM(BQ1088:BU1088)</f>
        <v>0</v>
      </c>
      <c r="BX1088" s="6"/>
      <c r="BY1088" s="7"/>
      <c r="BZ1088" s="7"/>
      <c r="CA1088" s="7"/>
      <c r="CB1088" s="7"/>
      <c r="CC1088" s="8">
        <f>SUM(BX1088:CB1088)</f>
        <v>0</v>
      </c>
      <c r="CE1088" s="28">
        <f t="shared" si="4999"/>
        <v>0</v>
      </c>
      <c r="CF1088" s="29">
        <f t="shared" si="5000"/>
        <v>0</v>
      </c>
      <c r="CG1088" s="29">
        <f t="shared" si="5001"/>
        <v>0</v>
      </c>
      <c r="CH1088" s="29">
        <f t="shared" si="5002"/>
        <v>0</v>
      </c>
      <c r="CI1088" s="29">
        <f t="shared" si="5003"/>
        <v>0</v>
      </c>
      <c r="CJ1088" s="8">
        <f>SUM(CE1088:CI1088)</f>
        <v>0</v>
      </c>
      <c r="CL1088" s="6"/>
      <c r="CM1088" s="7"/>
      <c r="CN1088" s="7"/>
      <c r="CO1088" s="7"/>
      <c r="CP1088" s="7"/>
      <c r="CQ1088" s="8">
        <f>SUM(CL1088:CP1088)</f>
        <v>0</v>
      </c>
      <c r="CS1088" s="6"/>
      <c r="CT1088" s="7"/>
      <c r="CU1088" s="7"/>
      <c r="CV1088" s="7"/>
      <c r="CW1088" s="7"/>
      <c r="CX1088" s="8">
        <f t="shared" ref="CX1088:CX1090" si="5008">SUM(CS1088:CW1088)</f>
        <v>0</v>
      </c>
      <c r="CZ1088" s="6"/>
      <c r="DA1088" s="7"/>
      <c r="DB1088" s="7"/>
      <c r="DC1088" s="7"/>
      <c r="DD1088" s="7"/>
      <c r="DE1088" s="8">
        <f t="shared" ref="DE1088:DE1090" si="5009">SUM(CZ1088:DD1088)</f>
        <v>0</v>
      </c>
    </row>
    <row r="1089" spans="2:110">
      <c r="C1089" s="567"/>
      <c r="E1089" s="5" t="s">
        <v>61</v>
      </c>
      <c r="F1089" s="23">
        <f t="shared" si="5004"/>
        <v>0</v>
      </c>
      <c r="G1089" s="24">
        <f t="shared" si="4995"/>
        <v>0</v>
      </c>
      <c r="H1089" s="24">
        <f t="shared" si="4996"/>
        <v>0</v>
      </c>
      <c r="I1089" s="24">
        <f t="shared" si="4997"/>
        <v>0</v>
      </c>
      <c r="J1089" s="24">
        <f t="shared" si="4998"/>
        <v>0</v>
      </c>
      <c r="K1089" s="8">
        <f t="shared" si="5005"/>
        <v>0</v>
      </c>
      <c r="M1089" s="6"/>
      <c r="N1089" s="7"/>
      <c r="O1089" s="7"/>
      <c r="P1089" s="7"/>
      <c r="Q1089" s="7"/>
      <c r="R1089" s="8">
        <f t="shared" si="5006"/>
        <v>0</v>
      </c>
      <c r="T1089" s="6"/>
      <c r="U1089" s="7"/>
      <c r="V1089" s="7"/>
      <c r="W1089" s="7"/>
      <c r="X1089" s="7"/>
      <c r="Y1089" s="8">
        <f t="shared" si="5007"/>
        <v>0</v>
      </c>
      <c r="AA1089" s="6"/>
      <c r="AB1089" s="7"/>
      <c r="AC1089" s="7"/>
      <c r="AD1089" s="7"/>
      <c r="AE1089" s="7"/>
      <c r="AF1089" s="8">
        <f>SUM(AA1089:AE1089)</f>
        <v>0</v>
      </c>
      <c r="AH1089" s="6"/>
      <c r="AI1089" s="7"/>
      <c r="AJ1089" s="7"/>
      <c r="AK1089" s="7"/>
      <c r="AL1089" s="7"/>
      <c r="AM1089" s="8">
        <f>SUM(AH1089:AL1089)</f>
        <v>0</v>
      </c>
      <c r="AO1089" s="6"/>
      <c r="AP1089" s="7"/>
      <c r="AQ1089" s="7"/>
      <c r="AR1089" s="7"/>
      <c r="AS1089" s="7"/>
      <c r="AT1089" s="8">
        <f>SUM(AO1089:AS1089)</f>
        <v>0</v>
      </c>
      <c r="AV1089" s="6"/>
      <c r="AW1089" s="7"/>
      <c r="AX1089" s="7"/>
      <c r="AY1089" s="7"/>
      <c r="AZ1089" s="7"/>
      <c r="BA1089" s="8">
        <f>SUM(AV1089:AZ1089)</f>
        <v>0</v>
      </c>
      <c r="BC1089" s="6"/>
      <c r="BD1089" s="7"/>
      <c r="BE1089" s="7"/>
      <c r="BF1089" s="7"/>
      <c r="BG1089" s="7"/>
      <c r="BH1089" s="8">
        <f>SUM(BC1089:BG1089)</f>
        <v>0</v>
      </c>
      <c r="BJ1089" s="6"/>
      <c r="BK1089" s="7"/>
      <c r="BL1089" s="7"/>
      <c r="BM1089" s="7"/>
      <c r="BN1089" s="7"/>
      <c r="BO1089" s="8">
        <f>SUM(BJ1089:BN1089)</f>
        <v>0</v>
      </c>
      <c r="BQ1089" s="6"/>
      <c r="BR1089" s="7"/>
      <c r="BS1089" s="7"/>
      <c r="BT1089" s="7"/>
      <c r="BU1089" s="7"/>
      <c r="BV1089" s="8">
        <f>SUM(BQ1089:BU1089)</f>
        <v>0</v>
      </c>
      <c r="BX1089" s="6"/>
      <c r="BY1089" s="7"/>
      <c r="BZ1089" s="7"/>
      <c r="CA1089" s="7"/>
      <c r="CB1089" s="7"/>
      <c r="CC1089" s="8">
        <f>SUM(BX1089:CB1089)</f>
        <v>0</v>
      </c>
      <c r="CE1089" s="28">
        <f t="shared" si="4999"/>
        <v>0</v>
      </c>
      <c r="CF1089" s="29">
        <f t="shared" si="5000"/>
        <v>0</v>
      </c>
      <c r="CG1089" s="29">
        <f t="shared" si="5001"/>
        <v>0</v>
      </c>
      <c r="CH1089" s="29">
        <f t="shared" si="5002"/>
        <v>0</v>
      </c>
      <c r="CI1089" s="29">
        <f t="shared" si="5003"/>
        <v>0</v>
      </c>
      <c r="CJ1089" s="8">
        <f>SUM(CE1089:CI1089)</f>
        <v>0</v>
      </c>
      <c r="CL1089" s="6"/>
      <c r="CM1089" s="7"/>
      <c r="CN1089" s="7"/>
      <c r="CO1089" s="7"/>
      <c r="CP1089" s="7"/>
      <c r="CQ1089" s="8">
        <f>SUM(CL1089:CP1089)</f>
        <v>0</v>
      </c>
      <c r="CS1089" s="6"/>
      <c r="CT1089" s="7"/>
      <c r="CU1089" s="7"/>
      <c r="CV1089" s="7"/>
      <c r="CW1089" s="7"/>
      <c r="CX1089" s="8">
        <f t="shared" si="5008"/>
        <v>0</v>
      </c>
      <c r="CZ1089" s="6"/>
      <c r="DA1089" s="7"/>
      <c r="DB1089" s="7"/>
      <c r="DC1089" s="7"/>
      <c r="DD1089" s="7"/>
      <c r="DE1089" s="8">
        <f t="shared" si="5009"/>
        <v>0</v>
      </c>
    </row>
    <row r="1090" spans="2:110" ht="14" thickBot="1">
      <c r="C1090" s="567"/>
      <c r="E1090" s="5" t="s">
        <v>62</v>
      </c>
      <c r="F1090" s="23">
        <f t="shared" si="5004"/>
        <v>0</v>
      </c>
      <c r="G1090" s="24">
        <f t="shared" si="4995"/>
        <v>0</v>
      </c>
      <c r="H1090" s="24">
        <f t="shared" si="4996"/>
        <v>0</v>
      </c>
      <c r="I1090" s="24">
        <f t="shared" si="4997"/>
        <v>0</v>
      </c>
      <c r="J1090" s="24">
        <f t="shared" si="4998"/>
        <v>0</v>
      </c>
      <c r="K1090" s="8">
        <f t="shared" si="5005"/>
        <v>0</v>
      </c>
      <c r="M1090" s="6"/>
      <c r="N1090" s="7"/>
      <c r="O1090" s="7"/>
      <c r="P1090" s="7"/>
      <c r="Q1090" s="7"/>
      <c r="R1090" s="8">
        <f t="shared" si="5006"/>
        <v>0</v>
      </c>
      <c r="T1090" s="6"/>
      <c r="U1090" s="7"/>
      <c r="V1090" s="7"/>
      <c r="W1090" s="7"/>
      <c r="X1090" s="7"/>
      <c r="Y1090" s="8">
        <f t="shared" si="5007"/>
        <v>0</v>
      </c>
      <c r="AA1090" s="6"/>
      <c r="AB1090" s="7"/>
      <c r="AC1090" s="7"/>
      <c r="AD1090" s="7"/>
      <c r="AE1090" s="7"/>
      <c r="AF1090" s="8">
        <f>SUM(AA1090:AE1090)</f>
        <v>0</v>
      </c>
      <c r="AH1090" s="6"/>
      <c r="AI1090" s="7"/>
      <c r="AJ1090" s="7"/>
      <c r="AK1090" s="7"/>
      <c r="AL1090" s="7"/>
      <c r="AM1090" s="8">
        <f>SUM(AH1090:AL1090)</f>
        <v>0</v>
      </c>
      <c r="AO1090" s="6"/>
      <c r="AP1090" s="7"/>
      <c r="AQ1090" s="7"/>
      <c r="AR1090" s="7"/>
      <c r="AS1090" s="7"/>
      <c r="AT1090" s="8">
        <f>SUM(AO1090:AS1090)</f>
        <v>0</v>
      </c>
      <c r="AV1090" s="6"/>
      <c r="AW1090" s="7"/>
      <c r="AX1090" s="7"/>
      <c r="AY1090" s="7"/>
      <c r="AZ1090" s="7"/>
      <c r="BA1090" s="8">
        <f>SUM(AV1090:AZ1090)</f>
        <v>0</v>
      </c>
      <c r="BC1090" s="6"/>
      <c r="BD1090" s="7"/>
      <c r="BE1090" s="7"/>
      <c r="BF1090" s="7"/>
      <c r="BG1090" s="7"/>
      <c r="BH1090" s="8">
        <f>SUM(BC1090:BG1090)</f>
        <v>0</v>
      </c>
      <c r="BJ1090" s="6"/>
      <c r="BK1090" s="7"/>
      <c r="BL1090" s="7"/>
      <c r="BM1090" s="7"/>
      <c r="BN1090" s="7"/>
      <c r="BO1090" s="8">
        <f>SUM(BJ1090:BN1090)</f>
        <v>0</v>
      </c>
      <c r="BQ1090" s="6"/>
      <c r="BR1090" s="7"/>
      <c r="BS1090" s="7"/>
      <c r="BT1090" s="7"/>
      <c r="BU1090" s="7"/>
      <c r="BV1090" s="8">
        <f>SUM(BQ1090:BU1090)</f>
        <v>0</v>
      </c>
      <c r="BX1090" s="6"/>
      <c r="BY1090" s="7"/>
      <c r="BZ1090" s="7"/>
      <c r="CA1090" s="7"/>
      <c r="CB1090" s="7"/>
      <c r="CC1090" s="8">
        <f>SUM(BX1090:CB1090)</f>
        <v>0</v>
      </c>
      <c r="CE1090" s="493">
        <f t="shared" si="4999"/>
        <v>0</v>
      </c>
      <c r="CF1090" s="494">
        <f t="shared" si="5000"/>
        <v>0</v>
      </c>
      <c r="CG1090" s="494">
        <f t="shared" si="5001"/>
        <v>0</v>
      </c>
      <c r="CH1090" s="494">
        <f t="shared" si="5002"/>
        <v>0</v>
      </c>
      <c r="CI1090" s="494">
        <f t="shared" si="5003"/>
        <v>0</v>
      </c>
      <c r="CJ1090" s="495">
        <f>SUM(CE1090:CI1090)</f>
        <v>0</v>
      </c>
      <c r="CL1090" s="6"/>
      <c r="CM1090" s="7"/>
      <c r="CN1090" s="7"/>
      <c r="CO1090" s="7"/>
      <c r="CP1090" s="7"/>
      <c r="CQ1090" s="8">
        <f>SUM(CL1090:CP1090)</f>
        <v>0</v>
      </c>
      <c r="CS1090" s="6"/>
      <c r="CT1090" s="7"/>
      <c r="CU1090" s="7"/>
      <c r="CV1090" s="7"/>
      <c r="CW1090" s="7"/>
      <c r="CX1090" s="8">
        <f t="shared" si="5008"/>
        <v>0</v>
      </c>
      <c r="CZ1090" s="6"/>
      <c r="DA1090" s="7"/>
      <c r="DB1090" s="7"/>
      <c r="DC1090" s="7"/>
      <c r="DD1090" s="7"/>
      <c r="DE1090" s="8">
        <f t="shared" si="5009"/>
        <v>0</v>
      </c>
    </row>
    <row r="1091" spans="2:110" ht="14" thickBot="1">
      <c r="C1091" s="554"/>
      <c r="E1091" s="9"/>
      <c r="F1091" s="10">
        <f>SUM(F1087:F1090)</f>
        <v>0</v>
      </c>
      <c r="G1091" s="11">
        <f t="shared" ref="G1091:J1091" si="5010">SUM(G1087:G1090)</f>
        <v>0</v>
      </c>
      <c r="H1091" s="11">
        <f t="shared" si="5010"/>
        <v>0</v>
      </c>
      <c r="I1091" s="11">
        <f t="shared" si="5010"/>
        <v>0</v>
      </c>
      <c r="J1091" s="11">
        <f t="shared" si="5010"/>
        <v>0</v>
      </c>
      <c r="K1091" s="25">
        <f>SUM(K1087:K1090)</f>
        <v>0</v>
      </c>
      <c r="M1091" s="10">
        <f>SUM(M1087:M1090)</f>
        <v>0</v>
      </c>
      <c r="N1091" s="11">
        <f t="shared" ref="N1091:Q1091" si="5011">SUM(N1087:N1090)</f>
        <v>0</v>
      </c>
      <c r="O1091" s="11">
        <f t="shared" si="5011"/>
        <v>0</v>
      </c>
      <c r="P1091" s="11">
        <f t="shared" si="5011"/>
        <v>0</v>
      </c>
      <c r="Q1091" s="11">
        <f t="shared" si="5011"/>
        <v>0</v>
      </c>
      <c r="R1091" s="25">
        <f>SUM(R1087:R1090)</f>
        <v>0</v>
      </c>
      <c r="T1091" s="10">
        <f>SUM(T1087:T1090)</f>
        <v>0</v>
      </c>
      <c r="U1091" s="11">
        <f t="shared" ref="U1091:X1091" si="5012">SUM(U1087:U1090)</f>
        <v>0</v>
      </c>
      <c r="V1091" s="11">
        <f t="shared" si="5012"/>
        <v>0</v>
      </c>
      <c r="W1091" s="11">
        <f t="shared" si="5012"/>
        <v>0</v>
      </c>
      <c r="X1091" s="11">
        <f t="shared" si="5012"/>
        <v>0</v>
      </c>
      <c r="Y1091" s="25">
        <f>SUM(Y1087:Y1090)</f>
        <v>0</v>
      </c>
      <c r="AA1091" s="10">
        <f>SUM(AA1087:AA1090)</f>
        <v>0</v>
      </c>
      <c r="AB1091" s="11">
        <f t="shared" ref="AB1091:AE1091" si="5013">SUM(AB1087:AB1090)</f>
        <v>0</v>
      </c>
      <c r="AC1091" s="11">
        <f t="shared" si="5013"/>
        <v>0</v>
      </c>
      <c r="AD1091" s="11">
        <f t="shared" si="5013"/>
        <v>0</v>
      </c>
      <c r="AE1091" s="11">
        <f t="shared" si="5013"/>
        <v>0</v>
      </c>
      <c r="AF1091" s="25">
        <f>SUM(AF1087:AF1090)</f>
        <v>0</v>
      </c>
      <c r="AH1091" s="10">
        <f t="shared" ref="AH1091:AM1091" si="5014">SUM(AH1087:AH1090)</f>
        <v>0</v>
      </c>
      <c r="AI1091" s="11">
        <f t="shared" si="5014"/>
        <v>0</v>
      </c>
      <c r="AJ1091" s="11">
        <f t="shared" si="5014"/>
        <v>0</v>
      </c>
      <c r="AK1091" s="11">
        <f t="shared" si="5014"/>
        <v>0</v>
      </c>
      <c r="AL1091" s="11">
        <f t="shared" si="5014"/>
        <v>0</v>
      </c>
      <c r="AM1091" s="25">
        <f t="shared" si="5014"/>
        <v>0</v>
      </c>
      <c r="AO1091" s="10">
        <f t="shared" ref="AO1091:AT1091" si="5015">SUM(AO1087:AO1090)</f>
        <v>0</v>
      </c>
      <c r="AP1091" s="11">
        <f t="shared" si="5015"/>
        <v>0</v>
      </c>
      <c r="AQ1091" s="11">
        <f t="shared" si="5015"/>
        <v>0</v>
      </c>
      <c r="AR1091" s="11">
        <f t="shared" si="5015"/>
        <v>0</v>
      </c>
      <c r="AS1091" s="11">
        <f t="shared" si="5015"/>
        <v>0</v>
      </c>
      <c r="AT1091" s="25">
        <f t="shared" si="5015"/>
        <v>0</v>
      </c>
      <c r="AV1091" s="10">
        <f t="shared" ref="AV1091:BA1091" si="5016">SUM(AV1087:AV1090)</f>
        <v>0</v>
      </c>
      <c r="AW1091" s="11">
        <f t="shared" si="5016"/>
        <v>0</v>
      </c>
      <c r="AX1091" s="11">
        <f t="shared" si="5016"/>
        <v>0</v>
      </c>
      <c r="AY1091" s="11">
        <f t="shared" si="5016"/>
        <v>0</v>
      </c>
      <c r="AZ1091" s="11">
        <f t="shared" si="5016"/>
        <v>0</v>
      </c>
      <c r="BA1091" s="25">
        <f t="shared" si="5016"/>
        <v>0</v>
      </c>
      <c r="BC1091" s="10">
        <f t="shared" ref="BC1091:BH1091" si="5017">SUM(BC1087:BC1090)</f>
        <v>0</v>
      </c>
      <c r="BD1091" s="11">
        <f t="shared" si="5017"/>
        <v>0</v>
      </c>
      <c r="BE1091" s="11">
        <f t="shared" si="5017"/>
        <v>0</v>
      </c>
      <c r="BF1091" s="11">
        <f t="shared" si="5017"/>
        <v>0</v>
      </c>
      <c r="BG1091" s="11">
        <f t="shared" si="5017"/>
        <v>0</v>
      </c>
      <c r="BH1091" s="25">
        <f t="shared" si="5017"/>
        <v>0</v>
      </c>
      <c r="BJ1091" s="10">
        <f t="shared" ref="BJ1091:BO1091" si="5018">SUM(BJ1087:BJ1090)</f>
        <v>0</v>
      </c>
      <c r="BK1091" s="11">
        <f t="shared" si="5018"/>
        <v>0</v>
      </c>
      <c r="BL1091" s="11">
        <f t="shared" si="5018"/>
        <v>0</v>
      </c>
      <c r="BM1091" s="11">
        <f t="shared" si="5018"/>
        <v>0</v>
      </c>
      <c r="BN1091" s="11">
        <f t="shared" si="5018"/>
        <v>0</v>
      </c>
      <c r="BO1091" s="25">
        <f t="shared" si="5018"/>
        <v>0</v>
      </c>
      <c r="BQ1091" s="10">
        <f t="shared" ref="BQ1091:BV1091" si="5019">SUM(BQ1087:BQ1090)</f>
        <v>0</v>
      </c>
      <c r="BR1091" s="11">
        <f t="shared" si="5019"/>
        <v>0</v>
      </c>
      <c r="BS1091" s="11">
        <f t="shared" si="5019"/>
        <v>0</v>
      </c>
      <c r="BT1091" s="11">
        <f t="shared" si="5019"/>
        <v>0</v>
      </c>
      <c r="BU1091" s="11">
        <f t="shared" si="5019"/>
        <v>0</v>
      </c>
      <c r="BV1091" s="25">
        <f t="shared" si="5019"/>
        <v>0</v>
      </c>
      <c r="BX1091" s="10">
        <f t="shared" ref="BX1091:CC1091" si="5020">SUM(BX1087:BX1090)</f>
        <v>0</v>
      </c>
      <c r="BY1091" s="11">
        <f t="shared" si="5020"/>
        <v>0</v>
      </c>
      <c r="BZ1091" s="11">
        <f t="shared" si="5020"/>
        <v>0</v>
      </c>
      <c r="CA1091" s="11">
        <f t="shared" si="5020"/>
        <v>0</v>
      </c>
      <c r="CB1091" s="11">
        <f t="shared" si="5020"/>
        <v>0</v>
      </c>
      <c r="CC1091" s="25">
        <f t="shared" si="5020"/>
        <v>0</v>
      </c>
      <c r="CE1091" s="62">
        <f t="shared" ref="CE1091:CJ1091" si="5021">SUM(CE1087:CE1090)</f>
        <v>0</v>
      </c>
      <c r="CF1091" s="63">
        <f t="shared" si="5021"/>
        <v>0</v>
      </c>
      <c r="CG1091" s="63">
        <f t="shared" si="5021"/>
        <v>0</v>
      </c>
      <c r="CH1091" s="63">
        <f t="shared" si="5021"/>
        <v>0</v>
      </c>
      <c r="CI1091" s="63">
        <f t="shared" si="5021"/>
        <v>0</v>
      </c>
      <c r="CJ1091" s="25">
        <f t="shared" si="5021"/>
        <v>0</v>
      </c>
      <c r="CL1091" s="10">
        <f>SUM(CL1087:CL1090)</f>
        <v>0</v>
      </c>
      <c r="CM1091" s="11">
        <f t="shared" ref="CM1091:CQ1091" si="5022">SUM(CM1087:CM1090)</f>
        <v>0</v>
      </c>
      <c r="CN1091" s="11">
        <f t="shared" si="5022"/>
        <v>0</v>
      </c>
      <c r="CO1091" s="11">
        <f t="shared" si="5022"/>
        <v>0</v>
      </c>
      <c r="CP1091" s="11">
        <f t="shared" si="5022"/>
        <v>0</v>
      </c>
      <c r="CQ1091" s="25">
        <f t="shared" si="5022"/>
        <v>0</v>
      </c>
      <c r="CS1091" s="10">
        <f>SUM(CS1087:CS1090)</f>
        <v>0</v>
      </c>
      <c r="CT1091" s="11">
        <f t="shared" ref="CT1091:CW1091" si="5023">SUM(CT1087:CT1090)</f>
        <v>0</v>
      </c>
      <c r="CU1091" s="11">
        <f t="shared" si="5023"/>
        <v>0</v>
      </c>
      <c r="CV1091" s="11">
        <f t="shared" si="5023"/>
        <v>0</v>
      </c>
      <c r="CW1091" s="11">
        <f t="shared" si="5023"/>
        <v>0</v>
      </c>
      <c r="CX1091" s="25">
        <f>SUM(CX1087:CX1090)</f>
        <v>0</v>
      </c>
      <c r="CZ1091" s="10">
        <f>SUM(CZ1087:CZ1090)</f>
        <v>0</v>
      </c>
      <c r="DA1091" s="11">
        <f t="shared" ref="DA1091:DD1091" si="5024">SUM(DA1087:DA1090)</f>
        <v>0</v>
      </c>
      <c r="DB1091" s="11">
        <f t="shared" si="5024"/>
        <v>0</v>
      </c>
      <c r="DC1091" s="11">
        <f t="shared" si="5024"/>
        <v>0</v>
      </c>
      <c r="DD1091" s="11">
        <f t="shared" si="5024"/>
        <v>0</v>
      </c>
      <c r="DE1091" s="25">
        <f>SUM(DE1087:DE1090)</f>
        <v>0</v>
      </c>
    </row>
    <row r="1093" spans="2:110">
      <c r="B1093" s="123"/>
      <c r="C1093" s="20"/>
      <c r="D1093" s="20"/>
      <c r="E1093" s="20"/>
      <c r="F1093" s="20"/>
      <c r="G1093" s="20"/>
      <c r="H1093" s="20"/>
      <c r="I1093" s="20"/>
      <c r="J1093" s="20"/>
      <c r="K1093" s="20"/>
      <c r="L1093" s="20"/>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c r="BU1093" s="20"/>
      <c r="BV1093" s="20"/>
      <c r="BW1093" s="20"/>
      <c r="BX1093" s="20"/>
      <c r="BY1093" s="20"/>
      <c r="BZ1093" s="20"/>
      <c r="CA1093" s="20"/>
      <c r="CB1093" s="20"/>
      <c r="CC1093" s="20"/>
      <c r="CD1093" s="20"/>
      <c r="CE1093" s="20"/>
      <c r="CF1093" s="20"/>
      <c r="CG1093" s="20"/>
      <c r="CH1093" s="20"/>
      <c r="CI1093" s="20"/>
      <c r="CJ1093" s="20"/>
      <c r="CK1093" s="20"/>
      <c r="CL1093" s="20"/>
      <c r="CM1093" s="20"/>
      <c r="CN1093" s="20"/>
      <c r="CO1093" s="20"/>
      <c r="CP1093" s="20"/>
      <c r="CQ1093" s="20"/>
      <c r="CR1093" s="20"/>
      <c r="CS1093" s="20"/>
      <c r="CT1093" s="20"/>
      <c r="CU1093" s="20"/>
      <c r="CV1093" s="20"/>
      <c r="CW1093" s="20"/>
      <c r="CX1093" s="20"/>
      <c r="CY1093" s="20"/>
      <c r="CZ1093" s="20"/>
      <c r="DA1093" s="20"/>
      <c r="DB1093" s="20"/>
      <c r="DC1093" s="20"/>
      <c r="DD1093" s="20"/>
      <c r="DE1093" s="20"/>
      <c r="DF1093" s="20"/>
    </row>
    <row r="1094" spans="2:110" ht="14" thickBot="1">
      <c r="B1094" s="94">
        <v>35</v>
      </c>
      <c r="C1094" s="12" t="s">
        <v>96</v>
      </c>
    </row>
    <row r="1095" spans="2:110">
      <c r="C1095" s="553">
        <v>2024</v>
      </c>
      <c r="E1095" s="1" t="s">
        <v>59</v>
      </c>
      <c r="F1095" s="2"/>
      <c r="G1095" s="3"/>
      <c r="H1095" s="3"/>
      <c r="I1095" s="3"/>
      <c r="J1095" s="3"/>
      <c r="K1095" s="4">
        <f>SUM(F1095:J1095)</f>
        <v>0</v>
      </c>
      <c r="M1095" s="2"/>
      <c r="N1095" s="3"/>
      <c r="O1095" s="3"/>
      <c r="P1095" s="3"/>
      <c r="Q1095" s="3"/>
      <c r="R1095" s="4">
        <f>SUM(M1095:Q1095)</f>
        <v>0</v>
      </c>
      <c r="T1095" s="2"/>
      <c r="U1095" s="3"/>
      <c r="V1095" s="3"/>
      <c r="W1095" s="3"/>
      <c r="X1095" s="3"/>
      <c r="Y1095" s="4">
        <f>SUM(T1095:X1095)</f>
        <v>0</v>
      </c>
      <c r="AA1095" s="2"/>
      <c r="AB1095" s="3"/>
      <c r="AC1095" s="3"/>
      <c r="AD1095" s="3"/>
      <c r="AE1095" s="3"/>
      <c r="AF1095" s="4">
        <f>SUM(AA1095:AE1095)</f>
        <v>0</v>
      </c>
      <c r="AH1095" s="2"/>
      <c r="AI1095" s="3"/>
      <c r="AJ1095" s="3"/>
      <c r="AK1095" s="3"/>
      <c r="AL1095" s="3"/>
      <c r="AM1095" s="4">
        <f>SUM(AH1095:AL1095)</f>
        <v>0</v>
      </c>
      <c r="AO1095" s="2"/>
      <c r="AP1095" s="3"/>
      <c r="AQ1095" s="3"/>
      <c r="AR1095" s="3"/>
      <c r="AS1095" s="3"/>
      <c r="AT1095" s="4">
        <f>SUM(AO1095:AS1095)</f>
        <v>0</v>
      </c>
      <c r="AV1095" s="2"/>
      <c r="AW1095" s="3"/>
      <c r="AX1095" s="3"/>
      <c r="AY1095" s="3"/>
      <c r="AZ1095" s="3"/>
      <c r="BA1095" s="4">
        <f>SUM(AV1095:AZ1095)</f>
        <v>0</v>
      </c>
      <c r="BC1095" s="2"/>
      <c r="BD1095" s="3"/>
      <c r="BE1095" s="3"/>
      <c r="BF1095" s="3"/>
      <c r="BG1095" s="3"/>
      <c r="BH1095" s="4">
        <f>SUM(BC1095:BG1095)</f>
        <v>0</v>
      </c>
      <c r="BJ1095" s="2"/>
      <c r="BK1095" s="3"/>
      <c r="BL1095" s="3"/>
      <c r="BM1095" s="3"/>
      <c r="BN1095" s="3"/>
      <c r="BO1095" s="4">
        <f>SUM(BJ1095:BN1095)</f>
        <v>0</v>
      </c>
      <c r="BQ1095" s="2"/>
      <c r="BR1095" s="3"/>
      <c r="BS1095" s="3"/>
      <c r="BT1095" s="3"/>
      <c r="BU1095" s="3"/>
      <c r="BV1095" s="4">
        <f>SUM(BQ1095:BU1095)</f>
        <v>0</v>
      </c>
      <c r="BX1095" s="2"/>
      <c r="BY1095" s="3"/>
      <c r="BZ1095" s="3"/>
      <c r="CA1095" s="3"/>
      <c r="CB1095" s="3"/>
      <c r="CC1095" s="4">
        <f>SUM(BX1095:CB1095)</f>
        <v>0</v>
      </c>
      <c r="CE1095" s="26">
        <f t="shared" ref="CE1095:CE1098" si="5025">F1095+M1095+T1095+AA1095+AH1095+AO1095+AV1095+BC1095+BJ1095+BQ1095+BX1095</f>
        <v>0</v>
      </c>
      <c r="CF1095" s="27">
        <f t="shared" ref="CF1095:CF1098" si="5026">G1095+N1095+U1095+AB1095+AI1095+AP1095+AW1095+BD1095+BK1095+BR1095+BY1095</f>
        <v>0</v>
      </c>
      <c r="CG1095" s="27">
        <f t="shared" ref="CG1095:CG1098" si="5027">H1095+O1095+V1095+AC1095+AJ1095+AQ1095+AX1095+BE1095+BL1095+BS1095+BZ1095</f>
        <v>0</v>
      </c>
      <c r="CH1095" s="27">
        <f t="shared" ref="CH1095:CH1098" si="5028">I1095+P1095+W1095+AD1095+AK1095+AR1095+AY1095+BF1095+BM1095+BT1095+CA1095</f>
        <v>0</v>
      </c>
      <c r="CI1095" s="27">
        <f t="shared" ref="CI1095:CI1098" si="5029">J1095+Q1095+X1095+AE1095+AL1095+AS1095+AZ1095+BG1095+BN1095+BU1095+CB1095</f>
        <v>0</v>
      </c>
      <c r="CJ1095" s="4">
        <f>SUM(CE1095:CI1095)</f>
        <v>0</v>
      </c>
      <c r="CL1095" s="2"/>
      <c r="CM1095" s="3"/>
      <c r="CN1095" s="3"/>
      <c r="CO1095" s="3"/>
      <c r="CP1095" s="3"/>
      <c r="CQ1095" s="4">
        <f>SUM(CL1095:CP1095)</f>
        <v>0</v>
      </c>
      <c r="CS1095" s="2"/>
      <c r="CT1095" s="3"/>
      <c r="CU1095" s="3"/>
      <c r="CV1095" s="3"/>
      <c r="CW1095" s="3"/>
      <c r="CX1095" s="4">
        <f>SUM(CS1095:CW1095)</f>
        <v>0</v>
      </c>
      <c r="CZ1095" s="2"/>
      <c r="DA1095" s="3"/>
      <c r="DB1095" s="3"/>
      <c r="DC1095" s="3"/>
      <c r="DD1095" s="3"/>
      <c r="DE1095" s="4">
        <f>SUM(CZ1095:DD1095)</f>
        <v>0</v>
      </c>
    </row>
    <row r="1096" spans="2:110">
      <c r="C1096" s="567"/>
      <c r="E1096" s="5" t="s">
        <v>60</v>
      </c>
      <c r="F1096" s="6"/>
      <c r="G1096" s="7"/>
      <c r="H1096" s="7"/>
      <c r="I1096" s="7"/>
      <c r="J1096" s="7"/>
      <c r="K1096" s="8">
        <f t="shared" ref="K1096:K1098" si="5030">SUM(F1096:J1096)</f>
        <v>0</v>
      </c>
      <c r="M1096" s="6"/>
      <c r="N1096" s="7"/>
      <c r="O1096" s="7"/>
      <c r="P1096" s="7"/>
      <c r="Q1096" s="7"/>
      <c r="R1096" s="8">
        <f t="shared" ref="R1096:R1098" si="5031">SUM(M1096:Q1096)</f>
        <v>0</v>
      </c>
      <c r="T1096" s="6"/>
      <c r="U1096" s="7"/>
      <c r="V1096" s="7"/>
      <c r="W1096" s="7"/>
      <c r="X1096" s="7"/>
      <c r="Y1096" s="8">
        <f t="shared" ref="Y1096:Y1098" si="5032">SUM(T1096:X1096)</f>
        <v>0</v>
      </c>
      <c r="AA1096" s="6"/>
      <c r="AB1096" s="7"/>
      <c r="AC1096" s="7"/>
      <c r="AD1096" s="7"/>
      <c r="AE1096" s="7"/>
      <c r="AF1096" s="8">
        <f>SUM(AA1096:AE1096)</f>
        <v>0</v>
      </c>
      <c r="AH1096" s="6"/>
      <c r="AI1096" s="7"/>
      <c r="AJ1096" s="7"/>
      <c r="AK1096" s="7"/>
      <c r="AL1096" s="7"/>
      <c r="AM1096" s="8">
        <f>SUM(AH1096:AL1096)</f>
        <v>0</v>
      </c>
      <c r="AO1096" s="6"/>
      <c r="AP1096" s="7"/>
      <c r="AQ1096" s="7"/>
      <c r="AR1096" s="7"/>
      <c r="AS1096" s="7"/>
      <c r="AT1096" s="8">
        <f>SUM(AO1096:AS1096)</f>
        <v>0</v>
      </c>
      <c r="AV1096" s="6"/>
      <c r="AW1096" s="7"/>
      <c r="AX1096" s="7"/>
      <c r="AY1096" s="7"/>
      <c r="AZ1096" s="7"/>
      <c r="BA1096" s="8">
        <f>SUM(AV1096:AZ1096)</f>
        <v>0</v>
      </c>
      <c r="BC1096" s="6"/>
      <c r="BD1096" s="7"/>
      <c r="BE1096" s="7"/>
      <c r="BF1096" s="7"/>
      <c r="BG1096" s="7"/>
      <c r="BH1096" s="8">
        <f>SUM(BC1096:BG1096)</f>
        <v>0</v>
      </c>
      <c r="BJ1096" s="6"/>
      <c r="BK1096" s="7"/>
      <c r="BL1096" s="7"/>
      <c r="BM1096" s="7"/>
      <c r="BN1096" s="7"/>
      <c r="BO1096" s="8">
        <f>SUM(BJ1096:BN1096)</f>
        <v>0</v>
      </c>
      <c r="BQ1096" s="6"/>
      <c r="BR1096" s="7"/>
      <c r="BS1096" s="7"/>
      <c r="BT1096" s="7"/>
      <c r="BU1096" s="7"/>
      <c r="BV1096" s="8">
        <f>SUM(BQ1096:BU1096)</f>
        <v>0</v>
      </c>
      <c r="BX1096" s="6"/>
      <c r="BY1096" s="7"/>
      <c r="BZ1096" s="7"/>
      <c r="CA1096" s="7"/>
      <c r="CB1096" s="7"/>
      <c r="CC1096" s="8">
        <f>SUM(BX1096:CB1096)</f>
        <v>0</v>
      </c>
      <c r="CE1096" s="28">
        <f t="shared" si="5025"/>
        <v>0</v>
      </c>
      <c r="CF1096" s="29">
        <f t="shared" si="5026"/>
        <v>0</v>
      </c>
      <c r="CG1096" s="29">
        <f t="shared" si="5027"/>
        <v>0</v>
      </c>
      <c r="CH1096" s="29">
        <f t="shared" si="5028"/>
        <v>0</v>
      </c>
      <c r="CI1096" s="29">
        <f t="shared" si="5029"/>
        <v>0</v>
      </c>
      <c r="CJ1096" s="8">
        <f>SUM(CE1096:CI1096)</f>
        <v>0</v>
      </c>
      <c r="CL1096" s="6"/>
      <c r="CM1096" s="7"/>
      <c r="CN1096" s="7"/>
      <c r="CO1096" s="7"/>
      <c r="CP1096" s="7"/>
      <c r="CQ1096" s="8">
        <f>SUM(CL1096:CP1096)</f>
        <v>0</v>
      </c>
      <c r="CS1096" s="6"/>
      <c r="CT1096" s="7"/>
      <c r="CU1096" s="7"/>
      <c r="CV1096" s="7"/>
      <c r="CW1096" s="7"/>
      <c r="CX1096" s="8">
        <f t="shared" ref="CX1096:CX1098" si="5033">SUM(CS1096:CW1096)</f>
        <v>0</v>
      </c>
      <c r="CZ1096" s="6"/>
      <c r="DA1096" s="7"/>
      <c r="DB1096" s="7"/>
      <c r="DC1096" s="7"/>
      <c r="DD1096" s="7"/>
      <c r="DE1096" s="8">
        <f t="shared" ref="DE1096:DE1098" si="5034">SUM(CZ1096:DD1096)</f>
        <v>0</v>
      </c>
    </row>
    <row r="1097" spans="2:110">
      <c r="C1097" s="567"/>
      <c r="E1097" s="5" t="s">
        <v>61</v>
      </c>
      <c r="F1097" s="6"/>
      <c r="G1097" s="7"/>
      <c r="H1097" s="7"/>
      <c r="I1097" s="7"/>
      <c r="J1097" s="7"/>
      <c r="K1097" s="8">
        <f t="shared" si="5030"/>
        <v>0</v>
      </c>
      <c r="M1097" s="6"/>
      <c r="N1097" s="7"/>
      <c r="O1097" s="7"/>
      <c r="P1097" s="7"/>
      <c r="Q1097" s="7"/>
      <c r="R1097" s="8">
        <f t="shared" si="5031"/>
        <v>0</v>
      </c>
      <c r="T1097" s="6"/>
      <c r="U1097" s="7"/>
      <c r="V1097" s="7"/>
      <c r="W1097" s="7"/>
      <c r="X1097" s="7"/>
      <c r="Y1097" s="8">
        <f t="shared" si="5032"/>
        <v>0</v>
      </c>
      <c r="AA1097" s="6"/>
      <c r="AB1097" s="7"/>
      <c r="AC1097" s="7"/>
      <c r="AD1097" s="7"/>
      <c r="AE1097" s="7"/>
      <c r="AF1097" s="8">
        <f>SUM(AA1097:AE1097)</f>
        <v>0</v>
      </c>
      <c r="AH1097" s="6"/>
      <c r="AI1097" s="7"/>
      <c r="AJ1097" s="7"/>
      <c r="AK1097" s="7"/>
      <c r="AL1097" s="7"/>
      <c r="AM1097" s="8">
        <f>SUM(AH1097:AL1097)</f>
        <v>0</v>
      </c>
      <c r="AO1097" s="6"/>
      <c r="AP1097" s="7"/>
      <c r="AQ1097" s="7"/>
      <c r="AR1097" s="7"/>
      <c r="AS1097" s="7"/>
      <c r="AT1097" s="8">
        <f>SUM(AO1097:AS1097)</f>
        <v>0</v>
      </c>
      <c r="AV1097" s="6"/>
      <c r="AW1097" s="7"/>
      <c r="AX1097" s="7"/>
      <c r="AY1097" s="7"/>
      <c r="AZ1097" s="7"/>
      <c r="BA1097" s="8">
        <f>SUM(AV1097:AZ1097)</f>
        <v>0</v>
      </c>
      <c r="BC1097" s="6"/>
      <c r="BD1097" s="7"/>
      <c r="BE1097" s="7"/>
      <c r="BF1097" s="7"/>
      <c r="BG1097" s="7"/>
      <c r="BH1097" s="8">
        <f>SUM(BC1097:BG1097)</f>
        <v>0</v>
      </c>
      <c r="BJ1097" s="6"/>
      <c r="BK1097" s="7"/>
      <c r="BL1097" s="7"/>
      <c r="BM1097" s="7"/>
      <c r="BN1097" s="7"/>
      <c r="BO1097" s="8">
        <f>SUM(BJ1097:BN1097)</f>
        <v>0</v>
      </c>
      <c r="BQ1097" s="6"/>
      <c r="BR1097" s="7"/>
      <c r="BS1097" s="7"/>
      <c r="BT1097" s="7"/>
      <c r="BU1097" s="7"/>
      <c r="BV1097" s="8">
        <f>SUM(BQ1097:BU1097)</f>
        <v>0</v>
      </c>
      <c r="BX1097" s="6"/>
      <c r="BY1097" s="7"/>
      <c r="BZ1097" s="7"/>
      <c r="CA1097" s="7"/>
      <c r="CB1097" s="7"/>
      <c r="CC1097" s="8">
        <f>SUM(BX1097:CB1097)</f>
        <v>0</v>
      </c>
      <c r="CE1097" s="28">
        <f t="shared" si="5025"/>
        <v>0</v>
      </c>
      <c r="CF1097" s="29">
        <f t="shared" si="5026"/>
        <v>0</v>
      </c>
      <c r="CG1097" s="29">
        <f t="shared" si="5027"/>
        <v>0</v>
      </c>
      <c r="CH1097" s="29">
        <f t="shared" si="5028"/>
        <v>0</v>
      </c>
      <c r="CI1097" s="29">
        <f t="shared" si="5029"/>
        <v>0</v>
      </c>
      <c r="CJ1097" s="8">
        <f>SUM(CE1097:CI1097)</f>
        <v>0</v>
      </c>
      <c r="CL1097" s="6"/>
      <c r="CM1097" s="7"/>
      <c r="CN1097" s="7"/>
      <c r="CO1097" s="7"/>
      <c r="CP1097" s="7"/>
      <c r="CQ1097" s="8">
        <f>SUM(CL1097:CP1097)</f>
        <v>0</v>
      </c>
      <c r="CS1097" s="6"/>
      <c r="CT1097" s="7"/>
      <c r="CU1097" s="7"/>
      <c r="CV1097" s="7"/>
      <c r="CW1097" s="7"/>
      <c r="CX1097" s="8">
        <f t="shared" si="5033"/>
        <v>0</v>
      </c>
      <c r="CZ1097" s="6"/>
      <c r="DA1097" s="7"/>
      <c r="DB1097" s="7"/>
      <c r="DC1097" s="7"/>
      <c r="DD1097" s="7"/>
      <c r="DE1097" s="8">
        <f t="shared" si="5034"/>
        <v>0</v>
      </c>
    </row>
    <row r="1098" spans="2:110" ht="14" thickBot="1">
      <c r="C1098" s="567"/>
      <c r="E1098" s="5" t="s">
        <v>62</v>
      </c>
      <c r="F1098" s="6"/>
      <c r="G1098" s="7"/>
      <c r="H1098" s="7"/>
      <c r="I1098" s="7"/>
      <c r="J1098" s="7"/>
      <c r="K1098" s="8">
        <f t="shared" si="5030"/>
        <v>0</v>
      </c>
      <c r="M1098" s="6"/>
      <c r="N1098" s="7"/>
      <c r="O1098" s="7"/>
      <c r="P1098" s="7"/>
      <c r="Q1098" s="7"/>
      <c r="R1098" s="8">
        <f t="shared" si="5031"/>
        <v>0</v>
      </c>
      <c r="T1098" s="6"/>
      <c r="U1098" s="7"/>
      <c r="V1098" s="7"/>
      <c r="W1098" s="7"/>
      <c r="X1098" s="7"/>
      <c r="Y1098" s="8">
        <f t="shared" si="5032"/>
        <v>0</v>
      </c>
      <c r="AA1098" s="6"/>
      <c r="AB1098" s="7"/>
      <c r="AC1098" s="7"/>
      <c r="AD1098" s="7"/>
      <c r="AE1098" s="7"/>
      <c r="AF1098" s="8">
        <f>SUM(AA1098:AE1098)</f>
        <v>0</v>
      </c>
      <c r="AH1098" s="6"/>
      <c r="AI1098" s="7"/>
      <c r="AJ1098" s="7"/>
      <c r="AK1098" s="7"/>
      <c r="AL1098" s="7"/>
      <c r="AM1098" s="8">
        <f>SUM(AH1098:AL1098)</f>
        <v>0</v>
      </c>
      <c r="AO1098" s="6"/>
      <c r="AP1098" s="7"/>
      <c r="AQ1098" s="7"/>
      <c r="AR1098" s="7"/>
      <c r="AS1098" s="7"/>
      <c r="AT1098" s="8">
        <f>SUM(AO1098:AS1098)</f>
        <v>0</v>
      </c>
      <c r="AV1098" s="6"/>
      <c r="AW1098" s="7"/>
      <c r="AX1098" s="7"/>
      <c r="AY1098" s="7"/>
      <c r="AZ1098" s="7"/>
      <c r="BA1098" s="8">
        <f>SUM(AV1098:AZ1098)</f>
        <v>0</v>
      </c>
      <c r="BC1098" s="6"/>
      <c r="BD1098" s="7"/>
      <c r="BE1098" s="7"/>
      <c r="BF1098" s="7"/>
      <c r="BG1098" s="7"/>
      <c r="BH1098" s="8">
        <f>SUM(BC1098:BG1098)</f>
        <v>0</v>
      </c>
      <c r="BJ1098" s="6"/>
      <c r="BK1098" s="7"/>
      <c r="BL1098" s="7"/>
      <c r="BM1098" s="7"/>
      <c r="BN1098" s="7"/>
      <c r="BO1098" s="8">
        <f>SUM(BJ1098:BN1098)</f>
        <v>0</v>
      </c>
      <c r="BQ1098" s="6"/>
      <c r="BR1098" s="7"/>
      <c r="BS1098" s="7"/>
      <c r="BT1098" s="7"/>
      <c r="BU1098" s="7"/>
      <c r="BV1098" s="8">
        <f>SUM(BQ1098:BU1098)</f>
        <v>0</v>
      </c>
      <c r="BX1098" s="6"/>
      <c r="BY1098" s="7"/>
      <c r="BZ1098" s="7"/>
      <c r="CA1098" s="7"/>
      <c r="CB1098" s="7"/>
      <c r="CC1098" s="8">
        <f>SUM(BX1098:CB1098)</f>
        <v>0</v>
      </c>
      <c r="CE1098" s="493">
        <f t="shared" si="5025"/>
        <v>0</v>
      </c>
      <c r="CF1098" s="494">
        <f t="shared" si="5026"/>
        <v>0</v>
      </c>
      <c r="CG1098" s="494">
        <f t="shared" si="5027"/>
        <v>0</v>
      </c>
      <c r="CH1098" s="494">
        <f t="shared" si="5028"/>
        <v>0</v>
      </c>
      <c r="CI1098" s="494">
        <f t="shared" si="5029"/>
        <v>0</v>
      </c>
      <c r="CJ1098" s="495">
        <f>SUM(CE1098:CI1098)</f>
        <v>0</v>
      </c>
      <c r="CL1098" s="6"/>
      <c r="CM1098" s="7"/>
      <c r="CN1098" s="7"/>
      <c r="CO1098" s="7"/>
      <c r="CP1098" s="7"/>
      <c r="CQ1098" s="8">
        <f>SUM(CL1098:CP1098)</f>
        <v>0</v>
      </c>
      <c r="CS1098" s="6"/>
      <c r="CT1098" s="7"/>
      <c r="CU1098" s="7"/>
      <c r="CV1098" s="7"/>
      <c r="CW1098" s="7"/>
      <c r="CX1098" s="8">
        <f t="shared" si="5033"/>
        <v>0</v>
      </c>
      <c r="CZ1098" s="6"/>
      <c r="DA1098" s="7"/>
      <c r="DB1098" s="7"/>
      <c r="DC1098" s="7"/>
      <c r="DD1098" s="7"/>
      <c r="DE1098" s="8">
        <f t="shared" si="5034"/>
        <v>0</v>
      </c>
    </row>
    <row r="1099" spans="2:110" ht="14" thickBot="1">
      <c r="C1099" s="554"/>
      <c r="E1099" s="9"/>
      <c r="F1099" s="10">
        <f>SUM(F1095:F1098)</f>
        <v>0</v>
      </c>
      <c r="G1099" s="11">
        <f t="shared" ref="G1099:J1099" si="5035">SUM(G1095:G1098)</f>
        <v>0</v>
      </c>
      <c r="H1099" s="11">
        <f t="shared" si="5035"/>
        <v>0</v>
      </c>
      <c r="I1099" s="11">
        <f t="shared" si="5035"/>
        <v>0</v>
      </c>
      <c r="J1099" s="61">
        <f t="shared" si="5035"/>
        <v>0</v>
      </c>
      <c r="K1099" s="25">
        <f>SUM(K1095:K1098)</f>
        <v>0</v>
      </c>
      <c r="M1099" s="10">
        <f>SUM(M1095:M1098)</f>
        <v>0</v>
      </c>
      <c r="N1099" s="11">
        <f t="shared" ref="N1099:Q1099" si="5036">SUM(N1095:N1098)</f>
        <v>0</v>
      </c>
      <c r="O1099" s="11">
        <f t="shared" si="5036"/>
        <v>0</v>
      </c>
      <c r="P1099" s="11">
        <f t="shared" si="5036"/>
        <v>0</v>
      </c>
      <c r="Q1099" s="11">
        <f t="shared" si="5036"/>
        <v>0</v>
      </c>
      <c r="R1099" s="25">
        <f>SUM(R1095:R1098)</f>
        <v>0</v>
      </c>
      <c r="T1099" s="10">
        <f>SUM(T1095:T1098)</f>
        <v>0</v>
      </c>
      <c r="U1099" s="11">
        <f t="shared" ref="U1099:X1099" si="5037">SUM(U1095:U1098)</f>
        <v>0</v>
      </c>
      <c r="V1099" s="11">
        <f t="shared" si="5037"/>
        <v>0</v>
      </c>
      <c r="W1099" s="11">
        <f t="shared" si="5037"/>
        <v>0</v>
      </c>
      <c r="X1099" s="11">
        <f t="shared" si="5037"/>
        <v>0</v>
      </c>
      <c r="Y1099" s="25">
        <f>SUM(Y1095:Y1098)</f>
        <v>0</v>
      </c>
      <c r="AA1099" s="10">
        <f>SUM(AA1095:AA1098)</f>
        <v>0</v>
      </c>
      <c r="AB1099" s="11">
        <f t="shared" ref="AB1099:AE1099" si="5038">SUM(AB1095:AB1098)</f>
        <v>0</v>
      </c>
      <c r="AC1099" s="11">
        <f t="shared" si="5038"/>
        <v>0</v>
      </c>
      <c r="AD1099" s="11">
        <f t="shared" si="5038"/>
        <v>0</v>
      </c>
      <c r="AE1099" s="11">
        <f t="shared" si="5038"/>
        <v>0</v>
      </c>
      <c r="AF1099" s="25">
        <f>SUM(AF1095:AF1098)</f>
        <v>0</v>
      </c>
      <c r="AH1099" s="10">
        <f t="shared" ref="AH1099:AM1099" si="5039">SUM(AH1095:AH1098)</f>
        <v>0</v>
      </c>
      <c r="AI1099" s="11">
        <f t="shared" si="5039"/>
        <v>0</v>
      </c>
      <c r="AJ1099" s="11">
        <f t="shared" si="5039"/>
        <v>0</v>
      </c>
      <c r="AK1099" s="11">
        <f t="shared" si="5039"/>
        <v>0</v>
      </c>
      <c r="AL1099" s="11">
        <f t="shared" si="5039"/>
        <v>0</v>
      </c>
      <c r="AM1099" s="25">
        <f t="shared" si="5039"/>
        <v>0</v>
      </c>
      <c r="AO1099" s="10">
        <f t="shared" ref="AO1099:AT1099" si="5040">SUM(AO1095:AO1098)</f>
        <v>0</v>
      </c>
      <c r="AP1099" s="11">
        <f t="shared" si="5040"/>
        <v>0</v>
      </c>
      <c r="AQ1099" s="11">
        <f t="shared" si="5040"/>
        <v>0</v>
      </c>
      <c r="AR1099" s="11">
        <f t="shared" si="5040"/>
        <v>0</v>
      </c>
      <c r="AS1099" s="11">
        <f t="shared" si="5040"/>
        <v>0</v>
      </c>
      <c r="AT1099" s="25">
        <f t="shared" si="5040"/>
        <v>0</v>
      </c>
      <c r="AV1099" s="10">
        <f t="shared" ref="AV1099:BA1099" si="5041">SUM(AV1095:AV1098)</f>
        <v>0</v>
      </c>
      <c r="AW1099" s="11">
        <f t="shared" si="5041"/>
        <v>0</v>
      </c>
      <c r="AX1099" s="11">
        <f t="shared" si="5041"/>
        <v>0</v>
      </c>
      <c r="AY1099" s="11">
        <f t="shared" si="5041"/>
        <v>0</v>
      </c>
      <c r="AZ1099" s="11">
        <f t="shared" si="5041"/>
        <v>0</v>
      </c>
      <c r="BA1099" s="25">
        <f t="shared" si="5041"/>
        <v>0</v>
      </c>
      <c r="BC1099" s="10">
        <f t="shared" ref="BC1099:BH1099" si="5042">SUM(BC1095:BC1098)</f>
        <v>0</v>
      </c>
      <c r="BD1099" s="11">
        <f t="shared" si="5042"/>
        <v>0</v>
      </c>
      <c r="BE1099" s="11">
        <f t="shared" si="5042"/>
        <v>0</v>
      </c>
      <c r="BF1099" s="11">
        <f t="shared" si="5042"/>
        <v>0</v>
      </c>
      <c r="BG1099" s="11">
        <f t="shared" si="5042"/>
        <v>0</v>
      </c>
      <c r="BH1099" s="25">
        <f t="shared" si="5042"/>
        <v>0</v>
      </c>
      <c r="BJ1099" s="10">
        <f t="shared" ref="BJ1099:BO1099" si="5043">SUM(BJ1095:BJ1098)</f>
        <v>0</v>
      </c>
      <c r="BK1099" s="11">
        <f t="shared" si="5043"/>
        <v>0</v>
      </c>
      <c r="BL1099" s="11">
        <f t="shared" si="5043"/>
        <v>0</v>
      </c>
      <c r="BM1099" s="11">
        <f t="shared" si="5043"/>
        <v>0</v>
      </c>
      <c r="BN1099" s="11">
        <f t="shared" si="5043"/>
        <v>0</v>
      </c>
      <c r="BO1099" s="25">
        <f t="shared" si="5043"/>
        <v>0</v>
      </c>
      <c r="BQ1099" s="10">
        <f t="shared" ref="BQ1099:BV1099" si="5044">SUM(BQ1095:BQ1098)</f>
        <v>0</v>
      </c>
      <c r="BR1099" s="11">
        <f t="shared" si="5044"/>
        <v>0</v>
      </c>
      <c r="BS1099" s="11">
        <f t="shared" si="5044"/>
        <v>0</v>
      </c>
      <c r="BT1099" s="11">
        <f t="shared" si="5044"/>
        <v>0</v>
      </c>
      <c r="BU1099" s="11">
        <f t="shared" si="5044"/>
        <v>0</v>
      </c>
      <c r="BV1099" s="25">
        <f t="shared" si="5044"/>
        <v>0</v>
      </c>
      <c r="BX1099" s="10">
        <f t="shared" ref="BX1099:CC1099" si="5045">SUM(BX1095:BX1098)</f>
        <v>0</v>
      </c>
      <c r="BY1099" s="11">
        <f t="shared" si="5045"/>
        <v>0</v>
      </c>
      <c r="BZ1099" s="11">
        <f t="shared" si="5045"/>
        <v>0</v>
      </c>
      <c r="CA1099" s="11">
        <f t="shared" si="5045"/>
        <v>0</v>
      </c>
      <c r="CB1099" s="11">
        <f t="shared" si="5045"/>
        <v>0</v>
      </c>
      <c r="CC1099" s="25">
        <f t="shared" si="5045"/>
        <v>0</v>
      </c>
      <c r="CE1099" s="62">
        <f t="shared" ref="CE1099:CJ1099" si="5046">SUM(CE1095:CE1098)</f>
        <v>0</v>
      </c>
      <c r="CF1099" s="63">
        <f t="shared" si="5046"/>
        <v>0</v>
      </c>
      <c r="CG1099" s="63">
        <f t="shared" si="5046"/>
        <v>0</v>
      </c>
      <c r="CH1099" s="63">
        <f t="shared" si="5046"/>
        <v>0</v>
      </c>
      <c r="CI1099" s="63">
        <f t="shared" si="5046"/>
        <v>0</v>
      </c>
      <c r="CJ1099" s="25">
        <f t="shared" si="5046"/>
        <v>0</v>
      </c>
      <c r="CL1099" s="10">
        <f>SUM(CL1095:CL1098)</f>
        <v>0</v>
      </c>
      <c r="CM1099" s="11">
        <f t="shared" ref="CM1099:CQ1099" si="5047">SUM(CM1095:CM1098)</f>
        <v>0</v>
      </c>
      <c r="CN1099" s="11">
        <f t="shared" si="5047"/>
        <v>0</v>
      </c>
      <c r="CO1099" s="11">
        <f t="shared" si="5047"/>
        <v>0</v>
      </c>
      <c r="CP1099" s="11">
        <f t="shared" si="5047"/>
        <v>0</v>
      </c>
      <c r="CQ1099" s="25">
        <f t="shared" si="5047"/>
        <v>0</v>
      </c>
      <c r="CS1099" s="10">
        <f>SUM(CS1095:CS1098)</f>
        <v>0</v>
      </c>
      <c r="CT1099" s="11">
        <f t="shared" ref="CT1099:CW1099" si="5048">SUM(CT1095:CT1098)</f>
        <v>0</v>
      </c>
      <c r="CU1099" s="11">
        <f t="shared" si="5048"/>
        <v>0</v>
      </c>
      <c r="CV1099" s="11">
        <f t="shared" si="5048"/>
        <v>0</v>
      </c>
      <c r="CW1099" s="11">
        <f t="shared" si="5048"/>
        <v>0</v>
      </c>
      <c r="CX1099" s="25">
        <f>SUM(CX1095:CX1098)</f>
        <v>0</v>
      </c>
      <c r="CZ1099" s="10">
        <f>SUM(CZ1095:CZ1098)</f>
        <v>0</v>
      </c>
      <c r="DA1099" s="11">
        <f t="shared" ref="DA1099:DD1099" si="5049">SUM(DA1095:DA1098)</f>
        <v>0</v>
      </c>
      <c r="DB1099" s="11">
        <f t="shared" si="5049"/>
        <v>0</v>
      </c>
      <c r="DC1099" s="11">
        <f t="shared" si="5049"/>
        <v>0</v>
      </c>
      <c r="DD1099" s="11">
        <f t="shared" si="5049"/>
        <v>0</v>
      </c>
      <c r="DE1099" s="25">
        <f>SUM(DE1095:DE1098)</f>
        <v>0</v>
      </c>
    </row>
    <row r="1100" spans="2:110" ht="10.4" customHeight="1" thickBot="1"/>
    <row r="1101" spans="2:110">
      <c r="C1101" s="553">
        <v>2025</v>
      </c>
      <c r="E1101" s="13" t="s">
        <v>59</v>
      </c>
      <c r="F1101" s="21">
        <f>CE1095</f>
        <v>0</v>
      </c>
      <c r="G1101" s="22">
        <f t="shared" ref="G1101:G1104" si="5050">CF1095</f>
        <v>0</v>
      </c>
      <c r="H1101" s="22">
        <f t="shared" ref="H1101:H1104" si="5051">CG1095</f>
        <v>0</v>
      </c>
      <c r="I1101" s="22">
        <f t="shared" ref="I1101:I1104" si="5052">CH1095</f>
        <v>0</v>
      </c>
      <c r="J1101" s="22">
        <f t="shared" ref="J1101:J1104" si="5053">CI1095</f>
        <v>0</v>
      </c>
      <c r="K1101" s="15">
        <f>SUM(F1101:J1101)</f>
        <v>0</v>
      </c>
      <c r="M1101" s="2"/>
      <c r="N1101" s="3"/>
      <c r="O1101" s="3"/>
      <c r="P1101" s="3"/>
      <c r="Q1101" s="3"/>
      <c r="R1101" s="15">
        <f>SUM(M1101:Q1101)</f>
        <v>0</v>
      </c>
      <c r="T1101" s="2"/>
      <c r="U1101" s="3"/>
      <c r="V1101" s="3"/>
      <c r="W1101" s="3"/>
      <c r="X1101" s="3"/>
      <c r="Y1101" s="15">
        <f>SUM(T1101:X1101)</f>
        <v>0</v>
      </c>
      <c r="AA1101" s="2"/>
      <c r="AB1101" s="3"/>
      <c r="AC1101" s="3"/>
      <c r="AD1101" s="3"/>
      <c r="AE1101" s="3"/>
      <c r="AF1101" s="15">
        <f>SUM(AA1101:AE1101)</f>
        <v>0</v>
      </c>
      <c r="AH1101" s="2"/>
      <c r="AI1101" s="3"/>
      <c r="AJ1101" s="3"/>
      <c r="AK1101" s="3"/>
      <c r="AL1101" s="3"/>
      <c r="AM1101" s="15">
        <f>SUM(AH1101:AL1101)</f>
        <v>0</v>
      </c>
      <c r="AO1101" s="2"/>
      <c r="AP1101" s="3"/>
      <c r="AQ1101" s="3"/>
      <c r="AR1101" s="3"/>
      <c r="AS1101" s="3"/>
      <c r="AT1101" s="15">
        <f>SUM(AO1101:AS1101)</f>
        <v>0</v>
      </c>
      <c r="AV1101" s="2"/>
      <c r="AW1101" s="3"/>
      <c r="AX1101" s="3"/>
      <c r="AY1101" s="3"/>
      <c r="AZ1101" s="3"/>
      <c r="BA1101" s="15">
        <f>SUM(AV1101:AZ1101)</f>
        <v>0</v>
      </c>
      <c r="BC1101" s="2"/>
      <c r="BD1101" s="3"/>
      <c r="BE1101" s="3"/>
      <c r="BF1101" s="3"/>
      <c r="BG1101" s="3"/>
      <c r="BH1101" s="15">
        <f>SUM(BC1101:BG1101)</f>
        <v>0</v>
      </c>
      <c r="BJ1101" s="2"/>
      <c r="BK1101" s="3"/>
      <c r="BL1101" s="3"/>
      <c r="BM1101" s="3"/>
      <c r="BN1101" s="3"/>
      <c r="BO1101" s="15">
        <f>SUM(BJ1101:BN1101)</f>
        <v>0</v>
      </c>
      <c r="BQ1101" s="2"/>
      <c r="BR1101" s="3"/>
      <c r="BS1101" s="3"/>
      <c r="BT1101" s="3"/>
      <c r="BU1101" s="3"/>
      <c r="BV1101" s="15">
        <f>SUM(BQ1101:BU1101)</f>
        <v>0</v>
      </c>
      <c r="BX1101" s="2"/>
      <c r="BY1101" s="3"/>
      <c r="BZ1101" s="3"/>
      <c r="CA1101" s="3"/>
      <c r="CB1101" s="3"/>
      <c r="CC1101" s="15">
        <f>SUM(BX1101:CB1101)</f>
        <v>0</v>
      </c>
      <c r="CE1101" s="26">
        <f t="shared" ref="CE1101:CE1104" si="5054">F1101+M1101+T1101+AA1101+AH1101+AO1101+AV1101+BC1101+BJ1101+BQ1101+BX1101</f>
        <v>0</v>
      </c>
      <c r="CF1101" s="27">
        <f t="shared" ref="CF1101:CF1104" si="5055">G1101+N1101+U1101+AB1101+AI1101+AP1101+AW1101+BD1101+BK1101+BR1101+BY1101</f>
        <v>0</v>
      </c>
      <c r="CG1101" s="27">
        <f t="shared" ref="CG1101:CG1104" si="5056">H1101+O1101+V1101+AC1101+AJ1101+AQ1101+AX1101+BE1101+BL1101+BS1101+BZ1101</f>
        <v>0</v>
      </c>
      <c r="CH1101" s="27">
        <f t="shared" ref="CH1101:CH1104" si="5057">I1101+P1101+W1101+AD1101+AK1101+AR1101+AY1101+BF1101+BM1101+BT1101+CA1101</f>
        <v>0</v>
      </c>
      <c r="CI1101" s="27">
        <f t="shared" ref="CI1101:CI1104" si="5058">J1101+Q1101+X1101+AE1101+AL1101+AS1101+AZ1101+BG1101+BN1101+BU1101+CB1101</f>
        <v>0</v>
      </c>
      <c r="CJ1101" s="4">
        <f>SUM(CE1101:CI1101)</f>
        <v>0</v>
      </c>
      <c r="CL1101" s="2"/>
      <c r="CM1101" s="3"/>
      <c r="CN1101" s="3"/>
      <c r="CO1101" s="3"/>
      <c r="CP1101" s="3"/>
      <c r="CQ1101" s="15">
        <f>SUM(CL1101:CP1101)</f>
        <v>0</v>
      </c>
      <c r="CS1101" s="2"/>
      <c r="CT1101" s="3"/>
      <c r="CU1101" s="3"/>
      <c r="CV1101" s="3"/>
      <c r="CW1101" s="3"/>
      <c r="CX1101" s="4">
        <f>SUM(CS1101:CW1101)</f>
        <v>0</v>
      </c>
      <c r="CZ1101" s="2"/>
      <c r="DA1101" s="3"/>
      <c r="DB1101" s="3"/>
      <c r="DC1101" s="3"/>
      <c r="DD1101" s="3"/>
      <c r="DE1101" s="15">
        <f>SUM(CZ1101:DD1101)</f>
        <v>0</v>
      </c>
    </row>
    <row r="1102" spans="2:110">
      <c r="C1102" s="567"/>
      <c r="E1102" s="14" t="s">
        <v>60</v>
      </c>
      <c r="F1102" s="23">
        <f t="shared" ref="F1102:F1104" si="5059">CE1096</f>
        <v>0</v>
      </c>
      <c r="G1102" s="24">
        <f t="shared" si="5050"/>
        <v>0</v>
      </c>
      <c r="H1102" s="24">
        <f t="shared" si="5051"/>
        <v>0</v>
      </c>
      <c r="I1102" s="24">
        <f t="shared" si="5052"/>
        <v>0</v>
      </c>
      <c r="J1102" s="24">
        <f t="shared" si="5053"/>
        <v>0</v>
      </c>
      <c r="K1102" s="16">
        <f t="shared" ref="K1102:K1104" si="5060">SUM(F1102:J1102)</f>
        <v>0</v>
      </c>
      <c r="M1102" s="6"/>
      <c r="N1102" s="7"/>
      <c r="O1102" s="7"/>
      <c r="P1102" s="7"/>
      <c r="Q1102" s="7"/>
      <c r="R1102" s="16">
        <f t="shared" ref="R1102:R1104" si="5061">SUM(M1102:Q1102)</f>
        <v>0</v>
      </c>
      <c r="T1102" s="6"/>
      <c r="U1102" s="7"/>
      <c r="V1102" s="7"/>
      <c r="W1102" s="7"/>
      <c r="X1102" s="7"/>
      <c r="Y1102" s="16">
        <f t="shared" ref="Y1102:Y1104" si="5062">SUM(T1102:X1102)</f>
        <v>0</v>
      </c>
      <c r="AA1102" s="6"/>
      <c r="AB1102" s="7"/>
      <c r="AC1102" s="7"/>
      <c r="AD1102" s="7"/>
      <c r="AE1102" s="7"/>
      <c r="AF1102" s="16">
        <f>SUM(AA1102:AE1102)</f>
        <v>0</v>
      </c>
      <c r="AH1102" s="6"/>
      <c r="AI1102" s="7"/>
      <c r="AJ1102" s="7"/>
      <c r="AK1102" s="7"/>
      <c r="AL1102" s="7"/>
      <c r="AM1102" s="16">
        <f>SUM(AH1102:AL1102)</f>
        <v>0</v>
      </c>
      <c r="AO1102" s="6"/>
      <c r="AP1102" s="7"/>
      <c r="AQ1102" s="7"/>
      <c r="AR1102" s="7"/>
      <c r="AS1102" s="7"/>
      <c r="AT1102" s="16">
        <f>SUM(AO1102:AS1102)</f>
        <v>0</v>
      </c>
      <c r="AV1102" s="6"/>
      <c r="AW1102" s="7"/>
      <c r="AX1102" s="7"/>
      <c r="AY1102" s="7"/>
      <c r="AZ1102" s="7"/>
      <c r="BA1102" s="16">
        <f>SUM(AV1102:AZ1102)</f>
        <v>0</v>
      </c>
      <c r="BC1102" s="6"/>
      <c r="BD1102" s="7"/>
      <c r="BE1102" s="7"/>
      <c r="BF1102" s="7"/>
      <c r="BG1102" s="7"/>
      <c r="BH1102" s="16">
        <f>SUM(BC1102:BG1102)</f>
        <v>0</v>
      </c>
      <c r="BJ1102" s="6"/>
      <c r="BK1102" s="7"/>
      <c r="BL1102" s="7"/>
      <c r="BM1102" s="7"/>
      <c r="BN1102" s="7"/>
      <c r="BO1102" s="16">
        <f>SUM(BJ1102:BN1102)</f>
        <v>0</v>
      </c>
      <c r="BQ1102" s="6"/>
      <c r="BR1102" s="7"/>
      <c r="BS1102" s="7"/>
      <c r="BT1102" s="7"/>
      <c r="BU1102" s="7"/>
      <c r="BV1102" s="16">
        <f>SUM(BQ1102:BU1102)</f>
        <v>0</v>
      </c>
      <c r="BX1102" s="6"/>
      <c r="BY1102" s="7"/>
      <c r="BZ1102" s="7"/>
      <c r="CA1102" s="7"/>
      <c r="CB1102" s="7"/>
      <c r="CC1102" s="16">
        <f>SUM(BX1102:CB1102)</f>
        <v>0</v>
      </c>
      <c r="CE1102" s="28">
        <f t="shared" si="5054"/>
        <v>0</v>
      </c>
      <c r="CF1102" s="29">
        <f t="shared" si="5055"/>
        <v>0</v>
      </c>
      <c r="CG1102" s="29">
        <f t="shared" si="5056"/>
        <v>0</v>
      </c>
      <c r="CH1102" s="29">
        <f t="shared" si="5057"/>
        <v>0</v>
      </c>
      <c r="CI1102" s="29">
        <f t="shared" si="5058"/>
        <v>0</v>
      </c>
      <c r="CJ1102" s="8">
        <f>SUM(CE1102:CI1102)</f>
        <v>0</v>
      </c>
      <c r="CL1102" s="6"/>
      <c r="CM1102" s="7"/>
      <c r="CN1102" s="7"/>
      <c r="CO1102" s="7"/>
      <c r="CP1102" s="7"/>
      <c r="CQ1102" s="16">
        <f>SUM(CL1102:CP1102)</f>
        <v>0</v>
      </c>
      <c r="CS1102" s="6"/>
      <c r="CT1102" s="7"/>
      <c r="CU1102" s="7"/>
      <c r="CV1102" s="7"/>
      <c r="CW1102" s="7"/>
      <c r="CX1102" s="8">
        <f t="shared" ref="CX1102:CX1104" si="5063">SUM(CS1102:CW1102)</f>
        <v>0</v>
      </c>
      <c r="CZ1102" s="6"/>
      <c r="DA1102" s="7"/>
      <c r="DB1102" s="7"/>
      <c r="DC1102" s="7"/>
      <c r="DD1102" s="7"/>
      <c r="DE1102" s="16">
        <f t="shared" ref="DE1102:DE1104" si="5064">SUM(CZ1102:DD1102)</f>
        <v>0</v>
      </c>
    </row>
    <row r="1103" spans="2:110">
      <c r="C1103" s="567"/>
      <c r="E1103" s="14" t="s">
        <v>61</v>
      </c>
      <c r="F1103" s="23">
        <f t="shared" si="5059"/>
        <v>0</v>
      </c>
      <c r="G1103" s="24">
        <f t="shared" si="5050"/>
        <v>0</v>
      </c>
      <c r="H1103" s="24">
        <f t="shared" si="5051"/>
        <v>0</v>
      </c>
      <c r="I1103" s="24">
        <f t="shared" si="5052"/>
        <v>0</v>
      </c>
      <c r="J1103" s="24">
        <f t="shared" si="5053"/>
        <v>0</v>
      </c>
      <c r="K1103" s="16">
        <f t="shared" si="5060"/>
        <v>0</v>
      </c>
      <c r="M1103" s="6"/>
      <c r="N1103" s="7"/>
      <c r="O1103" s="7"/>
      <c r="P1103" s="7"/>
      <c r="Q1103" s="7"/>
      <c r="R1103" s="16">
        <f t="shared" si="5061"/>
        <v>0</v>
      </c>
      <c r="T1103" s="6"/>
      <c r="U1103" s="7"/>
      <c r="V1103" s="7"/>
      <c r="W1103" s="7"/>
      <c r="X1103" s="7"/>
      <c r="Y1103" s="16">
        <f t="shared" si="5062"/>
        <v>0</v>
      </c>
      <c r="AA1103" s="6"/>
      <c r="AB1103" s="7"/>
      <c r="AC1103" s="7"/>
      <c r="AD1103" s="7"/>
      <c r="AE1103" s="7"/>
      <c r="AF1103" s="16">
        <f>SUM(AA1103:AE1103)</f>
        <v>0</v>
      </c>
      <c r="AH1103" s="6"/>
      <c r="AI1103" s="7"/>
      <c r="AJ1103" s="7"/>
      <c r="AK1103" s="7"/>
      <c r="AL1103" s="7"/>
      <c r="AM1103" s="16">
        <f>SUM(AH1103:AL1103)</f>
        <v>0</v>
      </c>
      <c r="AO1103" s="6"/>
      <c r="AP1103" s="7"/>
      <c r="AQ1103" s="7"/>
      <c r="AR1103" s="7"/>
      <c r="AS1103" s="7"/>
      <c r="AT1103" s="16">
        <f>SUM(AO1103:AS1103)</f>
        <v>0</v>
      </c>
      <c r="AV1103" s="6"/>
      <c r="AW1103" s="7"/>
      <c r="AX1103" s="7"/>
      <c r="AY1103" s="7"/>
      <c r="AZ1103" s="7"/>
      <c r="BA1103" s="16">
        <f>SUM(AV1103:AZ1103)</f>
        <v>0</v>
      </c>
      <c r="BC1103" s="6"/>
      <c r="BD1103" s="7"/>
      <c r="BE1103" s="7"/>
      <c r="BF1103" s="7"/>
      <c r="BG1103" s="7"/>
      <c r="BH1103" s="16">
        <f>SUM(BC1103:BG1103)</f>
        <v>0</v>
      </c>
      <c r="BJ1103" s="6"/>
      <c r="BK1103" s="7"/>
      <c r="BL1103" s="7"/>
      <c r="BM1103" s="7"/>
      <c r="BN1103" s="7"/>
      <c r="BO1103" s="16">
        <f>SUM(BJ1103:BN1103)</f>
        <v>0</v>
      </c>
      <c r="BQ1103" s="6"/>
      <c r="BR1103" s="7"/>
      <c r="BS1103" s="7"/>
      <c r="BT1103" s="7"/>
      <c r="BU1103" s="7"/>
      <c r="BV1103" s="16">
        <f>SUM(BQ1103:BU1103)</f>
        <v>0</v>
      </c>
      <c r="BX1103" s="6"/>
      <c r="BY1103" s="7"/>
      <c r="BZ1103" s="7"/>
      <c r="CA1103" s="7"/>
      <c r="CB1103" s="7"/>
      <c r="CC1103" s="16">
        <f>SUM(BX1103:CB1103)</f>
        <v>0</v>
      </c>
      <c r="CE1103" s="28">
        <f t="shared" si="5054"/>
        <v>0</v>
      </c>
      <c r="CF1103" s="29">
        <f t="shared" si="5055"/>
        <v>0</v>
      </c>
      <c r="CG1103" s="29">
        <f t="shared" si="5056"/>
        <v>0</v>
      </c>
      <c r="CH1103" s="29">
        <f t="shared" si="5057"/>
        <v>0</v>
      </c>
      <c r="CI1103" s="29">
        <f t="shared" si="5058"/>
        <v>0</v>
      </c>
      <c r="CJ1103" s="8">
        <f>SUM(CE1103:CI1103)</f>
        <v>0</v>
      </c>
      <c r="CL1103" s="6"/>
      <c r="CM1103" s="7"/>
      <c r="CN1103" s="7"/>
      <c r="CO1103" s="7"/>
      <c r="CP1103" s="7"/>
      <c r="CQ1103" s="16">
        <f>SUM(CL1103:CP1103)</f>
        <v>0</v>
      </c>
      <c r="CS1103" s="6"/>
      <c r="CT1103" s="7"/>
      <c r="CU1103" s="7"/>
      <c r="CV1103" s="7"/>
      <c r="CW1103" s="7"/>
      <c r="CX1103" s="8">
        <f t="shared" si="5063"/>
        <v>0</v>
      </c>
      <c r="CZ1103" s="6"/>
      <c r="DA1103" s="7"/>
      <c r="DB1103" s="7"/>
      <c r="DC1103" s="7"/>
      <c r="DD1103" s="7"/>
      <c r="DE1103" s="16">
        <f t="shared" si="5064"/>
        <v>0</v>
      </c>
    </row>
    <row r="1104" spans="2:110" ht="14" thickBot="1">
      <c r="C1104" s="567"/>
      <c r="E1104" s="14" t="s">
        <v>62</v>
      </c>
      <c r="F1104" s="23">
        <f t="shared" si="5059"/>
        <v>0</v>
      </c>
      <c r="G1104" s="24">
        <f t="shared" si="5050"/>
        <v>0</v>
      </c>
      <c r="H1104" s="24">
        <f t="shared" si="5051"/>
        <v>0</v>
      </c>
      <c r="I1104" s="24">
        <f t="shared" si="5052"/>
        <v>0</v>
      </c>
      <c r="J1104" s="24">
        <f t="shared" si="5053"/>
        <v>0</v>
      </c>
      <c r="K1104" s="16">
        <f t="shared" si="5060"/>
        <v>0</v>
      </c>
      <c r="M1104" s="6"/>
      <c r="N1104" s="7"/>
      <c r="O1104" s="7"/>
      <c r="P1104" s="7"/>
      <c r="Q1104" s="7"/>
      <c r="R1104" s="16">
        <f t="shared" si="5061"/>
        <v>0</v>
      </c>
      <c r="T1104" s="6"/>
      <c r="U1104" s="7"/>
      <c r="V1104" s="7"/>
      <c r="W1104" s="7"/>
      <c r="X1104" s="7"/>
      <c r="Y1104" s="16">
        <f t="shared" si="5062"/>
        <v>0</v>
      </c>
      <c r="AA1104" s="6"/>
      <c r="AB1104" s="7"/>
      <c r="AC1104" s="7"/>
      <c r="AD1104" s="7"/>
      <c r="AE1104" s="7"/>
      <c r="AF1104" s="16">
        <f>SUM(AA1104:AE1104)</f>
        <v>0</v>
      </c>
      <c r="AH1104" s="6"/>
      <c r="AI1104" s="7"/>
      <c r="AJ1104" s="7"/>
      <c r="AK1104" s="7"/>
      <c r="AL1104" s="7"/>
      <c r="AM1104" s="16">
        <f>SUM(AH1104:AL1104)</f>
        <v>0</v>
      </c>
      <c r="AO1104" s="6"/>
      <c r="AP1104" s="7"/>
      <c r="AQ1104" s="7"/>
      <c r="AR1104" s="7"/>
      <c r="AS1104" s="7"/>
      <c r="AT1104" s="16">
        <f>SUM(AO1104:AS1104)</f>
        <v>0</v>
      </c>
      <c r="AV1104" s="6"/>
      <c r="AW1104" s="7"/>
      <c r="AX1104" s="7"/>
      <c r="AY1104" s="7"/>
      <c r="AZ1104" s="7"/>
      <c r="BA1104" s="16">
        <f>SUM(AV1104:AZ1104)</f>
        <v>0</v>
      </c>
      <c r="BC1104" s="6"/>
      <c r="BD1104" s="7"/>
      <c r="BE1104" s="7"/>
      <c r="BF1104" s="7"/>
      <c r="BG1104" s="7"/>
      <c r="BH1104" s="16">
        <f>SUM(BC1104:BG1104)</f>
        <v>0</v>
      </c>
      <c r="BJ1104" s="6"/>
      <c r="BK1104" s="7"/>
      <c r="BL1104" s="7"/>
      <c r="BM1104" s="7"/>
      <c r="BN1104" s="7"/>
      <c r="BO1104" s="16">
        <f>SUM(BJ1104:BN1104)</f>
        <v>0</v>
      </c>
      <c r="BQ1104" s="6"/>
      <c r="BR1104" s="7"/>
      <c r="BS1104" s="7"/>
      <c r="BT1104" s="7"/>
      <c r="BU1104" s="7"/>
      <c r="BV1104" s="16">
        <f>SUM(BQ1104:BU1104)</f>
        <v>0</v>
      </c>
      <c r="BX1104" s="6"/>
      <c r="BY1104" s="7"/>
      <c r="BZ1104" s="7"/>
      <c r="CA1104" s="7"/>
      <c r="CB1104" s="7"/>
      <c r="CC1104" s="16">
        <f>SUM(BX1104:CB1104)</f>
        <v>0</v>
      </c>
      <c r="CE1104" s="493">
        <f t="shared" si="5054"/>
        <v>0</v>
      </c>
      <c r="CF1104" s="494">
        <f t="shared" si="5055"/>
        <v>0</v>
      </c>
      <c r="CG1104" s="494">
        <f t="shared" si="5056"/>
        <v>0</v>
      </c>
      <c r="CH1104" s="494">
        <f t="shared" si="5057"/>
        <v>0</v>
      </c>
      <c r="CI1104" s="494">
        <f t="shared" si="5058"/>
        <v>0</v>
      </c>
      <c r="CJ1104" s="495">
        <f>SUM(CE1104:CI1104)</f>
        <v>0</v>
      </c>
      <c r="CL1104" s="6"/>
      <c r="CM1104" s="7"/>
      <c r="CN1104" s="7"/>
      <c r="CO1104" s="7"/>
      <c r="CP1104" s="7"/>
      <c r="CQ1104" s="16">
        <f>SUM(CL1104:CP1104)</f>
        <v>0</v>
      </c>
      <c r="CS1104" s="6"/>
      <c r="CT1104" s="7"/>
      <c r="CU1104" s="7"/>
      <c r="CV1104" s="7"/>
      <c r="CW1104" s="7"/>
      <c r="CX1104" s="8">
        <f t="shared" si="5063"/>
        <v>0</v>
      </c>
      <c r="CZ1104" s="6"/>
      <c r="DA1104" s="7"/>
      <c r="DB1104" s="7"/>
      <c r="DC1104" s="7"/>
      <c r="DD1104" s="7"/>
      <c r="DE1104" s="16">
        <f t="shared" si="5064"/>
        <v>0</v>
      </c>
    </row>
    <row r="1105" spans="3:109" ht="14" thickBot="1">
      <c r="C1105" s="554"/>
      <c r="E1105" s="17"/>
      <c r="F1105" s="10">
        <f>SUM(F1101:F1104)</f>
        <v>0</v>
      </c>
      <c r="G1105" s="11">
        <f t="shared" ref="G1105:J1105" si="5065">SUM(G1101:G1104)</f>
        <v>0</v>
      </c>
      <c r="H1105" s="11">
        <f t="shared" si="5065"/>
        <v>0</v>
      </c>
      <c r="I1105" s="11">
        <f t="shared" si="5065"/>
        <v>0</v>
      </c>
      <c r="J1105" s="11">
        <f t="shared" si="5065"/>
        <v>0</v>
      </c>
      <c r="K1105" s="25">
        <f>SUM(K1101:K1104)</f>
        <v>0</v>
      </c>
      <c r="M1105" s="10">
        <f>SUM(M1101:M1104)</f>
        <v>0</v>
      </c>
      <c r="N1105" s="11">
        <f t="shared" ref="N1105:Q1105" si="5066">SUM(N1101:N1104)</f>
        <v>0</v>
      </c>
      <c r="O1105" s="11">
        <f t="shared" si="5066"/>
        <v>0</v>
      </c>
      <c r="P1105" s="11">
        <f t="shared" si="5066"/>
        <v>0</v>
      </c>
      <c r="Q1105" s="11">
        <f t="shared" si="5066"/>
        <v>0</v>
      </c>
      <c r="R1105" s="25">
        <f>SUM(R1101:R1104)</f>
        <v>0</v>
      </c>
      <c r="T1105" s="10">
        <f>SUM(T1101:T1104)</f>
        <v>0</v>
      </c>
      <c r="U1105" s="11">
        <f t="shared" ref="U1105:X1105" si="5067">SUM(U1101:U1104)</f>
        <v>0</v>
      </c>
      <c r="V1105" s="11">
        <f t="shared" si="5067"/>
        <v>0</v>
      </c>
      <c r="W1105" s="11">
        <f t="shared" si="5067"/>
        <v>0</v>
      </c>
      <c r="X1105" s="11">
        <f t="shared" si="5067"/>
        <v>0</v>
      </c>
      <c r="Y1105" s="25">
        <f>SUM(Y1101:Y1104)</f>
        <v>0</v>
      </c>
      <c r="AA1105" s="10">
        <f>SUM(AA1101:AA1104)</f>
        <v>0</v>
      </c>
      <c r="AB1105" s="11">
        <f t="shared" ref="AB1105:AE1105" si="5068">SUM(AB1101:AB1104)</f>
        <v>0</v>
      </c>
      <c r="AC1105" s="11">
        <f t="shared" si="5068"/>
        <v>0</v>
      </c>
      <c r="AD1105" s="11">
        <f t="shared" si="5068"/>
        <v>0</v>
      </c>
      <c r="AE1105" s="11">
        <f t="shared" si="5068"/>
        <v>0</v>
      </c>
      <c r="AF1105" s="25">
        <f>SUM(AF1101:AF1104)</f>
        <v>0</v>
      </c>
      <c r="AH1105" s="10">
        <f t="shared" ref="AH1105:AM1105" si="5069">SUM(AH1101:AH1104)</f>
        <v>0</v>
      </c>
      <c r="AI1105" s="11">
        <f t="shared" si="5069"/>
        <v>0</v>
      </c>
      <c r="AJ1105" s="11">
        <f t="shared" si="5069"/>
        <v>0</v>
      </c>
      <c r="AK1105" s="11">
        <f t="shared" si="5069"/>
        <v>0</v>
      </c>
      <c r="AL1105" s="11">
        <f t="shared" si="5069"/>
        <v>0</v>
      </c>
      <c r="AM1105" s="25">
        <f t="shared" si="5069"/>
        <v>0</v>
      </c>
      <c r="AO1105" s="10">
        <f t="shared" ref="AO1105:AT1105" si="5070">SUM(AO1101:AO1104)</f>
        <v>0</v>
      </c>
      <c r="AP1105" s="11">
        <f t="shared" si="5070"/>
        <v>0</v>
      </c>
      <c r="AQ1105" s="11">
        <f t="shared" si="5070"/>
        <v>0</v>
      </c>
      <c r="AR1105" s="11">
        <f t="shared" si="5070"/>
        <v>0</v>
      </c>
      <c r="AS1105" s="11">
        <f t="shared" si="5070"/>
        <v>0</v>
      </c>
      <c r="AT1105" s="25">
        <f t="shared" si="5070"/>
        <v>0</v>
      </c>
      <c r="AV1105" s="10">
        <f t="shared" ref="AV1105:BA1105" si="5071">SUM(AV1101:AV1104)</f>
        <v>0</v>
      </c>
      <c r="AW1105" s="11">
        <f t="shared" si="5071"/>
        <v>0</v>
      </c>
      <c r="AX1105" s="11">
        <f t="shared" si="5071"/>
        <v>0</v>
      </c>
      <c r="AY1105" s="11">
        <f t="shared" si="5071"/>
        <v>0</v>
      </c>
      <c r="AZ1105" s="11">
        <f t="shared" si="5071"/>
        <v>0</v>
      </c>
      <c r="BA1105" s="25">
        <f t="shared" si="5071"/>
        <v>0</v>
      </c>
      <c r="BC1105" s="10">
        <f t="shared" ref="BC1105:BH1105" si="5072">SUM(BC1101:BC1104)</f>
        <v>0</v>
      </c>
      <c r="BD1105" s="11">
        <f t="shared" si="5072"/>
        <v>0</v>
      </c>
      <c r="BE1105" s="11">
        <f t="shared" si="5072"/>
        <v>0</v>
      </c>
      <c r="BF1105" s="11">
        <f t="shared" si="5072"/>
        <v>0</v>
      </c>
      <c r="BG1105" s="11">
        <f t="shared" si="5072"/>
        <v>0</v>
      </c>
      <c r="BH1105" s="25">
        <f t="shared" si="5072"/>
        <v>0</v>
      </c>
      <c r="BJ1105" s="10">
        <f t="shared" ref="BJ1105:BO1105" si="5073">SUM(BJ1101:BJ1104)</f>
        <v>0</v>
      </c>
      <c r="BK1105" s="11">
        <f t="shared" si="5073"/>
        <v>0</v>
      </c>
      <c r="BL1105" s="11">
        <f t="shared" si="5073"/>
        <v>0</v>
      </c>
      <c r="BM1105" s="11">
        <f t="shared" si="5073"/>
        <v>0</v>
      </c>
      <c r="BN1105" s="11">
        <f t="shared" si="5073"/>
        <v>0</v>
      </c>
      <c r="BO1105" s="25">
        <f t="shared" si="5073"/>
        <v>0</v>
      </c>
      <c r="BQ1105" s="10">
        <f t="shared" ref="BQ1105:BV1105" si="5074">SUM(BQ1101:BQ1104)</f>
        <v>0</v>
      </c>
      <c r="BR1105" s="11">
        <f t="shared" si="5074"/>
        <v>0</v>
      </c>
      <c r="BS1105" s="11">
        <f t="shared" si="5074"/>
        <v>0</v>
      </c>
      <c r="BT1105" s="11">
        <f t="shared" si="5074"/>
        <v>0</v>
      </c>
      <c r="BU1105" s="11">
        <f t="shared" si="5074"/>
        <v>0</v>
      </c>
      <c r="BV1105" s="25">
        <f t="shared" si="5074"/>
        <v>0</v>
      </c>
      <c r="BX1105" s="10">
        <f t="shared" ref="BX1105:CC1105" si="5075">SUM(BX1101:BX1104)</f>
        <v>0</v>
      </c>
      <c r="BY1105" s="11">
        <f t="shared" si="5075"/>
        <v>0</v>
      </c>
      <c r="BZ1105" s="11">
        <f t="shared" si="5075"/>
        <v>0</v>
      </c>
      <c r="CA1105" s="11">
        <f t="shared" si="5075"/>
        <v>0</v>
      </c>
      <c r="CB1105" s="11">
        <f t="shared" si="5075"/>
        <v>0</v>
      </c>
      <c r="CC1105" s="25">
        <f t="shared" si="5075"/>
        <v>0</v>
      </c>
      <c r="CE1105" s="62">
        <f t="shared" ref="CE1105:CJ1105" si="5076">SUM(CE1101:CE1104)</f>
        <v>0</v>
      </c>
      <c r="CF1105" s="63">
        <f t="shared" si="5076"/>
        <v>0</v>
      </c>
      <c r="CG1105" s="63">
        <f t="shared" si="5076"/>
        <v>0</v>
      </c>
      <c r="CH1105" s="63">
        <f t="shared" si="5076"/>
        <v>0</v>
      </c>
      <c r="CI1105" s="63">
        <f t="shared" si="5076"/>
        <v>0</v>
      </c>
      <c r="CJ1105" s="25">
        <f t="shared" si="5076"/>
        <v>0</v>
      </c>
      <c r="CL1105" s="10">
        <f>SUM(CL1101:CL1104)</f>
        <v>0</v>
      </c>
      <c r="CM1105" s="11">
        <f t="shared" ref="CM1105:CQ1105" si="5077">SUM(CM1101:CM1104)</f>
        <v>0</v>
      </c>
      <c r="CN1105" s="11">
        <f t="shared" si="5077"/>
        <v>0</v>
      </c>
      <c r="CO1105" s="11">
        <f t="shared" si="5077"/>
        <v>0</v>
      </c>
      <c r="CP1105" s="11">
        <f t="shared" si="5077"/>
        <v>0</v>
      </c>
      <c r="CQ1105" s="25">
        <f t="shared" si="5077"/>
        <v>0</v>
      </c>
      <c r="CS1105" s="10">
        <f>SUM(CS1101:CS1104)</f>
        <v>0</v>
      </c>
      <c r="CT1105" s="11">
        <f t="shared" ref="CT1105:CW1105" si="5078">SUM(CT1101:CT1104)</f>
        <v>0</v>
      </c>
      <c r="CU1105" s="11">
        <f t="shared" si="5078"/>
        <v>0</v>
      </c>
      <c r="CV1105" s="11">
        <f t="shared" si="5078"/>
        <v>0</v>
      </c>
      <c r="CW1105" s="11">
        <f t="shared" si="5078"/>
        <v>0</v>
      </c>
      <c r="CX1105" s="25">
        <f>SUM(CX1101:CX1104)</f>
        <v>0</v>
      </c>
      <c r="CZ1105" s="10">
        <f>SUM(CZ1101:CZ1104)</f>
        <v>0</v>
      </c>
      <c r="DA1105" s="11">
        <f t="shared" ref="DA1105:DD1105" si="5079">SUM(DA1101:DA1104)</f>
        <v>0</v>
      </c>
      <c r="DB1105" s="11">
        <f t="shared" si="5079"/>
        <v>0</v>
      </c>
      <c r="DC1105" s="11">
        <f t="shared" si="5079"/>
        <v>0</v>
      </c>
      <c r="DD1105" s="11">
        <f t="shared" si="5079"/>
        <v>0</v>
      </c>
      <c r="DE1105" s="25">
        <f>SUM(DE1101:DE1104)</f>
        <v>0</v>
      </c>
    </row>
    <row r="1106" spans="3:109" ht="10.4" customHeight="1" thickBot="1"/>
    <row r="1107" spans="3:109">
      <c r="C1107" s="553">
        <v>2026</v>
      </c>
      <c r="E1107" s="1" t="s">
        <v>59</v>
      </c>
      <c r="F1107" s="21">
        <f>CE1101</f>
        <v>0</v>
      </c>
      <c r="G1107" s="22">
        <f t="shared" ref="G1107:G1110" si="5080">CF1101</f>
        <v>0</v>
      </c>
      <c r="H1107" s="22">
        <f t="shared" ref="H1107:H1110" si="5081">CG1101</f>
        <v>0</v>
      </c>
      <c r="I1107" s="22">
        <f t="shared" ref="I1107:I1110" si="5082">CH1101</f>
        <v>0</v>
      </c>
      <c r="J1107" s="22">
        <f t="shared" ref="J1107:J1110" si="5083">CI1101</f>
        <v>0</v>
      </c>
      <c r="K1107" s="4">
        <f>SUM(F1107:J1107)</f>
        <v>0</v>
      </c>
      <c r="M1107" s="2"/>
      <c r="N1107" s="3"/>
      <c r="O1107" s="3"/>
      <c r="P1107" s="3"/>
      <c r="Q1107" s="3"/>
      <c r="R1107" s="4">
        <f>SUM(M1107:Q1107)</f>
        <v>0</v>
      </c>
      <c r="T1107" s="2"/>
      <c r="U1107" s="3"/>
      <c r="V1107" s="3"/>
      <c r="W1107" s="3"/>
      <c r="X1107" s="3"/>
      <c r="Y1107" s="4">
        <f>SUM(T1107:X1107)</f>
        <v>0</v>
      </c>
      <c r="AA1107" s="2"/>
      <c r="AB1107" s="3"/>
      <c r="AC1107" s="3"/>
      <c r="AD1107" s="3"/>
      <c r="AE1107" s="3"/>
      <c r="AF1107" s="4">
        <f>SUM(AA1107:AE1107)</f>
        <v>0</v>
      </c>
      <c r="AH1107" s="2"/>
      <c r="AI1107" s="3"/>
      <c r="AJ1107" s="3"/>
      <c r="AK1107" s="3"/>
      <c r="AL1107" s="3"/>
      <c r="AM1107" s="4">
        <f>SUM(AH1107:AL1107)</f>
        <v>0</v>
      </c>
      <c r="AO1107" s="2"/>
      <c r="AP1107" s="3"/>
      <c r="AQ1107" s="3"/>
      <c r="AR1107" s="3"/>
      <c r="AS1107" s="3"/>
      <c r="AT1107" s="4">
        <f>SUM(AO1107:AS1107)</f>
        <v>0</v>
      </c>
      <c r="AV1107" s="2"/>
      <c r="AW1107" s="3"/>
      <c r="AX1107" s="3"/>
      <c r="AY1107" s="3"/>
      <c r="AZ1107" s="3"/>
      <c r="BA1107" s="4">
        <f>SUM(AV1107:AZ1107)</f>
        <v>0</v>
      </c>
      <c r="BC1107" s="2"/>
      <c r="BD1107" s="3"/>
      <c r="BE1107" s="3"/>
      <c r="BF1107" s="3"/>
      <c r="BG1107" s="3"/>
      <c r="BH1107" s="4">
        <f>SUM(BC1107:BG1107)</f>
        <v>0</v>
      </c>
      <c r="BJ1107" s="2"/>
      <c r="BK1107" s="3"/>
      <c r="BL1107" s="3"/>
      <c r="BM1107" s="3"/>
      <c r="BN1107" s="3"/>
      <c r="BO1107" s="4">
        <f>SUM(BJ1107:BN1107)</f>
        <v>0</v>
      </c>
      <c r="BQ1107" s="2"/>
      <c r="BR1107" s="3"/>
      <c r="BS1107" s="3"/>
      <c r="BT1107" s="3"/>
      <c r="BU1107" s="3"/>
      <c r="BV1107" s="4">
        <f>SUM(BQ1107:BU1107)</f>
        <v>0</v>
      </c>
      <c r="BX1107" s="2"/>
      <c r="BY1107" s="3"/>
      <c r="BZ1107" s="3"/>
      <c r="CA1107" s="3"/>
      <c r="CB1107" s="3"/>
      <c r="CC1107" s="4">
        <f>SUM(BX1107:CB1107)</f>
        <v>0</v>
      </c>
      <c r="CE1107" s="26">
        <f t="shared" ref="CE1107:CE1110" si="5084">F1107+M1107+T1107+AA1107+AH1107+AO1107+AV1107+BC1107+BJ1107+BQ1107+BX1107</f>
        <v>0</v>
      </c>
      <c r="CF1107" s="27">
        <f t="shared" ref="CF1107:CF1110" si="5085">G1107+N1107+U1107+AB1107+AI1107+AP1107+AW1107+BD1107+BK1107+BR1107+BY1107</f>
        <v>0</v>
      </c>
      <c r="CG1107" s="27">
        <f t="shared" ref="CG1107:CG1110" si="5086">H1107+O1107+V1107+AC1107+AJ1107+AQ1107+AX1107+BE1107+BL1107+BS1107+BZ1107</f>
        <v>0</v>
      </c>
      <c r="CH1107" s="27">
        <f t="shared" ref="CH1107:CH1110" si="5087">I1107+P1107+W1107+AD1107+AK1107+AR1107+AY1107+BF1107+BM1107+BT1107+CA1107</f>
        <v>0</v>
      </c>
      <c r="CI1107" s="27">
        <f t="shared" ref="CI1107:CI1110" si="5088">J1107+Q1107+X1107+AE1107+AL1107+AS1107+AZ1107+BG1107+BN1107+BU1107+CB1107</f>
        <v>0</v>
      </c>
      <c r="CJ1107" s="4">
        <f>SUM(CE1107:CI1107)</f>
        <v>0</v>
      </c>
      <c r="CL1107" s="2"/>
      <c r="CM1107" s="3"/>
      <c r="CN1107" s="3"/>
      <c r="CO1107" s="3"/>
      <c r="CP1107" s="3"/>
      <c r="CQ1107" s="4">
        <f>SUM(CL1107:CP1107)</f>
        <v>0</v>
      </c>
      <c r="CS1107" s="2"/>
      <c r="CT1107" s="3"/>
      <c r="CU1107" s="3"/>
      <c r="CV1107" s="3"/>
      <c r="CW1107" s="3"/>
      <c r="CX1107" s="4">
        <f>SUM(CS1107:CW1107)</f>
        <v>0</v>
      </c>
      <c r="CZ1107" s="2"/>
      <c r="DA1107" s="3"/>
      <c r="DB1107" s="3"/>
      <c r="DC1107" s="3"/>
      <c r="DD1107" s="3"/>
      <c r="DE1107" s="4">
        <f>SUM(CZ1107:DD1107)</f>
        <v>0</v>
      </c>
    </row>
    <row r="1108" spans="3:109">
      <c r="C1108" s="567"/>
      <c r="E1108" s="5" t="s">
        <v>60</v>
      </c>
      <c r="F1108" s="23">
        <f t="shared" ref="F1108:F1110" si="5089">CE1102</f>
        <v>0</v>
      </c>
      <c r="G1108" s="24">
        <f t="shared" si="5080"/>
        <v>0</v>
      </c>
      <c r="H1108" s="24">
        <f t="shared" si="5081"/>
        <v>0</v>
      </c>
      <c r="I1108" s="24">
        <f t="shared" si="5082"/>
        <v>0</v>
      </c>
      <c r="J1108" s="24">
        <f t="shared" si="5083"/>
        <v>0</v>
      </c>
      <c r="K1108" s="8">
        <f t="shared" ref="K1108:K1110" si="5090">SUM(F1108:J1108)</f>
        <v>0</v>
      </c>
      <c r="M1108" s="6"/>
      <c r="N1108" s="7"/>
      <c r="O1108" s="7"/>
      <c r="P1108" s="7"/>
      <c r="Q1108" s="7"/>
      <c r="R1108" s="8">
        <f t="shared" ref="R1108:R1110" si="5091">SUM(M1108:Q1108)</f>
        <v>0</v>
      </c>
      <c r="T1108" s="6"/>
      <c r="U1108" s="7"/>
      <c r="V1108" s="7"/>
      <c r="W1108" s="7"/>
      <c r="X1108" s="7"/>
      <c r="Y1108" s="8">
        <f t="shared" ref="Y1108:Y1110" si="5092">SUM(T1108:X1108)</f>
        <v>0</v>
      </c>
      <c r="AA1108" s="6"/>
      <c r="AB1108" s="7"/>
      <c r="AC1108" s="7"/>
      <c r="AD1108" s="7"/>
      <c r="AE1108" s="7"/>
      <c r="AF1108" s="8">
        <f>SUM(AA1108:AE1108)</f>
        <v>0</v>
      </c>
      <c r="AH1108" s="6"/>
      <c r="AI1108" s="7"/>
      <c r="AJ1108" s="7"/>
      <c r="AK1108" s="7"/>
      <c r="AL1108" s="7"/>
      <c r="AM1108" s="8">
        <f>SUM(AH1108:AL1108)</f>
        <v>0</v>
      </c>
      <c r="AO1108" s="6"/>
      <c r="AP1108" s="7"/>
      <c r="AQ1108" s="7"/>
      <c r="AR1108" s="7"/>
      <c r="AS1108" s="7"/>
      <c r="AT1108" s="8">
        <f>SUM(AO1108:AS1108)</f>
        <v>0</v>
      </c>
      <c r="AV1108" s="6"/>
      <c r="AW1108" s="7"/>
      <c r="AX1108" s="7"/>
      <c r="AY1108" s="7"/>
      <c r="AZ1108" s="7"/>
      <c r="BA1108" s="8">
        <f>SUM(AV1108:AZ1108)</f>
        <v>0</v>
      </c>
      <c r="BC1108" s="6"/>
      <c r="BD1108" s="7"/>
      <c r="BE1108" s="7"/>
      <c r="BF1108" s="7"/>
      <c r="BG1108" s="7"/>
      <c r="BH1108" s="8">
        <f>SUM(BC1108:BG1108)</f>
        <v>0</v>
      </c>
      <c r="BJ1108" s="6"/>
      <c r="BK1108" s="7"/>
      <c r="BL1108" s="7"/>
      <c r="BM1108" s="7"/>
      <c r="BN1108" s="7"/>
      <c r="BO1108" s="8">
        <f>SUM(BJ1108:BN1108)</f>
        <v>0</v>
      </c>
      <c r="BQ1108" s="6"/>
      <c r="BR1108" s="7"/>
      <c r="BS1108" s="7"/>
      <c r="BT1108" s="7"/>
      <c r="BU1108" s="7"/>
      <c r="BV1108" s="8">
        <f>SUM(BQ1108:BU1108)</f>
        <v>0</v>
      </c>
      <c r="BX1108" s="6"/>
      <c r="BY1108" s="7"/>
      <c r="BZ1108" s="7"/>
      <c r="CA1108" s="7"/>
      <c r="CB1108" s="7"/>
      <c r="CC1108" s="8">
        <f>SUM(BX1108:CB1108)</f>
        <v>0</v>
      </c>
      <c r="CE1108" s="28">
        <f t="shared" si="5084"/>
        <v>0</v>
      </c>
      <c r="CF1108" s="29">
        <f t="shared" si="5085"/>
        <v>0</v>
      </c>
      <c r="CG1108" s="29">
        <f t="shared" si="5086"/>
        <v>0</v>
      </c>
      <c r="CH1108" s="29">
        <f t="shared" si="5087"/>
        <v>0</v>
      </c>
      <c r="CI1108" s="29">
        <f t="shared" si="5088"/>
        <v>0</v>
      </c>
      <c r="CJ1108" s="8">
        <f>SUM(CE1108:CI1108)</f>
        <v>0</v>
      </c>
      <c r="CL1108" s="6"/>
      <c r="CM1108" s="7"/>
      <c r="CN1108" s="7"/>
      <c r="CO1108" s="7"/>
      <c r="CP1108" s="7"/>
      <c r="CQ1108" s="8">
        <f>SUM(CL1108:CP1108)</f>
        <v>0</v>
      </c>
      <c r="CS1108" s="6"/>
      <c r="CT1108" s="7"/>
      <c r="CU1108" s="7"/>
      <c r="CV1108" s="7"/>
      <c r="CW1108" s="7"/>
      <c r="CX1108" s="8">
        <f t="shared" ref="CX1108:CX1110" si="5093">SUM(CS1108:CW1108)</f>
        <v>0</v>
      </c>
      <c r="CZ1108" s="6"/>
      <c r="DA1108" s="7"/>
      <c r="DB1108" s="7"/>
      <c r="DC1108" s="7"/>
      <c r="DD1108" s="7"/>
      <c r="DE1108" s="8">
        <f t="shared" ref="DE1108:DE1110" si="5094">SUM(CZ1108:DD1108)</f>
        <v>0</v>
      </c>
    </row>
    <row r="1109" spans="3:109">
      <c r="C1109" s="567"/>
      <c r="E1109" s="5" t="s">
        <v>61</v>
      </c>
      <c r="F1109" s="23">
        <f t="shared" si="5089"/>
        <v>0</v>
      </c>
      <c r="G1109" s="24">
        <f t="shared" si="5080"/>
        <v>0</v>
      </c>
      <c r="H1109" s="24">
        <f t="shared" si="5081"/>
        <v>0</v>
      </c>
      <c r="I1109" s="24">
        <f t="shared" si="5082"/>
        <v>0</v>
      </c>
      <c r="J1109" s="24">
        <f t="shared" si="5083"/>
        <v>0</v>
      </c>
      <c r="K1109" s="8">
        <f t="shared" si="5090"/>
        <v>0</v>
      </c>
      <c r="M1109" s="6"/>
      <c r="N1109" s="7"/>
      <c r="O1109" s="7"/>
      <c r="P1109" s="7"/>
      <c r="Q1109" s="7"/>
      <c r="R1109" s="8">
        <f t="shared" si="5091"/>
        <v>0</v>
      </c>
      <c r="T1109" s="6"/>
      <c r="U1109" s="7"/>
      <c r="V1109" s="7"/>
      <c r="W1109" s="7"/>
      <c r="X1109" s="7"/>
      <c r="Y1109" s="8">
        <f t="shared" si="5092"/>
        <v>0</v>
      </c>
      <c r="AA1109" s="6"/>
      <c r="AB1109" s="7"/>
      <c r="AC1109" s="7"/>
      <c r="AD1109" s="7"/>
      <c r="AE1109" s="7"/>
      <c r="AF1109" s="8">
        <f>SUM(AA1109:AE1109)</f>
        <v>0</v>
      </c>
      <c r="AH1109" s="6"/>
      <c r="AI1109" s="7"/>
      <c r="AJ1109" s="7"/>
      <c r="AK1109" s="7"/>
      <c r="AL1109" s="7"/>
      <c r="AM1109" s="8">
        <f>SUM(AH1109:AL1109)</f>
        <v>0</v>
      </c>
      <c r="AO1109" s="6"/>
      <c r="AP1109" s="7"/>
      <c r="AQ1109" s="7"/>
      <c r="AR1109" s="7"/>
      <c r="AS1109" s="7"/>
      <c r="AT1109" s="8">
        <f>SUM(AO1109:AS1109)</f>
        <v>0</v>
      </c>
      <c r="AV1109" s="6"/>
      <c r="AW1109" s="7"/>
      <c r="AX1109" s="7"/>
      <c r="AY1109" s="7"/>
      <c r="AZ1109" s="7"/>
      <c r="BA1109" s="8">
        <f>SUM(AV1109:AZ1109)</f>
        <v>0</v>
      </c>
      <c r="BC1109" s="6"/>
      <c r="BD1109" s="7"/>
      <c r="BE1109" s="7"/>
      <c r="BF1109" s="7"/>
      <c r="BG1109" s="7"/>
      <c r="BH1109" s="8">
        <f>SUM(BC1109:BG1109)</f>
        <v>0</v>
      </c>
      <c r="BJ1109" s="6"/>
      <c r="BK1109" s="7"/>
      <c r="BL1109" s="7"/>
      <c r="BM1109" s="7"/>
      <c r="BN1109" s="7"/>
      <c r="BO1109" s="8">
        <f>SUM(BJ1109:BN1109)</f>
        <v>0</v>
      </c>
      <c r="BQ1109" s="6"/>
      <c r="BR1109" s="7"/>
      <c r="BS1109" s="7"/>
      <c r="BT1109" s="7"/>
      <c r="BU1109" s="7"/>
      <c r="BV1109" s="8">
        <f>SUM(BQ1109:BU1109)</f>
        <v>0</v>
      </c>
      <c r="BX1109" s="6"/>
      <c r="BY1109" s="7"/>
      <c r="BZ1109" s="7"/>
      <c r="CA1109" s="7"/>
      <c r="CB1109" s="7"/>
      <c r="CC1109" s="8">
        <f>SUM(BX1109:CB1109)</f>
        <v>0</v>
      </c>
      <c r="CE1109" s="28">
        <f t="shared" si="5084"/>
        <v>0</v>
      </c>
      <c r="CF1109" s="29">
        <f t="shared" si="5085"/>
        <v>0</v>
      </c>
      <c r="CG1109" s="29">
        <f t="shared" si="5086"/>
        <v>0</v>
      </c>
      <c r="CH1109" s="29">
        <f t="shared" si="5087"/>
        <v>0</v>
      </c>
      <c r="CI1109" s="29">
        <f t="shared" si="5088"/>
        <v>0</v>
      </c>
      <c r="CJ1109" s="8">
        <f>SUM(CE1109:CI1109)</f>
        <v>0</v>
      </c>
      <c r="CL1109" s="6"/>
      <c r="CM1109" s="7"/>
      <c r="CN1109" s="7"/>
      <c r="CO1109" s="7"/>
      <c r="CP1109" s="7"/>
      <c r="CQ1109" s="8">
        <f>SUM(CL1109:CP1109)</f>
        <v>0</v>
      </c>
      <c r="CS1109" s="6"/>
      <c r="CT1109" s="7"/>
      <c r="CU1109" s="7"/>
      <c r="CV1109" s="7"/>
      <c r="CW1109" s="7"/>
      <c r="CX1109" s="8">
        <f t="shared" si="5093"/>
        <v>0</v>
      </c>
      <c r="CZ1109" s="6"/>
      <c r="DA1109" s="7"/>
      <c r="DB1109" s="7"/>
      <c r="DC1109" s="7"/>
      <c r="DD1109" s="7"/>
      <c r="DE1109" s="8">
        <f t="shared" si="5094"/>
        <v>0</v>
      </c>
    </row>
    <row r="1110" spans="3:109" ht="14" thickBot="1">
      <c r="C1110" s="567"/>
      <c r="E1110" s="5" t="s">
        <v>62</v>
      </c>
      <c r="F1110" s="23">
        <f t="shared" si="5089"/>
        <v>0</v>
      </c>
      <c r="G1110" s="24">
        <f t="shared" si="5080"/>
        <v>0</v>
      </c>
      <c r="H1110" s="24">
        <f t="shared" si="5081"/>
        <v>0</v>
      </c>
      <c r="I1110" s="24">
        <f t="shared" si="5082"/>
        <v>0</v>
      </c>
      <c r="J1110" s="24">
        <f t="shared" si="5083"/>
        <v>0</v>
      </c>
      <c r="K1110" s="8">
        <f t="shared" si="5090"/>
        <v>0</v>
      </c>
      <c r="M1110" s="6"/>
      <c r="N1110" s="7"/>
      <c r="O1110" s="7"/>
      <c r="P1110" s="7"/>
      <c r="Q1110" s="7"/>
      <c r="R1110" s="8">
        <f t="shared" si="5091"/>
        <v>0</v>
      </c>
      <c r="T1110" s="6"/>
      <c r="U1110" s="7"/>
      <c r="V1110" s="7"/>
      <c r="W1110" s="7"/>
      <c r="X1110" s="7"/>
      <c r="Y1110" s="8">
        <f t="shared" si="5092"/>
        <v>0</v>
      </c>
      <c r="AA1110" s="6"/>
      <c r="AB1110" s="7"/>
      <c r="AC1110" s="7"/>
      <c r="AD1110" s="7"/>
      <c r="AE1110" s="7"/>
      <c r="AF1110" s="8">
        <f>SUM(AA1110:AE1110)</f>
        <v>0</v>
      </c>
      <c r="AH1110" s="6"/>
      <c r="AI1110" s="7"/>
      <c r="AJ1110" s="7"/>
      <c r="AK1110" s="7"/>
      <c r="AL1110" s="7"/>
      <c r="AM1110" s="8">
        <f>SUM(AH1110:AL1110)</f>
        <v>0</v>
      </c>
      <c r="AO1110" s="6"/>
      <c r="AP1110" s="7"/>
      <c r="AQ1110" s="7"/>
      <c r="AR1110" s="7"/>
      <c r="AS1110" s="7"/>
      <c r="AT1110" s="8">
        <f>SUM(AO1110:AS1110)</f>
        <v>0</v>
      </c>
      <c r="AV1110" s="6"/>
      <c r="AW1110" s="7"/>
      <c r="AX1110" s="7"/>
      <c r="AY1110" s="7"/>
      <c r="AZ1110" s="7"/>
      <c r="BA1110" s="8">
        <f>SUM(AV1110:AZ1110)</f>
        <v>0</v>
      </c>
      <c r="BC1110" s="6"/>
      <c r="BD1110" s="7"/>
      <c r="BE1110" s="7"/>
      <c r="BF1110" s="7"/>
      <c r="BG1110" s="7"/>
      <c r="BH1110" s="8">
        <f>SUM(BC1110:BG1110)</f>
        <v>0</v>
      </c>
      <c r="BJ1110" s="6"/>
      <c r="BK1110" s="7"/>
      <c r="BL1110" s="7"/>
      <c r="BM1110" s="7"/>
      <c r="BN1110" s="7"/>
      <c r="BO1110" s="8">
        <f>SUM(BJ1110:BN1110)</f>
        <v>0</v>
      </c>
      <c r="BQ1110" s="6"/>
      <c r="BR1110" s="7"/>
      <c r="BS1110" s="7"/>
      <c r="BT1110" s="7"/>
      <c r="BU1110" s="7"/>
      <c r="BV1110" s="8">
        <f>SUM(BQ1110:BU1110)</f>
        <v>0</v>
      </c>
      <c r="BX1110" s="6"/>
      <c r="BY1110" s="7"/>
      <c r="BZ1110" s="7"/>
      <c r="CA1110" s="7"/>
      <c r="CB1110" s="7"/>
      <c r="CC1110" s="8">
        <f>SUM(BX1110:CB1110)</f>
        <v>0</v>
      </c>
      <c r="CE1110" s="493">
        <f t="shared" si="5084"/>
        <v>0</v>
      </c>
      <c r="CF1110" s="494">
        <f t="shared" si="5085"/>
        <v>0</v>
      </c>
      <c r="CG1110" s="494">
        <f t="shared" si="5086"/>
        <v>0</v>
      </c>
      <c r="CH1110" s="494">
        <f t="shared" si="5087"/>
        <v>0</v>
      </c>
      <c r="CI1110" s="494">
        <f t="shared" si="5088"/>
        <v>0</v>
      </c>
      <c r="CJ1110" s="495">
        <f>SUM(CE1110:CI1110)</f>
        <v>0</v>
      </c>
      <c r="CL1110" s="6"/>
      <c r="CM1110" s="7"/>
      <c r="CN1110" s="7"/>
      <c r="CO1110" s="7"/>
      <c r="CP1110" s="7"/>
      <c r="CQ1110" s="8">
        <f>SUM(CL1110:CP1110)</f>
        <v>0</v>
      </c>
      <c r="CS1110" s="6"/>
      <c r="CT1110" s="7"/>
      <c r="CU1110" s="7"/>
      <c r="CV1110" s="7"/>
      <c r="CW1110" s="7"/>
      <c r="CX1110" s="8">
        <f t="shared" si="5093"/>
        <v>0</v>
      </c>
      <c r="CZ1110" s="6"/>
      <c r="DA1110" s="7"/>
      <c r="DB1110" s="7"/>
      <c r="DC1110" s="7"/>
      <c r="DD1110" s="7"/>
      <c r="DE1110" s="8">
        <f t="shared" si="5094"/>
        <v>0</v>
      </c>
    </row>
    <row r="1111" spans="3:109" ht="14" thickBot="1">
      <c r="C1111" s="554"/>
      <c r="E1111" s="9"/>
      <c r="F1111" s="10">
        <f>SUM(F1107:F1110)</f>
        <v>0</v>
      </c>
      <c r="G1111" s="11">
        <f t="shared" ref="G1111:J1111" si="5095">SUM(G1107:G1110)</f>
        <v>0</v>
      </c>
      <c r="H1111" s="11">
        <f t="shared" si="5095"/>
        <v>0</v>
      </c>
      <c r="I1111" s="11">
        <f t="shared" si="5095"/>
        <v>0</v>
      </c>
      <c r="J1111" s="11">
        <f t="shared" si="5095"/>
        <v>0</v>
      </c>
      <c r="K1111" s="25">
        <f>SUM(K1107:K1110)</f>
        <v>0</v>
      </c>
      <c r="M1111" s="10">
        <f>SUM(M1107:M1110)</f>
        <v>0</v>
      </c>
      <c r="N1111" s="11">
        <f t="shared" ref="N1111:Q1111" si="5096">SUM(N1107:N1110)</f>
        <v>0</v>
      </c>
      <c r="O1111" s="11">
        <f t="shared" si="5096"/>
        <v>0</v>
      </c>
      <c r="P1111" s="11">
        <f t="shared" si="5096"/>
        <v>0</v>
      </c>
      <c r="Q1111" s="11">
        <f t="shared" si="5096"/>
        <v>0</v>
      </c>
      <c r="R1111" s="25">
        <f>SUM(R1107:R1110)</f>
        <v>0</v>
      </c>
      <c r="T1111" s="10">
        <f>SUM(T1107:T1110)</f>
        <v>0</v>
      </c>
      <c r="U1111" s="11">
        <f t="shared" ref="U1111:X1111" si="5097">SUM(U1107:U1110)</f>
        <v>0</v>
      </c>
      <c r="V1111" s="11">
        <f t="shared" si="5097"/>
        <v>0</v>
      </c>
      <c r="W1111" s="11">
        <f t="shared" si="5097"/>
        <v>0</v>
      </c>
      <c r="X1111" s="11">
        <f t="shared" si="5097"/>
        <v>0</v>
      </c>
      <c r="Y1111" s="25">
        <f>SUM(Y1107:Y1110)</f>
        <v>0</v>
      </c>
      <c r="AA1111" s="10">
        <f>SUM(AA1107:AA1110)</f>
        <v>0</v>
      </c>
      <c r="AB1111" s="11">
        <f t="shared" ref="AB1111:AE1111" si="5098">SUM(AB1107:AB1110)</f>
        <v>0</v>
      </c>
      <c r="AC1111" s="11">
        <f t="shared" si="5098"/>
        <v>0</v>
      </c>
      <c r="AD1111" s="11">
        <f t="shared" si="5098"/>
        <v>0</v>
      </c>
      <c r="AE1111" s="11">
        <f t="shared" si="5098"/>
        <v>0</v>
      </c>
      <c r="AF1111" s="25">
        <f>SUM(AF1107:AF1110)</f>
        <v>0</v>
      </c>
      <c r="AH1111" s="10">
        <f t="shared" ref="AH1111:AM1111" si="5099">SUM(AH1107:AH1110)</f>
        <v>0</v>
      </c>
      <c r="AI1111" s="11">
        <f t="shared" si="5099"/>
        <v>0</v>
      </c>
      <c r="AJ1111" s="11">
        <f t="shared" si="5099"/>
        <v>0</v>
      </c>
      <c r="AK1111" s="11">
        <f t="shared" si="5099"/>
        <v>0</v>
      </c>
      <c r="AL1111" s="11">
        <f t="shared" si="5099"/>
        <v>0</v>
      </c>
      <c r="AM1111" s="25">
        <f t="shared" si="5099"/>
        <v>0</v>
      </c>
      <c r="AO1111" s="10">
        <f t="shared" ref="AO1111:AT1111" si="5100">SUM(AO1107:AO1110)</f>
        <v>0</v>
      </c>
      <c r="AP1111" s="11">
        <f t="shared" si="5100"/>
        <v>0</v>
      </c>
      <c r="AQ1111" s="11">
        <f t="shared" si="5100"/>
        <v>0</v>
      </c>
      <c r="AR1111" s="11">
        <f t="shared" si="5100"/>
        <v>0</v>
      </c>
      <c r="AS1111" s="11">
        <f t="shared" si="5100"/>
        <v>0</v>
      </c>
      <c r="AT1111" s="25">
        <f t="shared" si="5100"/>
        <v>0</v>
      </c>
      <c r="AV1111" s="10">
        <f t="shared" ref="AV1111:BA1111" si="5101">SUM(AV1107:AV1110)</f>
        <v>0</v>
      </c>
      <c r="AW1111" s="11">
        <f t="shared" si="5101"/>
        <v>0</v>
      </c>
      <c r="AX1111" s="11">
        <f t="shared" si="5101"/>
        <v>0</v>
      </c>
      <c r="AY1111" s="11">
        <f t="shared" si="5101"/>
        <v>0</v>
      </c>
      <c r="AZ1111" s="11">
        <f t="shared" si="5101"/>
        <v>0</v>
      </c>
      <c r="BA1111" s="25">
        <f t="shared" si="5101"/>
        <v>0</v>
      </c>
      <c r="BC1111" s="10">
        <f t="shared" ref="BC1111:BH1111" si="5102">SUM(BC1107:BC1110)</f>
        <v>0</v>
      </c>
      <c r="BD1111" s="11">
        <f t="shared" si="5102"/>
        <v>0</v>
      </c>
      <c r="BE1111" s="11">
        <f t="shared" si="5102"/>
        <v>0</v>
      </c>
      <c r="BF1111" s="11">
        <f t="shared" si="5102"/>
        <v>0</v>
      </c>
      <c r="BG1111" s="11">
        <f t="shared" si="5102"/>
        <v>0</v>
      </c>
      <c r="BH1111" s="25">
        <f t="shared" si="5102"/>
        <v>0</v>
      </c>
      <c r="BJ1111" s="10">
        <f t="shared" ref="BJ1111:BO1111" si="5103">SUM(BJ1107:BJ1110)</f>
        <v>0</v>
      </c>
      <c r="BK1111" s="11">
        <f t="shared" si="5103"/>
        <v>0</v>
      </c>
      <c r="BL1111" s="11">
        <f t="shared" si="5103"/>
        <v>0</v>
      </c>
      <c r="BM1111" s="11">
        <f t="shared" si="5103"/>
        <v>0</v>
      </c>
      <c r="BN1111" s="11">
        <f t="shared" si="5103"/>
        <v>0</v>
      </c>
      <c r="BO1111" s="25">
        <f t="shared" si="5103"/>
        <v>0</v>
      </c>
      <c r="BQ1111" s="10">
        <f t="shared" ref="BQ1111:BV1111" si="5104">SUM(BQ1107:BQ1110)</f>
        <v>0</v>
      </c>
      <c r="BR1111" s="11">
        <f t="shared" si="5104"/>
        <v>0</v>
      </c>
      <c r="BS1111" s="11">
        <f t="shared" si="5104"/>
        <v>0</v>
      </c>
      <c r="BT1111" s="11">
        <f t="shared" si="5104"/>
        <v>0</v>
      </c>
      <c r="BU1111" s="11">
        <f t="shared" si="5104"/>
        <v>0</v>
      </c>
      <c r="BV1111" s="25">
        <f t="shared" si="5104"/>
        <v>0</v>
      </c>
      <c r="BX1111" s="10">
        <f t="shared" ref="BX1111:CC1111" si="5105">SUM(BX1107:BX1110)</f>
        <v>0</v>
      </c>
      <c r="BY1111" s="11">
        <f t="shared" si="5105"/>
        <v>0</v>
      </c>
      <c r="BZ1111" s="11">
        <f t="shared" si="5105"/>
        <v>0</v>
      </c>
      <c r="CA1111" s="11">
        <f t="shared" si="5105"/>
        <v>0</v>
      </c>
      <c r="CB1111" s="11">
        <f t="shared" si="5105"/>
        <v>0</v>
      </c>
      <c r="CC1111" s="25">
        <f t="shared" si="5105"/>
        <v>0</v>
      </c>
      <c r="CE1111" s="62">
        <f t="shared" ref="CE1111:CJ1111" si="5106">SUM(CE1107:CE1110)</f>
        <v>0</v>
      </c>
      <c r="CF1111" s="63">
        <f t="shared" si="5106"/>
        <v>0</v>
      </c>
      <c r="CG1111" s="63">
        <f t="shared" si="5106"/>
        <v>0</v>
      </c>
      <c r="CH1111" s="63">
        <f t="shared" si="5106"/>
        <v>0</v>
      </c>
      <c r="CI1111" s="63">
        <f t="shared" si="5106"/>
        <v>0</v>
      </c>
      <c r="CJ1111" s="25">
        <f t="shared" si="5106"/>
        <v>0</v>
      </c>
      <c r="CL1111" s="10">
        <f>SUM(CL1107:CL1110)</f>
        <v>0</v>
      </c>
      <c r="CM1111" s="11">
        <f t="shared" ref="CM1111:CQ1111" si="5107">SUM(CM1107:CM1110)</f>
        <v>0</v>
      </c>
      <c r="CN1111" s="11">
        <f t="shared" si="5107"/>
        <v>0</v>
      </c>
      <c r="CO1111" s="11">
        <f t="shared" si="5107"/>
        <v>0</v>
      </c>
      <c r="CP1111" s="11">
        <f t="shared" si="5107"/>
        <v>0</v>
      </c>
      <c r="CQ1111" s="25">
        <f t="shared" si="5107"/>
        <v>0</v>
      </c>
      <c r="CS1111" s="10">
        <f>SUM(CS1107:CS1110)</f>
        <v>0</v>
      </c>
      <c r="CT1111" s="11">
        <f t="shared" ref="CT1111:CW1111" si="5108">SUM(CT1107:CT1110)</f>
        <v>0</v>
      </c>
      <c r="CU1111" s="11">
        <f t="shared" si="5108"/>
        <v>0</v>
      </c>
      <c r="CV1111" s="11">
        <f t="shared" si="5108"/>
        <v>0</v>
      </c>
      <c r="CW1111" s="11">
        <f t="shared" si="5108"/>
        <v>0</v>
      </c>
      <c r="CX1111" s="25">
        <f>SUM(CX1107:CX1110)</f>
        <v>0</v>
      </c>
      <c r="CZ1111" s="10">
        <f>SUM(CZ1107:CZ1110)</f>
        <v>0</v>
      </c>
      <c r="DA1111" s="11">
        <f t="shared" ref="DA1111:DD1111" si="5109">SUM(DA1107:DA1110)</f>
        <v>0</v>
      </c>
      <c r="DB1111" s="11">
        <f t="shared" si="5109"/>
        <v>0</v>
      </c>
      <c r="DC1111" s="11">
        <f t="shared" si="5109"/>
        <v>0</v>
      </c>
      <c r="DD1111" s="11">
        <f t="shared" si="5109"/>
        <v>0</v>
      </c>
      <c r="DE1111" s="25">
        <f>SUM(DE1107:DE1110)</f>
        <v>0</v>
      </c>
    </row>
    <row r="1112" spans="3:109" ht="10.4" customHeight="1" thickBot="1"/>
    <row r="1113" spans="3:109">
      <c r="C1113" s="553">
        <v>2027</v>
      </c>
      <c r="E1113" s="1" t="s">
        <v>59</v>
      </c>
      <c r="F1113" s="21">
        <f>CE1107</f>
        <v>0</v>
      </c>
      <c r="G1113" s="22">
        <f t="shared" ref="G1113:G1116" si="5110">CF1107</f>
        <v>0</v>
      </c>
      <c r="H1113" s="22">
        <f t="shared" ref="H1113:H1116" si="5111">CG1107</f>
        <v>0</v>
      </c>
      <c r="I1113" s="22">
        <f t="shared" ref="I1113:I1116" si="5112">CH1107</f>
        <v>0</v>
      </c>
      <c r="J1113" s="22">
        <f t="shared" ref="J1113:J1116" si="5113">CI1107</f>
        <v>0</v>
      </c>
      <c r="K1113" s="4">
        <f>SUM(F1113:J1113)</f>
        <v>0</v>
      </c>
      <c r="M1113" s="2"/>
      <c r="N1113" s="3"/>
      <c r="O1113" s="3"/>
      <c r="P1113" s="3"/>
      <c r="Q1113" s="3"/>
      <c r="R1113" s="4">
        <f>SUM(M1113:Q1113)</f>
        <v>0</v>
      </c>
      <c r="T1113" s="2"/>
      <c r="U1113" s="3"/>
      <c r="V1113" s="3"/>
      <c r="W1113" s="3"/>
      <c r="X1113" s="3"/>
      <c r="Y1113" s="4">
        <f>SUM(T1113:X1113)</f>
        <v>0</v>
      </c>
      <c r="AA1113" s="2"/>
      <c r="AB1113" s="3"/>
      <c r="AC1113" s="3"/>
      <c r="AD1113" s="3"/>
      <c r="AE1113" s="3"/>
      <c r="AF1113" s="4">
        <f>SUM(AA1113:AE1113)</f>
        <v>0</v>
      </c>
      <c r="AH1113" s="2"/>
      <c r="AI1113" s="3"/>
      <c r="AJ1113" s="3"/>
      <c r="AK1113" s="3"/>
      <c r="AL1113" s="3"/>
      <c r="AM1113" s="4">
        <f>SUM(AH1113:AL1113)</f>
        <v>0</v>
      </c>
      <c r="AO1113" s="2"/>
      <c r="AP1113" s="3"/>
      <c r="AQ1113" s="3"/>
      <c r="AR1113" s="3"/>
      <c r="AS1113" s="3"/>
      <c r="AT1113" s="4">
        <f>SUM(AO1113:AS1113)</f>
        <v>0</v>
      </c>
      <c r="AV1113" s="2"/>
      <c r="AW1113" s="3"/>
      <c r="AX1113" s="3"/>
      <c r="AY1113" s="3"/>
      <c r="AZ1113" s="3"/>
      <c r="BA1113" s="4">
        <f>SUM(AV1113:AZ1113)</f>
        <v>0</v>
      </c>
      <c r="BC1113" s="2"/>
      <c r="BD1113" s="3"/>
      <c r="BE1113" s="3"/>
      <c r="BF1113" s="3"/>
      <c r="BG1113" s="3"/>
      <c r="BH1113" s="4">
        <f>SUM(BC1113:BG1113)</f>
        <v>0</v>
      </c>
      <c r="BJ1113" s="2"/>
      <c r="BK1113" s="3"/>
      <c r="BL1113" s="3"/>
      <c r="BM1113" s="3"/>
      <c r="BN1113" s="3"/>
      <c r="BO1113" s="4">
        <f>SUM(BJ1113:BN1113)</f>
        <v>0</v>
      </c>
      <c r="BQ1113" s="2"/>
      <c r="BR1113" s="3"/>
      <c r="BS1113" s="3"/>
      <c r="BT1113" s="3"/>
      <c r="BU1113" s="3"/>
      <c r="BV1113" s="4">
        <f>SUM(BQ1113:BU1113)</f>
        <v>0</v>
      </c>
      <c r="BX1113" s="2"/>
      <c r="BY1113" s="3"/>
      <c r="BZ1113" s="3"/>
      <c r="CA1113" s="3"/>
      <c r="CB1113" s="3"/>
      <c r="CC1113" s="4">
        <f>SUM(BX1113:CB1113)</f>
        <v>0</v>
      </c>
      <c r="CE1113" s="26">
        <f t="shared" ref="CE1113:CE1116" si="5114">F1113+M1113+T1113+AA1113+AH1113+AO1113+AV1113+BC1113+BJ1113+BQ1113+BX1113</f>
        <v>0</v>
      </c>
      <c r="CF1113" s="27">
        <f t="shared" ref="CF1113:CF1116" si="5115">G1113+N1113+U1113+AB1113+AI1113+AP1113+AW1113+BD1113+BK1113+BR1113+BY1113</f>
        <v>0</v>
      </c>
      <c r="CG1113" s="27">
        <f t="shared" ref="CG1113:CG1116" si="5116">H1113+O1113+V1113+AC1113+AJ1113+AQ1113+AX1113+BE1113+BL1113+BS1113+BZ1113</f>
        <v>0</v>
      </c>
      <c r="CH1113" s="27">
        <f t="shared" ref="CH1113:CH1116" si="5117">I1113+P1113+W1113+AD1113+AK1113+AR1113+AY1113+BF1113+BM1113+BT1113+CA1113</f>
        <v>0</v>
      </c>
      <c r="CI1113" s="27">
        <f t="shared" ref="CI1113:CI1116" si="5118">J1113+Q1113+X1113+AE1113+AL1113+AS1113+AZ1113+BG1113+BN1113+BU1113+CB1113</f>
        <v>0</v>
      </c>
      <c r="CJ1113" s="4">
        <f>SUM(CE1113:CI1113)</f>
        <v>0</v>
      </c>
      <c r="CL1113" s="2"/>
      <c r="CM1113" s="3"/>
      <c r="CN1113" s="3"/>
      <c r="CO1113" s="3"/>
      <c r="CP1113" s="3"/>
      <c r="CQ1113" s="4">
        <f>SUM(CL1113:CP1113)</f>
        <v>0</v>
      </c>
      <c r="CS1113" s="2"/>
      <c r="CT1113" s="3"/>
      <c r="CU1113" s="3"/>
      <c r="CV1113" s="3"/>
      <c r="CW1113" s="3"/>
      <c r="CX1113" s="4">
        <f>SUM(CS1113:CW1113)</f>
        <v>0</v>
      </c>
      <c r="CZ1113" s="2"/>
      <c r="DA1113" s="3"/>
      <c r="DB1113" s="3"/>
      <c r="DC1113" s="3"/>
      <c r="DD1113" s="3"/>
      <c r="DE1113" s="4">
        <f>SUM(CZ1113:DD1113)</f>
        <v>0</v>
      </c>
    </row>
    <row r="1114" spans="3:109">
      <c r="C1114" s="567"/>
      <c r="E1114" s="5" t="s">
        <v>60</v>
      </c>
      <c r="F1114" s="23">
        <f t="shared" ref="F1114:F1116" si="5119">CE1108</f>
        <v>0</v>
      </c>
      <c r="G1114" s="24">
        <f t="shared" si="5110"/>
        <v>0</v>
      </c>
      <c r="H1114" s="24">
        <f t="shared" si="5111"/>
        <v>0</v>
      </c>
      <c r="I1114" s="24">
        <f t="shared" si="5112"/>
        <v>0</v>
      </c>
      <c r="J1114" s="24">
        <f t="shared" si="5113"/>
        <v>0</v>
      </c>
      <c r="K1114" s="8">
        <f t="shared" ref="K1114:K1116" si="5120">SUM(F1114:J1114)</f>
        <v>0</v>
      </c>
      <c r="M1114" s="6"/>
      <c r="N1114" s="7"/>
      <c r="O1114" s="7"/>
      <c r="P1114" s="7"/>
      <c r="Q1114" s="7"/>
      <c r="R1114" s="8">
        <f t="shared" ref="R1114:R1116" si="5121">SUM(M1114:Q1114)</f>
        <v>0</v>
      </c>
      <c r="T1114" s="6"/>
      <c r="U1114" s="7"/>
      <c r="V1114" s="7"/>
      <c r="W1114" s="7"/>
      <c r="X1114" s="7"/>
      <c r="Y1114" s="8">
        <f t="shared" ref="Y1114:Y1116" si="5122">SUM(T1114:X1114)</f>
        <v>0</v>
      </c>
      <c r="AA1114" s="6"/>
      <c r="AB1114" s="7"/>
      <c r="AC1114" s="7"/>
      <c r="AD1114" s="7"/>
      <c r="AE1114" s="7"/>
      <c r="AF1114" s="8">
        <f>SUM(AA1114:AE1114)</f>
        <v>0</v>
      </c>
      <c r="AH1114" s="6"/>
      <c r="AI1114" s="7"/>
      <c r="AJ1114" s="7"/>
      <c r="AK1114" s="7"/>
      <c r="AL1114" s="7"/>
      <c r="AM1114" s="8">
        <f>SUM(AH1114:AL1114)</f>
        <v>0</v>
      </c>
      <c r="AO1114" s="6"/>
      <c r="AP1114" s="7"/>
      <c r="AQ1114" s="7"/>
      <c r="AR1114" s="7"/>
      <c r="AS1114" s="7"/>
      <c r="AT1114" s="8">
        <f>SUM(AO1114:AS1114)</f>
        <v>0</v>
      </c>
      <c r="AV1114" s="6"/>
      <c r="AW1114" s="7"/>
      <c r="AX1114" s="7"/>
      <c r="AY1114" s="7"/>
      <c r="AZ1114" s="7"/>
      <c r="BA1114" s="8">
        <f>SUM(AV1114:AZ1114)</f>
        <v>0</v>
      </c>
      <c r="BC1114" s="6"/>
      <c r="BD1114" s="7"/>
      <c r="BE1114" s="7"/>
      <c r="BF1114" s="7"/>
      <c r="BG1114" s="7"/>
      <c r="BH1114" s="8">
        <f>SUM(BC1114:BG1114)</f>
        <v>0</v>
      </c>
      <c r="BJ1114" s="6"/>
      <c r="BK1114" s="7"/>
      <c r="BL1114" s="7"/>
      <c r="BM1114" s="7"/>
      <c r="BN1114" s="7"/>
      <c r="BO1114" s="8">
        <f>SUM(BJ1114:BN1114)</f>
        <v>0</v>
      </c>
      <c r="BQ1114" s="6"/>
      <c r="BR1114" s="7"/>
      <c r="BS1114" s="7"/>
      <c r="BT1114" s="7"/>
      <c r="BU1114" s="7"/>
      <c r="BV1114" s="8">
        <f>SUM(BQ1114:BU1114)</f>
        <v>0</v>
      </c>
      <c r="BX1114" s="6"/>
      <c r="BY1114" s="7"/>
      <c r="BZ1114" s="7"/>
      <c r="CA1114" s="7"/>
      <c r="CB1114" s="7"/>
      <c r="CC1114" s="8">
        <f>SUM(BX1114:CB1114)</f>
        <v>0</v>
      </c>
      <c r="CE1114" s="28">
        <f t="shared" si="5114"/>
        <v>0</v>
      </c>
      <c r="CF1114" s="29">
        <f t="shared" si="5115"/>
        <v>0</v>
      </c>
      <c r="CG1114" s="29">
        <f t="shared" si="5116"/>
        <v>0</v>
      </c>
      <c r="CH1114" s="29">
        <f t="shared" si="5117"/>
        <v>0</v>
      </c>
      <c r="CI1114" s="29">
        <f t="shared" si="5118"/>
        <v>0</v>
      </c>
      <c r="CJ1114" s="8">
        <f>SUM(CE1114:CI1114)</f>
        <v>0</v>
      </c>
      <c r="CL1114" s="6"/>
      <c r="CM1114" s="7"/>
      <c r="CN1114" s="7"/>
      <c r="CO1114" s="7"/>
      <c r="CP1114" s="7"/>
      <c r="CQ1114" s="8">
        <f>SUM(CL1114:CP1114)</f>
        <v>0</v>
      </c>
      <c r="CS1114" s="6"/>
      <c r="CT1114" s="7"/>
      <c r="CU1114" s="7"/>
      <c r="CV1114" s="7"/>
      <c r="CW1114" s="7"/>
      <c r="CX1114" s="8">
        <f t="shared" ref="CX1114:CX1116" si="5123">SUM(CS1114:CW1114)</f>
        <v>0</v>
      </c>
      <c r="CZ1114" s="6"/>
      <c r="DA1114" s="7"/>
      <c r="DB1114" s="7"/>
      <c r="DC1114" s="7"/>
      <c r="DD1114" s="7"/>
      <c r="DE1114" s="8">
        <f t="shared" ref="DE1114:DE1116" si="5124">SUM(CZ1114:DD1114)</f>
        <v>0</v>
      </c>
    </row>
    <row r="1115" spans="3:109">
      <c r="C1115" s="567"/>
      <c r="E1115" s="5" t="s">
        <v>61</v>
      </c>
      <c r="F1115" s="23">
        <f t="shared" si="5119"/>
        <v>0</v>
      </c>
      <c r="G1115" s="24">
        <f t="shared" si="5110"/>
        <v>0</v>
      </c>
      <c r="H1115" s="24">
        <f t="shared" si="5111"/>
        <v>0</v>
      </c>
      <c r="I1115" s="24">
        <f t="shared" si="5112"/>
        <v>0</v>
      </c>
      <c r="J1115" s="24">
        <f t="shared" si="5113"/>
        <v>0</v>
      </c>
      <c r="K1115" s="8">
        <f t="shared" si="5120"/>
        <v>0</v>
      </c>
      <c r="M1115" s="6"/>
      <c r="N1115" s="7"/>
      <c r="O1115" s="7"/>
      <c r="P1115" s="7"/>
      <c r="Q1115" s="7"/>
      <c r="R1115" s="8">
        <f t="shared" si="5121"/>
        <v>0</v>
      </c>
      <c r="T1115" s="6"/>
      <c r="U1115" s="7"/>
      <c r="V1115" s="7"/>
      <c r="W1115" s="7"/>
      <c r="X1115" s="7"/>
      <c r="Y1115" s="8">
        <f t="shared" si="5122"/>
        <v>0</v>
      </c>
      <c r="AA1115" s="6"/>
      <c r="AB1115" s="7"/>
      <c r="AC1115" s="7"/>
      <c r="AD1115" s="7"/>
      <c r="AE1115" s="7"/>
      <c r="AF1115" s="8">
        <f>SUM(AA1115:AE1115)</f>
        <v>0</v>
      </c>
      <c r="AH1115" s="6"/>
      <c r="AI1115" s="7"/>
      <c r="AJ1115" s="7"/>
      <c r="AK1115" s="7"/>
      <c r="AL1115" s="7"/>
      <c r="AM1115" s="8">
        <f>SUM(AH1115:AL1115)</f>
        <v>0</v>
      </c>
      <c r="AO1115" s="6"/>
      <c r="AP1115" s="7"/>
      <c r="AQ1115" s="7"/>
      <c r="AR1115" s="7"/>
      <c r="AS1115" s="7"/>
      <c r="AT1115" s="8">
        <f>SUM(AO1115:AS1115)</f>
        <v>0</v>
      </c>
      <c r="AV1115" s="6"/>
      <c r="AW1115" s="7"/>
      <c r="AX1115" s="7"/>
      <c r="AY1115" s="7"/>
      <c r="AZ1115" s="7"/>
      <c r="BA1115" s="8">
        <f>SUM(AV1115:AZ1115)</f>
        <v>0</v>
      </c>
      <c r="BC1115" s="6"/>
      <c r="BD1115" s="7"/>
      <c r="BE1115" s="7"/>
      <c r="BF1115" s="7"/>
      <c r="BG1115" s="7"/>
      <c r="BH1115" s="8">
        <f>SUM(BC1115:BG1115)</f>
        <v>0</v>
      </c>
      <c r="BJ1115" s="6"/>
      <c r="BK1115" s="7"/>
      <c r="BL1115" s="7"/>
      <c r="BM1115" s="7"/>
      <c r="BN1115" s="7"/>
      <c r="BO1115" s="8">
        <f>SUM(BJ1115:BN1115)</f>
        <v>0</v>
      </c>
      <c r="BQ1115" s="6"/>
      <c r="BR1115" s="7"/>
      <c r="BS1115" s="7"/>
      <c r="BT1115" s="7"/>
      <c r="BU1115" s="7"/>
      <c r="BV1115" s="8">
        <f>SUM(BQ1115:BU1115)</f>
        <v>0</v>
      </c>
      <c r="BX1115" s="6"/>
      <c r="BY1115" s="7"/>
      <c r="BZ1115" s="7"/>
      <c r="CA1115" s="7"/>
      <c r="CB1115" s="7"/>
      <c r="CC1115" s="8">
        <f>SUM(BX1115:CB1115)</f>
        <v>0</v>
      </c>
      <c r="CE1115" s="28">
        <f t="shared" si="5114"/>
        <v>0</v>
      </c>
      <c r="CF1115" s="29">
        <f t="shared" si="5115"/>
        <v>0</v>
      </c>
      <c r="CG1115" s="29">
        <f t="shared" si="5116"/>
        <v>0</v>
      </c>
      <c r="CH1115" s="29">
        <f t="shared" si="5117"/>
        <v>0</v>
      </c>
      <c r="CI1115" s="29">
        <f t="shared" si="5118"/>
        <v>0</v>
      </c>
      <c r="CJ1115" s="8">
        <f>SUM(CE1115:CI1115)</f>
        <v>0</v>
      </c>
      <c r="CL1115" s="6"/>
      <c r="CM1115" s="7"/>
      <c r="CN1115" s="7"/>
      <c r="CO1115" s="7"/>
      <c r="CP1115" s="7"/>
      <c r="CQ1115" s="8">
        <f>SUM(CL1115:CP1115)</f>
        <v>0</v>
      </c>
      <c r="CS1115" s="6"/>
      <c r="CT1115" s="7"/>
      <c r="CU1115" s="7"/>
      <c r="CV1115" s="7"/>
      <c r="CW1115" s="7"/>
      <c r="CX1115" s="8">
        <f t="shared" si="5123"/>
        <v>0</v>
      </c>
      <c r="CZ1115" s="6"/>
      <c r="DA1115" s="7"/>
      <c r="DB1115" s="7"/>
      <c r="DC1115" s="7"/>
      <c r="DD1115" s="7"/>
      <c r="DE1115" s="8">
        <f t="shared" si="5124"/>
        <v>0</v>
      </c>
    </row>
    <row r="1116" spans="3:109" ht="14" thickBot="1">
      <c r="C1116" s="567"/>
      <c r="E1116" s="5" t="s">
        <v>62</v>
      </c>
      <c r="F1116" s="23">
        <f t="shared" si="5119"/>
        <v>0</v>
      </c>
      <c r="G1116" s="24">
        <f t="shared" si="5110"/>
        <v>0</v>
      </c>
      <c r="H1116" s="24">
        <f t="shared" si="5111"/>
        <v>0</v>
      </c>
      <c r="I1116" s="24">
        <f t="shared" si="5112"/>
        <v>0</v>
      </c>
      <c r="J1116" s="24">
        <f t="shared" si="5113"/>
        <v>0</v>
      </c>
      <c r="K1116" s="8">
        <f t="shared" si="5120"/>
        <v>0</v>
      </c>
      <c r="M1116" s="6"/>
      <c r="N1116" s="7"/>
      <c r="O1116" s="7"/>
      <c r="P1116" s="7"/>
      <c r="Q1116" s="7"/>
      <c r="R1116" s="8">
        <f t="shared" si="5121"/>
        <v>0</v>
      </c>
      <c r="T1116" s="6"/>
      <c r="U1116" s="7"/>
      <c r="V1116" s="7"/>
      <c r="W1116" s="7"/>
      <c r="X1116" s="7"/>
      <c r="Y1116" s="8">
        <f t="shared" si="5122"/>
        <v>0</v>
      </c>
      <c r="AA1116" s="6"/>
      <c r="AB1116" s="7"/>
      <c r="AC1116" s="7"/>
      <c r="AD1116" s="7"/>
      <c r="AE1116" s="7"/>
      <c r="AF1116" s="8">
        <f>SUM(AA1116:AE1116)</f>
        <v>0</v>
      </c>
      <c r="AH1116" s="6"/>
      <c r="AI1116" s="7"/>
      <c r="AJ1116" s="7"/>
      <c r="AK1116" s="7"/>
      <c r="AL1116" s="7"/>
      <c r="AM1116" s="8">
        <f>SUM(AH1116:AL1116)</f>
        <v>0</v>
      </c>
      <c r="AO1116" s="6"/>
      <c r="AP1116" s="7"/>
      <c r="AQ1116" s="7"/>
      <c r="AR1116" s="7"/>
      <c r="AS1116" s="7"/>
      <c r="AT1116" s="8">
        <f>SUM(AO1116:AS1116)</f>
        <v>0</v>
      </c>
      <c r="AV1116" s="6"/>
      <c r="AW1116" s="7"/>
      <c r="AX1116" s="7"/>
      <c r="AY1116" s="7"/>
      <c r="AZ1116" s="7"/>
      <c r="BA1116" s="8">
        <f>SUM(AV1116:AZ1116)</f>
        <v>0</v>
      </c>
      <c r="BC1116" s="6"/>
      <c r="BD1116" s="7"/>
      <c r="BE1116" s="7"/>
      <c r="BF1116" s="7"/>
      <c r="BG1116" s="7"/>
      <c r="BH1116" s="8">
        <f>SUM(BC1116:BG1116)</f>
        <v>0</v>
      </c>
      <c r="BJ1116" s="6"/>
      <c r="BK1116" s="7"/>
      <c r="BL1116" s="7"/>
      <c r="BM1116" s="7"/>
      <c r="BN1116" s="7"/>
      <c r="BO1116" s="8">
        <f>SUM(BJ1116:BN1116)</f>
        <v>0</v>
      </c>
      <c r="BQ1116" s="6"/>
      <c r="BR1116" s="7"/>
      <c r="BS1116" s="7"/>
      <c r="BT1116" s="7"/>
      <c r="BU1116" s="7"/>
      <c r="BV1116" s="8">
        <f>SUM(BQ1116:BU1116)</f>
        <v>0</v>
      </c>
      <c r="BX1116" s="6"/>
      <c r="BY1116" s="7"/>
      <c r="BZ1116" s="7"/>
      <c r="CA1116" s="7"/>
      <c r="CB1116" s="7"/>
      <c r="CC1116" s="8">
        <f>SUM(BX1116:CB1116)</f>
        <v>0</v>
      </c>
      <c r="CE1116" s="493">
        <f t="shared" si="5114"/>
        <v>0</v>
      </c>
      <c r="CF1116" s="494">
        <f t="shared" si="5115"/>
        <v>0</v>
      </c>
      <c r="CG1116" s="494">
        <f t="shared" si="5116"/>
        <v>0</v>
      </c>
      <c r="CH1116" s="494">
        <f t="shared" si="5117"/>
        <v>0</v>
      </c>
      <c r="CI1116" s="494">
        <f t="shared" si="5118"/>
        <v>0</v>
      </c>
      <c r="CJ1116" s="495">
        <f>SUM(CE1116:CI1116)</f>
        <v>0</v>
      </c>
      <c r="CL1116" s="6"/>
      <c r="CM1116" s="7"/>
      <c r="CN1116" s="7"/>
      <c r="CO1116" s="7"/>
      <c r="CP1116" s="7"/>
      <c r="CQ1116" s="8">
        <f>SUM(CL1116:CP1116)</f>
        <v>0</v>
      </c>
      <c r="CS1116" s="6"/>
      <c r="CT1116" s="7"/>
      <c r="CU1116" s="7"/>
      <c r="CV1116" s="7"/>
      <c r="CW1116" s="7"/>
      <c r="CX1116" s="8">
        <f t="shared" si="5123"/>
        <v>0</v>
      </c>
      <c r="CZ1116" s="6"/>
      <c r="DA1116" s="7"/>
      <c r="DB1116" s="7"/>
      <c r="DC1116" s="7"/>
      <c r="DD1116" s="7"/>
      <c r="DE1116" s="8">
        <f t="shared" si="5124"/>
        <v>0</v>
      </c>
    </row>
    <row r="1117" spans="3:109" ht="14" thickBot="1">
      <c r="C1117" s="554"/>
      <c r="E1117" s="9"/>
      <c r="F1117" s="10">
        <f>SUM(F1113:F1116)</f>
        <v>0</v>
      </c>
      <c r="G1117" s="11">
        <f t="shared" ref="G1117:J1117" si="5125">SUM(G1113:G1116)</f>
        <v>0</v>
      </c>
      <c r="H1117" s="11">
        <f t="shared" si="5125"/>
        <v>0</v>
      </c>
      <c r="I1117" s="11">
        <f t="shared" si="5125"/>
        <v>0</v>
      </c>
      <c r="J1117" s="11">
        <f t="shared" si="5125"/>
        <v>0</v>
      </c>
      <c r="K1117" s="25">
        <f>SUM(K1113:K1116)</f>
        <v>0</v>
      </c>
      <c r="M1117" s="10">
        <f>SUM(M1113:M1116)</f>
        <v>0</v>
      </c>
      <c r="N1117" s="11">
        <f t="shared" ref="N1117:Q1117" si="5126">SUM(N1113:N1116)</f>
        <v>0</v>
      </c>
      <c r="O1117" s="11">
        <f t="shared" si="5126"/>
        <v>0</v>
      </c>
      <c r="P1117" s="11">
        <f t="shared" si="5126"/>
        <v>0</v>
      </c>
      <c r="Q1117" s="11">
        <f t="shared" si="5126"/>
        <v>0</v>
      </c>
      <c r="R1117" s="25">
        <f>SUM(R1113:R1116)</f>
        <v>0</v>
      </c>
      <c r="T1117" s="10">
        <f>SUM(T1113:T1116)</f>
        <v>0</v>
      </c>
      <c r="U1117" s="11">
        <f t="shared" ref="U1117:X1117" si="5127">SUM(U1113:U1116)</f>
        <v>0</v>
      </c>
      <c r="V1117" s="11">
        <f t="shared" si="5127"/>
        <v>0</v>
      </c>
      <c r="W1117" s="11">
        <f t="shared" si="5127"/>
        <v>0</v>
      </c>
      <c r="X1117" s="11">
        <f t="shared" si="5127"/>
        <v>0</v>
      </c>
      <c r="Y1117" s="25">
        <f>SUM(Y1113:Y1116)</f>
        <v>0</v>
      </c>
      <c r="AA1117" s="10">
        <f>SUM(AA1113:AA1116)</f>
        <v>0</v>
      </c>
      <c r="AB1117" s="11">
        <f t="shared" ref="AB1117:AE1117" si="5128">SUM(AB1113:AB1116)</f>
        <v>0</v>
      </c>
      <c r="AC1117" s="11">
        <f t="shared" si="5128"/>
        <v>0</v>
      </c>
      <c r="AD1117" s="11">
        <f t="shared" si="5128"/>
        <v>0</v>
      </c>
      <c r="AE1117" s="11">
        <f t="shared" si="5128"/>
        <v>0</v>
      </c>
      <c r="AF1117" s="25">
        <f>SUM(AF1113:AF1116)</f>
        <v>0</v>
      </c>
      <c r="AH1117" s="10">
        <f t="shared" ref="AH1117:AM1117" si="5129">SUM(AH1113:AH1116)</f>
        <v>0</v>
      </c>
      <c r="AI1117" s="11">
        <f t="shared" si="5129"/>
        <v>0</v>
      </c>
      <c r="AJ1117" s="11">
        <f t="shared" si="5129"/>
        <v>0</v>
      </c>
      <c r="AK1117" s="11">
        <f t="shared" si="5129"/>
        <v>0</v>
      </c>
      <c r="AL1117" s="11">
        <f t="shared" si="5129"/>
        <v>0</v>
      </c>
      <c r="AM1117" s="25">
        <f t="shared" si="5129"/>
        <v>0</v>
      </c>
      <c r="AO1117" s="10">
        <f t="shared" ref="AO1117:AT1117" si="5130">SUM(AO1113:AO1116)</f>
        <v>0</v>
      </c>
      <c r="AP1117" s="11">
        <f t="shared" si="5130"/>
        <v>0</v>
      </c>
      <c r="AQ1117" s="11">
        <f t="shared" si="5130"/>
        <v>0</v>
      </c>
      <c r="AR1117" s="11">
        <f t="shared" si="5130"/>
        <v>0</v>
      </c>
      <c r="AS1117" s="11">
        <f t="shared" si="5130"/>
        <v>0</v>
      </c>
      <c r="AT1117" s="25">
        <f t="shared" si="5130"/>
        <v>0</v>
      </c>
      <c r="AV1117" s="10">
        <f t="shared" ref="AV1117:BA1117" si="5131">SUM(AV1113:AV1116)</f>
        <v>0</v>
      </c>
      <c r="AW1117" s="11">
        <f t="shared" si="5131"/>
        <v>0</v>
      </c>
      <c r="AX1117" s="11">
        <f t="shared" si="5131"/>
        <v>0</v>
      </c>
      <c r="AY1117" s="11">
        <f t="shared" si="5131"/>
        <v>0</v>
      </c>
      <c r="AZ1117" s="11">
        <f t="shared" si="5131"/>
        <v>0</v>
      </c>
      <c r="BA1117" s="25">
        <f t="shared" si="5131"/>
        <v>0</v>
      </c>
      <c r="BC1117" s="10">
        <f t="shared" ref="BC1117:BH1117" si="5132">SUM(BC1113:BC1116)</f>
        <v>0</v>
      </c>
      <c r="BD1117" s="11">
        <f t="shared" si="5132"/>
        <v>0</v>
      </c>
      <c r="BE1117" s="11">
        <f t="shared" si="5132"/>
        <v>0</v>
      </c>
      <c r="BF1117" s="11">
        <f t="shared" si="5132"/>
        <v>0</v>
      </c>
      <c r="BG1117" s="11">
        <f t="shared" si="5132"/>
        <v>0</v>
      </c>
      <c r="BH1117" s="25">
        <f t="shared" si="5132"/>
        <v>0</v>
      </c>
      <c r="BJ1117" s="10">
        <f t="shared" ref="BJ1117:BO1117" si="5133">SUM(BJ1113:BJ1116)</f>
        <v>0</v>
      </c>
      <c r="BK1117" s="11">
        <f t="shared" si="5133"/>
        <v>0</v>
      </c>
      <c r="BL1117" s="11">
        <f t="shared" si="5133"/>
        <v>0</v>
      </c>
      <c r="BM1117" s="11">
        <f t="shared" si="5133"/>
        <v>0</v>
      </c>
      <c r="BN1117" s="11">
        <f t="shared" si="5133"/>
        <v>0</v>
      </c>
      <c r="BO1117" s="25">
        <f t="shared" si="5133"/>
        <v>0</v>
      </c>
      <c r="BQ1117" s="10">
        <f t="shared" ref="BQ1117:BV1117" si="5134">SUM(BQ1113:BQ1116)</f>
        <v>0</v>
      </c>
      <c r="BR1117" s="11">
        <f t="shared" si="5134"/>
        <v>0</v>
      </c>
      <c r="BS1117" s="11">
        <f t="shared" si="5134"/>
        <v>0</v>
      </c>
      <c r="BT1117" s="11">
        <f t="shared" si="5134"/>
        <v>0</v>
      </c>
      <c r="BU1117" s="11">
        <f t="shared" si="5134"/>
        <v>0</v>
      </c>
      <c r="BV1117" s="25">
        <f t="shared" si="5134"/>
        <v>0</v>
      </c>
      <c r="BX1117" s="10">
        <f t="shared" ref="BX1117:CC1117" si="5135">SUM(BX1113:BX1116)</f>
        <v>0</v>
      </c>
      <c r="BY1117" s="11">
        <f t="shared" si="5135"/>
        <v>0</v>
      </c>
      <c r="BZ1117" s="11">
        <f t="shared" si="5135"/>
        <v>0</v>
      </c>
      <c r="CA1117" s="11">
        <f t="shared" si="5135"/>
        <v>0</v>
      </c>
      <c r="CB1117" s="11">
        <f t="shared" si="5135"/>
        <v>0</v>
      </c>
      <c r="CC1117" s="25">
        <f t="shared" si="5135"/>
        <v>0</v>
      </c>
      <c r="CE1117" s="62">
        <f t="shared" ref="CE1117:CJ1117" si="5136">SUM(CE1113:CE1116)</f>
        <v>0</v>
      </c>
      <c r="CF1117" s="63">
        <f t="shared" si="5136"/>
        <v>0</v>
      </c>
      <c r="CG1117" s="63">
        <f t="shared" si="5136"/>
        <v>0</v>
      </c>
      <c r="CH1117" s="63">
        <f t="shared" si="5136"/>
        <v>0</v>
      </c>
      <c r="CI1117" s="63">
        <f t="shared" si="5136"/>
        <v>0</v>
      </c>
      <c r="CJ1117" s="25">
        <f t="shared" si="5136"/>
        <v>0</v>
      </c>
      <c r="CL1117" s="10">
        <f>SUM(CL1113:CL1116)</f>
        <v>0</v>
      </c>
      <c r="CM1117" s="11">
        <f t="shared" ref="CM1117:CQ1117" si="5137">SUM(CM1113:CM1116)</f>
        <v>0</v>
      </c>
      <c r="CN1117" s="11">
        <f t="shared" si="5137"/>
        <v>0</v>
      </c>
      <c r="CO1117" s="11">
        <f t="shared" si="5137"/>
        <v>0</v>
      </c>
      <c r="CP1117" s="11">
        <f t="shared" si="5137"/>
        <v>0</v>
      </c>
      <c r="CQ1117" s="25">
        <f t="shared" si="5137"/>
        <v>0</v>
      </c>
      <c r="CS1117" s="10">
        <f>SUM(CS1113:CS1116)</f>
        <v>0</v>
      </c>
      <c r="CT1117" s="11">
        <f t="shared" ref="CT1117:CW1117" si="5138">SUM(CT1113:CT1116)</f>
        <v>0</v>
      </c>
      <c r="CU1117" s="11">
        <f t="shared" si="5138"/>
        <v>0</v>
      </c>
      <c r="CV1117" s="11">
        <f t="shared" si="5138"/>
        <v>0</v>
      </c>
      <c r="CW1117" s="11">
        <f t="shared" si="5138"/>
        <v>0</v>
      </c>
      <c r="CX1117" s="25">
        <f>SUM(CX1113:CX1116)</f>
        <v>0</v>
      </c>
      <c r="CZ1117" s="10">
        <f>SUM(CZ1113:CZ1116)</f>
        <v>0</v>
      </c>
      <c r="DA1117" s="11">
        <f t="shared" ref="DA1117:DD1117" si="5139">SUM(DA1113:DA1116)</f>
        <v>0</v>
      </c>
      <c r="DB1117" s="11">
        <f t="shared" si="5139"/>
        <v>0</v>
      </c>
      <c r="DC1117" s="11">
        <f t="shared" si="5139"/>
        <v>0</v>
      </c>
      <c r="DD1117" s="11">
        <f t="shared" si="5139"/>
        <v>0</v>
      </c>
      <c r="DE1117" s="25">
        <f>SUM(DE1113:DE1116)</f>
        <v>0</v>
      </c>
    </row>
    <row r="1118" spans="3:109" ht="10.4" customHeight="1" thickBot="1"/>
    <row r="1119" spans="3:109">
      <c r="C1119" s="553">
        <v>2028</v>
      </c>
      <c r="E1119" s="1" t="s">
        <v>59</v>
      </c>
      <c r="F1119" s="21">
        <f>CE1113</f>
        <v>0</v>
      </c>
      <c r="G1119" s="22">
        <f t="shared" ref="G1119:G1122" si="5140">CF1113</f>
        <v>0</v>
      </c>
      <c r="H1119" s="22">
        <f t="shared" ref="H1119:H1122" si="5141">CG1113</f>
        <v>0</v>
      </c>
      <c r="I1119" s="22">
        <f t="shared" ref="I1119:I1122" si="5142">CH1113</f>
        <v>0</v>
      </c>
      <c r="J1119" s="22">
        <f t="shared" ref="J1119:J1122" si="5143">CI1113</f>
        <v>0</v>
      </c>
      <c r="K1119" s="4">
        <f>SUM(F1119:J1119)</f>
        <v>0</v>
      </c>
      <c r="M1119" s="2"/>
      <c r="N1119" s="3"/>
      <c r="O1119" s="3"/>
      <c r="P1119" s="3"/>
      <c r="Q1119" s="3"/>
      <c r="R1119" s="4">
        <f>SUM(M1119:Q1119)</f>
        <v>0</v>
      </c>
      <c r="T1119" s="2"/>
      <c r="U1119" s="3"/>
      <c r="V1119" s="3"/>
      <c r="W1119" s="3"/>
      <c r="X1119" s="3"/>
      <c r="Y1119" s="4">
        <f>SUM(T1119:X1119)</f>
        <v>0</v>
      </c>
      <c r="AA1119" s="2"/>
      <c r="AB1119" s="3"/>
      <c r="AC1119" s="3"/>
      <c r="AD1119" s="3"/>
      <c r="AE1119" s="3"/>
      <c r="AF1119" s="4">
        <f>SUM(AA1119:AE1119)</f>
        <v>0</v>
      </c>
      <c r="AH1119" s="2"/>
      <c r="AI1119" s="3"/>
      <c r="AJ1119" s="3"/>
      <c r="AK1119" s="3"/>
      <c r="AL1119" s="3"/>
      <c r="AM1119" s="4">
        <f>SUM(AH1119:AL1119)</f>
        <v>0</v>
      </c>
      <c r="AO1119" s="2"/>
      <c r="AP1119" s="3"/>
      <c r="AQ1119" s="3"/>
      <c r="AR1119" s="3"/>
      <c r="AS1119" s="3"/>
      <c r="AT1119" s="4">
        <f>SUM(AO1119:AS1119)</f>
        <v>0</v>
      </c>
      <c r="AV1119" s="2"/>
      <c r="AW1119" s="3"/>
      <c r="AX1119" s="3"/>
      <c r="AY1119" s="3"/>
      <c r="AZ1119" s="3"/>
      <c r="BA1119" s="4">
        <f>SUM(AV1119:AZ1119)</f>
        <v>0</v>
      </c>
      <c r="BC1119" s="2"/>
      <c r="BD1119" s="3"/>
      <c r="BE1119" s="3"/>
      <c r="BF1119" s="3"/>
      <c r="BG1119" s="3"/>
      <c r="BH1119" s="4">
        <f>SUM(BC1119:BG1119)</f>
        <v>0</v>
      </c>
      <c r="BJ1119" s="2"/>
      <c r="BK1119" s="3"/>
      <c r="BL1119" s="3"/>
      <c r="BM1119" s="3"/>
      <c r="BN1119" s="3"/>
      <c r="BO1119" s="4">
        <f>SUM(BJ1119:BN1119)</f>
        <v>0</v>
      </c>
      <c r="BQ1119" s="2"/>
      <c r="BR1119" s="3"/>
      <c r="BS1119" s="3"/>
      <c r="BT1119" s="3"/>
      <c r="BU1119" s="3"/>
      <c r="BV1119" s="4">
        <f>SUM(BQ1119:BU1119)</f>
        <v>0</v>
      </c>
      <c r="BX1119" s="2"/>
      <c r="BY1119" s="3"/>
      <c r="BZ1119" s="3"/>
      <c r="CA1119" s="3"/>
      <c r="CB1119" s="3"/>
      <c r="CC1119" s="4">
        <f>SUM(BX1119:CB1119)</f>
        <v>0</v>
      </c>
      <c r="CE1119" s="26">
        <f t="shared" ref="CE1119:CE1122" si="5144">F1119+M1119+T1119+AA1119+AH1119+AO1119+AV1119+BC1119+BJ1119+BQ1119+BX1119</f>
        <v>0</v>
      </c>
      <c r="CF1119" s="27">
        <f t="shared" ref="CF1119:CF1122" si="5145">G1119+N1119+U1119+AB1119+AI1119+AP1119+AW1119+BD1119+BK1119+BR1119+BY1119</f>
        <v>0</v>
      </c>
      <c r="CG1119" s="27">
        <f t="shared" ref="CG1119:CG1122" si="5146">H1119+O1119+V1119+AC1119+AJ1119+AQ1119+AX1119+BE1119+BL1119+BS1119+BZ1119</f>
        <v>0</v>
      </c>
      <c r="CH1119" s="27">
        <f t="shared" ref="CH1119:CH1122" si="5147">I1119+P1119+W1119+AD1119+AK1119+AR1119+AY1119+BF1119+BM1119+BT1119+CA1119</f>
        <v>0</v>
      </c>
      <c r="CI1119" s="27">
        <f t="shared" ref="CI1119:CI1122" si="5148">J1119+Q1119+X1119+AE1119+AL1119+AS1119+AZ1119+BG1119+BN1119+BU1119+CB1119</f>
        <v>0</v>
      </c>
      <c r="CJ1119" s="4">
        <f>SUM(CE1119:CI1119)</f>
        <v>0</v>
      </c>
      <c r="CL1119" s="2"/>
      <c r="CM1119" s="3"/>
      <c r="CN1119" s="3"/>
      <c r="CO1119" s="3"/>
      <c r="CP1119" s="3"/>
      <c r="CQ1119" s="4">
        <f>SUM(CL1119:CP1119)</f>
        <v>0</v>
      </c>
      <c r="CS1119" s="2"/>
      <c r="CT1119" s="3"/>
      <c r="CU1119" s="3"/>
      <c r="CV1119" s="3"/>
      <c r="CW1119" s="3"/>
      <c r="CX1119" s="4">
        <f>SUM(CS1119:CW1119)</f>
        <v>0</v>
      </c>
      <c r="CZ1119" s="2"/>
      <c r="DA1119" s="3"/>
      <c r="DB1119" s="3"/>
      <c r="DC1119" s="3"/>
      <c r="DD1119" s="3"/>
      <c r="DE1119" s="4">
        <f>SUM(CZ1119:DD1119)</f>
        <v>0</v>
      </c>
    </row>
    <row r="1120" spans="3:109">
      <c r="C1120" s="567"/>
      <c r="E1120" s="5" t="s">
        <v>60</v>
      </c>
      <c r="F1120" s="23">
        <f t="shared" ref="F1120:F1122" si="5149">CE1114</f>
        <v>0</v>
      </c>
      <c r="G1120" s="24">
        <f t="shared" si="5140"/>
        <v>0</v>
      </c>
      <c r="H1120" s="24">
        <f t="shared" si="5141"/>
        <v>0</v>
      </c>
      <c r="I1120" s="24">
        <f t="shared" si="5142"/>
        <v>0</v>
      </c>
      <c r="J1120" s="24">
        <f t="shared" si="5143"/>
        <v>0</v>
      </c>
      <c r="K1120" s="8">
        <f t="shared" ref="K1120:K1122" si="5150">SUM(F1120:J1120)</f>
        <v>0</v>
      </c>
      <c r="M1120" s="6"/>
      <c r="N1120" s="7"/>
      <c r="O1120" s="7"/>
      <c r="P1120" s="7"/>
      <c r="Q1120" s="7"/>
      <c r="R1120" s="8">
        <f t="shared" ref="R1120:R1122" si="5151">SUM(M1120:Q1120)</f>
        <v>0</v>
      </c>
      <c r="T1120" s="6"/>
      <c r="U1120" s="7"/>
      <c r="V1120" s="7"/>
      <c r="W1120" s="7"/>
      <c r="X1120" s="7"/>
      <c r="Y1120" s="8">
        <f t="shared" ref="Y1120:Y1122" si="5152">SUM(T1120:X1120)</f>
        <v>0</v>
      </c>
      <c r="AA1120" s="6"/>
      <c r="AB1120" s="7"/>
      <c r="AC1120" s="7"/>
      <c r="AD1120" s="7"/>
      <c r="AE1120" s="7"/>
      <c r="AF1120" s="8">
        <f>SUM(AA1120:AE1120)</f>
        <v>0</v>
      </c>
      <c r="AH1120" s="6"/>
      <c r="AI1120" s="7"/>
      <c r="AJ1120" s="7"/>
      <c r="AK1120" s="7"/>
      <c r="AL1120" s="7"/>
      <c r="AM1120" s="8">
        <f>SUM(AH1120:AL1120)</f>
        <v>0</v>
      </c>
      <c r="AO1120" s="6"/>
      <c r="AP1120" s="7"/>
      <c r="AQ1120" s="7"/>
      <c r="AR1120" s="7"/>
      <c r="AS1120" s="7"/>
      <c r="AT1120" s="8">
        <f>SUM(AO1120:AS1120)</f>
        <v>0</v>
      </c>
      <c r="AV1120" s="6"/>
      <c r="AW1120" s="7"/>
      <c r="AX1120" s="7"/>
      <c r="AY1120" s="7"/>
      <c r="AZ1120" s="7"/>
      <c r="BA1120" s="8">
        <f>SUM(AV1120:AZ1120)</f>
        <v>0</v>
      </c>
      <c r="BC1120" s="6"/>
      <c r="BD1120" s="7"/>
      <c r="BE1120" s="7"/>
      <c r="BF1120" s="7"/>
      <c r="BG1120" s="7"/>
      <c r="BH1120" s="8">
        <f>SUM(BC1120:BG1120)</f>
        <v>0</v>
      </c>
      <c r="BJ1120" s="6"/>
      <c r="BK1120" s="7"/>
      <c r="BL1120" s="7"/>
      <c r="BM1120" s="7"/>
      <c r="BN1120" s="7"/>
      <c r="BO1120" s="8">
        <f>SUM(BJ1120:BN1120)</f>
        <v>0</v>
      </c>
      <c r="BQ1120" s="6"/>
      <c r="BR1120" s="7"/>
      <c r="BS1120" s="7"/>
      <c r="BT1120" s="7"/>
      <c r="BU1120" s="7"/>
      <c r="BV1120" s="8">
        <f>SUM(BQ1120:BU1120)</f>
        <v>0</v>
      </c>
      <c r="BX1120" s="6"/>
      <c r="BY1120" s="7"/>
      <c r="BZ1120" s="7"/>
      <c r="CA1120" s="7"/>
      <c r="CB1120" s="7"/>
      <c r="CC1120" s="8">
        <f>SUM(BX1120:CB1120)</f>
        <v>0</v>
      </c>
      <c r="CE1120" s="28">
        <f t="shared" si="5144"/>
        <v>0</v>
      </c>
      <c r="CF1120" s="29">
        <f t="shared" si="5145"/>
        <v>0</v>
      </c>
      <c r="CG1120" s="29">
        <f t="shared" si="5146"/>
        <v>0</v>
      </c>
      <c r="CH1120" s="29">
        <f t="shared" si="5147"/>
        <v>0</v>
      </c>
      <c r="CI1120" s="29">
        <f t="shared" si="5148"/>
        <v>0</v>
      </c>
      <c r="CJ1120" s="8">
        <f>SUM(CE1120:CI1120)</f>
        <v>0</v>
      </c>
      <c r="CL1120" s="6"/>
      <c r="CM1120" s="7"/>
      <c r="CN1120" s="7"/>
      <c r="CO1120" s="7"/>
      <c r="CP1120" s="7"/>
      <c r="CQ1120" s="8">
        <f>SUM(CL1120:CP1120)</f>
        <v>0</v>
      </c>
      <c r="CS1120" s="6"/>
      <c r="CT1120" s="7"/>
      <c r="CU1120" s="7"/>
      <c r="CV1120" s="7"/>
      <c r="CW1120" s="7"/>
      <c r="CX1120" s="8">
        <f t="shared" ref="CX1120:CX1122" si="5153">SUM(CS1120:CW1120)</f>
        <v>0</v>
      </c>
      <c r="CZ1120" s="6"/>
      <c r="DA1120" s="7"/>
      <c r="DB1120" s="7"/>
      <c r="DC1120" s="7"/>
      <c r="DD1120" s="7"/>
      <c r="DE1120" s="8">
        <f t="shared" ref="DE1120:DE1122" si="5154">SUM(CZ1120:DD1120)</f>
        <v>0</v>
      </c>
    </row>
    <row r="1121" spans="2:110">
      <c r="C1121" s="567"/>
      <c r="E1121" s="5" t="s">
        <v>61</v>
      </c>
      <c r="F1121" s="23">
        <f t="shared" si="5149"/>
        <v>0</v>
      </c>
      <c r="G1121" s="24">
        <f t="shared" si="5140"/>
        <v>0</v>
      </c>
      <c r="H1121" s="24">
        <f t="shared" si="5141"/>
        <v>0</v>
      </c>
      <c r="I1121" s="24">
        <f t="shared" si="5142"/>
        <v>0</v>
      </c>
      <c r="J1121" s="24">
        <f t="shared" si="5143"/>
        <v>0</v>
      </c>
      <c r="K1121" s="8">
        <f t="shared" si="5150"/>
        <v>0</v>
      </c>
      <c r="M1121" s="6"/>
      <c r="N1121" s="7"/>
      <c r="O1121" s="7"/>
      <c r="P1121" s="7"/>
      <c r="Q1121" s="7"/>
      <c r="R1121" s="8">
        <f t="shared" si="5151"/>
        <v>0</v>
      </c>
      <c r="T1121" s="6"/>
      <c r="U1121" s="7"/>
      <c r="V1121" s="7"/>
      <c r="W1121" s="7"/>
      <c r="X1121" s="7"/>
      <c r="Y1121" s="8">
        <f t="shared" si="5152"/>
        <v>0</v>
      </c>
      <c r="AA1121" s="6"/>
      <c r="AB1121" s="7"/>
      <c r="AC1121" s="7"/>
      <c r="AD1121" s="7"/>
      <c r="AE1121" s="7"/>
      <c r="AF1121" s="8">
        <f>SUM(AA1121:AE1121)</f>
        <v>0</v>
      </c>
      <c r="AH1121" s="6"/>
      <c r="AI1121" s="7"/>
      <c r="AJ1121" s="7"/>
      <c r="AK1121" s="7"/>
      <c r="AL1121" s="7"/>
      <c r="AM1121" s="8">
        <f>SUM(AH1121:AL1121)</f>
        <v>0</v>
      </c>
      <c r="AO1121" s="6"/>
      <c r="AP1121" s="7"/>
      <c r="AQ1121" s="7"/>
      <c r="AR1121" s="7"/>
      <c r="AS1121" s="7"/>
      <c r="AT1121" s="8">
        <f>SUM(AO1121:AS1121)</f>
        <v>0</v>
      </c>
      <c r="AV1121" s="6"/>
      <c r="AW1121" s="7"/>
      <c r="AX1121" s="7"/>
      <c r="AY1121" s="7"/>
      <c r="AZ1121" s="7"/>
      <c r="BA1121" s="8">
        <f>SUM(AV1121:AZ1121)</f>
        <v>0</v>
      </c>
      <c r="BC1121" s="6"/>
      <c r="BD1121" s="7"/>
      <c r="BE1121" s="7"/>
      <c r="BF1121" s="7"/>
      <c r="BG1121" s="7"/>
      <c r="BH1121" s="8">
        <f>SUM(BC1121:BG1121)</f>
        <v>0</v>
      </c>
      <c r="BJ1121" s="6"/>
      <c r="BK1121" s="7"/>
      <c r="BL1121" s="7"/>
      <c r="BM1121" s="7"/>
      <c r="BN1121" s="7"/>
      <c r="BO1121" s="8">
        <f>SUM(BJ1121:BN1121)</f>
        <v>0</v>
      </c>
      <c r="BQ1121" s="6"/>
      <c r="BR1121" s="7"/>
      <c r="BS1121" s="7"/>
      <c r="BT1121" s="7"/>
      <c r="BU1121" s="7"/>
      <c r="BV1121" s="8">
        <f>SUM(BQ1121:BU1121)</f>
        <v>0</v>
      </c>
      <c r="BX1121" s="6"/>
      <c r="BY1121" s="7"/>
      <c r="BZ1121" s="7"/>
      <c r="CA1121" s="7"/>
      <c r="CB1121" s="7"/>
      <c r="CC1121" s="8">
        <f>SUM(BX1121:CB1121)</f>
        <v>0</v>
      </c>
      <c r="CE1121" s="28">
        <f t="shared" si="5144"/>
        <v>0</v>
      </c>
      <c r="CF1121" s="29">
        <f t="shared" si="5145"/>
        <v>0</v>
      </c>
      <c r="CG1121" s="29">
        <f t="shared" si="5146"/>
        <v>0</v>
      </c>
      <c r="CH1121" s="29">
        <f t="shared" si="5147"/>
        <v>0</v>
      </c>
      <c r="CI1121" s="29">
        <f t="shared" si="5148"/>
        <v>0</v>
      </c>
      <c r="CJ1121" s="8">
        <f>SUM(CE1121:CI1121)</f>
        <v>0</v>
      </c>
      <c r="CL1121" s="6"/>
      <c r="CM1121" s="7"/>
      <c r="CN1121" s="7"/>
      <c r="CO1121" s="7"/>
      <c r="CP1121" s="7"/>
      <c r="CQ1121" s="8">
        <f>SUM(CL1121:CP1121)</f>
        <v>0</v>
      </c>
      <c r="CS1121" s="6"/>
      <c r="CT1121" s="7"/>
      <c r="CU1121" s="7"/>
      <c r="CV1121" s="7"/>
      <c r="CW1121" s="7"/>
      <c r="CX1121" s="8">
        <f t="shared" si="5153"/>
        <v>0</v>
      </c>
      <c r="CZ1121" s="6"/>
      <c r="DA1121" s="7"/>
      <c r="DB1121" s="7"/>
      <c r="DC1121" s="7"/>
      <c r="DD1121" s="7"/>
      <c r="DE1121" s="8">
        <f t="shared" si="5154"/>
        <v>0</v>
      </c>
    </row>
    <row r="1122" spans="2:110" ht="14" thickBot="1">
      <c r="C1122" s="567"/>
      <c r="E1122" s="5" t="s">
        <v>62</v>
      </c>
      <c r="F1122" s="23">
        <f t="shared" si="5149"/>
        <v>0</v>
      </c>
      <c r="G1122" s="24">
        <f t="shared" si="5140"/>
        <v>0</v>
      </c>
      <c r="H1122" s="24">
        <f t="shared" si="5141"/>
        <v>0</v>
      </c>
      <c r="I1122" s="24">
        <f t="shared" si="5142"/>
        <v>0</v>
      </c>
      <c r="J1122" s="24">
        <f t="shared" si="5143"/>
        <v>0</v>
      </c>
      <c r="K1122" s="8">
        <f t="shared" si="5150"/>
        <v>0</v>
      </c>
      <c r="M1122" s="6"/>
      <c r="N1122" s="7"/>
      <c r="O1122" s="7"/>
      <c r="P1122" s="7"/>
      <c r="Q1122" s="7"/>
      <c r="R1122" s="8">
        <f t="shared" si="5151"/>
        <v>0</v>
      </c>
      <c r="T1122" s="6"/>
      <c r="U1122" s="7"/>
      <c r="V1122" s="7"/>
      <c r="W1122" s="7"/>
      <c r="X1122" s="7"/>
      <c r="Y1122" s="8">
        <f t="shared" si="5152"/>
        <v>0</v>
      </c>
      <c r="AA1122" s="6"/>
      <c r="AB1122" s="7"/>
      <c r="AC1122" s="7"/>
      <c r="AD1122" s="7"/>
      <c r="AE1122" s="7"/>
      <c r="AF1122" s="8">
        <f>SUM(AA1122:AE1122)</f>
        <v>0</v>
      </c>
      <c r="AH1122" s="6"/>
      <c r="AI1122" s="7"/>
      <c r="AJ1122" s="7"/>
      <c r="AK1122" s="7"/>
      <c r="AL1122" s="7"/>
      <c r="AM1122" s="8">
        <f>SUM(AH1122:AL1122)</f>
        <v>0</v>
      </c>
      <c r="AO1122" s="6"/>
      <c r="AP1122" s="7"/>
      <c r="AQ1122" s="7"/>
      <c r="AR1122" s="7"/>
      <c r="AS1122" s="7"/>
      <c r="AT1122" s="8">
        <f>SUM(AO1122:AS1122)</f>
        <v>0</v>
      </c>
      <c r="AV1122" s="6"/>
      <c r="AW1122" s="7"/>
      <c r="AX1122" s="7"/>
      <c r="AY1122" s="7"/>
      <c r="AZ1122" s="7"/>
      <c r="BA1122" s="8">
        <f>SUM(AV1122:AZ1122)</f>
        <v>0</v>
      </c>
      <c r="BC1122" s="6"/>
      <c r="BD1122" s="7"/>
      <c r="BE1122" s="7"/>
      <c r="BF1122" s="7"/>
      <c r="BG1122" s="7"/>
      <c r="BH1122" s="8">
        <f>SUM(BC1122:BG1122)</f>
        <v>0</v>
      </c>
      <c r="BJ1122" s="6"/>
      <c r="BK1122" s="7"/>
      <c r="BL1122" s="7"/>
      <c r="BM1122" s="7"/>
      <c r="BN1122" s="7"/>
      <c r="BO1122" s="8">
        <f>SUM(BJ1122:BN1122)</f>
        <v>0</v>
      </c>
      <c r="BQ1122" s="6"/>
      <c r="BR1122" s="7"/>
      <c r="BS1122" s="7"/>
      <c r="BT1122" s="7"/>
      <c r="BU1122" s="7"/>
      <c r="BV1122" s="8">
        <f>SUM(BQ1122:BU1122)</f>
        <v>0</v>
      </c>
      <c r="BX1122" s="6"/>
      <c r="BY1122" s="7"/>
      <c r="BZ1122" s="7"/>
      <c r="CA1122" s="7"/>
      <c r="CB1122" s="7"/>
      <c r="CC1122" s="8">
        <f>SUM(BX1122:CB1122)</f>
        <v>0</v>
      </c>
      <c r="CE1122" s="493">
        <f t="shared" si="5144"/>
        <v>0</v>
      </c>
      <c r="CF1122" s="494">
        <f t="shared" si="5145"/>
        <v>0</v>
      </c>
      <c r="CG1122" s="494">
        <f t="shared" si="5146"/>
        <v>0</v>
      </c>
      <c r="CH1122" s="494">
        <f t="shared" si="5147"/>
        <v>0</v>
      </c>
      <c r="CI1122" s="494">
        <f t="shared" si="5148"/>
        <v>0</v>
      </c>
      <c r="CJ1122" s="495">
        <f>SUM(CE1122:CI1122)</f>
        <v>0</v>
      </c>
      <c r="CL1122" s="6"/>
      <c r="CM1122" s="7"/>
      <c r="CN1122" s="7"/>
      <c r="CO1122" s="7"/>
      <c r="CP1122" s="7"/>
      <c r="CQ1122" s="8">
        <f>SUM(CL1122:CP1122)</f>
        <v>0</v>
      </c>
      <c r="CS1122" s="6"/>
      <c r="CT1122" s="7"/>
      <c r="CU1122" s="7"/>
      <c r="CV1122" s="7"/>
      <c r="CW1122" s="7"/>
      <c r="CX1122" s="8">
        <f t="shared" si="5153"/>
        <v>0</v>
      </c>
      <c r="CZ1122" s="6"/>
      <c r="DA1122" s="7"/>
      <c r="DB1122" s="7"/>
      <c r="DC1122" s="7"/>
      <c r="DD1122" s="7"/>
      <c r="DE1122" s="8">
        <f t="shared" si="5154"/>
        <v>0</v>
      </c>
    </row>
    <row r="1123" spans="2:110" ht="14" thickBot="1">
      <c r="C1123" s="554"/>
      <c r="E1123" s="9"/>
      <c r="F1123" s="10">
        <f>SUM(F1119:F1122)</f>
        <v>0</v>
      </c>
      <c r="G1123" s="11">
        <f t="shared" ref="G1123:J1123" si="5155">SUM(G1119:G1122)</f>
        <v>0</v>
      </c>
      <c r="H1123" s="11">
        <f t="shared" si="5155"/>
        <v>0</v>
      </c>
      <c r="I1123" s="11">
        <f t="shared" si="5155"/>
        <v>0</v>
      </c>
      <c r="J1123" s="11">
        <f t="shared" si="5155"/>
        <v>0</v>
      </c>
      <c r="K1123" s="25">
        <f>SUM(K1119:K1122)</f>
        <v>0</v>
      </c>
      <c r="M1123" s="10">
        <f>SUM(M1119:M1122)</f>
        <v>0</v>
      </c>
      <c r="N1123" s="11">
        <f t="shared" ref="N1123:Q1123" si="5156">SUM(N1119:N1122)</f>
        <v>0</v>
      </c>
      <c r="O1123" s="11">
        <f t="shared" si="5156"/>
        <v>0</v>
      </c>
      <c r="P1123" s="11">
        <f t="shared" si="5156"/>
        <v>0</v>
      </c>
      <c r="Q1123" s="11">
        <f t="shared" si="5156"/>
        <v>0</v>
      </c>
      <c r="R1123" s="25">
        <f>SUM(R1119:R1122)</f>
        <v>0</v>
      </c>
      <c r="T1123" s="10">
        <f>SUM(T1119:T1122)</f>
        <v>0</v>
      </c>
      <c r="U1123" s="11">
        <f t="shared" ref="U1123:X1123" si="5157">SUM(U1119:U1122)</f>
        <v>0</v>
      </c>
      <c r="V1123" s="11">
        <f t="shared" si="5157"/>
        <v>0</v>
      </c>
      <c r="W1123" s="11">
        <f t="shared" si="5157"/>
        <v>0</v>
      </c>
      <c r="X1123" s="11">
        <f t="shared" si="5157"/>
        <v>0</v>
      </c>
      <c r="Y1123" s="25">
        <f>SUM(Y1119:Y1122)</f>
        <v>0</v>
      </c>
      <c r="AA1123" s="10">
        <f>SUM(AA1119:AA1122)</f>
        <v>0</v>
      </c>
      <c r="AB1123" s="11">
        <f t="shared" ref="AB1123:AE1123" si="5158">SUM(AB1119:AB1122)</f>
        <v>0</v>
      </c>
      <c r="AC1123" s="11">
        <f t="shared" si="5158"/>
        <v>0</v>
      </c>
      <c r="AD1123" s="11">
        <f t="shared" si="5158"/>
        <v>0</v>
      </c>
      <c r="AE1123" s="11">
        <f t="shared" si="5158"/>
        <v>0</v>
      </c>
      <c r="AF1123" s="25">
        <f>SUM(AF1119:AF1122)</f>
        <v>0</v>
      </c>
      <c r="AH1123" s="10">
        <f t="shared" ref="AH1123:AM1123" si="5159">SUM(AH1119:AH1122)</f>
        <v>0</v>
      </c>
      <c r="AI1123" s="11">
        <f t="shared" si="5159"/>
        <v>0</v>
      </c>
      <c r="AJ1123" s="11">
        <f t="shared" si="5159"/>
        <v>0</v>
      </c>
      <c r="AK1123" s="11">
        <f t="shared" si="5159"/>
        <v>0</v>
      </c>
      <c r="AL1123" s="11">
        <f t="shared" si="5159"/>
        <v>0</v>
      </c>
      <c r="AM1123" s="25">
        <f t="shared" si="5159"/>
        <v>0</v>
      </c>
      <c r="AO1123" s="10">
        <f t="shared" ref="AO1123:AT1123" si="5160">SUM(AO1119:AO1122)</f>
        <v>0</v>
      </c>
      <c r="AP1123" s="11">
        <f t="shared" si="5160"/>
        <v>0</v>
      </c>
      <c r="AQ1123" s="11">
        <f t="shared" si="5160"/>
        <v>0</v>
      </c>
      <c r="AR1123" s="11">
        <f t="shared" si="5160"/>
        <v>0</v>
      </c>
      <c r="AS1123" s="11">
        <f t="shared" si="5160"/>
        <v>0</v>
      </c>
      <c r="AT1123" s="25">
        <f t="shared" si="5160"/>
        <v>0</v>
      </c>
      <c r="AV1123" s="10">
        <f t="shared" ref="AV1123:BA1123" si="5161">SUM(AV1119:AV1122)</f>
        <v>0</v>
      </c>
      <c r="AW1123" s="11">
        <f t="shared" si="5161"/>
        <v>0</v>
      </c>
      <c r="AX1123" s="11">
        <f t="shared" si="5161"/>
        <v>0</v>
      </c>
      <c r="AY1123" s="11">
        <f t="shared" si="5161"/>
        <v>0</v>
      </c>
      <c r="AZ1123" s="11">
        <f t="shared" si="5161"/>
        <v>0</v>
      </c>
      <c r="BA1123" s="25">
        <f t="shared" si="5161"/>
        <v>0</v>
      </c>
      <c r="BC1123" s="10">
        <f t="shared" ref="BC1123:BH1123" si="5162">SUM(BC1119:BC1122)</f>
        <v>0</v>
      </c>
      <c r="BD1123" s="11">
        <f t="shared" si="5162"/>
        <v>0</v>
      </c>
      <c r="BE1123" s="11">
        <f t="shared" si="5162"/>
        <v>0</v>
      </c>
      <c r="BF1123" s="11">
        <f t="shared" si="5162"/>
        <v>0</v>
      </c>
      <c r="BG1123" s="11">
        <f t="shared" si="5162"/>
        <v>0</v>
      </c>
      <c r="BH1123" s="25">
        <f t="shared" si="5162"/>
        <v>0</v>
      </c>
      <c r="BJ1123" s="10">
        <f t="shared" ref="BJ1123:BO1123" si="5163">SUM(BJ1119:BJ1122)</f>
        <v>0</v>
      </c>
      <c r="BK1123" s="11">
        <f t="shared" si="5163"/>
        <v>0</v>
      </c>
      <c r="BL1123" s="11">
        <f t="shared" si="5163"/>
        <v>0</v>
      </c>
      <c r="BM1123" s="11">
        <f t="shared" si="5163"/>
        <v>0</v>
      </c>
      <c r="BN1123" s="11">
        <f t="shared" si="5163"/>
        <v>0</v>
      </c>
      <c r="BO1123" s="25">
        <f t="shared" si="5163"/>
        <v>0</v>
      </c>
      <c r="BQ1123" s="10">
        <f t="shared" ref="BQ1123:BV1123" si="5164">SUM(BQ1119:BQ1122)</f>
        <v>0</v>
      </c>
      <c r="BR1123" s="11">
        <f t="shared" si="5164"/>
        <v>0</v>
      </c>
      <c r="BS1123" s="11">
        <f t="shared" si="5164"/>
        <v>0</v>
      </c>
      <c r="BT1123" s="11">
        <f t="shared" si="5164"/>
        <v>0</v>
      </c>
      <c r="BU1123" s="11">
        <f t="shared" si="5164"/>
        <v>0</v>
      </c>
      <c r="BV1123" s="25">
        <f t="shared" si="5164"/>
        <v>0</v>
      </c>
      <c r="BX1123" s="10">
        <f t="shared" ref="BX1123:CC1123" si="5165">SUM(BX1119:BX1122)</f>
        <v>0</v>
      </c>
      <c r="BY1123" s="11">
        <f t="shared" si="5165"/>
        <v>0</v>
      </c>
      <c r="BZ1123" s="11">
        <f t="shared" si="5165"/>
        <v>0</v>
      </c>
      <c r="CA1123" s="11">
        <f t="shared" si="5165"/>
        <v>0</v>
      </c>
      <c r="CB1123" s="11">
        <f t="shared" si="5165"/>
        <v>0</v>
      </c>
      <c r="CC1123" s="25">
        <f t="shared" si="5165"/>
        <v>0</v>
      </c>
      <c r="CE1123" s="62">
        <f t="shared" ref="CE1123:CJ1123" si="5166">SUM(CE1119:CE1122)</f>
        <v>0</v>
      </c>
      <c r="CF1123" s="63">
        <f t="shared" si="5166"/>
        <v>0</v>
      </c>
      <c r="CG1123" s="63">
        <f t="shared" si="5166"/>
        <v>0</v>
      </c>
      <c r="CH1123" s="63">
        <f t="shared" si="5166"/>
        <v>0</v>
      </c>
      <c r="CI1123" s="63">
        <f t="shared" si="5166"/>
        <v>0</v>
      </c>
      <c r="CJ1123" s="25">
        <f t="shared" si="5166"/>
        <v>0</v>
      </c>
      <c r="CL1123" s="10">
        <f>SUM(CL1119:CL1122)</f>
        <v>0</v>
      </c>
      <c r="CM1123" s="11">
        <f t="shared" ref="CM1123:CQ1123" si="5167">SUM(CM1119:CM1122)</f>
        <v>0</v>
      </c>
      <c r="CN1123" s="11">
        <f t="shared" si="5167"/>
        <v>0</v>
      </c>
      <c r="CO1123" s="11">
        <f t="shared" si="5167"/>
        <v>0</v>
      </c>
      <c r="CP1123" s="11">
        <f t="shared" si="5167"/>
        <v>0</v>
      </c>
      <c r="CQ1123" s="25">
        <f t="shared" si="5167"/>
        <v>0</v>
      </c>
      <c r="CS1123" s="10">
        <f>SUM(CS1119:CS1122)</f>
        <v>0</v>
      </c>
      <c r="CT1123" s="11">
        <f t="shared" ref="CT1123:CW1123" si="5168">SUM(CT1119:CT1122)</f>
        <v>0</v>
      </c>
      <c r="CU1123" s="11">
        <f t="shared" si="5168"/>
        <v>0</v>
      </c>
      <c r="CV1123" s="11">
        <f t="shared" si="5168"/>
        <v>0</v>
      </c>
      <c r="CW1123" s="11">
        <f t="shared" si="5168"/>
        <v>0</v>
      </c>
      <c r="CX1123" s="25">
        <f>SUM(CX1119:CX1122)</f>
        <v>0</v>
      </c>
      <c r="CZ1123" s="10">
        <f>SUM(CZ1119:CZ1122)</f>
        <v>0</v>
      </c>
      <c r="DA1123" s="11">
        <f t="shared" ref="DA1123:DD1123" si="5169">SUM(DA1119:DA1122)</f>
        <v>0</v>
      </c>
      <c r="DB1123" s="11">
        <f t="shared" si="5169"/>
        <v>0</v>
      </c>
      <c r="DC1123" s="11">
        <f t="shared" si="5169"/>
        <v>0</v>
      </c>
      <c r="DD1123" s="11">
        <f t="shared" si="5169"/>
        <v>0</v>
      </c>
      <c r="DE1123" s="25">
        <f>SUM(DE1119:DE1122)</f>
        <v>0</v>
      </c>
    </row>
    <row r="1125" spans="2:110" ht="14" thickBot="1">
      <c r="B1125" s="123"/>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c r="BU1125" s="20"/>
      <c r="BV1125" s="20"/>
      <c r="BW1125" s="20"/>
      <c r="BX1125" s="20"/>
      <c r="BY1125" s="20"/>
      <c r="BZ1125" s="20"/>
      <c r="CA1125" s="20"/>
      <c r="CB1125" s="20"/>
      <c r="CC1125" s="20"/>
      <c r="CD1125" s="20"/>
      <c r="CE1125" s="20"/>
      <c r="CF1125" s="20"/>
      <c r="CG1125" s="20"/>
      <c r="CH1125" s="20"/>
      <c r="CI1125" s="20"/>
      <c r="CJ1125" s="20"/>
      <c r="CK1125" s="20"/>
      <c r="CL1125" s="20"/>
      <c r="CM1125" s="20"/>
      <c r="CN1125" s="20"/>
      <c r="CO1125" s="20"/>
      <c r="CP1125" s="20"/>
      <c r="CQ1125" s="20"/>
      <c r="CR1125" s="20"/>
      <c r="CS1125" s="20"/>
      <c r="CT1125" s="20"/>
      <c r="CU1125" s="20"/>
      <c r="CV1125" s="20"/>
      <c r="CW1125" s="20"/>
      <c r="CX1125" s="20"/>
      <c r="CY1125" s="20"/>
      <c r="CZ1125" s="20"/>
      <c r="DA1125" s="20"/>
      <c r="DB1125" s="20"/>
      <c r="DC1125" s="20"/>
      <c r="DD1125" s="20"/>
      <c r="DE1125" s="20"/>
      <c r="DF1125" s="20"/>
    </row>
    <row r="1126" spans="2:110" ht="14" thickBot="1">
      <c r="B1126" s="94">
        <v>36</v>
      </c>
      <c r="C1126" s="12" t="s">
        <v>97</v>
      </c>
      <c r="F1126" s="18"/>
      <c r="G1126" s="19"/>
      <c r="H1126" s="19"/>
      <c r="I1126" s="19"/>
      <c r="J1126" s="19"/>
      <c r="K1126" s="492"/>
    </row>
    <row r="1127" spans="2:110">
      <c r="C1127" s="553">
        <v>2024</v>
      </c>
      <c r="E1127" s="1" t="s">
        <v>59</v>
      </c>
      <c r="F1127" s="85"/>
      <c r="G1127" s="86"/>
      <c r="H1127" s="86"/>
      <c r="I1127" s="86"/>
      <c r="J1127" s="86"/>
      <c r="K1127" s="4">
        <f>SUM(F1127:J1127)</f>
        <v>0</v>
      </c>
      <c r="M1127" s="2"/>
      <c r="N1127" s="3"/>
      <c r="O1127" s="3"/>
      <c r="P1127" s="3"/>
      <c r="Q1127" s="3"/>
      <c r="R1127" s="4">
        <f>SUM(M1127:Q1127)</f>
        <v>0</v>
      </c>
      <c r="T1127" s="2"/>
      <c r="U1127" s="3"/>
      <c r="V1127" s="3"/>
      <c r="W1127" s="3"/>
      <c r="X1127" s="3"/>
      <c r="Y1127" s="4">
        <f>SUM(T1127:X1127)</f>
        <v>0</v>
      </c>
      <c r="AA1127" s="2"/>
      <c r="AB1127" s="3"/>
      <c r="AC1127" s="3"/>
      <c r="AD1127" s="3"/>
      <c r="AE1127" s="3"/>
      <c r="AF1127" s="4">
        <f>SUM(AA1127:AE1127)</f>
        <v>0</v>
      </c>
      <c r="AH1127" s="2"/>
      <c r="AI1127" s="3"/>
      <c r="AJ1127" s="3"/>
      <c r="AK1127" s="3"/>
      <c r="AL1127" s="3"/>
      <c r="AM1127" s="4">
        <f>SUM(AH1127:AL1127)</f>
        <v>0</v>
      </c>
      <c r="AO1127" s="2"/>
      <c r="AP1127" s="3"/>
      <c r="AQ1127" s="3"/>
      <c r="AR1127" s="3"/>
      <c r="AS1127" s="3"/>
      <c r="AT1127" s="4">
        <f>SUM(AO1127:AS1127)</f>
        <v>0</v>
      </c>
      <c r="AV1127" s="2"/>
      <c r="AW1127" s="3"/>
      <c r="AX1127" s="3"/>
      <c r="AY1127" s="3"/>
      <c r="AZ1127" s="3"/>
      <c r="BA1127" s="4">
        <f>SUM(AV1127:AZ1127)</f>
        <v>0</v>
      </c>
      <c r="BC1127" s="2"/>
      <c r="BD1127" s="3"/>
      <c r="BE1127" s="3"/>
      <c r="BF1127" s="3"/>
      <c r="BG1127" s="3"/>
      <c r="BH1127" s="4">
        <f>SUM(BC1127:BG1127)</f>
        <v>0</v>
      </c>
      <c r="BJ1127" s="2"/>
      <c r="BK1127" s="3"/>
      <c r="BL1127" s="3"/>
      <c r="BM1127" s="3"/>
      <c r="BN1127" s="3"/>
      <c r="BO1127" s="4">
        <f>SUM(BJ1127:BN1127)</f>
        <v>0</v>
      </c>
      <c r="BQ1127" s="2"/>
      <c r="BR1127" s="3"/>
      <c r="BS1127" s="3"/>
      <c r="BT1127" s="3"/>
      <c r="BU1127" s="3"/>
      <c r="BV1127" s="4">
        <f>SUM(BQ1127:BU1127)</f>
        <v>0</v>
      </c>
      <c r="BX1127" s="2"/>
      <c r="BY1127" s="3"/>
      <c r="BZ1127" s="3"/>
      <c r="CA1127" s="3"/>
      <c r="CB1127" s="3"/>
      <c r="CC1127" s="4">
        <f>SUM(BX1127:CB1127)</f>
        <v>0</v>
      </c>
      <c r="CE1127" s="26">
        <f t="shared" ref="CE1127:CE1130" si="5170">F1127+M1127+T1127+AA1127+AH1127+AO1127+AV1127+BC1127+BJ1127+BQ1127+BX1127</f>
        <v>0</v>
      </c>
      <c r="CF1127" s="27">
        <f t="shared" ref="CF1127:CF1130" si="5171">G1127+N1127+U1127+AB1127+AI1127+AP1127+AW1127+BD1127+BK1127+BR1127+BY1127</f>
        <v>0</v>
      </c>
      <c r="CG1127" s="27">
        <f t="shared" ref="CG1127:CG1130" si="5172">H1127+O1127+V1127+AC1127+AJ1127+AQ1127+AX1127+BE1127+BL1127+BS1127+BZ1127</f>
        <v>0</v>
      </c>
      <c r="CH1127" s="27">
        <f t="shared" ref="CH1127:CH1130" si="5173">I1127+P1127+W1127+AD1127+AK1127+AR1127+AY1127+BF1127+BM1127+BT1127+CA1127</f>
        <v>0</v>
      </c>
      <c r="CI1127" s="27">
        <f t="shared" ref="CI1127:CI1130" si="5174">J1127+Q1127+X1127+AE1127+AL1127+AS1127+AZ1127+BG1127+BN1127+BU1127+CB1127</f>
        <v>0</v>
      </c>
      <c r="CJ1127" s="4">
        <f>SUM(CE1127:CI1127)</f>
        <v>0</v>
      </c>
      <c r="CL1127" s="2"/>
      <c r="CM1127" s="3"/>
      <c r="CN1127" s="3"/>
      <c r="CO1127" s="3"/>
      <c r="CP1127" s="3"/>
      <c r="CQ1127" s="4">
        <f>SUM(CL1127:CP1127)</f>
        <v>0</v>
      </c>
      <c r="CS1127" s="2"/>
      <c r="CT1127" s="3"/>
      <c r="CU1127" s="3"/>
      <c r="CV1127" s="3"/>
      <c r="CW1127" s="3"/>
      <c r="CX1127" s="4">
        <f>SUM(CS1127:CW1127)</f>
        <v>0</v>
      </c>
      <c r="CZ1127" s="2"/>
      <c r="DA1127" s="3"/>
      <c r="DB1127" s="3"/>
      <c r="DC1127" s="3"/>
      <c r="DD1127" s="3"/>
      <c r="DE1127" s="4">
        <f>SUM(CZ1127:DD1127)</f>
        <v>0</v>
      </c>
    </row>
    <row r="1128" spans="2:110">
      <c r="C1128" s="567"/>
      <c r="E1128" s="5" t="s">
        <v>60</v>
      </c>
      <c r="F1128" s="87"/>
      <c r="G1128" s="88"/>
      <c r="H1128" s="88"/>
      <c r="I1128" s="88"/>
      <c r="J1128" s="88"/>
      <c r="K1128" s="8">
        <f t="shared" ref="K1128:K1130" si="5175">SUM(F1128:J1128)</f>
        <v>0</v>
      </c>
      <c r="M1128" s="6"/>
      <c r="N1128" s="7"/>
      <c r="O1128" s="7"/>
      <c r="P1128" s="7"/>
      <c r="Q1128" s="7"/>
      <c r="R1128" s="8">
        <f t="shared" ref="R1128:R1130" si="5176">SUM(M1128:Q1128)</f>
        <v>0</v>
      </c>
      <c r="T1128" s="6"/>
      <c r="U1128" s="7"/>
      <c r="V1128" s="7"/>
      <c r="W1128" s="7"/>
      <c r="X1128" s="7"/>
      <c r="Y1128" s="8">
        <f t="shared" ref="Y1128:Y1130" si="5177">SUM(T1128:X1128)</f>
        <v>0</v>
      </c>
      <c r="AA1128" s="6"/>
      <c r="AB1128" s="7"/>
      <c r="AC1128" s="7"/>
      <c r="AD1128" s="7"/>
      <c r="AE1128" s="7"/>
      <c r="AF1128" s="8">
        <f>SUM(AA1128:AE1128)</f>
        <v>0</v>
      </c>
      <c r="AH1128" s="6"/>
      <c r="AI1128" s="7"/>
      <c r="AJ1128" s="7"/>
      <c r="AK1128" s="7"/>
      <c r="AL1128" s="7"/>
      <c r="AM1128" s="8">
        <f>SUM(AH1128:AL1128)</f>
        <v>0</v>
      </c>
      <c r="AO1128" s="6"/>
      <c r="AP1128" s="7"/>
      <c r="AQ1128" s="7"/>
      <c r="AR1128" s="7"/>
      <c r="AS1128" s="7"/>
      <c r="AT1128" s="8">
        <f>SUM(AO1128:AS1128)</f>
        <v>0</v>
      </c>
      <c r="AV1128" s="6"/>
      <c r="AW1128" s="7"/>
      <c r="AX1128" s="7"/>
      <c r="AY1128" s="7"/>
      <c r="AZ1128" s="7"/>
      <c r="BA1128" s="8">
        <f>SUM(AV1128:AZ1128)</f>
        <v>0</v>
      </c>
      <c r="BC1128" s="6"/>
      <c r="BD1128" s="7"/>
      <c r="BE1128" s="7"/>
      <c r="BF1128" s="7"/>
      <c r="BG1128" s="7"/>
      <c r="BH1128" s="8">
        <f>SUM(BC1128:BG1128)</f>
        <v>0</v>
      </c>
      <c r="BJ1128" s="6"/>
      <c r="BK1128" s="7"/>
      <c r="BL1128" s="7"/>
      <c r="BM1128" s="7"/>
      <c r="BN1128" s="7"/>
      <c r="BO1128" s="8">
        <f>SUM(BJ1128:BN1128)</f>
        <v>0</v>
      </c>
      <c r="BQ1128" s="6"/>
      <c r="BR1128" s="7"/>
      <c r="BS1128" s="7"/>
      <c r="BT1128" s="7"/>
      <c r="BU1128" s="7"/>
      <c r="BV1128" s="8">
        <f>SUM(BQ1128:BU1128)</f>
        <v>0</v>
      </c>
      <c r="BX1128" s="6"/>
      <c r="BY1128" s="7"/>
      <c r="BZ1128" s="7"/>
      <c r="CA1128" s="7"/>
      <c r="CB1128" s="7"/>
      <c r="CC1128" s="8">
        <f>SUM(BX1128:CB1128)</f>
        <v>0</v>
      </c>
      <c r="CE1128" s="28">
        <f t="shared" si="5170"/>
        <v>0</v>
      </c>
      <c r="CF1128" s="29">
        <f t="shared" si="5171"/>
        <v>0</v>
      </c>
      <c r="CG1128" s="29">
        <f t="shared" si="5172"/>
        <v>0</v>
      </c>
      <c r="CH1128" s="29">
        <f t="shared" si="5173"/>
        <v>0</v>
      </c>
      <c r="CI1128" s="29">
        <f t="shared" si="5174"/>
        <v>0</v>
      </c>
      <c r="CJ1128" s="8">
        <f>SUM(CE1128:CI1128)</f>
        <v>0</v>
      </c>
      <c r="CL1128" s="6"/>
      <c r="CM1128" s="7"/>
      <c r="CN1128" s="7"/>
      <c r="CO1128" s="7"/>
      <c r="CP1128" s="7"/>
      <c r="CQ1128" s="8">
        <f>SUM(CL1128:CP1128)</f>
        <v>0</v>
      </c>
      <c r="CS1128" s="6"/>
      <c r="CT1128" s="7"/>
      <c r="CU1128" s="7"/>
      <c r="CV1128" s="7"/>
      <c r="CW1128" s="7"/>
      <c r="CX1128" s="8">
        <f t="shared" ref="CX1128:CX1130" si="5178">SUM(CS1128:CW1128)</f>
        <v>0</v>
      </c>
      <c r="CZ1128" s="6"/>
      <c r="DA1128" s="7"/>
      <c r="DB1128" s="7"/>
      <c r="DC1128" s="7"/>
      <c r="DD1128" s="7"/>
      <c r="DE1128" s="8">
        <f t="shared" ref="DE1128:DE1130" si="5179">SUM(CZ1128:DD1128)</f>
        <v>0</v>
      </c>
    </row>
    <row r="1129" spans="2:110">
      <c r="C1129" s="567"/>
      <c r="E1129" s="5" t="s">
        <v>61</v>
      </c>
      <c r="F1129" s="87"/>
      <c r="G1129" s="88"/>
      <c r="H1129" s="88"/>
      <c r="I1129" s="88"/>
      <c r="J1129" s="88"/>
      <c r="K1129" s="8">
        <f t="shared" si="5175"/>
        <v>0</v>
      </c>
      <c r="M1129" s="6"/>
      <c r="N1129" s="7"/>
      <c r="O1129" s="7"/>
      <c r="P1129" s="7"/>
      <c r="Q1129" s="7"/>
      <c r="R1129" s="8">
        <f t="shared" si="5176"/>
        <v>0</v>
      </c>
      <c r="T1129" s="6"/>
      <c r="U1129" s="7"/>
      <c r="V1129" s="7"/>
      <c r="W1129" s="7"/>
      <c r="X1129" s="7"/>
      <c r="Y1129" s="8">
        <f t="shared" si="5177"/>
        <v>0</v>
      </c>
      <c r="AA1129" s="6"/>
      <c r="AB1129" s="7"/>
      <c r="AC1129" s="7"/>
      <c r="AD1129" s="7"/>
      <c r="AE1129" s="7"/>
      <c r="AF1129" s="8">
        <f>SUM(AA1129:AE1129)</f>
        <v>0</v>
      </c>
      <c r="AH1129" s="6"/>
      <c r="AI1129" s="7"/>
      <c r="AJ1129" s="7"/>
      <c r="AK1129" s="7"/>
      <c r="AL1129" s="7"/>
      <c r="AM1129" s="8">
        <f>SUM(AH1129:AL1129)</f>
        <v>0</v>
      </c>
      <c r="AO1129" s="6"/>
      <c r="AP1129" s="7"/>
      <c r="AQ1129" s="7"/>
      <c r="AR1129" s="7"/>
      <c r="AS1129" s="7"/>
      <c r="AT1129" s="8">
        <f>SUM(AO1129:AS1129)</f>
        <v>0</v>
      </c>
      <c r="AV1129" s="6"/>
      <c r="AW1129" s="7"/>
      <c r="AX1129" s="7"/>
      <c r="AY1129" s="7"/>
      <c r="AZ1129" s="7"/>
      <c r="BA1129" s="8">
        <f>SUM(AV1129:AZ1129)</f>
        <v>0</v>
      </c>
      <c r="BC1129" s="6"/>
      <c r="BD1129" s="7"/>
      <c r="BE1129" s="7"/>
      <c r="BF1129" s="7"/>
      <c r="BG1129" s="7"/>
      <c r="BH1129" s="8">
        <f>SUM(BC1129:BG1129)</f>
        <v>0</v>
      </c>
      <c r="BJ1129" s="6"/>
      <c r="BK1129" s="7"/>
      <c r="BL1129" s="7"/>
      <c r="BM1129" s="7"/>
      <c r="BN1129" s="7"/>
      <c r="BO1129" s="8">
        <f>SUM(BJ1129:BN1129)</f>
        <v>0</v>
      </c>
      <c r="BQ1129" s="6"/>
      <c r="BR1129" s="7"/>
      <c r="BS1129" s="7"/>
      <c r="BT1129" s="7"/>
      <c r="BU1129" s="7"/>
      <c r="BV1129" s="8">
        <f>SUM(BQ1129:BU1129)</f>
        <v>0</v>
      </c>
      <c r="BX1129" s="6"/>
      <c r="BY1129" s="7"/>
      <c r="BZ1129" s="7"/>
      <c r="CA1129" s="7"/>
      <c r="CB1129" s="7"/>
      <c r="CC1129" s="8">
        <f>SUM(BX1129:CB1129)</f>
        <v>0</v>
      </c>
      <c r="CE1129" s="28">
        <f t="shared" si="5170"/>
        <v>0</v>
      </c>
      <c r="CF1129" s="29">
        <f t="shared" si="5171"/>
        <v>0</v>
      </c>
      <c r="CG1129" s="29">
        <f t="shared" si="5172"/>
        <v>0</v>
      </c>
      <c r="CH1129" s="29">
        <f t="shared" si="5173"/>
        <v>0</v>
      </c>
      <c r="CI1129" s="29">
        <f t="shared" si="5174"/>
        <v>0</v>
      </c>
      <c r="CJ1129" s="8">
        <f>SUM(CE1129:CI1129)</f>
        <v>0</v>
      </c>
      <c r="CL1129" s="6"/>
      <c r="CM1129" s="7"/>
      <c r="CN1129" s="7"/>
      <c r="CO1129" s="7"/>
      <c r="CP1129" s="7"/>
      <c r="CQ1129" s="8">
        <f>SUM(CL1129:CP1129)</f>
        <v>0</v>
      </c>
      <c r="CS1129" s="6"/>
      <c r="CT1129" s="7"/>
      <c r="CU1129" s="7"/>
      <c r="CV1129" s="7"/>
      <c r="CW1129" s="7"/>
      <c r="CX1129" s="8">
        <f t="shared" si="5178"/>
        <v>0</v>
      </c>
      <c r="CZ1129" s="6"/>
      <c r="DA1129" s="7"/>
      <c r="DB1129" s="7"/>
      <c r="DC1129" s="7"/>
      <c r="DD1129" s="7"/>
      <c r="DE1129" s="8">
        <f t="shared" si="5179"/>
        <v>0</v>
      </c>
    </row>
    <row r="1130" spans="2:110" ht="14" thickBot="1">
      <c r="C1130" s="567"/>
      <c r="E1130" s="5" t="s">
        <v>62</v>
      </c>
      <c r="F1130" s="87"/>
      <c r="G1130" s="88"/>
      <c r="H1130" s="88"/>
      <c r="I1130" s="88"/>
      <c r="J1130" s="88"/>
      <c r="K1130" s="8">
        <f t="shared" si="5175"/>
        <v>0</v>
      </c>
      <c r="M1130" s="6"/>
      <c r="N1130" s="7"/>
      <c r="O1130" s="7"/>
      <c r="P1130" s="7"/>
      <c r="Q1130" s="7"/>
      <c r="R1130" s="8">
        <f t="shared" si="5176"/>
        <v>0</v>
      </c>
      <c r="T1130" s="6"/>
      <c r="U1130" s="7"/>
      <c r="V1130" s="7"/>
      <c r="W1130" s="7"/>
      <c r="X1130" s="7"/>
      <c r="Y1130" s="8">
        <f t="shared" si="5177"/>
        <v>0</v>
      </c>
      <c r="AA1130" s="6"/>
      <c r="AB1130" s="7"/>
      <c r="AC1130" s="7"/>
      <c r="AD1130" s="7"/>
      <c r="AE1130" s="7"/>
      <c r="AF1130" s="8">
        <f>SUM(AA1130:AE1130)</f>
        <v>0</v>
      </c>
      <c r="AH1130" s="6"/>
      <c r="AI1130" s="7"/>
      <c r="AJ1130" s="7"/>
      <c r="AK1130" s="7"/>
      <c r="AL1130" s="7"/>
      <c r="AM1130" s="8">
        <f>SUM(AH1130:AL1130)</f>
        <v>0</v>
      </c>
      <c r="AO1130" s="6"/>
      <c r="AP1130" s="7"/>
      <c r="AQ1130" s="7"/>
      <c r="AR1130" s="7"/>
      <c r="AS1130" s="7"/>
      <c r="AT1130" s="8">
        <f>SUM(AO1130:AS1130)</f>
        <v>0</v>
      </c>
      <c r="AV1130" s="6"/>
      <c r="AW1130" s="7"/>
      <c r="AX1130" s="7"/>
      <c r="AY1130" s="7"/>
      <c r="AZ1130" s="7"/>
      <c r="BA1130" s="8">
        <f>SUM(AV1130:AZ1130)</f>
        <v>0</v>
      </c>
      <c r="BC1130" s="6"/>
      <c r="BD1130" s="7"/>
      <c r="BE1130" s="7"/>
      <c r="BF1130" s="7"/>
      <c r="BG1130" s="7"/>
      <c r="BH1130" s="8">
        <f>SUM(BC1130:BG1130)</f>
        <v>0</v>
      </c>
      <c r="BJ1130" s="6"/>
      <c r="BK1130" s="7"/>
      <c r="BL1130" s="7"/>
      <c r="BM1130" s="7"/>
      <c r="BN1130" s="7"/>
      <c r="BO1130" s="8">
        <f>SUM(BJ1130:BN1130)</f>
        <v>0</v>
      </c>
      <c r="BQ1130" s="6"/>
      <c r="BR1130" s="7"/>
      <c r="BS1130" s="7"/>
      <c r="BT1130" s="7"/>
      <c r="BU1130" s="7"/>
      <c r="BV1130" s="8">
        <f>SUM(BQ1130:BU1130)</f>
        <v>0</v>
      </c>
      <c r="BX1130" s="6"/>
      <c r="BY1130" s="7"/>
      <c r="BZ1130" s="7"/>
      <c r="CA1130" s="7"/>
      <c r="CB1130" s="7"/>
      <c r="CC1130" s="8">
        <f>SUM(BX1130:CB1130)</f>
        <v>0</v>
      </c>
      <c r="CE1130" s="493">
        <f t="shared" si="5170"/>
        <v>0</v>
      </c>
      <c r="CF1130" s="494">
        <f t="shared" si="5171"/>
        <v>0</v>
      </c>
      <c r="CG1130" s="494">
        <f t="shared" si="5172"/>
        <v>0</v>
      </c>
      <c r="CH1130" s="494">
        <f t="shared" si="5173"/>
        <v>0</v>
      </c>
      <c r="CI1130" s="494">
        <f t="shared" si="5174"/>
        <v>0</v>
      </c>
      <c r="CJ1130" s="495">
        <f>SUM(CE1130:CI1130)</f>
        <v>0</v>
      </c>
      <c r="CL1130" s="6"/>
      <c r="CM1130" s="7"/>
      <c r="CN1130" s="7"/>
      <c r="CO1130" s="7"/>
      <c r="CP1130" s="7"/>
      <c r="CQ1130" s="8">
        <f>SUM(CL1130:CP1130)</f>
        <v>0</v>
      </c>
      <c r="CS1130" s="6"/>
      <c r="CT1130" s="7"/>
      <c r="CU1130" s="7"/>
      <c r="CV1130" s="7"/>
      <c r="CW1130" s="7"/>
      <c r="CX1130" s="8">
        <f t="shared" si="5178"/>
        <v>0</v>
      </c>
      <c r="CZ1130" s="6"/>
      <c r="DA1130" s="7"/>
      <c r="DB1130" s="7"/>
      <c r="DC1130" s="7"/>
      <c r="DD1130" s="7"/>
      <c r="DE1130" s="8">
        <f t="shared" si="5179"/>
        <v>0</v>
      </c>
    </row>
    <row r="1131" spans="2:110" ht="14" thickBot="1">
      <c r="C1131" s="554"/>
      <c r="E1131" s="9"/>
      <c r="F1131" s="10">
        <f>SUM(F1127:F1130)</f>
        <v>0</v>
      </c>
      <c r="G1131" s="11">
        <f t="shared" ref="G1131:J1131" si="5180">SUM(G1127:G1130)</f>
        <v>0</v>
      </c>
      <c r="H1131" s="11">
        <f t="shared" si="5180"/>
        <v>0</v>
      </c>
      <c r="I1131" s="11">
        <f t="shared" si="5180"/>
        <v>0</v>
      </c>
      <c r="J1131" s="61">
        <f t="shared" si="5180"/>
        <v>0</v>
      </c>
      <c r="K1131" s="25">
        <f>SUM(K1127:K1130)</f>
        <v>0</v>
      </c>
      <c r="M1131" s="10">
        <f>SUM(M1127:M1130)</f>
        <v>0</v>
      </c>
      <c r="N1131" s="11">
        <f t="shared" ref="N1131:Q1131" si="5181">SUM(N1127:N1130)</f>
        <v>0</v>
      </c>
      <c r="O1131" s="11">
        <f t="shared" si="5181"/>
        <v>0</v>
      </c>
      <c r="P1131" s="11">
        <f t="shared" si="5181"/>
        <v>0</v>
      </c>
      <c r="Q1131" s="11">
        <f t="shared" si="5181"/>
        <v>0</v>
      </c>
      <c r="R1131" s="25">
        <f>SUM(R1127:R1130)</f>
        <v>0</v>
      </c>
      <c r="T1131" s="10">
        <f>SUM(T1127:T1130)</f>
        <v>0</v>
      </c>
      <c r="U1131" s="11">
        <f t="shared" ref="U1131:X1131" si="5182">SUM(U1127:U1130)</f>
        <v>0</v>
      </c>
      <c r="V1131" s="11">
        <f t="shared" si="5182"/>
        <v>0</v>
      </c>
      <c r="W1131" s="11">
        <f t="shared" si="5182"/>
        <v>0</v>
      </c>
      <c r="X1131" s="11">
        <f t="shared" si="5182"/>
        <v>0</v>
      </c>
      <c r="Y1131" s="25">
        <f>SUM(Y1127:Y1130)</f>
        <v>0</v>
      </c>
      <c r="AA1131" s="10">
        <f>SUM(AA1127:AA1130)</f>
        <v>0</v>
      </c>
      <c r="AB1131" s="11">
        <f t="shared" ref="AB1131:AE1131" si="5183">SUM(AB1127:AB1130)</f>
        <v>0</v>
      </c>
      <c r="AC1131" s="11">
        <f t="shared" si="5183"/>
        <v>0</v>
      </c>
      <c r="AD1131" s="11">
        <f t="shared" si="5183"/>
        <v>0</v>
      </c>
      <c r="AE1131" s="11">
        <f t="shared" si="5183"/>
        <v>0</v>
      </c>
      <c r="AF1131" s="25">
        <f>SUM(AF1127:AF1130)</f>
        <v>0</v>
      </c>
      <c r="AH1131" s="10">
        <f t="shared" ref="AH1131:AM1131" si="5184">SUM(AH1127:AH1130)</f>
        <v>0</v>
      </c>
      <c r="AI1131" s="11">
        <f t="shared" si="5184"/>
        <v>0</v>
      </c>
      <c r="AJ1131" s="11">
        <f t="shared" si="5184"/>
        <v>0</v>
      </c>
      <c r="AK1131" s="11">
        <f t="shared" si="5184"/>
        <v>0</v>
      </c>
      <c r="AL1131" s="11">
        <f t="shared" si="5184"/>
        <v>0</v>
      </c>
      <c r="AM1131" s="25">
        <f t="shared" si="5184"/>
        <v>0</v>
      </c>
      <c r="AO1131" s="10">
        <f t="shared" ref="AO1131:AT1131" si="5185">SUM(AO1127:AO1130)</f>
        <v>0</v>
      </c>
      <c r="AP1131" s="11">
        <f t="shared" si="5185"/>
        <v>0</v>
      </c>
      <c r="AQ1131" s="11">
        <f t="shared" si="5185"/>
        <v>0</v>
      </c>
      <c r="AR1131" s="11">
        <f t="shared" si="5185"/>
        <v>0</v>
      </c>
      <c r="AS1131" s="11">
        <f t="shared" si="5185"/>
        <v>0</v>
      </c>
      <c r="AT1131" s="25">
        <f t="shared" si="5185"/>
        <v>0</v>
      </c>
      <c r="AV1131" s="10">
        <f t="shared" ref="AV1131:BA1131" si="5186">SUM(AV1127:AV1130)</f>
        <v>0</v>
      </c>
      <c r="AW1131" s="11">
        <f t="shared" si="5186"/>
        <v>0</v>
      </c>
      <c r="AX1131" s="11">
        <f t="shared" si="5186"/>
        <v>0</v>
      </c>
      <c r="AY1131" s="11">
        <f t="shared" si="5186"/>
        <v>0</v>
      </c>
      <c r="AZ1131" s="11">
        <f t="shared" si="5186"/>
        <v>0</v>
      </c>
      <c r="BA1131" s="25">
        <f t="shared" si="5186"/>
        <v>0</v>
      </c>
      <c r="BC1131" s="10">
        <f t="shared" ref="BC1131:BH1131" si="5187">SUM(BC1127:BC1130)</f>
        <v>0</v>
      </c>
      <c r="BD1131" s="11">
        <f t="shared" si="5187"/>
        <v>0</v>
      </c>
      <c r="BE1131" s="11">
        <f t="shared" si="5187"/>
        <v>0</v>
      </c>
      <c r="BF1131" s="11">
        <f t="shared" si="5187"/>
        <v>0</v>
      </c>
      <c r="BG1131" s="11">
        <f t="shared" si="5187"/>
        <v>0</v>
      </c>
      <c r="BH1131" s="25">
        <f t="shared" si="5187"/>
        <v>0</v>
      </c>
      <c r="BJ1131" s="10">
        <f t="shared" ref="BJ1131:BO1131" si="5188">SUM(BJ1127:BJ1130)</f>
        <v>0</v>
      </c>
      <c r="BK1131" s="11">
        <f t="shared" si="5188"/>
        <v>0</v>
      </c>
      <c r="BL1131" s="11">
        <f t="shared" si="5188"/>
        <v>0</v>
      </c>
      <c r="BM1131" s="11">
        <f t="shared" si="5188"/>
        <v>0</v>
      </c>
      <c r="BN1131" s="11">
        <f t="shared" si="5188"/>
        <v>0</v>
      </c>
      <c r="BO1131" s="25">
        <f t="shared" si="5188"/>
        <v>0</v>
      </c>
      <c r="BQ1131" s="10">
        <f t="shared" ref="BQ1131:BV1131" si="5189">SUM(BQ1127:BQ1130)</f>
        <v>0</v>
      </c>
      <c r="BR1131" s="11">
        <f t="shared" si="5189"/>
        <v>0</v>
      </c>
      <c r="BS1131" s="11">
        <f t="shared" si="5189"/>
        <v>0</v>
      </c>
      <c r="BT1131" s="11">
        <f t="shared" si="5189"/>
        <v>0</v>
      </c>
      <c r="BU1131" s="11">
        <f t="shared" si="5189"/>
        <v>0</v>
      </c>
      <c r="BV1131" s="25">
        <f t="shared" si="5189"/>
        <v>0</v>
      </c>
      <c r="BX1131" s="10">
        <f t="shared" ref="BX1131:CC1131" si="5190">SUM(BX1127:BX1130)</f>
        <v>0</v>
      </c>
      <c r="BY1131" s="11">
        <f t="shared" si="5190"/>
        <v>0</v>
      </c>
      <c r="BZ1131" s="11">
        <f t="shared" si="5190"/>
        <v>0</v>
      </c>
      <c r="CA1131" s="11">
        <f t="shared" si="5190"/>
        <v>0</v>
      </c>
      <c r="CB1131" s="11">
        <f t="shared" si="5190"/>
        <v>0</v>
      </c>
      <c r="CC1131" s="25">
        <f t="shared" si="5190"/>
        <v>0</v>
      </c>
      <c r="CE1131" s="62">
        <f t="shared" ref="CE1131:CJ1131" si="5191">SUM(CE1127:CE1130)</f>
        <v>0</v>
      </c>
      <c r="CF1131" s="63">
        <f t="shared" si="5191"/>
        <v>0</v>
      </c>
      <c r="CG1131" s="63">
        <f t="shared" si="5191"/>
        <v>0</v>
      </c>
      <c r="CH1131" s="63">
        <f t="shared" si="5191"/>
        <v>0</v>
      </c>
      <c r="CI1131" s="63">
        <f t="shared" si="5191"/>
        <v>0</v>
      </c>
      <c r="CJ1131" s="25">
        <f t="shared" si="5191"/>
        <v>0</v>
      </c>
      <c r="CL1131" s="10">
        <f>SUM(CL1127:CL1130)</f>
        <v>0</v>
      </c>
      <c r="CM1131" s="11">
        <f t="shared" ref="CM1131:CQ1131" si="5192">SUM(CM1127:CM1130)</f>
        <v>0</v>
      </c>
      <c r="CN1131" s="11">
        <f t="shared" si="5192"/>
        <v>0</v>
      </c>
      <c r="CO1131" s="11">
        <f t="shared" si="5192"/>
        <v>0</v>
      </c>
      <c r="CP1131" s="11">
        <f t="shared" si="5192"/>
        <v>0</v>
      </c>
      <c r="CQ1131" s="25">
        <f t="shared" si="5192"/>
        <v>0</v>
      </c>
      <c r="CS1131" s="10">
        <f>SUM(CS1127:CS1130)</f>
        <v>0</v>
      </c>
      <c r="CT1131" s="11">
        <f t="shared" ref="CT1131:CW1131" si="5193">SUM(CT1127:CT1130)</f>
        <v>0</v>
      </c>
      <c r="CU1131" s="11">
        <f t="shared" si="5193"/>
        <v>0</v>
      </c>
      <c r="CV1131" s="11">
        <f t="shared" si="5193"/>
        <v>0</v>
      </c>
      <c r="CW1131" s="11">
        <f t="shared" si="5193"/>
        <v>0</v>
      </c>
      <c r="CX1131" s="25">
        <f>SUM(CX1127:CX1130)</f>
        <v>0</v>
      </c>
      <c r="CZ1131" s="10">
        <f>SUM(CZ1127:CZ1130)</f>
        <v>0</v>
      </c>
      <c r="DA1131" s="11">
        <f t="shared" ref="DA1131:DD1131" si="5194">SUM(DA1127:DA1130)</f>
        <v>0</v>
      </c>
      <c r="DB1131" s="11">
        <f t="shared" si="5194"/>
        <v>0</v>
      </c>
      <c r="DC1131" s="11">
        <f t="shared" si="5194"/>
        <v>0</v>
      </c>
      <c r="DD1131" s="11">
        <f t="shared" si="5194"/>
        <v>0</v>
      </c>
      <c r="DE1131" s="25">
        <f>SUM(DE1127:DE1130)</f>
        <v>0</v>
      </c>
    </row>
    <row r="1132" spans="2:110" ht="10.4" customHeight="1" thickBot="1"/>
    <row r="1133" spans="2:110">
      <c r="C1133" s="553">
        <v>2025</v>
      </c>
      <c r="E1133" s="13" t="s">
        <v>59</v>
      </c>
      <c r="F1133" s="21">
        <f>CE1127</f>
        <v>0</v>
      </c>
      <c r="G1133" s="22">
        <f t="shared" ref="G1133:G1136" si="5195">CF1127</f>
        <v>0</v>
      </c>
      <c r="H1133" s="22">
        <f t="shared" ref="H1133:H1136" si="5196">CG1127</f>
        <v>0</v>
      </c>
      <c r="I1133" s="22">
        <f t="shared" ref="I1133:I1136" si="5197">CH1127</f>
        <v>0</v>
      </c>
      <c r="J1133" s="22">
        <f t="shared" ref="J1133:J1136" si="5198">CI1127</f>
        <v>0</v>
      </c>
      <c r="K1133" s="15">
        <f>SUM(F1133:J1133)</f>
        <v>0</v>
      </c>
      <c r="M1133" s="2"/>
      <c r="N1133" s="3"/>
      <c r="O1133" s="3"/>
      <c r="P1133" s="3"/>
      <c r="Q1133" s="3"/>
      <c r="R1133" s="15">
        <f>SUM(M1133:Q1133)</f>
        <v>0</v>
      </c>
      <c r="T1133" s="2"/>
      <c r="U1133" s="3"/>
      <c r="V1133" s="3"/>
      <c r="W1133" s="3"/>
      <c r="X1133" s="3"/>
      <c r="Y1133" s="15">
        <f>SUM(T1133:X1133)</f>
        <v>0</v>
      </c>
      <c r="AA1133" s="2"/>
      <c r="AB1133" s="3"/>
      <c r="AC1133" s="3"/>
      <c r="AD1133" s="3"/>
      <c r="AE1133" s="3"/>
      <c r="AF1133" s="15">
        <f>SUM(AA1133:AE1133)</f>
        <v>0</v>
      </c>
      <c r="AH1133" s="2"/>
      <c r="AI1133" s="3"/>
      <c r="AJ1133" s="3"/>
      <c r="AK1133" s="3"/>
      <c r="AL1133" s="3"/>
      <c r="AM1133" s="15">
        <f>SUM(AH1133:AL1133)</f>
        <v>0</v>
      </c>
      <c r="AO1133" s="2"/>
      <c r="AP1133" s="3"/>
      <c r="AQ1133" s="3"/>
      <c r="AR1133" s="3"/>
      <c r="AS1133" s="3"/>
      <c r="AT1133" s="15">
        <f>SUM(AO1133:AS1133)</f>
        <v>0</v>
      </c>
      <c r="AV1133" s="2"/>
      <c r="AW1133" s="3"/>
      <c r="AX1133" s="3"/>
      <c r="AY1133" s="3"/>
      <c r="AZ1133" s="3"/>
      <c r="BA1133" s="15">
        <f>SUM(AV1133:AZ1133)</f>
        <v>0</v>
      </c>
      <c r="BC1133" s="2"/>
      <c r="BD1133" s="3"/>
      <c r="BE1133" s="3"/>
      <c r="BF1133" s="3"/>
      <c r="BG1133" s="3"/>
      <c r="BH1133" s="15">
        <f>SUM(BC1133:BG1133)</f>
        <v>0</v>
      </c>
      <c r="BJ1133" s="2"/>
      <c r="BK1133" s="3"/>
      <c r="BL1133" s="3"/>
      <c r="BM1133" s="3"/>
      <c r="BN1133" s="3"/>
      <c r="BO1133" s="15">
        <f>SUM(BJ1133:BN1133)</f>
        <v>0</v>
      </c>
      <c r="BQ1133" s="2"/>
      <c r="BR1133" s="3"/>
      <c r="BS1133" s="3"/>
      <c r="BT1133" s="3"/>
      <c r="BU1133" s="3"/>
      <c r="BV1133" s="15">
        <f>SUM(BQ1133:BU1133)</f>
        <v>0</v>
      </c>
      <c r="BX1133" s="2"/>
      <c r="BY1133" s="3"/>
      <c r="BZ1133" s="3"/>
      <c r="CA1133" s="3"/>
      <c r="CB1133" s="3"/>
      <c r="CC1133" s="15">
        <f>SUM(BX1133:CB1133)</f>
        <v>0</v>
      </c>
      <c r="CE1133" s="26">
        <f t="shared" ref="CE1133:CE1136" si="5199">F1133+M1133+T1133+AA1133+AH1133+AO1133+AV1133+BC1133+BJ1133+BQ1133+BX1133</f>
        <v>0</v>
      </c>
      <c r="CF1133" s="27">
        <f t="shared" ref="CF1133:CF1136" si="5200">G1133+N1133+U1133+AB1133+AI1133+AP1133+AW1133+BD1133+BK1133+BR1133+BY1133</f>
        <v>0</v>
      </c>
      <c r="CG1133" s="27">
        <f t="shared" ref="CG1133:CG1136" si="5201">H1133+O1133+V1133+AC1133+AJ1133+AQ1133+AX1133+BE1133+BL1133+BS1133+BZ1133</f>
        <v>0</v>
      </c>
      <c r="CH1133" s="27">
        <f t="shared" ref="CH1133:CH1136" si="5202">I1133+P1133+W1133+AD1133+AK1133+AR1133+AY1133+BF1133+BM1133+BT1133+CA1133</f>
        <v>0</v>
      </c>
      <c r="CI1133" s="27">
        <f t="shared" ref="CI1133:CI1136" si="5203">J1133+Q1133+X1133+AE1133+AL1133+AS1133+AZ1133+BG1133+BN1133+BU1133+CB1133</f>
        <v>0</v>
      </c>
      <c r="CJ1133" s="4">
        <f>SUM(CE1133:CI1133)</f>
        <v>0</v>
      </c>
      <c r="CL1133" s="2"/>
      <c r="CM1133" s="3"/>
      <c r="CN1133" s="3"/>
      <c r="CO1133" s="3"/>
      <c r="CP1133" s="3"/>
      <c r="CQ1133" s="15">
        <f>SUM(CL1133:CP1133)</f>
        <v>0</v>
      </c>
      <c r="CS1133" s="2"/>
      <c r="CT1133" s="3"/>
      <c r="CU1133" s="3"/>
      <c r="CV1133" s="3"/>
      <c r="CW1133" s="3"/>
      <c r="CX1133" s="4">
        <f>SUM(CS1133:CW1133)</f>
        <v>0</v>
      </c>
      <c r="CZ1133" s="2"/>
      <c r="DA1133" s="3"/>
      <c r="DB1133" s="3"/>
      <c r="DC1133" s="3"/>
      <c r="DD1133" s="3"/>
      <c r="DE1133" s="15">
        <f>SUM(CZ1133:DD1133)</f>
        <v>0</v>
      </c>
    </row>
    <row r="1134" spans="2:110">
      <c r="C1134" s="567"/>
      <c r="E1134" s="14" t="s">
        <v>60</v>
      </c>
      <c r="F1134" s="23">
        <f t="shared" ref="F1134:F1136" si="5204">CE1128</f>
        <v>0</v>
      </c>
      <c r="G1134" s="24">
        <f t="shared" si="5195"/>
        <v>0</v>
      </c>
      <c r="H1134" s="24">
        <f t="shared" si="5196"/>
        <v>0</v>
      </c>
      <c r="I1134" s="24">
        <f t="shared" si="5197"/>
        <v>0</v>
      </c>
      <c r="J1134" s="24">
        <f t="shared" si="5198"/>
        <v>0</v>
      </c>
      <c r="K1134" s="16">
        <f t="shared" ref="K1134:K1136" si="5205">SUM(F1134:J1134)</f>
        <v>0</v>
      </c>
      <c r="M1134" s="6"/>
      <c r="N1134" s="7"/>
      <c r="O1134" s="7"/>
      <c r="P1134" s="7"/>
      <c r="Q1134" s="7"/>
      <c r="R1134" s="16">
        <f t="shared" ref="R1134:R1136" si="5206">SUM(M1134:Q1134)</f>
        <v>0</v>
      </c>
      <c r="T1134" s="6"/>
      <c r="U1134" s="7"/>
      <c r="V1134" s="7"/>
      <c r="W1134" s="7"/>
      <c r="X1134" s="7"/>
      <c r="Y1134" s="16">
        <f t="shared" ref="Y1134:Y1136" si="5207">SUM(T1134:X1134)</f>
        <v>0</v>
      </c>
      <c r="AA1134" s="6"/>
      <c r="AB1134" s="7"/>
      <c r="AC1134" s="7"/>
      <c r="AD1134" s="7"/>
      <c r="AE1134" s="7"/>
      <c r="AF1134" s="16">
        <f>SUM(AA1134:AE1134)</f>
        <v>0</v>
      </c>
      <c r="AH1134" s="6"/>
      <c r="AI1134" s="7"/>
      <c r="AJ1134" s="7"/>
      <c r="AK1134" s="7"/>
      <c r="AL1134" s="7"/>
      <c r="AM1134" s="16">
        <f>SUM(AH1134:AL1134)</f>
        <v>0</v>
      </c>
      <c r="AO1134" s="6"/>
      <c r="AP1134" s="7"/>
      <c r="AQ1134" s="7"/>
      <c r="AR1134" s="7"/>
      <c r="AS1134" s="7"/>
      <c r="AT1134" s="16">
        <f>SUM(AO1134:AS1134)</f>
        <v>0</v>
      </c>
      <c r="AV1134" s="6"/>
      <c r="AW1134" s="7"/>
      <c r="AX1134" s="7"/>
      <c r="AY1134" s="7"/>
      <c r="AZ1134" s="7"/>
      <c r="BA1134" s="16">
        <f>SUM(AV1134:AZ1134)</f>
        <v>0</v>
      </c>
      <c r="BC1134" s="6"/>
      <c r="BD1134" s="7"/>
      <c r="BE1134" s="7"/>
      <c r="BF1134" s="7"/>
      <c r="BG1134" s="7"/>
      <c r="BH1134" s="16">
        <f>SUM(BC1134:BG1134)</f>
        <v>0</v>
      </c>
      <c r="BJ1134" s="6"/>
      <c r="BK1134" s="7"/>
      <c r="BL1134" s="7"/>
      <c r="BM1134" s="7"/>
      <c r="BN1134" s="7"/>
      <c r="BO1134" s="16">
        <f>SUM(BJ1134:BN1134)</f>
        <v>0</v>
      </c>
      <c r="BQ1134" s="6"/>
      <c r="BR1134" s="7"/>
      <c r="BS1134" s="7"/>
      <c r="BT1134" s="7"/>
      <c r="BU1134" s="7"/>
      <c r="BV1134" s="16">
        <f>SUM(BQ1134:BU1134)</f>
        <v>0</v>
      </c>
      <c r="BX1134" s="6"/>
      <c r="BY1134" s="7"/>
      <c r="BZ1134" s="7"/>
      <c r="CA1134" s="7"/>
      <c r="CB1134" s="7"/>
      <c r="CC1134" s="16">
        <f>SUM(BX1134:CB1134)</f>
        <v>0</v>
      </c>
      <c r="CE1134" s="28">
        <f t="shared" si="5199"/>
        <v>0</v>
      </c>
      <c r="CF1134" s="29">
        <f t="shared" si="5200"/>
        <v>0</v>
      </c>
      <c r="CG1134" s="29">
        <f t="shared" si="5201"/>
        <v>0</v>
      </c>
      <c r="CH1134" s="29">
        <f t="shared" si="5202"/>
        <v>0</v>
      </c>
      <c r="CI1134" s="29">
        <f t="shared" si="5203"/>
        <v>0</v>
      </c>
      <c r="CJ1134" s="8">
        <f>SUM(CE1134:CI1134)</f>
        <v>0</v>
      </c>
      <c r="CL1134" s="6"/>
      <c r="CM1134" s="7"/>
      <c r="CN1134" s="7"/>
      <c r="CO1134" s="7"/>
      <c r="CP1134" s="7"/>
      <c r="CQ1134" s="16">
        <f>SUM(CL1134:CP1134)</f>
        <v>0</v>
      </c>
      <c r="CS1134" s="6"/>
      <c r="CT1134" s="7"/>
      <c r="CU1134" s="7"/>
      <c r="CV1134" s="7"/>
      <c r="CW1134" s="7"/>
      <c r="CX1134" s="8">
        <f t="shared" ref="CX1134:CX1136" si="5208">SUM(CS1134:CW1134)</f>
        <v>0</v>
      </c>
      <c r="CZ1134" s="6"/>
      <c r="DA1134" s="7"/>
      <c r="DB1134" s="7"/>
      <c r="DC1134" s="7"/>
      <c r="DD1134" s="7"/>
      <c r="DE1134" s="16">
        <f t="shared" ref="DE1134:DE1136" si="5209">SUM(CZ1134:DD1134)</f>
        <v>0</v>
      </c>
    </row>
    <row r="1135" spans="2:110">
      <c r="C1135" s="567"/>
      <c r="E1135" s="14" t="s">
        <v>61</v>
      </c>
      <c r="F1135" s="23">
        <f t="shared" si="5204"/>
        <v>0</v>
      </c>
      <c r="G1135" s="24">
        <f t="shared" si="5195"/>
        <v>0</v>
      </c>
      <c r="H1135" s="24">
        <f t="shared" si="5196"/>
        <v>0</v>
      </c>
      <c r="I1135" s="24">
        <f t="shared" si="5197"/>
        <v>0</v>
      </c>
      <c r="J1135" s="24">
        <f t="shared" si="5198"/>
        <v>0</v>
      </c>
      <c r="K1135" s="16">
        <f t="shared" si="5205"/>
        <v>0</v>
      </c>
      <c r="M1135" s="6"/>
      <c r="N1135" s="7"/>
      <c r="O1135" s="7"/>
      <c r="P1135" s="7"/>
      <c r="Q1135" s="7"/>
      <c r="R1135" s="16">
        <f t="shared" si="5206"/>
        <v>0</v>
      </c>
      <c r="T1135" s="6"/>
      <c r="U1135" s="7"/>
      <c r="V1135" s="7"/>
      <c r="W1135" s="7"/>
      <c r="X1135" s="7"/>
      <c r="Y1135" s="16">
        <f t="shared" si="5207"/>
        <v>0</v>
      </c>
      <c r="AA1135" s="6"/>
      <c r="AB1135" s="7"/>
      <c r="AC1135" s="7"/>
      <c r="AD1135" s="7"/>
      <c r="AE1135" s="7"/>
      <c r="AF1135" s="16">
        <f>SUM(AA1135:AE1135)</f>
        <v>0</v>
      </c>
      <c r="AH1135" s="6"/>
      <c r="AI1135" s="7"/>
      <c r="AJ1135" s="7"/>
      <c r="AK1135" s="7"/>
      <c r="AL1135" s="7"/>
      <c r="AM1135" s="16">
        <f>SUM(AH1135:AL1135)</f>
        <v>0</v>
      </c>
      <c r="AO1135" s="6"/>
      <c r="AP1135" s="7"/>
      <c r="AQ1135" s="7"/>
      <c r="AR1135" s="7"/>
      <c r="AS1135" s="7"/>
      <c r="AT1135" s="16">
        <f>SUM(AO1135:AS1135)</f>
        <v>0</v>
      </c>
      <c r="AV1135" s="6"/>
      <c r="AW1135" s="7"/>
      <c r="AX1135" s="7"/>
      <c r="AY1135" s="7"/>
      <c r="AZ1135" s="7"/>
      <c r="BA1135" s="16">
        <f>SUM(AV1135:AZ1135)</f>
        <v>0</v>
      </c>
      <c r="BC1135" s="6"/>
      <c r="BD1135" s="7"/>
      <c r="BE1135" s="7"/>
      <c r="BF1135" s="7"/>
      <c r="BG1135" s="7"/>
      <c r="BH1135" s="16">
        <f>SUM(BC1135:BG1135)</f>
        <v>0</v>
      </c>
      <c r="BJ1135" s="6"/>
      <c r="BK1135" s="7"/>
      <c r="BL1135" s="7"/>
      <c r="BM1135" s="7"/>
      <c r="BN1135" s="7"/>
      <c r="BO1135" s="16">
        <f>SUM(BJ1135:BN1135)</f>
        <v>0</v>
      </c>
      <c r="BQ1135" s="6"/>
      <c r="BR1135" s="7"/>
      <c r="BS1135" s="7"/>
      <c r="BT1135" s="7"/>
      <c r="BU1135" s="7"/>
      <c r="BV1135" s="16">
        <f>SUM(BQ1135:BU1135)</f>
        <v>0</v>
      </c>
      <c r="BX1135" s="6"/>
      <c r="BY1135" s="7"/>
      <c r="BZ1135" s="7"/>
      <c r="CA1135" s="7"/>
      <c r="CB1135" s="7"/>
      <c r="CC1135" s="16">
        <f>SUM(BX1135:CB1135)</f>
        <v>0</v>
      </c>
      <c r="CE1135" s="28">
        <f t="shared" si="5199"/>
        <v>0</v>
      </c>
      <c r="CF1135" s="29">
        <f t="shared" si="5200"/>
        <v>0</v>
      </c>
      <c r="CG1135" s="29">
        <f t="shared" si="5201"/>
        <v>0</v>
      </c>
      <c r="CH1135" s="29">
        <f t="shared" si="5202"/>
        <v>0</v>
      </c>
      <c r="CI1135" s="29">
        <f t="shared" si="5203"/>
        <v>0</v>
      </c>
      <c r="CJ1135" s="8">
        <f>SUM(CE1135:CI1135)</f>
        <v>0</v>
      </c>
      <c r="CL1135" s="6"/>
      <c r="CM1135" s="7"/>
      <c r="CN1135" s="7"/>
      <c r="CO1135" s="7"/>
      <c r="CP1135" s="7"/>
      <c r="CQ1135" s="16">
        <f>SUM(CL1135:CP1135)</f>
        <v>0</v>
      </c>
      <c r="CS1135" s="6"/>
      <c r="CT1135" s="7"/>
      <c r="CU1135" s="7"/>
      <c r="CV1135" s="7"/>
      <c r="CW1135" s="7"/>
      <c r="CX1135" s="8">
        <f t="shared" si="5208"/>
        <v>0</v>
      </c>
      <c r="CZ1135" s="6"/>
      <c r="DA1135" s="7"/>
      <c r="DB1135" s="7"/>
      <c r="DC1135" s="7"/>
      <c r="DD1135" s="7"/>
      <c r="DE1135" s="16">
        <f t="shared" si="5209"/>
        <v>0</v>
      </c>
    </row>
    <row r="1136" spans="2:110" ht="14" thickBot="1">
      <c r="C1136" s="567"/>
      <c r="E1136" s="14" t="s">
        <v>62</v>
      </c>
      <c r="F1136" s="23">
        <f t="shared" si="5204"/>
        <v>0</v>
      </c>
      <c r="G1136" s="24">
        <f t="shared" si="5195"/>
        <v>0</v>
      </c>
      <c r="H1136" s="24">
        <f t="shared" si="5196"/>
        <v>0</v>
      </c>
      <c r="I1136" s="24">
        <f t="shared" si="5197"/>
        <v>0</v>
      </c>
      <c r="J1136" s="24">
        <f t="shared" si="5198"/>
        <v>0</v>
      </c>
      <c r="K1136" s="16">
        <f t="shared" si="5205"/>
        <v>0</v>
      </c>
      <c r="M1136" s="6"/>
      <c r="N1136" s="7"/>
      <c r="O1136" s="7"/>
      <c r="P1136" s="7"/>
      <c r="Q1136" s="7"/>
      <c r="R1136" s="16">
        <f t="shared" si="5206"/>
        <v>0</v>
      </c>
      <c r="T1136" s="6"/>
      <c r="U1136" s="7"/>
      <c r="V1136" s="7"/>
      <c r="W1136" s="7"/>
      <c r="X1136" s="7"/>
      <c r="Y1136" s="16">
        <f t="shared" si="5207"/>
        <v>0</v>
      </c>
      <c r="AA1136" s="6"/>
      <c r="AB1136" s="7"/>
      <c r="AC1136" s="7"/>
      <c r="AD1136" s="7"/>
      <c r="AE1136" s="7"/>
      <c r="AF1136" s="16">
        <f>SUM(AA1136:AE1136)</f>
        <v>0</v>
      </c>
      <c r="AH1136" s="6"/>
      <c r="AI1136" s="7"/>
      <c r="AJ1136" s="7"/>
      <c r="AK1136" s="7"/>
      <c r="AL1136" s="7"/>
      <c r="AM1136" s="16">
        <f>SUM(AH1136:AL1136)</f>
        <v>0</v>
      </c>
      <c r="AO1136" s="6"/>
      <c r="AP1136" s="7"/>
      <c r="AQ1136" s="7"/>
      <c r="AR1136" s="7"/>
      <c r="AS1136" s="7"/>
      <c r="AT1136" s="16">
        <f>SUM(AO1136:AS1136)</f>
        <v>0</v>
      </c>
      <c r="AV1136" s="6"/>
      <c r="AW1136" s="7"/>
      <c r="AX1136" s="7"/>
      <c r="AY1136" s="7"/>
      <c r="AZ1136" s="7"/>
      <c r="BA1136" s="16">
        <f>SUM(AV1136:AZ1136)</f>
        <v>0</v>
      </c>
      <c r="BC1136" s="6"/>
      <c r="BD1136" s="7"/>
      <c r="BE1136" s="7"/>
      <c r="BF1136" s="7"/>
      <c r="BG1136" s="7"/>
      <c r="BH1136" s="16">
        <f>SUM(BC1136:BG1136)</f>
        <v>0</v>
      </c>
      <c r="BJ1136" s="6"/>
      <c r="BK1136" s="7"/>
      <c r="BL1136" s="7"/>
      <c r="BM1136" s="7"/>
      <c r="BN1136" s="7"/>
      <c r="BO1136" s="16">
        <f>SUM(BJ1136:BN1136)</f>
        <v>0</v>
      </c>
      <c r="BQ1136" s="6"/>
      <c r="BR1136" s="7"/>
      <c r="BS1136" s="7"/>
      <c r="BT1136" s="7"/>
      <c r="BU1136" s="7"/>
      <c r="BV1136" s="16">
        <f>SUM(BQ1136:BU1136)</f>
        <v>0</v>
      </c>
      <c r="BX1136" s="6"/>
      <c r="BY1136" s="7"/>
      <c r="BZ1136" s="7"/>
      <c r="CA1136" s="7"/>
      <c r="CB1136" s="7"/>
      <c r="CC1136" s="16">
        <f>SUM(BX1136:CB1136)</f>
        <v>0</v>
      </c>
      <c r="CE1136" s="493">
        <f t="shared" si="5199"/>
        <v>0</v>
      </c>
      <c r="CF1136" s="494">
        <f t="shared" si="5200"/>
        <v>0</v>
      </c>
      <c r="CG1136" s="494">
        <f t="shared" si="5201"/>
        <v>0</v>
      </c>
      <c r="CH1136" s="494">
        <f t="shared" si="5202"/>
        <v>0</v>
      </c>
      <c r="CI1136" s="494">
        <f t="shared" si="5203"/>
        <v>0</v>
      </c>
      <c r="CJ1136" s="495">
        <f>SUM(CE1136:CI1136)</f>
        <v>0</v>
      </c>
      <c r="CL1136" s="6"/>
      <c r="CM1136" s="7"/>
      <c r="CN1136" s="7"/>
      <c r="CO1136" s="7"/>
      <c r="CP1136" s="7"/>
      <c r="CQ1136" s="16">
        <f>SUM(CL1136:CP1136)</f>
        <v>0</v>
      </c>
      <c r="CS1136" s="6"/>
      <c r="CT1136" s="7"/>
      <c r="CU1136" s="7"/>
      <c r="CV1136" s="7"/>
      <c r="CW1136" s="7"/>
      <c r="CX1136" s="8">
        <f t="shared" si="5208"/>
        <v>0</v>
      </c>
      <c r="CZ1136" s="6"/>
      <c r="DA1136" s="7"/>
      <c r="DB1136" s="7"/>
      <c r="DC1136" s="7"/>
      <c r="DD1136" s="7"/>
      <c r="DE1136" s="16">
        <f t="shared" si="5209"/>
        <v>0</v>
      </c>
    </row>
    <row r="1137" spans="3:109" ht="14" thickBot="1">
      <c r="C1137" s="554"/>
      <c r="E1137" s="17"/>
      <c r="F1137" s="10">
        <f>SUM(F1133:F1136)</f>
        <v>0</v>
      </c>
      <c r="G1137" s="11">
        <f t="shared" ref="G1137:J1137" si="5210">SUM(G1133:G1136)</f>
        <v>0</v>
      </c>
      <c r="H1137" s="11">
        <f t="shared" si="5210"/>
        <v>0</v>
      </c>
      <c r="I1137" s="11">
        <f t="shared" si="5210"/>
        <v>0</v>
      </c>
      <c r="J1137" s="11">
        <f t="shared" si="5210"/>
        <v>0</v>
      </c>
      <c r="K1137" s="25">
        <f>SUM(K1133:K1136)</f>
        <v>0</v>
      </c>
      <c r="M1137" s="10">
        <f>SUM(M1133:M1136)</f>
        <v>0</v>
      </c>
      <c r="N1137" s="11">
        <f t="shared" ref="N1137:Q1137" si="5211">SUM(N1133:N1136)</f>
        <v>0</v>
      </c>
      <c r="O1137" s="11">
        <f t="shared" si="5211"/>
        <v>0</v>
      </c>
      <c r="P1137" s="11">
        <f t="shared" si="5211"/>
        <v>0</v>
      </c>
      <c r="Q1137" s="11">
        <f t="shared" si="5211"/>
        <v>0</v>
      </c>
      <c r="R1137" s="25">
        <f>SUM(R1133:R1136)</f>
        <v>0</v>
      </c>
      <c r="T1137" s="10">
        <f>SUM(T1133:T1136)</f>
        <v>0</v>
      </c>
      <c r="U1137" s="11">
        <f t="shared" ref="U1137:X1137" si="5212">SUM(U1133:U1136)</f>
        <v>0</v>
      </c>
      <c r="V1137" s="11">
        <f t="shared" si="5212"/>
        <v>0</v>
      </c>
      <c r="W1137" s="11">
        <f t="shared" si="5212"/>
        <v>0</v>
      </c>
      <c r="X1137" s="11">
        <f t="shared" si="5212"/>
        <v>0</v>
      </c>
      <c r="Y1137" s="25">
        <f>SUM(Y1133:Y1136)</f>
        <v>0</v>
      </c>
      <c r="AA1137" s="10">
        <f>SUM(AA1133:AA1136)</f>
        <v>0</v>
      </c>
      <c r="AB1137" s="11">
        <f t="shared" ref="AB1137:AE1137" si="5213">SUM(AB1133:AB1136)</f>
        <v>0</v>
      </c>
      <c r="AC1137" s="11">
        <f t="shared" si="5213"/>
        <v>0</v>
      </c>
      <c r="AD1137" s="11">
        <f t="shared" si="5213"/>
        <v>0</v>
      </c>
      <c r="AE1137" s="11">
        <f t="shared" si="5213"/>
        <v>0</v>
      </c>
      <c r="AF1137" s="25">
        <f>SUM(AF1133:AF1136)</f>
        <v>0</v>
      </c>
      <c r="AH1137" s="10">
        <f t="shared" ref="AH1137:AM1137" si="5214">SUM(AH1133:AH1136)</f>
        <v>0</v>
      </c>
      <c r="AI1137" s="11">
        <f t="shared" si="5214"/>
        <v>0</v>
      </c>
      <c r="AJ1137" s="11">
        <f t="shared" si="5214"/>
        <v>0</v>
      </c>
      <c r="AK1137" s="11">
        <f t="shared" si="5214"/>
        <v>0</v>
      </c>
      <c r="AL1137" s="11">
        <f t="shared" si="5214"/>
        <v>0</v>
      </c>
      <c r="AM1137" s="25">
        <f t="shared" si="5214"/>
        <v>0</v>
      </c>
      <c r="AO1137" s="10">
        <f t="shared" ref="AO1137:AT1137" si="5215">SUM(AO1133:AO1136)</f>
        <v>0</v>
      </c>
      <c r="AP1137" s="11">
        <f t="shared" si="5215"/>
        <v>0</v>
      </c>
      <c r="AQ1137" s="11">
        <f t="shared" si="5215"/>
        <v>0</v>
      </c>
      <c r="AR1137" s="11">
        <f t="shared" si="5215"/>
        <v>0</v>
      </c>
      <c r="AS1137" s="11">
        <f t="shared" si="5215"/>
        <v>0</v>
      </c>
      <c r="AT1137" s="25">
        <f t="shared" si="5215"/>
        <v>0</v>
      </c>
      <c r="AV1137" s="10">
        <f t="shared" ref="AV1137:BA1137" si="5216">SUM(AV1133:AV1136)</f>
        <v>0</v>
      </c>
      <c r="AW1137" s="11">
        <f t="shared" si="5216"/>
        <v>0</v>
      </c>
      <c r="AX1137" s="11">
        <f t="shared" si="5216"/>
        <v>0</v>
      </c>
      <c r="AY1137" s="11">
        <f t="shared" si="5216"/>
        <v>0</v>
      </c>
      <c r="AZ1137" s="11">
        <f t="shared" si="5216"/>
        <v>0</v>
      </c>
      <c r="BA1137" s="25">
        <f t="shared" si="5216"/>
        <v>0</v>
      </c>
      <c r="BC1137" s="10">
        <f t="shared" ref="BC1137:BH1137" si="5217">SUM(BC1133:BC1136)</f>
        <v>0</v>
      </c>
      <c r="BD1137" s="11">
        <f t="shared" si="5217"/>
        <v>0</v>
      </c>
      <c r="BE1137" s="11">
        <f t="shared" si="5217"/>
        <v>0</v>
      </c>
      <c r="BF1137" s="11">
        <f t="shared" si="5217"/>
        <v>0</v>
      </c>
      <c r="BG1137" s="11">
        <f t="shared" si="5217"/>
        <v>0</v>
      </c>
      <c r="BH1137" s="25">
        <f t="shared" si="5217"/>
        <v>0</v>
      </c>
      <c r="BJ1137" s="10">
        <f t="shared" ref="BJ1137:BO1137" si="5218">SUM(BJ1133:BJ1136)</f>
        <v>0</v>
      </c>
      <c r="BK1137" s="11">
        <f t="shared" si="5218"/>
        <v>0</v>
      </c>
      <c r="BL1137" s="11">
        <f t="shared" si="5218"/>
        <v>0</v>
      </c>
      <c r="BM1137" s="11">
        <f t="shared" si="5218"/>
        <v>0</v>
      </c>
      <c r="BN1137" s="11">
        <f t="shared" si="5218"/>
        <v>0</v>
      </c>
      <c r="BO1137" s="25">
        <f t="shared" si="5218"/>
        <v>0</v>
      </c>
      <c r="BQ1137" s="10">
        <f t="shared" ref="BQ1137:BV1137" si="5219">SUM(BQ1133:BQ1136)</f>
        <v>0</v>
      </c>
      <c r="BR1137" s="11">
        <f t="shared" si="5219"/>
        <v>0</v>
      </c>
      <c r="BS1137" s="11">
        <f t="shared" si="5219"/>
        <v>0</v>
      </c>
      <c r="BT1137" s="11">
        <f t="shared" si="5219"/>
        <v>0</v>
      </c>
      <c r="BU1137" s="11">
        <f t="shared" si="5219"/>
        <v>0</v>
      </c>
      <c r="BV1137" s="25">
        <f t="shared" si="5219"/>
        <v>0</v>
      </c>
      <c r="BX1137" s="10">
        <f t="shared" ref="BX1137:CC1137" si="5220">SUM(BX1133:BX1136)</f>
        <v>0</v>
      </c>
      <c r="BY1137" s="11">
        <f t="shared" si="5220"/>
        <v>0</v>
      </c>
      <c r="BZ1137" s="11">
        <f t="shared" si="5220"/>
        <v>0</v>
      </c>
      <c r="CA1137" s="11">
        <f t="shared" si="5220"/>
        <v>0</v>
      </c>
      <c r="CB1137" s="11">
        <f t="shared" si="5220"/>
        <v>0</v>
      </c>
      <c r="CC1137" s="25">
        <f t="shared" si="5220"/>
        <v>0</v>
      </c>
      <c r="CE1137" s="62">
        <f t="shared" ref="CE1137:CJ1137" si="5221">SUM(CE1133:CE1136)</f>
        <v>0</v>
      </c>
      <c r="CF1137" s="63">
        <f t="shared" si="5221"/>
        <v>0</v>
      </c>
      <c r="CG1137" s="63">
        <f t="shared" si="5221"/>
        <v>0</v>
      </c>
      <c r="CH1137" s="63">
        <f t="shared" si="5221"/>
        <v>0</v>
      </c>
      <c r="CI1137" s="63">
        <f t="shared" si="5221"/>
        <v>0</v>
      </c>
      <c r="CJ1137" s="25">
        <f t="shared" si="5221"/>
        <v>0</v>
      </c>
      <c r="CL1137" s="10">
        <f>SUM(CL1133:CL1136)</f>
        <v>0</v>
      </c>
      <c r="CM1137" s="11">
        <f t="shared" ref="CM1137:CQ1137" si="5222">SUM(CM1133:CM1136)</f>
        <v>0</v>
      </c>
      <c r="CN1137" s="11">
        <f t="shared" si="5222"/>
        <v>0</v>
      </c>
      <c r="CO1137" s="11">
        <f t="shared" si="5222"/>
        <v>0</v>
      </c>
      <c r="CP1137" s="11">
        <f t="shared" si="5222"/>
        <v>0</v>
      </c>
      <c r="CQ1137" s="25">
        <f t="shared" si="5222"/>
        <v>0</v>
      </c>
      <c r="CS1137" s="10">
        <f>SUM(CS1133:CS1136)</f>
        <v>0</v>
      </c>
      <c r="CT1137" s="11">
        <f t="shared" ref="CT1137:CW1137" si="5223">SUM(CT1133:CT1136)</f>
        <v>0</v>
      </c>
      <c r="CU1137" s="11">
        <f t="shared" si="5223"/>
        <v>0</v>
      </c>
      <c r="CV1137" s="11">
        <f t="shared" si="5223"/>
        <v>0</v>
      </c>
      <c r="CW1137" s="11">
        <f t="shared" si="5223"/>
        <v>0</v>
      </c>
      <c r="CX1137" s="25">
        <f>SUM(CX1133:CX1136)</f>
        <v>0</v>
      </c>
      <c r="CZ1137" s="10">
        <f>SUM(CZ1133:CZ1136)</f>
        <v>0</v>
      </c>
      <c r="DA1137" s="11">
        <f t="shared" ref="DA1137:DD1137" si="5224">SUM(DA1133:DA1136)</f>
        <v>0</v>
      </c>
      <c r="DB1137" s="11">
        <f t="shared" si="5224"/>
        <v>0</v>
      </c>
      <c r="DC1137" s="11">
        <f t="shared" si="5224"/>
        <v>0</v>
      </c>
      <c r="DD1137" s="11">
        <f t="shared" si="5224"/>
        <v>0</v>
      </c>
      <c r="DE1137" s="25">
        <f>SUM(DE1133:DE1136)</f>
        <v>0</v>
      </c>
    </row>
    <row r="1138" spans="3:109" ht="10.4" customHeight="1" thickBot="1"/>
    <row r="1139" spans="3:109">
      <c r="C1139" s="553">
        <v>2026</v>
      </c>
      <c r="E1139" s="1" t="s">
        <v>59</v>
      </c>
      <c r="F1139" s="21">
        <f>CE1133</f>
        <v>0</v>
      </c>
      <c r="G1139" s="22">
        <f t="shared" ref="G1139:G1142" si="5225">CF1133</f>
        <v>0</v>
      </c>
      <c r="H1139" s="22">
        <f t="shared" ref="H1139:H1142" si="5226">CG1133</f>
        <v>0</v>
      </c>
      <c r="I1139" s="22">
        <f t="shared" ref="I1139:I1142" si="5227">CH1133</f>
        <v>0</v>
      </c>
      <c r="J1139" s="22">
        <f t="shared" ref="J1139:J1142" si="5228">CI1133</f>
        <v>0</v>
      </c>
      <c r="K1139" s="4">
        <f>SUM(F1139:J1139)</f>
        <v>0</v>
      </c>
      <c r="M1139" s="2"/>
      <c r="N1139" s="3"/>
      <c r="O1139" s="3"/>
      <c r="P1139" s="3"/>
      <c r="Q1139" s="3"/>
      <c r="R1139" s="4">
        <f>SUM(M1139:Q1139)</f>
        <v>0</v>
      </c>
      <c r="T1139" s="2"/>
      <c r="U1139" s="3"/>
      <c r="V1139" s="3"/>
      <c r="W1139" s="3"/>
      <c r="X1139" s="3"/>
      <c r="Y1139" s="4">
        <f>SUM(T1139:X1139)</f>
        <v>0</v>
      </c>
      <c r="AA1139" s="2"/>
      <c r="AB1139" s="3"/>
      <c r="AC1139" s="3"/>
      <c r="AD1139" s="3"/>
      <c r="AE1139" s="3"/>
      <c r="AF1139" s="4">
        <f>SUM(AA1139:AE1139)</f>
        <v>0</v>
      </c>
      <c r="AH1139" s="2"/>
      <c r="AI1139" s="3"/>
      <c r="AJ1139" s="3"/>
      <c r="AK1139" s="3"/>
      <c r="AL1139" s="3"/>
      <c r="AM1139" s="4">
        <f>SUM(AH1139:AL1139)</f>
        <v>0</v>
      </c>
      <c r="AO1139" s="2"/>
      <c r="AP1139" s="3"/>
      <c r="AQ1139" s="3"/>
      <c r="AR1139" s="3"/>
      <c r="AS1139" s="3"/>
      <c r="AT1139" s="4">
        <f>SUM(AO1139:AS1139)</f>
        <v>0</v>
      </c>
      <c r="AV1139" s="2"/>
      <c r="AW1139" s="3"/>
      <c r="AX1139" s="3"/>
      <c r="AY1139" s="3"/>
      <c r="AZ1139" s="3"/>
      <c r="BA1139" s="4">
        <f>SUM(AV1139:AZ1139)</f>
        <v>0</v>
      </c>
      <c r="BC1139" s="2"/>
      <c r="BD1139" s="3"/>
      <c r="BE1139" s="3"/>
      <c r="BF1139" s="3"/>
      <c r="BG1139" s="3"/>
      <c r="BH1139" s="4">
        <f>SUM(BC1139:BG1139)</f>
        <v>0</v>
      </c>
      <c r="BJ1139" s="2"/>
      <c r="BK1139" s="3"/>
      <c r="BL1139" s="3"/>
      <c r="BM1139" s="3"/>
      <c r="BN1139" s="3"/>
      <c r="BO1139" s="4">
        <f>SUM(BJ1139:BN1139)</f>
        <v>0</v>
      </c>
      <c r="BQ1139" s="2"/>
      <c r="BR1139" s="3"/>
      <c r="BS1139" s="3"/>
      <c r="BT1139" s="3"/>
      <c r="BU1139" s="3"/>
      <c r="BV1139" s="4">
        <f>SUM(BQ1139:BU1139)</f>
        <v>0</v>
      </c>
      <c r="BX1139" s="2"/>
      <c r="BY1139" s="3"/>
      <c r="BZ1139" s="3"/>
      <c r="CA1139" s="3"/>
      <c r="CB1139" s="3"/>
      <c r="CC1139" s="4">
        <f>SUM(BX1139:CB1139)</f>
        <v>0</v>
      </c>
      <c r="CE1139" s="26">
        <f t="shared" ref="CE1139:CE1142" si="5229">F1139+M1139+T1139+AA1139+AH1139+AO1139+AV1139+BC1139+BJ1139+BQ1139+BX1139</f>
        <v>0</v>
      </c>
      <c r="CF1139" s="27">
        <f t="shared" ref="CF1139:CF1142" si="5230">G1139+N1139+U1139+AB1139+AI1139+AP1139+AW1139+BD1139+BK1139+BR1139+BY1139</f>
        <v>0</v>
      </c>
      <c r="CG1139" s="27">
        <f t="shared" ref="CG1139:CG1142" si="5231">H1139+O1139+V1139+AC1139+AJ1139+AQ1139+AX1139+BE1139+BL1139+BS1139+BZ1139</f>
        <v>0</v>
      </c>
      <c r="CH1139" s="27">
        <f t="shared" ref="CH1139:CH1142" si="5232">I1139+P1139+W1139+AD1139+AK1139+AR1139+AY1139+BF1139+BM1139+BT1139+CA1139</f>
        <v>0</v>
      </c>
      <c r="CI1139" s="27">
        <f t="shared" ref="CI1139:CI1142" si="5233">J1139+Q1139+X1139+AE1139+AL1139+AS1139+AZ1139+BG1139+BN1139+BU1139+CB1139</f>
        <v>0</v>
      </c>
      <c r="CJ1139" s="4">
        <f>SUM(CE1139:CI1139)</f>
        <v>0</v>
      </c>
      <c r="CL1139" s="2"/>
      <c r="CM1139" s="3"/>
      <c r="CN1139" s="3"/>
      <c r="CO1139" s="3"/>
      <c r="CP1139" s="3"/>
      <c r="CQ1139" s="4">
        <f>SUM(CL1139:CP1139)</f>
        <v>0</v>
      </c>
      <c r="CS1139" s="2"/>
      <c r="CT1139" s="3"/>
      <c r="CU1139" s="3"/>
      <c r="CV1139" s="3"/>
      <c r="CW1139" s="3"/>
      <c r="CX1139" s="4">
        <f>SUM(CS1139:CW1139)</f>
        <v>0</v>
      </c>
      <c r="CZ1139" s="2"/>
      <c r="DA1139" s="3"/>
      <c r="DB1139" s="3"/>
      <c r="DC1139" s="3"/>
      <c r="DD1139" s="3"/>
      <c r="DE1139" s="4">
        <f>SUM(CZ1139:DD1139)</f>
        <v>0</v>
      </c>
    </row>
    <row r="1140" spans="3:109">
      <c r="C1140" s="567"/>
      <c r="E1140" s="5" t="s">
        <v>60</v>
      </c>
      <c r="F1140" s="23">
        <f t="shared" ref="F1140:F1142" si="5234">CE1134</f>
        <v>0</v>
      </c>
      <c r="G1140" s="24">
        <f t="shared" si="5225"/>
        <v>0</v>
      </c>
      <c r="H1140" s="24">
        <f t="shared" si="5226"/>
        <v>0</v>
      </c>
      <c r="I1140" s="24">
        <f t="shared" si="5227"/>
        <v>0</v>
      </c>
      <c r="J1140" s="24">
        <f t="shared" si="5228"/>
        <v>0</v>
      </c>
      <c r="K1140" s="8">
        <f t="shared" ref="K1140:K1142" si="5235">SUM(F1140:J1140)</f>
        <v>0</v>
      </c>
      <c r="M1140" s="6"/>
      <c r="N1140" s="7"/>
      <c r="O1140" s="7"/>
      <c r="P1140" s="7"/>
      <c r="Q1140" s="7"/>
      <c r="R1140" s="8">
        <f t="shared" ref="R1140:R1142" si="5236">SUM(M1140:Q1140)</f>
        <v>0</v>
      </c>
      <c r="T1140" s="6"/>
      <c r="U1140" s="7"/>
      <c r="V1140" s="7"/>
      <c r="W1140" s="7"/>
      <c r="X1140" s="7"/>
      <c r="Y1140" s="8">
        <f t="shared" ref="Y1140:Y1142" si="5237">SUM(T1140:X1140)</f>
        <v>0</v>
      </c>
      <c r="AA1140" s="6"/>
      <c r="AB1140" s="7"/>
      <c r="AC1140" s="7"/>
      <c r="AD1140" s="7"/>
      <c r="AE1140" s="7"/>
      <c r="AF1140" s="8">
        <f>SUM(AA1140:AE1140)</f>
        <v>0</v>
      </c>
      <c r="AH1140" s="6"/>
      <c r="AI1140" s="7"/>
      <c r="AJ1140" s="7"/>
      <c r="AK1140" s="7"/>
      <c r="AL1140" s="7"/>
      <c r="AM1140" s="8">
        <f>SUM(AH1140:AL1140)</f>
        <v>0</v>
      </c>
      <c r="AO1140" s="6"/>
      <c r="AP1140" s="7"/>
      <c r="AQ1140" s="7"/>
      <c r="AR1140" s="7"/>
      <c r="AS1140" s="7"/>
      <c r="AT1140" s="8">
        <f>SUM(AO1140:AS1140)</f>
        <v>0</v>
      </c>
      <c r="AV1140" s="6"/>
      <c r="AW1140" s="7"/>
      <c r="AX1140" s="7"/>
      <c r="AY1140" s="7"/>
      <c r="AZ1140" s="7"/>
      <c r="BA1140" s="8">
        <f>SUM(AV1140:AZ1140)</f>
        <v>0</v>
      </c>
      <c r="BC1140" s="6"/>
      <c r="BD1140" s="7"/>
      <c r="BE1140" s="7"/>
      <c r="BF1140" s="7"/>
      <c r="BG1140" s="7"/>
      <c r="BH1140" s="8">
        <f>SUM(BC1140:BG1140)</f>
        <v>0</v>
      </c>
      <c r="BJ1140" s="6"/>
      <c r="BK1140" s="7"/>
      <c r="BL1140" s="7"/>
      <c r="BM1140" s="7"/>
      <c r="BN1140" s="7"/>
      <c r="BO1140" s="8">
        <f>SUM(BJ1140:BN1140)</f>
        <v>0</v>
      </c>
      <c r="BQ1140" s="6"/>
      <c r="BR1140" s="7"/>
      <c r="BS1140" s="7"/>
      <c r="BT1140" s="7"/>
      <c r="BU1140" s="7"/>
      <c r="BV1140" s="8">
        <f>SUM(BQ1140:BU1140)</f>
        <v>0</v>
      </c>
      <c r="BX1140" s="6"/>
      <c r="BY1140" s="7"/>
      <c r="BZ1140" s="7"/>
      <c r="CA1140" s="7"/>
      <c r="CB1140" s="7"/>
      <c r="CC1140" s="8">
        <f>SUM(BX1140:CB1140)</f>
        <v>0</v>
      </c>
      <c r="CE1140" s="28">
        <f t="shared" si="5229"/>
        <v>0</v>
      </c>
      <c r="CF1140" s="29">
        <f t="shared" si="5230"/>
        <v>0</v>
      </c>
      <c r="CG1140" s="29">
        <f t="shared" si="5231"/>
        <v>0</v>
      </c>
      <c r="CH1140" s="29">
        <f t="shared" si="5232"/>
        <v>0</v>
      </c>
      <c r="CI1140" s="29">
        <f t="shared" si="5233"/>
        <v>0</v>
      </c>
      <c r="CJ1140" s="8">
        <f>SUM(CE1140:CI1140)</f>
        <v>0</v>
      </c>
      <c r="CL1140" s="6"/>
      <c r="CM1140" s="7"/>
      <c r="CN1140" s="7"/>
      <c r="CO1140" s="7"/>
      <c r="CP1140" s="7"/>
      <c r="CQ1140" s="8">
        <f>SUM(CL1140:CP1140)</f>
        <v>0</v>
      </c>
      <c r="CS1140" s="6"/>
      <c r="CT1140" s="7"/>
      <c r="CU1140" s="7"/>
      <c r="CV1140" s="7"/>
      <c r="CW1140" s="7"/>
      <c r="CX1140" s="8">
        <f t="shared" ref="CX1140:CX1142" si="5238">SUM(CS1140:CW1140)</f>
        <v>0</v>
      </c>
      <c r="CZ1140" s="6"/>
      <c r="DA1140" s="7"/>
      <c r="DB1140" s="7"/>
      <c r="DC1140" s="7"/>
      <c r="DD1140" s="7"/>
      <c r="DE1140" s="8">
        <f t="shared" ref="DE1140:DE1142" si="5239">SUM(CZ1140:DD1140)</f>
        <v>0</v>
      </c>
    </row>
    <row r="1141" spans="3:109">
      <c r="C1141" s="567"/>
      <c r="E1141" s="5" t="s">
        <v>61</v>
      </c>
      <c r="F1141" s="23">
        <f t="shared" si="5234"/>
        <v>0</v>
      </c>
      <c r="G1141" s="24">
        <f t="shared" si="5225"/>
        <v>0</v>
      </c>
      <c r="H1141" s="24">
        <f t="shared" si="5226"/>
        <v>0</v>
      </c>
      <c r="I1141" s="24">
        <f t="shared" si="5227"/>
        <v>0</v>
      </c>
      <c r="J1141" s="24">
        <f t="shared" si="5228"/>
        <v>0</v>
      </c>
      <c r="K1141" s="8">
        <f t="shared" si="5235"/>
        <v>0</v>
      </c>
      <c r="M1141" s="6"/>
      <c r="N1141" s="7"/>
      <c r="O1141" s="7"/>
      <c r="P1141" s="7"/>
      <c r="Q1141" s="7"/>
      <c r="R1141" s="8">
        <f t="shared" si="5236"/>
        <v>0</v>
      </c>
      <c r="T1141" s="6"/>
      <c r="U1141" s="7"/>
      <c r="V1141" s="7"/>
      <c r="W1141" s="7"/>
      <c r="X1141" s="7"/>
      <c r="Y1141" s="8">
        <f t="shared" si="5237"/>
        <v>0</v>
      </c>
      <c r="AA1141" s="6"/>
      <c r="AB1141" s="7"/>
      <c r="AC1141" s="7"/>
      <c r="AD1141" s="7"/>
      <c r="AE1141" s="7"/>
      <c r="AF1141" s="8">
        <f>SUM(AA1141:AE1141)</f>
        <v>0</v>
      </c>
      <c r="AH1141" s="6"/>
      <c r="AI1141" s="7"/>
      <c r="AJ1141" s="7"/>
      <c r="AK1141" s="7"/>
      <c r="AL1141" s="7"/>
      <c r="AM1141" s="8">
        <f>SUM(AH1141:AL1141)</f>
        <v>0</v>
      </c>
      <c r="AO1141" s="6"/>
      <c r="AP1141" s="7"/>
      <c r="AQ1141" s="7"/>
      <c r="AR1141" s="7"/>
      <c r="AS1141" s="7"/>
      <c r="AT1141" s="8">
        <f>SUM(AO1141:AS1141)</f>
        <v>0</v>
      </c>
      <c r="AV1141" s="6"/>
      <c r="AW1141" s="7"/>
      <c r="AX1141" s="7"/>
      <c r="AY1141" s="7"/>
      <c r="AZ1141" s="7"/>
      <c r="BA1141" s="8">
        <f>SUM(AV1141:AZ1141)</f>
        <v>0</v>
      </c>
      <c r="BC1141" s="6"/>
      <c r="BD1141" s="7"/>
      <c r="BE1141" s="7"/>
      <c r="BF1141" s="7"/>
      <c r="BG1141" s="7"/>
      <c r="BH1141" s="8">
        <f>SUM(BC1141:BG1141)</f>
        <v>0</v>
      </c>
      <c r="BJ1141" s="6"/>
      <c r="BK1141" s="7"/>
      <c r="BL1141" s="7"/>
      <c r="BM1141" s="7"/>
      <c r="BN1141" s="7"/>
      <c r="BO1141" s="8">
        <f>SUM(BJ1141:BN1141)</f>
        <v>0</v>
      </c>
      <c r="BQ1141" s="6"/>
      <c r="BR1141" s="7"/>
      <c r="BS1141" s="7"/>
      <c r="BT1141" s="7"/>
      <c r="BU1141" s="7"/>
      <c r="BV1141" s="8">
        <f>SUM(BQ1141:BU1141)</f>
        <v>0</v>
      </c>
      <c r="BX1141" s="6"/>
      <c r="BY1141" s="7"/>
      <c r="BZ1141" s="7"/>
      <c r="CA1141" s="7"/>
      <c r="CB1141" s="7"/>
      <c r="CC1141" s="8">
        <f>SUM(BX1141:CB1141)</f>
        <v>0</v>
      </c>
      <c r="CE1141" s="28">
        <f t="shared" si="5229"/>
        <v>0</v>
      </c>
      <c r="CF1141" s="29">
        <f t="shared" si="5230"/>
        <v>0</v>
      </c>
      <c r="CG1141" s="29">
        <f t="shared" si="5231"/>
        <v>0</v>
      </c>
      <c r="CH1141" s="29">
        <f t="shared" si="5232"/>
        <v>0</v>
      </c>
      <c r="CI1141" s="29">
        <f t="shared" si="5233"/>
        <v>0</v>
      </c>
      <c r="CJ1141" s="8">
        <f>SUM(CE1141:CI1141)</f>
        <v>0</v>
      </c>
      <c r="CL1141" s="6"/>
      <c r="CM1141" s="7"/>
      <c r="CN1141" s="7"/>
      <c r="CO1141" s="7"/>
      <c r="CP1141" s="7"/>
      <c r="CQ1141" s="8">
        <f>SUM(CL1141:CP1141)</f>
        <v>0</v>
      </c>
      <c r="CS1141" s="6"/>
      <c r="CT1141" s="7"/>
      <c r="CU1141" s="7"/>
      <c r="CV1141" s="7"/>
      <c r="CW1141" s="7"/>
      <c r="CX1141" s="8">
        <f t="shared" si="5238"/>
        <v>0</v>
      </c>
      <c r="CZ1141" s="6"/>
      <c r="DA1141" s="7"/>
      <c r="DB1141" s="7"/>
      <c r="DC1141" s="7"/>
      <c r="DD1141" s="7"/>
      <c r="DE1141" s="8">
        <f t="shared" si="5239"/>
        <v>0</v>
      </c>
    </row>
    <row r="1142" spans="3:109" ht="14" thickBot="1">
      <c r="C1142" s="567"/>
      <c r="E1142" s="5" t="s">
        <v>62</v>
      </c>
      <c r="F1142" s="23">
        <f t="shared" si="5234"/>
        <v>0</v>
      </c>
      <c r="G1142" s="24">
        <f t="shared" si="5225"/>
        <v>0</v>
      </c>
      <c r="H1142" s="24">
        <f t="shared" si="5226"/>
        <v>0</v>
      </c>
      <c r="I1142" s="24">
        <f t="shared" si="5227"/>
        <v>0</v>
      </c>
      <c r="J1142" s="24">
        <f t="shared" si="5228"/>
        <v>0</v>
      </c>
      <c r="K1142" s="8">
        <f t="shared" si="5235"/>
        <v>0</v>
      </c>
      <c r="M1142" s="6"/>
      <c r="N1142" s="7"/>
      <c r="O1142" s="7"/>
      <c r="P1142" s="7"/>
      <c r="Q1142" s="7"/>
      <c r="R1142" s="8">
        <f t="shared" si="5236"/>
        <v>0</v>
      </c>
      <c r="T1142" s="6"/>
      <c r="U1142" s="7"/>
      <c r="V1142" s="7"/>
      <c r="W1142" s="7"/>
      <c r="X1142" s="7"/>
      <c r="Y1142" s="8">
        <f t="shared" si="5237"/>
        <v>0</v>
      </c>
      <c r="AA1142" s="6"/>
      <c r="AB1142" s="7"/>
      <c r="AC1142" s="7"/>
      <c r="AD1142" s="7"/>
      <c r="AE1142" s="7"/>
      <c r="AF1142" s="8">
        <f>SUM(AA1142:AE1142)</f>
        <v>0</v>
      </c>
      <c r="AH1142" s="6"/>
      <c r="AI1142" s="7"/>
      <c r="AJ1142" s="7"/>
      <c r="AK1142" s="7"/>
      <c r="AL1142" s="7"/>
      <c r="AM1142" s="8">
        <f>SUM(AH1142:AL1142)</f>
        <v>0</v>
      </c>
      <c r="AO1142" s="6"/>
      <c r="AP1142" s="7"/>
      <c r="AQ1142" s="7"/>
      <c r="AR1142" s="7"/>
      <c r="AS1142" s="7"/>
      <c r="AT1142" s="8">
        <f>SUM(AO1142:AS1142)</f>
        <v>0</v>
      </c>
      <c r="AV1142" s="6"/>
      <c r="AW1142" s="7"/>
      <c r="AX1142" s="7"/>
      <c r="AY1142" s="7"/>
      <c r="AZ1142" s="7"/>
      <c r="BA1142" s="8">
        <f>SUM(AV1142:AZ1142)</f>
        <v>0</v>
      </c>
      <c r="BC1142" s="6"/>
      <c r="BD1142" s="7"/>
      <c r="BE1142" s="7"/>
      <c r="BF1142" s="7"/>
      <c r="BG1142" s="7"/>
      <c r="BH1142" s="8">
        <f>SUM(BC1142:BG1142)</f>
        <v>0</v>
      </c>
      <c r="BJ1142" s="6"/>
      <c r="BK1142" s="7"/>
      <c r="BL1142" s="7"/>
      <c r="BM1142" s="7"/>
      <c r="BN1142" s="7"/>
      <c r="BO1142" s="8">
        <f>SUM(BJ1142:BN1142)</f>
        <v>0</v>
      </c>
      <c r="BQ1142" s="6"/>
      <c r="BR1142" s="7"/>
      <c r="BS1142" s="7"/>
      <c r="BT1142" s="7"/>
      <c r="BU1142" s="7"/>
      <c r="BV1142" s="8">
        <f>SUM(BQ1142:BU1142)</f>
        <v>0</v>
      </c>
      <c r="BX1142" s="6"/>
      <c r="BY1142" s="7"/>
      <c r="BZ1142" s="7"/>
      <c r="CA1142" s="7"/>
      <c r="CB1142" s="7"/>
      <c r="CC1142" s="8">
        <f>SUM(BX1142:CB1142)</f>
        <v>0</v>
      </c>
      <c r="CE1142" s="493">
        <f t="shared" si="5229"/>
        <v>0</v>
      </c>
      <c r="CF1142" s="494">
        <f t="shared" si="5230"/>
        <v>0</v>
      </c>
      <c r="CG1142" s="494">
        <f t="shared" si="5231"/>
        <v>0</v>
      </c>
      <c r="CH1142" s="494">
        <f t="shared" si="5232"/>
        <v>0</v>
      </c>
      <c r="CI1142" s="494">
        <f t="shared" si="5233"/>
        <v>0</v>
      </c>
      <c r="CJ1142" s="495">
        <f>SUM(CE1142:CI1142)</f>
        <v>0</v>
      </c>
      <c r="CL1142" s="6"/>
      <c r="CM1142" s="7"/>
      <c r="CN1142" s="7"/>
      <c r="CO1142" s="7"/>
      <c r="CP1142" s="7"/>
      <c r="CQ1142" s="8">
        <f>SUM(CL1142:CP1142)</f>
        <v>0</v>
      </c>
      <c r="CS1142" s="6"/>
      <c r="CT1142" s="7"/>
      <c r="CU1142" s="7"/>
      <c r="CV1142" s="7"/>
      <c r="CW1142" s="7"/>
      <c r="CX1142" s="8">
        <f t="shared" si="5238"/>
        <v>0</v>
      </c>
      <c r="CZ1142" s="6"/>
      <c r="DA1142" s="7"/>
      <c r="DB1142" s="7"/>
      <c r="DC1142" s="7"/>
      <c r="DD1142" s="7"/>
      <c r="DE1142" s="8">
        <f t="shared" si="5239"/>
        <v>0</v>
      </c>
    </row>
    <row r="1143" spans="3:109" ht="14" thickBot="1">
      <c r="C1143" s="554"/>
      <c r="E1143" s="9"/>
      <c r="F1143" s="10">
        <f>SUM(F1139:F1142)</f>
        <v>0</v>
      </c>
      <c r="G1143" s="11">
        <f t="shared" ref="G1143:J1143" si="5240">SUM(G1139:G1142)</f>
        <v>0</v>
      </c>
      <c r="H1143" s="11">
        <f t="shared" si="5240"/>
        <v>0</v>
      </c>
      <c r="I1143" s="11">
        <f t="shared" si="5240"/>
        <v>0</v>
      </c>
      <c r="J1143" s="11">
        <f t="shared" si="5240"/>
        <v>0</v>
      </c>
      <c r="K1143" s="25">
        <f>SUM(K1139:K1142)</f>
        <v>0</v>
      </c>
      <c r="M1143" s="10">
        <f>SUM(M1139:M1142)</f>
        <v>0</v>
      </c>
      <c r="N1143" s="11">
        <f t="shared" ref="N1143:Q1143" si="5241">SUM(N1139:N1142)</f>
        <v>0</v>
      </c>
      <c r="O1143" s="11">
        <f t="shared" si="5241"/>
        <v>0</v>
      </c>
      <c r="P1143" s="11">
        <f t="shared" si="5241"/>
        <v>0</v>
      </c>
      <c r="Q1143" s="11">
        <f t="shared" si="5241"/>
        <v>0</v>
      </c>
      <c r="R1143" s="25">
        <f>SUM(R1139:R1142)</f>
        <v>0</v>
      </c>
      <c r="T1143" s="10">
        <f>SUM(T1139:T1142)</f>
        <v>0</v>
      </c>
      <c r="U1143" s="11">
        <f t="shared" ref="U1143:X1143" si="5242">SUM(U1139:U1142)</f>
        <v>0</v>
      </c>
      <c r="V1143" s="11">
        <f t="shared" si="5242"/>
        <v>0</v>
      </c>
      <c r="W1143" s="11">
        <f t="shared" si="5242"/>
        <v>0</v>
      </c>
      <c r="X1143" s="11">
        <f t="shared" si="5242"/>
        <v>0</v>
      </c>
      <c r="Y1143" s="25">
        <f>SUM(Y1139:Y1142)</f>
        <v>0</v>
      </c>
      <c r="AA1143" s="10">
        <f>SUM(AA1139:AA1142)</f>
        <v>0</v>
      </c>
      <c r="AB1143" s="11">
        <f t="shared" ref="AB1143:AE1143" si="5243">SUM(AB1139:AB1142)</f>
        <v>0</v>
      </c>
      <c r="AC1143" s="11">
        <f t="shared" si="5243"/>
        <v>0</v>
      </c>
      <c r="AD1143" s="11">
        <f t="shared" si="5243"/>
        <v>0</v>
      </c>
      <c r="AE1143" s="11">
        <f t="shared" si="5243"/>
        <v>0</v>
      </c>
      <c r="AF1143" s="25">
        <f>SUM(AF1139:AF1142)</f>
        <v>0</v>
      </c>
      <c r="AH1143" s="10">
        <f t="shared" ref="AH1143:AM1143" si="5244">SUM(AH1139:AH1142)</f>
        <v>0</v>
      </c>
      <c r="AI1143" s="11">
        <f t="shared" si="5244"/>
        <v>0</v>
      </c>
      <c r="AJ1143" s="11">
        <f t="shared" si="5244"/>
        <v>0</v>
      </c>
      <c r="AK1143" s="11">
        <f t="shared" si="5244"/>
        <v>0</v>
      </c>
      <c r="AL1143" s="11">
        <f t="shared" si="5244"/>
        <v>0</v>
      </c>
      <c r="AM1143" s="25">
        <f t="shared" si="5244"/>
        <v>0</v>
      </c>
      <c r="AO1143" s="10">
        <f t="shared" ref="AO1143:AT1143" si="5245">SUM(AO1139:AO1142)</f>
        <v>0</v>
      </c>
      <c r="AP1143" s="11">
        <f t="shared" si="5245"/>
        <v>0</v>
      </c>
      <c r="AQ1143" s="11">
        <f t="shared" si="5245"/>
        <v>0</v>
      </c>
      <c r="AR1143" s="11">
        <f t="shared" si="5245"/>
        <v>0</v>
      </c>
      <c r="AS1143" s="11">
        <f t="shared" si="5245"/>
        <v>0</v>
      </c>
      <c r="AT1143" s="25">
        <f t="shared" si="5245"/>
        <v>0</v>
      </c>
      <c r="AV1143" s="10">
        <f t="shared" ref="AV1143:BA1143" si="5246">SUM(AV1139:AV1142)</f>
        <v>0</v>
      </c>
      <c r="AW1143" s="11">
        <f t="shared" si="5246"/>
        <v>0</v>
      </c>
      <c r="AX1143" s="11">
        <f t="shared" si="5246"/>
        <v>0</v>
      </c>
      <c r="AY1143" s="11">
        <f t="shared" si="5246"/>
        <v>0</v>
      </c>
      <c r="AZ1143" s="11">
        <f t="shared" si="5246"/>
        <v>0</v>
      </c>
      <c r="BA1143" s="25">
        <f t="shared" si="5246"/>
        <v>0</v>
      </c>
      <c r="BC1143" s="10">
        <f t="shared" ref="BC1143:BH1143" si="5247">SUM(BC1139:BC1142)</f>
        <v>0</v>
      </c>
      <c r="BD1143" s="11">
        <f t="shared" si="5247"/>
        <v>0</v>
      </c>
      <c r="BE1143" s="11">
        <f t="shared" si="5247"/>
        <v>0</v>
      </c>
      <c r="BF1143" s="11">
        <f t="shared" si="5247"/>
        <v>0</v>
      </c>
      <c r="BG1143" s="11">
        <f t="shared" si="5247"/>
        <v>0</v>
      </c>
      <c r="BH1143" s="25">
        <f t="shared" si="5247"/>
        <v>0</v>
      </c>
      <c r="BJ1143" s="10">
        <f t="shared" ref="BJ1143:BO1143" si="5248">SUM(BJ1139:BJ1142)</f>
        <v>0</v>
      </c>
      <c r="BK1143" s="11">
        <f t="shared" si="5248"/>
        <v>0</v>
      </c>
      <c r="BL1143" s="11">
        <f t="shared" si="5248"/>
        <v>0</v>
      </c>
      <c r="BM1143" s="11">
        <f t="shared" si="5248"/>
        <v>0</v>
      </c>
      <c r="BN1143" s="11">
        <f t="shared" si="5248"/>
        <v>0</v>
      </c>
      <c r="BO1143" s="25">
        <f t="shared" si="5248"/>
        <v>0</v>
      </c>
      <c r="BQ1143" s="10">
        <f t="shared" ref="BQ1143:BV1143" si="5249">SUM(BQ1139:BQ1142)</f>
        <v>0</v>
      </c>
      <c r="BR1143" s="11">
        <f t="shared" si="5249"/>
        <v>0</v>
      </c>
      <c r="BS1143" s="11">
        <f t="shared" si="5249"/>
        <v>0</v>
      </c>
      <c r="BT1143" s="11">
        <f t="shared" si="5249"/>
        <v>0</v>
      </c>
      <c r="BU1143" s="11">
        <f t="shared" si="5249"/>
        <v>0</v>
      </c>
      <c r="BV1143" s="25">
        <f t="shared" si="5249"/>
        <v>0</v>
      </c>
      <c r="BX1143" s="10">
        <f t="shared" ref="BX1143:CC1143" si="5250">SUM(BX1139:BX1142)</f>
        <v>0</v>
      </c>
      <c r="BY1143" s="11">
        <f t="shared" si="5250"/>
        <v>0</v>
      </c>
      <c r="BZ1143" s="11">
        <f t="shared" si="5250"/>
        <v>0</v>
      </c>
      <c r="CA1143" s="11">
        <f t="shared" si="5250"/>
        <v>0</v>
      </c>
      <c r="CB1143" s="11">
        <f t="shared" si="5250"/>
        <v>0</v>
      </c>
      <c r="CC1143" s="25">
        <f t="shared" si="5250"/>
        <v>0</v>
      </c>
      <c r="CE1143" s="62">
        <f t="shared" ref="CE1143:CJ1143" si="5251">SUM(CE1139:CE1142)</f>
        <v>0</v>
      </c>
      <c r="CF1143" s="63">
        <f t="shared" si="5251"/>
        <v>0</v>
      </c>
      <c r="CG1143" s="63">
        <f t="shared" si="5251"/>
        <v>0</v>
      </c>
      <c r="CH1143" s="63">
        <f t="shared" si="5251"/>
        <v>0</v>
      </c>
      <c r="CI1143" s="63">
        <f t="shared" si="5251"/>
        <v>0</v>
      </c>
      <c r="CJ1143" s="25">
        <f t="shared" si="5251"/>
        <v>0</v>
      </c>
      <c r="CL1143" s="10">
        <f>SUM(CL1139:CL1142)</f>
        <v>0</v>
      </c>
      <c r="CM1143" s="11">
        <f t="shared" ref="CM1143:CQ1143" si="5252">SUM(CM1139:CM1142)</f>
        <v>0</v>
      </c>
      <c r="CN1143" s="11">
        <f t="shared" si="5252"/>
        <v>0</v>
      </c>
      <c r="CO1143" s="11">
        <f t="shared" si="5252"/>
        <v>0</v>
      </c>
      <c r="CP1143" s="11">
        <f t="shared" si="5252"/>
        <v>0</v>
      </c>
      <c r="CQ1143" s="25">
        <f t="shared" si="5252"/>
        <v>0</v>
      </c>
      <c r="CS1143" s="10">
        <f>SUM(CS1139:CS1142)</f>
        <v>0</v>
      </c>
      <c r="CT1143" s="11">
        <f t="shared" ref="CT1143:CW1143" si="5253">SUM(CT1139:CT1142)</f>
        <v>0</v>
      </c>
      <c r="CU1143" s="11">
        <f t="shared" si="5253"/>
        <v>0</v>
      </c>
      <c r="CV1143" s="11">
        <f t="shared" si="5253"/>
        <v>0</v>
      </c>
      <c r="CW1143" s="11">
        <f t="shared" si="5253"/>
        <v>0</v>
      </c>
      <c r="CX1143" s="25">
        <f>SUM(CX1139:CX1142)</f>
        <v>0</v>
      </c>
      <c r="CZ1143" s="10">
        <f>SUM(CZ1139:CZ1142)</f>
        <v>0</v>
      </c>
      <c r="DA1143" s="11">
        <f t="shared" ref="DA1143:DD1143" si="5254">SUM(DA1139:DA1142)</f>
        <v>0</v>
      </c>
      <c r="DB1143" s="11">
        <f t="shared" si="5254"/>
        <v>0</v>
      </c>
      <c r="DC1143" s="11">
        <f t="shared" si="5254"/>
        <v>0</v>
      </c>
      <c r="DD1143" s="11">
        <f t="shared" si="5254"/>
        <v>0</v>
      </c>
      <c r="DE1143" s="25">
        <f>SUM(DE1139:DE1142)</f>
        <v>0</v>
      </c>
    </row>
    <row r="1144" spans="3:109" ht="10.4" customHeight="1" thickBot="1"/>
    <row r="1145" spans="3:109">
      <c r="C1145" s="553">
        <v>2027</v>
      </c>
      <c r="E1145" s="1" t="s">
        <v>59</v>
      </c>
      <c r="F1145" s="21">
        <f>CE1139</f>
        <v>0</v>
      </c>
      <c r="G1145" s="22">
        <f t="shared" ref="G1145:G1148" si="5255">CF1139</f>
        <v>0</v>
      </c>
      <c r="H1145" s="22">
        <f t="shared" ref="H1145:H1148" si="5256">CG1139</f>
        <v>0</v>
      </c>
      <c r="I1145" s="22">
        <f t="shared" ref="I1145:I1148" si="5257">CH1139</f>
        <v>0</v>
      </c>
      <c r="J1145" s="22">
        <f t="shared" ref="J1145:J1148" si="5258">CI1139</f>
        <v>0</v>
      </c>
      <c r="K1145" s="4">
        <f>SUM(F1145:J1145)</f>
        <v>0</v>
      </c>
      <c r="M1145" s="2"/>
      <c r="N1145" s="3"/>
      <c r="O1145" s="3"/>
      <c r="P1145" s="3"/>
      <c r="Q1145" s="3"/>
      <c r="R1145" s="4">
        <f>SUM(M1145:Q1145)</f>
        <v>0</v>
      </c>
      <c r="T1145" s="2"/>
      <c r="U1145" s="3"/>
      <c r="V1145" s="3"/>
      <c r="W1145" s="3"/>
      <c r="X1145" s="3"/>
      <c r="Y1145" s="4">
        <f>SUM(T1145:X1145)</f>
        <v>0</v>
      </c>
      <c r="AA1145" s="2"/>
      <c r="AB1145" s="3"/>
      <c r="AC1145" s="3"/>
      <c r="AD1145" s="3"/>
      <c r="AE1145" s="3"/>
      <c r="AF1145" s="4">
        <f>SUM(AA1145:AE1145)</f>
        <v>0</v>
      </c>
      <c r="AH1145" s="2"/>
      <c r="AI1145" s="3"/>
      <c r="AJ1145" s="3"/>
      <c r="AK1145" s="3"/>
      <c r="AL1145" s="3"/>
      <c r="AM1145" s="4">
        <f>SUM(AH1145:AL1145)</f>
        <v>0</v>
      </c>
      <c r="AO1145" s="2"/>
      <c r="AP1145" s="3"/>
      <c r="AQ1145" s="3"/>
      <c r="AR1145" s="3"/>
      <c r="AS1145" s="3"/>
      <c r="AT1145" s="4">
        <f>SUM(AO1145:AS1145)</f>
        <v>0</v>
      </c>
      <c r="AV1145" s="2"/>
      <c r="AW1145" s="3"/>
      <c r="AX1145" s="3"/>
      <c r="AY1145" s="3"/>
      <c r="AZ1145" s="3"/>
      <c r="BA1145" s="4">
        <f>SUM(AV1145:AZ1145)</f>
        <v>0</v>
      </c>
      <c r="BC1145" s="2"/>
      <c r="BD1145" s="3"/>
      <c r="BE1145" s="3"/>
      <c r="BF1145" s="3"/>
      <c r="BG1145" s="3"/>
      <c r="BH1145" s="4">
        <f>SUM(BC1145:BG1145)</f>
        <v>0</v>
      </c>
      <c r="BJ1145" s="2"/>
      <c r="BK1145" s="3"/>
      <c r="BL1145" s="3"/>
      <c r="BM1145" s="3"/>
      <c r="BN1145" s="3"/>
      <c r="BO1145" s="4">
        <f>SUM(BJ1145:BN1145)</f>
        <v>0</v>
      </c>
      <c r="BQ1145" s="2"/>
      <c r="BR1145" s="3"/>
      <c r="BS1145" s="3"/>
      <c r="BT1145" s="3"/>
      <c r="BU1145" s="3"/>
      <c r="BV1145" s="4">
        <f>SUM(BQ1145:BU1145)</f>
        <v>0</v>
      </c>
      <c r="BX1145" s="2"/>
      <c r="BY1145" s="3"/>
      <c r="BZ1145" s="3"/>
      <c r="CA1145" s="3"/>
      <c r="CB1145" s="3"/>
      <c r="CC1145" s="4">
        <f>SUM(BX1145:CB1145)</f>
        <v>0</v>
      </c>
      <c r="CE1145" s="26">
        <f t="shared" ref="CE1145:CE1148" si="5259">F1145+M1145+T1145+AA1145+AH1145+AO1145+AV1145+BC1145+BJ1145+BQ1145+BX1145</f>
        <v>0</v>
      </c>
      <c r="CF1145" s="27">
        <f t="shared" ref="CF1145:CF1148" si="5260">G1145+N1145+U1145+AB1145+AI1145+AP1145+AW1145+BD1145+BK1145+BR1145+BY1145</f>
        <v>0</v>
      </c>
      <c r="CG1145" s="27">
        <f t="shared" ref="CG1145:CG1148" si="5261">H1145+O1145+V1145+AC1145+AJ1145+AQ1145+AX1145+BE1145+BL1145+BS1145+BZ1145</f>
        <v>0</v>
      </c>
      <c r="CH1145" s="27">
        <f t="shared" ref="CH1145:CH1148" si="5262">I1145+P1145+W1145+AD1145+AK1145+AR1145+AY1145+BF1145+BM1145+BT1145+CA1145</f>
        <v>0</v>
      </c>
      <c r="CI1145" s="27">
        <f t="shared" ref="CI1145:CI1148" si="5263">J1145+Q1145+X1145+AE1145+AL1145+AS1145+AZ1145+BG1145+BN1145+BU1145+CB1145</f>
        <v>0</v>
      </c>
      <c r="CJ1145" s="4">
        <f>SUM(CE1145:CI1145)</f>
        <v>0</v>
      </c>
      <c r="CL1145" s="2"/>
      <c r="CM1145" s="3"/>
      <c r="CN1145" s="3"/>
      <c r="CO1145" s="3"/>
      <c r="CP1145" s="3"/>
      <c r="CQ1145" s="4">
        <f>SUM(CL1145:CP1145)</f>
        <v>0</v>
      </c>
      <c r="CS1145" s="2"/>
      <c r="CT1145" s="3"/>
      <c r="CU1145" s="3"/>
      <c r="CV1145" s="3"/>
      <c r="CW1145" s="3"/>
      <c r="CX1145" s="4">
        <f>SUM(CS1145:CW1145)</f>
        <v>0</v>
      </c>
      <c r="CZ1145" s="2"/>
      <c r="DA1145" s="3"/>
      <c r="DB1145" s="3"/>
      <c r="DC1145" s="3"/>
      <c r="DD1145" s="3"/>
      <c r="DE1145" s="4">
        <f>SUM(CZ1145:DD1145)</f>
        <v>0</v>
      </c>
    </row>
    <row r="1146" spans="3:109">
      <c r="C1146" s="567"/>
      <c r="E1146" s="5" t="s">
        <v>60</v>
      </c>
      <c r="F1146" s="23">
        <f t="shared" ref="F1146:F1148" si="5264">CE1140</f>
        <v>0</v>
      </c>
      <c r="G1146" s="24">
        <f t="shared" si="5255"/>
        <v>0</v>
      </c>
      <c r="H1146" s="24">
        <f t="shared" si="5256"/>
        <v>0</v>
      </c>
      <c r="I1146" s="24">
        <f t="shared" si="5257"/>
        <v>0</v>
      </c>
      <c r="J1146" s="24">
        <f t="shared" si="5258"/>
        <v>0</v>
      </c>
      <c r="K1146" s="8">
        <f t="shared" ref="K1146:K1148" si="5265">SUM(F1146:J1146)</f>
        <v>0</v>
      </c>
      <c r="M1146" s="6"/>
      <c r="N1146" s="7"/>
      <c r="O1146" s="7"/>
      <c r="P1146" s="7"/>
      <c r="Q1146" s="7"/>
      <c r="R1146" s="8">
        <f t="shared" ref="R1146:R1148" si="5266">SUM(M1146:Q1146)</f>
        <v>0</v>
      </c>
      <c r="T1146" s="6"/>
      <c r="U1146" s="7"/>
      <c r="V1146" s="7"/>
      <c r="W1146" s="7"/>
      <c r="X1146" s="7"/>
      <c r="Y1146" s="8">
        <f t="shared" ref="Y1146:Y1148" si="5267">SUM(T1146:X1146)</f>
        <v>0</v>
      </c>
      <c r="AA1146" s="6"/>
      <c r="AB1146" s="7"/>
      <c r="AC1146" s="7"/>
      <c r="AD1146" s="7"/>
      <c r="AE1146" s="7"/>
      <c r="AF1146" s="8">
        <f>SUM(AA1146:AE1146)</f>
        <v>0</v>
      </c>
      <c r="AH1146" s="6"/>
      <c r="AI1146" s="7"/>
      <c r="AJ1146" s="7"/>
      <c r="AK1146" s="7"/>
      <c r="AL1146" s="7"/>
      <c r="AM1146" s="8">
        <f>SUM(AH1146:AL1146)</f>
        <v>0</v>
      </c>
      <c r="AO1146" s="6"/>
      <c r="AP1146" s="7"/>
      <c r="AQ1146" s="7"/>
      <c r="AR1146" s="7"/>
      <c r="AS1146" s="7"/>
      <c r="AT1146" s="8">
        <f>SUM(AO1146:AS1146)</f>
        <v>0</v>
      </c>
      <c r="AV1146" s="6"/>
      <c r="AW1146" s="7"/>
      <c r="AX1146" s="7"/>
      <c r="AY1146" s="7"/>
      <c r="AZ1146" s="7"/>
      <c r="BA1146" s="8">
        <f>SUM(AV1146:AZ1146)</f>
        <v>0</v>
      </c>
      <c r="BC1146" s="6"/>
      <c r="BD1146" s="7"/>
      <c r="BE1146" s="7"/>
      <c r="BF1146" s="7"/>
      <c r="BG1146" s="7"/>
      <c r="BH1146" s="8">
        <f>SUM(BC1146:BG1146)</f>
        <v>0</v>
      </c>
      <c r="BJ1146" s="6"/>
      <c r="BK1146" s="7"/>
      <c r="BL1146" s="7"/>
      <c r="BM1146" s="7"/>
      <c r="BN1146" s="7"/>
      <c r="BO1146" s="8">
        <f>SUM(BJ1146:BN1146)</f>
        <v>0</v>
      </c>
      <c r="BQ1146" s="6"/>
      <c r="BR1146" s="7"/>
      <c r="BS1146" s="7"/>
      <c r="BT1146" s="7"/>
      <c r="BU1146" s="7"/>
      <c r="BV1146" s="8">
        <f>SUM(BQ1146:BU1146)</f>
        <v>0</v>
      </c>
      <c r="BX1146" s="6"/>
      <c r="BY1146" s="7"/>
      <c r="BZ1146" s="7"/>
      <c r="CA1146" s="7"/>
      <c r="CB1146" s="7"/>
      <c r="CC1146" s="8">
        <f>SUM(BX1146:CB1146)</f>
        <v>0</v>
      </c>
      <c r="CE1146" s="28">
        <f t="shared" si="5259"/>
        <v>0</v>
      </c>
      <c r="CF1146" s="29">
        <f t="shared" si="5260"/>
        <v>0</v>
      </c>
      <c r="CG1146" s="29">
        <f t="shared" si="5261"/>
        <v>0</v>
      </c>
      <c r="CH1146" s="29">
        <f t="shared" si="5262"/>
        <v>0</v>
      </c>
      <c r="CI1146" s="29">
        <f t="shared" si="5263"/>
        <v>0</v>
      </c>
      <c r="CJ1146" s="8">
        <f>SUM(CE1146:CI1146)</f>
        <v>0</v>
      </c>
      <c r="CL1146" s="6"/>
      <c r="CM1146" s="7"/>
      <c r="CN1146" s="7"/>
      <c r="CO1146" s="7"/>
      <c r="CP1146" s="7"/>
      <c r="CQ1146" s="8">
        <f>SUM(CL1146:CP1146)</f>
        <v>0</v>
      </c>
      <c r="CS1146" s="6"/>
      <c r="CT1146" s="7"/>
      <c r="CU1146" s="7"/>
      <c r="CV1146" s="7"/>
      <c r="CW1146" s="7"/>
      <c r="CX1146" s="8">
        <f t="shared" ref="CX1146:CX1148" si="5268">SUM(CS1146:CW1146)</f>
        <v>0</v>
      </c>
      <c r="CZ1146" s="6"/>
      <c r="DA1146" s="7"/>
      <c r="DB1146" s="7"/>
      <c r="DC1146" s="7"/>
      <c r="DD1146" s="7"/>
      <c r="DE1146" s="8">
        <f t="shared" ref="DE1146:DE1148" si="5269">SUM(CZ1146:DD1146)</f>
        <v>0</v>
      </c>
    </row>
    <row r="1147" spans="3:109">
      <c r="C1147" s="567"/>
      <c r="E1147" s="5" t="s">
        <v>61</v>
      </c>
      <c r="F1147" s="23">
        <f t="shared" si="5264"/>
        <v>0</v>
      </c>
      <c r="G1147" s="24">
        <f t="shared" si="5255"/>
        <v>0</v>
      </c>
      <c r="H1147" s="24">
        <f t="shared" si="5256"/>
        <v>0</v>
      </c>
      <c r="I1147" s="24">
        <f t="shared" si="5257"/>
        <v>0</v>
      </c>
      <c r="J1147" s="24">
        <f t="shared" si="5258"/>
        <v>0</v>
      </c>
      <c r="K1147" s="8">
        <f t="shared" si="5265"/>
        <v>0</v>
      </c>
      <c r="M1147" s="6"/>
      <c r="N1147" s="7"/>
      <c r="O1147" s="7"/>
      <c r="P1147" s="7"/>
      <c r="Q1147" s="7"/>
      <c r="R1147" s="8">
        <f t="shared" si="5266"/>
        <v>0</v>
      </c>
      <c r="T1147" s="6"/>
      <c r="U1147" s="7"/>
      <c r="V1147" s="7"/>
      <c r="W1147" s="7"/>
      <c r="X1147" s="7"/>
      <c r="Y1147" s="8">
        <f t="shared" si="5267"/>
        <v>0</v>
      </c>
      <c r="AA1147" s="6"/>
      <c r="AB1147" s="7"/>
      <c r="AC1147" s="7"/>
      <c r="AD1147" s="7"/>
      <c r="AE1147" s="7"/>
      <c r="AF1147" s="8">
        <f>SUM(AA1147:AE1147)</f>
        <v>0</v>
      </c>
      <c r="AH1147" s="6"/>
      <c r="AI1147" s="7"/>
      <c r="AJ1147" s="7"/>
      <c r="AK1147" s="7"/>
      <c r="AL1147" s="7"/>
      <c r="AM1147" s="8">
        <f>SUM(AH1147:AL1147)</f>
        <v>0</v>
      </c>
      <c r="AO1147" s="6"/>
      <c r="AP1147" s="7"/>
      <c r="AQ1147" s="7"/>
      <c r="AR1147" s="7"/>
      <c r="AS1147" s="7"/>
      <c r="AT1147" s="8">
        <f>SUM(AO1147:AS1147)</f>
        <v>0</v>
      </c>
      <c r="AV1147" s="6"/>
      <c r="AW1147" s="7"/>
      <c r="AX1147" s="7"/>
      <c r="AY1147" s="7"/>
      <c r="AZ1147" s="7"/>
      <c r="BA1147" s="8">
        <f>SUM(AV1147:AZ1147)</f>
        <v>0</v>
      </c>
      <c r="BC1147" s="6"/>
      <c r="BD1147" s="7"/>
      <c r="BE1147" s="7"/>
      <c r="BF1147" s="7"/>
      <c r="BG1147" s="7"/>
      <c r="BH1147" s="8">
        <f>SUM(BC1147:BG1147)</f>
        <v>0</v>
      </c>
      <c r="BJ1147" s="6"/>
      <c r="BK1147" s="7"/>
      <c r="BL1147" s="7"/>
      <c r="BM1147" s="7"/>
      <c r="BN1147" s="7"/>
      <c r="BO1147" s="8">
        <f>SUM(BJ1147:BN1147)</f>
        <v>0</v>
      </c>
      <c r="BQ1147" s="6"/>
      <c r="BR1147" s="7"/>
      <c r="BS1147" s="7"/>
      <c r="BT1147" s="7"/>
      <c r="BU1147" s="7"/>
      <c r="BV1147" s="8">
        <f>SUM(BQ1147:BU1147)</f>
        <v>0</v>
      </c>
      <c r="BX1147" s="6"/>
      <c r="BY1147" s="7"/>
      <c r="BZ1147" s="7"/>
      <c r="CA1147" s="7"/>
      <c r="CB1147" s="7"/>
      <c r="CC1147" s="8">
        <f>SUM(BX1147:CB1147)</f>
        <v>0</v>
      </c>
      <c r="CE1147" s="28">
        <f t="shared" si="5259"/>
        <v>0</v>
      </c>
      <c r="CF1147" s="29">
        <f t="shared" si="5260"/>
        <v>0</v>
      </c>
      <c r="CG1147" s="29">
        <f t="shared" si="5261"/>
        <v>0</v>
      </c>
      <c r="CH1147" s="29">
        <f t="shared" si="5262"/>
        <v>0</v>
      </c>
      <c r="CI1147" s="29">
        <f t="shared" si="5263"/>
        <v>0</v>
      </c>
      <c r="CJ1147" s="8">
        <f>SUM(CE1147:CI1147)</f>
        <v>0</v>
      </c>
      <c r="CL1147" s="6"/>
      <c r="CM1147" s="7"/>
      <c r="CN1147" s="7"/>
      <c r="CO1147" s="7"/>
      <c r="CP1147" s="7"/>
      <c r="CQ1147" s="8">
        <f>SUM(CL1147:CP1147)</f>
        <v>0</v>
      </c>
      <c r="CS1147" s="6"/>
      <c r="CT1147" s="7"/>
      <c r="CU1147" s="7"/>
      <c r="CV1147" s="7"/>
      <c r="CW1147" s="7"/>
      <c r="CX1147" s="8">
        <f t="shared" si="5268"/>
        <v>0</v>
      </c>
      <c r="CZ1147" s="6"/>
      <c r="DA1147" s="7"/>
      <c r="DB1147" s="7"/>
      <c r="DC1147" s="7"/>
      <c r="DD1147" s="7"/>
      <c r="DE1147" s="8">
        <f t="shared" si="5269"/>
        <v>0</v>
      </c>
    </row>
    <row r="1148" spans="3:109" ht="14" thickBot="1">
      <c r="C1148" s="567"/>
      <c r="E1148" s="5" t="s">
        <v>62</v>
      </c>
      <c r="F1148" s="23">
        <f t="shared" si="5264"/>
        <v>0</v>
      </c>
      <c r="G1148" s="24">
        <f t="shared" si="5255"/>
        <v>0</v>
      </c>
      <c r="H1148" s="24">
        <f t="shared" si="5256"/>
        <v>0</v>
      </c>
      <c r="I1148" s="24">
        <f t="shared" si="5257"/>
        <v>0</v>
      </c>
      <c r="J1148" s="24">
        <f t="shared" si="5258"/>
        <v>0</v>
      </c>
      <c r="K1148" s="8">
        <f t="shared" si="5265"/>
        <v>0</v>
      </c>
      <c r="M1148" s="6"/>
      <c r="N1148" s="7"/>
      <c r="O1148" s="7"/>
      <c r="P1148" s="7"/>
      <c r="Q1148" s="7"/>
      <c r="R1148" s="8">
        <f t="shared" si="5266"/>
        <v>0</v>
      </c>
      <c r="T1148" s="6"/>
      <c r="U1148" s="7"/>
      <c r="V1148" s="7"/>
      <c r="W1148" s="7"/>
      <c r="X1148" s="7"/>
      <c r="Y1148" s="8">
        <f t="shared" si="5267"/>
        <v>0</v>
      </c>
      <c r="AA1148" s="6"/>
      <c r="AB1148" s="7"/>
      <c r="AC1148" s="7"/>
      <c r="AD1148" s="7"/>
      <c r="AE1148" s="7"/>
      <c r="AF1148" s="8">
        <f>SUM(AA1148:AE1148)</f>
        <v>0</v>
      </c>
      <c r="AH1148" s="6"/>
      <c r="AI1148" s="7"/>
      <c r="AJ1148" s="7"/>
      <c r="AK1148" s="7"/>
      <c r="AL1148" s="7"/>
      <c r="AM1148" s="8">
        <f>SUM(AH1148:AL1148)</f>
        <v>0</v>
      </c>
      <c r="AO1148" s="6"/>
      <c r="AP1148" s="7"/>
      <c r="AQ1148" s="7"/>
      <c r="AR1148" s="7"/>
      <c r="AS1148" s="7"/>
      <c r="AT1148" s="8">
        <f>SUM(AO1148:AS1148)</f>
        <v>0</v>
      </c>
      <c r="AV1148" s="6"/>
      <c r="AW1148" s="7"/>
      <c r="AX1148" s="7"/>
      <c r="AY1148" s="7"/>
      <c r="AZ1148" s="7"/>
      <c r="BA1148" s="8">
        <f>SUM(AV1148:AZ1148)</f>
        <v>0</v>
      </c>
      <c r="BC1148" s="6"/>
      <c r="BD1148" s="7"/>
      <c r="BE1148" s="7"/>
      <c r="BF1148" s="7"/>
      <c r="BG1148" s="7"/>
      <c r="BH1148" s="8">
        <f>SUM(BC1148:BG1148)</f>
        <v>0</v>
      </c>
      <c r="BJ1148" s="6"/>
      <c r="BK1148" s="7"/>
      <c r="BL1148" s="7"/>
      <c r="BM1148" s="7"/>
      <c r="BN1148" s="7"/>
      <c r="BO1148" s="8">
        <f>SUM(BJ1148:BN1148)</f>
        <v>0</v>
      </c>
      <c r="BQ1148" s="6"/>
      <c r="BR1148" s="7"/>
      <c r="BS1148" s="7"/>
      <c r="BT1148" s="7"/>
      <c r="BU1148" s="7"/>
      <c r="BV1148" s="8">
        <f>SUM(BQ1148:BU1148)</f>
        <v>0</v>
      </c>
      <c r="BX1148" s="6"/>
      <c r="BY1148" s="7"/>
      <c r="BZ1148" s="7"/>
      <c r="CA1148" s="7"/>
      <c r="CB1148" s="7"/>
      <c r="CC1148" s="8">
        <f>SUM(BX1148:CB1148)</f>
        <v>0</v>
      </c>
      <c r="CE1148" s="493">
        <f t="shared" si="5259"/>
        <v>0</v>
      </c>
      <c r="CF1148" s="494">
        <f t="shared" si="5260"/>
        <v>0</v>
      </c>
      <c r="CG1148" s="494">
        <f t="shared" si="5261"/>
        <v>0</v>
      </c>
      <c r="CH1148" s="494">
        <f t="shared" si="5262"/>
        <v>0</v>
      </c>
      <c r="CI1148" s="494">
        <f t="shared" si="5263"/>
        <v>0</v>
      </c>
      <c r="CJ1148" s="495">
        <f>SUM(CE1148:CI1148)</f>
        <v>0</v>
      </c>
      <c r="CL1148" s="6"/>
      <c r="CM1148" s="7"/>
      <c r="CN1148" s="7"/>
      <c r="CO1148" s="7"/>
      <c r="CP1148" s="7"/>
      <c r="CQ1148" s="8">
        <f>SUM(CL1148:CP1148)</f>
        <v>0</v>
      </c>
      <c r="CS1148" s="6"/>
      <c r="CT1148" s="7"/>
      <c r="CU1148" s="7"/>
      <c r="CV1148" s="7"/>
      <c r="CW1148" s="7"/>
      <c r="CX1148" s="8">
        <f t="shared" si="5268"/>
        <v>0</v>
      </c>
      <c r="CZ1148" s="6"/>
      <c r="DA1148" s="7"/>
      <c r="DB1148" s="7"/>
      <c r="DC1148" s="7"/>
      <c r="DD1148" s="7"/>
      <c r="DE1148" s="8">
        <f t="shared" si="5269"/>
        <v>0</v>
      </c>
    </row>
    <row r="1149" spans="3:109" ht="14" thickBot="1">
      <c r="C1149" s="554"/>
      <c r="E1149" s="9"/>
      <c r="F1149" s="10">
        <f>SUM(F1145:F1148)</f>
        <v>0</v>
      </c>
      <c r="G1149" s="11">
        <f t="shared" ref="G1149:J1149" si="5270">SUM(G1145:G1148)</f>
        <v>0</v>
      </c>
      <c r="H1149" s="11">
        <f t="shared" si="5270"/>
        <v>0</v>
      </c>
      <c r="I1149" s="11">
        <f t="shared" si="5270"/>
        <v>0</v>
      </c>
      <c r="J1149" s="11">
        <f t="shared" si="5270"/>
        <v>0</v>
      </c>
      <c r="K1149" s="25">
        <f>SUM(K1145:K1148)</f>
        <v>0</v>
      </c>
      <c r="M1149" s="10">
        <f>SUM(M1145:M1148)</f>
        <v>0</v>
      </c>
      <c r="N1149" s="11">
        <f t="shared" ref="N1149:Q1149" si="5271">SUM(N1145:N1148)</f>
        <v>0</v>
      </c>
      <c r="O1149" s="11">
        <f t="shared" si="5271"/>
        <v>0</v>
      </c>
      <c r="P1149" s="11">
        <f t="shared" si="5271"/>
        <v>0</v>
      </c>
      <c r="Q1149" s="11">
        <f t="shared" si="5271"/>
        <v>0</v>
      </c>
      <c r="R1149" s="25">
        <f>SUM(R1145:R1148)</f>
        <v>0</v>
      </c>
      <c r="T1149" s="10">
        <f>SUM(T1145:T1148)</f>
        <v>0</v>
      </c>
      <c r="U1149" s="11">
        <f t="shared" ref="U1149:X1149" si="5272">SUM(U1145:U1148)</f>
        <v>0</v>
      </c>
      <c r="V1149" s="11">
        <f t="shared" si="5272"/>
        <v>0</v>
      </c>
      <c r="W1149" s="11">
        <f t="shared" si="5272"/>
        <v>0</v>
      </c>
      <c r="X1149" s="11">
        <f t="shared" si="5272"/>
        <v>0</v>
      </c>
      <c r="Y1149" s="25">
        <f>SUM(Y1145:Y1148)</f>
        <v>0</v>
      </c>
      <c r="AA1149" s="10">
        <f>SUM(AA1145:AA1148)</f>
        <v>0</v>
      </c>
      <c r="AB1149" s="11">
        <f t="shared" ref="AB1149:AE1149" si="5273">SUM(AB1145:AB1148)</f>
        <v>0</v>
      </c>
      <c r="AC1149" s="11">
        <f t="shared" si="5273"/>
        <v>0</v>
      </c>
      <c r="AD1149" s="11">
        <f t="shared" si="5273"/>
        <v>0</v>
      </c>
      <c r="AE1149" s="11">
        <f t="shared" si="5273"/>
        <v>0</v>
      </c>
      <c r="AF1149" s="25">
        <f>SUM(AF1145:AF1148)</f>
        <v>0</v>
      </c>
      <c r="AH1149" s="10">
        <f t="shared" ref="AH1149:AM1149" si="5274">SUM(AH1145:AH1148)</f>
        <v>0</v>
      </c>
      <c r="AI1149" s="11">
        <f t="shared" si="5274"/>
        <v>0</v>
      </c>
      <c r="AJ1149" s="11">
        <f t="shared" si="5274"/>
        <v>0</v>
      </c>
      <c r="AK1149" s="11">
        <f t="shared" si="5274"/>
        <v>0</v>
      </c>
      <c r="AL1149" s="11">
        <f t="shared" si="5274"/>
        <v>0</v>
      </c>
      <c r="AM1149" s="25">
        <f t="shared" si="5274"/>
        <v>0</v>
      </c>
      <c r="AO1149" s="10">
        <f t="shared" ref="AO1149:AT1149" si="5275">SUM(AO1145:AO1148)</f>
        <v>0</v>
      </c>
      <c r="AP1149" s="11">
        <f t="shared" si="5275"/>
        <v>0</v>
      </c>
      <c r="AQ1149" s="11">
        <f t="shared" si="5275"/>
        <v>0</v>
      </c>
      <c r="AR1149" s="11">
        <f t="shared" si="5275"/>
        <v>0</v>
      </c>
      <c r="AS1149" s="11">
        <f t="shared" si="5275"/>
        <v>0</v>
      </c>
      <c r="AT1149" s="25">
        <f t="shared" si="5275"/>
        <v>0</v>
      </c>
      <c r="AV1149" s="10">
        <f t="shared" ref="AV1149:BA1149" si="5276">SUM(AV1145:AV1148)</f>
        <v>0</v>
      </c>
      <c r="AW1149" s="11">
        <f t="shared" si="5276"/>
        <v>0</v>
      </c>
      <c r="AX1149" s="11">
        <f t="shared" si="5276"/>
        <v>0</v>
      </c>
      <c r="AY1149" s="11">
        <f t="shared" si="5276"/>
        <v>0</v>
      </c>
      <c r="AZ1149" s="11">
        <f t="shared" si="5276"/>
        <v>0</v>
      </c>
      <c r="BA1149" s="25">
        <f t="shared" si="5276"/>
        <v>0</v>
      </c>
      <c r="BC1149" s="10">
        <f t="shared" ref="BC1149:BH1149" si="5277">SUM(BC1145:BC1148)</f>
        <v>0</v>
      </c>
      <c r="BD1149" s="11">
        <f t="shared" si="5277"/>
        <v>0</v>
      </c>
      <c r="BE1149" s="11">
        <f t="shared" si="5277"/>
        <v>0</v>
      </c>
      <c r="BF1149" s="11">
        <f t="shared" si="5277"/>
        <v>0</v>
      </c>
      <c r="BG1149" s="11">
        <f t="shared" si="5277"/>
        <v>0</v>
      </c>
      <c r="BH1149" s="25">
        <f t="shared" si="5277"/>
        <v>0</v>
      </c>
      <c r="BJ1149" s="10">
        <f t="shared" ref="BJ1149:BO1149" si="5278">SUM(BJ1145:BJ1148)</f>
        <v>0</v>
      </c>
      <c r="BK1149" s="11">
        <f t="shared" si="5278"/>
        <v>0</v>
      </c>
      <c r="BL1149" s="11">
        <f t="shared" si="5278"/>
        <v>0</v>
      </c>
      <c r="BM1149" s="11">
        <f t="shared" si="5278"/>
        <v>0</v>
      </c>
      <c r="BN1149" s="11">
        <f t="shared" si="5278"/>
        <v>0</v>
      </c>
      <c r="BO1149" s="25">
        <f t="shared" si="5278"/>
        <v>0</v>
      </c>
      <c r="BQ1149" s="10">
        <f t="shared" ref="BQ1149:BV1149" si="5279">SUM(BQ1145:BQ1148)</f>
        <v>0</v>
      </c>
      <c r="BR1149" s="11">
        <f t="shared" si="5279"/>
        <v>0</v>
      </c>
      <c r="BS1149" s="11">
        <f t="shared" si="5279"/>
        <v>0</v>
      </c>
      <c r="BT1149" s="11">
        <f t="shared" si="5279"/>
        <v>0</v>
      </c>
      <c r="BU1149" s="11">
        <f t="shared" si="5279"/>
        <v>0</v>
      </c>
      <c r="BV1149" s="25">
        <f t="shared" si="5279"/>
        <v>0</v>
      </c>
      <c r="BX1149" s="10">
        <f t="shared" ref="BX1149:CC1149" si="5280">SUM(BX1145:BX1148)</f>
        <v>0</v>
      </c>
      <c r="BY1149" s="11">
        <f t="shared" si="5280"/>
        <v>0</v>
      </c>
      <c r="BZ1149" s="11">
        <f t="shared" si="5280"/>
        <v>0</v>
      </c>
      <c r="CA1149" s="11">
        <f t="shared" si="5280"/>
        <v>0</v>
      </c>
      <c r="CB1149" s="11">
        <f t="shared" si="5280"/>
        <v>0</v>
      </c>
      <c r="CC1149" s="25">
        <f t="shared" si="5280"/>
        <v>0</v>
      </c>
      <c r="CE1149" s="62">
        <f t="shared" ref="CE1149:CJ1149" si="5281">SUM(CE1145:CE1148)</f>
        <v>0</v>
      </c>
      <c r="CF1149" s="63">
        <f t="shared" si="5281"/>
        <v>0</v>
      </c>
      <c r="CG1149" s="63">
        <f t="shared" si="5281"/>
        <v>0</v>
      </c>
      <c r="CH1149" s="63">
        <f t="shared" si="5281"/>
        <v>0</v>
      </c>
      <c r="CI1149" s="63">
        <f t="shared" si="5281"/>
        <v>0</v>
      </c>
      <c r="CJ1149" s="25">
        <f t="shared" si="5281"/>
        <v>0</v>
      </c>
      <c r="CL1149" s="10">
        <f>SUM(CL1145:CL1148)</f>
        <v>0</v>
      </c>
      <c r="CM1149" s="11">
        <f t="shared" ref="CM1149:CQ1149" si="5282">SUM(CM1145:CM1148)</f>
        <v>0</v>
      </c>
      <c r="CN1149" s="11">
        <f t="shared" si="5282"/>
        <v>0</v>
      </c>
      <c r="CO1149" s="11">
        <f t="shared" si="5282"/>
        <v>0</v>
      </c>
      <c r="CP1149" s="11">
        <f t="shared" si="5282"/>
        <v>0</v>
      </c>
      <c r="CQ1149" s="25">
        <f t="shared" si="5282"/>
        <v>0</v>
      </c>
      <c r="CS1149" s="10">
        <f>SUM(CS1145:CS1148)</f>
        <v>0</v>
      </c>
      <c r="CT1149" s="11">
        <f t="shared" ref="CT1149:CW1149" si="5283">SUM(CT1145:CT1148)</f>
        <v>0</v>
      </c>
      <c r="CU1149" s="11">
        <f t="shared" si="5283"/>
        <v>0</v>
      </c>
      <c r="CV1149" s="11">
        <f t="shared" si="5283"/>
        <v>0</v>
      </c>
      <c r="CW1149" s="11">
        <f t="shared" si="5283"/>
        <v>0</v>
      </c>
      <c r="CX1149" s="25">
        <f>SUM(CX1145:CX1148)</f>
        <v>0</v>
      </c>
      <c r="CZ1149" s="10">
        <f>SUM(CZ1145:CZ1148)</f>
        <v>0</v>
      </c>
      <c r="DA1149" s="11">
        <f t="shared" ref="DA1149:DD1149" si="5284">SUM(DA1145:DA1148)</f>
        <v>0</v>
      </c>
      <c r="DB1149" s="11">
        <f t="shared" si="5284"/>
        <v>0</v>
      </c>
      <c r="DC1149" s="11">
        <f t="shared" si="5284"/>
        <v>0</v>
      </c>
      <c r="DD1149" s="11">
        <f t="shared" si="5284"/>
        <v>0</v>
      </c>
      <c r="DE1149" s="25">
        <f>SUM(DE1145:DE1148)</f>
        <v>0</v>
      </c>
    </row>
    <row r="1150" spans="3:109" ht="10.4" customHeight="1" thickBot="1"/>
    <row r="1151" spans="3:109">
      <c r="C1151" s="553">
        <v>2028</v>
      </c>
      <c r="E1151" s="1" t="s">
        <v>59</v>
      </c>
      <c r="F1151" s="21">
        <f>CE1145</f>
        <v>0</v>
      </c>
      <c r="G1151" s="22">
        <f t="shared" ref="G1151:G1154" si="5285">CF1145</f>
        <v>0</v>
      </c>
      <c r="H1151" s="22">
        <f t="shared" ref="H1151:H1154" si="5286">CG1145</f>
        <v>0</v>
      </c>
      <c r="I1151" s="22">
        <f t="shared" ref="I1151:I1154" si="5287">CH1145</f>
        <v>0</v>
      </c>
      <c r="J1151" s="22">
        <f t="shared" ref="J1151:J1154" si="5288">CI1145</f>
        <v>0</v>
      </c>
      <c r="K1151" s="4">
        <f>SUM(F1151:J1151)</f>
        <v>0</v>
      </c>
      <c r="M1151" s="2"/>
      <c r="N1151" s="3"/>
      <c r="O1151" s="3"/>
      <c r="P1151" s="3"/>
      <c r="Q1151" s="3"/>
      <c r="R1151" s="4">
        <f>SUM(M1151:Q1151)</f>
        <v>0</v>
      </c>
      <c r="T1151" s="2"/>
      <c r="U1151" s="3"/>
      <c r="V1151" s="3"/>
      <c r="W1151" s="3"/>
      <c r="X1151" s="3"/>
      <c r="Y1151" s="4">
        <f>SUM(T1151:X1151)</f>
        <v>0</v>
      </c>
      <c r="AA1151" s="2"/>
      <c r="AB1151" s="3"/>
      <c r="AC1151" s="3"/>
      <c r="AD1151" s="3"/>
      <c r="AE1151" s="3"/>
      <c r="AF1151" s="4">
        <f>SUM(AA1151:AE1151)</f>
        <v>0</v>
      </c>
      <c r="AH1151" s="2"/>
      <c r="AI1151" s="3"/>
      <c r="AJ1151" s="3"/>
      <c r="AK1151" s="3"/>
      <c r="AL1151" s="3"/>
      <c r="AM1151" s="4">
        <f>SUM(AH1151:AL1151)</f>
        <v>0</v>
      </c>
      <c r="AO1151" s="2"/>
      <c r="AP1151" s="3"/>
      <c r="AQ1151" s="3"/>
      <c r="AR1151" s="3"/>
      <c r="AS1151" s="3"/>
      <c r="AT1151" s="4">
        <f>SUM(AO1151:AS1151)</f>
        <v>0</v>
      </c>
      <c r="AV1151" s="2"/>
      <c r="AW1151" s="3"/>
      <c r="AX1151" s="3"/>
      <c r="AY1151" s="3"/>
      <c r="AZ1151" s="3"/>
      <c r="BA1151" s="4">
        <f>SUM(AV1151:AZ1151)</f>
        <v>0</v>
      </c>
      <c r="BC1151" s="2"/>
      <c r="BD1151" s="3"/>
      <c r="BE1151" s="3"/>
      <c r="BF1151" s="3"/>
      <c r="BG1151" s="3"/>
      <c r="BH1151" s="4">
        <f>SUM(BC1151:BG1151)</f>
        <v>0</v>
      </c>
      <c r="BJ1151" s="2"/>
      <c r="BK1151" s="3"/>
      <c r="BL1151" s="3"/>
      <c r="BM1151" s="3"/>
      <c r="BN1151" s="3"/>
      <c r="BO1151" s="4">
        <f>SUM(BJ1151:BN1151)</f>
        <v>0</v>
      </c>
      <c r="BQ1151" s="2"/>
      <c r="BR1151" s="3"/>
      <c r="BS1151" s="3"/>
      <c r="BT1151" s="3"/>
      <c r="BU1151" s="3"/>
      <c r="BV1151" s="4">
        <f>SUM(BQ1151:BU1151)</f>
        <v>0</v>
      </c>
      <c r="BX1151" s="2"/>
      <c r="BY1151" s="3"/>
      <c r="BZ1151" s="3"/>
      <c r="CA1151" s="3"/>
      <c r="CB1151" s="3"/>
      <c r="CC1151" s="4">
        <f>SUM(BX1151:CB1151)</f>
        <v>0</v>
      </c>
      <c r="CE1151" s="26">
        <f t="shared" ref="CE1151:CE1154" si="5289">F1151+M1151+T1151+AA1151+AH1151+AO1151+AV1151+BC1151+BJ1151+BQ1151+BX1151</f>
        <v>0</v>
      </c>
      <c r="CF1151" s="27">
        <f t="shared" ref="CF1151:CF1154" si="5290">G1151+N1151+U1151+AB1151+AI1151+AP1151+AW1151+BD1151+BK1151+BR1151+BY1151</f>
        <v>0</v>
      </c>
      <c r="CG1151" s="27">
        <f t="shared" ref="CG1151:CG1154" si="5291">H1151+O1151+V1151+AC1151+AJ1151+AQ1151+AX1151+BE1151+BL1151+BS1151+BZ1151</f>
        <v>0</v>
      </c>
      <c r="CH1151" s="27">
        <f t="shared" ref="CH1151:CH1154" si="5292">I1151+P1151+W1151+AD1151+AK1151+AR1151+AY1151+BF1151+BM1151+BT1151+CA1151</f>
        <v>0</v>
      </c>
      <c r="CI1151" s="27">
        <f t="shared" ref="CI1151:CI1154" si="5293">J1151+Q1151+X1151+AE1151+AL1151+AS1151+AZ1151+BG1151+BN1151+BU1151+CB1151</f>
        <v>0</v>
      </c>
      <c r="CJ1151" s="4">
        <f>SUM(CE1151:CI1151)</f>
        <v>0</v>
      </c>
      <c r="CL1151" s="2"/>
      <c r="CM1151" s="3"/>
      <c r="CN1151" s="3"/>
      <c r="CO1151" s="3"/>
      <c r="CP1151" s="3"/>
      <c r="CQ1151" s="4">
        <f>SUM(CL1151:CP1151)</f>
        <v>0</v>
      </c>
      <c r="CS1151" s="2"/>
      <c r="CT1151" s="3"/>
      <c r="CU1151" s="3"/>
      <c r="CV1151" s="3"/>
      <c r="CW1151" s="3"/>
      <c r="CX1151" s="4">
        <f>SUM(CS1151:CW1151)</f>
        <v>0</v>
      </c>
      <c r="CZ1151" s="2"/>
      <c r="DA1151" s="3"/>
      <c r="DB1151" s="3"/>
      <c r="DC1151" s="3"/>
      <c r="DD1151" s="3"/>
      <c r="DE1151" s="4">
        <f>SUM(CZ1151:DD1151)</f>
        <v>0</v>
      </c>
    </row>
    <row r="1152" spans="3:109">
      <c r="C1152" s="567"/>
      <c r="E1152" s="5" t="s">
        <v>60</v>
      </c>
      <c r="F1152" s="23">
        <f t="shared" ref="F1152:F1154" si="5294">CE1146</f>
        <v>0</v>
      </c>
      <c r="G1152" s="24">
        <f t="shared" si="5285"/>
        <v>0</v>
      </c>
      <c r="H1152" s="24">
        <f t="shared" si="5286"/>
        <v>0</v>
      </c>
      <c r="I1152" s="24">
        <f t="shared" si="5287"/>
        <v>0</v>
      </c>
      <c r="J1152" s="24">
        <f t="shared" si="5288"/>
        <v>0</v>
      </c>
      <c r="K1152" s="8">
        <f t="shared" ref="K1152:K1154" si="5295">SUM(F1152:J1152)</f>
        <v>0</v>
      </c>
      <c r="M1152" s="6"/>
      <c r="N1152" s="7"/>
      <c r="O1152" s="7"/>
      <c r="P1152" s="7"/>
      <c r="Q1152" s="7"/>
      <c r="R1152" s="8">
        <f t="shared" ref="R1152:R1154" si="5296">SUM(M1152:Q1152)</f>
        <v>0</v>
      </c>
      <c r="T1152" s="6"/>
      <c r="U1152" s="7"/>
      <c r="V1152" s="7"/>
      <c r="W1152" s="7"/>
      <c r="X1152" s="7"/>
      <c r="Y1152" s="8">
        <f t="shared" ref="Y1152:Y1154" si="5297">SUM(T1152:X1152)</f>
        <v>0</v>
      </c>
      <c r="AA1152" s="6"/>
      <c r="AB1152" s="7"/>
      <c r="AC1152" s="7"/>
      <c r="AD1152" s="7"/>
      <c r="AE1152" s="7"/>
      <c r="AF1152" s="8">
        <f>SUM(AA1152:AE1152)</f>
        <v>0</v>
      </c>
      <c r="AH1152" s="6"/>
      <c r="AI1152" s="7"/>
      <c r="AJ1152" s="7"/>
      <c r="AK1152" s="7"/>
      <c r="AL1152" s="7"/>
      <c r="AM1152" s="8">
        <f>SUM(AH1152:AL1152)</f>
        <v>0</v>
      </c>
      <c r="AO1152" s="6"/>
      <c r="AP1152" s="7"/>
      <c r="AQ1152" s="7"/>
      <c r="AR1152" s="7"/>
      <c r="AS1152" s="7"/>
      <c r="AT1152" s="8">
        <f>SUM(AO1152:AS1152)</f>
        <v>0</v>
      </c>
      <c r="AV1152" s="6"/>
      <c r="AW1152" s="7"/>
      <c r="AX1152" s="7"/>
      <c r="AY1152" s="7"/>
      <c r="AZ1152" s="7"/>
      <c r="BA1152" s="8">
        <f>SUM(AV1152:AZ1152)</f>
        <v>0</v>
      </c>
      <c r="BC1152" s="6"/>
      <c r="BD1152" s="7"/>
      <c r="BE1152" s="7"/>
      <c r="BF1152" s="7"/>
      <c r="BG1152" s="7"/>
      <c r="BH1152" s="8">
        <f>SUM(BC1152:BG1152)</f>
        <v>0</v>
      </c>
      <c r="BJ1152" s="6"/>
      <c r="BK1152" s="7"/>
      <c r="BL1152" s="7"/>
      <c r="BM1152" s="7"/>
      <c r="BN1152" s="7"/>
      <c r="BO1152" s="8">
        <f>SUM(BJ1152:BN1152)</f>
        <v>0</v>
      </c>
      <c r="BQ1152" s="6"/>
      <c r="BR1152" s="7"/>
      <c r="BS1152" s="7"/>
      <c r="BT1152" s="7"/>
      <c r="BU1152" s="7"/>
      <c r="BV1152" s="8">
        <f>SUM(BQ1152:BU1152)</f>
        <v>0</v>
      </c>
      <c r="BX1152" s="6"/>
      <c r="BY1152" s="7"/>
      <c r="BZ1152" s="7"/>
      <c r="CA1152" s="7"/>
      <c r="CB1152" s="7"/>
      <c r="CC1152" s="8">
        <f>SUM(BX1152:CB1152)</f>
        <v>0</v>
      </c>
      <c r="CE1152" s="28">
        <f t="shared" si="5289"/>
        <v>0</v>
      </c>
      <c r="CF1152" s="29">
        <f t="shared" si="5290"/>
        <v>0</v>
      </c>
      <c r="CG1152" s="29">
        <f t="shared" si="5291"/>
        <v>0</v>
      </c>
      <c r="CH1152" s="29">
        <f t="shared" si="5292"/>
        <v>0</v>
      </c>
      <c r="CI1152" s="29">
        <f t="shared" si="5293"/>
        <v>0</v>
      </c>
      <c r="CJ1152" s="8">
        <f>SUM(CE1152:CI1152)</f>
        <v>0</v>
      </c>
      <c r="CL1152" s="6"/>
      <c r="CM1152" s="7"/>
      <c r="CN1152" s="7"/>
      <c r="CO1152" s="7"/>
      <c r="CP1152" s="7"/>
      <c r="CQ1152" s="8">
        <f>SUM(CL1152:CP1152)</f>
        <v>0</v>
      </c>
      <c r="CS1152" s="6"/>
      <c r="CT1152" s="7"/>
      <c r="CU1152" s="7"/>
      <c r="CV1152" s="7"/>
      <c r="CW1152" s="7"/>
      <c r="CX1152" s="8">
        <f t="shared" ref="CX1152:CX1154" si="5298">SUM(CS1152:CW1152)</f>
        <v>0</v>
      </c>
      <c r="CZ1152" s="6"/>
      <c r="DA1152" s="7"/>
      <c r="DB1152" s="7"/>
      <c r="DC1152" s="7"/>
      <c r="DD1152" s="7"/>
      <c r="DE1152" s="8">
        <f t="shared" ref="DE1152:DE1154" si="5299">SUM(CZ1152:DD1152)</f>
        <v>0</v>
      </c>
    </row>
    <row r="1153" spans="2:110">
      <c r="C1153" s="567"/>
      <c r="E1153" s="5" t="s">
        <v>61</v>
      </c>
      <c r="F1153" s="23">
        <f t="shared" si="5294"/>
        <v>0</v>
      </c>
      <c r="G1153" s="24">
        <f t="shared" si="5285"/>
        <v>0</v>
      </c>
      <c r="H1153" s="24">
        <f t="shared" si="5286"/>
        <v>0</v>
      </c>
      <c r="I1153" s="24">
        <f t="shared" si="5287"/>
        <v>0</v>
      </c>
      <c r="J1153" s="24">
        <f t="shared" si="5288"/>
        <v>0</v>
      </c>
      <c r="K1153" s="8">
        <f t="shared" si="5295"/>
        <v>0</v>
      </c>
      <c r="M1153" s="6"/>
      <c r="N1153" s="7"/>
      <c r="O1153" s="7"/>
      <c r="P1153" s="7"/>
      <c r="Q1153" s="7"/>
      <c r="R1153" s="8">
        <f t="shared" si="5296"/>
        <v>0</v>
      </c>
      <c r="T1153" s="6"/>
      <c r="U1153" s="7"/>
      <c r="V1153" s="7"/>
      <c r="W1153" s="7"/>
      <c r="X1153" s="7"/>
      <c r="Y1153" s="8">
        <f t="shared" si="5297"/>
        <v>0</v>
      </c>
      <c r="AA1153" s="6"/>
      <c r="AB1153" s="7"/>
      <c r="AC1153" s="7"/>
      <c r="AD1153" s="7"/>
      <c r="AE1153" s="7"/>
      <c r="AF1153" s="8">
        <f>SUM(AA1153:AE1153)</f>
        <v>0</v>
      </c>
      <c r="AH1153" s="6"/>
      <c r="AI1153" s="7"/>
      <c r="AJ1153" s="7"/>
      <c r="AK1153" s="7"/>
      <c r="AL1153" s="7"/>
      <c r="AM1153" s="8">
        <f>SUM(AH1153:AL1153)</f>
        <v>0</v>
      </c>
      <c r="AO1153" s="6"/>
      <c r="AP1153" s="7"/>
      <c r="AQ1153" s="7"/>
      <c r="AR1153" s="7"/>
      <c r="AS1153" s="7"/>
      <c r="AT1153" s="8">
        <f>SUM(AO1153:AS1153)</f>
        <v>0</v>
      </c>
      <c r="AV1153" s="6"/>
      <c r="AW1153" s="7"/>
      <c r="AX1153" s="7"/>
      <c r="AY1153" s="7"/>
      <c r="AZ1153" s="7"/>
      <c r="BA1153" s="8">
        <f>SUM(AV1153:AZ1153)</f>
        <v>0</v>
      </c>
      <c r="BC1153" s="6"/>
      <c r="BD1153" s="7"/>
      <c r="BE1153" s="7"/>
      <c r="BF1153" s="7"/>
      <c r="BG1153" s="7"/>
      <c r="BH1153" s="8">
        <f>SUM(BC1153:BG1153)</f>
        <v>0</v>
      </c>
      <c r="BJ1153" s="6"/>
      <c r="BK1153" s="7"/>
      <c r="BL1153" s="7"/>
      <c r="BM1153" s="7"/>
      <c r="BN1153" s="7"/>
      <c r="BO1153" s="8">
        <f>SUM(BJ1153:BN1153)</f>
        <v>0</v>
      </c>
      <c r="BQ1153" s="6"/>
      <c r="BR1153" s="7"/>
      <c r="BS1153" s="7"/>
      <c r="BT1153" s="7"/>
      <c r="BU1153" s="7"/>
      <c r="BV1153" s="8">
        <f>SUM(BQ1153:BU1153)</f>
        <v>0</v>
      </c>
      <c r="BX1153" s="6"/>
      <c r="BY1153" s="7"/>
      <c r="BZ1153" s="7"/>
      <c r="CA1153" s="7"/>
      <c r="CB1153" s="7"/>
      <c r="CC1153" s="8">
        <f>SUM(BX1153:CB1153)</f>
        <v>0</v>
      </c>
      <c r="CE1153" s="28">
        <f t="shared" si="5289"/>
        <v>0</v>
      </c>
      <c r="CF1153" s="29">
        <f t="shared" si="5290"/>
        <v>0</v>
      </c>
      <c r="CG1153" s="29">
        <f t="shared" si="5291"/>
        <v>0</v>
      </c>
      <c r="CH1153" s="29">
        <f t="shared" si="5292"/>
        <v>0</v>
      </c>
      <c r="CI1153" s="29">
        <f t="shared" si="5293"/>
        <v>0</v>
      </c>
      <c r="CJ1153" s="8">
        <f>SUM(CE1153:CI1153)</f>
        <v>0</v>
      </c>
      <c r="CL1153" s="6"/>
      <c r="CM1153" s="7"/>
      <c r="CN1153" s="7"/>
      <c r="CO1153" s="7"/>
      <c r="CP1153" s="7"/>
      <c r="CQ1153" s="8">
        <f>SUM(CL1153:CP1153)</f>
        <v>0</v>
      </c>
      <c r="CS1153" s="6"/>
      <c r="CT1153" s="7"/>
      <c r="CU1153" s="7"/>
      <c r="CV1153" s="7"/>
      <c r="CW1153" s="7"/>
      <c r="CX1153" s="8">
        <f t="shared" si="5298"/>
        <v>0</v>
      </c>
      <c r="CZ1153" s="6"/>
      <c r="DA1153" s="7"/>
      <c r="DB1153" s="7"/>
      <c r="DC1153" s="7"/>
      <c r="DD1153" s="7"/>
      <c r="DE1153" s="8">
        <f t="shared" si="5299"/>
        <v>0</v>
      </c>
    </row>
    <row r="1154" spans="2:110" ht="14" thickBot="1">
      <c r="C1154" s="567"/>
      <c r="E1154" s="5" t="s">
        <v>62</v>
      </c>
      <c r="F1154" s="23">
        <f t="shared" si="5294"/>
        <v>0</v>
      </c>
      <c r="G1154" s="24">
        <f t="shared" si="5285"/>
        <v>0</v>
      </c>
      <c r="H1154" s="24">
        <f t="shared" si="5286"/>
        <v>0</v>
      </c>
      <c r="I1154" s="24">
        <f t="shared" si="5287"/>
        <v>0</v>
      </c>
      <c r="J1154" s="24">
        <f t="shared" si="5288"/>
        <v>0</v>
      </c>
      <c r="K1154" s="8">
        <f t="shared" si="5295"/>
        <v>0</v>
      </c>
      <c r="M1154" s="6"/>
      <c r="N1154" s="7"/>
      <c r="O1154" s="7"/>
      <c r="P1154" s="7"/>
      <c r="Q1154" s="7"/>
      <c r="R1154" s="8">
        <f t="shared" si="5296"/>
        <v>0</v>
      </c>
      <c r="T1154" s="6"/>
      <c r="U1154" s="7"/>
      <c r="V1154" s="7"/>
      <c r="W1154" s="7"/>
      <c r="X1154" s="7"/>
      <c r="Y1154" s="8">
        <f t="shared" si="5297"/>
        <v>0</v>
      </c>
      <c r="AA1154" s="6"/>
      <c r="AB1154" s="7"/>
      <c r="AC1154" s="7"/>
      <c r="AD1154" s="7"/>
      <c r="AE1154" s="7"/>
      <c r="AF1154" s="8">
        <f>SUM(AA1154:AE1154)</f>
        <v>0</v>
      </c>
      <c r="AH1154" s="6"/>
      <c r="AI1154" s="7"/>
      <c r="AJ1154" s="7"/>
      <c r="AK1154" s="7"/>
      <c r="AL1154" s="7"/>
      <c r="AM1154" s="8">
        <f>SUM(AH1154:AL1154)</f>
        <v>0</v>
      </c>
      <c r="AO1154" s="6"/>
      <c r="AP1154" s="7"/>
      <c r="AQ1154" s="7"/>
      <c r="AR1154" s="7"/>
      <c r="AS1154" s="7"/>
      <c r="AT1154" s="8">
        <f>SUM(AO1154:AS1154)</f>
        <v>0</v>
      </c>
      <c r="AV1154" s="6"/>
      <c r="AW1154" s="7"/>
      <c r="AX1154" s="7"/>
      <c r="AY1154" s="7"/>
      <c r="AZ1154" s="7"/>
      <c r="BA1154" s="8">
        <f>SUM(AV1154:AZ1154)</f>
        <v>0</v>
      </c>
      <c r="BC1154" s="6"/>
      <c r="BD1154" s="7"/>
      <c r="BE1154" s="7"/>
      <c r="BF1154" s="7"/>
      <c r="BG1154" s="7"/>
      <c r="BH1154" s="8">
        <f>SUM(BC1154:BG1154)</f>
        <v>0</v>
      </c>
      <c r="BJ1154" s="6"/>
      <c r="BK1154" s="7"/>
      <c r="BL1154" s="7"/>
      <c r="BM1154" s="7"/>
      <c r="BN1154" s="7"/>
      <c r="BO1154" s="8">
        <f>SUM(BJ1154:BN1154)</f>
        <v>0</v>
      </c>
      <c r="BQ1154" s="6"/>
      <c r="BR1154" s="7"/>
      <c r="BS1154" s="7"/>
      <c r="BT1154" s="7"/>
      <c r="BU1154" s="7"/>
      <c r="BV1154" s="8">
        <f>SUM(BQ1154:BU1154)</f>
        <v>0</v>
      </c>
      <c r="BX1154" s="6"/>
      <c r="BY1154" s="7"/>
      <c r="BZ1154" s="7"/>
      <c r="CA1154" s="7"/>
      <c r="CB1154" s="7"/>
      <c r="CC1154" s="8">
        <f>SUM(BX1154:CB1154)</f>
        <v>0</v>
      </c>
      <c r="CE1154" s="493">
        <f t="shared" si="5289"/>
        <v>0</v>
      </c>
      <c r="CF1154" s="494">
        <f t="shared" si="5290"/>
        <v>0</v>
      </c>
      <c r="CG1154" s="494">
        <f t="shared" si="5291"/>
        <v>0</v>
      </c>
      <c r="CH1154" s="494">
        <f t="shared" si="5292"/>
        <v>0</v>
      </c>
      <c r="CI1154" s="494">
        <f t="shared" si="5293"/>
        <v>0</v>
      </c>
      <c r="CJ1154" s="495">
        <f>SUM(CE1154:CI1154)</f>
        <v>0</v>
      </c>
      <c r="CL1154" s="6"/>
      <c r="CM1154" s="7"/>
      <c r="CN1154" s="7"/>
      <c r="CO1154" s="7"/>
      <c r="CP1154" s="7"/>
      <c r="CQ1154" s="8">
        <f>SUM(CL1154:CP1154)</f>
        <v>0</v>
      </c>
      <c r="CS1154" s="6"/>
      <c r="CT1154" s="7"/>
      <c r="CU1154" s="7"/>
      <c r="CV1154" s="7"/>
      <c r="CW1154" s="7"/>
      <c r="CX1154" s="8">
        <f t="shared" si="5298"/>
        <v>0</v>
      </c>
      <c r="CZ1154" s="6"/>
      <c r="DA1154" s="7"/>
      <c r="DB1154" s="7"/>
      <c r="DC1154" s="7"/>
      <c r="DD1154" s="7"/>
      <c r="DE1154" s="8">
        <f t="shared" si="5299"/>
        <v>0</v>
      </c>
    </row>
    <row r="1155" spans="2:110" ht="14" thickBot="1">
      <c r="C1155" s="554"/>
      <c r="E1155" s="9"/>
      <c r="F1155" s="10">
        <f>SUM(F1151:F1154)</f>
        <v>0</v>
      </c>
      <c r="G1155" s="11">
        <f t="shared" ref="G1155:J1155" si="5300">SUM(G1151:G1154)</f>
        <v>0</v>
      </c>
      <c r="H1155" s="11">
        <f t="shared" si="5300"/>
        <v>0</v>
      </c>
      <c r="I1155" s="11">
        <f t="shared" si="5300"/>
        <v>0</v>
      </c>
      <c r="J1155" s="11">
        <f t="shared" si="5300"/>
        <v>0</v>
      </c>
      <c r="K1155" s="25">
        <f>SUM(K1151:K1154)</f>
        <v>0</v>
      </c>
      <c r="M1155" s="10">
        <f>SUM(M1151:M1154)</f>
        <v>0</v>
      </c>
      <c r="N1155" s="11">
        <f t="shared" ref="N1155:Q1155" si="5301">SUM(N1151:N1154)</f>
        <v>0</v>
      </c>
      <c r="O1155" s="11">
        <f t="shared" si="5301"/>
        <v>0</v>
      </c>
      <c r="P1155" s="11">
        <f t="shared" si="5301"/>
        <v>0</v>
      </c>
      <c r="Q1155" s="11">
        <f t="shared" si="5301"/>
        <v>0</v>
      </c>
      <c r="R1155" s="25">
        <f>SUM(R1151:R1154)</f>
        <v>0</v>
      </c>
      <c r="T1155" s="10">
        <f>SUM(T1151:T1154)</f>
        <v>0</v>
      </c>
      <c r="U1155" s="11">
        <f t="shared" ref="U1155:X1155" si="5302">SUM(U1151:U1154)</f>
        <v>0</v>
      </c>
      <c r="V1155" s="11">
        <f t="shared" si="5302"/>
        <v>0</v>
      </c>
      <c r="W1155" s="11">
        <f t="shared" si="5302"/>
        <v>0</v>
      </c>
      <c r="X1155" s="11">
        <f t="shared" si="5302"/>
        <v>0</v>
      </c>
      <c r="Y1155" s="25">
        <f>SUM(Y1151:Y1154)</f>
        <v>0</v>
      </c>
      <c r="AA1155" s="10">
        <f>SUM(AA1151:AA1154)</f>
        <v>0</v>
      </c>
      <c r="AB1155" s="11">
        <f t="shared" ref="AB1155:AE1155" si="5303">SUM(AB1151:AB1154)</f>
        <v>0</v>
      </c>
      <c r="AC1155" s="11">
        <f t="shared" si="5303"/>
        <v>0</v>
      </c>
      <c r="AD1155" s="11">
        <f t="shared" si="5303"/>
        <v>0</v>
      </c>
      <c r="AE1155" s="11">
        <f t="shared" si="5303"/>
        <v>0</v>
      </c>
      <c r="AF1155" s="25">
        <f>SUM(AF1151:AF1154)</f>
        <v>0</v>
      </c>
      <c r="AH1155" s="10">
        <f t="shared" ref="AH1155:AM1155" si="5304">SUM(AH1151:AH1154)</f>
        <v>0</v>
      </c>
      <c r="AI1155" s="11">
        <f t="shared" si="5304"/>
        <v>0</v>
      </c>
      <c r="AJ1155" s="11">
        <f t="shared" si="5304"/>
        <v>0</v>
      </c>
      <c r="AK1155" s="11">
        <f t="shared" si="5304"/>
        <v>0</v>
      </c>
      <c r="AL1155" s="11">
        <f t="shared" si="5304"/>
        <v>0</v>
      </c>
      <c r="AM1155" s="25">
        <f t="shared" si="5304"/>
        <v>0</v>
      </c>
      <c r="AO1155" s="10">
        <f t="shared" ref="AO1155:AT1155" si="5305">SUM(AO1151:AO1154)</f>
        <v>0</v>
      </c>
      <c r="AP1155" s="11">
        <f t="shared" si="5305"/>
        <v>0</v>
      </c>
      <c r="AQ1155" s="11">
        <f t="shared" si="5305"/>
        <v>0</v>
      </c>
      <c r="AR1155" s="11">
        <f t="shared" si="5305"/>
        <v>0</v>
      </c>
      <c r="AS1155" s="11">
        <f t="shared" si="5305"/>
        <v>0</v>
      </c>
      <c r="AT1155" s="25">
        <f t="shared" si="5305"/>
        <v>0</v>
      </c>
      <c r="AV1155" s="10">
        <f t="shared" ref="AV1155:BA1155" si="5306">SUM(AV1151:AV1154)</f>
        <v>0</v>
      </c>
      <c r="AW1155" s="11">
        <f t="shared" si="5306"/>
        <v>0</v>
      </c>
      <c r="AX1155" s="11">
        <f t="shared" si="5306"/>
        <v>0</v>
      </c>
      <c r="AY1155" s="11">
        <f t="shared" si="5306"/>
        <v>0</v>
      </c>
      <c r="AZ1155" s="11">
        <f t="shared" si="5306"/>
        <v>0</v>
      </c>
      <c r="BA1155" s="25">
        <f t="shared" si="5306"/>
        <v>0</v>
      </c>
      <c r="BC1155" s="10">
        <f t="shared" ref="BC1155:BH1155" si="5307">SUM(BC1151:BC1154)</f>
        <v>0</v>
      </c>
      <c r="BD1155" s="11">
        <f t="shared" si="5307"/>
        <v>0</v>
      </c>
      <c r="BE1155" s="11">
        <f t="shared" si="5307"/>
        <v>0</v>
      </c>
      <c r="BF1155" s="11">
        <f t="shared" si="5307"/>
        <v>0</v>
      </c>
      <c r="BG1155" s="11">
        <f t="shared" si="5307"/>
        <v>0</v>
      </c>
      <c r="BH1155" s="25">
        <f t="shared" si="5307"/>
        <v>0</v>
      </c>
      <c r="BJ1155" s="10">
        <f t="shared" ref="BJ1155:BO1155" si="5308">SUM(BJ1151:BJ1154)</f>
        <v>0</v>
      </c>
      <c r="BK1155" s="11">
        <f t="shared" si="5308"/>
        <v>0</v>
      </c>
      <c r="BL1155" s="11">
        <f t="shared" si="5308"/>
        <v>0</v>
      </c>
      <c r="BM1155" s="11">
        <f t="shared" si="5308"/>
        <v>0</v>
      </c>
      <c r="BN1155" s="11">
        <f t="shared" si="5308"/>
        <v>0</v>
      </c>
      <c r="BO1155" s="25">
        <f t="shared" si="5308"/>
        <v>0</v>
      </c>
      <c r="BQ1155" s="10">
        <f t="shared" ref="BQ1155:BV1155" si="5309">SUM(BQ1151:BQ1154)</f>
        <v>0</v>
      </c>
      <c r="BR1155" s="11">
        <f t="shared" si="5309"/>
        <v>0</v>
      </c>
      <c r="BS1155" s="11">
        <f t="shared" si="5309"/>
        <v>0</v>
      </c>
      <c r="BT1155" s="11">
        <f t="shared" si="5309"/>
        <v>0</v>
      </c>
      <c r="BU1155" s="11">
        <f t="shared" si="5309"/>
        <v>0</v>
      </c>
      <c r="BV1155" s="25">
        <f t="shared" si="5309"/>
        <v>0</v>
      </c>
      <c r="BX1155" s="10">
        <f t="shared" ref="BX1155:CC1155" si="5310">SUM(BX1151:BX1154)</f>
        <v>0</v>
      </c>
      <c r="BY1155" s="11">
        <f t="shared" si="5310"/>
        <v>0</v>
      </c>
      <c r="BZ1155" s="11">
        <f t="shared" si="5310"/>
        <v>0</v>
      </c>
      <c r="CA1155" s="11">
        <f t="shared" si="5310"/>
        <v>0</v>
      </c>
      <c r="CB1155" s="11">
        <f t="shared" si="5310"/>
        <v>0</v>
      </c>
      <c r="CC1155" s="25">
        <f t="shared" si="5310"/>
        <v>0</v>
      </c>
      <c r="CE1155" s="62">
        <f t="shared" ref="CE1155:CJ1155" si="5311">SUM(CE1151:CE1154)</f>
        <v>0</v>
      </c>
      <c r="CF1155" s="63">
        <f t="shared" si="5311"/>
        <v>0</v>
      </c>
      <c r="CG1155" s="63">
        <f t="shared" si="5311"/>
        <v>0</v>
      </c>
      <c r="CH1155" s="63">
        <f t="shared" si="5311"/>
        <v>0</v>
      </c>
      <c r="CI1155" s="63">
        <f t="shared" si="5311"/>
        <v>0</v>
      </c>
      <c r="CJ1155" s="25">
        <f t="shared" si="5311"/>
        <v>0</v>
      </c>
      <c r="CL1155" s="10">
        <f>SUM(CL1151:CL1154)</f>
        <v>0</v>
      </c>
      <c r="CM1155" s="11">
        <f t="shared" ref="CM1155:CQ1155" si="5312">SUM(CM1151:CM1154)</f>
        <v>0</v>
      </c>
      <c r="CN1155" s="11">
        <f t="shared" si="5312"/>
        <v>0</v>
      </c>
      <c r="CO1155" s="11">
        <f t="shared" si="5312"/>
        <v>0</v>
      </c>
      <c r="CP1155" s="11">
        <f t="shared" si="5312"/>
        <v>0</v>
      </c>
      <c r="CQ1155" s="25">
        <f t="shared" si="5312"/>
        <v>0</v>
      </c>
      <c r="CS1155" s="10">
        <f>SUM(CS1151:CS1154)</f>
        <v>0</v>
      </c>
      <c r="CT1155" s="11">
        <f t="shared" ref="CT1155:CW1155" si="5313">SUM(CT1151:CT1154)</f>
        <v>0</v>
      </c>
      <c r="CU1155" s="11">
        <f t="shared" si="5313"/>
        <v>0</v>
      </c>
      <c r="CV1155" s="11">
        <f t="shared" si="5313"/>
        <v>0</v>
      </c>
      <c r="CW1155" s="11">
        <f t="shared" si="5313"/>
        <v>0</v>
      </c>
      <c r="CX1155" s="25">
        <f>SUM(CX1151:CX1154)</f>
        <v>0</v>
      </c>
      <c r="CZ1155" s="10">
        <f>SUM(CZ1151:CZ1154)</f>
        <v>0</v>
      </c>
      <c r="DA1155" s="11">
        <f t="shared" ref="DA1155:DD1155" si="5314">SUM(DA1151:DA1154)</f>
        <v>0</v>
      </c>
      <c r="DB1155" s="11">
        <f t="shared" si="5314"/>
        <v>0</v>
      </c>
      <c r="DC1155" s="11">
        <f t="shared" si="5314"/>
        <v>0</v>
      </c>
      <c r="DD1155" s="11">
        <f t="shared" si="5314"/>
        <v>0</v>
      </c>
      <c r="DE1155" s="25">
        <f>SUM(DE1151:DE1154)</f>
        <v>0</v>
      </c>
    </row>
    <row r="1157" spans="2:110">
      <c r="B1157" s="123"/>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row>
    <row r="1158" spans="2:110" ht="14" thickBot="1">
      <c r="B1158" s="94">
        <v>37</v>
      </c>
      <c r="C1158" s="12" t="s">
        <v>98</v>
      </c>
    </row>
    <row r="1159" spans="2:110">
      <c r="C1159" s="553">
        <v>2024</v>
      </c>
      <c r="E1159" s="1" t="s">
        <v>59</v>
      </c>
      <c r="F1159" s="2"/>
      <c r="G1159" s="3"/>
      <c r="H1159" s="3"/>
      <c r="I1159" s="3"/>
      <c r="J1159" s="3"/>
      <c r="K1159" s="4">
        <f>SUM(F1159:J1159)</f>
        <v>0</v>
      </c>
      <c r="M1159" s="2"/>
      <c r="N1159" s="3"/>
      <c r="O1159" s="3"/>
      <c r="P1159" s="3"/>
      <c r="Q1159" s="3"/>
      <c r="R1159" s="4">
        <f>SUM(M1159:Q1159)</f>
        <v>0</v>
      </c>
      <c r="T1159" s="2"/>
      <c r="U1159" s="3"/>
      <c r="V1159" s="3"/>
      <c r="W1159" s="3"/>
      <c r="X1159" s="3"/>
      <c r="Y1159" s="4">
        <f>SUM(T1159:X1159)</f>
        <v>0</v>
      </c>
      <c r="AA1159" s="2"/>
      <c r="AB1159" s="3"/>
      <c r="AC1159" s="3"/>
      <c r="AD1159" s="3"/>
      <c r="AE1159" s="3"/>
      <c r="AF1159" s="4">
        <f>SUM(AA1159:AE1159)</f>
        <v>0</v>
      </c>
      <c r="AH1159" s="2"/>
      <c r="AI1159" s="3"/>
      <c r="AJ1159" s="3"/>
      <c r="AK1159" s="3"/>
      <c r="AL1159" s="3"/>
      <c r="AM1159" s="4">
        <f>SUM(AH1159:AL1159)</f>
        <v>0</v>
      </c>
      <c r="AO1159" s="2"/>
      <c r="AP1159" s="3"/>
      <c r="AQ1159" s="3"/>
      <c r="AR1159" s="3"/>
      <c r="AS1159" s="3"/>
      <c r="AT1159" s="4">
        <f>SUM(AO1159:AS1159)</f>
        <v>0</v>
      </c>
      <c r="AV1159" s="2"/>
      <c r="AW1159" s="3"/>
      <c r="AX1159" s="3"/>
      <c r="AY1159" s="3"/>
      <c r="AZ1159" s="3"/>
      <c r="BA1159" s="4">
        <f>SUM(AV1159:AZ1159)</f>
        <v>0</v>
      </c>
      <c r="BC1159" s="2"/>
      <c r="BD1159" s="3"/>
      <c r="BE1159" s="3"/>
      <c r="BF1159" s="3"/>
      <c r="BG1159" s="3"/>
      <c r="BH1159" s="4">
        <f>SUM(BC1159:BG1159)</f>
        <v>0</v>
      </c>
      <c r="BJ1159" s="2"/>
      <c r="BK1159" s="3"/>
      <c r="BL1159" s="3"/>
      <c r="BM1159" s="3"/>
      <c r="BN1159" s="3"/>
      <c r="BO1159" s="4">
        <f>SUM(BJ1159:BN1159)</f>
        <v>0</v>
      </c>
      <c r="BQ1159" s="2"/>
      <c r="BR1159" s="3"/>
      <c r="BS1159" s="3"/>
      <c r="BT1159" s="3"/>
      <c r="BU1159" s="3"/>
      <c r="BV1159" s="4">
        <f>SUM(BQ1159:BU1159)</f>
        <v>0</v>
      </c>
      <c r="BX1159" s="2"/>
      <c r="BY1159" s="3"/>
      <c r="BZ1159" s="3"/>
      <c r="CA1159" s="3"/>
      <c r="CB1159" s="3"/>
      <c r="CC1159" s="4">
        <f>SUM(BX1159:CB1159)</f>
        <v>0</v>
      </c>
      <c r="CE1159" s="26">
        <f t="shared" ref="CE1159:CE1162" si="5315">F1159+M1159+T1159+AA1159+AH1159+AO1159+AV1159+BC1159+BJ1159+BQ1159+BX1159</f>
        <v>0</v>
      </c>
      <c r="CF1159" s="27">
        <f t="shared" ref="CF1159:CF1162" si="5316">G1159+N1159+U1159+AB1159+AI1159+AP1159+AW1159+BD1159+BK1159+BR1159+BY1159</f>
        <v>0</v>
      </c>
      <c r="CG1159" s="27">
        <f t="shared" ref="CG1159:CG1162" si="5317">H1159+O1159+V1159+AC1159+AJ1159+AQ1159+AX1159+BE1159+BL1159+BS1159+BZ1159</f>
        <v>0</v>
      </c>
      <c r="CH1159" s="27">
        <f t="shared" ref="CH1159:CH1162" si="5318">I1159+P1159+W1159+AD1159+AK1159+AR1159+AY1159+BF1159+BM1159+BT1159+CA1159</f>
        <v>0</v>
      </c>
      <c r="CI1159" s="27">
        <f t="shared" ref="CI1159:CI1162" si="5319">J1159+Q1159+X1159+AE1159+AL1159+AS1159+AZ1159+BG1159+BN1159+BU1159+CB1159</f>
        <v>0</v>
      </c>
      <c r="CJ1159" s="4">
        <f>SUM(CE1159:CI1159)</f>
        <v>0</v>
      </c>
      <c r="CL1159" s="2"/>
      <c r="CM1159" s="3"/>
      <c r="CN1159" s="3"/>
      <c r="CO1159" s="3"/>
      <c r="CP1159" s="3"/>
      <c r="CQ1159" s="4">
        <f>SUM(CL1159:CP1159)</f>
        <v>0</v>
      </c>
      <c r="CS1159" s="2"/>
      <c r="CT1159" s="3"/>
      <c r="CU1159" s="3"/>
      <c r="CV1159" s="3"/>
      <c r="CW1159" s="3"/>
      <c r="CX1159" s="4">
        <f>SUM(CS1159:CW1159)</f>
        <v>0</v>
      </c>
      <c r="CZ1159" s="2"/>
      <c r="DA1159" s="3"/>
      <c r="DB1159" s="3"/>
      <c r="DC1159" s="3"/>
      <c r="DD1159" s="3"/>
      <c r="DE1159" s="4">
        <f>SUM(CZ1159:DD1159)</f>
        <v>0</v>
      </c>
    </row>
    <row r="1160" spans="2:110">
      <c r="C1160" s="567"/>
      <c r="E1160" s="5" t="s">
        <v>60</v>
      </c>
      <c r="F1160" s="6"/>
      <c r="G1160" s="7"/>
      <c r="H1160" s="7"/>
      <c r="I1160" s="7"/>
      <c r="J1160" s="7"/>
      <c r="K1160" s="8">
        <f t="shared" ref="K1160:K1162" si="5320">SUM(F1160:J1160)</f>
        <v>0</v>
      </c>
      <c r="M1160" s="6"/>
      <c r="N1160" s="7"/>
      <c r="O1160" s="7"/>
      <c r="P1160" s="7"/>
      <c r="Q1160" s="7"/>
      <c r="R1160" s="8">
        <f t="shared" ref="R1160:R1162" si="5321">SUM(M1160:Q1160)</f>
        <v>0</v>
      </c>
      <c r="T1160" s="6"/>
      <c r="U1160" s="7"/>
      <c r="V1160" s="7"/>
      <c r="W1160" s="7"/>
      <c r="X1160" s="7"/>
      <c r="Y1160" s="8">
        <f t="shared" ref="Y1160:Y1162" si="5322">SUM(T1160:X1160)</f>
        <v>0</v>
      </c>
      <c r="AA1160" s="6"/>
      <c r="AB1160" s="7"/>
      <c r="AC1160" s="7"/>
      <c r="AD1160" s="7"/>
      <c r="AE1160" s="7"/>
      <c r="AF1160" s="8">
        <f>SUM(AA1160:AE1160)</f>
        <v>0</v>
      </c>
      <c r="AH1160" s="6"/>
      <c r="AI1160" s="7"/>
      <c r="AJ1160" s="7"/>
      <c r="AK1160" s="7"/>
      <c r="AL1160" s="7"/>
      <c r="AM1160" s="8">
        <f>SUM(AH1160:AL1160)</f>
        <v>0</v>
      </c>
      <c r="AO1160" s="6"/>
      <c r="AP1160" s="7"/>
      <c r="AQ1160" s="7"/>
      <c r="AR1160" s="7"/>
      <c r="AS1160" s="7"/>
      <c r="AT1160" s="8">
        <f>SUM(AO1160:AS1160)</f>
        <v>0</v>
      </c>
      <c r="AV1160" s="6"/>
      <c r="AW1160" s="7"/>
      <c r="AX1160" s="7"/>
      <c r="AY1160" s="7"/>
      <c r="AZ1160" s="7"/>
      <c r="BA1160" s="8">
        <f>SUM(AV1160:AZ1160)</f>
        <v>0</v>
      </c>
      <c r="BC1160" s="6"/>
      <c r="BD1160" s="7"/>
      <c r="BE1160" s="7"/>
      <c r="BF1160" s="7"/>
      <c r="BG1160" s="7"/>
      <c r="BH1160" s="8">
        <f>SUM(BC1160:BG1160)</f>
        <v>0</v>
      </c>
      <c r="BJ1160" s="6"/>
      <c r="BK1160" s="7"/>
      <c r="BL1160" s="7"/>
      <c r="BM1160" s="7"/>
      <c r="BN1160" s="7"/>
      <c r="BO1160" s="8">
        <f>SUM(BJ1160:BN1160)</f>
        <v>0</v>
      </c>
      <c r="BQ1160" s="6"/>
      <c r="BR1160" s="7"/>
      <c r="BS1160" s="7"/>
      <c r="BT1160" s="7"/>
      <c r="BU1160" s="7"/>
      <c r="BV1160" s="8">
        <f>SUM(BQ1160:BU1160)</f>
        <v>0</v>
      </c>
      <c r="BX1160" s="6"/>
      <c r="BY1160" s="7"/>
      <c r="BZ1160" s="7"/>
      <c r="CA1160" s="7"/>
      <c r="CB1160" s="7"/>
      <c r="CC1160" s="8">
        <f>SUM(BX1160:CB1160)</f>
        <v>0</v>
      </c>
      <c r="CE1160" s="28">
        <f t="shared" si="5315"/>
        <v>0</v>
      </c>
      <c r="CF1160" s="29">
        <f t="shared" si="5316"/>
        <v>0</v>
      </c>
      <c r="CG1160" s="29">
        <f t="shared" si="5317"/>
        <v>0</v>
      </c>
      <c r="CH1160" s="29">
        <f t="shared" si="5318"/>
        <v>0</v>
      </c>
      <c r="CI1160" s="29">
        <f t="shared" si="5319"/>
        <v>0</v>
      </c>
      <c r="CJ1160" s="8">
        <f>SUM(CE1160:CI1160)</f>
        <v>0</v>
      </c>
      <c r="CL1160" s="6"/>
      <c r="CM1160" s="7"/>
      <c r="CN1160" s="7"/>
      <c r="CO1160" s="7"/>
      <c r="CP1160" s="7"/>
      <c r="CQ1160" s="8">
        <f>SUM(CL1160:CP1160)</f>
        <v>0</v>
      </c>
      <c r="CS1160" s="6"/>
      <c r="CT1160" s="7"/>
      <c r="CU1160" s="7"/>
      <c r="CV1160" s="7"/>
      <c r="CW1160" s="7"/>
      <c r="CX1160" s="8">
        <f t="shared" ref="CX1160:CX1162" si="5323">SUM(CS1160:CW1160)</f>
        <v>0</v>
      </c>
      <c r="CZ1160" s="6"/>
      <c r="DA1160" s="7"/>
      <c r="DB1160" s="7"/>
      <c r="DC1160" s="7"/>
      <c r="DD1160" s="7"/>
      <c r="DE1160" s="8">
        <f t="shared" ref="DE1160:DE1162" si="5324">SUM(CZ1160:DD1160)</f>
        <v>0</v>
      </c>
    </row>
    <row r="1161" spans="2:110">
      <c r="C1161" s="567"/>
      <c r="E1161" s="5" t="s">
        <v>61</v>
      </c>
      <c r="F1161" s="6"/>
      <c r="G1161" s="7"/>
      <c r="H1161" s="7"/>
      <c r="I1161" s="7"/>
      <c r="J1161" s="7"/>
      <c r="K1161" s="8">
        <f t="shared" si="5320"/>
        <v>0</v>
      </c>
      <c r="M1161" s="6"/>
      <c r="N1161" s="7"/>
      <c r="O1161" s="7"/>
      <c r="P1161" s="7"/>
      <c r="Q1161" s="7"/>
      <c r="R1161" s="8">
        <f t="shared" si="5321"/>
        <v>0</v>
      </c>
      <c r="T1161" s="6"/>
      <c r="U1161" s="7"/>
      <c r="V1161" s="7"/>
      <c r="W1161" s="7"/>
      <c r="X1161" s="7"/>
      <c r="Y1161" s="8">
        <f t="shared" si="5322"/>
        <v>0</v>
      </c>
      <c r="AA1161" s="6"/>
      <c r="AB1161" s="7"/>
      <c r="AC1161" s="7"/>
      <c r="AD1161" s="7"/>
      <c r="AE1161" s="7"/>
      <c r="AF1161" s="8">
        <f>SUM(AA1161:AE1161)</f>
        <v>0</v>
      </c>
      <c r="AH1161" s="6"/>
      <c r="AI1161" s="7"/>
      <c r="AJ1161" s="7"/>
      <c r="AK1161" s="7"/>
      <c r="AL1161" s="7"/>
      <c r="AM1161" s="8">
        <f>SUM(AH1161:AL1161)</f>
        <v>0</v>
      </c>
      <c r="AO1161" s="6"/>
      <c r="AP1161" s="7"/>
      <c r="AQ1161" s="7"/>
      <c r="AR1161" s="7"/>
      <c r="AS1161" s="7"/>
      <c r="AT1161" s="8">
        <f>SUM(AO1161:AS1161)</f>
        <v>0</v>
      </c>
      <c r="AV1161" s="6"/>
      <c r="AW1161" s="7"/>
      <c r="AX1161" s="7"/>
      <c r="AY1161" s="7"/>
      <c r="AZ1161" s="7"/>
      <c r="BA1161" s="8">
        <f>SUM(AV1161:AZ1161)</f>
        <v>0</v>
      </c>
      <c r="BC1161" s="6"/>
      <c r="BD1161" s="7"/>
      <c r="BE1161" s="7"/>
      <c r="BF1161" s="7"/>
      <c r="BG1161" s="7"/>
      <c r="BH1161" s="8">
        <f>SUM(BC1161:BG1161)</f>
        <v>0</v>
      </c>
      <c r="BJ1161" s="6"/>
      <c r="BK1161" s="7"/>
      <c r="BL1161" s="7"/>
      <c r="BM1161" s="7"/>
      <c r="BN1161" s="7"/>
      <c r="BO1161" s="8">
        <f>SUM(BJ1161:BN1161)</f>
        <v>0</v>
      </c>
      <c r="BQ1161" s="6"/>
      <c r="BR1161" s="7"/>
      <c r="BS1161" s="7"/>
      <c r="BT1161" s="7"/>
      <c r="BU1161" s="7"/>
      <c r="BV1161" s="8">
        <f>SUM(BQ1161:BU1161)</f>
        <v>0</v>
      </c>
      <c r="BX1161" s="6"/>
      <c r="BY1161" s="7"/>
      <c r="BZ1161" s="7"/>
      <c r="CA1161" s="7"/>
      <c r="CB1161" s="7"/>
      <c r="CC1161" s="8">
        <f>SUM(BX1161:CB1161)</f>
        <v>0</v>
      </c>
      <c r="CE1161" s="28">
        <f t="shared" si="5315"/>
        <v>0</v>
      </c>
      <c r="CF1161" s="29">
        <f t="shared" si="5316"/>
        <v>0</v>
      </c>
      <c r="CG1161" s="29">
        <f t="shared" si="5317"/>
        <v>0</v>
      </c>
      <c r="CH1161" s="29">
        <f t="shared" si="5318"/>
        <v>0</v>
      </c>
      <c r="CI1161" s="29">
        <f t="shared" si="5319"/>
        <v>0</v>
      </c>
      <c r="CJ1161" s="8">
        <f>SUM(CE1161:CI1161)</f>
        <v>0</v>
      </c>
      <c r="CL1161" s="6"/>
      <c r="CM1161" s="7"/>
      <c r="CN1161" s="7"/>
      <c r="CO1161" s="7"/>
      <c r="CP1161" s="7"/>
      <c r="CQ1161" s="8">
        <f>SUM(CL1161:CP1161)</f>
        <v>0</v>
      </c>
      <c r="CS1161" s="6"/>
      <c r="CT1161" s="7"/>
      <c r="CU1161" s="7"/>
      <c r="CV1161" s="7"/>
      <c r="CW1161" s="7"/>
      <c r="CX1161" s="8">
        <f t="shared" si="5323"/>
        <v>0</v>
      </c>
      <c r="CZ1161" s="6"/>
      <c r="DA1161" s="7"/>
      <c r="DB1161" s="7"/>
      <c r="DC1161" s="7"/>
      <c r="DD1161" s="7"/>
      <c r="DE1161" s="8">
        <f t="shared" si="5324"/>
        <v>0</v>
      </c>
    </row>
    <row r="1162" spans="2:110" ht="14" thickBot="1">
      <c r="C1162" s="567"/>
      <c r="E1162" s="5" t="s">
        <v>62</v>
      </c>
      <c r="F1162" s="6"/>
      <c r="G1162" s="7"/>
      <c r="H1162" s="7"/>
      <c r="I1162" s="7"/>
      <c r="J1162" s="7"/>
      <c r="K1162" s="8">
        <f t="shared" si="5320"/>
        <v>0</v>
      </c>
      <c r="M1162" s="6"/>
      <c r="N1162" s="7"/>
      <c r="O1162" s="7"/>
      <c r="P1162" s="7"/>
      <c r="Q1162" s="7"/>
      <c r="R1162" s="8">
        <f t="shared" si="5321"/>
        <v>0</v>
      </c>
      <c r="T1162" s="6"/>
      <c r="U1162" s="7"/>
      <c r="V1162" s="7"/>
      <c r="W1162" s="7"/>
      <c r="X1162" s="7"/>
      <c r="Y1162" s="8">
        <f t="shared" si="5322"/>
        <v>0</v>
      </c>
      <c r="AA1162" s="6"/>
      <c r="AB1162" s="7"/>
      <c r="AC1162" s="7"/>
      <c r="AD1162" s="7"/>
      <c r="AE1162" s="7"/>
      <c r="AF1162" s="8">
        <f>SUM(AA1162:AE1162)</f>
        <v>0</v>
      </c>
      <c r="AH1162" s="6"/>
      <c r="AI1162" s="7"/>
      <c r="AJ1162" s="7"/>
      <c r="AK1162" s="7"/>
      <c r="AL1162" s="7"/>
      <c r="AM1162" s="8">
        <f>SUM(AH1162:AL1162)</f>
        <v>0</v>
      </c>
      <c r="AO1162" s="6"/>
      <c r="AP1162" s="7"/>
      <c r="AQ1162" s="7"/>
      <c r="AR1162" s="7"/>
      <c r="AS1162" s="7"/>
      <c r="AT1162" s="8">
        <f>SUM(AO1162:AS1162)</f>
        <v>0</v>
      </c>
      <c r="AV1162" s="6"/>
      <c r="AW1162" s="7"/>
      <c r="AX1162" s="7"/>
      <c r="AY1162" s="7"/>
      <c r="AZ1162" s="7"/>
      <c r="BA1162" s="8">
        <f>SUM(AV1162:AZ1162)</f>
        <v>0</v>
      </c>
      <c r="BC1162" s="6"/>
      <c r="BD1162" s="7"/>
      <c r="BE1162" s="7"/>
      <c r="BF1162" s="7"/>
      <c r="BG1162" s="7"/>
      <c r="BH1162" s="8">
        <f>SUM(BC1162:BG1162)</f>
        <v>0</v>
      </c>
      <c r="BJ1162" s="6"/>
      <c r="BK1162" s="7"/>
      <c r="BL1162" s="7"/>
      <c r="BM1162" s="7"/>
      <c r="BN1162" s="7"/>
      <c r="BO1162" s="8">
        <f>SUM(BJ1162:BN1162)</f>
        <v>0</v>
      </c>
      <c r="BQ1162" s="6"/>
      <c r="BR1162" s="7"/>
      <c r="BS1162" s="7"/>
      <c r="BT1162" s="7"/>
      <c r="BU1162" s="7"/>
      <c r="BV1162" s="8">
        <f>SUM(BQ1162:BU1162)</f>
        <v>0</v>
      </c>
      <c r="BX1162" s="6"/>
      <c r="BY1162" s="7"/>
      <c r="BZ1162" s="7"/>
      <c r="CA1162" s="7"/>
      <c r="CB1162" s="7"/>
      <c r="CC1162" s="8">
        <f>SUM(BX1162:CB1162)</f>
        <v>0</v>
      </c>
      <c r="CE1162" s="493">
        <f t="shared" si="5315"/>
        <v>0</v>
      </c>
      <c r="CF1162" s="494">
        <f t="shared" si="5316"/>
        <v>0</v>
      </c>
      <c r="CG1162" s="494">
        <f t="shared" si="5317"/>
        <v>0</v>
      </c>
      <c r="CH1162" s="494">
        <f t="shared" si="5318"/>
        <v>0</v>
      </c>
      <c r="CI1162" s="494">
        <f t="shared" si="5319"/>
        <v>0</v>
      </c>
      <c r="CJ1162" s="495">
        <f>SUM(CE1162:CI1162)</f>
        <v>0</v>
      </c>
      <c r="CL1162" s="6"/>
      <c r="CM1162" s="7"/>
      <c r="CN1162" s="7"/>
      <c r="CO1162" s="7"/>
      <c r="CP1162" s="7"/>
      <c r="CQ1162" s="8">
        <f>SUM(CL1162:CP1162)</f>
        <v>0</v>
      </c>
      <c r="CS1162" s="6"/>
      <c r="CT1162" s="7"/>
      <c r="CU1162" s="7"/>
      <c r="CV1162" s="7"/>
      <c r="CW1162" s="7"/>
      <c r="CX1162" s="8">
        <f t="shared" si="5323"/>
        <v>0</v>
      </c>
      <c r="CZ1162" s="6"/>
      <c r="DA1162" s="7"/>
      <c r="DB1162" s="7"/>
      <c r="DC1162" s="7"/>
      <c r="DD1162" s="7"/>
      <c r="DE1162" s="8">
        <f t="shared" si="5324"/>
        <v>0</v>
      </c>
    </row>
    <row r="1163" spans="2:110" ht="14" thickBot="1">
      <c r="C1163" s="554"/>
      <c r="E1163" s="9"/>
      <c r="F1163" s="10">
        <f>SUM(F1159:F1162)</f>
        <v>0</v>
      </c>
      <c r="G1163" s="11">
        <f t="shared" ref="G1163:J1163" si="5325">SUM(G1159:G1162)</f>
        <v>0</v>
      </c>
      <c r="H1163" s="11">
        <f t="shared" si="5325"/>
        <v>0</v>
      </c>
      <c r="I1163" s="11">
        <f t="shared" si="5325"/>
        <v>0</v>
      </c>
      <c r="J1163" s="61">
        <f t="shared" si="5325"/>
        <v>0</v>
      </c>
      <c r="K1163" s="25">
        <f>SUM(K1159:K1162)</f>
        <v>0</v>
      </c>
      <c r="M1163" s="10">
        <f>SUM(M1159:M1162)</f>
        <v>0</v>
      </c>
      <c r="N1163" s="11">
        <f t="shared" ref="N1163:Q1163" si="5326">SUM(N1159:N1162)</f>
        <v>0</v>
      </c>
      <c r="O1163" s="11">
        <f t="shared" si="5326"/>
        <v>0</v>
      </c>
      <c r="P1163" s="11">
        <f t="shared" si="5326"/>
        <v>0</v>
      </c>
      <c r="Q1163" s="11">
        <f t="shared" si="5326"/>
        <v>0</v>
      </c>
      <c r="R1163" s="25">
        <f>SUM(R1159:R1162)</f>
        <v>0</v>
      </c>
      <c r="T1163" s="10">
        <f>SUM(T1159:T1162)</f>
        <v>0</v>
      </c>
      <c r="U1163" s="11">
        <f t="shared" ref="U1163:X1163" si="5327">SUM(U1159:U1162)</f>
        <v>0</v>
      </c>
      <c r="V1163" s="11">
        <f t="shared" si="5327"/>
        <v>0</v>
      </c>
      <c r="W1163" s="11">
        <f t="shared" si="5327"/>
        <v>0</v>
      </c>
      <c r="X1163" s="11">
        <f t="shared" si="5327"/>
        <v>0</v>
      </c>
      <c r="Y1163" s="25">
        <f>SUM(Y1159:Y1162)</f>
        <v>0</v>
      </c>
      <c r="AA1163" s="10">
        <f>SUM(AA1159:AA1162)</f>
        <v>0</v>
      </c>
      <c r="AB1163" s="11">
        <f t="shared" ref="AB1163:AE1163" si="5328">SUM(AB1159:AB1162)</f>
        <v>0</v>
      </c>
      <c r="AC1163" s="11">
        <f t="shared" si="5328"/>
        <v>0</v>
      </c>
      <c r="AD1163" s="11">
        <f t="shared" si="5328"/>
        <v>0</v>
      </c>
      <c r="AE1163" s="11">
        <f t="shared" si="5328"/>
        <v>0</v>
      </c>
      <c r="AF1163" s="25">
        <f>SUM(AF1159:AF1162)</f>
        <v>0</v>
      </c>
      <c r="AH1163" s="10">
        <f t="shared" ref="AH1163:AM1163" si="5329">SUM(AH1159:AH1162)</f>
        <v>0</v>
      </c>
      <c r="AI1163" s="11">
        <f t="shared" si="5329"/>
        <v>0</v>
      </c>
      <c r="AJ1163" s="11">
        <f t="shared" si="5329"/>
        <v>0</v>
      </c>
      <c r="AK1163" s="11">
        <f t="shared" si="5329"/>
        <v>0</v>
      </c>
      <c r="AL1163" s="11">
        <f t="shared" si="5329"/>
        <v>0</v>
      </c>
      <c r="AM1163" s="25">
        <f t="shared" si="5329"/>
        <v>0</v>
      </c>
      <c r="AO1163" s="10">
        <f t="shared" ref="AO1163:AT1163" si="5330">SUM(AO1159:AO1162)</f>
        <v>0</v>
      </c>
      <c r="AP1163" s="11">
        <f t="shared" si="5330"/>
        <v>0</v>
      </c>
      <c r="AQ1163" s="11">
        <f t="shared" si="5330"/>
        <v>0</v>
      </c>
      <c r="AR1163" s="11">
        <f t="shared" si="5330"/>
        <v>0</v>
      </c>
      <c r="AS1163" s="11">
        <f t="shared" si="5330"/>
        <v>0</v>
      </c>
      <c r="AT1163" s="25">
        <f t="shared" si="5330"/>
        <v>0</v>
      </c>
      <c r="AV1163" s="10">
        <f t="shared" ref="AV1163:BA1163" si="5331">SUM(AV1159:AV1162)</f>
        <v>0</v>
      </c>
      <c r="AW1163" s="11">
        <f t="shared" si="5331"/>
        <v>0</v>
      </c>
      <c r="AX1163" s="11">
        <f t="shared" si="5331"/>
        <v>0</v>
      </c>
      <c r="AY1163" s="11">
        <f t="shared" si="5331"/>
        <v>0</v>
      </c>
      <c r="AZ1163" s="11">
        <f t="shared" si="5331"/>
        <v>0</v>
      </c>
      <c r="BA1163" s="25">
        <f t="shared" si="5331"/>
        <v>0</v>
      </c>
      <c r="BC1163" s="10">
        <f t="shared" ref="BC1163:BH1163" si="5332">SUM(BC1159:BC1162)</f>
        <v>0</v>
      </c>
      <c r="BD1163" s="11">
        <f t="shared" si="5332"/>
        <v>0</v>
      </c>
      <c r="BE1163" s="11">
        <f t="shared" si="5332"/>
        <v>0</v>
      </c>
      <c r="BF1163" s="11">
        <f t="shared" si="5332"/>
        <v>0</v>
      </c>
      <c r="BG1163" s="11">
        <f t="shared" si="5332"/>
        <v>0</v>
      </c>
      <c r="BH1163" s="25">
        <f t="shared" si="5332"/>
        <v>0</v>
      </c>
      <c r="BJ1163" s="10">
        <f t="shared" ref="BJ1163:BO1163" si="5333">SUM(BJ1159:BJ1162)</f>
        <v>0</v>
      </c>
      <c r="BK1163" s="11">
        <f t="shared" si="5333"/>
        <v>0</v>
      </c>
      <c r="BL1163" s="11">
        <f t="shared" si="5333"/>
        <v>0</v>
      </c>
      <c r="BM1163" s="11">
        <f t="shared" si="5333"/>
        <v>0</v>
      </c>
      <c r="BN1163" s="11">
        <f t="shared" si="5333"/>
        <v>0</v>
      </c>
      <c r="BO1163" s="25">
        <f t="shared" si="5333"/>
        <v>0</v>
      </c>
      <c r="BQ1163" s="10">
        <f t="shared" ref="BQ1163:BV1163" si="5334">SUM(BQ1159:BQ1162)</f>
        <v>0</v>
      </c>
      <c r="BR1163" s="11">
        <f t="shared" si="5334"/>
        <v>0</v>
      </c>
      <c r="BS1163" s="11">
        <f t="shared" si="5334"/>
        <v>0</v>
      </c>
      <c r="BT1163" s="11">
        <f t="shared" si="5334"/>
        <v>0</v>
      </c>
      <c r="BU1163" s="11">
        <f t="shared" si="5334"/>
        <v>0</v>
      </c>
      <c r="BV1163" s="25">
        <f t="shared" si="5334"/>
        <v>0</v>
      </c>
      <c r="BX1163" s="10">
        <f t="shared" ref="BX1163:CC1163" si="5335">SUM(BX1159:BX1162)</f>
        <v>0</v>
      </c>
      <c r="BY1163" s="11">
        <f t="shared" si="5335"/>
        <v>0</v>
      </c>
      <c r="BZ1163" s="11">
        <f t="shared" si="5335"/>
        <v>0</v>
      </c>
      <c r="CA1163" s="11">
        <f t="shared" si="5335"/>
        <v>0</v>
      </c>
      <c r="CB1163" s="11">
        <f t="shared" si="5335"/>
        <v>0</v>
      </c>
      <c r="CC1163" s="25">
        <f t="shared" si="5335"/>
        <v>0</v>
      </c>
      <c r="CE1163" s="62">
        <f t="shared" ref="CE1163:CJ1163" si="5336">SUM(CE1159:CE1162)</f>
        <v>0</v>
      </c>
      <c r="CF1163" s="63">
        <f t="shared" si="5336"/>
        <v>0</v>
      </c>
      <c r="CG1163" s="63">
        <f t="shared" si="5336"/>
        <v>0</v>
      </c>
      <c r="CH1163" s="63">
        <f t="shared" si="5336"/>
        <v>0</v>
      </c>
      <c r="CI1163" s="63">
        <f t="shared" si="5336"/>
        <v>0</v>
      </c>
      <c r="CJ1163" s="25">
        <f t="shared" si="5336"/>
        <v>0</v>
      </c>
      <c r="CL1163" s="10">
        <f>SUM(CL1159:CL1162)</f>
        <v>0</v>
      </c>
      <c r="CM1163" s="11">
        <f t="shared" ref="CM1163:CQ1163" si="5337">SUM(CM1159:CM1162)</f>
        <v>0</v>
      </c>
      <c r="CN1163" s="11">
        <f t="shared" si="5337"/>
        <v>0</v>
      </c>
      <c r="CO1163" s="11">
        <f t="shared" si="5337"/>
        <v>0</v>
      </c>
      <c r="CP1163" s="11">
        <f t="shared" si="5337"/>
        <v>0</v>
      </c>
      <c r="CQ1163" s="25">
        <f t="shared" si="5337"/>
        <v>0</v>
      </c>
      <c r="CS1163" s="10">
        <f>SUM(CS1159:CS1162)</f>
        <v>0</v>
      </c>
      <c r="CT1163" s="11">
        <f t="shared" ref="CT1163:CW1163" si="5338">SUM(CT1159:CT1162)</f>
        <v>0</v>
      </c>
      <c r="CU1163" s="11">
        <f t="shared" si="5338"/>
        <v>0</v>
      </c>
      <c r="CV1163" s="11">
        <f t="shared" si="5338"/>
        <v>0</v>
      </c>
      <c r="CW1163" s="11">
        <f t="shared" si="5338"/>
        <v>0</v>
      </c>
      <c r="CX1163" s="25">
        <f>SUM(CX1159:CX1162)</f>
        <v>0</v>
      </c>
      <c r="CZ1163" s="10">
        <f>SUM(CZ1159:CZ1162)</f>
        <v>0</v>
      </c>
      <c r="DA1163" s="11">
        <f t="shared" ref="DA1163:DD1163" si="5339">SUM(DA1159:DA1162)</f>
        <v>0</v>
      </c>
      <c r="DB1163" s="11">
        <f t="shared" si="5339"/>
        <v>0</v>
      </c>
      <c r="DC1163" s="11">
        <f t="shared" si="5339"/>
        <v>0</v>
      </c>
      <c r="DD1163" s="11">
        <f t="shared" si="5339"/>
        <v>0</v>
      </c>
      <c r="DE1163" s="25">
        <f>SUM(DE1159:DE1162)</f>
        <v>0</v>
      </c>
    </row>
    <row r="1164" spans="2:110" ht="10.4" customHeight="1" thickBot="1"/>
    <row r="1165" spans="2:110">
      <c r="C1165" s="553">
        <v>2025</v>
      </c>
      <c r="E1165" s="13" t="s">
        <v>59</v>
      </c>
      <c r="F1165" s="21">
        <f>CE1159</f>
        <v>0</v>
      </c>
      <c r="G1165" s="22">
        <f t="shared" ref="G1165:G1168" si="5340">CF1159</f>
        <v>0</v>
      </c>
      <c r="H1165" s="22">
        <f t="shared" ref="H1165:H1168" si="5341">CG1159</f>
        <v>0</v>
      </c>
      <c r="I1165" s="22">
        <f t="shared" ref="I1165:I1168" si="5342">CH1159</f>
        <v>0</v>
      </c>
      <c r="J1165" s="22">
        <f t="shared" ref="J1165:J1168" si="5343">CI1159</f>
        <v>0</v>
      </c>
      <c r="K1165" s="15">
        <f>SUM(F1165:J1165)</f>
        <v>0</v>
      </c>
      <c r="M1165" s="2"/>
      <c r="N1165" s="3"/>
      <c r="O1165" s="3"/>
      <c r="P1165" s="3"/>
      <c r="Q1165" s="3"/>
      <c r="R1165" s="15">
        <f>SUM(M1165:Q1165)</f>
        <v>0</v>
      </c>
      <c r="T1165" s="2"/>
      <c r="U1165" s="3"/>
      <c r="V1165" s="3"/>
      <c r="W1165" s="3"/>
      <c r="X1165" s="3"/>
      <c r="Y1165" s="15">
        <f>SUM(T1165:X1165)</f>
        <v>0</v>
      </c>
      <c r="AA1165" s="2"/>
      <c r="AB1165" s="3"/>
      <c r="AC1165" s="3"/>
      <c r="AD1165" s="3"/>
      <c r="AE1165" s="3"/>
      <c r="AF1165" s="15">
        <f>SUM(AA1165:AE1165)</f>
        <v>0</v>
      </c>
      <c r="AH1165" s="2"/>
      <c r="AI1165" s="3"/>
      <c r="AJ1165" s="3"/>
      <c r="AK1165" s="3"/>
      <c r="AL1165" s="3"/>
      <c r="AM1165" s="15">
        <f>SUM(AH1165:AL1165)</f>
        <v>0</v>
      </c>
      <c r="AO1165" s="2"/>
      <c r="AP1165" s="3"/>
      <c r="AQ1165" s="3"/>
      <c r="AR1165" s="3"/>
      <c r="AS1165" s="3"/>
      <c r="AT1165" s="15">
        <f>SUM(AO1165:AS1165)</f>
        <v>0</v>
      </c>
      <c r="AV1165" s="2"/>
      <c r="AW1165" s="3"/>
      <c r="AX1165" s="3"/>
      <c r="AY1165" s="3"/>
      <c r="AZ1165" s="3"/>
      <c r="BA1165" s="15">
        <f>SUM(AV1165:AZ1165)</f>
        <v>0</v>
      </c>
      <c r="BC1165" s="2"/>
      <c r="BD1165" s="3"/>
      <c r="BE1165" s="3"/>
      <c r="BF1165" s="3"/>
      <c r="BG1165" s="3"/>
      <c r="BH1165" s="15">
        <f>SUM(BC1165:BG1165)</f>
        <v>0</v>
      </c>
      <c r="BJ1165" s="2"/>
      <c r="BK1165" s="3"/>
      <c r="BL1165" s="3"/>
      <c r="BM1165" s="3"/>
      <c r="BN1165" s="3"/>
      <c r="BO1165" s="15">
        <f>SUM(BJ1165:BN1165)</f>
        <v>0</v>
      </c>
      <c r="BQ1165" s="2"/>
      <c r="BR1165" s="3"/>
      <c r="BS1165" s="3"/>
      <c r="BT1165" s="3"/>
      <c r="BU1165" s="3"/>
      <c r="BV1165" s="15">
        <f>SUM(BQ1165:BU1165)</f>
        <v>0</v>
      </c>
      <c r="BX1165" s="2"/>
      <c r="BY1165" s="3"/>
      <c r="BZ1165" s="3"/>
      <c r="CA1165" s="3"/>
      <c r="CB1165" s="3"/>
      <c r="CC1165" s="15">
        <f>SUM(BX1165:CB1165)</f>
        <v>0</v>
      </c>
      <c r="CE1165" s="26">
        <f t="shared" ref="CE1165:CE1168" si="5344">F1165+M1165+T1165+AA1165+AH1165+AO1165+AV1165+BC1165+BJ1165+BQ1165+BX1165</f>
        <v>0</v>
      </c>
      <c r="CF1165" s="27">
        <f t="shared" ref="CF1165:CF1168" si="5345">G1165+N1165+U1165+AB1165+AI1165+AP1165+AW1165+BD1165+BK1165+BR1165+BY1165</f>
        <v>0</v>
      </c>
      <c r="CG1165" s="27">
        <f t="shared" ref="CG1165:CG1168" si="5346">H1165+O1165+V1165+AC1165+AJ1165+AQ1165+AX1165+BE1165+BL1165+BS1165+BZ1165</f>
        <v>0</v>
      </c>
      <c r="CH1165" s="27">
        <f t="shared" ref="CH1165:CH1168" si="5347">I1165+P1165+W1165+AD1165+AK1165+AR1165+AY1165+BF1165+BM1165+BT1165+CA1165</f>
        <v>0</v>
      </c>
      <c r="CI1165" s="27">
        <f t="shared" ref="CI1165:CI1168" si="5348">J1165+Q1165+X1165+AE1165+AL1165+AS1165+AZ1165+BG1165+BN1165+BU1165+CB1165</f>
        <v>0</v>
      </c>
      <c r="CJ1165" s="4">
        <f>SUM(CE1165:CI1165)</f>
        <v>0</v>
      </c>
      <c r="CL1165" s="2"/>
      <c r="CM1165" s="3"/>
      <c r="CN1165" s="3"/>
      <c r="CO1165" s="3"/>
      <c r="CP1165" s="3"/>
      <c r="CQ1165" s="15">
        <f>SUM(CL1165:CP1165)</f>
        <v>0</v>
      </c>
      <c r="CS1165" s="2"/>
      <c r="CT1165" s="3"/>
      <c r="CU1165" s="3"/>
      <c r="CV1165" s="3"/>
      <c r="CW1165" s="3"/>
      <c r="CX1165" s="4">
        <f>SUM(CS1165:CW1165)</f>
        <v>0</v>
      </c>
      <c r="CZ1165" s="2"/>
      <c r="DA1165" s="3"/>
      <c r="DB1165" s="3"/>
      <c r="DC1165" s="3"/>
      <c r="DD1165" s="3"/>
      <c r="DE1165" s="15">
        <f>SUM(CZ1165:DD1165)</f>
        <v>0</v>
      </c>
    </row>
    <row r="1166" spans="2:110">
      <c r="C1166" s="567"/>
      <c r="E1166" s="14" t="s">
        <v>60</v>
      </c>
      <c r="F1166" s="23">
        <f t="shared" ref="F1166:F1168" si="5349">CE1160</f>
        <v>0</v>
      </c>
      <c r="G1166" s="24">
        <f t="shared" si="5340"/>
        <v>0</v>
      </c>
      <c r="H1166" s="24">
        <f t="shared" si="5341"/>
        <v>0</v>
      </c>
      <c r="I1166" s="24">
        <f t="shared" si="5342"/>
        <v>0</v>
      </c>
      <c r="J1166" s="24">
        <f t="shared" si="5343"/>
        <v>0</v>
      </c>
      <c r="K1166" s="16">
        <f t="shared" ref="K1166:K1168" si="5350">SUM(F1166:J1166)</f>
        <v>0</v>
      </c>
      <c r="M1166" s="6"/>
      <c r="N1166" s="7"/>
      <c r="O1166" s="7"/>
      <c r="P1166" s="7"/>
      <c r="Q1166" s="7"/>
      <c r="R1166" s="16">
        <f t="shared" ref="R1166:R1168" si="5351">SUM(M1166:Q1166)</f>
        <v>0</v>
      </c>
      <c r="T1166" s="6"/>
      <c r="U1166" s="7"/>
      <c r="V1166" s="7"/>
      <c r="W1166" s="7"/>
      <c r="X1166" s="7"/>
      <c r="Y1166" s="16">
        <f t="shared" ref="Y1166:Y1168" si="5352">SUM(T1166:X1166)</f>
        <v>0</v>
      </c>
      <c r="AA1166" s="6"/>
      <c r="AB1166" s="7"/>
      <c r="AC1166" s="7"/>
      <c r="AD1166" s="7"/>
      <c r="AE1166" s="7"/>
      <c r="AF1166" s="16">
        <f>SUM(AA1166:AE1166)</f>
        <v>0</v>
      </c>
      <c r="AH1166" s="6"/>
      <c r="AI1166" s="7"/>
      <c r="AJ1166" s="7"/>
      <c r="AK1166" s="7"/>
      <c r="AL1166" s="7"/>
      <c r="AM1166" s="16">
        <f>SUM(AH1166:AL1166)</f>
        <v>0</v>
      </c>
      <c r="AO1166" s="6"/>
      <c r="AP1166" s="7"/>
      <c r="AQ1166" s="7"/>
      <c r="AR1166" s="7"/>
      <c r="AS1166" s="7"/>
      <c r="AT1166" s="16">
        <f>SUM(AO1166:AS1166)</f>
        <v>0</v>
      </c>
      <c r="AV1166" s="6"/>
      <c r="AW1166" s="7"/>
      <c r="AX1166" s="7"/>
      <c r="AY1166" s="7"/>
      <c r="AZ1166" s="7"/>
      <c r="BA1166" s="16">
        <f>SUM(AV1166:AZ1166)</f>
        <v>0</v>
      </c>
      <c r="BC1166" s="6"/>
      <c r="BD1166" s="7"/>
      <c r="BE1166" s="7"/>
      <c r="BF1166" s="7"/>
      <c r="BG1166" s="7"/>
      <c r="BH1166" s="16">
        <f>SUM(BC1166:BG1166)</f>
        <v>0</v>
      </c>
      <c r="BJ1166" s="6"/>
      <c r="BK1166" s="7"/>
      <c r="BL1166" s="7"/>
      <c r="BM1166" s="7"/>
      <c r="BN1166" s="7"/>
      <c r="BO1166" s="16">
        <f>SUM(BJ1166:BN1166)</f>
        <v>0</v>
      </c>
      <c r="BQ1166" s="6"/>
      <c r="BR1166" s="7"/>
      <c r="BS1166" s="7"/>
      <c r="BT1166" s="7"/>
      <c r="BU1166" s="7"/>
      <c r="BV1166" s="16">
        <f>SUM(BQ1166:BU1166)</f>
        <v>0</v>
      </c>
      <c r="BX1166" s="6"/>
      <c r="BY1166" s="7"/>
      <c r="BZ1166" s="7"/>
      <c r="CA1166" s="7"/>
      <c r="CB1166" s="7"/>
      <c r="CC1166" s="16">
        <f>SUM(BX1166:CB1166)</f>
        <v>0</v>
      </c>
      <c r="CE1166" s="28">
        <f t="shared" si="5344"/>
        <v>0</v>
      </c>
      <c r="CF1166" s="29">
        <f t="shared" si="5345"/>
        <v>0</v>
      </c>
      <c r="CG1166" s="29">
        <f t="shared" si="5346"/>
        <v>0</v>
      </c>
      <c r="CH1166" s="29">
        <f t="shared" si="5347"/>
        <v>0</v>
      </c>
      <c r="CI1166" s="29">
        <f t="shared" si="5348"/>
        <v>0</v>
      </c>
      <c r="CJ1166" s="8">
        <f>SUM(CE1166:CI1166)</f>
        <v>0</v>
      </c>
      <c r="CL1166" s="6"/>
      <c r="CM1166" s="7"/>
      <c r="CN1166" s="7"/>
      <c r="CO1166" s="7"/>
      <c r="CP1166" s="7"/>
      <c r="CQ1166" s="16">
        <f>SUM(CL1166:CP1166)</f>
        <v>0</v>
      </c>
      <c r="CS1166" s="6"/>
      <c r="CT1166" s="7"/>
      <c r="CU1166" s="7"/>
      <c r="CV1166" s="7"/>
      <c r="CW1166" s="7"/>
      <c r="CX1166" s="8">
        <f t="shared" ref="CX1166:CX1168" si="5353">SUM(CS1166:CW1166)</f>
        <v>0</v>
      </c>
      <c r="CZ1166" s="6"/>
      <c r="DA1166" s="7"/>
      <c r="DB1166" s="7"/>
      <c r="DC1166" s="7"/>
      <c r="DD1166" s="7"/>
      <c r="DE1166" s="16">
        <f t="shared" ref="DE1166:DE1168" si="5354">SUM(CZ1166:DD1166)</f>
        <v>0</v>
      </c>
    </row>
    <row r="1167" spans="2:110">
      <c r="C1167" s="567"/>
      <c r="E1167" s="14" t="s">
        <v>61</v>
      </c>
      <c r="F1167" s="23">
        <f t="shared" si="5349"/>
        <v>0</v>
      </c>
      <c r="G1167" s="24">
        <f t="shared" si="5340"/>
        <v>0</v>
      </c>
      <c r="H1167" s="24">
        <f t="shared" si="5341"/>
        <v>0</v>
      </c>
      <c r="I1167" s="24">
        <f t="shared" si="5342"/>
        <v>0</v>
      </c>
      <c r="J1167" s="24">
        <f t="shared" si="5343"/>
        <v>0</v>
      </c>
      <c r="K1167" s="16">
        <f t="shared" si="5350"/>
        <v>0</v>
      </c>
      <c r="M1167" s="6"/>
      <c r="N1167" s="7"/>
      <c r="O1167" s="7"/>
      <c r="P1167" s="7"/>
      <c r="Q1167" s="7"/>
      <c r="R1167" s="16">
        <f t="shared" si="5351"/>
        <v>0</v>
      </c>
      <c r="T1167" s="6"/>
      <c r="U1167" s="7"/>
      <c r="V1167" s="7"/>
      <c r="W1167" s="7"/>
      <c r="X1167" s="7"/>
      <c r="Y1167" s="16">
        <f t="shared" si="5352"/>
        <v>0</v>
      </c>
      <c r="AA1167" s="6"/>
      <c r="AB1167" s="7"/>
      <c r="AC1167" s="7"/>
      <c r="AD1167" s="7"/>
      <c r="AE1167" s="7"/>
      <c r="AF1167" s="16">
        <f>SUM(AA1167:AE1167)</f>
        <v>0</v>
      </c>
      <c r="AH1167" s="6"/>
      <c r="AI1167" s="7"/>
      <c r="AJ1167" s="7"/>
      <c r="AK1167" s="7"/>
      <c r="AL1167" s="7"/>
      <c r="AM1167" s="16">
        <f>SUM(AH1167:AL1167)</f>
        <v>0</v>
      </c>
      <c r="AO1167" s="6"/>
      <c r="AP1167" s="7"/>
      <c r="AQ1167" s="7"/>
      <c r="AR1167" s="7"/>
      <c r="AS1167" s="7"/>
      <c r="AT1167" s="16">
        <f>SUM(AO1167:AS1167)</f>
        <v>0</v>
      </c>
      <c r="AV1167" s="6"/>
      <c r="AW1167" s="7"/>
      <c r="AX1167" s="7"/>
      <c r="AY1167" s="7"/>
      <c r="AZ1167" s="7"/>
      <c r="BA1167" s="16">
        <f>SUM(AV1167:AZ1167)</f>
        <v>0</v>
      </c>
      <c r="BC1167" s="6"/>
      <c r="BD1167" s="7"/>
      <c r="BE1167" s="7"/>
      <c r="BF1167" s="7"/>
      <c r="BG1167" s="7"/>
      <c r="BH1167" s="16">
        <f>SUM(BC1167:BG1167)</f>
        <v>0</v>
      </c>
      <c r="BJ1167" s="6"/>
      <c r="BK1167" s="7"/>
      <c r="BL1167" s="7"/>
      <c r="BM1167" s="7"/>
      <c r="BN1167" s="7"/>
      <c r="BO1167" s="16">
        <f>SUM(BJ1167:BN1167)</f>
        <v>0</v>
      </c>
      <c r="BQ1167" s="6"/>
      <c r="BR1167" s="7"/>
      <c r="BS1167" s="7"/>
      <c r="BT1167" s="7"/>
      <c r="BU1167" s="7"/>
      <c r="BV1167" s="16">
        <f>SUM(BQ1167:BU1167)</f>
        <v>0</v>
      </c>
      <c r="BX1167" s="6"/>
      <c r="BY1167" s="7"/>
      <c r="BZ1167" s="7"/>
      <c r="CA1167" s="7"/>
      <c r="CB1167" s="7"/>
      <c r="CC1167" s="16">
        <f>SUM(BX1167:CB1167)</f>
        <v>0</v>
      </c>
      <c r="CE1167" s="28">
        <f t="shared" si="5344"/>
        <v>0</v>
      </c>
      <c r="CF1167" s="29">
        <f t="shared" si="5345"/>
        <v>0</v>
      </c>
      <c r="CG1167" s="29">
        <f t="shared" si="5346"/>
        <v>0</v>
      </c>
      <c r="CH1167" s="29">
        <f t="shared" si="5347"/>
        <v>0</v>
      </c>
      <c r="CI1167" s="29">
        <f t="shared" si="5348"/>
        <v>0</v>
      </c>
      <c r="CJ1167" s="8">
        <f>SUM(CE1167:CI1167)</f>
        <v>0</v>
      </c>
      <c r="CL1167" s="6"/>
      <c r="CM1167" s="7"/>
      <c r="CN1167" s="7"/>
      <c r="CO1167" s="7"/>
      <c r="CP1167" s="7"/>
      <c r="CQ1167" s="16">
        <f>SUM(CL1167:CP1167)</f>
        <v>0</v>
      </c>
      <c r="CS1167" s="6"/>
      <c r="CT1167" s="7"/>
      <c r="CU1167" s="7"/>
      <c r="CV1167" s="7"/>
      <c r="CW1167" s="7"/>
      <c r="CX1167" s="8">
        <f t="shared" si="5353"/>
        <v>0</v>
      </c>
      <c r="CZ1167" s="6"/>
      <c r="DA1167" s="7"/>
      <c r="DB1167" s="7"/>
      <c r="DC1167" s="7"/>
      <c r="DD1167" s="7"/>
      <c r="DE1167" s="16">
        <f t="shared" si="5354"/>
        <v>0</v>
      </c>
    </row>
    <row r="1168" spans="2:110" ht="14" thickBot="1">
      <c r="C1168" s="567"/>
      <c r="E1168" s="14" t="s">
        <v>62</v>
      </c>
      <c r="F1168" s="23">
        <f t="shared" si="5349"/>
        <v>0</v>
      </c>
      <c r="G1168" s="24">
        <f t="shared" si="5340"/>
        <v>0</v>
      </c>
      <c r="H1168" s="24">
        <f t="shared" si="5341"/>
        <v>0</v>
      </c>
      <c r="I1168" s="24">
        <f t="shared" si="5342"/>
        <v>0</v>
      </c>
      <c r="J1168" s="24">
        <f t="shared" si="5343"/>
        <v>0</v>
      </c>
      <c r="K1168" s="16">
        <f t="shared" si="5350"/>
        <v>0</v>
      </c>
      <c r="M1168" s="6"/>
      <c r="N1168" s="7"/>
      <c r="O1168" s="7"/>
      <c r="P1168" s="7"/>
      <c r="Q1168" s="7"/>
      <c r="R1168" s="16">
        <f t="shared" si="5351"/>
        <v>0</v>
      </c>
      <c r="T1168" s="6"/>
      <c r="U1168" s="7"/>
      <c r="V1168" s="7"/>
      <c r="W1168" s="7"/>
      <c r="X1168" s="7"/>
      <c r="Y1168" s="16">
        <f t="shared" si="5352"/>
        <v>0</v>
      </c>
      <c r="AA1168" s="6"/>
      <c r="AB1168" s="7"/>
      <c r="AC1168" s="7"/>
      <c r="AD1168" s="7"/>
      <c r="AE1168" s="7"/>
      <c r="AF1168" s="16">
        <f>SUM(AA1168:AE1168)</f>
        <v>0</v>
      </c>
      <c r="AH1168" s="6"/>
      <c r="AI1168" s="7"/>
      <c r="AJ1168" s="7"/>
      <c r="AK1168" s="7"/>
      <c r="AL1168" s="7"/>
      <c r="AM1168" s="16">
        <f>SUM(AH1168:AL1168)</f>
        <v>0</v>
      </c>
      <c r="AO1168" s="6"/>
      <c r="AP1168" s="7"/>
      <c r="AQ1168" s="7"/>
      <c r="AR1168" s="7"/>
      <c r="AS1168" s="7"/>
      <c r="AT1168" s="16">
        <f>SUM(AO1168:AS1168)</f>
        <v>0</v>
      </c>
      <c r="AV1168" s="6"/>
      <c r="AW1168" s="7"/>
      <c r="AX1168" s="7"/>
      <c r="AY1168" s="7"/>
      <c r="AZ1168" s="7"/>
      <c r="BA1168" s="16">
        <f>SUM(AV1168:AZ1168)</f>
        <v>0</v>
      </c>
      <c r="BC1168" s="6"/>
      <c r="BD1168" s="7"/>
      <c r="BE1168" s="7"/>
      <c r="BF1168" s="7"/>
      <c r="BG1168" s="7"/>
      <c r="BH1168" s="16">
        <f>SUM(BC1168:BG1168)</f>
        <v>0</v>
      </c>
      <c r="BJ1168" s="6"/>
      <c r="BK1168" s="7"/>
      <c r="BL1168" s="7"/>
      <c r="BM1168" s="7"/>
      <c r="BN1168" s="7"/>
      <c r="BO1168" s="16">
        <f>SUM(BJ1168:BN1168)</f>
        <v>0</v>
      </c>
      <c r="BQ1168" s="6"/>
      <c r="BR1168" s="7"/>
      <c r="BS1168" s="7"/>
      <c r="BT1168" s="7"/>
      <c r="BU1168" s="7"/>
      <c r="BV1168" s="16">
        <f>SUM(BQ1168:BU1168)</f>
        <v>0</v>
      </c>
      <c r="BX1168" s="6"/>
      <c r="BY1168" s="7"/>
      <c r="BZ1168" s="7"/>
      <c r="CA1168" s="7"/>
      <c r="CB1168" s="7"/>
      <c r="CC1168" s="16">
        <f>SUM(BX1168:CB1168)</f>
        <v>0</v>
      </c>
      <c r="CE1168" s="493">
        <f t="shared" si="5344"/>
        <v>0</v>
      </c>
      <c r="CF1168" s="494">
        <f t="shared" si="5345"/>
        <v>0</v>
      </c>
      <c r="CG1168" s="494">
        <f t="shared" si="5346"/>
        <v>0</v>
      </c>
      <c r="CH1168" s="494">
        <f t="shared" si="5347"/>
        <v>0</v>
      </c>
      <c r="CI1168" s="494">
        <f t="shared" si="5348"/>
        <v>0</v>
      </c>
      <c r="CJ1168" s="495">
        <f>SUM(CE1168:CI1168)</f>
        <v>0</v>
      </c>
      <c r="CL1168" s="6"/>
      <c r="CM1168" s="7"/>
      <c r="CN1168" s="7"/>
      <c r="CO1168" s="7"/>
      <c r="CP1168" s="7"/>
      <c r="CQ1168" s="16">
        <f>SUM(CL1168:CP1168)</f>
        <v>0</v>
      </c>
      <c r="CS1168" s="6"/>
      <c r="CT1168" s="7"/>
      <c r="CU1168" s="7"/>
      <c r="CV1168" s="7"/>
      <c r="CW1168" s="7"/>
      <c r="CX1168" s="8">
        <f t="shared" si="5353"/>
        <v>0</v>
      </c>
      <c r="CZ1168" s="6"/>
      <c r="DA1168" s="7"/>
      <c r="DB1168" s="7"/>
      <c r="DC1168" s="7"/>
      <c r="DD1168" s="7"/>
      <c r="DE1168" s="16">
        <f t="shared" si="5354"/>
        <v>0</v>
      </c>
    </row>
    <row r="1169" spans="3:109" ht="14" thickBot="1">
      <c r="C1169" s="554"/>
      <c r="E1169" s="17"/>
      <c r="F1169" s="10">
        <f>SUM(F1165:F1168)</f>
        <v>0</v>
      </c>
      <c r="G1169" s="11">
        <f t="shared" ref="G1169:J1169" si="5355">SUM(G1165:G1168)</f>
        <v>0</v>
      </c>
      <c r="H1169" s="11">
        <f t="shared" si="5355"/>
        <v>0</v>
      </c>
      <c r="I1169" s="11">
        <f t="shared" si="5355"/>
        <v>0</v>
      </c>
      <c r="J1169" s="11">
        <f t="shared" si="5355"/>
        <v>0</v>
      </c>
      <c r="K1169" s="25">
        <f>SUM(K1165:K1168)</f>
        <v>0</v>
      </c>
      <c r="M1169" s="10">
        <f>SUM(M1165:M1168)</f>
        <v>0</v>
      </c>
      <c r="N1169" s="11">
        <f t="shared" ref="N1169:Q1169" si="5356">SUM(N1165:N1168)</f>
        <v>0</v>
      </c>
      <c r="O1169" s="11">
        <f t="shared" si="5356"/>
        <v>0</v>
      </c>
      <c r="P1169" s="11">
        <f t="shared" si="5356"/>
        <v>0</v>
      </c>
      <c r="Q1169" s="11">
        <f t="shared" si="5356"/>
        <v>0</v>
      </c>
      <c r="R1169" s="25">
        <f>SUM(R1165:R1168)</f>
        <v>0</v>
      </c>
      <c r="T1169" s="10">
        <f>SUM(T1165:T1168)</f>
        <v>0</v>
      </c>
      <c r="U1169" s="11">
        <f t="shared" ref="U1169:X1169" si="5357">SUM(U1165:U1168)</f>
        <v>0</v>
      </c>
      <c r="V1169" s="11">
        <f t="shared" si="5357"/>
        <v>0</v>
      </c>
      <c r="W1169" s="11">
        <f t="shared" si="5357"/>
        <v>0</v>
      </c>
      <c r="X1169" s="11">
        <f t="shared" si="5357"/>
        <v>0</v>
      </c>
      <c r="Y1169" s="25">
        <f>SUM(Y1165:Y1168)</f>
        <v>0</v>
      </c>
      <c r="AA1169" s="10">
        <f>SUM(AA1165:AA1168)</f>
        <v>0</v>
      </c>
      <c r="AB1169" s="11">
        <f t="shared" ref="AB1169:AE1169" si="5358">SUM(AB1165:AB1168)</f>
        <v>0</v>
      </c>
      <c r="AC1169" s="11">
        <f t="shared" si="5358"/>
        <v>0</v>
      </c>
      <c r="AD1169" s="11">
        <f t="shared" si="5358"/>
        <v>0</v>
      </c>
      <c r="AE1169" s="11">
        <f t="shared" si="5358"/>
        <v>0</v>
      </c>
      <c r="AF1169" s="25">
        <f>SUM(AF1165:AF1168)</f>
        <v>0</v>
      </c>
      <c r="AH1169" s="10">
        <f t="shared" ref="AH1169:AM1169" si="5359">SUM(AH1165:AH1168)</f>
        <v>0</v>
      </c>
      <c r="AI1169" s="11">
        <f t="shared" si="5359"/>
        <v>0</v>
      </c>
      <c r="AJ1169" s="11">
        <f t="shared" si="5359"/>
        <v>0</v>
      </c>
      <c r="AK1169" s="11">
        <f t="shared" si="5359"/>
        <v>0</v>
      </c>
      <c r="AL1169" s="11">
        <f t="shared" si="5359"/>
        <v>0</v>
      </c>
      <c r="AM1169" s="25">
        <f t="shared" si="5359"/>
        <v>0</v>
      </c>
      <c r="AO1169" s="10">
        <f t="shared" ref="AO1169:AT1169" si="5360">SUM(AO1165:AO1168)</f>
        <v>0</v>
      </c>
      <c r="AP1169" s="11">
        <f t="shared" si="5360"/>
        <v>0</v>
      </c>
      <c r="AQ1169" s="11">
        <f t="shared" si="5360"/>
        <v>0</v>
      </c>
      <c r="AR1169" s="11">
        <f t="shared" si="5360"/>
        <v>0</v>
      </c>
      <c r="AS1169" s="11">
        <f t="shared" si="5360"/>
        <v>0</v>
      </c>
      <c r="AT1169" s="25">
        <f t="shared" si="5360"/>
        <v>0</v>
      </c>
      <c r="AV1169" s="10">
        <f t="shared" ref="AV1169:BA1169" si="5361">SUM(AV1165:AV1168)</f>
        <v>0</v>
      </c>
      <c r="AW1169" s="11">
        <f t="shared" si="5361"/>
        <v>0</v>
      </c>
      <c r="AX1169" s="11">
        <f t="shared" si="5361"/>
        <v>0</v>
      </c>
      <c r="AY1169" s="11">
        <f t="shared" si="5361"/>
        <v>0</v>
      </c>
      <c r="AZ1169" s="11">
        <f t="shared" si="5361"/>
        <v>0</v>
      </c>
      <c r="BA1169" s="25">
        <f t="shared" si="5361"/>
        <v>0</v>
      </c>
      <c r="BC1169" s="10">
        <f t="shared" ref="BC1169:BH1169" si="5362">SUM(BC1165:BC1168)</f>
        <v>0</v>
      </c>
      <c r="BD1169" s="11">
        <f t="shared" si="5362"/>
        <v>0</v>
      </c>
      <c r="BE1169" s="11">
        <f t="shared" si="5362"/>
        <v>0</v>
      </c>
      <c r="BF1169" s="11">
        <f t="shared" si="5362"/>
        <v>0</v>
      </c>
      <c r="BG1169" s="11">
        <f t="shared" si="5362"/>
        <v>0</v>
      </c>
      <c r="BH1169" s="25">
        <f t="shared" si="5362"/>
        <v>0</v>
      </c>
      <c r="BJ1169" s="10">
        <f t="shared" ref="BJ1169:BO1169" si="5363">SUM(BJ1165:BJ1168)</f>
        <v>0</v>
      </c>
      <c r="BK1169" s="11">
        <f t="shared" si="5363"/>
        <v>0</v>
      </c>
      <c r="BL1169" s="11">
        <f t="shared" si="5363"/>
        <v>0</v>
      </c>
      <c r="BM1169" s="11">
        <f t="shared" si="5363"/>
        <v>0</v>
      </c>
      <c r="BN1169" s="11">
        <f t="shared" si="5363"/>
        <v>0</v>
      </c>
      <c r="BO1169" s="25">
        <f t="shared" si="5363"/>
        <v>0</v>
      </c>
      <c r="BQ1169" s="10">
        <f t="shared" ref="BQ1169:BV1169" si="5364">SUM(BQ1165:BQ1168)</f>
        <v>0</v>
      </c>
      <c r="BR1169" s="11">
        <f t="shared" si="5364"/>
        <v>0</v>
      </c>
      <c r="BS1169" s="11">
        <f t="shared" si="5364"/>
        <v>0</v>
      </c>
      <c r="BT1169" s="11">
        <f t="shared" si="5364"/>
        <v>0</v>
      </c>
      <c r="BU1169" s="11">
        <f t="shared" si="5364"/>
        <v>0</v>
      </c>
      <c r="BV1169" s="25">
        <f t="shared" si="5364"/>
        <v>0</v>
      </c>
      <c r="BX1169" s="10">
        <f t="shared" ref="BX1169:CC1169" si="5365">SUM(BX1165:BX1168)</f>
        <v>0</v>
      </c>
      <c r="BY1169" s="11">
        <f t="shared" si="5365"/>
        <v>0</v>
      </c>
      <c r="BZ1169" s="11">
        <f t="shared" si="5365"/>
        <v>0</v>
      </c>
      <c r="CA1169" s="11">
        <f t="shared" si="5365"/>
        <v>0</v>
      </c>
      <c r="CB1169" s="11">
        <f t="shared" si="5365"/>
        <v>0</v>
      </c>
      <c r="CC1169" s="25">
        <f t="shared" si="5365"/>
        <v>0</v>
      </c>
      <c r="CE1169" s="62">
        <f t="shared" ref="CE1169:CJ1169" si="5366">SUM(CE1165:CE1168)</f>
        <v>0</v>
      </c>
      <c r="CF1169" s="63">
        <f t="shared" si="5366"/>
        <v>0</v>
      </c>
      <c r="CG1169" s="63">
        <f t="shared" si="5366"/>
        <v>0</v>
      </c>
      <c r="CH1169" s="63">
        <f t="shared" si="5366"/>
        <v>0</v>
      </c>
      <c r="CI1169" s="63">
        <f t="shared" si="5366"/>
        <v>0</v>
      </c>
      <c r="CJ1169" s="25">
        <f t="shared" si="5366"/>
        <v>0</v>
      </c>
      <c r="CL1169" s="10">
        <f>SUM(CL1165:CL1168)</f>
        <v>0</v>
      </c>
      <c r="CM1169" s="11">
        <f t="shared" ref="CM1169:CQ1169" si="5367">SUM(CM1165:CM1168)</f>
        <v>0</v>
      </c>
      <c r="CN1169" s="11">
        <f t="shared" si="5367"/>
        <v>0</v>
      </c>
      <c r="CO1169" s="11">
        <f t="shared" si="5367"/>
        <v>0</v>
      </c>
      <c r="CP1169" s="11">
        <f t="shared" si="5367"/>
        <v>0</v>
      </c>
      <c r="CQ1169" s="25">
        <f t="shared" si="5367"/>
        <v>0</v>
      </c>
      <c r="CS1169" s="10">
        <f>SUM(CS1165:CS1168)</f>
        <v>0</v>
      </c>
      <c r="CT1169" s="11">
        <f t="shared" ref="CT1169:CW1169" si="5368">SUM(CT1165:CT1168)</f>
        <v>0</v>
      </c>
      <c r="CU1169" s="11">
        <f t="shared" si="5368"/>
        <v>0</v>
      </c>
      <c r="CV1169" s="11">
        <f t="shared" si="5368"/>
        <v>0</v>
      </c>
      <c r="CW1169" s="11">
        <f t="shared" si="5368"/>
        <v>0</v>
      </c>
      <c r="CX1169" s="25">
        <f>SUM(CX1165:CX1168)</f>
        <v>0</v>
      </c>
      <c r="CZ1169" s="10">
        <f>SUM(CZ1165:CZ1168)</f>
        <v>0</v>
      </c>
      <c r="DA1169" s="11">
        <f t="shared" ref="DA1169:DD1169" si="5369">SUM(DA1165:DA1168)</f>
        <v>0</v>
      </c>
      <c r="DB1169" s="11">
        <f t="shared" si="5369"/>
        <v>0</v>
      </c>
      <c r="DC1169" s="11">
        <f t="shared" si="5369"/>
        <v>0</v>
      </c>
      <c r="DD1169" s="11">
        <f t="shared" si="5369"/>
        <v>0</v>
      </c>
      <c r="DE1169" s="25">
        <f>SUM(DE1165:DE1168)</f>
        <v>0</v>
      </c>
    </row>
    <row r="1170" spans="3:109" ht="10.4" customHeight="1" thickBot="1"/>
    <row r="1171" spans="3:109">
      <c r="C1171" s="553">
        <v>2026</v>
      </c>
      <c r="E1171" s="1" t="s">
        <v>59</v>
      </c>
      <c r="F1171" s="21">
        <f>CE1165</f>
        <v>0</v>
      </c>
      <c r="G1171" s="22">
        <f t="shared" ref="G1171:G1174" si="5370">CF1165</f>
        <v>0</v>
      </c>
      <c r="H1171" s="22">
        <f t="shared" ref="H1171:H1174" si="5371">CG1165</f>
        <v>0</v>
      </c>
      <c r="I1171" s="22">
        <f t="shared" ref="I1171:I1174" si="5372">CH1165</f>
        <v>0</v>
      </c>
      <c r="J1171" s="22">
        <f t="shared" ref="J1171:J1174" si="5373">CI1165</f>
        <v>0</v>
      </c>
      <c r="K1171" s="4">
        <f>SUM(F1171:J1171)</f>
        <v>0</v>
      </c>
      <c r="M1171" s="2"/>
      <c r="N1171" s="3"/>
      <c r="O1171" s="3"/>
      <c r="P1171" s="3"/>
      <c r="Q1171" s="3"/>
      <c r="R1171" s="4">
        <f>SUM(M1171:Q1171)</f>
        <v>0</v>
      </c>
      <c r="T1171" s="2"/>
      <c r="U1171" s="3"/>
      <c r="V1171" s="3"/>
      <c r="W1171" s="3"/>
      <c r="X1171" s="3"/>
      <c r="Y1171" s="4">
        <f>SUM(T1171:X1171)</f>
        <v>0</v>
      </c>
      <c r="AA1171" s="2"/>
      <c r="AB1171" s="3"/>
      <c r="AC1171" s="3"/>
      <c r="AD1171" s="3"/>
      <c r="AE1171" s="3"/>
      <c r="AF1171" s="4">
        <f>SUM(AA1171:AE1171)</f>
        <v>0</v>
      </c>
      <c r="AH1171" s="2"/>
      <c r="AI1171" s="3"/>
      <c r="AJ1171" s="3"/>
      <c r="AK1171" s="3"/>
      <c r="AL1171" s="3"/>
      <c r="AM1171" s="4">
        <f>SUM(AH1171:AL1171)</f>
        <v>0</v>
      </c>
      <c r="AO1171" s="2"/>
      <c r="AP1171" s="3"/>
      <c r="AQ1171" s="3"/>
      <c r="AR1171" s="3"/>
      <c r="AS1171" s="3"/>
      <c r="AT1171" s="4">
        <f>SUM(AO1171:AS1171)</f>
        <v>0</v>
      </c>
      <c r="AV1171" s="2"/>
      <c r="AW1171" s="3"/>
      <c r="AX1171" s="3"/>
      <c r="AY1171" s="3"/>
      <c r="AZ1171" s="3"/>
      <c r="BA1171" s="4">
        <f>SUM(AV1171:AZ1171)</f>
        <v>0</v>
      </c>
      <c r="BC1171" s="2"/>
      <c r="BD1171" s="3"/>
      <c r="BE1171" s="3"/>
      <c r="BF1171" s="3"/>
      <c r="BG1171" s="3"/>
      <c r="BH1171" s="4">
        <f>SUM(BC1171:BG1171)</f>
        <v>0</v>
      </c>
      <c r="BJ1171" s="2"/>
      <c r="BK1171" s="3"/>
      <c r="BL1171" s="3"/>
      <c r="BM1171" s="3"/>
      <c r="BN1171" s="3"/>
      <c r="BO1171" s="4">
        <f>SUM(BJ1171:BN1171)</f>
        <v>0</v>
      </c>
      <c r="BQ1171" s="2"/>
      <c r="BR1171" s="3"/>
      <c r="BS1171" s="3"/>
      <c r="BT1171" s="3"/>
      <c r="BU1171" s="3"/>
      <c r="BV1171" s="4">
        <f>SUM(BQ1171:BU1171)</f>
        <v>0</v>
      </c>
      <c r="BX1171" s="2"/>
      <c r="BY1171" s="3"/>
      <c r="BZ1171" s="3"/>
      <c r="CA1171" s="3"/>
      <c r="CB1171" s="3"/>
      <c r="CC1171" s="4">
        <f>SUM(BX1171:CB1171)</f>
        <v>0</v>
      </c>
      <c r="CE1171" s="26">
        <f t="shared" ref="CE1171:CE1174" si="5374">F1171+M1171+T1171+AA1171+AH1171+AO1171+AV1171+BC1171+BJ1171+BQ1171+BX1171</f>
        <v>0</v>
      </c>
      <c r="CF1171" s="27">
        <f t="shared" ref="CF1171:CF1174" si="5375">G1171+N1171+U1171+AB1171+AI1171+AP1171+AW1171+BD1171+BK1171+BR1171+BY1171</f>
        <v>0</v>
      </c>
      <c r="CG1171" s="27">
        <f t="shared" ref="CG1171:CG1174" si="5376">H1171+O1171+V1171+AC1171+AJ1171+AQ1171+AX1171+BE1171+BL1171+BS1171+BZ1171</f>
        <v>0</v>
      </c>
      <c r="CH1171" s="27">
        <f t="shared" ref="CH1171:CH1174" si="5377">I1171+P1171+W1171+AD1171+AK1171+AR1171+AY1171+BF1171+BM1171+BT1171+CA1171</f>
        <v>0</v>
      </c>
      <c r="CI1171" s="27">
        <f t="shared" ref="CI1171:CI1174" si="5378">J1171+Q1171+X1171+AE1171+AL1171+AS1171+AZ1171+BG1171+BN1171+BU1171+CB1171</f>
        <v>0</v>
      </c>
      <c r="CJ1171" s="4">
        <f>SUM(CE1171:CI1171)</f>
        <v>0</v>
      </c>
      <c r="CL1171" s="2"/>
      <c r="CM1171" s="3"/>
      <c r="CN1171" s="3"/>
      <c r="CO1171" s="3"/>
      <c r="CP1171" s="3"/>
      <c r="CQ1171" s="4">
        <f>SUM(CL1171:CP1171)</f>
        <v>0</v>
      </c>
      <c r="CS1171" s="2"/>
      <c r="CT1171" s="3"/>
      <c r="CU1171" s="3"/>
      <c r="CV1171" s="3"/>
      <c r="CW1171" s="3"/>
      <c r="CX1171" s="4">
        <f>SUM(CS1171:CW1171)</f>
        <v>0</v>
      </c>
      <c r="CZ1171" s="2"/>
      <c r="DA1171" s="3"/>
      <c r="DB1171" s="3"/>
      <c r="DC1171" s="3"/>
      <c r="DD1171" s="3"/>
      <c r="DE1171" s="4">
        <f>SUM(CZ1171:DD1171)</f>
        <v>0</v>
      </c>
    </row>
    <row r="1172" spans="3:109">
      <c r="C1172" s="567"/>
      <c r="E1172" s="5" t="s">
        <v>60</v>
      </c>
      <c r="F1172" s="23">
        <f t="shared" ref="F1172:F1174" si="5379">CE1166</f>
        <v>0</v>
      </c>
      <c r="G1172" s="24">
        <f t="shared" si="5370"/>
        <v>0</v>
      </c>
      <c r="H1172" s="24">
        <f t="shared" si="5371"/>
        <v>0</v>
      </c>
      <c r="I1172" s="24">
        <f t="shared" si="5372"/>
        <v>0</v>
      </c>
      <c r="J1172" s="24">
        <f t="shared" si="5373"/>
        <v>0</v>
      </c>
      <c r="K1172" s="8">
        <f t="shared" ref="K1172:K1174" si="5380">SUM(F1172:J1172)</f>
        <v>0</v>
      </c>
      <c r="M1172" s="6"/>
      <c r="N1172" s="7"/>
      <c r="O1172" s="7"/>
      <c r="P1172" s="7"/>
      <c r="Q1172" s="7"/>
      <c r="R1172" s="8">
        <f t="shared" ref="R1172:R1174" si="5381">SUM(M1172:Q1172)</f>
        <v>0</v>
      </c>
      <c r="T1172" s="6"/>
      <c r="U1172" s="7"/>
      <c r="V1172" s="7"/>
      <c r="W1172" s="7"/>
      <c r="X1172" s="7"/>
      <c r="Y1172" s="8">
        <f t="shared" ref="Y1172:Y1174" si="5382">SUM(T1172:X1172)</f>
        <v>0</v>
      </c>
      <c r="AA1172" s="6"/>
      <c r="AB1172" s="7"/>
      <c r="AC1172" s="7"/>
      <c r="AD1172" s="7"/>
      <c r="AE1172" s="7"/>
      <c r="AF1172" s="8">
        <f>SUM(AA1172:AE1172)</f>
        <v>0</v>
      </c>
      <c r="AH1172" s="6"/>
      <c r="AI1172" s="7"/>
      <c r="AJ1172" s="7"/>
      <c r="AK1172" s="7"/>
      <c r="AL1172" s="7"/>
      <c r="AM1172" s="8">
        <f>SUM(AH1172:AL1172)</f>
        <v>0</v>
      </c>
      <c r="AO1172" s="6"/>
      <c r="AP1172" s="7"/>
      <c r="AQ1172" s="7"/>
      <c r="AR1172" s="7"/>
      <c r="AS1172" s="7"/>
      <c r="AT1172" s="8">
        <f>SUM(AO1172:AS1172)</f>
        <v>0</v>
      </c>
      <c r="AV1172" s="6"/>
      <c r="AW1172" s="7"/>
      <c r="AX1172" s="7"/>
      <c r="AY1172" s="7"/>
      <c r="AZ1172" s="7"/>
      <c r="BA1172" s="8">
        <f>SUM(AV1172:AZ1172)</f>
        <v>0</v>
      </c>
      <c r="BC1172" s="6"/>
      <c r="BD1172" s="7"/>
      <c r="BE1172" s="7"/>
      <c r="BF1172" s="7"/>
      <c r="BG1172" s="7"/>
      <c r="BH1172" s="8">
        <f>SUM(BC1172:BG1172)</f>
        <v>0</v>
      </c>
      <c r="BJ1172" s="6"/>
      <c r="BK1172" s="7"/>
      <c r="BL1172" s="7"/>
      <c r="BM1172" s="7"/>
      <c r="BN1172" s="7"/>
      <c r="BO1172" s="8">
        <f>SUM(BJ1172:BN1172)</f>
        <v>0</v>
      </c>
      <c r="BQ1172" s="6"/>
      <c r="BR1172" s="7"/>
      <c r="BS1172" s="7"/>
      <c r="BT1172" s="7"/>
      <c r="BU1172" s="7"/>
      <c r="BV1172" s="8">
        <f>SUM(BQ1172:BU1172)</f>
        <v>0</v>
      </c>
      <c r="BX1172" s="6"/>
      <c r="BY1172" s="7"/>
      <c r="BZ1172" s="7"/>
      <c r="CA1172" s="7"/>
      <c r="CB1172" s="7"/>
      <c r="CC1172" s="8">
        <f>SUM(BX1172:CB1172)</f>
        <v>0</v>
      </c>
      <c r="CE1172" s="28">
        <f t="shared" si="5374"/>
        <v>0</v>
      </c>
      <c r="CF1172" s="29">
        <f t="shared" si="5375"/>
        <v>0</v>
      </c>
      <c r="CG1172" s="29">
        <f t="shared" si="5376"/>
        <v>0</v>
      </c>
      <c r="CH1172" s="29">
        <f t="shared" si="5377"/>
        <v>0</v>
      </c>
      <c r="CI1172" s="29">
        <f t="shared" si="5378"/>
        <v>0</v>
      </c>
      <c r="CJ1172" s="8">
        <f>SUM(CE1172:CI1172)</f>
        <v>0</v>
      </c>
      <c r="CL1172" s="6"/>
      <c r="CM1172" s="7"/>
      <c r="CN1172" s="7"/>
      <c r="CO1172" s="7"/>
      <c r="CP1172" s="7"/>
      <c r="CQ1172" s="8">
        <f>SUM(CL1172:CP1172)</f>
        <v>0</v>
      </c>
      <c r="CS1172" s="6"/>
      <c r="CT1172" s="7"/>
      <c r="CU1172" s="7"/>
      <c r="CV1172" s="7"/>
      <c r="CW1172" s="7"/>
      <c r="CX1172" s="8">
        <f t="shared" ref="CX1172:CX1174" si="5383">SUM(CS1172:CW1172)</f>
        <v>0</v>
      </c>
      <c r="CZ1172" s="6"/>
      <c r="DA1172" s="7"/>
      <c r="DB1172" s="7"/>
      <c r="DC1172" s="7"/>
      <c r="DD1172" s="7"/>
      <c r="DE1172" s="8">
        <f t="shared" ref="DE1172:DE1174" si="5384">SUM(CZ1172:DD1172)</f>
        <v>0</v>
      </c>
    </row>
    <row r="1173" spans="3:109">
      <c r="C1173" s="567"/>
      <c r="E1173" s="5" t="s">
        <v>61</v>
      </c>
      <c r="F1173" s="23">
        <f t="shared" si="5379"/>
        <v>0</v>
      </c>
      <c r="G1173" s="24">
        <f t="shared" si="5370"/>
        <v>0</v>
      </c>
      <c r="H1173" s="24">
        <f t="shared" si="5371"/>
        <v>0</v>
      </c>
      <c r="I1173" s="24">
        <f t="shared" si="5372"/>
        <v>0</v>
      </c>
      <c r="J1173" s="24">
        <f t="shared" si="5373"/>
        <v>0</v>
      </c>
      <c r="K1173" s="8">
        <f t="shared" si="5380"/>
        <v>0</v>
      </c>
      <c r="M1173" s="6"/>
      <c r="N1173" s="7"/>
      <c r="O1173" s="7"/>
      <c r="P1173" s="7"/>
      <c r="Q1173" s="7"/>
      <c r="R1173" s="8">
        <f t="shared" si="5381"/>
        <v>0</v>
      </c>
      <c r="T1173" s="6"/>
      <c r="U1173" s="7"/>
      <c r="V1173" s="7"/>
      <c r="W1173" s="7"/>
      <c r="X1173" s="7"/>
      <c r="Y1173" s="8">
        <f t="shared" si="5382"/>
        <v>0</v>
      </c>
      <c r="AA1173" s="6"/>
      <c r="AB1173" s="7"/>
      <c r="AC1173" s="7"/>
      <c r="AD1173" s="7"/>
      <c r="AE1173" s="7"/>
      <c r="AF1173" s="8">
        <f>SUM(AA1173:AE1173)</f>
        <v>0</v>
      </c>
      <c r="AH1173" s="6"/>
      <c r="AI1173" s="7"/>
      <c r="AJ1173" s="7"/>
      <c r="AK1173" s="7"/>
      <c r="AL1173" s="7"/>
      <c r="AM1173" s="8">
        <f>SUM(AH1173:AL1173)</f>
        <v>0</v>
      </c>
      <c r="AO1173" s="6"/>
      <c r="AP1173" s="7"/>
      <c r="AQ1173" s="7"/>
      <c r="AR1173" s="7"/>
      <c r="AS1173" s="7"/>
      <c r="AT1173" s="8">
        <f>SUM(AO1173:AS1173)</f>
        <v>0</v>
      </c>
      <c r="AV1173" s="6"/>
      <c r="AW1173" s="7"/>
      <c r="AX1173" s="7"/>
      <c r="AY1173" s="7"/>
      <c r="AZ1173" s="7"/>
      <c r="BA1173" s="8">
        <f>SUM(AV1173:AZ1173)</f>
        <v>0</v>
      </c>
      <c r="BC1173" s="6"/>
      <c r="BD1173" s="7"/>
      <c r="BE1173" s="7"/>
      <c r="BF1173" s="7"/>
      <c r="BG1173" s="7"/>
      <c r="BH1173" s="8">
        <f>SUM(BC1173:BG1173)</f>
        <v>0</v>
      </c>
      <c r="BJ1173" s="6"/>
      <c r="BK1173" s="7"/>
      <c r="BL1173" s="7"/>
      <c r="BM1173" s="7"/>
      <c r="BN1173" s="7"/>
      <c r="BO1173" s="8">
        <f>SUM(BJ1173:BN1173)</f>
        <v>0</v>
      </c>
      <c r="BQ1173" s="6"/>
      <c r="BR1173" s="7"/>
      <c r="BS1173" s="7"/>
      <c r="BT1173" s="7"/>
      <c r="BU1173" s="7"/>
      <c r="BV1173" s="8">
        <f>SUM(BQ1173:BU1173)</f>
        <v>0</v>
      </c>
      <c r="BX1173" s="6"/>
      <c r="BY1173" s="7"/>
      <c r="BZ1173" s="7"/>
      <c r="CA1173" s="7"/>
      <c r="CB1173" s="7"/>
      <c r="CC1173" s="8">
        <f>SUM(BX1173:CB1173)</f>
        <v>0</v>
      </c>
      <c r="CE1173" s="28">
        <f t="shared" si="5374"/>
        <v>0</v>
      </c>
      <c r="CF1173" s="29">
        <f t="shared" si="5375"/>
        <v>0</v>
      </c>
      <c r="CG1173" s="29">
        <f t="shared" si="5376"/>
        <v>0</v>
      </c>
      <c r="CH1173" s="29">
        <f t="shared" si="5377"/>
        <v>0</v>
      </c>
      <c r="CI1173" s="29">
        <f t="shared" si="5378"/>
        <v>0</v>
      </c>
      <c r="CJ1173" s="8">
        <f>SUM(CE1173:CI1173)</f>
        <v>0</v>
      </c>
      <c r="CL1173" s="6"/>
      <c r="CM1173" s="7"/>
      <c r="CN1173" s="7"/>
      <c r="CO1173" s="7"/>
      <c r="CP1173" s="7"/>
      <c r="CQ1173" s="8">
        <f>SUM(CL1173:CP1173)</f>
        <v>0</v>
      </c>
      <c r="CS1173" s="6"/>
      <c r="CT1173" s="7"/>
      <c r="CU1173" s="7"/>
      <c r="CV1173" s="7"/>
      <c r="CW1173" s="7"/>
      <c r="CX1173" s="8">
        <f t="shared" si="5383"/>
        <v>0</v>
      </c>
      <c r="CZ1173" s="6"/>
      <c r="DA1173" s="7"/>
      <c r="DB1173" s="7"/>
      <c r="DC1173" s="7"/>
      <c r="DD1173" s="7"/>
      <c r="DE1173" s="8">
        <f t="shared" si="5384"/>
        <v>0</v>
      </c>
    </row>
    <row r="1174" spans="3:109" ht="14" thickBot="1">
      <c r="C1174" s="567"/>
      <c r="E1174" s="5" t="s">
        <v>62</v>
      </c>
      <c r="F1174" s="23">
        <f t="shared" si="5379"/>
        <v>0</v>
      </c>
      <c r="G1174" s="24">
        <f t="shared" si="5370"/>
        <v>0</v>
      </c>
      <c r="H1174" s="24">
        <f t="shared" si="5371"/>
        <v>0</v>
      </c>
      <c r="I1174" s="24">
        <f t="shared" si="5372"/>
        <v>0</v>
      </c>
      <c r="J1174" s="24">
        <f t="shared" si="5373"/>
        <v>0</v>
      </c>
      <c r="K1174" s="8">
        <f t="shared" si="5380"/>
        <v>0</v>
      </c>
      <c r="M1174" s="6"/>
      <c r="N1174" s="7"/>
      <c r="O1174" s="7"/>
      <c r="P1174" s="7"/>
      <c r="Q1174" s="7"/>
      <c r="R1174" s="8">
        <f t="shared" si="5381"/>
        <v>0</v>
      </c>
      <c r="T1174" s="6"/>
      <c r="U1174" s="7"/>
      <c r="V1174" s="7"/>
      <c r="W1174" s="7"/>
      <c r="X1174" s="7"/>
      <c r="Y1174" s="8">
        <f t="shared" si="5382"/>
        <v>0</v>
      </c>
      <c r="AA1174" s="6"/>
      <c r="AB1174" s="7"/>
      <c r="AC1174" s="7"/>
      <c r="AD1174" s="7"/>
      <c r="AE1174" s="7"/>
      <c r="AF1174" s="8">
        <f>SUM(AA1174:AE1174)</f>
        <v>0</v>
      </c>
      <c r="AH1174" s="6"/>
      <c r="AI1174" s="7"/>
      <c r="AJ1174" s="7"/>
      <c r="AK1174" s="7"/>
      <c r="AL1174" s="7"/>
      <c r="AM1174" s="8">
        <f>SUM(AH1174:AL1174)</f>
        <v>0</v>
      </c>
      <c r="AO1174" s="6"/>
      <c r="AP1174" s="7"/>
      <c r="AQ1174" s="7"/>
      <c r="AR1174" s="7"/>
      <c r="AS1174" s="7"/>
      <c r="AT1174" s="8">
        <f>SUM(AO1174:AS1174)</f>
        <v>0</v>
      </c>
      <c r="AV1174" s="6"/>
      <c r="AW1174" s="7"/>
      <c r="AX1174" s="7"/>
      <c r="AY1174" s="7"/>
      <c r="AZ1174" s="7"/>
      <c r="BA1174" s="8">
        <f>SUM(AV1174:AZ1174)</f>
        <v>0</v>
      </c>
      <c r="BC1174" s="6"/>
      <c r="BD1174" s="7"/>
      <c r="BE1174" s="7"/>
      <c r="BF1174" s="7"/>
      <c r="BG1174" s="7"/>
      <c r="BH1174" s="8">
        <f>SUM(BC1174:BG1174)</f>
        <v>0</v>
      </c>
      <c r="BJ1174" s="6"/>
      <c r="BK1174" s="7"/>
      <c r="BL1174" s="7"/>
      <c r="BM1174" s="7"/>
      <c r="BN1174" s="7"/>
      <c r="BO1174" s="8">
        <f>SUM(BJ1174:BN1174)</f>
        <v>0</v>
      </c>
      <c r="BQ1174" s="6"/>
      <c r="BR1174" s="7"/>
      <c r="BS1174" s="7"/>
      <c r="BT1174" s="7"/>
      <c r="BU1174" s="7"/>
      <c r="BV1174" s="8">
        <f>SUM(BQ1174:BU1174)</f>
        <v>0</v>
      </c>
      <c r="BX1174" s="6"/>
      <c r="BY1174" s="7"/>
      <c r="BZ1174" s="7"/>
      <c r="CA1174" s="7"/>
      <c r="CB1174" s="7"/>
      <c r="CC1174" s="8">
        <f>SUM(BX1174:CB1174)</f>
        <v>0</v>
      </c>
      <c r="CE1174" s="493">
        <f t="shared" si="5374"/>
        <v>0</v>
      </c>
      <c r="CF1174" s="494">
        <f t="shared" si="5375"/>
        <v>0</v>
      </c>
      <c r="CG1174" s="494">
        <f t="shared" si="5376"/>
        <v>0</v>
      </c>
      <c r="CH1174" s="494">
        <f t="shared" si="5377"/>
        <v>0</v>
      </c>
      <c r="CI1174" s="494">
        <f t="shared" si="5378"/>
        <v>0</v>
      </c>
      <c r="CJ1174" s="495">
        <f>SUM(CE1174:CI1174)</f>
        <v>0</v>
      </c>
      <c r="CL1174" s="6"/>
      <c r="CM1174" s="7"/>
      <c r="CN1174" s="7"/>
      <c r="CO1174" s="7"/>
      <c r="CP1174" s="7"/>
      <c r="CQ1174" s="8">
        <f>SUM(CL1174:CP1174)</f>
        <v>0</v>
      </c>
      <c r="CS1174" s="6"/>
      <c r="CT1174" s="7"/>
      <c r="CU1174" s="7"/>
      <c r="CV1174" s="7"/>
      <c r="CW1174" s="7"/>
      <c r="CX1174" s="8">
        <f t="shared" si="5383"/>
        <v>0</v>
      </c>
      <c r="CZ1174" s="6"/>
      <c r="DA1174" s="7"/>
      <c r="DB1174" s="7"/>
      <c r="DC1174" s="7"/>
      <c r="DD1174" s="7"/>
      <c r="DE1174" s="8">
        <f t="shared" si="5384"/>
        <v>0</v>
      </c>
    </row>
    <row r="1175" spans="3:109" ht="14" thickBot="1">
      <c r="C1175" s="554"/>
      <c r="E1175" s="9"/>
      <c r="F1175" s="10">
        <f>SUM(F1171:F1174)</f>
        <v>0</v>
      </c>
      <c r="G1175" s="11">
        <f t="shared" ref="G1175:J1175" si="5385">SUM(G1171:G1174)</f>
        <v>0</v>
      </c>
      <c r="H1175" s="11">
        <f t="shared" si="5385"/>
        <v>0</v>
      </c>
      <c r="I1175" s="11">
        <f t="shared" si="5385"/>
        <v>0</v>
      </c>
      <c r="J1175" s="11">
        <f t="shared" si="5385"/>
        <v>0</v>
      </c>
      <c r="K1175" s="25">
        <f>SUM(K1171:K1174)</f>
        <v>0</v>
      </c>
      <c r="M1175" s="10">
        <f>SUM(M1171:M1174)</f>
        <v>0</v>
      </c>
      <c r="N1175" s="11">
        <f t="shared" ref="N1175:Q1175" si="5386">SUM(N1171:N1174)</f>
        <v>0</v>
      </c>
      <c r="O1175" s="11">
        <f t="shared" si="5386"/>
        <v>0</v>
      </c>
      <c r="P1175" s="11">
        <f t="shared" si="5386"/>
        <v>0</v>
      </c>
      <c r="Q1175" s="11">
        <f t="shared" si="5386"/>
        <v>0</v>
      </c>
      <c r="R1175" s="25">
        <f>SUM(R1171:R1174)</f>
        <v>0</v>
      </c>
      <c r="T1175" s="10">
        <f>SUM(T1171:T1174)</f>
        <v>0</v>
      </c>
      <c r="U1175" s="11">
        <f t="shared" ref="U1175:X1175" si="5387">SUM(U1171:U1174)</f>
        <v>0</v>
      </c>
      <c r="V1175" s="11">
        <f t="shared" si="5387"/>
        <v>0</v>
      </c>
      <c r="W1175" s="11">
        <f t="shared" si="5387"/>
        <v>0</v>
      </c>
      <c r="X1175" s="11">
        <f t="shared" si="5387"/>
        <v>0</v>
      </c>
      <c r="Y1175" s="25">
        <f>SUM(Y1171:Y1174)</f>
        <v>0</v>
      </c>
      <c r="AA1175" s="10">
        <f>SUM(AA1171:AA1174)</f>
        <v>0</v>
      </c>
      <c r="AB1175" s="11">
        <f t="shared" ref="AB1175:AE1175" si="5388">SUM(AB1171:AB1174)</f>
        <v>0</v>
      </c>
      <c r="AC1175" s="11">
        <f t="shared" si="5388"/>
        <v>0</v>
      </c>
      <c r="AD1175" s="11">
        <f t="shared" si="5388"/>
        <v>0</v>
      </c>
      <c r="AE1175" s="11">
        <f t="shared" si="5388"/>
        <v>0</v>
      </c>
      <c r="AF1175" s="25">
        <f>SUM(AF1171:AF1174)</f>
        <v>0</v>
      </c>
      <c r="AH1175" s="10">
        <f t="shared" ref="AH1175:AM1175" si="5389">SUM(AH1171:AH1174)</f>
        <v>0</v>
      </c>
      <c r="AI1175" s="11">
        <f t="shared" si="5389"/>
        <v>0</v>
      </c>
      <c r="AJ1175" s="11">
        <f t="shared" si="5389"/>
        <v>0</v>
      </c>
      <c r="AK1175" s="11">
        <f t="shared" si="5389"/>
        <v>0</v>
      </c>
      <c r="AL1175" s="11">
        <f t="shared" si="5389"/>
        <v>0</v>
      </c>
      <c r="AM1175" s="25">
        <f t="shared" si="5389"/>
        <v>0</v>
      </c>
      <c r="AO1175" s="10">
        <f t="shared" ref="AO1175:AT1175" si="5390">SUM(AO1171:AO1174)</f>
        <v>0</v>
      </c>
      <c r="AP1175" s="11">
        <f t="shared" si="5390"/>
        <v>0</v>
      </c>
      <c r="AQ1175" s="11">
        <f t="shared" si="5390"/>
        <v>0</v>
      </c>
      <c r="AR1175" s="11">
        <f t="shared" si="5390"/>
        <v>0</v>
      </c>
      <c r="AS1175" s="11">
        <f t="shared" si="5390"/>
        <v>0</v>
      </c>
      <c r="AT1175" s="25">
        <f t="shared" si="5390"/>
        <v>0</v>
      </c>
      <c r="AV1175" s="10">
        <f t="shared" ref="AV1175:BA1175" si="5391">SUM(AV1171:AV1174)</f>
        <v>0</v>
      </c>
      <c r="AW1175" s="11">
        <f t="shared" si="5391"/>
        <v>0</v>
      </c>
      <c r="AX1175" s="11">
        <f t="shared" si="5391"/>
        <v>0</v>
      </c>
      <c r="AY1175" s="11">
        <f t="shared" si="5391"/>
        <v>0</v>
      </c>
      <c r="AZ1175" s="11">
        <f t="shared" si="5391"/>
        <v>0</v>
      </c>
      <c r="BA1175" s="25">
        <f t="shared" si="5391"/>
        <v>0</v>
      </c>
      <c r="BC1175" s="10">
        <f t="shared" ref="BC1175:BH1175" si="5392">SUM(BC1171:BC1174)</f>
        <v>0</v>
      </c>
      <c r="BD1175" s="11">
        <f t="shared" si="5392"/>
        <v>0</v>
      </c>
      <c r="BE1175" s="11">
        <f t="shared" si="5392"/>
        <v>0</v>
      </c>
      <c r="BF1175" s="11">
        <f t="shared" si="5392"/>
        <v>0</v>
      </c>
      <c r="BG1175" s="11">
        <f t="shared" si="5392"/>
        <v>0</v>
      </c>
      <c r="BH1175" s="25">
        <f t="shared" si="5392"/>
        <v>0</v>
      </c>
      <c r="BJ1175" s="10">
        <f t="shared" ref="BJ1175:BO1175" si="5393">SUM(BJ1171:BJ1174)</f>
        <v>0</v>
      </c>
      <c r="BK1175" s="11">
        <f t="shared" si="5393"/>
        <v>0</v>
      </c>
      <c r="BL1175" s="11">
        <f t="shared" si="5393"/>
        <v>0</v>
      </c>
      <c r="BM1175" s="11">
        <f t="shared" si="5393"/>
        <v>0</v>
      </c>
      <c r="BN1175" s="11">
        <f t="shared" si="5393"/>
        <v>0</v>
      </c>
      <c r="BO1175" s="25">
        <f t="shared" si="5393"/>
        <v>0</v>
      </c>
      <c r="BQ1175" s="10">
        <f t="shared" ref="BQ1175:BV1175" si="5394">SUM(BQ1171:BQ1174)</f>
        <v>0</v>
      </c>
      <c r="BR1175" s="11">
        <f t="shared" si="5394"/>
        <v>0</v>
      </c>
      <c r="BS1175" s="11">
        <f t="shared" si="5394"/>
        <v>0</v>
      </c>
      <c r="BT1175" s="11">
        <f t="shared" si="5394"/>
        <v>0</v>
      </c>
      <c r="BU1175" s="11">
        <f t="shared" si="5394"/>
        <v>0</v>
      </c>
      <c r="BV1175" s="25">
        <f t="shared" si="5394"/>
        <v>0</v>
      </c>
      <c r="BX1175" s="10">
        <f t="shared" ref="BX1175:CC1175" si="5395">SUM(BX1171:BX1174)</f>
        <v>0</v>
      </c>
      <c r="BY1175" s="11">
        <f t="shared" si="5395"/>
        <v>0</v>
      </c>
      <c r="BZ1175" s="11">
        <f t="shared" si="5395"/>
        <v>0</v>
      </c>
      <c r="CA1175" s="11">
        <f t="shared" si="5395"/>
        <v>0</v>
      </c>
      <c r="CB1175" s="11">
        <f t="shared" si="5395"/>
        <v>0</v>
      </c>
      <c r="CC1175" s="25">
        <f t="shared" si="5395"/>
        <v>0</v>
      </c>
      <c r="CE1175" s="62">
        <f t="shared" ref="CE1175:CJ1175" si="5396">SUM(CE1171:CE1174)</f>
        <v>0</v>
      </c>
      <c r="CF1175" s="63">
        <f t="shared" si="5396"/>
        <v>0</v>
      </c>
      <c r="CG1175" s="63">
        <f t="shared" si="5396"/>
        <v>0</v>
      </c>
      <c r="CH1175" s="63">
        <f t="shared" si="5396"/>
        <v>0</v>
      </c>
      <c r="CI1175" s="63">
        <f t="shared" si="5396"/>
        <v>0</v>
      </c>
      <c r="CJ1175" s="25">
        <f t="shared" si="5396"/>
        <v>0</v>
      </c>
      <c r="CL1175" s="10">
        <f>SUM(CL1171:CL1174)</f>
        <v>0</v>
      </c>
      <c r="CM1175" s="11">
        <f t="shared" ref="CM1175:CQ1175" si="5397">SUM(CM1171:CM1174)</f>
        <v>0</v>
      </c>
      <c r="CN1175" s="11">
        <f t="shared" si="5397"/>
        <v>0</v>
      </c>
      <c r="CO1175" s="11">
        <f t="shared" si="5397"/>
        <v>0</v>
      </c>
      <c r="CP1175" s="11">
        <f t="shared" si="5397"/>
        <v>0</v>
      </c>
      <c r="CQ1175" s="25">
        <f t="shared" si="5397"/>
        <v>0</v>
      </c>
      <c r="CS1175" s="10">
        <f>SUM(CS1171:CS1174)</f>
        <v>0</v>
      </c>
      <c r="CT1175" s="11">
        <f t="shared" ref="CT1175:CW1175" si="5398">SUM(CT1171:CT1174)</f>
        <v>0</v>
      </c>
      <c r="CU1175" s="11">
        <f t="shared" si="5398"/>
        <v>0</v>
      </c>
      <c r="CV1175" s="11">
        <f t="shared" si="5398"/>
        <v>0</v>
      </c>
      <c r="CW1175" s="11">
        <f t="shared" si="5398"/>
        <v>0</v>
      </c>
      <c r="CX1175" s="25">
        <f>SUM(CX1171:CX1174)</f>
        <v>0</v>
      </c>
      <c r="CZ1175" s="10">
        <f>SUM(CZ1171:CZ1174)</f>
        <v>0</v>
      </c>
      <c r="DA1175" s="11">
        <f t="shared" ref="DA1175:DD1175" si="5399">SUM(DA1171:DA1174)</f>
        <v>0</v>
      </c>
      <c r="DB1175" s="11">
        <f t="shared" si="5399"/>
        <v>0</v>
      </c>
      <c r="DC1175" s="11">
        <f t="shared" si="5399"/>
        <v>0</v>
      </c>
      <c r="DD1175" s="11">
        <f t="shared" si="5399"/>
        <v>0</v>
      </c>
      <c r="DE1175" s="25">
        <f>SUM(DE1171:DE1174)</f>
        <v>0</v>
      </c>
    </row>
    <row r="1176" spans="3:109" ht="10.4" customHeight="1" thickBot="1"/>
    <row r="1177" spans="3:109">
      <c r="C1177" s="553">
        <v>2027</v>
      </c>
      <c r="E1177" s="1" t="s">
        <v>59</v>
      </c>
      <c r="F1177" s="21">
        <f>CE1171</f>
        <v>0</v>
      </c>
      <c r="G1177" s="22">
        <f t="shared" ref="G1177:G1180" si="5400">CF1171</f>
        <v>0</v>
      </c>
      <c r="H1177" s="22">
        <f t="shared" ref="H1177:H1180" si="5401">CG1171</f>
        <v>0</v>
      </c>
      <c r="I1177" s="22">
        <f t="shared" ref="I1177:I1180" si="5402">CH1171</f>
        <v>0</v>
      </c>
      <c r="J1177" s="22">
        <f t="shared" ref="J1177:J1180" si="5403">CI1171</f>
        <v>0</v>
      </c>
      <c r="K1177" s="4">
        <f>SUM(F1177:J1177)</f>
        <v>0</v>
      </c>
      <c r="M1177" s="2"/>
      <c r="N1177" s="3"/>
      <c r="O1177" s="3"/>
      <c r="P1177" s="3"/>
      <c r="Q1177" s="3"/>
      <c r="R1177" s="4">
        <f>SUM(M1177:Q1177)</f>
        <v>0</v>
      </c>
      <c r="T1177" s="2"/>
      <c r="U1177" s="3"/>
      <c r="V1177" s="3"/>
      <c r="W1177" s="3"/>
      <c r="X1177" s="3"/>
      <c r="Y1177" s="4">
        <f>SUM(T1177:X1177)</f>
        <v>0</v>
      </c>
      <c r="AA1177" s="2"/>
      <c r="AB1177" s="3"/>
      <c r="AC1177" s="3"/>
      <c r="AD1177" s="3"/>
      <c r="AE1177" s="3"/>
      <c r="AF1177" s="4">
        <f>SUM(AA1177:AE1177)</f>
        <v>0</v>
      </c>
      <c r="AH1177" s="2"/>
      <c r="AI1177" s="3"/>
      <c r="AJ1177" s="3"/>
      <c r="AK1177" s="3"/>
      <c r="AL1177" s="3"/>
      <c r="AM1177" s="4">
        <f>SUM(AH1177:AL1177)</f>
        <v>0</v>
      </c>
      <c r="AO1177" s="2"/>
      <c r="AP1177" s="3"/>
      <c r="AQ1177" s="3"/>
      <c r="AR1177" s="3"/>
      <c r="AS1177" s="3"/>
      <c r="AT1177" s="4">
        <f>SUM(AO1177:AS1177)</f>
        <v>0</v>
      </c>
      <c r="AV1177" s="2"/>
      <c r="AW1177" s="3"/>
      <c r="AX1177" s="3"/>
      <c r="AY1177" s="3"/>
      <c r="AZ1177" s="3"/>
      <c r="BA1177" s="4">
        <f>SUM(AV1177:AZ1177)</f>
        <v>0</v>
      </c>
      <c r="BC1177" s="2"/>
      <c r="BD1177" s="3"/>
      <c r="BE1177" s="3"/>
      <c r="BF1177" s="3"/>
      <c r="BG1177" s="3"/>
      <c r="BH1177" s="4">
        <f>SUM(BC1177:BG1177)</f>
        <v>0</v>
      </c>
      <c r="BJ1177" s="2"/>
      <c r="BK1177" s="3"/>
      <c r="BL1177" s="3"/>
      <c r="BM1177" s="3"/>
      <c r="BN1177" s="3"/>
      <c r="BO1177" s="4">
        <f>SUM(BJ1177:BN1177)</f>
        <v>0</v>
      </c>
      <c r="BQ1177" s="2"/>
      <c r="BR1177" s="3"/>
      <c r="BS1177" s="3"/>
      <c r="BT1177" s="3"/>
      <c r="BU1177" s="3"/>
      <c r="BV1177" s="4">
        <f>SUM(BQ1177:BU1177)</f>
        <v>0</v>
      </c>
      <c r="BX1177" s="2"/>
      <c r="BY1177" s="3"/>
      <c r="BZ1177" s="3"/>
      <c r="CA1177" s="3"/>
      <c r="CB1177" s="3"/>
      <c r="CC1177" s="4">
        <f>SUM(BX1177:CB1177)</f>
        <v>0</v>
      </c>
      <c r="CE1177" s="26">
        <f t="shared" ref="CE1177:CE1180" si="5404">F1177+M1177+T1177+AA1177+AH1177+AO1177+AV1177+BC1177+BJ1177+BQ1177+BX1177</f>
        <v>0</v>
      </c>
      <c r="CF1177" s="27">
        <f t="shared" ref="CF1177:CF1180" si="5405">G1177+N1177+U1177+AB1177+AI1177+AP1177+AW1177+BD1177+BK1177+BR1177+BY1177</f>
        <v>0</v>
      </c>
      <c r="CG1177" s="27">
        <f t="shared" ref="CG1177:CG1180" si="5406">H1177+O1177+V1177+AC1177+AJ1177+AQ1177+AX1177+BE1177+BL1177+BS1177+BZ1177</f>
        <v>0</v>
      </c>
      <c r="CH1177" s="27">
        <f t="shared" ref="CH1177:CH1180" si="5407">I1177+P1177+W1177+AD1177+AK1177+AR1177+AY1177+BF1177+BM1177+BT1177+CA1177</f>
        <v>0</v>
      </c>
      <c r="CI1177" s="27">
        <f t="shared" ref="CI1177:CI1180" si="5408">J1177+Q1177+X1177+AE1177+AL1177+AS1177+AZ1177+BG1177+BN1177+BU1177+CB1177</f>
        <v>0</v>
      </c>
      <c r="CJ1177" s="4">
        <f>SUM(CE1177:CI1177)</f>
        <v>0</v>
      </c>
      <c r="CL1177" s="2"/>
      <c r="CM1177" s="3"/>
      <c r="CN1177" s="3"/>
      <c r="CO1177" s="3"/>
      <c r="CP1177" s="3"/>
      <c r="CQ1177" s="4">
        <f>SUM(CL1177:CP1177)</f>
        <v>0</v>
      </c>
      <c r="CS1177" s="2"/>
      <c r="CT1177" s="3"/>
      <c r="CU1177" s="3"/>
      <c r="CV1177" s="3"/>
      <c r="CW1177" s="3"/>
      <c r="CX1177" s="4">
        <f>SUM(CS1177:CW1177)</f>
        <v>0</v>
      </c>
      <c r="CZ1177" s="2"/>
      <c r="DA1177" s="3"/>
      <c r="DB1177" s="3"/>
      <c r="DC1177" s="3"/>
      <c r="DD1177" s="3"/>
      <c r="DE1177" s="4">
        <f>SUM(CZ1177:DD1177)</f>
        <v>0</v>
      </c>
    </row>
    <row r="1178" spans="3:109">
      <c r="C1178" s="567"/>
      <c r="E1178" s="5" t="s">
        <v>60</v>
      </c>
      <c r="F1178" s="23">
        <f t="shared" ref="F1178:F1180" si="5409">CE1172</f>
        <v>0</v>
      </c>
      <c r="G1178" s="24">
        <f t="shared" si="5400"/>
        <v>0</v>
      </c>
      <c r="H1178" s="24">
        <f t="shared" si="5401"/>
        <v>0</v>
      </c>
      <c r="I1178" s="24">
        <f t="shared" si="5402"/>
        <v>0</v>
      </c>
      <c r="J1178" s="24">
        <f t="shared" si="5403"/>
        <v>0</v>
      </c>
      <c r="K1178" s="8">
        <f t="shared" ref="K1178:K1180" si="5410">SUM(F1178:J1178)</f>
        <v>0</v>
      </c>
      <c r="M1178" s="6"/>
      <c r="N1178" s="7"/>
      <c r="O1178" s="7"/>
      <c r="P1178" s="7"/>
      <c r="Q1178" s="7"/>
      <c r="R1178" s="8">
        <f t="shared" ref="R1178:R1180" si="5411">SUM(M1178:Q1178)</f>
        <v>0</v>
      </c>
      <c r="T1178" s="6"/>
      <c r="U1178" s="7"/>
      <c r="V1178" s="7"/>
      <c r="W1178" s="7"/>
      <c r="X1178" s="7"/>
      <c r="Y1178" s="8">
        <f t="shared" ref="Y1178:Y1180" si="5412">SUM(T1178:X1178)</f>
        <v>0</v>
      </c>
      <c r="AA1178" s="6"/>
      <c r="AB1178" s="7"/>
      <c r="AC1178" s="7"/>
      <c r="AD1178" s="7"/>
      <c r="AE1178" s="7"/>
      <c r="AF1178" s="8">
        <f>SUM(AA1178:AE1178)</f>
        <v>0</v>
      </c>
      <c r="AH1178" s="6"/>
      <c r="AI1178" s="7"/>
      <c r="AJ1178" s="7"/>
      <c r="AK1178" s="7"/>
      <c r="AL1178" s="7"/>
      <c r="AM1178" s="8">
        <f>SUM(AH1178:AL1178)</f>
        <v>0</v>
      </c>
      <c r="AO1178" s="6"/>
      <c r="AP1178" s="7"/>
      <c r="AQ1178" s="7"/>
      <c r="AR1178" s="7"/>
      <c r="AS1178" s="7"/>
      <c r="AT1178" s="8">
        <f>SUM(AO1178:AS1178)</f>
        <v>0</v>
      </c>
      <c r="AV1178" s="6"/>
      <c r="AW1178" s="7"/>
      <c r="AX1178" s="7"/>
      <c r="AY1178" s="7"/>
      <c r="AZ1178" s="7"/>
      <c r="BA1178" s="8">
        <f>SUM(AV1178:AZ1178)</f>
        <v>0</v>
      </c>
      <c r="BC1178" s="6"/>
      <c r="BD1178" s="7"/>
      <c r="BE1178" s="7"/>
      <c r="BF1178" s="7"/>
      <c r="BG1178" s="7"/>
      <c r="BH1178" s="8">
        <f>SUM(BC1178:BG1178)</f>
        <v>0</v>
      </c>
      <c r="BJ1178" s="6"/>
      <c r="BK1178" s="7"/>
      <c r="BL1178" s="7"/>
      <c r="BM1178" s="7"/>
      <c r="BN1178" s="7"/>
      <c r="BO1178" s="8">
        <f>SUM(BJ1178:BN1178)</f>
        <v>0</v>
      </c>
      <c r="BQ1178" s="6"/>
      <c r="BR1178" s="7"/>
      <c r="BS1178" s="7"/>
      <c r="BT1178" s="7"/>
      <c r="BU1178" s="7"/>
      <c r="BV1178" s="8">
        <f>SUM(BQ1178:BU1178)</f>
        <v>0</v>
      </c>
      <c r="BX1178" s="6"/>
      <c r="BY1178" s="7"/>
      <c r="BZ1178" s="7"/>
      <c r="CA1178" s="7"/>
      <c r="CB1178" s="7"/>
      <c r="CC1178" s="8">
        <f>SUM(BX1178:CB1178)</f>
        <v>0</v>
      </c>
      <c r="CE1178" s="28">
        <f t="shared" si="5404"/>
        <v>0</v>
      </c>
      <c r="CF1178" s="29">
        <f t="shared" si="5405"/>
        <v>0</v>
      </c>
      <c r="CG1178" s="29">
        <f t="shared" si="5406"/>
        <v>0</v>
      </c>
      <c r="CH1178" s="29">
        <f t="shared" si="5407"/>
        <v>0</v>
      </c>
      <c r="CI1178" s="29">
        <f t="shared" si="5408"/>
        <v>0</v>
      </c>
      <c r="CJ1178" s="8">
        <f>SUM(CE1178:CI1178)</f>
        <v>0</v>
      </c>
      <c r="CL1178" s="6"/>
      <c r="CM1178" s="7"/>
      <c r="CN1178" s="7"/>
      <c r="CO1178" s="7"/>
      <c r="CP1178" s="7"/>
      <c r="CQ1178" s="8">
        <f>SUM(CL1178:CP1178)</f>
        <v>0</v>
      </c>
      <c r="CS1178" s="6"/>
      <c r="CT1178" s="7"/>
      <c r="CU1178" s="7"/>
      <c r="CV1178" s="7"/>
      <c r="CW1178" s="7"/>
      <c r="CX1178" s="8">
        <f t="shared" ref="CX1178:CX1180" si="5413">SUM(CS1178:CW1178)</f>
        <v>0</v>
      </c>
      <c r="CZ1178" s="6"/>
      <c r="DA1178" s="7"/>
      <c r="DB1178" s="7"/>
      <c r="DC1178" s="7"/>
      <c r="DD1178" s="7"/>
      <c r="DE1178" s="8">
        <f t="shared" ref="DE1178:DE1180" si="5414">SUM(CZ1178:DD1178)</f>
        <v>0</v>
      </c>
    </row>
    <row r="1179" spans="3:109">
      <c r="C1179" s="567"/>
      <c r="E1179" s="5" t="s">
        <v>61</v>
      </c>
      <c r="F1179" s="23">
        <f t="shared" si="5409"/>
        <v>0</v>
      </c>
      <c r="G1179" s="24">
        <f t="shared" si="5400"/>
        <v>0</v>
      </c>
      <c r="H1179" s="24">
        <f t="shared" si="5401"/>
        <v>0</v>
      </c>
      <c r="I1179" s="24">
        <f t="shared" si="5402"/>
        <v>0</v>
      </c>
      <c r="J1179" s="24">
        <f t="shared" si="5403"/>
        <v>0</v>
      </c>
      <c r="K1179" s="8">
        <f t="shared" si="5410"/>
        <v>0</v>
      </c>
      <c r="M1179" s="6"/>
      <c r="N1179" s="7"/>
      <c r="O1179" s="7"/>
      <c r="P1179" s="7"/>
      <c r="Q1179" s="7"/>
      <c r="R1179" s="8">
        <f t="shared" si="5411"/>
        <v>0</v>
      </c>
      <c r="T1179" s="6"/>
      <c r="U1179" s="7"/>
      <c r="V1179" s="7"/>
      <c r="W1179" s="7"/>
      <c r="X1179" s="7"/>
      <c r="Y1179" s="8">
        <f t="shared" si="5412"/>
        <v>0</v>
      </c>
      <c r="AA1179" s="6"/>
      <c r="AB1179" s="7"/>
      <c r="AC1179" s="7"/>
      <c r="AD1179" s="7"/>
      <c r="AE1179" s="7"/>
      <c r="AF1179" s="8">
        <f>SUM(AA1179:AE1179)</f>
        <v>0</v>
      </c>
      <c r="AH1179" s="6"/>
      <c r="AI1179" s="7"/>
      <c r="AJ1179" s="7"/>
      <c r="AK1179" s="7"/>
      <c r="AL1179" s="7"/>
      <c r="AM1179" s="8">
        <f>SUM(AH1179:AL1179)</f>
        <v>0</v>
      </c>
      <c r="AO1179" s="6"/>
      <c r="AP1179" s="7"/>
      <c r="AQ1179" s="7"/>
      <c r="AR1179" s="7"/>
      <c r="AS1179" s="7"/>
      <c r="AT1179" s="8">
        <f>SUM(AO1179:AS1179)</f>
        <v>0</v>
      </c>
      <c r="AV1179" s="6"/>
      <c r="AW1179" s="7"/>
      <c r="AX1179" s="7"/>
      <c r="AY1179" s="7"/>
      <c r="AZ1179" s="7"/>
      <c r="BA1179" s="8">
        <f>SUM(AV1179:AZ1179)</f>
        <v>0</v>
      </c>
      <c r="BC1179" s="6"/>
      <c r="BD1179" s="7"/>
      <c r="BE1179" s="7"/>
      <c r="BF1179" s="7"/>
      <c r="BG1179" s="7"/>
      <c r="BH1179" s="8">
        <f>SUM(BC1179:BG1179)</f>
        <v>0</v>
      </c>
      <c r="BJ1179" s="6"/>
      <c r="BK1179" s="7"/>
      <c r="BL1179" s="7"/>
      <c r="BM1179" s="7"/>
      <c r="BN1179" s="7"/>
      <c r="BO1179" s="8">
        <f>SUM(BJ1179:BN1179)</f>
        <v>0</v>
      </c>
      <c r="BQ1179" s="6"/>
      <c r="BR1179" s="7"/>
      <c r="BS1179" s="7"/>
      <c r="BT1179" s="7"/>
      <c r="BU1179" s="7"/>
      <c r="BV1179" s="8">
        <f>SUM(BQ1179:BU1179)</f>
        <v>0</v>
      </c>
      <c r="BX1179" s="6"/>
      <c r="BY1179" s="7"/>
      <c r="BZ1179" s="7"/>
      <c r="CA1179" s="7"/>
      <c r="CB1179" s="7"/>
      <c r="CC1179" s="8">
        <f>SUM(BX1179:CB1179)</f>
        <v>0</v>
      </c>
      <c r="CE1179" s="28">
        <f t="shared" si="5404"/>
        <v>0</v>
      </c>
      <c r="CF1179" s="29">
        <f t="shared" si="5405"/>
        <v>0</v>
      </c>
      <c r="CG1179" s="29">
        <f t="shared" si="5406"/>
        <v>0</v>
      </c>
      <c r="CH1179" s="29">
        <f t="shared" si="5407"/>
        <v>0</v>
      </c>
      <c r="CI1179" s="29">
        <f t="shared" si="5408"/>
        <v>0</v>
      </c>
      <c r="CJ1179" s="8">
        <f>SUM(CE1179:CI1179)</f>
        <v>0</v>
      </c>
      <c r="CL1179" s="6"/>
      <c r="CM1179" s="7"/>
      <c r="CN1179" s="7"/>
      <c r="CO1179" s="7"/>
      <c r="CP1179" s="7"/>
      <c r="CQ1179" s="8">
        <f>SUM(CL1179:CP1179)</f>
        <v>0</v>
      </c>
      <c r="CS1179" s="6"/>
      <c r="CT1179" s="7"/>
      <c r="CU1179" s="7"/>
      <c r="CV1179" s="7"/>
      <c r="CW1179" s="7"/>
      <c r="CX1179" s="8">
        <f t="shared" si="5413"/>
        <v>0</v>
      </c>
      <c r="CZ1179" s="6"/>
      <c r="DA1179" s="7"/>
      <c r="DB1179" s="7"/>
      <c r="DC1179" s="7"/>
      <c r="DD1179" s="7"/>
      <c r="DE1179" s="8">
        <f t="shared" si="5414"/>
        <v>0</v>
      </c>
    </row>
    <row r="1180" spans="3:109" ht="14" thickBot="1">
      <c r="C1180" s="567"/>
      <c r="E1180" s="5" t="s">
        <v>62</v>
      </c>
      <c r="F1180" s="23">
        <f t="shared" si="5409"/>
        <v>0</v>
      </c>
      <c r="G1180" s="24">
        <f t="shared" si="5400"/>
        <v>0</v>
      </c>
      <c r="H1180" s="24">
        <f t="shared" si="5401"/>
        <v>0</v>
      </c>
      <c r="I1180" s="24">
        <f t="shared" si="5402"/>
        <v>0</v>
      </c>
      <c r="J1180" s="24">
        <f t="shared" si="5403"/>
        <v>0</v>
      </c>
      <c r="K1180" s="8">
        <f t="shared" si="5410"/>
        <v>0</v>
      </c>
      <c r="M1180" s="6"/>
      <c r="N1180" s="7"/>
      <c r="O1180" s="7"/>
      <c r="P1180" s="7"/>
      <c r="Q1180" s="7"/>
      <c r="R1180" s="8">
        <f t="shared" si="5411"/>
        <v>0</v>
      </c>
      <c r="T1180" s="6"/>
      <c r="U1180" s="7"/>
      <c r="V1180" s="7"/>
      <c r="W1180" s="7"/>
      <c r="X1180" s="7"/>
      <c r="Y1180" s="8">
        <f t="shared" si="5412"/>
        <v>0</v>
      </c>
      <c r="AA1180" s="6"/>
      <c r="AB1180" s="7"/>
      <c r="AC1180" s="7"/>
      <c r="AD1180" s="7"/>
      <c r="AE1180" s="7"/>
      <c r="AF1180" s="8">
        <f>SUM(AA1180:AE1180)</f>
        <v>0</v>
      </c>
      <c r="AH1180" s="6"/>
      <c r="AI1180" s="7"/>
      <c r="AJ1180" s="7"/>
      <c r="AK1180" s="7"/>
      <c r="AL1180" s="7"/>
      <c r="AM1180" s="8">
        <f>SUM(AH1180:AL1180)</f>
        <v>0</v>
      </c>
      <c r="AO1180" s="6"/>
      <c r="AP1180" s="7"/>
      <c r="AQ1180" s="7"/>
      <c r="AR1180" s="7"/>
      <c r="AS1180" s="7"/>
      <c r="AT1180" s="8">
        <f>SUM(AO1180:AS1180)</f>
        <v>0</v>
      </c>
      <c r="AV1180" s="6"/>
      <c r="AW1180" s="7"/>
      <c r="AX1180" s="7"/>
      <c r="AY1180" s="7"/>
      <c r="AZ1180" s="7"/>
      <c r="BA1180" s="8">
        <f>SUM(AV1180:AZ1180)</f>
        <v>0</v>
      </c>
      <c r="BC1180" s="6"/>
      <c r="BD1180" s="7"/>
      <c r="BE1180" s="7"/>
      <c r="BF1180" s="7"/>
      <c r="BG1180" s="7"/>
      <c r="BH1180" s="8">
        <f>SUM(BC1180:BG1180)</f>
        <v>0</v>
      </c>
      <c r="BJ1180" s="6"/>
      <c r="BK1180" s="7"/>
      <c r="BL1180" s="7"/>
      <c r="BM1180" s="7"/>
      <c r="BN1180" s="7"/>
      <c r="BO1180" s="8">
        <f>SUM(BJ1180:BN1180)</f>
        <v>0</v>
      </c>
      <c r="BQ1180" s="6"/>
      <c r="BR1180" s="7"/>
      <c r="BS1180" s="7"/>
      <c r="BT1180" s="7"/>
      <c r="BU1180" s="7"/>
      <c r="BV1180" s="8">
        <f>SUM(BQ1180:BU1180)</f>
        <v>0</v>
      </c>
      <c r="BX1180" s="6"/>
      <c r="BY1180" s="7"/>
      <c r="BZ1180" s="7"/>
      <c r="CA1180" s="7"/>
      <c r="CB1180" s="7"/>
      <c r="CC1180" s="8">
        <f>SUM(BX1180:CB1180)</f>
        <v>0</v>
      </c>
      <c r="CE1180" s="493">
        <f t="shared" si="5404"/>
        <v>0</v>
      </c>
      <c r="CF1180" s="494">
        <f t="shared" si="5405"/>
        <v>0</v>
      </c>
      <c r="CG1180" s="494">
        <f t="shared" si="5406"/>
        <v>0</v>
      </c>
      <c r="CH1180" s="494">
        <f t="shared" si="5407"/>
        <v>0</v>
      </c>
      <c r="CI1180" s="494">
        <f t="shared" si="5408"/>
        <v>0</v>
      </c>
      <c r="CJ1180" s="495">
        <f>SUM(CE1180:CI1180)</f>
        <v>0</v>
      </c>
      <c r="CL1180" s="6"/>
      <c r="CM1180" s="7"/>
      <c r="CN1180" s="7"/>
      <c r="CO1180" s="7"/>
      <c r="CP1180" s="7"/>
      <c r="CQ1180" s="8">
        <f>SUM(CL1180:CP1180)</f>
        <v>0</v>
      </c>
      <c r="CS1180" s="6"/>
      <c r="CT1180" s="7"/>
      <c r="CU1180" s="7"/>
      <c r="CV1180" s="7"/>
      <c r="CW1180" s="7"/>
      <c r="CX1180" s="8">
        <f t="shared" si="5413"/>
        <v>0</v>
      </c>
      <c r="CZ1180" s="6"/>
      <c r="DA1180" s="7"/>
      <c r="DB1180" s="7"/>
      <c r="DC1180" s="7"/>
      <c r="DD1180" s="7"/>
      <c r="DE1180" s="8">
        <f t="shared" si="5414"/>
        <v>0</v>
      </c>
    </row>
    <row r="1181" spans="3:109" ht="14" thickBot="1">
      <c r="C1181" s="554"/>
      <c r="E1181" s="9"/>
      <c r="F1181" s="10">
        <f>SUM(F1177:F1180)</f>
        <v>0</v>
      </c>
      <c r="G1181" s="11">
        <f t="shared" ref="G1181:J1181" si="5415">SUM(G1177:G1180)</f>
        <v>0</v>
      </c>
      <c r="H1181" s="11">
        <f t="shared" si="5415"/>
        <v>0</v>
      </c>
      <c r="I1181" s="11">
        <f t="shared" si="5415"/>
        <v>0</v>
      </c>
      <c r="J1181" s="11">
        <f t="shared" si="5415"/>
        <v>0</v>
      </c>
      <c r="K1181" s="25">
        <f>SUM(K1177:K1180)</f>
        <v>0</v>
      </c>
      <c r="M1181" s="10">
        <f>SUM(M1177:M1180)</f>
        <v>0</v>
      </c>
      <c r="N1181" s="11">
        <f t="shared" ref="N1181:Q1181" si="5416">SUM(N1177:N1180)</f>
        <v>0</v>
      </c>
      <c r="O1181" s="11">
        <f t="shared" si="5416"/>
        <v>0</v>
      </c>
      <c r="P1181" s="11">
        <f t="shared" si="5416"/>
        <v>0</v>
      </c>
      <c r="Q1181" s="11">
        <f t="shared" si="5416"/>
        <v>0</v>
      </c>
      <c r="R1181" s="25">
        <f>SUM(R1177:R1180)</f>
        <v>0</v>
      </c>
      <c r="T1181" s="10">
        <f>SUM(T1177:T1180)</f>
        <v>0</v>
      </c>
      <c r="U1181" s="11">
        <f t="shared" ref="U1181:X1181" si="5417">SUM(U1177:U1180)</f>
        <v>0</v>
      </c>
      <c r="V1181" s="11">
        <f t="shared" si="5417"/>
        <v>0</v>
      </c>
      <c r="W1181" s="11">
        <f t="shared" si="5417"/>
        <v>0</v>
      </c>
      <c r="X1181" s="11">
        <f t="shared" si="5417"/>
        <v>0</v>
      </c>
      <c r="Y1181" s="25">
        <f>SUM(Y1177:Y1180)</f>
        <v>0</v>
      </c>
      <c r="AA1181" s="10">
        <f>SUM(AA1177:AA1180)</f>
        <v>0</v>
      </c>
      <c r="AB1181" s="11">
        <f t="shared" ref="AB1181:AE1181" si="5418">SUM(AB1177:AB1180)</f>
        <v>0</v>
      </c>
      <c r="AC1181" s="11">
        <f t="shared" si="5418"/>
        <v>0</v>
      </c>
      <c r="AD1181" s="11">
        <f t="shared" si="5418"/>
        <v>0</v>
      </c>
      <c r="AE1181" s="11">
        <f t="shared" si="5418"/>
        <v>0</v>
      </c>
      <c r="AF1181" s="25">
        <f>SUM(AF1177:AF1180)</f>
        <v>0</v>
      </c>
      <c r="AH1181" s="10">
        <f t="shared" ref="AH1181:AM1181" si="5419">SUM(AH1177:AH1180)</f>
        <v>0</v>
      </c>
      <c r="AI1181" s="11">
        <f t="shared" si="5419"/>
        <v>0</v>
      </c>
      <c r="AJ1181" s="11">
        <f t="shared" si="5419"/>
        <v>0</v>
      </c>
      <c r="AK1181" s="11">
        <f t="shared" si="5419"/>
        <v>0</v>
      </c>
      <c r="AL1181" s="11">
        <f t="shared" si="5419"/>
        <v>0</v>
      </c>
      <c r="AM1181" s="25">
        <f t="shared" si="5419"/>
        <v>0</v>
      </c>
      <c r="AO1181" s="10">
        <f t="shared" ref="AO1181:AT1181" si="5420">SUM(AO1177:AO1180)</f>
        <v>0</v>
      </c>
      <c r="AP1181" s="11">
        <f t="shared" si="5420"/>
        <v>0</v>
      </c>
      <c r="AQ1181" s="11">
        <f t="shared" si="5420"/>
        <v>0</v>
      </c>
      <c r="AR1181" s="11">
        <f t="shared" si="5420"/>
        <v>0</v>
      </c>
      <c r="AS1181" s="11">
        <f t="shared" si="5420"/>
        <v>0</v>
      </c>
      <c r="AT1181" s="25">
        <f t="shared" si="5420"/>
        <v>0</v>
      </c>
      <c r="AV1181" s="10">
        <f t="shared" ref="AV1181:BA1181" si="5421">SUM(AV1177:AV1180)</f>
        <v>0</v>
      </c>
      <c r="AW1181" s="11">
        <f t="shared" si="5421"/>
        <v>0</v>
      </c>
      <c r="AX1181" s="11">
        <f t="shared" si="5421"/>
        <v>0</v>
      </c>
      <c r="AY1181" s="11">
        <f t="shared" si="5421"/>
        <v>0</v>
      </c>
      <c r="AZ1181" s="11">
        <f t="shared" si="5421"/>
        <v>0</v>
      </c>
      <c r="BA1181" s="25">
        <f t="shared" si="5421"/>
        <v>0</v>
      </c>
      <c r="BC1181" s="10">
        <f t="shared" ref="BC1181:BH1181" si="5422">SUM(BC1177:BC1180)</f>
        <v>0</v>
      </c>
      <c r="BD1181" s="11">
        <f t="shared" si="5422"/>
        <v>0</v>
      </c>
      <c r="BE1181" s="11">
        <f t="shared" si="5422"/>
        <v>0</v>
      </c>
      <c r="BF1181" s="11">
        <f t="shared" si="5422"/>
        <v>0</v>
      </c>
      <c r="BG1181" s="11">
        <f t="shared" si="5422"/>
        <v>0</v>
      </c>
      <c r="BH1181" s="25">
        <f t="shared" si="5422"/>
        <v>0</v>
      </c>
      <c r="BJ1181" s="10">
        <f t="shared" ref="BJ1181:BO1181" si="5423">SUM(BJ1177:BJ1180)</f>
        <v>0</v>
      </c>
      <c r="BK1181" s="11">
        <f t="shared" si="5423"/>
        <v>0</v>
      </c>
      <c r="BL1181" s="11">
        <f t="shared" si="5423"/>
        <v>0</v>
      </c>
      <c r="BM1181" s="11">
        <f t="shared" si="5423"/>
        <v>0</v>
      </c>
      <c r="BN1181" s="11">
        <f t="shared" si="5423"/>
        <v>0</v>
      </c>
      <c r="BO1181" s="25">
        <f t="shared" si="5423"/>
        <v>0</v>
      </c>
      <c r="BQ1181" s="10">
        <f t="shared" ref="BQ1181:BV1181" si="5424">SUM(BQ1177:BQ1180)</f>
        <v>0</v>
      </c>
      <c r="BR1181" s="11">
        <f t="shared" si="5424"/>
        <v>0</v>
      </c>
      <c r="BS1181" s="11">
        <f t="shared" si="5424"/>
        <v>0</v>
      </c>
      <c r="BT1181" s="11">
        <f t="shared" si="5424"/>
        <v>0</v>
      </c>
      <c r="BU1181" s="11">
        <f t="shared" si="5424"/>
        <v>0</v>
      </c>
      <c r="BV1181" s="25">
        <f t="shared" si="5424"/>
        <v>0</v>
      </c>
      <c r="BX1181" s="10">
        <f t="shared" ref="BX1181:CC1181" si="5425">SUM(BX1177:BX1180)</f>
        <v>0</v>
      </c>
      <c r="BY1181" s="11">
        <f t="shared" si="5425"/>
        <v>0</v>
      </c>
      <c r="BZ1181" s="11">
        <f t="shared" si="5425"/>
        <v>0</v>
      </c>
      <c r="CA1181" s="11">
        <f t="shared" si="5425"/>
        <v>0</v>
      </c>
      <c r="CB1181" s="11">
        <f t="shared" si="5425"/>
        <v>0</v>
      </c>
      <c r="CC1181" s="25">
        <f t="shared" si="5425"/>
        <v>0</v>
      </c>
      <c r="CE1181" s="62">
        <f t="shared" ref="CE1181:CJ1181" si="5426">SUM(CE1177:CE1180)</f>
        <v>0</v>
      </c>
      <c r="CF1181" s="63">
        <f t="shared" si="5426"/>
        <v>0</v>
      </c>
      <c r="CG1181" s="63">
        <f t="shared" si="5426"/>
        <v>0</v>
      </c>
      <c r="CH1181" s="63">
        <f t="shared" si="5426"/>
        <v>0</v>
      </c>
      <c r="CI1181" s="63">
        <f t="shared" si="5426"/>
        <v>0</v>
      </c>
      <c r="CJ1181" s="25">
        <f t="shared" si="5426"/>
        <v>0</v>
      </c>
      <c r="CL1181" s="10">
        <f>SUM(CL1177:CL1180)</f>
        <v>0</v>
      </c>
      <c r="CM1181" s="11">
        <f t="shared" ref="CM1181:CQ1181" si="5427">SUM(CM1177:CM1180)</f>
        <v>0</v>
      </c>
      <c r="CN1181" s="11">
        <f t="shared" si="5427"/>
        <v>0</v>
      </c>
      <c r="CO1181" s="11">
        <f t="shared" si="5427"/>
        <v>0</v>
      </c>
      <c r="CP1181" s="11">
        <f t="shared" si="5427"/>
        <v>0</v>
      </c>
      <c r="CQ1181" s="25">
        <f t="shared" si="5427"/>
        <v>0</v>
      </c>
      <c r="CS1181" s="10">
        <f>SUM(CS1177:CS1180)</f>
        <v>0</v>
      </c>
      <c r="CT1181" s="11">
        <f t="shared" ref="CT1181:CW1181" si="5428">SUM(CT1177:CT1180)</f>
        <v>0</v>
      </c>
      <c r="CU1181" s="11">
        <f t="shared" si="5428"/>
        <v>0</v>
      </c>
      <c r="CV1181" s="11">
        <f t="shared" si="5428"/>
        <v>0</v>
      </c>
      <c r="CW1181" s="11">
        <f t="shared" si="5428"/>
        <v>0</v>
      </c>
      <c r="CX1181" s="25">
        <f>SUM(CX1177:CX1180)</f>
        <v>0</v>
      </c>
      <c r="CZ1181" s="10">
        <f>SUM(CZ1177:CZ1180)</f>
        <v>0</v>
      </c>
      <c r="DA1181" s="11">
        <f t="shared" ref="DA1181:DD1181" si="5429">SUM(DA1177:DA1180)</f>
        <v>0</v>
      </c>
      <c r="DB1181" s="11">
        <f t="shared" si="5429"/>
        <v>0</v>
      </c>
      <c r="DC1181" s="11">
        <f t="shared" si="5429"/>
        <v>0</v>
      </c>
      <c r="DD1181" s="11">
        <f t="shared" si="5429"/>
        <v>0</v>
      </c>
      <c r="DE1181" s="25">
        <f>SUM(DE1177:DE1180)</f>
        <v>0</v>
      </c>
    </row>
    <row r="1182" spans="3:109" ht="10.4" customHeight="1" thickBot="1"/>
    <row r="1183" spans="3:109">
      <c r="C1183" s="553">
        <v>2028</v>
      </c>
      <c r="E1183" s="1" t="s">
        <v>59</v>
      </c>
      <c r="F1183" s="21">
        <f>CE1177</f>
        <v>0</v>
      </c>
      <c r="G1183" s="22">
        <f t="shared" ref="G1183:G1186" si="5430">CF1177</f>
        <v>0</v>
      </c>
      <c r="H1183" s="22">
        <f t="shared" ref="H1183:H1186" si="5431">CG1177</f>
        <v>0</v>
      </c>
      <c r="I1183" s="22">
        <f t="shared" ref="I1183:I1186" si="5432">CH1177</f>
        <v>0</v>
      </c>
      <c r="J1183" s="22">
        <f t="shared" ref="J1183:J1186" si="5433">CI1177</f>
        <v>0</v>
      </c>
      <c r="K1183" s="4">
        <f>SUM(F1183:J1183)</f>
        <v>0</v>
      </c>
      <c r="M1183" s="2"/>
      <c r="N1183" s="3"/>
      <c r="O1183" s="3"/>
      <c r="P1183" s="3"/>
      <c r="Q1183" s="3"/>
      <c r="R1183" s="4">
        <f>SUM(M1183:Q1183)</f>
        <v>0</v>
      </c>
      <c r="T1183" s="2"/>
      <c r="U1183" s="3"/>
      <c r="V1183" s="3"/>
      <c r="W1183" s="3"/>
      <c r="X1183" s="3"/>
      <c r="Y1183" s="4">
        <f>SUM(T1183:X1183)</f>
        <v>0</v>
      </c>
      <c r="AA1183" s="2"/>
      <c r="AB1183" s="3"/>
      <c r="AC1183" s="3"/>
      <c r="AD1183" s="3"/>
      <c r="AE1183" s="3"/>
      <c r="AF1183" s="4">
        <f>SUM(AA1183:AE1183)</f>
        <v>0</v>
      </c>
      <c r="AH1183" s="2"/>
      <c r="AI1183" s="3"/>
      <c r="AJ1183" s="3"/>
      <c r="AK1183" s="3"/>
      <c r="AL1183" s="3"/>
      <c r="AM1183" s="4">
        <f>SUM(AH1183:AL1183)</f>
        <v>0</v>
      </c>
      <c r="AO1183" s="2"/>
      <c r="AP1183" s="3"/>
      <c r="AQ1183" s="3"/>
      <c r="AR1183" s="3"/>
      <c r="AS1183" s="3"/>
      <c r="AT1183" s="4">
        <f>SUM(AO1183:AS1183)</f>
        <v>0</v>
      </c>
      <c r="AV1183" s="2"/>
      <c r="AW1183" s="3"/>
      <c r="AX1183" s="3"/>
      <c r="AY1183" s="3"/>
      <c r="AZ1183" s="3"/>
      <c r="BA1183" s="4">
        <f>SUM(AV1183:AZ1183)</f>
        <v>0</v>
      </c>
      <c r="BC1183" s="2"/>
      <c r="BD1183" s="3"/>
      <c r="BE1183" s="3"/>
      <c r="BF1183" s="3"/>
      <c r="BG1183" s="3"/>
      <c r="BH1183" s="4">
        <f>SUM(BC1183:BG1183)</f>
        <v>0</v>
      </c>
      <c r="BJ1183" s="2"/>
      <c r="BK1183" s="3"/>
      <c r="BL1183" s="3"/>
      <c r="BM1183" s="3"/>
      <c r="BN1183" s="3"/>
      <c r="BO1183" s="4">
        <f>SUM(BJ1183:BN1183)</f>
        <v>0</v>
      </c>
      <c r="BQ1183" s="2"/>
      <c r="BR1183" s="3"/>
      <c r="BS1183" s="3"/>
      <c r="BT1183" s="3"/>
      <c r="BU1183" s="3"/>
      <c r="BV1183" s="4">
        <f>SUM(BQ1183:BU1183)</f>
        <v>0</v>
      </c>
      <c r="BX1183" s="2"/>
      <c r="BY1183" s="3"/>
      <c r="BZ1183" s="3"/>
      <c r="CA1183" s="3"/>
      <c r="CB1183" s="3"/>
      <c r="CC1183" s="4">
        <f>SUM(BX1183:CB1183)</f>
        <v>0</v>
      </c>
      <c r="CE1183" s="26">
        <f t="shared" ref="CE1183:CE1186" si="5434">F1183+M1183+T1183+AA1183+AH1183+AO1183+AV1183+BC1183+BJ1183+BQ1183+BX1183</f>
        <v>0</v>
      </c>
      <c r="CF1183" s="27">
        <f t="shared" ref="CF1183:CF1186" si="5435">G1183+N1183+U1183+AB1183+AI1183+AP1183+AW1183+BD1183+BK1183+BR1183+BY1183</f>
        <v>0</v>
      </c>
      <c r="CG1183" s="27">
        <f t="shared" ref="CG1183:CG1186" si="5436">H1183+O1183+V1183+AC1183+AJ1183+AQ1183+AX1183+BE1183+BL1183+BS1183+BZ1183</f>
        <v>0</v>
      </c>
      <c r="CH1183" s="27">
        <f t="shared" ref="CH1183:CH1186" si="5437">I1183+P1183+W1183+AD1183+AK1183+AR1183+AY1183+BF1183+BM1183+BT1183+CA1183</f>
        <v>0</v>
      </c>
      <c r="CI1183" s="27">
        <f t="shared" ref="CI1183:CI1186" si="5438">J1183+Q1183+X1183+AE1183+AL1183+AS1183+AZ1183+BG1183+BN1183+BU1183+CB1183</f>
        <v>0</v>
      </c>
      <c r="CJ1183" s="4">
        <f>SUM(CE1183:CI1183)</f>
        <v>0</v>
      </c>
      <c r="CL1183" s="2"/>
      <c r="CM1183" s="3"/>
      <c r="CN1183" s="3"/>
      <c r="CO1183" s="3"/>
      <c r="CP1183" s="3"/>
      <c r="CQ1183" s="4">
        <f>SUM(CL1183:CP1183)</f>
        <v>0</v>
      </c>
      <c r="CS1183" s="2"/>
      <c r="CT1183" s="3"/>
      <c r="CU1183" s="3"/>
      <c r="CV1183" s="3"/>
      <c r="CW1183" s="3"/>
      <c r="CX1183" s="4">
        <f>SUM(CS1183:CW1183)</f>
        <v>0</v>
      </c>
      <c r="CZ1183" s="2"/>
      <c r="DA1183" s="3"/>
      <c r="DB1183" s="3"/>
      <c r="DC1183" s="3"/>
      <c r="DD1183" s="3"/>
      <c r="DE1183" s="4">
        <f>SUM(CZ1183:DD1183)</f>
        <v>0</v>
      </c>
    </row>
    <row r="1184" spans="3:109">
      <c r="C1184" s="567"/>
      <c r="E1184" s="5" t="s">
        <v>60</v>
      </c>
      <c r="F1184" s="23">
        <f t="shared" ref="F1184:F1186" si="5439">CE1178</f>
        <v>0</v>
      </c>
      <c r="G1184" s="24">
        <f t="shared" si="5430"/>
        <v>0</v>
      </c>
      <c r="H1184" s="24">
        <f t="shared" si="5431"/>
        <v>0</v>
      </c>
      <c r="I1184" s="24">
        <f t="shared" si="5432"/>
        <v>0</v>
      </c>
      <c r="J1184" s="24">
        <f t="shared" si="5433"/>
        <v>0</v>
      </c>
      <c r="K1184" s="8">
        <f t="shared" ref="K1184:K1186" si="5440">SUM(F1184:J1184)</f>
        <v>0</v>
      </c>
      <c r="M1184" s="6"/>
      <c r="N1184" s="7"/>
      <c r="O1184" s="7"/>
      <c r="P1184" s="7"/>
      <c r="Q1184" s="7"/>
      <c r="R1184" s="8">
        <f t="shared" ref="R1184:R1186" si="5441">SUM(M1184:Q1184)</f>
        <v>0</v>
      </c>
      <c r="T1184" s="6"/>
      <c r="U1184" s="7"/>
      <c r="V1184" s="7"/>
      <c r="W1184" s="7"/>
      <c r="X1184" s="7"/>
      <c r="Y1184" s="8">
        <f t="shared" ref="Y1184:Y1186" si="5442">SUM(T1184:X1184)</f>
        <v>0</v>
      </c>
      <c r="AA1184" s="6"/>
      <c r="AB1184" s="7"/>
      <c r="AC1184" s="7"/>
      <c r="AD1184" s="7"/>
      <c r="AE1184" s="7"/>
      <c r="AF1184" s="8">
        <f>SUM(AA1184:AE1184)</f>
        <v>0</v>
      </c>
      <c r="AH1184" s="6"/>
      <c r="AI1184" s="7"/>
      <c r="AJ1184" s="7"/>
      <c r="AK1184" s="7"/>
      <c r="AL1184" s="7"/>
      <c r="AM1184" s="8">
        <f>SUM(AH1184:AL1184)</f>
        <v>0</v>
      </c>
      <c r="AO1184" s="6"/>
      <c r="AP1184" s="7"/>
      <c r="AQ1184" s="7"/>
      <c r="AR1184" s="7"/>
      <c r="AS1184" s="7"/>
      <c r="AT1184" s="8">
        <f>SUM(AO1184:AS1184)</f>
        <v>0</v>
      </c>
      <c r="AV1184" s="6"/>
      <c r="AW1184" s="7"/>
      <c r="AX1184" s="7"/>
      <c r="AY1184" s="7"/>
      <c r="AZ1184" s="7"/>
      <c r="BA1184" s="8">
        <f>SUM(AV1184:AZ1184)</f>
        <v>0</v>
      </c>
      <c r="BC1184" s="6"/>
      <c r="BD1184" s="7"/>
      <c r="BE1184" s="7"/>
      <c r="BF1184" s="7"/>
      <c r="BG1184" s="7"/>
      <c r="BH1184" s="8">
        <f>SUM(BC1184:BG1184)</f>
        <v>0</v>
      </c>
      <c r="BJ1184" s="6"/>
      <c r="BK1184" s="7"/>
      <c r="BL1184" s="7"/>
      <c r="BM1184" s="7"/>
      <c r="BN1184" s="7"/>
      <c r="BO1184" s="8">
        <f>SUM(BJ1184:BN1184)</f>
        <v>0</v>
      </c>
      <c r="BQ1184" s="6"/>
      <c r="BR1184" s="7"/>
      <c r="BS1184" s="7"/>
      <c r="BT1184" s="7"/>
      <c r="BU1184" s="7"/>
      <c r="BV1184" s="8">
        <f>SUM(BQ1184:BU1184)</f>
        <v>0</v>
      </c>
      <c r="BX1184" s="6"/>
      <c r="BY1184" s="7"/>
      <c r="BZ1184" s="7"/>
      <c r="CA1184" s="7"/>
      <c r="CB1184" s="7"/>
      <c r="CC1184" s="8">
        <f>SUM(BX1184:CB1184)</f>
        <v>0</v>
      </c>
      <c r="CE1184" s="28">
        <f t="shared" si="5434"/>
        <v>0</v>
      </c>
      <c r="CF1184" s="29">
        <f t="shared" si="5435"/>
        <v>0</v>
      </c>
      <c r="CG1184" s="29">
        <f t="shared" si="5436"/>
        <v>0</v>
      </c>
      <c r="CH1184" s="29">
        <f t="shared" si="5437"/>
        <v>0</v>
      </c>
      <c r="CI1184" s="29">
        <f t="shared" si="5438"/>
        <v>0</v>
      </c>
      <c r="CJ1184" s="8">
        <f>SUM(CE1184:CI1184)</f>
        <v>0</v>
      </c>
      <c r="CL1184" s="6"/>
      <c r="CM1184" s="7"/>
      <c r="CN1184" s="7"/>
      <c r="CO1184" s="7"/>
      <c r="CP1184" s="7"/>
      <c r="CQ1184" s="8">
        <f>SUM(CL1184:CP1184)</f>
        <v>0</v>
      </c>
      <c r="CS1184" s="6"/>
      <c r="CT1184" s="7"/>
      <c r="CU1184" s="7"/>
      <c r="CV1184" s="7"/>
      <c r="CW1184" s="7"/>
      <c r="CX1184" s="8">
        <f t="shared" ref="CX1184:CX1186" si="5443">SUM(CS1184:CW1184)</f>
        <v>0</v>
      </c>
      <c r="CZ1184" s="6"/>
      <c r="DA1184" s="7"/>
      <c r="DB1184" s="7"/>
      <c r="DC1184" s="7"/>
      <c r="DD1184" s="7"/>
      <c r="DE1184" s="8">
        <f t="shared" ref="DE1184:DE1186" si="5444">SUM(CZ1184:DD1184)</f>
        <v>0</v>
      </c>
    </row>
    <row r="1185" spans="2:110">
      <c r="C1185" s="567"/>
      <c r="E1185" s="5" t="s">
        <v>61</v>
      </c>
      <c r="F1185" s="23">
        <f t="shared" si="5439"/>
        <v>0</v>
      </c>
      <c r="G1185" s="24">
        <f t="shared" si="5430"/>
        <v>0</v>
      </c>
      <c r="H1185" s="24">
        <f t="shared" si="5431"/>
        <v>0</v>
      </c>
      <c r="I1185" s="24">
        <f t="shared" si="5432"/>
        <v>0</v>
      </c>
      <c r="J1185" s="24">
        <f t="shared" si="5433"/>
        <v>0</v>
      </c>
      <c r="K1185" s="8">
        <f t="shared" si="5440"/>
        <v>0</v>
      </c>
      <c r="M1185" s="6"/>
      <c r="N1185" s="7"/>
      <c r="O1185" s="7"/>
      <c r="P1185" s="7"/>
      <c r="Q1185" s="7"/>
      <c r="R1185" s="8">
        <f t="shared" si="5441"/>
        <v>0</v>
      </c>
      <c r="T1185" s="6"/>
      <c r="U1185" s="7"/>
      <c r="V1185" s="7"/>
      <c r="W1185" s="7"/>
      <c r="X1185" s="7"/>
      <c r="Y1185" s="8">
        <f t="shared" si="5442"/>
        <v>0</v>
      </c>
      <c r="AA1185" s="6"/>
      <c r="AB1185" s="7"/>
      <c r="AC1185" s="7"/>
      <c r="AD1185" s="7"/>
      <c r="AE1185" s="7"/>
      <c r="AF1185" s="8">
        <f>SUM(AA1185:AE1185)</f>
        <v>0</v>
      </c>
      <c r="AH1185" s="6"/>
      <c r="AI1185" s="7"/>
      <c r="AJ1185" s="7"/>
      <c r="AK1185" s="7"/>
      <c r="AL1185" s="7"/>
      <c r="AM1185" s="8">
        <f>SUM(AH1185:AL1185)</f>
        <v>0</v>
      </c>
      <c r="AO1185" s="6"/>
      <c r="AP1185" s="7"/>
      <c r="AQ1185" s="7"/>
      <c r="AR1185" s="7"/>
      <c r="AS1185" s="7"/>
      <c r="AT1185" s="8">
        <f>SUM(AO1185:AS1185)</f>
        <v>0</v>
      </c>
      <c r="AV1185" s="6"/>
      <c r="AW1185" s="7"/>
      <c r="AX1185" s="7"/>
      <c r="AY1185" s="7"/>
      <c r="AZ1185" s="7"/>
      <c r="BA1185" s="8">
        <f>SUM(AV1185:AZ1185)</f>
        <v>0</v>
      </c>
      <c r="BC1185" s="6"/>
      <c r="BD1185" s="7"/>
      <c r="BE1185" s="7"/>
      <c r="BF1185" s="7"/>
      <c r="BG1185" s="7"/>
      <c r="BH1185" s="8">
        <f>SUM(BC1185:BG1185)</f>
        <v>0</v>
      </c>
      <c r="BJ1185" s="6"/>
      <c r="BK1185" s="7"/>
      <c r="BL1185" s="7"/>
      <c r="BM1185" s="7"/>
      <c r="BN1185" s="7"/>
      <c r="BO1185" s="8">
        <f>SUM(BJ1185:BN1185)</f>
        <v>0</v>
      </c>
      <c r="BQ1185" s="6"/>
      <c r="BR1185" s="7"/>
      <c r="BS1185" s="7"/>
      <c r="BT1185" s="7"/>
      <c r="BU1185" s="7"/>
      <c r="BV1185" s="8">
        <f>SUM(BQ1185:BU1185)</f>
        <v>0</v>
      </c>
      <c r="BX1185" s="6"/>
      <c r="BY1185" s="7"/>
      <c r="BZ1185" s="7"/>
      <c r="CA1185" s="7"/>
      <c r="CB1185" s="7"/>
      <c r="CC1185" s="8">
        <f>SUM(BX1185:CB1185)</f>
        <v>0</v>
      </c>
      <c r="CE1185" s="28">
        <f t="shared" si="5434"/>
        <v>0</v>
      </c>
      <c r="CF1185" s="29">
        <f t="shared" si="5435"/>
        <v>0</v>
      </c>
      <c r="CG1185" s="29">
        <f t="shared" si="5436"/>
        <v>0</v>
      </c>
      <c r="CH1185" s="29">
        <f t="shared" si="5437"/>
        <v>0</v>
      </c>
      <c r="CI1185" s="29">
        <f t="shared" si="5438"/>
        <v>0</v>
      </c>
      <c r="CJ1185" s="8">
        <f>SUM(CE1185:CI1185)</f>
        <v>0</v>
      </c>
      <c r="CL1185" s="6"/>
      <c r="CM1185" s="7"/>
      <c r="CN1185" s="7"/>
      <c r="CO1185" s="7"/>
      <c r="CP1185" s="7"/>
      <c r="CQ1185" s="8">
        <f>SUM(CL1185:CP1185)</f>
        <v>0</v>
      </c>
      <c r="CS1185" s="6"/>
      <c r="CT1185" s="7"/>
      <c r="CU1185" s="7"/>
      <c r="CV1185" s="7"/>
      <c r="CW1185" s="7"/>
      <c r="CX1185" s="8">
        <f t="shared" si="5443"/>
        <v>0</v>
      </c>
      <c r="CZ1185" s="6"/>
      <c r="DA1185" s="7"/>
      <c r="DB1185" s="7"/>
      <c r="DC1185" s="7"/>
      <c r="DD1185" s="7"/>
      <c r="DE1185" s="8">
        <f t="shared" si="5444"/>
        <v>0</v>
      </c>
    </row>
    <row r="1186" spans="2:110" ht="14" thickBot="1">
      <c r="C1186" s="567"/>
      <c r="E1186" s="5" t="s">
        <v>62</v>
      </c>
      <c r="F1186" s="23">
        <f t="shared" si="5439"/>
        <v>0</v>
      </c>
      <c r="G1186" s="24">
        <f t="shared" si="5430"/>
        <v>0</v>
      </c>
      <c r="H1186" s="24">
        <f t="shared" si="5431"/>
        <v>0</v>
      </c>
      <c r="I1186" s="24">
        <f t="shared" si="5432"/>
        <v>0</v>
      </c>
      <c r="J1186" s="24">
        <f t="shared" si="5433"/>
        <v>0</v>
      </c>
      <c r="K1186" s="8">
        <f t="shared" si="5440"/>
        <v>0</v>
      </c>
      <c r="M1186" s="6"/>
      <c r="N1186" s="7"/>
      <c r="O1186" s="7"/>
      <c r="P1186" s="7"/>
      <c r="Q1186" s="7"/>
      <c r="R1186" s="8">
        <f t="shared" si="5441"/>
        <v>0</v>
      </c>
      <c r="T1186" s="6"/>
      <c r="U1186" s="7"/>
      <c r="V1186" s="7"/>
      <c r="W1186" s="7"/>
      <c r="X1186" s="7"/>
      <c r="Y1186" s="8">
        <f t="shared" si="5442"/>
        <v>0</v>
      </c>
      <c r="AA1186" s="6"/>
      <c r="AB1186" s="7"/>
      <c r="AC1186" s="7"/>
      <c r="AD1186" s="7"/>
      <c r="AE1186" s="7"/>
      <c r="AF1186" s="8">
        <f>SUM(AA1186:AE1186)</f>
        <v>0</v>
      </c>
      <c r="AH1186" s="6"/>
      <c r="AI1186" s="7"/>
      <c r="AJ1186" s="7"/>
      <c r="AK1186" s="7"/>
      <c r="AL1186" s="7"/>
      <c r="AM1186" s="8">
        <f>SUM(AH1186:AL1186)</f>
        <v>0</v>
      </c>
      <c r="AO1186" s="6"/>
      <c r="AP1186" s="7"/>
      <c r="AQ1186" s="7"/>
      <c r="AR1186" s="7"/>
      <c r="AS1186" s="7"/>
      <c r="AT1186" s="8">
        <f>SUM(AO1186:AS1186)</f>
        <v>0</v>
      </c>
      <c r="AV1186" s="6"/>
      <c r="AW1186" s="7"/>
      <c r="AX1186" s="7"/>
      <c r="AY1186" s="7"/>
      <c r="AZ1186" s="7"/>
      <c r="BA1186" s="8">
        <f>SUM(AV1186:AZ1186)</f>
        <v>0</v>
      </c>
      <c r="BC1186" s="6"/>
      <c r="BD1186" s="7"/>
      <c r="BE1186" s="7"/>
      <c r="BF1186" s="7"/>
      <c r="BG1186" s="7"/>
      <c r="BH1186" s="8">
        <f>SUM(BC1186:BG1186)</f>
        <v>0</v>
      </c>
      <c r="BJ1186" s="6"/>
      <c r="BK1186" s="7"/>
      <c r="BL1186" s="7"/>
      <c r="BM1186" s="7"/>
      <c r="BN1186" s="7"/>
      <c r="BO1186" s="8">
        <f>SUM(BJ1186:BN1186)</f>
        <v>0</v>
      </c>
      <c r="BQ1186" s="6"/>
      <c r="BR1186" s="7"/>
      <c r="BS1186" s="7"/>
      <c r="BT1186" s="7"/>
      <c r="BU1186" s="7"/>
      <c r="BV1186" s="8">
        <f>SUM(BQ1186:BU1186)</f>
        <v>0</v>
      </c>
      <c r="BX1186" s="6"/>
      <c r="BY1186" s="7"/>
      <c r="BZ1186" s="7"/>
      <c r="CA1186" s="7"/>
      <c r="CB1186" s="7"/>
      <c r="CC1186" s="8">
        <f>SUM(BX1186:CB1186)</f>
        <v>0</v>
      </c>
      <c r="CE1186" s="493">
        <f t="shared" si="5434"/>
        <v>0</v>
      </c>
      <c r="CF1186" s="494">
        <f t="shared" si="5435"/>
        <v>0</v>
      </c>
      <c r="CG1186" s="494">
        <f t="shared" si="5436"/>
        <v>0</v>
      </c>
      <c r="CH1186" s="494">
        <f t="shared" si="5437"/>
        <v>0</v>
      </c>
      <c r="CI1186" s="494">
        <f t="shared" si="5438"/>
        <v>0</v>
      </c>
      <c r="CJ1186" s="495">
        <f>SUM(CE1186:CI1186)</f>
        <v>0</v>
      </c>
      <c r="CL1186" s="6"/>
      <c r="CM1186" s="7"/>
      <c r="CN1186" s="7"/>
      <c r="CO1186" s="7"/>
      <c r="CP1186" s="7"/>
      <c r="CQ1186" s="8">
        <f>SUM(CL1186:CP1186)</f>
        <v>0</v>
      </c>
      <c r="CS1186" s="6"/>
      <c r="CT1186" s="7"/>
      <c r="CU1186" s="7"/>
      <c r="CV1186" s="7"/>
      <c r="CW1186" s="7"/>
      <c r="CX1186" s="8">
        <f t="shared" si="5443"/>
        <v>0</v>
      </c>
      <c r="CZ1186" s="6"/>
      <c r="DA1186" s="7"/>
      <c r="DB1186" s="7"/>
      <c r="DC1186" s="7"/>
      <c r="DD1186" s="7"/>
      <c r="DE1186" s="8">
        <f t="shared" si="5444"/>
        <v>0</v>
      </c>
    </row>
    <row r="1187" spans="2:110" ht="14" thickBot="1">
      <c r="C1187" s="554"/>
      <c r="E1187" s="9"/>
      <c r="F1187" s="10">
        <f>SUM(F1183:F1186)</f>
        <v>0</v>
      </c>
      <c r="G1187" s="11">
        <f t="shared" ref="G1187:J1187" si="5445">SUM(G1183:G1186)</f>
        <v>0</v>
      </c>
      <c r="H1187" s="11">
        <f t="shared" si="5445"/>
        <v>0</v>
      </c>
      <c r="I1187" s="11">
        <f t="shared" si="5445"/>
        <v>0</v>
      </c>
      <c r="J1187" s="11">
        <f t="shared" si="5445"/>
        <v>0</v>
      </c>
      <c r="K1187" s="25">
        <f>SUM(K1183:K1186)</f>
        <v>0</v>
      </c>
      <c r="M1187" s="10">
        <f>SUM(M1183:M1186)</f>
        <v>0</v>
      </c>
      <c r="N1187" s="11">
        <f t="shared" ref="N1187:Q1187" si="5446">SUM(N1183:N1186)</f>
        <v>0</v>
      </c>
      <c r="O1187" s="11">
        <f t="shared" si="5446"/>
        <v>0</v>
      </c>
      <c r="P1187" s="11">
        <f t="shared" si="5446"/>
        <v>0</v>
      </c>
      <c r="Q1187" s="11">
        <f t="shared" si="5446"/>
        <v>0</v>
      </c>
      <c r="R1187" s="25">
        <f>SUM(R1183:R1186)</f>
        <v>0</v>
      </c>
      <c r="T1187" s="10">
        <f>SUM(T1183:T1186)</f>
        <v>0</v>
      </c>
      <c r="U1187" s="11">
        <f t="shared" ref="U1187:X1187" si="5447">SUM(U1183:U1186)</f>
        <v>0</v>
      </c>
      <c r="V1187" s="11">
        <f t="shared" si="5447"/>
        <v>0</v>
      </c>
      <c r="W1187" s="11">
        <f t="shared" si="5447"/>
        <v>0</v>
      </c>
      <c r="X1187" s="11">
        <f t="shared" si="5447"/>
        <v>0</v>
      </c>
      <c r="Y1187" s="25">
        <f>SUM(Y1183:Y1186)</f>
        <v>0</v>
      </c>
      <c r="AA1187" s="10">
        <f>SUM(AA1183:AA1186)</f>
        <v>0</v>
      </c>
      <c r="AB1187" s="11">
        <f t="shared" ref="AB1187:AE1187" si="5448">SUM(AB1183:AB1186)</f>
        <v>0</v>
      </c>
      <c r="AC1187" s="11">
        <f t="shared" si="5448"/>
        <v>0</v>
      </c>
      <c r="AD1187" s="11">
        <f t="shared" si="5448"/>
        <v>0</v>
      </c>
      <c r="AE1187" s="11">
        <f t="shared" si="5448"/>
        <v>0</v>
      </c>
      <c r="AF1187" s="25">
        <f>SUM(AF1183:AF1186)</f>
        <v>0</v>
      </c>
      <c r="AH1187" s="10">
        <f t="shared" ref="AH1187:AM1187" si="5449">SUM(AH1183:AH1186)</f>
        <v>0</v>
      </c>
      <c r="AI1187" s="11">
        <f t="shared" si="5449"/>
        <v>0</v>
      </c>
      <c r="AJ1187" s="11">
        <f t="shared" si="5449"/>
        <v>0</v>
      </c>
      <c r="AK1187" s="11">
        <f t="shared" si="5449"/>
        <v>0</v>
      </c>
      <c r="AL1187" s="11">
        <f t="shared" si="5449"/>
        <v>0</v>
      </c>
      <c r="AM1187" s="25">
        <f t="shared" si="5449"/>
        <v>0</v>
      </c>
      <c r="AO1187" s="10">
        <f t="shared" ref="AO1187:AT1187" si="5450">SUM(AO1183:AO1186)</f>
        <v>0</v>
      </c>
      <c r="AP1187" s="11">
        <f t="shared" si="5450"/>
        <v>0</v>
      </c>
      <c r="AQ1187" s="11">
        <f t="shared" si="5450"/>
        <v>0</v>
      </c>
      <c r="AR1187" s="11">
        <f t="shared" si="5450"/>
        <v>0</v>
      </c>
      <c r="AS1187" s="11">
        <f t="shared" si="5450"/>
        <v>0</v>
      </c>
      <c r="AT1187" s="25">
        <f t="shared" si="5450"/>
        <v>0</v>
      </c>
      <c r="AV1187" s="10">
        <f t="shared" ref="AV1187:BA1187" si="5451">SUM(AV1183:AV1186)</f>
        <v>0</v>
      </c>
      <c r="AW1187" s="11">
        <f t="shared" si="5451"/>
        <v>0</v>
      </c>
      <c r="AX1187" s="11">
        <f t="shared" si="5451"/>
        <v>0</v>
      </c>
      <c r="AY1187" s="11">
        <f t="shared" si="5451"/>
        <v>0</v>
      </c>
      <c r="AZ1187" s="11">
        <f t="shared" si="5451"/>
        <v>0</v>
      </c>
      <c r="BA1187" s="25">
        <f t="shared" si="5451"/>
        <v>0</v>
      </c>
      <c r="BC1187" s="10">
        <f t="shared" ref="BC1187:BH1187" si="5452">SUM(BC1183:BC1186)</f>
        <v>0</v>
      </c>
      <c r="BD1187" s="11">
        <f t="shared" si="5452"/>
        <v>0</v>
      </c>
      <c r="BE1187" s="11">
        <f t="shared" si="5452"/>
        <v>0</v>
      </c>
      <c r="BF1187" s="11">
        <f t="shared" si="5452"/>
        <v>0</v>
      </c>
      <c r="BG1187" s="11">
        <f t="shared" si="5452"/>
        <v>0</v>
      </c>
      <c r="BH1187" s="25">
        <f t="shared" si="5452"/>
        <v>0</v>
      </c>
      <c r="BJ1187" s="10">
        <f t="shared" ref="BJ1187:BO1187" si="5453">SUM(BJ1183:BJ1186)</f>
        <v>0</v>
      </c>
      <c r="BK1187" s="11">
        <f t="shared" si="5453"/>
        <v>0</v>
      </c>
      <c r="BL1187" s="11">
        <f t="shared" si="5453"/>
        <v>0</v>
      </c>
      <c r="BM1187" s="11">
        <f t="shared" si="5453"/>
        <v>0</v>
      </c>
      <c r="BN1187" s="11">
        <f t="shared" si="5453"/>
        <v>0</v>
      </c>
      <c r="BO1187" s="25">
        <f t="shared" si="5453"/>
        <v>0</v>
      </c>
      <c r="BQ1187" s="10">
        <f t="shared" ref="BQ1187:BV1187" si="5454">SUM(BQ1183:BQ1186)</f>
        <v>0</v>
      </c>
      <c r="BR1187" s="11">
        <f t="shared" si="5454"/>
        <v>0</v>
      </c>
      <c r="BS1187" s="11">
        <f t="shared" si="5454"/>
        <v>0</v>
      </c>
      <c r="BT1187" s="11">
        <f t="shared" si="5454"/>
        <v>0</v>
      </c>
      <c r="BU1187" s="11">
        <f t="shared" si="5454"/>
        <v>0</v>
      </c>
      <c r="BV1187" s="25">
        <f t="shared" si="5454"/>
        <v>0</v>
      </c>
      <c r="BX1187" s="10">
        <f t="shared" ref="BX1187:CC1187" si="5455">SUM(BX1183:BX1186)</f>
        <v>0</v>
      </c>
      <c r="BY1187" s="11">
        <f t="shared" si="5455"/>
        <v>0</v>
      </c>
      <c r="BZ1187" s="11">
        <f t="shared" si="5455"/>
        <v>0</v>
      </c>
      <c r="CA1187" s="11">
        <f t="shared" si="5455"/>
        <v>0</v>
      </c>
      <c r="CB1187" s="11">
        <f t="shared" si="5455"/>
        <v>0</v>
      </c>
      <c r="CC1187" s="25">
        <f t="shared" si="5455"/>
        <v>0</v>
      </c>
      <c r="CE1187" s="62">
        <f t="shared" ref="CE1187:CJ1187" si="5456">SUM(CE1183:CE1186)</f>
        <v>0</v>
      </c>
      <c r="CF1187" s="63">
        <f t="shared" si="5456"/>
        <v>0</v>
      </c>
      <c r="CG1187" s="63">
        <f t="shared" si="5456"/>
        <v>0</v>
      </c>
      <c r="CH1187" s="63">
        <f t="shared" si="5456"/>
        <v>0</v>
      </c>
      <c r="CI1187" s="63">
        <f t="shared" si="5456"/>
        <v>0</v>
      </c>
      <c r="CJ1187" s="25">
        <f t="shared" si="5456"/>
        <v>0</v>
      </c>
      <c r="CL1187" s="10">
        <f>SUM(CL1183:CL1186)</f>
        <v>0</v>
      </c>
      <c r="CM1187" s="11">
        <f t="shared" ref="CM1187:CQ1187" si="5457">SUM(CM1183:CM1186)</f>
        <v>0</v>
      </c>
      <c r="CN1187" s="11">
        <f t="shared" si="5457"/>
        <v>0</v>
      </c>
      <c r="CO1187" s="11">
        <f t="shared" si="5457"/>
        <v>0</v>
      </c>
      <c r="CP1187" s="11">
        <f t="shared" si="5457"/>
        <v>0</v>
      </c>
      <c r="CQ1187" s="25">
        <f t="shared" si="5457"/>
        <v>0</v>
      </c>
      <c r="CS1187" s="10">
        <f>SUM(CS1183:CS1186)</f>
        <v>0</v>
      </c>
      <c r="CT1187" s="11">
        <f t="shared" ref="CT1187:CW1187" si="5458">SUM(CT1183:CT1186)</f>
        <v>0</v>
      </c>
      <c r="CU1187" s="11">
        <f t="shared" si="5458"/>
        <v>0</v>
      </c>
      <c r="CV1187" s="11">
        <f t="shared" si="5458"/>
        <v>0</v>
      </c>
      <c r="CW1187" s="11">
        <f t="shared" si="5458"/>
        <v>0</v>
      </c>
      <c r="CX1187" s="25">
        <f>SUM(CX1183:CX1186)</f>
        <v>0</v>
      </c>
      <c r="CZ1187" s="10">
        <f>SUM(CZ1183:CZ1186)</f>
        <v>0</v>
      </c>
      <c r="DA1187" s="11">
        <f t="shared" ref="DA1187:DD1187" si="5459">SUM(DA1183:DA1186)</f>
        <v>0</v>
      </c>
      <c r="DB1187" s="11">
        <f t="shared" si="5459"/>
        <v>0</v>
      </c>
      <c r="DC1187" s="11">
        <f t="shared" si="5459"/>
        <v>0</v>
      </c>
      <c r="DD1187" s="11">
        <f t="shared" si="5459"/>
        <v>0</v>
      </c>
      <c r="DE1187" s="25">
        <f>SUM(DE1183:DE1186)</f>
        <v>0</v>
      </c>
    </row>
    <row r="1189" spans="2:110">
      <c r="B1189" s="123"/>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c r="BU1189" s="20"/>
      <c r="BV1189" s="20"/>
      <c r="BW1189" s="20"/>
      <c r="BX1189" s="20"/>
      <c r="BY1189" s="20"/>
      <c r="BZ1189" s="20"/>
      <c r="CA1189" s="20"/>
      <c r="CB1189" s="20"/>
      <c r="CC1189" s="20"/>
      <c r="CD1189" s="20"/>
      <c r="CE1189" s="20"/>
      <c r="CF1189" s="20"/>
      <c r="CG1189" s="20"/>
      <c r="CH1189" s="20"/>
      <c r="CI1189" s="20"/>
      <c r="CJ1189" s="20"/>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row>
    <row r="1190" spans="2:110" ht="14" thickBot="1">
      <c r="B1190" s="94">
        <v>38</v>
      </c>
      <c r="C1190" s="12" t="s">
        <v>99</v>
      </c>
    </row>
    <row r="1191" spans="2:110">
      <c r="C1191" s="553">
        <v>2024</v>
      </c>
      <c r="E1191" s="1" t="s">
        <v>59</v>
      </c>
      <c r="F1191" s="2"/>
      <c r="G1191" s="3"/>
      <c r="H1191" s="3"/>
      <c r="I1191" s="3"/>
      <c r="J1191" s="3"/>
      <c r="K1191" s="4">
        <f>SUM(F1191:J1191)</f>
        <v>0</v>
      </c>
      <c r="M1191" s="2"/>
      <c r="N1191" s="3"/>
      <c r="O1191" s="3"/>
      <c r="P1191" s="3"/>
      <c r="Q1191" s="3"/>
      <c r="R1191" s="4">
        <f>SUM(M1191:Q1191)</f>
        <v>0</v>
      </c>
      <c r="T1191" s="2"/>
      <c r="U1191" s="3"/>
      <c r="V1191" s="3"/>
      <c r="W1191" s="3"/>
      <c r="X1191" s="3"/>
      <c r="Y1191" s="4">
        <f>SUM(T1191:X1191)</f>
        <v>0</v>
      </c>
      <c r="AA1191" s="2"/>
      <c r="AB1191" s="3"/>
      <c r="AC1191" s="3"/>
      <c r="AD1191" s="3"/>
      <c r="AE1191" s="3"/>
      <c r="AF1191" s="4">
        <f>SUM(AA1191:AE1191)</f>
        <v>0</v>
      </c>
      <c r="AH1191" s="2"/>
      <c r="AI1191" s="3"/>
      <c r="AJ1191" s="3"/>
      <c r="AK1191" s="3"/>
      <c r="AL1191" s="3"/>
      <c r="AM1191" s="4">
        <f>SUM(AH1191:AL1191)</f>
        <v>0</v>
      </c>
      <c r="AO1191" s="2"/>
      <c r="AP1191" s="3"/>
      <c r="AQ1191" s="3"/>
      <c r="AR1191" s="3"/>
      <c r="AS1191" s="3"/>
      <c r="AT1191" s="4">
        <f>SUM(AO1191:AS1191)</f>
        <v>0</v>
      </c>
      <c r="AV1191" s="2"/>
      <c r="AW1191" s="3"/>
      <c r="AX1191" s="3"/>
      <c r="AY1191" s="3"/>
      <c r="AZ1191" s="3"/>
      <c r="BA1191" s="4">
        <f>SUM(AV1191:AZ1191)</f>
        <v>0</v>
      </c>
      <c r="BC1191" s="2"/>
      <c r="BD1191" s="3"/>
      <c r="BE1191" s="3"/>
      <c r="BF1191" s="3"/>
      <c r="BG1191" s="3"/>
      <c r="BH1191" s="4">
        <f>SUM(BC1191:BG1191)</f>
        <v>0</v>
      </c>
      <c r="BJ1191" s="2"/>
      <c r="BK1191" s="3"/>
      <c r="BL1191" s="3"/>
      <c r="BM1191" s="3"/>
      <c r="BN1191" s="3"/>
      <c r="BO1191" s="4">
        <f>SUM(BJ1191:BN1191)</f>
        <v>0</v>
      </c>
      <c r="BQ1191" s="2"/>
      <c r="BR1191" s="3"/>
      <c r="BS1191" s="3"/>
      <c r="BT1191" s="3"/>
      <c r="BU1191" s="3"/>
      <c r="BV1191" s="4">
        <f>SUM(BQ1191:BU1191)</f>
        <v>0</v>
      </c>
      <c r="BX1191" s="2"/>
      <c r="BY1191" s="3"/>
      <c r="BZ1191" s="3"/>
      <c r="CA1191" s="3"/>
      <c r="CB1191" s="3"/>
      <c r="CC1191" s="4">
        <f>SUM(BX1191:CB1191)</f>
        <v>0</v>
      </c>
      <c r="CE1191" s="26">
        <f t="shared" ref="CE1191:CE1194" si="5460">F1191+M1191+T1191+AA1191+AH1191+AO1191+AV1191+BC1191+BJ1191+BQ1191+BX1191</f>
        <v>0</v>
      </c>
      <c r="CF1191" s="27">
        <f t="shared" ref="CF1191:CF1194" si="5461">G1191+N1191+U1191+AB1191+AI1191+AP1191+AW1191+BD1191+BK1191+BR1191+BY1191</f>
        <v>0</v>
      </c>
      <c r="CG1191" s="27">
        <f t="shared" ref="CG1191:CG1194" si="5462">H1191+O1191+V1191+AC1191+AJ1191+AQ1191+AX1191+BE1191+BL1191+BS1191+BZ1191</f>
        <v>0</v>
      </c>
      <c r="CH1191" s="27">
        <f t="shared" ref="CH1191:CH1194" si="5463">I1191+P1191+W1191+AD1191+AK1191+AR1191+AY1191+BF1191+BM1191+BT1191+CA1191</f>
        <v>0</v>
      </c>
      <c r="CI1191" s="27">
        <f t="shared" ref="CI1191:CI1194" si="5464">J1191+Q1191+X1191+AE1191+AL1191+AS1191+AZ1191+BG1191+BN1191+BU1191+CB1191</f>
        <v>0</v>
      </c>
      <c r="CJ1191" s="4">
        <f>SUM(CE1191:CI1191)</f>
        <v>0</v>
      </c>
      <c r="CL1191" s="2"/>
      <c r="CM1191" s="3"/>
      <c r="CN1191" s="3"/>
      <c r="CO1191" s="3"/>
      <c r="CP1191" s="3"/>
      <c r="CQ1191" s="4">
        <f>SUM(CL1191:CP1191)</f>
        <v>0</v>
      </c>
      <c r="CS1191" s="2"/>
      <c r="CT1191" s="3"/>
      <c r="CU1191" s="3"/>
      <c r="CV1191" s="3"/>
      <c r="CW1191" s="3"/>
      <c r="CX1191" s="4">
        <f>SUM(CS1191:CW1191)</f>
        <v>0</v>
      </c>
      <c r="CZ1191" s="2"/>
      <c r="DA1191" s="3"/>
      <c r="DB1191" s="3"/>
      <c r="DC1191" s="3"/>
      <c r="DD1191" s="3"/>
      <c r="DE1191" s="4">
        <f>SUM(CZ1191:DD1191)</f>
        <v>0</v>
      </c>
    </row>
    <row r="1192" spans="2:110">
      <c r="C1192" s="567"/>
      <c r="E1192" s="5" t="s">
        <v>60</v>
      </c>
      <c r="F1192" s="6"/>
      <c r="G1192" s="7"/>
      <c r="H1192" s="7"/>
      <c r="I1192" s="7"/>
      <c r="J1192" s="7"/>
      <c r="K1192" s="8">
        <f t="shared" ref="K1192:K1194" si="5465">SUM(F1192:J1192)</f>
        <v>0</v>
      </c>
      <c r="M1192" s="6"/>
      <c r="N1192" s="7"/>
      <c r="O1192" s="7"/>
      <c r="P1192" s="7"/>
      <c r="Q1192" s="7"/>
      <c r="R1192" s="8">
        <f t="shared" ref="R1192:R1194" si="5466">SUM(M1192:Q1192)</f>
        <v>0</v>
      </c>
      <c r="T1192" s="6"/>
      <c r="U1192" s="7"/>
      <c r="V1192" s="7"/>
      <c r="W1192" s="7"/>
      <c r="X1192" s="7"/>
      <c r="Y1192" s="8">
        <f t="shared" ref="Y1192:Y1194" si="5467">SUM(T1192:X1192)</f>
        <v>0</v>
      </c>
      <c r="AA1192" s="6"/>
      <c r="AB1192" s="7"/>
      <c r="AC1192" s="7"/>
      <c r="AD1192" s="7"/>
      <c r="AE1192" s="7"/>
      <c r="AF1192" s="8">
        <f>SUM(AA1192:AE1192)</f>
        <v>0</v>
      </c>
      <c r="AH1192" s="6"/>
      <c r="AI1192" s="7"/>
      <c r="AJ1192" s="7"/>
      <c r="AK1192" s="7"/>
      <c r="AL1192" s="7"/>
      <c r="AM1192" s="8">
        <f>SUM(AH1192:AL1192)</f>
        <v>0</v>
      </c>
      <c r="AO1192" s="6"/>
      <c r="AP1192" s="7"/>
      <c r="AQ1192" s="7"/>
      <c r="AR1192" s="7"/>
      <c r="AS1192" s="7"/>
      <c r="AT1192" s="8">
        <f>SUM(AO1192:AS1192)</f>
        <v>0</v>
      </c>
      <c r="AV1192" s="6"/>
      <c r="AW1192" s="7"/>
      <c r="AX1192" s="7"/>
      <c r="AY1192" s="7"/>
      <c r="AZ1192" s="7"/>
      <c r="BA1192" s="8">
        <f>SUM(AV1192:AZ1192)</f>
        <v>0</v>
      </c>
      <c r="BC1192" s="6"/>
      <c r="BD1192" s="7"/>
      <c r="BE1192" s="7"/>
      <c r="BF1192" s="7"/>
      <c r="BG1192" s="7"/>
      <c r="BH1192" s="8">
        <f>SUM(BC1192:BG1192)</f>
        <v>0</v>
      </c>
      <c r="BJ1192" s="6"/>
      <c r="BK1192" s="7"/>
      <c r="BL1192" s="7"/>
      <c r="BM1192" s="7"/>
      <c r="BN1192" s="7"/>
      <c r="BO1192" s="8">
        <f>SUM(BJ1192:BN1192)</f>
        <v>0</v>
      </c>
      <c r="BQ1192" s="6"/>
      <c r="BR1192" s="7"/>
      <c r="BS1192" s="7"/>
      <c r="BT1192" s="7"/>
      <c r="BU1192" s="7"/>
      <c r="BV1192" s="8">
        <f>SUM(BQ1192:BU1192)</f>
        <v>0</v>
      </c>
      <c r="BX1192" s="6"/>
      <c r="BY1192" s="7"/>
      <c r="BZ1192" s="7"/>
      <c r="CA1192" s="7"/>
      <c r="CB1192" s="7"/>
      <c r="CC1192" s="8">
        <f>SUM(BX1192:CB1192)</f>
        <v>0</v>
      </c>
      <c r="CE1192" s="28">
        <f t="shared" si="5460"/>
        <v>0</v>
      </c>
      <c r="CF1192" s="29">
        <f t="shared" si="5461"/>
        <v>0</v>
      </c>
      <c r="CG1192" s="29">
        <f t="shared" si="5462"/>
        <v>0</v>
      </c>
      <c r="CH1192" s="29">
        <f t="shared" si="5463"/>
        <v>0</v>
      </c>
      <c r="CI1192" s="29">
        <f t="shared" si="5464"/>
        <v>0</v>
      </c>
      <c r="CJ1192" s="8">
        <f>SUM(CE1192:CI1192)</f>
        <v>0</v>
      </c>
      <c r="CL1192" s="6"/>
      <c r="CM1192" s="7"/>
      <c r="CN1192" s="7"/>
      <c r="CO1192" s="7"/>
      <c r="CP1192" s="7"/>
      <c r="CQ1192" s="8">
        <f>SUM(CL1192:CP1192)</f>
        <v>0</v>
      </c>
      <c r="CS1192" s="6"/>
      <c r="CT1192" s="7"/>
      <c r="CU1192" s="7"/>
      <c r="CV1192" s="7"/>
      <c r="CW1192" s="7"/>
      <c r="CX1192" s="8">
        <f t="shared" ref="CX1192:CX1194" si="5468">SUM(CS1192:CW1192)</f>
        <v>0</v>
      </c>
      <c r="CZ1192" s="6"/>
      <c r="DA1192" s="7"/>
      <c r="DB1192" s="7"/>
      <c r="DC1192" s="7"/>
      <c r="DD1192" s="7"/>
      <c r="DE1192" s="8">
        <f t="shared" ref="DE1192:DE1194" si="5469">SUM(CZ1192:DD1192)</f>
        <v>0</v>
      </c>
    </row>
    <row r="1193" spans="2:110">
      <c r="C1193" s="567"/>
      <c r="E1193" s="5" t="s">
        <v>61</v>
      </c>
      <c r="F1193" s="6"/>
      <c r="G1193" s="7"/>
      <c r="H1193" s="7"/>
      <c r="I1193" s="7"/>
      <c r="J1193" s="7"/>
      <c r="K1193" s="8">
        <f t="shared" si="5465"/>
        <v>0</v>
      </c>
      <c r="M1193" s="6"/>
      <c r="N1193" s="7"/>
      <c r="O1193" s="7"/>
      <c r="P1193" s="7"/>
      <c r="Q1193" s="7"/>
      <c r="R1193" s="8">
        <f t="shared" si="5466"/>
        <v>0</v>
      </c>
      <c r="T1193" s="6"/>
      <c r="U1193" s="7"/>
      <c r="V1193" s="7"/>
      <c r="W1193" s="7"/>
      <c r="X1193" s="7"/>
      <c r="Y1193" s="8">
        <f t="shared" si="5467"/>
        <v>0</v>
      </c>
      <c r="AA1193" s="6"/>
      <c r="AB1193" s="7"/>
      <c r="AC1193" s="7"/>
      <c r="AD1193" s="7"/>
      <c r="AE1193" s="7"/>
      <c r="AF1193" s="8">
        <f>SUM(AA1193:AE1193)</f>
        <v>0</v>
      </c>
      <c r="AH1193" s="6"/>
      <c r="AI1193" s="7"/>
      <c r="AJ1193" s="7"/>
      <c r="AK1193" s="7"/>
      <c r="AL1193" s="7"/>
      <c r="AM1193" s="8">
        <f>SUM(AH1193:AL1193)</f>
        <v>0</v>
      </c>
      <c r="AO1193" s="6"/>
      <c r="AP1193" s="7"/>
      <c r="AQ1193" s="7"/>
      <c r="AR1193" s="7"/>
      <c r="AS1193" s="7"/>
      <c r="AT1193" s="8">
        <f>SUM(AO1193:AS1193)</f>
        <v>0</v>
      </c>
      <c r="AV1193" s="6"/>
      <c r="AW1193" s="7"/>
      <c r="AX1193" s="7"/>
      <c r="AY1193" s="7"/>
      <c r="AZ1193" s="7"/>
      <c r="BA1193" s="8">
        <f>SUM(AV1193:AZ1193)</f>
        <v>0</v>
      </c>
      <c r="BC1193" s="6"/>
      <c r="BD1193" s="7"/>
      <c r="BE1193" s="7"/>
      <c r="BF1193" s="7"/>
      <c r="BG1193" s="7"/>
      <c r="BH1193" s="8">
        <f>SUM(BC1193:BG1193)</f>
        <v>0</v>
      </c>
      <c r="BJ1193" s="6"/>
      <c r="BK1193" s="7"/>
      <c r="BL1193" s="7"/>
      <c r="BM1193" s="7"/>
      <c r="BN1193" s="7"/>
      <c r="BO1193" s="8">
        <f>SUM(BJ1193:BN1193)</f>
        <v>0</v>
      </c>
      <c r="BQ1193" s="6"/>
      <c r="BR1193" s="7"/>
      <c r="BS1193" s="7"/>
      <c r="BT1193" s="7"/>
      <c r="BU1193" s="7"/>
      <c r="BV1193" s="8">
        <f>SUM(BQ1193:BU1193)</f>
        <v>0</v>
      </c>
      <c r="BX1193" s="6"/>
      <c r="BY1193" s="7"/>
      <c r="BZ1193" s="7"/>
      <c r="CA1193" s="7"/>
      <c r="CB1193" s="7"/>
      <c r="CC1193" s="8">
        <f>SUM(BX1193:CB1193)</f>
        <v>0</v>
      </c>
      <c r="CE1193" s="28">
        <f t="shared" si="5460"/>
        <v>0</v>
      </c>
      <c r="CF1193" s="29">
        <f t="shared" si="5461"/>
        <v>0</v>
      </c>
      <c r="CG1193" s="29">
        <f t="shared" si="5462"/>
        <v>0</v>
      </c>
      <c r="CH1193" s="29">
        <f t="shared" si="5463"/>
        <v>0</v>
      </c>
      <c r="CI1193" s="29">
        <f t="shared" si="5464"/>
        <v>0</v>
      </c>
      <c r="CJ1193" s="8">
        <f>SUM(CE1193:CI1193)</f>
        <v>0</v>
      </c>
      <c r="CL1193" s="6"/>
      <c r="CM1193" s="7"/>
      <c r="CN1193" s="7"/>
      <c r="CO1193" s="7"/>
      <c r="CP1193" s="7"/>
      <c r="CQ1193" s="8">
        <f>SUM(CL1193:CP1193)</f>
        <v>0</v>
      </c>
      <c r="CS1193" s="6"/>
      <c r="CT1193" s="7"/>
      <c r="CU1193" s="7"/>
      <c r="CV1193" s="7"/>
      <c r="CW1193" s="7"/>
      <c r="CX1193" s="8">
        <f t="shared" si="5468"/>
        <v>0</v>
      </c>
      <c r="CZ1193" s="6"/>
      <c r="DA1193" s="7"/>
      <c r="DB1193" s="7"/>
      <c r="DC1193" s="7"/>
      <c r="DD1193" s="7"/>
      <c r="DE1193" s="8">
        <f t="shared" si="5469"/>
        <v>0</v>
      </c>
    </row>
    <row r="1194" spans="2:110" ht="14" thickBot="1">
      <c r="C1194" s="567"/>
      <c r="E1194" s="5" t="s">
        <v>62</v>
      </c>
      <c r="F1194" s="6"/>
      <c r="G1194" s="7"/>
      <c r="H1194" s="7"/>
      <c r="I1194" s="7"/>
      <c r="J1194" s="7"/>
      <c r="K1194" s="8">
        <f t="shared" si="5465"/>
        <v>0</v>
      </c>
      <c r="M1194" s="6"/>
      <c r="N1194" s="7"/>
      <c r="O1194" s="7"/>
      <c r="P1194" s="7"/>
      <c r="Q1194" s="7"/>
      <c r="R1194" s="8">
        <f t="shared" si="5466"/>
        <v>0</v>
      </c>
      <c r="T1194" s="6"/>
      <c r="U1194" s="7"/>
      <c r="V1194" s="7"/>
      <c r="W1194" s="7"/>
      <c r="X1194" s="7"/>
      <c r="Y1194" s="8">
        <f t="shared" si="5467"/>
        <v>0</v>
      </c>
      <c r="AA1194" s="6"/>
      <c r="AB1194" s="7"/>
      <c r="AC1194" s="7"/>
      <c r="AD1194" s="7"/>
      <c r="AE1194" s="7"/>
      <c r="AF1194" s="8">
        <f>SUM(AA1194:AE1194)</f>
        <v>0</v>
      </c>
      <c r="AH1194" s="6"/>
      <c r="AI1194" s="7"/>
      <c r="AJ1194" s="7"/>
      <c r="AK1194" s="7"/>
      <c r="AL1194" s="7"/>
      <c r="AM1194" s="8">
        <f>SUM(AH1194:AL1194)</f>
        <v>0</v>
      </c>
      <c r="AO1194" s="6"/>
      <c r="AP1194" s="7"/>
      <c r="AQ1194" s="7"/>
      <c r="AR1194" s="7"/>
      <c r="AS1194" s="7"/>
      <c r="AT1194" s="8">
        <f>SUM(AO1194:AS1194)</f>
        <v>0</v>
      </c>
      <c r="AV1194" s="6"/>
      <c r="AW1194" s="7"/>
      <c r="AX1194" s="7"/>
      <c r="AY1194" s="7"/>
      <c r="AZ1194" s="7"/>
      <c r="BA1194" s="8">
        <f>SUM(AV1194:AZ1194)</f>
        <v>0</v>
      </c>
      <c r="BC1194" s="6"/>
      <c r="BD1194" s="7"/>
      <c r="BE1194" s="7"/>
      <c r="BF1194" s="7"/>
      <c r="BG1194" s="7"/>
      <c r="BH1194" s="8">
        <f>SUM(BC1194:BG1194)</f>
        <v>0</v>
      </c>
      <c r="BJ1194" s="6"/>
      <c r="BK1194" s="7"/>
      <c r="BL1194" s="7"/>
      <c r="BM1194" s="7"/>
      <c r="BN1194" s="7"/>
      <c r="BO1194" s="8">
        <f>SUM(BJ1194:BN1194)</f>
        <v>0</v>
      </c>
      <c r="BQ1194" s="6"/>
      <c r="BR1194" s="7"/>
      <c r="BS1194" s="7"/>
      <c r="BT1194" s="7"/>
      <c r="BU1194" s="7"/>
      <c r="BV1194" s="8">
        <f>SUM(BQ1194:BU1194)</f>
        <v>0</v>
      </c>
      <c r="BX1194" s="6"/>
      <c r="BY1194" s="7"/>
      <c r="BZ1194" s="7"/>
      <c r="CA1194" s="7"/>
      <c r="CB1194" s="7"/>
      <c r="CC1194" s="8">
        <f>SUM(BX1194:CB1194)</f>
        <v>0</v>
      </c>
      <c r="CE1194" s="493">
        <f t="shared" si="5460"/>
        <v>0</v>
      </c>
      <c r="CF1194" s="494">
        <f t="shared" si="5461"/>
        <v>0</v>
      </c>
      <c r="CG1194" s="494">
        <f t="shared" si="5462"/>
        <v>0</v>
      </c>
      <c r="CH1194" s="494">
        <f t="shared" si="5463"/>
        <v>0</v>
      </c>
      <c r="CI1194" s="494">
        <f t="shared" si="5464"/>
        <v>0</v>
      </c>
      <c r="CJ1194" s="495">
        <f>SUM(CE1194:CI1194)</f>
        <v>0</v>
      </c>
      <c r="CL1194" s="6"/>
      <c r="CM1194" s="7"/>
      <c r="CN1194" s="7"/>
      <c r="CO1194" s="7"/>
      <c r="CP1194" s="7"/>
      <c r="CQ1194" s="8">
        <f>SUM(CL1194:CP1194)</f>
        <v>0</v>
      </c>
      <c r="CS1194" s="6"/>
      <c r="CT1194" s="7"/>
      <c r="CU1194" s="7"/>
      <c r="CV1194" s="7"/>
      <c r="CW1194" s="7"/>
      <c r="CX1194" s="8">
        <f t="shared" si="5468"/>
        <v>0</v>
      </c>
      <c r="CZ1194" s="6"/>
      <c r="DA1194" s="7"/>
      <c r="DB1194" s="7"/>
      <c r="DC1194" s="7"/>
      <c r="DD1194" s="7"/>
      <c r="DE1194" s="8">
        <f t="shared" si="5469"/>
        <v>0</v>
      </c>
    </row>
    <row r="1195" spans="2:110" ht="14" thickBot="1">
      <c r="C1195" s="554"/>
      <c r="E1195" s="9"/>
      <c r="F1195" s="10">
        <f>SUM(F1191:F1194)</f>
        <v>0</v>
      </c>
      <c r="G1195" s="11">
        <f t="shared" ref="G1195:J1195" si="5470">SUM(G1191:G1194)</f>
        <v>0</v>
      </c>
      <c r="H1195" s="11">
        <f t="shared" si="5470"/>
        <v>0</v>
      </c>
      <c r="I1195" s="11">
        <f t="shared" si="5470"/>
        <v>0</v>
      </c>
      <c r="J1195" s="61">
        <f t="shared" si="5470"/>
        <v>0</v>
      </c>
      <c r="K1195" s="25">
        <f>SUM(K1191:K1194)</f>
        <v>0</v>
      </c>
      <c r="M1195" s="10">
        <f>SUM(M1191:M1194)</f>
        <v>0</v>
      </c>
      <c r="N1195" s="11">
        <f t="shared" ref="N1195:Q1195" si="5471">SUM(N1191:N1194)</f>
        <v>0</v>
      </c>
      <c r="O1195" s="11">
        <f t="shared" si="5471"/>
        <v>0</v>
      </c>
      <c r="P1195" s="11">
        <f t="shared" si="5471"/>
        <v>0</v>
      </c>
      <c r="Q1195" s="11">
        <f t="shared" si="5471"/>
        <v>0</v>
      </c>
      <c r="R1195" s="25">
        <f>SUM(R1191:R1194)</f>
        <v>0</v>
      </c>
      <c r="T1195" s="10">
        <f>SUM(T1191:T1194)</f>
        <v>0</v>
      </c>
      <c r="U1195" s="11">
        <f t="shared" ref="U1195:X1195" si="5472">SUM(U1191:U1194)</f>
        <v>0</v>
      </c>
      <c r="V1195" s="11">
        <f t="shared" si="5472"/>
        <v>0</v>
      </c>
      <c r="W1195" s="11">
        <f t="shared" si="5472"/>
        <v>0</v>
      </c>
      <c r="X1195" s="11">
        <f t="shared" si="5472"/>
        <v>0</v>
      </c>
      <c r="Y1195" s="25">
        <f>SUM(Y1191:Y1194)</f>
        <v>0</v>
      </c>
      <c r="AA1195" s="10">
        <f>SUM(AA1191:AA1194)</f>
        <v>0</v>
      </c>
      <c r="AB1195" s="11">
        <f t="shared" ref="AB1195:AE1195" si="5473">SUM(AB1191:AB1194)</f>
        <v>0</v>
      </c>
      <c r="AC1195" s="11">
        <f t="shared" si="5473"/>
        <v>0</v>
      </c>
      <c r="AD1195" s="11">
        <f t="shared" si="5473"/>
        <v>0</v>
      </c>
      <c r="AE1195" s="11">
        <f t="shared" si="5473"/>
        <v>0</v>
      </c>
      <c r="AF1195" s="25">
        <f>SUM(AF1191:AF1194)</f>
        <v>0</v>
      </c>
      <c r="AH1195" s="10">
        <f t="shared" ref="AH1195:AM1195" si="5474">SUM(AH1191:AH1194)</f>
        <v>0</v>
      </c>
      <c r="AI1195" s="11">
        <f t="shared" si="5474"/>
        <v>0</v>
      </c>
      <c r="AJ1195" s="11">
        <f t="shared" si="5474"/>
        <v>0</v>
      </c>
      <c r="AK1195" s="11">
        <f t="shared" si="5474"/>
        <v>0</v>
      </c>
      <c r="AL1195" s="11">
        <f t="shared" si="5474"/>
        <v>0</v>
      </c>
      <c r="AM1195" s="25">
        <f t="shared" si="5474"/>
        <v>0</v>
      </c>
      <c r="AO1195" s="10">
        <f t="shared" ref="AO1195:AT1195" si="5475">SUM(AO1191:AO1194)</f>
        <v>0</v>
      </c>
      <c r="AP1195" s="11">
        <f t="shared" si="5475"/>
        <v>0</v>
      </c>
      <c r="AQ1195" s="11">
        <f t="shared" si="5475"/>
        <v>0</v>
      </c>
      <c r="AR1195" s="11">
        <f t="shared" si="5475"/>
        <v>0</v>
      </c>
      <c r="AS1195" s="11">
        <f t="shared" si="5475"/>
        <v>0</v>
      </c>
      <c r="AT1195" s="25">
        <f t="shared" si="5475"/>
        <v>0</v>
      </c>
      <c r="AV1195" s="10">
        <f t="shared" ref="AV1195:BA1195" si="5476">SUM(AV1191:AV1194)</f>
        <v>0</v>
      </c>
      <c r="AW1195" s="11">
        <f t="shared" si="5476"/>
        <v>0</v>
      </c>
      <c r="AX1195" s="11">
        <f t="shared" si="5476"/>
        <v>0</v>
      </c>
      <c r="AY1195" s="11">
        <f t="shared" si="5476"/>
        <v>0</v>
      </c>
      <c r="AZ1195" s="11">
        <f t="shared" si="5476"/>
        <v>0</v>
      </c>
      <c r="BA1195" s="25">
        <f t="shared" si="5476"/>
        <v>0</v>
      </c>
      <c r="BC1195" s="10">
        <f t="shared" ref="BC1195:BH1195" si="5477">SUM(BC1191:BC1194)</f>
        <v>0</v>
      </c>
      <c r="BD1195" s="11">
        <f t="shared" si="5477"/>
        <v>0</v>
      </c>
      <c r="BE1195" s="11">
        <f t="shared" si="5477"/>
        <v>0</v>
      </c>
      <c r="BF1195" s="11">
        <f t="shared" si="5477"/>
        <v>0</v>
      </c>
      <c r="BG1195" s="11">
        <f t="shared" si="5477"/>
        <v>0</v>
      </c>
      <c r="BH1195" s="25">
        <f t="shared" si="5477"/>
        <v>0</v>
      </c>
      <c r="BJ1195" s="10">
        <f t="shared" ref="BJ1195:BO1195" si="5478">SUM(BJ1191:BJ1194)</f>
        <v>0</v>
      </c>
      <c r="BK1195" s="11">
        <f t="shared" si="5478"/>
        <v>0</v>
      </c>
      <c r="BL1195" s="11">
        <f t="shared" si="5478"/>
        <v>0</v>
      </c>
      <c r="BM1195" s="11">
        <f t="shared" si="5478"/>
        <v>0</v>
      </c>
      <c r="BN1195" s="11">
        <f t="shared" si="5478"/>
        <v>0</v>
      </c>
      <c r="BO1195" s="25">
        <f t="shared" si="5478"/>
        <v>0</v>
      </c>
      <c r="BQ1195" s="10">
        <f t="shared" ref="BQ1195:BV1195" si="5479">SUM(BQ1191:BQ1194)</f>
        <v>0</v>
      </c>
      <c r="BR1195" s="11">
        <f t="shared" si="5479"/>
        <v>0</v>
      </c>
      <c r="BS1195" s="11">
        <f t="shared" si="5479"/>
        <v>0</v>
      </c>
      <c r="BT1195" s="11">
        <f t="shared" si="5479"/>
        <v>0</v>
      </c>
      <c r="BU1195" s="11">
        <f t="shared" si="5479"/>
        <v>0</v>
      </c>
      <c r="BV1195" s="25">
        <f t="shared" si="5479"/>
        <v>0</v>
      </c>
      <c r="BX1195" s="10">
        <f t="shared" ref="BX1195:CC1195" si="5480">SUM(BX1191:BX1194)</f>
        <v>0</v>
      </c>
      <c r="BY1195" s="11">
        <f t="shared" si="5480"/>
        <v>0</v>
      </c>
      <c r="BZ1195" s="11">
        <f t="shared" si="5480"/>
        <v>0</v>
      </c>
      <c r="CA1195" s="11">
        <f t="shared" si="5480"/>
        <v>0</v>
      </c>
      <c r="CB1195" s="11">
        <f t="shared" si="5480"/>
        <v>0</v>
      </c>
      <c r="CC1195" s="25">
        <f t="shared" si="5480"/>
        <v>0</v>
      </c>
      <c r="CE1195" s="62">
        <f t="shared" ref="CE1195:CJ1195" si="5481">SUM(CE1191:CE1194)</f>
        <v>0</v>
      </c>
      <c r="CF1195" s="63">
        <f t="shared" si="5481"/>
        <v>0</v>
      </c>
      <c r="CG1195" s="63">
        <f t="shared" si="5481"/>
        <v>0</v>
      </c>
      <c r="CH1195" s="63">
        <f t="shared" si="5481"/>
        <v>0</v>
      </c>
      <c r="CI1195" s="63">
        <f t="shared" si="5481"/>
        <v>0</v>
      </c>
      <c r="CJ1195" s="25">
        <f t="shared" si="5481"/>
        <v>0</v>
      </c>
      <c r="CL1195" s="10">
        <f>SUM(CL1191:CL1194)</f>
        <v>0</v>
      </c>
      <c r="CM1195" s="11">
        <f t="shared" ref="CM1195:CQ1195" si="5482">SUM(CM1191:CM1194)</f>
        <v>0</v>
      </c>
      <c r="CN1195" s="11">
        <f t="shared" si="5482"/>
        <v>0</v>
      </c>
      <c r="CO1195" s="11">
        <f t="shared" si="5482"/>
        <v>0</v>
      </c>
      <c r="CP1195" s="11">
        <f t="shared" si="5482"/>
        <v>0</v>
      </c>
      <c r="CQ1195" s="25">
        <f t="shared" si="5482"/>
        <v>0</v>
      </c>
      <c r="CS1195" s="10">
        <f>SUM(CS1191:CS1194)</f>
        <v>0</v>
      </c>
      <c r="CT1195" s="11">
        <f t="shared" ref="CT1195:CW1195" si="5483">SUM(CT1191:CT1194)</f>
        <v>0</v>
      </c>
      <c r="CU1195" s="11">
        <f t="shared" si="5483"/>
        <v>0</v>
      </c>
      <c r="CV1195" s="11">
        <f t="shared" si="5483"/>
        <v>0</v>
      </c>
      <c r="CW1195" s="11">
        <f t="shared" si="5483"/>
        <v>0</v>
      </c>
      <c r="CX1195" s="25">
        <f>SUM(CX1191:CX1194)</f>
        <v>0</v>
      </c>
      <c r="CZ1195" s="10">
        <f>SUM(CZ1191:CZ1194)</f>
        <v>0</v>
      </c>
      <c r="DA1195" s="11">
        <f t="shared" ref="DA1195:DD1195" si="5484">SUM(DA1191:DA1194)</f>
        <v>0</v>
      </c>
      <c r="DB1195" s="11">
        <f t="shared" si="5484"/>
        <v>0</v>
      </c>
      <c r="DC1195" s="11">
        <f t="shared" si="5484"/>
        <v>0</v>
      </c>
      <c r="DD1195" s="11">
        <f t="shared" si="5484"/>
        <v>0</v>
      </c>
      <c r="DE1195" s="25">
        <f>SUM(DE1191:DE1194)</f>
        <v>0</v>
      </c>
    </row>
    <row r="1196" spans="2:110" ht="10.4" customHeight="1" thickBot="1"/>
    <row r="1197" spans="2:110">
      <c r="C1197" s="553">
        <v>2025</v>
      </c>
      <c r="E1197" s="13" t="s">
        <v>59</v>
      </c>
      <c r="F1197" s="21">
        <f>CE1191</f>
        <v>0</v>
      </c>
      <c r="G1197" s="22">
        <f t="shared" ref="G1197:G1200" si="5485">CF1191</f>
        <v>0</v>
      </c>
      <c r="H1197" s="22">
        <f t="shared" ref="H1197:H1200" si="5486">CG1191</f>
        <v>0</v>
      </c>
      <c r="I1197" s="22">
        <f t="shared" ref="I1197:I1200" si="5487">CH1191</f>
        <v>0</v>
      </c>
      <c r="J1197" s="22">
        <f t="shared" ref="J1197:J1200" si="5488">CI1191</f>
        <v>0</v>
      </c>
      <c r="K1197" s="15">
        <f>SUM(F1197:J1197)</f>
        <v>0</v>
      </c>
      <c r="M1197" s="2"/>
      <c r="N1197" s="3"/>
      <c r="O1197" s="3"/>
      <c r="P1197" s="3"/>
      <c r="Q1197" s="3"/>
      <c r="R1197" s="15">
        <f>SUM(M1197:Q1197)</f>
        <v>0</v>
      </c>
      <c r="T1197" s="2"/>
      <c r="U1197" s="3"/>
      <c r="V1197" s="3"/>
      <c r="W1197" s="3"/>
      <c r="X1197" s="3"/>
      <c r="Y1197" s="15">
        <f>SUM(T1197:X1197)</f>
        <v>0</v>
      </c>
      <c r="AA1197" s="2"/>
      <c r="AB1197" s="3"/>
      <c r="AC1197" s="3"/>
      <c r="AD1197" s="3"/>
      <c r="AE1197" s="3"/>
      <c r="AF1197" s="15">
        <f>SUM(AA1197:AE1197)</f>
        <v>0</v>
      </c>
      <c r="AH1197" s="2"/>
      <c r="AI1197" s="3"/>
      <c r="AJ1197" s="3"/>
      <c r="AK1197" s="3"/>
      <c r="AL1197" s="3"/>
      <c r="AM1197" s="15">
        <f>SUM(AH1197:AL1197)</f>
        <v>0</v>
      </c>
      <c r="AO1197" s="2"/>
      <c r="AP1197" s="3"/>
      <c r="AQ1197" s="3"/>
      <c r="AR1197" s="3"/>
      <c r="AS1197" s="3"/>
      <c r="AT1197" s="15">
        <f>SUM(AO1197:AS1197)</f>
        <v>0</v>
      </c>
      <c r="AV1197" s="2"/>
      <c r="AW1197" s="3"/>
      <c r="AX1197" s="3"/>
      <c r="AY1197" s="3"/>
      <c r="AZ1197" s="3"/>
      <c r="BA1197" s="15">
        <f>SUM(AV1197:AZ1197)</f>
        <v>0</v>
      </c>
      <c r="BC1197" s="2"/>
      <c r="BD1197" s="3"/>
      <c r="BE1197" s="3"/>
      <c r="BF1197" s="3"/>
      <c r="BG1197" s="3"/>
      <c r="BH1197" s="15">
        <f>SUM(BC1197:BG1197)</f>
        <v>0</v>
      </c>
      <c r="BJ1197" s="2"/>
      <c r="BK1197" s="3"/>
      <c r="BL1197" s="3"/>
      <c r="BM1197" s="3"/>
      <c r="BN1197" s="3"/>
      <c r="BO1197" s="15">
        <f>SUM(BJ1197:BN1197)</f>
        <v>0</v>
      </c>
      <c r="BQ1197" s="2"/>
      <c r="BR1197" s="3"/>
      <c r="BS1197" s="3"/>
      <c r="BT1197" s="3"/>
      <c r="BU1197" s="3"/>
      <c r="BV1197" s="15">
        <f>SUM(BQ1197:BU1197)</f>
        <v>0</v>
      </c>
      <c r="BX1197" s="2"/>
      <c r="BY1197" s="3"/>
      <c r="BZ1197" s="3"/>
      <c r="CA1197" s="3"/>
      <c r="CB1197" s="3"/>
      <c r="CC1197" s="15">
        <f>SUM(BX1197:CB1197)</f>
        <v>0</v>
      </c>
      <c r="CE1197" s="26">
        <f t="shared" ref="CE1197:CE1200" si="5489">F1197+M1197+T1197+AA1197+AH1197+AO1197+AV1197+BC1197+BJ1197+BQ1197+BX1197</f>
        <v>0</v>
      </c>
      <c r="CF1197" s="27">
        <f t="shared" ref="CF1197:CF1200" si="5490">G1197+N1197+U1197+AB1197+AI1197+AP1197+AW1197+BD1197+BK1197+BR1197+BY1197</f>
        <v>0</v>
      </c>
      <c r="CG1197" s="27">
        <f t="shared" ref="CG1197:CG1200" si="5491">H1197+O1197+V1197+AC1197+AJ1197+AQ1197+AX1197+BE1197+BL1197+BS1197+BZ1197</f>
        <v>0</v>
      </c>
      <c r="CH1197" s="27">
        <f t="shared" ref="CH1197:CH1200" si="5492">I1197+P1197+W1197+AD1197+AK1197+AR1197+AY1197+BF1197+BM1197+BT1197+CA1197</f>
        <v>0</v>
      </c>
      <c r="CI1197" s="27">
        <f t="shared" ref="CI1197:CI1200" si="5493">J1197+Q1197+X1197+AE1197+AL1197+AS1197+AZ1197+BG1197+BN1197+BU1197+CB1197</f>
        <v>0</v>
      </c>
      <c r="CJ1197" s="4">
        <f>SUM(CE1197:CI1197)</f>
        <v>0</v>
      </c>
      <c r="CL1197" s="2"/>
      <c r="CM1197" s="3"/>
      <c r="CN1197" s="3"/>
      <c r="CO1197" s="3"/>
      <c r="CP1197" s="3"/>
      <c r="CQ1197" s="15">
        <f>SUM(CL1197:CP1197)</f>
        <v>0</v>
      </c>
      <c r="CS1197" s="2"/>
      <c r="CT1197" s="3"/>
      <c r="CU1197" s="3"/>
      <c r="CV1197" s="3"/>
      <c r="CW1197" s="3"/>
      <c r="CX1197" s="4">
        <f>SUM(CS1197:CW1197)</f>
        <v>0</v>
      </c>
      <c r="CZ1197" s="2"/>
      <c r="DA1197" s="3"/>
      <c r="DB1197" s="3"/>
      <c r="DC1197" s="3"/>
      <c r="DD1197" s="3"/>
      <c r="DE1197" s="15">
        <f>SUM(CZ1197:DD1197)</f>
        <v>0</v>
      </c>
    </row>
    <row r="1198" spans="2:110">
      <c r="C1198" s="567"/>
      <c r="E1198" s="14" t="s">
        <v>60</v>
      </c>
      <c r="F1198" s="23">
        <f t="shared" ref="F1198:F1200" si="5494">CE1192</f>
        <v>0</v>
      </c>
      <c r="G1198" s="24">
        <f t="shared" si="5485"/>
        <v>0</v>
      </c>
      <c r="H1198" s="24">
        <f t="shared" si="5486"/>
        <v>0</v>
      </c>
      <c r="I1198" s="24">
        <f t="shared" si="5487"/>
        <v>0</v>
      </c>
      <c r="J1198" s="24">
        <f t="shared" si="5488"/>
        <v>0</v>
      </c>
      <c r="K1198" s="16">
        <f t="shared" ref="K1198:K1200" si="5495">SUM(F1198:J1198)</f>
        <v>0</v>
      </c>
      <c r="M1198" s="6"/>
      <c r="N1198" s="7"/>
      <c r="O1198" s="7"/>
      <c r="P1198" s="7"/>
      <c r="Q1198" s="7"/>
      <c r="R1198" s="16">
        <f t="shared" ref="R1198:R1200" si="5496">SUM(M1198:Q1198)</f>
        <v>0</v>
      </c>
      <c r="T1198" s="6"/>
      <c r="U1198" s="7"/>
      <c r="V1198" s="7"/>
      <c r="W1198" s="7"/>
      <c r="X1198" s="7"/>
      <c r="Y1198" s="16">
        <f t="shared" ref="Y1198:Y1200" si="5497">SUM(T1198:X1198)</f>
        <v>0</v>
      </c>
      <c r="AA1198" s="6"/>
      <c r="AB1198" s="7"/>
      <c r="AC1198" s="7"/>
      <c r="AD1198" s="7"/>
      <c r="AE1198" s="7"/>
      <c r="AF1198" s="16">
        <f>SUM(AA1198:AE1198)</f>
        <v>0</v>
      </c>
      <c r="AH1198" s="6"/>
      <c r="AI1198" s="7"/>
      <c r="AJ1198" s="7"/>
      <c r="AK1198" s="7"/>
      <c r="AL1198" s="7"/>
      <c r="AM1198" s="16">
        <f>SUM(AH1198:AL1198)</f>
        <v>0</v>
      </c>
      <c r="AO1198" s="6"/>
      <c r="AP1198" s="7"/>
      <c r="AQ1198" s="7"/>
      <c r="AR1198" s="7"/>
      <c r="AS1198" s="7"/>
      <c r="AT1198" s="16">
        <f>SUM(AO1198:AS1198)</f>
        <v>0</v>
      </c>
      <c r="AV1198" s="6"/>
      <c r="AW1198" s="7"/>
      <c r="AX1198" s="7"/>
      <c r="AY1198" s="7"/>
      <c r="AZ1198" s="7"/>
      <c r="BA1198" s="16">
        <f>SUM(AV1198:AZ1198)</f>
        <v>0</v>
      </c>
      <c r="BC1198" s="6"/>
      <c r="BD1198" s="7"/>
      <c r="BE1198" s="7"/>
      <c r="BF1198" s="7"/>
      <c r="BG1198" s="7"/>
      <c r="BH1198" s="16">
        <f>SUM(BC1198:BG1198)</f>
        <v>0</v>
      </c>
      <c r="BJ1198" s="6"/>
      <c r="BK1198" s="7"/>
      <c r="BL1198" s="7"/>
      <c r="BM1198" s="7"/>
      <c r="BN1198" s="7"/>
      <c r="BO1198" s="16">
        <f>SUM(BJ1198:BN1198)</f>
        <v>0</v>
      </c>
      <c r="BQ1198" s="6"/>
      <c r="BR1198" s="7"/>
      <c r="BS1198" s="7"/>
      <c r="BT1198" s="7"/>
      <c r="BU1198" s="7"/>
      <c r="BV1198" s="16">
        <f>SUM(BQ1198:BU1198)</f>
        <v>0</v>
      </c>
      <c r="BX1198" s="6"/>
      <c r="BY1198" s="7"/>
      <c r="BZ1198" s="7"/>
      <c r="CA1198" s="7"/>
      <c r="CB1198" s="7"/>
      <c r="CC1198" s="16">
        <f>SUM(BX1198:CB1198)</f>
        <v>0</v>
      </c>
      <c r="CE1198" s="28">
        <f t="shared" si="5489"/>
        <v>0</v>
      </c>
      <c r="CF1198" s="29">
        <f t="shared" si="5490"/>
        <v>0</v>
      </c>
      <c r="CG1198" s="29">
        <f t="shared" si="5491"/>
        <v>0</v>
      </c>
      <c r="CH1198" s="29">
        <f t="shared" si="5492"/>
        <v>0</v>
      </c>
      <c r="CI1198" s="29">
        <f t="shared" si="5493"/>
        <v>0</v>
      </c>
      <c r="CJ1198" s="8">
        <f>SUM(CE1198:CI1198)</f>
        <v>0</v>
      </c>
      <c r="CL1198" s="6"/>
      <c r="CM1198" s="7"/>
      <c r="CN1198" s="7"/>
      <c r="CO1198" s="7"/>
      <c r="CP1198" s="7"/>
      <c r="CQ1198" s="16">
        <f>SUM(CL1198:CP1198)</f>
        <v>0</v>
      </c>
      <c r="CS1198" s="6"/>
      <c r="CT1198" s="7"/>
      <c r="CU1198" s="7"/>
      <c r="CV1198" s="7"/>
      <c r="CW1198" s="7"/>
      <c r="CX1198" s="8">
        <f t="shared" ref="CX1198:CX1200" si="5498">SUM(CS1198:CW1198)</f>
        <v>0</v>
      </c>
      <c r="CZ1198" s="6"/>
      <c r="DA1198" s="7"/>
      <c r="DB1198" s="7"/>
      <c r="DC1198" s="7"/>
      <c r="DD1198" s="7"/>
      <c r="DE1198" s="16">
        <f t="shared" ref="DE1198:DE1200" si="5499">SUM(CZ1198:DD1198)</f>
        <v>0</v>
      </c>
    </row>
    <row r="1199" spans="2:110">
      <c r="C1199" s="567"/>
      <c r="E1199" s="14" t="s">
        <v>61</v>
      </c>
      <c r="F1199" s="23">
        <f t="shared" si="5494"/>
        <v>0</v>
      </c>
      <c r="G1199" s="24">
        <f t="shared" si="5485"/>
        <v>0</v>
      </c>
      <c r="H1199" s="24">
        <f t="shared" si="5486"/>
        <v>0</v>
      </c>
      <c r="I1199" s="24">
        <f t="shared" si="5487"/>
        <v>0</v>
      </c>
      <c r="J1199" s="24">
        <f t="shared" si="5488"/>
        <v>0</v>
      </c>
      <c r="K1199" s="16">
        <f t="shared" si="5495"/>
        <v>0</v>
      </c>
      <c r="M1199" s="6"/>
      <c r="N1199" s="7"/>
      <c r="O1199" s="7"/>
      <c r="P1199" s="7"/>
      <c r="Q1199" s="7"/>
      <c r="R1199" s="16">
        <f t="shared" si="5496"/>
        <v>0</v>
      </c>
      <c r="T1199" s="6"/>
      <c r="U1199" s="7"/>
      <c r="V1199" s="7"/>
      <c r="W1199" s="7"/>
      <c r="X1199" s="7"/>
      <c r="Y1199" s="16">
        <f t="shared" si="5497"/>
        <v>0</v>
      </c>
      <c r="AA1199" s="6"/>
      <c r="AB1199" s="7"/>
      <c r="AC1199" s="7"/>
      <c r="AD1199" s="7"/>
      <c r="AE1199" s="7"/>
      <c r="AF1199" s="16">
        <f>SUM(AA1199:AE1199)</f>
        <v>0</v>
      </c>
      <c r="AH1199" s="6"/>
      <c r="AI1199" s="7"/>
      <c r="AJ1199" s="7"/>
      <c r="AK1199" s="7"/>
      <c r="AL1199" s="7"/>
      <c r="AM1199" s="16">
        <f>SUM(AH1199:AL1199)</f>
        <v>0</v>
      </c>
      <c r="AO1199" s="6"/>
      <c r="AP1199" s="7"/>
      <c r="AQ1199" s="7"/>
      <c r="AR1199" s="7"/>
      <c r="AS1199" s="7"/>
      <c r="AT1199" s="16">
        <f>SUM(AO1199:AS1199)</f>
        <v>0</v>
      </c>
      <c r="AV1199" s="6"/>
      <c r="AW1199" s="7"/>
      <c r="AX1199" s="7"/>
      <c r="AY1199" s="7"/>
      <c r="AZ1199" s="7"/>
      <c r="BA1199" s="16">
        <f>SUM(AV1199:AZ1199)</f>
        <v>0</v>
      </c>
      <c r="BC1199" s="6"/>
      <c r="BD1199" s="7"/>
      <c r="BE1199" s="7"/>
      <c r="BF1199" s="7"/>
      <c r="BG1199" s="7"/>
      <c r="BH1199" s="16">
        <f>SUM(BC1199:BG1199)</f>
        <v>0</v>
      </c>
      <c r="BJ1199" s="6"/>
      <c r="BK1199" s="7"/>
      <c r="BL1199" s="7"/>
      <c r="BM1199" s="7"/>
      <c r="BN1199" s="7"/>
      <c r="BO1199" s="16">
        <f>SUM(BJ1199:BN1199)</f>
        <v>0</v>
      </c>
      <c r="BQ1199" s="6"/>
      <c r="BR1199" s="7"/>
      <c r="BS1199" s="7"/>
      <c r="BT1199" s="7"/>
      <c r="BU1199" s="7"/>
      <c r="BV1199" s="16">
        <f>SUM(BQ1199:BU1199)</f>
        <v>0</v>
      </c>
      <c r="BX1199" s="6"/>
      <c r="BY1199" s="7"/>
      <c r="BZ1199" s="7"/>
      <c r="CA1199" s="7"/>
      <c r="CB1199" s="7"/>
      <c r="CC1199" s="16">
        <f>SUM(BX1199:CB1199)</f>
        <v>0</v>
      </c>
      <c r="CE1199" s="28">
        <f t="shared" si="5489"/>
        <v>0</v>
      </c>
      <c r="CF1199" s="29">
        <f t="shared" si="5490"/>
        <v>0</v>
      </c>
      <c r="CG1199" s="29">
        <f t="shared" si="5491"/>
        <v>0</v>
      </c>
      <c r="CH1199" s="29">
        <f t="shared" si="5492"/>
        <v>0</v>
      </c>
      <c r="CI1199" s="29">
        <f t="shared" si="5493"/>
        <v>0</v>
      </c>
      <c r="CJ1199" s="8">
        <f>SUM(CE1199:CI1199)</f>
        <v>0</v>
      </c>
      <c r="CL1199" s="6"/>
      <c r="CM1199" s="7"/>
      <c r="CN1199" s="7"/>
      <c r="CO1199" s="7"/>
      <c r="CP1199" s="7"/>
      <c r="CQ1199" s="16">
        <f>SUM(CL1199:CP1199)</f>
        <v>0</v>
      </c>
      <c r="CS1199" s="6"/>
      <c r="CT1199" s="7"/>
      <c r="CU1199" s="7"/>
      <c r="CV1199" s="7"/>
      <c r="CW1199" s="7"/>
      <c r="CX1199" s="8">
        <f t="shared" si="5498"/>
        <v>0</v>
      </c>
      <c r="CZ1199" s="6"/>
      <c r="DA1199" s="7"/>
      <c r="DB1199" s="7"/>
      <c r="DC1199" s="7"/>
      <c r="DD1199" s="7"/>
      <c r="DE1199" s="16">
        <f t="shared" si="5499"/>
        <v>0</v>
      </c>
    </row>
    <row r="1200" spans="2:110" ht="14" thickBot="1">
      <c r="C1200" s="567"/>
      <c r="E1200" s="14" t="s">
        <v>62</v>
      </c>
      <c r="F1200" s="23">
        <f t="shared" si="5494"/>
        <v>0</v>
      </c>
      <c r="G1200" s="24">
        <f t="shared" si="5485"/>
        <v>0</v>
      </c>
      <c r="H1200" s="24">
        <f t="shared" si="5486"/>
        <v>0</v>
      </c>
      <c r="I1200" s="24">
        <f t="shared" si="5487"/>
        <v>0</v>
      </c>
      <c r="J1200" s="24">
        <f t="shared" si="5488"/>
        <v>0</v>
      </c>
      <c r="K1200" s="16">
        <f t="shared" si="5495"/>
        <v>0</v>
      </c>
      <c r="M1200" s="6"/>
      <c r="N1200" s="7"/>
      <c r="O1200" s="7"/>
      <c r="P1200" s="7"/>
      <c r="Q1200" s="7"/>
      <c r="R1200" s="16">
        <f t="shared" si="5496"/>
        <v>0</v>
      </c>
      <c r="T1200" s="6"/>
      <c r="U1200" s="7"/>
      <c r="V1200" s="7"/>
      <c r="W1200" s="7"/>
      <c r="X1200" s="7"/>
      <c r="Y1200" s="16">
        <f t="shared" si="5497"/>
        <v>0</v>
      </c>
      <c r="AA1200" s="6"/>
      <c r="AB1200" s="7"/>
      <c r="AC1200" s="7"/>
      <c r="AD1200" s="7"/>
      <c r="AE1200" s="7"/>
      <c r="AF1200" s="16">
        <f>SUM(AA1200:AE1200)</f>
        <v>0</v>
      </c>
      <c r="AH1200" s="6"/>
      <c r="AI1200" s="7"/>
      <c r="AJ1200" s="7"/>
      <c r="AK1200" s="7"/>
      <c r="AL1200" s="7"/>
      <c r="AM1200" s="16">
        <f>SUM(AH1200:AL1200)</f>
        <v>0</v>
      </c>
      <c r="AO1200" s="6"/>
      <c r="AP1200" s="7"/>
      <c r="AQ1200" s="7"/>
      <c r="AR1200" s="7"/>
      <c r="AS1200" s="7"/>
      <c r="AT1200" s="16">
        <f>SUM(AO1200:AS1200)</f>
        <v>0</v>
      </c>
      <c r="AV1200" s="6"/>
      <c r="AW1200" s="7"/>
      <c r="AX1200" s="7"/>
      <c r="AY1200" s="7"/>
      <c r="AZ1200" s="7"/>
      <c r="BA1200" s="16">
        <f>SUM(AV1200:AZ1200)</f>
        <v>0</v>
      </c>
      <c r="BC1200" s="6"/>
      <c r="BD1200" s="7"/>
      <c r="BE1200" s="7"/>
      <c r="BF1200" s="7"/>
      <c r="BG1200" s="7"/>
      <c r="BH1200" s="16">
        <f>SUM(BC1200:BG1200)</f>
        <v>0</v>
      </c>
      <c r="BJ1200" s="6"/>
      <c r="BK1200" s="7"/>
      <c r="BL1200" s="7"/>
      <c r="BM1200" s="7"/>
      <c r="BN1200" s="7"/>
      <c r="BO1200" s="16">
        <f>SUM(BJ1200:BN1200)</f>
        <v>0</v>
      </c>
      <c r="BQ1200" s="6"/>
      <c r="BR1200" s="7"/>
      <c r="BS1200" s="7"/>
      <c r="BT1200" s="7"/>
      <c r="BU1200" s="7"/>
      <c r="BV1200" s="16">
        <f>SUM(BQ1200:BU1200)</f>
        <v>0</v>
      </c>
      <c r="BX1200" s="6"/>
      <c r="BY1200" s="7"/>
      <c r="BZ1200" s="7"/>
      <c r="CA1200" s="7"/>
      <c r="CB1200" s="7"/>
      <c r="CC1200" s="16">
        <f>SUM(BX1200:CB1200)</f>
        <v>0</v>
      </c>
      <c r="CE1200" s="493">
        <f t="shared" si="5489"/>
        <v>0</v>
      </c>
      <c r="CF1200" s="494">
        <f t="shared" si="5490"/>
        <v>0</v>
      </c>
      <c r="CG1200" s="494">
        <f t="shared" si="5491"/>
        <v>0</v>
      </c>
      <c r="CH1200" s="494">
        <f t="shared" si="5492"/>
        <v>0</v>
      </c>
      <c r="CI1200" s="494">
        <f t="shared" si="5493"/>
        <v>0</v>
      </c>
      <c r="CJ1200" s="495">
        <f>SUM(CE1200:CI1200)</f>
        <v>0</v>
      </c>
      <c r="CL1200" s="6"/>
      <c r="CM1200" s="7"/>
      <c r="CN1200" s="7"/>
      <c r="CO1200" s="7"/>
      <c r="CP1200" s="7"/>
      <c r="CQ1200" s="16">
        <f>SUM(CL1200:CP1200)</f>
        <v>0</v>
      </c>
      <c r="CS1200" s="6"/>
      <c r="CT1200" s="7"/>
      <c r="CU1200" s="7"/>
      <c r="CV1200" s="7"/>
      <c r="CW1200" s="7"/>
      <c r="CX1200" s="8">
        <f t="shared" si="5498"/>
        <v>0</v>
      </c>
      <c r="CZ1200" s="6"/>
      <c r="DA1200" s="7"/>
      <c r="DB1200" s="7"/>
      <c r="DC1200" s="7"/>
      <c r="DD1200" s="7"/>
      <c r="DE1200" s="16">
        <f t="shared" si="5499"/>
        <v>0</v>
      </c>
    </row>
    <row r="1201" spans="3:109" ht="14" thickBot="1">
      <c r="C1201" s="554"/>
      <c r="E1201" s="17"/>
      <c r="F1201" s="10">
        <f>SUM(F1197:F1200)</f>
        <v>0</v>
      </c>
      <c r="G1201" s="11">
        <f t="shared" ref="G1201:J1201" si="5500">SUM(G1197:G1200)</f>
        <v>0</v>
      </c>
      <c r="H1201" s="11">
        <f t="shared" si="5500"/>
        <v>0</v>
      </c>
      <c r="I1201" s="11">
        <f t="shared" si="5500"/>
        <v>0</v>
      </c>
      <c r="J1201" s="11">
        <f t="shared" si="5500"/>
        <v>0</v>
      </c>
      <c r="K1201" s="25">
        <f>SUM(K1197:K1200)</f>
        <v>0</v>
      </c>
      <c r="M1201" s="10">
        <f>SUM(M1197:M1200)</f>
        <v>0</v>
      </c>
      <c r="N1201" s="11">
        <f t="shared" ref="N1201:Q1201" si="5501">SUM(N1197:N1200)</f>
        <v>0</v>
      </c>
      <c r="O1201" s="11">
        <f t="shared" si="5501"/>
        <v>0</v>
      </c>
      <c r="P1201" s="11">
        <f t="shared" si="5501"/>
        <v>0</v>
      </c>
      <c r="Q1201" s="11">
        <f t="shared" si="5501"/>
        <v>0</v>
      </c>
      <c r="R1201" s="25">
        <f>SUM(R1197:R1200)</f>
        <v>0</v>
      </c>
      <c r="T1201" s="10">
        <f>SUM(T1197:T1200)</f>
        <v>0</v>
      </c>
      <c r="U1201" s="11">
        <f t="shared" ref="U1201:X1201" si="5502">SUM(U1197:U1200)</f>
        <v>0</v>
      </c>
      <c r="V1201" s="11">
        <f t="shared" si="5502"/>
        <v>0</v>
      </c>
      <c r="W1201" s="11">
        <f t="shared" si="5502"/>
        <v>0</v>
      </c>
      <c r="X1201" s="11">
        <f t="shared" si="5502"/>
        <v>0</v>
      </c>
      <c r="Y1201" s="25">
        <f>SUM(Y1197:Y1200)</f>
        <v>0</v>
      </c>
      <c r="AA1201" s="10">
        <f>SUM(AA1197:AA1200)</f>
        <v>0</v>
      </c>
      <c r="AB1201" s="11">
        <f t="shared" ref="AB1201:AE1201" si="5503">SUM(AB1197:AB1200)</f>
        <v>0</v>
      </c>
      <c r="AC1201" s="11">
        <f t="shared" si="5503"/>
        <v>0</v>
      </c>
      <c r="AD1201" s="11">
        <f t="shared" si="5503"/>
        <v>0</v>
      </c>
      <c r="AE1201" s="11">
        <f t="shared" si="5503"/>
        <v>0</v>
      </c>
      <c r="AF1201" s="25">
        <f>SUM(AF1197:AF1200)</f>
        <v>0</v>
      </c>
      <c r="AH1201" s="10">
        <f t="shared" ref="AH1201:AM1201" si="5504">SUM(AH1197:AH1200)</f>
        <v>0</v>
      </c>
      <c r="AI1201" s="11">
        <f t="shared" si="5504"/>
        <v>0</v>
      </c>
      <c r="AJ1201" s="11">
        <f t="shared" si="5504"/>
        <v>0</v>
      </c>
      <c r="AK1201" s="11">
        <f t="shared" si="5504"/>
        <v>0</v>
      </c>
      <c r="AL1201" s="11">
        <f t="shared" si="5504"/>
        <v>0</v>
      </c>
      <c r="AM1201" s="25">
        <f t="shared" si="5504"/>
        <v>0</v>
      </c>
      <c r="AO1201" s="10">
        <f t="shared" ref="AO1201:AT1201" si="5505">SUM(AO1197:AO1200)</f>
        <v>0</v>
      </c>
      <c r="AP1201" s="11">
        <f t="shared" si="5505"/>
        <v>0</v>
      </c>
      <c r="AQ1201" s="11">
        <f t="shared" si="5505"/>
        <v>0</v>
      </c>
      <c r="AR1201" s="11">
        <f t="shared" si="5505"/>
        <v>0</v>
      </c>
      <c r="AS1201" s="11">
        <f t="shared" si="5505"/>
        <v>0</v>
      </c>
      <c r="AT1201" s="25">
        <f t="shared" si="5505"/>
        <v>0</v>
      </c>
      <c r="AV1201" s="10">
        <f t="shared" ref="AV1201:BA1201" si="5506">SUM(AV1197:AV1200)</f>
        <v>0</v>
      </c>
      <c r="AW1201" s="11">
        <f t="shared" si="5506"/>
        <v>0</v>
      </c>
      <c r="AX1201" s="11">
        <f t="shared" si="5506"/>
        <v>0</v>
      </c>
      <c r="AY1201" s="11">
        <f t="shared" si="5506"/>
        <v>0</v>
      </c>
      <c r="AZ1201" s="11">
        <f t="shared" si="5506"/>
        <v>0</v>
      </c>
      <c r="BA1201" s="25">
        <f t="shared" si="5506"/>
        <v>0</v>
      </c>
      <c r="BC1201" s="10">
        <f t="shared" ref="BC1201:BH1201" si="5507">SUM(BC1197:BC1200)</f>
        <v>0</v>
      </c>
      <c r="BD1201" s="11">
        <f t="shared" si="5507"/>
        <v>0</v>
      </c>
      <c r="BE1201" s="11">
        <f t="shared" si="5507"/>
        <v>0</v>
      </c>
      <c r="BF1201" s="11">
        <f t="shared" si="5507"/>
        <v>0</v>
      </c>
      <c r="BG1201" s="11">
        <f t="shared" si="5507"/>
        <v>0</v>
      </c>
      <c r="BH1201" s="25">
        <f t="shared" si="5507"/>
        <v>0</v>
      </c>
      <c r="BJ1201" s="10">
        <f t="shared" ref="BJ1201:BO1201" si="5508">SUM(BJ1197:BJ1200)</f>
        <v>0</v>
      </c>
      <c r="BK1201" s="11">
        <f t="shared" si="5508"/>
        <v>0</v>
      </c>
      <c r="BL1201" s="11">
        <f t="shared" si="5508"/>
        <v>0</v>
      </c>
      <c r="BM1201" s="11">
        <f t="shared" si="5508"/>
        <v>0</v>
      </c>
      <c r="BN1201" s="11">
        <f t="shared" si="5508"/>
        <v>0</v>
      </c>
      <c r="BO1201" s="25">
        <f t="shared" si="5508"/>
        <v>0</v>
      </c>
      <c r="BQ1201" s="10">
        <f t="shared" ref="BQ1201:BV1201" si="5509">SUM(BQ1197:BQ1200)</f>
        <v>0</v>
      </c>
      <c r="BR1201" s="11">
        <f t="shared" si="5509"/>
        <v>0</v>
      </c>
      <c r="BS1201" s="11">
        <f t="shared" si="5509"/>
        <v>0</v>
      </c>
      <c r="BT1201" s="11">
        <f t="shared" si="5509"/>
        <v>0</v>
      </c>
      <c r="BU1201" s="11">
        <f t="shared" si="5509"/>
        <v>0</v>
      </c>
      <c r="BV1201" s="25">
        <f t="shared" si="5509"/>
        <v>0</v>
      </c>
      <c r="BX1201" s="10">
        <f t="shared" ref="BX1201:CC1201" si="5510">SUM(BX1197:BX1200)</f>
        <v>0</v>
      </c>
      <c r="BY1201" s="11">
        <f t="shared" si="5510"/>
        <v>0</v>
      </c>
      <c r="BZ1201" s="11">
        <f t="shared" si="5510"/>
        <v>0</v>
      </c>
      <c r="CA1201" s="11">
        <f t="shared" si="5510"/>
        <v>0</v>
      </c>
      <c r="CB1201" s="11">
        <f t="shared" si="5510"/>
        <v>0</v>
      </c>
      <c r="CC1201" s="25">
        <f t="shared" si="5510"/>
        <v>0</v>
      </c>
      <c r="CE1201" s="62">
        <f t="shared" ref="CE1201:CJ1201" si="5511">SUM(CE1197:CE1200)</f>
        <v>0</v>
      </c>
      <c r="CF1201" s="63">
        <f t="shared" si="5511"/>
        <v>0</v>
      </c>
      <c r="CG1201" s="63">
        <f t="shared" si="5511"/>
        <v>0</v>
      </c>
      <c r="CH1201" s="63">
        <f t="shared" si="5511"/>
        <v>0</v>
      </c>
      <c r="CI1201" s="63">
        <f t="shared" si="5511"/>
        <v>0</v>
      </c>
      <c r="CJ1201" s="25">
        <f t="shared" si="5511"/>
        <v>0</v>
      </c>
      <c r="CL1201" s="10">
        <f>SUM(CL1197:CL1200)</f>
        <v>0</v>
      </c>
      <c r="CM1201" s="11">
        <f t="shared" ref="CM1201:CQ1201" si="5512">SUM(CM1197:CM1200)</f>
        <v>0</v>
      </c>
      <c r="CN1201" s="11">
        <f t="shared" si="5512"/>
        <v>0</v>
      </c>
      <c r="CO1201" s="11">
        <f t="shared" si="5512"/>
        <v>0</v>
      </c>
      <c r="CP1201" s="11">
        <f t="shared" si="5512"/>
        <v>0</v>
      </c>
      <c r="CQ1201" s="25">
        <f t="shared" si="5512"/>
        <v>0</v>
      </c>
      <c r="CS1201" s="10">
        <f>SUM(CS1197:CS1200)</f>
        <v>0</v>
      </c>
      <c r="CT1201" s="11">
        <f t="shared" ref="CT1201:CW1201" si="5513">SUM(CT1197:CT1200)</f>
        <v>0</v>
      </c>
      <c r="CU1201" s="11">
        <f t="shared" si="5513"/>
        <v>0</v>
      </c>
      <c r="CV1201" s="11">
        <f t="shared" si="5513"/>
        <v>0</v>
      </c>
      <c r="CW1201" s="11">
        <f t="shared" si="5513"/>
        <v>0</v>
      </c>
      <c r="CX1201" s="25">
        <f>SUM(CX1197:CX1200)</f>
        <v>0</v>
      </c>
      <c r="CZ1201" s="10">
        <f>SUM(CZ1197:CZ1200)</f>
        <v>0</v>
      </c>
      <c r="DA1201" s="11">
        <f t="shared" ref="DA1201:DD1201" si="5514">SUM(DA1197:DA1200)</f>
        <v>0</v>
      </c>
      <c r="DB1201" s="11">
        <f t="shared" si="5514"/>
        <v>0</v>
      </c>
      <c r="DC1201" s="11">
        <f t="shared" si="5514"/>
        <v>0</v>
      </c>
      <c r="DD1201" s="11">
        <f t="shared" si="5514"/>
        <v>0</v>
      </c>
      <c r="DE1201" s="25">
        <f>SUM(DE1197:DE1200)</f>
        <v>0</v>
      </c>
    </row>
    <row r="1202" spans="3:109" ht="10.4" customHeight="1" thickBot="1"/>
    <row r="1203" spans="3:109">
      <c r="C1203" s="553">
        <v>2026</v>
      </c>
      <c r="E1203" s="1" t="s">
        <v>59</v>
      </c>
      <c r="F1203" s="21">
        <f>CE1197</f>
        <v>0</v>
      </c>
      <c r="G1203" s="22">
        <f t="shared" ref="G1203:G1206" si="5515">CF1197</f>
        <v>0</v>
      </c>
      <c r="H1203" s="22">
        <f t="shared" ref="H1203:H1206" si="5516">CG1197</f>
        <v>0</v>
      </c>
      <c r="I1203" s="22">
        <f t="shared" ref="I1203:I1206" si="5517">CH1197</f>
        <v>0</v>
      </c>
      <c r="J1203" s="22">
        <f t="shared" ref="J1203:J1206" si="5518">CI1197</f>
        <v>0</v>
      </c>
      <c r="K1203" s="4">
        <f>SUM(F1203:J1203)</f>
        <v>0</v>
      </c>
      <c r="M1203" s="2"/>
      <c r="N1203" s="3"/>
      <c r="O1203" s="3"/>
      <c r="P1203" s="3"/>
      <c r="Q1203" s="3"/>
      <c r="R1203" s="4">
        <f>SUM(M1203:Q1203)</f>
        <v>0</v>
      </c>
      <c r="T1203" s="2"/>
      <c r="U1203" s="3"/>
      <c r="V1203" s="3"/>
      <c r="W1203" s="3"/>
      <c r="X1203" s="3"/>
      <c r="Y1203" s="4">
        <f>SUM(T1203:X1203)</f>
        <v>0</v>
      </c>
      <c r="AA1203" s="2"/>
      <c r="AB1203" s="3"/>
      <c r="AC1203" s="3"/>
      <c r="AD1203" s="3"/>
      <c r="AE1203" s="3"/>
      <c r="AF1203" s="4">
        <f>SUM(AA1203:AE1203)</f>
        <v>0</v>
      </c>
      <c r="AH1203" s="2"/>
      <c r="AI1203" s="3"/>
      <c r="AJ1203" s="3"/>
      <c r="AK1203" s="3"/>
      <c r="AL1203" s="3"/>
      <c r="AM1203" s="4">
        <f>SUM(AH1203:AL1203)</f>
        <v>0</v>
      </c>
      <c r="AO1203" s="2"/>
      <c r="AP1203" s="3"/>
      <c r="AQ1203" s="3"/>
      <c r="AR1203" s="3"/>
      <c r="AS1203" s="3"/>
      <c r="AT1203" s="4">
        <f>SUM(AO1203:AS1203)</f>
        <v>0</v>
      </c>
      <c r="AV1203" s="2"/>
      <c r="AW1203" s="3"/>
      <c r="AX1203" s="3"/>
      <c r="AY1203" s="3"/>
      <c r="AZ1203" s="3"/>
      <c r="BA1203" s="4">
        <f>SUM(AV1203:AZ1203)</f>
        <v>0</v>
      </c>
      <c r="BC1203" s="2"/>
      <c r="BD1203" s="3"/>
      <c r="BE1203" s="3"/>
      <c r="BF1203" s="3"/>
      <c r="BG1203" s="3"/>
      <c r="BH1203" s="4">
        <f>SUM(BC1203:BG1203)</f>
        <v>0</v>
      </c>
      <c r="BJ1203" s="2"/>
      <c r="BK1203" s="3"/>
      <c r="BL1203" s="3"/>
      <c r="BM1203" s="3"/>
      <c r="BN1203" s="3"/>
      <c r="BO1203" s="4">
        <f>SUM(BJ1203:BN1203)</f>
        <v>0</v>
      </c>
      <c r="BQ1203" s="2"/>
      <c r="BR1203" s="3"/>
      <c r="BS1203" s="3"/>
      <c r="BT1203" s="3"/>
      <c r="BU1203" s="3"/>
      <c r="BV1203" s="4">
        <f>SUM(BQ1203:BU1203)</f>
        <v>0</v>
      </c>
      <c r="BX1203" s="2"/>
      <c r="BY1203" s="3"/>
      <c r="BZ1203" s="3"/>
      <c r="CA1203" s="3"/>
      <c r="CB1203" s="3"/>
      <c r="CC1203" s="4">
        <f>SUM(BX1203:CB1203)</f>
        <v>0</v>
      </c>
      <c r="CE1203" s="26">
        <f t="shared" ref="CE1203:CE1206" si="5519">F1203+M1203+T1203+AA1203+AH1203+AO1203+AV1203+BC1203+BJ1203+BQ1203+BX1203</f>
        <v>0</v>
      </c>
      <c r="CF1203" s="27">
        <f t="shared" ref="CF1203:CF1206" si="5520">G1203+N1203+U1203+AB1203+AI1203+AP1203+AW1203+BD1203+BK1203+BR1203+BY1203</f>
        <v>0</v>
      </c>
      <c r="CG1203" s="27">
        <f t="shared" ref="CG1203:CG1206" si="5521">H1203+O1203+V1203+AC1203+AJ1203+AQ1203+AX1203+BE1203+BL1203+BS1203+BZ1203</f>
        <v>0</v>
      </c>
      <c r="CH1203" s="27">
        <f t="shared" ref="CH1203:CH1206" si="5522">I1203+P1203+W1203+AD1203+AK1203+AR1203+AY1203+BF1203+BM1203+BT1203+CA1203</f>
        <v>0</v>
      </c>
      <c r="CI1203" s="27">
        <f t="shared" ref="CI1203:CI1206" si="5523">J1203+Q1203+X1203+AE1203+AL1203+AS1203+AZ1203+BG1203+BN1203+BU1203+CB1203</f>
        <v>0</v>
      </c>
      <c r="CJ1203" s="4">
        <f>SUM(CE1203:CI1203)</f>
        <v>0</v>
      </c>
      <c r="CL1203" s="2"/>
      <c r="CM1203" s="3"/>
      <c r="CN1203" s="3"/>
      <c r="CO1203" s="3"/>
      <c r="CP1203" s="3"/>
      <c r="CQ1203" s="4">
        <f>SUM(CL1203:CP1203)</f>
        <v>0</v>
      </c>
      <c r="CS1203" s="2"/>
      <c r="CT1203" s="3"/>
      <c r="CU1203" s="3"/>
      <c r="CV1203" s="3"/>
      <c r="CW1203" s="3"/>
      <c r="CX1203" s="4">
        <f>SUM(CS1203:CW1203)</f>
        <v>0</v>
      </c>
      <c r="CZ1203" s="2"/>
      <c r="DA1203" s="3"/>
      <c r="DB1203" s="3"/>
      <c r="DC1203" s="3"/>
      <c r="DD1203" s="3"/>
      <c r="DE1203" s="4">
        <f>SUM(CZ1203:DD1203)</f>
        <v>0</v>
      </c>
    </row>
    <row r="1204" spans="3:109">
      <c r="C1204" s="567"/>
      <c r="E1204" s="5" t="s">
        <v>60</v>
      </c>
      <c r="F1204" s="23">
        <f t="shared" ref="F1204:F1206" si="5524">CE1198</f>
        <v>0</v>
      </c>
      <c r="G1204" s="24">
        <f t="shared" si="5515"/>
        <v>0</v>
      </c>
      <c r="H1204" s="24">
        <f t="shared" si="5516"/>
        <v>0</v>
      </c>
      <c r="I1204" s="24">
        <f t="shared" si="5517"/>
        <v>0</v>
      </c>
      <c r="J1204" s="24">
        <f t="shared" si="5518"/>
        <v>0</v>
      </c>
      <c r="K1204" s="8">
        <f t="shared" ref="K1204:K1206" si="5525">SUM(F1204:J1204)</f>
        <v>0</v>
      </c>
      <c r="M1204" s="6"/>
      <c r="N1204" s="7"/>
      <c r="O1204" s="7"/>
      <c r="P1204" s="7"/>
      <c r="Q1204" s="7"/>
      <c r="R1204" s="8">
        <f t="shared" ref="R1204:R1206" si="5526">SUM(M1204:Q1204)</f>
        <v>0</v>
      </c>
      <c r="T1204" s="6"/>
      <c r="U1204" s="7"/>
      <c r="V1204" s="7"/>
      <c r="W1204" s="7"/>
      <c r="X1204" s="7"/>
      <c r="Y1204" s="8">
        <f t="shared" ref="Y1204:Y1206" si="5527">SUM(T1204:X1204)</f>
        <v>0</v>
      </c>
      <c r="AA1204" s="6"/>
      <c r="AB1204" s="7"/>
      <c r="AC1204" s="7"/>
      <c r="AD1204" s="7"/>
      <c r="AE1204" s="7"/>
      <c r="AF1204" s="8">
        <f>SUM(AA1204:AE1204)</f>
        <v>0</v>
      </c>
      <c r="AH1204" s="6"/>
      <c r="AI1204" s="7"/>
      <c r="AJ1204" s="7"/>
      <c r="AK1204" s="7"/>
      <c r="AL1204" s="7"/>
      <c r="AM1204" s="8">
        <f>SUM(AH1204:AL1204)</f>
        <v>0</v>
      </c>
      <c r="AO1204" s="6"/>
      <c r="AP1204" s="7"/>
      <c r="AQ1204" s="7"/>
      <c r="AR1204" s="7"/>
      <c r="AS1204" s="7"/>
      <c r="AT1204" s="8">
        <f>SUM(AO1204:AS1204)</f>
        <v>0</v>
      </c>
      <c r="AV1204" s="6"/>
      <c r="AW1204" s="7"/>
      <c r="AX1204" s="7"/>
      <c r="AY1204" s="7"/>
      <c r="AZ1204" s="7"/>
      <c r="BA1204" s="8">
        <f>SUM(AV1204:AZ1204)</f>
        <v>0</v>
      </c>
      <c r="BC1204" s="6"/>
      <c r="BD1204" s="7"/>
      <c r="BE1204" s="7"/>
      <c r="BF1204" s="7"/>
      <c r="BG1204" s="7"/>
      <c r="BH1204" s="8">
        <f>SUM(BC1204:BG1204)</f>
        <v>0</v>
      </c>
      <c r="BJ1204" s="6"/>
      <c r="BK1204" s="7"/>
      <c r="BL1204" s="7"/>
      <c r="BM1204" s="7"/>
      <c r="BN1204" s="7"/>
      <c r="BO1204" s="8">
        <f>SUM(BJ1204:BN1204)</f>
        <v>0</v>
      </c>
      <c r="BQ1204" s="6"/>
      <c r="BR1204" s="7"/>
      <c r="BS1204" s="7"/>
      <c r="BT1204" s="7"/>
      <c r="BU1204" s="7"/>
      <c r="BV1204" s="8">
        <f>SUM(BQ1204:BU1204)</f>
        <v>0</v>
      </c>
      <c r="BX1204" s="6"/>
      <c r="BY1204" s="7"/>
      <c r="BZ1204" s="7"/>
      <c r="CA1204" s="7"/>
      <c r="CB1204" s="7"/>
      <c r="CC1204" s="8">
        <f>SUM(BX1204:CB1204)</f>
        <v>0</v>
      </c>
      <c r="CE1204" s="28">
        <f t="shared" si="5519"/>
        <v>0</v>
      </c>
      <c r="CF1204" s="29">
        <f t="shared" si="5520"/>
        <v>0</v>
      </c>
      <c r="CG1204" s="29">
        <f t="shared" si="5521"/>
        <v>0</v>
      </c>
      <c r="CH1204" s="29">
        <f t="shared" si="5522"/>
        <v>0</v>
      </c>
      <c r="CI1204" s="29">
        <f t="shared" si="5523"/>
        <v>0</v>
      </c>
      <c r="CJ1204" s="8">
        <f>SUM(CE1204:CI1204)</f>
        <v>0</v>
      </c>
      <c r="CL1204" s="6"/>
      <c r="CM1204" s="7"/>
      <c r="CN1204" s="7"/>
      <c r="CO1204" s="7"/>
      <c r="CP1204" s="7"/>
      <c r="CQ1204" s="8">
        <f>SUM(CL1204:CP1204)</f>
        <v>0</v>
      </c>
      <c r="CS1204" s="6"/>
      <c r="CT1204" s="7"/>
      <c r="CU1204" s="7"/>
      <c r="CV1204" s="7"/>
      <c r="CW1204" s="7"/>
      <c r="CX1204" s="8">
        <f t="shared" ref="CX1204:CX1206" si="5528">SUM(CS1204:CW1204)</f>
        <v>0</v>
      </c>
      <c r="CZ1204" s="6"/>
      <c r="DA1204" s="7"/>
      <c r="DB1204" s="7"/>
      <c r="DC1204" s="7"/>
      <c r="DD1204" s="7"/>
      <c r="DE1204" s="8">
        <f t="shared" ref="DE1204:DE1206" si="5529">SUM(CZ1204:DD1204)</f>
        <v>0</v>
      </c>
    </row>
    <row r="1205" spans="3:109">
      <c r="C1205" s="567"/>
      <c r="E1205" s="5" t="s">
        <v>61</v>
      </c>
      <c r="F1205" s="23">
        <f t="shared" si="5524"/>
        <v>0</v>
      </c>
      <c r="G1205" s="24">
        <f t="shared" si="5515"/>
        <v>0</v>
      </c>
      <c r="H1205" s="24">
        <f t="shared" si="5516"/>
        <v>0</v>
      </c>
      <c r="I1205" s="24">
        <f t="shared" si="5517"/>
        <v>0</v>
      </c>
      <c r="J1205" s="24">
        <f t="shared" si="5518"/>
        <v>0</v>
      </c>
      <c r="K1205" s="8">
        <f t="shared" si="5525"/>
        <v>0</v>
      </c>
      <c r="M1205" s="6"/>
      <c r="N1205" s="7"/>
      <c r="O1205" s="7"/>
      <c r="P1205" s="7"/>
      <c r="Q1205" s="7"/>
      <c r="R1205" s="8">
        <f t="shared" si="5526"/>
        <v>0</v>
      </c>
      <c r="T1205" s="6"/>
      <c r="U1205" s="7"/>
      <c r="V1205" s="7"/>
      <c r="W1205" s="7"/>
      <c r="X1205" s="7"/>
      <c r="Y1205" s="8">
        <f t="shared" si="5527"/>
        <v>0</v>
      </c>
      <c r="AA1205" s="6"/>
      <c r="AB1205" s="7"/>
      <c r="AC1205" s="7"/>
      <c r="AD1205" s="7"/>
      <c r="AE1205" s="7"/>
      <c r="AF1205" s="8">
        <f>SUM(AA1205:AE1205)</f>
        <v>0</v>
      </c>
      <c r="AH1205" s="6"/>
      <c r="AI1205" s="7"/>
      <c r="AJ1205" s="7"/>
      <c r="AK1205" s="7"/>
      <c r="AL1205" s="7"/>
      <c r="AM1205" s="8">
        <f>SUM(AH1205:AL1205)</f>
        <v>0</v>
      </c>
      <c r="AO1205" s="6"/>
      <c r="AP1205" s="7"/>
      <c r="AQ1205" s="7"/>
      <c r="AR1205" s="7"/>
      <c r="AS1205" s="7"/>
      <c r="AT1205" s="8">
        <f>SUM(AO1205:AS1205)</f>
        <v>0</v>
      </c>
      <c r="AV1205" s="6"/>
      <c r="AW1205" s="7"/>
      <c r="AX1205" s="7"/>
      <c r="AY1205" s="7"/>
      <c r="AZ1205" s="7"/>
      <c r="BA1205" s="8">
        <f>SUM(AV1205:AZ1205)</f>
        <v>0</v>
      </c>
      <c r="BC1205" s="6"/>
      <c r="BD1205" s="7"/>
      <c r="BE1205" s="7"/>
      <c r="BF1205" s="7"/>
      <c r="BG1205" s="7"/>
      <c r="BH1205" s="8">
        <f>SUM(BC1205:BG1205)</f>
        <v>0</v>
      </c>
      <c r="BJ1205" s="6"/>
      <c r="BK1205" s="7"/>
      <c r="BL1205" s="7"/>
      <c r="BM1205" s="7"/>
      <c r="BN1205" s="7"/>
      <c r="BO1205" s="8">
        <f>SUM(BJ1205:BN1205)</f>
        <v>0</v>
      </c>
      <c r="BQ1205" s="6"/>
      <c r="BR1205" s="7"/>
      <c r="BS1205" s="7"/>
      <c r="BT1205" s="7"/>
      <c r="BU1205" s="7"/>
      <c r="BV1205" s="8">
        <f>SUM(BQ1205:BU1205)</f>
        <v>0</v>
      </c>
      <c r="BX1205" s="6"/>
      <c r="BY1205" s="7"/>
      <c r="BZ1205" s="7"/>
      <c r="CA1205" s="7"/>
      <c r="CB1205" s="7"/>
      <c r="CC1205" s="8">
        <f>SUM(BX1205:CB1205)</f>
        <v>0</v>
      </c>
      <c r="CE1205" s="28">
        <f t="shared" si="5519"/>
        <v>0</v>
      </c>
      <c r="CF1205" s="29">
        <f t="shared" si="5520"/>
        <v>0</v>
      </c>
      <c r="CG1205" s="29">
        <f t="shared" si="5521"/>
        <v>0</v>
      </c>
      <c r="CH1205" s="29">
        <f t="shared" si="5522"/>
        <v>0</v>
      </c>
      <c r="CI1205" s="29">
        <f t="shared" si="5523"/>
        <v>0</v>
      </c>
      <c r="CJ1205" s="8">
        <f>SUM(CE1205:CI1205)</f>
        <v>0</v>
      </c>
      <c r="CL1205" s="6"/>
      <c r="CM1205" s="7"/>
      <c r="CN1205" s="7"/>
      <c r="CO1205" s="7"/>
      <c r="CP1205" s="7"/>
      <c r="CQ1205" s="8">
        <f>SUM(CL1205:CP1205)</f>
        <v>0</v>
      </c>
      <c r="CS1205" s="6"/>
      <c r="CT1205" s="7"/>
      <c r="CU1205" s="7"/>
      <c r="CV1205" s="7"/>
      <c r="CW1205" s="7"/>
      <c r="CX1205" s="8">
        <f t="shared" si="5528"/>
        <v>0</v>
      </c>
      <c r="CZ1205" s="6"/>
      <c r="DA1205" s="7"/>
      <c r="DB1205" s="7"/>
      <c r="DC1205" s="7"/>
      <c r="DD1205" s="7"/>
      <c r="DE1205" s="8">
        <f t="shared" si="5529"/>
        <v>0</v>
      </c>
    </row>
    <row r="1206" spans="3:109" ht="14" thickBot="1">
      <c r="C1206" s="567"/>
      <c r="E1206" s="5" t="s">
        <v>62</v>
      </c>
      <c r="F1206" s="23">
        <f t="shared" si="5524"/>
        <v>0</v>
      </c>
      <c r="G1206" s="24">
        <f t="shared" si="5515"/>
        <v>0</v>
      </c>
      <c r="H1206" s="24">
        <f t="shared" si="5516"/>
        <v>0</v>
      </c>
      <c r="I1206" s="24">
        <f t="shared" si="5517"/>
        <v>0</v>
      </c>
      <c r="J1206" s="24">
        <f t="shared" si="5518"/>
        <v>0</v>
      </c>
      <c r="K1206" s="8">
        <f t="shared" si="5525"/>
        <v>0</v>
      </c>
      <c r="M1206" s="6"/>
      <c r="N1206" s="7"/>
      <c r="O1206" s="7"/>
      <c r="P1206" s="7"/>
      <c r="Q1206" s="7"/>
      <c r="R1206" s="8">
        <f t="shared" si="5526"/>
        <v>0</v>
      </c>
      <c r="T1206" s="6"/>
      <c r="U1206" s="7"/>
      <c r="V1206" s="7"/>
      <c r="W1206" s="7"/>
      <c r="X1206" s="7"/>
      <c r="Y1206" s="8">
        <f t="shared" si="5527"/>
        <v>0</v>
      </c>
      <c r="AA1206" s="6"/>
      <c r="AB1206" s="7"/>
      <c r="AC1206" s="7"/>
      <c r="AD1206" s="7"/>
      <c r="AE1206" s="7"/>
      <c r="AF1206" s="8">
        <f>SUM(AA1206:AE1206)</f>
        <v>0</v>
      </c>
      <c r="AH1206" s="6"/>
      <c r="AI1206" s="7"/>
      <c r="AJ1206" s="7"/>
      <c r="AK1206" s="7"/>
      <c r="AL1206" s="7"/>
      <c r="AM1206" s="8">
        <f>SUM(AH1206:AL1206)</f>
        <v>0</v>
      </c>
      <c r="AO1206" s="6"/>
      <c r="AP1206" s="7"/>
      <c r="AQ1206" s="7"/>
      <c r="AR1206" s="7"/>
      <c r="AS1206" s="7"/>
      <c r="AT1206" s="8">
        <f>SUM(AO1206:AS1206)</f>
        <v>0</v>
      </c>
      <c r="AV1206" s="6"/>
      <c r="AW1206" s="7"/>
      <c r="AX1206" s="7"/>
      <c r="AY1206" s="7"/>
      <c r="AZ1206" s="7"/>
      <c r="BA1206" s="8">
        <f>SUM(AV1206:AZ1206)</f>
        <v>0</v>
      </c>
      <c r="BC1206" s="6"/>
      <c r="BD1206" s="7"/>
      <c r="BE1206" s="7"/>
      <c r="BF1206" s="7"/>
      <c r="BG1206" s="7"/>
      <c r="BH1206" s="8">
        <f>SUM(BC1206:BG1206)</f>
        <v>0</v>
      </c>
      <c r="BJ1206" s="6"/>
      <c r="BK1206" s="7"/>
      <c r="BL1206" s="7"/>
      <c r="BM1206" s="7"/>
      <c r="BN1206" s="7"/>
      <c r="BO1206" s="8">
        <f>SUM(BJ1206:BN1206)</f>
        <v>0</v>
      </c>
      <c r="BQ1206" s="6"/>
      <c r="BR1206" s="7"/>
      <c r="BS1206" s="7"/>
      <c r="BT1206" s="7"/>
      <c r="BU1206" s="7"/>
      <c r="BV1206" s="8">
        <f>SUM(BQ1206:BU1206)</f>
        <v>0</v>
      </c>
      <c r="BX1206" s="6"/>
      <c r="BY1206" s="7"/>
      <c r="BZ1206" s="7"/>
      <c r="CA1206" s="7"/>
      <c r="CB1206" s="7"/>
      <c r="CC1206" s="8">
        <f>SUM(BX1206:CB1206)</f>
        <v>0</v>
      </c>
      <c r="CE1206" s="493">
        <f t="shared" si="5519"/>
        <v>0</v>
      </c>
      <c r="CF1206" s="494">
        <f t="shared" si="5520"/>
        <v>0</v>
      </c>
      <c r="CG1206" s="494">
        <f t="shared" si="5521"/>
        <v>0</v>
      </c>
      <c r="CH1206" s="494">
        <f t="shared" si="5522"/>
        <v>0</v>
      </c>
      <c r="CI1206" s="494">
        <f t="shared" si="5523"/>
        <v>0</v>
      </c>
      <c r="CJ1206" s="495">
        <f>SUM(CE1206:CI1206)</f>
        <v>0</v>
      </c>
      <c r="CL1206" s="6"/>
      <c r="CM1206" s="7"/>
      <c r="CN1206" s="7"/>
      <c r="CO1206" s="7"/>
      <c r="CP1206" s="7"/>
      <c r="CQ1206" s="8">
        <f>SUM(CL1206:CP1206)</f>
        <v>0</v>
      </c>
      <c r="CS1206" s="6"/>
      <c r="CT1206" s="7"/>
      <c r="CU1206" s="7"/>
      <c r="CV1206" s="7"/>
      <c r="CW1206" s="7"/>
      <c r="CX1206" s="8">
        <f t="shared" si="5528"/>
        <v>0</v>
      </c>
      <c r="CZ1206" s="6"/>
      <c r="DA1206" s="7"/>
      <c r="DB1206" s="7"/>
      <c r="DC1206" s="7"/>
      <c r="DD1206" s="7"/>
      <c r="DE1206" s="8">
        <f t="shared" si="5529"/>
        <v>0</v>
      </c>
    </row>
    <row r="1207" spans="3:109" ht="14" thickBot="1">
      <c r="C1207" s="554"/>
      <c r="E1207" s="9"/>
      <c r="F1207" s="10">
        <f>SUM(F1203:F1206)</f>
        <v>0</v>
      </c>
      <c r="G1207" s="11">
        <f t="shared" ref="G1207:J1207" si="5530">SUM(G1203:G1206)</f>
        <v>0</v>
      </c>
      <c r="H1207" s="11">
        <f t="shared" si="5530"/>
        <v>0</v>
      </c>
      <c r="I1207" s="11">
        <f t="shared" si="5530"/>
        <v>0</v>
      </c>
      <c r="J1207" s="11">
        <f t="shared" si="5530"/>
        <v>0</v>
      </c>
      <c r="K1207" s="25">
        <f>SUM(K1203:K1206)</f>
        <v>0</v>
      </c>
      <c r="M1207" s="10">
        <f>SUM(M1203:M1206)</f>
        <v>0</v>
      </c>
      <c r="N1207" s="11">
        <f t="shared" ref="N1207:Q1207" si="5531">SUM(N1203:N1206)</f>
        <v>0</v>
      </c>
      <c r="O1207" s="11">
        <f t="shared" si="5531"/>
        <v>0</v>
      </c>
      <c r="P1207" s="11">
        <f t="shared" si="5531"/>
        <v>0</v>
      </c>
      <c r="Q1207" s="11">
        <f t="shared" si="5531"/>
        <v>0</v>
      </c>
      <c r="R1207" s="25">
        <f>SUM(R1203:R1206)</f>
        <v>0</v>
      </c>
      <c r="T1207" s="10">
        <f>SUM(T1203:T1206)</f>
        <v>0</v>
      </c>
      <c r="U1207" s="11">
        <f t="shared" ref="U1207:X1207" si="5532">SUM(U1203:U1206)</f>
        <v>0</v>
      </c>
      <c r="V1207" s="11">
        <f t="shared" si="5532"/>
        <v>0</v>
      </c>
      <c r="W1207" s="11">
        <f t="shared" si="5532"/>
        <v>0</v>
      </c>
      <c r="X1207" s="11">
        <f t="shared" si="5532"/>
        <v>0</v>
      </c>
      <c r="Y1207" s="25">
        <f>SUM(Y1203:Y1206)</f>
        <v>0</v>
      </c>
      <c r="AA1207" s="10">
        <f>SUM(AA1203:AA1206)</f>
        <v>0</v>
      </c>
      <c r="AB1207" s="11">
        <f t="shared" ref="AB1207:AE1207" si="5533">SUM(AB1203:AB1206)</f>
        <v>0</v>
      </c>
      <c r="AC1207" s="11">
        <f t="shared" si="5533"/>
        <v>0</v>
      </c>
      <c r="AD1207" s="11">
        <f t="shared" si="5533"/>
        <v>0</v>
      </c>
      <c r="AE1207" s="11">
        <f t="shared" si="5533"/>
        <v>0</v>
      </c>
      <c r="AF1207" s="25">
        <f>SUM(AF1203:AF1206)</f>
        <v>0</v>
      </c>
      <c r="AH1207" s="10">
        <f t="shared" ref="AH1207:AM1207" si="5534">SUM(AH1203:AH1206)</f>
        <v>0</v>
      </c>
      <c r="AI1207" s="11">
        <f t="shared" si="5534"/>
        <v>0</v>
      </c>
      <c r="AJ1207" s="11">
        <f t="shared" si="5534"/>
        <v>0</v>
      </c>
      <c r="AK1207" s="11">
        <f t="shared" si="5534"/>
        <v>0</v>
      </c>
      <c r="AL1207" s="11">
        <f t="shared" si="5534"/>
        <v>0</v>
      </c>
      <c r="AM1207" s="25">
        <f t="shared" si="5534"/>
        <v>0</v>
      </c>
      <c r="AO1207" s="10">
        <f t="shared" ref="AO1207:AT1207" si="5535">SUM(AO1203:AO1206)</f>
        <v>0</v>
      </c>
      <c r="AP1207" s="11">
        <f t="shared" si="5535"/>
        <v>0</v>
      </c>
      <c r="AQ1207" s="11">
        <f t="shared" si="5535"/>
        <v>0</v>
      </c>
      <c r="AR1207" s="11">
        <f t="shared" si="5535"/>
        <v>0</v>
      </c>
      <c r="AS1207" s="11">
        <f t="shared" si="5535"/>
        <v>0</v>
      </c>
      <c r="AT1207" s="25">
        <f t="shared" si="5535"/>
        <v>0</v>
      </c>
      <c r="AV1207" s="10">
        <f t="shared" ref="AV1207:BA1207" si="5536">SUM(AV1203:AV1206)</f>
        <v>0</v>
      </c>
      <c r="AW1207" s="11">
        <f t="shared" si="5536"/>
        <v>0</v>
      </c>
      <c r="AX1207" s="11">
        <f t="shared" si="5536"/>
        <v>0</v>
      </c>
      <c r="AY1207" s="11">
        <f t="shared" si="5536"/>
        <v>0</v>
      </c>
      <c r="AZ1207" s="11">
        <f t="shared" si="5536"/>
        <v>0</v>
      </c>
      <c r="BA1207" s="25">
        <f t="shared" si="5536"/>
        <v>0</v>
      </c>
      <c r="BC1207" s="10">
        <f t="shared" ref="BC1207:BH1207" si="5537">SUM(BC1203:BC1206)</f>
        <v>0</v>
      </c>
      <c r="BD1207" s="11">
        <f t="shared" si="5537"/>
        <v>0</v>
      </c>
      <c r="BE1207" s="11">
        <f t="shared" si="5537"/>
        <v>0</v>
      </c>
      <c r="BF1207" s="11">
        <f t="shared" si="5537"/>
        <v>0</v>
      </c>
      <c r="BG1207" s="11">
        <f t="shared" si="5537"/>
        <v>0</v>
      </c>
      <c r="BH1207" s="25">
        <f t="shared" si="5537"/>
        <v>0</v>
      </c>
      <c r="BJ1207" s="10">
        <f t="shared" ref="BJ1207:BO1207" si="5538">SUM(BJ1203:BJ1206)</f>
        <v>0</v>
      </c>
      <c r="BK1207" s="11">
        <f t="shared" si="5538"/>
        <v>0</v>
      </c>
      <c r="BL1207" s="11">
        <f t="shared" si="5538"/>
        <v>0</v>
      </c>
      <c r="BM1207" s="11">
        <f t="shared" si="5538"/>
        <v>0</v>
      </c>
      <c r="BN1207" s="11">
        <f t="shared" si="5538"/>
        <v>0</v>
      </c>
      <c r="BO1207" s="25">
        <f t="shared" si="5538"/>
        <v>0</v>
      </c>
      <c r="BQ1207" s="10">
        <f t="shared" ref="BQ1207:BV1207" si="5539">SUM(BQ1203:BQ1206)</f>
        <v>0</v>
      </c>
      <c r="BR1207" s="11">
        <f t="shared" si="5539"/>
        <v>0</v>
      </c>
      <c r="BS1207" s="11">
        <f t="shared" si="5539"/>
        <v>0</v>
      </c>
      <c r="BT1207" s="11">
        <f t="shared" si="5539"/>
        <v>0</v>
      </c>
      <c r="BU1207" s="11">
        <f t="shared" si="5539"/>
        <v>0</v>
      </c>
      <c r="BV1207" s="25">
        <f t="shared" si="5539"/>
        <v>0</v>
      </c>
      <c r="BX1207" s="10">
        <f t="shared" ref="BX1207:CC1207" si="5540">SUM(BX1203:BX1206)</f>
        <v>0</v>
      </c>
      <c r="BY1207" s="11">
        <f t="shared" si="5540"/>
        <v>0</v>
      </c>
      <c r="BZ1207" s="11">
        <f t="shared" si="5540"/>
        <v>0</v>
      </c>
      <c r="CA1207" s="11">
        <f t="shared" si="5540"/>
        <v>0</v>
      </c>
      <c r="CB1207" s="11">
        <f t="shared" si="5540"/>
        <v>0</v>
      </c>
      <c r="CC1207" s="25">
        <f t="shared" si="5540"/>
        <v>0</v>
      </c>
      <c r="CE1207" s="62">
        <f t="shared" ref="CE1207:CJ1207" si="5541">SUM(CE1203:CE1206)</f>
        <v>0</v>
      </c>
      <c r="CF1207" s="63">
        <f t="shared" si="5541"/>
        <v>0</v>
      </c>
      <c r="CG1207" s="63">
        <f t="shared" si="5541"/>
        <v>0</v>
      </c>
      <c r="CH1207" s="63">
        <f t="shared" si="5541"/>
        <v>0</v>
      </c>
      <c r="CI1207" s="63">
        <f t="shared" si="5541"/>
        <v>0</v>
      </c>
      <c r="CJ1207" s="25">
        <f t="shared" si="5541"/>
        <v>0</v>
      </c>
      <c r="CL1207" s="10">
        <f>SUM(CL1203:CL1206)</f>
        <v>0</v>
      </c>
      <c r="CM1207" s="11">
        <f t="shared" ref="CM1207:CQ1207" si="5542">SUM(CM1203:CM1206)</f>
        <v>0</v>
      </c>
      <c r="CN1207" s="11">
        <f t="shared" si="5542"/>
        <v>0</v>
      </c>
      <c r="CO1207" s="11">
        <f t="shared" si="5542"/>
        <v>0</v>
      </c>
      <c r="CP1207" s="11">
        <f t="shared" si="5542"/>
        <v>0</v>
      </c>
      <c r="CQ1207" s="25">
        <f t="shared" si="5542"/>
        <v>0</v>
      </c>
      <c r="CS1207" s="10">
        <f>SUM(CS1203:CS1206)</f>
        <v>0</v>
      </c>
      <c r="CT1207" s="11">
        <f t="shared" ref="CT1207:CW1207" si="5543">SUM(CT1203:CT1206)</f>
        <v>0</v>
      </c>
      <c r="CU1207" s="11">
        <f t="shared" si="5543"/>
        <v>0</v>
      </c>
      <c r="CV1207" s="11">
        <f t="shared" si="5543"/>
        <v>0</v>
      </c>
      <c r="CW1207" s="11">
        <f t="shared" si="5543"/>
        <v>0</v>
      </c>
      <c r="CX1207" s="25">
        <f>SUM(CX1203:CX1206)</f>
        <v>0</v>
      </c>
      <c r="CZ1207" s="10">
        <f>SUM(CZ1203:CZ1206)</f>
        <v>0</v>
      </c>
      <c r="DA1207" s="11">
        <f t="shared" ref="DA1207:DD1207" si="5544">SUM(DA1203:DA1206)</f>
        <v>0</v>
      </c>
      <c r="DB1207" s="11">
        <f t="shared" si="5544"/>
        <v>0</v>
      </c>
      <c r="DC1207" s="11">
        <f t="shared" si="5544"/>
        <v>0</v>
      </c>
      <c r="DD1207" s="11">
        <f t="shared" si="5544"/>
        <v>0</v>
      </c>
      <c r="DE1207" s="25">
        <f>SUM(DE1203:DE1206)</f>
        <v>0</v>
      </c>
    </row>
    <row r="1208" spans="3:109" ht="10.4" customHeight="1" thickBot="1"/>
    <row r="1209" spans="3:109">
      <c r="C1209" s="553">
        <v>2027</v>
      </c>
      <c r="E1209" s="1" t="s">
        <v>59</v>
      </c>
      <c r="F1209" s="21">
        <f>CE1203</f>
        <v>0</v>
      </c>
      <c r="G1209" s="22">
        <f t="shared" ref="G1209:G1212" si="5545">CF1203</f>
        <v>0</v>
      </c>
      <c r="H1209" s="22">
        <f t="shared" ref="H1209:H1212" si="5546">CG1203</f>
        <v>0</v>
      </c>
      <c r="I1209" s="22">
        <f t="shared" ref="I1209:I1212" si="5547">CH1203</f>
        <v>0</v>
      </c>
      <c r="J1209" s="22">
        <f t="shared" ref="J1209:J1212" si="5548">CI1203</f>
        <v>0</v>
      </c>
      <c r="K1209" s="4">
        <f>SUM(F1209:J1209)</f>
        <v>0</v>
      </c>
      <c r="M1209" s="2"/>
      <c r="N1209" s="3"/>
      <c r="O1209" s="3"/>
      <c r="P1209" s="3"/>
      <c r="Q1209" s="3"/>
      <c r="R1209" s="4">
        <f>SUM(M1209:Q1209)</f>
        <v>0</v>
      </c>
      <c r="T1209" s="2"/>
      <c r="U1209" s="3"/>
      <c r="V1209" s="3"/>
      <c r="W1209" s="3"/>
      <c r="X1209" s="3"/>
      <c r="Y1209" s="4">
        <f>SUM(T1209:X1209)</f>
        <v>0</v>
      </c>
      <c r="AA1209" s="2"/>
      <c r="AB1209" s="3"/>
      <c r="AC1209" s="3"/>
      <c r="AD1209" s="3"/>
      <c r="AE1209" s="3"/>
      <c r="AF1209" s="4">
        <f>SUM(AA1209:AE1209)</f>
        <v>0</v>
      </c>
      <c r="AH1209" s="2"/>
      <c r="AI1209" s="3"/>
      <c r="AJ1209" s="3"/>
      <c r="AK1209" s="3"/>
      <c r="AL1209" s="3"/>
      <c r="AM1209" s="4">
        <f>SUM(AH1209:AL1209)</f>
        <v>0</v>
      </c>
      <c r="AO1209" s="2"/>
      <c r="AP1209" s="3"/>
      <c r="AQ1209" s="3"/>
      <c r="AR1209" s="3"/>
      <c r="AS1209" s="3"/>
      <c r="AT1209" s="4">
        <f>SUM(AO1209:AS1209)</f>
        <v>0</v>
      </c>
      <c r="AV1209" s="2"/>
      <c r="AW1209" s="3"/>
      <c r="AX1209" s="3"/>
      <c r="AY1209" s="3"/>
      <c r="AZ1209" s="3"/>
      <c r="BA1209" s="4">
        <f>SUM(AV1209:AZ1209)</f>
        <v>0</v>
      </c>
      <c r="BC1209" s="2"/>
      <c r="BD1209" s="3"/>
      <c r="BE1209" s="3"/>
      <c r="BF1209" s="3"/>
      <c r="BG1209" s="3"/>
      <c r="BH1209" s="4">
        <f>SUM(BC1209:BG1209)</f>
        <v>0</v>
      </c>
      <c r="BJ1209" s="2"/>
      <c r="BK1209" s="3"/>
      <c r="BL1209" s="3"/>
      <c r="BM1209" s="3"/>
      <c r="BN1209" s="3"/>
      <c r="BO1209" s="4">
        <f>SUM(BJ1209:BN1209)</f>
        <v>0</v>
      </c>
      <c r="BQ1209" s="2"/>
      <c r="BR1209" s="3"/>
      <c r="BS1209" s="3"/>
      <c r="BT1209" s="3"/>
      <c r="BU1209" s="3"/>
      <c r="BV1209" s="4">
        <f>SUM(BQ1209:BU1209)</f>
        <v>0</v>
      </c>
      <c r="BX1209" s="2"/>
      <c r="BY1209" s="3"/>
      <c r="BZ1209" s="3"/>
      <c r="CA1209" s="3"/>
      <c r="CB1209" s="3"/>
      <c r="CC1209" s="4">
        <f>SUM(BX1209:CB1209)</f>
        <v>0</v>
      </c>
      <c r="CE1209" s="26">
        <f t="shared" ref="CE1209:CE1212" si="5549">F1209+M1209+T1209+AA1209+AH1209+AO1209+AV1209+BC1209+BJ1209+BQ1209+BX1209</f>
        <v>0</v>
      </c>
      <c r="CF1209" s="27">
        <f t="shared" ref="CF1209:CF1212" si="5550">G1209+N1209+U1209+AB1209+AI1209+AP1209+AW1209+BD1209+BK1209+BR1209+BY1209</f>
        <v>0</v>
      </c>
      <c r="CG1209" s="27">
        <f t="shared" ref="CG1209:CG1212" si="5551">H1209+O1209+V1209+AC1209+AJ1209+AQ1209+AX1209+BE1209+BL1209+BS1209+BZ1209</f>
        <v>0</v>
      </c>
      <c r="CH1209" s="27">
        <f t="shared" ref="CH1209:CH1212" si="5552">I1209+P1209+W1209+AD1209+AK1209+AR1209+AY1209+BF1209+BM1209+BT1209+CA1209</f>
        <v>0</v>
      </c>
      <c r="CI1209" s="27">
        <f t="shared" ref="CI1209:CI1212" si="5553">J1209+Q1209+X1209+AE1209+AL1209+AS1209+AZ1209+BG1209+BN1209+BU1209+CB1209</f>
        <v>0</v>
      </c>
      <c r="CJ1209" s="4">
        <f>SUM(CE1209:CI1209)</f>
        <v>0</v>
      </c>
      <c r="CL1209" s="2"/>
      <c r="CM1209" s="3"/>
      <c r="CN1209" s="3"/>
      <c r="CO1209" s="3"/>
      <c r="CP1209" s="3"/>
      <c r="CQ1209" s="4">
        <f>SUM(CL1209:CP1209)</f>
        <v>0</v>
      </c>
      <c r="CS1209" s="2"/>
      <c r="CT1209" s="3"/>
      <c r="CU1209" s="3"/>
      <c r="CV1209" s="3"/>
      <c r="CW1209" s="3"/>
      <c r="CX1209" s="4">
        <f>SUM(CS1209:CW1209)</f>
        <v>0</v>
      </c>
      <c r="CZ1209" s="2"/>
      <c r="DA1209" s="3"/>
      <c r="DB1209" s="3"/>
      <c r="DC1209" s="3"/>
      <c r="DD1209" s="3"/>
      <c r="DE1209" s="4">
        <f>SUM(CZ1209:DD1209)</f>
        <v>0</v>
      </c>
    </row>
    <row r="1210" spans="3:109">
      <c r="C1210" s="567"/>
      <c r="E1210" s="5" t="s">
        <v>60</v>
      </c>
      <c r="F1210" s="23">
        <f t="shared" ref="F1210:F1212" si="5554">CE1204</f>
        <v>0</v>
      </c>
      <c r="G1210" s="24">
        <f t="shared" si="5545"/>
        <v>0</v>
      </c>
      <c r="H1210" s="24">
        <f t="shared" si="5546"/>
        <v>0</v>
      </c>
      <c r="I1210" s="24">
        <f t="shared" si="5547"/>
        <v>0</v>
      </c>
      <c r="J1210" s="24">
        <f t="shared" si="5548"/>
        <v>0</v>
      </c>
      <c r="K1210" s="8">
        <f t="shared" ref="K1210:K1212" si="5555">SUM(F1210:J1210)</f>
        <v>0</v>
      </c>
      <c r="M1210" s="6"/>
      <c r="N1210" s="7"/>
      <c r="O1210" s="7"/>
      <c r="P1210" s="7"/>
      <c r="Q1210" s="7"/>
      <c r="R1210" s="8">
        <f t="shared" ref="R1210:R1212" si="5556">SUM(M1210:Q1210)</f>
        <v>0</v>
      </c>
      <c r="T1210" s="6"/>
      <c r="U1210" s="7"/>
      <c r="V1210" s="7"/>
      <c r="W1210" s="7"/>
      <c r="X1210" s="7"/>
      <c r="Y1210" s="8">
        <f t="shared" ref="Y1210:Y1212" si="5557">SUM(T1210:X1210)</f>
        <v>0</v>
      </c>
      <c r="AA1210" s="6"/>
      <c r="AB1210" s="7"/>
      <c r="AC1210" s="7"/>
      <c r="AD1210" s="7"/>
      <c r="AE1210" s="7"/>
      <c r="AF1210" s="8">
        <f>SUM(AA1210:AE1210)</f>
        <v>0</v>
      </c>
      <c r="AH1210" s="6"/>
      <c r="AI1210" s="7"/>
      <c r="AJ1210" s="7"/>
      <c r="AK1210" s="7"/>
      <c r="AL1210" s="7"/>
      <c r="AM1210" s="8">
        <f>SUM(AH1210:AL1210)</f>
        <v>0</v>
      </c>
      <c r="AO1210" s="6"/>
      <c r="AP1210" s="7"/>
      <c r="AQ1210" s="7"/>
      <c r="AR1210" s="7"/>
      <c r="AS1210" s="7"/>
      <c r="AT1210" s="8">
        <f>SUM(AO1210:AS1210)</f>
        <v>0</v>
      </c>
      <c r="AV1210" s="6"/>
      <c r="AW1210" s="7"/>
      <c r="AX1210" s="7"/>
      <c r="AY1210" s="7"/>
      <c r="AZ1210" s="7"/>
      <c r="BA1210" s="8">
        <f>SUM(AV1210:AZ1210)</f>
        <v>0</v>
      </c>
      <c r="BC1210" s="6"/>
      <c r="BD1210" s="7"/>
      <c r="BE1210" s="7"/>
      <c r="BF1210" s="7"/>
      <c r="BG1210" s="7"/>
      <c r="BH1210" s="8">
        <f>SUM(BC1210:BG1210)</f>
        <v>0</v>
      </c>
      <c r="BJ1210" s="6"/>
      <c r="BK1210" s="7"/>
      <c r="BL1210" s="7"/>
      <c r="BM1210" s="7"/>
      <c r="BN1210" s="7"/>
      <c r="BO1210" s="8">
        <f>SUM(BJ1210:BN1210)</f>
        <v>0</v>
      </c>
      <c r="BQ1210" s="6"/>
      <c r="BR1210" s="7"/>
      <c r="BS1210" s="7"/>
      <c r="BT1210" s="7"/>
      <c r="BU1210" s="7"/>
      <c r="BV1210" s="8">
        <f>SUM(BQ1210:BU1210)</f>
        <v>0</v>
      </c>
      <c r="BX1210" s="6"/>
      <c r="BY1210" s="7"/>
      <c r="BZ1210" s="7"/>
      <c r="CA1210" s="7"/>
      <c r="CB1210" s="7"/>
      <c r="CC1210" s="8">
        <f>SUM(BX1210:CB1210)</f>
        <v>0</v>
      </c>
      <c r="CE1210" s="28">
        <f t="shared" si="5549"/>
        <v>0</v>
      </c>
      <c r="CF1210" s="29">
        <f t="shared" si="5550"/>
        <v>0</v>
      </c>
      <c r="CG1210" s="29">
        <f t="shared" si="5551"/>
        <v>0</v>
      </c>
      <c r="CH1210" s="29">
        <f t="shared" si="5552"/>
        <v>0</v>
      </c>
      <c r="CI1210" s="29">
        <f t="shared" si="5553"/>
        <v>0</v>
      </c>
      <c r="CJ1210" s="8">
        <f>SUM(CE1210:CI1210)</f>
        <v>0</v>
      </c>
      <c r="CL1210" s="6"/>
      <c r="CM1210" s="7"/>
      <c r="CN1210" s="7"/>
      <c r="CO1210" s="7"/>
      <c r="CP1210" s="7"/>
      <c r="CQ1210" s="8">
        <f>SUM(CL1210:CP1210)</f>
        <v>0</v>
      </c>
      <c r="CS1210" s="6"/>
      <c r="CT1210" s="7"/>
      <c r="CU1210" s="7"/>
      <c r="CV1210" s="7"/>
      <c r="CW1210" s="7"/>
      <c r="CX1210" s="8">
        <f t="shared" ref="CX1210:CX1212" si="5558">SUM(CS1210:CW1210)</f>
        <v>0</v>
      </c>
      <c r="CZ1210" s="6"/>
      <c r="DA1210" s="7"/>
      <c r="DB1210" s="7"/>
      <c r="DC1210" s="7"/>
      <c r="DD1210" s="7"/>
      <c r="DE1210" s="8">
        <f t="shared" ref="DE1210:DE1212" si="5559">SUM(CZ1210:DD1210)</f>
        <v>0</v>
      </c>
    </row>
    <row r="1211" spans="3:109">
      <c r="C1211" s="567"/>
      <c r="E1211" s="5" t="s">
        <v>61</v>
      </c>
      <c r="F1211" s="23">
        <f t="shared" si="5554"/>
        <v>0</v>
      </c>
      <c r="G1211" s="24">
        <f t="shared" si="5545"/>
        <v>0</v>
      </c>
      <c r="H1211" s="24">
        <f t="shared" si="5546"/>
        <v>0</v>
      </c>
      <c r="I1211" s="24">
        <f t="shared" si="5547"/>
        <v>0</v>
      </c>
      <c r="J1211" s="24">
        <f t="shared" si="5548"/>
        <v>0</v>
      </c>
      <c r="K1211" s="8">
        <f t="shared" si="5555"/>
        <v>0</v>
      </c>
      <c r="M1211" s="6"/>
      <c r="N1211" s="7"/>
      <c r="O1211" s="7"/>
      <c r="P1211" s="7"/>
      <c r="Q1211" s="7"/>
      <c r="R1211" s="8">
        <f t="shared" si="5556"/>
        <v>0</v>
      </c>
      <c r="T1211" s="6"/>
      <c r="U1211" s="7"/>
      <c r="V1211" s="7"/>
      <c r="W1211" s="7"/>
      <c r="X1211" s="7"/>
      <c r="Y1211" s="8">
        <f t="shared" si="5557"/>
        <v>0</v>
      </c>
      <c r="AA1211" s="6"/>
      <c r="AB1211" s="7"/>
      <c r="AC1211" s="7"/>
      <c r="AD1211" s="7"/>
      <c r="AE1211" s="7"/>
      <c r="AF1211" s="8">
        <f>SUM(AA1211:AE1211)</f>
        <v>0</v>
      </c>
      <c r="AH1211" s="6"/>
      <c r="AI1211" s="7"/>
      <c r="AJ1211" s="7"/>
      <c r="AK1211" s="7"/>
      <c r="AL1211" s="7"/>
      <c r="AM1211" s="8">
        <f>SUM(AH1211:AL1211)</f>
        <v>0</v>
      </c>
      <c r="AO1211" s="6"/>
      <c r="AP1211" s="7"/>
      <c r="AQ1211" s="7"/>
      <c r="AR1211" s="7"/>
      <c r="AS1211" s="7"/>
      <c r="AT1211" s="8">
        <f>SUM(AO1211:AS1211)</f>
        <v>0</v>
      </c>
      <c r="AV1211" s="6"/>
      <c r="AW1211" s="7"/>
      <c r="AX1211" s="7"/>
      <c r="AY1211" s="7"/>
      <c r="AZ1211" s="7"/>
      <c r="BA1211" s="8">
        <f>SUM(AV1211:AZ1211)</f>
        <v>0</v>
      </c>
      <c r="BC1211" s="6"/>
      <c r="BD1211" s="7"/>
      <c r="BE1211" s="7"/>
      <c r="BF1211" s="7"/>
      <c r="BG1211" s="7"/>
      <c r="BH1211" s="8">
        <f>SUM(BC1211:BG1211)</f>
        <v>0</v>
      </c>
      <c r="BJ1211" s="6"/>
      <c r="BK1211" s="7"/>
      <c r="BL1211" s="7"/>
      <c r="BM1211" s="7"/>
      <c r="BN1211" s="7"/>
      <c r="BO1211" s="8">
        <f>SUM(BJ1211:BN1211)</f>
        <v>0</v>
      </c>
      <c r="BQ1211" s="6"/>
      <c r="BR1211" s="7"/>
      <c r="BS1211" s="7"/>
      <c r="BT1211" s="7"/>
      <c r="BU1211" s="7"/>
      <c r="BV1211" s="8">
        <f>SUM(BQ1211:BU1211)</f>
        <v>0</v>
      </c>
      <c r="BX1211" s="6"/>
      <c r="BY1211" s="7"/>
      <c r="BZ1211" s="7"/>
      <c r="CA1211" s="7"/>
      <c r="CB1211" s="7"/>
      <c r="CC1211" s="8">
        <f>SUM(BX1211:CB1211)</f>
        <v>0</v>
      </c>
      <c r="CE1211" s="28">
        <f t="shared" si="5549"/>
        <v>0</v>
      </c>
      <c r="CF1211" s="29">
        <f t="shared" si="5550"/>
        <v>0</v>
      </c>
      <c r="CG1211" s="29">
        <f t="shared" si="5551"/>
        <v>0</v>
      </c>
      <c r="CH1211" s="29">
        <f t="shared" si="5552"/>
        <v>0</v>
      </c>
      <c r="CI1211" s="29">
        <f t="shared" si="5553"/>
        <v>0</v>
      </c>
      <c r="CJ1211" s="8">
        <f>SUM(CE1211:CI1211)</f>
        <v>0</v>
      </c>
      <c r="CL1211" s="6"/>
      <c r="CM1211" s="7"/>
      <c r="CN1211" s="7"/>
      <c r="CO1211" s="7"/>
      <c r="CP1211" s="7"/>
      <c r="CQ1211" s="8">
        <f>SUM(CL1211:CP1211)</f>
        <v>0</v>
      </c>
      <c r="CS1211" s="6"/>
      <c r="CT1211" s="7"/>
      <c r="CU1211" s="7"/>
      <c r="CV1211" s="7"/>
      <c r="CW1211" s="7"/>
      <c r="CX1211" s="8">
        <f t="shared" si="5558"/>
        <v>0</v>
      </c>
      <c r="CZ1211" s="6"/>
      <c r="DA1211" s="7"/>
      <c r="DB1211" s="7"/>
      <c r="DC1211" s="7"/>
      <c r="DD1211" s="7"/>
      <c r="DE1211" s="8">
        <f t="shared" si="5559"/>
        <v>0</v>
      </c>
    </row>
    <row r="1212" spans="3:109" ht="14" thickBot="1">
      <c r="C1212" s="567"/>
      <c r="E1212" s="5" t="s">
        <v>62</v>
      </c>
      <c r="F1212" s="23">
        <f t="shared" si="5554"/>
        <v>0</v>
      </c>
      <c r="G1212" s="24">
        <f t="shared" si="5545"/>
        <v>0</v>
      </c>
      <c r="H1212" s="24">
        <f t="shared" si="5546"/>
        <v>0</v>
      </c>
      <c r="I1212" s="24">
        <f t="shared" si="5547"/>
        <v>0</v>
      </c>
      <c r="J1212" s="24">
        <f t="shared" si="5548"/>
        <v>0</v>
      </c>
      <c r="K1212" s="8">
        <f t="shared" si="5555"/>
        <v>0</v>
      </c>
      <c r="M1212" s="6"/>
      <c r="N1212" s="7"/>
      <c r="O1212" s="7"/>
      <c r="P1212" s="7"/>
      <c r="Q1212" s="7"/>
      <c r="R1212" s="8">
        <f t="shared" si="5556"/>
        <v>0</v>
      </c>
      <c r="T1212" s="6"/>
      <c r="U1212" s="7"/>
      <c r="V1212" s="7"/>
      <c r="W1212" s="7"/>
      <c r="X1212" s="7"/>
      <c r="Y1212" s="8">
        <f t="shared" si="5557"/>
        <v>0</v>
      </c>
      <c r="AA1212" s="6"/>
      <c r="AB1212" s="7"/>
      <c r="AC1212" s="7"/>
      <c r="AD1212" s="7"/>
      <c r="AE1212" s="7"/>
      <c r="AF1212" s="8">
        <f>SUM(AA1212:AE1212)</f>
        <v>0</v>
      </c>
      <c r="AH1212" s="6"/>
      <c r="AI1212" s="7"/>
      <c r="AJ1212" s="7"/>
      <c r="AK1212" s="7"/>
      <c r="AL1212" s="7"/>
      <c r="AM1212" s="8">
        <f>SUM(AH1212:AL1212)</f>
        <v>0</v>
      </c>
      <c r="AO1212" s="6"/>
      <c r="AP1212" s="7"/>
      <c r="AQ1212" s="7"/>
      <c r="AR1212" s="7"/>
      <c r="AS1212" s="7"/>
      <c r="AT1212" s="8">
        <f>SUM(AO1212:AS1212)</f>
        <v>0</v>
      </c>
      <c r="AV1212" s="6"/>
      <c r="AW1212" s="7"/>
      <c r="AX1212" s="7"/>
      <c r="AY1212" s="7"/>
      <c r="AZ1212" s="7"/>
      <c r="BA1212" s="8">
        <f>SUM(AV1212:AZ1212)</f>
        <v>0</v>
      </c>
      <c r="BC1212" s="6"/>
      <c r="BD1212" s="7"/>
      <c r="BE1212" s="7"/>
      <c r="BF1212" s="7"/>
      <c r="BG1212" s="7"/>
      <c r="BH1212" s="8">
        <f>SUM(BC1212:BG1212)</f>
        <v>0</v>
      </c>
      <c r="BJ1212" s="6"/>
      <c r="BK1212" s="7"/>
      <c r="BL1212" s="7"/>
      <c r="BM1212" s="7"/>
      <c r="BN1212" s="7"/>
      <c r="BO1212" s="8">
        <f>SUM(BJ1212:BN1212)</f>
        <v>0</v>
      </c>
      <c r="BQ1212" s="6"/>
      <c r="BR1212" s="7"/>
      <c r="BS1212" s="7"/>
      <c r="BT1212" s="7"/>
      <c r="BU1212" s="7"/>
      <c r="BV1212" s="8">
        <f>SUM(BQ1212:BU1212)</f>
        <v>0</v>
      </c>
      <c r="BX1212" s="6"/>
      <c r="BY1212" s="7"/>
      <c r="BZ1212" s="7"/>
      <c r="CA1212" s="7"/>
      <c r="CB1212" s="7"/>
      <c r="CC1212" s="8">
        <f>SUM(BX1212:CB1212)</f>
        <v>0</v>
      </c>
      <c r="CE1212" s="493">
        <f t="shared" si="5549"/>
        <v>0</v>
      </c>
      <c r="CF1212" s="494">
        <f t="shared" si="5550"/>
        <v>0</v>
      </c>
      <c r="CG1212" s="494">
        <f t="shared" si="5551"/>
        <v>0</v>
      </c>
      <c r="CH1212" s="494">
        <f t="shared" si="5552"/>
        <v>0</v>
      </c>
      <c r="CI1212" s="494">
        <f t="shared" si="5553"/>
        <v>0</v>
      </c>
      <c r="CJ1212" s="495">
        <f>SUM(CE1212:CI1212)</f>
        <v>0</v>
      </c>
      <c r="CL1212" s="6"/>
      <c r="CM1212" s="7"/>
      <c r="CN1212" s="7"/>
      <c r="CO1212" s="7"/>
      <c r="CP1212" s="7"/>
      <c r="CQ1212" s="8">
        <f>SUM(CL1212:CP1212)</f>
        <v>0</v>
      </c>
      <c r="CS1212" s="6"/>
      <c r="CT1212" s="7"/>
      <c r="CU1212" s="7"/>
      <c r="CV1212" s="7"/>
      <c r="CW1212" s="7"/>
      <c r="CX1212" s="8">
        <f t="shared" si="5558"/>
        <v>0</v>
      </c>
      <c r="CZ1212" s="6"/>
      <c r="DA1212" s="7"/>
      <c r="DB1212" s="7"/>
      <c r="DC1212" s="7"/>
      <c r="DD1212" s="7"/>
      <c r="DE1212" s="8">
        <f t="shared" si="5559"/>
        <v>0</v>
      </c>
    </row>
    <row r="1213" spans="3:109" ht="14" thickBot="1">
      <c r="C1213" s="554"/>
      <c r="E1213" s="9"/>
      <c r="F1213" s="10">
        <f>SUM(F1209:F1212)</f>
        <v>0</v>
      </c>
      <c r="G1213" s="11">
        <f t="shared" ref="G1213:J1213" si="5560">SUM(G1209:G1212)</f>
        <v>0</v>
      </c>
      <c r="H1213" s="11">
        <f t="shared" si="5560"/>
        <v>0</v>
      </c>
      <c r="I1213" s="11">
        <f t="shared" si="5560"/>
        <v>0</v>
      </c>
      <c r="J1213" s="11">
        <f t="shared" si="5560"/>
        <v>0</v>
      </c>
      <c r="K1213" s="25">
        <f>SUM(K1209:K1212)</f>
        <v>0</v>
      </c>
      <c r="M1213" s="10">
        <f>SUM(M1209:M1212)</f>
        <v>0</v>
      </c>
      <c r="N1213" s="11">
        <f t="shared" ref="N1213:Q1213" si="5561">SUM(N1209:N1212)</f>
        <v>0</v>
      </c>
      <c r="O1213" s="11">
        <f t="shared" si="5561"/>
        <v>0</v>
      </c>
      <c r="P1213" s="11">
        <f t="shared" si="5561"/>
        <v>0</v>
      </c>
      <c r="Q1213" s="11">
        <f t="shared" si="5561"/>
        <v>0</v>
      </c>
      <c r="R1213" s="25">
        <f>SUM(R1209:R1212)</f>
        <v>0</v>
      </c>
      <c r="T1213" s="10">
        <f>SUM(T1209:T1212)</f>
        <v>0</v>
      </c>
      <c r="U1213" s="11">
        <f t="shared" ref="U1213:X1213" si="5562">SUM(U1209:U1212)</f>
        <v>0</v>
      </c>
      <c r="V1213" s="11">
        <f t="shared" si="5562"/>
        <v>0</v>
      </c>
      <c r="W1213" s="11">
        <f t="shared" si="5562"/>
        <v>0</v>
      </c>
      <c r="X1213" s="11">
        <f t="shared" si="5562"/>
        <v>0</v>
      </c>
      <c r="Y1213" s="25">
        <f>SUM(Y1209:Y1212)</f>
        <v>0</v>
      </c>
      <c r="AA1213" s="10">
        <f>SUM(AA1209:AA1212)</f>
        <v>0</v>
      </c>
      <c r="AB1213" s="11">
        <f t="shared" ref="AB1213:AE1213" si="5563">SUM(AB1209:AB1212)</f>
        <v>0</v>
      </c>
      <c r="AC1213" s="11">
        <f t="shared" si="5563"/>
        <v>0</v>
      </c>
      <c r="AD1213" s="11">
        <f t="shared" si="5563"/>
        <v>0</v>
      </c>
      <c r="AE1213" s="11">
        <f t="shared" si="5563"/>
        <v>0</v>
      </c>
      <c r="AF1213" s="25">
        <f>SUM(AF1209:AF1212)</f>
        <v>0</v>
      </c>
      <c r="AH1213" s="10">
        <f t="shared" ref="AH1213:AM1213" si="5564">SUM(AH1209:AH1212)</f>
        <v>0</v>
      </c>
      <c r="AI1213" s="11">
        <f t="shared" si="5564"/>
        <v>0</v>
      </c>
      <c r="AJ1213" s="11">
        <f t="shared" si="5564"/>
        <v>0</v>
      </c>
      <c r="AK1213" s="11">
        <f t="shared" si="5564"/>
        <v>0</v>
      </c>
      <c r="AL1213" s="11">
        <f t="shared" si="5564"/>
        <v>0</v>
      </c>
      <c r="AM1213" s="25">
        <f t="shared" si="5564"/>
        <v>0</v>
      </c>
      <c r="AO1213" s="10">
        <f t="shared" ref="AO1213:AT1213" si="5565">SUM(AO1209:AO1212)</f>
        <v>0</v>
      </c>
      <c r="AP1213" s="11">
        <f t="shared" si="5565"/>
        <v>0</v>
      </c>
      <c r="AQ1213" s="11">
        <f t="shared" si="5565"/>
        <v>0</v>
      </c>
      <c r="AR1213" s="11">
        <f t="shared" si="5565"/>
        <v>0</v>
      </c>
      <c r="AS1213" s="11">
        <f t="shared" si="5565"/>
        <v>0</v>
      </c>
      <c r="AT1213" s="25">
        <f t="shared" si="5565"/>
        <v>0</v>
      </c>
      <c r="AV1213" s="10">
        <f t="shared" ref="AV1213:BA1213" si="5566">SUM(AV1209:AV1212)</f>
        <v>0</v>
      </c>
      <c r="AW1213" s="11">
        <f t="shared" si="5566"/>
        <v>0</v>
      </c>
      <c r="AX1213" s="11">
        <f t="shared" si="5566"/>
        <v>0</v>
      </c>
      <c r="AY1213" s="11">
        <f t="shared" si="5566"/>
        <v>0</v>
      </c>
      <c r="AZ1213" s="11">
        <f t="shared" si="5566"/>
        <v>0</v>
      </c>
      <c r="BA1213" s="25">
        <f t="shared" si="5566"/>
        <v>0</v>
      </c>
      <c r="BC1213" s="10">
        <f t="shared" ref="BC1213:BH1213" si="5567">SUM(BC1209:BC1212)</f>
        <v>0</v>
      </c>
      <c r="BD1213" s="11">
        <f t="shared" si="5567"/>
        <v>0</v>
      </c>
      <c r="BE1213" s="11">
        <f t="shared" si="5567"/>
        <v>0</v>
      </c>
      <c r="BF1213" s="11">
        <f t="shared" si="5567"/>
        <v>0</v>
      </c>
      <c r="BG1213" s="11">
        <f t="shared" si="5567"/>
        <v>0</v>
      </c>
      <c r="BH1213" s="25">
        <f t="shared" si="5567"/>
        <v>0</v>
      </c>
      <c r="BJ1213" s="10">
        <f t="shared" ref="BJ1213:BO1213" si="5568">SUM(BJ1209:BJ1212)</f>
        <v>0</v>
      </c>
      <c r="BK1213" s="11">
        <f t="shared" si="5568"/>
        <v>0</v>
      </c>
      <c r="BL1213" s="11">
        <f t="shared" si="5568"/>
        <v>0</v>
      </c>
      <c r="BM1213" s="11">
        <f t="shared" si="5568"/>
        <v>0</v>
      </c>
      <c r="BN1213" s="11">
        <f t="shared" si="5568"/>
        <v>0</v>
      </c>
      <c r="BO1213" s="25">
        <f t="shared" si="5568"/>
        <v>0</v>
      </c>
      <c r="BQ1213" s="10">
        <f t="shared" ref="BQ1213:BV1213" si="5569">SUM(BQ1209:BQ1212)</f>
        <v>0</v>
      </c>
      <c r="BR1213" s="11">
        <f t="shared" si="5569"/>
        <v>0</v>
      </c>
      <c r="BS1213" s="11">
        <f t="shared" si="5569"/>
        <v>0</v>
      </c>
      <c r="BT1213" s="11">
        <f t="shared" si="5569"/>
        <v>0</v>
      </c>
      <c r="BU1213" s="11">
        <f t="shared" si="5569"/>
        <v>0</v>
      </c>
      <c r="BV1213" s="25">
        <f t="shared" si="5569"/>
        <v>0</v>
      </c>
      <c r="BX1213" s="10">
        <f t="shared" ref="BX1213:CC1213" si="5570">SUM(BX1209:BX1212)</f>
        <v>0</v>
      </c>
      <c r="BY1213" s="11">
        <f t="shared" si="5570"/>
        <v>0</v>
      </c>
      <c r="BZ1213" s="11">
        <f t="shared" si="5570"/>
        <v>0</v>
      </c>
      <c r="CA1213" s="11">
        <f t="shared" si="5570"/>
        <v>0</v>
      </c>
      <c r="CB1213" s="11">
        <f t="shared" si="5570"/>
        <v>0</v>
      </c>
      <c r="CC1213" s="25">
        <f t="shared" si="5570"/>
        <v>0</v>
      </c>
      <c r="CE1213" s="62">
        <f t="shared" ref="CE1213:CJ1213" si="5571">SUM(CE1209:CE1212)</f>
        <v>0</v>
      </c>
      <c r="CF1213" s="63">
        <f t="shared" si="5571"/>
        <v>0</v>
      </c>
      <c r="CG1213" s="63">
        <f t="shared" si="5571"/>
        <v>0</v>
      </c>
      <c r="CH1213" s="63">
        <f t="shared" si="5571"/>
        <v>0</v>
      </c>
      <c r="CI1213" s="63">
        <f t="shared" si="5571"/>
        <v>0</v>
      </c>
      <c r="CJ1213" s="25">
        <f t="shared" si="5571"/>
        <v>0</v>
      </c>
      <c r="CL1213" s="10">
        <f>SUM(CL1209:CL1212)</f>
        <v>0</v>
      </c>
      <c r="CM1213" s="11">
        <f t="shared" ref="CM1213:CQ1213" si="5572">SUM(CM1209:CM1212)</f>
        <v>0</v>
      </c>
      <c r="CN1213" s="11">
        <f t="shared" si="5572"/>
        <v>0</v>
      </c>
      <c r="CO1213" s="11">
        <f t="shared" si="5572"/>
        <v>0</v>
      </c>
      <c r="CP1213" s="11">
        <f t="shared" si="5572"/>
        <v>0</v>
      </c>
      <c r="CQ1213" s="25">
        <f t="shared" si="5572"/>
        <v>0</v>
      </c>
      <c r="CS1213" s="10">
        <f>SUM(CS1209:CS1212)</f>
        <v>0</v>
      </c>
      <c r="CT1213" s="11">
        <f t="shared" ref="CT1213:CW1213" si="5573">SUM(CT1209:CT1212)</f>
        <v>0</v>
      </c>
      <c r="CU1213" s="11">
        <f t="shared" si="5573"/>
        <v>0</v>
      </c>
      <c r="CV1213" s="11">
        <f t="shared" si="5573"/>
        <v>0</v>
      </c>
      <c r="CW1213" s="11">
        <f t="shared" si="5573"/>
        <v>0</v>
      </c>
      <c r="CX1213" s="25">
        <f>SUM(CX1209:CX1212)</f>
        <v>0</v>
      </c>
      <c r="CZ1213" s="10">
        <f>SUM(CZ1209:CZ1212)</f>
        <v>0</v>
      </c>
      <c r="DA1213" s="11">
        <f t="shared" ref="DA1213:DD1213" si="5574">SUM(DA1209:DA1212)</f>
        <v>0</v>
      </c>
      <c r="DB1213" s="11">
        <f t="shared" si="5574"/>
        <v>0</v>
      </c>
      <c r="DC1213" s="11">
        <f t="shared" si="5574"/>
        <v>0</v>
      </c>
      <c r="DD1213" s="11">
        <f t="shared" si="5574"/>
        <v>0</v>
      </c>
      <c r="DE1213" s="25">
        <f>SUM(DE1209:DE1212)</f>
        <v>0</v>
      </c>
    </row>
    <row r="1214" spans="3:109" ht="10.4" customHeight="1" thickBot="1"/>
    <row r="1215" spans="3:109">
      <c r="C1215" s="553">
        <v>2028</v>
      </c>
      <c r="E1215" s="1" t="s">
        <v>59</v>
      </c>
      <c r="F1215" s="21">
        <f>CE1209</f>
        <v>0</v>
      </c>
      <c r="G1215" s="22">
        <f t="shared" ref="G1215:G1218" si="5575">CF1209</f>
        <v>0</v>
      </c>
      <c r="H1215" s="22">
        <f t="shared" ref="H1215:H1218" si="5576">CG1209</f>
        <v>0</v>
      </c>
      <c r="I1215" s="22">
        <f t="shared" ref="I1215:I1218" si="5577">CH1209</f>
        <v>0</v>
      </c>
      <c r="J1215" s="22">
        <f t="shared" ref="J1215:J1218" si="5578">CI1209</f>
        <v>0</v>
      </c>
      <c r="K1215" s="4">
        <f>SUM(F1215:J1215)</f>
        <v>0</v>
      </c>
      <c r="M1215" s="2"/>
      <c r="N1215" s="3"/>
      <c r="O1215" s="3"/>
      <c r="P1215" s="3"/>
      <c r="Q1215" s="3"/>
      <c r="R1215" s="4">
        <f>SUM(M1215:Q1215)</f>
        <v>0</v>
      </c>
      <c r="T1215" s="2"/>
      <c r="U1215" s="3"/>
      <c r="V1215" s="3"/>
      <c r="W1215" s="3"/>
      <c r="X1215" s="3"/>
      <c r="Y1215" s="4">
        <f>SUM(T1215:X1215)</f>
        <v>0</v>
      </c>
      <c r="AA1215" s="2"/>
      <c r="AB1215" s="3"/>
      <c r="AC1215" s="3"/>
      <c r="AD1215" s="3"/>
      <c r="AE1215" s="3"/>
      <c r="AF1215" s="4">
        <f>SUM(AA1215:AE1215)</f>
        <v>0</v>
      </c>
      <c r="AH1215" s="2"/>
      <c r="AI1215" s="3"/>
      <c r="AJ1215" s="3"/>
      <c r="AK1215" s="3"/>
      <c r="AL1215" s="3"/>
      <c r="AM1215" s="4">
        <f>SUM(AH1215:AL1215)</f>
        <v>0</v>
      </c>
      <c r="AO1215" s="2"/>
      <c r="AP1215" s="3"/>
      <c r="AQ1215" s="3"/>
      <c r="AR1215" s="3"/>
      <c r="AS1215" s="3"/>
      <c r="AT1215" s="4">
        <f>SUM(AO1215:AS1215)</f>
        <v>0</v>
      </c>
      <c r="AV1215" s="2"/>
      <c r="AW1215" s="3"/>
      <c r="AX1215" s="3"/>
      <c r="AY1215" s="3"/>
      <c r="AZ1215" s="3"/>
      <c r="BA1215" s="4">
        <f>SUM(AV1215:AZ1215)</f>
        <v>0</v>
      </c>
      <c r="BC1215" s="2"/>
      <c r="BD1215" s="3"/>
      <c r="BE1215" s="3"/>
      <c r="BF1215" s="3"/>
      <c r="BG1215" s="3"/>
      <c r="BH1215" s="4">
        <f>SUM(BC1215:BG1215)</f>
        <v>0</v>
      </c>
      <c r="BJ1215" s="2"/>
      <c r="BK1215" s="3"/>
      <c r="BL1215" s="3"/>
      <c r="BM1215" s="3"/>
      <c r="BN1215" s="3"/>
      <c r="BO1215" s="4">
        <f>SUM(BJ1215:BN1215)</f>
        <v>0</v>
      </c>
      <c r="BQ1215" s="2"/>
      <c r="BR1215" s="3"/>
      <c r="BS1215" s="3"/>
      <c r="BT1215" s="3"/>
      <c r="BU1215" s="3"/>
      <c r="BV1215" s="4">
        <f>SUM(BQ1215:BU1215)</f>
        <v>0</v>
      </c>
      <c r="BX1215" s="2"/>
      <c r="BY1215" s="3"/>
      <c r="BZ1215" s="3"/>
      <c r="CA1215" s="3"/>
      <c r="CB1215" s="3"/>
      <c r="CC1215" s="4">
        <f>SUM(BX1215:CB1215)</f>
        <v>0</v>
      </c>
      <c r="CE1215" s="26">
        <f t="shared" ref="CE1215:CE1218" si="5579">F1215+M1215+T1215+AA1215+AH1215+AO1215+AV1215+BC1215+BJ1215+BQ1215+BX1215</f>
        <v>0</v>
      </c>
      <c r="CF1215" s="27">
        <f t="shared" ref="CF1215:CF1218" si="5580">G1215+N1215+U1215+AB1215+AI1215+AP1215+AW1215+BD1215+BK1215+BR1215+BY1215</f>
        <v>0</v>
      </c>
      <c r="CG1215" s="27">
        <f t="shared" ref="CG1215:CG1218" si="5581">H1215+O1215+V1215+AC1215+AJ1215+AQ1215+AX1215+BE1215+BL1215+BS1215+BZ1215</f>
        <v>0</v>
      </c>
      <c r="CH1215" s="27">
        <f t="shared" ref="CH1215:CH1218" si="5582">I1215+P1215+W1215+AD1215+AK1215+AR1215+AY1215+BF1215+BM1215+BT1215+CA1215</f>
        <v>0</v>
      </c>
      <c r="CI1215" s="27">
        <f t="shared" ref="CI1215:CI1218" si="5583">J1215+Q1215+X1215+AE1215+AL1215+AS1215+AZ1215+BG1215+BN1215+BU1215+CB1215</f>
        <v>0</v>
      </c>
      <c r="CJ1215" s="4">
        <f>SUM(CE1215:CI1215)</f>
        <v>0</v>
      </c>
      <c r="CL1215" s="2"/>
      <c r="CM1215" s="3"/>
      <c r="CN1215" s="3"/>
      <c r="CO1215" s="3"/>
      <c r="CP1215" s="3"/>
      <c r="CQ1215" s="4">
        <f>SUM(CL1215:CP1215)</f>
        <v>0</v>
      </c>
      <c r="CS1215" s="2"/>
      <c r="CT1215" s="3"/>
      <c r="CU1215" s="3"/>
      <c r="CV1215" s="3"/>
      <c r="CW1215" s="3"/>
      <c r="CX1215" s="4">
        <f>SUM(CS1215:CW1215)</f>
        <v>0</v>
      </c>
      <c r="CZ1215" s="2"/>
      <c r="DA1215" s="3"/>
      <c r="DB1215" s="3"/>
      <c r="DC1215" s="3"/>
      <c r="DD1215" s="3"/>
      <c r="DE1215" s="4">
        <f>SUM(CZ1215:DD1215)</f>
        <v>0</v>
      </c>
    </row>
    <row r="1216" spans="3:109">
      <c r="C1216" s="567"/>
      <c r="E1216" s="5" t="s">
        <v>60</v>
      </c>
      <c r="F1216" s="23">
        <f t="shared" ref="F1216:F1218" si="5584">CE1210</f>
        <v>0</v>
      </c>
      <c r="G1216" s="24">
        <f t="shared" si="5575"/>
        <v>0</v>
      </c>
      <c r="H1216" s="24">
        <f t="shared" si="5576"/>
        <v>0</v>
      </c>
      <c r="I1216" s="24">
        <f t="shared" si="5577"/>
        <v>0</v>
      </c>
      <c r="J1216" s="24">
        <f t="shared" si="5578"/>
        <v>0</v>
      </c>
      <c r="K1216" s="8">
        <f t="shared" ref="K1216:K1218" si="5585">SUM(F1216:J1216)</f>
        <v>0</v>
      </c>
      <c r="M1216" s="6"/>
      <c r="N1216" s="7"/>
      <c r="O1216" s="7"/>
      <c r="P1216" s="7"/>
      <c r="Q1216" s="7"/>
      <c r="R1216" s="8">
        <f t="shared" ref="R1216:R1218" si="5586">SUM(M1216:Q1216)</f>
        <v>0</v>
      </c>
      <c r="T1216" s="6"/>
      <c r="U1216" s="7"/>
      <c r="V1216" s="7"/>
      <c r="W1216" s="7"/>
      <c r="X1216" s="7"/>
      <c r="Y1216" s="8">
        <f t="shared" ref="Y1216:Y1218" si="5587">SUM(T1216:X1216)</f>
        <v>0</v>
      </c>
      <c r="AA1216" s="6"/>
      <c r="AB1216" s="7"/>
      <c r="AC1216" s="7"/>
      <c r="AD1216" s="7"/>
      <c r="AE1216" s="7"/>
      <c r="AF1216" s="8">
        <f>SUM(AA1216:AE1216)</f>
        <v>0</v>
      </c>
      <c r="AH1216" s="6"/>
      <c r="AI1216" s="7"/>
      <c r="AJ1216" s="7"/>
      <c r="AK1216" s="7"/>
      <c r="AL1216" s="7"/>
      <c r="AM1216" s="8">
        <f>SUM(AH1216:AL1216)</f>
        <v>0</v>
      </c>
      <c r="AO1216" s="6"/>
      <c r="AP1216" s="7"/>
      <c r="AQ1216" s="7"/>
      <c r="AR1216" s="7"/>
      <c r="AS1216" s="7"/>
      <c r="AT1216" s="8">
        <f>SUM(AO1216:AS1216)</f>
        <v>0</v>
      </c>
      <c r="AV1216" s="6"/>
      <c r="AW1216" s="7"/>
      <c r="AX1216" s="7"/>
      <c r="AY1216" s="7"/>
      <c r="AZ1216" s="7"/>
      <c r="BA1216" s="8">
        <f>SUM(AV1216:AZ1216)</f>
        <v>0</v>
      </c>
      <c r="BC1216" s="6"/>
      <c r="BD1216" s="7"/>
      <c r="BE1216" s="7"/>
      <c r="BF1216" s="7"/>
      <c r="BG1216" s="7"/>
      <c r="BH1216" s="8">
        <f>SUM(BC1216:BG1216)</f>
        <v>0</v>
      </c>
      <c r="BJ1216" s="6"/>
      <c r="BK1216" s="7"/>
      <c r="BL1216" s="7"/>
      <c r="BM1216" s="7"/>
      <c r="BN1216" s="7"/>
      <c r="BO1216" s="8">
        <f>SUM(BJ1216:BN1216)</f>
        <v>0</v>
      </c>
      <c r="BQ1216" s="6"/>
      <c r="BR1216" s="7"/>
      <c r="BS1216" s="7"/>
      <c r="BT1216" s="7"/>
      <c r="BU1216" s="7"/>
      <c r="BV1216" s="8">
        <f>SUM(BQ1216:BU1216)</f>
        <v>0</v>
      </c>
      <c r="BX1216" s="6"/>
      <c r="BY1216" s="7"/>
      <c r="BZ1216" s="7"/>
      <c r="CA1216" s="7"/>
      <c r="CB1216" s="7"/>
      <c r="CC1216" s="8">
        <f>SUM(BX1216:CB1216)</f>
        <v>0</v>
      </c>
      <c r="CE1216" s="28">
        <f t="shared" si="5579"/>
        <v>0</v>
      </c>
      <c r="CF1216" s="29">
        <f t="shared" si="5580"/>
        <v>0</v>
      </c>
      <c r="CG1216" s="29">
        <f t="shared" si="5581"/>
        <v>0</v>
      </c>
      <c r="CH1216" s="29">
        <f t="shared" si="5582"/>
        <v>0</v>
      </c>
      <c r="CI1216" s="29">
        <f t="shared" si="5583"/>
        <v>0</v>
      </c>
      <c r="CJ1216" s="8">
        <f>SUM(CE1216:CI1216)</f>
        <v>0</v>
      </c>
      <c r="CL1216" s="6"/>
      <c r="CM1216" s="7"/>
      <c r="CN1216" s="7"/>
      <c r="CO1216" s="7"/>
      <c r="CP1216" s="7"/>
      <c r="CQ1216" s="8">
        <f>SUM(CL1216:CP1216)</f>
        <v>0</v>
      </c>
      <c r="CS1216" s="6"/>
      <c r="CT1216" s="7"/>
      <c r="CU1216" s="7"/>
      <c r="CV1216" s="7"/>
      <c r="CW1216" s="7"/>
      <c r="CX1216" s="8">
        <f t="shared" ref="CX1216:CX1218" si="5588">SUM(CS1216:CW1216)</f>
        <v>0</v>
      </c>
      <c r="CZ1216" s="6"/>
      <c r="DA1216" s="7"/>
      <c r="DB1216" s="7"/>
      <c r="DC1216" s="7"/>
      <c r="DD1216" s="7"/>
      <c r="DE1216" s="8">
        <f t="shared" ref="DE1216:DE1218" si="5589">SUM(CZ1216:DD1216)</f>
        <v>0</v>
      </c>
    </row>
    <row r="1217" spans="2:110">
      <c r="C1217" s="567"/>
      <c r="E1217" s="5" t="s">
        <v>61</v>
      </c>
      <c r="F1217" s="23">
        <f t="shared" si="5584"/>
        <v>0</v>
      </c>
      <c r="G1217" s="24">
        <f t="shared" si="5575"/>
        <v>0</v>
      </c>
      <c r="H1217" s="24">
        <f t="shared" si="5576"/>
        <v>0</v>
      </c>
      <c r="I1217" s="24">
        <f t="shared" si="5577"/>
        <v>0</v>
      </c>
      <c r="J1217" s="24">
        <f t="shared" si="5578"/>
        <v>0</v>
      </c>
      <c r="K1217" s="8">
        <f t="shared" si="5585"/>
        <v>0</v>
      </c>
      <c r="M1217" s="6"/>
      <c r="N1217" s="7"/>
      <c r="O1217" s="7"/>
      <c r="P1217" s="7"/>
      <c r="Q1217" s="7"/>
      <c r="R1217" s="8">
        <f t="shared" si="5586"/>
        <v>0</v>
      </c>
      <c r="T1217" s="6"/>
      <c r="U1217" s="7"/>
      <c r="V1217" s="7"/>
      <c r="W1217" s="7"/>
      <c r="X1217" s="7"/>
      <c r="Y1217" s="8">
        <f t="shared" si="5587"/>
        <v>0</v>
      </c>
      <c r="AA1217" s="6"/>
      <c r="AB1217" s="7"/>
      <c r="AC1217" s="7"/>
      <c r="AD1217" s="7"/>
      <c r="AE1217" s="7"/>
      <c r="AF1217" s="8">
        <f>SUM(AA1217:AE1217)</f>
        <v>0</v>
      </c>
      <c r="AH1217" s="6"/>
      <c r="AI1217" s="7"/>
      <c r="AJ1217" s="7"/>
      <c r="AK1217" s="7"/>
      <c r="AL1217" s="7"/>
      <c r="AM1217" s="8">
        <f>SUM(AH1217:AL1217)</f>
        <v>0</v>
      </c>
      <c r="AO1217" s="6"/>
      <c r="AP1217" s="7"/>
      <c r="AQ1217" s="7"/>
      <c r="AR1217" s="7"/>
      <c r="AS1217" s="7"/>
      <c r="AT1217" s="8">
        <f>SUM(AO1217:AS1217)</f>
        <v>0</v>
      </c>
      <c r="AV1217" s="6"/>
      <c r="AW1217" s="7"/>
      <c r="AX1217" s="7"/>
      <c r="AY1217" s="7"/>
      <c r="AZ1217" s="7"/>
      <c r="BA1217" s="8">
        <f>SUM(AV1217:AZ1217)</f>
        <v>0</v>
      </c>
      <c r="BC1217" s="6"/>
      <c r="BD1217" s="7"/>
      <c r="BE1217" s="7"/>
      <c r="BF1217" s="7"/>
      <c r="BG1217" s="7"/>
      <c r="BH1217" s="8">
        <f>SUM(BC1217:BG1217)</f>
        <v>0</v>
      </c>
      <c r="BJ1217" s="6"/>
      <c r="BK1217" s="7"/>
      <c r="BL1217" s="7"/>
      <c r="BM1217" s="7"/>
      <c r="BN1217" s="7"/>
      <c r="BO1217" s="8">
        <f>SUM(BJ1217:BN1217)</f>
        <v>0</v>
      </c>
      <c r="BQ1217" s="6"/>
      <c r="BR1217" s="7"/>
      <c r="BS1217" s="7"/>
      <c r="BT1217" s="7"/>
      <c r="BU1217" s="7"/>
      <c r="BV1217" s="8">
        <f>SUM(BQ1217:BU1217)</f>
        <v>0</v>
      </c>
      <c r="BX1217" s="6"/>
      <c r="BY1217" s="7"/>
      <c r="BZ1217" s="7"/>
      <c r="CA1217" s="7"/>
      <c r="CB1217" s="7"/>
      <c r="CC1217" s="8">
        <f>SUM(BX1217:CB1217)</f>
        <v>0</v>
      </c>
      <c r="CE1217" s="28">
        <f t="shared" si="5579"/>
        <v>0</v>
      </c>
      <c r="CF1217" s="29">
        <f t="shared" si="5580"/>
        <v>0</v>
      </c>
      <c r="CG1217" s="29">
        <f t="shared" si="5581"/>
        <v>0</v>
      </c>
      <c r="CH1217" s="29">
        <f t="shared" si="5582"/>
        <v>0</v>
      </c>
      <c r="CI1217" s="29">
        <f t="shared" si="5583"/>
        <v>0</v>
      </c>
      <c r="CJ1217" s="8">
        <f>SUM(CE1217:CI1217)</f>
        <v>0</v>
      </c>
      <c r="CL1217" s="6"/>
      <c r="CM1217" s="7"/>
      <c r="CN1217" s="7"/>
      <c r="CO1217" s="7"/>
      <c r="CP1217" s="7"/>
      <c r="CQ1217" s="8">
        <f>SUM(CL1217:CP1217)</f>
        <v>0</v>
      </c>
      <c r="CS1217" s="6"/>
      <c r="CT1217" s="7"/>
      <c r="CU1217" s="7"/>
      <c r="CV1217" s="7"/>
      <c r="CW1217" s="7"/>
      <c r="CX1217" s="8">
        <f t="shared" si="5588"/>
        <v>0</v>
      </c>
      <c r="CZ1217" s="6"/>
      <c r="DA1217" s="7"/>
      <c r="DB1217" s="7"/>
      <c r="DC1217" s="7"/>
      <c r="DD1217" s="7"/>
      <c r="DE1217" s="8">
        <f t="shared" si="5589"/>
        <v>0</v>
      </c>
    </row>
    <row r="1218" spans="2:110" ht="14" thickBot="1">
      <c r="C1218" s="567"/>
      <c r="E1218" s="5" t="s">
        <v>62</v>
      </c>
      <c r="F1218" s="23">
        <f t="shared" si="5584"/>
        <v>0</v>
      </c>
      <c r="G1218" s="24">
        <f t="shared" si="5575"/>
        <v>0</v>
      </c>
      <c r="H1218" s="24">
        <f t="shared" si="5576"/>
        <v>0</v>
      </c>
      <c r="I1218" s="24">
        <f t="shared" si="5577"/>
        <v>0</v>
      </c>
      <c r="J1218" s="24">
        <f t="shared" si="5578"/>
        <v>0</v>
      </c>
      <c r="K1218" s="8">
        <f t="shared" si="5585"/>
        <v>0</v>
      </c>
      <c r="M1218" s="6"/>
      <c r="N1218" s="7"/>
      <c r="O1218" s="7"/>
      <c r="P1218" s="7"/>
      <c r="Q1218" s="7"/>
      <c r="R1218" s="8">
        <f t="shared" si="5586"/>
        <v>0</v>
      </c>
      <c r="T1218" s="6"/>
      <c r="U1218" s="7"/>
      <c r="V1218" s="7"/>
      <c r="W1218" s="7"/>
      <c r="X1218" s="7"/>
      <c r="Y1218" s="8">
        <f t="shared" si="5587"/>
        <v>0</v>
      </c>
      <c r="AA1218" s="6"/>
      <c r="AB1218" s="7"/>
      <c r="AC1218" s="7"/>
      <c r="AD1218" s="7"/>
      <c r="AE1218" s="7"/>
      <c r="AF1218" s="8">
        <f>SUM(AA1218:AE1218)</f>
        <v>0</v>
      </c>
      <c r="AH1218" s="6"/>
      <c r="AI1218" s="7"/>
      <c r="AJ1218" s="7"/>
      <c r="AK1218" s="7"/>
      <c r="AL1218" s="7"/>
      <c r="AM1218" s="8">
        <f>SUM(AH1218:AL1218)</f>
        <v>0</v>
      </c>
      <c r="AO1218" s="6"/>
      <c r="AP1218" s="7"/>
      <c r="AQ1218" s="7"/>
      <c r="AR1218" s="7"/>
      <c r="AS1218" s="7"/>
      <c r="AT1218" s="8">
        <f>SUM(AO1218:AS1218)</f>
        <v>0</v>
      </c>
      <c r="AV1218" s="6"/>
      <c r="AW1218" s="7"/>
      <c r="AX1218" s="7"/>
      <c r="AY1218" s="7"/>
      <c r="AZ1218" s="7"/>
      <c r="BA1218" s="8">
        <f>SUM(AV1218:AZ1218)</f>
        <v>0</v>
      </c>
      <c r="BC1218" s="6"/>
      <c r="BD1218" s="7"/>
      <c r="BE1218" s="7"/>
      <c r="BF1218" s="7"/>
      <c r="BG1218" s="7"/>
      <c r="BH1218" s="8">
        <f>SUM(BC1218:BG1218)</f>
        <v>0</v>
      </c>
      <c r="BJ1218" s="6"/>
      <c r="BK1218" s="7"/>
      <c r="BL1218" s="7"/>
      <c r="BM1218" s="7"/>
      <c r="BN1218" s="7"/>
      <c r="BO1218" s="8">
        <f>SUM(BJ1218:BN1218)</f>
        <v>0</v>
      </c>
      <c r="BQ1218" s="6"/>
      <c r="BR1218" s="7"/>
      <c r="BS1218" s="7"/>
      <c r="BT1218" s="7"/>
      <c r="BU1218" s="7"/>
      <c r="BV1218" s="8">
        <f>SUM(BQ1218:BU1218)</f>
        <v>0</v>
      </c>
      <c r="BX1218" s="6"/>
      <c r="BY1218" s="7"/>
      <c r="BZ1218" s="7"/>
      <c r="CA1218" s="7"/>
      <c r="CB1218" s="7"/>
      <c r="CC1218" s="8">
        <f>SUM(BX1218:CB1218)</f>
        <v>0</v>
      </c>
      <c r="CE1218" s="493">
        <f t="shared" si="5579"/>
        <v>0</v>
      </c>
      <c r="CF1218" s="494">
        <f t="shared" si="5580"/>
        <v>0</v>
      </c>
      <c r="CG1218" s="494">
        <f t="shared" si="5581"/>
        <v>0</v>
      </c>
      <c r="CH1218" s="494">
        <f t="shared" si="5582"/>
        <v>0</v>
      </c>
      <c r="CI1218" s="494">
        <f t="shared" si="5583"/>
        <v>0</v>
      </c>
      <c r="CJ1218" s="495">
        <f>SUM(CE1218:CI1218)</f>
        <v>0</v>
      </c>
      <c r="CL1218" s="6"/>
      <c r="CM1218" s="7"/>
      <c r="CN1218" s="7"/>
      <c r="CO1218" s="7"/>
      <c r="CP1218" s="7"/>
      <c r="CQ1218" s="8">
        <f>SUM(CL1218:CP1218)</f>
        <v>0</v>
      </c>
      <c r="CS1218" s="6"/>
      <c r="CT1218" s="7"/>
      <c r="CU1218" s="7"/>
      <c r="CV1218" s="7"/>
      <c r="CW1218" s="7"/>
      <c r="CX1218" s="8">
        <f t="shared" si="5588"/>
        <v>0</v>
      </c>
      <c r="CZ1218" s="6"/>
      <c r="DA1218" s="7"/>
      <c r="DB1218" s="7"/>
      <c r="DC1218" s="7"/>
      <c r="DD1218" s="7"/>
      <c r="DE1218" s="8">
        <f t="shared" si="5589"/>
        <v>0</v>
      </c>
    </row>
    <row r="1219" spans="2:110" ht="14" thickBot="1">
      <c r="C1219" s="554"/>
      <c r="E1219" s="9"/>
      <c r="F1219" s="10">
        <f>SUM(F1215:F1218)</f>
        <v>0</v>
      </c>
      <c r="G1219" s="11">
        <f t="shared" ref="G1219:J1219" si="5590">SUM(G1215:G1218)</f>
        <v>0</v>
      </c>
      <c r="H1219" s="11">
        <f t="shared" si="5590"/>
        <v>0</v>
      </c>
      <c r="I1219" s="11">
        <f t="shared" si="5590"/>
        <v>0</v>
      </c>
      <c r="J1219" s="11">
        <f t="shared" si="5590"/>
        <v>0</v>
      </c>
      <c r="K1219" s="25">
        <f>SUM(K1215:K1218)</f>
        <v>0</v>
      </c>
      <c r="M1219" s="10">
        <f>SUM(M1215:M1218)</f>
        <v>0</v>
      </c>
      <c r="N1219" s="11">
        <f t="shared" ref="N1219:Q1219" si="5591">SUM(N1215:N1218)</f>
        <v>0</v>
      </c>
      <c r="O1219" s="11">
        <f t="shared" si="5591"/>
        <v>0</v>
      </c>
      <c r="P1219" s="11">
        <f t="shared" si="5591"/>
        <v>0</v>
      </c>
      <c r="Q1219" s="11">
        <f t="shared" si="5591"/>
        <v>0</v>
      </c>
      <c r="R1219" s="25">
        <f>SUM(R1215:R1218)</f>
        <v>0</v>
      </c>
      <c r="T1219" s="10">
        <f>SUM(T1215:T1218)</f>
        <v>0</v>
      </c>
      <c r="U1219" s="11">
        <f t="shared" ref="U1219:X1219" si="5592">SUM(U1215:U1218)</f>
        <v>0</v>
      </c>
      <c r="V1219" s="11">
        <f t="shared" si="5592"/>
        <v>0</v>
      </c>
      <c r="W1219" s="11">
        <f t="shared" si="5592"/>
        <v>0</v>
      </c>
      <c r="X1219" s="11">
        <f t="shared" si="5592"/>
        <v>0</v>
      </c>
      <c r="Y1219" s="25">
        <f>SUM(Y1215:Y1218)</f>
        <v>0</v>
      </c>
      <c r="AA1219" s="10">
        <f>SUM(AA1215:AA1218)</f>
        <v>0</v>
      </c>
      <c r="AB1219" s="11">
        <f t="shared" ref="AB1219:AE1219" si="5593">SUM(AB1215:AB1218)</f>
        <v>0</v>
      </c>
      <c r="AC1219" s="11">
        <f t="shared" si="5593"/>
        <v>0</v>
      </c>
      <c r="AD1219" s="11">
        <f t="shared" si="5593"/>
        <v>0</v>
      </c>
      <c r="AE1219" s="11">
        <f t="shared" si="5593"/>
        <v>0</v>
      </c>
      <c r="AF1219" s="25">
        <f>SUM(AF1215:AF1218)</f>
        <v>0</v>
      </c>
      <c r="AH1219" s="10">
        <f t="shared" ref="AH1219:AM1219" si="5594">SUM(AH1215:AH1218)</f>
        <v>0</v>
      </c>
      <c r="AI1219" s="11">
        <f t="shared" si="5594"/>
        <v>0</v>
      </c>
      <c r="AJ1219" s="11">
        <f t="shared" si="5594"/>
        <v>0</v>
      </c>
      <c r="AK1219" s="11">
        <f t="shared" si="5594"/>
        <v>0</v>
      </c>
      <c r="AL1219" s="11">
        <f t="shared" si="5594"/>
        <v>0</v>
      </c>
      <c r="AM1219" s="25">
        <f t="shared" si="5594"/>
        <v>0</v>
      </c>
      <c r="AO1219" s="10">
        <f t="shared" ref="AO1219:AT1219" si="5595">SUM(AO1215:AO1218)</f>
        <v>0</v>
      </c>
      <c r="AP1219" s="11">
        <f t="shared" si="5595"/>
        <v>0</v>
      </c>
      <c r="AQ1219" s="11">
        <f t="shared" si="5595"/>
        <v>0</v>
      </c>
      <c r="AR1219" s="11">
        <f t="shared" si="5595"/>
        <v>0</v>
      </c>
      <c r="AS1219" s="11">
        <f t="shared" si="5595"/>
        <v>0</v>
      </c>
      <c r="AT1219" s="25">
        <f t="shared" si="5595"/>
        <v>0</v>
      </c>
      <c r="AV1219" s="10">
        <f t="shared" ref="AV1219:BA1219" si="5596">SUM(AV1215:AV1218)</f>
        <v>0</v>
      </c>
      <c r="AW1219" s="11">
        <f t="shared" si="5596"/>
        <v>0</v>
      </c>
      <c r="AX1219" s="11">
        <f t="shared" si="5596"/>
        <v>0</v>
      </c>
      <c r="AY1219" s="11">
        <f t="shared" si="5596"/>
        <v>0</v>
      </c>
      <c r="AZ1219" s="11">
        <f t="shared" si="5596"/>
        <v>0</v>
      </c>
      <c r="BA1219" s="25">
        <f t="shared" si="5596"/>
        <v>0</v>
      </c>
      <c r="BC1219" s="10">
        <f t="shared" ref="BC1219:BH1219" si="5597">SUM(BC1215:BC1218)</f>
        <v>0</v>
      </c>
      <c r="BD1219" s="11">
        <f t="shared" si="5597"/>
        <v>0</v>
      </c>
      <c r="BE1219" s="11">
        <f t="shared" si="5597"/>
        <v>0</v>
      </c>
      <c r="BF1219" s="11">
        <f t="shared" si="5597"/>
        <v>0</v>
      </c>
      <c r="BG1219" s="11">
        <f t="shared" si="5597"/>
        <v>0</v>
      </c>
      <c r="BH1219" s="25">
        <f t="shared" si="5597"/>
        <v>0</v>
      </c>
      <c r="BJ1219" s="10">
        <f t="shared" ref="BJ1219:BO1219" si="5598">SUM(BJ1215:BJ1218)</f>
        <v>0</v>
      </c>
      <c r="BK1219" s="11">
        <f t="shared" si="5598"/>
        <v>0</v>
      </c>
      <c r="BL1219" s="11">
        <f t="shared" si="5598"/>
        <v>0</v>
      </c>
      <c r="BM1219" s="11">
        <f t="shared" si="5598"/>
        <v>0</v>
      </c>
      <c r="BN1219" s="11">
        <f t="shared" si="5598"/>
        <v>0</v>
      </c>
      <c r="BO1219" s="25">
        <f t="shared" si="5598"/>
        <v>0</v>
      </c>
      <c r="BQ1219" s="10">
        <f t="shared" ref="BQ1219:BV1219" si="5599">SUM(BQ1215:BQ1218)</f>
        <v>0</v>
      </c>
      <c r="BR1219" s="11">
        <f t="shared" si="5599"/>
        <v>0</v>
      </c>
      <c r="BS1219" s="11">
        <f t="shared" si="5599"/>
        <v>0</v>
      </c>
      <c r="BT1219" s="11">
        <f t="shared" si="5599"/>
        <v>0</v>
      </c>
      <c r="BU1219" s="11">
        <f t="shared" si="5599"/>
        <v>0</v>
      </c>
      <c r="BV1219" s="25">
        <f t="shared" si="5599"/>
        <v>0</v>
      </c>
      <c r="BX1219" s="10">
        <f t="shared" ref="BX1219:CC1219" si="5600">SUM(BX1215:BX1218)</f>
        <v>0</v>
      </c>
      <c r="BY1219" s="11">
        <f t="shared" si="5600"/>
        <v>0</v>
      </c>
      <c r="BZ1219" s="11">
        <f t="shared" si="5600"/>
        <v>0</v>
      </c>
      <c r="CA1219" s="11">
        <f t="shared" si="5600"/>
        <v>0</v>
      </c>
      <c r="CB1219" s="11">
        <f t="shared" si="5600"/>
        <v>0</v>
      </c>
      <c r="CC1219" s="25">
        <f t="shared" si="5600"/>
        <v>0</v>
      </c>
      <c r="CE1219" s="62">
        <f t="shared" ref="CE1219:CJ1219" si="5601">SUM(CE1215:CE1218)</f>
        <v>0</v>
      </c>
      <c r="CF1219" s="63">
        <f t="shared" si="5601"/>
        <v>0</v>
      </c>
      <c r="CG1219" s="63">
        <f t="shared" si="5601"/>
        <v>0</v>
      </c>
      <c r="CH1219" s="63">
        <f t="shared" si="5601"/>
        <v>0</v>
      </c>
      <c r="CI1219" s="63">
        <f t="shared" si="5601"/>
        <v>0</v>
      </c>
      <c r="CJ1219" s="25">
        <f t="shared" si="5601"/>
        <v>0</v>
      </c>
      <c r="CL1219" s="10">
        <f>SUM(CL1215:CL1218)</f>
        <v>0</v>
      </c>
      <c r="CM1219" s="11">
        <f t="shared" ref="CM1219:CQ1219" si="5602">SUM(CM1215:CM1218)</f>
        <v>0</v>
      </c>
      <c r="CN1219" s="11">
        <f t="shared" si="5602"/>
        <v>0</v>
      </c>
      <c r="CO1219" s="11">
        <f t="shared" si="5602"/>
        <v>0</v>
      </c>
      <c r="CP1219" s="11">
        <f t="shared" si="5602"/>
        <v>0</v>
      </c>
      <c r="CQ1219" s="25">
        <f t="shared" si="5602"/>
        <v>0</v>
      </c>
      <c r="CS1219" s="10">
        <f>SUM(CS1215:CS1218)</f>
        <v>0</v>
      </c>
      <c r="CT1219" s="11">
        <f t="shared" ref="CT1219:CW1219" si="5603">SUM(CT1215:CT1218)</f>
        <v>0</v>
      </c>
      <c r="CU1219" s="11">
        <f t="shared" si="5603"/>
        <v>0</v>
      </c>
      <c r="CV1219" s="11">
        <f t="shared" si="5603"/>
        <v>0</v>
      </c>
      <c r="CW1219" s="11">
        <f t="shared" si="5603"/>
        <v>0</v>
      </c>
      <c r="CX1219" s="25">
        <f>SUM(CX1215:CX1218)</f>
        <v>0</v>
      </c>
      <c r="CZ1219" s="10">
        <f>SUM(CZ1215:CZ1218)</f>
        <v>0</v>
      </c>
      <c r="DA1219" s="11">
        <f t="shared" ref="DA1219:DD1219" si="5604">SUM(DA1215:DA1218)</f>
        <v>0</v>
      </c>
      <c r="DB1219" s="11">
        <f t="shared" si="5604"/>
        <v>0</v>
      </c>
      <c r="DC1219" s="11">
        <f t="shared" si="5604"/>
        <v>0</v>
      </c>
      <c r="DD1219" s="11">
        <f t="shared" si="5604"/>
        <v>0</v>
      </c>
      <c r="DE1219" s="25">
        <f>SUM(DE1215:DE1218)</f>
        <v>0</v>
      </c>
    </row>
    <row r="1221" spans="2:110">
      <c r="B1221" s="123"/>
      <c r="C1221" s="20"/>
      <c r="D1221" s="20"/>
      <c r="E1221" s="20"/>
      <c r="F1221" s="20"/>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Q1221" s="20"/>
      <c r="BR1221" s="20"/>
      <c r="BS1221" s="20"/>
      <c r="BT1221" s="20"/>
      <c r="BU1221" s="20"/>
      <c r="BV1221" s="20"/>
      <c r="BW1221" s="20"/>
      <c r="BX1221" s="20"/>
      <c r="BY1221" s="20"/>
      <c r="BZ1221" s="20"/>
      <c r="CA1221" s="20"/>
      <c r="CB1221" s="20"/>
      <c r="CC1221" s="20"/>
      <c r="CD1221" s="20"/>
      <c r="CE1221" s="20"/>
      <c r="CF1221" s="20"/>
      <c r="CG1221" s="20"/>
      <c r="CH1221" s="20"/>
      <c r="CI1221" s="20"/>
      <c r="CJ1221" s="20"/>
      <c r="CK1221" s="20"/>
      <c r="CL1221" s="20"/>
      <c r="CM1221" s="20"/>
      <c r="CN1221" s="20"/>
      <c r="CO1221" s="20"/>
      <c r="CP1221" s="20"/>
      <c r="CQ1221" s="20"/>
      <c r="CR1221" s="20"/>
      <c r="CS1221" s="20"/>
      <c r="CT1221" s="20"/>
      <c r="CU1221" s="20"/>
      <c r="CV1221" s="20"/>
      <c r="CW1221" s="20"/>
      <c r="CX1221" s="20"/>
      <c r="CY1221" s="20"/>
      <c r="CZ1221" s="20"/>
      <c r="DA1221" s="20"/>
      <c r="DB1221" s="20"/>
      <c r="DC1221" s="20"/>
      <c r="DD1221" s="20"/>
      <c r="DE1221" s="20"/>
      <c r="DF1221" s="20"/>
    </row>
    <row r="1222" spans="2:110" ht="14" thickBot="1">
      <c r="B1222" s="94">
        <v>39</v>
      </c>
      <c r="C1222" s="12" t="s">
        <v>100</v>
      </c>
    </row>
    <row r="1223" spans="2:110">
      <c r="C1223" s="553">
        <v>2024</v>
      </c>
      <c r="E1223" s="1" t="s">
        <v>59</v>
      </c>
      <c r="F1223" s="2"/>
      <c r="G1223" s="3"/>
      <c r="H1223" s="3"/>
      <c r="I1223" s="3"/>
      <c r="J1223" s="3"/>
      <c r="K1223" s="4">
        <f>SUM(F1223:J1223)</f>
        <v>0</v>
      </c>
      <c r="M1223" s="2"/>
      <c r="N1223" s="3"/>
      <c r="O1223" s="3"/>
      <c r="P1223" s="3"/>
      <c r="Q1223" s="3"/>
      <c r="R1223" s="4">
        <f>SUM(M1223:Q1223)</f>
        <v>0</v>
      </c>
      <c r="T1223" s="2"/>
      <c r="U1223" s="3"/>
      <c r="V1223" s="3"/>
      <c r="W1223" s="3"/>
      <c r="X1223" s="3"/>
      <c r="Y1223" s="4">
        <f>SUM(T1223:X1223)</f>
        <v>0</v>
      </c>
      <c r="AA1223" s="2"/>
      <c r="AB1223" s="3"/>
      <c r="AC1223" s="3"/>
      <c r="AD1223" s="3"/>
      <c r="AE1223" s="3"/>
      <c r="AF1223" s="4">
        <f>SUM(AA1223:AE1223)</f>
        <v>0</v>
      </c>
      <c r="AH1223" s="2"/>
      <c r="AI1223" s="3"/>
      <c r="AJ1223" s="3"/>
      <c r="AK1223" s="3"/>
      <c r="AL1223" s="3"/>
      <c r="AM1223" s="4">
        <f>SUM(AH1223:AL1223)</f>
        <v>0</v>
      </c>
      <c r="AO1223" s="2"/>
      <c r="AP1223" s="3"/>
      <c r="AQ1223" s="3"/>
      <c r="AR1223" s="3"/>
      <c r="AS1223" s="3"/>
      <c r="AT1223" s="4">
        <f>SUM(AO1223:AS1223)</f>
        <v>0</v>
      </c>
      <c r="AV1223" s="2"/>
      <c r="AW1223" s="3"/>
      <c r="AX1223" s="3"/>
      <c r="AY1223" s="3"/>
      <c r="AZ1223" s="3"/>
      <c r="BA1223" s="4">
        <f>SUM(AV1223:AZ1223)</f>
        <v>0</v>
      </c>
      <c r="BC1223" s="2"/>
      <c r="BD1223" s="3"/>
      <c r="BE1223" s="3"/>
      <c r="BF1223" s="3"/>
      <c r="BG1223" s="3"/>
      <c r="BH1223" s="4">
        <f>SUM(BC1223:BG1223)</f>
        <v>0</v>
      </c>
      <c r="BJ1223" s="2"/>
      <c r="BK1223" s="3"/>
      <c r="BL1223" s="3"/>
      <c r="BM1223" s="3"/>
      <c r="BN1223" s="3"/>
      <c r="BO1223" s="4">
        <f>SUM(BJ1223:BN1223)</f>
        <v>0</v>
      </c>
      <c r="BQ1223" s="2"/>
      <c r="BR1223" s="3"/>
      <c r="BS1223" s="3"/>
      <c r="BT1223" s="3"/>
      <c r="BU1223" s="3"/>
      <c r="BV1223" s="4">
        <f>SUM(BQ1223:BU1223)</f>
        <v>0</v>
      </c>
      <c r="BX1223" s="2"/>
      <c r="BY1223" s="3"/>
      <c r="BZ1223" s="3"/>
      <c r="CA1223" s="3"/>
      <c r="CB1223" s="3"/>
      <c r="CC1223" s="4">
        <f>SUM(BX1223:CB1223)</f>
        <v>0</v>
      </c>
      <c r="CE1223" s="26">
        <f t="shared" ref="CE1223:CE1226" si="5605">F1223+M1223+T1223+AA1223+AH1223+AO1223+AV1223+BC1223+BJ1223+BQ1223+BX1223</f>
        <v>0</v>
      </c>
      <c r="CF1223" s="27">
        <f t="shared" ref="CF1223:CF1226" si="5606">G1223+N1223+U1223+AB1223+AI1223+AP1223+AW1223+BD1223+BK1223+BR1223+BY1223</f>
        <v>0</v>
      </c>
      <c r="CG1223" s="27">
        <f t="shared" ref="CG1223:CG1226" si="5607">H1223+O1223+V1223+AC1223+AJ1223+AQ1223+AX1223+BE1223+BL1223+BS1223+BZ1223</f>
        <v>0</v>
      </c>
      <c r="CH1223" s="27">
        <f t="shared" ref="CH1223:CH1226" si="5608">I1223+P1223+W1223+AD1223+AK1223+AR1223+AY1223+BF1223+BM1223+BT1223+CA1223</f>
        <v>0</v>
      </c>
      <c r="CI1223" s="27">
        <f t="shared" ref="CI1223:CI1226" si="5609">J1223+Q1223+X1223+AE1223+AL1223+AS1223+AZ1223+BG1223+BN1223+BU1223+CB1223</f>
        <v>0</v>
      </c>
      <c r="CJ1223" s="4">
        <f>SUM(CE1223:CI1223)</f>
        <v>0</v>
      </c>
      <c r="CL1223" s="2"/>
      <c r="CM1223" s="3"/>
      <c r="CN1223" s="3"/>
      <c r="CO1223" s="3"/>
      <c r="CP1223" s="3"/>
      <c r="CQ1223" s="4">
        <f>SUM(CL1223:CP1223)</f>
        <v>0</v>
      </c>
      <c r="CS1223" s="2"/>
      <c r="CT1223" s="3"/>
      <c r="CU1223" s="3"/>
      <c r="CV1223" s="3"/>
      <c r="CW1223" s="3"/>
      <c r="CX1223" s="4">
        <f>SUM(CS1223:CW1223)</f>
        <v>0</v>
      </c>
      <c r="CZ1223" s="2"/>
      <c r="DA1223" s="3"/>
      <c r="DB1223" s="3"/>
      <c r="DC1223" s="3"/>
      <c r="DD1223" s="3"/>
      <c r="DE1223" s="4">
        <f>SUM(CZ1223:DD1223)</f>
        <v>0</v>
      </c>
    </row>
    <row r="1224" spans="2:110">
      <c r="C1224" s="567"/>
      <c r="E1224" s="5" t="s">
        <v>60</v>
      </c>
      <c r="F1224" s="6"/>
      <c r="G1224" s="7"/>
      <c r="H1224" s="7"/>
      <c r="I1224" s="7"/>
      <c r="J1224" s="7"/>
      <c r="K1224" s="8">
        <f t="shared" ref="K1224:K1226" si="5610">SUM(F1224:J1224)</f>
        <v>0</v>
      </c>
      <c r="M1224" s="6"/>
      <c r="N1224" s="7"/>
      <c r="O1224" s="7"/>
      <c r="P1224" s="7"/>
      <c r="Q1224" s="7"/>
      <c r="R1224" s="8">
        <f t="shared" ref="R1224:R1226" si="5611">SUM(M1224:Q1224)</f>
        <v>0</v>
      </c>
      <c r="T1224" s="6"/>
      <c r="U1224" s="7"/>
      <c r="V1224" s="7"/>
      <c r="W1224" s="7"/>
      <c r="X1224" s="7"/>
      <c r="Y1224" s="8">
        <f t="shared" ref="Y1224:Y1226" si="5612">SUM(T1224:X1224)</f>
        <v>0</v>
      </c>
      <c r="AA1224" s="6"/>
      <c r="AB1224" s="7"/>
      <c r="AC1224" s="7"/>
      <c r="AD1224" s="7"/>
      <c r="AE1224" s="7"/>
      <c r="AF1224" s="8">
        <f>SUM(AA1224:AE1224)</f>
        <v>0</v>
      </c>
      <c r="AH1224" s="6"/>
      <c r="AI1224" s="7"/>
      <c r="AJ1224" s="7"/>
      <c r="AK1224" s="7"/>
      <c r="AL1224" s="7"/>
      <c r="AM1224" s="8">
        <f>SUM(AH1224:AL1224)</f>
        <v>0</v>
      </c>
      <c r="AO1224" s="6"/>
      <c r="AP1224" s="7"/>
      <c r="AQ1224" s="7"/>
      <c r="AR1224" s="7"/>
      <c r="AS1224" s="7"/>
      <c r="AT1224" s="8">
        <f>SUM(AO1224:AS1224)</f>
        <v>0</v>
      </c>
      <c r="AV1224" s="6"/>
      <c r="AW1224" s="7"/>
      <c r="AX1224" s="7"/>
      <c r="AY1224" s="7"/>
      <c r="AZ1224" s="7"/>
      <c r="BA1224" s="8">
        <f>SUM(AV1224:AZ1224)</f>
        <v>0</v>
      </c>
      <c r="BC1224" s="6"/>
      <c r="BD1224" s="7"/>
      <c r="BE1224" s="7"/>
      <c r="BF1224" s="7"/>
      <c r="BG1224" s="7"/>
      <c r="BH1224" s="8">
        <f>SUM(BC1224:BG1224)</f>
        <v>0</v>
      </c>
      <c r="BJ1224" s="6"/>
      <c r="BK1224" s="7"/>
      <c r="BL1224" s="7"/>
      <c r="BM1224" s="7"/>
      <c r="BN1224" s="7"/>
      <c r="BO1224" s="8">
        <f>SUM(BJ1224:BN1224)</f>
        <v>0</v>
      </c>
      <c r="BQ1224" s="6"/>
      <c r="BR1224" s="7"/>
      <c r="BS1224" s="7"/>
      <c r="BT1224" s="7"/>
      <c r="BU1224" s="7"/>
      <c r="BV1224" s="8">
        <f>SUM(BQ1224:BU1224)</f>
        <v>0</v>
      </c>
      <c r="BX1224" s="6"/>
      <c r="BY1224" s="7"/>
      <c r="BZ1224" s="7"/>
      <c r="CA1224" s="7"/>
      <c r="CB1224" s="7"/>
      <c r="CC1224" s="8">
        <f>SUM(BX1224:CB1224)</f>
        <v>0</v>
      </c>
      <c r="CE1224" s="28">
        <f t="shared" si="5605"/>
        <v>0</v>
      </c>
      <c r="CF1224" s="29">
        <f t="shared" si="5606"/>
        <v>0</v>
      </c>
      <c r="CG1224" s="29">
        <f t="shared" si="5607"/>
        <v>0</v>
      </c>
      <c r="CH1224" s="29">
        <f t="shared" si="5608"/>
        <v>0</v>
      </c>
      <c r="CI1224" s="29">
        <f t="shared" si="5609"/>
        <v>0</v>
      </c>
      <c r="CJ1224" s="8">
        <f>SUM(CE1224:CI1224)</f>
        <v>0</v>
      </c>
      <c r="CL1224" s="6"/>
      <c r="CM1224" s="7"/>
      <c r="CN1224" s="7"/>
      <c r="CO1224" s="7"/>
      <c r="CP1224" s="7"/>
      <c r="CQ1224" s="8">
        <f>SUM(CL1224:CP1224)</f>
        <v>0</v>
      </c>
      <c r="CS1224" s="6"/>
      <c r="CT1224" s="7"/>
      <c r="CU1224" s="7"/>
      <c r="CV1224" s="7"/>
      <c r="CW1224" s="7"/>
      <c r="CX1224" s="8">
        <f t="shared" ref="CX1224:CX1226" si="5613">SUM(CS1224:CW1224)</f>
        <v>0</v>
      </c>
      <c r="CZ1224" s="6"/>
      <c r="DA1224" s="7"/>
      <c r="DB1224" s="7"/>
      <c r="DC1224" s="7"/>
      <c r="DD1224" s="7"/>
      <c r="DE1224" s="8">
        <f t="shared" ref="DE1224:DE1226" si="5614">SUM(CZ1224:DD1224)</f>
        <v>0</v>
      </c>
    </row>
    <row r="1225" spans="2:110">
      <c r="C1225" s="567"/>
      <c r="E1225" s="5" t="s">
        <v>61</v>
      </c>
      <c r="F1225" s="6"/>
      <c r="G1225" s="7"/>
      <c r="H1225" s="7"/>
      <c r="I1225" s="7"/>
      <c r="J1225" s="7"/>
      <c r="K1225" s="8">
        <f t="shared" si="5610"/>
        <v>0</v>
      </c>
      <c r="M1225" s="6"/>
      <c r="N1225" s="7"/>
      <c r="O1225" s="7"/>
      <c r="P1225" s="7"/>
      <c r="Q1225" s="7"/>
      <c r="R1225" s="8">
        <f t="shared" si="5611"/>
        <v>0</v>
      </c>
      <c r="T1225" s="6"/>
      <c r="U1225" s="7"/>
      <c r="V1225" s="7"/>
      <c r="W1225" s="7"/>
      <c r="X1225" s="7"/>
      <c r="Y1225" s="8">
        <f t="shared" si="5612"/>
        <v>0</v>
      </c>
      <c r="AA1225" s="6"/>
      <c r="AB1225" s="7"/>
      <c r="AC1225" s="7"/>
      <c r="AD1225" s="7"/>
      <c r="AE1225" s="7"/>
      <c r="AF1225" s="8">
        <f>SUM(AA1225:AE1225)</f>
        <v>0</v>
      </c>
      <c r="AH1225" s="6"/>
      <c r="AI1225" s="7"/>
      <c r="AJ1225" s="7"/>
      <c r="AK1225" s="7"/>
      <c r="AL1225" s="7"/>
      <c r="AM1225" s="8">
        <f>SUM(AH1225:AL1225)</f>
        <v>0</v>
      </c>
      <c r="AO1225" s="6"/>
      <c r="AP1225" s="7"/>
      <c r="AQ1225" s="7"/>
      <c r="AR1225" s="7"/>
      <c r="AS1225" s="7"/>
      <c r="AT1225" s="8">
        <f>SUM(AO1225:AS1225)</f>
        <v>0</v>
      </c>
      <c r="AV1225" s="6"/>
      <c r="AW1225" s="7"/>
      <c r="AX1225" s="7"/>
      <c r="AY1225" s="7"/>
      <c r="AZ1225" s="7"/>
      <c r="BA1225" s="8">
        <f>SUM(AV1225:AZ1225)</f>
        <v>0</v>
      </c>
      <c r="BC1225" s="6"/>
      <c r="BD1225" s="7"/>
      <c r="BE1225" s="7"/>
      <c r="BF1225" s="7"/>
      <c r="BG1225" s="7"/>
      <c r="BH1225" s="8">
        <f>SUM(BC1225:BG1225)</f>
        <v>0</v>
      </c>
      <c r="BJ1225" s="6"/>
      <c r="BK1225" s="7"/>
      <c r="BL1225" s="7"/>
      <c r="BM1225" s="7"/>
      <c r="BN1225" s="7"/>
      <c r="BO1225" s="8">
        <f>SUM(BJ1225:BN1225)</f>
        <v>0</v>
      </c>
      <c r="BQ1225" s="6"/>
      <c r="BR1225" s="7"/>
      <c r="BS1225" s="7"/>
      <c r="BT1225" s="7"/>
      <c r="BU1225" s="7"/>
      <c r="BV1225" s="8">
        <f>SUM(BQ1225:BU1225)</f>
        <v>0</v>
      </c>
      <c r="BX1225" s="6"/>
      <c r="BY1225" s="7"/>
      <c r="BZ1225" s="7"/>
      <c r="CA1225" s="7"/>
      <c r="CB1225" s="7"/>
      <c r="CC1225" s="8">
        <f>SUM(BX1225:CB1225)</f>
        <v>0</v>
      </c>
      <c r="CE1225" s="28">
        <f t="shared" si="5605"/>
        <v>0</v>
      </c>
      <c r="CF1225" s="29">
        <f t="shared" si="5606"/>
        <v>0</v>
      </c>
      <c r="CG1225" s="29">
        <f t="shared" si="5607"/>
        <v>0</v>
      </c>
      <c r="CH1225" s="29">
        <f t="shared" si="5608"/>
        <v>0</v>
      </c>
      <c r="CI1225" s="29">
        <f t="shared" si="5609"/>
        <v>0</v>
      </c>
      <c r="CJ1225" s="8">
        <f>SUM(CE1225:CI1225)</f>
        <v>0</v>
      </c>
      <c r="CL1225" s="6"/>
      <c r="CM1225" s="7"/>
      <c r="CN1225" s="7"/>
      <c r="CO1225" s="7"/>
      <c r="CP1225" s="7"/>
      <c r="CQ1225" s="8">
        <f>SUM(CL1225:CP1225)</f>
        <v>0</v>
      </c>
      <c r="CS1225" s="6"/>
      <c r="CT1225" s="7"/>
      <c r="CU1225" s="7"/>
      <c r="CV1225" s="7"/>
      <c r="CW1225" s="7"/>
      <c r="CX1225" s="8">
        <f t="shared" si="5613"/>
        <v>0</v>
      </c>
      <c r="CZ1225" s="6"/>
      <c r="DA1225" s="7"/>
      <c r="DB1225" s="7"/>
      <c r="DC1225" s="7"/>
      <c r="DD1225" s="7"/>
      <c r="DE1225" s="8">
        <f t="shared" si="5614"/>
        <v>0</v>
      </c>
    </row>
    <row r="1226" spans="2:110" ht="14" thickBot="1">
      <c r="C1226" s="567"/>
      <c r="E1226" s="5" t="s">
        <v>62</v>
      </c>
      <c r="F1226" s="6"/>
      <c r="G1226" s="7"/>
      <c r="H1226" s="7"/>
      <c r="I1226" s="7"/>
      <c r="J1226" s="7"/>
      <c r="K1226" s="8">
        <f t="shared" si="5610"/>
        <v>0</v>
      </c>
      <c r="M1226" s="6"/>
      <c r="N1226" s="7"/>
      <c r="O1226" s="7"/>
      <c r="P1226" s="7"/>
      <c r="Q1226" s="7"/>
      <c r="R1226" s="8">
        <f t="shared" si="5611"/>
        <v>0</v>
      </c>
      <c r="T1226" s="6"/>
      <c r="U1226" s="7"/>
      <c r="V1226" s="7"/>
      <c r="W1226" s="7"/>
      <c r="X1226" s="7"/>
      <c r="Y1226" s="8">
        <f t="shared" si="5612"/>
        <v>0</v>
      </c>
      <c r="AA1226" s="6"/>
      <c r="AB1226" s="7"/>
      <c r="AC1226" s="7"/>
      <c r="AD1226" s="7"/>
      <c r="AE1226" s="7"/>
      <c r="AF1226" s="8">
        <f>SUM(AA1226:AE1226)</f>
        <v>0</v>
      </c>
      <c r="AH1226" s="6"/>
      <c r="AI1226" s="7"/>
      <c r="AJ1226" s="7"/>
      <c r="AK1226" s="7"/>
      <c r="AL1226" s="7"/>
      <c r="AM1226" s="8">
        <f>SUM(AH1226:AL1226)</f>
        <v>0</v>
      </c>
      <c r="AO1226" s="6"/>
      <c r="AP1226" s="7"/>
      <c r="AQ1226" s="7"/>
      <c r="AR1226" s="7"/>
      <c r="AS1226" s="7"/>
      <c r="AT1226" s="8">
        <f>SUM(AO1226:AS1226)</f>
        <v>0</v>
      </c>
      <c r="AV1226" s="6"/>
      <c r="AW1226" s="7"/>
      <c r="AX1226" s="7"/>
      <c r="AY1226" s="7"/>
      <c r="AZ1226" s="7"/>
      <c r="BA1226" s="8">
        <f>SUM(AV1226:AZ1226)</f>
        <v>0</v>
      </c>
      <c r="BC1226" s="6"/>
      <c r="BD1226" s="7"/>
      <c r="BE1226" s="7"/>
      <c r="BF1226" s="7"/>
      <c r="BG1226" s="7"/>
      <c r="BH1226" s="8">
        <f>SUM(BC1226:BG1226)</f>
        <v>0</v>
      </c>
      <c r="BJ1226" s="6"/>
      <c r="BK1226" s="7"/>
      <c r="BL1226" s="7"/>
      <c r="BM1226" s="7"/>
      <c r="BN1226" s="7"/>
      <c r="BO1226" s="8">
        <f>SUM(BJ1226:BN1226)</f>
        <v>0</v>
      </c>
      <c r="BQ1226" s="6"/>
      <c r="BR1226" s="7"/>
      <c r="BS1226" s="7"/>
      <c r="BT1226" s="7"/>
      <c r="BU1226" s="7"/>
      <c r="BV1226" s="8">
        <f>SUM(BQ1226:BU1226)</f>
        <v>0</v>
      </c>
      <c r="BX1226" s="6"/>
      <c r="BY1226" s="7"/>
      <c r="BZ1226" s="7"/>
      <c r="CA1226" s="7"/>
      <c r="CB1226" s="7"/>
      <c r="CC1226" s="8">
        <f>SUM(BX1226:CB1226)</f>
        <v>0</v>
      </c>
      <c r="CE1226" s="493">
        <f t="shared" si="5605"/>
        <v>0</v>
      </c>
      <c r="CF1226" s="494">
        <f t="shared" si="5606"/>
        <v>0</v>
      </c>
      <c r="CG1226" s="494">
        <f t="shared" si="5607"/>
        <v>0</v>
      </c>
      <c r="CH1226" s="494">
        <f t="shared" si="5608"/>
        <v>0</v>
      </c>
      <c r="CI1226" s="494">
        <f t="shared" si="5609"/>
        <v>0</v>
      </c>
      <c r="CJ1226" s="495">
        <f>SUM(CE1226:CI1226)</f>
        <v>0</v>
      </c>
      <c r="CL1226" s="6"/>
      <c r="CM1226" s="7"/>
      <c r="CN1226" s="7"/>
      <c r="CO1226" s="7"/>
      <c r="CP1226" s="7"/>
      <c r="CQ1226" s="8">
        <f>SUM(CL1226:CP1226)</f>
        <v>0</v>
      </c>
      <c r="CS1226" s="6"/>
      <c r="CT1226" s="7"/>
      <c r="CU1226" s="7"/>
      <c r="CV1226" s="7"/>
      <c r="CW1226" s="7"/>
      <c r="CX1226" s="8">
        <f t="shared" si="5613"/>
        <v>0</v>
      </c>
      <c r="CZ1226" s="6"/>
      <c r="DA1226" s="7"/>
      <c r="DB1226" s="7"/>
      <c r="DC1226" s="7"/>
      <c r="DD1226" s="7"/>
      <c r="DE1226" s="8">
        <f t="shared" si="5614"/>
        <v>0</v>
      </c>
    </row>
    <row r="1227" spans="2:110" ht="14" thickBot="1">
      <c r="C1227" s="554"/>
      <c r="E1227" s="9"/>
      <c r="F1227" s="10">
        <f>SUM(F1223:F1226)</f>
        <v>0</v>
      </c>
      <c r="G1227" s="11">
        <f t="shared" ref="G1227:J1227" si="5615">SUM(G1223:G1226)</f>
        <v>0</v>
      </c>
      <c r="H1227" s="11">
        <f t="shared" si="5615"/>
        <v>0</v>
      </c>
      <c r="I1227" s="11">
        <f t="shared" si="5615"/>
        <v>0</v>
      </c>
      <c r="J1227" s="61">
        <f t="shared" si="5615"/>
        <v>0</v>
      </c>
      <c r="K1227" s="25">
        <f>SUM(K1223:K1226)</f>
        <v>0</v>
      </c>
      <c r="M1227" s="10">
        <f>SUM(M1223:M1226)</f>
        <v>0</v>
      </c>
      <c r="N1227" s="11">
        <f t="shared" ref="N1227:Q1227" si="5616">SUM(N1223:N1226)</f>
        <v>0</v>
      </c>
      <c r="O1227" s="11">
        <f t="shared" si="5616"/>
        <v>0</v>
      </c>
      <c r="P1227" s="11">
        <f t="shared" si="5616"/>
        <v>0</v>
      </c>
      <c r="Q1227" s="11">
        <f t="shared" si="5616"/>
        <v>0</v>
      </c>
      <c r="R1227" s="25">
        <f>SUM(R1223:R1226)</f>
        <v>0</v>
      </c>
      <c r="T1227" s="10">
        <f>SUM(T1223:T1226)</f>
        <v>0</v>
      </c>
      <c r="U1227" s="11">
        <f t="shared" ref="U1227:X1227" si="5617">SUM(U1223:U1226)</f>
        <v>0</v>
      </c>
      <c r="V1227" s="11">
        <f t="shared" si="5617"/>
        <v>0</v>
      </c>
      <c r="W1227" s="11">
        <f t="shared" si="5617"/>
        <v>0</v>
      </c>
      <c r="X1227" s="11">
        <f t="shared" si="5617"/>
        <v>0</v>
      </c>
      <c r="Y1227" s="25">
        <f>SUM(Y1223:Y1226)</f>
        <v>0</v>
      </c>
      <c r="AA1227" s="10">
        <f>SUM(AA1223:AA1226)</f>
        <v>0</v>
      </c>
      <c r="AB1227" s="11">
        <f t="shared" ref="AB1227:AE1227" si="5618">SUM(AB1223:AB1226)</f>
        <v>0</v>
      </c>
      <c r="AC1227" s="11">
        <f t="shared" si="5618"/>
        <v>0</v>
      </c>
      <c r="AD1227" s="11">
        <f t="shared" si="5618"/>
        <v>0</v>
      </c>
      <c r="AE1227" s="11">
        <f t="shared" si="5618"/>
        <v>0</v>
      </c>
      <c r="AF1227" s="25">
        <f>SUM(AF1223:AF1226)</f>
        <v>0</v>
      </c>
      <c r="AH1227" s="10">
        <f t="shared" ref="AH1227:AM1227" si="5619">SUM(AH1223:AH1226)</f>
        <v>0</v>
      </c>
      <c r="AI1227" s="11">
        <f t="shared" si="5619"/>
        <v>0</v>
      </c>
      <c r="AJ1227" s="11">
        <f t="shared" si="5619"/>
        <v>0</v>
      </c>
      <c r="AK1227" s="11">
        <f t="shared" si="5619"/>
        <v>0</v>
      </c>
      <c r="AL1227" s="11">
        <f t="shared" si="5619"/>
        <v>0</v>
      </c>
      <c r="AM1227" s="25">
        <f t="shared" si="5619"/>
        <v>0</v>
      </c>
      <c r="AO1227" s="10">
        <f t="shared" ref="AO1227:AT1227" si="5620">SUM(AO1223:AO1226)</f>
        <v>0</v>
      </c>
      <c r="AP1227" s="11">
        <f t="shared" si="5620"/>
        <v>0</v>
      </c>
      <c r="AQ1227" s="11">
        <f t="shared" si="5620"/>
        <v>0</v>
      </c>
      <c r="AR1227" s="11">
        <f t="shared" si="5620"/>
        <v>0</v>
      </c>
      <c r="AS1227" s="11">
        <f t="shared" si="5620"/>
        <v>0</v>
      </c>
      <c r="AT1227" s="25">
        <f t="shared" si="5620"/>
        <v>0</v>
      </c>
      <c r="AV1227" s="10">
        <f t="shared" ref="AV1227:BA1227" si="5621">SUM(AV1223:AV1226)</f>
        <v>0</v>
      </c>
      <c r="AW1227" s="11">
        <f t="shared" si="5621"/>
        <v>0</v>
      </c>
      <c r="AX1227" s="11">
        <f t="shared" si="5621"/>
        <v>0</v>
      </c>
      <c r="AY1227" s="11">
        <f t="shared" si="5621"/>
        <v>0</v>
      </c>
      <c r="AZ1227" s="11">
        <f t="shared" si="5621"/>
        <v>0</v>
      </c>
      <c r="BA1227" s="25">
        <f t="shared" si="5621"/>
        <v>0</v>
      </c>
      <c r="BC1227" s="10">
        <f t="shared" ref="BC1227:BH1227" si="5622">SUM(BC1223:BC1226)</f>
        <v>0</v>
      </c>
      <c r="BD1227" s="11">
        <f t="shared" si="5622"/>
        <v>0</v>
      </c>
      <c r="BE1227" s="11">
        <f t="shared" si="5622"/>
        <v>0</v>
      </c>
      <c r="BF1227" s="11">
        <f t="shared" si="5622"/>
        <v>0</v>
      </c>
      <c r="BG1227" s="11">
        <f t="shared" si="5622"/>
        <v>0</v>
      </c>
      <c r="BH1227" s="25">
        <f t="shared" si="5622"/>
        <v>0</v>
      </c>
      <c r="BJ1227" s="10">
        <f t="shared" ref="BJ1227:BO1227" si="5623">SUM(BJ1223:BJ1226)</f>
        <v>0</v>
      </c>
      <c r="BK1227" s="11">
        <f t="shared" si="5623"/>
        <v>0</v>
      </c>
      <c r="BL1227" s="11">
        <f t="shared" si="5623"/>
        <v>0</v>
      </c>
      <c r="BM1227" s="11">
        <f t="shared" si="5623"/>
        <v>0</v>
      </c>
      <c r="BN1227" s="11">
        <f t="shared" si="5623"/>
        <v>0</v>
      </c>
      <c r="BO1227" s="25">
        <f t="shared" si="5623"/>
        <v>0</v>
      </c>
      <c r="BQ1227" s="10">
        <f t="shared" ref="BQ1227:BV1227" si="5624">SUM(BQ1223:BQ1226)</f>
        <v>0</v>
      </c>
      <c r="BR1227" s="11">
        <f t="shared" si="5624"/>
        <v>0</v>
      </c>
      <c r="BS1227" s="11">
        <f t="shared" si="5624"/>
        <v>0</v>
      </c>
      <c r="BT1227" s="11">
        <f t="shared" si="5624"/>
        <v>0</v>
      </c>
      <c r="BU1227" s="11">
        <f t="shared" si="5624"/>
        <v>0</v>
      </c>
      <c r="BV1227" s="25">
        <f t="shared" si="5624"/>
        <v>0</v>
      </c>
      <c r="BX1227" s="10">
        <f t="shared" ref="BX1227:CC1227" si="5625">SUM(BX1223:BX1226)</f>
        <v>0</v>
      </c>
      <c r="BY1227" s="11">
        <f t="shared" si="5625"/>
        <v>0</v>
      </c>
      <c r="BZ1227" s="11">
        <f t="shared" si="5625"/>
        <v>0</v>
      </c>
      <c r="CA1227" s="11">
        <f t="shared" si="5625"/>
        <v>0</v>
      </c>
      <c r="CB1227" s="11">
        <f t="shared" si="5625"/>
        <v>0</v>
      </c>
      <c r="CC1227" s="25">
        <f t="shared" si="5625"/>
        <v>0</v>
      </c>
      <c r="CE1227" s="62">
        <f t="shared" ref="CE1227:CJ1227" si="5626">SUM(CE1223:CE1226)</f>
        <v>0</v>
      </c>
      <c r="CF1227" s="63">
        <f t="shared" si="5626"/>
        <v>0</v>
      </c>
      <c r="CG1227" s="63">
        <f t="shared" si="5626"/>
        <v>0</v>
      </c>
      <c r="CH1227" s="63">
        <f t="shared" si="5626"/>
        <v>0</v>
      </c>
      <c r="CI1227" s="63">
        <f t="shared" si="5626"/>
        <v>0</v>
      </c>
      <c r="CJ1227" s="25">
        <f t="shared" si="5626"/>
        <v>0</v>
      </c>
      <c r="CL1227" s="10">
        <f>SUM(CL1223:CL1226)</f>
        <v>0</v>
      </c>
      <c r="CM1227" s="11">
        <f t="shared" ref="CM1227:CQ1227" si="5627">SUM(CM1223:CM1226)</f>
        <v>0</v>
      </c>
      <c r="CN1227" s="11">
        <f t="shared" si="5627"/>
        <v>0</v>
      </c>
      <c r="CO1227" s="11">
        <f t="shared" si="5627"/>
        <v>0</v>
      </c>
      <c r="CP1227" s="11">
        <f t="shared" si="5627"/>
        <v>0</v>
      </c>
      <c r="CQ1227" s="25">
        <f t="shared" si="5627"/>
        <v>0</v>
      </c>
      <c r="CS1227" s="10">
        <f>SUM(CS1223:CS1226)</f>
        <v>0</v>
      </c>
      <c r="CT1227" s="11">
        <f t="shared" ref="CT1227:CW1227" si="5628">SUM(CT1223:CT1226)</f>
        <v>0</v>
      </c>
      <c r="CU1227" s="11">
        <f t="shared" si="5628"/>
        <v>0</v>
      </c>
      <c r="CV1227" s="11">
        <f t="shared" si="5628"/>
        <v>0</v>
      </c>
      <c r="CW1227" s="11">
        <f t="shared" si="5628"/>
        <v>0</v>
      </c>
      <c r="CX1227" s="25">
        <f>SUM(CX1223:CX1226)</f>
        <v>0</v>
      </c>
      <c r="CZ1227" s="10">
        <f>SUM(CZ1223:CZ1226)</f>
        <v>0</v>
      </c>
      <c r="DA1227" s="11">
        <f t="shared" ref="DA1227:DD1227" si="5629">SUM(DA1223:DA1226)</f>
        <v>0</v>
      </c>
      <c r="DB1227" s="11">
        <f t="shared" si="5629"/>
        <v>0</v>
      </c>
      <c r="DC1227" s="11">
        <f t="shared" si="5629"/>
        <v>0</v>
      </c>
      <c r="DD1227" s="11">
        <f t="shared" si="5629"/>
        <v>0</v>
      </c>
      <c r="DE1227" s="25">
        <f>SUM(DE1223:DE1226)</f>
        <v>0</v>
      </c>
    </row>
    <row r="1228" spans="2:110" ht="10.4" customHeight="1" thickBot="1"/>
    <row r="1229" spans="2:110">
      <c r="C1229" s="553">
        <v>2025</v>
      </c>
      <c r="E1229" s="13" t="s">
        <v>59</v>
      </c>
      <c r="F1229" s="21">
        <f>CE1223</f>
        <v>0</v>
      </c>
      <c r="G1229" s="22">
        <f t="shared" ref="G1229:G1232" si="5630">CF1223</f>
        <v>0</v>
      </c>
      <c r="H1229" s="22">
        <f t="shared" ref="H1229:H1232" si="5631">CG1223</f>
        <v>0</v>
      </c>
      <c r="I1229" s="22">
        <f t="shared" ref="I1229:I1232" si="5632">CH1223</f>
        <v>0</v>
      </c>
      <c r="J1229" s="22">
        <f t="shared" ref="J1229:J1232" si="5633">CI1223</f>
        <v>0</v>
      </c>
      <c r="K1229" s="15">
        <f>SUM(F1229:J1229)</f>
        <v>0</v>
      </c>
      <c r="M1229" s="2"/>
      <c r="N1229" s="3"/>
      <c r="O1229" s="3"/>
      <c r="P1229" s="3"/>
      <c r="Q1229" s="3"/>
      <c r="R1229" s="15">
        <f>SUM(M1229:Q1229)</f>
        <v>0</v>
      </c>
      <c r="T1229" s="2"/>
      <c r="U1229" s="3"/>
      <c r="V1229" s="3"/>
      <c r="W1229" s="3"/>
      <c r="X1229" s="3"/>
      <c r="Y1229" s="15">
        <f>SUM(T1229:X1229)</f>
        <v>0</v>
      </c>
      <c r="AA1229" s="2"/>
      <c r="AB1229" s="3"/>
      <c r="AC1229" s="3"/>
      <c r="AD1229" s="3"/>
      <c r="AE1229" s="3"/>
      <c r="AF1229" s="15">
        <f>SUM(AA1229:AE1229)</f>
        <v>0</v>
      </c>
      <c r="AH1229" s="2"/>
      <c r="AI1229" s="3"/>
      <c r="AJ1229" s="3"/>
      <c r="AK1229" s="3"/>
      <c r="AL1229" s="3"/>
      <c r="AM1229" s="15">
        <f>SUM(AH1229:AL1229)</f>
        <v>0</v>
      </c>
      <c r="AO1229" s="2"/>
      <c r="AP1229" s="3"/>
      <c r="AQ1229" s="3"/>
      <c r="AR1229" s="3"/>
      <c r="AS1229" s="3"/>
      <c r="AT1229" s="15">
        <f>SUM(AO1229:AS1229)</f>
        <v>0</v>
      </c>
      <c r="AV1229" s="2"/>
      <c r="AW1229" s="3"/>
      <c r="AX1229" s="3"/>
      <c r="AY1229" s="3"/>
      <c r="AZ1229" s="3"/>
      <c r="BA1229" s="15">
        <f>SUM(AV1229:AZ1229)</f>
        <v>0</v>
      </c>
      <c r="BC1229" s="2"/>
      <c r="BD1229" s="3"/>
      <c r="BE1229" s="3"/>
      <c r="BF1229" s="3"/>
      <c r="BG1229" s="3"/>
      <c r="BH1229" s="15">
        <f>SUM(BC1229:BG1229)</f>
        <v>0</v>
      </c>
      <c r="BJ1229" s="2"/>
      <c r="BK1229" s="3"/>
      <c r="BL1229" s="3"/>
      <c r="BM1229" s="3"/>
      <c r="BN1229" s="3"/>
      <c r="BO1229" s="15">
        <f>SUM(BJ1229:BN1229)</f>
        <v>0</v>
      </c>
      <c r="BQ1229" s="2"/>
      <c r="BR1229" s="3"/>
      <c r="BS1229" s="3"/>
      <c r="BT1229" s="3"/>
      <c r="BU1229" s="3"/>
      <c r="BV1229" s="15">
        <f>SUM(BQ1229:BU1229)</f>
        <v>0</v>
      </c>
      <c r="BX1229" s="2"/>
      <c r="BY1229" s="3"/>
      <c r="BZ1229" s="3"/>
      <c r="CA1229" s="3"/>
      <c r="CB1229" s="3"/>
      <c r="CC1229" s="15">
        <f>SUM(BX1229:CB1229)</f>
        <v>0</v>
      </c>
      <c r="CE1229" s="26">
        <f t="shared" ref="CE1229:CE1232" si="5634">F1229+M1229+T1229+AA1229+AH1229+AO1229+AV1229+BC1229+BJ1229+BQ1229+BX1229</f>
        <v>0</v>
      </c>
      <c r="CF1229" s="27">
        <f t="shared" ref="CF1229:CF1232" si="5635">G1229+N1229+U1229+AB1229+AI1229+AP1229+AW1229+BD1229+BK1229+BR1229+BY1229</f>
        <v>0</v>
      </c>
      <c r="CG1229" s="27">
        <f t="shared" ref="CG1229:CG1232" si="5636">H1229+O1229+V1229+AC1229+AJ1229+AQ1229+AX1229+BE1229+BL1229+BS1229+BZ1229</f>
        <v>0</v>
      </c>
      <c r="CH1229" s="27">
        <f t="shared" ref="CH1229:CH1232" si="5637">I1229+P1229+W1229+AD1229+AK1229+AR1229+AY1229+BF1229+BM1229+BT1229+CA1229</f>
        <v>0</v>
      </c>
      <c r="CI1229" s="27">
        <f t="shared" ref="CI1229:CI1232" si="5638">J1229+Q1229+X1229+AE1229+AL1229+AS1229+AZ1229+BG1229+BN1229+BU1229+CB1229</f>
        <v>0</v>
      </c>
      <c r="CJ1229" s="4">
        <f>SUM(CE1229:CI1229)</f>
        <v>0</v>
      </c>
      <c r="CL1229" s="2"/>
      <c r="CM1229" s="3"/>
      <c r="CN1229" s="3"/>
      <c r="CO1229" s="3"/>
      <c r="CP1229" s="3"/>
      <c r="CQ1229" s="15">
        <f>SUM(CL1229:CP1229)</f>
        <v>0</v>
      </c>
      <c r="CS1229" s="2"/>
      <c r="CT1229" s="3"/>
      <c r="CU1229" s="3"/>
      <c r="CV1229" s="3"/>
      <c r="CW1229" s="3"/>
      <c r="CX1229" s="4">
        <f>SUM(CS1229:CW1229)</f>
        <v>0</v>
      </c>
      <c r="CZ1229" s="2"/>
      <c r="DA1229" s="3"/>
      <c r="DB1229" s="3"/>
      <c r="DC1229" s="3"/>
      <c r="DD1229" s="3"/>
      <c r="DE1229" s="15">
        <f>SUM(CZ1229:DD1229)</f>
        <v>0</v>
      </c>
    </row>
    <row r="1230" spans="2:110">
      <c r="C1230" s="567"/>
      <c r="E1230" s="14" t="s">
        <v>60</v>
      </c>
      <c r="F1230" s="23">
        <f t="shared" ref="F1230:F1232" si="5639">CE1224</f>
        <v>0</v>
      </c>
      <c r="G1230" s="24">
        <f t="shared" si="5630"/>
        <v>0</v>
      </c>
      <c r="H1230" s="24">
        <f t="shared" si="5631"/>
        <v>0</v>
      </c>
      <c r="I1230" s="24">
        <f t="shared" si="5632"/>
        <v>0</v>
      </c>
      <c r="J1230" s="24">
        <f t="shared" si="5633"/>
        <v>0</v>
      </c>
      <c r="K1230" s="16">
        <f t="shared" ref="K1230:K1232" si="5640">SUM(F1230:J1230)</f>
        <v>0</v>
      </c>
      <c r="M1230" s="6"/>
      <c r="N1230" s="7"/>
      <c r="O1230" s="7"/>
      <c r="P1230" s="7"/>
      <c r="Q1230" s="7"/>
      <c r="R1230" s="16">
        <f t="shared" ref="R1230:R1232" si="5641">SUM(M1230:Q1230)</f>
        <v>0</v>
      </c>
      <c r="T1230" s="6"/>
      <c r="U1230" s="7"/>
      <c r="V1230" s="7"/>
      <c r="W1230" s="7"/>
      <c r="X1230" s="7"/>
      <c r="Y1230" s="16">
        <f t="shared" ref="Y1230:Y1232" si="5642">SUM(T1230:X1230)</f>
        <v>0</v>
      </c>
      <c r="AA1230" s="6"/>
      <c r="AB1230" s="7"/>
      <c r="AC1230" s="7"/>
      <c r="AD1230" s="7"/>
      <c r="AE1230" s="7"/>
      <c r="AF1230" s="16">
        <f>SUM(AA1230:AE1230)</f>
        <v>0</v>
      </c>
      <c r="AH1230" s="6"/>
      <c r="AI1230" s="7"/>
      <c r="AJ1230" s="7"/>
      <c r="AK1230" s="7"/>
      <c r="AL1230" s="7"/>
      <c r="AM1230" s="16">
        <f>SUM(AH1230:AL1230)</f>
        <v>0</v>
      </c>
      <c r="AO1230" s="6"/>
      <c r="AP1230" s="7"/>
      <c r="AQ1230" s="7"/>
      <c r="AR1230" s="7"/>
      <c r="AS1230" s="7"/>
      <c r="AT1230" s="16">
        <f>SUM(AO1230:AS1230)</f>
        <v>0</v>
      </c>
      <c r="AV1230" s="6"/>
      <c r="AW1230" s="7"/>
      <c r="AX1230" s="7"/>
      <c r="AY1230" s="7"/>
      <c r="AZ1230" s="7"/>
      <c r="BA1230" s="16">
        <f>SUM(AV1230:AZ1230)</f>
        <v>0</v>
      </c>
      <c r="BC1230" s="6"/>
      <c r="BD1230" s="7"/>
      <c r="BE1230" s="7"/>
      <c r="BF1230" s="7"/>
      <c r="BG1230" s="7"/>
      <c r="BH1230" s="16">
        <f>SUM(BC1230:BG1230)</f>
        <v>0</v>
      </c>
      <c r="BJ1230" s="6"/>
      <c r="BK1230" s="7"/>
      <c r="BL1230" s="7"/>
      <c r="BM1230" s="7"/>
      <c r="BN1230" s="7"/>
      <c r="BO1230" s="16">
        <f>SUM(BJ1230:BN1230)</f>
        <v>0</v>
      </c>
      <c r="BQ1230" s="6"/>
      <c r="BR1230" s="7"/>
      <c r="BS1230" s="7"/>
      <c r="BT1230" s="7"/>
      <c r="BU1230" s="7"/>
      <c r="BV1230" s="16">
        <f>SUM(BQ1230:BU1230)</f>
        <v>0</v>
      </c>
      <c r="BX1230" s="6"/>
      <c r="BY1230" s="7"/>
      <c r="BZ1230" s="7"/>
      <c r="CA1230" s="7"/>
      <c r="CB1230" s="7"/>
      <c r="CC1230" s="16">
        <f>SUM(BX1230:CB1230)</f>
        <v>0</v>
      </c>
      <c r="CE1230" s="28">
        <f t="shared" si="5634"/>
        <v>0</v>
      </c>
      <c r="CF1230" s="29">
        <f t="shared" si="5635"/>
        <v>0</v>
      </c>
      <c r="CG1230" s="29">
        <f t="shared" si="5636"/>
        <v>0</v>
      </c>
      <c r="CH1230" s="29">
        <f t="shared" si="5637"/>
        <v>0</v>
      </c>
      <c r="CI1230" s="29">
        <f t="shared" si="5638"/>
        <v>0</v>
      </c>
      <c r="CJ1230" s="8">
        <f>SUM(CE1230:CI1230)</f>
        <v>0</v>
      </c>
      <c r="CL1230" s="6"/>
      <c r="CM1230" s="7"/>
      <c r="CN1230" s="7"/>
      <c r="CO1230" s="7"/>
      <c r="CP1230" s="7"/>
      <c r="CQ1230" s="16">
        <f>SUM(CL1230:CP1230)</f>
        <v>0</v>
      </c>
      <c r="CS1230" s="6"/>
      <c r="CT1230" s="7"/>
      <c r="CU1230" s="7"/>
      <c r="CV1230" s="7"/>
      <c r="CW1230" s="7"/>
      <c r="CX1230" s="8">
        <f t="shared" ref="CX1230:CX1232" si="5643">SUM(CS1230:CW1230)</f>
        <v>0</v>
      </c>
      <c r="CZ1230" s="6"/>
      <c r="DA1230" s="7"/>
      <c r="DB1230" s="7"/>
      <c r="DC1230" s="7"/>
      <c r="DD1230" s="7"/>
      <c r="DE1230" s="16">
        <f t="shared" ref="DE1230:DE1232" si="5644">SUM(CZ1230:DD1230)</f>
        <v>0</v>
      </c>
    </row>
    <row r="1231" spans="2:110">
      <c r="C1231" s="567"/>
      <c r="E1231" s="14" t="s">
        <v>61</v>
      </c>
      <c r="F1231" s="23">
        <f t="shared" si="5639"/>
        <v>0</v>
      </c>
      <c r="G1231" s="24">
        <f t="shared" si="5630"/>
        <v>0</v>
      </c>
      <c r="H1231" s="24">
        <f t="shared" si="5631"/>
        <v>0</v>
      </c>
      <c r="I1231" s="24">
        <f t="shared" si="5632"/>
        <v>0</v>
      </c>
      <c r="J1231" s="24">
        <f t="shared" si="5633"/>
        <v>0</v>
      </c>
      <c r="K1231" s="16">
        <f t="shared" si="5640"/>
        <v>0</v>
      </c>
      <c r="M1231" s="6"/>
      <c r="N1231" s="7"/>
      <c r="O1231" s="7"/>
      <c r="P1231" s="7"/>
      <c r="Q1231" s="7"/>
      <c r="R1231" s="16">
        <f t="shared" si="5641"/>
        <v>0</v>
      </c>
      <c r="T1231" s="6"/>
      <c r="U1231" s="7"/>
      <c r="V1231" s="7"/>
      <c r="W1231" s="7"/>
      <c r="X1231" s="7"/>
      <c r="Y1231" s="16">
        <f t="shared" si="5642"/>
        <v>0</v>
      </c>
      <c r="AA1231" s="6"/>
      <c r="AB1231" s="7"/>
      <c r="AC1231" s="7"/>
      <c r="AD1231" s="7"/>
      <c r="AE1231" s="7"/>
      <c r="AF1231" s="16">
        <f>SUM(AA1231:AE1231)</f>
        <v>0</v>
      </c>
      <c r="AH1231" s="6"/>
      <c r="AI1231" s="7"/>
      <c r="AJ1231" s="7"/>
      <c r="AK1231" s="7"/>
      <c r="AL1231" s="7"/>
      <c r="AM1231" s="16">
        <f>SUM(AH1231:AL1231)</f>
        <v>0</v>
      </c>
      <c r="AO1231" s="6"/>
      <c r="AP1231" s="7"/>
      <c r="AQ1231" s="7"/>
      <c r="AR1231" s="7"/>
      <c r="AS1231" s="7"/>
      <c r="AT1231" s="16">
        <f>SUM(AO1231:AS1231)</f>
        <v>0</v>
      </c>
      <c r="AV1231" s="6"/>
      <c r="AW1231" s="7"/>
      <c r="AX1231" s="7"/>
      <c r="AY1231" s="7"/>
      <c r="AZ1231" s="7"/>
      <c r="BA1231" s="16">
        <f>SUM(AV1231:AZ1231)</f>
        <v>0</v>
      </c>
      <c r="BC1231" s="6"/>
      <c r="BD1231" s="7"/>
      <c r="BE1231" s="7"/>
      <c r="BF1231" s="7"/>
      <c r="BG1231" s="7"/>
      <c r="BH1231" s="16">
        <f>SUM(BC1231:BG1231)</f>
        <v>0</v>
      </c>
      <c r="BJ1231" s="6"/>
      <c r="BK1231" s="7"/>
      <c r="BL1231" s="7"/>
      <c r="BM1231" s="7"/>
      <c r="BN1231" s="7"/>
      <c r="BO1231" s="16">
        <f>SUM(BJ1231:BN1231)</f>
        <v>0</v>
      </c>
      <c r="BQ1231" s="6"/>
      <c r="BR1231" s="7"/>
      <c r="BS1231" s="7"/>
      <c r="BT1231" s="7"/>
      <c r="BU1231" s="7"/>
      <c r="BV1231" s="16">
        <f>SUM(BQ1231:BU1231)</f>
        <v>0</v>
      </c>
      <c r="BX1231" s="6"/>
      <c r="BY1231" s="7"/>
      <c r="BZ1231" s="7"/>
      <c r="CA1231" s="7"/>
      <c r="CB1231" s="7"/>
      <c r="CC1231" s="16">
        <f>SUM(BX1231:CB1231)</f>
        <v>0</v>
      </c>
      <c r="CE1231" s="28">
        <f t="shared" si="5634"/>
        <v>0</v>
      </c>
      <c r="CF1231" s="29">
        <f t="shared" si="5635"/>
        <v>0</v>
      </c>
      <c r="CG1231" s="29">
        <f t="shared" si="5636"/>
        <v>0</v>
      </c>
      <c r="CH1231" s="29">
        <f t="shared" si="5637"/>
        <v>0</v>
      </c>
      <c r="CI1231" s="29">
        <f t="shared" si="5638"/>
        <v>0</v>
      </c>
      <c r="CJ1231" s="8">
        <f>SUM(CE1231:CI1231)</f>
        <v>0</v>
      </c>
      <c r="CL1231" s="6"/>
      <c r="CM1231" s="7"/>
      <c r="CN1231" s="7"/>
      <c r="CO1231" s="7"/>
      <c r="CP1231" s="7"/>
      <c r="CQ1231" s="16">
        <f>SUM(CL1231:CP1231)</f>
        <v>0</v>
      </c>
      <c r="CS1231" s="6"/>
      <c r="CT1231" s="7"/>
      <c r="CU1231" s="7"/>
      <c r="CV1231" s="7"/>
      <c r="CW1231" s="7"/>
      <c r="CX1231" s="8">
        <f t="shared" si="5643"/>
        <v>0</v>
      </c>
      <c r="CZ1231" s="6"/>
      <c r="DA1231" s="7"/>
      <c r="DB1231" s="7"/>
      <c r="DC1231" s="7"/>
      <c r="DD1231" s="7"/>
      <c r="DE1231" s="16">
        <f t="shared" si="5644"/>
        <v>0</v>
      </c>
    </row>
    <row r="1232" spans="2:110" ht="14" thickBot="1">
      <c r="C1232" s="567"/>
      <c r="E1232" s="14" t="s">
        <v>62</v>
      </c>
      <c r="F1232" s="23">
        <f t="shared" si="5639"/>
        <v>0</v>
      </c>
      <c r="G1232" s="24">
        <f t="shared" si="5630"/>
        <v>0</v>
      </c>
      <c r="H1232" s="24">
        <f t="shared" si="5631"/>
        <v>0</v>
      </c>
      <c r="I1232" s="24">
        <f t="shared" si="5632"/>
        <v>0</v>
      </c>
      <c r="J1232" s="24">
        <f t="shared" si="5633"/>
        <v>0</v>
      </c>
      <c r="K1232" s="16">
        <f t="shared" si="5640"/>
        <v>0</v>
      </c>
      <c r="M1232" s="6"/>
      <c r="N1232" s="7"/>
      <c r="O1232" s="7"/>
      <c r="P1232" s="7"/>
      <c r="Q1232" s="7"/>
      <c r="R1232" s="16">
        <f t="shared" si="5641"/>
        <v>0</v>
      </c>
      <c r="T1232" s="6"/>
      <c r="U1232" s="7"/>
      <c r="V1232" s="7"/>
      <c r="W1232" s="7"/>
      <c r="X1232" s="7"/>
      <c r="Y1232" s="16">
        <f t="shared" si="5642"/>
        <v>0</v>
      </c>
      <c r="AA1232" s="6"/>
      <c r="AB1232" s="7"/>
      <c r="AC1232" s="7"/>
      <c r="AD1232" s="7"/>
      <c r="AE1232" s="7"/>
      <c r="AF1232" s="16">
        <f>SUM(AA1232:AE1232)</f>
        <v>0</v>
      </c>
      <c r="AH1232" s="6"/>
      <c r="AI1232" s="7"/>
      <c r="AJ1232" s="7"/>
      <c r="AK1232" s="7"/>
      <c r="AL1232" s="7"/>
      <c r="AM1232" s="16">
        <f>SUM(AH1232:AL1232)</f>
        <v>0</v>
      </c>
      <c r="AO1232" s="6"/>
      <c r="AP1232" s="7"/>
      <c r="AQ1232" s="7"/>
      <c r="AR1232" s="7"/>
      <c r="AS1232" s="7"/>
      <c r="AT1232" s="16">
        <f>SUM(AO1232:AS1232)</f>
        <v>0</v>
      </c>
      <c r="AV1232" s="6"/>
      <c r="AW1232" s="7"/>
      <c r="AX1232" s="7"/>
      <c r="AY1232" s="7"/>
      <c r="AZ1232" s="7"/>
      <c r="BA1232" s="16">
        <f>SUM(AV1232:AZ1232)</f>
        <v>0</v>
      </c>
      <c r="BC1232" s="6"/>
      <c r="BD1232" s="7"/>
      <c r="BE1232" s="7"/>
      <c r="BF1232" s="7"/>
      <c r="BG1232" s="7"/>
      <c r="BH1232" s="16">
        <f>SUM(BC1232:BG1232)</f>
        <v>0</v>
      </c>
      <c r="BJ1232" s="6"/>
      <c r="BK1232" s="7"/>
      <c r="BL1232" s="7"/>
      <c r="BM1232" s="7"/>
      <c r="BN1232" s="7"/>
      <c r="BO1232" s="16">
        <f>SUM(BJ1232:BN1232)</f>
        <v>0</v>
      </c>
      <c r="BQ1232" s="6"/>
      <c r="BR1232" s="7"/>
      <c r="BS1232" s="7"/>
      <c r="BT1232" s="7"/>
      <c r="BU1232" s="7"/>
      <c r="BV1232" s="16">
        <f>SUM(BQ1232:BU1232)</f>
        <v>0</v>
      </c>
      <c r="BX1232" s="6"/>
      <c r="BY1232" s="7"/>
      <c r="BZ1232" s="7"/>
      <c r="CA1232" s="7"/>
      <c r="CB1232" s="7"/>
      <c r="CC1232" s="16">
        <f>SUM(BX1232:CB1232)</f>
        <v>0</v>
      </c>
      <c r="CE1232" s="493">
        <f t="shared" si="5634"/>
        <v>0</v>
      </c>
      <c r="CF1232" s="494">
        <f t="shared" si="5635"/>
        <v>0</v>
      </c>
      <c r="CG1232" s="494">
        <f t="shared" si="5636"/>
        <v>0</v>
      </c>
      <c r="CH1232" s="494">
        <f t="shared" si="5637"/>
        <v>0</v>
      </c>
      <c r="CI1232" s="494">
        <f t="shared" si="5638"/>
        <v>0</v>
      </c>
      <c r="CJ1232" s="495">
        <f>SUM(CE1232:CI1232)</f>
        <v>0</v>
      </c>
      <c r="CL1232" s="6"/>
      <c r="CM1232" s="7"/>
      <c r="CN1232" s="7"/>
      <c r="CO1232" s="7"/>
      <c r="CP1232" s="7"/>
      <c r="CQ1232" s="16">
        <f>SUM(CL1232:CP1232)</f>
        <v>0</v>
      </c>
      <c r="CS1232" s="6"/>
      <c r="CT1232" s="7"/>
      <c r="CU1232" s="7"/>
      <c r="CV1232" s="7"/>
      <c r="CW1232" s="7"/>
      <c r="CX1232" s="8">
        <f t="shared" si="5643"/>
        <v>0</v>
      </c>
      <c r="CZ1232" s="6"/>
      <c r="DA1232" s="7"/>
      <c r="DB1232" s="7"/>
      <c r="DC1232" s="7"/>
      <c r="DD1232" s="7"/>
      <c r="DE1232" s="16">
        <f t="shared" si="5644"/>
        <v>0</v>
      </c>
    </row>
    <row r="1233" spans="3:109" ht="14" thickBot="1">
      <c r="C1233" s="554"/>
      <c r="E1233" s="17"/>
      <c r="F1233" s="10">
        <f>SUM(F1229:F1232)</f>
        <v>0</v>
      </c>
      <c r="G1233" s="11">
        <f t="shared" ref="G1233:J1233" si="5645">SUM(G1229:G1232)</f>
        <v>0</v>
      </c>
      <c r="H1233" s="11">
        <f t="shared" si="5645"/>
        <v>0</v>
      </c>
      <c r="I1233" s="11">
        <f t="shared" si="5645"/>
        <v>0</v>
      </c>
      <c r="J1233" s="11">
        <f t="shared" si="5645"/>
        <v>0</v>
      </c>
      <c r="K1233" s="25">
        <f>SUM(K1229:K1232)</f>
        <v>0</v>
      </c>
      <c r="M1233" s="10">
        <f>SUM(M1229:M1232)</f>
        <v>0</v>
      </c>
      <c r="N1233" s="11">
        <f t="shared" ref="N1233:Q1233" si="5646">SUM(N1229:N1232)</f>
        <v>0</v>
      </c>
      <c r="O1233" s="11">
        <f t="shared" si="5646"/>
        <v>0</v>
      </c>
      <c r="P1233" s="11">
        <f t="shared" si="5646"/>
        <v>0</v>
      </c>
      <c r="Q1233" s="11">
        <f t="shared" si="5646"/>
        <v>0</v>
      </c>
      <c r="R1233" s="25">
        <f>SUM(R1229:R1232)</f>
        <v>0</v>
      </c>
      <c r="T1233" s="10">
        <f>SUM(T1229:T1232)</f>
        <v>0</v>
      </c>
      <c r="U1233" s="11">
        <f t="shared" ref="U1233:X1233" si="5647">SUM(U1229:U1232)</f>
        <v>0</v>
      </c>
      <c r="V1233" s="11">
        <f t="shared" si="5647"/>
        <v>0</v>
      </c>
      <c r="W1233" s="11">
        <f t="shared" si="5647"/>
        <v>0</v>
      </c>
      <c r="X1233" s="11">
        <f t="shared" si="5647"/>
        <v>0</v>
      </c>
      <c r="Y1233" s="25">
        <f>SUM(Y1229:Y1232)</f>
        <v>0</v>
      </c>
      <c r="AA1233" s="10">
        <f>SUM(AA1229:AA1232)</f>
        <v>0</v>
      </c>
      <c r="AB1233" s="11">
        <f t="shared" ref="AB1233:AE1233" si="5648">SUM(AB1229:AB1232)</f>
        <v>0</v>
      </c>
      <c r="AC1233" s="11">
        <f t="shared" si="5648"/>
        <v>0</v>
      </c>
      <c r="AD1233" s="11">
        <f t="shared" si="5648"/>
        <v>0</v>
      </c>
      <c r="AE1233" s="11">
        <f t="shared" si="5648"/>
        <v>0</v>
      </c>
      <c r="AF1233" s="25">
        <f>SUM(AF1229:AF1232)</f>
        <v>0</v>
      </c>
      <c r="AH1233" s="10">
        <f t="shared" ref="AH1233:AM1233" si="5649">SUM(AH1229:AH1232)</f>
        <v>0</v>
      </c>
      <c r="AI1233" s="11">
        <f t="shared" si="5649"/>
        <v>0</v>
      </c>
      <c r="AJ1233" s="11">
        <f t="shared" si="5649"/>
        <v>0</v>
      </c>
      <c r="AK1233" s="11">
        <f t="shared" si="5649"/>
        <v>0</v>
      </c>
      <c r="AL1233" s="11">
        <f t="shared" si="5649"/>
        <v>0</v>
      </c>
      <c r="AM1233" s="25">
        <f t="shared" si="5649"/>
        <v>0</v>
      </c>
      <c r="AO1233" s="10">
        <f t="shared" ref="AO1233:AT1233" si="5650">SUM(AO1229:AO1232)</f>
        <v>0</v>
      </c>
      <c r="AP1233" s="11">
        <f t="shared" si="5650"/>
        <v>0</v>
      </c>
      <c r="AQ1233" s="11">
        <f t="shared" si="5650"/>
        <v>0</v>
      </c>
      <c r="AR1233" s="11">
        <f t="shared" si="5650"/>
        <v>0</v>
      </c>
      <c r="AS1233" s="11">
        <f t="shared" si="5650"/>
        <v>0</v>
      </c>
      <c r="AT1233" s="25">
        <f t="shared" si="5650"/>
        <v>0</v>
      </c>
      <c r="AV1233" s="10">
        <f t="shared" ref="AV1233:BA1233" si="5651">SUM(AV1229:AV1232)</f>
        <v>0</v>
      </c>
      <c r="AW1233" s="11">
        <f t="shared" si="5651"/>
        <v>0</v>
      </c>
      <c r="AX1233" s="11">
        <f t="shared" si="5651"/>
        <v>0</v>
      </c>
      <c r="AY1233" s="11">
        <f t="shared" si="5651"/>
        <v>0</v>
      </c>
      <c r="AZ1233" s="11">
        <f t="shared" si="5651"/>
        <v>0</v>
      </c>
      <c r="BA1233" s="25">
        <f t="shared" si="5651"/>
        <v>0</v>
      </c>
      <c r="BC1233" s="10">
        <f t="shared" ref="BC1233:BH1233" si="5652">SUM(BC1229:BC1232)</f>
        <v>0</v>
      </c>
      <c r="BD1233" s="11">
        <f t="shared" si="5652"/>
        <v>0</v>
      </c>
      <c r="BE1233" s="11">
        <f t="shared" si="5652"/>
        <v>0</v>
      </c>
      <c r="BF1233" s="11">
        <f t="shared" si="5652"/>
        <v>0</v>
      </c>
      <c r="BG1233" s="11">
        <f t="shared" si="5652"/>
        <v>0</v>
      </c>
      <c r="BH1233" s="25">
        <f t="shared" si="5652"/>
        <v>0</v>
      </c>
      <c r="BJ1233" s="10">
        <f t="shared" ref="BJ1233:BO1233" si="5653">SUM(BJ1229:BJ1232)</f>
        <v>0</v>
      </c>
      <c r="BK1233" s="11">
        <f t="shared" si="5653"/>
        <v>0</v>
      </c>
      <c r="BL1233" s="11">
        <f t="shared" si="5653"/>
        <v>0</v>
      </c>
      <c r="BM1233" s="11">
        <f t="shared" si="5653"/>
        <v>0</v>
      </c>
      <c r="BN1233" s="11">
        <f t="shared" si="5653"/>
        <v>0</v>
      </c>
      <c r="BO1233" s="25">
        <f t="shared" si="5653"/>
        <v>0</v>
      </c>
      <c r="BQ1233" s="10">
        <f t="shared" ref="BQ1233:BV1233" si="5654">SUM(BQ1229:BQ1232)</f>
        <v>0</v>
      </c>
      <c r="BR1233" s="11">
        <f t="shared" si="5654"/>
        <v>0</v>
      </c>
      <c r="BS1233" s="11">
        <f t="shared" si="5654"/>
        <v>0</v>
      </c>
      <c r="BT1233" s="11">
        <f t="shared" si="5654"/>
        <v>0</v>
      </c>
      <c r="BU1233" s="11">
        <f t="shared" si="5654"/>
        <v>0</v>
      </c>
      <c r="BV1233" s="25">
        <f t="shared" si="5654"/>
        <v>0</v>
      </c>
      <c r="BX1233" s="10">
        <f t="shared" ref="BX1233:CC1233" si="5655">SUM(BX1229:BX1232)</f>
        <v>0</v>
      </c>
      <c r="BY1233" s="11">
        <f t="shared" si="5655"/>
        <v>0</v>
      </c>
      <c r="BZ1233" s="11">
        <f t="shared" si="5655"/>
        <v>0</v>
      </c>
      <c r="CA1233" s="11">
        <f t="shared" si="5655"/>
        <v>0</v>
      </c>
      <c r="CB1233" s="11">
        <f t="shared" si="5655"/>
        <v>0</v>
      </c>
      <c r="CC1233" s="25">
        <f t="shared" si="5655"/>
        <v>0</v>
      </c>
      <c r="CE1233" s="62">
        <f t="shared" ref="CE1233:CJ1233" si="5656">SUM(CE1229:CE1232)</f>
        <v>0</v>
      </c>
      <c r="CF1233" s="63">
        <f t="shared" si="5656"/>
        <v>0</v>
      </c>
      <c r="CG1233" s="63">
        <f t="shared" si="5656"/>
        <v>0</v>
      </c>
      <c r="CH1233" s="63">
        <f t="shared" si="5656"/>
        <v>0</v>
      </c>
      <c r="CI1233" s="63">
        <f t="shared" si="5656"/>
        <v>0</v>
      </c>
      <c r="CJ1233" s="25">
        <f t="shared" si="5656"/>
        <v>0</v>
      </c>
      <c r="CL1233" s="10">
        <f>SUM(CL1229:CL1232)</f>
        <v>0</v>
      </c>
      <c r="CM1233" s="11">
        <f t="shared" ref="CM1233:CQ1233" si="5657">SUM(CM1229:CM1232)</f>
        <v>0</v>
      </c>
      <c r="CN1233" s="11">
        <f t="shared" si="5657"/>
        <v>0</v>
      </c>
      <c r="CO1233" s="11">
        <f t="shared" si="5657"/>
        <v>0</v>
      </c>
      <c r="CP1233" s="11">
        <f t="shared" si="5657"/>
        <v>0</v>
      </c>
      <c r="CQ1233" s="25">
        <f t="shared" si="5657"/>
        <v>0</v>
      </c>
      <c r="CS1233" s="10">
        <f>SUM(CS1229:CS1232)</f>
        <v>0</v>
      </c>
      <c r="CT1233" s="11">
        <f t="shared" ref="CT1233:CW1233" si="5658">SUM(CT1229:CT1232)</f>
        <v>0</v>
      </c>
      <c r="CU1233" s="11">
        <f t="shared" si="5658"/>
        <v>0</v>
      </c>
      <c r="CV1233" s="11">
        <f t="shared" si="5658"/>
        <v>0</v>
      </c>
      <c r="CW1233" s="11">
        <f t="shared" si="5658"/>
        <v>0</v>
      </c>
      <c r="CX1233" s="25">
        <f>SUM(CX1229:CX1232)</f>
        <v>0</v>
      </c>
      <c r="CZ1233" s="10">
        <f>SUM(CZ1229:CZ1232)</f>
        <v>0</v>
      </c>
      <c r="DA1233" s="11">
        <f t="shared" ref="DA1233:DD1233" si="5659">SUM(DA1229:DA1232)</f>
        <v>0</v>
      </c>
      <c r="DB1233" s="11">
        <f t="shared" si="5659"/>
        <v>0</v>
      </c>
      <c r="DC1233" s="11">
        <f t="shared" si="5659"/>
        <v>0</v>
      </c>
      <c r="DD1233" s="11">
        <f t="shared" si="5659"/>
        <v>0</v>
      </c>
      <c r="DE1233" s="25">
        <f>SUM(DE1229:DE1232)</f>
        <v>0</v>
      </c>
    </row>
    <row r="1234" spans="3:109" ht="10.4" customHeight="1" thickBot="1"/>
    <row r="1235" spans="3:109">
      <c r="C1235" s="553">
        <v>2026</v>
      </c>
      <c r="E1235" s="1" t="s">
        <v>59</v>
      </c>
      <c r="F1235" s="21">
        <f>CE1229</f>
        <v>0</v>
      </c>
      <c r="G1235" s="22">
        <f t="shared" ref="G1235:G1238" si="5660">CF1229</f>
        <v>0</v>
      </c>
      <c r="H1235" s="22">
        <f t="shared" ref="H1235:H1238" si="5661">CG1229</f>
        <v>0</v>
      </c>
      <c r="I1235" s="22">
        <f t="shared" ref="I1235:I1238" si="5662">CH1229</f>
        <v>0</v>
      </c>
      <c r="J1235" s="22">
        <f t="shared" ref="J1235:J1238" si="5663">CI1229</f>
        <v>0</v>
      </c>
      <c r="K1235" s="4">
        <f>SUM(F1235:J1235)</f>
        <v>0</v>
      </c>
      <c r="M1235" s="2"/>
      <c r="N1235" s="3"/>
      <c r="O1235" s="3"/>
      <c r="P1235" s="3"/>
      <c r="Q1235" s="3"/>
      <c r="R1235" s="4">
        <f>SUM(M1235:Q1235)</f>
        <v>0</v>
      </c>
      <c r="T1235" s="2"/>
      <c r="U1235" s="3"/>
      <c r="V1235" s="3"/>
      <c r="W1235" s="3"/>
      <c r="X1235" s="3"/>
      <c r="Y1235" s="4">
        <f>SUM(T1235:X1235)</f>
        <v>0</v>
      </c>
      <c r="AA1235" s="2"/>
      <c r="AB1235" s="3"/>
      <c r="AC1235" s="3"/>
      <c r="AD1235" s="3"/>
      <c r="AE1235" s="3"/>
      <c r="AF1235" s="4">
        <f>SUM(AA1235:AE1235)</f>
        <v>0</v>
      </c>
      <c r="AH1235" s="2"/>
      <c r="AI1235" s="3"/>
      <c r="AJ1235" s="3"/>
      <c r="AK1235" s="3"/>
      <c r="AL1235" s="3"/>
      <c r="AM1235" s="4">
        <f>SUM(AH1235:AL1235)</f>
        <v>0</v>
      </c>
      <c r="AO1235" s="2"/>
      <c r="AP1235" s="3"/>
      <c r="AQ1235" s="3"/>
      <c r="AR1235" s="3"/>
      <c r="AS1235" s="3"/>
      <c r="AT1235" s="4">
        <f>SUM(AO1235:AS1235)</f>
        <v>0</v>
      </c>
      <c r="AV1235" s="2"/>
      <c r="AW1235" s="3"/>
      <c r="AX1235" s="3"/>
      <c r="AY1235" s="3"/>
      <c r="AZ1235" s="3"/>
      <c r="BA1235" s="4">
        <f>SUM(AV1235:AZ1235)</f>
        <v>0</v>
      </c>
      <c r="BC1235" s="2"/>
      <c r="BD1235" s="3"/>
      <c r="BE1235" s="3"/>
      <c r="BF1235" s="3"/>
      <c r="BG1235" s="3"/>
      <c r="BH1235" s="4">
        <f>SUM(BC1235:BG1235)</f>
        <v>0</v>
      </c>
      <c r="BJ1235" s="2"/>
      <c r="BK1235" s="3"/>
      <c r="BL1235" s="3"/>
      <c r="BM1235" s="3"/>
      <c r="BN1235" s="3"/>
      <c r="BO1235" s="4">
        <f>SUM(BJ1235:BN1235)</f>
        <v>0</v>
      </c>
      <c r="BQ1235" s="2"/>
      <c r="BR1235" s="3"/>
      <c r="BS1235" s="3"/>
      <c r="BT1235" s="3"/>
      <c r="BU1235" s="3"/>
      <c r="BV1235" s="4">
        <f>SUM(BQ1235:BU1235)</f>
        <v>0</v>
      </c>
      <c r="BX1235" s="2"/>
      <c r="BY1235" s="3"/>
      <c r="BZ1235" s="3"/>
      <c r="CA1235" s="3"/>
      <c r="CB1235" s="3"/>
      <c r="CC1235" s="4">
        <f>SUM(BX1235:CB1235)</f>
        <v>0</v>
      </c>
      <c r="CE1235" s="26">
        <f t="shared" ref="CE1235:CE1238" si="5664">F1235+M1235+T1235+AA1235+AH1235+AO1235+AV1235+BC1235+BJ1235+BQ1235+BX1235</f>
        <v>0</v>
      </c>
      <c r="CF1235" s="27">
        <f t="shared" ref="CF1235:CF1238" si="5665">G1235+N1235+U1235+AB1235+AI1235+AP1235+AW1235+BD1235+BK1235+BR1235+BY1235</f>
        <v>0</v>
      </c>
      <c r="CG1235" s="27">
        <f t="shared" ref="CG1235:CG1238" si="5666">H1235+O1235+V1235+AC1235+AJ1235+AQ1235+AX1235+BE1235+BL1235+BS1235+BZ1235</f>
        <v>0</v>
      </c>
      <c r="CH1235" s="27">
        <f t="shared" ref="CH1235:CH1238" si="5667">I1235+P1235+W1235+AD1235+AK1235+AR1235+AY1235+BF1235+BM1235+BT1235+CA1235</f>
        <v>0</v>
      </c>
      <c r="CI1235" s="27">
        <f t="shared" ref="CI1235:CI1238" si="5668">J1235+Q1235+X1235+AE1235+AL1235+AS1235+AZ1235+BG1235+BN1235+BU1235+CB1235</f>
        <v>0</v>
      </c>
      <c r="CJ1235" s="4">
        <f>SUM(CE1235:CI1235)</f>
        <v>0</v>
      </c>
      <c r="CL1235" s="2"/>
      <c r="CM1235" s="3"/>
      <c r="CN1235" s="3"/>
      <c r="CO1235" s="3"/>
      <c r="CP1235" s="3"/>
      <c r="CQ1235" s="4">
        <f>SUM(CL1235:CP1235)</f>
        <v>0</v>
      </c>
      <c r="CS1235" s="2"/>
      <c r="CT1235" s="3"/>
      <c r="CU1235" s="3"/>
      <c r="CV1235" s="3"/>
      <c r="CW1235" s="3"/>
      <c r="CX1235" s="4">
        <f>SUM(CS1235:CW1235)</f>
        <v>0</v>
      </c>
      <c r="CZ1235" s="2"/>
      <c r="DA1235" s="3"/>
      <c r="DB1235" s="3"/>
      <c r="DC1235" s="3"/>
      <c r="DD1235" s="3"/>
      <c r="DE1235" s="4">
        <f>SUM(CZ1235:DD1235)</f>
        <v>0</v>
      </c>
    </row>
    <row r="1236" spans="3:109">
      <c r="C1236" s="567"/>
      <c r="E1236" s="5" t="s">
        <v>60</v>
      </c>
      <c r="F1236" s="23">
        <f t="shared" ref="F1236:F1238" si="5669">CE1230</f>
        <v>0</v>
      </c>
      <c r="G1236" s="24">
        <f t="shared" si="5660"/>
        <v>0</v>
      </c>
      <c r="H1236" s="24">
        <f t="shared" si="5661"/>
        <v>0</v>
      </c>
      <c r="I1236" s="24">
        <f t="shared" si="5662"/>
        <v>0</v>
      </c>
      <c r="J1236" s="24">
        <f t="shared" si="5663"/>
        <v>0</v>
      </c>
      <c r="K1236" s="8">
        <f t="shared" ref="K1236:K1238" si="5670">SUM(F1236:J1236)</f>
        <v>0</v>
      </c>
      <c r="M1236" s="6"/>
      <c r="N1236" s="7"/>
      <c r="O1236" s="7"/>
      <c r="P1236" s="7"/>
      <c r="Q1236" s="7"/>
      <c r="R1236" s="8">
        <f t="shared" ref="R1236:R1238" si="5671">SUM(M1236:Q1236)</f>
        <v>0</v>
      </c>
      <c r="T1236" s="6"/>
      <c r="U1236" s="7"/>
      <c r="V1236" s="7"/>
      <c r="W1236" s="7"/>
      <c r="X1236" s="7"/>
      <c r="Y1236" s="8">
        <f t="shared" ref="Y1236:Y1238" si="5672">SUM(T1236:X1236)</f>
        <v>0</v>
      </c>
      <c r="AA1236" s="6"/>
      <c r="AB1236" s="7"/>
      <c r="AC1236" s="7"/>
      <c r="AD1236" s="7"/>
      <c r="AE1236" s="7"/>
      <c r="AF1236" s="8">
        <f>SUM(AA1236:AE1236)</f>
        <v>0</v>
      </c>
      <c r="AH1236" s="6"/>
      <c r="AI1236" s="7"/>
      <c r="AJ1236" s="7"/>
      <c r="AK1236" s="7"/>
      <c r="AL1236" s="7"/>
      <c r="AM1236" s="8">
        <f>SUM(AH1236:AL1236)</f>
        <v>0</v>
      </c>
      <c r="AO1236" s="6"/>
      <c r="AP1236" s="7"/>
      <c r="AQ1236" s="7"/>
      <c r="AR1236" s="7"/>
      <c r="AS1236" s="7"/>
      <c r="AT1236" s="8">
        <f>SUM(AO1236:AS1236)</f>
        <v>0</v>
      </c>
      <c r="AV1236" s="6"/>
      <c r="AW1236" s="7"/>
      <c r="AX1236" s="7"/>
      <c r="AY1236" s="7"/>
      <c r="AZ1236" s="7"/>
      <c r="BA1236" s="8">
        <f>SUM(AV1236:AZ1236)</f>
        <v>0</v>
      </c>
      <c r="BC1236" s="6"/>
      <c r="BD1236" s="7"/>
      <c r="BE1236" s="7"/>
      <c r="BF1236" s="7"/>
      <c r="BG1236" s="7"/>
      <c r="BH1236" s="8">
        <f>SUM(BC1236:BG1236)</f>
        <v>0</v>
      </c>
      <c r="BJ1236" s="6"/>
      <c r="BK1236" s="7"/>
      <c r="BL1236" s="7"/>
      <c r="BM1236" s="7"/>
      <c r="BN1236" s="7"/>
      <c r="BO1236" s="8">
        <f>SUM(BJ1236:BN1236)</f>
        <v>0</v>
      </c>
      <c r="BQ1236" s="6"/>
      <c r="BR1236" s="7"/>
      <c r="BS1236" s="7"/>
      <c r="BT1236" s="7"/>
      <c r="BU1236" s="7"/>
      <c r="BV1236" s="8">
        <f>SUM(BQ1236:BU1236)</f>
        <v>0</v>
      </c>
      <c r="BX1236" s="6"/>
      <c r="BY1236" s="7"/>
      <c r="BZ1236" s="7"/>
      <c r="CA1236" s="7"/>
      <c r="CB1236" s="7"/>
      <c r="CC1236" s="8">
        <f>SUM(BX1236:CB1236)</f>
        <v>0</v>
      </c>
      <c r="CE1236" s="28">
        <f t="shared" si="5664"/>
        <v>0</v>
      </c>
      <c r="CF1236" s="29">
        <f t="shared" si="5665"/>
        <v>0</v>
      </c>
      <c r="CG1236" s="29">
        <f t="shared" si="5666"/>
        <v>0</v>
      </c>
      <c r="CH1236" s="29">
        <f t="shared" si="5667"/>
        <v>0</v>
      </c>
      <c r="CI1236" s="29">
        <f t="shared" si="5668"/>
        <v>0</v>
      </c>
      <c r="CJ1236" s="8">
        <f>SUM(CE1236:CI1236)</f>
        <v>0</v>
      </c>
      <c r="CL1236" s="6"/>
      <c r="CM1236" s="7"/>
      <c r="CN1236" s="7"/>
      <c r="CO1236" s="7"/>
      <c r="CP1236" s="7"/>
      <c r="CQ1236" s="8">
        <f>SUM(CL1236:CP1236)</f>
        <v>0</v>
      </c>
      <c r="CS1236" s="6"/>
      <c r="CT1236" s="7"/>
      <c r="CU1236" s="7"/>
      <c r="CV1236" s="7"/>
      <c r="CW1236" s="7"/>
      <c r="CX1236" s="8">
        <f t="shared" ref="CX1236:CX1238" si="5673">SUM(CS1236:CW1236)</f>
        <v>0</v>
      </c>
      <c r="CZ1236" s="6"/>
      <c r="DA1236" s="7"/>
      <c r="DB1236" s="7"/>
      <c r="DC1236" s="7"/>
      <c r="DD1236" s="7"/>
      <c r="DE1236" s="8">
        <f t="shared" ref="DE1236:DE1238" si="5674">SUM(CZ1236:DD1236)</f>
        <v>0</v>
      </c>
    </row>
    <row r="1237" spans="3:109">
      <c r="C1237" s="567"/>
      <c r="E1237" s="5" t="s">
        <v>61</v>
      </c>
      <c r="F1237" s="23">
        <f t="shared" si="5669"/>
        <v>0</v>
      </c>
      <c r="G1237" s="24">
        <f t="shared" si="5660"/>
        <v>0</v>
      </c>
      <c r="H1237" s="24">
        <f t="shared" si="5661"/>
        <v>0</v>
      </c>
      <c r="I1237" s="24">
        <f t="shared" si="5662"/>
        <v>0</v>
      </c>
      <c r="J1237" s="24">
        <f t="shared" si="5663"/>
        <v>0</v>
      </c>
      <c r="K1237" s="8">
        <f t="shared" si="5670"/>
        <v>0</v>
      </c>
      <c r="M1237" s="6"/>
      <c r="N1237" s="7"/>
      <c r="O1237" s="7"/>
      <c r="P1237" s="7"/>
      <c r="Q1237" s="7"/>
      <c r="R1237" s="8">
        <f t="shared" si="5671"/>
        <v>0</v>
      </c>
      <c r="T1237" s="6"/>
      <c r="U1237" s="7"/>
      <c r="V1237" s="7"/>
      <c r="W1237" s="7"/>
      <c r="X1237" s="7"/>
      <c r="Y1237" s="8">
        <f t="shared" si="5672"/>
        <v>0</v>
      </c>
      <c r="AA1237" s="6"/>
      <c r="AB1237" s="7"/>
      <c r="AC1237" s="7"/>
      <c r="AD1237" s="7"/>
      <c r="AE1237" s="7"/>
      <c r="AF1237" s="8">
        <f>SUM(AA1237:AE1237)</f>
        <v>0</v>
      </c>
      <c r="AH1237" s="6"/>
      <c r="AI1237" s="7"/>
      <c r="AJ1237" s="7"/>
      <c r="AK1237" s="7"/>
      <c r="AL1237" s="7"/>
      <c r="AM1237" s="8">
        <f>SUM(AH1237:AL1237)</f>
        <v>0</v>
      </c>
      <c r="AO1237" s="6"/>
      <c r="AP1237" s="7"/>
      <c r="AQ1237" s="7"/>
      <c r="AR1237" s="7"/>
      <c r="AS1237" s="7"/>
      <c r="AT1237" s="8">
        <f>SUM(AO1237:AS1237)</f>
        <v>0</v>
      </c>
      <c r="AV1237" s="6"/>
      <c r="AW1237" s="7"/>
      <c r="AX1237" s="7"/>
      <c r="AY1237" s="7"/>
      <c r="AZ1237" s="7"/>
      <c r="BA1237" s="8">
        <f>SUM(AV1237:AZ1237)</f>
        <v>0</v>
      </c>
      <c r="BC1237" s="6"/>
      <c r="BD1237" s="7"/>
      <c r="BE1237" s="7"/>
      <c r="BF1237" s="7"/>
      <c r="BG1237" s="7"/>
      <c r="BH1237" s="8">
        <f>SUM(BC1237:BG1237)</f>
        <v>0</v>
      </c>
      <c r="BJ1237" s="6"/>
      <c r="BK1237" s="7"/>
      <c r="BL1237" s="7"/>
      <c r="BM1237" s="7"/>
      <c r="BN1237" s="7"/>
      <c r="BO1237" s="8">
        <f>SUM(BJ1237:BN1237)</f>
        <v>0</v>
      </c>
      <c r="BQ1237" s="6"/>
      <c r="BR1237" s="7"/>
      <c r="BS1237" s="7"/>
      <c r="BT1237" s="7"/>
      <c r="BU1237" s="7"/>
      <c r="BV1237" s="8">
        <f>SUM(BQ1237:BU1237)</f>
        <v>0</v>
      </c>
      <c r="BX1237" s="6"/>
      <c r="BY1237" s="7"/>
      <c r="BZ1237" s="7"/>
      <c r="CA1237" s="7"/>
      <c r="CB1237" s="7"/>
      <c r="CC1237" s="8">
        <f>SUM(BX1237:CB1237)</f>
        <v>0</v>
      </c>
      <c r="CE1237" s="28">
        <f t="shared" si="5664"/>
        <v>0</v>
      </c>
      <c r="CF1237" s="29">
        <f t="shared" si="5665"/>
        <v>0</v>
      </c>
      <c r="CG1237" s="29">
        <f t="shared" si="5666"/>
        <v>0</v>
      </c>
      <c r="CH1237" s="29">
        <f t="shared" si="5667"/>
        <v>0</v>
      </c>
      <c r="CI1237" s="29">
        <f t="shared" si="5668"/>
        <v>0</v>
      </c>
      <c r="CJ1237" s="8">
        <f>SUM(CE1237:CI1237)</f>
        <v>0</v>
      </c>
      <c r="CL1237" s="6"/>
      <c r="CM1237" s="7"/>
      <c r="CN1237" s="7"/>
      <c r="CO1237" s="7"/>
      <c r="CP1237" s="7"/>
      <c r="CQ1237" s="8">
        <f>SUM(CL1237:CP1237)</f>
        <v>0</v>
      </c>
      <c r="CS1237" s="6"/>
      <c r="CT1237" s="7"/>
      <c r="CU1237" s="7"/>
      <c r="CV1237" s="7"/>
      <c r="CW1237" s="7"/>
      <c r="CX1237" s="8">
        <f t="shared" si="5673"/>
        <v>0</v>
      </c>
      <c r="CZ1237" s="6"/>
      <c r="DA1237" s="7"/>
      <c r="DB1237" s="7"/>
      <c r="DC1237" s="7"/>
      <c r="DD1237" s="7"/>
      <c r="DE1237" s="8">
        <f t="shared" si="5674"/>
        <v>0</v>
      </c>
    </row>
    <row r="1238" spans="3:109" ht="14" thickBot="1">
      <c r="C1238" s="567"/>
      <c r="E1238" s="5" t="s">
        <v>62</v>
      </c>
      <c r="F1238" s="23">
        <f t="shared" si="5669"/>
        <v>0</v>
      </c>
      <c r="G1238" s="24">
        <f t="shared" si="5660"/>
        <v>0</v>
      </c>
      <c r="H1238" s="24">
        <f t="shared" si="5661"/>
        <v>0</v>
      </c>
      <c r="I1238" s="24">
        <f t="shared" si="5662"/>
        <v>0</v>
      </c>
      <c r="J1238" s="24">
        <f t="shared" si="5663"/>
        <v>0</v>
      </c>
      <c r="K1238" s="8">
        <f t="shared" si="5670"/>
        <v>0</v>
      </c>
      <c r="M1238" s="6"/>
      <c r="N1238" s="7"/>
      <c r="O1238" s="7"/>
      <c r="P1238" s="7"/>
      <c r="Q1238" s="7"/>
      <c r="R1238" s="8">
        <f t="shared" si="5671"/>
        <v>0</v>
      </c>
      <c r="T1238" s="6"/>
      <c r="U1238" s="7"/>
      <c r="V1238" s="7"/>
      <c r="W1238" s="7"/>
      <c r="X1238" s="7"/>
      <c r="Y1238" s="8">
        <f t="shared" si="5672"/>
        <v>0</v>
      </c>
      <c r="AA1238" s="6"/>
      <c r="AB1238" s="7"/>
      <c r="AC1238" s="7"/>
      <c r="AD1238" s="7"/>
      <c r="AE1238" s="7"/>
      <c r="AF1238" s="8">
        <f>SUM(AA1238:AE1238)</f>
        <v>0</v>
      </c>
      <c r="AH1238" s="6"/>
      <c r="AI1238" s="7"/>
      <c r="AJ1238" s="7"/>
      <c r="AK1238" s="7"/>
      <c r="AL1238" s="7"/>
      <c r="AM1238" s="8">
        <f>SUM(AH1238:AL1238)</f>
        <v>0</v>
      </c>
      <c r="AO1238" s="6"/>
      <c r="AP1238" s="7"/>
      <c r="AQ1238" s="7"/>
      <c r="AR1238" s="7"/>
      <c r="AS1238" s="7"/>
      <c r="AT1238" s="8">
        <f>SUM(AO1238:AS1238)</f>
        <v>0</v>
      </c>
      <c r="AV1238" s="6"/>
      <c r="AW1238" s="7"/>
      <c r="AX1238" s="7"/>
      <c r="AY1238" s="7"/>
      <c r="AZ1238" s="7"/>
      <c r="BA1238" s="8">
        <f>SUM(AV1238:AZ1238)</f>
        <v>0</v>
      </c>
      <c r="BC1238" s="6"/>
      <c r="BD1238" s="7"/>
      <c r="BE1238" s="7"/>
      <c r="BF1238" s="7"/>
      <c r="BG1238" s="7"/>
      <c r="BH1238" s="8">
        <f>SUM(BC1238:BG1238)</f>
        <v>0</v>
      </c>
      <c r="BJ1238" s="6"/>
      <c r="BK1238" s="7"/>
      <c r="BL1238" s="7"/>
      <c r="BM1238" s="7"/>
      <c r="BN1238" s="7"/>
      <c r="BO1238" s="8">
        <f>SUM(BJ1238:BN1238)</f>
        <v>0</v>
      </c>
      <c r="BQ1238" s="6"/>
      <c r="BR1238" s="7"/>
      <c r="BS1238" s="7"/>
      <c r="BT1238" s="7"/>
      <c r="BU1238" s="7"/>
      <c r="BV1238" s="8">
        <f>SUM(BQ1238:BU1238)</f>
        <v>0</v>
      </c>
      <c r="BX1238" s="6"/>
      <c r="BY1238" s="7"/>
      <c r="BZ1238" s="7"/>
      <c r="CA1238" s="7"/>
      <c r="CB1238" s="7"/>
      <c r="CC1238" s="8">
        <f>SUM(BX1238:CB1238)</f>
        <v>0</v>
      </c>
      <c r="CE1238" s="493">
        <f t="shared" si="5664"/>
        <v>0</v>
      </c>
      <c r="CF1238" s="494">
        <f t="shared" si="5665"/>
        <v>0</v>
      </c>
      <c r="CG1238" s="494">
        <f t="shared" si="5666"/>
        <v>0</v>
      </c>
      <c r="CH1238" s="494">
        <f t="shared" si="5667"/>
        <v>0</v>
      </c>
      <c r="CI1238" s="494">
        <f t="shared" si="5668"/>
        <v>0</v>
      </c>
      <c r="CJ1238" s="495">
        <f>SUM(CE1238:CI1238)</f>
        <v>0</v>
      </c>
      <c r="CL1238" s="6"/>
      <c r="CM1238" s="7"/>
      <c r="CN1238" s="7"/>
      <c r="CO1238" s="7"/>
      <c r="CP1238" s="7"/>
      <c r="CQ1238" s="8">
        <f>SUM(CL1238:CP1238)</f>
        <v>0</v>
      </c>
      <c r="CS1238" s="6"/>
      <c r="CT1238" s="7"/>
      <c r="CU1238" s="7"/>
      <c r="CV1238" s="7"/>
      <c r="CW1238" s="7"/>
      <c r="CX1238" s="8">
        <f t="shared" si="5673"/>
        <v>0</v>
      </c>
      <c r="CZ1238" s="6"/>
      <c r="DA1238" s="7"/>
      <c r="DB1238" s="7"/>
      <c r="DC1238" s="7"/>
      <c r="DD1238" s="7"/>
      <c r="DE1238" s="8">
        <f t="shared" si="5674"/>
        <v>0</v>
      </c>
    </row>
    <row r="1239" spans="3:109" ht="14" thickBot="1">
      <c r="C1239" s="554"/>
      <c r="E1239" s="9"/>
      <c r="F1239" s="10">
        <f>SUM(F1235:F1238)</f>
        <v>0</v>
      </c>
      <c r="G1239" s="11">
        <f t="shared" ref="G1239:J1239" si="5675">SUM(G1235:G1238)</f>
        <v>0</v>
      </c>
      <c r="H1239" s="11">
        <f t="shared" si="5675"/>
        <v>0</v>
      </c>
      <c r="I1239" s="11">
        <f t="shared" si="5675"/>
        <v>0</v>
      </c>
      <c r="J1239" s="11">
        <f t="shared" si="5675"/>
        <v>0</v>
      </c>
      <c r="K1239" s="25">
        <f>SUM(K1235:K1238)</f>
        <v>0</v>
      </c>
      <c r="M1239" s="10">
        <f>SUM(M1235:M1238)</f>
        <v>0</v>
      </c>
      <c r="N1239" s="11">
        <f t="shared" ref="N1239:Q1239" si="5676">SUM(N1235:N1238)</f>
        <v>0</v>
      </c>
      <c r="O1239" s="11">
        <f t="shared" si="5676"/>
        <v>0</v>
      </c>
      <c r="P1239" s="11">
        <f t="shared" si="5676"/>
        <v>0</v>
      </c>
      <c r="Q1239" s="11">
        <f t="shared" si="5676"/>
        <v>0</v>
      </c>
      <c r="R1239" s="25">
        <f>SUM(R1235:R1238)</f>
        <v>0</v>
      </c>
      <c r="T1239" s="10">
        <f>SUM(T1235:T1238)</f>
        <v>0</v>
      </c>
      <c r="U1239" s="11">
        <f t="shared" ref="U1239:X1239" si="5677">SUM(U1235:U1238)</f>
        <v>0</v>
      </c>
      <c r="V1239" s="11">
        <f t="shared" si="5677"/>
        <v>0</v>
      </c>
      <c r="W1239" s="11">
        <f t="shared" si="5677"/>
        <v>0</v>
      </c>
      <c r="X1239" s="11">
        <f t="shared" si="5677"/>
        <v>0</v>
      </c>
      <c r="Y1239" s="25">
        <f>SUM(Y1235:Y1238)</f>
        <v>0</v>
      </c>
      <c r="AA1239" s="10">
        <f>SUM(AA1235:AA1238)</f>
        <v>0</v>
      </c>
      <c r="AB1239" s="11">
        <f t="shared" ref="AB1239:AE1239" si="5678">SUM(AB1235:AB1238)</f>
        <v>0</v>
      </c>
      <c r="AC1239" s="11">
        <f t="shared" si="5678"/>
        <v>0</v>
      </c>
      <c r="AD1239" s="11">
        <f t="shared" si="5678"/>
        <v>0</v>
      </c>
      <c r="AE1239" s="11">
        <f t="shared" si="5678"/>
        <v>0</v>
      </c>
      <c r="AF1239" s="25">
        <f>SUM(AF1235:AF1238)</f>
        <v>0</v>
      </c>
      <c r="AH1239" s="10">
        <f t="shared" ref="AH1239:AM1239" si="5679">SUM(AH1235:AH1238)</f>
        <v>0</v>
      </c>
      <c r="AI1239" s="11">
        <f t="shared" si="5679"/>
        <v>0</v>
      </c>
      <c r="AJ1239" s="11">
        <f t="shared" si="5679"/>
        <v>0</v>
      </c>
      <c r="AK1239" s="11">
        <f t="shared" si="5679"/>
        <v>0</v>
      </c>
      <c r="AL1239" s="11">
        <f t="shared" si="5679"/>
        <v>0</v>
      </c>
      <c r="AM1239" s="25">
        <f t="shared" si="5679"/>
        <v>0</v>
      </c>
      <c r="AO1239" s="10">
        <f t="shared" ref="AO1239:AT1239" si="5680">SUM(AO1235:AO1238)</f>
        <v>0</v>
      </c>
      <c r="AP1239" s="11">
        <f t="shared" si="5680"/>
        <v>0</v>
      </c>
      <c r="AQ1239" s="11">
        <f t="shared" si="5680"/>
        <v>0</v>
      </c>
      <c r="AR1239" s="11">
        <f t="shared" si="5680"/>
        <v>0</v>
      </c>
      <c r="AS1239" s="11">
        <f t="shared" si="5680"/>
        <v>0</v>
      </c>
      <c r="AT1239" s="25">
        <f t="shared" si="5680"/>
        <v>0</v>
      </c>
      <c r="AV1239" s="10">
        <f t="shared" ref="AV1239:BA1239" si="5681">SUM(AV1235:AV1238)</f>
        <v>0</v>
      </c>
      <c r="AW1239" s="11">
        <f t="shared" si="5681"/>
        <v>0</v>
      </c>
      <c r="AX1239" s="11">
        <f t="shared" si="5681"/>
        <v>0</v>
      </c>
      <c r="AY1239" s="11">
        <f t="shared" si="5681"/>
        <v>0</v>
      </c>
      <c r="AZ1239" s="11">
        <f t="shared" si="5681"/>
        <v>0</v>
      </c>
      <c r="BA1239" s="25">
        <f t="shared" si="5681"/>
        <v>0</v>
      </c>
      <c r="BC1239" s="10">
        <f t="shared" ref="BC1239:BH1239" si="5682">SUM(BC1235:BC1238)</f>
        <v>0</v>
      </c>
      <c r="BD1239" s="11">
        <f t="shared" si="5682"/>
        <v>0</v>
      </c>
      <c r="BE1239" s="11">
        <f t="shared" si="5682"/>
        <v>0</v>
      </c>
      <c r="BF1239" s="11">
        <f t="shared" si="5682"/>
        <v>0</v>
      </c>
      <c r="BG1239" s="11">
        <f t="shared" si="5682"/>
        <v>0</v>
      </c>
      <c r="BH1239" s="25">
        <f t="shared" si="5682"/>
        <v>0</v>
      </c>
      <c r="BJ1239" s="10">
        <f t="shared" ref="BJ1239:BO1239" si="5683">SUM(BJ1235:BJ1238)</f>
        <v>0</v>
      </c>
      <c r="BK1239" s="11">
        <f t="shared" si="5683"/>
        <v>0</v>
      </c>
      <c r="BL1239" s="11">
        <f t="shared" si="5683"/>
        <v>0</v>
      </c>
      <c r="BM1239" s="11">
        <f t="shared" si="5683"/>
        <v>0</v>
      </c>
      <c r="BN1239" s="11">
        <f t="shared" si="5683"/>
        <v>0</v>
      </c>
      <c r="BO1239" s="25">
        <f t="shared" si="5683"/>
        <v>0</v>
      </c>
      <c r="BQ1239" s="10">
        <f t="shared" ref="BQ1239:BV1239" si="5684">SUM(BQ1235:BQ1238)</f>
        <v>0</v>
      </c>
      <c r="BR1239" s="11">
        <f t="shared" si="5684"/>
        <v>0</v>
      </c>
      <c r="BS1239" s="11">
        <f t="shared" si="5684"/>
        <v>0</v>
      </c>
      <c r="BT1239" s="11">
        <f t="shared" si="5684"/>
        <v>0</v>
      </c>
      <c r="BU1239" s="11">
        <f t="shared" si="5684"/>
        <v>0</v>
      </c>
      <c r="BV1239" s="25">
        <f t="shared" si="5684"/>
        <v>0</v>
      </c>
      <c r="BX1239" s="10">
        <f t="shared" ref="BX1239:CC1239" si="5685">SUM(BX1235:BX1238)</f>
        <v>0</v>
      </c>
      <c r="BY1239" s="11">
        <f t="shared" si="5685"/>
        <v>0</v>
      </c>
      <c r="BZ1239" s="11">
        <f t="shared" si="5685"/>
        <v>0</v>
      </c>
      <c r="CA1239" s="11">
        <f t="shared" si="5685"/>
        <v>0</v>
      </c>
      <c r="CB1239" s="11">
        <f t="shared" si="5685"/>
        <v>0</v>
      </c>
      <c r="CC1239" s="25">
        <f t="shared" si="5685"/>
        <v>0</v>
      </c>
      <c r="CE1239" s="62">
        <f t="shared" ref="CE1239:CJ1239" si="5686">SUM(CE1235:CE1238)</f>
        <v>0</v>
      </c>
      <c r="CF1239" s="63">
        <f t="shared" si="5686"/>
        <v>0</v>
      </c>
      <c r="CG1239" s="63">
        <f t="shared" si="5686"/>
        <v>0</v>
      </c>
      <c r="CH1239" s="63">
        <f t="shared" si="5686"/>
        <v>0</v>
      </c>
      <c r="CI1239" s="63">
        <f t="shared" si="5686"/>
        <v>0</v>
      </c>
      <c r="CJ1239" s="25">
        <f t="shared" si="5686"/>
        <v>0</v>
      </c>
      <c r="CL1239" s="10">
        <f>SUM(CL1235:CL1238)</f>
        <v>0</v>
      </c>
      <c r="CM1239" s="11">
        <f t="shared" ref="CM1239:CQ1239" si="5687">SUM(CM1235:CM1238)</f>
        <v>0</v>
      </c>
      <c r="CN1239" s="11">
        <f t="shared" si="5687"/>
        <v>0</v>
      </c>
      <c r="CO1239" s="11">
        <f t="shared" si="5687"/>
        <v>0</v>
      </c>
      <c r="CP1239" s="11">
        <f t="shared" si="5687"/>
        <v>0</v>
      </c>
      <c r="CQ1239" s="25">
        <f t="shared" si="5687"/>
        <v>0</v>
      </c>
      <c r="CS1239" s="10">
        <f>SUM(CS1235:CS1238)</f>
        <v>0</v>
      </c>
      <c r="CT1239" s="11">
        <f t="shared" ref="CT1239:CW1239" si="5688">SUM(CT1235:CT1238)</f>
        <v>0</v>
      </c>
      <c r="CU1239" s="11">
        <f t="shared" si="5688"/>
        <v>0</v>
      </c>
      <c r="CV1239" s="11">
        <f t="shared" si="5688"/>
        <v>0</v>
      </c>
      <c r="CW1239" s="11">
        <f t="shared" si="5688"/>
        <v>0</v>
      </c>
      <c r="CX1239" s="25">
        <f>SUM(CX1235:CX1238)</f>
        <v>0</v>
      </c>
      <c r="CZ1239" s="10">
        <f>SUM(CZ1235:CZ1238)</f>
        <v>0</v>
      </c>
      <c r="DA1239" s="11">
        <f t="shared" ref="DA1239:DD1239" si="5689">SUM(DA1235:DA1238)</f>
        <v>0</v>
      </c>
      <c r="DB1239" s="11">
        <f t="shared" si="5689"/>
        <v>0</v>
      </c>
      <c r="DC1239" s="11">
        <f t="shared" si="5689"/>
        <v>0</v>
      </c>
      <c r="DD1239" s="11">
        <f t="shared" si="5689"/>
        <v>0</v>
      </c>
      <c r="DE1239" s="25">
        <f>SUM(DE1235:DE1238)</f>
        <v>0</v>
      </c>
    </row>
    <row r="1240" spans="3:109" ht="10.4" customHeight="1" thickBot="1"/>
    <row r="1241" spans="3:109">
      <c r="C1241" s="553">
        <v>2027</v>
      </c>
      <c r="E1241" s="1" t="s">
        <v>59</v>
      </c>
      <c r="F1241" s="21">
        <f>CE1235</f>
        <v>0</v>
      </c>
      <c r="G1241" s="22">
        <f t="shared" ref="G1241:G1244" si="5690">CF1235</f>
        <v>0</v>
      </c>
      <c r="H1241" s="22">
        <f t="shared" ref="H1241:H1244" si="5691">CG1235</f>
        <v>0</v>
      </c>
      <c r="I1241" s="22">
        <f t="shared" ref="I1241:I1244" si="5692">CH1235</f>
        <v>0</v>
      </c>
      <c r="J1241" s="22">
        <f t="shared" ref="J1241:J1244" si="5693">CI1235</f>
        <v>0</v>
      </c>
      <c r="K1241" s="4">
        <f>SUM(F1241:J1241)</f>
        <v>0</v>
      </c>
      <c r="M1241" s="2"/>
      <c r="N1241" s="3"/>
      <c r="O1241" s="3"/>
      <c r="P1241" s="3"/>
      <c r="Q1241" s="3"/>
      <c r="R1241" s="4">
        <f>SUM(M1241:Q1241)</f>
        <v>0</v>
      </c>
      <c r="T1241" s="2"/>
      <c r="U1241" s="3"/>
      <c r="V1241" s="3"/>
      <c r="W1241" s="3"/>
      <c r="X1241" s="3"/>
      <c r="Y1241" s="4">
        <f>SUM(T1241:X1241)</f>
        <v>0</v>
      </c>
      <c r="AA1241" s="2"/>
      <c r="AB1241" s="3"/>
      <c r="AC1241" s="3"/>
      <c r="AD1241" s="3"/>
      <c r="AE1241" s="3"/>
      <c r="AF1241" s="4">
        <f>SUM(AA1241:AE1241)</f>
        <v>0</v>
      </c>
      <c r="AH1241" s="2"/>
      <c r="AI1241" s="3"/>
      <c r="AJ1241" s="3"/>
      <c r="AK1241" s="3"/>
      <c r="AL1241" s="3"/>
      <c r="AM1241" s="4">
        <f>SUM(AH1241:AL1241)</f>
        <v>0</v>
      </c>
      <c r="AO1241" s="2"/>
      <c r="AP1241" s="3"/>
      <c r="AQ1241" s="3"/>
      <c r="AR1241" s="3"/>
      <c r="AS1241" s="3"/>
      <c r="AT1241" s="4">
        <f>SUM(AO1241:AS1241)</f>
        <v>0</v>
      </c>
      <c r="AV1241" s="2"/>
      <c r="AW1241" s="3"/>
      <c r="AX1241" s="3"/>
      <c r="AY1241" s="3"/>
      <c r="AZ1241" s="3"/>
      <c r="BA1241" s="4">
        <f>SUM(AV1241:AZ1241)</f>
        <v>0</v>
      </c>
      <c r="BC1241" s="2"/>
      <c r="BD1241" s="3"/>
      <c r="BE1241" s="3"/>
      <c r="BF1241" s="3"/>
      <c r="BG1241" s="3"/>
      <c r="BH1241" s="4">
        <f>SUM(BC1241:BG1241)</f>
        <v>0</v>
      </c>
      <c r="BJ1241" s="2"/>
      <c r="BK1241" s="3"/>
      <c r="BL1241" s="3"/>
      <c r="BM1241" s="3"/>
      <c r="BN1241" s="3"/>
      <c r="BO1241" s="4">
        <f>SUM(BJ1241:BN1241)</f>
        <v>0</v>
      </c>
      <c r="BQ1241" s="2"/>
      <c r="BR1241" s="3"/>
      <c r="BS1241" s="3"/>
      <c r="BT1241" s="3"/>
      <c r="BU1241" s="3"/>
      <c r="BV1241" s="4">
        <f>SUM(BQ1241:BU1241)</f>
        <v>0</v>
      </c>
      <c r="BX1241" s="2"/>
      <c r="BY1241" s="3"/>
      <c r="BZ1241" s="3"/>
      <c r="CA1241" s="3"/>
      <c r="CB1241" s="3"/>
      <c r="CC1241" s="4">
        <f>SUM(BX1241:CB1241)</f>
        <v>0</v>
      </c>
      <c r="CE1241" s="26">
        <f t="shared" ref="CE1241:CE1244" si="5694">F1241+M1241+T1241+AA1241+AH1241+AO1241+AV1241+BC1241+BJ1241+BQ1241+BX1241</f>
        <v>0</v>
      </c>
      <c r="CF1241" s="27">
        <f t="shared" ref="CF1241:CF1244" si="5695">G1241+N1241+U1241+AB1241+AI1241+AP1241+AW1241+BD1241+BK1241+BR1241+BY1241</f>
        <v>0</v>
      </c>
      <c r="CG1241" s="27">
        <f t="shared" ref="CG1241:CG1244" si="5696">H1241+O1241+V1241+AC1241+AJ1241+AQ1241+AX1241+BE1241+BL1241+BS1241+BZ1241</f>
        <v>0</v>
      </c>
      <c r="CH1241" s="27">
        <f t="shared" ref="CH1241:CH1244" si="5697">I1241+P1241+W1241+AD1241+AK1241+AR1241+AY1241+BF1241+BM1241+BT1241+CA1241</f>
        <v>0</v>
      </c>
      <c r="CI1241" s="27">
        <f t="shared" ref="CI1241:CI1244" si="5698">J1241+Q1241+X1241+AE1241+AL1241+AS1241+AZ1241+BG1241+BN1241+BU1241+CB1241</f>
        <v>0</v>
      </c>
      <c r="CJ1241" s="4">
        <f>SUM(CE1241:CI1241)</f>
        <v>0</v>
      </c>
      <c r="CL1241" s="2"/>
      <c r="CM1241" s="3"/>
      <c r="CN1241" s="3"/>
      <c r="CO1241" s="3"/>
      <c r="CP1241" s="3"/>
      <c r="CQ1241" s="4">
        <f>SUM(CL1241:CP1241)</f>
        <v>0</v>
      </c>
      <c r="CS1241" s="2"/>
      <c r="CT1241" s="3"/>
      <c r="CU1241" s="3"/>
      <c r="CV1241" s="3"/>
      <c r="CW1241" s="3"/>
      <c r="CX1241" s="4">
        <f>SUM(CS1241:CW1241)</f>
        <v>0</v>
      </c>
      <c r="CZ1241" s="2"/>
      <c r="DA1241" s="3"/>
      <c r="DB1241" s="3"/>
      <c r="DC1241" s="3"/>
      <c r="DD1241" s="3"/>
      <c r="DE1241" s="4">
        <f>SUM(CZ1241:DD1241)</f>
        <v>0</v>
      </c>
    </row>
    <row r="1242" spans="3:109">
      <c r="C1242" s="567"/>
      <c r="E1242" s="5" t="s">
        <v>60</v>
      </c>
      <c r="F1242" s="23">
        <f t="shared" ref="F1242:F1244" si="5699">CE1236</f>
        <v>0</v>
      </c>
      <c r="G1242" s="24">
        <f t="shared" si="5690"/>
        <v>0</v>
      </c>
      <c r="H1242" s="24">
        <f t="shared" si="5691"/>
        <v>0</v>
      </c>
      <c r="I1242" s="24">
        <f t="shared" si="5692"/>
        <v>0</v>
      </c>
      <c r="J1242" s="24">
        <f t="shared" si="5693"/>
        <v>0</v>
      </c>
      <c r="K1242" s="8">
        <f t="shared" ref="K1242:K1244" si="5700">SUM(F1242:J1242)</f>
        <v>0</v>
      </c>
      <c r="M1242" s="6"/>
      <c r="N1242" s="7"/>
      <c r="O1242" s="7"/>
      <c r="P1242" s="7"/>
      <c r="Q1242" s="7"/>
      <c r="R1242" s="8">
        <f t="shared" ref="R1242:R1244" si="5701">SUM(M1242:Q1242)</f>
        <v>0</v>
      </c>
      <c r="T1242" s="6"/>
      <c r="U1242" s="7"/>
      <c r="V1242" s="7"/>
      <c r="W1242" s="7"/>
      <c r="X1242" s="7"/>
      <c r="Y1242" s="8">
        <f t="shared" ref="Y1242:Y1244" si="5702">SUM(T1242:X1242)</f>
        <v>0</v>
      </c>
      <c r="AA1242" s="6"/>
      <c r="AB1242" s="7"/>
      <c r="AC1242" s="7"/>
      <c r="AD1242" s="7"/>
      <c r="AE1242" s="7"/>
      <c r="AF1242" s="8">
        <f>SUM(AA1242:AE1242)</f>
        <v>0</v>
      </c>
      <c r="AH1242" s="6"/>
      <c r="AI1242" s="7"/>
      <c r="AJ1242" s="7"/>
      <c r="AK1242" s="7"/>
      <c r="AL1242" s="7"/>
      <c r="AM1242" s="8">
        <f>SUM(AH1242:AL1242)</f>
        <v>0</v>
      </c>
      <c r="AO1242" s="6"/>
      <c r="AP1242" s="7"/>
      <c r="AQ1242" s="7"/>
      <c r="AR1242" s="7"/>
      <c r="AS1242" s="7"/>
      <c r="AT1242" s="8">
        <f>SUM(AO1242:AS1242)</f>
        <v>0</v>
      </c>
      <c r="AV1242" s="6"/>
      <c r="AW1242" s="7"/>
      <c r="AX1242" s="7"/>
      <c r="AY1242" s="7"/>
      <c r="AZ1242" s="7"/>
      <c r="BA1242" s="8">
        <f>SUM(AV1242:AZ1242)</f>
        <v>0</v>
      </c>
      <c r="BC1242" s="6"/>
      <c r="BD1242" s="7"/>
      <c r="BE1242" s="7"/>
      <c r="BF1242" s="7"/>
      <c r="BG1242" s="7"/>
      <c r="BH1242" s="8">
        <f>SUM(BC1242:BG1242)</f>
        <v>0</v>
      </c>
      <c r="BJ1242" s="6"/>
      <c r="BK1242" s="7"/>
      <c r="BL1242" s="7"/>
      <c r="BM1242" s="7"/>
      <c r="BN1242" s="7"/>
      <c r="BO1242" s="8">
        <f>SUM(BJ1242:BN1242)</f>
        <v>0</v>
      </c>
      <c r="BQ1242" s="6"/>
      <c r="BR1242" s="7"/>
      <c r="BS1242" s="7"/>
      <c r="BT1242" s="7"/>
      <c r="BU1242" s="7"/>
      <c r="BV1242" s="8">
        <f>SUM(BQ1242:BU1242)</f>
        <v>0</v>
      </c>
      <c r="BX1242" s="6"/>
      <c r="BY1242" s="7"/>
      <c r="BZ1242" s="7"/>
      <c r="CA1242" s="7"/>
      <c r="CB1242" s="7"/>
      <c r="CC1242" s="8">
        <f>SUM(BX1242:CB1242)</f>
        <v>0</v>
      </c>
      <c r="CE1242" s="28">
        <f t="shared" si="5694"/>
        <v>0</v>
      </c>
      <c r="CF1242" s="29">
        <f t="shared" si="5695"/>
        <v>0</v>
      </c>
      <c r="CG1242" s="29">
        <f t="shared" si="5696"/>
        <v>0</v>
      </c>
      <c r="CH1242" s="29">
        <f t="shared" si="5697"/>
        <v>0</v>
      </c>
      <c r="CI1242" s="29">
        <f t="shared" si="5698"/>
        <v>0</v>
      </c>
      <c r="CJ1242" s="8">
        <f>SUM(CE1242:CI1242)</f>
        <v>0</v>
      </c>
      <c r="CL1242" s="6"/>
      <c r="CM1242" s="7"/>
      <c r="CN1242" s="7"/>
      <c r="CO1242" s="7"/>
      <c r="CP1242" s="7"/>
      <c r="CQ1242" s="8">
        <f>SUM(CL1242:CP1242)</f>
        <v>0</v>
      </c>
      <c r="CS1242" s="6"/>
      <c r="CT1242" s="7"/>
      <c r="CU1242" s="7"/>
      <c r="CV1242" s="7"/>
      <c r="CW1242" s="7"/>
      <c r="CX1242" s="8">
        <f t="shared" ref="CX1242:CX1244" si="5703">SUM(CS1242:CW1242)</f>
        <v>0</v>
      </c>
      <c r="CZ1242" s="6"/>
      <c r="DA1242" s="7"/>
      <c r="DB1242" s="7"/>
      <c r="DC1242" s="7"/>
      <c r="DD1242" s="7"/>
      <c r="DE1242" s="8">
        <f t="shared" ref="DE1242:DE1244" si="5704">SUM(CZ1242:DD1242)</f>
        <v>0</v>
      </c>
    </row>
    <row r="1243" spans="3:109">
      <c r="C1243" s="567"/>
      <c r="E1243" s="5" t="s">
        <v>61</v>
      </c>
      <c r="F1243" s="23">
        <f t="shared" si="5699"/>
        <v>0</v>
      </c>
      <c r="G1243" s="24">
        <f t="shared" si="5690"/>
        <v>0</v>
      </c>
      <c r="H1243" s="24">
        <f t="shared" si="5691"/>
        <v>0</v>
      </c>
      <c r="I1243" s="24">
        <f t="shared" si="5692"/>
        <v>0</v>
      </c>
      <c r="J1243" s="24">
        <f t="shared" si="5693"/>
        <v>0</v>
      </c>
      <c r="K1243" s="8">
        <f t="shared" si="5700"/>
        <v>0</v>
      </c>
      <c r="M1243" s="6"/>
      <c r="N1243" s="7"/>
      <c r="O1243" s="7"/>
      <c r="P1243" s="7"/>
      <c r="Q1243" s="7"/>
      <c r="R1243" s="8">
        <f t="shared" si="5701"/>
        <v>0</v>
      </c>
      <c r="T1243" s="6"/>
      <c r="U1243" s="7"/>
      <c r="V1243" s="7"/>
      <c r="W1243" s="7"/>
      <c r="X1243" s="7"/>
      <c r="Y1243" s="8">
        <f t="shared" si="5702"/>
        <v>0</v>
      </c>
      <c r="AA1243" s="6"/>
      <c r="AB1243" s="7"/>
      <c r="AC1243" s="7"/>
      <c r="AD1243" s="7"/>
      <c r="AE1243" s="7"/>
      <c r="AF1243" s="8">
        <f>SUM(AA1243:AE1243)</f>
        <v>0</v>
      </c>
      <c r="AH1243" s="6"/>
      <c r="AI1243" s="7"/>
      <c r="AJ1243" s="7"/>
      <c r="AK1243" s="7"/>
      <c r="AL1243" s="7"/>
      <c r="AM1243" s="8">
        <f>SUM(AH1243:AL1243)</f>
        <v>0</v>
      </c>
      <c r="AO1243" s="6"/>
      <c r="AP1243" s="7"/>
      <c r="AQ1243" s="7"/>
      <c r="AR1243" s="7"/>
      <c r="AS1243" s="7"/>
      <c r="AT1243" s="8">
        <f>SUM(AO1243:AS1243)</f>
        <v>0</v>
      </c>
      <c r="AV1243" s="6"/>
      <c r="AW1243" s="7"/>
      <c r="AX1243" s="7"/>
      <c r="AY1243" s="7"/>
      <c r="AZ1243" s="7"/>
      <c r="BA1243" s="8">
        <f>SUM(AV1243:AZ1243)</f>
        <v>0</v>
      </c>
      <c r="BC1243" s="6"/>
      <c r="BD1243" s="7"/>
      <c r="BE1243" s="7"/>
      <c r="BF1243" s="7"/>
      <c r="BG1243" s="7"/>
      <c r="BH1243" s="8">
        <f>SUM(BC1243:BG1243)</f>
        <v>0</v>
      </c>
      <c r="BJ1243" s="6"/>
      <c r="BK1243" s="7"/>
      <c r="BL1243" s="7"/>
      <c r="BM1243" s="7"/>
      <c r="BN1243" s="7"/>
      <c r="BO1243" s="8">
        <f>SUM(BJ1243:BN1243)</f>
        <v>0</v>
      </c>
      <c r="BQ1243" s="6"/>
      <c r="BR1243" s="7"/>
      <c r="BS1243" s="7"/>
      <c r="BT1243" s="7"/>
      <c r="BU1243" s="7"/>
      <c r="BV1243" s="8">
        <f>SUM(BQ1243:BU1243)</f>
        <v>0</v>
      </c>
      <c r="BX1243" s="6"/>
      <c r="BY1243" s="7"/>
      <c r="BZ1243" s="7"/>
      <c r="CA1243" s="7"/>
      <c r="CB1243" s="7"/>
      <c r="CC1243" s="8">
        <f>SUM(BX1243:CB1243)</f>
        <v>0</v>
      </c>
      <c r="CE1243" s="28">
        <f t="shared" si="5694"/>
        <v>0</v>
      </c>
      <c r="CF1243" s="29">
        <f t="shared" si="5695"/>
        <v>0</v>
      </c>
      <c r="CG1243" s="29">
        <f t="shared" si="5696"/>
        <v>0</v>
      </c>
      <c r="CH1243" s="29">
        <f t="shared" si="5697"/>
        <v>0</v>
      </c>
      <c r="CI1243" s="29">
        <f t="shared" si="5698"/>
        <v>0</v>
      </c>
      <c r="CJ1243" s="8">
        <f>SUM(CE1243:CI1243)</f>
        <v>0</v>
      </c>
      <c r="CL1243" s="6"/>
      <c r="CM1243" s="7"/>
      <c r="CN1243" s="7"/>
      <c r="CO1243" s="7"/>
      <c r="CP1243" s="7"/>
      <c r="CQ1243" s="8">
        <f>SUM(CL1243:CP1243)</f>
        <v>0</v>
      </c>
      <c r="CS1243" s="6"/>
      <c r="CT1243" s="7"/>
      <c r="CU1243" s="7"/>
      <c r="CV1243" s="7"/>
      <c r="CW1243" s="7"/>
      <c r="CX1243" s="8">
        <f t="shared" si="5703"/>
        <v>0</v>
      </c>
      <c r="CZ1243" s="6"/>
      <c r="DA1243" s="7"/>
      <c r="DB1243" s="7"/>
      <c r="DC1243" s="7"/>
      <c r="DD1243" s="7"/>
      <c r="DE1243" s="8">
        <f t="shared" si="5704"/>
        <v>0</v>
      </c>
    </row>
    <row r="1244" spans="3:109" ht="14" thickBot="1">
      <c r="C1244" s="567"/>
      <c r="E1244" s="5" t="s">
        <v>62</v>
      </c>
      <c r="F1244" s="23">
        <f t="shared" si="5699"/>
        <v>0</v>
      </c>
      <c r="G1244" s="24">
        <f t="shared" si="5690"/>
        <v>0</v>
      </c>
      <c r="H1244" s="24">
        <f t="shared" si="5691"/>
        <v>0</v>
      </c>
      <c r="I1244" s="24">
        <f t="shared" si="5692"/>
        <v>0</v>
      </c>
      <c r="J1244" s="24">
        <f t="shared" si="5693"/>
        <v>0</v>
      </c>
      <c r="K1244" s="8">
        <f t="shared" si="5700"/>
        <v>0</v>
      </c>
      <c r="M1244" s="6"/>
      <c r="N1244" s="7"/>
      <c r="O1244" s="7"/>
      <c r="P1244" s="7"/>
      <c r="Q1244" s="7"/>
      <c r="R1244" s="8">
        <f t="shared" si="5701"/>
        <v>0</v>
      </c>
      <c r="T1244" s="6"/>
      <c r="U1244" s="7"/>
      <c r="V1244" s="7"/>
      <c r="W1244" s="7"/>
      <c r="X1244" s="7"/>
      <c r="Y1244" s="8">
        <f t="shared" si="5702"/>
        <v>0</v>
      </c>
      <c r="AA1244" s="6"/>
      <c r="AB1244" s="7"/>
      <c r="AC1244" s="7"/>
      <c r="AD1244" s="7"/>
      <c r="AE1244" s="7"/>
      <c r="AF1244" s="8">
        <f>SUM(AA1244:AE1244)</f>
        <v>0</v>
      </c>
      <c r="AH1244" s="6"/>
      <c r="AI1244" s="7"/>
      <c r="AJ1244" s="7"/>
      <c r="AK1244" s="7"/>
      <c r="AL1244" s="7"/>
      <c r="AM1244" s="8">
        <f>SUM(AH1244:AL1244)</f>
        <v>0</v>
      </c>
      <c r="AO1244" s="6"/>
      <c r="AP1244" s="7"/>
      <c r="AQ1244" s="7"/>
      <c r="AR1244" s="7"/>
      <c r="AS1244" s="7"/>
      <c r="AT1244" s="8">
        <f>SUM(AO1244:AS1244)</f>
        <v>0</v>
      </c>
      <c r="AV1244" s="6"/>
      <c r="AW1244" s="7"/>
      <c r="AX1244" s="7"/>
      <c r="AY1244" s="7"/>
      <c r="AZ1244" s="7"/>
      <c r="BA1244" s="8">
        <f>SUM(AV1244:AZ1244)</f>
        <v>0</v>
      </c>
      <c r="BC1244" s="6"/>
      <c r="BD1244" s="7"/>
      <c r="BE1244" s="7"/>
      <c r="BF1244" s="7"/>
      <c r="BG1244" s="7"/>
      <c r="BH1244" s="8">
        <f>SUM(BC1244:BG1244)</f>
        <v>0</v>
      </c>
      <c r="BJ1244" s="6"/>
      <c r="BK1244" s="7"/>
      <c r="BL1244" s="7"/>
      <c r="BM1244" s="7"/>
      <c r="BN1244" s="7"/>
      <c r="BO1244" s="8">
        <f>SUM(BJ1244:BN1244)</f>
        <v>0</v>
      </c>
      <c r="BQ1244" s="6"/>
      <c r="BR1244" s="7"/>
      <c r="BS1244" s="7"/>
      <c r="BT1244" s="7"/>
      <c r="BU1244" s="7"/>
      <c r="BV1244" s="8">
        <f>SUM(BQ1244:BU1244)</f>
        <v>0</v>
      </c>
      <c r="BX1244" s="6"/>
      <c r="BY1244" s="7"/>
      <c r="BZ1244" s="7"/>
      <c r="CA1244" s="7"/>
      <c r="CB1244" s="7"/>
      <c r="CC1244" s="8">
        <f>SUM(BX1244:CB1244)</f>
        <v>0</v>
      </c>
      <c r="CE1244" s="493">
        <f t="shared" si="5694"/>
        <v>0</v>
      </c>
      <c r="CF1244" s="494">
        <f t="shared" si="5695"/>
        <v>0</v>
      </c>
      <c r="CG1244" s="494">
        <f t="shared" si="5696"/>
        <v>0</v>
      </c>
      <c r="CH1244" s="494">
        <f t="shared" si="5697"/>
        <v>0</v>
      </c>
      <c r="CI1244" s="494">
        <f t="shared" si="5698"/>
        <v>0</v>
      </c>
      <c r="CJ1244" s="495">
        <f>SUM(CE1244:CI1244)</f>
        <v>0</v>
      </c>
      <c r="CL1244" s="6"/>
      <c r="CM1244" s="7"/>
      <c r="CN1244" s="7"/>
      <c r="CO1244" s="7"/>
      <c r="CP1244" s="7"/>
      <c r="CQ1244" s="8">
        <f>SUM(CL1244:CP1244)</f>
        <v>0</v>
      </c>
      <c r="CS1244" s="6"/>
      <c r="CT1244" s="7"/>
      <c r="CU1244" s="7"/>
      <c r="CV1244" s="7"/>
      <c r="CW1244" s="7"/>
      <c r="CX1244" s="8">
        <f t="shared" si="5703"/>
        <v>0</v>
      </c>
      <c r="CZ1244" s="6"/>
      <c r="DA1244" s="7"/>
      <c r="DB1244" s="7"/>
      <c r="DC1244" s="7"/>
      <c r="DD1244" s="7"/>
      <c r="DE1244" s="8">
        <f t="shared" si="5704"/>
        <v>0</v>
      </c>
    </row>
    <row r="1245" spans="3:109" ht="14" thickBot="1">
      <c r="C1245" s="554"/>
      <c r="E1245" s="9"/>
      <c r="F1245" s="10">
        <f>SUM(F1241:F1244)</f>
        <v>0</v>
      </c>
      <c r="G1245" s="11">
        <f t="shared" ref="G1245:J1245" si="5705">SUM(G1241:G1244)</f>
        <v>0</v>
      </c>
      <c r="H1245" s="11">
        <f t="shared" si="5705"/>
        <v>0</v>
      </c>
      <c r="I1245" s="11">
        <f t="shared" si="5705"/>
        <v>0</v>
      </c>
      <c r="J1245" s="11">
        <f t="shared" si="5705"/>
        <v>0</v>
      </c>
      <c r="K1245" s="25">
        <f>SUM(K1241:K1244)</f>
        <v>0</v>
      </c>
      <c r="M1245" s="10">
        <f>SUM(M1241:M1244)</f>
        <v>0</v>
      </c>
      <c r="N1245" s="11">
        <f t="shared" ref="N1245:Q1245" si="5706">SUM(N1241:N1244)</f>
        <v>0</v>
      </c>
      <c r="O1245" s="11">
        <f t="shared" si="5706"/>
        <v>0</v>
      </c>
      <c r="P1245" s="11">
        <f t="shared" si="5706"/>
        <v>0</v>
      </c>
      <c r="Q1245" s="11">
        <f t="shared" si="5706"/>
        <v>0</v>
      </c>
      <c r="R1245" s="25">
        <f>SUM(R1241:R1244)</f>
        <v>0</v>
      </c>
      <c r="T1245" s="10">
        <f>SUM(T1241:T1244)</f>
        <v>0</v>
      </c>
      <c r="U1245" s="11">
        <f t="shared" ref="U1245:X1245" si="5707">SUM(U1241:U1244)</f>
        <v>0</v>
      </c>
      <c r="V1245" s="11">
        <f t="shared" si="5707"/>
        <v>0</v>
      </c>
      <c r="W1245" s="11">
        <f t="shared" si="5707"/>
        <v>0</v>
      </c>
      <c r="X1245" s="11">
        <f t="shared" si="5707"/>
        <v>0</v>
      </c>
      <c r="Y1245" s="25">
        <f>SUM(Y1241:Y1244)</f>
        <v>0</v>
      </c>
      <c r="AA1245" s="10">
        <f>SUM(AA1241:AA1244)</f>
        <v>0</v>
      </c>
      <c r="AB1245" s="11">
        <f t="shared" ref="AB1245:AE1245" si="5708">SUM(AB1241:AB1244)</f>
        <v>0</v>
      </c>
      <c r="AC1245" s="11">
        <f t="shared" si="5708"/>
        <v>0</v>
      </c>
      <c r="AD1245" s="11">
        <f t="shared" si="5708"/>
        <v>0</v>
      </c>
      <c r="AE1245" s="11">
        <f t="shared" si="5708"/>
        <v>0</v>
      </c>
      <c r="AF1245" s="25">
        <f>SUM(AF1241:AF1244)</f>
        <v>0</v>
      </c>
      <c r="AH1245" s="10">
        <f t="shared" ref="AH1245:AM1245" si="5709">SUM(AH1241:AH1244)</f>
        <v>0</v>
      </c>
      <c r="AI1245" s="11">
        <f t="shared" si="5709"/>
        <v>0</v>
      </c>
      <c r="AJ1245" s="11">
        <f t="shared" si="5709"/>
        <v>0</v>
      </c>
      <c r="AK1245" s="11">
        <f t="shared" si="5709"/>
        <v>0</v>
      </c>
      <c r="AL1245" s="11">
        <f t="shared" si="5709"/>
        <v>0</v>
      </c>
      <c r="AM1245" s="25">
        <f t="shared" si="5709"/>
        <v>0</v>
      </c>
      <c r="AO1245" s="10">
        <f t="shared" ref="AO1245:AT1245" si="5710">SUM(AO1241:AO1244)</f>
        <v>0</v>
      </c>
      <c r="AP1245" s="11">
        <f t="shared" si="5710"/>
        <v>0</v>
      </c>
      <c r="AQ1245" s="11">
        <f t="shared" si="5710"/>
        <v>0</v>
      </c>
      <c r="AR1245" s="11">
        <f t="shared" si="5710"/>
        <v>0</v>
      </c>
      <c r="AS1245" s="11">
        <f t="shared" si="5710"/>
        <v>0</v>
      </c>
      <c r="AT1245" s="25">
        <f t="shared" si="5710"/>
        <v>0</v>
      </c>
      <c r="AV1245" s="10">
        <f t="shared" ref="AV1245:BA1245" si="5711">SUM(AV1241:AV1244)</f>
        <v>0</v>
      </c>
      <c r="AW1245" s="11">
        <f t="shared" si="5711"/>
        <v>0</v>
      </c>
      <c r="AX1245" s="11">
        <f t="shared" si="5711"/>
        <v>0</v>
      </c>
      <c r="AY1245" s="11">
        <f t="shared" si="5711"/>
        <v>0</v>
      </c>
      <c r="AZ1245" s="11">
        <f t="shared" si="5711"/>
        <v>0</v>
      </c>
      <c r="BA1245" s="25">
        <f t="shared" si="5711"/>
        <v>0</v>
      </c>
      <c r="BC1245" s="10">
        <f t="shared" ref="BC1245:BH1245" si="5712">SUM(BC1241:BC1244)</f>
        <v>0</v>
      </c>
      <c r="BD1245" s="11">
        <f t="shared" si="5712"/>
        <v>0</v>
      </c>
      <c r="BE1245" s="11">
        <f t="shared" si="5712"/>
        <v>0</v>
      </c>
      <c r="BF1245" s="11">
        <f t="shared" si="5712"/>
        <v>0</v>
      </c>
      <c r="BG1245" s="11">
        <f t="shared" si="5712"/>
        <v>0</v>
      </c>
      <c r="BH1245" s="25">
        <f t="shared" si="5712"/>
        <v>0</v>
      </c>
      <c r="BJ1245" s="10">
        <f t="shared" ref="BJ1245:BO1245" si="5713">SUM(BJ1241:BJ1244)</f>
        <v>0</v>
      </c>
      <c r="BK1245" s="11">
        <f t="shared" si="5713"/>
        <v>0</v>
      </c>
      <c r="BL1245" s="11">
        <f t="shared" si="5713"/>
        <v>0</v>
      </c>
      <c r="BM1245" s="11">
        <f t="shared" si="5713"/>
        <v>0</v>
      </c>
      <c r="BN1245" s="11">
        <f t="shared" si="5713"/>
        <v>0</v>
      </c>
      <c r="BO1245" s="25">
        <f t="shared" si="5713"/>
        <v>0</v>
      </c>
      <c r="BQ1245" s="10">
        <f t="shared" ref="BQ1245:BV1245" si="5714">SUM(BQ1241:BQ1244)</f>
        <v>0</v>
      </c>
      <c r="BR1245" s="11">
        <f t="shared" si="5714"/>
        <v>0</v>
      </c>
      <c r="BS1245" s="11">
        <f t="shared" si="5714"/>
        <v>0</v>
      </c>
      <c r="BT1245" s="11">
        <f t="shared" si="5714"/>
        <v>0</v>
      </c>
      <c r="BU1245" s="11">
        <f t="shared" si="5714"/>
        <v>0</v>
      </c>
      <c r="BV1245" s="25">
        <f t="shared" si="5714"/>
        <v>0</v>
      </c>
      <c r="BX1245" s="10">
        <f t="shared" ref="BX1245:CC1245" si="5715">SUM(BX1241:BX1244)</f>
        <v>0</v>
      </c>
      <c r="BY1245" s="11">
        <f t="shared" si="5715"/>
        <v>0</v>
      </c>
      <c r="BZ1245" s="11">
        <f t="shared" si="5715"/>
        <v>0</v>
      </c>
      <c r="CA1245" s="11">
        <f t="shared" si="5715"/>
        <v>0</v>
      </c>
      <c r="CB1245" s="11">
        <f t="shared" si="5715"/>
        <v>0</v>
      </c>
      <c r="CC1245" s="25">
        <f t="shared" si="5715"/>
        <v>0</v>
      </c>
      <c r="CE1245" s="62">
        <f t="shared" ref="CE1245:CJ1245" si="5716">SUM(CE1241:CE1244)</f>
        <v>0</v>
      </c>
      <c r="CF1245" s="63">
        <f t="shared" si="5716"/>
        <v>0</v>
      </c>
      <c r="CG1245" s="63">
        <f t="shared" si="5716"/>
        <v>0</v>
      </c>
      <c r="CH1245" s="63">
        <f t="shared" si="5716"/>
        <v>0</v>
      </c>
      <c r="CI1245" s="63">
        <f t="shared" si="5716"/>
        <v>0</v>
      </c>
      <c r="CJ1245" s="25">
        <f t="shared" si="5716"/>
        <v>0</v>
      </c>
      <c r="CL1245" s="10">
        <f>SUM(CL1241:CL1244)</f>
        <v>0</v>
      </c>
      <c r="CM1245" s="11">
        <f t="shared" ref="CM1245:CQ1245" si="5717">SUM(CM1241:CM1244)</f>
        <v>0</v>
      </c>
      <c r="CN1245" s="11">
        <f t="shared" si="5717"/>
        <v>0</v>
      </c>
      <c r="CO1245" s="11">
        <f t="shared" si="5717"/>
        <v>0</v>
      </c>
      <c r="CP1245" s="11">
        <f t="shared" si="5717"/>
        <v>0</v>
      </c>
      <c r="CQ1245" s="25">
        <f t="shared" si="5717"/>
        <v>0</v>
      </c>
      <c r="CS1245" s="10">
        <f>SUM(CS1241:CS1244)</f>
        <v>0</v>
      </c>
      <c r="CT1245" s="11">
        <f t="shared" ref="CT1245:CW1245" si="5718">SUM(CT1241:CT1244)</f>
        <v>0</v>
      </c>
      <c r="CU1245" s="11">
        <f t="shared" si="5718"/>
        <v>0</v>
      </c>
      <c r="CV1245" s="11">
        <f t="shared" si="5718"/>
        <v>0</v>
      </c>
      <c r="CW1245" s="11">
        <f t="shared" si="5718"/>
        <v>0</v>
      </c>
      <c r="CX1245" s="25">
        <f>SUM(CX1241:CX1244)</f>
        <v>0</v>
      </c>
      <c r="CZ1245" s="10">
        <f>SUM(CZ1241:CZ1244)</f>
        <v>0</v>
      </c>
      <c r="DA1245" s="11">
        <f t="shared" ref="DA1245:DD1245" si="5719">SUM(DA1241:DA1244)</f>
        <v>0</v>
      </c>
      <c r="DB1245" s="11">
        <f t="shared" si="5719"/>
        <v>0</v>
      </c>
      <c r="DC1245" s="11">
        <f t="shared" si="5719"/>
        <v>0</v>
      </c>
      <c r="DD1245" s="11">
        <f t="shared" si="5719"/>
        <v>0</v>
      </c>
      <c r="DE1245" s="25">
        <f>SUM(DE1241:DE1244)</f>
        <v>0</v>
      </c>
    </row>
    <row r="1246" spans="3:109" ht="10.4" customHeight="1" thickBot="1"/>
    <row r="1247" spans="3:109">
      <c r="C1247" s="553">
        <v>2028</v>
      </c>
      <c r="E1247" s="1" t="s">
        <v>59</v>
      </c>
      <c r="F1247" s="21">
        <f>CE1241</f>
        <v>0</v>
      </c>
      <c r="G1247" s="22">
        <f t="shared" ref="G1247:G1250" si="5720">CF1241</f>
        <v>0</v>
      </c>
      <c r="H1247" s="22">
        <f t="shared" ref="H1247:H1250" si="5721">CG1241</f>
        <v>0</v>
      </c>
      <c r="I1247" s="22">
        <f t="shared" ref="I1247:I1250" si="5722">CH1241</f>
        <v>0</v>
      </c>
      <c r="J1247" s="22">
        <f t="shared" ref="J1247:J1250" si="5723">CI1241</f>
        <v>0</v>
      </c>
      <c r="K1247" s="4">
        <f>SUM(F1247:J1247)</f>
        <v>0</v>
      </c>
      <c r="M1247" s="2"/>
      <c r="N1247" s="3"/>
      <c r="O1247" s="3"/>
      <c r="P1247" s="3"/>
      <c r="Q1247" s="3"/>
      <c r="R1247" s="4">
        <f>SUM(M1247:Q1247)</f>
        <v>0</v>
      </c>
      <c r="T1247" s="2"/>
      <c r="U1247" s="3"/>
      <c r="V1247" s="3"/>
      <c r="W1247" s="3"/>
      <c r="X1247" s="3"/>
      <c r="Y1247" s="4">
        <f>SUM(T1247:X1247)</f>
        <v>0</v>
      </c>
      <c r="AA1247" s="2"/>
      <c r="AB1247" s="3"/>
      <c r="AC1247" s="3"/>
      <c r="AD1247" s="3"/>
      <c r="AE1247" s="3"/>
      <c r="AF1247" s="4">
        <f>SUM(AA1247:AE1247)</f>
        <v>0</v>
      </c>
      <c r="AH1247" s="2"/>
      <c r="AI1247" s="3"/>
      <c r="AJ1247" s="3"/>
      <c r="AK1247" s="3"/>
      <c r="AL1247" s="3"/>
      <c r="AM1247" s="4">
        <f>SUM(AH1247:AL1247)</f>
        <v>0</v>
      </c>
      <c r="AO1247" s="2"/>
      <c r="AP1247" s="3"/>
      <c r="AQ1247" s="3"/>
      <c r="AR1247" s="3"/>
      <c r="AS1247" s="3"/>
      <c r="AT1247" s="4">
        <f>SUM(AO1247:AS1247)</f>
        <v>0</v>
      </c>
      <c r="AV1247" s="2"/>
      <c r="AW1247" s="3"/>
      <c r="AX1247" s="3"/>
      <c r="AY1247" s="3"/>
      <c r="AZ1247" s="3"/>
      <c r="BA1247" s="4">
        <f>SUM(AV1247:AZ1247)</f>
        <v>0</v>
      </c>
      <c r="BC1247" s="2"/>
      <c r="BD1247" s="3"/>
      <c r="BE1247" s="3"/>
      <c r="BF1247" s="3"/>
      <c r="BG1247" s="3"/>
      <c r="BH1247" s="4">
        <f>SUM(BC1247:BG1247)</f>
        <v>0</v>
      </c>
      <c r="BJ1247" s="2"/>
      <c r="BK1247" s="3"/>
      <c r="BL1247" s="3"/>
      <c r="BM1247" s="3"/>
      <c r="BN1247" s="3"/>
      <c r="BO1247" s="4">
        <f>SUM(BJ1247:BN1247)</f>
        <v>0</v>
      </c>
      <c r="BQ1247" s="2"/>
      <c r="BR1247" s="3"/>
      <c r="BS1247" s="3"/>
      <c r="BT1247" s="3"/>
      <c r="BU1247" s="3"/>
      <c r="BV1247" s="4">
        <f>SUM(BQ1247:BU1247)</f>
        <v>0</v>
      </c>
      <c r="BX1247" s="2"/>
      <c r="BY1247" s="3"/>
      <c r="BZ1247" s="3"/>
      <c r="CA1247" s="3"/>
      <c r="CB1247" s="3"/>
      <c r="CC1247" s="4">
        <f>SUM(BX1247:CB1247)</f>
        <v>0</v>
      </c>
      <c r="CE1247" s="26">
        <f t="shared" ref="CE1247:CE1250" si="5724">F1247+M1247+T1247+AA1247+AH1247+AO1247+AV1247+BC1247+BJ1247+BQ1247+BX1247</f>
        <v>0</v>
      </c>
      <c r="CF1247" s="27">
        <f t="shared" ref="CF1247:CF1250" si="5725">G1247+N1247+U1247+AB1247+AI1247+AP1247+AW1247+BD1247+BK1247+BR1247+BY1247</f>
        <v>0</v>
      </c>
      <c r="CG1247" s="27">
        <f t="shared" ref="CG1247:CG1250" si="5726">H1247+O1247+V1247+AC1247+AJ1247+AQ1247+AX1247+BE1247+BL1247+BS1247+BZ1247</f>
        <v>0</v>
      </c>
      <c r="CH1247" s="27">
        <f t="shared" ref="CH1247:CH1250" si="5727">I1247+P1247+W1247+AD1247+AK1247+AR1247+AY1247+BF1247+BM1247+BT1247+CA1247</f>
        <v>0</v>
      </c>
      <c r="CI1247" s="27">
        <f t="shared" ref="CI1247:CI1250" si="5728">J1247+Q1247+X1247+AE1247+AL1247+AS1247+AZ1247+BG1247+BN1247+BU1247+CB1247</f>
        <v>0</v>
      </c>
      <c r="CJ1247" s="4">
        <f>SUM(CE1247:CI1247)</f>
        <v>0</v>
      </c>
      <c r="CL1247" s="2"/>
      <c r="CM1247" s="3"/>
      <c r="CN1247" s="3"/>
      <c r="CO1247" s="3"/>
      <c r="CP1247" s="3"/>
      <c r="CQ1247" s="4">
        <f>SUM(CL1247:CP1247)</f>
        <v>0</v>
      </c>
      <c r="CS1247" s="2"/>
      <c r="CT1247" s="3"/>
      <c r="CU1247" s="3"/>
      <c r="CV1247" s="3"/>
      <c r="CW1247" s="3"/>
      <c r="CX1247" s="4">
        <f>SUM(CS1247:CW1247)</f>
        <v>0</v>
      </c>
      <c r="CZ1247" s="2"/>
      <c r="DA1247" s="3"/>
      <c r="DB1247" s="3"/>
      <c r="DC1247" s="3"/>
      <c r="DD1247" s="3"/>
      <c r="DE1247" s="4">
        <f>SUM(CZ1247:DD1247)</f>
        <v>0</v>
      </c>
    </row>
    <row r="1248" spans="3:109">
      <c r="C1248" s="567"/>
      <c r="E1248" s="5" t="s">
        <v>60</v>
      </c>
      <c r="F1248" s="23">
        <f t="shared" ref="F1248:F1250" si="5729">CE1242</f>
        <v>0</v>
      </c>
      <c r="G1248" s="24">
        <f t="shared" si="5720"/>
        <v>0</v>
      </c>
      <c r="H1248" s="24">
        <f t="shared" si="5721"/>
        <v>0</v>
      </c>
      <c r="I1248" s="24">
        <f t="shared" si="5722"/>
        <v>0</v>
      </c>
      <c r="J1248" s="24">
        <f t="shared" si="5723"/>
        <v>0</v>
      </c>
      <c r="K1248" s="8">
        <f t="shared" ref="K1248:K1250" si="5730">SUM(F1248:J1248)</f>
        <v>0</v>
      </c>
      <c r="M1248" s="6"/>
      <c r="N1248" s="7"/>
      <c r="O1248" s="7"/>
      <c r="P1248" s="7"/>
      <c r="Q1248" s="7"/>
      <c r="R1248" s="8">
        <f t="shared" ref="R1248:R1250" si="5731">SUM(M1248:Q1248)</f>
        <v>0</v>
      </c>
      <c r="T1248" s="6"/>
      <c r="U1248" s="7"/>
      <c r="V1248" s="7"/>
      <c r="W1248" s="7"/>
      <c r="X1248" s="7"/>
      <c r="Y1248" s="8">
        <f t="shared" ref="Y1248:Y1250" si="5732">SUM(T1248:X1248)</f>
        <v>0</v>
      </c>
      <c r="AA1248" s="6"/>
      <c r="AB1248" s="7"/>
      <c r="AC1248" s="7"/>
      <c r="AD1248" s="7"/>
      <c r="AE1248" s="7"/>
      <c r="AF1248" s="8">
        <f>SUM(AA1248:AE1248)</f>
        <v>0</v>
      </c>
      <c r="AH1248" s="6"/>
      <c r="AI1248" s="7"/>
      <c r="AJ1248" s="7"/>
      <c r="AK1248" s="7"/>
      <c r="AL1248" s="7"/>
      <c r="AM1248" s="8">
        <f>SUM(AH1248:AL1248)</f>
        <v>0</v>
      </c>
      <c r="AO1248" s="6"/>
      <c r="AP1248" s="7"/>
      <c r="AQ1248" s="7"/>
      <c r="AR1248" s="7"/>
      <c r="AS1248" s="7"/>
      <c r="AT1248" s="8">
        <f>SUM(AO1248:AS1248)</f>
        <v>0</v>
      </c>
      <c r="AV1248" s="6"/>
      <c r="AW1248" s="7"/>
      <c r="AX1248" s="7"/>
      <c r="AY1248" s="7"/>
      <c r="AZ1248" s="7"/>
      <c r="BA1248" s="8">
        <f>SUM(AV1248:AZ1248)</f>
        <v>0</v>
      </c>
      <c r="BC1248" s="6"/>
      <c r="BD1248" s="7"/>
      <c r="BE1248" s="7"/>
      <c r="BF1248" s="7"/>
      <c r="BG1248" s="7"/>
      <c r="BH1248" s="8">
        <f>SUM(BC1248:BG1248)</f>
        <v>0</v>
      </c>
      <c r="BJ1248" s="6"/>
      <c r="BK1248" s="7"/>
      <c r="BL1248" s="7"/>
      <c r="BM1248" s="7"/>
      <c r="BN1248" s="7"/>
      <c r="BO1248" s="8">
        <f>SUM(BJ1248:BN1248)</f>
        <v>0</v>
      </c>
      <c r="BQ1248" s="6"/>
      <c r="BR1248" s="7"/>
      <c r="BS1248" s="7"/>
      <c r="BT1248" s="7"/>
      <c r="BU1248" s="7"/>
      <c r="BV1248" s="8">
        <f>SUM(BQ1248:BU1248)</f>
        <v>0</v>
      </c>
      <c r="BX1248" s="6"/>
      <c r="BY1248" s="7"/>
      <c r="BZ1248" s="7"/>
      <c r="CA1248" s="7"/>
      <c r="CB1248" s="7"/>
      <c r="CC1248" s="8">
        <f>SUM(BX1248:CB1248)</f>
        <v>0</v>
      </c>
      <c r="CE1248" s="28">
        <f t="shared" si="5724"/>
        <v>0</v>
      </c>
      <c r="CF1248" s="29">
        <f t="shared" si="5725"/>
        <v>0</v>
      </c>
      <c r="CG1248" s="29">
        <f t="shared" si="5726"/>
        <v>0</v>
      </c>
      <c r="CH1248" s="29">
        <f t="shared" si="5727"/>
        <v>0</v>
      </c>
      <c r="CI1248" s="29">
        <f t="shared" si="5728"/>
        <v>0</v>
      </c>
      <c r="CJ1248" s="8">
        <f>SUM(CE1248:CI1248)</f>
        <v>0</v>
      </c>
      <c r="CL1248" s="6"/>
      <c r="CM1248" s="7"/>
      <c r="CN1248" s="7"/>
      <c r="CO1248" s="7"/>
      <c r="CP1248" s="7"/>
      <c r="CQ1248" s="8">
        <f>SUM(CL1248:CP1248)</f>
        <v>0</v>
      </c>
      <c r="CS1248" s="6"/>
      <c r="CT1248" s="7"/>
      <c r="CU1248" s="7"/>
      <c r="CV1248" s="7"/>
      <c r="CW1248" s="7"/>
      <c r="CX1248" s="8">
        <f t="shared" ref="CX1248:CX1250" si="5733">SUM(CS1248:CW1248)</f>
        <v>0</v>
      </c>
      <c r="CZ1248" s="6"/>
      <c r="DA1248" s="7"/>
      <c r="DB1248" s="7"/>
      <c r="DC1248" s="7"/>
      <c r="DD1248" s="7"/>
      <c r="DE1248" s="8">
        <f t="shared" ref="DE1248:DE1250" si="5734">SUM(CZ1248:DD1248)</f>
        <v>0</v>
      </c>
    </row>
    <row r="1249" spans="2:110">
      <c r="C1249" s="567"/>
      <c r="E1249" s="5" t="s">
        <v>61</v>
      </c>
      <c r="F1249" s="23">
        <f t="shared" si="5729"/>
        <v>0</v>
      </c>
      <c r="G1249" s="24">
        <f t="shared" si="5720"/>
        <v>0</v>
      </c>
      <c r="H1249" s="24">
        <f t="shared" si="5721"/>
        <v>0</v>
      </c>
      <c r="I1249" s="24">
        <f t="shared" si="5722"/>
        <v>0</v>
      </c>
      <c r="J1249" s="24">
        <f t="shared" si="5723"/>
        <v>0</v>
      </c>
      <c r="K1249" s="8">
        <f t="shared" si="5730"/>
        <v>0</v>
      </c>
      <c r="M1249" s="6"/>
      <c r="N1249" s="7"/>
      <c r="O1249" s="7"/>
      <c r="P1249" s="7"/>
      <c r="Q1249" s="7"/>
      <c r="R1249" s="8">
        <f t="shared" si="5731"/>
        <v>0</v>
      </c>
      <c r="T1249" s="6"/>
      <c r="U1249" s="7"/>
      <c r="V1249" s="7"/>
      <c r="W1249" s="7"/>
      <c r="X1249" s="7"/>
      <c r="Y1249" s="8">
        <f t="shared" si="5732"/>
        <v>0</v>
      </c>
      <c r="AA1249" s="6"/>
      <c r="AB1249" s="7"/>
      <c r="AC1249" s="7"/>
      <c r="AD1249" s="7"/>
      <c r="AE1249" s="7"/>
      <c r="AF1249" s="8">
        <f>SUM(AA1249:AE1249)</f>
        <v>0</v>
      </c>
      <c r="AH1249" s="6"/>
      <c r="AI1249" s="7"/>
      <c r="AJ1249" s="7"/>
      <c r="AK1249" s="7"/>
      <c r="AL1249" s="7"/>
      <c r="AM1249" s="8">
        <f>SUM(AH1249:AL1249)</f>
        <v>0</v>
      </c>
      <c r="AO1249" s="6"/>
      <c r="AP1249" s="7"/>
      <c r="AQ1249" s="7"/>
      <c r="AR1249" s="7"/>
      <c r="AS1249" s="7"/>
      <c r="AT1249" s="8">
        <f>SUM(AO1249:AS1249)</f>
        <v>0</v>
      </c>
      <c r="AV1249" s="6"/>
      <c r="AW1249" s="7"/>
      <c r="AX1249" s="7"/>
      <c r="AY1249" s="7"/>
      <c r="AZ1249" s="7"/>
      <c r="BA1249" s="8">
        <f>SUM(AV1249:AZ1249)</f>
        <v>0</v>
      </c>
      <c r="BC1249" s="6"/>
      <c r="BD1249" s="7"/>
      <c r="BE1249" s="7"/>
      <c r="BF1249" s="7"/>
      <c r="BG1249" s="7"/>
      <c r="BH1249" s="8">
        <f>SUM(BC1249:BG1249)</f>
        <v>0</v>
      </c>
      <c r="BJ1249" s="6"/>
      <c r="BK1249" s="7"/>
      <c r="BL1249" s="7"/>
      <c r="BM1249" s="7"/>
      <c r="BN1249" s="7"/>
      <c r="BO1249" s="8">
        <f>SUM(BJ1249:BN1249)</f>
        <v>0</v>
      </c>
      <c r="BQ1249" s="6"/>
      <c r="BR1249" s="7"/>
      <c r="BS1249" s="7"/>
      <c r="BT1249" s="7"/>
      <c r="BU1249" s="7"/>
      <c r="BV1249" s="8">
        <f>SUM(BQ1249:BU1249)</f>
        <v>0</v>
      </c>
      <c r="BX1249" s="6"/>
      <c r="BY1249" s="7"/>
      <c r="BZ1249" s="7"/>
      <c r="CA1249" s="7"/>
      <c r="CB1249" s="7"/>
      <c r="CC1249" s="8">
        <f>SUM(BX1249:CB1249)</f>
        <v>0</v>
      </c>
      <c r="CE1249" s="28">
        <f t="shared" si="5724"/>
        <v>0</v>
      </c>
      <c r="CF1249" s="29">
        <f t="shared" si="5725"/>
        <v>0</v>
      </c>
      <c r="CG1249" s="29">
        <f t="shared" si="5726"/>
        <v>0</v>
      </c>
      <c r="CH1249" s="29">
        <f t="shared" si="5727"/>
        <v>0</v>
      </c>
      <c r="CI1249" s="29">
        <f t="shared" si="5728"/>
        <v>0</v>
      </c>
      <c r="CJ1249" s="8">
        <f>SUM(CE1249:CI1249)</f>
        <v>0</v>
      </c>
      <c r="CL1249" s="6"/>
      <c r="CM1249" s="7"/>
      <c r="CN1249" s="7"/>
      <c r="CO1249" s="7"/>
      <c r="CP1249" s="7"/>
      <c r="CQ1249" s="8">
        <f>SUM(CL1249:CP1249)</f>
        <v>0</v>
      </c>
      <c r="CS1249" s="6"/>
      <c r="CT1249" s="7"/>
      <c r="CU1249" s="7"/>
      <c r="CV1249" s="7"/>
      <c r="CW1249" s="7"/>
      <c r="CX1249" s="8">
        <f t="shared" si="5733"/>
        <v>0</v>
      </c>
      <c r="CZ1249" s="6"/>
      <c r="DA1249" s="7"/>
      <c r="DB1249" s="7"/>
      <c r="DC1249" s="7"/>
      <c r="DD1249" s="7"/>
      <c r="DE1249" s="8">
        <f t="shared" si="5734"/>
        <v>0</v>
      </c>
    </row>
    <row r="1250" spans="2:110" ht="14" thickBot="1">
      <c r="C1250" s="567"/>
      <c r="E1250" s="5" t="s">
        <v>62</v>
      </c>
      <c r="F1250" s="23">
        <f t="shared" si="5729"/>
        <v>0</v>
      </c>
      <c r="G1250" s="24">
        <f t="shared" si="5720"/>
        <v>0</v>
      </c>
      <c r="H1250" s="24">
        <f t="shared" si="5721"/>
        <v>0</v>
      </c>
      <c r="I1250" s="24">
        <f t="shared" si="5722"/>
        <v>0</v>
      </c>
      <c r="J1250" s="24">
        <f t="shared" si="5723"/>
        <v>0</v>
      </c>
      <c r="K1250" s="8">
        <f t="shared" si="5730"/>
        <v>0</v>
      </c>
      <c r="M1250" s="6"/>
      <c r="N1250" s="7"/>
      <c r="O1250" s="7"/>
      <c r="P1250" s="7"/>
      <c r="Q1250" s="7"/>
      <c r="R1250" s="8">
        <f t="shared" si="5731"/>
        <v>0</v>
      </c>
      <c r="T1250" s="6"/>
      <c r="U1250" s="7"/>
      <c r="V1250" s="7"/>
      <c r="W1250" s="7"/>
      <c r="X1250" s="7"/>
      <c r="Y1250" s="8">
        <f t="shared" si="5732"/>
        <v>0</v>
      </c>
      <c r="AA1250" s="6"/>
      <c r="AB1250" s="7"/>
      <c r="AC1250" s="7"/>
      <c r="AD1250" s="7"/>
      <c r="AE1250" s="7"/>
      <c r="AF1250" s="8">
        <f>SUM(AA1250:AE1250)</f>
        <v>0</v>
      </c>
      <c r="AH1250" s="6"/>
      <c r="AI1250" s="7"/>
      <c r="AJ1250" s="7"/>
      <c r="AK1250" s="7"/>
      <c r="AL1250" s="7"/>
      <c r="AM1250" s="8">
        <f>SUM(AH1250:AL1250)</f>
        <v>0</v>
      </c>
      <c r="AO1250" s="6"/>
      <c r="AP1250" s="7"/>
      <c r="AQ1250" s="7"/>
      <c r="AR1250" s="7"/>
      <c r="AS1250" s="7"/>
      <c r="AT1250" s="8">
        <f>SUM(AO1250:AS1250)</f>
        <v>0</v>
      </c>
      <c r="AV1250" s="6"/>
      <c r="AW1250" s="7"/>
      <c r="AX1250" s="7"/>
      <c r="AY1250" s="7"/>
      <c r="AZ1250" s="7"/>
      <c r="BA1250" s="8">
        <f>SUM(AV1250:AZ1250)</f>
        <v>0</v>
      </c>
      <c r="BC1250" s="6"/>
      <c r="BD1250" s="7"/>
      <c r="BE1250" s="7"/>
      <c r="BF1250" s="7"/>
      <c r="BG1250" s="7"/>
      <c r="BH1250" s="8">
        <f>SUM(BC1250:BG1250)</f>
        <v>0</v>
      </c>
      <c r="BJ1250" s="6"/>
      <c r="BK1250" s="7"/>
      <c r="BL1250" s="7"/>
      <c r="BM1250" s="7"/>
      <c r="BN1250" s="7"/>
      <c r="BO1250" s="8">
        <f>SUM(BJ1250:BN1250)</f>
        <v>0</v>
      </c>
      <c r="BQ1250" s="6"/>
      <c r="BR1250" s="7"/>
      <c r="BS1250" s="7"/>
      <c r="BT1250" s="7"/>
      <c r="BU1250" s="7"/>
      <c r="BV1250" s="8">
        <f>SUM(BQ1250:BU1250)</f>
        <v>0</v>
      </c>
      <c r="BX1250" s="6"/>
      <c r="BY1250" s="7"/>
      <c r="BZ1250" s="7"/>
      <c r="CA1250" s="7"/>
      <c r="CB1250" s="7"/>
      <c r="CC1250" s="8">
        <f>SUM(BX1250:CB1250)</f>
        <v>0</v>
      </c>
      <c r="CE1250" s="493">
        <f t="shared" si="5724"/>
        <v>0</v>
      </c>
      <c r="CF1250" s="494">
        <f t="shared" si="5725"/>
        <v>0</v>
      </c>
      <c r="CG1250" s="494">
        <f t="shared" si="5726"/>
        <v>0</v>
      </c>
      <c r="CH1250" s="494">
        <f t="shared" si="5727"/>
        <v>0</v>
      </c>
      <c r="CI1250" s="494">
        <f t="shared" si="5728"/>
        <v>0</v>
      </c>
      <c r="CJ1250" s="495">
        <f>SUM(CE1250:CI1250)</f>
        <v>0</v>
      </c>
      <c r="CL1250" s="6"/>
      <c r="CM1250" s="7"/>
      <c r="CN1250" s="7"/>
      <c r="CO1250" s="7"/>
      <c r="CP1250" s="7"/>
      <c r="CQ1250" s="8">
        <f>SUM(CL1250:CP1250)</f>
        <v>0</v>
      </c>
      <c r="CS1250" s="6"/>
      <c r="CT1250" s="7"/>
      <c r="CU1250" s="7"/>
      <c r="CV1250" s="7"/>
      <c r="CW1250" s="7"/>
      <c r="CX1250" s="8">
        <f t="shared" si="5733"/>
        <v>0</v>
      </c>
      <c r="CZ1250" s="6"/>
      <c r="DA1250" s="7"/>
      <c r="DB1250" s="7"/>
      <c r="DC1250" s="7"/>
      <c r="DD1250" s="7"/>
      <c r="DE1250" s="8">
        <f t="shared" si="5734"/>
        <v>0</v>
      </c>
    </row>
    <row r="1251" spans="2:110" ht="14" thickBot="1">
      <c r="C1251" s="554"/>
      <c r="E1251" s="9"/>
      <c r="F1251" s="10">
        <f>SUM(F1247:F1250)</f>
        <v>0</v>
      </c>
      <c r="G1251" s="11">
        <f t="shared" ref="G1251:J1251" si="5735">SUM(G1247:G1250)</f>
        <v>0</v>
      </c>
      <c r="H1251" s="11">
        <f t="shared" si="5735"/>
        <v>0</v>
      </c>
      <c r="I1251" s="11">
        <f t="shared" si="5735"/>
        <v>0</v>
      </c>
      <c r="J1251" s="11">
        <f t="shared" si="5735"/>
        <v>0</v>
      </c>
      <c r="K1251" s="25">
        <f>SUM(K1247:K1250)</f>
        <v>0</v>
      </c>
      <c r="M1251" s="10">
        <f>SUM(M1247:M1250)</f>
        <v>0</v>
      </c>
      <c r="N1251" s="11">
        <f t="shared" ref="N1251:Q1251" si="5736">SUM(N1247:N1250)</f>
        <v>0</v>
      </c>
      <c r="O1251" s="11">
        <f t="shared" si="5736"/>
        <v>0</v>
      </c>
      <c r="P1251" s="11">
        <f t="shared" si="5736"/>
        <v>0</v>
      </c>
      <c r="Q1251" s="11">
        <f t="shared" si="5736"/>
        <v>0</v>
      </c>
      <c r="R1251" s="25">
        <f>SUM(R1247:R1250)</f>
        <v>0</v>
      </c>
      <c r="T1251" s="10">
        <f>SUM(T1247:T1250)</f>
        <v>0</v>
      </c>
      <c r="U1251" s="11">
        <f t="shared" ref="U1251:X1251" si="5737">SUM(U1247:U1250)</f>
        <v>0</v>
      </c>
      <c r="V1251" s="11">
        <f t="shared" si="5737"/>
        <v>0</v>
      </c>
      <c r="W1251" s="11">
        <f t="shared" si="5737"/>
        <v>0</v>
      </c>
      <c r="X1251" s="11">
        <f t="shared" si="5737"/>
        <v>0</v>
      </c>
      <c r="Y1251" s="25">
        <f>SUM(Y1247:Y1250)</f>
        <v>0</v>
      </c>
      <c r="AA1251" s="10">
        <f>SUM(AA1247:AA1250)</f>
        <v>0</v>
      </c>
      <c r="AB1251" s="11">
        <f t="shared" ref="AB1251:AE1251" si="5738">SUM(AB1247:AB1250)</f>
        <v>0</v>
      </c>
      <c r="AC1251" s="11">
        <f t="shared" si="5738"/>
        <v>0</v>
      </c>
      <c r="AD1251" s="11">
        <f t="shared" si="5738"/>
        <v>0</v>
      </c>
      <c r="AE1251" s="11">
        <f t="shared" si="5738"/>
        <v>0</v>
      </c>
      <c r="AF1251" s="25">
        <f>SUM(AF1247:AF1250)</f>
        <v>0</v>
      </c>
      <c r="AH1251" s="10">
        <f t="shared" ref="AH1251:AM1251" si="5739">SUM(AH1247:AH1250)</f>
        <v>0</v>
      </c>
      <c r="AI1251" s="11">
        <f t="shared" si="5739"/>
        <v>0</v>
      </c>
      <c r="AJ1251" s="11">
        <f t="shared" si="5739"/>
        <v>0</v>
      </c>
      <c r="AK1251" s="11">
        <f t="shared" si="5739"/>
        <v>0</v>
      </c>
      <c r="AL1251" s="11">
        <f t="shared" si="5739"/>
        <v>0</v>
      </c>
      <c r="AM1251" s="25">
        <f t="shared" si="5739"/>
        <v>0</v>
      </c>
      <c r="AO1251" s="10">
        <f t="shared" ref="AO1251:AT1251" si="5740">SUM(AO1247:AO1250)</f>
        <v>0</v>
      </c>
      <c r="AP1251" s="11">
        <f t="shared" si="5740"/>
        <v>0</v>
      </c>
      <c r="AQ1251" s="11">
        <f t="shared" si="5740"/>
        <v>0</v>
      </c>
      <c r="AR1251" s="11">
        <f t="shared" si="5740"/>
        <v>0</v>
      </c>
      <c r="AS1251" s="11">
        <f t="shared" si="5740"/>
        <v>0</v>
      </c>
      <c r="AT1251" s="25">
        <f t="shared" si="5740"/>
        <v>0</v>
      </c>
      <c r="AV1251" s="10">
        <f t="shared" ref="AV1251:BA1251" si="5741">SUM(AV1247:AV1250)</f>
        <v>0</v>
      </c>
      <c r="AW1251" s="11">
        <f t="shared" si="5741"/>
        <v>0</v>
      </c>
      <c r="AX1251" s="11">
        <f t="shared" si="5741"/>
        <v>0</v>
      </c>
      <c r="AY1251" s="11">
        <f t="shared" si="5741"/>
        <v>0</v>
      </c>
      <c r="AZ1251" s="11">
        <f t="shared" si="5741"/>
        <v>0</v>
      </c>
      <c r="BA1251" s="25">
        <f t="shared" si="5741"/>
        <v>0</v>
      </c>
      <c r="BC1251" s="10">
        <f t="shared" ref="BC1251:BH1251" si="5742">SUM(BC1247:BC1250)</f>
        <v>0</v>
      </c>
      <c r="BD1251" s="11">
        <f t="shared" si="5742"/>
        <v>0</v>
      </c>
      <c r="BE1251" s="11">
        <f t="shared" si="5742"/>
        <v>0</v>
      </c>
      <c r="BF1251" s="11">
        <f t="shared" si="5742"/>
        <v>0</v>
      </c>
      <c r="BG1251" s="11">
        <f t="shared" si="5742"/>
        <v>0</v>
      </c>
      <c r="BH1251" s="25">
        <f t="shared" si="5742"/>
        <v>0</v>
      </c>
      <c r="BJ1251" s="10">
        <f t="shared" ref="BJ1251:BO1251" si="5743">SUM(BJ1247:BJ1250)</f>
        <v>0</v>
      </c>
      <c r="BK1251" s="11">
        <f t="shared" si="5743"/>
        <v>0</v>
      </c>
      <c r="BL1251" s="11">
        <f t="shared" si="5743"/>
        <v>0</v>
      </c>
      <c r="BM1251" s="11">
        <f t="shared" si="5743"/>
        <v>0</v>
      </c>
      <c r="BN1251" s="11">
        <f t="shared" si="5743"/>
        <v>0</v>
      </c>
      <c r="BO1251" s="25">
        <f t="shared" si="5743"/>
        <v>0</v>
      </c>
      <c r="BQ1251" s="10">
        <f t="shared" ref="BQ1251:BV1251" si="5744">SUM(BQ1247:BQ1250)</f>
        <v>0</v>
      </c>
      <c r="BR1251" s="11">
        <f t="shared" si="5744"/>
        <v>0</v>
      </c>
      <c r="BS1251" s="11">
        <f t="shared" si="5744"/>
        <v>0</v>
      </c>
      <c r="BT1251" s="11">
        <f t="shared" si="5744"/>
        <v>0</v>
      </c>
      <c r="BU1251" s="11">
        <f t="shared" si="5744"/>
        <v>0</v>
      </c>
      <c r="BV1251" s="25">
        <f t="shared" si="5744"/>
        <v>0</v>
      </c>
      <c r="BX1251" s="10">
        <f t="shared" ref="BX1251:CC1251" si="5745">SUM(BX1247:BX1250)</f>
        <v>0</v>
      </c>
      <c r="BY1251" s="11">
        <f t="shared" si="5745"/>
        <v>0</v>
      </c>
      <c r="BZ1251" s="11">
        <f t="shared" si="5745"/>
        <v>0</v>
      </c>
      <c r="CA1251" s="11">
        <f t="shared" si="5745"/>
        <v>0</v>
      </c>
      <c r="CB1251" s="11">
        <f t="shared" si="5745"/>
        <v>0</v>
      </c>
      <c r="CC1251" s="25">
        <f t="shared" si="5745"/>
        <v>0</v>
      </c>
      <c r="CE1251" s="62">
        <f t="shared" ref="CE1251:CJ1251" si="5746">SUM(CE1247:CE1250)</f>
        <v>0</v>
      </c>
      <c r="CF1251" s="63">
        <f t="shared" si="5746"/>
        <v>0</v>
      </c>
      <c r="CG1251" s="63">
        <f t="shared" si="5746"/>
        <v>0</v>
      </c>
      <c r="CH1251" s="63">
        <f t="shared" si="5746"/>
        <v>0</v>
      </c>
      <c r="CI1251" s="63">
        <f t="shared" si="5746"/>
        <v>0</v>
      </c>
      <c r="CJ1251" s="25">
        <f t="shared" si="5746"/>
        <v>0</v>
      </c>
      <c r="CL1251" s="10">
        <f>SUM(CL1247:CL1250)</f>
        <v>0</v>
      </c>
      <c r="CM1251" s="11">
        <f t="shared" ref="CM1251:CQ1251" si="5747">SUM(CM1247:CM1250)</f>
        <v>0</v>
      </c>
      <c r="CN1251" s="11">
        <f t="shared" si="5747"/>
        <v>0</v>
      </c>
      <c r="CO1251" s="11">
        <f t="shared" si="5747"/>
        <v>0</v>
      </c>
      <c r="CP1251" s="11">
        <f t="shared" si="5747"/>
        <v>0</v>
      </c>
      <c r="CQ1251" s="25">
        <f t="shared" si="5747"/>
        <v>0</v>
      </c>
      <c r="CS1251" s="10">
        <f>SUM(CS1247:CS1250)</f>
        <v>0</v>
      </c>
      <c r="CT1251" s="11">
        <f t="shared" ref="CT1251:CW1251" si="5748">SUM(CT1247:CT1250)</f>
        <v>0</v>
      </c>
      <c r="CU1251" s="11">
        <f t="shared" si="5748"/>
        <v>0</v>
      </c>
      <c r="CV1251" s="11">
        <f t="shared" si="5748"/>
        <v>0</v>
      </c>
      <c r="CW1251" s="11">
        <f t="shared" si="5748"/>
        <v>0</v>
      </c>
      <c r="CX1251" s="25">
        <f>SUM(CX1247:CX1250)</f>
        <v>0</v>
      </c>
      <c r="CZ1251" s="10">
        <f>SUM(CZ1247:CZ1250)</f>
        <v>0</v>
      </c>
      <c r="DA1251" s="11">
        <f t="shared" ref="DA1251:DD1251" si="5749">SUM(DA1247:DA1250)</f>
        <v>0</v>
      </c>
      <c r="DB1251" s="11">
        <f t="shared" si="5749"/>
        <v>0</v>
      </c>
      <c r="DC1251" s="11">
        <f t="shared" si="5749"/>
        <v>0</v>
      </c>
      <c r="DD1251" s="11">
        <f t="shared" si="5749"/>
        <v>0</v>
      </c>
      <c r="DE1251" s="25">
        <f>SUM(DE1247:DE1250)</f>
        <v>0</v>
      </c>
    </row>
    <row r="1253" spans="2:110">
      <c r="B1253" s="123"/>
      <c r="C1253" s="20"/>
      <c r="D1253" s="20"/>
      <c r="E1253" s="20"/>
      <c r="F1253" s="20"/>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Q1253" s="20"/>
      <c r="BR1253" s="20"/>
      <c r="BS1253" s="20"/>
      <c r="BT1253" s="20"/>
      <c r="BU1253" s="20"/>
      <c r="BV1253" s="20"/>
      <c r="BW1253" s="20"/>
      <c r="BX1253" s="20"/>
      <c r="BY1253" s="20"/>
      <c r="BZ1253" s="20"/>
      <c r="CA1253" s="20"/>
      <c r="CB1253" s="20"/>
      <c r="CC1253" s="20"/>
      <c r="CD1253" s="20"/>
      <c r="CE1253" s="20"/>
      <c r="CF1253" s="20"/>
      <c r="CG1253" s="20"/>
      <c r="CH1253" s="20"/>
      <c r="CI1253" s="20"/>
      <c r="CJ1253" s="20"/>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row>
    <row r="1254" spans="2:110" ht="14" thickBot="1">
      <c r="B1254" s="94">
        <v>40</v>
      </c>
      <c r="C1254" s="12" t="s">
        <v>101</v>
      </c>
    </row>
    <row r="1255" spans="2:110">
      <c r="C1255" s="553">
        <v>2024</v>
      </c>
      <c r="E1255" s="1" t="s">
        <v>59</v>
      </c>
      <c r="F1255" s="2"/>
      <c r="G1255" s="3"/>
      <c r="H1255" s="3"/>
      <c r="I1255" s="3"/>
      <c r="J1255" s="3"/>
      <c r="K1255" s="4">
        <f>SUM(F1255:J1255)</f>
        <v>0</v>
      </c>
      <c r="M1255" s="2"/>
      <c r="N1255" s="3"/>
      <c r="O1255" s="3"/>
      <c r="P1255" s="3"/>
      <c r="Q1255" s="3"/>
      <c r="R1255" s="4">
        <f>SUM(M1255:Q1255)</f>
        <v>0</v>
      </c>
      <c r="T1255" s="2"/>
      <c r="U1255" s="3"/>
      <c r="V1255" s="3"/>
      <c r="W1255" s="3"/>
      <c r="X1255" s="3"/>
      <c r="Y1255" s="4">
        <f>SUM(T1255:X1255)</f>
        <v>0</v>
      </c>
      <c r="AA1255" s="2"/>
      <c r="AB1255" s="3"/>
      <c r="AC1255" s="3"/>
      <c r="AD1255" s="3"/>
      <c r="AE1255" s="3"/>
      <c r="AF1255" s="4">
        <f>SUM(AA1255:AE1255)</f>
        <v>0</v>
      </c>
      <c r="AH1255" s="2"/>
      <c r="AI1255" s="3"/>
      <c r="AJ1255" s="3"/>
      <c r="AK1255" s="3"/>
      <c r="AL1255" s="3"/>
      <c r="AM1255" s="4">
        <f>SUM(AH1255:AL1255)</f>
        <v>0</v>
      </c>
      <c r="AO1255" s="2"/>
      <c r="AP1255" s="3"/>
      <c r="AQ1255" s="3"/>
      <c r="AR1255" s="3"/>
      <c r="AS1255" s="3"/>
      <c r="AT1255" s="4">
        <f>SUM(AO1255:AS1255)</f>
        <v>0</v>
      </c>
      <c r="AV1255" s="2"/>
      <c r="AW1255" s="3"/>
      <c r="AX1255" s="3"/>
      <c r="AY1255" s="3"/>
      <c r="AZ1255" s="3"/>
      <c r="BA1255" s="4">
        <f>SUM(AV1255:AZ1255)</f>
        <v>0</v>
      </c>
      <c r="BC1255" s="2"/>
      <c r="BD1255" s="3"/>
      <c r="BE1255" s="3"/>
      <c r="BF1255" s="3"/>
      <c r="BG1255" s="3"/>
      <c r="BH1255" s="4">
        <f>SUM(BC1255:BG1255)</f>
        <v>0</v>
      </c>
      <c r="BJ1255" s="2"/>
      <c r="BK1255" s="3"/>
      <c r="BL1255" s="3"/>
      <c r="BM1255" s="3"/>
      <c r="BN1255" s="3"/>
      <c r="BO1255" s="4">
        <f>SUM(BJ1255:BN1255)</f>
        <v>0</v>
      </c>
      <c r="BQ1255" s="2"/>
      <c r="BR1255" s="3"/>
      <c r="BS1255" s="3"/>
      <c r="BT1255" s="3"/>
      <c r="BU1255" s="3"/>
      <c r="BV1255" s="4">
        <f>SUM(BQ1255:BU1255)</f>
        <v>0</v>
      </c>
      <c r="BX1255" s="2"/>
      <c r="BY1255" s="3"/>
      <c r="BZ1255" s="3"/>
      <c r="CA1255" s="3"/>
      <c r="CB1255" s="3"/>
      <c r="CC1255" s="4">
        <f>SUM(BX1255:CB1255)</f>
        <v>0</v>
      </c>
      <c r="CE1255" s="26">
        <f t="shared" ref="CE1255:CE1258" si="5750">F1255+M1255+T1255+AA1255+AH1255+AO1255+AV1255+BC1255+BJ1255+BQ1255+BX1255</f>
        <v>0</v>
      </c>
      <c r="CF1255" s="27">
        <f t="shared" ref="CF1255:CF1258" si="5751">G1255+N1255+U1255+AB1255+AI1255+AP1255+AW1255+BD1255+BK1255+BR1255+BY1255</f>
        <v>0</v>
      </c>
      <c r="CG1255" s="27">
        <f t="shared" ref="CG1255:CG1258" si="5752">H1255+O1255+V1255+AC1255+AJ1255+AQ1255+AX1255+BE1255+BL1255+BS1255+BZ1255</f>
        <v>0</v>
      </c>
      <c r="CH1255" s="27">
        <f t="shared" ref="CH1255:CH1258" si="5753">I1255+P1255+W1255+AD1255+AK1255+AR1255+AY1255+BF1255+BM1255+BT1255+CA1255</f>
        <v>0</v>
      </c>
      <c r="CI1255" s="27">
        <f t="shared" ref="CI1255:CI1258" si="5754">J1255+Q1255+X1255+AE1255+AL1255+AS1255+AZ1255+BG1255+BN1255+BU1255+CB1255</f>
        <v>0</v>
      </c>
      <c r="CJ1255" s="4">
        <f>SUM(CE1255:CI1255)</f>
        <v>0</v>
      </c>
      <c r="CL1255" s="2"/>
      <c r="CM1255" s="3"/>
      <c r="CN1255" s="3"/>
      <c r="CO1255" s="3"/>
      <c r="CP1255" s="3"/>
      <c r="CQ1255" s="4">
        <f>SUM(CL1255:CP1255)</f>
        <v>0</v>
      </c>
      <c r="CS1255" s="2"/>
      <c r="CT1255" s="3"/>
      <c r="CU1255" s="3"/>
      <c r="CV1255" s="3"/>
      <c r="CW1255" s="3"/>
      <c r="CX1255" s="4">
        <f>SUM(CS1255:CW1255)</f>
        <v>0</v>
      </c>
      <c r="CZ1255" s="2"/>
      <c r="DA1255" s="3"/>
      <c r="DB1255" s="3"/>
      <c r="DC1255" s="3"/>
      <c r="DD1255" s="3"/>
      <c r="DE1255" s="4">
        <f>SUM(CZ1255:DD1255)</f>
        <v>0</v>
      </c>
    </row>
    <row r="1256" spans="2:110">
      <c r="C1256" s="567"/>
      <c r="E1256" s="5" t="s">
        <v>60</v>
      </c>
      <c r="F1256" s="6"/>
      <c r="G1256" s="7"/>
      <c r="H1256" s="7"/>
      <c r="I1256" s="7"/>
      <c r="J1256" s="7"/>
      <c r="K1256" s="8">
        <f t="shared" ref="K1256:K1258" si="5755">SUM(F1256:J1256)</f>
        <v>0</v>
      </c>
      <c r="M1256" s="6"/>
      <c r="N1256" s="7"/>
      <c r="O1256" s="7"/>
      <c r="P1256" s="7"/>
      <c r="Q1256" s="7"/>
      <c r="R1256" s="8">
        <f t="shared" ref="R1256:R1258" si="5756">SUM(M1256:Q1256)</f>
        <v>0</v>
      </c>
      <c r="T1256" s="6"/>
      <c r="U1256" s="7"/>
      <c r="V1256" s="7"/>
      <c r="W1256" s="7"/>
      <c r="X1256" s="7"/>
      <c r="Y1256" s="8">
        <f t="shared" ref="Y1256:Y1258" si="5757">SUM(T1256:X1256)</f>
        <v>0</v>
      </c>
      <c r="AA1256" s="6"/>
      <c r="AB1256" s="7"/>
      <c r="AC1256" s="7"/>
      <c r="AD1256" s="7"/>
      <c r="AE1256" s="7"/>
      <c r="AF1256" s="8">
        <f t="shared" ref="AF1256:AF1258" si="5758">SUM(AA1256:AE1256)</f>
        <v>0</v>
      </c>
      <c r="AH1256" s="6"/>
      <c r="AI1256" s="7"/>
      <c r="AJ1256" s="7"/>
      <c r="AK1256" s="7"/>
      <c r="AL1256" s="7"/>
      <c r="AM1256" s="8">
        <f t="shared" ref="AM1256:AM1258" si="5759">SUM(AH1256:AL1256)</f>
        <v>0</v>
      </c>
      <c r="AO1256" s="6"/>
      <c r="AP1256" s="7"/>
      <c r="AQ1256" s="7"/>
      <c r="AR1256" s="7"/>
      <c r="AS1256" s="7"/>
      <c r="AT1256" s="8">
        <f t="shared" ref="AT1256:AT1258" si="5760">SUM(AO1256:AS1256)</f>
        <v>0</v>
      </c>
      <c r="AV1256" s="6"/>
      <c r="AW1256" s="7"/>
      <c r="AX1256" s="7"/>
      <c r="AY1256" s="7"/>
      <c r="AZ1256" s="7"/>
      <c r="BA1256" s="8">
        <f t="shared" ref="BA1256:BA1258" si="5761">SUM(AV1256:AZ1256)</f>
        <v>0</v>
      </c>
      <c r="BC1256" s="6"/>
      <c r="BD1256" s="7"/>
      <c r="BE1256" s="7"/>
      <c r="BF1256" s="7"/>
      <c r="BG1256" s="7"/>
      <c r="BH1256" s="8">
        <f t="shared" ref="BH1256:BH1258" si="5762">SUM(BC1256:BG1256)</f>
        <v>0</v>
      </c>
      <c r="BJ1256" s="6"/>
      <c r="BK1256" s="7"/>
      <c r="BL1256" s="7"/>
      <c r="BM1256" s="7"/>
      <c r="BN1256" s="7"/>
      <c r="BO1256" s="8">
        <f t="shared" ref="BO1256:BO1258" si="5763">SUM(BJ1256:BN1256)</f>
        <v>0</v>
      </c>
      <c r="BQ1256" s="6"/>
      <c r="BR1256" s="7"/>
      <c r="BS1256" s="7"/>
      <c r="BT1256" s="7"/>
      <c r="BU1256" s="7"/>
      <c r="BV1256" s="8">
        <f t="shared" ref="BV1256:BV1258" si="5764">SUM(BQ1256:BU1256)</f>
        <v>0</v>
      </c>
      <c r="BX1256" s="6"/>
      <c r="BY1256" s="7"/>
      <c r="BZ1256" s="7"/>
      <c r="CA1256" s="7"/>
      <c r="CB1256" s="7"/>
      <c r="CC1256" s="8">
        <f t="shared" ref="CC1256:CC1258" si="5765">SUM(BX1256:CB1256)</f>
        <v>0</v>
      </c>
      <c r="CE1256" s="28">
        <f t="shared" si="5750"/>
        <v>0</v>
      </c>
      <c r="CF1256" s="29">
        <f t="shared" si="5751"/>
        <v>0</v>
      </c>
      <c r="CG1256" s="29">
        <f t="shared" si="5752"/>
        <v>0</v>
      </c>
      <c r="CH1256" s="29">
        <f t="shared" si="5753"/>
        <v>0</v>
      </c>
      <c r="CI1256" s="29">
        <f t="shared" si="5754"/>
        <v>0</v>
      </c>
      <c r="CJ1256" s="8">
        <f>SUM(CE1256:CI1256)</f>
        <v>0</v>
      </c>
      <c r="CL1256" s="6"/>
      <c r="CM1256" s="7"/>
      <c r="CN1256" s="7"/>
      <c r="CO1256" s="7"/>
      <c r="CP1256" s="7"/>
      <c r="CQ1256" s="8">
        <f t="shared" ref="CQ1256:CQ1258" si="5766">SUM(CL1256:CP1256)</f>
        <v>0</v>
      </c>
      <c r="CS1256" s="6"/>
      <c r="CT1256" s="7"/>
      <c r="CU1256" s="7"/>
      <c r="CV1256" s="7"/>
      <c r="CW1256" s="7"/>
      <c r="CX1256" s="8">
        <f t="shared" ref="CX1256:CX1258" si="5767">SUM(CS1256:CW1256)</f>
        <v>0</v>
      </c>
      <c r="CZ1256" s="6"/>
      <c r="DA1256" s="7"/>
      <c r="DB1256" s="7"/>
      <c r="DC1256" s="7"/>
      <c r="DD1256" s="7"/>
      <c r="DE1256" s="8">
        <f t="shared" ref="DE1256:DE1258" si="5768">SUM(CZ1256:DD1256)</f>
        <v>0</v>
      </c>
    </row>
    <row r="1257" spans="2:110">
      <c r="C1257" s="567"/>
      <c r="E1257" s="5" t="s">
        <v>61</v>
      </c>
      <c r="F1257" s="6"/>
      <c r="G1257" s="7"/>
      <c r="H1257" s="7"/>
      <c r="I1257" s="7"/>
      <c r="J1257" s="7"/>
      <c r="K1257" s="8">
        <f t="shared" si="5755"/>
        <v>0</v>
      </c>
      <c r="M1257" s="6"/>
      <c r="N1257" s="7"/>
      <c r="O1257" s="7"/>
      <c r="P1257" s="7"/>
      <c r="Q1257" s="7"/>
      <c r="R1257" s="8">
        <f t="shared" si="5756"/>
        <v>0</v>
      </c>
      <c r="T1257" s="6"/>
      <c r="U1257" s="7"/>
      <c r="V1257" s="7"/>
      <c r="W1257" s="7"/>
      <c r="X1257" s="7"/>
      <c r="Y1257" s="8">
        <f t="shared" si="5757"/>
        <v>0</v>
      </c>
      <c r="AA1257" s="6"/>
      <c r="AB1257" s="7"/>
      <c r="AC1257" s="7"/>
      <c r="AD1257" s="7"/>
      <c r="AE1257" s="7"/>
      <c r="AF1257" s="8">
        <f t="shared" si="5758"/>
        <v>0</v>
      </c>
      <c r="AH1257" s="6"/>
      <c r="AI1257" s="7"/>
      <c r="AJ1257" s="7"/>
      <c r="AK1257" s="7"/>
      <c r="AL1257" s="7"/>
      <c r="AM1257" s="8">
        <f t="shared" si="5759"/>
        <v>0</v>
      </c>
      <c r="AO1257" s="6"/>
      <c r="AP1257" s="7"/>
      <c r="AQ1257" s="7"/>
      <c r="AR1257" s="7"/>
      <c r="AS1257" s="7"/>
      <c r="AT1257" s="8">
        <f t="shared" si="5760"/>
        <v>0</v>
      </c>
      <c r="AV1257" s="6"/>
      <c r="AW1257" s="7"/>
      <c r="AX1257" s="7"/>
      <c r="AY1257" s="7"/>
      <c r="AZ1257" s="7"/>
      <c r="BA1257" s="8">
        <f t="shared" si="5761"/>
        <v>0</v>
      </c>
      <c r="BC1257" s="6"/>
      <c r="BD1257" s="7"/>
      <c r="BE1257" s="7"/>
      <c r="BF1257" s="7"/>
      <c r="BG1257" s="7"/>
      <c r="BH1257" s="8">
        <f t="shared" si="5762"/>
        <v>0</v>
      </c>
      <c r="BJ1257" s="6"/>
      <c r="BK1257" s="7"/>
      <c r="BL1257" s="7"/>
      <c r="BM1257" s="7"/>
      <c r="BN1257" s="7"/>
      <c r="BO1257" s="8">
        <f t="shared" si="5763"/>
        <v>0</v>
      </c>
      <c r="BQ1257" s="6"/>
      <c r="BR1257" s="7"/>
      <c r="BS1257" s="7"/>
      <c r="BT1257" s="7"/>
      <c r="BU1257" s="7"/>
      <c r="BV1257" s="8">
        <f t="shared" si="5764"/>
        <v>0</v>
      </c>
      <c r="BX1257" s="6"/>
      <c r="BY1257" s="7"/>
      <c r="BZ1257" s="7"/>
      <c r="CA1257" s="7"/>
      <c r="CB1257" s="7"/>
      <c r="CC1257" s="8">
        <f t="shared" si="5765"/>
        <v>0</v>
      </c>
      <c r="CE1257" s="28">
        <f t="shared" si="5750"/>
        <v>0</v>
      </c>
      <c r="CF1257" s="29">
        <f t="shared" si="5751"/>
        <v>0</v>
      </c>
      <c r="CG1257" s="29">
        <f t="shared" si="5752"/>
        <v>0</v>
      </c>
      <c r="CH1257" s="29">
        <f t="shared" si="5753"/>
        <v>0</v>
      </c>
      <c r="CI1257" s="29">
        <f t="shared" si="5754"/>
        <v>0</v>
      </c>
      <c r="CJ1257" s="8">
        <f>SUM(CE1257:CI1257)</f>
        <v>0</v>
      </c>
      <c r="CL1257" s="6"/>
      <c r="CM1257" s="7"/>
      <c r="CN1257" s="7"/>
      <c r="CO1257" s="7"/>
      <c r="CP1257" s="7"/>
      <c r="CQ1257" s="8">
        <f t="shared" si="5766"/>
        <v>0</v>
      </c>
      <c r="CS1257" s="6"/>
      <c r="CT1257" s="7"/>
      <c r="CU1257" s="7"/>
      <c r="CV1257" s="7"/>
      <c r="CW1257" s="7"/>
      <c r="CX1257" s="8">
        <f t="shared" si="5767"/>
        <v>0</v>
      </c>
      <c r="CZ1257" s="6"/>
      <c r="DA1257" s="7"/>
      <c r="DB1257" s="7"/>
      <c r="DC1257" s="7"/>
      <c r="DD1257" s="7"/>
      <c r="DE1257" s="8">
        <f t="shared" si="5768"/>
        <v>0</v>
      </c>
    </row>
    <row r="1258" spans="2:110" ht="14" thickBot="1">
      <c r="C1258" s="567"/>
      <c r="E1258" s="5" t="s">
        <v>62</v>
      </c>
      <c r="F1258" s="6"/>
      <c r="G1258" s="7"/>
      <c r="H1258" s="7"/>
      <c r="I1258" s="7"/>
      <c r="J1258" s="7"/>
      <c r="K1258" s="8">
        <f t="shared" si="5755"/>
        <v>0</v>
      </c>
      <c r="M1258" s="6"/>
      <c r="N1258" s="7"/>
      <c r="O1258" s="7"/>
      <c r="P1258" s="7"/>
      <c r="Q1258" s="7"/>
      <c r="R1258" s="8">
        <f t="shared" si="5756"/>
        <v>0</v>
      </c>
      <c r="T1258" s="6"/>
      <c r="U1258" s="7"/>
      <c r="V1258" s="7"/>
      <c r="W1258" s="7"/>
      <c r="X1258" s="7"/>
      <c r="Y1258" s="8">
        <f t="shared" si="5757"/>
        <v>0</v>
      </c>
      <c r="AA1258" s="6"/>
      <c r="AB1258" s="7"/>
      <c r="AC1258" s="7"/>
      <c r="AD1258" s="7"/>
      <c r="AE1258" s="7"/>
      <c r="AF1258" s="8">
        <f t="shared" si="5758"/>
        <v>0</v>
      </c>
      <c r="AH1258" s="6"/>
      <c r="AI1258" s="7"/>
      <c r="AJ1258" s="7"/>
      <c r="AK1258" s="7"/>
      <c r="AL1258" s="7"/>
      <c r="AM1258" s="8">
        <f t="shared" si="5759"/>
        <v>0</v>
      </c>
      <c r="AO1258" s="6"/>
      <c r="AP1258" s="7"/>
      <c r="AQ1258" s="7"/>
      <c r="AR1258" s="7"/>
      <c r="AS1258" s="7"/>
      <c r="AT1258" s="8">
        <f t="shared" si="5760"/>
        <v>0</v>
      </c>
      <c r="AV1258" s="6"/>
      <c r="AW1258" s="7"/>
      <c r="AX1258" s="7"/>
      <c r="AY1258" s="7"/>
      <c r="AZ1258" s="7"/>
      <c r="BA1258" s="8">
        <f t="shared" si="5761"/>
        <v>0</v>
      </c>
      <c r="BC1258" s="6"/>
      <c r="BD1258" s="7"/>
      <c r="BE1258" s="7"/>
      <c r="BF1258" s="7"/>
      <c r="BG1258" s="7"/>
      <c r="BH1258" s="8">
        <f t="shared" si="5762"/>
        <v>0</v>
      </c>
      <c r="BJ1258" s="6"/>
      <c r="BK1258" s="7"/>
      <c r="BL1258" s="7"/>
      <c r="BM1258" s="7"/>
      <c r="BN1258" s="7"/>
      <c r="BO1258" s="8">
        <f t="shared" si="5763"/>
        <v>0</v>
      </c>
      <c r="BQ1258" s="6"/>
      <c r="BR1258" s="7"/>
      <c r="BS1258" s="7"/>
      <c r="BT1258" s="7"/>
      <c r="BU1258" s="7"/>
      <c r="BV1258" s="8">
        <f t="shared" si="5764"/>
        <v>0</v>
      </c>
      <c r="BX1258" s="6"/>
      <c r="BY1258" s="7"/>
      <c r="BZ1258" s="7"/>
      <c r="CA1258" s="7"/>
      <c r="CB1258" s="7"/>
      <c r="CC1258" s="8">
        <f t="shared" si="5765"/>
        <v>0</v>
      </c>
      <c r="CE1258" s="493">
        <f t="shared" si="5750"/>
        <v>0</v>
      </c>
      <c r="CF1258" s="494">
        <f t="shared" si="5751"/>
        <v>0</v>
      </c>
      <c r="CG1258" s="494">
        <f t="shared" si="5752"/>
        <v>0</v>
      </c>
      <c r="CH1258" s="494">
        <f t="shared" si="5753"/>
        <v>0</v>
      </c>
      <c r="CI1258" s="494">
        <f t="shared" si="5754"/>
        <v>0</v>
      </c>
      <c r="CJ1258" s="495">
        <f>SUM(CE1258:CI1258)</f>
        <v>0</v>
      </c>
      <c r="CL1258" s="6"/>
      <c r="CM1258" s="7"/>
      <c r="CN1258" s="7"/>
      <c r="CO1258" s="7"/>
      <c r="CP1258" s="7"/>
      <c r="CQ1258" s="8">
        <f t="shared" si="5766"/>
        <v>0</v>
      </c>
      <c r="CS1258" s="6"/>
      <c r="CT1258" s="7"/>
      <c r="CU1258" s="7"/>
      <c r="CV1258" s="7"/>
      <c r="CW1258" s="7"/>
      <c r="CX1258" s="8">
        <f t="shared" si="5767"/>
        <v>0</v>
      </c>
      <c r="CZ1258" s="6"/>
      <c r="DA1258" s="7"/>
      <c r="DB1258" s="7"/>
      <c r="DC1258" s="7"/>
      <c r="DD1258" s="7"/>
      <c r="DE1258" s="8">
        <f t="shared" si="5768"/>
        <v>0</v>
      </c>
    </row>
    <row r="1259" spans="2:110" ht="14" thickBot="1">
      <c r="C1259" s="554"/>
      <c r="E1259" s="9"/>
      <c r="F1259" s="10">
        <f>SUM(F1255:F1258)</f>
        <v>0</v>
      </c>
      <c r="G1259" s="11">
        <f t="shared" ref="G1259:J1259" si="5769">SUM(G1255:G1258)</f>
        <v>0</v>
      </c>
      <c r="H1259" s="11">
        <f t="shared" si="5769"/>
        <v>0</v>
      </c>
      <c r="I1259" s="11">
        <f t="shared" si="5769"/>
        <v>0</v>
      </c>
      <c r="J1259" s="61">
        <f t="shared" si="5769"/>
        <v>0</v>
      </c>
      <c r="K1259" s="25">
        <f>SUM(K1255:K1258)</f>
        <v>0</v>
      </c>
      <c r="M1259" s="10">
        <f>SUM(M1255:M1258)</f>
        <v>0</v>
      </c>
      <c r="N1259" s="11">
        <f t="shared" ref="N1259:Q1259" si="5770">SUM(N1255:N1258)</f>
        <v>0</v>
      </c>
      <c r="O1259" s="11">
        <f t="shared" si="5770"/>
        <v>0</v>
      </c>
      <c r="P1259" s="11">
        <f t="shared" si="5770"/>
        <v>0</v>
      </c>
      <c r="Q1259" s="11">
        <f t="shared" si="5770"/>
        <v>0</v>
      </c>
      <c r="R1259" s="25">
        <f>SUM(R1255:R1258)</f>
        <v>0</v>
      </c>
      <c r="T1259" s="10">
        <f>SUM(T1255:T1258)</f>
        <v>0</v>
      </c>
      <c r="U1259" s="11">
        <f t="shared" ref="U1259:X1259" si="5771">SUM(U1255:U1258)</f>
        <v>0</v>
      </c>
      <c r="V1259" s="11">
        <f t="shared" si="5771"/>
        <v>0</v>
      </c>
      <c r="W1259" s="11">
        <f t="shared" si="5771"/>
        <v>0</v>
      </c>
      <c r="X1259" s="11">
        <f t="shared" si="5771"/>
        <v>0</v>
      </c>
      <c r="Y1259" s="25">
        <f>SUM(Y1255:Y1258)</f>
        <v>0</v>
      </c>
      <c r="AA1259" s="10">
        <f>SUM(AA1255:AA1258)</f>
        <v>0</v>
      </c>
      <c r="AB1259" s="11">
        <f t="shared" ref="AB1259:AE1259" si="5772">SUM(AB1255:AB1258)</f>
        <v>0</v>
      </c>
      <c r="AC1259" s="11">
        <f t="shared" si="5772"/>
        <v>0</v>
      </c>
      <c r="AD1259" s="11">
        <f t="shared" si="5772"/>
        <v>0</v>
      </c>
      <c r="AE1259" s="11">
        <f t="shared" si="5772"/>
        <v>0</v>
      </c>
      <c r="AF1259" s="25">
        <f>SUM(AF1255:AF1258)</f>
        <v>0</v>
      </c>
      <c r="AH1259" s="10">
        <f>SUM(AH1255:AH1258)</f>
        <v>0</v>
      </c>
      <c r="AI1259" s="11">
        <f t="shared" ref="AI1259:AL1259" si="5773">SUM(AI1255:AI1258)</f>
        <v>0</v>
      </c>
      <c r="AJ1259" s="11">
        <f t="shared" si="5773"/>
        <v>0</v>
      </c>
      <c r="AK1259" s="11">
        <f t="shared" si="5773"/>
        <v>0</v>
      </c>
      <c r="AL1259" s="11">
        <f t="shared" si="5773"/>
        <v>0</v>
      </c>
      <c r="AM1259" s="25">
        <f>SUM(AM1255:AM1258)</f>
        <v>0</v>
      </c>
      <c r="AO1259" s="10">
        <f>SUM(AO1255:AO1258)</f>
        <v>0</v>
      </c>
      <c r="AP1259" s="11">
        <f t="shared" ref="AP1259:AS1259" si="5774">SUM(AP1255:AP1258)</f>
        <v>0</v>
      </c>
      <c r="AQ1259" s="11">
        <f t="shared" si="5774"/>
        <v>0</v>
      </c>
      <c r="AR1259" s="11">
        <f t="shared" si="5774"/>
        <v>0</v>
      </c>
      <c r="AS1259" s="11">
        <f t="shared" si="5774"/>
        <v>0</v>
      </c>
      <c r="AT1259" s="25">
        <f>SUM(AT1255:AT1258)</f>
        <v>0</v>
      </c>
      <c r="AV1259" s="10">
        <f>SUM(AV1255:AV1258)</f>
        <v>0</v>
      </c>
      <c r="AW1259" s="11">
        <f t="shared" ref="AW1259:AZ1259" si="5775">SUM(AW1255:AW1258)</f>
        <v>0</v>
      </c>
      <c r="AX1259" s="11">
        <f t="shared" si="5775"/>
        <v>0</v>
      </c>
      <c r="AY1259" s="11">
        <f t="shared" si="5775"/>
        <v>0</v>
      </c>
      <c r="AZ1259" s="11">
        <f t="shared" si="5775"/>
        <v>0</v>
      </c>
      <c r="BA1259" s="25">
        <f>SUM(BA1255:BA1258)</f>
        <v>0</v>
      </c>
      <c r="BC1259" s="10">
        <f>SUM(BC1255:BC1258)</f>
        <v>0</v>
      </c>
      <c r="BD1259" s="11">
        <f t="shared" ref="BD1259:BG1259" si="5776">SUM(BD1255:BD1258)</f>
        <v>0</v>
      </c>
      <c r="BE1259" s="11">
        <f t="shared" si="5776"/>
        <v>0</v>
      </c>
      <c r="BF1259" s="11">
        <f t="shared" si="5776"/>
        <v>0</v>
      </c>
      <c r="BG1259" s="11">
        <f t="shared" si="5776"/>
        <v>0</v>
      </c>
      <c r="BH1259" s="25">
        <f>SUM(BH1255:BH1258)</f>
        <v>0</v>
      </c>
      <c r="BJ1259" s="10">
        <f>SUM(BJ1255:BJ1258)</f>
        <v>0</v>
      </c>
      <c r="BK1259" s="11">
        <f t="shared" ref="BK1259:BN1259" si="5777">SUM(BK1255:BK1258)</f>
        <v>0</v>
      </c>
      <c r="BL1259" s="11">
        <f t="shared" si="5777"/>
        <v>0</v>
      </c>
      <c r="BM1259" s="11">
        <f t="shared" si="5777"/>
        <v>0</v>
      </c>
      <c r="BN1259" s="11">
        <f t="shared" si="5777"/>
        <v>0</v>
      </c>
      <c r="BO1259" s="25">
        <f>SUM(BO1255:BO1258)</f>
        <v>0</v>
      </c>
      <c r="BQ1259" s="10">
        <f>SUM(BQ1255:BQ1258)</f>
        <v>0</v>
      </c>
      <c r="BR1259" s="11">
        <f t="shared" ref="BR1259:BU1259" si="5778">SUM(BR1255:BR1258)</f>
        <v>0</v>
      </c>
      <c r="BS1259" s="11">
        <f t="shared" si="5778"/>
        <v>0</v>
      </c>
      <c r="BT1259" s="11">
        <f t="shared" si="5778"/>
        <v>0</v>
      </c>
      <c r="BU1259" s="11">
        <f t="shared" si="5778"/>
        <v>0</v>
      </c>
      <c r="BV1259" s="25">
        <f>SUM(BV1255:BV1258)</f>
        <v>0</v>
      </c>
      <c r="BX1259" s="10">
        <f>SUM(BX1255:BX1258)</f>
        <v>0</v>
      </c>
      <c r="BY1259" s="11">
        <f t="shared" ref="BY1259:CB1259" si="5779">SUM(BY1255:BY1258)</f>
        <v>0</v>
      </c>
      <c r="BZ1259" s="11">
        <f t="shared" si="5779"/>
        <v>0</v>
      </c>
      <c r="CA1259" s="11">
        <f t="shared" si="5779"/>
        <v>0</v>
      </c>
      <c r="CB1259" s="11">
        <f t="shared" si="5779"/>
        <v>0</v>
      </c>
      <c r="CC1259" s="25">
        <f>SUM(CC1255:CC1258)</f>
        <v>0</v>
      </c>
      <c r="CE1259" s="62">
        <f t="shared" ref="CE1259:CJ1259" si="5780">SUM(CE1255:CE1258)</f>
        <v>0</v>
      </c>
      <c r="CF1259" s="63">
        <f t="shared" si="5780"/>
        <v>0</v>
      </c>
      <c r="CG1259" s="63">
        <f t="shared" si="5780"/>
        <v>0</v>
      </c>
      <c r="CH1259" s="63">
        <f t="shared" si="5780"/>
        <v>0</v>
      </c>
      <c r="CI1259" s="63">
        <f t="shared" si="5780"/>
        <v>0</v>
      </c>
      <c r="CJ1259" s="25">
        <f t="shared" si="5780"/>
        <v>0</v>
      </c>
      <c r="CL1259" s="10">
        <f>SUM(CL1255:CL1258)</f>
        <v>0</v>
      </c>
      <c r="CM1259" s="11">
        <f t="shared" ref="CM1259:CP1259" si="5781">SUM(CM1255:CM1258)</f>
        <v>0</v>
      </c>
      <c r="CN1259" s="11">
        <f t="shared" si="5781"/>
        <v>0</v>
      </c>
      <c r="CO1259" s="11">
        <f t="shared" si="5781"/>
        <v>0</v>
      </c>
      <c r="CP1259" s="11">
        <f t="shared" si="5781"/>
        <v>0</v>
      </c>
      <c r="CQ1259" s="25">
        <f>SUM(CQ1255:CQ1258)</f>
        <v>0</v>
      </c>
      <c r="CS1259" s="10">
        <f>SUM(CS1255:CS1258)</f>
        <v>0</v>
      </c>
      <c r="CT1259" s="11">
        <f t="shared" ref="CT1259:CW1259" si="5782">SUM(CT1255:CT1258)</f>
        <v>0</v>
      </c>
      <c r="CU1259" s="11">
        <f t="shared" si="5782"/>
        <v>0</v>
      </c>
      <c r="CV1259" s="11">
        <f t="shared" si="5782"/>
        <v>0</v>
      </c>
      <c r="CW1259" s="11">
        <f t="shared" si="5782"/>
        <v>0</v>
      </c>
      <c r="CX1259" s="25">
        <f>SUM(CX1255:CX1258)</f>
        <v>0</v>
      </c>
      <c r="CZ1259" s="10">
        <f>SUM(CZ1255:CZ1258)</f>
        <v>0</v>
      </c>
      <c r="DA1259" s="11">
        <f t="shared" ref="DA1259:DD1259" si="5783">SUM(DA1255:DA1258)</f>
        <v>0</v>
      </c>
      <c r="DB1259" s="11">
        <f t="shared" si="5783"/>
        <v>0</v>
      </c>
      <c r="DC1259" s="11">
        <f t="shared" si="5783"/>
        <v>0</v>
      </c>
      <c r="DD1259" s="11">
        <f t="shared" si="5783"/>
        <v>0</v>
      </c>
      <c r="DE1259" s="25">
        <f>SUM(DE1255:DE1258)</f>
        <v>0</v>
      </c>
    </row>
    <row r="1260" spans="2:110" ht="10.4" customHeight="1" thickBot="1"/>
    <row r="1261" spans="2:110">
      <c r="C1261" s="553">
        <v>2025</v>
      </c>
      <c r="E1261" s="13" t="s">
        <v>59</v>
      </c>
      <c r="F1261" s="21">
        <f>CE1255</f>
        <v>0</v>
      </c>
      <c r="G1261" s="22">
        <f t="shared" ref="G1261:G1264" si="5784">CF1255</f>
        <v>0</v>
      </c>
      <c r="H1261" s="22">
        <f t="shared" ref="H1261:H1264" si="5785">CG1255</f>
        <v>0</v>
      </c>
      <c r="I1261" s="22">
        <f t="shared" ref="I1261:I1264" si="5786">CH1255</f>
        <v>0</v>
      </c>
      <c r="J1261" s="22">
        <f t="shared" ref="J1261:J1264" si="5787">CI1255</f>
        <v>0</v>
      </c>
      <c r="K1261" s="15">
        <f>SUM(F1261:J1261)</f>
        <v>0</v>
      </c>
      <c r="M1261" s="2"/>
      <c r="N1261" s="3"/>
      <c r="O1261" s="3"/>
      <c r="P1261" s="3"/>
      <c r="Q1261" s="3"/>
      <c r="R1261" s="15">
        <f>SUM(M1261:Q1261)</f>
        <v>0</v>
      </c>
      <c r="T1261" s="2"/>
      <c r="U1261" s="3"/>
      <c r="V1261" s="3"/>
      <c r="W1261" s="3"/>
      <c r="X1261" s="3"/>
      <c r="Y1261" s="15">
        <f>SUM(T1261:X1261)</f>
        <v>0</v>
      </c>
      <c r="AA1261" s="2"/>
      <c r="AB1261" s="3"/>
      <c r="AC1261" s="3"/>
      <c r="AD1261" s="3"/>
      <c r="AE1261" s="3"/>
      <c r="AF1261" s="15">
        <f>SUM(AA1261:AE1261)</f>
        <v>0</v>
      </c>
      <c r="AH1261" s="2"/>
      <c r="AI1261" s="3"/>
      <c r="AJ1261" s="3"/>
      <c r="AK1261" s="3"/>
      <c r="AL1261" s="3"/>
      <c r="AM1261" s="15">
        <f>SUM(AH1261:AL1261)</f>
        <v>0</v>
      </c>
      <c r="AO1261" s="2"/>
      <c r="AP1261" s="3"/>
      <c r="AQ1261" s="3"/>
      <c r="AR1261" s="3"/>
      <c r="AS1261" s="3"/>
      <c r="AT1261" s="15">
        <f>SUM(AO1261:AS1261)</f>
        <v>0</v>
      </c>
      <c r="AV1261" s="2"/>
      <c r="AW1261" s="3"/>
      <c r="AX1261" s="3"/>
      <c r="AY1261" s="3"/>
      <c r="AZ1261" s="3"/>
      <c r="BA1261" s="15">
        <f>SUM(AV1261:AZ1261)</f>
        <v>0</v>
      </c>
      <c r="BC1261" s="2"/>
      <c r="BD1261" s="3"/>
      <c r="BE1261" s="3"/>
      <c r="BF1261" s="3"/>
      <c r="BG1261" s="3"/>
      <c r="BH1261" s="15">
        <f>SUM(BC1261:BG1261)</f>
        <v>0</v>
      </c>
      <c r="BJ1261" s="2"/>
      <c r="BK1261" s="3"/>
      <c r="BL1261" s="3"/>
      <c r="BM1261" s="3"/>
      <c r="BN1261" s="3"/>
      <c r="BO1261" s="15">
        <f>SUM(BJ1261:BN1261)</f>
        <v>0</v>
      </c>
      <c r="BQ1261" s="2"/>
      <c r="BR1261" s="3"/>
      <c r="BS1261" s="3"/>
      <c r="BT1261" s="3"/>
      <c r="BU1261" s="3"/>
      <c r="BV1261" s="15">
        <f>SUM(BQ1261:BU1261)</f>
        <v>0</v>
      </c>
      <c r="BX1261" s="2"/>
      <c r="BY1261" s="3"/>
      <c r="BZ1261" s="3"/>
      <c r="CA1261" s="3"/>
      <c r="CB1261" s="3"/>
      <c r="CC1261" s="15">
        <f>SUM(BX1261:CB1261)</f>
        <v>0</v>
      </c>
      <c r="CE1261" s="26">
        <f t="shared" ref="CE1261:CE1264" si="5788">F1261+M1261+T1261+AA1261+AH1261+AO1261+AV1261+BC1261+BJ1261+BQ1261+BX1261</f>
        <v>0</v>
      </c>
      <c r="CF1261" s="27">
        <f t="shared" ref="CF1261:CF1264" si="5789">G1261+N1261+U1261+AB1261+AI1261+AP1261+AW1261+BD1261+BK1261+BR1261+BY1261</f>
        <v>0</v>
      </c>
      <c r="CG1261" s="27">
        <f t="shared" ref="CG1261:CG1264" si="5790">H1261+O1261+V1261+AC1261+AJ1261+AQ1261+AX1261+BE1261+BL1261+BS1261+BZ1261</f>
        <v>0</v>
      </c>
      <c r="CH1261" s="27">
        <f t="shared" ref="CH1261:CH1264" si="5791">I1261+P1261+W1261+AD1261+AK1261+AR1261+AY1261+BF1261+BM1261+BT1261+CA1261</f>
        <v>0</v>
      </c>
      <c r="CI1261" s="27">
        <f t="shared" ref="CI1261:CI1264" si="5792">J1261+Q1261+X1261+AE1261+AL1261+AS1261+AZ1261+BG1261+BN1261+BU1261+CB1261</f>
        <v>0</v>
      </c>
      <c r="CJ1261" s="4">
        <f>SUM(CE1261:CI1261)</f>
        <v>0</v>
      </c>
      <c r="CL1261" s="2"/>
      <c r="CM1261" s="3"/>
      <c r="CN1261" s="3"/>
      <c r="CO1261" s="3"/>
      <c r="CP1261" s="3"/>
      <c r="CQ1261" s="15">
        <f>SUM(CL1261:CP1261)</f>
        <v>0</v>
      </c>
      <c r="CS1261" s="2"/>
      <c r="CT1261" s="3"/>
      <c r="CU1261" s="3"/>
      <c r="CV1261" s="3"/>
      <c r="CW1261" s="3"/>
      <c r="CX1261" s="4">
        <f>SUM(CS1261:CW1261)</f>
        <v>0</v>
      </c>
      <c r="CZ1261" s="2"/>
      <c r="DA1261" s="3"/>
      <c r="DB1261" s="3"/>
      <c r="DC1261" s="3"/>
      <c r="DD1261" s="3"/>
      <c r="DE1261" s="15">
        <f>SUM(CZ1261:DD1261)</f>
        <v>0</v>
      </c>
    </row>
    <row r="1262" spans="2:110">
      <c r="C1262" s="567"/>
      <c r="E1262" s="14" t="s">
        <v>60</v>
      </c>
      <c r="F1262" s="23">
        <f t="shared" ref="F1262:F1264" si="5793">CE1256</f>
        <v>0</v>
      </c>
      <c r="G1262" s="24">
        <f t="shared" si="5784"/>
        <v>0</v>
      </c>
      <c r="H1262" s="24">
        <f t="shared" si="5785"/>
        <v>0</v>
      </c>
      <c r="I1262" s="24">
        <f t="shared" si="5786"/>
        <v>0</v>
      </c>
      <c r="J1262" s="24">
        <f t="shared" si="5787"/>
        <v>0</v>
      </c>
      <c r="K1262" s="16">
        <f t="shared" ref="K1262:K1264" si="5794">SUM(F1262:J1262)</f>
        <v>0</v>
      </c>
      <c r="M1262" s="6"/>
      <c r="N1262" s="7"/>
      <c r="O1262" s="7"/>
      <c r="P1262" s="7"/>
      <c r="Q1262" s="7"/>
      <c r="R1262" s="16">
        <f t="shared" ref="R1262:R1264" si="5795">SUM(M1262:Q1262)</f>
        <v>0</v>
      </c>
      <c r="T1262" s="6"/>
      <c r="U1262" s="7"/>
      <c r="V1262" s="7"/>
      <c r="W1262" s="7"/>
      <c r="X1262" s="7"/>
      <c r="Y1262" s="16">
        <f t="shared" ref="Y1262:Y1264" si="5796">SUM(T1262:X1262)</f>
        <v>0</v>
      </c>
      <c r="AA1262" s="6"/>
      <c r="AB1262" s="7"/>
      <c r="AC1262" s="7"/>
      <c r="AD1262" s="7"/>
      <c r="AE1262" s="7"/>
      <c r="AF1262" s="16">
        <f t="shared" ref="AF1262:AF1264" si="5797">SUM(AA1262:AE1262)</f>
        <v>0</v>
      </c>
      <c r="AH1262" s="6"/>
      <c r="AI1262" s="7"/>
      <c r="AJ1262" s="7"/>
      <c r="AK1262" s="7"/>
      <c r="AL1262" s="7"/>
      <c r="AM1262" s="16">
        <f t="shared" ref="AM1262:AM1264" si="5798">SUM(AH1262:AL1262)</f>
        <v>0</v>
      </c>
      <c r="AO1262" s="6"/>
      <c r="AP1262" s="7"/>
      <c r="AQ1262" s="7"/>
      <c r="AR1262" s="7"/>
      <c r="AS1262" s="7"/>
      <c r="AT1262" s="16">
        <f t="shared" ref="AT1262:AT1264" si="5799">SUM(AO1262:AS1262)</f>
        <v>0</v>
      </c>
      <c r="AV1262" s="6"/>
      <c r="AW1262" s="7"/>
      <c r="AX1262" s="7"/>
      <c r="AY1262" s="7"/>
      <c r="AZ1262" s="7"/>
      <c r="BA1262" s="16">
        <f t="shared" ref="BA1262:BA1264" si="5800">SUM(AV1262:AZ1262)</f>
        <v>0</v>
      </c>
      <c r="BC1262" s="6"/>
      <c r="BD1262" s="7"/>
      <c r="BE1262" s="7"/>
      <c r="BF1262" s="7"/>
      <c r="BG1262" s="7"/>
      <c r="BH1262" s="16">
        <f t="shared" ref="BH1262:BH1264" si="5801">SUM(BC1262:BG1262)</f>
        <v>0</v>
      </c>
      <c r="BJ1262" s="6"/>
      <c r="BK1262" s="7"/>
      <c r="BL1262" s="7"/>
      <c r="BM1262" s="7"/>
      <c r="BN1262" s="7"/>
      <c r="BO1262" s="16">
        <f t="shared" ref="BO1262:BO1264" si="5802">SUM(BJ1262:BN1262)</f>
        <v>0</v>
      </c>
      <c r="BQ1262" s="6"/>
      <c r="BR1262" s="7"/>
      <c r="BS1262" s="7"/>
      <c r="BT1262" s="7"/>
      <c r="BU1262" s="7"/>
      <c r="BV1262" s="16">
        <f t="shared" ref="BV1262:BV1264" si="5803">SUM(BQ1262:BU1262)</f>
        <v>0</v>
      </c>
      <c r="BX1262" s="6"/>
      <c r="BY1262" s="7"/>
      <c r="BZ1262" s="7"/>
      <c r="CA1262" s="7"/>
      <c r="CB1262" s="7"/>
      <c r="CC1262" s="16">
        <f t="shared" ref="CC1262:CC1264" si="5804">SUM(BX1262:CB1262)</f>
        <v>0</v>
      </c>
      <c r="CE1262" s="28">
        <f t="shared" si="5788"/>
        <v>0</v>
      </c>
      <c r="CF1262" s="29">
        <f t="shared" si="5789"/>
        <v>0</v>
      </c>
      <c r="CG1262" s="29">
        <f t="shared" si="5790"/>
        <v>0</v>
      </c>
      <c r="CH1262" s="29">
        <f t="shared" si="5791"/>
        <v>0</v>
      </c>
      <c r="CI1262" s="29">
        <f t="shared" si="5792"/>
        <v>0</v>
      </c>
      <c r="CJ1262" s="8">
        <f>SUM(CE1262:CI1262)</f>
        <v>0</v>
      </c>
      <c r="CL1262" s="6"/>
      <c r="CM1262" s="7"/>
      <c r="CN1262" s="7"/>
      <c r="CO1262" s="7"/>
      <c r="CP1262" s="7"/>
      <c r="CQ1262" s="16">
        <f t="shared" ref="CQ1262:CQ1264" si="5805">SUM(CL1262:CP1262)</f>
        <v>0</v>
      </c>
      <c r="CS1262" s="6"/>
      <c r="CT1262" s="7"/>
      <c r="CU1262" s="7"/>
      <c r="CV1262" s="7"/>
      <c r="CW1262" s="7"/>
      <c r="CX1262" s="8">
        <f t="shared" ref="CX1262:CX1264" si="5806">SUM(CS1262:CW1262)</f>
        <v>0</v>
      </c>
      <c r="CZ1262" s="6"/>
      <c r="DA1262" s="7"/>
      <c r="DB1262" s="7"/>
      <c r="DC1262" s="7"/>
      <c r="DD1262" s="7"/>
      <c r="DE1262" s="16">
        <f t="shared" ref="DE1262:DE1264" si="5807">SUM(CZ1262:DD1262)</f>
        <v>0</v>
      </c>
    </row>
    <row r="1263" spans="2:110">
      <c r="C1263" s="567"/>
      <c r="E1263" s="14" t="s">
        <v>61</v>
      </c>
      <c r="F1263" s="23">
        <f t="shared" si="5793"/>
        <v>0</v>
      </c>
      <c r="G1263" s="24">
        <f t="shared" si="5784"/>
        <v>0</v>
      </c>
      <c r="H1263" s="24">
        <f t="shared" si="5785"/>
        <v>0</v>
      </c>
      <c r="I1263" s="24">
        <f t="shared" si="5786"/>
        <v>0</v>
      </c>
      <c r="J1263" s="24">
        <f t="shared" si="5787"/>
        <v>0</v>
      </c>
      <c r="K1263" s="16">
        <f t="shared" si="5794"/>
        <v>0</v>
      </c>
      <c r="M1263" s="6"/>
      <c r="N1263" s="7"/>
      <c r="O1263" s="7"/>
      <c r="P1263" s="7"/>
      <c r="Q1263" s="7"/>
      <c r="R1263" s="16">
        <f t="shared" si="5795"/>
        <v>0</v>
      </c>
      <c r="T1263" s="6"/>
      <c r="U1263" s="7"/>
      <c r="V1263" s="7"/>
      <c r="W1263" s="7"/>
      <c r="X1263" s="7"/>
      <c r="Y1263" s="16">
        <f t="shared" si="5796"/>
        <v>0</v>
      </c>
      <c r="AA1263" s="6"/>
      <c r="AB1263" s="7"/>
      <c r="AC1263" s="7"/>
      <c r="AD1263" s="7"/>
      <c r="AE1263" s="7"/>
      <c r="AF1263" s="16">
        <f t="shared" si="5797"/>
        <v>0</v>
      </c>
      <c r="AH1263" s="6"/>
      <c r="AI1263" s="7"/>
      <c r="AJ1263" s="7"/>
      <c r="AK1263" s="7"/>
      <c r="AL1263" s="7"/>
      <c r="AM1263" s="16">
        <f t="shared" si="5798"/>
        <v>0</v>
      </c>
      <c r="AO1263" s="6"/>
      <c r="AP1263" s="7"/>
      <c r="AQ1263" s="7"/>
      <c r="AR1263" s="7"/>
      <c r="AS1263" s="7"/>
      <c r="AT1263" s="16">
        <f t="shared" si="5799"/>
        <v>0</v>
      </c>
      <c r="AV1263" s="6"/>
      <c r="AW1263" s="7"/>
      <c r="AX1263" s="7"/>
      <c r="AY1263" s="7"/>
      <c r="AZ1263" s="7"/>
      <c r="BA1263" s="16">
        <f t="shared" si="5800"/>
        <v>0</v>
      </c>
      <c r="BC1263" s="6"/>
      <c r="BD1263" s="7"/>
      <c r="BE1263" s="7"/>
      <c r="BF1263" s="7"/>
      <c r="BG1263" s="7"/>
      <c r="BH1263" s="16">
        <f t="shared" si="5801"/>
        <v>0</v>
      </c>
      <c r="BJ1263" s="6"/>
      <c r="BK1263" s="7"/>
      <c r="BL1263" s="7"/>
      <c r="BM1263" s="7"/>
      <c r="BN1263" s="7"/>
      <c r="BO1263" s="16">
        <f t="shared" si="5802"/>
        <v>0</v>
      </c>
      <c r="BQ1263" s="6"/>
      <c r="BR1263" s="7"/>
      <c r="BS1263" s="7"/>
      <c r="BT1263" s="7"/>
      <c r="BU1263" s="7"/>
      <c r="BV1263" s="16">
        <f t="shared" si="5803"/>
        <v>0</v>
      </c>
      <c r="BX1263" s="6"/>
      <c r="BY1263" s="7"/>
      <c r="BZ1263" s="7"/>
      <c r="CA1263" s="7"/>
      <c r="CB1263" s="7"/>
      <c r="CC1263" s="16">
        <f t="shared" si="5804"/>
        <v>0</v>
      </c>
      <c r="CE1263" s="28">
        <f t="shared" si="5788"/>
        <v>0</v>
      </c>
      <c r="CF1263" s="29">
        <f t="shared" si="5789"/>
        <v>0</v>
      </c>
      <c r="CG1263" s="29">
        <f t="shared" si="5790"/>
        <v>0</v>
      </c>
      <c r="CH1263" s="29">
        <f t="shared" si="5791"/>
        <v>0</v>
      </c>
      <c r="CI1263" s="29">
        <f t="shared" si="5792"/>
        <v>0</v>
      </c>
      <c r="CJ1263" s="8">
        <f>SUM(CE1263:CI1263)</f>
        <v>0</v>
      </c>
      <c r="CL1263" s="6"/>
      <c r="CM1263" s="7"/>
      <c r="CN1263" s="7"/>
      <c r="CO1263" s="7"/>
      <c r="CP1263" s="7"/>
      <c r="CQ1263" s="16">
        <f t="shared" si="5805"/>
        <v>0</v>
      </c>
      <c r="CS1263" s="6"/>
      <c r="CT1263" s="7"/>
      <c r="CU1263" s="7"/>
      <c r="CV1263" s="7"/>
      <c r="CW1263" s="7"/>
      <c r="CX1263" s="8">
        <f t="shared" si="5806"/>
        <v>0</v>
      </c>
      <c r="CZ1263" s="6"/>
      <c r="DA1263" s="7"/>
      <c r="DB1263" s="7"/>
      <c r="DC1263" s="7"/>
      <c r="DD1263" s="7"/>
      <c r="DE1263" s="16">
        <f t="shared" si="5807"/>
        <v>0</v>
      </c>
    </row>
    <row r="1264" spans="2:110" ht="14" thickBot="1">
      <c r="C1264" s="567"/>
      <c r="E1264" s="14" t="s">
        <v>62</v>
      </c>
      <c r="F1264" s="23">
        <f t="shared" si="5793"/>
        <v>0</v>
      </c>
      <c r="G1264" s="24">
        <f t="shared" si="5784"/>
        <v>0</v>
      </c>
      <c r="H1264" s="24">
        <f t="shared" si="5785"/>
        <v>0</v>
      </c>
      <c r="I1264" s="24">
        <f t="shared" si="5786"/>
        <v>0</v>
      </c>
      <c r="J1264" s="24">
        <f t="shared" si="5787"/>
        <v>0</v>
      </c>
      <c r="K1264" s="16">
        <f t="shared" si="5794"/>
        <v>0</v>
      </c>
      <c r="M1264" s="6"/>
      <c r="N1264" s="7"/>
      <c r="O1264" s="7"/>
      <c r="P1264" s="7"/>
      <c r="Q1264" s="7"/>
      <c r="R1264" s="16">
        <f t="shared" si="5795"/>
        <v>0</v>
      </c>
      <c r="T1264" s="6"/>
      <c r="U1264" s="7"/>
      <c r="V1264" s="7"/>
      <c r="W1264" s="7"/>
      <c r="X1264" s="7"/>
      <c r="Y1264" s="16">
        <f t="shared" si="5796"/>
        <v>0</v>
      </c>
      <c r="AA1264" s="6"/>
      <c r="AB1264" s="7"/>
      <c r="AC1264" s="7"/>
      <c r="AD1264" s="7"/>
      <c r="AE1264" s="7"/>
      <c r="AF1264" s="16">
        <f t="shared" si="5797"/>
        <v>0</v>
      </c>
      <c r="AH1264" s="6"/>
      <c r="AI1264" s="7"/>
      <c r="AJ1264" s="7"/>
      <c r="AK1264" s="7"/>
      <c r="AL1264" s="7"/>
      <c r="AM1264" s="16">
        <f t="shared" si="5798"/>
        <v>0</v>
      </c>
      <c r="AO1264" s="6"/>
      <c r="AP1264" s="7"/>
      <c r="AQ1264" s="7"/>
      <c r="AR1264" s="7"/>
      <c r="AS1264" s="7"/>
      <c r="AT1264" s="16">
        <f t="shared" si="5799"/>
        <v>0</v>
      </c>
      <c r="AV1264" s="6"/>
      <c r="AW1264" s="7"/>
      <c r="AX1264" s="7"/>
      <c r="AY1264" s="7"/>
      <c r="AZ1264" s="7"/>
      <c r="BA1264" s="16">
        <f t="shared" si="5800"/>
        <v>0</v>
      </c>
      <c r="BC1264" s="6"/>
      <c r="BD1264" s="7"/>
      <c r="BE1264" s="7"/>
      <c r="BF1264" s="7"/>
      <c r="BG1264" s="7"/>
      <c r="BH1264" s="16">
        <f t="shared" si="5801"/>
        <v>0</v>
      </c>
      <c r="BJ1264" s="6"/>
      <c r="BK1264" s="7"/>
      <c r="BL1264" s="7"/>
      <c r="BM1264" s="7"/>
      <c r="BN1264" s="7"/>
      <c r="BO1264" s="16">
        <f t="shared" si="5802"/>
        <v>0</v>
      </c>
      <c r="BQ1264" s="6"/>
      <c r="BR1264" s="7"/>
      <c r="BS1264" s="7"/>
      <c r="BT1264" s="7"/>
      <c r="BU1264" s="7"/>
      <c r="BV1264" s="16">
        <f t="shared" si="5803"/>
        <v>0</v>
      </c>
      <c r="BX1264" s="6"/>
      <c r="BY1264" s="7"/>
      <c r="BZ1264" s="7"/>
      <c r="CA1264" s="7"/>
      <c r="CB1264" s="7"/>
      <c r="CC1264" s="16">
        <f t="shared" si="5804"/>
        <v>0</v>
      </c>
      <c r="CE1264" s="493">
        <f t="shared" si="5788"/>
        <v>0</v>
      </c>
      <c r="CF1264" s="494">
        <f t="shared" si="5789"/>
        <v>0</v>
      </c>
      <c r="CG1264" s="494">
        <f t="shared" si="5790"/>
        <v>0</v>
      </c>
      <c r="CH1264" s="494">
        <f t="shared" si="5791"/>
        <v>0</v>
      </c>
      <c r="CI1264" s="494">
        <f t="shared" si="5792"/>
        <v>0</v>
      </c>
      <c r="CJ1264" s="495">
        <f>SUM(CE1264:CI1264)</f>
        <v>0</v>
      </c>
      <c r="CL1264" s="6"/>
      <c r="CM1264" s="7"/>
      <c r="CN1264" s="7"/>
      <c r="CO1264" s="7"/>
      <c r="CP1264" s="7"/>
      <c r="CQ1264" s="16">
        <f t="shared" si="5805"/>
        <v>0</v>
      </c>
      <c r="CS1264" s="6"/>
      <c r="CT1264" s="7"/>
      <c r="CU1264" s="7"/>
      <c r="CV1264" s="7"/>
      <c r="CW1264" s="7"/>
      <c r="CX1264" s="8">
        <f t="shared" si="5806"/>
        <v>0</v>
      </c>
      <c r="CZ1264" s="6"/>
      <c r="DA1264" s="7"/>
      <c r="DB1264" s="7"/>
      <c r="DC1264" s="7"/>
      <c r="DD1264" s="7"/>
      <c r="DE1264" s="16">
        <f t="shared" si="5807"/>
        <v>0</v>
      </c>
    </row>
    <row r="1265" spans="3:109" ht="14" thickBot="1">
      <c r="C1265" s="554"/>
      <c r="E1265" s="17"/>
      <c r="F1265" s="10">
        <f>SUM(F1261:F1264)</f>
        <v>0</v>
      </c>
      <c r="G1265" s="11">
        <f t="shared" ref="G1265:J1265" si="5808">SUM(G1261:G1264)</f>
        <v>0</v>
      </c>
      <c r="H1265" s="11">
        <f t="shared" si="5808"/>
        <v>0</v>
      </c>
      <c r="I1265" s="11">
        <f t="shared" si="5808"/>
        <v>0</v>
      </c>
      <c r="J1265" s="11">
        <f t="shared" si="5808"/>
        <v>0</v>
      </c>
      <c r="K1265" s="25">
        <f>SUM(K1261:K1264)</f>
        <v>0</v>
      </c>
      <c r="M1265" s="10">
        <f>SUM(M1261:M1264)</f>
        <v>0</v>
      </c>
      <c r="N1265" s="11">
        <f t="shared" ref="N1265:Q1265" si="5809">SUM(N1261:N1264)</f>
        <v>0</v>
      </c>
      <c r="O1265" s="11">
        <f t="shared" si="5809"/>
        <v>0</v>
      </c>
      <c r="P1265" s="11">
        <f t="shared" si="5809"/>
        <v>0</v>
      </c>
      <c r="Q1265" s="11">
        <f t="shared" si="5809"/>
        <v>0</v>
      </c>
      <c r="R1265" s="25">
        <f>SUM(R1261:R1264)</f>
        <v>0</v>
      </c>
      <c r="T1265" s="10">
        <f>SUM(T1261:T1264)</f>
        <v>0</v>
      </c>
      <c r="U1265" s="11">
        <f t="shared" ref="U1265:X1265" si="5810">SUM(U1261:U1264)</f>
        <v>0</v>
      </c>
      <c r="V1265" s="11">
        <f t="shared" si="5810"/>
        <v>0</v>
      </c>
      <c r="W1265" s="11">
        <f t="shared" si="5810"/>
        <v>0</v>
      </c>
      <c r="X1265" s="11">
        <f t="shared" si="5810"/>
        <v>0</v>
      </c>
      <c r="Y1265" s="25">
        <f>SUM(Y1261:Y1264)</f>
        <v>0</v>
      </c>
      <c r="AA1265" s="10">
        <f>SUM(AA1261:AA1264)</f>
        <v>0</v>
      </c>
      <c r="AB1265" s="11">
        <f t="shared" ref="AB1265:AE1265" si="5811">SUM(AB1261:AB1264)</f>
        <v>0</v>
      </c>
      <c r="AC1265" s="11">
        <f t="shared" si="5811"/>
        <v>0</v>
      </c>
      <c r="AD1265" s="11">
        <f t="shared" si="5811"/>
        <v>0</v>
      </c>
      <c r="AE1265" s="11">
        <f t="shared" si="5811"/>
        <v>0</v>
      </c>
      <c r="AF1265" s="25">
        <f>SUM(AF1261:AF1264)</f>
        <v>0</v>
      </c>
      <c r="AH1265" s="10">
        <f>SUM(AH1261:AH1264)</f>
        <v>0</v>
      </c>
      <c r="AI1265" s="11">
        <f t="shared" ref="AI1265:AL1265" si="5812">SUM(AI1261:AI1264)</f>
        <v>0</v>
      </c>
      <c r="AJ1265" s="11">
        <f t="shared" si="5812"/>
        <v>0</v>
      </c>
      <c r="AK1265" s="11">
        <f t="shared" si="5812"/>
        <v>0</v>
      </c>
      <c r="AL1265" s="11">
        <f t="shared" si="5812"/>
        <v>0</v>
      </c>
      <c r="AM1265" s="25">
        <f>SUM(AM1261:AM1264)</f>
        <v>0</v>
      </c>
      <c r="AO1265" s="10">
        <f>SUM(AO1261:AO1264)</f>
        <v>0</v>
      </c>
      <c r="AP1265" s="11">
        <f t="shared" ref="AP1265:AS1265" si="5813">SUM(AP1261:AP1264)</f>
        <v>0</v>
      </c>
      <c r="AQ1265" s="11">
        <f t="shared" si="5813"/>
        <v>0</v>
      </c>
      <c r="AR1265" s="11">
        <f t="shared" si="5813"/>
        <v>0</v>
      </c>
      <c r="AS1265" s="11">
        <f t="shared" si="5813"/>
        <v>0</v>
      </c>
      <c r="AT1265" s="25">
        <f>SUM(AT1261:AT1264)</f>
        <v>0</v>
      </c>
      <c r="AV1265" s="10">
        <f>SUM(AV1261:AV1264)</f>
        <v>0</v>
      </c>
      <c r="AW1265" s="11">
        <f t="shared" ref="AW1265:AZ1265" si="5814">SUM(AW1261:AW1264)</f>
        <v>0</v>
      </c>
      <c r="AX1265" s="11">
        <f t="shared" si="5814"/>
        <v>0</v>
      </c>
      <c r="AY1265" s="11">
        <f t="shared" si="5814"/>
        <v>0</v>
      </c>
      <c r="AZ1265" s="11">
        <f t="shared" si="5814"/>
        <v>0</v>
      </c>
      <c r="BA1265" s="25">
        <f>SUM(BA1261:BA1264)</f>
        <v>0</v>
      </c>
      <c r="BC1265" s="10">
        <f>SUM(BC1261:BC1264)</f>
        <v>0</v>
      </c>
      <c r="BD1265" s="11">
        <f t="shared" ref="BD1265:BG1265" si="5815">SUM(BD1261:BD1264)</f>
        <v>0</v>
      </c>
      <c r="BE1265" s="11">
        <f t="shared" si="5815"/>
        <v>0</v>
      </c>
      <c r="BF1265" s="11">
        <f t="shared" si="5815"/>
        <v>0</v>
      </c>
      <c r="BG1265" s="11">
        <f t="shared" si="5815"/>
        <v>0</v>
      </c>
      <c r="BH1265" s="25">
        <f>SUM(BH1261:BH1264)</f>
        <v>0</v>
      </c>
      <c r="BJ1265" s="10">
        <f>SUM(BJ1261:BJ1264)</f>
        <v>0</v>
      </c>
      <c r="BK1265" s="11">
        <f t="shared" ref="BK1265:BN1265" si="5816">SUM(BK1261:BK1264)</f>
        <v>0</v>
      </c>
      <c r="BL1265" s="11">
        <f t="shared" si="5816"/>
        <v>0</v>
      </c>
      <c r="BM1265" s="11">
        <f t="shared" si="5816"/>
        <v>0</v>
      </c>
      <c r="BN1265" s="11">
        <f t="shared" si="5816"/>
        <v>0</v>
      </c>
      <c r="BO1265" s="25">
        <f>SUM(BO1261:BO1264)</f>
        <v>0</v>
      </c>
      <c r="BQ1265" s="10">
        <f>SUM(BQ1261:BQ1264)</f>
        <v>0</v>
      </c>
      <c r="BR1265" s="11">
        <f t="shared" ref="BR1265:BU1265" si="5817">SUM(BR1261:BR1264)</f>
        <v>0</v>
      </c>
      <c r="BS1265" s="11">
        <f t="shared" si="5817"/>
        <v>0</v>
      </c>
      <c r="BT1265" s="11">
        <f t="shared" si="5817"/>
        <v>0</v>
      </c>
      <c r="BU1265" s="11">
        <f t="shared" si="5817"/>
        <v>0</v>
      </c>
      <c r="BV1265" s="25">
        <f>SUM(BV1261:BV1264)</f>
        <v>0</v>
      </c>
      <c r="BX1265" s="10">
        <f>SUM(BX1261:BX1264)</f>
        <v>0</v>
      </c>
      <c r="BY1265" s="11">
        <f t="shared" ref="BY1265:CB1265" si="5818">SUM(BY1261:BY1264)</f>
        <v>0</v>
      </c>
      <c r="BZ1265" s="11">
        <f t="shared" si="5818"/>
        <v>0</v>
      </c>
      <c r="CA1265" s="11">
        <f t="shared" si="5818"/>
        <v>0</v>
      </c>
      <c r="CB1265" s="11">
        <f t="shared" si="5818"/>
        <v>0</v>
      </c>
      <c r="CC1265" s="25">
        <f>SUM(CC1261:CC1264)</f>
        <v>0</v>
      </c>
      <c r="CE1265" s="62">
        <f t="shared" ref="CE1265:CJ1265" si="5819">SUM(CE1261:CE1264)</f>
        <v>0</v>
      </c>
      <c r="CF1265" s="63">
        <f t="shared" si="5819"/>
        <v>0</v>
      </c>
      <c r="CG1265" s="63">
        <f t="shared" si="5819"/>
        <v>0</v>
      </c>
      <c r="CH1265" s="63">
        <f t="shared" si="5819"/>
        <v>0</v>
      </c>
      <c r="CI1265" s="63">
        <f t="shared" si="5819"/>
        <v>0</v>
      </c>
      <c r="CJ1265" s="25">
        <f t="shared" si="5819"/>
        <v>0</v>
      </c>
      <c r="CL1265" s="10">
        <f>SUM(CL1261:CL1264)</f>
        <v>0</v>
      </c>
      <c r="CM1265" s="11">
        <f t="shared" ref="CM1265:CP1265" si="5820">SUM(CM1261:CM1264)</f>
        <v>0</v>
      </c>
      <c r="CN1265" s="11">
        <f t="shared" si="5820"/>
        <v>0</v>
      </c>
      <c r="CO1265" s="11">
        <f t="shared" si="5820"/>
        <v>0</v>
      </c>
      <c r="CP1265" s="11">
        <f t="shared" si="5820"/>
        <v>0</v>
      </c>
      <c r="CQ1265" s="25">
        <f>SUM(CQ1261:CQ1264)</f>
        <v>0</v>
      </c>
      <c r="CS1265" s="10">
        <f>SUM(CS1261:CS1264)</f>
        <v>0</v>
      </c>
      <c r="CT1265" s="11">
        <f t="shared" ref="CT1265:CW1265" si="5821">SUM(CT1261:CT1264)</f>
        <v>0</v>
      </c>
      <c r="CU1265" s="11">
        <f t="shared" si="5821"/>
        <v>0</v>
      </c>
      <c r="CV1265" s="11">
        <f t="shared" si="5821"/>
        <v>0</v>
      </c>
      <c r="CW1265" s="11">
        <f t="shared" si="5821"/>
        <v>0</v>
      </c>
      <c r="CX1265" s="25">
        <f>SUM(CX1261:CX1264)</f>
        <v>0</v>
      </c>
      <c r="CZ1265" s="10">
        <f>SUM(CZ1261:CZ1264)</f>
        <v>0</v>
      </c>
      <c r="DA1265" s="11">
        <f t="shared" ref="DA1265:DD1265" si="5822">SUM(DA1261:DA1264)</f>
        <v>0</v>
      </c>
      <c r="DB1265" s="11">
        <f t="shared" si="5822"/>
        <v>0</v>
      </c>
      <c r="DC1265" s="11">
        <f t="shared" si="5822"/>
        <v>0</v>
      </c>
      <c r="DD1265" s="11">
        <f t="shared" si="5822"/>
        <v>0</v>
      </c>
      <c r="DE1265" s="25">
        <f>SUM(DE1261:DE1264)</f>
        <v>0</v>
      </c>
    </row>
    <row r="1266" spans="3:109" ht="10.4" customHeight="1" thickBot="1"/>
    <row r="1267" spans="3:109">
      <c r="C1267" s="553">
        <v>2026</v>
      </c>
      <c r="E1267" s="1" t="s">
        <v>59</v>
      </c>
      <c r="F1267" s="21">
        <f>CE1261</f>
        <v>0</v>
      </c>
      <c r="G1267" s="22">
        <f t="shared" ref="G1267:G1270" si="5823">CF1261</f>
        <v>0</v>
      </c>
      <c r="H1267" s="22">
        <f t="shared" ref="H1267:H1270" si="5824">CG1261</f>
        <v>0</v>
      </c>
      <c r="I1267" s="22">
        <f t="shared" ref="I1267:I1270" si="5825">CH1261</f>
        <v>0</v>
      </c>
      <c r="J1267" s="22">
        <f t="shared" ref="J1267:J1270" si="5826">CI1261</f>
        <v>0</v>
      </c>
      <c r="K1267" s="4">
        <f>SUM(F1267:J1267)</f>
        <v>0</v>
      </c>
      <c r="M1267" s="2"/>
      <c r="N1267" s="3"/>
      <c r="O1267" s="3"/>
      <c r="P1267" s="3"/>
      <c r="Q1267" s="3"/>
      <c r="R1267" s="4">
        <f>SUM(M1267:Q1267)</f>
        <v>0</v>
      </c>
      <c r="T1267" s="2"/>
      <c r="U1267" s="3"/>
      <c r="V1267" s="3"/>
      <c r="W1267" s="3"/>
      <c r="X1267" s="3"/>
      <c r="Y1267" s="4">
        <f>SUM(T1267:X1267)</f>
        <v>0</v>
      </c>
      <c r="AA1267" s="2"/>
      <c r="AB1267" s="3"/>
      <c r="AC1267" s="3"/>
      <c r="AD1267" s="3"/>
      <c r="AE1267" s="3"/>
      <c r="AF1267" s="4">
        <f>SUM(AA1267:AE1267)</f>
        <v>0</v>
      </c>
      <c r="AH1267" s="2"/>
      <c r="AI1267" s="3"/>
      <c r="AJ1267" s="3"/>
      <c r="AK1267" s="3"/>
      <c r="AL1267" s="3"/>
      <c r="AM1267" s="4">
        <f>SUM(AH1267:AL1267)</f>
        <v>0</v>
      </c>
      <c r="AO1267" s="2"/>
      <c r="AP1267" s="3"/>
      <c r="AQ1267" s="3"/>
      <c r="AR1267" s="3"/>
      <c r="AS1267" s="3"/>
      <c r="AT1267" s="4">
        <f>SUM(AO1267:AS1267)</f>
        <v>0</v>
      </c>
      <c r="AV1267" s="2"/>
      <c r="AW1267" s="3"/>
      <c r="AX1267" s="3"/>
      <c r="AY1267" s="3"/>
      <c r="AZ1267" s="3"/>
      <c r="BA1267" s="4">
        <f>SUM(AV1267:AZ1267)</f>
        <v>0</v>
      </c>
      <c r="BC1267" s="2"/>
      <c r="BD1267" s="3"/>
      <c r="BE1267" s="3"/>
      <c r="BF1267" s="3"/>
      <c r="BG1267" s="3"/>
      <c r="BH1267" s="4">
        <f>SUM(BC1267:BG1267)</f>
        <v>0</v>
      </c>
      <c r="BJ1267" s="2"/>
      <c r="BK1267" s="3"/>
      <c r="BL1267" s="3"/>
      <c r="BM1267" s="3"/>
      <c r="BN1267" s="3"/>
      <c r="BO1267" s="4">
        <f>SUM(BJ1267:BN1267)</f>
        <v>0</v>
      </c>
      <c r="BQ1267" s="2"/>
      <c r="BR1267" s="3"/>
      <c r="BS1267" s="3"/>
      <c r="BT1267" s="3"/>
      <c r="BU1267" s="3"/>
      <c r="BV1267" s="4">
        <f>SUM(BQ1267:BU1267)</f>
        <v>0</v>
      </c>
      <c r="BX1267" s="2"/>
      <c r="BY1267" s="3"/>
      <c r="BZ1267" s="3"/>
      <c r="CA1267" s="3"/>
      <c r="CB1267" s="3"/>
      <c r="CC1267" s="4">
        <f>SUM(BX1267:CB1267)</f>
        <v>0</v>
      </c>
      <c r="CE1267" s="26">
        <f t="shared" ref="CE1267:CE1270" si="5827">F1267+M1267+T1267+AA1267+AH1267+AO1267+AV1267+BC1267+BJ1267+BQ1267+BX1267</f>
        <v>0</v>
      </c>
      <c r="CF1267" s="27">
        <f t="shared" ref="CF1267:CF1270" si="5828">G1267+N1267+U1267+AB1267+AI1267+AP1267+AW1267+BD1267+BK1267+BR1267+BY1267</f>
        <v>0</v>
      </c>
      <c r="CG1267" s="27">
        <f t="shared" ref="CG1267:CG1270" si="5829">H1267+O1267+V1267+AC1267+AJ1267+AQ1267+AX1267+BE1267+BL1267+BS1267+BZ1267</f>
        <v>0</v>
      </c>
      <c r="CH1267" s="27">
        <f t="shared" ref="CH1267:CH1270" si="5830">I1267+P1267+W1267+AD1267+AK1267+AR1267+AY1267+BF1267+BM1267+BT1267+CA1267</f>
        <v>0</v>
      </c>
      <c r="CI1267" s="27">
        <f t="shared" ref="CI1267:CI1270" si="5831">J1267+Q1267+X1267+AE1267+AL1267+AS1267+AZ1267+BG1267+BN1267+BU1267+CB1267</f>
        <v>0</v>
      </c>
      <c r="CJ1267" s="4">
        <f>SUM(CE1267:CI1267)</f>
        <v>0</v>
      </c>
      <c r="CL1267" s="2"/>
      <c r="CM1267" s="3"/>
      <c r="CN1267" s="3"/>
      <c r="CO1267" s="3"/>
      <c r="CP1267" s="3"/>
      <c r="CQ1267" s="4">
        <f>SUM(CL1267:CP1267)</f>
        <v>0</v>
      </c>
      <c r="CS1267" s="2"/>
      <c r="CT1267" s="3"/>
      <c r="CU1267" s="3"/>
      <c r="CV1267" s="3"/>
      <c r="CW1267" s="3"/>
      <c r="CX1267" s="4">
        <f>SUM(CS1267:CW1267)</f>
        <v>0</v>
      </c>
      <c r="CZ1267" s="2"/>
      <c r="DA1267" s="3"/>
      <c r="DB1267" s="3"/>
      <c r="DC1267" s="3"/>
      <c r="DD1267" s="3"/>
      <c r="DE1267" s="4">
        <f>SUM(CZ1267:DD1267)</f>
        <v>0</v>
      </c>
    </row>
    <row r="1268" spans="3:109">
      <c r="C1268" s="567"/>
      <c r="E1268" s="5" t="s">
        <v>60</v>
      </c>
      <c r="F1268" s="23">
        <f t="shared" ref="F1268:F1270" si="5832">CE1262</f>
        <v>0</v>
      </c>
      <c r="G1268" s="24">
        <f t="shared" si="5823"/>
        <v>0</v>
      </c>
      <c r="H1268" s="24">
        <f t="shared" si="5824"/>
        <v>0</v>
      </c>
      <c r="I1268" s="24">
        <f t="shared" si="5825"/>
        <v>0</v>
      </c>
      <c r="J1268" s="24">
        <f t="shared" si="5826"/>
        <v>0</v>
      </c>
      <c r="K1268" s="8">
        <f t="shared" ref="K1268:K1270" si="5833">SUM(F1268:J1268)</f>
        <v>0</v>
      </c>
      <c r="M1268" s="6"/>
      <c r="N1268" s="7"/>
      <c r="O1268" s="7"/>
      <c r="P1268" s="7"/>
      <c r="Q1268" s="7"/>
      <c r="R1268" s="8">
        <f t="shared" ref="R1268:R1270" si="5834">SUM(M1268:Q1268)</f>
        <v>0</v>
      </c>
      <c r="T1268" s="6"/>
      <c r="U1268" s="7"/>
      <c r="V1268" s="7"/>
      <c r="W1268" s="7"/>
      <c r="X1268" s="7"/>
      <c r="Y1268" s="8">
        <f t="shared" ref="Y1268:Y1270" si="5835">SUM(T1268:X1268)</f>
        <v>0</v>
      </c>
      <c r="AA1268" s="6"/>
      <c r="AB1268" s="7"/>
      <c r="AC1268" s="7"/>
      <c r="AD1268" s="7"/>
      <c r="AE1268" s="7"/>
      <c r="AF1268" s="8">
        <f t="shared" ref="AF1268:AF1270" si="5836">SUM(AA1268:AE1268)</f>
        <v>0</v>
      </c>
      <c r="AH1268" s="6"/>
      <c r="AI1268" s="7"/>
      <c r="AJ1268" s="7"/>
      <c r="AK1268" s="7"/>
      <c r="AL1268" s="7"/>
      <c r="AM1268" s="8">
        <f t="shared" ref="AM1268:AM1270" si="5837">SUM(AH1268:AL1268)</f>
        <v>0</v>
      </c>
      <c r="AO1268" s="6"/>
      <c r="AP1268" s="7"/>
      <c r="AQ1268" s="7"/>
      <c r="AR1268" s="7"/>
      <c r="AS1268" s="7"/>
      <c r="AT1268" s="8">
        <f t="shared" ref="AT1268:AT1270" si="5838">SUM(AO1268:AS1268)</f>
        <v>0</v>
      </c>
      <c r="AV1268" s="6"/>
      <c r="AW1268" s="7"/>
      <c r="AX1268" s="7"/>
      <c r="AY1268" s="7"/>
      <c r="AZ1268" s="7"/>
      <c r="BA1268" s="8">
        <f t="shared" ref="BA1268:BA1270" si="5839">SUM(AV1268:AZ1268)</f>
        <v>0</v>
      </c>
      <c r="BC1268" s="6"/>
      <c r="BD1268" s="7"/>
      <c r="BE1268" s="7"/>
      <c r="BF1268" s="7"/>
      <c r="BG1268" s="7"/>
      <c r="BH1268" s="8">
        <f t="shared" ref="BH1268:BH1270" si="5840">SUM(BC1268:BG1268)</f>
        <v>0</v>
      </c>
      <c r="BJ1268" s="6"/>
      <c r="BK1268" s="7"/>
      <c r="BL1268" s="7"/>
      <c r="BM1268" s="7"/>
      <c r="BN1268" s="7"/>
      <c r="BO1268" s="8">
        <f t="shared" ref="BO1268:BO1270" si="5841">SUM(BJ1268:BN1268)</f>
        <v>0</v>
      </c>
      <c r="BQ1268" s="6"/>
      <c r="BR1268" s="7"/>
      <c r="BS1268" s="7"/>
      <c r="BT1268" s="7"/>
      <c r="BU1268" s="7"/>
      <c r="BV1268" s="8">
        <f t="shared" ref="BV1268:BV1270" si="5842">SUM(BQ1268:BU1268)</f>
        <v>0</v>
      </c>
      <c r="BX1268" s="6"/>
      <c r="BY1268" s="7"/>
      <c r="BZ1268" s="7"/>
      <c r="CA1268" s="7"/>
      <c r="CB1268" s="7"/>
      <c r="CC1268" s="8">
        <f t="shared" ref="CC1268:CC1270" si="5843">SUM(BX1268:CB1268)</f>
        <v>0</v>
      </c>
      <c r="CE1268" s="28">
        <f t="shared" si="5827"/>
        <v>0</v>
      </c>
      <c r="CF1268" s="29">
        <f t="shared" si="5828"/>
        <v>0</v>
      </c>
      <c r="CG1268" s="29">
        <f t="shared" si="5829"/>
        <v>0</v>
      </c>
      <c r="CH1268" s="29">
        <f t="shared" si="5830"/>
        <v>0</v>
      </c>
      <c r="CI1268" s="29">
        <f t="shared" si="5831"/>
        <v>0</v>
      </c>
      <c r="CJ1268" s="8">
        <f>SUM(CE1268:CI1268)</f>
        <v>0</v>
      </c>
      <c r="CL1268" s="6"/>
      <c r="CM1268" s="7"/>
      <c r="CN1268" s="7"/>
      <c r="CO1268" s="7"/>
      <c r="CP1268" s="7"/>
      <c r="CQ1268" s="8">
        <f t="shared" ref="CQ1268:CQ1270" si="5844">SUM(CL1268:CP1268)</f>
        <v>0</v>
      </c>
      <c r="CS1268" s="6"/>
      <c r="CT1268" s="7"/>
      <c r="CU1268" s="7"/>
      <c r="CV1268" s="7"/>
      <c r="CW1268" s="7"/>
      <c r="CX1268" s="8">
        <f t="shared" ref="CX1268:CX1270" si="5845">SUM(CS1268:CW1268)</f>
        <v>0</v>
      </c>
      <c r="CZ1268" s="6"/>
      <c r="DA1268" s="7"/>
      <c r="DB1268" s="7"/>
      <c r="DC1268" s="7"/>
      <c r="DD1268" s="7"/>
      <c r="DE1268" s="8">
        <f t="shared" ref="DE1268:DE1270" si="5846">SUM(CZ1268:DD1268)</f>
        <v>0</v>
      </c>
    </row>
    <row r="1269" spans="3:109">
      <c r="C1269" s="567"/>
      <c r="E1269" s="5" t="s">
        <v>61</v>
      </c>
      <c r="F1269" s="23">
        <f t="shared" si="5832"/>
        <v>0</v>
      </c>
      <c r="G1269" s="24">
        <f t="shared" si="5823"/>
        <v>0</v>
      </c>
      <c r="H1269" s="24">
        <f t="shared" si="5824"/>
        <v>0</v>
      </c>
      <c r="I1269" s="24">
        <f t="shared" si="5825"/>
        <v>0</v>
      </c>
      <c r="J1269" s="24">
        <f t="shared" si="5826"/>
        <v>0</v>
      </c>
      <c r="K1269" s="8">
        <f t="shared" si="5833"/>
        <v>0</v>
      </c>
      <c r="M1269" s="6"/>
      <c r="N1269" s="7"/>
      <c r="O1269" s="7"/>
      <c r="P1269" s="7"/>
      <c r="Q1269" s="7"/>
      <c r="R1269" s="8">
        <f t="shared" si="5834"/>
        <v>0</v>
      </c>
      <c r="T1269" s="6"/>
      <c r="U1269" s="7"/>
      <c r="V1269" s="7"/>
      <c r="W1269" s="7"/>
      <c r="X1269" s="7"/>
      <c r="Y1269" s="8">
        <f t="shared" si="5835"/>
        <v>0</v>
      </c>
      <c r="AA1269" s="6"/>
      <c r="AB1269" s="7"/>
      <c r="AC1269" s="7"/>
      <c r="AD1269" s="7"/>
      <c r="AE1269" s="7"/>
      <c r="AF1269" s="8">
        <f t="shared" si="5836"/>
        <v>0</v>
      </c>
      <c r="AH1269" s="6"/>
      <c r="AI1269" s="7"/>
      <c r="AJ1269" s="7"/>
      <c r="AK1269" s="7"/>
      <c r="AL1269" s="7"/>
      <c r="AM1269" s="8">
        <f t="shared" si="5837"/>
        <v>0</v>
      </c>
      <c r="AO1269" s="6"/>
      <c r="AP1269" s="7"/>
      <c r="AQ1269" s="7"/>
      <c r="AR1269" s="7"/>
      <c r="AS1269" s="7"/>
      <c r="AT1269" s="8">
        <f t="shared" si="5838"/>
        <v>0</v>
      </c>
      <c r="AV1269" s="6"/>
      <c r="AW1269" s="7"/>
      <c r="AX1269" s="7"/>
      <c r="AY1269" s="7"/>
      <c r="AZ1269" s="7"/>
      <c r="BA1269" s="8">
        <f t="shared" si="5839"/>
        <v>0</v>
      </c>
      <c r="BC1269" s="6"/>
      <c r="BD1269" s="7"/>
      <c r="BE1269" s="7"/>
      <c r="BF1269" s="7"/>
      <c r="BG1269" s="7"/>
      <c r="BH1269" s="8">
        <f t="shared" si="5840"/>
        <v>0</v>
      </c>
      <c r="BJ1269" s="6"/>
      <c r="BK1269" s="7"/>
      <c r="BL1269" s="7"/>
      <c r="BM1269" s="7"/>
      <c r="BN1269" s="7"/>
      <c r="BO1269" s="8">
        <f t="shared" si="5841"/>
        <v>0</v>
      </c>
      <c r="BQ1269" s="6"/>
      <c r="BR1269" s="7"/>
      <c r="BS1269" s="7"/>
      <c r="BT1269" s="7"/>
      <c r="BU1269" s="7"/>
      <c r="BV1269" s="8">
        <f t="shared" si="5842"/>
        <v>0</v>
      </c>
      <c r="BX1269" s="6"/>
      <c r="BY1269" s="7"/>
      <c r="BZ1269" s="7"/>
      <c r="CA1269" s="7"/>
      <c r="CB1269" s="7"/>
      <c r="CC1269" s="8">
        <f t="shared" si="5843"/>
        <v>0</v>
      </c>
      <c r="CE1269" s="28">
        <f t="shared" si="5827"/>
        <v>0</v>
      </c>
      <c r="CF1269" s="29">
        <f t="shared" si="5828"/>
        <v>0</v>
      </c>
      <c r="CG1269" s="29">
        <f t="shared" si="5829"/>
        <v>0</v>
      </c>
      <c r="CH1269" s="29">
        <f t="shared" si="5830"/>
        <v>0</v>
      </c>
      <c r="CI1269" s="29">
        <f t="shared" si="5831"/>
        <v>0</v>
      </c>
      <c r="CJ1269" s="8">
        <f>SUM(CE1269:CI1269)</f>
        <v>0</v>
      </c>
      <c r="CL1269" s="6"/>
      <c r="CM1269" s="7"/>
      <c r="CN1269" s="7"/>
      <c r="CO1269" s="7"/>
      <c r="CP1269" s="7"/>
      <c r="CQ1269" s="8">
        <f t="shared" si="5844"/>
        <v>0</v>
      </c>
      <c r="CS1269" s="6"/>
      <c r="CT1269" s="7"/>
      <c r="CU1269" s="7"/>
      <c r="CV1269" s="7"/>
      <c r="CW1269" s="7"/>
      <c r="CX1269" s="8">
        <f t="shared" si="5845"/>
        <v>0</v>
      </c>
      <c r="CZ1269" s="6"/>
      <c r="DA1269" s="7"/>
      <c r="DB1269" s="7"/>
      <c r="DC1269" s="7"/>
      <c r="DD1269" s="7"/>
      <c r="DE1269" s="8">
        <f t="shared" si="5846"/>
        <v>0</v>
      </c>
    </row>
    <row r="1270" spans="3:109" ht="14" thickBot="1">
      <c r="C1270" s="567"/>
      <c r="E1270" s="5" t="s">
        <v>62</v>
      </c>
      <c r="F1270" s="23">
        <f t="shared" si="5832"/>
        <v>0</v>
      </c>
      <c r="G1270" s="24">
        <f t="shared" si="5823"/>
        <v>0</v>
      </c>
      <c r="H1270" s="24">
        <f t="shared" si="5824"/>
        <v>0</v>
      </c>
      <c r="I1270" s="24">
        <f t="shared" si="5825"/>
        <v>0</v>
      </c>
      <c r="J1270" s="24">
        <f t="shared" si="5826"/>
        <v>0</v>
      </c>
      <c r="K1270" s="8">
        <f t="shared" si="5833"/>
        <v>0</v>
      </c>
      <c r="M1270" s="6"/>
      <c r="N1270" s="7"/>
      <c r="O1270" s="7"/>
      <c r="P1270" s="7"/>
      <c r="Q1270" s="7"/>
      <c r="R1270" s="8">
        <f t="shared" si="5834"/>
        <v>0</v>
      </c>
      <c r="T1270" s="6"/>
      <c r="U1270" s="7"/>
      <c r="V1270" s="7"/>
      <c r="W1270" s="7"/>
      <c r="X1270" s="7"/>
      <c r="Y1270" s="8">
        <f t="shared" si="5835"/>
        <v>0</v>
      </c>
      <c r="AA1270" s="6"/>
      <c r="AB1270" s="7"/>
      <c r="AC1270" s="7"/>
      <c r="AD1270" s="7"/>
      <c r="AE1270" s="7"/>
      <c r="AF1270" s="8">
        <f t="shared" si="5836"/>
        <v>0</v>
      </c>
      <c r="AH1270" s="6"/>
      <c r="AI1270" s="7"/>
      <c r="AJ1270" s="7"/>
      <c r="AK1270" s="7"/>
      <c r="AL1270" s="7"/>
      <c r="AM1270" s="8">
        <f t="shared" si="5837"/>
        <v>0</v>
      </c>
      <c r="AO1270" s="6"/>
      <c r="AP1270" s="7"/>
      <c r="AQ1270" s="7"/>
      <c r="AR1270" s="7"/>
      <c r="AS1270" s="7"/>
      <c r="AT1270" s="8">
        <f t="shared" si="5838"/>
        <v>0</v>
      </c>
      <c r="AV1270" s="6"/>
      <c r="AW1270" s="7"/>
      <c r="AX1270" s="7"/>
      <c r="AY1270" s="7"/>
      <c r="AZ1270" s="7"/>
      <c r="BA1270" s="8">
        <f t="shared" si="5839"/>
        <v>0</v>
      </c>
      <c r="BC1270" s="6"/>
      <c r="BD1270" s="7"/>
      <c r="BE1270" s="7"/>
      <c r="BF1270" s="7"/>
      <c r="BG1270" s="7"/>
      <c r="BH1270" s="8">
        <f t="shared" si="5840"/>
        <v>0</v>
      </c>
      <c r="BJ1270" s="6"/>
      <c r="BK1270" s="7"/>
      <c r="BL1270" s="7"/>
      <c r="BM1270" s="7"/>
      <c r="BN1270" s="7"/>
      <c r="BO1270" s="8">
        <f t="shared" si="5841"/>
        <v>0</v>
      </c>
      <c r="BQ1270" s="6"/>
      <c r="BR1270" s="7"/>
      <c r="BS1270" s="7"/>
      <c r="BT1270" s="7"/>
      <c r="BU1270" s="7"/>
      <c r="BV1270" s="8">
        <f t="shared" si="5842"/>
        <v>0</v>
      </c>
      <c r="BX1270" s="6"/>
      <c r="BY1270" s="7"/>
      <c r="BZ1270" s="7"/>
      <c r="CA1270" s="7"/>
      <c r="CB1270" s="7"/>
      <c r="CC1270" s="8">
        <f t="shared" si="5843"/>
        <v>0</v>
      </c>
      <c r="CE1270" s="493">
        <f t="shared" si="5827"/>
        <v>0</v>
      </c>
      <c r="CF1270" s="494">
        <f t="shared" si="5828"/>
        <v>0</v>
      </c>
      <c r="CG1270" s="494">
        <f t="shared" si="5829"/>
        <v>0</v>
      </c>
      <c r="CH1270" s="494">
        <f t="shared" si="5830"/>
        <v>0</v>
      </c>
      <c r="CI1270" s="494">
        <f t="shared" si="5831"/>
        <v>0</v>
      </c>
      <c r="CJ1270" s="495">
        <f>SUM(CE1270:CI1270)</f>
        <v>0</v>
      </c>
      <c r="CL1270" s="6"/>
      <c r="CM1270" s="7"/>
      <c r="CN1270" s="7"/>
      <c r="CO1270" s="7"/>
      <c r="CP1270" s="7"/>
      <c r="CQ1270" s="8">
        <f t="shared" si="5844"/>
        <v>0</v>
      </c>
      <c r="CS1270" s="6"/>
      <c r="CT1270" s="7"/>
      <c r="CU1270" s="7"/>
      <c r="CV1270" s="7"/>
      <c r="CW1270" s="7"/>
      <c r="CX1270" s="8">
        <f t="shared" si="5845"/>
        <v>0</v>
      </c>
      <c r="CZ1270" s="6"/>
      <c r="DA1270" s="7"/>
      <c r="DB1270" s="7"/>
      <c r="DC1270" s="7"/>
      <c r="DD1270" s="7"/>
      <c r="DE1270" s="8">
        <f t="shared" si="5846"/>
        <v>0</v>
      </c>
    </row>
    <row r="1271" spans="3:109" ht="14" thickBot="1">
      <c r="C1271" s="554"/>
      <c r="E1271" s="9"/>
      <c r="F1271" s="10">
        <f>SUM(F1267:F1270)</f>
        <v>0</v>
      </c>
      <c r="G1271" s="11">
        <f t="shared" ref="G1271:J1271" si="5847">SUM(G1267:G1270)</f>
        <v>0</v>
      </c>
      <c r="H1271" s="11">
        <f t="shared" si="5847"/>
        <v>0</v>
      </c>
      <c r="I1271" s="11">
        <f t="shared" si="5847"/>
        <v>0</v>
      </c>
      <c r="J1271" s="11">
        <f t="shared" si="5847"/>
        <v>0</v>
      </c>
      <c r="K1271" s="25">
        <f>SUM(K1267:K1270)</f>
        <v>0</v>
      </c>
      <c r="M1271" s="10">
        <f>SUM(M1267:M1270)</f>
        <v>0</v>
      </c>
      <c r="N1271" s="11">
        <f t="shared" ref="N1271:Q1271" si="5848">SUM(N1267:N1270)</f>
        <v>0</v>
      </c>
      <c r="O1271" s="11">
        <f t="shared" si="5848"/>
        <v>0</v>
      </c>
      <c r="P1271" s="11">
        <f t="shared" si="5848"/>
        <v>0</v>
      </c>
      <c r="Q1271" s="11">
        <f t="shared" si="5848"/>
        <v>0</v>
      </c>
      <c r="R1271" s="25">
        <f>SUM(R1267:R1270)</f>
        <v>0</v>
      </c>
      <c r="T1271" s="10">
        <f>SUM(T1267:T1270)</f>
        <v>0</v>
      </c>
      <c r="U1271" s="11">
        <f t="shared" ref="U1271:X1271" si="5849">SUM(U1267:U1270)</f>
        <v>0</v>
      </c>
      <c r="V1271" s="11">
        <f t="shared" si="5849"/>
        <v>0</v>
      </c>
      <c r="W1271" s="11">
        <f t="shared" si="5849"/>
        <v>0</v>
      </c>
      <c r="X1271" s="11">
        <f t="shared" si="5849"/>
        <v>0</v>
      </c>
      <c r="Y1271" s="25">
        <f>SUM(Y1267:Y1270)</f>
        <v>0</v>
      </c>
      <c r="AA1271" s="10">
        <f>SUM(AA1267:AA1270)</f>
        <v>0</v>
      </c>
      <c r="AB1271" s="11">
        <f t="shared" ref="AB1271:AE1271" si="5850">SUM(AB1267:AB1270)</f>
        <v>0</v>
      </c>
      <c r="AC1271" s="11">
        <f t="shared" si="5850"/>
        <v>0</v>
      </c>
      <c r="AD1271" s="11">
        <f t="shared" si="5850"/>
        <v>0</v>
      </c>
      <c r="AE1271" s="11">
        <f t="shared" si="5850"/>
        <v>0</v>
      </c>
      <c r="AF1271" s="25">
        <f>SUM(AF1267:AF1270)</f>
        <v>0</v>
      </c>
      <c r="AH1271" s="10">
        <f>SUM(AH1267:AH1270)</f>
        <v>0</v>
      </c>
      <c r="AI1271" s="11">
        <f t="shared" ref="AI1271:AL1271" si="5851">SUM(AI1267:AI1270)</f>
        <v>0</v>
      </c>
      <c r="AJ1271" s="11">
        <f t="shared" si="5851"/>
        <v>0</v>
      </c>
      <c r="AK1271" s="11">
        <f t="shared" si="5851"/>
        <v>0</v>
      </c>
      <c r="AL1271" s="11">
        <f t="shared" si="5851"/>
        <v>0</v>
      </c>
      <c r="AM1271" s="25">
        <f>SUM(AM1267:AM1270)</f>
        <v>0</v>
      </c>
      <c r="AO1271" s="10">
        <f>SUM(AO1267:AO1270)</f>
        <v>0</v>
      </c>
      <c r="AP1271" s="11">
        <f t="shared" ref="AP1271:AS1271" si="5852">SUM(AP1267:AP1270)</f>
        <v>0</v>
      </c>
      <c r="AQ1271" s="11">
        <f t="shared" si="5852"/>
        <v>0</v>
      </c>
      <c r="AR1271" s="11">
        <f t="shared" si="5852"/>
        <v>0</v>
      </c>
      <c r="AS1271" s="11">
        <f t="shared" si="5852"/>
        <v>0</v>
      </c>
      <c r="AT1271" s="25">
        <f>SUM(AT1267:AT1270)</f>
        <v>0</v>
      </c>
      <c r="AV1271" s="10">
        <f>SUM(AV1267:AV1270)</f>
        <v>0</v>
      </c>
      <c r="AW1271" s="11">
        <f t="shared" ref="AW1271:AZ1271" si="5853">SUM(AW1267:AW1270)</f>
        <v>0</v>
      </c>
      <c r="AX1271" s="11">
        <f t="shared" si="5853"/>
        <v>0</v>
      </c>
      <c r="AY1271" s="11">
        <f t="shared" si="5853"/>
        <v>0</v>
      </c>
      <c r="AZ1271" s="11">
        <f t="shared" si="5853"/>
        <v>0</v>
      </c>
      <c r="BA1271" s="25">
        <f>SUM(BA1267:BA1270)</f>
        <v>0</v>
      </c>
      <c r="BC1271" s="10">
        <f>SUM(BC1267:BC1270)</f>
        <v>0</v>
      </c>
      <c r="BD1271" s="11">
        <f t="shared" ref="BD1271:BG1271" si="5854">SUM(BD1267:BD1270)</f>
        <v>0</v>
      </c>
      <c r="BE1271" s="11">
        <f t="shared" si="5854"/>
        <v>0</v>
      </c>
      <c r="BF1271" s="11">
        <f t="shared" si="5854"/>
        <v>0</v>
      </c>
      <c r="BG1271" s="11">
        <f t="shared" si="5854"/>
        <v>0</v>
      </c>
      <c r="BH1271" s="25">
        <f>SUM(BH1267:BH1270)</f>
        <v>0</v>
      </c>
      <c r="BJ1271" s="10">
        <f>SUM(BJ1267:BJ1270)</f>
        <v>0</v>
      </c>
      <c r="BK1271" s="11">
        <f t="shared" ref="BK1271:BN1271" si="5855">SUM(BK1267:BK1270)</f>
        <v>0</v>
      </c>
      <c r="BL1271" s="11">
        <f t="shared" si="5855"/>
        <v>0</v>
      </c>
      <c r="BM1271" s="11">
        <f t="shared" si="5855"/>
        <v>0</v>
      </c>
      <c r="BN1271" s="11">
        <f t="shared" si="5855"/>
        <v>0</v>
      </c>
      <c r="BO1271" s="25">
        <f>SUM(BO1267:BO1270)</f>
        <v>0</v>
      </c>
      <c r="BQ1271" s="10">
        <f>SUM(BQ1267:BQ1270)</f>
        <v>0</v>
      </c>
      <c r="BR1271" s="11">
        <f t="shared" ref="BR1271:BU1271" si="5856">SUM(BR1267:BR1270)</f>
        <v>0</v>
      </c>
      <c r="BS1271" s="11">
        <f t="shared" si="5856"/>
        <v>0</v>
      </c>
      <c r="BT1271" s="11">
        <f t="shared" si="5856"/>
        <v>0</v>
      </c>
      <c r="BU1271" s="11">
        <f t="shared" si="5856"/>
        <v>0</v>
      </c>
      <c r="BV1271" s="25">
        <f>SUM(BV1267:BV1270)</f>
        <v>0</v>
      </c>
      <c r="BX1271" s="10">
        <f>SUM(BX1267:BX1270)</f>
        <v>0</v>
      </c>
      <c r="BY1271" s="11">
        <f t="shared" ref="BY1271:CB1271" si="5857">SUM(BY1267:BY1270)</f>
        <v>0</v>
      </c>
      <c r="BZ1271" s="11">
        <f t="shared" si="5857"/>
        <v>0</v>
      </c>
      <c r="CA1271" s="11">
        <f t="shared" si="5857"/>
        <v>0</v>
      </c>
      <c r="CB1271" s="11">
        <f t="shared" si="5857"/>
        <v>0</v>
      </c>
      <c r="CC1271" s="25">
        <f>SUM(CC1267:CC1270)</f>
        <v>0</v>
      </c>
      <c r="CE1271" s="62">
        <f t="shared" ref="CE1271:CJ1271" si="5858">SUM(CE1267:CE1270)</f>
        <v>0</v>
      </c>
      <c r="CF1271" s="63">
        <f t="shared" si="5858"/>
        <v>0</v>
      </c>
      <c r="CG1271" s="63">
        <f t="shared" si="5858"/>
        <v>0</v>
      </c>
      <c r="CH1271" s="63">
        <f t="shared" si="5858"/>
        <v>0</v>
      </c>
      <c r="CI1271" s="63">
        <f t="shared" si="5858"/>
        <v>0</v>
      </c>
      <c r="CJ1271" s="25">
        <f t="shared" si="5858"/>
        <v>0</v>
      </c>
      <c r="CL1271" s="10">
        <f>SUM(CL1267:CL1270)</f>
        <v>0</v>
      </c>
      <c r="CM1271" s="11">
        <f t="shared" ref="CM1271:CP1271" si="5859">SUM(CM1267:CM1270)</f>
        <v>0</v>
      </c>
      <c r="CN1271" s="11">
        <f t="shared" si="5859"/>
        <v>0</v>
      </c>
      <c r="CO1271" s="11">
        <f t="shared" si="5859"/>
        <v>0</v>
      </c>
      <c r="CP1271" s="11">
        <f t="shared" si="5859"/>
        <v>0</v>
      </c>
      <c r="CQ1271" s="25">
        <f>SUM(CQ1267:CQ1270)</f>
        <v>0</v>
      </c>
      <c r="CS1271" s="10">
        <f>SUM(CS1267:CS1270)</f>
        <v>0</v>
      </c>
      <c r="CT1271" s="11">
        <f t="shared" ref="CT1271:CW1271" si="5860">SUM(CT1267:CT1270)</f>
        <v>0</v>
      </c>
      <c r="CU1271" s="11">
        <f t="shared" si="5860"/>
        <v>0</v>
      </c>
      <c r="CV1271" s="11">
        <f t="shared" si="5860"/>
        <v>0</v>
      </c>
      <c r="CW1271" s="11">
        <f t="shared" si="5860"/>
        <v>0</v>
      </c>
      <c r="CX1271" s="25">
        <f>SUM(CX1267:CX1270)</f>
        <v>0</v>
      </c>
      <c r="CZ1271" s="10">
        <f>SUM(CZ1267:CZ1270)</f>
        <v>0</v>
      </c>
      <c r="DA1271" s="11">
        <f t="shared" ref="DA1271:DD1271" si="5861">SUM(DA1267:DA1270)</f>
        <v>0</v>
      </c>
      <c r="DB1271" s="11">
        <f t="shared" si="5861"/>
        <v>0</v>
      </c>
      <c r="DC1271" s="11">
        <f t="shared" si="5861"/>
        <v>0</v>
      </c>
      <c r="DD1271" s="11">
        <f t="shared" si="5861"/>
        <v>0</v>
      </c>
      <c r="DE1271" s="25">
        <f>SUM(DE1267:DE1270)</f>
        <v>0</v>
      </c>
    </row>
    <row r="1272" spans="3:109" ht="10.4" customHeight="1" thickBot="1"/>
    <row r="1273" spans="3:109">
      <c r="C1273" s="553">
        <v>2027</v>
      </c>
      <c r="E1273" s="1" t="s">
        <v>59</v>
      </c>
      <c r="F1273" s="21">
        <f>CE1267</f>
        <v>0</v>
      </c>
      <c r="G1273" s="22">
        <f t="shared" ref="G1273:G1276" si="5862">CF1267</f>
        <v>0</v>
      </c>
      <c r="H1273" s="22">
        <f t="shared" ref="H1273:H1276" si="5863">CG1267</f>
        <v>0</v>
      </c>
      <c r="I1273" s="22">
        <f t="shared" ref="I1273:I1276" si="5864">CH1267</f>
        <v>0</v>
      </c>
      <c r="J1273" s="22">
        <f t="shared" ref="J1273:J1276" si="5865">CI1267</f>
        <v>0</v>
      </c>
      <c r="K1273" s="4">
        <f>SUM(F1273:J1273)</f>
        <v>0</v>
      </c>
      <c r="M1273" s="2"/>
      <c r="N1273" s="3"/>
      <c r="O1273" s="3"/>
      <c r="P1273" s="3"/>
      <c r="Q1273" s="3"/>
      <c r="R1273" s="4">
        <f>SUM(M1273:Q1273)</f>
        <v>0</v>
      </c>
      <c r="T1273" s="2"/>
      <c r="U1273" s="3"/>
      <c r="V1273" s="3"/>
      <c r="W1273" s="3"/>
      <c r="X1273" s="3"/>
      <c r="Y1273" s="4">
        <f>SUM(T1273:X1273)</f>
        <v>0</v>
      </c>
      <c r="AA1273" s="2"/>
      <c r="AB1273" s="3"/>
      <c r="AC1273" s="3"/>
      <c r="AD1273" s="3"/>
      <c r="AE1273" s="3"/>
      <c r="AF1273" s="4">
        <f>SUM(AA1273:AE1273)</f>
        <v>0</v>
      </c>
      <c r="AH1273" s="2"/>
      <c r="AI1273" s="3"/>
      <c r="AJ1273" s="3"/>
      <c r="AK1273" s="3"/>
      <c r="AL1273" s="3"/>
      <c r="AM1273" s="4">
        <f>SUM(AH1273:AL1273)</f>
        <v>0</v>
      </c>
      <c r="AO1273" s="2"/>
      <c r="AP1273" s="3"/>
      <c r="AQ1273" s="3"/>
      <c r="AR1273" s="3"/>
      <c r="AS1273" s="3"/>
      <c r="AT1273" s="4">
        <f>SUM(AO1273:AS1273)</f>
        <v>0</v>
      </c>
      <c r="AV1273" s="2"/>
      <c r="AW1273" s="3"/>
      <c r="AX1273" s="3"/>
      <c r="AY1273" s="3"/>
      <c r="AZ1273" s="3"/>
      <c r="BA1273" s="4">
        <f>SUM(AV1273:AZ1273)</f>
        <v>0</v>
      </c>
      <c r="BC1273" s="2"/>
      <c r="BD1273" s="3"/>
      <c r="BE1273" s="3"/>
      <c r="BF1273" s="3"/>
      <c r="BG1273" s="3"/>
      <c r="BH1273" s="4">
        <f>SUM(BC1273:BG1273)</f>
        <v>0</v>
      </c>
      <c r="BJ1273" s="2"/>
      <c r="BK1273" s="3"/>
      <c r="BL1273" s="3"/>
      <c r="BM1273" s="3"/>
      <c r="BN1273" s="3"/>
      <c r="BO1273" s="4">
        <f>SUM(BJ1273:BN1273)</f>
        <v>0</v>
      </c>
      <c r="BQ1273" s="2"/>
      <c r="BR1273" s="3"/>
      <c r="BS1273" s="3"/>
      <c r="BT1273" s="3"/>
      <c r="BU1273" s="3"/>
      <c r="BV1273" s="4">
        <f>SUM(BQ1273:BU1273)</f>
        <v>0</v>
      </c>
      <c r="BX1273" s="2"/>
      <c r="BY1273" s="3"/>
      <c r="BZ1273" s="3"/>
      <c r="CA1273" s="3"/>
      <c r="CB1273" s="3"/>
      <c r="CC1273" s="4">
        <f>SUM(BX1273:CB1273)</f>
        <v>0</v>
      </c>
      <c r="CE1273" s="26">
        <f t="shared" ref="CE1273:CE1276" si="5866">F1273+M1273+T1273+AA1273+AH1273+AO1273+AV1273+BC1273+BJ1273+BQ1273+BX1273</f>
        <v>0</v>
      </c>
      <c r="CF1273" s="27">
        <f t="shared" ref="CF1273:CF1276" si="5867">G1273+N1273+U1273+AB1273+AI1273+AP1273+AW1273+BD1273+BK1273+BR1273+BY1273</f>
        <v>0</v>
      </c>
      <c r="CG1273" s="27">
        <f t="shared" ref="CG1273:CG1276" si="5868">H1273+O1273+V1273+AC1273+AJ1273+AQ1273+AX1273+BE1273+BL1273+BS1273+BZ1273</f>
        <v>0</v>
      </c>
      <c r="CH1273" s="27">
        <f t="shared" ref="CH1273:CH1276" si="5869">I1273+P1273+W1273+AD1273+AK1273+AR1273+AY1273+BF1273+BM1273+BT1273+CA1273</f>
        <v>0</v>
      </c>
      <c r="CI1273" s="27">
        <f t="shared" ref="CI1273:CI1276" si="5870">J1273+Q1273+X1273+AE1273+AL1273+AS1273+AZ1273+BG1273+BN1273+BU1273+CB1273</f>
        <v>0</v>
      </c>
      <c r="CJ1273" s="4">
        <f>SUM(CE1273:CI1273)</f>
        <v>0</v>
      </c>
      <c r="CL1273" s="2"/>
      <c r="CM1273" s="3"/>
      <c r="CN1273" s="3"/>
      <c r="CO1273" s="3"/>
      <c r="CP1273" s="3"/>
      <c r="CQ1273" s="4">
        <f>SUM(CL1273:CP1273)</f>
        <v>0</v>
      </c>
      <c r="CS1273" s="2"/>
      <c r="CT1273" s="3"/>
      <c r="CU1273" s="3"/>
      <c r="CV1273" s="3"/>
      <c r="CW1273" s="3"/>
      <c r="CX1273" s="4">
        <f>SUM(CS1273:CW1273)</f>
        <v>0</v>
      </c>
      <c r="CZ1273" s="2"/>
      <c r="DA1273" s="3"/>
      <c r="DB1273" s="3"/>
      <c r="DC1273" s="3"/>
      <c r="DD1273" s="3"/>
      <c r="DE1273" s="4">
        <f>SUM(CZ1273:DD1273)</f>
        <v>0</v>
      </c>
    </row>
    <row r="1274" spans="3:109">
      <c r="C1274" s="567"/>
      <c r="E1274" s="5" t="s">
        <v>60</v>
      </c>
      <c r="F1274" s="23">
        <f t="shared" ref="F1274:F1276" si="5871">CE1268</f>
        <v>0</v>
      </c>
      <c r="G1274" s="24">
        <f t="shared" si="5862"/>
        <v>0</v>
      </c>
      <c r="H1274" s="24">
        <f t="shared" si="5863"/>
        <v>0</v>
      </c>
      <c r="I1274" s="24">
        <f t="shared" si="5864"/>
        <v>0</v>
      </c>
      <c r="J1274" s="24">
        <f t="shared" si="5865"/>
        <v>0</v>
      </c>
      <c r="K1274" s="8">
        <f t="shared" ref="K1274:K1276" si="5872">SUM(F1274:J1274)</f>
        <v>0</v>
      </c>
      <c r="M1274" s="6"/>
      <c r="N1274" s="7"/>
      <c r="O1274" s="7"/>
      <c r="P1274" s="7"/>
      <c r="Q1274" s="7"/>
      <c r="R1274" s="8">
        <f t="shared" ref="R1274:R1276" si="5873">SUM(M1274:Q1274)</f>
        <v>0</v>
      </c>
      <c r="T1274" s="6"/>
      <c r="U1274" s="7"/>
      <c r="V1274" s="7"/>
      <c r="W1274" s="7"/>
      <c r="X1274" s="7"/>
      <c r="Y1274" s="8">
        <f t="shared" ref="Y1274:Y1276" si="5874">SUM(T1274:X1274)</f>
        <v>0</v>
      </c>
      <c r="AA1274" s="6"/>
      <c r="AB1274" s="7"/>
      <c r="AC1274" s="7"/>
      <c r="AD1274" s="7"/>
      <c r="AE1274" s="7"/>
      <c r="AF1274" s="8">
        <f t="shared" ref="AF1274:AF1276" si="5875">SUM(AA1274:AE1274)</f>
        <v>0</v>
      </c>
      <c r="AH1274" s="6"/>
      <c r="AI1274" s="7"/>
      <c r="AJ1274" s="7"/>
      <c r="AK1274" s="7"/>
      <c r="AL1274" s="7"/>
      <c r="AM1274" s="8">
        <f t="shared" ref="AM1274:AM1276" si="5876">SUM(AH1274:AL1274)</f>
        <v>0</v>
      </c>
      <c r="AO1274" s="6"/>
      <c r="AP1274" s="7"/>
      <c r="AQ1274" s="7"/>
      <c r="AR1274" s="7"/>
      <c r="AS1274" s="7"/>
      <c r="AT1274" s="8">
        <f t="shared" ref="AT1274:AT1276" si="5877">SUM(AO1274:AS1274)</f>
        <v>0</v>
      </c>
      <c r="AV1274" s="6"/>
      <c r="AW1274" s="7"/>
      <c r="AX1274" s="7"/>
      <c r="AY1274" s="7"/>
      <c r="AZ1274" s="7"/>
      <c r="BA1274" s="8">
        <f t="shared" ref="BA1274:BA1276" si="5878">SUM(AV1274:AZ1274)</f>
        <v>0</v>
      </c>
      <c r="BC1274" s="6"/>
      <c r="BD1274" s="7"/>
      <c r="BE1274" s="7"/>
      <c r="BF1274" s="7"/>
      <c r="BG1274" s="7"/>
      <c r="BH1274" s="8">
        <f t="shared" ref="BH1274:BH1276" si="5879">SUM(BC1274:BG1274)</f>
        <v>0</v>
      </c>
      <c r="BJ1274" s="6"/>
      <c r="BK1274" s="7"/>
      <c r="BL1274" s="7"/>
      <c r="BM1274" s="7"/>
      <c r="BN1274" s="7"/>
      <c r="BO1274" s="8">
        <f t="shared" ref="BO1274:BO1276" si="5880">SUM(BJ1274:BN1274)</f>
        <v>0</v>
      </c>
      <c r="BQ1274" s="6"/>
      <c r="BR1274" s="7"/>
      <c r="BS1274" s="7"/>
      <c r="BT1274" s="7"/>
      <c r="BU1274" s="7"/>
      <c r="BV1274" s="8">
        <f t="shared" ref="BV1274:BV1276" si="5881">SUM(BQ1274:BU1274)</f>
        <v>0</v>
      </c>
      <c r="BX1274" s="6"/>
      <c r="BY1274" s="7"/>
      <c r="BZ1274" s="7"/>
      <c r="CA1274" s="7"/>
      <c r="CB1274" s="7"/>
      <c r="CC1274" s="8">
        <f t="shared" ref="CC1274:CC1276" si="5882">SUM(BX1274:CB1274)</f>
        <v>0</v>
      </c>
      <c r="CE1274" s="28">
        <f t="shared" si="5866"/>
        <v>0</v>
      </c>
      <c r="CF1274" s="29">
        <f t="shared" si="5867"/>
        <v>0</v>
      </c>
      <c r="CG1274" s="29">
        <f t="shared" si="5868"/>
        <v>0</v>
      </c>
      <c r="CH1274" s="29">
        <f t="shared" si="5869"/>
        <v>0</v>
      </c>
      <c r="CI1274" s="29">
        <f t="shared" si="5870"/>
        <v>0</v>
      </c>
      <c r="CJ1274" s="8">
        <f>SUM(CE1274:CI1274)</f>
        <v>0</v>
      </c>
      <c r="CL1274" s="6"/>
      <c r="CM1274" s="7"/>
      <c r="CN1274" s="7"/>
      <c r="CO1274" s="7"/>
      <c r="CP1274" s="7"/>
      <c r="CQ1274" s="8">
        <f t="shared" ref="CQ1274:CQ1276" si="5883">SUM(CL1274:CP1274)</f>
        <v>0</v>
      </c>
      <c r="CS1274" s="6"/>
      <c r="CT1274" s="7"/>
      <c r="CU1274" s="7"/>
      <c r="CV1274" s="7"/>
      <c r="CW1274" s="7"/>
      <c r="CX1274" s="8">
        <f t="shared" ref="CX1274:CX1276" si="5884">SUM(CS1274:CW1274)</f>
        <v>0</v>
      </c>
      <c r="CZ1274" s="6"/>
      <c r="DA1274" s="7"/>
      <c r="DB1274" s="7"/>
      <c r="DC1274" s="7"/>
      <c r="DD1274" s="7"/>
      <c r="DE1274" s="8">
        <f t="shared" ref="DE1274:DE1276" si="5885">SUM(CZ1274:DD1274)</f>
        <v>0</v>
      </c>
    </row>
    <row r="1275" spans="3:109">
      <c r="C1275" s="567"/>
      <c r="E1275" s="5" t="s">
        <v>61</v>
      </c>
      <c r="F1275" s="23">
        <f t="shared" si="5871"/>
        <v>0</v>
      </c>
      <c r="G1275" s="24">
        <f t="shared" si="5862"/>
        <v>0</v>
      </c>
      <c r="H1275" s="24">
        <f t="shared" si="5863"/>
        <v>0</v>
      </c>
      <c r="I1275" s="24">
        <f t="shared" si="5864"/>
        <v>0</v>
      </c>
      <c r="J1275" s="24">
        <f t="shared" si="5865"/>
        <v>0</v>
      </c>
      <c r="K1275" s="8">
        <f t="shared" si="5872"/>
        <v>0</v>
      </c>
      <c r="M1275" s="6"/>
      <c r="N1275" s="7"/>
      <c r="O1275" s="7"/>
      <c r="P1275" s="7"/>
      <c r="Q1275" s="7"/>
      <c r="R1275" s="8">
        <f t="shared" si="5873"/>
        <v>0</v>
      </c>
      <c r="T1275" s="6"/>
      <c r="U1275" s="7"/>
      <c r="V1275" s="7"/>
      <c r="W1275" s="7"/>
      <c r="X1275" s="7"/>
      <c r="Y1275" s="8">
        <f t="shared" si="5874"/>
        <v>0</v>
      </c>
      <c r="AA1275" s="6"/>
      <c r="AB1275" s="7"/>
      <c r="AC1275" s="7"/>
      <c r="AD1275" s="7"/>
      <c r="AE1275" s="7"/>
      <c r="AF1275" s="8">
        <f t="shared" si="5875"/>
        <v>0</v>
      </c>
      <c r="AH1275" s="6"/>
      <c r="AI1275" s="7"/>
      <c r="AJ1275" s="7"/>
      <c r="AK1275" s="7"/>
      <c r="AL1275" s="7"/>
      <c r="AM1275" s="8">
        <f t="shared" si="5876"/>
        <v>0</v>
      </c>
      <c r="AO1275" s="6"/>
      <c r="AP1275" s="7"/>
      <c r="AQ1275" s="7"/>
      <c r="AR1275" s="7"/>
      <c r="AS1275" s="7"/>
      <c r="AT1275" s="8">
        <f t="shared" si="5877"/>
        <v>0</v>
      </c>
      <c r="AV1275" s="6"/>
      <c r="AW1275" s="7"/>
      <c r="AX1275" s="7"/>
      <c r="AY1275" s="7"/>
      <c r="AZ1275" s="7"/>
      <c r="BA1275" s="8">
        <f t="shared" si="5878"/>
        <v>0</v>
      </c>
      <c r="BC1275" s="6"/>
      <c r="BD1275" s="7"/>
      <c r="BE1275" s="7"/>
      <c r="BF1275" s="7"/>
      <c r="BG1275" s="7"/>
      <c r="BH1275" s="8">
        <f t="shared" si="5879"/>
        <v>0</v>
      </c>
      <c r="BJ1275" s="6"/>
      <c r="BK1275" s="7"/>
      <c r="BL1275" s="7"/>
      <c r="BM1275" s="7"/>
      <c r="BN1275" s="7"/>
      <c r="BO1275" s="8">
        <f t="shared" si="5880"/>
        <v>0</v>
      </c>
      <c r="BQ1275" s="6"/>
      <c r="BR1275" s="7"/>
      <c r="BS1275" s="7"/>
      <c r="BT1275" s="7"/>
      <c r="BU1275" s="7"/>
      <c r="BV1275" s="8">
        <f t="shared" si="5881"/>
        <v>0</v>
      </c>
      <c r="BX1275" s="6"/>
      <c r="BY1275" s="7"/>
      <c r="BZ1275" s="7"/>
      <c r="CA1275" s="7"/>
      <c r="CB1275" s="7"/>
      <c r="CC1275" s="8">
        <f t="shared" si="5882"/>
        <v>0</v>
      </c>
      <c r="CE1275" s="28">
        <f t="shared" si="5866"/>
        <v>0</v>
      </c>
      <c r="CF1275" s="29">
        <f t="shared" si="5867"/>
        <v>0</v>
      </c>
      <c r="CG1275" s="29">
        <f t="shared" si="5868"/>
        <v>0</v>
      </c>
      <c r="CH1275" s="29">
        <f t="shared" si="5869"/>
        <v>0</v>
      </c>
      <c r="CI1275" s="29">
        <f t="shared" si="5870"/>
        <v>0</v>
      </c>
      <c r="CJ1275" s="8">
        <f>SUM(CE1275:CI1275)</f>
        <v>0</v>
      </c>
      <c r="CL1275" s="6"/>
      <c r="CM1275" s="7"/>
      <c r="CN1275" s="7"/>
      <c r="CO1275" s="7"/>
      <c r="CP1275" s="7"/>
      <c r="CQ1275" s="8">
        <f t="shared" si="5883"/>
        <v>0</v>
      </c>
      <c r="CS1275" s="6"/>
      <c r="CT1275" s="7"/>
      <c r="CU1275" s="7"/>
      <c r="CV1275" s="7"/>
      <c r="CW1275" s="7"/>
      <c r="CX1275" s="8">
        <f t="shared" si="5884"/>
        <v>0</v>
      </c>
      <c r="CZ1275" s="6"/>
      <c r="DA1275" s="7"/>
      <c r="DB1275" s="7"/>
      <c r="DC1275" s="7"/>
      <c r="DD1275" s="7"/>
      <c r="DE1275" s="8">
        <f t="shared" si="5885"/>
        <v>0</v>
      </c>
    </row>
    <row r="1276" spans="3:109" ht="14" thickBot="1">
      <c r="C1276" s="567"/>
      <c r="E1276" s="5" t="s">
        <v>62</v>
      </c>
      <c r="F1276" s="23">
        <f t="shared" si="5871"/>
        <v>0</v>
      </c>
      <c r="G1276" s="24">
        <f t="shared" si="5862"/>
        <v>0</v>
      </c>
      <c r="H1276" s="24">
        <f t="shared" si="5863"/>
        <v>0</v>
      </c>
      <c r="I1276" s="24">
        <f t="shared" si="5864"/>
        <v>0</v>
      </c>
      <c r="J1276" s="24">
        <f t="shared" si="5865"/>
        <v>0</v>
      </c>
      <c r="K1276" s="8">
        <f t="shared" si="5872"/>
        <v>0</v>
      </c>
      <c r="M1276" s="6"/>
      <c r="N1276" s="7"/>
      <c r="O1276" s="7"/>
      <c r="P1276" s="7"/>
      <c r="Q1276" s="7"/>
      <c r="R1276" s="8">
        <f t="shared" si="5873"/>
        <v>0</v>
      </c>
      <c r="T1276" s="6"/>
      <c r="U1276" s="7"/>
      <c r="V1276" s="7"/>
      <c r="W1276" s="7"/>
      <c r="X1276" s="7"/>
      <c r="Y1276" s="8">
        <f t="shared" si="5874"/>
        <v>0</v>
      </c>
      <c r="AA1276" s="6"/>
      <c r="AB1276" s="7"/>
      <c r="AC1276" s="7"/>
      <c r="AD1276" s="7"/>
      <c r="AE1276" s="7"/>
      <c r="AF1276" s="8">
        <f t="shared" si="5875"/>
        <v>0</v>
      </c>
      <c r="AH1276" s="6"/>
      <c r="AI1276" s="7"/>
      <c r="AJ1276" s="7"/>
      <c r="AK1276" s="7"/>
      <c r="AL1276" s="7"/>
      <c r="AM1276" s="8">
        <f t="shared" si="5876"/>
        <v>0</v>
      </c>
      <c r="AO1276" s="6"/>
      <c r="AP1276" s="7"/>
      <c r="AQ1276" s="7"/>
      <c r="AR1276" s="7"/>
      <c r="AS1276" s="7"/>
      <c r="AT1276" s="8">
        <f t="shared" si="5877"/>
        <v>0</v>
      </c>
      <c r="AV1276" s="6"/>
      <c r="AW1276" s="7"/>
      <c r="AX1276" s="7"/>
      <c r="AY1276" s="7"/>
      <c r="AZ1276" s="7"/>
      <c r="BA1276" s="8">
        <f t="shared" si="5878"/>
        <v>0</v>
      </c>
      <c r="BC1276" s="6"/>
      <c r="BD1276" s="7"/>
      <c r="BE1276" s="7"/>
      <c r="BF1276" s="7"/>
      <c r="BG1276" s="7"/>
      <c r="BH1276" s="8">
        <f t="shared" si="5879"/>
        <v>0</v>
      </c>
      <c r="BJ1276" s="6"/>
      <c r="BK1276" s="7"/>
      <c r="BL1276" s="7"/>
      <c r="BM1276" s="7"/>
      <c r="BN1276" s="7"/>
      <c r="BO1276" s="8">
        <f t="shared" si="5880"/>
        <v>0</v>
      </c>
      <c r="BQ1276" s="6"/>
      <c r="BR1276" s="7"/>
      <c r="BS1276" s="7"/>
      <c r="BT1276" s="7"/>
      <c r="BU1276" s="7"/>
      <c r="BV1276" s="8">
        <f t="shared" si="5881"/>
        <v>0</v>
      </c>
      <c r="BX1276" s="6"/>
      <c r="BY1276" s="7"/>
      <c r="BZ1276" s="7"/>
      <c r="CA1276" s="7"/>
      <c r="CB1276" s="7"/>
      <c r="CC1276" s="8">
        <f t="shared" si="5882"/>
        <v>0</v>
      </c>
      <c r="CE1276" s="493">
        <f t="shared" si="5866"/>
        <v>0</v>
      </c>
      <c r="CF1276" s="494">
        <f t="shared" si="5867"/>
        <v>0</v>
      </c>
      <c r="CG1276" s="494">
        <f t="shared" si="5868"/>
        <v>0</v>
      </c>
      <c r="CH1276" s="494">
        <f t="shared" si="5869"/>
        <v>0</v>
      </c>
      <c r="CI1276" s="494">
        <f t="shared" si="5870"/>
        <v>0</v>
      </c>
      <c r="CJ1276" s="495">
        <f>SUM(CE1276:CI1276)</f>
        <v>0</v>
      </c>
      <c r="CL1276" s="6"/>
      <c r="CM1276" s="7"/>
      <c r="CN1276" s="7"/>
      <c r="CO1276" s="7"/>
      <c r="CP1276" s="7"/>
      <c r="CQ1276" s="8">
        <f t="shared" si="5883"/>
        <v>0</v>
      </c>
      <c r="CS1276" s="6"/>
      <c r="CT1276" s="7"/>
      <c r="CU1276" s="7"/>
      <c r="CV1276" s="7"/>
      <c r="CW1276" s="7"/>
      <c r="CX1276" s="8">
        <f t="shared" si="5884"/>
        <v>0</v>
      </c>
      <c r="CZ1276" s="6"/>
      <c r="DA1276" s="7"/>
      <c r="DB1276" s="7"/>
      <c r="DC1276" s="7"/>
      <c r="DD1276" s="7"/>
      <c r="DE1276" s="8">
        <f t="shared" si="5885"/>
        <v>0</v>
      </c>
    </row>
    <row r="1277" spans="3:109" ht="14" thickBot="1">
      <c r="C1277" s="554"/>
      <c r="E1277" s="9"/>
      <c r="F1277" s="10">
        <f>SUM(F1273:F1276)</f>
        <v>0</v>
      </c>
      <c r="G1277" s="11">
        <f t="shared" ref="G1277:J1277" si="5886">SUM(G1273:G1276)</f>
        <v>0</v>
      </c>
      <c r="H1277" s="11">
        <f t="shared" si="5886"/>
        <v>0</v>
      </c>
      <c r="I1277" s="11">
        <f t="shared" si="5886"/>
        <v>0</v>
      </c>
      <c r="J1277" s="11">
        <f t="shared" si="5886"/>
        <v>0</v>
      </c>
      <c r="K1277" s="25">
        <f>SUM(K1273:K1276)</f>
        <v>0</v>
      </c>
      <c r="M1277" s="10">
        <f>SUM(M1273:M1276)</f>
        <v>0</v>
      </c>
      <c r="N1277" s="11">
        <f t="shared" ref="N1277:Q1277" si="5887">SUM(N1273:N1276)</f>
        <v>0</v>
      </c>
      <c r="O1277" s="11">
        <f t="shared" si="5887"/>
        <v>0</v>
      </c>
      <c r="P1277" s="11">
        <f t="shared" si="5887"/>
        <v>0</v>
      </c>
      <c r="Q1277" s="11">
        <f t="shared" si="5887"/>
        <v>0</v>
      </c>
      <c r="R1277" s="25">
        <f>SUM(R1273:R1276)</f>
        <v>0</v>
      </c>
      <c r="T1277" s="10">
        <f>SUM(T1273:T1276)</f>
        <v>0</v>
      </c>
      <c r="U1277" s="11">
        <f t="shared" ref="U1277:X1277" si="5888">SUM(U1273:U1276)</f>
        <v>0</v>
      </c>
      <c r="V1277" s="11">
        <f t="shared" si="5888"/>
        <v>0</v>
      </c>
      <c r="W1277" s="11">
        <f t="shared" si="5888"/>
        <v>0</v>
      </c>
      <c r="X1277" s="11">
        <f t="shared" si="5888"/>
        <v>0</v>
      </c>
      <c r="Y1277" s="25">
        <f>SUM(Y1273:Y1276)</f>
        <v>0</v>
      </c>
      <c r="AA1277" s="10">
        <f>SUM(AA1273:AA1276)</f>
        <v>0</v>
      </c>
      <c r="AB1277" s="11">
        <f t="shared" ref="AB1277:AE1277" si="5889">SUM(AB1273:AB1276)</f>
        <v>0</v>
      </c>
      <c r="AC1277" s="11">
        <f t="shared" si="5889"/>
        <v>0</v>
      </c>
      <c r="AD1277" s="11">
        <f t="shared" si="5889"/>
        <v>0</v>
      </c>
      <c r="AE1277" s="11">
        <f t="shared" si="5889"/>
        <v>0</v>
      </c>
      <c r="AF1277" s="25">
        <f>SUM(AF1273:AF1276)</f>
        <v>0</v>
      </c>
      <c r="AH1277" s="10">
        <f>SUM(AH1273:AH1276)</f>
        <v>0</v>
      </c>
      <c r="AI1277" s="11">
        <f t="shared" ref="AI1277:AL1277" si="5890">SUM(AI1273:AI1276)</f>
        <v>0</v>
      </c>
      <c r="AJ1277" s="11">
        <f t="shared" si="5890"/>
        <v>0</v>
      </c>
      <c r="AK1277" s="11">
        <f t="shared" si="5890"/>
        <v>0</v>
      </c>
      <c r="AL1277" s="11">
        <f t="shared" si="5890"/>
        <v>0</v>
      </c>
      <c r="AM1277" s="25">
        <f>SUM(AM1273:AM1276)</f>
        <v>0</v>
      </c>
      <c r="AO1277" s="10">
        <f>SUM(AO1273:AO1276)</f>
        <v>0</v>
      </c>
      <c r="AP1277" s="11">
        <f t="shared" ref="AP1277:AS1277" si="5891">SUM(AP1273:AP1276)</f>
        <v>0</v>
      </c>
      <c r="AQ1277" s="11">
        <f t="shared" si="5891"/>
        <v>0</v>
      </c>
      <c r="AR1277" s="11">
        <f t="shared" si="5891"/>
        <v>0</v>
      </c>
      <c r="AS1277" s="11">
        <f t="shared" si="5891"/>
        <v>0</v>
      </c>
      <c r="AT1277" s="25">
        <f>SUM(AT1273:AT1276)</f>
        <v>0</v>
      </c>
      <c r="AV1277" s="10">
        <f>SUM(AV1273:AV1276)</f>
        <v>0</v>
      </c>
      <c r="AW1277" s="11">
        <f t="shared" ref="AW1277:AZ1277" si="5892">SUM(AW1273:AW1276)</f>
        <v>0</v>
      </c>
      <c r="AX1277" s="11">
        <f t="shared" si="5892"/>
        <v>0</v>
      </c>
      <c r="AY1277" s="11">
        <f t="shared" si="5892"/>
        <v>0</v>
      </c>
      <c r="AZ1277" s="11">
        <f t="shared" si="5892"/>
        <v>0</v>
      </c>
      <c r="BA1277" s="25">
        <f>SUM(BA1273:BA1276)</f>
        <v>0</v>
      </c>
      <c r="BC1277" s="10">
        <f>SUM(BC1273:BC1276)</f>
        <v>0</v>
      </c>
      <c r="BD1277" s="11">
        <f t="shared" ref="BD1277:BG1277" si="5893">SUM(BD1273:BD1276)</f>
        <v>0</v>
      </c>
      <c r="BE1277" s="11">
        <f t="shared" si="5893"/>
        <v>0</v>
      </c>
      <c r="BF1277" s="11">
        <f t="shared" si="5893"/>
        <v>0</v>
      </c>
      <c r="BG1277" s="11">
        <f t="shared" si="5893"/>
        <v>0</v>
      </c>
      <c r="BH1277" s="25">
        <f>SUM(BH1273:BH1276)</f>
        <v>0</v>
      </c>
      <c r="BJ1277" s="10">
        <f>SUM(BJ1273:BJ1276)</f>
        <v>0</v>
      </c>
      <c r="BK1277" s="11">
        <f t="shared" ref="BK1277:BN1277" si="5894">SUM(BK1273:BK1276)</f>
        <v>0</v>
      </c>
      <c r="BL1277" s="11">
        <f t="shared" si="5894"/>
        <v>0</v>
      </c>
      <c r="BM1277" s="11">
        <f t="shared" si="5894"/>
        <v>0</v>
      </c>
      <c r="BN1277" s="11">
        <f t="shared" si="5894"/>
        <v>0</v>
      </c>
      <c r="BO1277" s="25">
        <f>SUM(BO1273:BO1276)</f>
        <v>0</v>
      </c>
      <c r="BQ1277" s="10">
        <f>SUM(BQ1273:BQ1276)</f>
        <v>0</v>
      </c>
      <c r="BR1277" s="11">
        <f t="shared" ref="BR1277:BU1277" si="5895">SUM(BR1273:BR1276)</f>
        <v>0</v>
      </c>
      <c r="BS1277" s="11">
        <f t="shared" si="5895"/>
        <v>0</v>
      </c>
      <c r="BT1277" s="11">
        <f t="shared" si="5895"/>
        <v>0</v>
      </c>
      <c r="BU1277" s="11">
        <f t="shared" si="5895"/>
        <v>0</v>
      </c>
      <c r="BV1277" s="25">
        <f>SUM(BV1273:BV1276)</f>
        <v>0</v>
      </c>
      <c r="BX1277" s="10">
        <f>SUM(BX1273:BX1276)</f>
        <v>0</v>
      </c>
      <c r="BY1277" s="11">
        <f t="shared" ref="BY1277:CB1277" si="5896">SUM(BY1273:BY1276)</f>
        <v>0</v>
      </c>
      <c r="BZ1277" s="11">
        <f t="shared" si="5896"/>
        <v>0</v>
      </c>
      <c r="CA1277" s="11">
        <f t="shared" si="5896"/>
        <v>0</v>
      </c>
      <c r="CB1277" s="11">
        <f t="shared" si="5896"/>
        <v>0</v>
      </c>
      <c r="CC1277" s="25">
        <f>SUM(CC1273:CC1276)</f>
        <v>0</v>
      </c>
      <c r="CE1277" s="62">
        <f t="shared" ref="CE1277:CJ1277" si="5897">SUM(CE1273:CE1276)</f>
        <v>0</v>
      </c>
      <c r="CF1277" s="63">
        <f t="shared" si="5897"/>
        <v>0</v>
      </c>
      <c r="CG1277" s="63">
        <f t="shared" si="5897"/>
        <v>0</v>
      </c>
      <c r="CH1277" s="63">
        <f t="shared" si="5897"/>
        <v>0</v>
      </c>
      <c r="CI1277" s="63">
        <f t="shared" si="5897"/>
        <v>0</v>
      </c>
      <c r="CJ1277" s="25">
        <f t="shared" si="5897"/>
        <v>0</v>
      </c>
      <c r="CL1277" s="10">
        <f>SUM(CL1273:CL1276)</f>
        <v>0</v>
      </c>
      <c r="CM1277" s="11">
        <f t="shared" ref="CM1277:CP1277" si="5898">SUM(CM1273:CM1276)</f>
        <v>0</v>
      </c>
      <c r="CN1277" s="11">
        <f t="shared" si="5898"/>
        <v>0</v>
      </c>
      <c r="CO1277" s="11">
        <f t="shared" si="5898"/>
        <v>0</v>
      </c>
      <c r="CP1277" s="11">
        <f t="shared" si="5898"/>
        <v>0</v>
      </c>
      <c r="CQ1277" s="25">
        <f>SUM(CQ1273:CQ1276)</f>
        <v>0</v>
      </c>
      <c r="CS1277" s="10">
        <f>SUM(CS1273:CS1276)</f>
        <v>0</v>
      </c>
      <c r="CT1277" s="11">
        <f t="shared" ref="CT1277:CW1277" si="5899">SUM(CT1273:CT1276)</f>
        <v>0</v>
      </c>
      <c r="CU1277" s="11">
        <f t="shared" si="5899"/>
        <v>0</v>
      </c>
      <c r="CV1277" s="11">
        <f t="shared" si="5899"/>
        <v>0</v>
      </c>
      <c r="CW1277" s="11">
        <f t="shared" si="5899"/>
        <v>0</v>
      </c>
      <c r="CX1277" s="25">
        <f>SUM(CX1273:CX1276)</f>
        <v>0</v>
      </c>
      <c r="CZ1277" s="10">
        <f>SUM(CZ1273:CZ1276)</f>
        <v>0</v>
      </c>
      <c r="DA1277" s="11">
        <f t="shared" ref="DA1277:DD1277" si="5900">SUM(DA1273:DA1276)</f>
        <v>0</v>
      </c>
      <c r="DB1277" s="11">
        <f t="shared" si="5900"/>
        <v>0</v>
      </c>
      <c r="DC1277" s="11">
        <f t="shared" si="5900"/>
        <v>0</v>
      </c>
      <c r="DD1277" s="11">
        <f t="shared" si="5900"/>
        <v>0</v>
      </c>
      <c r="DE1277" s="25">
        <f>SUM(DE1273:DE1276)</f>
        <v>0</v>
      </c>
    </row>
    <row r="1278" spans="3:109" ht="10.4" customHeight="1" thickBot="1"/>
    <row r="1279" spans="3:109">
      <c r="C1279" s="553">
        <v>2028</v>
      </c>
      <c r="E1279" s="1" t="s">
        <v>59</v>
      </c>
      <c r="F1279" s="21">
        <f>CE1273</f>
        <v>0</v>
      </c>
      <c r="G1279" s="22">
        <f t="shared" ref="G1279:G1282" si="5901">CF1273</f>
        <v>0</v>
      </c>
      <c r="H1279" s="22">
        <f t="shared" ref="H1279:H1282" si="5902">CG1273</f>
        <v>0</v>
      </c>
      <c r="I1279" s="22">
        <f t="shared" ref="I1279:I1282" si="5903">CH1273</f>
        <v>0</v>
      </c>
      <c r="J1279" s="22">
        <f t="shared" ref="J1279:J1282" si="5904">CI1273</f>
        <v>0</v>
      </c>
      <c r="K1279" s="4">
        <f>SUM(F1279:J1279)</f>
        <v>0</v>
      </c>
      <c r="M1279" s="2"/>
      <c r="N1279" s="3"/>
      <c r="O1279" s="3"/>
      <c r="P1279" s="3"/>
      <c r="Q1279" s="3"/>
      <c r="R1279" s="4">
        <f>SUM(M1279:Q1279)</f>
        <v>0</v>
      </c>
      <c r="T1279" s="2"/>
      <c r="U1279" s="3"/>
      <c r="V1279" s="3"/>
      <c r="W1279" s="3"/>
      <c r="X1279" s="3"/>
      <c r="Y1279" s="4">
        <f>SUM(T1279:X1279)</f>
        <v>0</v>
      </c>
      <c r="AA1279" s="2"/>
      <c r="AB1279" s="3"/>
      <c r="AC1279" s="3"/>
      <c r="AD1279" s="3"/>
      <c r="AE1279" s="3"/>
      <c r="AF1279" s="4">
        <f>SUM(AA1279:AE1279)</f>
        <v>0</v>
      </c>
      <c r="AH1279" s="2"/>
      <c r="AI1279" s="3"/>
      <c r="AJ1279" s="3"/>
      <c r="AK1279" s="3"/>
      <c r="AL1279" s="3"/>
      <c r="AM1279" s="4">
        <f>SUM(AH1279:AL1279)</f>
        <v>0</v>
      </c>
      <c r="AO1279" s="2"/>
      <c r="AP1279" s="3"/>
      <c r="AQ1279" s="3"/>
      <c r="AR1279" s="3"/>
      <c r="AS1279" s="3"/>
      <c r="AT1279" s="4">
        <f>SUM(AO1279:AS1279)</f>
        <v>0</v>
      </c>
      <c r="AV1279" s="2"/>
      <c r="AW1279" s="3"/>
      <c r="AX1279" s="3"/>
      <c r="AY1279" s="3"/>
      <c r="AZ1279" s="3"/>
      <c r="BA1279" s="4">
        <f>SUM(AV1279:AZ1279)</f>
        <v>0</v>
      </c>
      <c r="BC1279" s="2"/>
      <c r="BD1279" s="3"/>
      <c r="BE1279" s="3"/>
      <c r="BF1279" s="3"/>
      <c r="BG1279" s="3"/>
      <c r="BH1279" s="4">
        <f>SUM(BC1279:BG1279)</f>
        <v>0</v>
      </c>
      <c r="BJ1279" s="2"/>
      <c r="BK1279" s="3"/>
      <c r="BL1279" s="3"/>
      <c r="BM1279" s="3"/>
      <c r="BN1279" s="3"/>
      <c r="BO1279" s="4">
        <f>SUM(BJ1279:BN1279)</f>
        <v>0</v>
      </c>
      <c r="BQ1279" s="2"/>
      <c r="BR1279" s="3"/>
      <c r="BS1279" s="3"/>
      <c r="BT1279" s="3"/>
      <c r="BU1279" s="3"/>
      <c r="BV1279" s="4">
        <f>SUM(BQ1279:BU1279)</f>
        <v>0</v>
      </c>
      <c r="BX1279" s="2"/>
      <c r="BY1279" s="3"/>
      <c r="BZ1279" s="3"/>
      <c r="CA1279" s="3"/>
      <c r="CB1279" s="3"/>
      <c r="CC1279" s="4">
        <f>SUM(BX1279:CB1279)</f>
        <v>0</v>
      </c>
      <c r="CE1279" s="26">
        <f t="shared" ref="CE1279:CE1282" si="5905">F1279+M1279+T1279+AA1279+AH1279+AO1279+AV1279+BC1279+BJ1279+BQ1279+BX1279</f>
        <v>0</v>
      </c>
      <c r="CF1279" s="27">
        <f t="shared" ref="CF1279:CF1282" si="5906">G1279+N1279+U1279+AB1279+AI1279+AP1279+AW1279+BD1279+BK1279+BR1279+BY1279</f>
        <v>0</v>
      </c>
      <c r="CG1279" s="27">
        <f t="shared" ref="CG1279:CG1282" si="5907">H1279+O1279+V1279+AC1279+AJ1279+AQ1279+AX1279+BE1279+BL1279+BS1279+BZ1279</f>
        <v>0</v>
      </c>
      <c r="CH1279" s="27">
        <f t="shared" ref="CH1279:CH1282" si="5908">I1279+P1279+W1279+AD1279+AK1279+AR1279+AY1279+BF1279+BM1279+BT1279+CA1279</f>
        <v>0</v>
      </c>
      <c r="CI1279" s="27">
        <f t="shared" ref="CI1279:CI1282" si="5909">J1279+Q1279+X1279+AE1279+AL1279+AS1279+AZ1279+BG1279+BN1279+BU1279+CB1279</f>
        <v>0</v>
      </c>
      <c r="CJ1279" s="4">
        <f>SUM(CE1279:CI1279)</f>
        <v>0</v>
      </c>
      <c r="CL1279" s="2"/>
      <c r="CM1279" s="3"/>
      <c r="CN1279" s="3"/>
      <c r="CO1279" s="3"/>
      <c r="CP1279" s="3"/>
      <c r="CQ1279" s="4">
        <f>SUM(CL1279:CP1279)</f>
        <v>0</v>
      </c>
      <c r="CS1279" s="2"/>
      <c r="CT1279" s="3"/>
      <c r="CU1279" s="3"/>
      <c r="CV1279" s="3"/>
      <c r="CW1279" s="3"/>
      <c r="CX1279" s="4">
        <f>SUM(CS1279:CW1279)</f>
        <v>0</v>
      </c>
      <c r="CZ1279" s="2"/>
      <c r="DA1279" s="3"/>
      <c r="DB1279" s="3"/>
      <c r="DC1279" s="3"/>
      <c r="DD1279" s="3"/>
      <c r="DE1279" s="4">
        <f>SUM(CZ1279:DD1279)</f>
        <v>0</v>
      </c>
    </row>
    <row r="1280" spans="3:109">
      <c r="C1280" s="567"/>
      <c r="E1280" s="5" t="s">
        <v>60</v>
      </c>
      <c r="F1280" s="23">
        <f t="shared" ref="F1280:F1282" si="5910">CE1274</f>
        <v>0</v>
      </c>
      <c r="G1280" s="24">
        <f t="shared" si="5901"/>
        <v>0</v>
      </c>
      <c r="H1280" s="24">
        <f t="shared" si="5902"/>
        <v>0</v>
      </c>
      <c r="I1280" s="24">
        <f t="shared" si="5903"/>
        <v>0</v>
      </c>
      <c r="J1280" s="24">
        <f t="shared" si="5904"/>
        <v>0</v>
      </c>
      <c r="K1280" s="8">
        <f t="shared" ref="K1280:K1282" si="5911">SUM(F1280:J1280)</f>
        <v>0</v>
      </c>
      <c r="M1280" s="6"/>
      <c r="N1280" s="7"/>
      <c r="O1280" s="7"/>
      <c r="P1280" s="7"/>
      <c r="Q1280" s="7"/>
      <c r="R1280" s="8">
        <f t="shared" ref="R1280:R1282" si="5912">SUM(M1280:Q1280)</f>
        <v>0</v>
      </c>
      <c r="T1280" s="6"/>
      <c r="U1280" s="7"/>
      <c r="V1280" s="7"/>
      <c r="W1280" s="7"/>
      <c r="X1280" s="7"/>
      <c r="Y1280" s="8">
        <f t="shared" ref="Y1280:Y1282" si="5913">SUM(T1280:X1280)</f>
        <v>0</v>
      </c>
      <c r="AA1280" s="6"/>
      <c r="AB1280" s="7"/>
      <c r="AC1280" s="7"/>
      <c r="AD1280" s="7"/>
      <c r="AE1280" s="7"/>
      <c r="AF1280" s="8">
        <f t="shared" ref="AF1280:AF1282" si="5914">SUM(AA1280:AE1280)</f>
        <v>0</v>
      </c>
      <c r="AH1280" s="6"/>
      <c r="AI1280" s="7"/>
      <c r="AJ1280" s="7"/>
      <c r="AK1280" s="7"/>
      <c r="AL1280" s="7"/>
      <c r="AM1280" s="8">
        <f t="shared" ref="AM1280:AM1282" si="5915">SUM(AH1280:AL1280)</f>
        <v>0</v>
      </c>
      <c r="AO1280" s="6"/>
      <c r="AP1280" s="7"/>
      <c r="AQ1280" s="7"/>
      <c r="AR1280" s="7"/>
      <c r="AS1280" s="7"/>
      <c r="AT1280" s="8">
        <f t="shared" ref="AT1280:AT1282" si="5916">SUM(AO1280:AS1280)</f>
        <v>0</v>
      </c>
      <c r="AV1280" s="6"/>
      <c r="AW1280" s="7"/>
      <c r="AX1280" s="7"/>
      <c r="AY1280" s="7"/>
      <c r="AZ1280" s="7"/>
      <c r="BA1280" s="8">
        <f t="shared" ref="BA1280:BA1282" si="5917">SUM(AV1280:AZ1280)</f>
        <v>0</v>
      </c>
      <c r="BC1280" s="6"/>
      <c r="BD1280" s="7"/>
      <c r="BE1280" s="7"/>
      <c r="BF1280" s="7"/>
      <c r="BG1280" s="7"/>
      <c r="BH1280" s="8">
        <f t="shared" ref="BH1280:BH1282" si="5918">SUM(BC1280:BG1280)</f>
        <v>0</v>
      </c>
      <c r="BJ1280" s="6"/>
      <c r="BK1280" s="7"/>
      <c r="BL1280" s="7"/>
      <c r="BM1280" s="7"/>
      <c r="BN1280" s="7"/>
      <c r="BO1280" s="8">
        <f t="shared" ref="BO1280:BO1282" si="5919">SUM(BJ1280:BN1280)</f>
        <v>0</v>
      </c>
      <c r="BQ1280" s="6"/>
      <c r="BR1280" s="7"/>
      <c r="BS1280" s="7"/>
      <c r="BT1280" s="7"/>
      <c r="BU1280" s="7"/>
      <c r="BV1280" s="8">
        <f t="shared" ref="BV1280:BV1282" si="5920">SUM(BQ1280:BU1280)</f>
        <v>0</v>
      </c>
      <c r="BX1280" s="6"/>
      <c r="BY1280" s="7"/>
      <c r="BZ1280" s="7"/>
      <c r="CA1280" s="7"/>
      <c r="CB1280" s="7"/>
      <c r="CC1280" s="8">
        <f t="shared" ref="CC1280:CC1282" si="5921">SUM(BX1280:CB1280)</f>
        <v>0</v>
      </c>
      <c r="CE1280" s="28">
        <f t="shared" si="5905"/>
        <v>0</v>
      </c>
      <c r="CF1280" s="29">
        <f t="shared" si="5906"/>
        <v>0</v>
      </c>
      <c r="CG1280" s="29">
        <f t="shared" si="5907"/>
        <v>0</v>
      </c>
      <c r="CH1280" s="29">
        <f t="shared" si="5908"/>
        <v>0</v>
      </c>
      <c r="CI1280" s="29">
        <f t="shared" si="5909"/>
        <v>0</v>
      </c>
      <c r="CJ1280" s="8">
        <f>SUM(CE1280:CI1280)</f>
        <v>0</v>
      </c>
      <c r="CL1280" s="6"/>
      <c r="CM1280" s="7"/>
      <c r="CN1280" s="7"/>
      <c r="CO1280" s="7"/>
      <c r="CP1280" s="7"/>
      <c r="CQ1280" s="8">
        <f t="shared" ref="CQ1280:CQ1282" si="5922">SUM(CL1280:CP1280)</f>
        <v>0</v>
      </c>
      <c r="CS1280" s="6"/>
      <c r="CT1280" s="7"/>
      <c r="CU1280" s="7"/>
      <c r="CV1280" s="7"/>
      <c r="CW1280" s="7"/>
      <c r="CX1280" s="8">
        <f t="shared" ref="CX1280:CX1282" si="5923">SUM(CS1280:CW1280)</f>
        <v>0</v>
      </c>
      <c r="CZ1280" s="6"/>
      <c r="DA1280" s="7"/>
      <c r="DB1280" s="7"/>
      <c r="DC1280" s="7"/>
      <c r="DD1280" s="7"/>
      <c r="DE1280" s="8">
        <f t="shared" ref="DE1280:DE1282" si="5924">SUM(CZ1280:DD1280)</f>
        <v>0</v>
      </c>
    </row>
    <row r="1281" spans="2:110">
      <c r="C1281" s="567"/>
      <c r="E1281" s="5" t="s">
        <v>61</v>
      </c>
      <c r="F1281" s="23">
        <f t="shared" si="5910"/>
        <v>0</v>
      </c>
      <c r="G1281" s="24">
        <f t="shared" si="5901"/>
        <v>0</v>
      </c>
      <c r="H1281" s="24">
        <f t="shared" si="5902"/>
        <v>0</v>
      </c>
      <c r="I1281" s="24">
        <f t="shared" si="5903"/>
        <v>0</v>
      </c>
      <c r="J1281" s="24">
        <f t="shared" si="5904"/>
        <v>0</v>
      </c>
      <c r="K1281" s="8">
        <f t="shared" si="5911"/>
        <v>0</v>
      </c>
      <c r="M1281" s="6"/>
      <c r="N1281" s="7"/>
      <c r="O1281" s="7"/>
      <c r="P1281" s="7"/>
      <c r="Q1281" s="7"/>
      <c r="R1281" s="8">
        <f t="shared" si="5912"/>
        <v>0</v>
      </c>
      <c r="T1281" s="6"/>
      <c r="U1281" s="7"/>
      <c r="V1281" s="7"/>
      <c r="W1281" s="7"/>
      <c r="X1281" s="7"/>
      <c r="Y1281" s="8">
        <f t="shared" si="5913"/>
        <v>0</v>
      </c>
      <c r="AA1281" s="6"/>
      <c r="AB1281" s="7"/>
      <c r="AC1281" s="7"/>
      <c r="AD1281" s="7"/>
      <c r="AE1281" s="7"/>
      <c r="AF1281" s="8">
        <f t="shared" si="5914"/>
        <v>0</v>
      </c>
      <c r="AH1281" s="6"/>
      <c r="AI1281" s="7"/>
      <c r="AJ1281" s="7"/>
      <c r="AK1281" s="7"/>
      <c r="AL1281" s="7"/>
      <c r="AM1281" s="8">
        <f t="shared" si="5915"/>
        <v>0</v>
      </c>
      <c r="AO1281" s="6"/>
      <c r="AP1281" s="7"/>
      <c r="AQ1281" s="7"/>
      <c r="AR1281" s="7"/>
      <c r="AS1281" s="7"/>
      <c r="AT1281" s="8">
        <f t="shared" si="5916"/>
        <v>0</v>
      </c>
      <c r="AV1281" s="6"/>
      <c r="AW1281" s="7"/>
      <c r="AX1281" s="7"/>
      <c r="AY1281" s="7"/>
      <c r="AZ1281" s="7"/>
      <c r="BA1281" s="8">
        <f t="shared" si="5917"/>
        <v>0</v>
      </c>
      <c r="BC1281" s="6"/>
      <c r="BD1281" s="7"/>
      <c r="BE1281" s="7"/>
      <c r="BF1281" s="7"/>
      <c r="BG1281" s="7"/>
      <c r="BH1281" s="8">
        <f t="shared" si="5918"/>
        <v>0</v>
      </c>
      <c r="BJ1281" s="6"/>
      <c r="BK1281" s="7"/>
      <c r="BL1281" s="7"/>
      <c r="BM1281" s="7"/>
      <c r="BN1281" s="7"/>
      <c r="BO1281" s="8">
        <f t="shared" si="5919"/>
        <v>0</v>
      </c>
      <c r="BQ1281" s="6"/>
      <c r="BR1281" s="7"/>
      <c r="BS1281" s="7"/>
      <c r="BT1281" s="7"/>
      <c r="BU1281" s="7"/>
      <c r="BV1281" s="8">
        <f t="shared" si="5920"/>
        <v>0</v>
      </c>
      <c r="BX1281" s="6"/>
      <c r="BY1281" s="7"/>
      <c r="BZ1281" s="7"/>
      <c r="CA1281" s="7"/>
      <c r="CB1281" s="7"/>
      <c r="CC1281" s="8">
        <f t="shared" si="5921"/>
        <v>0</v>
      </c>
      <c r="CE1281" s="28">
        <f t="shared" si="5905"/>
        <v>0</v>
      </c>
      <c r="CF1281" s="29">
        <f t="shared" si="5906"/>
        <v>0</v>
      </c>
      <c r="CG1281" s="29">
        <f t="shared" si="5907"/>
        <v>0</v>
      </c>
      <c r="CH1281" s="29">
        <f t="shared" si="5908"/>
        <v>0</v>
      </c>
      <c r="CI1281" s="29">
        <f t="shared" si="5909"/>
        <v>0</v>
      </c>
      <c r="CJ1281" s="8">
        <f>SUM(CE1281:CI1281)</f>
        <v>0</v>
      </c>
      <c r="CL1281" s="6"/>
      <c r="CM1281" s="7"/>
      <c r="CN1281" s="7"/>
      <c r="CO1281" s="7"/>
      <c r="CP1281" s="7"/>
      <c r="CQ1281" s="8">
        <f t="shared" si="5922"/>
        <v>0</v>
      </c>
      <c r="CS1281" s="6"/>
      <c r="CT1281" s="7"/>
      <c r="CU1281" s="7"/>
      <c r="CV1281" s="7"/>
      <c r="CW1281" s="7"/>
      <c r="CX1281" s="8">
        <f t="shared" si="5923"/>
        <v>0</v>
      </c>
      <c r="CZ1281" s="6"/>
      <c r="DA1281" s="7"/>
      <c r="DB1281" s="7"/>
      <c r="DC1281" s="7"/>
      <c r="DD1281" s="7"/>
      <c r="DE1281" s="8">
        <f t="shared" si="5924"/>
        <v>0</v>
      </c>
    </row>
    <row r="1282" spans="2:110" ht="14" thickBot="1">
      <c r="C1282" s="567"/>
      <c r="E1282" s="5" t="s">
        <v>62</v>
      </c>
      <c r="F1282" s="23">
        <f t="shared" si="5910"/>
        <v>0</v>
      </c>
      <c r="G1282" s="24">
        <f t="shared" si="5901"/>
        <v>0</v>
      </c>
      <c r="H1282" s="24">
        <f t="shared" si="5902"/>
        <v>0</v>
      </c>
      <c r="I1282" s="24">
        <f t="shared" si="5903"/>
        <v>0</v>
      </c>
      <c r="J1282" s="24">
        <f t="shared" si="5904"/>
        <v>0</v>
      </c>
      <c r="K1282" s="8">
        <f t="shared" si="5911"/>
        <v>0</v>
      </c>
      <c r="M1282" s="6"/>
      <c r="N1282" s="7"/>
      <c r="O1282" s="7"/>
      <c r="P1282" s="7"/>
      <c r="Q1282" s="7"/>
      <c r="R1282" s="8">
        <f t="shared" si="5912"/>
        <v>0</v>
      </c>
      <c r="T1282" s="6"/>
      <c r="U1282" s="7"/>
      <c r="V1282" s="7"/>
      <c r="W1282" s="7"/>
      <c r="X1282" s="7"/>
      <c r="Y1282" s="8">
        <f t="shared" si="5913"/>
        <v>0</v>
      </c>
      <c r="AA1282" s="6"/>
      <c r="AB1282" s="7"/>
      <c r="AC1282" s="7"/>
      <c r="AD1282" s="7"/>
      <c r="AE1282" s="7"/>
      <c r="AF1282" s="8">
        <f t="shared" si="5914"/>
        <v>0</v>
      </c>
      <c r="AH1282" s="6"/>
      <c r="AI1282" s="7"/>
      <c r="AJ1282" s="7"/>
      <c r="AK1282" s="7"/>
      <c r="AL1282" s="7"/>
      <c r="AM1282" s="8">
        <f t="shared" si="5915"/>
        <v>0</v>
      </c>
      <c r="AO1282" s="6"/>
      <c r="AP1282" s="7"/>
      <c r="AQ1282" s="7"/>
      <c r="AR1282" s="7"/>
      <c r="AS1282" s="7"/>
      <c r="AT1282" s="8">
        <f t="shared" si="5916"/>
        <v>0</v>
      </c>
      <c r="AV1282" s="6"/>
      <c r="AW1282" s="7"/>
      <c r="AX1282" s="7"/>
      <c r="AY1282" s="7"/>
      <c r="AZ1282" s="7"/>
      <c r="BA1282" s="8">
        <f t="shared" si="5917"/>
        <v>0</v>
      </c>
      <c r="BC1282" s="6"/>
      <c r="BD1282" s="7"/>
      <c r="BE1282" s="7"/>
      <c r="BF1282" s="7"/>
      <c r="BG1282" s="7"/>
      <c r="BH1282" s="8">
        <f t="shared" si="5918"/>
        <v>0</v>
      </c>
      <c r="BJ1282" s="6"/>
      <c r="BK1282" s="7"/>
      <c r="BL1282" s="7"/>
      <c r="BM1282" s="7"/>
      <c r="BN1282" s="7"/>
      <c r="BO1282" s="8">
        <f t="shared" si="5919"/>
        <v>0</v>
      </c>
      <c r="BQ1282" s="6"/>
      <c r="BR1282" s="7"/>
      <c r="BS1282" s="7"/>
      <c r="BT1282" s="7"/>
      <c r="BU1282" s="7"/>
      <c r="BV1282" s="8">
        <f t="shared" si="5920"/>
        <v>0</v>
      </c>
      <c r="BX1282" s="6"/>
      <c r="BY1282" s="7"/>
      <c r="BZ1282" s="7"/>
      <c r="CA1282" s="7"/>
      <c r="CB1282" s="7"/>
      <c r="CC1282" s="8">
        <f t="shared" si="5921"/>
        <v>0</v>
      </c>
      <c r="CE1282" s="493">
        <f t="shared" si="5905"/>
        <v>0</v>
      </c>
      <c r="CF1282" s="494">
        <f t="shared" si="5906"/>
        <v>0</v>
      </c>
      <c r="CG1282" s="494">
        <f t="shared" si="5907"/>
        <v>0</v>
      </c>
      <c r="CH1282" s="494">
        <f t="shared" si="5908"/>
        <v>0</v>
      </c>
      <c r="CI1282" s="494">
        <f t="shared" si="5909"/>
        <v>0</v>
      </c>
      <c r="CJ1282" s="495">
        <f>SUM(CE1282:CI1282)</f>
        <v>0</v>
      </c>
      <c r="CL1282" s="6"/>
      <c r="CM1282" s="7"/>
      <c r="CN1282" s="7"/>
      <c r="CO1282" s="7"/>
      <c r="CP1282" s="7"/>
      <c r="CQ1282" s="8">
        <f t="shared" si="5922"/>
        <v>0</v>
      </c>
      <c r="CS1282" s="6"/>
      <c r="CT1282" s="7"/>
      <c r="CU1282" s="7"/>
      <c r="CV1282" s="7"/>
      <c r="CW1282" s="7"/>
      <c r="CX1282" s="8">
        <f t="shared" si="5923"/>
        <v>0</v>
      </c>
      <c r="CZ1282" s="6"/>
      <c r="DA1282" s="7"/>
      <c r="DB1282" s="7"/>
      <c r="DC1282" s="7"/>
      <c r="DD1282" s="7"/>
      <c r="DE1282" s="8">
        <f t="shared" si="5924"/>
        <v>0</v>
      </c>
    </row>
    <row r="1283" spans="2:110" ht="14" thickBot="1">
      <c r="C1283" s="554"/>
      <c r="E1283" s="9"/>
      <c r="F1283" s="10">
        <f>SUM(F1279:F1282)</f>
        <v>0</v>
      </c>
      <c r="G1283" s="11">
        <f t="shared" ref="G1283:J1283" si="5925">SUM(G1279:G1282)</f>
        <v>0</v>
      </c>
      <c r="H1283" s="11">
        <f t="shared" si="5925"/>
        <v>0</v>
      </c>
      <c r="I1283" s="11">
        <f t="shared" si="5925"/>
        <v>0</v>
      </c>
      <c r="J1283" s="11">
        <f t="shared" si="5925"/>
        <v>0</v>
      </c>
      <c r="K1283" s="25">
        <f>SUM(K1279:K1282)</f>
        <v>0</v>
      </c>
      <c r="M1283" s="10">
        <f>SUM(M1279:M1282)</f>
        <v>0</v>
      </c>
      <c r="N1283" s="11">
        <f t="shared" ref="N1283:Q1283" si="5926">SUM(N1279:N1282)</f>
        <v>0</v>
      </c>
      <c r="O1283" s="11">
        <f t="shared" si="5926"/>
        <v>0</v>
      </c>
      <c r="P1283" s="11">
        <f t="shared" si="5926"/>
        <v>0</v>
      </c>
      <c r="Q1283" s="11">
        <f t="shared" si="5926"/>
        <v>0</v>
      </c>
      <c r="R1283" s="25">
        <f>SUM(R1279:R1282)</f>
        <v>0</v>
      </c>
      <c r="T1283" s="10">
        <f>SUM(T1279:T1282)</f>
        <v>0</v>
      </c>
      <c r="U1283" s="11">
        <f t="shared" ref="U1283:X1283" si="5927">SUM(U1279:U1282)</f>
        <v>0</v>
      </c>
      <c r="V1283" s="11">
        <f t="shared" si="5927"/>
        <v>0</v>
      </c>
      <c r="W1283" s="11">
        <f t="shared" si="5927"/>
        <v>0</v>
      </c>
      <c r="X1283" s="11">
        <f t="shared" si="5927"/>
        <v>0</v>
      </c>
      <c r="Y1283" s="25">
        <f>SUM(Y1279:Y1282)</f>
        <v>0</v>
      </c>
      <c r="AA1283" s="10">
        <f>SUM(AA1279:AA1282)</f>
        <v>0</v>
      </c>
      <c r="AB1283" s="11">
        <f t="shared" ref="AB1283:AE1283" si="5928">SUM(AB1279:AB1282)</f>
        <v>0</v>
      </c>
      <c r="AC1283" s="11">
        <f t="shared" si="5928"/>
        <v>0</v>
      </c>
      <c r="AD1283" s="11">
        <f t="shared" si="5928"/>
        <v>0</v>
      </c>
      <c r="AE1283" s="11">
        <f t="shared" si="5928"/>
        <v>0</v>
      </c>
      <c r="AF1283" s="25">
        <f>SUM(AF1279:AF1282)</f>
        <v>0</v>
      </c>
      <c r="AH1283" s="10">
        <f>SUM(AH1279:AH1282)</f>
        <v>0</v>
      </c>
      <c r="AI1283" s="11">
        <f t="shared" ref="AI1283:AL1283" si="5929">SUM(AI1279:AI1282)</f>
        <v>0</v>
      </c>
      <c r="AJ1283" s="11">
        <f t="shared" si="5929"/>
        <v>0</v>
      </c>
      <c r="AK1283" s="11">
        <f t="shared" si="5929"/>
        <v>0</v>
      </c>
      <c r="AL1283" s="11">
        <f t="shared" si="5929"/>
        <v>0</v>
      </c>
      <c r="AM1283" s="25">
        <f>SUM(AM1279:AM1282)</f>
        <v>0</v>
      </c>
      <c r="AO1283" s="10">
        <f>SUM(AO1279:AO1282)</f>
        <v>0</v>
      </c>
      <c r="AP1283" s="11">
        <f t="shared" ref="AP1283:AS1283" si="5930">SUM(AP1279:AP1282)</f>
        <v>0</v>
      </c>
      <c r="AQ1283" s="11">
        <f t="shared" si="5930"/>
        <v>0</v>
      </c>
      <c r="AR1283" s="11">
        <f t="shared" si="5930"/>
        <v>0</v>
      </c>
      <c r="AS1283" s="11">
        <f t="shared" si="5930"/>
        <v>0</v>
      </c>
      <c r="AT1283" s="25">
        <f>SUM(AT1279:AT1282)</f>
        <v>0</v>
      </c>
      <c r="AV1283" s="10">
        <f>SUM(AV1279:AV1282)</f>
        <v>0</v>
      </c>
      <c r="AW1283" s="11">
        <f t="shared" ref="AW1283:AZ1283" si="5931">SUM(AW1279:AW1282)</f>
        <v>0</v>
      </c>
      <c r="AX1283" s="11">
        <f t="shared" si="5931"/>
        <v>0</v>
      </c>
      <c r="AY1283" s="11">
        <f t="shared" si="5931"/>
        <v>0</v>
      </c>
      <c r="AZ1283" s="11">
        <f t="shared" si="5931"/>
        <v>0</v>
      </c>
      <c r="BA1283" s="25">
        <f>SUM(BA1279:BA1282)</f>
        <v>0</v>
      </c>
      <c r="BC1283" s="10">
        <f>SUM(BC1279:BC1282)</f>
        <v>0</v>
      </c>
      <c r="BD1283" s="11">
        <f t="shared" ref="BD1283:BG1283" si="5932">SUM(BD1279:BD1282)</f>
        <v>0</v>
      </c>
      <c r="BE1283" s="11">
        <f t="shared" si="5932"/>
        <v>0</v>
      </c>
      <c r="BF1283" s="11">
        <f t="shared" si="5932"/>
        <v>0</v>
      </c>
      <c r="BG1283" s="11">
        <f t="shared" si="5932"/>
        <v>0</v>
      </c>
      <c r="BH1283" s="25">
        <f>SUM(BH1279:BH1282)</f>
        <v>0</v>
      </c>
      <c r="BJ1283" s="10">
        <f>SUM(BJ1279:BJ1282)</f>
        <v>0</v>
      </c>
      <c r="BK1283" s="11">
        <f t="shared" ref="BK1283:BN1283" si="5933">SUM(BK1279:BK1282)</f>
        <v>0</v>
      </c>
      <c r="BL1283" s="11">
        <f t="shared" si="5933"/>
        <v>0</v>
      </c>
      <c r="BM1283" s="11">
        <f t="shared" si="5933"/>
        <v>0</v>
      </c>
      <c r="BN1283" s="11">
        <f t="shared" si="5933"/>
        <v>0</v>
      </c>
      <c r="BO1283" s="25">
        <f>SUM(BO1279:BO1282)</f>
        <v>0</v>
      </c>
      <c r="BQ1283" s="10">
        <f>SUM(BQ1279:BQ1282)</f>
        <v>0</v>
      </c>
      <c r="BR1283" s="11">
        <f t="shared" ref="BR1283:BU1283" si="5934">SUM(BR1279:BR1282)</f>
        <v>0</v>
      </c>
      <c r="BS1283" s="11">
        <f t="shared" si="5934"/>
        <v>0</v>
      </c>
      <c r="BT1283" s="11">
        <f t="shared" si="5934"/>
        <v>0</v>
      </c>
      <c r="BU1283" s="11">
        <f t="shared" si="5934"/>
        <v>0</v>
      </c>
      <c r="BV1283" s="25">
        <f>SUM(BV1279:BV1282)</f>
        <v>0</v>
      </c>
      <c r="BX1283" s="10">
        <f>SUM(BX1279:BX1282)</f>
        <v>0</v>
      </c>
      <c r="BY1283" s="11">
        <f t="shared" ref="BY1283:CB1283" si="5935">SUM(BY1279:BY1282)</f>
        <v>0</v>
      </c>
      <c r="BZ1283" s="11">
        <f t="shared" si="5935"/>
        <v>0</v>
      </c>
      <c r="CA1283" s="11">
        <f t="shared" si="5935"/>
        <v>0</v>
      </c>
      <c r="CB1283" s="11">
        <f t="shared" si="5935"/>
        <v>0</v>
      </c>
      <c r="CC1283" s="25">
        <f>SUM(CC1279:CC1282)</f>
        <v>0</v>
      </c>
      <c r="CE1283" s="62">
        <f t="shared" ref="CE1283:CJ1283" si="5936">SUM(CE1279:CE1282)</f>
        <v>0</v>
      </c>
      <c r="CF1283" s="63">
        <f t="shared" si="5936"/>
        <v>0</v>
      </c>
      <c r="CG1283" s="63">
        <f t="shared" si="5936"/>
        <v>0</v>
      </c>
      <c r="CH1283" s="63">
        <f t="shared" si="5936"/>
        <v>0</v>
      </c>
      <c r="CI1283" s="63">
        <f t="shared" si="5936"/>
        <v>0</v>
      </c>
      <c r="CJ1283" s="25">
        <f t="shared" si="5936"/>
        <v>0</v>
      </c>
      <c r="CL1283" s="10">
        <f>SUM(CL1279:CL1282)</f>
        <v>0</v>
      </c>
      <c r="CM1283" s="11">
        <f t="shared" ref="CM1283:CP1283" si="5937">SUM(CM1279:CM1282)</f>
        <v>0</v>
      </c>
      <c r="CN1283" s="11">
        <f t="shared" si="5937"/>
        <v>0</v>
      </c>
      <c r="CO1283" s="11">
        <f t="shared" si="5937"/>
        <v>0</v>
      </c>
      <c r="CP1283" s="11">
        <f t="shared" si="5937"/>
        <v>0</v>
      </c>
      <c r="CQ1283" s="25">
        <f>SUM(CQ1279:CQ1282)</f>
        <v>0</v>
      </c>
      <c r="CS1283" s="10">
        <f>SUM(CS1279:CS1282)</f>
        <v>0</v>
      </c>
      <c r="CT1283" s="11">
        <f t="shared" ref="CT1283:CW1283" si="5938">SUM(CT1279:CT1282)</f>
        <v>0</v>
      </c>
      <c r="CU1283" s="11">
        <f t="shared" si="5938"/>
        <v>0</v>
      </c>
      <c r="CV1283" s="11">
        <f t="shared" si="5938"/>
        <v>0</v>
      </c>
      <c r="CW1283" s="11">
        <f t="shared" si="5938"/>
        <v>0</v>
      </c>
      <c r="CX1283" s="25">
        <f>SUM(CX1279:CX1282)</f>
        <v>0</v>
      </c>
      <c r="CZ1283" s="10">
        <f>SUM(CZ1279:CZ1282)</f>
        <v>0</v>
      </c>
      <c r="DA1283" s="11">
        <f t="shared" ref="DA1283:DD1283" si="5939">SUM(DA1279:DA1282)</f>
        <v>0</v>
      </c>
      <c r="DB1283" s="11">
        <f t="shared" si="5939"/>
        <v>0</v>
      </c>
      <c r="DC1283" s="11">
        <f t="shared" si="5939"/>
        <v>0</v>
      </c>
      <c r="DD1283" s="11">
        <f t="shared" si="5939"/>
        <v>0</v>
      </c>
      <c r="DE1283" s="25">
        <f>SUM(DE1279:DE1282)</f>
        <v>0</v>
      </c>
    </row>
    <row r="1285" spans="2:110">
      <c r="B1285" s="123"/>
      <c r="C1285" s="20"/>
      <c r="D1285" s="20"/>
      <c r="E1285" s="20"/>
      <c r="F1285" s="20"/>
      <c r="G1285" s="20"/>
      <c r="H1285" s="20"/>
      <c r="I1285" s="20"/>
      <c r="J1285" s="20"/>
      <c r="K1285" s="20"/>
      <c r="L1285" s="20"/>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Q1285" s="20"/>
      <c r="BR1285" s="20"/>
      <c r="BS1285" s="20"/>
      <c r="BT1285" s="20"/>
      <c r="BU1285" s="20"/>
      <c r="BV1285" s="20"/>
      <c r="BW1285" s="20"/>
      <c r="BX1285" s="20"/>
      <c r="BY1285" s="20"/>
      <c r="BZ1285" s="20"/>
      <c r="CA1285" s="20"/>
      <c r="CB1285" s="20"/>
      <c r="CC1285" s="20"/>
      <c r="CD1285" s="20"/>
      <c r="CE1285" s="20"/>
      <c r="CF1285" s="20"/>
      <c r="CG1285" s="20"/>
      <c r="CH1285" s="20"/>
      <c r="CI1285" s="20"/>
      <c r="CJ1285" s="20"/>
      <c r="CK1285" s="20"/>
      <c r="CL1285" s="20"/>
      <c r="CM1285" s="20"/>
      <c r="CN1285" s="20"/>
      <c r="CO1285" s="20"/>
      <c r="CP1285" s="20"/>
      <c r="CQ1285" s="20"/>
      <c r="CR1285" s="20"/>
      <c r="CS1285" s="20"/>
      <c r="CT1285" s="20"/>
      <c r="CU1285" s="20"/>
      <c r="CV1285" s="20"/>
      <c r="CW1285" s="20"/>
      <c r="CX1285" s="20"/>
      <c r="CY1285" s="20"/>
      <c r="CZ1285" s="20"/>
      <c r="DA1285" s="20"/>
      <c r="DB1285" s="20"/>
      <c r="DC1285" s="20"/>
      <c r="DD1285" s="20"/>
      <c r="DE1285" s="20"/>
      <c r="DF1285" s="20"/>
    </row>
    <row r="1286" spans="2:110" ht="14" thickBot="1">
      <c r="B1286" s="94">
        <v>41</v>
      </c>
      <c r="C1286" s="12" t="s">
        <v>102</v>
      </c>
    </row>
    <row r="1287" spans="2:110">
      <c r="C1287" s="553">
        <v>2024</v>
      </c>
      <c r="E1287" s="1" t="s">
        <v>59</v>
      </c>
      <c r="F1287" s="2"/>
      <c r="G1287" s="3"/>
      <c r="H1287" s="3"/>
      <c r="I1287" s="3"/>
      <c r="J1287" s="3"/>
      <c r="K1287" s="4">
        <f>SUM(F1287:J1287)</f>
        <v>0</v>
      </c>
      <c r="M1287" s="2"/>
      <c r="N1287" s="3"/>
      <c r="O1287" s="3"/>
      <c r="P1287" s="3"/>
      <c r="Q1287" s="3"/>
      <c r="R1287" s="4">
        <f>SUM(M1287:Q1287)</f>
        <v>0</v>
      </c>
      <c r="T1287" s="2"/>
      <c r="U1287" s="3"/>
      <c r="V1287" s="3"/>
      <c r="W1287" s="3"/>
      <c r="X1287" s="3"/>
      <c r="Y1287" s="4">
        <f>SUM(T1287:X1287)</f>
        <v>0</v>
      </c>
      <c r="AA1287" s="2"/>
      <c r="AB1287" s="3"/>
      <c r="AC1287" s="3"/>
      <c r="AD1287" s="3"/>
      <c r="AE1287" s="3"/>
      <c r="AF1287" s="4">
        <f>SUM(AA1287:AE1287)</f>
        <v>0</v>
      </c>
      <c r="AH1287" s="2"/>
      <c r="AI1287" s="3"/>
      <c r="AJ1287" s="3"/>
      <c r="AK1287" s="3"/>
      <c r="AL1287" s="3"/>
      <c r="AM1287" s="4">
        <f>SUM(AH1287:AL1287)</f>
        <v>0</v>
      </c>
      <c r="AO1287" s="2"/>
      <c r="AP1287" s="3"/>
      <c r="AQ1287" s="3"/>
      <c r="AR1287" s="3"/>
      <c r="AS1287" s="3"/>
      <c r="AT1287" s="4">
        <f>SUM(AO1287:AS1287)</f>
        <v>0</v>
      </c>
      <c r="AV1287" s="2"/>
      <c r="AW1287" s="3"/>
      <c r="AX1287" s="3"/>
      <c r="AY1287" s="3"/>
      <c r="AZ1287" s="3"/>
      <c r="BA1287" s="4">
        <f>SUM(AV1287:AZ1287)</f>
        <v>0</v>
      </c>
      <c r="BC1287" s="2"/>
      <c r="BD1287" s="3"/>
      <c r="BE1287" s="3"/>
      <c r="BF1287" s="3"/>
      <c r="BG1287" s="3"/>
      <c r="BH1287" s="4">
        <f>SUM(BC1287:BG1287)</f>
        <v>0</v>
      </c>
      <c r="BJ1287" s="2"/>
      <c r="BK1287" s="3"/>
      <c r="BL1287" s="3"/>
      <c r="BM1287" s="3"/>
      <c r="BN1287" s="3"/>
      <c r="BO1287" s="4">
        <f>SUM(BJ1287:BN1287)</f>
        <v>0</v>
      </c>
      <c r="BQ1287" s="2"/>
      <c r="BR1287" s="3"/>
      <c r="BS1287" s="3"/>
      <c r="BT1287" s="3"/>
      <c r="BU1287" s="3"/>
      <c r="BV1287" s="4">
        <f>SUM(BQ1287:BU1287)</f>
        <v>0</v>
      </c>
      <c r="BX1287" s="2"/>
      <c r="BY1287" s="3"/>
      <c r="BZ1287" s="3"/>
      <c r="CA1287" s="3"/>
      <c r="CB1287" s="3"/>
      <c r="CC1287" s="4">
        <f>SUM(BX1287:CB1287)</f>
        <v>0</v>
      </c>
      <c r="CE1287" s="26">
        <f t="shared" ref="CE1287:CE1290" si="5940">F1287+M1287+T1287+AA1287+AH1287+AO1287+AV1287+BC1287+BJ1287+BQ1287+BX1287</f>
        <v>0</v>
      </c>
      <c r="CF1287" s="27">
        <f t="shared" ref="CF1287:CF1290" si="5941">G1287+N1287+U1287+AB1287+AI1287+AP1287+AW1287+BD1287+BK1287+BR1287+BY1287</f>
        <v>0</v>
      </c>
      <c r="CG1287" s="27">
        <f t="shared" ref="CG1287:CG1290" si="5942">H1287+O1287+V1287+AC1287+AJ1287+AQ1287+AX1287+BE1287+BL1287+BS1287+BZ1287</f>
        <v>0</v>
      </c>
      <c r="CH1287" s="27">
        <f t="shared" ref="CH1287:CH1290" si="5943">I1287+P1287+W1287+AD1287+AK1287+AR1287+AY1287+BF1287+BM1287+BT1287+CA1287</f>
        <v>0</v>
      </c>
      <c r="CI1287" s="27">
        <f t="shared" ref="CI1287:CI1290" si="5944">J1287+Q1287+X1287+AE1287+AL1287+AS1287+AZ1287+BG1287+BN1287+BU1287+CB1287</f>
        <v>0</v>
      </c>
      <c r="CJ1287" s="4">
        <f>SUM(CE1287:CI1287)</f>
        <v>0</v>
      </c>
      <c r="CL1287" s="2"/>
      <c r="CM1287" s="3"/>
      <c r="CN1287" s="3"/>
      <c r="CO1287" s="3"/>
      <c r="CP1287" s="3"/>
      <c r="CQ1287" s="4">
        <f>SUM(CL1287:CP1287)</f>
        <v>0</v>
      </c>
      <c r="CS1287" s="2"/>
      <c r="CT1287" s="3"/>
      <c r="CU1287" s="3"/>
      <c r="CV1287" s="3"/>
      <c r="CW1287" s="3"/>
      <c r="CX1287" s="4">
        <f>SUM(CS1287:CW1287)</f>
        <v>0</v>
      </c>
      <c r="CZ1287" s="2"/>
      <c r="DA1287" s="3"/>
      <c r="DB1287" s="3"/>
      <c r="DC1287" s="3"/>
      <c r="DD1287" s="3"/>
      <c r="DE1287" s="4">
        <f>SUM(CZ1287:DD1287)</f>
        <v>0</v>
      </c>
    </row>
    <row r="1288" spans="2:110">
      <c r="C1288" s="567"/>
      <c r="E1288" s="5" t="s">
        <v>60</v>
      </c>
      <c r="F1288" s="6"/>
      <c r="G1288" s="7"/>
      <c r="H1288" s="7"/>
      <c r="I1288" s="7"/>
      <c r="J1288" s="7"/>
      <c r="K1288" s="8">
        <f t="shared" ref="K1288:K1290" si="5945">SUM(F1288:J1288)</f>
        <v>0</v>
      </c>
      <c r="M1288" s="6"/>
      <c r="N1288" s="7"/>
      <c r="O1288" s="7"/>
      <c r="P1288" s="7"/>
      <c r="Q1288" s="7"/>
      <c r="R1288" s="8">
        <f t="shared" ref="R1288:R1290" si="5946">SUM(M1288:Q1288)</f>
        <v>0</v>
      </c>
      <c r="T1288" s="6"/>
      <c r="U1288" s="7"/>
      <c r="V1288" s="7"/>
      <c r="W1288" s="7"/>
      <c r="X1288" s="7"/>
      <c r="Y1288" s="8">
        <f t="shared" ref="Y1288:Y1290" si="5947">SUM(T1288:X1288)</f>
        <v>0</v>
      </c>
      <c r="AA1288" s="6"/>
      <c r="AB1288" s="7"/>
      <c r="AC1288" s="7"/>
      <c r="AD1288" s="7"/>
      <c r="AE1288" s="7"/>
      <c r="AF1288" s="8">
        <f>SUM(AA1288:AE1288)</f>
        <v>0</v>
      </c>
      <c r="AH1288" s="6"/>
      <c r="AI1288" s="7"/>
      <c r="AJ1288" s="7"/>
      <c r="AK1288" s="7"/>
      <c r="AL1288" s="7"/>
      <c r="AM1288" s="8">
        <f>SUM(AH1288:AL1288)</f>
        <v>0</v>
      </c>
      <c r="AO1288" s="6"/>
      <c r="AP1288" s="7"/>
      <c r="AQ1288" s="7"/>
      <c r="AR1288" s="7"/>
      <c r="AS1288" s="7"/>
      <c r="AT1288" s="8">
        <f>SUM(AO1288:AS1288)</f>
        <v>0</v>
      </c>
      <c r="AV1288" s="6"/>
      <c r="AW1288" s="7"/>
      <c r="AX1288" s="7"/>
      <c r="AY1288" s="7"/>
      <c r="AZ1288" s="7"/>
      <c r="BA1288" s="8">
        <f>SUM(AV1288:AZ1288)</f>
        <v>0</v>
      </c>
      <c r="BC1288" s="6"/>
      <c r="BD1288" s="7"/>
      <c r="BE1288" s="7"/>
      <c r="BF1288" s="7"/>
      <c r="BG1288" s="7"/>
      <c r="BH1288" s="8">
        <f>SUM(BC1288:BG1288)</f>
        <v>0</v>
      </c>
      <c r="BJ1288" s="6"/>
      <c r="BK1288" s="7"/>
      <c r="BL1288" s="7"/>
      <c r="BM1288" s="7"/>
      <c r="BN1288" s="7"/>
      <c r="BO1288" s="8">
        <f>SUM(BJ1288:BN1288)</f>
        <v>0</v>
      </c>
      <c r="BQ1288" s="6"/>
      <c r="BR1288" s="7"/>
      <c r="BS1288" s="7"/>
      <c r="BT1288" s="7"/>
      <c r="BU1288" s="7"/>
      <c r="BV1288" s="8">
        <f>SUM(BQ1288:BU1288)</f>
        <v>0</v>
      </c>
      <c r="BX1288" s="6"/>
      <c r="BY1288" s="7"/>
      <c r="BZ1288" s="7"/>
      <c r="CA1288" s="7"/>
      <c r="CB1288" s="7"/>
      <c r="CC1288" s="8">
        <f>SUM(BX1288:CB1288)</f>
        <v>0</v>
      </c>
      <c r="CE1288" s="28">
        <f t="shared" si="5940"/>
        <v>0</v>
      </c>
      <c r="CF1288" s="29">
        <f t="shared" si="5941"/>
        <v>0</v>
      </c>
      <c r="CG1288" s="29">
        <f t="shared" si="5942"/>
        <v>0</v>
      </c>
      <c r="CH1288" s="29">
        <f t="shared" si="5943"/>
        <v>0</v>
      </c>
      <c r="CI1288" s="29">
        <f t="shared" si="5944"/>
        <v>0</v>
      </c>
      <c r="CJ1288" s="8">
        <f>SUM(CE1288:CI1288)</f>
        <v>0</v>
      </c>
      <c r="CL1288" s="6"/>
      <c r="CM1288" s="7"/>
      <c r="CN1288" s="7"/>
      <c r="CO1288" s="7"/>
      <c r="CP1288" s="7"/>
      <c r="CQ1288" s="8">
        <f>SUM(CL1288:CP1288)</f>
        <v>0</v>
      </c>
      <c r="CS1288" s="6"/>
      <c r="CT1288" s="7"/>
      <c r="CU1288" s="7"/>
      <c r="CV1288" s="7"/>
      <c r="CW1288" s="7"/>
      <c r="CX1288" s="8">
        <f t="shared" ref="CX1288:CX1290" si="5948">SUM(CS1288:CW1288)</f>
        <v>0</v>
      </c>
      <c r="CZ1288" s="6"/>
      <c r="DA1288" s="7"/>
      <c r="DB1288" s="7"/>
      <c r="DC1288" s="7"/>
      <c r="DD1288" s="7"/>
      <c r="DE1288" s="8">
        <f t="shared" ref="DE1288:DE1290" si="5949">SUM(CZ1288:DD1288)</f>
        <v>0</v>
      </c>
    </row>
    <row r="1289" spans="2:110">
      <c r="C1289" s="567"/>
      <c r="E1289" s="5" t="s">
        <v>61</v>
      </c>
      <c r="F1289" s="6"/>
      <c r="G1289" s="7"/>
      <c r="H1289" s="7"/>
      <c r="I1289" s="7"/>
      <c r="J1289" s="7"/>
      <c r="K1289" s="8">
        <f t="shared" si="5945"/>
        <v>0</v>
      </c>
      <c r="M1289" s="6"/>
      <c r="N1289" s="7"/>
      <c r="O1289" s="7"/>
      <c r="P1289" s="7"/>
      <c r="Q1289" s="7"/>
      <c r="R1289" s="8">
        <f t="shared" si="5946"/>
        <v>0</v>
      </c>
      <c r="T1289" s="6"/>
      <c r="U1289" s="7"/>
      <c r="V1289" s="7"/>
      <c r="W1289" s="7"/>
      <c r="X1289" s="7"/>
      <c r="Y1289" s="8">
        <f t="shared" si="5947"/>
        <v>0</v>
      </c>
      <c r="AA1289" s="6"/>
      <c r="AB1289" s="7"/>
      <c r="AC1289" s="7"/>
      <c r="AD1289" s="7"/>
      <c r="AE1289" s="7"/>
      <c r="AF1289" s="8">
        <f>SUM(AA1289:AE1289)</f>
        <v>0</v>
      </c>
      <c r="AH1289" s="6"/>
      <c r="AI1289" s="7"/>
      <c r="AJ1289" s="7"/>
      <c r="AK1289" s="7"/>
      <c r="AL1289" s="7"/>
      <c r="AM1289" s="8">
        <f>SUM(AH1289:AL1289)</f>
        <v>0</v>
      </c>
      <c r="AO1289" s="6"/>
      <c r="AP1289" s="7"/>
      <c r="AQ1289" s="7"/>
      <c r="AR1289" s="7"/>
      <c r="AS1289" s="7"/>
      <c r="AT1289" s="8">
        <f>SUM(AO1289:AS1289)</f>
        <v>0</v>
      </c>
      <c r="AV1289" s="6"/>
      <c r="AW1289" s="7"/>
      <c r="AX1289" s="7"/>
      <c r="AY1289" s="7"/>
      <c r="AZ1289" s="7"/>
      <c r="BA1289" s="8">
        <f>SUM(AV1289:AZ1289)</f>
        <v>0</v>
      </c>
      <c r="BC1289" s="6"/>
      <c r="BD1289" s="7"/>
      <c r="BE1289" s="7"/>
      <c r="BF1289" s="7"/>
      <c r="BG1289" s="7"/>
      <c r="BH1289" s="8">
        <f>SUM(BC1289:BG1289)</f>
        <v>0</v>
      </c>
      <c r="BJ1289" s="6"/>
      <c r="BK1289" s="7"/>
      <c r="BL1289" s="7"/>
      <c r="BM1289" s="7"/>
      <c r="BN1289" s="7"/>
      <c r="BO1289" s="8">
        <f>SUM(BJ1289:BN1289)</f>
        <v>0</v>
      </c>
      <c r="BQ1289" s="6"/>
      <c r="BR1289" s="7"/>
      <c r="BS1289" s="7"/>
      <c r="BT1289" s="7"/>
      <c r="BU1289" s="7"/>
      <c r="BV1289" s="8">
        <f>SUM(BQ1289:BU1289)</f>
        <v>0</v>
      </c>
      <c r="BX1289" s="6"/>
      <c r="BY1289" s="7"/>
      <c r="BZ1289" s="7"/>
      <c r="CA1289" s="7"/>
      <c r="CB1289" s="7"/>
      <c r="CC1289" s="8">
        <f>SUM(BX1289:CB1289)</f>
        <v>0</v>
      </c>
      <c r="CE1289" s="28">
        <f t="shared" si="5940"/>
        <v>0</v>
      </c>
      <c r="CF1289" s="29">
        <f t="shared" si="5941"/>
        <v>0</v>
      </c>
      <c r="CG1289" s="29">
        <f t="shared" si="5942"/>
        <v>0</v>
      </c>
      <c r="CH1289" s="29">
        <f t="shared" si="5943"/>
        <v>0</v>
      </c>
      <c r="CI1289" s="29">
        <f t="shared" si="5944"/>
        <v>0</v>
      </c>
      <c r="CJ1289" s="8">
        <f>SUM(CE1289:CI1289)</f>
        <v>0</v>
      </c>
      <c r="CL1289" s="6"/>
      <c r="CM1289" s="7"/>
      <c r="CN1289" s="7"/>
      <c r="CO1289" s="7"/>
      <c r="CP1289" s="7"/>
      <c r="CQ1289" s="8">
        <f>SUM(CL1289:CP1289)</f>
        <v>0</v>
      </c>
      <c r="CS1289" s="6"/>
      <c r="CT1289" s="7"/>
      <c r="CU1289" s="7"/>
      <c r="CV1289" s="7"/>
      <c r="CW1289" s="7"/>
      <c r="CX1289" s="8">
        <f t="shared" si="5948"/>
        <v>0</v>
      </c>
      <c r="CZ1289" s="6"/>
      <c r="DA1289" s="7"/>
      <c r="DB1289" s="7"/>
      <c r="DC1289" s="7"/>
      <c r="DD1289" s="7"/>
      <c r="DE1289" s="8">
        <f t="shared" si="5949"/>
        <v>0</v>
      </c>
    </row>
    <row r="1290" spans="2:110" ht="14" thickBot="1">
      <c r="C1290" s="567"/>
      <c r="E1290" s="5" t="s">
        <v>62</v>
      </c>
      <c r="F1290" s="6"/>
      <c r="G1290" s="7"/>
      <c r="H1290" s="7"/>
      <c r="I1290" s="7"/>
      <c r="J1290" s="7"/>
      <c r="K1290" s="8">
        <f t="shared" si="5945"/>
        <v>0</v>
      </c>
      <c r="M1290" s="6"/>
      <c r="N1290" s="7"/>
      <c r="O1290" s="7"/>
      <c r="P1290" s="7"/>
      <c r="Q1290" s="7"/>
      <c r="R1290" s="8">
        <f t="shared" si="5946"/>
        <v>0</v>
      </c>
      <c r="T1290" s="6"/>
      <c r="U1290" s="7"/>
      <c r="V1290" s="7"/>
      <c r="W1290" s="7"/>
      <c r="X1290" s="7"/>
      <c r="Y1290" s="8">
        <f t="shared" si="5947"/>
        <v>0</v>
      </c>
      <c r="AA1290" s="6"/>
      <c r="AB1290" s="7"/>
      <c r="AC1290" s="7"/>
      <c r="AD1290" s="7"/>
      <c r="AE1290" s="7"/>
      <c r="AF1290" s="8">
        <f>SUM(AA1290:AE1290)</f>
        <v>0</v>
      </c>
      <c r="AH1290" s="6"/>
      <c r="AI1290" s="7"/>
      <c r="AJ1290" s="7"/>
      <c r="AK1290" s="7"/>
      <c r="AL1290" s="7"/>
      <c r="AM1290" s="8">
        <f>SUM(AH1290:AL1290)</f>
        <v>0</v>
      </c>
      <c r="AO1290" s="6"/>
      <c r="AP1290" s="7"/>
      <c r="AQ1290" s="7"/>
      <c r="AR1290" s="7"/>
      <c r="AS1290" s="7"/>
      <c r="AT1290" s="8">
        <f>SUM(AO1290:AS1290)</f>
        <v>0</v>
      </c>
      <c r="AV1290" s="6"/>
      <c r="AW1290" s="7"/>
      <c r="AX1290" s="7"/>
      <c r="AY1290" s="7"/>
      <c r="AZ1290" s="7"/>
      <c r="BA1290" s="8">
        <f>SUM(AV1290:AZ1290)</f>
        <v>0</v>
      </c>
      <c r="BC1290" s="6"/>
      <c r="BD1290" s="7"/>
      <c r="BE1290" s="7"/>
      <c r="BF1290" s="7"/>
      <c r="BG1290" s="7"/>
      <c r="BH1290" s="8">
        <f>SUM(BC1290:BG1290)</f>
        <v>0</v>
      </c>
      <c r="BJ1290" s="6"/>
      <c r="BK1290" s="7"/>
      <c r="BL1290" s="7"/>
      <c r="BM1290" s="7"/>
      <c r="BN1290" s="7"/>
      <c r="BO1290" s="8">
        <f>SUM(BJ1290:BN1290)</f>
        <v>0</v>
      </c>
      <c r="BQ1290" s="6"/>
      <c r="BR1290" s="7"/>
      <c r="BS1290" s="7"/>
      <c r="BT1290" s="7"/>
      <c r="BU1290" s="7"/>
      <c r="BV1290" s="8">
        <f>SUM(BQ1290:BU1290)</f>
        <v>0</v>
      </c>
      <c r="BX1290" s="6"/>
      <c r="BY1290" s="7"/>
      <c r="BZ1290" s="7"/>
      <c r="CA1290" s="7"/>
      <c r="CB1290" s="7"/>
      <c r="CC1290" s="8">
        <f>SUM(BX1290:CB1290)</f>
        <v>0</v>
      </c>
      <c r="CE1290" s="493">
        <f t="shared" si="5940"/>
        <v>0</v>
      </c>
      <c r="CF1290" s="494">
        <f t="shared" si="5941"/>
        <v>0</v>
      </c>
      <c r="CG1290" s="494">
        <f t="shared" si="5942"/>
        <v>0</v>
      </c>
      <c r="CH1290" s="494">
        <f t="shared" si="5943"/>
        <v>0</v>
      </c>
      <c r="CI1290" s="494">
        <f t="shared" si="5944"/>
        <v>0</v>
      </c>
      <c r="CJ1290" s="495">
        <f>SUM(CE1290:CI1290)</f>
        <v>0</v>
      </c>
      <c r="CL1290" s="6"/>
      <c r="CM1290" s="7"/>
      <c r="CN1290" s="7"/>
      <c r="CO1290" s="7"/>
      <c r="CP1290" s="7"/>
      <c r="CQ1290" s="8">
        <f>SUM(CL1290:CP1290)</f>
        <v>0</v>
      </c>
      <c r="CS1290" s="6"/>
      <c r="CT1290" s="7"/>
      <c r="CU1290" s="7"/>
      <c r="CV1290" s="7"/>
      <c r="CW1290" s="7"/>
      <c r="CX1290" s="8">
        <f t="shared" si="5948"/>
        <v>0</v>
      </c>
      <c r="CZ1290" s="6"/>
      <c r="DA1290" s="7"/>
      <c r="DB1290" s="7"/>
      <c r="DC1290" s="7"/>
      <c r="DD1290" s="7"/>
      <c r="DE1290" s="8">
        <f t="shared" si="5949"/>
        <v>0</v>
      </c>
    </row>
    <row r="1291" spans="2:110" ht="14" thickBot="1">
      <c r="C1291" s="554"/>
      <c r="E1291" s="9"/>
      <c r="F1291" s="10">
        <f>SUM(F1287:F1290)</f>
        <v>0</v>
      </c>
      <c r="G1291" s="11">
        <f t="shared" ref="G1291:J1291" si="5950">SUM(G1287:G1290)</f>
        <v>0</v>
      </c>
      <c r="H1291" s="11">
        <f t="shared" si="5950"/>
        <v>0</v>
      </c>
      <c r="I1291" s="11">
        <f t="shared" si="5950"/>
        <v>0</v>
      </c>
      <c r="J1291" s="61">
        <f t="shared" si="5950"/>
        <v>0</v>
      </c>
      <c r="K1291" s="25">
        <f>SUM(K1287:K1290)</f>
        <v>0</v>
      </c>
      <c r="M1291" s="10">
        <f>SUM(M1287:M1290)</f>
        <v>0</v>
      </c>
      <c r="N1291" s="11">
        <f t="shared" ref="N1291:Q1291" si="5951">SUM(N1287:N1290)</f>
        <v>0</v>
      </c>
      <c r="O1291" s="11">
        <f t="shared" si="5951"/>
        <v>0</v>
      </c>
      <c r="P1291" s="11">
        <f t="shared" si="5951"/>
        <v>0</v>
      </c>
      <c r="Q1291" s="11">
        <f t="shared" si="5951"/>
        <v>0</v>
      </c>
      <c r="R1291" s="25">
        <f>SUM(R1287:R1290)</f>
        <v>0</v>
      </c>
      <c r="T1291" s="10">
        <f>SUM(T1287:T1290)</f>
        <v>0</v>
      </c>
      <c r="U1291" s="11">
        <f t="shared" ref="U1291:X1291" si="5952">SUM(U1287:U1290)</f>
        <v>0</v>
      </c>
      <c r="V1291" s="11">
        <f t="shared" si="5952"/>
        <v>0</v>
      </c>
      <c r="W1291" s="11">
        <f t="shared" si="5952"/>
        <v>0</v>
      </c>
      <c r="X1291" s="11">
        <f t="shared" si="5952"/>
        <v>0</v>
      </c>
      <c r="Y1291" s="25">
        <f>SUM(Y1287:Y1290)</f>
        <v>0</v>
      </c>
      <c r="AA1291" s="10">
        <f>SUM(AA1287:AA1290)</f>
        <v>0</v>
      </c>
      <c r="AB1291" s="11">
        <f t="shared" ref="AB1291:AE1291" si="5953">SUM(AB1287:AB1290)</f>
        <v>0</v>
      </c>
      <c r="AC1291" s="11">
        <f t="shared" si="5953"/>
        <v>0</v>
      </c>
      <c r="AD1291" s="11">
        <f t="shared" si="5953"/>
        <v>0</v>
      </c>
      <c r="AE1291" s="11">
        <f t="shared" si="5953"/>
        <v>0</v>
      </c>
      <c r="AF1291" s="25">
        <f>SUM(AF1287:AF1290)</f>
        <v>0</v>
      </c>
      <c r="AH1291" s="10">
        <f>SUM(AH1287:AH1290)</f>
        <v>0</v>
      </c>
      <c r="AI1291" s="11">
        <f t="shared" ref="AI1291:AL1291" si="5954">SUM(AI1287:AI1290)</f>
        <v>0</v>
      </c>
      <c r="AJ1291" s="11">
        <f t="shared" si="5954"/>
        <v>0</v>
      </c>
      <c r="AK1291" s="11">
        <f t="shared" si="5954"/>
        <v>0</v>
      </c>
      <c r="AL1291" s="11">
        <f t="shared" si="5954"/>
        <v>0</v>
      </c>
      <c r="AM1291" s="25">
        <f>SUM(AM1287:AM1290)</f>
        <v>0</v>
      </c>
      <c r="AO1291" s="10">
        <f>SUM(AO1287:AO1290)</f>
        <v>0</v>
      </c>
      <c r="AP1291" s="11">
        <f t="shared" ref="AP1291:AS1291" si="5955">SUM(AP1287:AP1290)</f>
        <v>0</v>
      </c>
      <c r="AQ1291" s="11">
        <f t="shared" si="5955"/>
        <v>0</v>
      </c>
      <c r="AR1291" s="11">
        <f t="shared" si="5955"/>
        <v>0</v>
      </c>
      <c r="AS1291" s="11">
        <f t="shared" si="5955"/>
        <v>0</v>
      </c>
      <c r="AT1291" s="25">
        <f>SUM(AT1287:AT1290)</f>
        <v>0</v>
      </c>
      <c r="AV1291" s="10">
        <f>SUM(AV1287:AV1290)</f>
        <v>0</v>
      </c>
      <c r="AW1291" s="11">
        <f t="shared" ref="AW1291:AZ1291" si="5956">SUM(AW1287:AW1290)</f>
        <v>0</v>
      </c>
      <c r="AX1291" s="11">
        <f t="shared" si="5956"/>
        <v>0</v>
      </c>
      <c r="AY1291" s="11">
        <f t="shared" si="5956"/>
        <v>0</v>
      </c>
      <c r="AZ1291" s="11">
        <f t="shared" si="5956"/>
        <v>0</v>
      </c>
      <c r="BA1291" s="25">
        <f>SUM(BA1287:BA1290)</f>
        <v>0</v>
      </c>
      <c r="BC1291" s="10">
        <f>SUM(BC1287:BC1290)</f>
        <v>0</v>
      </c>
      <c r="BD1291" s="11">
        <f t="shared" ref="BD1291:BG1291" si="5957">SUM(BD1287:BD1290)</f>
        <v>0</v>
      </c>
      <c r="BE1291" s="11">
        <f t="shared" si="5957"/>
        <v>0</v>
      </c>
      <c r="BF1291" s="11">
        <f t="shared" si="5957"/>
        <v>0</v>
      </c>
      <c r="BG1291" s="11">
        <f t="shared" si="5957"/>
        <v>0</v>
      </c>
      <c r="BH1291" s="25">
        <f>SUM(BH1287:BH1290)</f>
        <v>0</v>
      </c>
      <c r="BJ1291" s="10">
        <f>SUM(BJ1287:BJ1290)</f>
        <v>0</v>
      </c>
      <c r="BK1291" s="11">
        <f t="shared" ref="BK1291:BN1291" si="5958">SUM(BK1287:BK1290)</f>
        <v>0</v>
      </c>
      <c r="BL1291" s="11">
        <f t="shared" si="5958"/>
        <v>0</v>
      </c>
      <c r="BM1291" s="11">
        <f t="shared" si="5958"/>
        <v>0</v>
      </c>
      <c r="BN1291" s="11">
        <f t="shared" si="5958"/>
        <v>0</v>
      </c>
      <c r="BO1291" s="25">
        <f>SUM(BO1287:BO1290)</f>
        <v>0</v>
      </c>
      <c r="BQ1291" s="10">
        <f>SUM(BQ1287:BQ1290)</f>
        <v>0</v>
      </c>
      <c r="BR1291" s="11">
        <f t="shared" ref="BR1291:BU1291" si="5959">SUM(BR1287:BR1290)</f>
        <v>0</v>
      </c>
      <c r="BS1291" s="11">
        <f t="shared" si="5959"/>
        <v>0</v>
      </c>
      <c r="BT1291" s="11">
        <f t="shared" si="5959"/>
        <v>0</v>
      </c>
      <c r="BU1291" s="11">
        <f t="shared" si="5959"/>
        <v>0</v>
      </c>
      <c r="BV1291" s="25">
        <f>SUM(BV1287:BV1290)</f>
        <v>0</v>
      </c>
      <c r="BX1291" s="10">
        <f>SUM(BX1287:BX1290)</f>
        <v>0</v>
      </c>
      <c r="BY1291" s="11">
        <f t="shared" ref="BY1291:CB1291" si="5960">SUM(BY1287:BY1290)</f>
        <v>0</v>
      </c>
      <c r="BZ1291" s="11">
        <f t="shared" si="5960"/>
        <v>0</v>
      </c>
      <c r="CA1291" s="11">
        <f t="shared" si="5960"/>
        <v>0</v>
      </c>
      <c r="CB1291" s="11">
        <f t="shared" si="5960"/>
        <v>0</v>
      </c>
      <c r="CC1291" s="25">
        <f>SUM(CC1287:CC1290)</f>
        <v>0</v>
      </c>
      <c r="CE1291" s="62">
        <f t="shared" ref="CE1291:CJ1291" si="5961">SUM(CE1287:CE1290)</f>
        <v>0</v>
      </c>
      <c r="CF1291" s="63">
        <f t="shared" si="5961"/>
        <v>0</v>
      </c>
      <c r="CG1291" s="63">
        <f t="shared" si="5961"/>
        <v>0</v>
      </c>
      <c r="CH1291" s="63">
        <f t="shared" si="5961"/>
        <v>0</v>
      </c>
      <c r="CI1291" s="63">
        <f t="shared" si="5961"/>
        <v>0</v>
      </c>
      <c r="CJ1291" s="25">
        <f t="shared" si="5961"/>
        <v>0</v>
      </c>
      <c r="CL1291" s="10">
        <f>SUM(CL1287:CL1290)</f>
        <v>0</v>
      </c>
      <c r="CM1291" s="11">
        <f t="shared" ref="CM1291:CP1291" si="5962">SUM(CM1287:CM1290)</f>
        <v>0</v>
      </c>
      <c r="CN1291" s="11">
        <f t="shared" si="5962"/>
        <v>0</v>
      </c>
      <c r="CO1291" s="11">
        <f t="shared" si="5962"/>
        <v>0</v>
      </c>
      <c r="CP1291" s="11">
        <f t="shared" si="5962"/>
        <v>0</v>
      </c>
      <c r="CQ1291" s="25">
        <f>SUM(CQ1287:CQ1290)</f>
        <v>0</v>
      </c>
      <c r="CS1291" s="10">
        <f>SUM(CS1287:CS1290)</f>
        <v>0</v>
      </c>
      <c r="CT1291" s="11">
        <f t="shared" ref="CT1291:CW1291" si="5963">SUM(CT1287:CT1290)</f>
        <v>0</v>
      </c>
      <c r="CU1291" s="11">
        <f t="shared" si="5963"/>
        <v>0</v>
      </c>
      <c r="CV1291" s="11">
        <f t="shared" si="5963"/>
        <v>0</v>
      </c>
      <c r="CW1291" s="11">
        <f t="shared" si="5963"/>
        <v>0</v>
      </c>
      <c r="CX1291" s="25">
        <f>SUM(CX1287:CX1290)</f>
        <v>0</v>
      </c>
      <c r="CZ1291" s="10">
        <f>SUM(CZ1287:CZ1290)</f>
        <v>0</v>
      </c>
      <c r="DA1291" s="11">
        <f t="shared" ref="DA1291:DD1291" si="5964">SUM(DA1287:DA1290)</f>
        <v>0</v>
      </c>
      <c r="DB1291" s="11">
        <f t="shared" si="5964"/>
        <v>0</v>
      </c>
      <c r="DC1291" s="11">
        <f t="shared" si="5964"/>
        <v>0</v>
      </c>
      <c r="DD1291" s="11">
        <f t="shared" si="5964"/>
        <v>0</v>
      </c>
      <c r="DE1291" s="25">
        <f>SUM(DE1287:DE1290)</f>
        <v>0</v>
      </c>
    </row>
    <row r="1292" spans="2:110" ht="10.4" customHeight="1" thickBot="1"/>
    <row r="1293" spans="2:110">
      <c r="C1293" s="553">
        <v>2025</v>
      </c>
      <c r="E1293" s="13" t="s">
        <v>59</v>
      </c>
      <c r="F1293" s="21">
        <f>CE1287</f>
        <v>0</v>
      </c>
      <c r="G1293" s="22">
        <f t="shared" ref="G1293:G1296" si="5965">CF1287</f>
        <v>0</v>
      </c>
      <c r="H1293" s="22">
        <f t="shared" ref="H1293:H1296" si="5966">CG1287</f>
        <v>0</v>
      </c>
      <c r="I1293" s="22">
        <f t="shared" ref="I1293:I1296" si="5967">CH1287</f>
        <v>0</v>
      </c>
      <c r="J1293" s="22">
        <f t="shared" ref="J1293:J1296" si="5968">CI1287</f>
        <v>0</v>
      </c>
      <c r="K1293" s="15">
        <f>SUM(F1293:J1293)</f>
        <v>0</v>
      </c>
      <c r="M1293" s="2"/>
      <c r="N1293" s="3"/>
      <c r="O1293" s="3"/>
      <c r="P1293" s="3"/>
      <c r="Q1293" s="3"/>
      <c r="R1293" s="15">
        <f>SUM(M1293:Q1293)</f>
        <v>0</v>
      </c>
      <c r="T1293" s="2"/>
      <c r="U1293" s="3"/>
      <c r="V1293" s="3"/>
      <c r="W1293" s="3"/>
      <c r="X1293" s="3"/>
      <c r="Y1293" s="15">
        <f>SUM(T1293:X1293)</f>
        <v>0</v>
      </c>
      <c r="AA1293" s="2"/>
      <c r="AB1293" s="3"/>
      <c r="AC1293" s="3"/>
      <c r="AD1293" s="3"/>
      <c r="AE1293" s="3"/>
      <c r="AF1293" s="15">
        <f>SUM(AA1293:AE1293)</f>
        <v>0</v>
      </c>
      <c r="AH1293" s="2"/>
      <c r="AI1293" s="3"/>
      <c r="AJ1293" s="3"/>
      <c r="AK1293" s="3"/>
      <c r="AL1293" s="3"/>
      <c r="AM1293" s="15">
        <f>SUM(AH1293:AL1293)</f>
        <v>0</v>
      </c>
      <c r="AO1293" s="2"/>
      <c r="AP1293" s="3"/>
      <c r="AQ1293" s="3"/>
      <c r="AR1293" s="3"/>
      <c r="AS1293" s="3"/>
      <c r="AT1293" s="15">
        <f>SUM(AO1293:AS1293)</f>
        <v>0</v>
      </c>
      <c r="AV1293" s="2"/>
      <c r="AW1293" s="3"/>
      <c r="AX1293" s="3"/>
      <c r="AY1293" s="3"/>
      <c r="AZ1293" s="3"/>
      <c r="BA1293" s="15">
        <f>SUM(AV1293:AZ1293)</f>
        <v>0</v>
      </c>
      <c r="BC1293" s="2"/>
      <c r="BD1293" s="3"/>
      <c r="BE1293" s="3"/>
      <c r="BF1293" s="3"/>
      <c r="BG1293" s="3"/>
      <c r="BH1293" s="15">
        <f>SUM(BC1293:BG1293)</f>
        <v>0</v>
      </c>
      <c r="BJ1293" s="2"/>
      <c r="BK1293" s="3"/>
      <c r="BL1293" s="3"/>
      <c r="BM1293" s="3"/>
      <c r="BN1293" s="3"/>
      <c r="BO1293" s="15">
        <f>SUM(BJ1293:BN1293)</f>
        <v>0</v>
      </c>
      <c r="BQ1293" s="2"/>
      <c r="BR1293" s="3"/>
      <c r="BS1293" s="3"/>
      <c r="BT1293" s="3"/>
      <c r="BU1293" s="3"/>
      <c r="BV1293" s="15">
        <f>SUM(BQ1293:BU1293)</f>
        <v>0</v>
      </c>
      <c r="BX1293" s="2"/>
      <c r="BY1293" s="3"/>
      <c r="BZ1293" s="3"/>
      <c r="CA1293" s="3"/>
      <c r="CB1293" s="3"/>
      <c r="CC1293" s="15">
        <f>SUM(BX1293:CB1293)</f>
        <v>0</v>
      </c>
      <c r="CE1293" s="26">
        <f t="shared" ref="CE1293:CE1296" si="5969">F1293+M1293+T1293+AA1293+AH1293+AO1293+AV1293+BC1293+BJ1293+BQ1293+BX1293</f>
        <v>0</v>
      </c>
      <c r="CF1293" s="27">
        <f t="shared" ref="CF1293:CF1296" si="5970">G1293+N1293+U1293+AB1293+AI1293+AP1293+AW1293+BD1293+BK1293+BR1293+BY1293</f>
        <v>0</v>
      </c>
      <c r="CG1293" s="27">
        <f t="shared" ref="CG1293:CG1296" si="5971">H1293+O1293+V1293+AC1293+AJ1293+AQ1293+AX1293+BE1293+BL1293+BS1293+BZ1293</f>
        <v>0</v>
      </c>
      <c r="CH1293" s="27">
        <f t="shared" ref="CH1293:CH1296" si="5972">I1293+P1293+W1293+AD1293+AK1293+AR1293+AY1293+BF1293+BM1293+BT1293+CA1293</f>
        <v>0</v>
      </c>
      <c r="CI1293" s="27">
        <f t="shared" ref="CI1293:CI1296" si="5973">J1293+Q1293+X1293+AE1293+AL1293+AS1293+AZ1293+BG1293+BN1293+BU1293+CB1293</f>
        <v>0</v>
      </c>
      <c r="CJ1293" s="4">
        <f>SUM(CE1293:CI1293)</f>
        <v>0</v>
      </c>
      <c r="CL1293" s="2"/>
      <c r="CM1293" s="3"/>
      <c r="CN1293" s="3"/>
      <c r="CO1293" s="3"/>
      <c r="CP1293" s="3"/>
      <c r="CQ1293" s="15">
        <f>SUM(CL1293:CP1293)</f>
        <v>0</v>
      </c>
      <c r="CS1293" s="2"/>
      <c r="CT1293" s="3"/>
      <c r="CU1293" s="3"/>
      <c r="CV1293" s="3"/>
      <c r="CW1293" s="3"/>
      <c r="CX1293" s="4">
        <f>SUM(CS1293:CW1293)</f>
        <v>0</v>
      </c>
      <c r="CZ1293" s="2"/>
      <c r="DA1293" s="3"/>
      <c r="DB1293" s="3"/>
      <c r="DC1293" s="3"/>
      <c r="DD1293" s="3"/>
      <c r="DE1293" s="15">
        <f>SUM(CZ1293:DD1293)</f>
        <v>0</v>
      </c>
    </row>
    <row r="1294" spans="2:110">
      <c r="C1294" s="567"/>
      <c r="E1294" s="14" t="s">
        <v>60</v>
      </c>
      <c r="F1294" s="23">
        <f t="shared" ref="F1294:F1296" si="5974">CE1288</f>
        <v>0</v>
      </c>
      <c r="G1294" s="24">
        <f t="shared" si="5965"/>
        <v>0</v>
      </c>
      <c r="H1294" s="24">
        <f t="shared" si="5966"/>
        <v>0</v>
      </c>
      <c r="I1294" s="24">
        <f t="shared" si="5967"/>
        <v>0</v>
      </c>
      <c r="J1294" s="24">
        <f t="shared" si="5968"/>
        <v>0</v>
      </c>
      <c r="K1294" s="16">
        <f t="shared" ref="K1294:K1296" si="5975">SUM(F1294:J1294)</f>
        <v>0</v>
      </c>
      <c r="M1294" s="6"/>
      <c r="N1294" s="7"/>
      <c r="O1294" s="7"/>
      <c r="P1294" s="7"/>
      <c r="Q1294" s="7"/>
      <c r="R1294" s="16">
        <f t="shared" ref="R1294:R1296" si="5976">SUM(M1294:Q1294)</f>
        <v>0</v>
      </c>
      <c r="T1294" s="6"/>
      <c r="U1294" s="7"/>
      <c r="V1294" s="7"/>
      <c r="W1294" s="7"/>
      <c r="X1294" s="7"/>
      <c r="Y1294" s="16">
        <f t="shared" ref="Y1294:Y1296" si="5977">SUM(T1294:X1294)</f>
        <v>0</v>
      </c>
      <c r="AA1294" s="6"/>
      <c r="AB1294" s="7"/>
      <c r="AC1294" s="7"/>
      <c r="AD1294" s="7"/>
      <c r="AE1294" s="7"/>
      <c r="AF1294" s="16">
        <f>SUM(AA1294:AE1294)</f>
        <v>0</v>
      </c>
      <c r="AH1294" s="6"/>
      <c r="AI1294" s="7"/>
      <c r="AJ1294" s="7"/>
      <c r="AK1294" s="7"/>
      <c r="AL1294" s="7"/>
      <c r="AM1294" s="16">
        <f>SUM(AH1294:AL1294)</f>
        <v>0</v>
      </c>
      <c r="AO1294" s="6"/>
      <c r="AP1294" s="7"/>
      <c r="AQ1294" s="7"/>
      <c r="AR1294" s="7"/>
      <c r="AS1294" s="7"/>
      <c r="AT1294" s="16">
        <f>SUM(AO1294:AS1294)</f>
        <v>0</v>
      </c>
      <c r="AV1294" s="6"/>
      <c r="AW1294" s="7"/>
      <c r="AX1294" s="7"/>
      <c r="AY1294" s="7"/>
      <c r="AZ1294" s="7"/>
      <c r="BA1294" s="16">
        <f>SUM(AV1294:AZ1294)</f>
        <v>0</v>
      </c>
      <c r="BC1294" s="6"/>
      <c r="BD1294" s="7"/>
      <c r="BE1294" s="7"/>
      <c r="BF1294" s="7"/>
      <c r="BG1294" s="7"/>
      <c r="BH1294" s="16">
        <f>SUM(BC1294:BG1294)</f>
        <v>0</v>
      </c>
      <c r="BJ1294" s="6"/>
      <c r="BK1294" s="7"/>
      <c r="BL1294" s="7"/>
      <c r="BM1294" s="7"/>
      <c r="BN1294" s="7"/>
      <c r="BO1294" s="16">
        <f>SUM(BJ1294:BN1294)</f>
        <v>0</v>
      </c>
      <c r="BQ1294" s="6"/>
      <c r="BR1294" s="7"/>
      <c r="BS1294" s="7"/>
      <c r="BT1294" s="7"/>
      <c r="BU1294" s="7"/>
      <c r="BV1294" s="16">
        <f>SUM(BQ1294:BU1294)</f>
        <v>0</v>
      </c>
      <c r="BX1294" s="6"/>
      <c r="BY1294" s="7"/>
      <c r="BZ1294" s="7"/>
      <c r="CA1294" s="7"/>
      <c r="CB1294" s="7"/>
      <c r="CC1294" s="16">
        <f>SUM(BX1294:CB1294)</f>
        <v>0</v>
      </c>
      <c r="CE1294" s="28">
        <f t="shared" si="5969"/>
        <v>0</v>
      </c>
      <c r="CF1294" s="29">
        <f t="shared" si="5970"/>
        <v>0</v>
      </c>
      <c r="CG1294" s="29">
        <f t="shared" si="5971"/>
        <v>0</v>
      </c>
      <c r="CH1294" s="29">
        <f t="shared" si="5972"/>
        <v>0</v>
      </c>
      <c r="CI1294" s="29">
        <f t="shared" si="5973"/>
        <v>0</v>
      </c>
      <c r="CJ1294" s="8">
        <f>SUM(CE1294:CI1294)</f>
        <v>0</v>
      </c>
      <c r="CL1294" s="6"/>
      <c r="CM1294" s="7"/>
      <c r="CN1294" s="7"/>
      <c r="CO1294" s="7"/>
      <c r="CP1294" s="7"/>
      <c r="CQ1294" s="16">
        <f>SUM(CL1294:CP1294)</f>
        <v>0</v>
      </c>
      <c r="CS1294" s="6"/>
      <c r="CT1294" s="7"/>
      <c r="CU1294" s="7"/>
      <c r="CV1294" s="7"/>
      <c r="CW1294" s="7"/>
      <c r="CX1294" s="8">
        <f t="shared" ref="CX1294:CX1296" si="5978">SUM(CS1294:CW1294)</f>
        <v>0</v>
      </c>
      <c r="CZ1294" s="6"/>
      <c r="DA1294" s="7"/>
      <c r="DB1294" s="7"/>
      <c r="DC1294" s="7"/>
      <c r="DD1294" s="7"/>
      <c r="DE1294" s="16">
        <f t="shared" ref="DE1294:DE1296" si="5979">SUM(CZ1294:DD1294)</f>
        <v>0</v>
      </c>
    </row>
    <row r="1295" spans="2:110">
      <c r="C1295" s="567"/>
      <c r="E1295" s="14" t="s">
        <v>61</v>
      </c>
      <c r="F1295" s="23">
        <f t="shared" si="5974"/>
        <v>0</v>
      </c>
      <c r="G1295" s="24">
        <f t="shared" si="5965"/>
        <v>0</v>
      </c>
      <c r="H1295" s="24">
        <f t="shared" si="5966"/>
        <v>0</v>
      </c>
      <c r="I1295" s="24">
        <f t="shared" si="5967"/>
        <v>0</v>
      </c>
      <c r="J1295" s="24">
        <f t="shared" si="5968"/>
        <v>0</v>
      </c>
      <c r="K1295" s="16">
        <f t="shared" si="5975"/>
        <v>0</v>
      </c>
      <c r="M1295" s="6"/>
      <c r="N1295" s="7"/>
      <c r="O1295" s="7"/>
      <c r="P1295" s="7"/>
      <c r="Q1295" s="7"/>
      <c r="R1295" s="16">
        <f t="shared" si="5976"/>
        <v>0</v>
      </c>
      <c r="T1295" s="6"/>
      <c r="U1295" s="7"/>
      <c r="V1295" s="7"/>
      <c r="W1295" s="7"/>
      <c r="X1295" s="7"/>
      <c r="Y1295" s="16">
        <f t="shared" si="5977"/>
        <v>0</v>
      </c>
      <c r="AA1295" s="6"/>
      <c r="AB1295" s="7"/>
      <c r="AC1295" s="7"/>
      <c r="AD1295" s="7"/>
      <c r="AE1295" s="7"/>
      <c r="AF1295" s="16">
        <f>SUM(AA1295:AE1295)</f>
        <v>0</v>
      </c>
      <c r="AH1295" s="6"/>
      <c r="AI1295" s="7"/>
      <c r="AJ1295" s="7"/>
      <c r="AK1295" s="7"/>
      <c r="AL1295" s="7"/>
      <c r="AM1295" s="16">
        <f>SUM(AH1295:AL1295)</f>
        <v>0</v>
      </c>
      <c r="AO1295" s="6"/>
      <c r="AP1295" s="7"/>
      <c r="AQ1295" s="7"/>
      <c r="AR1295" s="7"/>
      <c r="AS1295" s="7"/>
      <c r="AT1295" s="16">
        <f>SUM(AO1295:AS1295)</f>
        <v>0</v>
      </c>
      <c r="AV1295" s="6"/>
      <c r="AW1295" s="7"/>
      <c r="AX1295" s="7"/>
      <c r="AY1295" s="7"/>
      <c r="AZ1295" s="7"/>
      <c r="BA1295" s="16">
        <f>SUM(AV1295:AZ1295)</f>
        <v>0</v>
      </c>
      <c r="BC1295" s="6"/>
      <c r="BD1295" s="7"/>
      <c r="BE1295" s="7"/>
      <c r="BF1295" s="7"/>
      <c r="BG1295" s="7"/>
      <c r="BH1295" s="16">
        <f>SUM(BC1295:BG1295)</f>
        <v>0</v>
      </c>
      <c r="BJ1295" s="6"/>
      <c r="BK1295" s="7"/>
      <c r="BL1295" s="7"/>
      <c r="BM1295" s="7"/>
      <c r="BN1295" s="7"/>
      <c r="BO1295" s="16">
        <f>SUM(BJ1295:BN1295)</f>
        <v>0</v>
      </c>
      <c r="BQ1295" s="6"/>
      <c r="BR1295" s="7"/>
      <c r="BS1295" s="7"/>
      <c r="BT1295" s="7"/>
      <c r="BU1295" s="7"/>
      <c r="BV1295" s="16">
        <f>SUM(BQ1295:BU1295)</f>
        <v>0</v>
      </c>
      <c r="BX1295" s="6"/>
      <c r="BY1295" s="7"/>
      <c r="BZ1295" s="7"/>
      <c r="CA1295" s="7"/>
      <c r="CB1295" s="7"/>
      <c r="CC1295" s="16">
        <f>SUM(BX1295:CB1295)</f>
        <v>0</v>
      </c>
      <c r="CE1295" s="28">
        <f t="shared" si="5969"/>
        <v>0</v>
      </c>
      <c r="CF1295" s="29">
        <f t="shared" si="5970"/>
        <v>0</v>
      </c>
      <c r="CG1295" s="29">
        <f t="shared" si="5971"/>
        <v>0</v>
      </c>
      <c r="CH1295" s="29">
        <f t="shared" si="5972"/>
        <v>0</v>
      </c>
      <c r="CI1295" s="29">
        <f t="shared" si="5973"/>
        <v>0</v>
      </c>
      <c r="CJ1295" s="8">
        <f>SUM(CE1295:CI1295)</f>
        <v>0</v>
      </c>
      <c r="CL1295" s="6"/>
      <c r="CM1295" s="7"/>
      <c r="CN1295" s="7"/>
      <c r="CO1295" s="7"/>
      <c r="CP1295" s="7"/>
      <c r="CQ1295" s="16">
        <f>SUM(CL1295:CP1295)</f>
        <v>0</v>
      </c>
      <c r="CS1295" s="6"/>
      <c r="CT1295" s="7"/>
      <c r="CU1295" s="7"/>
      <c r="CV1295" s="7"/>
      <c r="CW1295" s="7"/>
      <c r="CX1295" s="8">
        <f t="shared" si="5978"/>
        <v>0</v>
      </c>
      <c r="CZ1295" s="6"/>
      <c r="DA1295" s="7"/>
      <c r="DB1295" s="7"/>
      <c r="DC1295" s="7"/>
      <c r="DD1295" s="7"/>
      <c r="DE1295" s="16">
        <f t="shared" si="5979"/>
        <v>0</v>
      </c>
    </row>
    <row r="1296" spans="2:110" ht="14" thickBot="1">
      <c r="C1296" s="567"/>
      <c r="E1296" s="14" t="s">
        <v>62</v>
      </c>
      <c r="F1296" s="23">
        <f t="shared" si="5974"/>
        <v>0</v>
      </c>
      <c r="G1296" s="24">
        <f t="shared" si="5965"/>
        <v>0</v>
      </c>
      <c r="H1296" s="24">
        <f t="shared" si="5966"/>
        <v>0</v>
      </c>
      <c r="I1296" s="24">
        <f t="shared" si="5967"/>
        <v>0</v>
      </c>
      <c r="J1296" s="24">
        <f t="shared" si="5968"/>
        <v>0</v>
      </c>
      <c r="K1296" s="16">
        <f t="shared" si="5975"/>
        <v>0</v>
      </c>
      <c r="M1296" s="6"/>
      <c r="N1296" s="7"/>
      <c r="O1296" s="7"/>
      <c r="P1296" s="7"/>
      <c r="Q1296" s="7"/>
      <c r="R1296" s="16">
        <f t="shared" si="5976"/>
        <v>0</v>
      </c>
      <c r="T1296" s="6"/>
      <c r="U1296" s="7"/>
      <c r="V1296" s="7"/>
      <c r="W1296" s="7"/>
      <c r="X1296" s="7"/>
      <c r="Y1296" s="16">
        <f t="shared" si="5977"/>
        <v>0</v>
      </c>
      <c r="AA1296" s="6"/>
      <c r="AB1296" s="7"/>
      <c r="AC1296" s="7"/>
      <c r="AD1296" s="7"/>
      <c r="AE1296" s="7"/>
      <c r="AF1296" s="16">
        <f>SUM(AA1296:AE1296)</f>
        <v>0</v>
      </c>
      <c r="AH1296" s="6"/>
      <c r="AI1296" s="7"/>
      <c r="AJ1296" s="7"/>
      <c r="AK1296" s="7"/>
      <c r="AL1296" s="7"/>
      <c r="AM1296" s="16">
        <f>SUM(AH1296:AL1296)</f>
        <v>0</v>
      </c>
      <c r="AO1296" s="6"/>
      <c r="AP1296" s="7"/>
      <c r="AQ1296" s="7"/>
      <c r="AR1296" s="7"/>
      <c r="AS1296" s="7"/>
      <c r="AT1296" s="16">
        <f>SUM(AO1296:AS1296)</f>
        <v>0</v>
      </c>
      <c r="AV1296" s="6"/>
      <c r="AW1296" s="7"/>
      <c r="AX1296" s="7"/>
      <c r="AY1296" s="7"/>
      <c r="AZ1296" s="7"/>
      <c r="BA1296" s="16">
        <f>SUM(AV1296:AZ1296)</f>
        <v>0</v>
      </c>
      <c r="BC1296" s="6"/>
      <c r="BD1296" s="7"/>
      <c r="BE1296" s="7"/>
      <c r="BF1296" s="7"/>
      <c r="BG1296" s="7"/>
      <c r="BH1296" s="16">
        <f>SUM(BC1296:BG1296)</f>
        <v>0</v>
      </c>
      <c r="BJ1296" s="6"/>
      <c r="BK1296" s="7"/>
      <c r="BL1296" s="7"/>
      <c r="BM1296" s="7"/>
      <c r="BN1296" s="7"/>
      <c r="BO1296" s="16">
        <f>SUM(BJ1296:BN1296)</f>
        <v>0</v>
      </c>
      <c r="BQ1296" s="6"/>
      <c r="BR1296" s="7"/>
      <c r="BS1296" s="7"/>
      <c r="BT1296" s="7"/>
      <c r="BU1296" s="7"/>
      <c r="BV1296" s="16">
        <f>SUM(BQ1296:BU1296)</f>
        <v>0</v>
      </c>
      <c r="BX1296" s="6"/>
      <c r="BY1296" s="7"/>
      <c r="BZ1296" s="7"/>
      <c r="CA1296" s="7"/>
      <c r="CB1296" s="7"/>
      <c r="CC1296" s="16">
        <f>SUM(BX1296:CB1296)</f>
        <v>0</v>
      </c>
      <c r="CE1296" s="493">
        <f t="shared" si="5969"/>
        <v>0</v>
      </c>
      <c r="CF1296" s="494">
        <f t="shared" si="5970"/>
        <v>0</v>
      </c>
      <c r="CG1296" s="494">
        <f t="shared" si="5971"/>
        <v>0</v>
      </c>
      <c r="CH1296" s="494">
        <f t="shared" si="5972"/>
        <v>0</v>
      </c>
      <c r="CI1296" s="494">
        <f t="shared" si="5973"/>
        <v>0</v>
      </c>
      <c r="CJ1296" s="495">
        <f>SUM(CE1296:CI1296)</f>
        <v>0</v>
      </c>
      <c r="CL1296" s="6"/>
      <c r="CM1296" s="7"/>
      <c r="CN1296" s="7"/>
      <c r="CO1296" s="7"/>
      <c r="CP1296" s="7"/>
      <c r="CQ1296" s="16">
        <f>SUM(CL1296:CP1296)</f>
        <v>0</v>
      </c>
      <c r="CS1296" s="6"/>
      <c r="CT1296" s="7"/>
      <c r="CU1296" s="7"/>
      <c r="CV1296" s="7"/>
      <c r="CW1296" s="7"/>
      <c r="CX1296" s="8">
        <f t="shared" si="5978"/>
        <v>0</v>
      </c>
      <c r="CZ1296" s="6"/>
      <c r="DA1296" s="7"/>
      <c r="DB1296" s="7"/>
      <c r="DC1296" s="7"/>
      <c r="DD1296" s="7"/>
      <c r="DE1296" s="16">
        <f t="shared" si="5979"/>
        <v>0</v>
      </c>
    </row>
    <row r="1297" spans="3:109" ht="14" thickBot="1">
      <c r="C1297" s="554"/>
      <c r="E1297" s="17"/>
      <c r="F1297" s="10">
        <f>SUM(F1293:F1296)</f>
        <v>0</v>
      </c>
      <c r="G1297" s="11">
        <f t="shared" ref="G1297:J1297" si="5980">SUM(G1293:G1296)</f>
        <v>0</v>
      </c>
      <c r="H1297" s="11">
        <f t="shared" si="5980"/>
        <v>0</v>
      </c>
      <c r="I1297" s="11">
        <f t="shared" si="5980"/>
        <v>0</v>
      </c>
      <c r="J1297" s="11">
        <f t="shared" si="5980"/>
        <v>0</v>
      </c>
      <c r="K1297" s="25">
        <f>SUM(K1293:K1296)</f>
        <v>0</v>
      </c>
      <c r="M1297" s="10">
        <f>SUM(M1293:M1296)</f>
        <v>0</v>
      </c>
      <c r="N1297" s="11">
        <f t="shared" ref="N1297:Q1297" si="5981">SUM(N1293:N1296)</f>
        <v>0</v>
      </c>
      <c r="O1297" s="11">
        <f t="shared" si="5981"/>
        <v>0</v>
      </c>
      <c r="P1297" s="11">
        <f t="shared" si="5981"/>
        <v>0</v>
      </c>
      <c r="Q1297" s="11">
        <f t="shared" si="5981"/>
        <v>0</v>
      </c>
      <c r="R1297" s="25">
        <f>SUM(R1293:R1296)</f>
        <v>0</v>
      </c>
      <c r="T1297" s="10">
        <f>SUM(T1293:T1296)</f>
        <v>0</v>
      </c>
      <c r="U1297" s="11">
        <f t="shared" ref="U1297:X1297" si="5982">SUM(U1293:U1296)</f>
        <v>0</v>
      </c>
      <c r="V1297" s="11">
        <f t="shared" si="5982"/>
        <v>0</v>
      </c>
      <c r="W1297" s="11">
        <f t="shared" si="5982"/>
        <v>0</v>
      </c>
      <c r="X1297" s="11">
        <f t="shared" si="5982"/>
        <v>0</v>
      </c>
      <c r="Y1297" s="25">
        <f>SUM(Y1293:Y1296)</f>
        <v>0</v>
      </c>
      <c r="AA1297" s="10">
        <f>SUM(AA1293:AA1296)</f>
        <v>0</v>
      </c>
      <c r="AB1297" s="11">
        <f t="shared" ref="AB1297:AE1297" si="5983">SUM(AB1293:AB1296)</f>
        <v>0</v>
      </c>
      <c r="AC1297" s="11">
        <f t="shared" si="5983"/>
        <v>0</v>
      </c>
      <c r="AD1297" s="11">
        <f t="shared" si="5983"/>
        <v>0</v>
      </c>
      <c r="AE1297" s="11">
        <f t="shared" si="5983"/>
        <v>0</v>
      </c>
      <c r="AF1297" s="25">
        <f>SUM(AF1293:AF1296)</f>
        <v>0</v>
      </c>
      <c r="AH1297" s="10">
        <f>SUM(AH1293:AH1296)</f>
        <v>0</v>
      </c>
      <c r="AI1297" s="11">
        <f t="shared" ref="AI1297:AL1297" si="5984">SUM(AI1293:AI1296)</f>
        <v>0</v>
      </c>
      <c r="AJ1297" s="11">
        <f t="shared" si="5984"/>
        <v>0</v>
      </c>
      <c r="AK1297" s="11">
        <f t="shared" si="5984"/>
        <v>0</v>
      </c>
      <c r="AL1297" s="11">
        <f t="shared" si="5984"/>
        <v>0</v>
      </c>
      <c r="AM1297" s="25">
        <f>SUM(AM1293:AM1296)</f>
        <v>0</v>
      </c>
      <c r="AO1297" s="10">
        <f>SUM(AO1293:AO1296)</f>
        <v>0</v>
      </c>
      <c r="AP1297" s="11">
        <f t="shared" ref="AP1297:AS1297" si="5985">SUM(AP1293:AP1296)</f>
        <v>0</v>
      </c>
      <c r="AQ1297" s="11">
        <f t="shared" si="5985"/>
        <v>0</v>
      </c>
      <c r="AR1297" s="11">
        <f t="shared" si="5985"/>
        <v>0</v>
      </c>
      <c r="AS1297" s="11">
        <f t="shared" si="5985"/>
        <v>0</v>
      </c>
      <c r="AT1297" s="25">
        <f>SUM(AT1293:AT1296)</f>
        <v>0</v>
      </c>
      <c r="AV1297" s="10">
        <f>SUM(AV1293:AV1296)</f>
        <v>0</v>
      </c>
      <c r="AW1297" s="11">
        <f t="shared" ref="AW1297:AZ1297" si="5986">SUM(AW1293:AW1296)</f>
        <v>0</v>
      </c>
      <c r="AX1297" s="11">
        <f t="shared" si="5986"/>
        <v>0</v>
      </c>
      <c r="AY1297" s="11">
        <f t="shared" si="5986"/>
        <v>0</v>
      </c>
      <c r="AZ1297" s="11">
        <f t="shared" si="5986"/>
        <v>0</v>
      </c>
      <c r="BA1297" s="25">
        <f>SUM(BA1293:BA1296)</f>
        <v>0</v>
      </c>
      <c r="BC1297" s="10">
        <f>SUM(BC1293:BC1296)</f>
        <v>0</v>
      </c>
      <c r="BD1297" s="11">
        <f t="shared" ref="BD1297:BG1297" si="5987">SUM(BD1293:BD1296)</f>
        <v>0</v>
      </c>
      <c r="BE1297" s="11">
        <f t="shared" si="5987"/>
        <v>0</v>
      </c>
      <c r="BF1297" s="11">
        <f t="shared" si="5987"/>
        <v>0</v>
      </c>
      <c r="BG1297" s="11">
        <f t="shared" si="5987"/>
        <v>0</v>
      </c>
      <c r="BH1297" s="25">
        <f>SUM(BH1293:BH1296)</f>
        <v>0</v>
      </c>
      <c r="BJ1297" s="10">
        <f>SUM(BJ1293:BJ1296)</f>
        <v>0</v>
      </c>
      <c r="BK1297" s="11">
        <f t="shared" ref="BK1297:BN1297" si="5988">SUM(BK1293:BK1296)</f>
        <v>0</v>
      </c>
      <c r="BL1297" s="11">
        <f t="shared" si="5988"/>
        <v>0</v>
      </c>
      <c r="BM1297" s="11">
        <f t="shared" si="5988"/>
        <v>0</v>
      </c>
      <c r="BN1297" s="11">
        <f t="shared" si="5988"/>
        <v>0</v>
      </c>
      <c r="BO1297" s="25">
        <f>SUM(BO1293:BO1296)</f>
        <v>0</v>
      </c>
      <c r="BQ1297" s="10">
        <f>SUM(BQ1293:BQ1296)</f>
        <v>0</v>
      </c>
      <c r="BR1297" s="11">
        <f t="shared" ref="BR1297:BU1297" si="5989">SUM(BR1293:BR1296)</f>
        <v>0</v>
      </c>
      <c r="BS1297" s="11">
        <f t="shared" si="5989"/>
        <v>0</v>
      </c>
      <c r="BT1297" s="11">
        <f t="shared" si="5989"/>
        <v>0</v>
      </c>
      <c r="BU1297" s="11">
        <f t="shared" si="5989"/>
        <v>0</v>
      </c>
      <c r="BV1297" s="25">
        <f>SUM(BV1293:BV1296)</f>
        <v>0</v>
      </c>
      <c r="BX1297" s="10">
        <f>SUM(BX1293:BX1296)</f>
        <v>0</v>
      </c>
      <c r="BY1297" s="11">
        <f t="shared" ref="BY1297:CB1297" si="5990">SUM(BY1293:BY1296)</f>
        <v>0</v>
      </c>
      <c r="BZ1297" s="11">
        <f t="shared" si="5990"/>
        <v>0</v>
      </c>
      <c r="CA1297" s="11">
        <f t="shared" si="5990"/>
        <v>0</v>
      </c>
      <c r="CB1297" s="11">
        <f t="shared" si="5990"/>
        <v>0</v>
      </c>
      <c r="CC1297" s="25">
        <f>SUM(CC1293:CC1296)</f>
        <v>0</v>
      </c>
      <c r="CE1297" s="62">
        <f t="shared" ref="CE1297:CJ1297" si="5991">SUM(CE1293:CE1296)</f>
        <v>0</v>
      </c>
      <c r="CF1297" s="63">
        <f t="shared" si="5991"/>
        <v>0</v>
      </c>
      <c r="CG1297" s="63">
        <f t="shared" si="5991"/>
        <v>0</v>
      </c>
      <c r="CH1297" s="63">
        <f t="shared" si="5991"/>
        <v>0</v>
      </c>
      <c r="CI1297" s="63">
        <f t="shared" si="5991"/>
        <v>0</v>
      </c>
      <c r="CJ1297" s="25">
        <f t="shared" si="5991"/>
        <v>0</v>
      </c>
      <c r="CL1297" s="10">
        <f>SUM(CL1293:CL1296)</f>
        <v>0</v>
      </c>
      <c r="CM1297" s="11">
        <f t="shared" ref="CM1297:CP1297" si="5992">SUM(CM1293:CM1296)</f>
        <v>0</v>
      </c>
      <c r="CN1297" s="11">
        <f t="shared" si="5992"/>
        <v>0</v>
      </c>
      <c r="CO1297" s="11">
        <f t="shared" si="5992"/>
        <v>0</v>
      </c>
      <c r="CP1297" s="11">
        <f t="shared" si="5992"/>
        <v>0</v>
      </c>
      <c r="CQ1297" s="25">
        <f>SUM(CQ1293:CQ1296)</f>
        <v>0</v>
      </c>
      <c r="CS1297" s="10">
        <f>SUM(CS1293:CS1296)</f>
        <v>0</v>
      </c>
      <c r="CT1297" s="11">
        <f t="shared" ref="CT1297:CW1297" si="5993">SUM(CT1293:CT1296)</f>
        <v>0</v>
      </c>
      <c r="CU1297" s="11">
        <f t="shared" si="5993"/>
        <v>0</v>
      </c>
      <c r="CV1297" s="11">
        <f t="shared" si="5993"/>
        <v>0</v>
      </c>
      <c r="CW1297" s="11">
        <f t="shared" si="5993"/>
        <v>0</v>
      </c>
      <c r="CX1297" s="25">
        <f>SUM(CX1293:CX1296)</f>
        <v>0</v>
      </c>
      <c r="CZ1297" s="10">
        <f>SUM(CZ1293:CZ1296)</f>
        <v>0</v>
      </c>
      <c r="DA1297" s="11">
        <f t="shared" ref="DA1297:DD1297" si="5994">SUM(DA1293:DA1296)</f>
        <v>0</v>
      </c>
      <c r="DB1297" s="11">
        <f t="shared" si="5994"/>
        <v>0</v>
      </c>
      <c r="DC1297" s="11">
        <f t="shared" si="5994"/>
        <v>0</v>
      </c>
      <c r="DD1297" s="11">
        <f t="shared" si="5994"/>
        <v>0</v>
      </c>
      <c r="DE1297" s="25">
        <f>SUM(DE1293:DE1296)</f>
        <v>0</v>
      </c>
    </row>
    <row r="1298" spans="3:109" ht="10.4" customHeight="1" thickBot="1"/>
    <row r="1299" spans="3:109">
      <c r="C1299" s="553">
        <v>2026</v>
      </c>
      <c r="E1299" s="1" t="s">
        <v>59</v>
      </c>
      <c r="F1299" s="21">
        <f>CE1293</f>
        <v>0</v>
      </c>
      <c r="G1299" s="22">
        <f t="shared" ref="G1299:G1302" si="5995">CF1293</f>
        <v>0</v>
      </c>
      <c r="H1299" s="22">
        <f t="shared" ref="H1299:H1302" si="5996">CG1293</f>
        <v>0</v>
      </c>
      <c r="I1299" s="22">
        <f t="shared" ref="I1299:I1302" si="5997">CH1293</f>
        <v>0</v>
      </c>
      <c r="J1299" s="22">
        <f t="shared" ref="J1299:J1302" si="5998">CI1293</f>
        <v>0</v>
      </c>
      <c r="K1299" s="4">
        <f>SUM(F1299:J1299)</f>
        <v>0</v>
      </c>
      <c r="M1299" s="2"/>
      <c r="N1299" s="3"/>
      <c r="O1299" s="3"/>
      <c r="P1299" s="3"/>
      <c r="Q1299" s="3"/>
      <c r="R1299" s="4">
        <f>SUM(M1299:Q1299)</f>
        <v>0</v>
      </c>
      <c r="T1299" s="2"/>
      <c r="U1299" s="3"/>
      <c r="V1299" s="3"/>
      <c r="W1299" s="3"/>
      <c r="X1299" s="3"/>
      <c r="Y1299" s="4">
        <f>SUM(T1299:X1299)</f>
        <v>0</v>
      </c>
      <c r="AA1299" s="2"/>
      <c r="AB1299" s="3"/>
      <c r="AC1299" s="3"/>
      <c r="AD1299" s="3"/>
      <c r="AE1299" s="3"/>
      <c r="AF1299" s="4">
        <f>SUM(AA1299:AE1299)</f>
        <v>0</v>
      </c>
      <c r="AH1299" s="2"/>
      <c r="AI1299" s="3"/>
      <c r="AJ1299" s="3"/>
      <c r="AK1299" s="3"/>
      <c r="AL1299" s="3"/>
      <c r="AM1299" s="4">
        <f>SUM(AH1299:AL1299)</f>
        <v>0</v>
      </c>
      <c r="AO1299" s="2"/>
      <c r="AP1299" s="3"/>
      <c r="AQ1299" s="3"/>
      <c r="AR1299" s="3"/>
      <c r="AS1299" s="3"/>
      <c r="AT1299" s="4">
        <f>SUM(AO1299:AS1299)</f>
        <v>0</v>
      </c>
      <c r="AV1299" s="2"/>
      <c r="AW1299" s="3"/>
      <c r="AX1299" s="3"/>
      <c r="AY1299" s="3"/>
      <c r="AZ1299" s="3"/>
      <c r="BA1299" s="4">
        <f>SUM(AV1299:AZ1299)</f>
        <v>0</v>
      </c>
      <c r="BC1299" s="2"/>
      <c r="BD1299" s="3"/>
      <c r="BE1299" s="3"/>
      <c r="BF1299" s="3"/>
      <c r="BG1299" s="3"/>
      <c r="BH1299" s="4">
        <f>SUM(BC1299:BG1299)</f>
        <v>0</v>
      </c>
      <c r="BJ1299" s="2"/>
      <c r="BK1299" s="3"/>
      <c r="BL1299" s="3"/>
      <c r="BM1299" s="3"/>
      <c r="BN1299" s="3"/>
      <c r="BO1299" s="4">
        <f>SUM(BJ1299:BN1299)</f>
        <v>0</v>
      </c>
      <c r="BQ1299" s="2"/>
      <c r="BR1299" s="3"/>
      <c r="BS1299" s="3"/>
      <c r="BT1299" s="3"/>
      <c r="BU1299" s="3"/>
      <c r="BV1299" s="4">
        <f>SUM(BQ1299:BU1299)</f>
        <v>0</v>
      </c>
      <c r="BX1299" s="2"/>
      <c r="BY1299" s="3"/>
      <c r="BZ1299" s="3"/>
      <c r="CA1299" s="3"/>
      <c r="CB1299" s="3"/>
      <c r="CC1299" s="4">
        <f>SUM(BX1299:CB1299)</f>
        <v>0</v>
      </c>
      <c r="CE1299" s="26">
        <f t="shared" ref="CE1299:CE1302" si="5999">F1299+M1299+T1299+AA1299+AH1299+AO1299+AV1299+BC1299+BJ1299+BQ1299+BX1299</f>
        <v>0</v>
      </c>
      <c r="CF1299" s="27">
        <f t="shared" ref="CF1299:CF1302" si="6000">G1299+N1299+U1299+AB1299+AI1299+AP1299+AW1299+BD1299+BK1299+BR1299+BY1299</f>
        <v>0</v>
      </c>
      <c r="CG1299" s="27">
        <f t="shared" ref="CG1299:CG1302" si="6001">H1299+O1299+V1299+AC1299+AJ1299+AQ1299+AX1299+BE1299+BL1299+BS1299+BZ1299</f>
        <v>0</v>
      </c>
      <c r="CH1299" s="27">
        <f t="shared" ref="CH1299:CH1302" si="6002">I1299+P1299+W1299+AD1299+AK1299+AR1299+AY1299+BF1299+BM1299+BT1299+CA1299</f>
        <v>0</v>
      </c>
      <c r="CI1299" s="27">
        <f t="shared" ref="CI1299:CI1302" si="6003">J1299+Q1299+X1299+AE1299+AL1299+AS1299+AZ1299+BG1299+BN1299+BU1299+CB1299</f>
        <v>0</v>
      </c>
      <c r="CJ1299" s="4">
        <f>SUM(CE1299:CI1299)</f>
        <v>0</v>
      </c>
      <c r="CL1299" s="2"/>
      <c r="CM1299" s="3"/>
      <c r="CN1299" s="3"/>
      <c r="CO1299" s="3"/>
      <c r="CP1299" s="3"/>
      <c r="CQ1299" s="4">
        <f>SUM(CL1299:CP1299)</f>
        <v>0</v>
      </c>
      <c r="CS1299" s="2"/>
      <c r="CT1299" s="3"/>
      <c r="CU1299" s="3"/>
      <c r="CV1299" s="3"/>
      <c r="CW1299" s="3"/>
      <c r="CX1299" s="4">
        <f>SUM(CS1299:CW1299)</f>
        <v>0</v>
      </c>
      <c r="CZ1299" s="2"/>
      <c r="DA1299" s="3"/>
      <c r="DB1299" s="3"/>
      <c r="DC1299" s="3"/>
      <c r="DD1299" s="3"/>
      <c r="DE1299" s="4">
        <f>SUM(CZ1299:DD1299)</f>
        <v>0</v>
      </c>
    </row>
    <row r="1300" spans="3:109">
      <c r="C1300" s="567"/>
      <c r="E1300" s="5" t="s">
        <v>60</v>
      </c>
      <c r="F1300" s="23">
        <f t="shared" ref="F1300:F1302" si="6004">CE1294</f>
        <v>0</v>
      </c>
      <c r="G1300" s="24">
        <f t="shared" si="5995"/>
        <v>0</v>
      </c>
      <c r="H1300" s="24">
        <f t="shared" si="5996"/>
        <v>0</v>
      </c>
      <c r="I1300" s="24">
        <f t="shared" si="5997"/>
        <v>0</v>
      </c>
      <c r="J1300" s="24">
        <f t="shared" si="5998"/>
        <v>0</v>
      </c>
      <c r="K1300" s="8">
        <f t="shared" ref="K1300:K1302" si="6005">SUM(F1300:J1300)</f>
        <v>0</v>
      </c>
      <c r="M1300" s="6"/>
      <c r="N1300" s="7"/>
      <c r="O1300" s="7"/>
      <c r="P1300" s="7"/>
      <c r="Q1300" s="7"/>
      <c r="R1300" s="8">
        <f t="shared" ref="R1300:R1302" si="6006">SUM(M1300:Q1300)</f>
        <v>0</v>
      </c>
      <c r="T1300" s="6"/>
      <c r="U1300" s="7"/>
      <c r="V1300" s="7"/>
      <c r="W1300" s="7"/>
      <c r="X1300" s="7"/>
      <c r="Y1300" s="8">
        <f t="shared" ref="Y1300:Y1302" si="6007">SUM(T1300:X1300)</f>
        <v>0</v>
      </c>
      <c r="AA1300" s="6"/>
      <c r="AB1300" s="7"/>
      <c r="AC1300" s="7"/>
      <c r="AD1300" s="7"/>
      <c r="AE1300" s="7"/>
      <c r="AF1300" s="8">
        <f>SUM(AA1300:AE1300)</f>
        <v>0</v>
      </c>
      <c r="AH1300" s="6"/>
      <c r="AI1300" s="7"/>
      <c r="AJ1300" s="7"/>
      <c r="AK1300" s="7"/>
      <c r="AL1300" s="7"/>
      <c r="AM1300" s="8">
        <f>SUM(AH1300:AL1300)</f>
        <v>0</v>
      </c>
      <c r="AO1300" s="6"/>
      <c r="AP1300" s="7"/>
      <c r="AQ1300" s="7"/>
      <c r="AR1300" s="7"/>
      <c r="AS1300" s="7"/>
      <c r="AT1300" s="8">
        <f>SUM(AO1300:AS1300)</f>
        <v>0</v>
      </c>
      <c r="AV1300" s="6"/>
      <c r="AW1300" s="7"/>
      <c r="AX1300" s="7"/>
      <c r="AY1300" s="7"/>
      <c r="AZ1300" s="7"/>
      <c r="BA1300" s="8">
        <f>SUM(AV1300:AZ1300)</f>
        <v>0</v>
      </c>
      <c r="BC1300" s="6"/>
      <c r="BD1300" s="7"/>
      <c r="BE1300" s="7"/>
      <c r="BF1300" s="7"/>
      <c r="BG1300" s="7"/>
      <c r="BH1300" s="8">
        <f>SUM(BC1300:BG1300)</f>
        <v>0</v>
      </c>
      <c r="BJ1300" s="6"/>
      <c r="BK1300" s="7"/>
      <c r="BL1300" s="7"/>
      <c r="BM1300" s="7"/>
      <c r="BN1300" s="7"/>
      <c r="BO1300" s="8">
        <f>SUM(BJ1300:BN1300)</f>
        <v>0</v>
      </c>
      <c r="BQ1300" s="6"/>
      <c r="BR1300" s="7"/>
      <c r="BS1300" s="7"/>
      <c r="BT1300" s="7"/>
      <c r="BU1300" s="7"/>
      <c r="BV1300" s="8">
        <f>SUM(BQ1300:BU1300)</f>
        <v>0</v>
      </c>
      <c r="BX1300" s="6"/>
      <c r="BY1300" s="7"/>
      <c r="BZ1300" s="7"/>
      <c r="CA1300" s="7"/>
      <c r="CB1300" s="7"/>
      <c r="CC1300" s="8">
        <f>SUM(BX1300:CB1300)</f>
        <v>0</v>
      </c>
      <c r="CE1300" s="28">
        <f t="shared" si="5999"/>
        <v>0</v>
      </c>
      <c r="CF1300" s="29">
        <f t="shared" si="6000"/>
        <v>0</v>
      </c>
      <c r="CG1300" s="29">
        <f t="shared" si="6001"/>
        <v>0</v>
      </c>
      <c r="CH1300" s="29">
        <f t="shared" si="6002"/>
        <v>0</v>
      </c>
      <c r="CI1300" s="29">
        <f t="shared" si="6003"/>
        <v>0</v>
      </c>
      <c r="CJ1300" s="8">
        <f>SUM(CE1300:CI1300)</f>
        <v>0</v>
      </c>
      <c r="CL1300" s="6"/>
      <c r="CM1300" s="7"/>
      <c r="CN1300" s="7"/>
      <c r="CO1300" s="7"/>
      <c r="CP1300" s="7"/>
      <c r="CQ1300" s="8">
        <f>SUM(CL1300:CP1300)</f>
        <v>0</v>
      </c>
      <c r="CS1300" s="6"/>
      <c r="CT1300" s="7"/>
      <c r="CU1300" s="7"/>
      <c r="CV1300" s="7"/>
      <c r="CW1300" s="7"/>
      <c r="CX1300" s="8">
        <f t="shared" ref="CX1300:CX1302" si="6008">SUM(CS1300:CW1300)</f>
        <v>0</v>
      </c>
      <c r="CZ1300" s="6"/>
      <c r="DA1300" s="7"/>
      <c r="DB1300" s="7"/>
      <c r="DC1300" s="7"/>
      <c r="DD1300" s="7"/>
      <c r="DE1300" s="8">
        <f t="shared" ref="DE1300:DE1302" si="6009">SUM(CZ1300:DD1300)</f>
        <v>0</v>
      </c>
    </row>
    <row r="1301" spans="3:109">
      <c r="C1301" s="567"/>
      <c r="E1301" s="5" t="s">
        <v>61</v>
      </c>
      <c r="F1301" s="23">
        <f t="shared" si="6004"/>
        <v>0</v>
      </c>
      <c r="G1301" s="24">
        <f t="shared" si="5995"/>
        <v>0</v>
      </c>
      <c r="H1301" s="24">
        <f t="shared" si="5996"/>
        <v>0</v>
      </c>
      <c r="I1301" s="24">
        <f t="shared" si="5997"/>
        <v>0</v>
      </c>
      <c r="J1301" s="24">
        <f t="shared" si="5998"/>
        <v>0</v>
      </c>
      <c r="K1301" s="8">
        <f t="shared" si="6005"/>
        <v>0</v>
      </c>
      <c r="M1301" s="6"/>
      <c r="N1301" s="7"/>
      <c r="O1301" s="7"/>
      <c r="P1301" s="7"/>
      <c r="Q1301" s="7"/>
      <c r="R1301" s="8">
        <f t="shared" si="6006"/>
        <v>0</v>
      </c>
      <c r="T1301" s="6"/>
      <c r="U1301" s="7"/>
      <c r="V1301" s="7"/>
      <c r="W1301" s="7"/>
      <c r="X1301" s="7"/>
      <c r="Y1301" s="8">
        <f t="shared" si="6007"/>
        <v>0</v>
      </c>
      <c r="AA1301" s="6"/>
      <c r="AB1301" s="7"/>
      <c r="AC1301" s="7"/>
      <c r="AD1301" s="7"/>
      <c r="AE1301" s="7"/>
      <c r="AF1301" s="8">
        <f>SUM(AA1301:AE1301)</f>
        <v>0</v>
      </c>
      <c r="AH1301" s="6"/>
      <c r="AI1301" s="7"/>
      <c r="AJ1301" s="7"/>
      <c r="AK1301" s="7"/>
      <c r="AL1301" s="7"/>
      <c r="AM1301" s="8">
        <f>SUM(AH1301:AL1301)</f>
        <v>0</v>
      </c>
      <c r="AO1301" s="6"/>
      <c r="AP1301" s="7"/>
      <c r="AQ1301" s="7"/>
      <c r="AR1301" s="7"/>
      <c r="AS1301" s="7"/>
      <c r="AT1301" s="8">
        <f>SUM(AO1301:AS1301)</f>
        <v>0</v>
      </c>
      <c r="AV1301" s="6"/>
      <c r="AW1301" s="7"/>
      <c r="AX1301" s="7"/>
      <c r="AY1301" s="7"/>
      <c r="AZ1301" s="7"/>
      <c r="BA1301" s="8">
        <f>SUM(AV1301:AZ1301)</f>
        <v>0</v>
      </c>
      <c r="BC1301" s="6"/>
      <c r="BD1301" s="7"/>
      <c r="BE1301" s="7"/>
      <c r="BF1301" s="7"/>
      <c r="BG1301" s="7"/>
      <c r="BH1301" s="8">
        <f>SUM(BC1301:BG1301)</f>
        <v>0</v>
      </c>
      <c r="BJ1301" s="6"/>
      <c r="BK1301" s="7"/>
      <c r="BL1301" s="7"/>
      <c r="BM1301" s="7"/>
      <c r="BN1301" s="7"/>
      <c r="BO1301" s="8">
        <f>SUM(BJ1301:BN1301)</f>
        <v>0</v>
      </c>
      <c r="BQ1301" s="6"/>
      <c r="BR1301" s="7"/>
      <c r="BS1301" s="7"/>
      <c r="BT1301" s="7"/>
      <c r="BU1301" s="7"/>
      <c r="BV1301" s="8">
        <f>SUM(BQ1301:BU1301)</f>
        <v>0</v>
      </c>
      <c r="BX1301" s="6"/>
      <c r="BY1301" s="7"/>
      <c r="BZ1301" s="7"/>
      <c r="CA1301" s="7"/>
      <c r="CB1301" s="7"/>
      <c r="CC1301" s="8">
        <f>SUM(BX1301:CB1301)</f>
        <v>0</v>
      </c>
      <c r="CE1301" s="28">
        <f t="shared" si="5999"/>
        <v>0</v>
      </c>
      <c r="CF1301" s="29">
        <f t="shared" si="6000"/>
        <v>0</v>
      </c>
      <c r="CG1301" s="29">
        <f t="shared" si="6001"/>
        <v>0</v>
      </c>
      <c r="CH1301" s="29">
        <f t="shared" si="6002"/>
        <v>0</v>
      </c>
      <c r="CI1301" s="29">
        <f t="shared" si="6003"/>
        <v>0</v>
      </c>
      <c r="CJ1301" s="8">
        <f>SUM(CE1301:CI1301)</f>
        <v>0</v>
      </c>
      <c r="CL1301" s="6"/>
      <c r="CM1301" s="7"/>
      <c r="CN1301" s="7"/>
      <c r="CO1301" s="7"/>
      <c r="CP1301" s="7"/>
      <c r="CQ1301" s="8">
        <f>SUM(CL1301:CP1301)</f>
        <v>0</v>
      </c>
      <c r="CS1301" s="6"/>
      <c r="CT1301" s="7"/>
      <c r="CU1301" s="7"/>
      <c r="CV1301" s="7"/>
      <c r="CW1301" s="7"/>
      <c r="CX1301" s="8">
        <f t="shared" si="6008"/>
        <v>0</v>
      </c>
      <c r="CZ1301" s="6"/>
      <c r="DA1301" s="7"/>
      <c r="DB1301" s="7"/>
      <c r="DC1301" s="7"/>
      <c r="DD1301" s="7"/>
      <c r="DE1301" s="8">
        <f t="shared" si="6009"/>
        <v>0</v>
      </c>
    </row>
    <row r="1302" spans="3:109" ht="14" thickBot="1">
      <c r="C1302" s="567"/>
      <c r="E1302" s="5" t="s">
        <v>62</v>
      </c>
      <c r="F1302" s="23">
        <f t="shared" si="6004"/>
        <v>0</v>
      </c>
      <c r="G1302" s="24">
        <f t="shared" si="5995"/>
        <v>0</v>
      </c>
      <c r="H1302" s="24">
        <f t="shared" si="5996"/>
        <v>0</v>
      </c>
      <c r="I1302" s="24">
        <f t="shared" si="5997"/>
        <v>0</v>
      </c>
      <c r="J1302" s="24">
        <f t="shared" si="5998"/>
        <v>0</v>
      </c>
      <c r="K1302" s="8">
        <f t="shared" si="6005"/>
        <v>0</v>
      </c>
      <c r="M1302" s="6"/>
      <c r="N1302" s="7"/>
      <c r="O1302" s="7"/>
      <c r="P1302" s="7"/>
      <c r="Q1302" s="7"/>
      <c r="R1302" s="8">
        <f t="shared" si="6006"/>
        <v>0</v>
      </c>
      <c r="T1302" s="6"/>
      <c r="U1302" s="7"/>
      <c r="V1302" s="7"/>
      <c r="W1302" s="7"/>
      <c r="X1302" s="7"/>
      <c r="Y1302" s="8">
        <f t="shared" si="6007"/>
        <v>0</v>
      </c>
      <c r="AA1302" s="6"/>
      <c r="AB1302" s="7"/>
      <c r="AC1302" s="7"/>
      <c r="AD1302" s="7"/>
      <c r="AE1302" s="7"/>
      <c r="AF1302" s="8">
        <f>SUM(AA1302:AE1302)</f>
        <v>0</v>
      </c>
      <c r="AH1302" s="6"/>
      <c r="AI1302" s="7"/>
      <c r="AJ1302" s="7"/>
      <c r="AK1302" s="7"/>
      <c r="AL1302" s="7"/>
      <c r="AM1302" s="8">
        <f>SUM(AH1302:AL1302)</f>
        <v>0</v>
      </c>
      <c r="AO1302" s="6"/>
      <c r="AP1302" s="7"/>
      <c r="AQ1302" s="7"/>
      <c r="AR1302" s="7"/>
      <c r="AS1302" s="7"/>
      <c r="AT1302" s="8">
        <f>SUM(AO1302:AS1302)</f>
        <v>0</v>
      </c>
      <c r="AV1302" s="6"/>
      <c r="AW1302" s="7"/>
      <c r="AX1302" s="7"/>
      <c r="AY1302" s="7"/>
      <c r="AZ1302" s="7"/>
      <c r="BA1302" s="8">
        <f>SUM(AV1302:AZ1302)</f>
        <v>0</v>
      </c>
      <c r="BC1302" s="6"/>
      <c r="BD1302" s="7"/>
      <c r="BE1302" s="7"/>
      <c r="BF1302" s="7"/>
      <c r="BG1302" s="7"/>
      <c r="BH1302" s="8">
        <f>SUM(BC1302:BG1302)</f>
        <v>0</v>
      </c>
      <c r="BJ1302" s="6"/>
      <c r="BK1302" s="7"/>
      <c r="BL1302" s="7"/>
      <c r="BM1302" s="7"/>
      <c r="BN1302" s="7"/>
      <c r="BO1302" s="8">
        <f>SUM(BJ1302:BN1302)</f>
        <v>0</v>
      </c>
      <c r="BQ1302" s="6"/>
      <c r="BR1302" s="7"/>
      <c r="BS1302" s="7"/>
      <c r="BT1302" s="7"/>
      <c r="BU1302" s="7"/>
      <c r="BV1302" s="8">
        <f>SUM(BQ1302:BU1302)</f>
        <v>0</v>
      </c>
      <c r="BX1302" s="6"/>
      <c r="BY1302" s="7"/>
      <c r="BZ1302" s="7"/>
      <c r="CA1302" s="7"/>
      <c r="CB1302" s="7"/>
      <c r="CC1302" s="8">
        <f>SUM(BX1302:CB1302)</f>
        <v>0</v>
      </c>
      <c r="CE1302" s="493">
        <f t="shared" si="5999"/>
        <v>0</v>
      </c>
      <c r="CF1302" s="494">
        <f t="shared" si="6000"/>
        <v>0</v>
      </c>
      <c r="CG1302" s="494">
        <f t="shared" si="6001"/>
        <v>0</v>
      </c>
      <c r="CH1302" s="494">
        <f t="shared" si="6002"/>
        <v>0</v>
      </c>
      <c r="CI1302" s="494">
        <f t="shared" si="6003"/>
        <v>0</v>
      </c>
      <c r="CJ1302" s="495">
        <f>SUM(CE1302:CI1302)</f>
        <v>0</v>
      </c>
      <c r="CL1302" s="6"/>
      <c r="CM1302" s="7"/>
      <c r="CN1302" s="7"/>
      <c r="CO1302" s="7"/>
      <c r="CP1302" s="7"/>
      <c r="CQ1302" s="8">
        <f>SUM(CL1302:CP1302)</f>
        <v>0</v>
      </c>
      <c r="CS1302" s="6"/>
      <c r="CT1302" s="7"/>
      <c r="CU1302" s="7"/>
      <c r="CV1302" s="7"/>
      <c r="CW1302" s="7"/>
      <c r="CX1302" s="8">
        <f t="shared" si="6008"/>
        <v>0</v>
      </c>
      <c r="CZ1302" s="6"/>
      <c r="DA1302" s="7"/>
      <c r="DB1302" s="7"/>
      <c r="DC1302" s="7"/>
      <c r="DD1302" s="7"/>
      <c r="DE1302" s="8">
        <f t="shared" si="6009"/>
        <v>0</v>
      </c>
    </row>
    <row r="1303" spans="3:109" ht="14" thickBot="1">
      <c r="C1303" s="554"/>
      <c r="E1303" s="9"/>
      <c r="F1303" s="10">
        <f>SUM(F1299:F1302)</f>
        <v>0</v>
      </c>
      <c r="G1303" s="11">
        <f t="shared" ref="G1303:J1303" si="6010">SUM(G1299:G1302)</f>
        <v>0</v>
      </c>
      <c r="H1303" s="11">
        <f t="shared" si="6010"/>
        <v>0</v>
      </c>
      <c r="I1303" s="11">
        <f t="shared" si="6010"/>
        <v>0</v>
      </c>
      <c r="J1303" s="11">
        <f t="shared" si="6010"/>
        <v>0</v>
      </c>
      <c r="K1303" s="25">
        <f>SUM(K1299:K1302)</f>
        <v>0</v>
      </c>
      <c r="M1303" s="10">
        <f>SUM(M1299:M1302)</f>
        <v>0</v>
      </c>
      <c r="N1303" s="11">
        <f t="shared" ref="N1303:Q1303" si="6011">SUM(N1299:N1302)</f>
        <v>0</v>
      </c>
      <c r="O1303" s="11">
        <f t="shared" si="6011"/>
        <v>0</v>
      </c>
      <c r="P1303" s="11">
        <f t="shared" si="6011"/>
        <v>0</v>
      </c>
      <c r="Q1303" s="11">
        <f t="shared" si="6011"/>
        <v>0</v>
      </c>
      <c r="R1303" s="25">
        <f>SUM(R1299:R1302)</f>
        <v>0</v>
      </c>
      <c r="T1303" s="10">
        <f>SUM(T1299:T1302)</f>
        <v>0</v>
      </c>
      <c r="U1303" s="11">
        <f t="shared" ref="U1303:X1303" si="6012">SUM(U1299:U1302)</f>
        <v>0</v>
      </c>
      <c r="V1303" s="11">
        <f t="shared" si="6012"/>
        <v>0</v>
      </c>
      <c r="W1303" s="11">
        <f t="shared" si="6012"/>
        <v>0</v>
      </c>
      <c r="X1303" s="11">
        <f t="shared" si="6012"/>
        <v>0</v>
      </c>
      <c r="Y1303" s="25">
        <f>SUM(Y1299:Y1302)</f>
        <v>0</v>
      </c>
      <c r="AA1303" s="10">
        <f>SUM(AA1299:AA1302)</f>
        <v>0</v>
      </c>
      <c r="AB1303" s="11">
        <f t="shared" ref="AB1303:AE1303" si="6013">SUM(AB1299:AB1302)</f>
        <v>0</v>
      </c>
      <c r="AC1303" s="11">
        <f t="shared" si="6013"/>
        <v>0</v>
      </c>
      <c r="AD1303" s="11">
        <f t="shared" si="6013"/>
        <v>0</v>
      </c>
      <c r="AE1303" s="11">
        <f t="shared" si="6013"/>
        <v>0</v>
      </c>
      <c r="AF1303" s="25">
        <f>SUM(AF1299:AF1302)</f>
        <v>0</v>
      </c>
      <c r="AH1303" s="10">
        <f>SUM(AH1299:AH1302)</f>
        <v>0</v>
      </c>
      <c r="AI1303" s="11">
        <f t="shared" ref="AI1303:AL1303" si="6014">SUM(AI1299:AI1302)</f>
        <v>0</v>
      </c>
      <c r="AJ1303" s="11">
        <f t="shared" si="6014"/>
        <v>0</v>
      </c>
      <c r="AK1303" s="11">
        <f t="shared" si="6014"/>
        <v>0</v>
      </c>
      <c r="AL1303" s="11">
        <f t="shared" si="6014"/>
        <v>0</v>
      </c>
      <c r="AM1303" s="25">
        <f>SUM(AM1299:AM1302)</f>
        <v>0</v>
      </c>
      <c r="AO1303" s="10">
        <f>SUM(AO1299:AO1302)</f>
        <v>0</v>
      </c>
      <c r="AP1303" s="11">
        <f t="shared" ref="AP1303:AS1303" si="6015">SUM(AP1299:AP1302)</f>
        <v>0</v>
      </c>
      <c r="AQ1303" s="11">
        <f t="shared" si="6015"/>
        <v>0</v>
      </c>
      <c r="AR1303" s="11">
        <f t="shared" si="6015"/>
        <v>0</v>
      </c>
      <c r="AS1303" s="11">
        <f t="shared" si="6015"/>
        <v>0</v>
      </c>
      <c r="AT1303" s="25">
        <f>SUM(AT1299:AT1302)</f>
        <v>0</v>
      </c>
      <c r="AV1303" s="10">
        <f>SUM(AV1299:AV1302)</f>
        <v>0</v>
      </c>
      <c r="AW1303" s="11">
        <f t="shared" ref="AW1303:AZ1303" si="6016">SUM(AW1299:AW1302)</f>
        <v>0</v>
      </c>
      <c r="AX1303" s="11">
        <f t="shared" si="6016"/>
        <v>0</v>
      </c>
      <c r="AY1303" s="11">
        <f t="shared" si="6016"/>
        <v>0</v>
      </c>
      <c r="AZ1303" s="11">
        <f t="shared" si="6016"/>
        <v>0</v>
      </c>
      <c r="BA1303" s="25">
        <f>SUM(BA1299:BA1302)</f>
        <v>0</v>
      </c>
      <c r="BC1303" s="10">
        <f>SUM(BC1299:BC1302)</f>
        <v>0</v>
      </c>
      <c r="BD1303" s="11">
        <f t="shared" ref="BD1303:BG1303" si="6017">SUM(BD1299:BD1302)</f>
        <v>0</v>
      </c>
      <c r="BE1303" s="11">
        <f t="shared" si="6017"/>
        <v>0</v>
      </c>
      <c r="BF1303" s="11">
        <f t="shared" si="6017"/>
        <v>0</v>
      </c>
      <c r="BG1303" s="11">
        <f t="shared" si="6017"/>
        <v>0</v>
      </c>
      <c r="BH1303" s="25">
        <f>SUM(BH1299:BH1302)</f>
        <v>0</v>
      </c>
      <c r="BJ1303" s="10">
        <f>SUM(BJ1299:BJ1302)</f>
        <v>0</v>
      </c>
      <c r="BK1303" s="11">
        <f t="shared" ref="BK1303:BN1303" si="6018">SUM(BK1299:BK1302)</f>
        <v>0</v>
      </c>
      <c r="BL1303" s="11">
        <f t="shared" si="6018"/>
        <v>0</v>
      </c>
      <c r="BM1303" s="11">
        <f t="shared" si="6018"/>
        <v>0</v>
      </c>
      <c r="BN1303" s="11">
        <f t="shared" si="6018"/>
        <v>0</v>
      </c>
      <c r="BO1303" s="25">
        <f>SUM(BO1299:BO1302)</f>
        <v>0</v>
      </c>
      <c r="BQ1303" s="10">
        <f>SUM(BQ1299:BQ1302)</f>
        <v>0</v>
      </c>
      <c r="BR1303" s="11">
        <f t="shared" ref="BR1303:BU1303" si="6019">SUM(BR1299:BR1302)</f>
        <v>0</v>
      </c>
      <c r="BS1303" s="11">
        <f t="shared" si="6019"/>
        <v>0</v>
      </c>
      <c r="BT1303" s="11">
        <f t="shared" si="6019"/>
        <v>0</v>
      </c>
      <c r="BU1303" s="11">
        <f t="shared" si="6019"/>
        <v>0</v>
      </c>
      <c r="BV1303" s="25">
        <f>SUM(BV1299:BV1302)</f>
        <v>0</v>
      </c>
      <c r="BX1303" s="10">
        <f>SUM(BX1299:BX1302)</f>
        <v>0</v>
      </c>
      <c r="BY1303" s="11">
        <f t="shared" ref="BY1303:CB1303" si="6020">SUM(BY1299:BY1302)</f>
        <v>0</v>
      </c>
      <c r="BZ1303" s="11">
        <f t="shared" si="6020"/>
        <v>0</v>
      </c>
      <c r="CA1303" s="11">
        <f t="shared" si="6020"/>
        <v>0</v>
      </c>
      <c r="CB1303" s="11">
        <f t="shared" si="6020"/>
        <v>0</v>
      </c>
      <c r="CC1303" s="25">
        <f>SUM(CC1299:CC1302)</f>
        <v>0</v>
      </c>
      <c r="CE1303" s="62">
        <f t="shared" ref="CE1303:CJ1303" si="6021">SUM(CE1299:CE1302)</f>
        <v>0</v>
      </c>
      <c r="CF1303" s="63">
        <f t="shared" si="6021"/>
        <v>0</v>
      </c>
      <c r="CG1303" s="63">
        <f t="shared" si="6021"/>
        <v>0</v>
      </c>
      <c r="CH1303" s="63">
        <f t="shared" si="6021"/>
        <v>0</v>
      </c>
      <c r="CI1303" s="63">
        <f t="shared" si="6021"/>
        <v>0</v>
      </c>
      <c r="CJ1303" s="25">
        <f t="shared" si="6021"/>
        <v>0</v>
      </c>
      <c r="CL1303" s="10">
        <f>SUM(CL1299:CL1302)</f>
        <v>0</v>
      </c>
      <c r="CM1303" s="11">
        <f t="shared" ref="CM1303:CP1303" si="6022">SUM(CM1299:CM1302)</f>
        <v>0</v>
      </c>
      <c r="CN1303" s="11">
        <f t="shared" si="6022"/>
        <v>0</v>
      </c>
      <c r="CO1303" s="11">
        <f t="shared" si="6022"/>
        <v>0</v>
      </c>
      <c r="CP1303" s="11">
        <f t="shared" si="6022"/>
        <v>0</v>
      </c>
      <c r="CQ1303" s="25">
        <f>SUM(CQ1299:CQ1302)</f>
        <v>0</v>
      </c>
      <c r="CS1303" s="10">
        <f>SUM(CS1299:CS1302)</f>
        <v>0</v>
      </c>
      <c r="CT1303" s="11">
        <f t="shared" ref="CT1303:CW1303" si="6023">SUM(CT1299:CT1302)</f>
        <v>0</v>
      </c>
      <c r="CU1303" s="11">
        <f t="shared" si="6023"/>
        <v>0</v>
      </c>
      <c r="CV1303" s="11">
        <f t="shared" si="6023"/>
        <v>0</v>
      </c>
      <c r="CW1303" s="11">
        <f t="shared" si="6023"/>
        <v>0</v>
      </c>
      <c r="CX1303" s="25">
        <f>SUM(CX1299:CX1302)</f>
        <v>0</v>
      </c>
      <c r="CZ1303" s="10">
        <f>SUM(CZ1299:CZ1302)</f>
        <v>0</v>
      </c>
      <c r="DA1303" s="11">
        <f t="shared" ref="DA1303:DD1303" si="6024">SUM(DA1299:DA1302)</f>
        <v>0</v>
      </c>
      <c r="DB1303" s="11">
        <f t="shared" si="6024"/>
        <v>0</v>
      </c>
      <c r="DC1303" s="11">
        <f t="shared" si="6024"/>
        <v>0</v>
      </c>
      <c r="DD1303" s="11">
        <f t="shared" si="6024"/>
        <v>0</v>
      </c>
      <c r="DE1303" s="25">
        <f>SUM(DE1299:DE1302)</f>
        <v>0</v>
      </c>
    </row>
    <row r="1304" spans="3:109" ht="10.4" customHeight="1" thickBot="1"/>
    <row r="1305" spans="3:109">
      <c r="C1305" s="553">
        <v>2027</v>
      </c>
      <c r="E1305" s="1" t="s">
        <v>59</v>
      </c>
      <c r="F1305" s="21">
        <f>CE1299</f>
        <v>0</v>
      </c>
      <c r="G1305" s="22">
        <f t="shared" ref="G1305:G1308" si="6025">CF1299</f>
        <v>0</v>
      </c>
      <c r="H1305" s="22">
        <f t="shared" ref="H1305:H1308" si="6026">CG1299</f>
        <v>0</v>
      </c>
      <c r="I1305" s="22">
        <f t="shared" ref="I1305:I1308" si="6027">CH1299</f>
        <v>0</v>
      </c>
      <c r="J1305" s="22">
        <f t="shared" ref="J1305:J1308" si="6028">CI1299</f>
        <v>0</v>
      </c>
      <c r="K1305" s="4">
        <f>SUM(F1305:J1305)</f>
        <v>0</v>
      </c>
      <c r="M1305" s="2"/>
      <c r="N1305" s="3"/>
      <c r="O1305" s="3"/>
      <c r="P1305" s="3"/>
      <c r="Q1305" s="3"/>
      <c r="R1305" s="4">
        <f>SUM(M1305:Q1305)</f>
        <v>0</v>
      </c>
      <c r="T1305" s="2"/>
      <c r="U1305" s="3"/>
      <c r="V1305" s="3"/>
      <c r="W1305" s="3"/>
      <c r="X1305" s="3"/>
      <c r="Y1305" s="4">
        <f>SUM(T1305:X1305)</f>
        <v>0</v>
      </c>
      <c r="AA1305" s="2"/>
      <c r="AB1305" s="3"/>
      <c r="AC1305" s="3"/>
      <c r="AD1305" s="3"/>
      <c r="AE1305" s="3"/>
      <c r="AF1305" s="4">
        <f>SUM(AA1305:AE1305)</f>
        <v>0</v>
      </c>
      <c r="AH1305" s="2"/>
      <c r="AI1305" s="3"/>
      <c r="AJ1305" s="3"/>
      <c r="AK1305" s="3"/>
      <c r="AL1305" s="3"/>
      <c r="AM1305" s="4">
        <f>SUM(AH1305:AL1305)</f>
        <v>0</v>
      </c>
      <c r="AO1305" s="2"/>
      <c r="AP1305" s="3"/>
      <c r="AQ1305" s="3"/>
      <c r="AR1305" s="3"/>
      <c r="AS1305" s="3"/>
      <c r="AT1305" s="4">
        <f>SUM(AO1305:AS1305)</f>
        <v>0</v>
      </c>
      <c r="AV1305" s="2"/>
      <c r="AW1305" s="3"/>
      <c r="AX1305" s="3"/>
      <c r="AY1305" s="3"/>
      <c r="AZ1305" s="3"/>
      <c r="BA1305" s="4">
        <f>SUM(AV1305:AZ1305)</f>
        <v>0</v>
      </c>
      <c r="BC1305" s="2"/>
      <c r="BD1305" s="3"/>
      <c r="BE1305" s="3"/>
      <c r="BF1305" s="3"/>
      <c r="BG1305" s="3"/>
      <c r="BH1305" s="4">
        <f>SUM(BC1305:BG1305)</f>
        <v>0</v>
      </c>
      <c r="BJ1305" s="2"/>
      <c r="BK1305" s="3"/>
      <c r="BL1305" s="3"/>
      <c r="BM1305" s="3"/>
      <c r="BN1305" s="3"/>
      <c r="BO1305" s="4">
        <f>SUM(BJ1305:BN1305)</f>
        <v>0</v>
      </c>
      <c r="BQ1305" s="2"/>
      <c r="BR1305" s="3"/>
      <c r="BS1305" s="3"/>
      <c r="BT1305" s="3"/>
      <c r="BU1305" s="3"/>
      <c r="BV1305" s="4">
        <f>SUM(BQ1305:BU1305)</f>
        <v>0</v>
      </c>
      <c r="BX1305" s="2"/>
      <c r="BY1305" s="3"/>
      <c r="BZ1305" s="3"/>
      <c r="CA1305" s="3"/>
      <c r="CB1305" s="3"/>
      <c r="CC1305" s="4">
        <f>SUM(BX1305:CB1305)</f>
        <v>0</v>
      </c>
      <c r="CE1305" s="26">
        <f t="shared" ref="CE1305:CE1308" si="6029">F1305+M1305+T1305+AA1305+AH1305+AO1305+AV1305+BC1305+BJ1305+BQ1305+BX1305</f>
        <v>0</v>
      </c>
      <c r="CF1305" s="27">
        <f t="shared" ref="CF1305:CF1308" si="6030">G1305+N1305+U1305+AB1305+AI1305+AP1305+AW1305+BD1305+BK1305+BR1305+BY1305</f>
        <v>0</v>
      </c>
      <c r="CG1305" s="27">
        <f t="shared" ref="CG1305:CG1308" si="6031">H1305+O1305+V1305+AC1305+AJ1305+AQ1305+AX1305+BE1305+BL1305+BS1305+BZ1305</f>
        <v>0</v>
      </c>
      <c r="CH1305" s="27">
        <f t="shared" ref="CH1305:CH1308" si="6032">I1305+P1305+W1305+AD1305+AK1305+AR1305+AY1305+BF1305+BM1305+BT1305+CA1305</f>
        <v>0</v>
      </c>
      <c r="CI1305" s="27">
        <f t="shared" ref="CI1305:CI1308" si="6033">J1305+Q1305+X1305+AE1305+AL1305+AS1305+AZ1305+BG1305+BN1305+BU1305+CB1305</f>
        <v>0</v>
      </c>
      <c r="CJ1305" s="4">
        <f>SUM(CE1305:CI1305)</f>
        <v>0</v>
      </c>
      <c r="CL1305" s="2"/>
      <c r="CM1305" s="3"/>
      <c r="CN1305" s="3"/>
      <c r="CO1305" s="3"/>
      <c r="CP1305" s="3"/>
      <c r="CQ1305" s="4">
        <f>SUM(CL1305:CP1305)</f>
        <v>0</v>
      </c>
      <c r="CS1305" s="2"/>
      <c r="CT1305" s="3"/>
      <c r="CU1305" s="3"/>
      <c r="CV1305" s="3"/>
      <c r="CW1305" s="3"/>
      <c r="CX1305" s="4">
        <f>SUM(CS1305:CW1305)</f>
        <v>0</v>
      </c>
      <c r="CZ1305" s="2"/>
      <c r="DA1305" s="3"/>
      <c r="DB1305" s="3"/>
      <c r="DC1305" s="3"/>
      <c r="DD1305" s="3"/>
      <c r="DE1305" s="4">
        <f>SUM(CZ1305:DD1305)</f>
        <v>0</v>
      </c>
    </row>
    <row r="1306" spans="3:109">
      <c r="C1306" s="567"/>
      <c r="E1306" s="5" t="s">
        <v>60</v>
      </c>
      <c r="F1306" s="23">
        <f t="shared" ref="F1306:F1308" si="6034">CE1300</f>
        <v>0</v>
      </c>
      <c r="G1306" s="24">
        <f t="shared" si="6025"/>
        <v>0</v>
      </c>
      <c r="H1306" s="24">
        <f t="shared" si="6026"/>
        <v>0</v>
      </c>
      <c r="I1306" s="24">
        <f t="shared" si="6027"/>
        <v>0</v>
      </c>
      <c r="J1306" s="24">
        <f t="shared" si="6028"/>
        <v>0</v>
      </c>
      <c r="K1306" s="8">
        <f t="shared" ref="K1306:K1308" si="6035">SUM(F1306:J1306)</f>
        <v>0</v>
      </c>
      <c r="M1306" s="6"/>
      <c r="N1306" s="7"/>
      <c r="O1306" s="7"/>
      <c r="P1306" s="7"/>
      <c r="Q1306" s="7"/>
      <c r="R1306" s="8">
        <f t="shared" ref="R1306:R1308" si="6036">SUM(M1306:Q1306)</f>
        <v>0</v>
      </c>
      <c r="T1306" s="6"/>
      <c r="U1306" s="7"/>
      <c r="V1306" s="7"/>
      <c r="W1306" s="7"/>
      <c r="X1306" s="7"/>
      <c r="Y1306" s="8">
        <f t="shared" ref="Y1306:Y1308" si="6037">SUM(T1306:X1306)</f>
        <v>0</v>
      </c>
      <c r="AA1306" s="6"/>
      <c r="AB1306" s="7"/>
      <c r="AC1306" s="7"/>
      <c r="AD1306" s="7"/>
      <c r="AE1306" s="7"/>
      <c r="AF1306" s="8">
        <f>SUM(AA1306:AE1306)</f>
        <v>0</v>
      </c>
      <c r="AH1306" s="6"/>
      <c r="AI1306" s="7"/>
      <c r="AJ1306" s="7"/>
      <c r="AK1306" s="7"/>
      <c r="AL1306" s="7"/>
      <c r="AM1306" s="8">
        <f>SUM(AH1306:AL1306)</f>
        <v>0</v>
      </c>
      <c r="AO1306" s="6"/>
      <c r="AP1306" s="7"/>
      <c r="AQ1306" s="7"/>
      <c r="AR1306" s="7"/>
      <c r="AS1306" s="7"/>
      <c r="AT1306" s="8">
        <f>SUM(AO1306:AS1306)</f>
        <v>0</v>
      </c>
      <c r="AV1306" s="6"/>
      <c r="AW1306" s="7"/>
      <c r="AX1306" s="7"/>
      <c r="AY1306" s="7"/>
      <c r="AZ1306" s="7"/>
      <c r="BA1306" s="8">
        <f>SUM(AV1306:AZ1306)</f>
        <v>0</v>
      </c>
      <c r="BC1306" s="6"/>
      <c r="BD1306" s="7"/>
      <c r="BE1306" s="7"/>
      <c r="BF1306" s="7"/>
      <c r="BG1306" s="7"/>
      <c r="BH1306" s="8">
        <f>SUM(BC1306:BG1306)</f>
        <v>0</v>
      </c>
      <c r="BJ1306" s="6"/>
      <c r="BK1306" s="7"/>
      <c r="BL1306" s="7"/>
      <c r="BM1306" s="7"/>
      <c r="BN1306" s="7"/>
      <c r="BO1306" s="8">
        <f>SUM(BJ1306:BN1306)</f>
        <v>0</v>
      </c>
      <c r="BQ1306" s="6"/>
      <c r="BR1306" s="7"/>
      <c r="BS1306" s="7"/>
      <c r="BT1306" s="7"/>
      <c r="BU1306" s="7"/>
      <c r="BV1306" s="8">
        <f>SUM(BQ1306:BU1306)</f>
        <v>0</v>
      </c>
      <c r="BX1306" s="6"/>
      <c r="BY1306" s="7"/>
      <c r="BZ1306" s="7"/>
      <c r="CA1306" s="7"/>
      <c r="CB1306" s="7"/>
      <c r="CC1306" s="8">
        <f>SUM(BX1306:CB1306)</f>
        <v>0</v>
      </c>
      <c r="CE1306" s="28">
        <f t="shared" si="6029"/>
        <v>0</v>
      </c>
      <c r="CF1306" s="29">
        <f t="shared" si="6030"/>
        <v>0</v>
      </c>
      <c r="CG1306" s="29">
        <f t="shared" si="6031"/>
        <v>0</v>
      </c>
      <c r="CH1306" s="29">
        <f t="shared" si="6032"/>
        <v>0</v>
      </c>
      <c r="CI1306" s="29">
        <f t="shared" si="6033"/>
        <v>0</v>
      </c>
      <c r="CJ1306" s="8">
        <f>SUM(CE1306:CI1306)</f>
        <v>0</v>
      </c>
      <c r="CL1306" s="6"/>
      <c r="CM1306" s="7"/>
      <c r="CN1306" s="7"/>
      <c r="CO1306" s="7"/>
      <c r="CP1306" s="7"/>
      <c r="CQ1306" s="8">
        <f>SUM(CL1306:CP1306)</f>
        <v>0</v>
      </c>
      <c r="CS1306" s="6"/>
      <c r="CT1306" s="7"/>
      <c r="CU1306" s="7"/>
      <c r="CV1306" s="7"/>
      <c r="CW1306" s="7"/>
      <c r="CX1306" s="8">
        <f t="shared" ref="CX1306:CX1308" si="6038">SUM(CS1306:CW1306)</f>
        <v>0</v>
      </c>
      <c r="CZ1306" s="6"/>
      <c r="DA1306" s="7"/>
      <c r="DB1306" s="7"/>
      <c r="DC1306" s="7"/>
      <c r="DD1306" s="7"/>
      <c r="DE1306" s="8">
        <f t="shared" ref="DE1306:DE1308" si="6039">SUM(CZ1306:DD1306)</f>
        <v>0</v>
      </c>
    </row>
    <row r="1307" spans="3:109">
      <c r="C1307" s="567"/>
      <c r="E1307" s="5" t="s">
        <v>61</v>
      </c>
      <c r="F1307" s="23">
        <f t="shared" si="6034"/>
        <v>0</v>
      </c>
      <c r="G1307" s="24">
        <f t="shared" si="6025"/>
        <v>0</v>
      </c>
      <c r="H1307" s="24">
        <f t="shared" si="6026"/>
        <v>0</v>
      </c>
      <c r="I1307" s="24">
        <f t="shared" si="6027"/>
        <v>0</v>
      </c>
      <c r="J1307" s="24">
        <f t="shared" si="6028"/>
        <v>0</v>
      </c>
      <c r="K1307" s="8">
        <f t="shared" si="6035"/>
        <v>0</v>
      </c>
      <c r="M1307" s="6"/>
      <c r="N1307" s="7"/>
      <c r="O1307" s="7"/>
      <c r="P1307" s="7"/>
      <c r="Q1307" s="7"/>
      <c r="R1307" s="8">
        <f t="shared" si="6036"/>
        <v>0</v>
      </c>
      <c r="T1307" s="6"/>
      <c r="U1307" s="7"/>
      <c r="V1307" s="7"/>
      <c r="W1307" s="7"/>
      <c r="X1307" s="7"/>
      <c r="Y1307" s="8">
        <f t="shared" si="6037"/>
        <v>0</v>
      </c>
      <c r="AA1307" s="6"/>
      <c r="AB1307" s="7"/>
      <c r="AC1307" s="7"/>
      <c r="AD1307" s="7"/>
      <c r="AE1307" s="7"/>
      <c r="AF1307" s="8">
        <f>SUM(AA1307:AE1307)</f>
        <v>0</v>
      </c>
      <c r="AH1307" s="6"/>
      <c r="AI1307" s="7"/>
      <c r="AJ1307" s="7"/>
      <c r="AK1307" s="7"/>
      <c r="AL1307" s="7"/>
      <c r="AM1307" s="8">
        <f>SUM(AH1307:AL1307)</f>
        <v>0</v>
      </c>
      <c r="AO1307" s="6"/>
      <c r="AP1307" s="7"/>
      <c r="AQ1307" s="7"/>
      <c r="AR1307" s="7"/>
      <c r="AS1307" s="7"/>
      <c r="AT1307" s="8">
        <f>SUM(AO1307:AS1307)</f>
        <v>0</v>
      </c>
      <c r="AV1307" s="6"/>
      <c r="AW1307" s="7"/>
      <c r="AX1307" s="7"/>
      <c r="AY1307" s="7"/>
      <c r="AZ1307" s="7"/>
      <c r="BA1307" s="8">
        <f>SUM(AV1307:AZ1307)</f>
        <v>0</v>
      </c>
      <c r="BC1307" s="6"/>
      <c r="BD1307" s="7"/>
      <c r="BE1307" s="7"/>
      <c r="BF1307" s="7"/>
      <c r="BG1307" s="7"/>
      <c r="BH1307" s="8">
        <f>SUM(BC1307:BG1307)</f>
        <v>0</v>
      </c>
      <c r="BJ1307" s="6"/>
      <c r="BK1307" s="7"/>
      <c r="BL1307" s="7"/>
      <c r="BM1307" s="7"/>
      <c r="BN1307" s="7"/>
      <c r="BO1307" s="8">
        <f>SUM(BJ1307:BN1307)</f>
        <v>0</v>
      </c>
      <c r="BQ1307" s="6"/>
      <c r="BR1307" s="7"/>
      <c r="BS1307" s="7"/>
      <c r="BT1307" s="7"/>
      <c r="BU1307" s="7"/>
      <c r="BV1307" s="8">
        <f>SUM(BQ1307:BU1307)</f>
        <v>0</v>
      </c>
      <c r="BX1307" s="6"/>
      <c r="BY1307" s="7"/>
      <c r="BZ1307" s="7"/>
      <c r="CA1307" s="7"/>
      <c r="CB1307" s="7"/>
      <c r="CC1307" s="8">
        <f>SUM(BX1307:CB1307)</f>
        <v>0</v>
      </c>
      <c r="CE1307" s="28">
        <f t="shared" si="6029"/>
        <v>0</v>
      </c>
      <c r="CF1307" s="29">
        <f t="shared" si="6030"/>
        <v>0</v>
      </c>
      <c r="CG1307" s="29">
        <f t="shared" si="6031"/>
        <v>0</v>
      </c>
      <c r="CH1307" s="29">
        <f t="shared" si="6032"/>
        <v>0</v>
      </c>
      <c r="CI1307" s="29">
        <f t="shared" si="6033"/>
        <v>0</v>
      </c>
      <c r="CJ1307" s="8">
        <f>SUM(CE1307:CI1307)</f>
        <v>0</v>
      </c>
      <c r="CL1307" s="6"/>
      <c r="CM1307" s="7"/>
      <c r="CN1307" s="7"/>
      <c r="CO1307" s="7"/>
      <c r="CP1307" s="7"/>
      <c r="CQ1307" s="8">
        <f>SUM(CL1307:CP1307)</f>
        <v>0</v>
      </c>
      <c r="CS1307" s="6"/>
      <c r="CT1307" s="7"/>
      <c r="CU1307" s="7"/>
      <c r="CV1307" s="7"/>
      <c r="CW1307" s="7"/>
      <c r="CX1307" s="8">
        <f t="shared" si="6038"/>
        <v>0</v>
      </c>
      <c r="CZ1307" s="6"/>
      <c r="DA1307" s="7"/>
      <c r="DB1307" s="7"/>
      <c r="DC1307" s="7"/>
      <c r="DD1307" s="7"/>
      <c r="DE1307" s="8">
        <f t="shared" si="6039"/>
        <v>0</v>
      </c>
    </row>
    <row r="1308" spans="3:109" ht="14" thickBot="1">
      <c r="C1308" s="567"/>
      <c r="E1308" s="5" t="s">
        <v>62</v>
      </c>
      <c r="F1308" s="23">
        <f t="shared" si="6034"/>
        <v>0</v>
      </c>
      <c r="G1308" s="24">
        <f t="shared" si="6025"/>
        <v>0</v>
      </c>
      <c r="H1308" s="24">
        <f t="shared" si="6026"/>
        <v>0</v>
      </c>
      <c r="I1308" s="24">
        <f t="shared" si="6027"/>
        <v>0</v>
      </c>
      <c r="J1308" s="24">
        <f t="shared" si="6028"/>
        <v>0</v>
      </c>
      <c r="K1308" s="8">
        <f t="shared" si="6035"/>
        <v>0</v>
      </c>
      <c r="M1308" s="6"/>
      <c r="N1308" s="7"/>
      <c r="O1308" s="7"/>
      <c r="P1308" s="7"/>
      <c r="Q1308" s="7"/>
      <c r="R1308" s="8">
        <f t="shared" si="6036"/>
        <v>0</v>
      </c>
      <c r="T1308" s="6"/>
      <c r="U1308" s="7"/>
      <c r="V1308" s="7"/>
      <c r="W1308" s="7"/>
      <c r="X1308" s="7"/>
      <c r="Y1308" s="8">
        <f t="shared" si="6037"/>
        <v>0</v>
      </c>
      <c r="AA1308" s="6"/>
      <c r="AB1308" s="7"/>
      <c r="AC1308" s="7"/>
      <c r="AD1308" s="7"/>
      <c r="AE1308" s="7"/>
      <c r="AF1308" s="8">
        <f>SUM(AA1308:AE1308)</f>
        <v>0</v>
      </c>
      <c r="AH1308" s="6"/>
      <c r="AI1308" s="7"/>
      <c r="AJ1308" s="7"/>
      <c r="AK1308" s="7"/>
      <c r="AL1308" s="7"/>
      <c r="AM1308" s="8">
        <f>SUM(AH1308:AL1308)</f>
        <v>0</v>
      </c>
      <c r="AO1308" s="6"/>
      <c r="AP1308" s="7"/>
      <c r="AQ1308" s="7"/>
      <c r="AR1308" s="7"/>
      <c r="AS1308" s="7"/>
      <c r="AT1308" s="8">
        <f>SUM(AO1308:AS1308)</f>
        <v>0</v>
      </c>
      <c r="AV1308" s="6"/>
      <c r="AW1308" s="7"/>
      <c r="AX1308" s="7"/>
      <c r="AY1308" s="7"/>
      <c r="AZ1308" s="7"/>
      <c r="BA1308" s="8">
        <f>SUM(AV1308:AZ1308)</f>
        <v>0</v>
      </c>
      <c r="BC1308" s="6"/>
      <c r="BD1308" s="7"/>
      <c r="BE1308" s="7"/>
      <c r="BF1308" s="7"/>
      <c r="BG1308" s="7"/>
      <c r="BH1308" s="8">
        <f>SUM(BC1308:BG1308)</f>
        <v>0</v>
      </c>
      <c r="BJ1308" s="6"/>
      <c r="BK1308" s="7"/>
      <c r="BL1308" s="7"/>
      <c r="BM1308" s="7"/>
      <c r="BN1308" s="7"/>
      <c r="BO1308" s="8">
        <f>SUM(BJ1308:BN1308)</f>
        <v>0</v>
      </c>
      <c r="BQ1308" s="6"/>
      <c r="BR1308" s="7"/>
      <c r="BS1308" s="7"/>
      <c r="BT1308" s="7"/>
      <c r="BU1308" s="7"/>
      <c r="BV1308" s="8">
        <f>SUM(BQ1308:BU1308)</f>
        <v>0</v>
      </c>
      <c r="BX1308" s="6"/>
      <c r="BY1308" s="7"/>
      <c r="BZ1308" s="7"/>
      <c r="CA1308" s="7"/>
      <c r="CB1308" s="7"/>
      <c r="CC1308" s="8">
        <f>SUM(BX1308:CB1308)</f>
        <v>0</v>
      </c>
      <c r="CE1308" s="493">
        <f t="shared" si="6029"/>
        <v>0</v>
      </c>
      <c r="CF1308" s="494">
        <f t="shared" si="6030"/>
        <v>0</v>
      </c>
      <c r="CG1308" s="494">
        <f t="shared" si="6031"/>
        <v>0</v>
      </c>
      <c r="CH1308" s="494">
        <f t="shared" si="6032"/>
        <v>0</v>
      </c>
      <c r="CI1308" s="494">
        <f t="shared" si="6033"/>
        <v>0</v>
      </c>
      <c r="CJ1308" s="495">
        <f>SUM(CE1308:CI1308)</f>
        <v>0</v>
      </c>
      <c r="CL1308" s="6"/>
      <c r="CM1308" s="7"/>
      <c r="CN1308" s="7"/>
      <c r="CO1308" s="7"/>
      <c r="CP1308" s="7"/>
      <c r="CQ1308" s="8">
        <f>SUM(CL1308:CP1308)</f>
        <v>0</v>
      </c>
      <c r="CS1308" s="6"/>
      <c r="CT1308" s="7"/>
      <c r="CU1308" s="7"/>
      <c r="CV1308" s="7"/>
      <c r="CW1308" s="7"/>
      <c r="CX1308" s="8">
        <f t="shared" si="6038"/>
        <v>0</v>
      </c>
      <c r="CZ1308" s="6"/>
      <c r="DA1308" s="7"/>
      <c r="DB1308" s="7"/>
      <c r="DC1308" s="7"/>
      <c r="DD1308" s="7"/>
      <c r="DE1308" s="8">
        <f t="shared" si="6039"/>
        <v>0</v>
      </c>
    </row>
    <row r="1309" spans="3:109" ht="14" thickBot="1">
      <c r="C1309" s="554"/>
      <c r="E1309" s="9"/>
      <c r="F1309" s="10">
        <f>SUM(F1305:F1308)</f>
        <v>0</v>
      </c>
      <c r="G1309" s="11">
        <f t="shared" ref="G1309:J1309" si="6040">SUM(G1305:G1308)</f>
        <v>0</v>
      </c>
      <c r="H1309" s="11">
        <f t="shared" si="6040"/>
        <v>0</v>
      </c>
      <c r="I1309" s="11">
        <f t="shared" si="6040"/>
        <v>0</v>
      </c>
      <c r="J1309" s="11">
        <f t="shared" si="6040"/>
        <v>0</v>
      </c>
      <c r="K1309" s="25">
        <f>SUM(K1305:K1308)</f>
        <v>0</v>
      </c>
      <c r="M1309" s="10">
        <f>SUM(M1305:M1308)</f>
        <v>0</v>
      </c>
      <c r="N1309" s="11">
        <f t="shared" ref="N1309:Q1309" si="6041">SUM(N1305:N1308)</f>
        <v>0</v>
      </c>
      <c r="O1309" s="11">
        <f t="shared" si="6041"/>
        <v>0</v>
      </c>
      <c r="P1309" s="11">
        <f t="shared" si="6041"/>
        <v>0</v>
      </c>
      <c r="Q1309" s="11">
        <f t="shared" si="6041"/>
        <v>0</v>
      </c>
      <c r="R1309" s="25">
        <f>SUM(R1305:R1308)</f>
        <v>0</v>
      </c>
      <c r="T1309" s="10">
        <f>SUM(T1305:T1308)</f>
        <v>0</v>
      </c>
      <c r="U1309" s="11">
        <f t="shared" ref="U1309:X1309" si="6042">SUM(U1305:U1308)</f>
        <v>0</v>
      </c>
      <c r="V1309" s="11">
        <f t="shared" si="6042"/>
        <v>0</v>
      </c>
      <c r="W1309" s="11">
        <f t="shared" si="6042"/>
        <v>0</v>
      </c>
      <c r="X1309" s="11">
        <f t="shared" si="6042"/>
        <v>0</v>
      </c>
      <c r="Y1309" s="25">
        <f>SUM(Y1305:Y1308)</f>
        <v>0</v>
      </c>
      <c r="AA1309" s="10">
        <f>SUM(AA1305:AA1308)</f>
        <v>0</v>
      </c>
      <c r="AB1309" s="11">
        <f t="shared" ref="AB1309:AE1309" si="6043">SUM(AB1305:AB1308)</f>
        <v>0</v>
      </c>
      <c r="AC1309" s="11">
        <f t="shared" si="6043"/>
        <v>0</v>
      </c>
      <c r="AD1309" s="11">
        <f t="shared" si="6043"/>
        <v>0</v>
      </c>
      <c r="AE1309" s="11">
        <f t="shared" si="6043"/>
        <v>0</v>
      </c>
      <c r="AF1309" s="25">
        <f>SUM(AF1305:AF1308)</f>
        <v>0</v>
      </c>
      <c r="AH1309" s="10">
        <f>SUM(AH1305:AH1308)</f>
        <v>0</v>
      </c>
      <c r="AI1309" s="11">
        <f t="shared" ref="AI1309:AL1309" si="6044">SUM(AI1305:AI1308)</f>
        <v>0</v>
      </c>
      <c r="AJ1309" s="11">
        <f t="shared" si="6044"/>
        <v>0</v>
      </c>
      <c r="AK1309" s="11">
        <f t="shared" si="6044"/>
        <v>0</v>
      </c>
      <c r="AL1309" s="11">
        <f t="shared" si="6044"/>
        <v>0</v>
      </c>
      <c r="AM1309" s="25">
        <f>SUM(AM1305:AM1308)</f>
        <v>0</v>
      </c>
      <c r="AO1309" s="10">
        <f>SUM(AO1305:AO1308)</f>
        <v>0</v>
      </c>
      <c r="AP1309" s="11">
        <f t="shared" ref="AP1309:AS1309" si="6045">SUM(AP1305:AP1308)</f>
        <v>0</v>
      </c>
      <c r="AQ1309" s="11">
        <f t="shared" si="6045"/>
        <v>0</v>
      </c>
      <c r="AR1309" s="11">
        <f t="shared" si="6045"/>
        <v>0</v>
      </c>
      <c r="AS1309" s="11">
        <f t="shared" si="6045"/>
        <v>0</v>
      </c>
      <c r="AT1309" s="25">
        <f>SUM(AT1305:AT1308)</f>
        <v>0</v>
      </c>
      <c r="AV1309" s="10">
        <f>SUM(AV1305:AV1308)</f>
        <v>0</v>
      </c>
      <c r="AW1309" s="11">
        <f t="shared" ref="AW1309:AZ1309" si="6046">SUM(AW1305:AW1308)</f>
        <v>0</v>
      </c>
      <c r="AX1309" s="11">
        <f t="shared" si="6046"/>
        <v>0</v>
      </c>
      <c r="AY1309" s="11">
        <f t="shared" si="6046"/>
        <v>0</v>
      </c>
      <c r="AZ1309" s="11">
        <f t="shared" si="6046"/>
        <v>0</v>
      </c>
      <c r="BA1309" s="25">
        <f>SUM(BA1305:BA1308)</f>
        <v>0</v>
      </c>
      <c r="BC1309" s="10">
        <f>SUM(BC1305:BC1308)</f>
        <v>0</v>
      </c>
      <c r="BD1309" s="11">
        <f t="shared" ref="BD1309:BG1309" si="6047">SUM(BD1305:BD1308)</f>
        <v>0</v>
      </c>
      <c r="BE1309" s="11">
        <f t="shared" si="6047"/>
        <v>0</v>
      </c>
      <c r="BF1309" s="11">
        <f t="shared" si="6047"/>
        <v>0</v>
      </c>
      <c r="BG1309" s="11">
        <f t="shared" si="6047"/>
        <v>0</v>
      </c>
      <c r="BH1309" s="25">
        <f>SUM(BH1305:BH1308)</f>
        <v>0</v>
      </c>
      <c r="BJ1309" s="10">
        <f>SUM(BJ1305:BJ1308)</f>
        <v>0</v>
      </c>
      <c r="BK1309" s="11">
        <f t="shared" ref="BK1309:BN1309" si="6048">SUM(BK1305:BK1308)</f>
        <v>0</v>
      </c>
      <c r="BL1309" s="11">
        <f t="shared" si="6048"/>
        <v>0</v>
      </c>
      <c r="BM1309" s="11">
        <f t="shared" si="6048"/>
        <v>0</v>
      </c>
      <c r="BN1309" s="11">
        <f t="shared" si="6048"/>
        <v>0</v>
      </c>
      <c r="BO1309" s="25">
        <f>SUM(BO1305:BO1308)</f>
        <v>0</v>
      </c>
      <c r="BQ1309" s="10">
        <f>SUM(BQ1305:BQ1308)</f>
        <v>0</v>
      </c>
      <c r="BR1309" s="11">
        <f t="shared" ref="BR1309:BU1309" si="6049">SUM(BR1305:BR1308)</f>
        <v>0</v>
      </c>
      <c r="BS1309" s="11">
        <f t="shared" si="6049"/>
        <v>0</v>
      </c>
      <c r="BT1309" s="11">
        <f t="shared" si="6049"/>
        <v>0</v>
      </c>
      <c r="BU1309" s="11">
        <f t="shared" si="6049"/>
        <v>0</v>
      </c>
      <c r="BV1309" s="25">
        <f>SUM(BV1305:BV1308)</f>
        <v>0</v>
      </c>
      <c r="BX1309" s="10">
        <f>SUM(BX1305:BX1308)</f>
        <v>0</v>
      </c>
      <c r="BY1309" s="11">
        <f t="shared" ref="BY1309:CB1309" si="6050">SUM(BY1305:BY1308)</f>
        <v>0</v>
      </c>
      <c r="BZ1309" s="11">
        <f t="shared" si="6050"/>
        <v>0</v>
      </c>
      <c r="CA1309" s="11">
        <f t="shared" si="6050"/>
        <v>0</v>
      </c>
      <c r="CB1309" s="11">
        <f t="shared" si="6050"/>
        <v>0</v>
      </c>
      <c r="CC1309" s="25">
        <f>SUM(CC1305:CC1308)</f>
        <v>0</v>
      </c>
      <c r="CE1309" s="62">
        <f t="shared" ref="CE1309:CJ1309" si="6051">SUM(CE1305:CE1308)</f>
        <v>0</v>
      </c>
      <c r="CF1309" s="63">
        <f t="shared" si="6051"/>
        <v>0</v>
      </c>
      <c r="CG1309" s="63">
        <f t="shared" si="6051"/>
        <v>0</v>
      </c>
      <c r="CH1309" s="63">
        <f t="shared" si="6051"/>
        <v>0</v>
      </c>
      <c r="CI1309" s="63">
        <f t="shared" si="6051"/>
        <v>0</v>
      </c>
      <c r="CJ1309" s="25">
        <f t="shared" si="6051"/>
        <v>0</v>
      </c>
      <c r="CL1309" s="10">
        <f>SUM(CL1305:CL1308)</f>
        <v>0</v>
      </c>
      <c r="CM1309" s="11">
        <f t="shared" ref="CM1309:CP1309" si="6052">SUM(CM1305:CM1308)</f>
        <v>0</v>
      </c>
      <c r="CN1309" s="11">
        <f t="shared" si="6052"/>
        <v>0</v>
      </c>
      <c r="CO1309" s="11">
        <f t="shared" si="6052"/>
        <v>0</v>
      </c>
      <c r="CP1309" s="11">
        <f t="shared" si="6052"/>
        <v>0</v>
      </c>
      <c r="CQ1309" s="25">
        <f>SUM(CQ1305:CQ1308)</f>
        <v>0</v>
      </c>
      <c r="CS1309" s="10">
        <f>SUM(CS1305:CS1308)</f>
        <v>0</v>
      </c>
      <c r="CT1309" s="11">
        <f t="shared" ref="CT1309:CW1309" si="6053">SUM(CT1305:CT1308)</f>
        <v>0</v>
      </c>
      <c r="CU1309" s="11">
        <f t="shared" si="6053"/>
        <v>0</v>
      </c>
      <c r="CV1309" s="11">
        <f t="shared" si="6053"/>
        <v>0</v>
      </c>
      <c r="CW1309" s="11">
        <f t="shared" si="6053"/>
        <v>0</v>
      </c>
      <c r="CX1309" s="25">
        <f>SUM(CX1305:CX1308)</f>
        <v>0</v>
      </c>
      <c r="CZ1309" s="10">
        <f>SUM(CZ1305:CZ1308)</f>
        <v>0</v>
      </c>
      <c r="DA1309" s="11">
        <f t="shared" ref="DA1309:DD1309" si="6054">SUM(DA1305:DA1308)</f>
        <v>0</v>
      </c>
      <c r="DB1309" s="11">
        <f t="shared" si="6054"/>
        <v>0</v>
      </c>
      <c r="DC1309" s="11">
        <f t="shared" si="6054"/>
        <v>0</v>
      </c>
      <c r="DD1309" s="11">
        <f t="shared" si="6054"/>
        <v>0</v>
      </c>
      <c r="DE1309" s="25">
        <f>SUM(DE1305:DE1308)</f>
        <v>0</v>
      </c>
    </row>
    <row r="1310" spans="3:109" ht="10.4" customHeight="1" thickBot="1"/>
    <row r="1311" spans="3:109">
      <c r="C1311" s="553">
        <v>2028</v>
      </c>
      <c r="E1311" s="1" t="s">
        <v>59</v>
      </c>
      <c r="F1311" s="21">
        <f>CE1305</f>
        <v>0</v>
      </c>
      <c r="G1311" s="22">
        <f t="shared" ref="G1311:G1314" si="6055">CF1305</f>
        <v>0</v>
      </c>
      <c r="H1311" s="22">
        <f t="shared" ref="H1311:H1314" si="6056">CG1305</f>
        <v>0</v>
      </c>
      <c r="I1311" s="22">
        <f t="shared" ref="I1311:I1314" si="6057">CH1305</f>
        <v>0</v>
      </c>
      <c r="J1311" s="22">
        <f t="shared" ref="J1311:J1314" si="6058">CI1305</f>
        <v>0</v>
      </c>
      <c r="K1311" s="4">
        <f>SUM(F1311:J1311)</f>
        <v>0</v>
      </c>
      <c r="M1311" s="2"/>
      <c r="N1311" s="3"/>
      <c r="O1311" s="3"/>
      <c r="P1311" s="3"/>
      <c r="Q1311" s="3"/>
      <c r="R1311" s="4">
        <f>SUM(M1311:Q1311)</f>
        <v>0</v>
      </c>
      <c r="T1311" s="2"/>
      <c r="U1311" s="3"/>
      <c r="V1311" s="3"/>
      <c r="W1311" s="3"/>
      <c r="X1311" s="3"/>
      <c r="Y1311" s="4">
        <f>SUM(T1311:X1311)</f>
        <v>0</v>
      </c>
      <c r="AA1311" s="2"/>
      <c r="AB1311" s="3"/>
      <c r="AC1311" s="3"/>
      <c r="AD1311" s="3"/>
      <c r="AE1311" s="3"/>
      <c r="AF1311" s="4">
        <f>SUM(AA1311:AE1311)</f>
        <v>0</v>
      </c>
      <c r="AH1311" s="2"/>
      <c r="AI1311" s="3"/>
      <c r="AJ1311" s="3"/>
      <c r="AK1311" s="3"/>
      <c r="AL1311" s="3"/>
      <c r="AM1311" s="4">
        <f>SUM(AH1311:AL1311)</f>
        <v>0</v>
      </c>
      <c r="AO1311" s="2"/>
      <c r="AP1311" s="3"/>
      <c r="AQ1311" s="3"/>
      <c r="AR1311" s="3"/>
      <c r="AS1311" s="3"/>
      <c r="AT1311" s="4">
        <f>SUM(AO1311:AS1311)</f>
        <v>0</v>
      </c>
      <c r="AV1311" s="2"/>
      <c r="AW1311" s="3"/>
      <c r="AX1311" s="3"/>
      <c r="AY1311" s="3"/>
      <c r="AZ1311" s="3"/>
      <c r="BA1311" s="4">
        <f>SUM(AV1311:AZ1311)</f>
        <v>0</v>
      </c>
      <c r="BC1311" s="2"/>
      <c r="BD1311" s="3"/>
      <c r="BE1311" s="3"/>
      <c r="BF1311" s="3"/>
      <c r="BG1311" s="3"/>
      <c r="BH1311" s="4">
        <f>SUM(BC1311:BG1311)</f>
        <v>0</v>
      </c>
      <c r="BJ1311" s="2"/>
      <c r="BK1311" s="3"/>
      <c r="BL1311" s="3"/>
      <c r="BM1311" s="3"/>
      <c r="BN1311" s="3"/>
      <c r="BO1311" s="4">
        <f>SUM(BJ1311:BN1311)</f>
        <v>0</v>
      </c>
      <c r="BQ1311" s="2"/>
      <c r="BR1311" s="3"/>
      <c r="BS1311" s="3"/>
      <c r="BT1311" s="3"/>
      <c r="BU1311" s="3"/>
      <c r="BV1311" s="4">
        <f>SUM(BQ1311:BU1311)</f>
        <v>0</v>
      </c>
      <c r="BX1311" s="2"/>
      <c r="BY1311" s="3"/>
      <c r="BZ1311" s="3"/>
      <c r="CA1311" s="3"/>
      <c r="CB1311" s="3"/>
      <c r="CC1311" s="4">
        <f>SUM(BX1311:CB1311)</f>
        <v>0</v>
      </c>
      <c r="CE1311" s="26">
        <f t="shared" ref="CE1311:CE1314" si="6059">F1311+M1311+T1311+AA1311+AH1311+AO1311+AV1311+BC1311+BJ1311+BQ1311+BX1311</f>
        <v>0</v>
      </c>
      <c r="CF1311" s="27">
        <f t="shared" ref="CF1311:CF1314" si="6060">G1311+N1311+U1311+AB1311+AI1311+AP1311+AW1311+BD1311+BK1311+BR1311+BY1311</f>
        <v>0</v>
      </c>
      <c r="CG1311" s="27">
        <f t="shared" ref="CG1311:CG1314" si="6061">H1311+O1311+V1311+AC1311+AJ1311+AQ1311+AX1311+BE1311+BL1311+BS1311+BZ1311</f>
        <v>0</v>
      </c>
      <c r="CH1311" s="27">
        <f t="shared" ref="CH1311:CH1314" si="6062">I1311+P1311+W1311+AD1311+AK1311+AR1311+AY1311+BF1311+BM1311+BT1311+CA1311</f>
        <v>0</v>
      </c>
      <c r="CI1311" s="27">
        <f t="shared" ref="CI1311:CI1314" si="6063">J1311+Q1311+X1311+AE1311+AL1311+AS1311+AZ1311+BG1311+BN1311+BU1311+CB1311</f>
        <v>0</v>
      </c>
      <c r="CJ1311" s="4">
        <f>SUM(CE1311:CI1311)</f>
        <v>0</v>
      </c>
      <c r="CL1311" s="2"/>
      <c r="CM1311" s="3"/>
      <c r="CN1311" s="3"/>
      <c r="CO1311" s="3"/>
      <c r="CP1311" s="3"/>
      <c r="CQ1311" s="4">
        <f>SUM(CL1311:CP1311)</f>
        <v>0</v>
      </c>
      <c r="CS1311" s="2"/>
      <c r="CT1311" s="3"/>
      <c r="CU1311" s="3"/>
      <c r="CV1311" s="3"/>
      <c r="CW1311" s="3"/>
      <c r="CX1311" s="4">
        <f>SUM(CS1311:CW1311)</f>
        <v>0</v>
      </c>
      <c r="CZ1311" s="2"/>
      <c r="DA1311" s="3"/>
      <c r="DB1311" s="3"/>
      <c r="DC1311" s="3"/>
      <c r="DD1311" s="3"/>
      <c r="DE1311" s="4">
        <f>SUM(CZ1311:DD1311)</f>
        <v>0</v>
      </c>
    </row>
    <row r="1312" spans="3:109">
      <c r="C1312" s="567"/>
      <c r="E1312" s="5" t="s">
        <v>60</v>
      </c>
      <c r="F1312" s="23">
        <f t="shared" ref="F1312:F1314" si="6064">CE1306</f>
        <v>0</v>
      </c>
      <c r="G1312" s="24">
        <f t="shared" si="6055"/>
        <v>0</v>
      </c>
      <c r="H1312" s="24">
        <f t="shared" si="6056"/>
        <v>0</v>
      </c>
      <c r="I1312" s="24">
        <f t="shared" si="6057"/>
        <v>0</v>
      </c>
      <c r="J1312" s="24">
        <f t="shared" si="6058"/>
        <v>0</v>
      </c>
      <c r="K1312" s="8">
        <f t="shared" ref="K1312:K1314" si="6065">SUM(F1312:J1312)</f>
        <v>0</v>
      </c>
      <c r="M1312" s="6"/>
      <c r="N1312" s="7"/>
      <c r="O1312" s="7"/>
      <c r="P1312" s="7"/>
      <c r="Q1312" s="7"/>
      <c r="R1312" s="8">
        <f t="shared" ref="R1312:R1314" si="6066">SUM(M1312:Q1312)</f>
        <v>0</v>
      </c>
      <c r="T1312" s="6"/>
      <c r="U1312" s="7"/>
      <c r="V1312" s="7"/>
      <c r="W1312" s="7"/>
      <c r="X1312" s="7"/>
      <c r="Y1312" s="8">
        <f t="shared" ref="Y1312:Y1314" si="6067">SUM(T1312:X1312)</f>
        <v>0</v>
      </c>
      <c r="AA1312" s="6"/>
      <c r="AB1312" s="7"/>
      <c r="AC1312" s="7"/>
      <c r="AD1312" s="7"/>
      <c r="AE1312" s="7"/>
      <c r="AF1312" s="8">
        <f>SUM(AA1312:AE1312)</f>
        <v>0</v>
      </c>
      <c r="AH1312" s="6"/>
      <c r="AI1312" s="7"/>
      <c r="AJ1312" s="7"/>
      <c r="AK1312" s="7"/>
      <c r="AL1312" s="7"/>
      <c r="AM1312" s="8">
        <f>SUM(AH1312:AL1312)</f>
        <v>0</v>
      </c>
      <c r="AO1312" s="6"/>
      <c r="AP1312" s="7"/>
      <c r="AQ1312" s="7"/>
      <c r="AR1312" s="7"/>
      <c r="AS1312" s="7"/>
      <c r="AT1312" s="8">
        <f>SUM(AO1312:AS1312)</f>
        <v>0</v>
      </c>
      <c r="AV1312" s="6"/>
      <c r="AW1312" s="7"/>
      <c r="AX1312" s="7"/>
      <c r="AY1312" s="7"/>
      <c r="AZ1312" s="7"/>
      <c r="BA1312" s="8">
        <f>SUM(AV1312:AZ1312)</f>
        <v>0</v>
      </c>
      <c r="BC1312" s="6"/>
      <c r="BD1312" s="7"/>
      <c r="BE1312" s="7"/>
      <c r="BF1312" s="7"/>
      <c r="BG1312" s="7"/>
      <c r="BH1312" s="8">
        <f>SUM(BC1312:BG1312)</f>
        <v>0</v>
      </c>
      <c r="BJ1312" s="6"/>
      <c r="BK1312" s="7"/>
      <c r="BL1312" s="7"/>
      <c r="BM1312" s="7"/>
      <c r="BN1312" s="7"/>
      <c r="BO1312" s="8">
        <f>SUM(BJ1312:BN1312)</f>
        <v>0</v>
      </c>
      <c r="BQ1312" s="6"/>
      <c r="BR1312" s="7"/>
      <c r="BS1312" s="7"/>
      <c r="BT1312" s="7"/>
      <c r="BU1312" s="7"/>
      <c r="BV1312" s="8">
        <f>SUM(BQ1312:BU1312)</f>
        <v>0</v>
      </c>
      <c r="BX1312" s="6"/>
      <c r="BY1312" s="7"/>
      <c r="BZ1312" s="7"/>
      <c r="CA1312" s="7"/>
      <c r="CB1312" s="7"/>
      <c r="CC1312" s="8">
        <f>SUM(BX1312:CB1312)</f>
        <v>0</v>
      </c>
      <c r="CE1312" s="28">
        <f t="shared" si="6059"/>
        <v>0</v>
      </c>
      <c r="CF1312" s="29">
        <f t="shared" si="6060"/>
        <v>0</v>
      </c>
      <c r="CG1312" s="29">
        <f t="shared" si="6061"/>
        <v>0</v>
      </c>
      <c r="CH1312" s="29">
        <f t="shared" si="6062"/>
        <v>0</v>
      </c>
      <c r="CI1312" s="29">
        <f t="shared" si="6063"/>
        <v>0</v>
      </c>
      <c r="CJ1312" s="8">
        <f>SUM(CE1312:CI1312)</f>
        <v>0</v>
      </c>
      <c r="CL1312" s="6"/>
      <c r="CM1312" s="7"/>
      <c r="CN1312" s="7"/>
      <c r="CO1312" s="7"/>
      <c r="CP1312" s="7"/>
      <c r="CQ1312" s="8">
        <f>SUM(CL1312:CP1312)</f>
        <v>0</v>
      </c>
      <c r="CS1312" s="6"/>
      <c r="CT1312" s="7"/>
      <c r="CU1312" s="7"/>
      <c r="CV1312" s="7"/>
      <c r="CW1312" s="7"/>
      <c r="CX1312" s="8">
        <f t="shared" ref="CX1312:CX1314" si="6068">SUM(CS1312:CW1312)</f>
        <v>0</v>
      </c>
      <c r="CZ1312" s="6"/>
      <c r="DA1312" s="7"/>
      <c r="DB1312" s="7"/>
      <c r="DC1312" s="7"/>
      <c r="DD1312" s="7"/>
      <c r="DE1312" s="8">
        <f t="shared" ref="DE1312:DE1314" si="6069">SUM(CZ1312:DD1312)</f>
        <v>0</v>
      </c>
    </row>
    <row r="1313" spans="2:110">
      <c r="C1313" s="567"/>
      <c r="E1313" s="5" t="s">
        <v>61</v>
      </c>
      <c r="F1313" s="23">
        <f t="shared" si="6064"/>
        <v>0</v>
      </c>
      <c r="G1313" s="24">
        <f t="shared" si="6055"/>
        <v>0</v>
      </c>
      <c r="H1313" s="24">
        <f t="shared" si="6056"/>
        <v>0</v>
      </c>
      <c r="I1313" s="24">
        <f t="shared" si="6057"/>
        <v>0</v>
      </c>
      <c r="J1313" s="24">
        <f t="shared" si="6058"/>
        <v>0</v>
      </c>
      <c r="K1313" s="8">
        <f t="shared" si="6065"/>
        <v>0</v>
      </c>
      <c r="M1313" s="6"/>
      <c r="N1313" s="7"/>
      <c r="O1313" s="7"/>
      <c r="P1313" s="7"/>
      <c r="Q1313" s="7"/>
      <c r="R1313" s="8">
        <f t="shared" si="6066"/>
        <v>0</v>
      </c>
      <c r="T1313" s="6"/>
      <c r="U1313" s="7"/>
      <c r="V1313" s="7"/>
      <c r="W1313" s="7"/>
      <c r="X1313" s="7"/>
      <c r="Y1313" s="8">
        <f t="shared" si="6067"/>
        <v>0</v>
      </c>
      <c r="AA1313" s="6"/>
      <c r="AB1313" s="7"/>
      <c r="AC1313" s="7"/>
      <c r="AD1313" s="7"/>
      <c r="AE1313" s="7"/>
      <c r="AF1313" s="8">
        <f>SUM(AA1313:AE1313)</f>
        <v>0</v>
      </c>
      <c r="AH1313" s="6"/>
      <c r="AI1313" s="7"/>
      <c r="AJ1313" s="7"/>
      <c r="AK1313" s="7"/>
      <c r="AL1313" s="7"/>
      <c r="AM1313" s="8">
        <f>SUM(AH1313:AL1313)</f>
        <v>0</v>
      </c>
      <c r="AO1313" s="6"/>
      <c r="AP1313" s="7"/>
      <c r="AQ1313" s="7"/>
      <c r="AR1313" s="7"/>
      <c r="AS1313" s="7"/>
      <c r="AT1313" s="8">
        <f>SUM(AO1313:AS1313)</f>
        <v>0</v>
      </c>
      <c r="AV1313" s="6"/>
      <c r="AW1313" s="7"/>
      <c r="AX1313" s="7"/>
      <c r="AY1313" s="7"/>
      <c r="AZ1313" s="7"/>
      <c r="BA1313" s="8">
        <f>SUM(AV1313:AZ1313)</f>
        <v>0</v>
      </c>
      <c r="BC1313" s="6"/>
      <c r="BD1313" s="7"/>
      <c r="BE1313" s="7"/>
      <c r="BF1313" s="7"/>
      <c r="BG1313" s="7"/>
      <c r="BH1313" s="8">
        <f>SUM(BC1313:BG1313)</f>
        <v>0</v>
      </c>
      <c r="BJ1313" s="6"/>
      <c r="BK1313" s="7"/>
      <c r="BL1313" s="7"/>
      <c r="BM1313" s="7"/>
      <c r="BN1313" s="7"/>
      <c r="BO1313" s="8">
        <f>SUM(BJ1313:BN1313)</f>
        <v>0</v>
      </c>
      <c r="BQ1313" s="6"/>
      <c r="BR1313" s="7"/>
      <c r="BS1313" s="7"/>
      <c r="BT1313" s="7"/>
      <c r="BU1313" s="7"/>
      <c r="BV1313" s="8">
        <f>SUM(BQ1313:BU1313)</f>
        <v>0</v>
      </c>
      <c r="BX1313" s="6"/>
      <c r="BY1313" s="7"/>
      <c r="BZ1313" s="7"/>
      <c r="CA1313" s="7"/>
      <c r="CB1313" s="7"/>
      <c r="CC1313" s="8">
        <f>SUM(BX1313:CB1313)</f>
        <v>0</v>
      </c>
      <c r="CE1313" s="28">
        <f t="shared" si="6059"/>
        <v>0</v>
      </c>
      <c r="CF1313" s="29">
        <f t="shared" si="6060"/>
        <v>0</v>
      </c>
      <c r="CG1313" s="29">
        <f t="shared" si="6061"/>
        <v>0</v>
      </c>
      <c r="CH1313" s="29">
        <f t="shared" si="6062"/>
        <v>0</v>
      </c>
      <c r="CI1313" s="29">
        <f t="shared" si="6063"/>
        <v>0</v>
      </c>
      <c r="CJ1313" s="8">
        <f>SUM(CE1313:CI1313)</f>
        <v>0</v>
      </c>
      <c r="CL1313" s="6"/>
      <c r="CM1313" s="7"/>
      <c r="CN1313" s="7"/>
      <c r="CO1313" s="7"/>
      <c r="CP1313" s="7"/>
      <c r="CQ1313" s="8">
        <f>SUM(CL1313:CP1313)</f>
        <v>0</v>
      </c>
      <c r="CS1313" s="6"/>
      <c r="CT1313" s="7"/>
      <c r="CU1313" s="7"/>
      <c r="CV1313" s="7"/>
      <c r="CW1313" s="7"/>
      <c r="CX1313" s="8">
        <f t="shared" si="6068"/>
        <v>0</v>
      </c>
      <c r="CZ1313" s="6"/>
      <c r="DA1313" s="7"/>
      <c r="DB1313" s="7"/>
      <c r="DC1313" s="7"/>
      <c r="DD1313" s="7"/>
      <c r="DE1313" s="8">
        <f t="shared" si="6069"/>
        <v>0</v>
      </c>
    </row>
    <row r="1314" spans="2:110" ht="14" thickBot="1">
      <c r="C1314" s="567"/>
      <c r="E1314" s="5" t="s">
        <v>62</v>
      </c>
      <c r="F1314" s="23">
        <f t="shared" si="6064"/>
        <v>0</v>
      </c>
      <c r="G1314" s="24">
        <f t="shared" si="6055"/>
        <v>0</v>
      </c>
      <c r="H1314" s="24">
        <f t="shared" si="6056"/>
        <v>0</v>
      </c>
      <c r="I1314" s="24">
        <f t="shared" si="6057"/>
        <v>0</v>
      </c>
      <c r="J1314" s="24">
        <f t="shared" si="6058"/>
        <v>0</v>
      </c>
      <c r="K1314" s="8">
        <f t="shared" si="6065"/>
        <v>0</v>
      </c>
      <c r="M1314" s="6"/>
      <c r="N1314" s="7"/>
      <c r="O1314" s="7"/>
      <c r="P1314" s="7"/>
      <c r="Q1314" s="7"/>
      <c r="R1314" s="8">
        <f t="shared" si="6066"/>
        <v>0</v>
      </c>
      <c r="T1314" s="6"/>
      <c r="U1314" s="7"/>
      <c r="V1314" s="7"/>
      <c r="W1314" s="7"/>
      <c r="X1314" s="7"/>
      <c r="Y1314" s="8">
        <f t="shared" si="6067"/>
        <v>0</v>
      </c>
      <c r="AA1314" s="6"/>
      <c r="AB1314" s="7"/>
      <c r="AC1314" s="7"/>
      <c r="AD1314" s="7"/>
      <c r="AE1314" s="7"/>
      <c r="AF1314" s="8">
        <f>SUM(AA1314:AE1314)</f>
        <v>0</v>
      </c>
      <c r="AH1314" s="6"/>
      <c r="AI1314" s="7"/>
      <c r="AJ1314" s="7"/>
      <c r="AK1314" s="7"/>
      <c r="AL1314" s="7"/>
      <c r="AM1314" s="8">
        <f>SUM(AH1314:AL1314)</f>
        <v>0</v>
      </c>
      <c r="AO1314" s="6"/>
      <c r="AP1314" s="7"/>
      <c r="AQ1314" s="7"/>
      <c r="AR1314" s="7"/>
      <c r="AS1314" s="7"/>
      <c r="AT1314" s="8">
        <f>SUM(AO1314:AS1314)</f>
        <v>0</v>
      </c>
      <c r="AV1314" s="6"/>
      <c r="AW1314" s="7"/>
      <c r="AX1314" s="7"/>
      <c r="AY1314" s="7"/>
      <c r="AZ1314" s="7"/>
      <c r="BA1314" s="8">
        <f>SUM(AV1314:AZ1314)</f>
        <v>0</v>
      </c>
      <c r="BC1314" s="6"/>
      <c r="BD1314" s="7"/>
      <c r="BE1314" s="7"/>
      <c r="BF1314" s="7"/>
      <c r="BG1314" s="7"/>
      <c r="BH1314" s="8">
        <f>SUM(BC1314:BG1314)</f>
        <v>0</v>
      </c>
      <c r="BJ1314" s="6"/>
      <c r="BK1314" s="7"/>
      <c r="BL1314" s="7"/>
      <c r="BM1314" s="7"/>
      <c r="BN1314" s="7"/>
      <c r="BO1314" s="8">
        <f>SUM(BJ1314:BN1314)</f>
        <v>0</v>
      </c>
      <c r="BQ1314" s="6"/>
      <c r="BR1314" s="7"/>
      <c r="BS1314" s="7"/>
      <c r="BT1314" s="7"/>
      <c r="BU1314" s="7"/>
      <c r="BV1314" s="8">
        <f>SUM(BQ1314:BU1314)</f>
        <v>0</v>
      </c>
      <c r="BX1314" s="6"/>
      <c r="BY1314" s="7"/>
      <c r="BZ1314" s="7"/>
      <c r="CA1314" s="7"/>
      <c r="CB1314" s="7"/>
      <c r="CC1314" s="8">
        <f>SUM(BX1314:CB1314)</f>
        <v>0</v>
      </c>
      <c r="CE1314" s="493">
        <f t="shared" si="6059"/>
        <v>0</v>
      </c>
      <c r="CF1314" s="494">
        <f t="shared" si="6060"/>
        <v>0</v>
      </c>
      <c r="CG1314" s="494">
        <f t="shared" si="6061"/>
        <v>0</v>
      </c>
      <c r="CH1314" s="494">
        <f t="shared" si="6062"/>
        <v>0</v>
      </c>
      <c r="CI1314" s="494">
        <f t="shared" si="6063"/>
        <v>0</v>
      </c>
      <c r="CJ1314" s="495">
        <f>SUM(CE1314:CI1314)</f>
        <v>0</v>
      </c>
      <c r="CL1314" s="6"/>
      <c r="CM1314" s="7"/>
      <c r="CN1314" s="7"/>
      <c r="CO1314" s="7"/>
      <c r="CP1314" s="7"/>
      <c r="CQ1314" s="8">
        <f>SUM(CL1314:CP1314)</f>
        <v>0</v>
      </c>
      <c r="CS1314" s="6"/>
      <c r="CT1314" s="7"/>
      <c r="CU1314" s="7"/>
      <c r="CV1314" s="7"/>
      <c r="CW1314" s="7"/>
      <c r="CX1314" s="8">
        <f t="shared" si="6068"/>
        <v>0</v>
      </c>
      <c r="CZ1314" s="6"/>
      <c r="DA1314" s="7"/>
      <c r="DB1314" s="7"/>
      <c r="DC1314" s="7"/>
      <c r="DD1314" s="7"/>
      <c r="DE1314" s="8">
        <f t="shared" si="6069"/>
        <v>0</v>
      </c>
    </row>
    <row r="1315" spans="2:110" ht="14" thickBot="1">
      <c r="C1315" s="554"/>
      <c r="E1315" s="9"/>
      <c r="F1315" s="10">
        <f>SUM(F1311:F1314)</f>
        <v>0</v>
      </c>
      <c r="G1315" s="11">
        <f t="shared" ref="G1315:J1315" si="6070">SUM(G1311:G1314)</f>
        <v>0</v>
      </c>
      <c r="H1315" s="11">
        <f t="shared" si="6070"/>
        <v>0</v>
      </c>
      <c r="I1315" s="11">
        <f t="shared" si="6070"/>
        <v>0</v>
      </c>
      <c r="J1315" s="11">
        <f t="shared" si="6070"/>
        <v>0</v>
      </c>
      <c r="K1315" s="25">
        <f>SUM(K1311:K1314)</f>
        <v>0</v>
      </c>
      <c r="M1315" s="10">
        <f>SUM(M1311:M1314)</f>
        <v>0</v>
      </c>
      <c r="N1315" s="11">
        <f t="shared" ref="N1315:Q1315" si="6071">SUM(N1311:N1314)</f>
        <v>0</v>
      </c>
      <c r="O1315" s="11">
        <f t="shared" si="6071"/>
        <v>0</v>
      </c>
      <c r="P1315" s="11">
        <f t="shared" si="6071"/>
        <v>0</v>
      </c>
      <c r="Q1315" s="11">
        <f t="shared" si="6071"/>
        <v>0</v>
      </c>
      <c r="R1315" s="25">
        <f>SUM(R1311:R1314)</f>
        <v>0</v>
      </c>
      <c r="T1315" s="10">
        <f>SUM(T1311:T1314)</f>
        <v>0</v>
      </c>
      <c r="U1315" s="11">
        <f t="shared" ref="U1315:X1315" si="6072">SUM(U1311:U1314)</f>
        <v>0</v>
      </c>
      <c r="V1315" s="11">
        <f t="shared" si="6072"/>
        <v>0</v>
      </c>
      <c r="W1315" s="11">
        <f t="shared" si="6072"/>
        <v>0</v>
      </c>
      <c r="X1315" s="11">
        <f t="shared" si="6072"/>
        <v>0</v>
      </c>
      <c r="Y1315" s="25">
        <f>SUM(Y1311:Y1314)</f>
        <v>0</v>
      </c>
      <c r="AA1315" s="10">
        <f>SUM(AA1311:AA1314)</f>
        <v>0</v>
      </c>
      <c r="AB1315" s="11">
        <f t="shared" ref="AB1315:AE1315" si="6073">SUM(AB1311:AB1314)</f>
        <v>0</v>
      </c>
      <c r="AC1315" s="11">
        <f t="shared" si="6073"/>
        <v>0</v>
      </c>
      <c r="AD1315" s="11">
        <f t="shared" si="6073"/>
        <v>0</v>
      </c>
      <c r="AE1315" s="11">
        <f t="shared" si="6073"/>
        <v>0</v>
      </c>
      <c r="AF1315" s="25">
        <f>SUM(AF1311:AF1314)</f>
        <v>0</v>
      </c>
      <c r="AH1315" s="10">
        <f>SUM(AH1311:AH1314)</f>
        <v>0</v>
      </c>
      <c r="AI1315" s="11">
        <f t="shared" ref="AI1315:AL1315" si="6074">SUM(AI1311:AI1314)</f>
        <v>0</v>
      </c>
      <c r="AJ1315" s="11">
        <f t="shared" si="6074"/>
        <v>0</v>
      </c>
      <c r="AK1315" s="11">
        <f t="shared" si="6074"/>
        <v>0</v>
      </c>
      <c r="AL1315" s="11">
        <f t="shared" si="6074"/>
        <v>0</v>
      </c>
      <c r="AM1315" s="25">
        <f>SUM(AM1311:AM1314)</f>
        <v>0</v>
      </c>
      <c r="AO1315" s="10">
        <f>SUM(AO1311:AO1314)</f>
        <v>0</v>
      </c>
      <c r="AP1315" s="11">
        <f t="shared" ref="AP1315:AS1315" si="6075">SUM(AP1311:AP1314)</f>
        <v>0</v>
      </c>
      <c r="AQ1315" s="11">
        <f t="shared" si="6075"/>
        <v>0</v>
      </c>
      <c r="AR1315" s="11">
        <f t="shared" si="6075"/>
        <v>0</v>
      </c>
      <c r="AS1315" s="11">
        <f t="shared" si="6075"/>
        <v>0</v>
      </c>
      <c r="AT1315" s="25">
        <f>SUM(AT1311:AT1314)</f>
        <v>0</v>
      </c>
      <c r="AV1315" s="10">
        <f>SUM(AV1311:AV1314)</f>
        <v>0</v>
      </c>
      <c r="AW1315" s="11">
        <f t="shared" ref="AW1315:AZ1315" si="6076">SUM(AW1311:AW1314)</f>
        <v>0</v>
      </c>
      <c r="AX1315" s="11">
        <f t="shared" si="6076"/>
        <v>0</v>
      </c>
      <c r="AY1315" s="11">
        <f t="shared" si="6076"/>
        <v>0</v>
      </c>
      <c r="AZ1315" s="11">
        <f t="shared" si="6076"/>
        <v>0</v>
      </c>
      <c r="BA1315" s="25">
        <f>SUM(BA1311:BA1314)</f>
        <v>0</v>
      </c>
      <c r="BC1315" s="10">
        <f>SUM(BC1311:BC1314)</f>
        <v>0</v>
      </c>
      <c r="BD1315" s="11">
        <f t="shared" ref="BD1315:BG1315" si="6077">SUM(BD1311:BD1314)</f>
        <v>0</v>
      </c>
      <c r="BE1315" s="11">
        <f t="shared" si="6077"/>
        <v>0</v>
      </c>
      <c r="BF1315" s="11">
        <f t="shared" si="6077"/>
        <v>0</v>
      </c>
      <c r="BG1315" s="11">
        <f t="shared" si="6077"/>
        <v>0</v>
      </c>
      <c r="BH1315" s="25">
        <f>SUM(BH1311:BH1314)</f>
        <v>0</v>
      </c>
      <c r="BJ1315" s="10">
        <f>SUM(BJ1311:BJ1314)</f>
        <v>0</v>
      </c>
      <c r="BK1315" s="11">
        <f t="shared" ref="BK1315:BN1315" si="6078">SUM(BK1311:BK1314)</f>
        <v>0</v>
      </c>
      <c r="BL1315" s="11">
        <f t="shared" si="6078"/>
        <v>0</v>
      </c>
      <c r="BM1315" s="11">
        <f t="shared" si="6078"/>
        <v>0</v>
      </c>
      <c r="BN1315" s="11">
        <f t="shared" si="6078"/>
        <v>0</v>
      </c>
      <c r="BO1315" s="25">
        <f>SUM(BO1311:BO1314)</f>
        <v>0</v>
      </c>
      <c r="BQ1315" s="10">
        <f>SUM(BQ1311:BQ1314)</f>
        <v>0</v>
      </c>
      <c r="BR1315" s="11">
        <f t="shared" ref="BR1315:BU1315" si="6079">SUM(BR1311:BR1314)</f>
        <v>0</v>
      </c>
      <c r="BS1315" s="11">
        <f t="shared" si="6079"/>
        <v>0</v>
      </c>
      <c r="BT1315" s="11">
        <f t="shared" si="6079"/>
        <v>0</v>
      </c>
      <c r="BU1315" s="11">
        <f t="shared" si="6079"/>
        <v>0</v>
      </c>
      <c r="BV1315" s="25">
        <f>SUM(BV1311:BV1314)</f>
        <v>0</v>
      </c>
      <c r="BX1315" s="10">
        <f>SUM(BX1311:BX1314)</f>
        <v>0</v>
      </c>
      <c r="BY1315" s="11">
        <f t="shared" ref="BY1315:CB1315" si="6080">SUM(BY1311:BY1314)</f>
        <v>0</v>
      </c>
      <c r="BZ1315" s="11">
        <f t="shared" si="6080"/>
        <v>0</v>
      </c>
      <c r="CA1315" s="11">
        <f t="shared" si="6080"/>
        <v>0</v>
      </c>
      <c r="CB1315" s="11">
        <f t="shared" si="6080"/>
        <v>0</v>
      </c>
      <c r="CC1315" s="25">
        <f>SUM(CC1311:CC1314)</f>
        <v>0</v>
      </c>
      <c r="CE1315" s="62">
        <f t="shared" ref="CE1315:CJ1315" si="6081">SUM(CE1311:CE1314)</f>
        <v>0</v>
      </c>
      <c r="CF1315" s="63">
        <f t="shared" si="6081"/>
        <v>0</v>
      </c>
      <c r="CG1315" s="63">
        <f t="shared" si="6081"/>
        <v>0</v>
      </c>
      <c r="CH1315" s="63">
        <f t="shared" si="6081"/>
        <v>0</v>
      </c>
      <c r="CI1315" s="63">
        <f t="shared" si="6081"/>
        <v>0</v>
      </c>
      <c r="CJ1315" s="25">
        <f t="shared" si="6081"/>
        <v>0</v>
      </c>
      <c r="CL1315" s="10">
        <f>SUM(CL1311:CL1314)</f>
        <v>0</v>
      </c>
      <c r="CM1315" s="11">
        <f t="shared" ref="CM1315:CP1315" si="6082">SUM(CM1311:CM1314)</f>
        <v>0</v>
      </c>
      <c r="CN1315" s="11">
        <f t="shared" si="6082"/>
        <v>0</v>
      </c>
      <c r="CO1315" s="11">
        <f t="shared" si="6082"/>
        <v>0</v>
      </c>
      <c r="CP1315" s="11">
        <f t="shared" si="6082"/>
        <v>0</v>
      </c>
      <c r="CQ1315" s="25">
        <f>SUM(CQ1311:CQ1314)</f>
        <v>0</v>
      </c>
      <c r="CS1315" s="10">
        <f>SUM(CS1311:CS1314)</f>
        <v>0</v>
      </c>
      <c r="CT1315" s="11">
        <f t="shared" ref="CT1315:CW1315" si="6083">SUM(CT1311:CT1314)</f>
        <v>0</v>
      </c>
      <c r="CU1315" s="11">
        <f t="shared" si="6083"/>
        <v>0</v>
      </c>
      <c r="CV1315" s="11">
        <f t="shared" si="6083"/>
        <v>0</v>
      </c>
      <c r="CW1315" s="11">
        <f t="shared" si="6083"/>
        <v>0</v>
      </c>
      <c r="CX1315" s="25">
        <f>SUM(CX1311:CX1314)</f>
        <v>0</v>
      </c>
      <c r="CZ1315" s="10">
        <f>SUM(CZ1311:CZ1314)</f>
        <v>0</v>
      </c>
      <c r="DA1315" s="11">
        <f t="shared" ref="DA1315:DD1315" si="6084">SUM(DA1311:DA1314)</f>
        <v>0</v>
      </c>
      <c r="DB1315" s="11">
        <f t="shared" si="6084"/>
        <v>0</v>
      </c>
      <c r="DC1315" s="11">
        <f t="shared" si="6084"/>
        <v>0</v>
      </c>
      <c r="DD1315" s="11">
        <f t="shared" si="6084"/>
        <v>0</v>
      </c>
      <c r="DE1315" s="25">
        <f>SUM(DE1311:DE1314)</f>
        <v>0</v>
      </c>
    </row>
    <row r="1317" spans="2:110">
      <c r="B1317" s="123"/>
      <c r="C1317" s="20"/>
      <c r="D1317" s="20"/>
      <c r="E1317" s="20"/>
      <c r="F1317" s="20"/>
      <c r="G1317" s="20"/>
      <c r="H1317" s="20"/>
      <c r="I1317" s="20"/>
      <c r="J1317" s="20"/>
      <c r="K1317" s="20"/>
      <c r="L1317" s="20"/>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Q1317" s="20"/>
      <c r="BR1317" s="20"/>
      <c r="BS1317" s="20"/>
      <c r="BT1317" s="20"/>
      <c r="BU1317" s="20"/>
      <c r="BV1317" s="20"/>
      <c r="BW1317" s="20"/>
      <c r="BX1317" s="20"/>
      <c r="BY1317" s="20"/>
      <c r="BZ1317" s="20"/>
      <c r="CA1317" s="20"/>
      <c r="CB1317" s="20"/>
      <c r="CC1317" s="20"/>
      <c r="CD1317" s="20"/>
      <c r="CE1317" s="20"/>
      <c r="CF1317" s="20"/>
      <c r="CG1317" s="20"/>
      <c r="CH1317" s="20"/>
      <c r="CI1317" s="20"/>
      <c r="CJ1317" s="20"/>
      <c r="CK1317" s="20"/>
      <c r="CL1317" s="20"/>
      <c r="CM1317" s="20"/>
      <c r="CN1317" s="20"/>
      <c r="CO1317" s="20"/>
      <c r="CP1317" s="20"/>
      <c r="CQ1317" s="20"/>
      <c r="CR1317" s="20"/>
      <c r="CS1317" s="20"/>
      <c r="CT1317" s="20"/>
      <c r="CU1317" s="20"/>
      <c r="CV1317" s="20"/>
      <c r="CW1317" s="20"/>
      <c r="CX1317" s="20"/>
      <c r="CY1317" s="20"/>
      <c r="CZ1317" s="20"/>
      <c r="DA1317" s="20"/>
      <c r="DB1317" s="20"/>
      <c r="DC1317" s="20"/>
      <c r="DD1317" s="20"/>
      <c r="DE1317" s="20"/>
      <c r="DF1317" s="20"/>
    </row>
    <row r="1318" spans="2:110" ht="14" thickBot="1">
      <c r="B1318" s="94">
        <v>42</v>
      </c>
      <c r="C1318" s="12" t="s">
        <v>103</v>
      </c>
    </row>
    <row r="1319" spans="2:110">
      <c r="C1319" s="553">
        <v>2024</v>
      </c>
      <c r="E1319" s="1" t="s">
        <v>59</v>
      </c>
      <c r="F1319" s="2"/>
      <c r="G1319" s="3"/>
      <c r="H1319" s="3"/>
      <c r="I1319" s="3"/>
      <c r="J1319" s="3"/>
      <c r="K1319" s="4">
        <f>SUM(F1319:J1319)</f>
        <v>0</v>
      </c>
      <c r="M1319" s="2"/>
      <c r="N1319" s="3"/>
      <c r="O1319" s="3"/>
      <c r="P1319" s="3"/>
      <c r="Q1319" s="3"/>
      <c r="R1319" s="4">
        <f>SUM(M1319:Q1319)</f>
        <v>0</v>
      </c>
      <c r="T1319" s="2"/>
      <c r="U1319" s="3"/>
      <c r="V1319" s="3"/>
      <c r="W1319" s="3"/>
      <c r="X1319" s="3"/>
      <c r="Y1319" s="4">
        <f>SUM(T1319:X1319)</f>
        <v>0</v>
      </c>
      <c r="AA1319" s="2"/>
      <c r="AB1319" s="3"/>
      <c r="AC1319" s="3"/>
      <c r="AD1319" s="3"/>
      <c r="AE1319" s="3"/>
      <c r="AF1319" s="4">
        <f>SUM(AA1319:AE1319)</f>
        <v>0</v>
      </c>
      <c r="AH1319" s="2"/>
      <c r="AI1319" s="3"/>
      <c r="AJ1319" s="3"/>
      <c r="AK1319" s="3"/>
      <c r="AL1319" s="3"/>
      <c r="AM1319" s="4">
        <f>SUM(AH1319:AL1319)</f>
        <v>0</v>
      </c>
      <c r="AO1319" s="2"/>
      <c r="AP1319" s="3"/>
      <c r="AQ1319" s="3"/>
      <c r="AR1319" s="3"/>
      <c r="AS1319" s="3"/>
      <c r="AT1319" s="4">
        <f>SUM(AO1319:AS1319)</f>
        <v>0</v>
      </c>
      <c r="AV1319" s="2"/>
      <c r="AW1319" s="3"/>
      <c r="AX1319" s="3"/>
      <c r="AY1319" s="3"/>
      <c r="AZ1319" s="3"/>
      <c r="BA1319" s="4">
        <f>SUM(AV1319:AZ1319)</f>
        <v>0</v>
      </c>
      <c r="BC1319" s="2"/>
      <c r="BD1319" s="3"/>
      <c r="BE1319" s="3"/>
      <c r="BF1319" s="3"/>
      <c r="BG1319" s="3"/>
      <c r="BH1319" s="4">
        <f>SUM(BC1319:BG1319)</f>
        <v>0</v>
      </c>
      <c r="BJ1319" s="2"/>
      <c r="BK1319" s="3"/>
      <c r="BL1319" s="3"/>
      <c r="BM1319" s="3"/>
      <c r="BN1319" s="3"/>
      <c r="BO1319" s="4">
        <f>SUM(BJ1319:BN1319)</f>
        <v>0</v>
      </c>
      <c r="BQ1319" s="2"/>
      <c r="BR1319" s="3"/>
      <c r="BS1319" s="3"/>
      <c r="BT1319" s="3"/>
      <c r="BU1319" s="3"/>
      <c r="BV1319" s="4">
        <f>SUM(BQ1319:BU1319)</f>
        <v>0</v>
      </c>
      <c r="BX1319" s="2"/>
      <c r="BY1319" s="3"/>
      <c r="BZ1319" s="3"/>
      <c r="CA1319" s="3"/>
      <c r="CB1319" s="3"/>
      <c r="CC1319" s="4">
        <f>SUM(BX1319:CB1319)</f>
        <v>0</v>
      </c>
      <c r="CE1319" s="26">
        <f t="shared" ref="CE1319:CE1322" si="6085">F1319+M1319+T1319+AA1319+AH1319+AO1319+AV1319+BC1319+BJ1319+BQ1319+BX1319</f>
        <v>0</v>
      </c>
      <c r="CF1319" s="27">
        <f t="shared" ref="CF1319:CF1322" si="6086">G1319+N1319+U1319+AB1319+AI1319+AP1319+AW1319+BD1319+BK1319+BR1319+BY1319</f>
        <v>0</v>
      </c>
      <c r="CG1319" s="27">
        <f t="shared" ref="CG1319:CG1322" si="6087">H1319+O1319+V1319+AC1319+AJ1319+AQ1319+AX1319+BE1319+BL1319+BS1319+BZ1319</f>
        <v>0</v>
      </c>
      <c r="CH1319" s="27">
        <f t="shared" ref="CH1319:CH1322" si="6088">I1319+P1319+W1319+AD1319+AK1319+AR1319+AY1319+BF1319+BM1319+BT1319+CA1319</f>
        <v>0</v>
      </c>
      <c r="CI1319" s="27">
        <f t="shared" ref="CI1319:CI1322" si="6089">J1319+Q1319+X1319+AE1319+AL1319+AS1319+AZ1319+BG1319+BN1319+BU1319+CB1319</f>
        <v>0</v>
      </c>
      <c r="CJ1319" s="4">
        <f>SUM(CE1319:CI1319)</f>
        <v>0</v>
      </c>
      <c r="CL1319" s="2"/>
      <c r="CM1319" s="3"/>
      <c r="CN1319" s="3"/>
      <c r="CO1319" s="3"/>
      <c r="CP1319" s="3"/>
      <c r="CQ1319" s="4">
        <f>SUM(CL1319:CP1319)</f>
        <v>0</v>
      </c>
      <c r="CS1319" s="2"/>
      <c r="CT1319" s="3"/>
      <c r="CU1319" s="3"/>
      <c r="CV1319" s="3"/>
      <c r="CW1319" s="3"/>
      <c r="CX1319" s="4">
        <f>SUM(CS1319:CW1319)</f>
        <v>0</v>
      </c>
      <c r="CZ1319" s="2"/>
      <c r="DA1319" s="3"/>
      <c r="DB1319" s="3"/>
      <c r="DC1319" s="3"/>
      <c r="DD1319" s="3"/>
      <c r="DE1319" s="4">
        <f>SUM(CZ1319:DD1319)</f>
        <v>0</v>
      </c>
    </row>
    <row r="1320" spans="2:110">
      <c r="C1320" s="567"/>
      <c r="E1320" s="5" t="s">
        <v>60</v>
      </c>
      <c r="F1320" s="6"/>
      <c r="G1320" s="7"/>
      <c r="H1320" s="7"/>
      <c r="I1320" s="7"/>
      <c r="J1320" s="7"/>
      <c r="K1320" s="8">
        <f t="shared" ref="K1320:K1322" si="6090">SUM(F1320:J1320)</f>
        <v>0</v>
      </c>
      <c r="M1320" s="6"/>
      <c r="N1320" s="7"/>
      <c r="O1320" s="7"/>
      <c r="P1320" s="7"/>
      <c r="Q1320" s="7"/>
      <c r="R1320" s="8">
        <f t="shared" ref="R1320:R1322" si="6091">SUM(M1320:Q1320)</f>
        <v>0</v>
      </c>
      <c r="T1320" s="6"/>
      <c r="U1320" s="7"/>
      <c r="V1320" s="7"/>
      <c r="W1320" s="7"/>
      <c r="X1320" s="7"/>
      <c r="Y1320" s="8">
        <f t="shared" ref="Y1320:Y1322" si="6092">SUM(T1320:X1320)</f>
        <v>0</v>
      </c>
      <c r="AA1320" s="6"/>
      <c r="AB1320" s="7"/>
      <c r="AC1320" s="7"/>
      <c r="AD1320" s="7"/>
      <c r="AE1320" s="7"/>
      <c r="AF1320" s="8">
        <f>SUM(AA1320:AE1320)</f>
        <v>0</v>
      </c>
      <c r="AH1320" s="6"/>
      <c r="AI1320" s="7"/>
      <c r="AJ1320" s="7"/>
      <c r="AK1320" s="7"/>
      <c r="AL1320" s="7"/>
      <c r="AM1320" s="8">
        <f>SUM(AH1320:AL1320)</f>
        <v>0</v>
      </c>
      <c r="AO1320" s="6"/>
      <c r="AP1320" s="7"/>
      <c r="AQ1320" s="7"/>
      <c r="AR1320" s="7"/>
      <c r="AS1320" s="7"/>
      <c r="AT1320" s="8">
        <f>SUM(AO1320:AS1320)</f>
        <v>0</v>
      </c>
      <c r="AV1320" s="6"/>
      <c r="AW1320" s="7"/>
      <c r="AX1320" s="7"/>
      <c r="AY1320" s="7"/>
      <c r="AZ1320" s="7"/>
      <c r="BA1320" s="8">
        <f>SUM(AV1320:AZ1320)</f>
        <v>0</v>
      </c>
      <c r="BC1320" s="6"/>
      <c r="BD1320" s="7"/>
      <c r="BE1320" s="7"/>
      <c r="BF1320" s="7"/>
      <c r="BG1320" s="7"/>
      <c r="BH1320" s="8">
        <f>SUM(BC1320:BG1320)</f>
        <v>0</v>
      </c>
      <c r="BJ1320" s="6"/>
      <c r="BK1320" s="7"/>
      <c r="BL1320" s="7"/>
      <c r="BM1320" s="7"/>
      <c r="BN1320" s="7"/>
      <c r="BO1320" s="8">
        <f>SUM(BJ1320:BN1320)</f>
        <v>0</v>
      </c>
      <c r="BQ1320" s="6"/>
      <c r="BR1320" s="7"/>
      <c r="BS1320" s="7"/>
      <c r="BT1320" s="7"/>
      <c r="BU1320" s="7"/>
      <c r="BV1320" s="8">
        <f>SUM(BQ1320:BU1320)</f>
        <v>0</v>
      </c>
      <c r="BX1320" s="6"/>
      <c r="BY1320" s="7"/>
      <c r="BZ1320" s="7"/>
      <c r="CA1320" s="7"/>
      <c r="CB1320" s="7"/>
      <c r="CC1320" s="8">
        <f>SUM(BX1320:CB1320)</f>
        <v>0</v>
      </c>
      <c r="CE1320" s="28">
        <f t="shared" si="6085"/>
        <v>0</v>
      </c>
      <c r="CF1320" s="29">
        <f t="shared" si="6086"/>
        <v>0</v>
      </c>
      <c r="CG1320" s="29">
        <f t="shared" si="6087"/>
        <v>0</v>
      </c>
      <c r="CH1320" s="29">
        <f t="shared" si="6088"/>
        <v>0</v>
      </c>
      <c r="CI1320" s="29">
        <f t="shared" si="6089"/>
        <v>0</v>
      </c>
      <c r="CJ1320" s="8">
        <f>SUM(CE1320:CI1320)</f>
        <v>0</v>
      </c>
      <c r="CL1320" s="6"/>
      <c r="CM1320" s="7"/>
      <c r="CN1320" s="7"/>
      <c r="CO1320" s="7"/>
      <c r="CP1320" s="7"/>
      <c r="CQ1320" s="8">
        <f>SUM(CL1320:CP1320)</f>
        <v>0</v>
      </c>
      <c r="CS1320" s="6"/>
      <c r="CT1320" s="7"/>
      <c r="CU1320" s="7"/>
      <c r="CV1320" s="7"/>
      <c r="CW1320" s="7"/>
      <c r="CX1320" s="8">
        <f t="shared" ref="CX1320:CX1322" si="6093">SUM(CS1320:CW1320)</f>
        <v>0</v>
      </c>
      <c r="CZ1320" s="6"/>
      <c r="DA1320" s="7"/>
      <c r="DB1320" s="7"/>
      <c r="DC1320" s="7"/>
      <c r="DD1320" s="7"/>
      <c r="DE1320" s="8">
        <f t="shared" ref="DE1320:DE1322" si="6094">SUM(CZ1320:DD1320)</f>
        <v>0</v>
      </c>
    </row>
    <row r="1321" spans="2:110">
      <c r="C1321" s="567"/>
      <c r="E1321" s="5" t="s">
        <v>61</v>
      </c>
      <c r="F1321" s="6"/>
      <c r="G1321" s="7"/>
      <c r="H1321" s="7"/>
      <c r="I1321" s="7"/>
      <c r="J1321" s="7"/>
      <c r="K1321" s="8">
        <f t="shared" si="6090"/>
        <v>0</v>
      </c>
      <c r="M1321" s="6"/>
      <c r="N1321" s="7"/>
      <c r="O1321" s="7"/>
      <c r="P1321" s="7"/>
      <c r="Q1321" s="7"/>
      <c r="R1321" s="8">
        <f t="shared" si="6091"/>
        <v>0</v>
      </c>
      <c r="T1321" s="6"/>
      <c r="U1321" s="7"/>
      <c r="V1321" s="7"/>
      <c r="W1321" s="7"/>
      <c r="X1321" s="7"/>
      <c r="Y1321" s="8">
        <f t="shared" si="6092"/>
        <v>0</v>
      </c>
      <c r="AA1321" s="6"/>
      <c r="AB1321" s="7"/>
      <c r="AC1321" s="7"/>
      <c r="AD1321" s="7"/>
      <c r="AE1321" s="7"/>
      <c r="AF1321" s="8">
        <f>SUM(AA1321:AE1321)</f>
        <v>0</v>
      </c>
      <c r="AH1321" s="6"/>
      <c r="AI1321" s="7"/>
      <c r="AJ1321" s="7"/>
      <c r="AK1321" s="7"/>
      <c r="AL1321" s="7"/>
      <c r="AM1321" s="8">
        <f>SUM(AH1321:AL1321)</f>
        <v>0</v>
      </c>
      <c r="AO1321" s="6"/>
      <c r="AP1321" s="7"/>
      <c r="AQ1321" s="7"/>
      <c r="AR1321" s="7"/>
      <c r="AS1321" s="7"/>
      <c r="AT1321" s="8">
        <f>SUM(AO1321:AS1321)</f>
        <v>0</v>
      </c>
      <c r="AV1321" s="6"/>
      <c r="AW1321" s="7"/>
      <c r="AX1321" s="7"/>
      <c r="AY1321" s="7"/>
      <c r="AZ1321" s="7"/>
      <c r="BA1321" s="8">
        <f>SUM(AV1321:AZ1321)</f>
        <v>0</v>
      </c>
      <c r="BC1321" s="6"/>
      <c r="BD1321" s="7"/>
      <c r="BE1321" s="7"/>
      <c r="BF1321" s="7"/>
      <c r="BG1321" s="7"/>
      <c r="BH1321" s="8">
        <f>SUM(BC1321:BG1321)</f>
        <v>0</v>
      </c>
      <c r="BJ1321" s="6"/>
      <c r="BK1321" s="7"/>
      <c r="BL1321" s="7"/>
      <c r="BM1321" s="7"/>
      <c r="BN1321" s="7"/>
      <c r="BO1321" s="8">
        <f>SUM(BJ1321:BN1321)</f>
        <v>0</v>
      </c>
      <c r="BQ1321" s="6"/>
      <c r="BR1321" s="7"/>
      <c r="BS1321" s="7"/>
      <c r="BT1321" s="7"/>
      <c r="BU1321" s="7"/>
      <c r="BV1321" s="8">
        <f>SUM(BQ1321:BU1321)</f>
        <v>0</v>
      </c>
      <c r="BX1321" s="6"/>
      <c r="BY1321" s="7"/>
      <c r="BZ1321" s="7"/>
      <c r="CA1321" s="7"/>
      <c r="CB1321" s="7"/>
      <c r="CC1321" s="8">
        <f>SUM(BX1321:CB1321)</f>
        <v>0</v>
      </c>
      <c r="CE1321" s="28">
        <f t="shared" si="6085"/>
        <v>0</v>
      </c>
      <c r="CF1321" s="29">
        <f t="shared" si="6086"/>
        <v>0</v>
      </c>
      <c r="CG1321" s="29">
        <f t="shared" si="6087"/>
        <v>0</v>
      </c>
      <c r="CH1321" s="29">
        <f t="shared" si="6088"/>
        <v>0</v>
      </c>
      <c r="CI1321" s="29">
        <f t="shared" si="6089"/>
        <v>0</v>
      </c>
      <c r="CJ1321" s="8">
        <f>SUM(CE1321:CI1321)</f>
        <v>0</v>
      </c>
      <c r="CL1321" s="6"/>
      <c r="CM1321" s="7"/>
      <c r="CN1321" s="7"/>
      <c r="CO1321" s="7"/>
      <c r="CP1321" s="7"/>
      <c r="CQ1321" s="8">
        <f>SUM(CL1321:CP1321)</f>
        <v>0</v>
      </c>
      <c r="CS1321" s="6"/>
      <c r="CT1321" s="7"/>
      <c r="CU1321" s="7"/>
      <c r="CV1321" s="7"/>
      <c r="CW1321" s="7"/>
      <c r="CX1321" s="8">
        <f t="shared" si="6093"/>
        <v>0</v>
      </c>
      <c r="CZ1321" s="6"/>
      <c r="DA1321" s="7"/>
      <c r="DB1321" s="7"/>
      <c r="DC1321" s="7"/>
      <c r="DD1321" s="7"/>
      <c r="DE1321" s="8">
        <f t="shared" si="6094"/>
        <v>0</v>
      </c>
    </row>
    <row r="1322" spans="2:110" ht="14" thickBot="1">
      <c r="C1322" s="567"/>
      <c r="E1322" s="5" t="s">
        <v>62</v>
      </c>
      <c r="F1322" s="6"/>
      <c r="G1322" s="7"/>
      <c r="H1322" s="7"/>
      <c r="I1322" s="7"/>
      <c r="J1322" s="7"/>
      <c r="K1322" s="8">
        <f t="shared" si="6090"/>
        <v>0</v>
      </c>
      <c r="M1322" s="6"/>
      <c r="N1322" s="7"/>
      <c r="O1322" s="7"/>
      <c r="P1322" s="7"/>
      <c r="Q1322" s="7"/>
      <c r="R1322" s="8">
        <f t="shared" si="6091"/>
        <v>0</v>
      </c>
      <c r="T1322" s="6"/>
      <c r="U1322" s="7"/>
      <c r="V1322" s="7"/>
      <c r="W1322" s="7"/>
      <c r="X1322" s="7"/>
      <c r="Y1322" s="8">
        <f t="shared" si="6092"/>
        <v>0</v>
      </c>
      <c r="AA1322" s="6"/>
      <c r="AB1322" s="7"/>
      <c r="AC1322" s="7"/>
      <c r="AD1322" s="7"/>
      <c r="AE1322" s="7"/>
      <c r="AF1322" s="8">
        <f>SUM(AA1322:AE1322)</f>
        <v>0</v>
      </c>
      <c r="AH1322" s="6"/>
      <c r="AI1322" s="7"/>
      <c r="AJ1322" s="7"/>
      <c r="AK1322" s="7"/>
      <c r="AL1322" s="7"/>
      <c r="AM1322" s="8">
        <f>SUM(AH1322:AL1322)</f>
        <v>0</v>
      </c>
      <c r="AO1322" s="6"/>
      <c r="AP1322" s="7"/>
      <c r="AQ1322" s="7"/>
      <c r="AR1322" s="7"/>
      <c r="AS1322" s="7"/>
      <c r="AT1322" s="8">
        <f>SUM(AO1322:AS1322)</f>
        <v>0</v>
      </c>
      <c r="AV1322" s="6"/>
      <c r="AW1322" s="7"/>
      <c r="AX1322" s="7"/>
      <c r="AY1322" s="7"/>
      <c r="AZ1322" s="7"/>
      <c r="BA1322" s="8">
        <f>SUM(AV1322:AZ1322)</f>
        <v>0</v>
      </c>
      <c r="BC1322" s="6"/>
      <c r="BD1322" s="7"/>
      <c r="BE1322" s="7"/>
      <c r="BF1322" s="7"/>
      <c r="BG1322" s="7"/>
      <c r="BH1322" s="8">
        <f>SUM(BC1322:BG1322)</f>
        <v>0</v>
      </c>
      <c r="BJ1322" s="6"/>
      <c r="BK1322" s="7"/>
      <c r="BL1322" s="7"/>
      <c r="BM1322" s="7"/>
      <c r="BN1322" s="7"/>
      <c r="BO1322" s="8">
        <f>SUM(BJ1322:BN1322)</f>
        <v>0</v>
      </c>
      <c r="BQ1322" s="6"/>
      <c r="BR1322" s="7"/>
      <c r="BS1322" s="7"/>
      <c r="BT1322" s="7"/>
      <c r="BU1322" s="7"/>
      <c r="BV1322" s="8">
        <f>SUM(BQ1322:BU1322)</f>
        <v>0</v>
      </c>
      <c r="BX1322" s="6"/>
      <c r="BY1322" s="7"/>
      <c r="BZ1322" s="7"/>
      <c r="CA1322" s="7"/>
      <c r="CB1322" s="7"/>
      <c r="CC1322" s="8">
        <f>SUM(BX1322:CB1322)</f>
        <v>0</v>
      </c>
      <c r="CE1322" s="493">
        <f t="shared" si="6085"/>
        <v>0</v>
      </c>
      <c r="CF1322" s="494">
        <f t="shared" si="6086"/>
        <v>0</v>
      </c>
      <c r="CG1322" s="494">
        <f t="shared" si="6087"/>
        <v>0</v>
      </c>
      <c r="CH1322" s="494">
        <f t="shared" si="6088"/>
        <v>0</v>
      </c>
      <c r="CI1322" s="494">
        <f t="shared" si="6089"/>
        <v>0</v>
      </c>
      <c r="CJ1322" s="495">
        <f>SUM(CE1322:CI1322)</f>
        <v>0</v>
      </c>
      <c r="CL1322" s="6"/>
      <c r="CM1322" s="7"/>
      <c r="CN1322" s="7"/>
      <c r="CO1322" s="7"/>
      <c r="CP1322" s="7"/>
      <c r="CQ1322" s="8">
        <f>SUM(CL1322:CP1322)</f>
        <v>0</v>
      </c>
      <c r="CS1322" s="6"/>
      <c r="CT1322" s="7"/>
      <c r="CU1322" s="7"/>
      <c r="CV1322" s="7"/>
      <c r="CW1322" s="7"/>
      <c r="CX1322" s="8">
        <f t="shared" si="6093"/>
        <v>0</v>
      </c>
      <c r="CZ1322" s="6"/>
      <c r="DA1322" s="7"/>
      <c r="DB1322" s="7"/>
      <c r="DC1322" s="7"/>
      <c r="DD1322" s="7"/>
      <c r="DE1322" s="8">
        <f t="shared" si="6094"/>
        <v>0</v>
      </c>
    </row>
    <row r="1323" spans="2:110" ht="14" thickBot="1">
      <c r="C1323" s="554"/>
      <c r="E1323" s="9"/>
      <c r="F1323" s="10">
        <f>SUM(F1319:F1322)</f>
        <v>0</v>
      </c>
      <c r="G1323" s="11">
        <f t="shared" ref="G1323:J1323" si="6095">SUM(G1319:G1322)</f>
        <v>0</v>
      </c>
      <c r="H1323" s="11">
        <f t="shared" si="6095"/>
        <v>0</v>
      </c>
      <c r="I1323" s="11">
        <f t="shared" si="6095"/>
        <v>0</v>
      </c>
      <c r="J1323" s="61">
        <f t="shared" si="6095"/>
        <v>0</v>
      </c>
      <c r="K1323" s="25">
        <f>SUM(K1319:K1322)</f>
        <v>0</v>
      </c>
      <c r="M1323" s="10">
        <f>SUM(M1319:M1322)</f>
        <v>0</v>
      </c>
      <c r="N1323" s="11">
        <f t="shared" ref="N1323:Q1323" si="6096">SUM(N1319:N1322)</f>
        <v>0</v>
      </c>
      <c r="O1323" s="11">
        <f t="shared" si="6096"/>
        <v>0</v>
      </c>
      <c r="P1323" s="11">
        <f t="shared" si="6096"/>
        <v>0</v>
      </c>
      <c r="Q1323" s="11">
        <f t="shared" si="6096"/>
        <v>0</v>
      </c>
      <c r="R1323" s="25">
        <f>SUM(R1319:R1322)</f>
        <v>0</v>
      </c>
      <c r="T1323" s="10">
        <f>SUM(T1319:T1322)</f>
        <v>0</v>
      </c>
      <c r="U1323" s="11">
        <f t="shared" ref="U1323:X1323" si="6097">SUM(U1319:U1322)</f>
        <v>0</v>
      </c>
      <c r="V1323" s="11">
        <f t="shared" si="6097"/>
        <v>0</v>
      </c>
      <c r="W1323" s="11">
        <f t="shared" si="6097"/>
        <v>0</v>
      </c>
      <c r="X1323" s="11">
        <f t="shared" si="6097"/>
        <v>0</v>
      </c>
      <c r="Y1323" s="25">
        <f>SUM(Y1319:Y1322)</f>
        <v>0</v>
      </c>
      <c r="AA1323" s="10">
        <f>SUM(AA1319:AA1322)</f>
        <v>0</v>
      </c>
      <c r="AB1323" s="11">
        <f t="shared" ref="AB1323:AE1323" si="6098">SUM(AB1319:AB1322)</f>
        <v>0</v>
      </c>
      <c r="AC1323" s="11">
        <f t="shared" si="6098"/>
        <v>0</v>
      </c>
      <c r="AD1323" s="11">
        <f t="shared" si="6098"/>
        <v>0</v>
      </c>
      <c r="AE1323" s="11">
        <f t="shared" si="6098"/>
        <v>0</v>
      </c>
      <c r="AF1323" s="25">
        <f>SUM(AF1319:AF1322)</f>
        <v>0</v>
      </c>
      <c r="AH1323" s="10">
        <f>SUM(AH1319:AH1322)</f>
        <v>0</v>
      </c>
      <c r="AI1323" s="11">
        <f t="shared" ref="AI1323:AL1323" si="6099">SUM(AI1319:AI1322)</f>
        <v>0</v>
      </c>
      <c r="AJ1323" s="11">
        <f t="shared" si="6099"/>
        <v>0</v>
      </c>
      <c r="AK1323" s="11">
        <f t="shared" si="6099"/>
        <v>0</v>
      </c>
      <c r="AL1323" s="11">
        <f t="shared" si="6099"/>
        <v>0</v>
      </c>
      <c r="AM1323" s="25">
        <f>SUM(AM1319:AM1322)</f>
        <v>0</v>
      </c>
      <c r="AO1323" s="10">
        <f>SUM(AO1319:AO1322)</f>
        <v>0</v>
      </c>
      <c r="AP1323" s="11">
        <f t="shared" ref="AP1323:AS1323" si="6100">SUM(AP1319:AP1322)</f>
        <v>0</v>
      </c>
      <c r="AQ1323" s="11">
        <f t="shared" si="6100"/>
        <v>0</v>
      </c>
      <c r="AR1323" s="11">
        <f t="shared" si="6100"/>
        <v>0</v>
      </c>
      <c r="AS1323" s="11">
        <f t="shared" si="6100"/>
        <v>0</v>
      </c>
      <c r="AT1323" s="25">
        <f>SUM(AT1319:AT1322)</f>
        <v>0</v>
      </c>
      <c r="AV1323" s="10">
        <f>SUM(AV1319:AV1322)</f>
        <v>0</v>
      </c>
      <c r="AW1323" s="11">
        <f t="shared" ref="AW1323:AZ1323" si="6101">SUM(AW1319:AW1322)</f>
        <v>0</v>
      </c>
      <c r="AX1323" s="11">
        <f t="shared" si="6101"/>
        <v>0</v>
      </c>
      <c r="AY1323" s="11">
        <f t="shared" si="6101"/>
        <v>0</v>
      </c>
      <c r="AZ1323" s="11">
        <f t="shared" si="6101"/>
        <v>0</v>
      </c>
      <c r="BA1323" s="25">
        <f>SUM(BA1319:BA1322)</f>
        <v>0</v>
      </c>
      <c r="BC1323" s="10">
        <f>SUM(BC1319:BC1322)</f>
        <v>0</v>
      </c>
      <c r="BD1323" s="11">
        <f t="shared" ref="BD1323:BG1323" si="6102">SUM(BD1319:BD1322)</f>
        <v>0</v>
      </c>
      <c r="BE1323" s="11">
        <f t="shared" si="6102"/>
        <v>0</v>
      </c>
      <c r="BF1323" s="11">
        <f t="shared" si="6102"/>
        <v>0</v>
      </c>
      <c r="BG1323" s="11">
        <f t="shared" si="6102"/>
        <v>0</v>
      </c>
      <c r="BH1323" s="25">
        <f>SUM(BH1319:BH1322)</f>
        <v>0</v>
      </c>
      <c r="BJ1323" s="10">
        <f>SUM(BJ1319:BJ1322)</f>
        <v>0</v>
      </c>
      <c r="BK1323" s="11">
        <f t="shared" ref="BK1323:BN1323" si="6103">SUM(BK1319:BK1322)</f>
        <v>0</v>
      </c>
      <c r="BL1323" s="11">
        <f t="shared" si="6103"/>
        <v>0</v>
      </c>
      <c r="BM1323" s="11">
        <f t="shared" si="6103"/>
        <v>0</v>
      </c>
      <c r="BN1323" s="11">
        <f t="shared" si="6103"/>
        <v>0</v>
      </c>
      <c r="BO1323" s="25">
        <f>SUM(BO1319:BO1322)</f>
        <v>0</v>
      </c>
      <c r="BQ1323" s="10">
        <f>SUM(BQ1319:BQ1322)</f>
        <v>0</v>
      </c>
      <c r="BR1323" s="11">
        <f t="shared" ref="BR1323:BU1323" si="6104">SUM(BR1319:BR1322)</f>
        <v>0</v>
      </c>
      <c r="BS1323" s="11">
        <f t="shared" si="6104"/>
        <v>0</v>
      </c>
      <c r="BT1323" s="11">
        <f t="shared" si="6104"/>
        <v>0</v>
      </c>
      <c r="BU1323" s="11">
        <f t="shared" si="6104"/>
        <v>0</v>
      </c>
      <c r="BV1323" s="25">
        <f>SUM(BV1319:BV1322)</f>
        <v>0</v>
      </c>
      <c r="BX1323" s="10">
        <f>SUM(BX1319:BX1322)</f>
        <v>0</v>
      </c>
      <c r="BY1323" s="11">
        <f t="shared" ref="BY1323:CB1323" si="6105">SUM(BY1319:BY1322)</f>
        <v>0</v>
      </c>
      <c r="BZ1323" s="11">
        <f t="shared" si="6105"/>
        <v>0</v>
      </c>
      <c r="CA1323" s="11">
        <f t="shared" si="6105"/>
        <v>0</v>
      </c>
      <c r="CB1323" s="11">
        <f t="shared" si="6105"/>
        <v>0</v>
      </c>
      <c r="CC1323" s="25">
        <f>SUM(CC1319:CC1322)</f>
        <v>0</v>
      </c>
      <c r="CE1323" s="62">
        <f t="shared" ref="CE1323:CJ1323" si="6106">SUM(CE1319:CE1322)</f>
        <v>0</v>
      </c>
      <c r="CF1323" s="63">
        <f t="shared" si="6106"/>
        <v>0</v>
      </c>
      <c r="CG1323" s="63">
        <f t="shared" si="6106"/>
        <v>0</v>
      </c>
      <c r="CH1323" s="63">
        <f t="shared" si="6106"/>
        <v>0</v>
      </c>
      <c r="CI1323" s="63">
        <f t="shared" si="6106"/>
        <v>0</v>
      </c>
      <c r="CJ1323" s="25">
        <f t="shared" si="6106"/>
        <v>0</v>
      </c>
      <c r="CL1323" s="10">
        <f>SUM(CL1319:CL1322)</f>
        <v>0</v>
      </c>
      <c r="CM1323" s="11">
        <f t="shared" ref="CM1323:CP1323" si="6107">SUM(CM1319:CM1322)</f>
        <v>0</v>
      </c>
      <c r="CN1323" s="11">
        <f t="shared" si="6107"/>
        <v>0</v>
      </c>
      <c r="CO1323" s="11">
        <f t="shared" si="6107"/>
        <v>0</v>
      </c>
      <c r="CP1323" s="11">
        <f t="shared" si="6107"/>
        <v>0</v>
      </c>
      <c r="CQ1323" s="25">
        <f>SUM(CQ1319:CQ1322)</f>
        <v>0</v>
      </c>
      <c r="CS1323" s="10">
        <f>SUM(CS1319:CS1322)</f>
        <v>0</v>
      </c>
      <c r="CT1323" s="11">
        <f t="shared" ref="CT1323:CW1323" si="6108">SUM(CT1319:CT1322)</f>
        <v>0</v>
      </c>
      <c r="CU1323" s="11">
        <f t="shared" si="6108"/>
        <v>0</v>
      </c>
      <c r="CV1323" s="11">
        <f t="shared" si="6108"/>
        <v>0</v>
      </c>
      <c r="CW1323" s="11">
        <f t="shared" si="6108"/>
        <v>0</v>
      </c>
      <c r="CX1323" s="25">
        <f>SUM(CX1319:CX1322)</f>
        <v>0</v>
      </c>
      <c r="CZ1323" s="10">
        <f>SUM(CZ1319:CZ1322)</f>
        <v>0</v>
      </c>
      <c r="DA1323" s="11">
        <f t="shared" ref="DA1323:DD1323" si="6109">SUM(DA1319:DA1322)</f>
        <v>0</v>
      </c>
      <c r="DB1323" s="11">
        <f t="shared" si="6109"/>
        <v>0</v>
      </c>
      <c r="DC1323" s="11">
        <f t="shared" si="6109"/>
        <v>0</v>
      </c>
      <c r="DD1323" s="11">
        <f t="shared" si="6109"/>
        <v>0</v>
      </c>
      <c r="DE1323" s="25">
        <f>SUM(DE1319:DE1322)</f>
        <v>0</v>
      </c>
    </row>
    <row r="1324" spans="2:110" ht="10.4" customHeight="1" thickBot="1"/>
    <row r="1325" spans="2:110">
      <c r="C1325" s="553">
        <v>2025</v>
      </c>
      <c r="E1325" s="13" t="s">
        <v>59</v>
      </c>
      <c r="F1325" s="21">
        <f>CE1319</f>
        <v>0</v>
      </c>
      <c r="G1325" s="22">
        <f t="shared" ref="G1325:G1328" si="6110">CF1319</f>
        <v>0</v>
      </c>
      <c r="H1325" s="22">
        <f t="shared" ref="H1325:H1328" si="6111">CG1319</f>
        <v>0</v>
      </c>
      <c r="I1325" s="22">
        <f t="shared" ref="I1325:I1328" si="6112">CH1319</f>
        <v>0</v>
      </c>
      <c r="J1325" s="22">
        <f t="shared" ref="J1325:J1328" si="6113">CI1319</f>
        <v>0</v>
      </c>
      <c r="K1325" s="15">
        <f>SUM(F1325:J1325)</f>
        <v>0</v>
      </c>
      <c r="M1325" s="2"/>
      <c r="N1325" s="3"/>
      <c r="O1325" s="3"/>
      <c r="P1325" s="3"/>
      <c r="Q1325" s="3"/>
      <c r="R1325" s="15">
        <f>SUM(M1325:Q1325)</f>
        <v>0</v>
      </c>
      <c r="T1325" s="2"/>
      <c r="U1325" s="3"/>
      <c r="V1325" s="3"/>
      <c r="W1325" s="3"/>
      <c r="X1325" s="3"/>
      <c r="Y1325" s="15">
        <f>SUM(T1325:X1325)</f>
        <v>0</v>
      </c>
      <c r="AA1325" s="2"/>
      <c r="AB1325" s="3"/>
      <c r="AC1325" s="3"/>
      <c r="AD1325" s="3"/>
      <c r="AE1325" s="3"/>
      <c r="AF1325" s="15">
        <f>SUM(AA1325:AE1325)</f>
        <v>0</v>
      </c>
      <c r="AH1325" s="2"/>
      <c r="AI1325" s="3"/>
      <c r="AJ1325" s="3"/>
      <c r="AK1325" s="3"/>
      <c r="AL1325" s="3"/>
      <c r="AM1325" s="15">
        <f>SUM(AH1325:AL1325)</f>
        <v>0</v>
      </c>
      <c r="AO1325" s="2"/>
      <c r="AP1325" s="3"/>
      <c r="AQ1325" s="3"/>
      <c r="AR1325" s="3"/>
      <c r="AS1325" s="3"/>
      <c r="AT1325" s="15">
        <f>SUM(AO1325:AS1325)</f>
        <v>0</v>
      </c>
      <c r="AV1325" s="2"/>
      <c r="AW1325" s="3"/>
      <c r="AX1325" s="3"/>
      <c r="AY1325" s="3"/>
      <c r="AZ1325" s="3"/>
      <c r="BA1325" s="15">
        <f>SUM(AV1325:AZ1325)</f>
        <v>0</v>
      </c>
      <c r="BC1325" s="2"/>
      <c r="BD1325" s="3"/>
      <c r="BE1325" s="3"/>
      <c r="BF1325" s="3"/>
      <c r="BG1325" s="3"/>
      <c r="BH1325" s="15">
        <f>SUM(BC1325:BG1325)</f>
        <v>0</v>
      </c>
      <c r="BJ1325" s="2"/>
      <c r="BK1325" s="3"/>
      <c r="BL1325" s="3"/>
      <c r="BM1325" s="3"/>
      <c r="BN1325" s="3"/>
      <c r="BO1325" s="15">
        <f>SUM(BJ1325:BN1325)</f>
        <v>0</v>
      </c>
      <c r="BQ1325" s="2"/>
      <c r="BR1325" s="3"/>
      <c r="BS1325" s="3"/>
      <c r="BT1325" s="3"/>
      <c r="BU1325" s="3"/>
      <c r="BV1325" s="15">
        <f>SUM(BQ1325:BU1325)</f>
        <v>0</v>
      </c>
      <c r="BX1325" s="2"/>
      <c r="BY1325" s="3"/>
      <c r="BZ1325" s="3"/>
      <c r="CA1325" s="3"/>
      <c r="CB1325" s="3"/>
      <c r="CC1325" s="15">
        <f>SUM(BX1325:CB1325)</f>
        <v>0</v>
      </c>
      <c r="CE1325" s="26">
        <f t="shared" ref="CE1325:CE1328" si="6114">F1325+M1325+T1325+AA1325+AH1325+AO1325+AV1325+BC1325+BJ1325+BQ1325+BX1325</f>
        <v>0</v>
      </c>
      <c r="CF1325" s="27">
        <f t="shared" ref="CF1325:CF1328" si="6115">G1325+N1325+U1325+AB1325+AI1325+AP1325+AW1325+BD1325+BK1325+BR1325+BY1325</f>
        <v>0</v>
      </c>
      <c r="CG1325" s="27">
        <f t="shared" ref="CG1325:CG1328" si="6116">H1325+O1325+V1325+AC1325+AJ1325+AQ1325+AX1325+BE1325+BL1325+BS1325+BZ1325</f>
        <v>0</v>
      </c>
      <c r="CH1325" s="27">
        <f t="shared" ref="CH1325:CH1328" si="6117">I1325+P1325+W1325+AD1325+AK1325+AR1325+AY1325+BF1325+BM1325+BT1325+CA1325</f>
        <v>0</v>
      </c>
      <c r="CI1325" s="27">
        <f t="shared" ref="CI1325:CI1328" si="6118">J1325+Q1325+X1325+AE1325+AL1325+AS1325+AZ1325+BG1325+BN1325+BU1325+CB1325</f>
        <v>0</v>
      </c>
      <c r="CJ1325" s="4">
        <f>SUM(CE1325:CI1325)</f>
        <v>0</v>
      </c>
      <c r="CL1325" s="2"/>
      <c r="CM1325" s="3"/>
      <c r="CN1325" s="3"/>
      <c r="CO1325" s="3"/>
      <c r="CP1325" s="3"/>
      <c r="CQ1325" s="15">
        <f>SUM(CL1325:CP1325)</f>
        <v>0</v>
      </c>
      <c r="CS1325" s="2"/>
      <c r="CT1325" s="3"/>
      <c r="CU1325" s="3"/>
      <c r="CV1325" s="3"/>
      <c r="CW1325" s="3"/>
      <c r="CX1325" s="4">
        <f>SUM(CS1325:CW1325)</f>
        <v>0</v>
      </c>
      <c r="CZ1325" s="2"/>
      <c r="DA1325" s="3"/>
      <c r="DB1325" s="3"/>
      <c r="DC1325" s="3"/>
      <c r="DD1325" s="3"/>
      <c r="DE1325" s="15">
        <f>SUM(CZ1325:DD1325)</f>
        <v>0</v>
      </c>
    </row>
    <row r="1326" spans="2:110">
      <c r="C1326" s="567"/>
      <c r="E1326" s="14" t="s">
        <v>60</v>
      </c>
      <c r="F1326" s="23">
        <f t="shared" ref="F1326:F1328" si="6119">CE1320</f>
        <v>0</v>
      </c>
      <c r="G1326" s="24">
        <f t="shared" si="6110"/>
        <v>0</v>
      </c>
      <c r="H1326" s="24">
        <f t="shared" si="6111"/>
        <v>0</v>
      </c>
      <c r="I1326" s="24">
        <f t="shared" si="6112"/>
        <v>0</v>
      </c>
      <c r="J1326" s="24">
        <f t="shared" si="6113"/>
        <v>0</v>
      </c>
      <c r="K1326" s="16">
        <f t="shared" ref="K1326:K1328" si="6120">SUM(F1326:J1326)</f>
        <v>0</v>
      </c>
      <c r="M1326" s="6"/>
      <c r="N1326" s="7"/>
      <c r="O1326" s="7"/>
      <c r="P1326" s="7"/>
      <c r="Q1326" s="7"/>
      <c r="R1326" s="16">
        <f t="shared" ref="R1326:R1328" si="6121">SUM(M1326:Q1326)</f>
        <v>0</v>
      </c>
      <c r="T1326" s="6"/>
      <c r="U1326" s="7"/>
      <c r="V1326" s="7"/>
      <c r="W1326" s="7"/>
      <c r="X1326" s="7"/>
      <c r="Y1326" s="16">
        <f t="shared" ref="Y1326:Y1328" si="6122">SUM(T1326:X1326)</f>
        <v>0</v>
      </c>
      <c r="AA1326" s="6"/>
      <c r="AB1326" s="7"/>
      <c r="AC1326" s="7"/>
      <c r="AD1326" s="7"/>
      <c r="AE1326" s="7"/>
      <c r="AF1326" s="16">
        <f>SUM(AA1326:AE1326)</f>
        <v>0</v>
      </c>
      <c r="AH1326" s="6"/>
      <c r="AI1326" s="7"/>
      <c r="AJ1326" s="7"/>
      <c r="AK1326" s="7"/>
      <c r="AL1326" s="7"/>
      <c r="AM1326" s="16">
        <f>SUM(AH1326:AL1326)</f>
        <v>0</v>
      </c>
      <c r="AO1326" s="6"/>
      <c r="AP1326" s="7"/>
      <c r="AQ1326" s="7"/>
      <c r="AR1326" s="7"/>
      <c r="AS1326" s="7"/>
      <c r="AT1326" s="16">
        <f>SUM(AO1326:AS1326)</f>
        <v>0</v>
      </c>
      <c r="AV1326" s="6"/>
      <c r="AW1326" s="7"/>
      <c r="AX1326" s="7"/>
      <c r="AY1326" s="7"/>
      <c r="AZ1326" s="7"/>
      <c r="BA1326" s="16">
        <f>SUM(AV1326:AZ1326)</f>
        <v>0</v>
      </c>
      <c r="BC1326" s="6"/>
      <c r="BD1326" s="7"/>
      <c r="BE1326" s="7"/>
      <c r="BF1326" s="7"/>
      <c r="BG1326" s="7"/>
      <c r="BH1326" s="16">
        <f>SUM(BC1326:BG1326)</f>
        <v>0</v>
      </c>
      <c r="BJ1326" s="6"/>
      <c r="BK1326" s="7"/>
      <c r="BL1326" s="7"/>
      <c r="BM1326" s="7"/>
      <c r="BN1326" s="7"/>
      <c r="BO1326" s="16">
        <f>SUM(BJ1326:BN1326)</f>
        <v>0</v>
      </c>
      <c r="BQ1326" s="6"/>
      <c r="BR1326" s="7"/>
      <c r="BS1326" s="7"/>
      <c r="BT1326" s="7"/>
      <c r="BU1326" s="7"/>
      <c r="BV1326" s="16">
        <f>SUM(BQ1326:BU1326)</f>
        <v>0</v>
      </c>
      <c r="BX1326" s="6"/>
      <c r="BY1326" s="7"/>
      <c r="BZ1326" s="7"/>
      <c r="CA1326" s="7"/>
      <c r="CB1326" s="7"/>
      <c r="CC1326" s="16">
        <f>SUM(BX1326:CB1326)</f>
        <v>0</v>
      </c>
      <c r="CE1326" s="28">
        <f t="shared" si="6114"/>
        <v>0</v>
      </c>
      <c r="CF1326" s="29">
        <f t="shared" si="6115"/>
        <v>0</v>
      </c>
      <c r="CG1326" s="29">
        <f t="shared" si="6116"/>
        <v>0</v>
      </c>
      <c r="CH1326" s="29">
        <f t="shared" si="6117"/>
        <v>0</v>
      </c>
      <c r="CI1326" s="29">
        <f t="shared" si="6118"/>
        <v>0</v>
      </c>
      <c r="CJ1326" s="8">
        <f>SUM(CE1326:CI1326)</f>
        <v>0</v>
      </c>
      <c r="CL1326" s="6"/>
      <c r="CM1326" s="7"/>
      <c r="CN1326" s="7"/>
      <c r="CO1326" s="7"/>
      <c r="CP1326" s="7"/>
      <c r="CQ1326" s="16">
        <f>SUM(CL1326:CP1326)</f>
        <v>0</v>
      </c>
      <c r="CS1326" s="6"/>
      <c r="CT1326" s="7"/>
      <c r="CU1326" s="7"/>
      <c r="CV1326" s="7"/>
      <c r="CW1326" s="7"/>
      <c r="CX1326" s="8">
        <f t="shared" ref="CX1326:CX1328" si="6123">SUM(CS1326:CW1326)</f>
        <v>0</v>
      </c>
      <c r="CZ1326" s="6"/>
      <c r="DA1326" s="7"/>
      <c r="DB1326" s="7"/>
      <c r="DC1326" s="7"/>
      <c r="DD1326" s="7"/>
      <c r="DE1326" s="16">
        <f t="shared" ref="DE1326:DE1328" si="6124">SUM(CZ1326:DD1326)</f>
        <v>0</v>
      </c>
    </row>
    <row r="1327" spans="2:110">
      <c r="C1327" s="567"/>
      <c r="E1327" s="14" t="s">
        <v>61</v>
      </c>
      <c r="F1327" s="23">
        <f t="shared" si="6119"/>
        <v>0</v>
      </c>
      <c r="G1327" s="24">
        <f t="shared" si="6110"/>
        <v>0</v>
      </c>
      <c r="H1327" s="24">
        <f t="shared" si="6111"/>
        <v>0</v>
      </c>
      <c r="I1327" s="24">
        <f t="shared" si="6112"/>
        <v>0</v>
      </c>
      <c r="J1327" s="24">
        <f t="shared" si="6113"/>
        <v>0</v>
      </c>
      <c r="K1327" s="16">
        <f t="shared" si="6120"/>
        <v>0</v>
      </c>
      <c r="M1327" s="6"/>
      <c r="N1327" s="7"/>
      <c r="O1327" s="7"/>
      <c r="P1327" s="7"/>
      <c r="Q1327" s="7"/>
      <c r="R1327" s="16">
        <f t="shared" si="6121"/>
        <v>0</v>
      </c>
      <c r="T1327" s="6"/>
      <c r="U1327" s="7"/>
      <c r="V1327" s="7"/>
      <c r="W1327" s="7"/>
      <c r="X1327" s="7"/>
      <c r="Y1327" s="16">
        <f t="shared" si="6122"/>
        <v>0</v>
      </c>
      <c r="AA1327" s="6"/>
      <c r="AB1327" s="7"/>
      <c r="AC1327" s="7"/>
      <c r="AD1327" s="7"/>
      <c r="AE1327" s="7"/>
      <c r="AF1327" s="16">
        <f>SUM(AA1327:AE1327)</f>
        <v>0</v>
      </c>
      <c r="AH1327" s="6"/>
      <c r="AI1327" s="7"/>
      <c r="AJ1327" s="7"/>
      <c r="AK1327" s="7"/>
      <c r="AL1327" s="7"/>
      <c r="AM1327" s="16">
        <f>SUM(AH1327:AL1327)</f>
        <v>0</v>
      </c>
      <c r="AO1327" s="6"/>
      <c r="AP1327" s="7"/>
      <c r="AQ1327" s="7"/>
      <c r="AR1327" s="7"/>
      <c r="AS1327" s="7"/>
      <c r="AT1327" s="16">
        <f>SUM(AO1327:AS1327)</f>
        <v>0</v>
      </c>
      <c r="AV1327" s="6"/>
      <c r="AW1327" s="7"/>
      <c r="AX1327" s="7"/>
      <c r="AY1327" s="7"/>
      <c r="AZ1327" s="7"/>
      <c r="BA1327" s="16">
        <f>SUM(AV1327:AZ1327)</f>
        <v>0</v>
      </c>
      <c r="BC1327" s="6"/>
      <c r="BD1327" s="7"/>
      <c r="BE1327" s="7"/>
      <c r="BF1327" s="7"/>
      <c r="BG1327" s="7"/>
      <c r="BH1327" s="16">
        <f>SUM(BC1327:BG1327)</f>
        <v>0</v>
      </c>
      <c r="BJ1327" s="6"/>
      <c r="BK1327" s="7"/>
      <c r="BL1327" s="7"/>
      <c r="BM1327" s="7"/>
      <c r="BN1327" s="7"/>
      <c r="BO1327" s="16">
        <f>SUM(BJ1327:BN1327)</f>
        <v>0</v>
      </c>
      <c r="BQ1327" s="6"/>
      <c r="BR1327" s="7"/>
      <c r="BS1327" s="7"/>
      <c r="BT1327" s="7"/>
      <c r="BU1327" s="7"/>
      <c r="BV1327" s="16">
        <f>SUM(BQ1327:BU1327)</f>
        <v>0</v>
      </c>
      <c r="BX1327" s="6"/>
      <c r="BY1327" s="7"/>
      <c r="BZ1327" s="7"/>
      <c r="CA1327" s="7"/>
      <c r="CB1327" s="7"/>
      <c r="CC1327" s="16">
        <f>SUM(BX1327:CB1327)</f>
        <v>0</v>
      </c>
      <c r="CE1327" s="28">
        <f t="shared" si="6114"/>
        <v>0</v>
      </c>
      <c r="CF1327" s="29">
        <f t="shared" si="6115"/>
        <v>0</v>
      </c>
      <c r="CG1327" s="29">
        <f t="shared" si="6116"/>
        <v>0</v>
      </c>
      <c r="CH1327" s="29">
        <f t="shared" si="6117"/>
        <v>0</v>
      </c>
      <c r="CI1327" s="29">
        <f t="shared" si="6118"/>
        <v>0</v>
      </c>
      <c r="CJ1327" s="8">
        <f>SUM(CE1327:CI1327)</f>
        <v>0</v>
      </c>
      <c r="CL1327" s="6"/>
      <c r="CM1327" s="7"/>
      <c r="CN1327" s="7"/>
      <c r="CO1327" s="7"/>
      <c r="CP1327" s="7"/>
      <c r="CQ1327" s="16">
        <f>SUM(CL1327:CP1327)</f>
        <v>0</v>
      </c>
      <c r="CS1327" s="6"/>
      <c r="CT1327" s="7"/>
      <c r="CU1327" s="7"/>
      <c r="CV1327" s="7"/>
      <c r="CW1327" s="7"/>
      <c r="CX1327" s="8">
        <f t="shared" si="6123"/>
        <v>0</v>
      </c>
      <c r="CZ1327" s="6"/>
      <c r="DA1327" s="7"/>
      <c r="DB1327" s="7"/>
      <c r="DC1327" s="7"/>
      <c r="DD1327" s="7"/>
      <c r="DE1327" s="16">
        <f t="shared" si="6124"/>
        <v>0</v>
      </c>
    </row>
    <row r="1328" spans="2:110" ht="14" thickBot="1">
      <c r="C1328" s="567"/>
      <c r="E1328" s="14" t="s">
        <v>62</v>
      </c>
      <c r="F1328" s="23">
        <f t="shared" si="6119"/>
        <v>0</v>
      </c>
      <c r="G1328" s="24">
        <f t="shared" si="6110"/>
        <v>0</v>
      </c>
      <c r="H1328" s="24">
        <f t="shared" si="6111"/>
        <v>0</v>
      </c>
      <c r="I1328" s="24">
        <f t="shared" si="6112"/>
        <v>0</v>
      </c>
      <c r="J1328" s="24">
        <f t="shared" si="6113"/>
        <v>0</v>
      </c>
      <c r="K1328" s="16">
        <f t="shared" si="6120"/>
        <v>0</v>
      </c>
      <c r="M1328" s="6"/>
      <c r="N1328" s="7"/>
      <c r="O1328" s="7"/>
      <c r="P1328" s="7"/>
      <c r="Q1328" s="7"/>
      <c r="R1328" s="16">
        <f t="shared" si="6121"/>
        <v>0</v>
      </c>
      <c r="T1328" s="6"/>
      <c r="U1328" s="7"/>
      <c r="V1328" s="7"/>
      <c r="W1328" s="7"/>
      <c r="X1328" s="7"/>
      <c r="Y1328" s="16">
        <f t="shared" si="6122"/>
        <v>0</v>
      </c>
      <c r="AA1328" s="6"/>
      <c r="AB1328" s="7"/>
      <c r="AC1328" s="7"/>
      <c r="AD1328" s="7"/>
      <c r="AE1328" s="7"/>
      <c r="AF1328" s="16">
        <f>SUM(AA1328:AE1328)</f>
        <v>0</v>
      </c>
      <c r="AH1328" s="6"/>
      <c r="AI1328" s="7"/>
      <c r="AJ1328" s="7"/>
      <c r="AK1328" s="7"/>
      <c r="AL1328" s="7"/>
      <c r="AM1328" s="16">
        <f>SUM(AH1328:AL1328)</f>
        <v>0</v>
      </c>
      <c r="AO1328" s="6"/>
      <c r="AP1328" s="7"/>
      <c r="AQ1328" s="7"/>
      <c r="AR1328" s="7"/>
      <c r="AS1328" s="7"/>
      <c r="AT1328" s="16">
        <f>SUM(AO1328:AS1328)</f>
        <v>0</v>
      </c>
      <c r="AV1328" s="6"/>
      <c r="AW1328" s="7"/>
      <c r="AX1328" s="7"/>
      <c r="AY1328" s="7"/>
      <c r="AZ1328" s="7"/>
      <c r="BA1328" s="16">
        <f>SUM(AV1328:AZ1328)</f>
        <v>0</v>
      </c>
      <c r="BC1328" s="6"/>
      <c r="BD1328" s="7"/>
      <c r="BE1328" s="7"/>
      <c r="BF1328" s="7"/>
      <c r="BG1328" s="7"/>
      <c r="BH1328" s="16">
        <f>SUM(BC1328:BG1328)</f>
        <v>0</v>
      </c>
      <c r="BJ1328" s="6"/>
      <c r="BK1328" s="7"/>
      <c r="BL1328" s="7"/>
      <c r="BM1328" s="7"/>
      <c r="BN1328" s="7"/>
      <c r="BO1328" s="16">
        <f>SUM(BJ1328:BN1328)</f>
        <v>0</v>
      </c>
      <c r="BQ1328" s="6"/>
      <c r="BR1328" s="7"/>
      <c r="BS1328" s="7"/>
      <c r="BT1328" s="7"/>
      <c r="BU1328" s="7"/>
      <c r="BV1328" s="16">
        <f>SUM(BQ1328:BU1328)</f>
        <v>0</v>
      </c>
      <c r="BX1328" s="6"/>
      <c r="BY1328" s="7"/>
      <c r="BZ1328" s="7"/>
      <c r="CA1328" s="7"/>
      <c r="CB1328" s="7"/>
      <c r="CC1328" s="16">
        <f>SUM(BX1328:CB1328)</f>
        <v>0</v>
      </c>
      <c r="CE1328" s="493">
        <f t="shared" si="6114"/>
        <v>0</v>
      </c>
      <c r="CF1328" s="494">
        <f t="shared" si="6115"/>
        <v>0</v>
      </c>
      <c r="CG1328" s="494">
        <f t="shared" si="6116"/>
        <v>0</v>
      </c>
      <c r="CH1328" s="494">
        <f t="shared" si="6117"/>
        <v>0</v>
      </c>
      <c r="CI1328" s="494">
        <f t="shared" si="6118"/>
        <v>0</v>
      </c>
      <c r="CJ1328" s="495">
        <f>SUM(CE1328:CI1328)</f>
        <v>0</v>
      </c>
      <c r="CL1328" s="6"/>
      <c r="CM1328" s="7"/>
      <c r="CN1328" s="7"/>
      <c r="CO1328" s="7"/>
      <c r="CP1328" s="7"/>
      <c r="CQ1328" s="16">
        <f>SUM(CL1328:CP1328)</f>
        <v>0</v>
      </c>
      <c r="CS1328" s="6"/>
      <c r="CT1328" s="7"/>
      <c r="CU1328" s="7"/>
      <c r="CV1328" s="7"/>
      <c r="CW1328" s="7"/>
      <c r="CX1328" s="8">
        <f t="shared" si="6123"/>
        <v>0</v>
      </c>
      <c r="CZ1328" s="6"/>
      <c r="DA1328" s="7"/>
      <c r="DB1328" s="7"/>
      <c r="DC1328" s="7"/>
      <c r="DD1328" s="7"/>
      <c r="DE1328" s="16">
        <f t="shared" si="6124"/>
        <v>0</v>
      </c>
    </row>
    <row r="1329" spans="3:109" ht="14" thickBot="1">
      <c r="C1329" s="554"/>
      <c r="E1329" s="17"/>
      <c r="F1329" s="10">
        <f>SUM(F1325:F1328)</f>
        <v>0</v>
      </c>
      <c r="G1329" s="11">
        <f t="shared" ref="G1329:J1329" si="6125">SUM(G1325:G1328)</f>
        <v>0</v>
      </c>
      <c r="H1329" s="11">
        <f t="shared" si="6125"/>
        <v>0</v>
      </c>
      <c r="I1329" s="11">
        <f t="shared" si="6125"/>
        <v>0</v>
      </c>
      <c r="J1329" s="11">
        <f t="shared" si="6125"/>
        <v>0</v>
      </c>
      <c r="K1329" s="25">
        <f>SUM(K1325:K1328)</f>
        <v>0</v>
      </c>
      <c r="M1329" s="10">
        <f>SUM(M1325:M1328)</f>
        <v>0</v>
      </c>
      <c r="N1329" s="11">
        <f t="shared" ref="N1329:Q1329" si="6126">SUM(N1325:N1328)</f>
        <v>0</v>
      </c>
      <c r="O1329" s="11">
        <f t="shared" si="6126"/>
        <v>0</v>
      </c>
      <c r="P1329" s="11">
        <f t="shared" si="6126"/>
        <v>0</v>
      </c>
      <c r="Q1329" s="11">
        <f t="shared" si="6126"/>
        <v>0</v>
      </c>
      <c r="R1329" s="25">
        <f>SUM(R1325:R1328)</f>
        <v>0</v>
      </c>
      <c r="T1329" s="10">
        <f>SUM(T1325:T1328)</f>
        <v>0</v>
      </c>
      <c r="U1329" s="11">
        <f t="shared" ref="U1329:X1329" si="6127">SUM(U1325:U1328)</f>
        <v>0</v>
      </c>
      <c r="V1329" s="11">
        <f t="shared" si="6127"/>
        <v>0</v>
      </c>
      <c r="W1329" s="11">
        <f t="shared" si="6127"/>
        <v>0</v>
      </c>
      <c r="X1329" s="11">
        <f t="shared" si="6127"/>
        <v>0</v>
      </c>
      <c r="Y1329" s="25">
        <f>SUM(Y1325:Y1328)</f>
        <v>0</v>
      </c>
      <c r="AA1329" s="10">
        <f>SUM(AA1325:AA1328)</f>
        <v>0</v>
      </c>
      <c r="AB1329" s="11">
        <f t="shared" ref="AB1329:AE1329" si="6128">SUM(AB1325:AB1328)</f>
        <v>0</v>
      </c>
      <c r="AC1329" s="11">
        <f t="shared" si="6128"/>
        <v>0</v>
      </c>
      <c r="AD1329" s="11">
        <f t="shared" si="6128"/>
        <v>0</v>
      </c>
      <c r="AE1329" s="11">
        <f t="shared" si="6128"/>
        <v>0</v>
      </c>
      <c r="AF1329" s="25">
        <f>SUM(AF1325:AF1328)</f>
        <v>0</v>
      </c>
      <c r="AH1329" s="10">
        <f>SUM(AH1325:AH1328)</f>
        <v>0</v>
      </c>
      <c r="AI1329" s="11">
        <f t="shared" ref="AI1329:AL1329" si="6129">SUM(AI1325:AI1328)</f>
        <v>0</v>
      </c>
      <c r="AJ1329" s="11">
        <f t="shared" si="6129"/>
        <v>0</v>
      </c>
      <c r="AK1329" s="11">
        <f t="shared" si="6129"/>
        <v>0</v>
      </c>
      <c r="AL1329" s="11">
        <f t="shared" si="6129"/>
        <v>0</v>
      </c>
      <c r="AM1329" s="25">
        <f>SUM(AM1325:AM1328)</f>
        <v>0</v>
      </c>
      <c r="AO1329" s="10">
        <f>SUM(AO1325:AO1328)</f>
        <v>0</v>
      </c>
      <c r="AP1329" s="11">
        <f t="shared" ref="AP1329:AS1329" si="6130">SUM(AP1325:AP1328)</f>
        <v>0</v>
      </c>
      <c r="AQ1329" s="11">
        <f t="shared" si="6130"/>
        <v>0</v>
      </c>
      <c r="AR1329" s="11">
        <f t="shared" si="6130"/>
        <v>0</v>
      </c>
      <c r="AS1329" s="11">
        <f t="shared" si="6130"/>
        <v>0</v>
      </c>
      <c r="AT1329" s="25">
        <f>SUM(AT1325:AT1328)</f>
        <v>0</v>
      </c>
      <c r="AV1329" s="10">
        <f>SUM(AV1325:AV1328)</f>
        <v>0</v>
      </c>
      <c r="AW1329" s="11">
        <f t="shared" ref="AW1329:AZ1329" si="6131">SUM(AW1325:AW1328)</f>
        <v>0</v>
      </c>
      <c r="AX1329" s="11">
        <f t="shared" si="6131"/>
        <v>0</v>
      </c>
      <c r="AY1329" s="11">
        <f t="shared" si="6131"/>
        <v>0</v>
      </c>
      <c r="AZ1329" s="11">
        <f t="shared" si="6131"/>
        <v>0</v>
      </c>
      <c r="BA1329" s="25">
        <f>SUM(BA1325:BA1328)</f>
        <v>0</v>
      </c>
      <c r="BC1329" s="10">
        <f>SUM(BC1325:BC1328)</f>
        <v>0</v>
      </c>
      <c r="BD1329" s="11">
        <f t="shared" ref="BD1329:BG1329" si="6132">SUM(BD1325:BD1328)</f>
        <v>0</v>
      </c>
      <c r="BE1329" s="11">
        <f t="shared" si="6132"/>
        <v>0</v>
      </c>
      <c r="BF1329" s="11">
        <f t="shared" si="6132"/>
        <v>0</v>
      </c>
      <c r="BG1329" s="11">
        <f t="shared" si="6132"/>
        <v>0</v>
      </c>
      <c r="BH1329" s="25">
        <f>SUM(BH1325:BH1328)</f>
        <v>0</v>
      </c>
      <c r="BJ1329" s="10">
        <f>SUM(BJ1325:BJ1328)</f>
        <v>0</v>
      </c>
      <c r="BK1329" s="11">
        <f t="shared" ref="BK1329:BN1329" si="6133">SUM(BK1325:BK1328)</f>
        <v>0</v>
      </c>
      <c r="BL1329" s="11">
        <f t="shared" si="6133"/>
        <v>0</v>
      </c>
      <c r="BM1329" s="11">
        <f t="shared" si="6133"/>
        <v>0</v>
      </c>
      <c r="BN1329" s="11">
        <f t="shared" si="6133"/>
        <v>0</v>
      </c>
      <c r="BO1329" s="25">
        <f>SUM(BO1325:BO1328)</f>
        <v>0</v>
      </c>
      <c r="BQ1329" s="10">
        <f>SUM(BQ1325:BQ1328)</f>
        <v>0</v>
      </c>
      <c r="BR1329" s="11">
        <f t="shared" ref="BR1329:BU1329" si="6134">SUM(BR1325:BR1328)</f>
        <v>0</v>
      </c>
      <c r="BS1329" s="11">
        <f t="shared" si="6134"/>
        <v>0</v>
      </c>
      <c r="BT1329" s="11">
        <f t="shared" si="6134"/>
        <v>0</v>
      </c>
      <c r="BU1329" s="11">
        <f t="shared" si="6134"/>
        <v>0</v>
      </c>
      <c r="BV1329" s="25">
        <f>SUM(BV1325:BV1328)</f>
        <v>0</v>
      </c>
      <c r="BX1329" s="10">
        <f>SUM(BX1325:BX1328)</f>
        <v>0</v>
      </c>
      <c r="BY1329" s="11">
        <f t="shared" ref="BY1329:CB1329" si="6135">SUM(BY1325:BY1328)</f>
        <v>0</v>
      </c>
      <c r="BZ1329" s="11">
        <f t="shared" si="6135"/>
        <v>0</v>
      </c>
      <c r="CA1329" s="11">
        <f t="shared" si="6135"/>
        <v>0</v>
      </c>
      <c r="CB1329" s="11">
        <f t="shared" si="6135"/>
        <v>0</v>
      </c>
      <c r="CC1329" s="25">
        <f>SUM(CC1325:CC1328)</f>
        <v>0</v>
      </c>
      <c r="CE1329" s="62">
        <f t="shared" ref="CE1329:CJ1329" si="6136">SUM(CE1325:CE1328)</f>
        <v>0</v>
      </c>
      <c r="CF1329" s="63">
        <f t="shared" si="6136"/>
        <v>0</v>
      </c>
      <c r="CG1329" s="63">
        <f t="shared" si="6136"/>
        <v>0</v>
      </c>
      <c r="CH1329" s="63">
        <f t="shared" si="6136"/>
        <v>0</v>
      </c>
      <c r="CI1329" s="63">
        <f t="shared" si="6136"/>
        <v>0</v>
      </c>
      <c r="CJ1329" s="25">
        <f t="shared" si="6136"/>
        <v>0</v>
      </c>
      <c r="CL1329" s="10">
        <f>SUM(CL1325:CL1328)</f>
        <v>0</v>
      </c>
      <c r="CM1329" s="11">
        <f t="shared" ref="CM1329:CP1329" si="6137">SUM(CM1325:CM1328)</f>
        <v>0</v>
      </c>
      <c r="CN1329" s="11">
        <f t="shared" si="6137"/>
        <v>0</v>
      </c>
      <c r="CO1329" s="11">
        <f t="shared" si="6137"/>
        <v>0</v>
      </c>
      <c r="CP1329" s="11">
        <f t="shared" si="6137"/>
        <v>0</v>
      </c>
      <c r="CQ1329" s="25">
        <f>SUM(CQ1325:CQ1328)</f>
        <v>0</v>
      </c>
      <c r="CS1329" s="10">
        <f>SUM(CS1325:CS1328)</f>
        <v>0</v>
      </c>
      <c r="CT1329" s="11">
        <f t="shared" ref="CT1329:CW1329" si="6138">SUM(CT1325:CT1328)</f>
        <v>0</v>
      </c>
      <c r="CU1329" s="11">
        <f t="shared" si="6138"/>
        <v>0</v>
      </c>
      <c r="CV1329" s="11">
        <f t="shared" si="6138"/>
        <v>0</v>
      </c>
      <c r="CW1329" s="11">
        <f t="shared" si="6138"/>
        <v>0</v>
      </c>
      <c r="CX1329" s="25">
        <f>SUM(CX1325:CX1328)</f>
        <v>0</v>
      </c>
      <c r="CZ1329" s="10">
        <f>SUM(CZ1325:CZ1328)</f>
        <v>0</v>
      </c>
      <c r="DA1329" s="11">
        <f t="shared" ref="DA1329:DD1329" si="6139">SUM(DA1325:DA1328)</f>
        <v>0</v>
      </c>
      <c r="DB1329" s="11">
        <f t="shared" si="6139"/>
        <v>0</v>
      </c>
      <c r="DC1329" s="11">
        <f t="shared" si="6139"/>
        <v>0</v>
      </c>
      <c r="DD1329" s="11">
        <f t="shared" si="6139"/>
        <v>0</v>
      </c>
      <c r="DE1329" s="25">
        <f>SUM(DE1325:DE1328)</f>
        <v>0</v>
      </c>
    </row>
    <row r="1330" spans="3:109" ht="10.4" customHeight="1" thickBot="1"/>
    <row r="1331" spans="3:109">
      <c r="C1331" s="553">
        <v>2026</v>
      </c>
      <c r="E1331" s="1" t="s">
        <v>59</v>
      </c>
      <c r="F1331" s="21">
        <f>CE1325</f>
        <v>0</v>
      </c>
      <c r="G1331" s="22">
        <f t="shared" ref="G1331:G1334" si="6140">CF1325</f>
        <v>0</v>
      </c>
      <c r="H1331" s="22">
        <f t="shared" ref="H1331:H1334" si="6141">CG1325</f>
        <v>0</v>
      </c>
      <c r="I1331" s="22">
        <f t="shared" ref="I1331:I1334" si="6142">CH1325</f>
        <v>0</v>
      </c>
      <c r="J1331" s="22">
        <f t="shared" ref="J1331:J1334" si="6143">CI1325</f>
        <v>0</v>
      </c>
      <c r="K1331" s="4">
        <f>SUM(F1331:J1331)</f>
        <v>0</v>
      </c>
      <c r="M1331" s="2"/>
      <c r="N1331" s="3"/>
      <c r="O1331" s="3"/>
      <c r="P1331" s="3"/>
      <c r="Q1331" s="3"/>
      <c r="R1331" s="4">
        <f>SUM(M1331:Q1331)</f>
        <v>0</v>
      </c>
      <c r="T1331" s="2"/>
      <c r="U1331" s="3"/>
      <c r="V1331" s="3"/>
      <c r="W1331" s="3"/>
      <c r="X1331" s="3"/>
      <c r="Y1331" s="4">
        <f>SUM(T1331:X1331)</f>
        <v>0</v>
      </c>
      <c r="AA1331" s="2"/>
      <c r="AB1331" s="3"/>
      <c r="AC1331" s="3"/>
      <c r="AD1331" s="3"/>
      <c r="AE1331" s="3"/>
      <c r="AF1331" s="4">
        <f>SUM(AA1331:AE1331)</f>
        <v>0</v>
      </c>
      <c r="AH1331" s="2"/>
      <c r="AI1331" s="3"/>
      <c r="AJ1331" s="3"/>
      <c r="AK1331" s="3"/>
      <c r="AL1331" s="3"/>
      <c r="AM1331" s="4">
        <f>SUM(AH1331:AL1331)</f>
        <v>0</v>
      </c>
      <c r="AO1331" s="2"/>
      <c r="AP1331" s="3"/>
      <c r="AQ1331" s="3"/>
      <c r="AR1331" s="3"/>
      <c r="AS1331" s="3"/>
      <c r="AT1331" s="4">
        <f>SUM(AO1331:AS1331)</f>
        <v>0</v>
      </c>
      <c r="AV1331" s="2"/>
      <c r="AW1331" s="3"/>
      <c r="AX1331" s="3"/>
      <c r="AY1331" s="3"/>
      <c r="AZ1331" s="3"/>
      <c r="BA1331" s="4">
        <f>SUM(AV1331:AZ1331)</f>
        <v>0</v>
      </c>
      <c r="BC1331" s="2"/>
      <c r="BD1331" s="3"/>
      <c r="BE1331" s="3"/>
      <c r="BF1331" s="3"/>
      <c r="BG1331" s="3"/>
      <c r="BH1331" s="4">
        <f>SUM(BC1331:BG1331)</f>
        <v>0</v>
      </c>
      <c r="BJ1331" s="2"/>
      <c r="BK1331" s="3"/>
      <c r="BL1331" s="3"/>
      <c r="BM1331" s="3"/>
      <c r="BN1331" s="3"/>
      <c r="BO1331" s="4">
        <f>SUM(BJ1331:BN1331)</f>
        <v>0</v>
      </c>
      <c r="BQ1331" s="2"/>
      <c r="BR1331" s="3"/>
      <c r="BS1331" s="3"/>
      <c r="BT1331" s="3"/>
      <c r="BU1331" s="3"/>
      <c r="BV1331" s="4">
        <f>SUM(BQ1331:BU1331)</f>
        <v>0</v>
      </c>
      <c r="BX1331" s="2"/>
      <c r="BY1331" s="3"/>
      <c r="BZ1331" s="3"/>
      <c r="CA1331" s="3"/>
      <c r="CB1331" s="3"/>
      <c r="CC1331" s="4">
        <f>SUM(BX1331:CB1331)</f>
        <v>0</v>
      </c>
      <c r="CE1331" s="26">
        <f t="shared" ref="CE1331:CE1334" si="6144">F1331+M1331+T1331+AA1331+AH1331+AO1331+AV1331+BC1331+BJ1331+BQ1331+BX1331</f>
        <v>0</v>
      </c>
      <c r="CF1331" s="27">
        <f t="shared" ref="CF1331:CF1334" si="6145">G1331+N1331+U1331+AB1331+AI1331+AP1331+AW1331+BD1331+BK1331+BR1331+BY1331</f>
        <v>0</v>
      </c>
      <c r="CG1331" s="27">
        <f t="shared" ref="CG1331:CG1334" si="6146">H1331+O1331+V1331+AC1331+AJ1331+AQ1331+AX1331+BE1331+BL1331+BS1331+BZ1331</f>
        <v>0</v>
      </c>
      <c r="CH1331" s="27">
        <f t="shared" ref="CH1331:CH1334" si="6147">I1331+P1331+W1331+AD1331+AK1331+AR1331+AY1331+BF1331+BM1331+BT1331+CA1331</f>
        <v>0</v>
      </c>
      <c r="CI1331" s="27">
        <f t="shared" ref="CI1331:CI1334" si="6148">J1331+Q1331+X1331+AE1331+AL1331+AS1331+AZ1331+BG1331+BN1331+BU1331+CB1331</f>
        <v>0</v>
      </c>
      <c r="CJ1331" s="4">
        <f>SUM(CE1331:CI1331)</f>
        <v>0</v>
      </c>
      <c r="CL1331" s="2"/>
      <c r="CM1331" s="3"/>
      <c r="CN1331" s="3"/>
      <c r="CO1331" s="3"/>
      <c r="CP1331" s="3"/>
      <c r="CQ1331" s="4">
        <f>SUM(CL1331:CP1331)</f>
        <v>0</v>
      </c>
      <c r="CS1331" s="2"/>
      <c r="CT1331" s="3"/>
      <c r="CU1331" s="3"/>
      <c r="CV1331" s="3"/>
      <c r="CW1331" s="3"/>
      <c r="CX1331" s="4">
        <f>SUM(CS1331:CW1331)</f>
        <v>0</v>
      </c>
      <c r="CZ1331" s="2"/>
      <c r="DA1331" s="3"/>
      <c r="DB1331" s="3"/>
      <c r="DC1331" s="3"/>
      <c r="DD1331" s="3"/>
      <c r="DE1331" s="4">
        <f>SUM(CZ1331:DD1331)</f>
        <v>0</v>
      </c>
    </row>
    <row r="1332" spans="3:109">
      <c r="C1332" s="567"/>
      <c r="E1332" s="5" t="s">
        <v>60</v>
      </c>
      <c r="F1332" s="23">
        <f t="shared" ref="F1332:F1334" si="6149">CE1326</f>
        <v>0</v>
      </c>
      <c r="G1332" s="24">
        <f t="shared" si="6140"/>
        <v>0</v>
      </c>
      <c r="H1332" s="24">
        <f t="shared" si="6141"/>
        <v>0</v>
      </c>
      <c r="I1332" s="24">
        <f t="shared" si="6142"/>
        <v>0</v>
      </c>
      <c r="J1332" s="24">
        <f t="shared" si="6143"/>
        <v>0</v>
      </c>
      <c r="K1332" s="8">
        <f t="shared" ref="K1332:K1334" si="6150">SUM(F1332:J1332)</f>
        <v>0</v>
      </c>
      <c r="M1332" s="6"/>
      <c r="N1332" s="7"/>
      <c r="O1332" s="7"/>
      <c r="P1332" s="7"/>
      <c r="Q1332" s="7"/>
      <c r="R1332" s="8">
        <f t="shared" ref="R1332:R1334" si="6151">SUM(M1332:Q1332)</f>
        <v>0</v>
      </c>
      <c r="T1332" s="6"/>
      <c r="U1332" s="7"/>
      <c r="V1332" s="7"/>
      <c r="W1332" s="7"/>
      <c r="X1332" s="7"/>
      <c r="Y1332" s="8">
        <f t="shared" ref="Y1332:Y1334" si="6152">SUM(T1332:X1332)</f>
        <v>0</v>
      </c>
      <c r="AA1332" s="6"/>
      <c r="AB1332" s="7"/>
      <c r="AC1332" s="7"/>
      <c r="AD1332" s="7"/>
      <c r="AE1332" s="7"/>
      <c r="AF1332" s="8">
        <f>SUM(AA1332:AE1332)</f>
        <v>0</v>
      </c>
      <c r="AH1332" s="6"/>
      <c r="AI1332" s="7"/>
      <c r="AJ1332" s="7"/>
      <c r="AK1332" s="7"/>
      <c r="AL1332" s="7"/>
      <c r="AM1332" s="8">
        <f>SUM(AH1332:AL1332)</f>
        <v>0</v>
      </c>
      <c r="AO1332" s="6"/>
      <c r="AP1332" s="7"/>
      <c r="AQ1332" s="7"/>
      <c r="AR1332" s="7"/>
      <c r="AS1332" s="7"/>
      <c r="AT1332" s="8">
        <f>SUM(AO1332:AS1332)</f>
        <v>0</v>
      </c>
      <c r="AV1332" s="6"/>
      <c r="AW1332" s="7"/>
      <c r="AX1332" s="7"/>
      <c r="AY1332" s="7"/>
      <c r="AZ1332" s="7"/>
      <c r="BA1332" s="8">
        <f>SUM(AV1332:AZ1332)</f>
        <v>0</v>
      </c>
      <c r="BC1332" s="6"/>
      <c r="BD1332" s="7"/>
      <c r="BE1332" s="7"/>
      <c r="BF1332" s="7"/>
      <c r="BG1332" s="7"/>
      <c r="BH1332" s="8">
        <f>SUM(BC1332:BG1332)</f>
        <v>0</v>
      </c>
      <c r="BJ1332" s="6"/>
      <c r="BK1332" s="7"/>
      <c r="BL1332" s="7"/>
      <c r="BM1332" s="7"/>
      <c r="BN1332" s="7"/>
      <c r="BO1332" s="8">
        <f>SUM(BJ1332:BN1332)</f>
        <v>0</v>
      </c>
      <c r="BQ1332" s="6"/>
      <c r="BR1332" s="7"/>
      <c r="BS1332" s="7"/>
      <c r="BT1332" s="7"/>
      <c r="BU1332" s="7"/>
      <c r="BV1332" s="8">
        <f>SUM(BQ1332:BU1332)</f>
        <v>0</v>
      </c>
      <c r="BX1332" s="6"/>
      <c r="BY1332" s="7"/>
      <c r="BZ1332" s="7"/>
      <c r="CA1332" s="7"/>
      <c r="CB1332" s="7"/>
      <c r="CC1332" s="8">
        <f>SUM(BX1332:CB1332)</f>
        <v>0</v>
      </c>
      <c r="CE1332" s="28">
        <f t="shared" si="6144"/>
        <v>0</v>
      </c>
      <c r="CF1332" s="29">
        <f t="shared" si="6145"/>
        <v>0</v>
      </c>
      <c r="CG1332" s="29">
        <f t="shared" si="6146"/>
        <v>0</v>
      </c>
      <c r="CH1332" s="29">
        <f t="shared" si="6147"/>
        <v>0</v>
      </c>
      <c r="CI1332" s="29">
        <f t="shared" si="6148"/>
        <v>0</v>
      </c>
      <c r="CJ1332" s="8">
        <f>SUM(CE1332:CI1332)</f>
        <v>0</v>
      </c>
      <c r="CL1332" s="6"/>
      <c r="CM1332" s="7"/>
      <c r="CN1332" s="7"/>
      <c r="CO1332" s="7"/>
      <c r="CP1332" s="7"/>
      <c r="CQ1332" s="8">
        <f>SUM(CL1332:CP1332)</f>
        <v>0</v>
      </c>
      <c r="CS1332" s="6"/>
      <c r="CT1332" s="7"/>
      <c r="CU1332" s="7"/>
      <c r="CV1332" s="7"/>
      <c r="CW1332" s="7"/>
      <c r="CX1332" s="8">
        <f t="shared" ref="CX1332:CX1334" si="6153">SUM(CS1332:CW1332)</f>
        <v>0</v>
      </c>
      <c r="CZ1332" s="6"/>
      <c r="DA1332" s="7"/>
      <c r="DB1332" s="7"/>
      <c r="DC1332" s="7"/>
      <c r="DD1332" s="7"/>
      <c r="DE1332" s="8">
        <f t="shared" ref="DE1332:DE1334" si="6154">SUM(CZ1332:DD1332)</f>
        <v>0</v>
      </c>
    </row>
    <row r="1333" spans="3:109">
      <c r="C1333" s="567"/>
      <c r="E1333" s="5" t="s">
        <v>61</v>
      </c>
      <c r="F1333" s="23">
        <f t="shared" si="6149"/>
        <v>0</v>
      </c>
      <c r="G1333" s="24">
        <f t="shared" si="6140"/>
        <v>0</v>
      </c>
      <c r="H1333" s="24">
        <f t="shared" si="6141"/>
        <v>0</v>
      </c>
      <c r="I1333" s="24">
        <f t="shared" si="6142"/>
        <v>0</v>
      </c>
      <c r="J1333" s="24">
        <f t="shared" si="6143"/>
        <v>0</v>
      </c>
      <c r="K1333" s="8">
        <f t="shared" si="6150"/>
        <v>0</v>
      </c>
      <c r="M1333" s="6"/>
      <c r="N1333" s="7"/>
      <c r="O1333" s="7"/>
      <c r="P1333" s="7"/>
      <c r="Q1333" s="7"/>
      <c r="R1333" s="8">
        <f t="shared" si="6151"/>
        <v>0</v>
      </c>
      <c r="T1333" s="6"/>
      <c r="U1333" s="7"/>
      <c r="V1333" s="7"/>
      <c r="W1333" s="7"/>
      <c r="X1333" s="7"/>
      <c r="Y1333" s="8">
        <f t="shared" si="6152"/>
        <v>0</v>
      </c>
      <c r="AA1333" s="6"/>
      <c r="AB1333" s="7"/>
      <c r="AC1333" s="7"/>
      <c r="AD1333" s="7"/>
      <c r="AE1333" s="7"/>
      <c r="AF1333" s="8">
        <f>SUM(AA1333:AE1333)</f>
        <v>0</v>
      </c>
      <c r="AH1333" s="6"/>
      <c r="AI1333" s="7"/>
      <c r="AJ1333" s="7"/>
      <c r="AK1333" s="7"/>
      <c r="AL1333" s="7"/>
      <c r="AM1333" s="8">
        <f>SUM(AH1333:AL1333)</f>
        <v>0</v>
      </c>
      <c r="AO1333" s="6"/>
      <c r="AP1333" s="7"/>
      <c r="AQ1333" s="7"/>
      <c r="AR1333" s="7"/>
      <c r="AS1333" s="7"/>
      <c r="AT1333" s="8">
        <f>SUM(AO1333:AS1333)</f>
        <v>0</v>
      </c>
      <c r="AV1333" s="6"/>
      <c r="AW1333" s="7"/>
      <c r="AX1333" s="7"/>
      <c r="AY1333" s="7"/>
      <c r="AZ1333" s="7"/>
      <c r="BA1333" s="8">
        <f>SUM(AV1333:AZ1333)</f>
        <v>0</v>
      </c>
      <c r="BC1333" s="6"/>
      <c r="BD1333" s="7"/>
      <c r="BE1333" s="7"/>
      <c r="BF1333" s="7"/>
      <c r="BG1333" s="7"/>
      <c r="BH1333" s="8">
        <f>SUM(BC1333:BG1333)</f>
        <v>0</v>
      </c>
      <c r="BJ1333" s="6"/>
      <c r="BK1333" s="7"/>
      <c r="BL1333" s="7"/>
      <c r="BM1333" s="7"/>
      <c r="BN1333" s="7"/>
      <c r="BO1333" s="8">
        <f>SUM(BJ1333:BN1333)</f>
        <v>0</v>
      </c>
      <c r="BQ1333" s="6"/>
      <c r="BR1333" s="7"/>
      <c r="BS1333" s="7"/>
      <c r="BT1333" s="7"/>
      <c r="BU1333" s="7"/>
      <c r="BV1333" s="8">
        <f>SUM(BQ1333:BU1333)</f>
        <v>0</v>
      </c>
      <c r="BX1333" s="6"/>
      <c r="BY1333" s="7"/>
      <c r="BZ1333" s="7"/>
      <c r="CA1333" s="7"/>
      <c r="CB1333" s="7"/>
      <c r="CC1333" s="8">
        <f>SUM(BX1333:CB1333)</f>
        <v>0</v>
      </c>
      <c r="CE1333" s="28">
        <f t="shared" si="6144"/>
        <v>0</v>
      </c>
      <c r="CF1333" s="29">
        <f t="shared" si="6145"/>
        <v>0</v>
      </c>
      <c r="CG1333" s="29">
        <f t="shared" si="6146"/>
        <v>0</v>
      </c>
      <c r="CH1333" s="29">
        <f t="shared" si="6147"/>
        <v>0</v>
      </c>
      <c r="CI1333" s="29">
        <f t="shared" si="6148"/>
        <v>0</v>
      </c>
      <c r="CJ1333" s="8">
        <f>SUM(CE1333:CI1333)</f>
        <v>0</v>
      </c>
      <c r="CL1333" s="6"/>
      <c r="CM1333" s="7"/>
      <c r="CN1333" s="7"/>
      <c r="CO1333" s="7"/>
      <c r="CP1333" s="7"/>
      <c r="CQ1333" s="8">
        <f>SUM(CL1333:CP1333)</f>
        <v>0</v>
      </c>
      <c r="CS1333" s="6"/>
      <c r="CT1333" s="7"/>
      <c r="CU1333" s="7"/>
      <c r="CV1333" s="7"/>
      <c r="CW1333" s="7"/>
      <c r="CX1333" s="8">
        <f t="shared" si="6153"/>
        <v>0</v>
      </c>
      <c r="CZ1333" s="6"/>
      <c r="DA1333" s="7"/>
      <c r="DB1333" s="7"/>
      <c r="DC1333" s="7"/>
      <c r="DD1333" s="7"/>
      <c r="DE1333" s="8">
        <f t="shared" si="6154"/>
        <v>0</v>
      </c>
    </row>
    <row r="1334" spans="3:109" ht="14" thickBot="1">
      <c r="C1334" s="567"/>
      <c r="E1334" s="5" t="s">
        <v>62</v>
      </c>
      <c r="F1334" s="23">
        <f t="shared" si="6149"/>
        <v>0</v>
      </c>
      <c r="G1334" s="24">
        <f t="shared" si="6140"/>
        <v>0</v>
      </c>
      <c r="H1334" s="24">
        <f t="shared" si="6141"/>
        <v>0</v>
      </c>
      <c r="I1334" s="24">
        <f t="shared" si="6142"/>
        <v>0</v>
      </c>
      <c r="J1334" s="24">
        <f t="shared" si="6143"/>
        <v>0</v>
      </c>
      <c r="K1334" s="8">
        <f t="shared" si="6150"/>
        <v>0</v>
      </c>
      <c r="M1334" s="6"/>
      <c r="N1334" s="7"/>
      <c r="O1334" s="7"/>
      <c r="P1334" s="7"/>
      <c r="Q1334" s="7"/>
      <c r="R1334" s="8">
        <f t="shared" si="6151"/>
        <v>0</v>
      </c>
      <c r="T1334" s="6"/>
      <c r="U1334" s="7"/>
      <c r="V1334" s="7"/>
      <c r="W1334" s="7"/>
      <c r="X1334" s="7"/>
      <c r="Y1334" s="8">
        <f t="shared" si="6152"/>
        <v>0</v>
      </c>
      <c r="AA1334" s="6"/>
      <c r="AB1334" s="7"/>
      <c r="AC1334" s="7"/>
      <c r="AD1334" s="7"/>
      <c r="AE1334" s="7"/>
      <c r="AF1334" s="8">
        <f>SUM(AA1334:AE1334)</f>
        <v>0</v>
      </c>
      <c r="AH1334" s="6"/>
      <c r="AI1334" s="7"/>
      <c r="AJ1334" s="7"/>
      <c r="AK1334" s="7"/>
      <c r="AL1334" s="7"/>
      <c r="AM1334" s="8">
        <f>SUM(AH1334:AL1334)</f>
        <v>0</v>
      </c>
      <c r="AO1334" s="6"/>
      <c r="AP1334" s="7"/>
      <c r="AQ1334" s="7"/>
      <c r="AR1334" s="7"/>
      <c r="AS1334" s="7"/>
      <c r="AT1334" s="8">
        <f>SUM(AO1334:AS1334)</f>
        <v>0</v>
      </c>
      <c r="AV1334" s="6"/>
      <c r="AW1334" s="7"/>
      <c r="AX1334" s="7"/>
      <c r="AY1334" s="7"/>
      <c r="AZ1334" s="7"/>
      <c r="BA1334" s="8">
        <f>SUM(AV1334:AZ1334)</f>
        <v>0</v>
      </c>
      <c r="BC1334" s="6"/>
      <c r="BD1334" s="7"/>
      <c r="BE1334" s="7"/>
      <c r="BF1334" s="7"/>
      <c r="BG1334" s="7"/>
      <c r="BH1334" s="8">
        <f>SUM(BC1334:BG1334)</f>
        <v>0</v>
      </c>
      <c r="BJ1334" s="6"/>
      <c r="BK1334" s="7"/>
      <c r="BL1334" s="7"/>
      <c r="BM1334" s="7"/>
      <c r="BN1334" s="7"/>
      <c r="BO1334" s="8">
        <f>SUM(BJ1334:BN1334)</f>
        <v>0</v>
      </c>
      <c r="BQ1334" s="6"/>
      <c r="BR1334" s="7"/>
      <c r="BS1334" s="7"/>
      <c r="BT1334" s="7"/>
      <c r="BU1334" s="7"/>
      <c r="BV1334" s="8">
        <f>SUM(BQ1334:BU1334)</f>
        <v>0</v>
      </c>
      <c r="BX1334" s="6"/>
      <c r="BY1334" s="7"/>
      <c r="BZ1334" s="7"/>
      <c r="CA1334" s="7"/>
      <c r="CB1334" s="7"/>
      <c r="CC1334" s="8">
        <f>SUM(BX1334:CB1334)</f>
        <v>0</v>
      </c>
      <c r="CE1334" s="493">
        <f t="shared" si="6144"/>
        <v>0</v>
      </c>
      <c r="CF1334" s="494">
        <f t="shared" si="6145"/>
        <v>0</v>
      </c>
      <c r="CG1334" s="494">
        <f t="shared" si="6146"/>
        <v>0</v>
      </c>
      <c r="CH1334" s="494">
        <f t="shared" si="6147"/>
        <v>0</v>
      </c>
      <c r="CI1334" s="494">
        <f t="shared" si="6148"/>
        <v>0</v>
      </c>
      <c r="CJ1334" s="495">
        <f>SUM(CE1334:CI1334)</f>
        <v>0</v>
      </c>
      <c r="CL1334" s="6"/>
      <c r="CM1334" s="7"/>
      <c r="CN1334" s="7"/>
      <c r="CO1334" s="7"/>
      <c r="CP1334" s="7"/>
      <c r="CQ1334" s="8">
        <f>SUM(CL1334:CP1334)</f>
        <v>0</v>
      </c>
      <c r="CS1334" s="6"/>
      <c r="CT1334" s="7"/>
      <c r="CU1334" s="7"/>
      <c r="CV1334" s="7"/>
      <c r="CW1334" s="7"/>
      <c r="CX1334" s="8">
        <f t="shared" si="6153"/>
        <v>0</v>
      </c>
      <c r="CZ1334" s="6"/>
      <c r="DA1334" s="7"/>
      <c r="DB1334" s="7"/>
      <c r="DC1334" s="7"/>
      <c r="DD1334" s="7"/>
      <c r="DE1334" s="8">
        <f t="shared" si="6154"/>
        <v>0</v>
      </c>
    </row>
    <row r="1335" spans="3:109" ht="14" thickBot="1">
      <c r="C1335" s="554"/>
      <c r="E1335" s="9"/>
      <c r="F1335" s="10">
        <f>SUM(F1331:F1334)</f>
        <v>0</v>
      </c>
      <c r="G1335" s="11">
        <f t="shared" ref="G1335:J1335" si="6155">SUM(G1331:G1334)</f>
        <v>0</v>
      </c>
      <c r="H1335" s="11">
        <f t="shared" si="6155"/>
        <v>0</v>
      </c>
      <c r="I1335" s="11">
        <f t="shared" si="6155"/>
        <v>0</v>
      </c>
      <c r="J1335" s="11">
        <f t="shared" si="6155"/>
        <v>0</v>
      </c>
      <c r="K1335" s="25">
        <f>SUM(K1331:K1334)</f>
        <v>0</v>
      </c>
      <c r="M1335" s="10">
        <f>SUM(M1331:M1334)</f>
        <v>0</v>
      </c>
      <c r="N1335" s="11">
        <f t="shared" ref="N1335:Q1335" si="6156">SUM(N1331:N1334)</f>
        <v>0</v>
      </c>
      <c r="O1335" s="11">
        <f t="shared" si="6156"/>
        <v>0</v>
      </c>
      <c r="P1335" s="11">
        <f t="shared" si="6156"/>
        <v>0</v>
      </c>
      <c r="Q1335" s="11">
        <f t="shared" si="6156"/>
        <v>0</v>
      </c>
      <c r="R1335" s="25">
        <f>SUM(R1331:R1334)</f>
        <v>0</v>
      </c>
      <c r="T1335" s="10">
        <f>SUM(T1331:T1334)</f>
        <v>0</v>
      </c>
      <c r="U1335" s="11">
        <f t="shared" ref="U1335:X1335" si="6157">SUM(U1331:U1334)</f>
        <v>0</v>
      </c>
      <c r="V1335" s="11">
        <f t="shared" si="6157"/>
        <v>0</v>
      </c>
      <c r="W1335" s="11">
        <f t="shared" si="6157"/>
        <v>0</v>
      </c>
      <c r="X1335" s="11">
        <f t="shared" si="6157"/>
        <v>0</v>
      </c>
      <c r="Y1335" s="25">
        <f>SUM(Y1331:Y1334)</f>
        <v>0</v>
      </c>
      <c r="AA1335" s="10">
        <f>SUM(AA1331:AA1334)</f>
        <v>0</v>
      </c>
      <c r="AB1335" s="11">
        <f t="shared" ref="AB1335:AE1335" si="6158">SUM(AB1331:AB1334)</f>
        <v>0</v>
      </c>
      <c r="AC1335" s="11">
        <f t="shared" si="6158"/>
        <v>0</v>
      </c>
      <c r="AD1335" s="11">
        <f t="shared" si="6158"/>
        <v>0</v>
      </c>
      <c r="AE1335" s="11">
        <f t="shared" si="6158"/>
        <v>0</v>
      </c>
      <c r="AF1335" s="25">
        <f>SUM(AF1331:AF1334)</f>
        <v>0</v>
      </c>
      <c r="AH1335" s="10">
        <f>SUM(AH1331:AH1334)</f>
        <v>0</v>
      </c>
      <c r="AI1335" s="11">
        <f t="shared" ref="AI1335:AL1335" si="6159">SUM(AI1331:AI1334)</f>
        <v>0</v>
      </c>
      <c r="AJ1335" s="11">
        <f t="shared" si="6159"/>
        <v>0</v>
      </c>
      <c r="AK1335" s="11">
        <f t="shared" si="6159"/>
        <v>0</v>
      </c>
      <c r="AL1335" s="11">
        <f t="shared" si="6159"/>
        <v>0</v>
      </c>
      <c r="AM1335" s="25">
        <f>SUM(AM1331:AM1334)</f>
        <v>0</v>
      </c>
      <c r="AO1335" s="10">
        <f>SUM(AO1331:AO1334)</f>
        <v>0</v>
      </c>
      <c r="AP1335" s="11">
        <f t="shared" ref="AP1335:AS1335" si="6160">SUM(AP1331:AP1334)</f>
        <v>0</v>
      </c>
      <c r="AQ1335" s="11">
        <f t="shared" si="6160"/>
        <v>0</v>
      </c>
      <c r="AR1335" s="11">
        <f t="shared" si="6160"/>
        <v>0</v>
      </c>
      <c r="AS1335" s="11">
        <f t="shared" si="6160"/>
        <v>0</v>
      </c>
      <c r="AT1335" s="25">
        <f>SUM(AT1331:AT1334)</f>
        <v>0</v>
      </c>
      <c r="AV1335" s="10">
        <f>SUM(AV1331:AV1334)</f>
        <v>0</v>
      </c>
      <c r="AW1335" s="11">
        <f t="shared" ref="AW1335:AZ1335" si="6161">SUM(AW1331:AW1334)</f>
        <v>0</v>
      </c>
      <c r="AX1335" s="11">
        <f t="shared" si="6161"/>
        <v>0</v>
      </c>
      <c r="AY1335" s="11">
        <f t="shared" si="6161"/>
        <v>0</v>
      </c>
      <c r="AZ1335" s="11">
        <f t="shared" si="6161"/>
        <v>0</v>
      </c>
      <c r="BA1335" s="25">
        <f>SUM(BA1331:BA1334)</f>
        <v>0</v>
      </c>
      <c r="BC1335" s="10">
        <f>SUM(BC1331:BC1334)</f>
        <v>0</v>
      </c>
      <c r="BD1335" s="11">
        <f t="shared" ref="BD1335:BG1335" si="6162">SUM(BD1331:BD1334)</f>
        <v>0</v>
      </c>
      <c r="BE1335" s="11">
        <f t="shared" si="6162"/>
        <v>0</v>
      </c>
      <c r="BF1335" s="11">
        <f t="shared" si="6162"/>
        <v>0</v>
      </c>
      <c r="BG1335" s="11">
        <f t="shared" si="6162"/>
        <v>0</v>
      </c>
      <c r="BH1335" s="25">
        <f>SUM(BH1331:BH1334)</f>
        <v>0</v>
      </c>
      <c r="BJ1335" s="10">
        <f>SUM(BJ1331:BJ1334)</f>
        <v>0</v>
      </c>
      <c r="BK1335" s="11">
        <f t="shared" ref="BK1335:BN1335" si="6163">SUM(BK1331:BK1334)</f>
        <v>0</v>
      </c>
      <c r="BL1335" s="11">
        <f t="shared" si="6163"/>
        <v>0</v>
      </c>
      <c r="BM1335" s="11">
        <f t="shared" si="6163"/>
        <v>0</v>
      </c>
      <c r="BN1335" s="11">
        <f t="shared" si="6163"/>
        <v>0</v>
      </c>
      <c r="BO1335" s="25">
        <f>SUM(BO1331:BO1334)</f>
        <v>0</v>
      </c>
      <c r="BQ1335" s="10">
        <f>SUM(BQ1331:BQ1334)</f>
        <v>0</v>
      </c>
      <c r="BR1335" s="11">
        <f t="shared" ref="BR1335:BU1335" si="6164">SUM(BR1331:BR1334)</f>
        <v>0</v>
      </c>
      <c r="BS1335" s="11">
        <f t="shared" si="6164"/>
        <v>0</v>
      </c>
      <c r="BT1335" s="11">
        <f t="shared" si="6164"/>
        <v>0</v>
      </c>
      <c r="BU1335" s="11">
        <f t="shared" si="6164"/>
        <v>0</v>
      </c>
      <c r="BV1335" s="25">
        <f>SUM(BV1331:BV1334)</f>
        <v>0</v>
      </c>
      <c r="BX1335" s="10">
        <f>SUM(BX1331:BX1334)</f>
        <v>0</v>
      </c>
      <c r="BY1335" s="11">
        <f t="shared" ref="BY1335:CB1335" si="6165">SUM(BY1331:BY1334)</f>
        <v>0</v>
      </c>
      <c r="BZ1335" s="11">
        <f t="shared" si="6165"/>
        <v>0</v>
      </c>
      <c r="CA1335" s="11">
        <f t="shared" si="6165"/>
        <v>0</v>
      </c>
      <c r="CB1335" s="11">
        <f t="shared" si="6165"/>
        <v>0</v>
      </c>
      <c r="CC1335" s="25">
        <f>SUM(CC1331:CC1334)</f>
        <v>0</v>
      </c>
      <c r="CE1335" s="62">
        <f t="shared" ref="CE1335:CJ1335" si="6166">SUM(CE1331:CE1334)</f>
        <v>0</v>
      </c>
      <c r="CF1335" s="63">
        <f t="shared" si="6166"/>
        <v>0</v>
      </c>
      <c r="CG1335" s="63">
        <f t="shared" si="6166"/>
        <v>0</v>
      </c>
      <c r="CH1335" s="63">
        <f t="shared" si="6166"/>
        <v>0</v>
      </c>
      <c r="CI1335" s="63">
        <f t="shared" si="6166"/>
        <v>0</v>
      </c>
      <c r="CJ1335" s="25">
        <f t="shared" si="6166"/>
        <v>0</v>
      </c>
      <c r="CL1335" s="10">
        <f>SUM(CL1331:CL1334)</f>
        <v>0</v>
      </c>
      <c r="CM1335" s="11">
        <f t="shared" ref="CM1335:CP1335" si="6167">SUM(CM1331:CM1334)</f>
        <v>0</v>
      </c>
      <c r="CN1335" s="11">
        <f t="shared" si="6167"/>
        <v>0</v>
      </c>
      <c r="CO1335" s="11">
        <f t="shared" si="6167"/>
        <v>0</v>
      </c>
      <c r="CP1335" s="11">
        <f t="shared" si="6167"/>
        <v>0</v>
      </c>
      <c r="CQ1335" s="25">
        <f>SUM(CQ1331:CQ1334)</f>
        <v>0</v>
      </c>
      <c r="CS1335" s="10">
        <f>SUM(CS1331:CS1334)</f>
        <v>0</v>
      </c>
      <c r="CT1335" s="11">
        <f t="shared" ref="CT1335:CW1335" si="6168">SUM(CT1331:CT1334)</f>
        <v>0</v>
      </c>
      <c r="CU1335" s="11">
        <f t="shared" si="6168"/>
        <v>0</v>
      </c>
      <c r="CV1335" s="11">
        <f t="shared" si="6168"/>
        <v>0</v>
      </c>
      <c r="CW1335" s="11">
        <f t="shared" si="6168"/>
        <v>0</v>
      </c>
      <c r="CX1335" s="25">
        <f>SUM(CX1331:CX1334)</f>
        <v>0</v>
      </c>
      <c r="CZ1335" s="10">
        <f>SUM(CZ1331:CZ1334)</f>
        <v>0</v>
      </c>
      <c r="DA1335" s="11">
        <f t="shared" ref="DA1335:DD1335" si="6169">SUM(DA1331:DA1334)</f>
        <v>0</v>
      </c>
      <c r="DB1335" s="11">
        <f t="shared" si="6169"/>
        <v>0</v>
      </c>
      <c r="DC1335" s="11">
        <f t="shared" si="6169"/>
        <v>0</v>
      </c>
      <c r="DD1335" s="11">
        <f t="shared" si="6169"/>
        <v>0</v>
      </c>
      <c r="DE1335" s="25">
        <f>SUM(DE1331:DE1334)</f>
        <v>0</v>
      </c>
    </row>
    <row r="1336" spans="3:109" ht="10.4" customHeight="1" thickBot="1"/>
    <row r="1337" spans="3:109">
      <c r="C1337" s="553">
        <v>2027</v>
      </c>
      <c r="E1337" s="1" t="s">
        <v>59</v>
      </c>
      <c r="F1337" s="21">
        <f>CE1331</f>
        <v>0</v>
      </c>
      <c r="G1337" s="22">
        <f t="shared" ref="G1337:G1340" si="6170">CF1331</f>
        <v>0</v>
      </c>
      <c r="H1337" s="22">
        <f t="shared" ref="H1337:H1340" si="6171">CG1331</f>
        <v>0</v>
      </c>
      <c r="I1337" s="22">
        <f t="shared" ref="I1337:I1340" si="6172">CH1331</f>
        <v>0</v>
      </c>
      <c r="J1337" s="22">
        <f t="shared" ref="J1337:J1340" si="6173">CI1331</f>
        <v>0</v>
      </c>
      <c r="K1337" s="4">
        <f>SUM(F1337:J1337)</f>
        <v>0</v>
      </c>
      <c r="M1337" s="2"/>
      <c r="N1337" s="3"/>
      <c r="O1337" s="3"/>
      <c r="P1337" s="3"/>
      <c r="Q1337" s="3"/>
      <c r="R1337" s="4">
        <f>SUM(M1337:Q1337)</f>
        <v>0</v>
      </c>
      <c r="T1337" s="2"/>
      <c r="U1337" s="3"/>
      <c r="V1337" s="3"/>
      <c r="W1337" s="3"/>
      <c r="X1337" s="3"/>
      <c r="Y1337" s="4">
        <f>SUM(T1337:X1337)</f>
        <v>0</v>
      </c>
      <c r="AA1337" s="2"/>
      <c r="AB1337" s="3"/>
      <c r="AC1337" s="3"/>
      <c r="AD1337" s="3"/>
      <c r="AE1337" s="3"/>
      <c r="AF1337" s="4">
        <f>SUM(AA1337:AE1337)</f>
        <v>0</v>
      </c>
      <c r="AH1337" s="2"/>
      <c r="AI1337" s="3"/>
      <c r="AJ1337" s="3"/>
      <c r="AK1337" s="3"/>
      <c r="AL1337" s="3"/>
      <c r="AM1337" s="4">
        <f>SUM(AH1337:AL1337)</f>
        <v>0</v>
      </c>
      <c r="AO1337" s="2"/>
      <c r="AP1337" s="3"/>
      <c r="AQ1337" s="3"/>
      <c r="AR1337" s="3"/>
      <c r="AS1337" s="3"/>
      <c r="AT1337" s="4">
        <f>SUM(AO1337:AS1337)</f>
        <v>0</v>
      </c>
      <c r="AV1337" s="2"/>
      <c r="AW1337" s="3"/>
      <c r="AX1337" s="3"/>
      <c r="AY1337" s="3"/>
      <c r="AZ1337" s="3"/>
      <c r="BA1337" s="4">
        <f>SUM(AV1337:AZ1337)</f>
        <v>0</v>
      </c>
      <c r="BC1337" s="2"/>
      <c r="BD1337" s="3"/>
      <c r="BE1337" s="3"/>
      <c r="BF1337" s="3"/>
      <c r="BG1337" s="3"/>
      <c r="BH1337" s="4">
        <f>SUM(BC1337:BG1337)</f>
        <v>0</v>
      </c>
      <c r="BJ1337" s="2"/>
      <c r="BK1337" s="3"/>
      <c r="BL1337" s="3"/>
      <c r="BM1337" s="3"/>
      <c r="BN1337" s="3"/>
      <c r="BO1337" s="4">
        <f>SUM(BJ1337:BN1337)</f>
        <v>0</v>
      </c>
      <c r="BQ1337" s="2"/>
      <c r="BR1337" s="3"/>
      <c r="BS1337" s="3"/>
      <c r="BT1337" s="3"/>
      <c r="BU1337" s="3"/>
      <c r="BV1337" s="4">
        <f>SUM(BQ1337:BU1337)</f>
        <v>0</v>
      </c>
      <c r="BX1337" s="2"/>
      <c r="BY1337" s="3"/>
      <c r="BZ1337" s="3"/>
      <c r="CA1337" s="3"/>
      <c r="CB1337" s="3"/>
      <c r="CC1337" s="4">
        <f>SUM(BX1337:CB1337)</f>
        <v>0</v>
      </c>
      <c r="CE1337" s="26">
        <f t="shared" ref="CE1337:CE1340" si="6174">F1337+M1337+T1337+AA1337+AH1337+AO1337+AV1337+BC1337+BJ1337+BQ1337+BX1337</f>
        <v>0</v>
      </c>
      <c r="CF1337" s="27">
        <f t="shared" ref="CF1337:CF1340" si="6175">G1337+N1337+U1337+AB1337+AI1337+AP1337+AW1337+BD1337+BK1337+BR1337+BY1337</f>
        <v>0</v>
      </c>
      <c r="CG1337" s="27">
        <f t="shared" ref="CG1337:CG1340" si="6176">H1337+O1337+V1337+AC1337+AJ1337+AQ1337+AX1337+BE1337+BL1337+BS1337+BZ1337</f>
        <v>0</v>
      </c>
      <c r="CH1337" s="27">
        <f t="shared" ref="CH1337:CH1340" si="6177">I1337+P1337+W1337+AD1337+AK1337+AR1337+AY1337+BF1337+BM1337+BT1337+CA1337</f>
        <v>0</v>
      </c>
      <c r="CI1337" s="27">
        <f t="shared" ref="CI1337:CI1340" si="6178">J1337+Q1337+X1337+AE1337+AL1337+AS1337+AZ1337+BG1337+BN1337+BU1337+CB1337</f>
        <v>0</v>
      </c>
      <c r="CJ1337" s="4">
        <f>SUM(CE1337:CI1337)</f>
        <v>0</v>
      </c>
      <c r="CL1337" s="2"/>
      <c r="CM1337" s="3"/>
      <c r="CN1337" s="3"/>
      <c r="CO1337" s="3"/>
      <c r="CP1337" s="3"/>
      <c r="CQ1337" s="4">
        <f>SUM(CL1337:CP1337)</f>
        <v>0</v>
      </c>
      <c r="CS1337" s="2"/>
      <c r="CT1337" s="3"/>
      <c r="CU1337" s="3"/>
      <c r="CV1337" s="3"/>
      <c r="CW1337" s="3"/>
      <c r="CX1337" s="4">
        <f>SUM(CS1337:CW1337)</f>
        <v>0</v>
      </c>
      <c r="CZ1337" s="2"/>
      <c r="DA1337" s="3"/>
      <c r="DB1337" s="3"/>
      <c r="DC1337" s="3"/>
      <c r="DD1337" s="3"/>
      <c r="DE1337" s="4">
        <f>SUM(CZ1337:DD1337)</f>
        <v>0</v>
      </c>
    </row>
    <row r="1338" spans="3:109">
      <c r="C1338" s="567"/>
      <c r="E1338" s="5" t="s">
        <v>60</v>
      </c>
      <c r="F1338" s="23">
        <f t="shared" ref="F1338:F1340" si="6179">CE1332</f>
        <v>0</v>
      </c>
      <c r="G1338" s="24">
        <f t="shared" si="6170"/>
        <v>0</v>
      </c>
      <c r="H1338" s="24">
        <f t="shared" si="6171"/>
        <v>0</v>
      </c>
      <c r="I1338" s="24">
        <f t="shared" si="6172"/>
        <v>0</v>
      </c>
      <c r="J1338" s="24">
        <f t="shared" si="6173"/>
        <v>0</v>
      </c>
      <c r="K1338" s="8">
        <f t="shared" ref="K1338:K1340" si="6180">SUM(F1338:J1338)</f>
        <v>0</v>
      </c>
      <c r="M1338" s="6"/>
      <c r="N1338" s="7"/>
      <c r="O1338" s="7"/>
      <c r="P1338" s="7"/>
      <c r="Q1338" s="7"/>
      <c r="R1338" s="8">
        <f t="shared" ref="R1338:R1340" si="6181">SUM(M1338:Q1338)</f>
        <v>0</v>
      </c>
      <c r="T1338" s="6"/>
      <c r="U1338" s="7"/>
      <c r="V1338" s="7"/>
      <c r="W1338" s="7"/>
      <c r="X1338" s="7"/>
      <c r="Y1338" s="8">
        <f t="shared" ref="Y1338:Y1340" si="6182">SUM(T1338:X1338)</f>
        <v>0</v>
      </c>
      <c r="AA1338" s="6"/>
      <c r="AB1338" s="7"/>
      <c r="AC1338" s="7"/>
      <c r="AD1338" s="7"/>
      <c r="AE1338" s="7"/>
      <c r="AF1338" s="8">
        <f>SUM(AA1338:AE1338)</f>
        <v>0</v>
      </c>
      <c r="AH1338" s="6"/>
      <c r="AI1338" s="7"/>
      <c r="AJ1338" s="7"/>
      <c r="AK1338" s="7"/>
      <c r="AL1338" s="7"/>
      <c r="AM1338" s="8">
        <f>SUM(AH1338:AL1338)</f>
        <v>0</v>
      </c>
      <c r="AO1338" s="6"/>
      <c r="AP1338" s="7"/>
      <c r="AQ1338" s="7"/>
      <c r="AR1338" s="7"/>
      <c r="AS1338" s="7"/>
      <c r="AT1338" s="8">
        <f>SUM(AO1338:AS1338)</f>
        <v>0</v>
      </c>
      <c r="AV1338" s="6"/>
      <c r="AW1338" s="7"/>
      <c r="AX1338" s="7"/>
      <c r="AY1338" s="7"/>
      <c r="AZ1338" s="7"/>
      <c r="BA1338" s="8">
        <f>SUM(AV1338:AZ1338)</f>
        <v>0</v>
      </c>
      <c r="BC1338" s="6"/>
      <c r="BD1338" s="7"/>
      <c r="BE1338" s="7"/>
      <c r="BF1338" s="7"/>
      <c r="BG1338" s="7"/>
      <c r="BH1338" s="8">
        <f>SUM(BC1338:BG1338)</f>
        <v>0</v>
      </c>
      <c r="BJ1338" s="6"/>
      <c r="BK1338" s="7"/>
      <c r="BL1338" s="7"/>
      <c r="BM1338" s="7"/>
      <c r="BN1338" s="7"/>
      <c r="BO1338" s="8">
        <f>SUM(BJ1338:BN1338)</f>
        <v>0</v>
      </c>
      <c r="BQ1338" s="6"/>
      <c r="BR1338" s="7"/>
      <c r="BS1338" s="7"/>
      <c r="BT1338" s="7"/>
      <c r="BU1338" s="7"/>
      <c r="BV1338" s="8">
        <f>SUM(BQ1338:BU1338)</f>
        <v>0</v>
      </c>
      <c r="BX1338" s="6"/>
      <c r="BY1338" s="7"/>
      <c r="BZ1338" s="7"/>
      <c r="CA1338" s="7"/>
      <c r="CB1338" s="7"/>
      <c r="CC1338" s="8">
        <f>SUM(BX1338:CB1338)</f>
        <v>0</v>
      </c>
      <c r="CE1338" s="28">
        <f t="shared" si="6174"/>
        <v>0</v>
      </c>
      <c r="CF1338" s="29">
        <f t="shared" si="6175"/>
        <v>0</v>
      </c>
      <c r="CG1338" s="29">
        <f t="shared" si="6176"/>
        <v>0</v>
      </c>
      <c r="CH1338" s="29">
        <f t="shared" si="6177"/>
        <v>0</v>
      </c>
      <c r="CI1338" s="29">
        <f t="shared" si="6178"/>
        <v>0</v>
      </c>
      <c r="CJ1338" s="8">
        <f>SUM(CE1338:CI1338)</f>
        <v>0</v>
      </c>
      <c r="CL1338" s="6"/>
      <c r="CM1338" s="7"/>
      <c r="CN1338" s="7"/>
      <c r="CO1338" s="7"/>
      <c r="CP1338" s="7"/>
      <c r="CQ1338" s="8">
        <f>SUM(CL1338:CP1338)</f>
        <v>0</v>
      </c>
      <c r="CS1338" s="6"/>
      <c r="CT1338" s="7"/>
      <c r="CU1338" s="7"/>
      <c r="CV1338" s="7"/>
      <c r="CW1338" s="7"/>
      <c r="CX1338" s="8">
        <f t="shared" ref="CX1338:CX1340" si="6183">SUM(CS1338:CW1338)</f>
        <v>0</v>
      </c>
      <c r="CZ1338" s="6"/>
      <c r="DA1338" s="7"/>
      <c r="DB1338" s="7"/>
      <c r="DC1338" s="7"/>
      <c r="DD1338" s="7"/>
      <c r="DE1338" s="8">
        <f t="shared" ref="DE1338:DE1340" si="6184">SUM(CZ1338:DD1338)</f>
        <v>0</v>
      </c>
    </row>
    <row r="1339" spans="3:109">
      <c r="C1339" s="567"/>
      <c r="E1339" s="5" t="s">
        <v>61</v>
      </c>
      <c r="F1339" s="23">
        <f t="shared" si="6179"/>
        <v>0</v>
      </c>
      <c r="G1339" s="24">
        <f t="shared" si="6170"/>
        <v>0</v>
      </c>
      <c r="H1339" s="24">
        <f t="shared" si="6171"/>
        <v>0</v>
      </c>
      <c r="I1339" s="24">
        <f t="shared" si="6172"/>
        <v>0</v>
      </c>
      <c r="J1339" s="24">
        <f t="shared" si="6173"/>
        <v>0</v>
      </c>
      <c r="K1339" s="8">
        <f t="shared" si="6180"/>
        <v>0</v>
      </c>
      <c r="M1339" s="6"/>
      <c r="N1339" s="7"/>
      <c r="O1339" s="7"/>
      <c r="P1339" s="7"/>
      <c r="Q1339" s="7"/>
      <c r="R1339" s="8">
        <f t="shared" si="6181"/>
        <v>0</v>
      </c>
      <c r="T1339" s="6"/>
      <c r="U1339" s="7"/>
      <c r="V1339" s="7"/>
      <c r="W1339" s="7"/>
      <c r="X1339" s="7"/>
      <c r="Y1339" s="8">
        <f t="shared" si="6182"/>
        <v>0</v>
      </c>
      <c r="AA1339" s="6"/>
      <c r="AB1339" s="7"/>
      <c r="AC1339" s="7"/>
      <c r="AD1339" s="7"/>
      <c r="AE1339" s="7"/>
      <c r="AF1339" s="8">
        <f>SUM(AA1339:AE1339)</f>
        <v>0</v>
      </c>
      <c r="AH1339" s="6"/>
      <c r="AI1339" s="7"/>
      <c r="AJ1339" s="7"/>
      <c r="AK1339" s="7"/>
      <c r="AL1339" s="7"/>
      <c r="AM1339" s="8">
        <f>SUM(AH1339:AL1339)</f>
        <v>0</v>
      </c>
      <c r="AO1339" s="6"/>
      <c r="AP1339" s="7"/>
      <c r="AQ1339" s="7"/>
      <c r="AR1339" s="7"/>
      <c r="AS1339" s="7"/>
      <c r="AT1339" s="8">
        <f>SUM(AO1339:AS1339)</f>
        <v>0</v>
      </c>
      <c r="AV1339" s="6"/>
      <c r="AW1339" s="7"/>
      <c r="AX1339" s="7"/>
      <c r="AY1339" s="7"/>
      <c r="AZ1339" s="7"/>
      <c r="BA1339" s="8">
        <f>SUM(AV1339:AZ1339)</f>
        <v>0</v>
      </c>
      <c r="BC1339" s="6"/>
      <c r="BD1339" s="7"/>
      <c r="BE1339" s="7"/>
      <c r="BF1339" s="7"/>
      <c r="BG1339" s="7"/>
      <c r="BH1339" s="8">
        <f>SUM(BC1339:BG1339)</f>
        <v>0</v>
      </c>
      <c r="BJ1339" s="6"/>
      <c r="BK1339" s="7"/>
      <c r="BL1339" s="7"/>
      <c r="BM1339" s="7"/>
      <c r="BN1339" s="7"/>
      <c r="BO1339" s="8">
        <f>SUM(BJ1339:BN1339)</f>
        <v>0</v>
      </c>
      <c r="BQ1339" s="6"/>
      <c r="BR1339" s="7"/>
      <c r="BS1339" s="7"/>
      <c r="BT1339" s="7"/>
      <c r="BU1339" s="7"/>
      <c r="BV1339" s="8">
        <f>SUM(BQ1339:BU1339)</f>
        <v>0</v>
      </c>
      <c r="BX1339" s="6"/>
      <c r="BY1339" s="7"/>
      <c r="BZ1339" s="7"/>
      <c r="CA1339" s="7"/>
      <c r="CB1339" s="7"/>
      <c r="CC1339" s="8">
        <f>SUM(BX1339:CB1339)</f>
        <v>0</v>
      </c>
      <c r="CE1339" s="28">
        <f t="shared" si="6174"/>
        <v>0</v>
      </c>
      <c r="CF1339" s="29">
        <f t="shared" si="6175"/>
        <v>0</v>
      </c>
      <c r="CG1339" s="29">
        <f t="shared" si="6176"/>
        <v>0</v>
      </c>
      <c r="CH1339" s="29">
        <f t="shared" si="6177"/>
        <v>0</v>
      </c>
      <c r="CI1339" s="29">
        <f t="shared" si="6178"/>
        <v>0</v>
      </c>
      <c r="CJ1339" s="8">
        <f>SUM(CE1339:CI1339)</f>
        <v>0</v>
      </c>
      <c r="CL1339" s="6"/>
      <c r="CM1339" s="7"/>
      <c r="CN1339" s="7"/>
      <c r="CO1339" s="7"/>
      <c r="CP1339" s="7"/>
      <c r="CQ1339" s="8">
        <f>SUM(CL1339:CP1339)</f>
        <v>0</v>
      </c>
      <c r="CS1339" s="6"/>
      <c r="CT1339" s="7"/>
      <c r="CU1339" s="7"/>
      <c r="CV1339" s="7"/>
      <c r="CW1339" s="7"/>
      <c r="CX1339" s="8">
        <f t="shared" si="6183"/>
        <v>0</v>
      </c>
      <c r="CZ1339" s="6"/>
      <c r="DA1339" s="7"/>
      <c r="DB1339" s="7"/>
      <c r="DC1339" s="7"/>
      <c r="DD1339" s="7"/>
      <c r="DE1339" s="8">
        <f t="shared" si="6184"/>
        <v>0</v>
      </c>
    </row>
    <row r="1340" spans="3:109" ht="14" thickBot="1">
      <c r="C1340" s="567"/>
      <c r="E1340" s="5" t="s">
        <v>62</v>
      </c>
      <c r="F1340" s="23">
        <f t="shared" si="6179"/>
        <v>0</v>
      </c>
      <c r="G1340" s="24">
        <f t="shared" si="6170"/>
        <v>0</v>
      </c>
      <c r="H1340" s="24">
        <f t="shared" si="6171"/>
        <v>0</v>
      </c>
      <c r="I1340" s="24">
        <f t="shared" si="6172"/>
        <v>0</v>
      </c>
      <c r="J1340" s="24">
        <f t="shared" si="6173"/>
        <v>0</v>
      </c>
      <c r="K1340" s="8">
        <f t="shared" si="6180"/>
        <v>0</v>
      </c>
      <c r="M1340" s="6"/>
      <c r="N1340" s="7"/>
      <c r="O1340" s="7"/>
      <c r="P1340" s="7"/>
      <c r="Q1340" s="7"/>
      <c r="R1340" s="8">
        <f t="shared" si="6181"/>
        <v>0</v>
      </c>
      <c r="T1340" s="6"/>
      <c r="U1340" s="7"/>
      <c r="V1340" s="7"/>
      <c r="W1340" s="7"/>
      <c r="X1340" s="7"/>
      <c r="Y1340" s="8">
        <f t="shared" si="6182"/>
        <v>0</v>
      </c>
      <c r="AA1340" s="6"/>
      <c r="AB1340" s="7"/>
      <c r="AC1340" s="7"/>
      <c r="AD1340" s="7"/>
      <c r="AE1340" s="7"/>
      <c r="AF1340" s="8">
        <f>SUM(AA1340:AE1340)</f>
        <v>0</v>
      </c>
      <c r="AH1340" s="6"/>
      <c r="AI1340" s="7"/>
      <c r="AJ1340" s="7"/>
      <c r="AK1340" s="7"/>
      <c r="AL1340" s="7"/>
      <c r="AM1340" s="8">
        <f>SUM(AH1340:AL1340)</f>
        <v>0</v>
      </c>
      <c r="AO1340" s="6"/>
      <c r="AP1340" s="7"/>
      <c r="AQ1340" s="7"/>
      <c r="AR1340" s="7"/>
      <c r="AS1340" s="7"/>
      <c r="AT1340" s="8">
        <f>SUM(AO1340:AS1340)</f>
        <v>0</v>
      </c>
      <c r="AV1340" s="6"/>
      <c r="AW1340" s="7"/>
      <c r="AX1340" s="7"/>
      <c r="AY1340" s="7"/>
      <c r="AZ1340" s="7"/>
      <c r="BA1340" s="8">
        <f>SUM(AV1340:AZ1340)</f>
        <v>0</v>
      </c>
      <c r="BC1340" s="6"/>
      <c r="BD1340" s="7"/>
      <c r="BE1340" s="7"/>
      <c r="BF1340" s="7"/>
      <c r="BG1340" s="7"/>
      <c r="BH1340" s="8">
        <f>SUM(BC1340:BG1340)</f>
        <v>0</v>
      </c>
      <c r="BJ1340" s="6"/>
      <c r="BK1340" s="7"/>
      <c r="BL1340" s="7"/>
      <c r="BM1340" s="7"/>
      <c r="BN1340" s="7"/>
      <c r="BO1340" s="8">
        <f>SUM(BJ1340:BN1340)</f>
        <v>0</v>
      </c>
      <c r="BQ1340" s="6"/>
      <c r="BR1340" s="7"/>
      <c r="BS1340" s="7"/>
      <c r="BT1340" s="7"/>
      <c r="BU1340" s="7"/>
      <c r="BV1340" s="8">
        <f>SUM(BQ1340:BU1340)</f>
        <v>0</v>
      </c>
      <c r="BX1340" s="6"/>
      <c r="BY1340" s="7"/>
      <c r="BZ1340" s="7"/>
      <c r="CA1340" s="7"/>
      <c r="CB1340" s="7"/>
      <c r="CC1340" s="8">
        <f>SUM(BX1340:CB1340)</f>
        <v>0</v>
      </c>
      <c r="CE1340" s="493">
        <f t="shared" si="6174"/>
        <v>0</v>
      </c>
      <c r="CF1340" s="494">
        <f t="shared" si="6175"/>
        <v>0</v>
      </c>
      <c r="CG1340" s="494">
        <f t="shared" si="6176"/>
        <v>0</v>
      </c>
      <c r="CH1340" s="494">
        <f t="shared" si="6177"/>
        <v>0</v>
      </c>
      <c r="CI1340" s="494">
        <f t="shared" si="6178"/>
        <v>0</v>
      </c>
      <c r="CJ1340" s="495">
        <f>SUM(CE1340:CI1340)</f>
        <v>0</v>
      </c>
      <c r="CL1340" s="6"/>
      <c r="CM1340" s="7"/>
      <c r="CN1340" s="7"/>
      <c r="CO1340" s="7"/>
      <c r="CP1340" s="7"/>
      <c r="CQ1340" s="8">
        <f>SUM(CL1340:CP1340)</f>
        <v>0</v>
      </c>
      <c r="CS1340" s="6"/>
      <c r="CT1340" s="7"/>
      <c r="CU1340" s="7"/>
      <c r="CV1340" s="7"/>
      <c r="CW1340" s="7"/>
      <c r="CX1340" s="8">
        <f t="shared" si="6183"/>
        <v>0</v>
      </c>
      <c r="CZ1340" s="6"/>
      <c r="DA1340" s="7"/>
      <c r="DB1340" s="7"/>
      <c r="DC1340" s="7"/>
      <c r="DD1340" s="7"/>
      <c r="DE1340" s="8">
        <f t="shared" si="6184"/>
        <v>0</v>
      </c>
    </row>
    <row r="1341" spans="3:109" ht="14" thickBot="1">
      <c r="C1341" s="554"/>
      <c r="E1341" s="9"/>
      <c r="F1341" s="10">
        <f>SUM(F1337:F1340)</f>
        <v>0</v>
      </c>
      <c r="G1341" s="11">
        <f t="shared" ref="G1341:J1341" si="6185">SUM(G1337:G1340)</f>
        <v>0</v>
      </c>
      <c r="H1341" s="11">
        <f t="shared" si="6185"/>
        <v>0</v>
      </c>
      <c r="I1341" s="11">
        <f t="shared" si="6185"/>
        <v>0</v>
      </c>
      <c r="J1341" s="11">
        <f t="shared" si="6185"/>
        <v>0</v>
      </c>
      <c r="K1341" s="25">
        <f>SUM(K1337:K1340)</f>
        <v>0</v>
      </c>
      <c r="M1341" s="10">
        <f>SUM(M1337:M1340)</f>
        <v>0</v>
      </c>
      <c r="N1341" s="11">
        <f t="shared" ref="N1341:Q1341" si="6186">SUM(N1337:N1340)</f>
        <v>0</v>
      </c>
      <c r="O1341" s="11">
        <f t="shared" si="6186"/>
        <v>0</v>
      </c>
      <c r="P1341" s="11">
        <f t="shared" si="6186"/>
        <v>0</v>
      </c>
      <c r="Q1341" s="11">
        <f t="shared" si="6186"/>
        <v>0</v>
      </c>
      <c r="R1341" s="25">
        <f>SUM(R1337:R1340)</f>
        <v>0</v>
      </c>
      <c r="T1341" s="10">
        <f>SUM(T1337:T1340)</f>
        <v>0</v>
      </c>
      <c r="U1341" s="11">
        <f t="shared" ref="U1341:X1341" si="6187">SUM(U1337:U1340)</f>
        <v>0</v>
      </c>
      <c r="V1341" s="11">
        <f t="shared" si="6187"/>
        <v>0</v>
      </c>
      <c r="W1341" s="11">
        <f t="shared" si="6187"/>
        <v>0</v>
      </c>
      <c r="X1341" s="11">
        <f t="shared" si="6187"/>
        <v>0</v>
      </c>
      <c r="Y1341" s="25">
        <f>SUM(Y1337:Y1340)</f>
        <v>0</v>
      </c>
      <c r="AA1341" s="10">
        <f>SUM(AA1337:AA1340)</f>
        <v>0</v>
      </c>
      <c r="AB1341" s="11">
        <f t="shared" ref="AB1341:AE1341" si="6188">SUM(AB1337:AB1340)</f>
        <v>0</v>
      </c>
      <c r="AC1341" s="11">
        <f t="shared" si="6188"/>
        <v>0</v>
      </c>
      <c r="AD1341" s="11">
        <f t="shared" si="6188"/>
        <v>0</v>
      </c>
      <c r="AE1341" s="11">
        <f t="shared" si="6188"/>
        <v>0</v>
      </c>
      <c r="AF1341" s="25">
        <f>SUM(AF1337:AF1340)</f>
        <v>0</v>
      </c>
      <c r="AH1341" s="10">
        <f>SUM(AH1337:AH1340)</f>
        <v>0</v>
      </c>
      <c r="AI1341" s="11">
        <f t="shared" ref="AI1341:AL1341" si="6189">SUM(AI1337:AI1340)</f>
        <v>0</v>
      </c>
      <c r="AJ1341" s="11">
        <f t="shared" si="6189"/>
        <v>0</v>
      </c>
      <c r="AK1341" s="11">
        <f t="shared" si="6189"/>
        <v>0</v>
      </c>
      <c r="AL1341" s="11">
        <f t="shared" si="6189"/>
        <v>0</v>
      </c>
      <c r="AM1341" s="25">
        <f>SUM(AM1337:AM1340)</f>
        <v>0</v>
      </c>
      <c r="AO1341" s="10">
        <f>SUM(AO1337:AO1340)</f>
        <v>0</v>
      </c>
      <c r="AP1341" s="11">
        <f t="shared" ref="AP1341:AS1341" si="6190">SUM(AP1337:AP1340)</f>
        <v>0</v>
      </c>
      <c r="AQ1341" s="11">
        <f t="shared" si="6190"/>
        <v>0</v>
      </c>
      <c r="AR1341" s="11">
        <f t="shared" si="6190"/>
        <v>0</v>
      </c>
      <c r="AS1341" s="11">
        <f t="shared" si="6190"/>
        <v>0</v>
      </c>
      <c r="AT1341" s="25">
        <f>SUM(AT1337:AT1340)</f>
        <v>0</v>
      </c>
      <c r="AV1341" s="10">
        <f>SUM(AV1337:AV1340)</f>
        <v>0</v>
      </c>
      <c r="AW1341" s="11">
        <f t="shared" ref="AW1341:AZ1341" si="6191">SUM(AW1337:AW1340)</f>
        <v>0</v>
      </c>
      <c r="AX1341" s="11">
        <f t="shared" si="6191"/>
        <v>0</v>
      </c>
      <c r="AY1341" s="11">
        <f t="shared" si="6191"/>
        <v>0</v>
      </c>
      <c r="AZ1341" s="11">
        <f t="shared" si="6191"/>
        <v>0</v>
      </c>
      <c r="BA1341" s="25">
        <f>SUM(BA1337:BA1340)</f>
        <v>0</v>
      </c>
      <c r="BC1341" s="10">
        <f>SUM(BC1337:BC1340)</f>
        <v>0</v>
      </c>
      <c r="BD1341" s="11">
        <f t="shared" ref="BD1341:BG1341" si="6192">SUM(BD1337:BD1340)</f>
        <v>0</v>
      </c>
      <c r="BE1341" s="11">
        <f t="shared" si="6192"/>
        <v>0</v>
      </c>
      <c r="BF1341" s="11">
        <f t="shared" si="6192"/>
        <v>0</v>
      </c>
      <c r="BG1341" s="11">
        <f t="shared" si="6192"/>
        <v>0</v>
      </c>
      <c r="BH1341" s="25">
        <f>SUM(BH1337:BH1340)</f>
        <v>0</v>
      </c>
      <c r="BJ1341" s="10">
        <f>SUM(BJ1337:BJ1340)</f>
        <v>0</v>
      </c>
      <c r="BK1341" s="11">
        <f t="shared" ref="BK1341:BN1341" si="6193">SUM(BK1337:BK1340)</f>
        <v>0</v>
      </c>
      <c r="BL1341" s="11">
        <f t="shared" si="6193"/>
        <v>0</v>
      </c>
      <c r="BM1341" s="11">
        <f t="shared" si="6193"/>
        <v>0</v>
      </c>
      <c r="BN1341" s="11">
        <f t="shared" si="6193"/>
        <v>0</v>
      </c>
      <c r="BO1341" s="25">
        <f>SUM(BO1337:BO1340)</f>
        <v>0</v>
      </c>
      <c r="BQ1341" s="10">
        <f>SUM(BQ1337:BQ1340)</f>
        <v>0</v>
      </c>
      <c r="BR1341" s="11">
        <f t="shared" ref="BR1341:BU1341" si="6194">SUM(BR1337:BR1340)</f>
        <v>0</v>
      </c>
      <c r="BS1341" s="11">
        <f t="shared" si="6194"/>
        <v>0</v>
      </c>
      <c r="BT1341" s="11">
        <f t="shared" si="6194"/>
        <v>0</v>
      </c>
      <c r="BU1341" s="11">
        <f t="shared" si="6194"/>
        <v>0</v>
      </c>
      <c r="BV1341" s="25">
        <f>SUM(BV1337:BV1340)</f>
        <v>0</v>
      </c>
      <c r="BX1341" s="10">
        <f>SUM(BX1337:BX1340)</f>
        <v>0</v>
      </c>
      <c r="BY1341" s="11">
        <f t="shared" ref="BY1341:CB1341" si="6195">SUM(BY1337:BY1340)</f>
        <v>0</v>
      </c>
      <c r="BZ1341" s="11">
        <f t="shared" si="6195"/>
        <v>0</v>
      </c>
      <c r="CA1341" s="11">
        <f t="shared" si="6195"/>
        <v>0</v>
      </c>
      <c r="CB1341" s="11">
        <f t="shared" si="6195"/>
        <v>0</v>
      </c>
      <c r="CC1341" s="25">
        <f>SUM(CC1337:CC1340)</f>
        <v>0</v>
      </c>
      <c r="CE1341" s="62">
        <f t="shared" ref="CE1341:CJ1341" si="6196">SUM(CE1337:CE1340)</f>
        <v>0</v>
      </c>
      <c r="CF1341" s="63">
        <f t="shared" si="6196"/>
        <v>0</v>
      </c>
      <c r="CG1341" s="63">
        <f t="shared" si="6196"/>
        <v>0</v>
      </c>
      <c r="CH1341" s="63">
        <f t="shared" si="6196"/>
        <v>0</v>
      </c>
      <c r="CI1341" s="63">
        <f t="shared" si="6196"/>
        <v>0</v>
      </c>
      <c r="CJ1341" s="25">
        <f t="shared" si="6196"/>
        <v>0</v>
      </c>
      <c r="CL1341" s="10">
        <f>SUM(CL1337:CL1340)</f>
        <v>0</v>
      </c>
      <c r="CM1341" s="11">
        <f t="shared" ref="CM1341:CP1341" si="6197">SUM(CM1337:CM1340)</f>
        <v>0</v>
      </c>
      <c r="CN1341" s="11">
        <f t="shared" si="6197"/>
        <v>0</v>
      </c>
      <c r="CO1341" s="11">
        <f t="shared" si="6197"/>
        <v>0</v>
      </c>
      <c r="CP1341" s="11">
        <f t="shared" si="6197"/>
        <v>0</v>
      </c>
      <c r="CQ1341" s="25">
        <f>SUM(CQ1337:CQ1340)</f>
        <v>0</v>
      </c>
      <c r="CS1341" s="10">
        <f>SUM(CS1337:CS1340)</f>
        <v>0</v>
      </c>
      <c r="CT1341" s="11">
        <f t="shared" ref="CT1341:CW1341" si="6198">SUM(CT1337:CT1340)</f>
        <v>0</v>
      </c>
      <c r="CU1341" s="11">
        <f t="shared" si="6198"/>
        <v>0</v>
      </c>
      <c r="CV1341" s="11">
        <f t="shared" si="6198"/>
        <v>0</v>
      </c>
      <c r="CW1341" s="11">
        <f t="shared" si="6198"/>
        <v>0</v>
      </c>
      <c r="CX1341" s="25">
        <f>SUM(CX1337:CX1340)</f>
        <v>0</v>
      </c>
      <c r="CZ1341" s="10">
        <f>SUM(CZ1337:CZ1340)</f>
        <v>0</v>
      </c>
      <c r="DA1341" s="11">
        <f t="shared" ref="DA1341:DD1341" si="6199">SUM(DA1337:DA1340)</f>
        <v>0</v>
      </c>
      <c r="DB1341" s="11">
        <f t="shared" si="6199"/>
        <v>0</v>
      </c>
      <c r="DC1341" s="11">
        <f t="shared" si="6199"/>
        <v>0</v>
      </c>
      <c r="DD1341" s="11">
        <f t="shared" si="6199"/>
        <v>0</v>
      </c>
      <c r="DE1341" s="25">
        <f>SUM(DE1337:DE1340)</f>
        <v>0</v>
      </c>
    </row>
    <row r="1342" spans="3:109" ht="10.4" customHeight="1" thickBot="1"/>
    <row r="1343" spans="3:109">
      <c r="C1343" s="553">
        <v>2028</v>
      </c>
      <c r="E1343" s="1" t="s">
        <v>59</v>
      </c>
      <c r="F1343" s="21">
        <f>CE1337</f>
        <v>0</v>
      </c>
      <c r="G1343" s="22">
        <f t="shared" ref="G1343:G1346" si="6200">CF1337</f>
        <v>0</v>
      </c>
      <c r="H1343" s="22">
        <f t="shared" ref="H1343:H1346" si="6201">CG1337</f>
        <v>0</v>
      </c>
      <c r="I1343" s="22">
        <f t="shared" ref="I1343:I1346" si="6202">CH1337</f>
        <v>0</v>
      </c>
      <c r="J1343" s="22">
        <f t="shared" ref="J1343:J1346" si="6203">CI1337</f>
        <v>0</v>
      </c>
      <c r="K1343" s="4">
        <f>SUM(F1343:J1343)</f>
        <v>0</v>
      </c>
      <c r="M1343" s="2"/>
      <c r="N1343" s="3"/>
      <c r="O1343" s="3"/>
      <c r="P1343" s="3"/>
      <c r="Q1343" s="3"/>
      <c r="R1343" s="4">
        <f>SUM(M1343:Q1343)</f>
        <v>0</v>
      </c>
      <c r="T1343" s="2"/>
      <c r="U1343" s="3"/>
      <c r="V1343" s="3"/>
      <c r="W1343" s="3"/>
      <c r="X1343" s="3"/>
      <c r="Y1343" s="4">
        <f>SUM(T1343:X1343)</f>
        <v>0</v>
      </c>
      <c r="AA1343" s="2"/>
      <c r="AB1343" s="3"/>
      <c r="AC1343" s="3"/>
      <c r="AD1343" s="3"/>
      <c r="AE1343" s="3"/>
      <c r="AF1343" s="4">
        <f>SUM(AA1343:AE1343)</f>
        <v>0</v>
      </c>
      <c r="AH1343" s="2"/>
      <c r="AI1343" s="3"/>
      <c r="AJ1343" s="3"/>
      <c r="AK1343" s="3"/>
      <c r="AL1343" s="3"/>
      <c r="AM1343" s="4">
        <f>SUM(AH1343:AL1343)</f>
        <v>0</v>
      </c>
      <c r="AO1343" s="2"/>
      <c r="AP1343" s="3"/>
      <c r="AQ1343" s="3"/>
      <c r="AR1343" s="3"/>
      <c r="AS1343" s="3"/>
      <c r="AT1343" s="4">
        <f>SUM(AO1343:AS1343)</f>
        <v>0</v>
      </c>
      <c r="AV1343" s="2"/>
      <c r="AW1343" s="3"/>
      <c r="AX1343" s="3"/>
      <c r="AY1343" s="3"/>
      <c r="AZ1343" s="3"/>
      <c r="BA1343" s="4">
        <f>SUM(AV1343:AZ1343)</f>
        <v>0</v>
      </c>
      <c r="BC1343" s="2"/>
      <c r="BD1343" s="3"/>
      <c r="BE1343" s="3"/>
      <c r="BF1343" s="3"/>
      <c r="BG1343" s="3"/>
      <c r="BH1343" s="4">
        <f>SUM(BC1343:BG1343)</f>
        <v>0</v>
      </c>
      <c r="BJ1343" s="2"/>
      <c r="BK1343" s="3"/>
      <c r="BL1343" s="3"/>
      <c r="BM1343" s="3"/>
      <c r="BN1343" s="3"/>
      <c r="BO1343" s="4">
        <f>SUM(BJ1343:BN1343)</f>
        <v>0</v>
      </c>
      <c r="BQ1343" s="2"/>
      <c r="BR1343" s="3"/>
      <c r="BS1343" s="3"/>
      <c r="BT1343" s="3"/>
      <c r="BU1343" s="3"/>
      <c r="BV1343" s="4">
        <f>SUM(BQ1343:BU1343)</f>
        <v>0</v>
      </c>
      <c r="BX1343" s="2"/>
      <c r="BY1343" s="3"/>
      <c r="BZ1343" s="3"/>
      <c r="CA1343" s="3"/>
      <c r="CB1343" s="3"/>
      <c r="CC1343" s="4">
        <f>SUM(BX1343:CB1343)</f>
        <v>0</v>
      </c>
      <c r="CE1343" s="26">
        <f t="shared" ref="CE1343:CE1346" si="6204">F1343+M1343+T1343+AA1343+AH1343+AO1343+AV1343+BC1343+BJ1343+BQ1343+BX1343</f>
        <v>0</v>
      </c>
      <c r="CF1343" s="27">
        <f t="shared" ref="CF1343:CF1346" si="6205">G1343+N1343+U1343+AB1343+AI1343+AP1343+AW1343+BD1343+BK1343+BR1343+BY1343</f>
        <v>0</v>
      </c>
      <c r="CG1343" s="27">
        <f t="shared" ref="CG1343:CG1346" si="6206">H1343+O1343+V1343+AC1343+AJ1343+AQ1343+AX1343+BE1343+BL1343+BS1343+BZ1343</f>
        <v>0</v>
      </c>
      <c r="CH1343" s="27">
        <f t="shared" ref="CH1343:CH1346" si="6207">I1343+P1343+W1343+AD1343+AK1343+AR1343+AY1343+BF1343+BM1343+BT1343+CA1343</f>
        <v>0</v>
      </c>
      <c r="CI1343" s="27">
        <f t="shared" ref="CI1343:CI1346" si="6208">J1343+Q1343+X1343+AE1343+AL1343+AS1343+AZ1343+BG1343+BN1343+BU1343+CB1343</f>
        <v>0</v>
      </c>
      <c r="CJ1343" s="4">
        <f>SUM(CE1343:CI1343)</f>
        <v>0</v>
      </c>
      <c r="CL1343" s="2"/>
      <c r="CM1343" s="3"/>
      <c r="CN1343" s="3"/>
      <c r="CO1343" s="3"/>
      <c r="CP1343" s="3"/>
      <c r="CQ1343" s="4">
        <f>SUM(CL1343:CP1343)</f>
        <v>0</v>
      </c>
      <c r="CS1343" s="2"/>
      <c r="CT1343" s="3"/>
      <c r="CU1343" s="3"/>
      <c r="CV1343" s="3"/>
      <c r="CW1343" s="3"/>
      <c r="CX1343" s="4">
        <f>SUM(CS1343:CW1343)</f>
        <v>0</v>
      </c>
      <c r="CZ1343" s="2"/>
      <c r="DA1343" s="3"/>
      <c r="DB1343" s="3"/>
      <c r="DC1343" s="3"/>
      <c r="DD1343" s="3"/>
      <c r="DE1343" s="4">
        <f>SUM(CZ1343:DD1343)</f>
        <v>0</v>
      </c>
    </row>
    <row r="1344" spans="3:109">
      <c r="C1344" s="567"/>
      <c r="E1344" s="5" t="s">
        <v>60</v>
      </c>
      <c r="F1344" s="23">
        <f t="shared" ref="F1344:F1346" si="6209">CE1338</f>
        <v>0</v>
      </c>
      <c r="G1344" s="24">
        <f t="shared" si="6200"/>
        <v>0</v>
      </c>
      <c r="H1344" s="24">
        <f t="shared" si="6201"/>
        <v>0</v>
      </c>
      <c r="I1344" s="24">
        <f t="shared" si="6202"/>
        <v>0</v>
      </c>
      <c r="J1344" s="24">
        <f t="shared" si="6203"/>
        <v>0</v>
      </c>
      <c r="K1344" s="8">
        <f t="shared" ref="K1344:K1346" si="6210">SUM(F1344:J1344)</f>
        <v>0</v>
      </c>
      <c r="M1344" s="6"/>
      <c r="N1344" s="7"/>
      <c r="O1344" s="7"/>
      <c r="P1344" s="7"/>
      <c r="Q1344" s="7"/>
      <c r="R1344" s="8">
        <f t="shared" ref="R1344:R1346" si="6211">SUM(M1344:Q1344)</f>
        <v>0</v>
      </c>
      <c r="T1344" s="6"/>
      <c r="U1344" s="7"/>
      <c r="V1344" s="7"/>
      <c r="W1344" s="7"/>
      <c r="X1344" s="7"/>
      <c r="Y1344" s="8">
        <f t="shared" ref="Y1344:Y1346" si="6212">SUM(T1344:X1344)</f>
        <v>0</v>
      </c>
      <c r="AA1344" s="6"/>
      <c r="AB1344" s="7"/>
      <c r="AC1344" s="7"/>
      <c r="AD1344" s="7"/>
      <c r="AE1344" s="7"/>
      <c r="AF1344" s="8">
        <f>SUM(AA1344:AE1344)</f>
        <v>0</v>
      </c>
      <c r="AH1344" s="6"/>
      <c r="AI1344" s="7"/>
      <c r="AJ1344" s="7"/>
      <c r="AK1344" s="7"/>
      <c r="AL1344" s="7"/>
      <c r="AM1344" s="8">
        <f>SUM(AH1344:AL1344)</f>
        <v>0</v>
      </c>
      <c r="AO1344" s="6"/>
      <c r="AP1344" s="7"/>
      <c r="AQ1344" s="7"/>
      <c r="AR1344" s="7"/>
      <c r="AS1344" s="7"/>
      <c r="AT1344" s="8">
        <f>SUM(AO1344:AS1344)</f>
        <v>0</v>
      </c>
      <c r="AV1344" s="6"/>
      <c r="AW1344" s="7"/>
      <c r="AX1344" s="7"/>
      <c r="AY1344" s="7"/>
      <c r="AZ1344" s="7"/>
      <c r="BA1344" s="8">
        <f>SUM(AV1344:AZ1344)</f>
        <v>0</v>
      </c>
      <c r="BC1344" s="6"/>
      <c r="BD1344" s="7"/>
      <c r="BE1344" s="7"/>
      <c r="BF1344" s="7"/>
      <c r="BG1344" s="7"/>
      <c r="BH1344" s="8">
        <f>SUM(BC1344:BG1344)</f>
        <v>0</v>
      </c>
      <c r="BJ1344" s="6"/>
      <c r="BK1344" s="7"/>
      <c r="BL1344" s="7"/>
      <c r="BM1344" s="7"/>
      <c r="BN1344" s="7"/>
      <c r="BO1344" s="8">
        <f>SUM(BJ1344:BN1344)</f>
        <v>0</v>
      </c>
      <c r="BQ1344" s="6"/>
      <c r="BR1344" s="7"/>
      <c r="BS1344" s="7"/>
      <c r="BT1344" s="7"/>
      <c r="BU1344" s="7"/>
      <c r="BV1344" s="8">
        <f>SUM(BQ1344:BU1344)</f>
        <v>0</v>
      </c>
      <c r="BX1344" s="6"/>
      <c r="BY1344" s="7"/>
      <c r="BZ1344" s="7"/>
      <c r="CA1344" s="7"/>
      <c r="CB1344" s="7"/>
      <c r="CC1344" s="8">
        <f>SUM(BX1344:CB1344)</f>
        <v>0</v>
      </c>
      <c r="CE1344" s="28">
        <f t="shared" si="6204"/>
        <v>0</v>
      </c>
      <c r="CF1344" s="29">
        <f t="shared" si="6205"/>
        <v>0</v>
      </c>
      <c r="CG1344" s="29">
        <f t="shared" si="6206"/>
        <v>0</v>
      </c>
      <c r="CH1344" s="29">
        <f t="shared" si="6207"/>
        <v>0</v>
      </c>
      <c r="CI1344" s="29">
        <f t="shared" si="6208"/>
        <v>0</v>
      </c>
      <c r="CJ1344" s="8">
        <f>SUM(CE1344:CI1344)</f>
        <v>0</v>
      </c>
      <c r="CL1344" s="6"/>
      <c r="CM1344" s="7"/>
      <c r="CN1344" s="7"/>
      <c r="CO1344" s="7"/>
      <c r="CP1344" s="7"/>
      <c r="CQ1344" s="8">
        <f>SUM(CL1344:CP1344)</f>
        <v>0</v>
      </c>
      <c r="CS1344" s="6"/>
      <c r="CT1344" s="7"/>
      <c r="CU1344" s="7"/>
      <c r="CV1344" s="7"/>
      <c r="CW1344" s="7"/>
      <c r="CX1344" s="8">
        <f t="shared" ref="CX1344:CX1346" si="6213">SUM(CS1344:CW1344)</f>
        <v>0</v>
      </c>
      <c r="CZ1344" s="6"/>
      <c r="DA1344" s="7"/>
      <c r="DB1344" s="7"/>
      <c r="DC1344" s="7"/>
      <c r="DD1344" s="7"/>
      <c r="DE1344" s="8">
        <f t="shared" ref="DE1344:DE1346" si="6214">SUM(CZ1344:DD1344)</f>
        <v>0</v>
      </c>
    </row>
    <row r="1345" spans="2:110">
      <c r="C1345" s="567"/>
      <c r="E1345" s="5" t="s">
        <v>61</v>
      </c>
      <c r="F1345" s="23">
        <f t="shared" si="6209"/>
        <v>0</v>
      </c>
      <c r="G1345" s="24">
        <f t="shared" si="6200"/>
        <v>0</v>
      </c>
      <c r="H1345" s="24">
        <f t="shared" si="6201"/>
        <v>0</v>
      </c>
      <c r="I1345" s="24">
        <f t="shared" si="6202"/>
        <v>0</v>
      </c>
      <c r="J1345" s="24">
        <f t="shared" si="6203"/>
        <v>0</v>
      </c>
      <c r="K1345" s="8">
        <f t="shared" si="6210"/>
        <v>0</v>
      </c>
      <c r="M1345" s="6"/>
      <c r="N1345" s="7"/>
      <c r="O1345" s="7"/>
      <c r="P1345" s="7"/>
      <c r="Q1345" s="7"/>
      <c r="R1345" s="8">
        <f t="shared" si="6211"/>
        <v>0</v>
      </c>
      <c r="T1345" s="6"/>
      <c r="U1345" s="7"/>
      <c r="V1345" s="7"/>
      <c r="W1345" s="7"/>
      <c r="X1345" s="7"/>
      <c r="Y1345" s="8">
        <f t="shared" si="6212"/>
        <v>0</v>
      </c>
      <c r="AA1345" s="6"/>
      <c r="AB1345" s="7"/>
      <c r="AC1345" s="7"/>
      <c r="AD1345" s="7"/>
      <c r="AE1345" s="7"/>
      <c r="AF1345" s="8">
        <f>SUM(AA1345:AE1345)</f>
        <v>0</v>
      </c>
      <c r="AH1345" s="6"/>
      <c r="AI1345" s="7"/>
      <c r="AJ1345" s="7"/>
      <c r="AK1345" s="7"/>
      <c r="AL1345" s="7"/>
      <c r="AM1345" s="8">
        <f>SUM(AH1345:AL1345)</f>
        <v>0</v>
      </c>
      <c r="AO1345" s="6"/>
      <c r="AP1345" s="7"/>
      <c r="AQ1345" s="7"/>
      <c r="AR1345" s="7"/>
      <c r="AS1345" s="7"/>
      <c r="AT1345" s="8">
        <f>SUM(AO1345:AS1345)</f>
        <v>0</v>
      </c>
      <c r="AV1345" s="6"/>
      <c r="AW1345" s="7"/>
      <c r="AX1345" s="7"/>
      <c r="AY1345" s="7"/>
      <c r="AZ1345" s="7"/>
      <c r="BA1345" s="8">
        <f>SUM(AV1345:AZ1345)</f>
        <v>0</v>
      </c>
      <c r="BC1345" s="6"/>
      <c r="BD1345" s="7"/>
      <c r="BE1345" s="7"/>
      <c r="BF1345" s="7"/>
      <c r="BG1345" s="7"/>
      <c r="BH1345" s="8">
        <f>SUM(BC1345:BG1345)</f>
        <v>0</v>
      </c>
      <c r="BJ1345" s="6"/>
      <c r="BK1345" s="7"/>
      <c r="BL1345" s="7"/>
      <c r="BM1345" s="7"/>
      <c r="BN1345" s="7"/>
      <c r="BO1345" s="8">
        <f>SUM(BJ1345:BN1345)</f>
        <v>0</v>
      </c>
      <c r="BQ1345" s="6"/>
      <c r="BR1345" s="7"/>
      <c r="BS1345" s="7"/>
      <c r="BT1345" s="7"/>
      <c r="BU1345" s="7"/>
      <c r="BV1345" s="8">
        <f>SUM(BQ1345:BU1345)</f>
        <v>0</v>
      </c>
      <c r="BX1345" s="6"/>
      <c r="BY1345" s="7"/>
      <c r="BZ1345" s="7"/>
      <c r="CA1345" s="7"/>
      <c r="CB1345" s="7"/>
      <c r="CC1345" s="8">
        <f>SUM(BX1345:CB1345)</f>
        <v>0</v>
      </c>
      <c r="CE1345" s="28">
        <f t="shared" si="6204"/>
        <v>0</v>
      </c>
      <c r="CF1345" s="29">
        <f t="shared" si="6205"/>
        <v>0</v>
      </c>
      <c r="CG1345" s="29">
        <f t="shared" si="6206"/>
        <v>0</v>
      </c>
      <c r="CH1345" s="29">
        <f t="shared" si="6207"/>
        <v>0</v>
      </c>
      <c r="CI1345" s="29">
        <f t="shared" si="6208"/>
        <v>0</v>
      </c>
      <c r="CJ1345" s="8">
        <f>SUM(CE1345:CI1345)</f>
        <v>0</v>
      </c>
      <c r="CL1345" s="6"/>
      <c r="CM1345" s="7"/>
      <c r="CN1345" s="7"/>
      <c r="CO1345" s="7"/>
      <c r="CP1345" s="7"/>
      <c r="CQ1345" s="8">
        <f>SUM(CL1345:CP1345)</f>
        <v>0</v>
      </c>
      <c r="CS1345" s="6"/>
      <c r="CT1345" s="7"/>
      <c r="CU1345" s="7"/>
      <c r="CV1345" s="7"/>
      <c r="CW1345" s="7"/>
      <c r="CX1345" s="8">
        <f t="shared" si="6213"/>
        <v>0</v>
      </c>
      <c r="CZ1345" s="6"/>
      <c r="DA1345" s="7"/>
      <c r="DB1345" s="7"/>
      <c r="DC1345" s="7"/>
      <c r="DD1345" s="7"/>
      <c r="DE1345" s="8">
        <f t="shared" si="6214"/>
        <v>0</v>
      </c>
    </row>
    <row r="1346" spans="2:110" ht="14" thickBot="1">
      <c r="C1346" s="567"/>
      <c r="E1346" s="5" t="s">
        <v>62</v>
      </c>
      <c r="F1346" s="23">
        <f t="shared" si="6209"/>
        <v>0</v>
      </c>
      <c r="G1346" s="24">
        <f t="shared" si="6200"/>
        <v>0</v>
      </c>
      <c r="H1346" s="24">
        <f t="shared" si="6201"/>
        <v>0</v>
      </c>
      <c r="I1346" s="24">
        <f t="shared" si="6202"/>
        <v>0</v>
      </c>
      <c r="J1346" s="24">
        <f t="shared" si="6203"/>
        <v>0</v>
      </c>
      <c r="K1346" s="8">
        <f t="shared" si="6210"/>
        <v>0</v>
      </c>
      <c r="M1346" s="6"/>
      <c r="N1346" s="7"/>
      <c r="O1346" s="7"/>
      <c r="P1346" s="7"/>
      <c r="Q1346" s="7"/>
      <c r="R1346" s="8">
        <f t="shared" si="6211"/>
        <v>0</v>
      </c>
      <c r="T1346" s="6"/>
      <c r="U1346" s="7"/>
      <c r="V1346" s="7"/>
      <c r="W1346" s="7"/>
      <c r="X1346" s="7"/>
      <c r="Y1346" s="8">
        <f t="shared" si="6212"/>
        <v>0</v>
      </c>
      <c r="AA1346" s="6"/>
      <c r="AB1346" s="7"/>
      <c r="AC1346" s="7"/>
      <c r="AD1346" s="7"/>
      <c r="AE1346" s="7"/>
      <c r="AF1346" s="8">
        <f>SUM(AA1346:AE1346)</f>
        <v>0</v>
      </c>
      <c r="AH1346" s="6"/>
      <c r="AI1346" s="7"/>
      <c r="AJ1346" s="7"/>
      <c r="AK1346" s="7"/>
      <c r="AL1346" s="7"/>
      <c r="AM1346" s="8">
        <f>SUM(AH1346:AL1346)</f>
        <v>0</v>
      </c>
      <c r="AO1346" s="6"/>
      <c r="AP1346" s="7"/>
      <c r="AQ1346" s="7"/>
      <c r="AR1346" s="7"/>
      <c r="AS1346" s="7"/>
      <c r="AT1346" s="8">
        <f>SUM(AO1346:AS1346)</f>
        <v>0</v>
      </c>
      <c r="AV1346" s="6"/>
      <c r="AW1346" s="7"/>
      <c r="AX1346" s="7"/>
      <c r="AY1346" s="7"/>
      <c r="AZ1346" s="7"/>
      <c r="BA1346" s="8">
        <f>SUM(AV1346:AZ1346)</f>
        <v>0</v>
      </c>
      <c r="BC1346" s="6"/>
      <c r="BD1346" s="7"/>
      <c r="BE1346" s="7"/>
      <c r="BF1346" s="7"/>
      <c r="BG1346" s="7"/>
      <c r="BH1346" s="8">
        <f>SUM(BC1346:BG1346)</f>
        <v>0</v>
      </c>
      <c r="BJ1346" s="6"/>
      <c r="BK1346" s="7"/>
      <c r="BL1346" s="7"/>
      <c r="BM1346" s="7"/>
      <c r="BN1346" s="7"/>
      <c r="BO1346" s="8">
        <f>SUM(BJ1346:BN1346)</f>
        <v>0</v>
      </c>
      <c r="BQ1346" s="6"/>
      <c r="BR1346" s="7"/>
      <c r="BS1346" s="7"/>
      <c r="BT1346" s="7"/>
      <c r="BU1346" s="7"/>
      <c r="BV1346" s="8">
        <f>SUM(BQ1346:BU1346)</f>
        <v>0</v>
      </c>
      <c r="BX1346" s="6"/>
      <c r="BY1346" s="7"/>
      <c r="BZ1346" s="7"/>
      <c r="CA1346" s="7"/>
      <c r="CB1346" s="7"/>
      <c r="CC1346" s="8">
        <f>SUM(BX1346:CB1346)</f>
        <v>0</v>
      </c>
      <c r="CE1346" s="493">
        <f t="shared" si="6204"/>
        <v>0</v>
      </c>
      <c r="CF1346" s="494">
        <f t="shared" si="6205"/>
        <v>0</v>
      </c>
      <c r="CG1346" s="494">
        <f t="shared" si="6206"/>
        <v>0</v>
      </c>
      <c r="CH1346" s="494">
        <f t="shared" si="6207"/>
        <v>0</v>
      </c>
      <c r="CI1346" s="494">
        <f t="shared" si="6208"/>
        <v>0</v>
      </c>
      <c r="CJ1346" s="495">
        <f>SUM(CE1346:CI1346)</f>
        <v>0</v>
      </c>
      <c r="CL1346" s="6"/>
      <c r="CM1346" s="7"/>
      <c r="CN1346" s="7"/>
      <c r="CO1346" s="7"/>
      <c r="CP1346" s="7"/>
      <c r="CQ1346" s="8">
        <f>SUM(CL1346:CP1346)</f>
        <v>0</v>
      </c>
      <c r="CS1346" s="6"/>
      <c r="CT1346" s="7"/>
      <c r="CU1346" s="7"/>
      <c r="CV1346" s="7"/>
      <c r="CW1346" s="7"/>
      <c r="CX1346" s="8">
        <f t="shared" si="6213"/>
        <v>0</v>
      </c>
      <c r="CZ1346" s="6"/>
      <c r="DA1346" s="7"/>
      <c r="DB1346" s="7"/>
      <c r="DC1346" s="7"/>
      <c r="DD1346" s="7"/>
      <c r="DE1346" s="8">
        <f t="shared" si="6214"/>
        <v>0</v>
      </c>
    </row>
    <row r="1347" spans="2:110" ht="14" thickBot="1">
      <c r="C1347" s="554"/>
      <c r="E1347" s="9"/>
      <c r="F1347" s="10">
        <f>SUM(F1343:F1346)</f>
        <v>0</v>
      </c>
      <c r="G1347" s="11">
        <f t="shared" ref="G1347:J1347" si="6215">SUM(G1343:G1346)</f>
        <v>0</v>
      </c>
      <c r="H1347" s="11">
        <f t="shared" si="6215"/>
        <v>0</v>
      </c>
      <c r="I1347" s="11">
        <f t="shared" si="6215"/>
        <v>0</v>
      </c>
      <c r="J1347" s="11">
        <f t="shared" si="6215"/>
        <v>0</v>
      </c>
      <c r="K1347" s="25">
        <f>SUM(K1343:K1346)</f>
        <v>0</v>
      </c>
      <c r="M1347" s="10">
        <f>SUM(M1343:M1346)</f>
        <v>0</v>
      </c>
      <c r="N1347" s="11">
        <f t="shared" ref="N1347:Q1347" si="6216">SUM(N1343:N1346)</f>
        <v>0</v>
      </c>
      <c r="O1347" s="11">
        <f t="shared" si="6216"/>
        <v>0</v>
      </c>
      <c r="P1347" s="11">
        <f t="shared" si="6216"/>
        <v>0</v>
      </c>
      <c r="Q1347" s="11">
        <f t="shared" si="6216"/>
        <v>0</v>
      </c>
      <c r="R1347" s="25">
        <f>SUM(R1343:R1346)</f>
        <v>0</v>
      </c>
      <c r="T1347" s="10">
        <f>SUM(T1343:T1346)</f>
        <v>0</v>
      </c>
      <c r="U1347" s="11">
        <f t="shared" ref="U1347:X1347" si="6217">SUM(U1343:U1346)</f>
        <v>0</v>
      </c>
      <c r="V1347" s="11">
        <f t="shared" si="6217"/>
        <v>0</v>
      </c>
      <c r="W1347" s="11">
        <f t="shared" si="6217"/>
        <v>0</v>
      </c>
      <c r="X1347" s="11">
        <f t="shared" si="6217"/>
        <v>0</v>
      </c>
      <c r="Y1347" s="25">
        <f>SUM(Y1343:Y1346)</f>
        <v>0</v>
      </c>
      <c r="AA1347" s="10">
        <f>SUM(AA1343:AA1346)</f>
        <v>0</v>
      </c>
      <c r="AB1347" s="11">
        <f t="shared" ref="AB1347:AE1347" si="6218">SUM(AB1343:AB1346)</f>
        <v>0</v>
      </c>
      <c r="AC1347" s="11">
        <f t="shared" si="6218"/>
        <v>0</v>
      </c>
      <c r="AD1347" s="11">
        <f t="shared" si="6218"/>
        <v>0</v>
      </c>
      <c r="AE1347" s="11">
        <f t="shared" si="6218"/>
        <v>0</v>
      </c>
      <c r="AF1347" s="25">
        <f>SUM(AF1343:AF1346)</f>
        <v>0</v>
      </c>
      <c r="AH1347" s="10">
        <f>SUM(AH1343:AH1346)</f>
        <v>0</v>
      </c>
      <c r="AI1347" s="11">
        <f t="shared" ref="AI1347:AL1347" si="6219">SUM(AI1343:AI1346)</f>
        <v>0</v>
      </c>
      <c r="AJ1347" s="11">
        <f t="shared" si="6219"/>
        <v>0</v>
      </c>
      <c r="AK1347" s="11">
        <f t="shared" si="6219"/>
        <v>0</v>
      </c>
      <c r="AL1347" s="11">
        <f t="shared" si="6219"/>
        <v>0</v>
      </c>
      <c r="AM1347" s="25">
        <f>SUM(AM1343:AM1346)</f>
        <v>0</v>
      </c>
      <c r="AO1347" s="10">
        <f>SUM(AO1343:AO1346)</f>
        <v>0</v>
      </c>
      <c r="AP1347" s="11">
        <f t="shared" ref="AP1347:AS1347" si="6220">SUM(AP1343:AP1346)</f>
        <v>0</v>
      </c>
      <c r="AQ1347" s="11">
        <f t="shared" si="6220"/>
        <v>0</v>
      </c>
      <c r="AR1347" s="11">
        <f t="shared" si="6220"/>
        <v>0</v>
      </c>
      <c r="AS1347" s="11">
        <f t="shared" si="6220"/>
        <v>0</v>
      </c>
      <c r="AT1347" s="25">
        <f>SUM(AT1343:AT1346)</f>
        <v>0</v>
      </c>
      <c r="AV1347" s="10">
        <f>SUM(AV1343:AV1346)</f>
        <v>0</v>
      </c>
      <c r="AW1347" s="11">
        <f t="shared" ref="AW1347:AZ1347" si="6221">SUM(AW1343:AW1346)</f>
        <v>0</v>
      </c>
      <c r="AX1347" s="11">
        <f t="shared" si="6221"/>
        <v>0</v>
      </c>
      <c r="AY1347" s="11">
        <f t="shared" si="6221"/>
        <v>0</v>
      </c>
      <c r="AZ1347" s="11">
        <f t="shared" si="6221"/>
        <v>0</v>
      </c>
      <c r="BA1347" s="25">
        <f>SUM(BA1343:BA1346)</f>
        <v>0</v>
      </c>
      <c r="BC1347" s="10">
        <f>SUM(BC1343:BC1346)</f>
        <v>0</v>
      </c>
      <c r="BD1347" s="11">
        <f t="shared" ref="BD1347:BG1347" si="6222">SUM(BD1343:BD1346)</f>
        <v>0</v>
      </c>
      <c r="BE1347" s="11">
        <f t="shared" si="6222"/>
        <v>0</v>
      </c>
      <c r="BF1347" s="11">
        <f t="shared" si="6222"/>
        <v>0</v>
      </c>
      <c r="BG1347" s="11">
        <f t="shared" si="6222"/>
        <v>0</v>
      </c>
      <c r="BH1347" s="25">
        <f>SUM(BH1343:BH1346)</f>
        <v>0</v>
      </c>
      <c r="BJ1347" s="10">
        <f>SUM(BJ1343:BJ1346)</f>
        <v>0</v>
      </c>
      <c r="BK1347" s="11">
        <f t="shared" ref="BK1347:BN1347" si="6223">SUM(BK1343:BK1346)</f>
        <v>0</v>
      </c>
      <c r="BL1347" s="11">
        <f t="shared" si="6223"/>
        <v>0</v>
      </c>
      <c r="BM1347" s="11">
        <f t="shared" si="6223"/>
        <v>0</v>
      </c>
      <c r="BN1347" s="11">
        <f t="shared" si="6223"/>
        <v>0</v>
      </c>
      <c r="BO1347" s="25">
        <f>SUM(BO1343:BO1346)</f>
        <v>0</v>
      </c>
      <c r="BQ1347" s="10">
        <f>SUM(BQ1343:BQ1346)</f>
        <v>0</v>
      </c>
      <c r="BR1347" s="11">
        <f t="shared" ref="BR1347:BU1347" si="6224">SUM(BR1343:BR1346)</f>
        <v>0</v>
      </c>
      <c r="BS1347" s="11">
        <f t="shared" si="6224"/>
        <v>0</v>
      </c>
      <c r="BT1347" s="11">
        <f t="shared" si="6224"/>
        <v>0</v>
      </c>
      <c r="BU1347" s="11">
        <f t="shared" si="6224"/>
        <v>0</v>
      </c>
      <c r="BV1347" s="25">
        <f>SUM(BV1343:BV1346)</f>
        <v>0</v>
      </c>
      <c r="BX1347" s="10">
        <f>SUM(BX1343:BX1346)</f>
        <v>0</v>
      </c>
      <c r="BY1347" s="11">
        <f t="shared" ref="BY1347:CB1347" si="6225">SUM(BY1343:BY1346)</f>
        <v>0</v>
      </c>
      <c r="BZ1347" s="11">
        <f t="shared" si="6225"/>
        <v>0</v>
      </c>
      <c r="CA1347" s="11">
        <f t="shared" si="6225"/>
        <v>0</v>
      </c>
      <c r="CB1347" s="11">
        <f t="shared" si="6225"/>
        <v>0</v>
      </c>
      <c r="CC1347" s="25">
        <f>SUM(CC1343:CC1346)</f>
        <v>0</v>
      </c>
      <c r="CE1347" s="62">
        <f t="shared" ref="CE1347:CJ1347" si="6226">SUM(CE1343:CE1346)</f>
        <v>0</v>
      </c>
      <c r="CF1347" s="63">
        <f t="shared" si="6226"/>
        <v>0</v>
      </c>
      <c r="CG1347" s="63">
        <f t="shared" si="6226"/>
        <v>0</v>
      </c>
      <c r="CH1347" s="63">
        <f t="shared" si="6226"/>
        <v>0</v>
      </c>
      <c r="CI1347" s="63">
        <f t="shared" si="6226"/>
        <v>0</v>
      </c>
      <c r="CJ1347" s="25">
        <f t="shared" si="6226"/>
        <v>0</v>
      </c>
      <c r="CL1347" s="10">
        <f>SUM(CL1343:CL1346)</f>
        <v>0</v>
      </c>
      <c r="CM1347" s="11">
        <f t="shared" ref="CM1347:CP1347" si="6227">SUM(CM1343:CM1346)</f>
        <v>0</v>
      </c>
      <c r="CN1347" s="11">
        <f t="shared" si="6227"/>
        <v>0</v>
      </c>
      <c r="CO1347" s="11">
        <f t="shared" si="6227"/>
        <v>0</v>
      </c>
      <c r="CP1347" s="11">
        <f t="shared" si="6227"/>
        <v>0</v>
      </c>
      <c r="CQ1347" s="25">
        <f>SUM(CQ1343:CQ1346)</f>
        <v>0</v>
      </c>
      <c r="CS1347" s="10">
        <f>SUM(CS1343:CS1346)</f>
        <v>0</v>
      </c>
      <c r="CT1347" s="11">
        <f t="shared" ref="CT1347:CW1347" si="6228">SUM(CT1343:CT1346)</f>
        <v>0</v>
      </c>
      <c r="CU1347" s="11">
        <f t="shared" si="6228"/>
        <v>0</v>
      </c>
      <c r="CV1347" s="11">
        <f t="shared" si="6228"/>
        <v>0</v>
      </c>
      <c r="CW1347" s="11">
        <f t="shared" si="6228"/>
        <v>0</v>
      </c>
      <c r="CX1347" s="25">
        <f>SUM(CX1343:CX1346)</f>
        <v>0</v>
      </c>
      <c r="CZ1347" s="10">
        <f>SUM(CZ1343:CZ1346)</f>
        <v>0</v>
      </c>
      <c r="DA1347" s="11">
        <f t="shared" ref="DA1347:DD1347" si="6229">SUM(DA1343:DA1346)</f>
        <v>0</v>
      </c>
      <c r="DB1347" s="11">
        <f t="shared" si="6229"/>
        <v>0</v>
      </c>
      <c r="DC1347" s="11">
        <f t="shared" si="6229"/>
        <v>0</v>
      </c>
      <c r="DD1347" s="11">
        <f t="shared" si="6229"/>
        <v>0</v>
      </c>
      <c r="DE1347" s="25">
        <f>SUM(DE1343:DE1346)</f>
        <v>0</v>
      </c>
    </row>
    <row r="1349" spans="2:110">
      <c r="B1349" s="123"/>
      <c r="C1349" s="20"/>
      <c r="D1349" s="20"/>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Q1349" s="20"/>
      <c r="BR1349" s="20"/>
      <c r="BS1349" s="20"/>
      <c r="BT1349" s="20"/>
      <c r="BU1349" s="20"/>
      <c r="BV1349" s="20"/>
      <c r="BW1349" s="20"/>
      <c r="BX1349" s="20"/>
      <c r="BY1349" s="20"/>
      <c r="BZ1349" s="20"/>
      <c r="CA1349" s="20"/>
      <c r="CB1349" s="20"/>
      <c r="CC1349" s="20"/>
      <c r="CD1349" s="20"/>
      <c r="CE1349" s="20"/>
      <c r="CF1349" s="20"/>
      <c r="CG1349" s="20"/>
      <c r="CH1349" s="20"/>
      <c r="CI1349" s="20"/>
      <c r="CJ1349" s="20"/>
      <c r="CK1349" s="20"/>
      <c r="CL1349" s="20"/>
      <c r="CM1349" s="20"/>
      <c r="CN1349" s="20"/>
      <c r="CO1349" s="20"/>
      <c r="CP1349" s="20"/>
      <c r="CQ1349" s="20"/>
      <c r="CR1349" s="20"/>
      <c r="CS1349" s="20"/>
      <c r="CT1349" s="20"/>
      <c r="CU1349" s="20"/>
      <c r="CV1349" s="20"/>
      <c r="CW1349" s="20"/>
      <c r="CX1349" s="20"/>
      <c r="CY1349" s="20"/>
      <c r="CZ1349" s="20"/>
      <c r="DA1349" s="20"/>
      <c r="DB1349" s="20"/>
      <c r="DC1349" s="20"/>
      <c r="DD1349" s="20"/>
      <c r="DE1349" s="20"/>
      <c r="DF1349" s="20"/>
    </row>
    <row r="1350" spans="2:110" ht="14" thickBot="1">
      <c r="B1350" s="94">
        <v>43</v>
      </c>
      <c r="C1350" s="12" t="s">
        <v>104</v>
      </c>
    </row>
    <row r="1351" spans="2:110">
      <c r="C1351" s="553">
        <v>2024</v>
      </c>
      <c r="E1351" s="1" t="s">
        <v>59</v>
      </c>
      <c r="F1351" s="2"/>
      <c r="G1351" s="3"/>
      <c r="H1351" s="3"/>
      <c r="I1351" s="3"/>
      <c r="J1351" s="3"/>
      <c r="K1351" s="4">
        <f>SUM(F1351:J1351)</f>
        <v>0</v>
      </c>
      <c r="M1351" s="2"/>
      <c r="N1351" s="3"/>
      <c r="O1351" s="3"/>
      <c r="P1351" s="3"/>
      <c r="Q1351" s="3"/>
      <c r="R1351" s="4">
        <f>SUM(M1351:Q1351)</f>
        <v>0</v>
      </c>
      <c r="T1351" s="2"/>
      <c r="U1351" s="3"/>
      <c r="V1351" s="3"/>
      <c r="W1351" s="3"/>
      <c r="X1351" s="3"/>
      <c r="Y1351" s="4">
        <f>SUM(T1351:X1351)</f>
        <v>0</v>
      </c>
      <c r="AA1351" s="2"/>
      <c r="AB1351" s="3"/>
      <c r="AC1351" s="3"/>
      <c r="AD1351" s="3"/>
      <c r="AE1351" s="3"/>
      <c r="AF1351" s="4">
        <f>SUM(AA1351:AE1351)</f>
        <v>0</v>
      </c>
      <c r="AH1351" s="2"/>
      <c r="AI1351" s="3"/>
      <c r="AJ1351" s="3"/>
      <c r="AK1351" s="3"/>
      <c r="AL1351" s="3"/>
      <c r="AM1351" s="4">
        <f>SUM(AH1351:AL1351)</f>
        <v>0</v>
      </c>
      <c r="AO1351" s="2"/>
      <c r="AP1351" s="3"/>
      <c r="AQ1351" s="3"/>
      <c r="AR1351" s="3"/>
      <c r="AS1351" s="3"/>
      <c r="AT1351" s="4">
        <f>SUM(AO1351:AS1351)</f>
        <v>0</v>
      </c>
      <c r="AV1351" s="2"/>
      <c r="AW1351" s="3"/>
      <c r="AX1351" s="3"/>
      <c r="AY1351" s="3"/>
      <c r="AZ1351" s="3"/>
      <c r="BA1351" s="4">
        <f>SUM(AV1351:AZ1351)</f>
        <v>0</v>
      </c>
      <c r="BC1351" s="2"/>
      <c r="BD1351" s="3"/>
      <c r="BE1351" s="3"/>
      <c r="BF1351" s="3"/>
      <c r="BG1351" s="3"/>
      <c r="BH1351" s="4">
        <f>SUM(BC1351:BG1351)</f>
        <v>0</v>
      </c>
      <c r="BJ1351" s="2"/>
      <c r="BK1351" s="3"/>
      <c r="BL1351" s="3"/>
      <c r="BM1351" s="3"/>
      <c r="BN1351" s="3"/>
      <c r="BO1351" s="4">
        <f>SUM(BJ1351:BN1351)</f>
        <v>0</v>
      </c>
      <c r="BQ1351" s="2"/>
      <c r="BR1351" s="3"/>
      <c r="BS1351" s="3"/>
      <c r="BT1351" s="3"/>
      <c r="BU1351" s="3"/>
      <c r="BV1351" s="4">
        <f>SUM(BQ1351:BU1351)</f>
        <v>0</v>
      </c>
      <c r="BX1351" s="2"/>
      <c r="BY1351" s="3"/>
      <c r="BZ1351" s="3"/>
      <c r="CA1351" s="3"/>
      <c r="CB1351" s="3"/>
      <c r="CC1351" s="4">
        <f>SUM(BX1351:CB1351)</f>
        <v>0</v>
      </c>
      <c r="CE1351" s="26">
        <f t="shared" ref="CE1351:CE1354" si="6230">F1351+M1351+T1351+AA1351+AH1351+AO1351+AV1351+BC1351+BJ1351+BQ1351+BX1351</f>
        <v>0</v>
      </c>
      <c r="CF1351" s="27">
        <f t="shared" ref="CF1351:CF1354" si="6231">G1351+N1351+U1351+AB1351+AI1351+AP1351+AW1351+BD1351+BK1351+BR1351+BY1351</f>
        <v>0</v>
      </c>
      <c r="CG1351" s="27">
        <f t="shared" ref="CG1351:CG1354" si="6232">H1351+O1351+V1351+AC1351+AJ1351+AQ1351+AX1351+BE1351+BL1351+BS1351+BZ1351</f>
        <v>0</v>
      </c>
      <c r="CH1351" s="27">
        <f t="shared" ref="CH1351:CH1354" si="6233">I1351+P1351+W1351+AD1351+AK1351+AR1351+AY1351+BF1351+BM1351+BT1351+CA1351</f>
        <v>0</v>
      </c>
      <c r="CI1351" s="27">
        <f t="shared" ref="CI1351:CI1354" si="6234">J1351+Q1351+X1351+AE1351+AL1351+AS1351+AZ1351+BG1351+BN1351+BU1351+CB1351</f>
        <v>0</v>
      </c>
      <c r="CJ1351" s="4">
        <f>SUM(CE1351:CI1351)</f>
        <v>0</v>
      </c>
      <c r="CL1351" s="2"/>
      <c r="CM1351" s="3"/>
      <c r="CN1351" s="3"/>
      <c r="CO1351" s="3"/>
      <c r="CP1351" s="3"/>
      <c r="CQ1351" s="4">
        <f>SUM(CL1351:CP1351)</f>
        <v>0</v>
      </c>
      <c r="CS1351" s="2"/>
      <c r="CT1351" s="3"/>
      <c r="CU1351" s="3"/>
      <c r="CV1351" s="3"/>
      <c r="CW1351" s="3"/>
      <c r="CX1351" s="4">
        <f>SUM(CS1351:CW1351)</f>
        <v>0</v>
      </c>
      <c r="CZ1351" s="2"/>
      <c r="DA1351" s="3"/>
      <c r="DB1351" s="3"/>
      <c r="DC1351" s="3"/>
      <c r="DD1351" s="3"/>
      <c r="DE1351" s="4">
        <f>SUM(CZ1351:DD1351)</f>
        <v>0</v>
      </c>
    </row>
    <row r="1352" spans="2:110">
      <c r="C1352" s="567"/>
      <c r="E1352" s="5" t="s">
        <v>60</v>
      </c>
      <c r="F1352" s="6"/>
      <c r="G1352" s="7"/>
      <c r="H1352" s="7"/>
      <c r="I1352" s="7"/>
      <c r="J1352" s="7"/>
      <c r="K1352" s="8">
        <f t="shared" ref="K1352:K1354" si="6235">SUM(F1352:J1352)</f>
        <v>0</v>
      </c>
      <c r="M1352" s="6"/>
      <c r="N1352" s="7"/>
      <c r="O1352" s="7"/>
      <c r="P1352" s="7"/>
      <c r="Q1352" s="7"/>
      <c r="R1352" s="8">
        <f t="shared" ref="R1352:R1354" si="6236">SUM(M1352:Q1352)</f>
        <v>0</v>
      </c>
      <c r="T1352" s="6"/>
      <c r="U1352" s="7"/>
      <c r="V1352" s="7"/>
      <c r="W1352" s="7"/>
      <c r="X1352" s="7"/>
      <c r="Y1352" s="8">
        <f t="shared" ref="Y1352:Y1354" si="6237">SUM(T1352:X1352)</f>
        <v>0</v>
      </c>
      <c r="AA1352" s="6"/>
      <c r="AB1352" s="7"/>
      <c r="AC1352" s="7"/>
      <c r="AD1352" s="7"/>
      <c r="AE1352" s="7"/>
      <c r="AF1352" s="8">
        <f>SUM(AA1352:AE1352)</f>
        <v>0</v>
      </c>
      <c r="AH1352" s="6"/>
      <c r="AI1352" s="7"/>
      <c r="AJ1352" s="7"/>
      <c r="AK1352" s="7"/>
      <c r="AL1352" s="7"/>
      <c r="AM1352" s="8">
        <f>SUM(AH1352:AL1352)</f>
        <v>0</v>
      </c>
      <c r="AO1352" s="6"/>
      <c r="AP1352" s="7"/>
      <c r="AQ1352" s="7"/>
      <c r="AR1352" s="7"/>
      <c r="AS1352" s="7"/>
      <c r="AT1352" s="8">
        <f>SUM(AO1352:AS1352)</f>
        <v>0</v>
      </c>
      <c r="AV1352" s="6"/>
      <c r="AW1352" s="7"/>
      <c r="AX1352" s="7"/>
      <c r="AY1352" s="7"/>
      <c r="AZ1352" s="7"/>
      <c r="BA1352" s="8">
        <f>SUM(AV1352:AZ1352)</f>
        <v>0</v>
      </c>
      <c r="BC1352" s="6"/>
      <c r="BD1352" s="7"/>
      <c r="BE1352" s="7"/>
      <c r="BF1352" s="7"/>
      <c r="BG1352" s="7"/>
      <c r="BH1352" s="8">
        <f>SUM(BC1352:BG1352)</f>
        <v>0</v>
      </c>
      <c r="BJ1352" s="6"/>
      <c r="BK1352" s="7"/>
      <c r="BL1352" s="7"/>
      <c r="BM1352" s="7"/>
      <c r="BN1352" s="7"/>
      <c r="BO1352" s="8">
        <f>SUM(BJ1352:BN1352)</f>
        <v>0</v>
      </c>
      <c r="BQ1352" s="6"/>
      <c r="BR1352" s="7"/>
      <c r="BS1352" s="7"/>
      <c r="BT1352" s="7"/>
      <c r="BU1352" s="7"/>
      <c r="BV1352" s="8">
        <f>SUM(BQ1352:BU1352)</f>
        <v>0</v>
      </c>
      <c r="BX1352" s="6"/>
      <c r="BY1352" s="7"/>
      <c r="BZ1352" s="7"/>
      <c r="CA1352" s="7"/>
      <c r="CB1352" s="7"/>
      <c r="CC1352" s="8">
        <f>SUM(BX1352:CB1352)</f>
        <v>0</v>
      </c>
      <c r="CE1352" s="28">
        <f t="shared" si="6230"/>
        <v>0</v>
      </c>
      <c r="CF1352" s="29">
        <f t="shared" si="6231"/>
        <v>0</v>
      </c>
      <c r="CG1352" s="29">
        <f t="shared" si="6232"/>
        <v>0</v>
      </c>
      <c r="CH1352" s="29">
        <f t="shared" si="6233"/>
        <v>0</v>
      </c>
      <c r="CI1352" s="29">
        <f t="shared" si="6234"/>
        <v>0</v>
      </c>
      <c r="CJ1352" s="8">
        <f>SUM(CE1352:CI1352)</f>
        <v>0</v>
      </c>
      <c r="CL1352" s="6"/>
      <c r="CM1352" s="7"/>
      <c r="CN1352" s="7"/>
      <c r="CO1352" s="7"/>
      <c r="CP1352" s="7"/>
      <c r="CQ1352" s="8">
        <f>SUM(CL1352:CP1352)</f>
        <v>0</v>
      </c>
      <c r="CS1352" s="6"/>
      <c r="CT1352" s="7"/>
      <c r="CU1352" s="7"/>
      <c r="CV1352" s="7"/>
      <c r="CW1352" s="7"/>
      <c r="CX1352" s="8">
        <f t="shared" ref="CX1352:CX1354" si="6238">SUM(CS1352:CW1352)</f>
        <v>0</v>
      </c>
      <c r="CZ1352" s="6"/>
      <c r="DA1352" s="7"/>
      <c r="DB1352" s="7"/>
      <c r="DC1352" s="7"/>
      <c r="DD1352" s="7"/>
      <c r="DE1352" s="8">
        <f t="shared" ref="DE1352:DE1354" si="6239">SUM(CZ1352:DD1352)</f>
        <v>0</v>
      </c>
    </row>
    <row r="1353" spans="2:110">
      <c r="C1353" s="567"/>
      <c r="E1353" s="5" t="s">
        <v>61</v>
      </c>
      <c r="F1353" s="6"/>
      <c r="G1353" s="7"/>
      <c r="H1353" s="7"/>
      <c r="I1353" s="7"/>
      <c r="J1353" s="7"/>
      <c r="K1353" s="8">
        <f t="shared" si="6235"/>
        <v>0</v>
      </c>
      <c r="M1353" s="6"/>
      <c r="N1353" s="7"/>
      <c r="O1353" s="7"/>
      <c r="P1353" s="7"/>
      <c r="Q1353" s="7"/>
      <c r="R1353" s="8">
        <f t="shared" si="6236"/>
        <v>0</v>
      </c>
      <c r="T1353" s="6"/>
      <c r="U1353" s="7"/>
      <c r="V1353" s="7"/>
      <c r="W1353" s="7"/>
      <c r="X1353" s="7"/>
      <c r="Y1353" s="8">
        <f t="shared" si="6237"/>
        <v>0</v>
      </c>
      <c r="AA1353" s="6"/>
      <c r="AB1353" s="7"/>
      <c r="AC1353" s="7"/>
      <c r="AD1353" s="7"/>
      <c r="AE1353" s="7"/>
      <c r="AF1353" s="8">
        <f>SUM(AA1353:AE1353)</f>
        <v>0</v>
      </c>
      <c r="AH1353" s="6"/>
      <c r="AI1353" s="7"/>
      <c r="AJ1353" s="7"/>
      <c r="AK1353" s="7"/>
      <c r="AL1353" s="7"/>
      <c r="AM1353" s="8">
        <f>SUM(AH1353:AL1353)</f>
        <v>0</v>
      </c>
      <c r="AO1353" s="6"/>
      <c r="AP1353" s="7"/>
      <c r="AQ1353" s="7"/>
      <c r="AR1353" s="7"/>
      <c r="AS1353" s="7"/>
      <c r="AT1353" s="8">
        <f>SUM(AO1353:AS1353)</f>
        <v>0</v>
      </c>
      <c r="AV1353" s="6"/>
      <c r="AW1353" s="7"/>
      <c r="AX1353" s="7"/>
      <c r="AY1353" s="7"/>
      <c r="AZ1353" s="7"/>
      <c r="BA1353" s="8">
        <f>SUM(AV1353:AZ1353)</f>
        <v>0</v>
      </c>
      <c r="BC1353" s="6"/>
      <c r="BD1353" s="7"/>
      <c r="BE1353" s="7"/>
      <c r="BF1353" s="7"/>
      <c r="BG1353" s="7"/>
      <c r="BH1353" s="8">
        <f>SUM(BC1353:BG1353)</f>
        <v>0</v>
      </c>
      <c r="BJ1353" s="6"/>
      <c r="BK1353" s="7"/>
      <c r="BL1353" s="7"/>
      <c r="BM1353" s="7"/>
      <c r="BN1353" s="7"/>
      <c r="BO1353" s="8">
        <f>SUM(BJ1353:BN1353)</f>
        <v>0</v>
      </c>
      <c r="BQ1353" s="6"/>
      <c r="BR1353" s="7"/>
      <c r="BS1353" s="7"/>
      <c r="BT1353" s="7"/>
      <c r="BU1353" s="7"/>
      <c r="BV1353" s="8">
        <f>SUM(BQ1353:BU1353)</f>
        <v>0</v>
      </c>
      <c r="BX1353" s="6"/>
      <c r="BY1353" s="7"/>
      <c r="BZ1353" s="7"/>
      <c r="CA1353" s="7"/>
      <c r="CB1353" s="7"/>
      <c r="CC1353" s="8">
        <f>SUM(BX1353:CB1353)</f>
        <v>0</v>
      </c>
      <c r="CE1353" s="28">
        <f t="shared" si="6230"/>
        <v>0</v>
      </c>
      <c r="CF1353" s="29">
        <f t="shared" si="6231"/>
        <v>0</v>
      </c>
      <c r="CG1353" s="29">
        <f t="shared" si="6232"/>
        <v>0</v>
      </c>
      <c r="CH1353" s="29">
        <f t="shared" si="6233"/>
        <v>0</v>
      </c>
      <c r="CI1353" s="29">
        <f t="shared" si="6234"/>
        <v>0</v>
      </c>
      <c r="CJ1353" s="8">
        <f>SUM(CE1353:CI1353)</f>
        <v>0</v>
      </c>
      <c r="CL1353" s="6"/>
      <c r="CM1353" s="7"/>
      <c r="CN1353" s="7"/>
      <c r="CO1353" s="7"/>
      <c r="CP1353" s="7"/>
      <c r="CQ1353" s="8">
        <f>SUM(CL1353:CP1353)</f>
        <v>0</v>
      </c>
      <c r="CS1353" s="6"/>
      <c r="CT1353" s="7"/>
      <c r="CU1353" s="7"/>
      <c r="CV1353" s="7"/>
      <c r="CW1353" s="7"/>
      <c r="CX1353" s="8">
        <f t="shared" si="6238"/>
        <v>0</v>
      </c>
      <c r="CZ1353" s="6"/>
      <c r="DA1353" s="7"/>
      <c r="DB1353" s="7"/>
      <c r="DC1353" s="7"/>
      <c r="DD1353" s="7"/>
      <c r="DE1353" s="8">
        <f t="shared" si="6239"/>
        <v>0</v>
      </c>
    </row>
    <row r="1354" spans="2:110" ht="14" thickBot="1">
      <c r="C1354" s="567"/>
      <c r="E1354" s="5" t="s">
        <v>62</v>
      </c>
      <c r="F1354" s="6"/>
      <c r="G1354" s="7"/>
      <c r="H1354" s="7"/>
      <c r="I1354" s="7"/>
      <c r="J1354" s="7"/>
      <c r="K1354" s="8">
        <f t="shared" si="6235"/>
        <v>0</v>
      </c>
      <c r="M1354" s="6"/>
      <c r="N1354" s="7"/>
      <c r="O1354" s="7"/>
      <c r="P1354" s="7"/>
      <c r="Q1354" s="7"/>
      <c r="R1354" s="8">
        <f t="shared" si="6236"/>
        <v>0</v>
      </c>
      <c r="T1354" s="6"/>
      <c r="U1354" s="7"/>
      <c r="V1354" s="7"/>
      <c r="W1354" s="7"/>
      <c r="X1354" s="7"/>
      <c r="Y1354" s="8">
        <f t="shared" si="6237"/>
        <v>0</v>
      </c>
      <c r="AA1354" s="6"/>
      <c r="AB1354" s="7"/>
      <c r="AC1354" s="7"/>
      <c r="AD1354" s="7"/>
      <c r="AE1354" s="7"/>
      <c r="AF1354" s="8">
        <f>SUM(AA1354:AE1354)</f>
        <v>0</v>
      </c>
      <c r="AH1354" s="6"/>
      <c r="AI1354" s="7"/>
      <c r="AJ1354" s="7"/>
      <c r="AK1354" s="7"/>
      <c r="AL1354" s="7"/>
      <c r="AM1354" s="8">
        <f>SUM(AH1354:AL1354)</f>
        <v>0</v>
      </c>
      <c r="AO1354" s="6"/>
      <c r="AP1354" s="7"/>
      <c r="AQ1354" s="7"/>
      <c r="AR1354" s="7"/>
      <c r="AS1354" s="7"/>
      <c r="AT1354" s="8">
        <f>SUM(AO1354:AS1354)</f>
        <v>0</v>
      </c>
      <c r="AV1354" s="6"/>
      <c r="AW1354" s="7"/>
      <c r="AX1354" s="7"/>
      <c r="AY1354" s="7"/>
      <c r="AZ1354" s="7"/>
      <c r="BA1354" s="8">
        <f>SUM(AV1354:AZ1354)</f>
        <v>0</v>
      </c>
      <c r="BC1354" s="6"/>
      <c r="BD1354" s="7"/>
      <c r="BE1354" s="7"/>
      <c r="BF1354" s="7"/>
      <c r="BG1354" s="7"/>
      <c r="BH1354" s="8">
        <f>SUM(BC1354:BG1354)</f>
        <v>0</v>
      </c>
      <c r="BJ1354" s="6"/>
      <c r="BK1354" s="7"/>
      <c r="BL1354" s="7"/>
      <c r="BM1354" s="7"/>
      <c r="BN1354" s="7"/>
      <c r="BO1354" s="8">
        <f>SUM(BJ1354:BN1354)</f>
        <v>0</v>
      </c>
      <c r="BQ1354" s="6"/>
      <c r="BR1354" s="7"/>
      <c r="BS1354" s="7"/>
      <c r="BT1354" s="7"/>
      <c r="BU1354" s="7"/>
      <c r="BV1354" s="8">
        <f>SUM(BQ1354:BU1354)</f>
        <v>0</v>
      </c>
      <c r="BX1354" s="6"/>
      <c r="BY1354" s="7"/>
      <c r="BZ1354" s="7"/>
      <c r="CA1354" s="7"/>
      <c r="CB1354" s="7"/>
      <c r="CC1354" s="8">
        <f>SUM(BX1354:CB1354)</f>
        <v>0</v>
      </c>
      <c r="CE1354" s="493">
        <f t="shared" si="6230"/>
        <v>0</v>
      </c>
      <c r="CF1354" s="494">
        <f t="shared" si="6231"/>
        <v>0</v>
      </c>
      <c r="CG1354" s="494">
        <f t="shared" si="6232"/>
        <v>0</v>
      </c>
      <c r="CH1354" s="494">
        <f t="shared" si="6233"/>
        <v>0</v>
      </c>
      <c r="CI1354" s="494">
        <f t="shared" si="6234"/>
        <v>0</v>
      </c>
      <c r="CJ1354" s="495">
        <f>SUM(CE1354:CI1354)</f>
        <v>0</v>
      </c>
      <c r="CL1354" s="6"/>
      <c r="CM1354" s="7"/>
      <c r="CN1354" s="7"/>
      <c r="CO1354" s="7"/>
      <c r="CP1354" s="7"/>
      <c r="CQ1354" s="8">
        <f>SUM(CL1354:CP1354)</f>
        <v>0</v>
      </c>
      <c r="CS1354" s="6"/>
      <c r="CT1354" s="7"/>
      <c r="CU1354" s="7"/>
      <c r="CV1354" s="7"/>
      <c r="CW1354" s="7"/>
      <c r="CX1354" s="8">
        <f t="shared" si="6238"/>
        <v>0</v>
      </c>
      <c r="CZ1354" s="6"/>
      <c r="DA1354" s="7"/>
      <c r="DB1354" s="7"/>
      <c r="DC1354" s="7"/>
      <c r="DD1354" s="7"/>
      <c r="DE1354" s="8">
        <f t="shared" si="6239"/>
        <v>0</v>
      </c>
    </row>
    <row r="1355" spans="2:110" ht="14" thickBot="1">
      <c r="C1355" s="554"/>
      <c r="E1355" s="9"/>
      <c r="F1355" s="10">
        <f>SUM(F1351:F1354)</f>
        <v>0</v>
      </c>
      <c r="G1355" s="11">
        <f t="shared" ref="G1355:J1355" si="6240">SUM(G1351:G1354)</f>
        <v>0</v>
      </c>
      <c r="H1355" s="11">
        <f t="shared" si="6240"/>
        <v>0</v>
      </c>
      <c r="I1355" s="11">
        <f t="shared" si="6240"/>
        <v>0</v>
      </c>
      <c r="J1355" s="61">
        <f t="shared" si="6240"/>
        <v>0</v>
      </c>
      <c r="K1355" s="25">
        <f>SUM(K1351:K1354)</f>
        <v>0</v>
      </c>
      <c r="M1355" s="10">
        <f>SUM(M1351:M1354)</f>
        <v>0</v>
      </c>
      <c r="N1355" s="11">
        <f t="shared" ref="N1355:Q1355" si="6241">SUM(N1351:N1354)</f>
        <v>0</v>
      </c>
      <c r="O1355" s="11">
        <f t="shared" si="6241"/>
        <v>0</v>
      </c>
      <c r="P1355" s="11">
        <f t="shared" si="6241"/>
        <v>0</v>
      </c>
      <c r="Q1355" s="11">
        <f t="shared" si="6241"/>
        <v>0</v>
      </c>
      <c r="R1355" s="25">
        <f>SUM(R1351:R1354)</f>
        <v>0</v>
      </c>
      <c r="T1355" s="10">
        <f>SUM(T1351:T1354)</f>
        <v>0</v>
      </c>
      <c r="U1355" s="11">
        <f t="shared" ref="U1355:X1355" si="6242">SUM(U1351:U1354)</f>
        <v>0</v>
      </c>
      <c r="V1355" s="11">
        <f t="shared" si="6242"/>
        <v>0</v>
      </c>
      <c r="W1355" s="11">
        <f t="shared" si="6242"/>
        <v>0</v>
      </c>
      <c r="X1355" s="11">
        <f t="shared" si="6242"/>
        <v>0</v>
      </c>
      <c r="Y1355" s="25">
        <f>SUM(Y1351:Y1354)</f>
        <v>0</v>
      </c>
      <c r="AA1355" s="10">
        <f>SUM(AA1351:AA1354)</f>
        <v>0</v>
      </c>
      <c r="AB1355" s="11">
        <f t="shared" ref="AB1355:AE1355" si="6243">SUM(AB1351:AB1354)</f>
        <v>0</v>
      </c>
      <c r="AC1355" s="11">
        <f t="shared" si="6243"/>
        <v>0</v>
      </c>
      <c r="AD1355" s="11">
        <f t="shared" si="6243"/>
        <v>0</v>
      </c>
      <c r="AE1355" s="11">
        <f t="shared" si="6243"/>
        <v>0</v>
      </c>
      <c r="AF1355" s="25">
        <f>SUM(AF1351:AF1354)</f>
        <v>0</v>
      </c>
      <c r="AH1355" s="10">
        <f>SUM(AH1351:AH1354)</f>
        <v>0</v>
      </c>
      <c r="AI1355" s="11">
        <f t="shared" ref="AI1355:AL1355" si="6244">SUM(AI1351:AI1354)</f>
        <v>0</v>
      </c>
      <c r="AJ1355" s="11">
        <f t="shared" si="6244"/>
        <v>0</v>
      </c>
      <c r="AK1355" s="11">
        <f t="shared" si="6244"/>
        <v>0</v>
      </c>
      <c r="AL1355" s="11">
        <f t="shared" si="6244"/>
        <v>0</v>
      </c>
      <c r="AM1355" s="25">
        <f>SUM(AM1351:AM1354)</f>
        <v>0</v>
      </c>
      <c r="AO1355" s="10">
        <f>SUM(AO1351:AO1354)</f>
        <v>0</v>
      </c>
      <c r="AP1355" s="11">
        <f t="shared" ref="AP1355:AS1355" si="6245">SUM(AP1351:AP1354)</f>
        <v>0</v>
      </c>
      <c r="AQ1355" s="11">
        <f t="shared" si="6245"/>
        <v>0</v>
      </c>
      <c r="AR1355" s="11">
        <f t="shared" si="6245"/>
        <v>0</v>
      </c>
      <c r="AS1355" s="11">
        <f t="shared" si="6245"/>
        <v>0</v>
      </c>
      <c r="AT1355" s="25">
        <f>SUM(AT1351:AT1354)</f>
        <v>0</v>
      </c>
      <c r="AV1355" s="10">
        <f>SUM(AV1351:AV1354)</f>
        <v>0</v>
      </c>
      <c r="AW1355" s="11">
        <f t="shared" ref="AW1355:AZ1355" si="6246">SUM(AW1351:AW1354)</f>
        <v>0</v>
      </c>
      <c r="AX1355" s="11">
        <f t="shared" si="6246"/>
        <v>0</v>
      </c>
      <c r="AY1355" s="11">
        <f t="shared" si="6246"/>
        <v>0</v>
      </c>
      <c r="AZ1355" s="11">
        <f t="shared" si="6246"/>
        <v>0</v>
      </c>
      <c r="BA1355" s="25">
        <f>SUM(BA1351:BA1354)</f>
        <v>0</v>
      </c>
      <c r="BC1355" s="10">
        <f>SUM(BC1351:BC1354)</f>
        <v>0</v>
      </c>
      <c r="BD1355" s="11">
        <f t="shared" ref="BD1355:BG1355" si="6247">SUM(BD1351:BD1354)</f>
        <v>0</v>
      </c>
      <c r="BE1355" s="11">
        <f t="shared" si="6247"/>
        <v>0</v>
      </c>
      <c r="BF1355" s="11">
        <f t="shared" si="6247"/>
        <v>0</v>
      </c>
      <c r="BG1355" s="11">
        <f t="shared" si="6247"/>
        <v>0</v>
      </c>
      <c r="BH1355" s="25">
        <f>SUM(BH1351:BH1354)</f>
        <v>0</v>
      </c>
      <c r="BJ1355" s="10">
        <f>SUM(BJ1351:BJ1354)</f>
        <v>0</v>
      </c>
      <c r="BK1355" s="11">
        <f t="shared" ref="BK1355:BN1355" si="6248">SUM(BK1351:BK1354)</f>
        <v>0</v>
      </c>
      <c r="BL1355" s="11">
        <f t="shared" si="6248"/>
        <v>0</v>
      </c>
      <c r="BM1355" s="11">
        <f t="shared" si="6248"/>
        <v>0</v>
      </c>
      <c r="BN1355" s="11">
        <f t="shared" si="6248"/>
        <v>0</v>
      </c>
      <c r="BO1355" s="25">
        <f>SUM(BO1351:BO1354)</f>
        <v>0</v>
      </c>
      <c r="BQ1355" s="10">
        <f>SUM(BQ1351:BQ1354)</f>
        <v>0</v>
      </c>
      <c r="BR1355" s="11">
        <f t="shared" ref="BR1355:BU1355" si="6249">SUM(BR1351:BR1354)</f>
        <v>0</v>
      </c>
      <c r="BS1355" s="11">
        <f t="shared" si="6249"/>
        <v>0</v>
      </c>
      <c r="BT1355" s="11">
        <f t="shared" si="6249"/>
        <v>0</v>
      </c>
      <c r="BU1355" s="11">
        <f t="shared" si="6249"/>
        <v>0</v>
      </c>
      <c r="BV1355" s="25">
        <f>SUM(BV1351:BV1354)</f>
        <v>0</v>
      </c>
      <c r="BX1355" s="10">
        <f>SUM(BX1351:BX1354)</f>
        <v>0</v>
      </c>
      <c r="BY1355" s="11">
        <f t="shared" ref="BY1355:CB1355" si="6250">SUM(BY1351:BY1354)</f>
        <v>0</v>
      </c>
      <c r="BZ1355" s="11">
        <f t="shared" si="6250"/>
        <v>0</v>
      </c>
      <c r="CA1355" s="11">
        <f t="shared" si="6250"/>
        <v>0</v>
      </c>
      <c r="CB1355" s="11">
        <f t="shared" si="6250"/>
        <v>0</v>
      </c>
      <c r="CC1355" s="25">
        <f>SUM(CC1351:CC1354)</f>
        <v>0</v>
      </c>
      <c r="CE1355" s="62">
        <f t="shared" ref="CE1355:CJ1355" si="6251">SUM(CE1351:CE1354)</f>
        <v>0</v>
      </c>
      <c r="CF1355" s="63">
        <f t="shared" si="6251"/>
        <v>0</v>
      </c>
      <c r="CG1355" s="63">
        <f t="shared" si="6251"/>
        <v>0</v>
      </c>
      <c r="CH1355" s="63">
        <f t="shared" si="6251"/>
        <v>0</v>
      </c>
      <c r="CI1355" s="63">
        <f t="shared" si="6251"/>
        <v>0</v>
      </c>
      <c r="CJ1355" s="25">
        <f t="shared" si="6251"/>
        <v>0</v>
      </c>
      <c r="CL1355" s="10">
        <f>SUM(CL1351:CL1354)</f>
        <v>0</v>
      </c>
      <c r="CM1355" s="11">
        <f t="shared" ref="CM1355:CP1355" si="6252">SUM(CM1351:CM1354)</f>
        <v>0</v>
      </c>
      <c r="CN1355" s="11">
        <f t="shared" si="6252"/>
        <v>0</v>
      </c>
      <c r="CO1355" s="11">
        <f t="shared" si="6252"/>
        <v>0</v>
      </c>
      <c r="CP1355" s="11">
        <f t="shared" si="6252"/>
        <v>0</v>
      </c>
      <c r="CQ1355" s="25">
        <f>SUM(CQ1351:CQ1354)</f>
        <v>0</v>
      </c>
      <c r="CS1355" s="10">
        <f>SUM(CS1351:CS1354)</f>
        <v>0</v>
      </c>
      <c r="CT1355" s="11">
        <f t="shared" ref="CT1355:CW1355" si="6253">SUM(CT1351:CT1354)</f>
        <v>0</v>
      </c>
      <c r="CU1355" s="11">
        <f t="shared" si="6253"/>
        <v>0</v>
      </c>
      <c r="CV1355" s="11">
        <f t="shared" si="6253"/>
        <v>0</v>
      </c>
      <c r="CW1355" s="11">
        <f t="shared" si="6253"/>
        <v>0</v>
      </c>
      <c r="CX1355" s="25">
        <f>SUM(CX1351:CX1354)</f>
        <v>0</v>
      </c>
      <c r="CZ1355" s="10">
        <f>SUM(CZ1351:CZ1354)</f>
        <v>0</v>
      </c>
      <c r="DA1355" s="11">
        <f t="shared" ref="DA1355:DD1355" si="6254">SUM(DA1351:DA1354)</f>
        <v>0</v>
      </c>
      <c r="DB1355" s="11">
        <f t="shared" si="6254"/>
        <v>0</v>
      </c>
      <c r="DC1355" s="11">
        <f t="shared" si="6254"/>
        <v>0</v>
      </c>
      <c r="DD1355" s="11">
        <f t="shared" si="6254"/>
        <v>0</v>
      </c>
      <c r="DE1355" s="25">
        <f>SUM(DE1351:DE1354)</f>
        <v>0</v>
      </c>
    </row>
    <row r="1356" spans="2:110" ht="10.4" customHeight="1" thickBot="1"/>
    <row r="1357" spans="2:110">
      <c r="C1357" s="553">
        <v>2025</v>
      </c>
      <c r="E1357" s="13" t="s">
        <v>59</v>
      </c>
      <c r="F1357" s="21">
        <f>CE1351</f>
        <v>0</v>
      </c>
      <c r="G1357" s="22">
        <f t="shared" ref="G1357:G1360" si="6255">CF1351</f>
        <v>0</v>
      </c>
      <c r="H1357" s="22">
        <f t="shared" ref="H1357:H1360" si="6256">CG1351</f>
        <v>0</v>
      </c>
      <c r="I1357" s="22">
        <f t="shared" ref="I1357:I1360" si="6257">CH1351</f>
        <v>0</v>
      </c>
      <c r="J1357" s="22">
        <f t="shared" ref="J1357:J1360" si="6258">CI1351</f>
        <v>0</v>
      </c>
      <c r="K1357" s="15">
        <f>SUM(F1357:J1357)</f>
        <v>0</v>
      </c>
      <c r="M1357" s="2"/>
      <c r="N1357" s="3"/>
      <c r="O1357" s="3"/>
      <c r="P1357" s="3"/>
      <c r="Q1357" s="3"/>
      <c r="R1357" s="15">
        <f>SUM(M1357:Q1357)</f>
        <v>0</v>
      </c>
      <c r="T1357" s="2"/>
      <c r="U1357" s="3"/>
      <c r="V1357" s="3"/>
      <c r="W1357" s="3"/>
      <c r="X1357" s="3"/>
      <c r="Y1357" s="15">
        <f>SUM(T1357:X1357)</f>
        <v>0</v>
      </c>
      <c r="AA1357" s="2"/>
      <c r="AB1357" s="3"/>
      <c r="AC1357" s="3"/>
      <c r="AD1357" s="3"/>
      <c r="AE1357" s="3"/>
      <c r="AF1357" s="15">
        <f>SUM(AA1357:AE1357)</f>
        <v>0</v>
      </c>
      <c r="AH1357" s="2"/>
      <c r="AI1357" s="3"/>
      <c r="AJ1357" s="3"/>
      <c r="AK1357" s="3"/>
      <c r="AL1357" s="3"/>
      <c r="AM1357" s="15">
        <f>SUM(AH1357:AL1357)</f>
        <v>0</v>
      </c>
      <c r="AO1357" s="2"/>
      <c r="AP1357" s="3"/>
      <c r="AQ1357" s="3"/>
      <c r="AR1357" s="3"/>
      <c r="AS1357" s="3"/>
      <c r="AT1357" s="15">
        <f>SUM(AO1357:AS1357)</f>
        <v>0</v>
      </c>
      <c r="AV1357" s="2"/>
      <c r="AW1357" s="3"/>
      <c r="AX1357" s="3"/>
      <c r="AY1357" s="3"/>
      <c r="AZ1357" s="3"/>
      <c r="BA1357" s="15">
        <f>SUM(AV1357:AZ1357)</f>
        <v>0</v>
      </c>
      <c r="BC1357" s="2"/>
      <c r="BD1357" s="3"/>
      <c r="BE1357" s="3"/>
      <c r="BF1357" s="3"/>
      <c r="BG1357" s="3"/>
      <c r="BH1357" s="15">
        <f>SUM(BC1357:BG1357)</f>
        <v>0</v>
      </c>
      <c r="BJ1357" s="2"/>
      <c r="BK1357" s="3"/>
      <c r="BL1357" s="3"/>
      <c r="BM1357" s="3"/>
      <c r="BN1357" s="3"/>
      <c r="BO1357" s="15">
        <f>SUM(BJ1357:BN1357)</f>
        <v>0</v>
      </c>
      <c r="BQ1357" s="2"/>
      <c r="BR1357" s="3"/>
      <c r="BS1357" s="3"/>
      <c r="BT1357" s="3"/>
      <c r="BU1357" s="3"/>
      <c r="BV1357" s="15">
        <f>SUM(BQ1357:BU1357)</f>
        <v>0</v>
      </c>
      <c r="BX1357" s="2"/>
      <c r="BY1357" s="3"/>
      <c r="BZ1357" s="3"/>
      <c r="CA1357" s="3"/>
      <c r="CB1357" s="3"/>
      <c r="CC1357" s="15">
        <f>SUM(BX1357:CB1357)</f>
        <v>0</v>
      </c>
      <c r="CE1357" s="26">
        <f t="shared" ref="CE1357:CE1360" si="6259">F1357+M1357+T1357+AA1357+AH1357+AO1357+AV1357+BC1357+BJ1357+BQ1357+BX1357</f>
        <v>0</v>
      </c>
      <c r="CF1357" s="27">
        <f t="shared" ref="CF1357:CF1360" si="6260">G1357+N1357+U1357+AB1357+AI1357+AP1357+AW1357+BD1357+BK1357+BR1357+BY1357</f>
        <v>0</v>
      </c>
      <c r="CG1357" s="27">
        <f t="shared" ref="CG1357:CG1360" si="6261">H1357+O1357+V1357+AC1357+AJ1357+AQ1357+AX1357+BE1357+BL1357+BS1357+BZ1357</f>
        <v>0</v>
      </c>
      <c r="CH1357" s="27">
        <f t="shared" ref="CH1357:CH1360" si="6262">I1357+P1357+W1357+AD1357+AK1357+AR1357+AY1357+BF1357+BM1357+BT1357+CA1357</f>
        <v>0</v>
      </c>
      <c r="CI1357" s="27">
        <f t="shared" ref="CI1357:CI1360" si="6263">J1357+Q1357+X1357+AE1357+AL1357+AS1357+AZ1357+BG1357+BN1357+BU1357+CB1357</f>
        <v>0</v>
      </c>
      <c r="CJ1357" s="4">
        <f>SUM(CE1357:CI1357)</f>
        <v>0</v>
      </c>
      <c r="CL1357" s="2"/>
      <c r="CM1357" s="3"/>
      <c r="CN1357" s="3"/>
      <c r="CO1357" s="3"/>
      <c r="CP1357" s="3"/>
      <c r="CQ1357" s="15">
        <f>SUM(CL1357:CP1357)</f>
        <v>0</v>
      </c>
      <c r="CS1357" s="2"/>
      <c r="CT1357" s="3"/>
      <c r="CU1357" s="3"/>
      <c r="CV1357" s="3"/>
      <c r="CW1357" s="3"/>
      <c r="CX1357" s="4">
        <f>SUM(CS1357:CW1357)</f>
        <v>0</v>
      </c>
      <c r="CZ1357" s="2"/>
      <c r="DA1357" s="3"/>
      <c r="DB1357" s="3"/>
      <c r="DC1357" s="3"/>
      <c r="DD1357" s="3"/>
      <c r="DE1357" s="15">
        <f>SUM(CZ1357:DD1357)</f>
        <v>0</v>
      </c>
    </row>
    <row r="1358" spans="2:110">
      <c r="C1358" s="567"/>
      <c r="E1358" s="14" t="s">
        <v>60</v>
      </c>
      <c r="F1358" s="23">
        <f t="shared" ref="F1358:F1360" si="6264">CE1352</f>
        <v>0</v>
      </c>
      <c r="G1358" s="24">
        <f t="shared" si="6255"/>
        <v>0</v>
      </c>
      <c r="H1358" s="24">
        <f t="shared" si="6256"/>
        <v>0</v>
      </c>
      <c r="I1358" s="24">
        <f t="shared" si="6257"/>
        <v>0</v>
      </c>
      <c r="J1358" s="24">
        <f t="shared" si="6258"/>
        <v>0</v>
      </c>
      <c r="K1358" s="16">
        <f t="shared" ref="K1358:K1360" si="6265">SUM(F1358:J1358)</f>
        <v>0</v>
      </c>
      <c r="M1358" s="6"/>
      <c r="N1358" s="7"/>
      <c r="O1358" s="7"/>
      <c r="P1358" s="7"/>
      <c r="Q1358" s="7"/>
      <c r="R1358" s="16">
        <f t="shared" ref="R1358:R1360" si="6266">SUM(M1358:Q1358)</f>
        <v>0</v>
      </c>
      <c r="T1358" s="6"/>
      <c r="U1358" s="7"/>
      <c r="V1358" s="7"/>
      <c r="W1358" s="7"/>
      <c r="X1358" s="7"/>
      <c r="Y1358" s="16">
        <f t="shared" ref="Y1358:Y1360" si="6267">SUM(T1358:X1358)</f>
        <v>0</v>
      </c>
      <c r="AA1358" s="6"/>
      <c r="AB1358" s="7"/>
      <c r="AC1358" s="7"/>
      <c r="AD1358" s="7"/>
      <c r="AE1358" s="7"/>
      <c r="AF1358" s="16">
        <f>SUM(AA1358:AE1358)</f>
        <v>0</v>
      </c>
      <c r="AH1358" s="6"/>
      <c r="AI1358" s="7"/>
      <c r="AJ1358" s="7"/>
      <c r="AK1358" s="7"/>
      <c r="AL1358" s="7"/>
      <c r="AM1358" s="16">
        <f>SUM(AH1358:AL1358)</f>
        <v>0</v>
      </c>
      <c r="AO1358" s="6"/>
      <c r="AP1358" s="7"/>
      <c r="AQ1358" s="7"/>
      <c r="AR1358" s="7"/>
      <c r="AS1358" s="7"/>
      <c r="AT1358" s="16">
        <f>SUM(AO1358:AS1358)</f>
        <v>0</v>
      </c>
      <c r="AV1358" s="6"/>
      <c r="AW1358" s="7"/>
      <c r="AX1358" s="7"/>
      <c r="AY1358" s="7"/>
      <c r="AZ1358" s="7"/>
      <c r="BA1358" s="16">
        <f>SUM(AV1358:AZ1358)</f>
        <v>0</v>
      </c>
      <c r="BC1358" s="6"/>
      <c r="BD1358" s="7"/>
      <c r="BE1358" s="7"/>
      <c r="BF1358" s="7"/>
      <c r="BG1358" s="7"/>
      <c r="BH1358" s="16">
        <f>SUM(BC1358:BG1358)</f>
        <v>0</v>
      </c>
      <c r="BJ1358" s="6"/>
      <c r="BK1358" s="7"/>
      <c r="BL1358" s="7"/>
      <c r="BM1358" s="7"/>
      <c r="BN1358" s="7"/>
      <c r="BO1358" s="16">
        <f>SUM(BJ1358:BN1358)</f>
        <v>0</v>
      </c>
      <c r="BQ1358" s="6"/>
      <c r="BR1358" s="7"/>
      <c r="BS1358" s="7"/>
      <c r="BT1358" s="7"/>
      <c r="BU1358" s="7"/>
      <c r="BV1358" s="16">
        <f>SUM(BQ1358:BU1358)</f>
        <v>0</v>
      </c>
      <c r="BX1358" s="6"/>
      <c r="BY1358" s="7"/>
      <c r="BZ1358" s="7"/>
      <c r="CA1358" s="7"/>
      <c r="CB1358" s="7"/>
      <c r="CC1358" s="16">
        <f>SUM(BX1358:CB1358)</f>
        <v>0</v>
      </c>
      <c r="CE1358" s="28">
        <f t="shared" si="6259"/>
        <v>0</v>
      </c>
      <c r="CF1358" s="29">
        <f t="shared" si="6260"/>
        <v>0</v>
      </c>
      <c r="CG1358" s="29">
        <f t="shared" si="6261"/>
        <v>0</v>
      </c>
      <c r="CH1358" s="29">
        <f t="shared" si="6262"/>
        <v>0</v>
      </c>
      <c r="CI1358" s="29">
        <f t="shared" si="6263"/>
        <v>0</v>
      </c>
      <c r="CJ1358" s="8">
        <f>SUM(CE1358:CI1358)</f>
        <v>0</v>
      </c>
      <c r="CL1358" s="6"/>
      <c r="CM1358" s="7"/>
      <c r="CN1358" s="7"/>
      <c r="CO1358" s="7"/>
      <c r="CP1358" s="7"/>
      <c r="CQ1358" s="16">
        <f>SUM(CL1358:CP1358)</f>
        <v>0</v>
      </c>
      <c r="CS1358" s="6"/>
      <c r="CT1358" s="7"/>
      <c r="CU1358" s="7"/>
      <c r="CV1358" s="7"/>
      <c r="CW1358" s="7"/>
      <c r="CX1358" s="8">
        <f t="shared" ref="CX1358:CX1360" si="6268">SUM(CS1358:CW1358)</f>
        <v>0</v>
      </c>
      <c r="CZ1358" s="6"/>
      <c r="DA1358" s="7"/>
      <c r="DB1358" s="7"/>
      <c r="DC1358" s="7"/>
      <c r="DD1358" s="7"/>
      <c r="DE1358" s="16">
        <f t="shared" ref="DE1358:DE1360" si="6269">SUM(CZ1358:DD1358)</f>
        <v>0</v>
      </c>
    </row>
    <row r="1359" spans="2:110">
      <c r="C1359" s="567"/>
      <c r="E1359" s="14" t="s">
        <v>61</v>
      </c>
      <c r="F1359" s="23">
        <f t="shared" si="6264"/>
        <v>0</v>
      </c>
      <c r="G1359" s="24">
        <f t="shared" si="6255"/>
        <v>0</v>
      </c>
      <c r="H1359" s="24">
        <f t="shared" si="6256"/>
        <v>0</v>
      </c>
      <c r="I1359" s="24">
        <f t="shared" si="6257"/>
        <v>0</v>
      </c>
      <c r="J1359" s="24">
        <f t="shared" si="6258"/>
        <v>0</v>
      </c>
      <c r="K1359" s="16">
        <f t="shared" si="6265"/>
        <v>0</v>
      </c>
      <c r="M1359" s="6"/>
      <c r="N1359" s="7"/>
      <c r="O1359" s="7"/>
      <c r="P1359" s="7"/>
      <c r="Q1359" s="7"/>
      <c r="R1359" s="16">
        <f t="shared" si="6266"/>
        <v>0</v>
      </c>
      <c r="T1359" s="6"/>
      <c r="U1359" s="7"/>
      <c r="V1359" s="7"/>
      <c r="W1359" s="7"/>
      <c r="X1359" s="7"/>
      <c r="Y1359" s="16">
        <f t="shared" si="6267"/>
        <v>0</v>
      </c>
      <c r="AA1359" s="6"/>
      <c r="AB1359" s="7"/>
      <c r="AC1359" s="7"/>
      <c r="AD1359" s="7"/>
      <c r="AE1359" s="7"/>
      <c r="AF1359" s="16">
        <f>SUM(AA1359:AE1359)</f>
        <v>0</v>
      </c>
      <c r="AH1359" s="6"/>
      <c r="AI1359" s="7"/>
      <c r="AJ1359" s="7"/>
      <c r="AK1359" s="7"/>
      <c r="AL1359" s="7"/>
      <c r="AM1359" s="16">
        <f>SUM(AH1359:AL1359)</f>
        <v>0</v>
      </c>
      <c r="AO1359" s="6"/>
      <c r="AP1359" s="7"/>
      <c r="AQ1359" s="7"/>
      <c r="AR1359" s="7"/>
      <c r="AS1359" s="7"/>
      <c r="AT1359" s="16">
        <f>SUM(AO1359:AS1359)</f>
        <v>0</v>
      </c>
      <c r="AV1359" s="6"/>
      <c r="AW1359" s="7"/>
      <c r="AX1359" s="7"/>
      <c r="AY1359" s="7"/>
      <c r="AZ1359" s="7"/>
      <c r="BA1359" s="16">
        <f>SUM(AV1359:AZ1359)</f>
        <v>0</v>
      </c>
      <c r="BC1359" s="6"/>
      <c r="BD1359" s="7"/>
      <c r="BE1359" s="7"/>
      <c r="BF1359" s="7"/>
      <c r="BG1359" s="7"/>
      <c r="BH1359" s="16">
        <f>SUM(BC1359:BG1359)</f>
        <v>0</v>
      </c>
      <c r="BJ1359" s="6"/>
      <c r="BK1359" s="7"/>
      <c r="BL1359" s="7"/>
      <c r="BM1359" s="7"/>
      <c r="BN1359" s="7"/>
      <c r="BO1359" s="16">
        <f>SUM(BJ1359:BN1359)</f>
        <v>0</v>
      </c>
      <c r="BQ1359" s="6"/>
      <c r="BR1359" s="7"/>
      <c r="BS1359" s="7"/>
      <c r="BT1359" s="7"/>
      <c r="BU1359" s="7"/>
      <c r="BV1359" s="16">
        <f>SUM(BQ1359:BU1359)</f>
        <v>0</v>
      </c>
      <c r="BX1359" s="6"/>
      <c r="BY1359" s="7"/>
      <c r="BZ1359" s="7"/>
      <c r="CA1359" s="7"/>
      <c r="CB1359" s="7"/>
      <c r="CC1359" s="16">
        <f>SUM(BX1359:CB1359)</f>
        <v>0</v>
      </c>
      <c r="CE1359" s="28">
        <f t="shared" si="6259"/>
        <v>0</v>
      </c>
      <c r="CF1359" s="29">
        <f t="shared" si="6260"/>
        <v>0</v>
      </c>
      <c r="CG1359" s="29">
        <f t="shared" si="6261"/>
        <v>0</v>
      </c>
      <c r="CH1359" s="29">
        <f t="shared" si="6262"/>
        <v>0</v>
      </c>
      <c r="CI1359" s="29">
        <f t="shared" si="6263"/>
        <v>0</v>
      </c>
      <c r="CJ1359" s="8">
        <f>SUM(CE1359:CI1359)</f>
        <v>0</v>
      </c>
      <c r="CL1359" s="6"/>
      <c r="CM1359" s="7"/>
      <c r="CN1359" s="7"/>
      <c r="CO1359" s="7"/>
      <c r="CP1359" s="7"/>
      <c r="CQ1359" s="16">
        <f>SUM(CL1359:CP1359)</f>
        <v>0</v>
      </c>
      <c r="CS1359" s="6"/>
      <c r="CT1359" s="7"/>
      <c r="CU1359" s="7"/>
      <c r="CV1359" s="7"/>
      <c r="CW1359" s="7"/>
      <c r="CX1359" s="8">
        <f t="shared" si="6268"/>
        <v>0</v>
      </c>
      <c r="CZ1359" s="6"/>
      <c r="DA1359" s="7"/>
      <c r="DB1359" s="7"/>
      <c r="DC1359" s="7"/>
      <c r="DD1359" s="7"/>
      <c r="DE1359" s="16">
        <f t="shared" si="6269"/>
        <v>0</v>
      </c>
    </row>
    <row r="1360" spans="2:110" ht="14" thickBot="1">
      <c r="C1360" s="567"/>
      <c r="E1360" s="14" t="s">
        <v>62</v>
      </c>
      <c r="F1360" s="23">
        <f t="shared" si="6264"/>
        <v>0</v>
      </c>
      <c r="G1360" s="24">
        <f t="shared" si="6255"/>
        <v>0</v>
      </c>
      <c r="H1360" s="24">
        <f t="shared" si="6256"/>
        <v>0</v>
      </c>
      <c r="I1360" s="24">
        <f t="shared" si="6257"/>
        <v>0</v>
      </c>
      <c r="J1360" s="24">
        <f t="shared" si="6258"/>
        <v>0</v>
      </c>
      <c r="K1360" s="16">
        <f t="shared" si="6265"/>
        <v>0</v>
      </c>
      <c r="M1360" s="6"/>
      <c r="N1360" s="7"/>
      <c r="O1360" s="7"/>
      <c r="P1360" s="7"/>
      <c r="Q1360" s="7"/>
      <c r="R1360" s="16">
        <f t="shared" si="6266"/>
        <v>0</v>
      </c>
      <c r="T1360" s="6"/>
      <c r="U1360" s="7"/>
      <c r="V1360" s="7"/>
      <c r="W1360" s="7"/>
      <c r="X1360" s="7"/>
      <c r="Y1360" s="16">
        <f t="shared" si="6267"/>
        <v>0</v>
      </c>
      <c r="AA1360" s="6"/>
      <c r="AB1360" s="7"/>
      <c r="AC1360" s="7"/>
      <c r="AD1360" s="7"/>
      <c r="AE1360" s="7"/>
      <c r="AF1360" s="16">
        <f>SUM(AA1360:AE1360)</f>
        <v>0</v>
      </c>
      <c r="AH1360" s="6"/>
      <c r="AI1360" s="7"/>
      <c r="AJ1360" s="7"/>
      <c r="AK1360" s="7"/>
      <c r="AL1360" s="7"/>
      <c r="AM1360" s="16">
        <f>SUM(AH1360:AL1360)</f>
        <v>0</v>
      </c>
      <c r="AO1360" s="6"/>
      <c r="AP1360" s="7"/>
      <c r="AQ1360" s="7"/>
      <c r="AR1360" s="7"/>
      <c r="AS1360" s="7"/>
      <c r="AT1360" s="16">
        <f>SUM(AO1360:AS1360)</f>
        <v>0</v>
      </c>
      <c r="AV1360" s="6"/>
      <c r="AW1360" s="7"/>
      <c r="AX1360" s="7"/>
      <c r="AY1360" s="7"/>
      <c r="AZ1360" s="7"/>
      <c r="BA1360" s="16">
        <f>SUM(AV1360:AZ1360)</f>
        <v>0</v>
      </c>
      <c r="BC1360" s="6"/>
      <c r="BD1360" s="7"/>
      <c r="BE1360" s="7"/>
      <c r="BF1360" s="7"/>
      <c r="BG1360" s="7"/>
      <c r="BH1360" s="16">
        <f>SUM(BC1360:BG1360)</f>
        <v>0</v>
      </c>
      <c r="BJ1360" s="6"/>
      <c r="BK1360" s="7"/>
      <c r="BL1360" s="7"/>
      <c r="BM1360" s="7"/>
      <c r="BN1360" s="7"/>
      <c r="BO1360" s="16">
        <f>SUM(BJ1360:BN1360)</f>
        <v>0</v>
      </c>
      <c r="BQ1360" s="6"/>
      <c r="BR1360" s="7"/>
      <c r="BS1360" s="7"/>
      <c r="BT1360" s="7"/>
      <c r="BU1360" s="7"/>
      <c r="BV1360" s="16">
        <f>SUM(BQ1360:BU1360)</f>
        <v>0</v>
      </c>
      <c r="BX1360" s="6"/>
      <c r="BY1360" s="7"/>
      <c r="BZ1360" s="7"/>
      <c r="CA1360" s="7"/>
      <c r="CB1360" s="7"/>
      <c r="CC1360" s="16">
        <f>SUM(BX1360:CB1360)</f>
        <v>0</v>
      </c>
      <c r="CE1360" s="493">
        <f t="shared" si="6259"/>
        <v>0</v>
      </c>
      <c r="CF1360" s="494">
        <f t="shared" si="6260"/>
        <v>0</v>
      </c>
      <c r="CG1360" s="494">
        <f t="shared" si="6261"/>
        <v>0</v>
      </c>
      <c r="CH1360" s="494">
        <f t="shared" si="6262"/>
        <v>0</v>
      </c>
      <c r="CI1360" s="494">
        <f t="shared" si="6263"/>
        <v>0</v>
      </c>
      <c r="CJ1360" s="495">
        <f>SUM(CE1360:CI1360)</f>
        <v>0</v>
      </c>
      <c r="CL1360" s="6"/>
      <c r="CM1360" s="7"/>
      <c r="CN1360" s="7"/>
      <c r="CO1360" s="7"/>
      <c r="CP1360" s="7"/>
      <c r="CQ1360" s="16">
        <f>SUM(CL1360:CP1360)</f>
        <v>0</v>
      </c>
      <c r="CS1360" s="6"/>
      <c r="CT1360" s="7"/>
      <c r="CU1360" s="7"/>
      <c r="CV1360" s="7"/>
      <c r="CW1360" s="7"/>
      <c r="CX1360" s="8">
        <f t="shared" si="6268"/>
        <v>0</v>
      </c>
      <c r="CZ1360" s="6"/>
      <c r="DA1360" s="7"/>
      <c r="DB1360" s="7"/>
      <c r="DC1360" s="7"/>
      <c r="DD1360" s="7"/>
      <c r="DE1360" s="16">
        <f t="shared" si="6269"/>
        <v>0</v>
      </c>
    </row>
    <row r="1361" spans="3:109" ht="14" thickBot="1">
      <c r="C1361" s="554"/>
      <c r="E1361" s="17"/>
      <c r="F1361" s="10">
        <f>SUM(F1357:F1360)</f>
        <v>0</v>
      </c>
      <c r="G1361" s="11">
        <f t="shared" ref="G1361:J1361" si="6270">SUM(G1357:G1360)</f>
        <v>0</v>
      </c>
      <c r="H1361" s="11">
        <f t="shared" si="6270"/>
        <v>0</v>
      </c>
      <c r="I1361" s="11">
        <f t="shared" si="6270"/>
        <v>0</v>
      </c>
      <c r="J1361" s="11">
        <f t="shared" si="6270"/>
        <v>0</v>
      </c>
      <c r="K1361" s="25">
        <f>SUM(K1357:K1360)</f>
        <v>0</v>
      </c>
      <c r="M1361" s="10">
        <f>SUM(M1357:M1360)</f>
        <v>0</v>
      </c>
      <c r="N1361" s="11">
        <f t="shared" ref="N1361:Q1361" si="6271">SUM(N1357:N1360)</f>
        <v>0</v>
      </c>
      <c r="O1361" s="11">
        <f t="shared" si="6271"/>
        <v>0</v>
      </c>
      <c r="P1361" s="11">
        <f t="shared" si="6271"/>
        <v>0</v>
      </c>
      <c r="Q1361" s="11">
        <f t="shared" si="6271"/>
        <v>0</v>
      </c>
      <c r="R1361" s="25">
        <f>SUM(R1357:R1360)</f>
        <v>0</v>
      </c>
      <c r="T1361" s="10">
        <f>SUM(T1357:T1360)</f>
        <v>0</v>
      </c>
      <c r="U1361" s="11">
        <f t="shared" ref="U1361:X1361" si="6272">SUM(U1357:U1360)</f>
        <v>0</v>
      </c>
      <c r="V1361" s="11">
        <f t="shared" si="6272"/>
        <v>0</v>
      </c>
      <c r="W1361" s="11">
        <f t="shared" si="6272"/>
        <v>0</v>
      </c>
      <c r="X1361" s="11">
        <f t="shared" si="6272"/>
        <v>0</v>
      </c>
      <c r="Y1361" s="25">
        <f>SUM(Y1357:Y1360)</f>
        <v>0</v>
      </c>
      <c r="AA1361" s="10">
        <f>SUM(AA1357:AA1360)</f>
        <v>0</v>
      </c>
      <c r="AB1361" s="11">
        <f t="shared" ref="AB1361:AE1361" si="6273">SUM(AB1357:AB1360)</f>
        <v>0</v>
      </c>
      <c r="AC1361" s="11">
        <f t="shared" si="6273"/>
        <v>0</v>
      </c>
      <c r="AD1361" s="11">
        <f t="shared" si="6273"/>
        <v>0</v>
      </c>
      <c r="AE1361" s="11">
        <f t="shared" si="6273"/>
        <v>0</v>
      </c>
      <c r="AF1361" s="25">
        <f>SUM(AF1357:AF1360)</f>
        <v>0</v>
      </c>
      <c r="AH1361" s="10">
        <f>SUM(AH1357:AH1360)</f>
        <v>0</v>
      </c>
      <c r="AI1361" s="11">
        <f t="shared" ref="AI1361:AL1361" si="6274">SUM(AI1357:AI1360)</f>
        <v>0</v>
      </c>
      <c r="AJ1361" s="11">
        <f t="shared" si="6274"/>
        <v>0</v>
      </c>
      <c r="AK1361" s="11">
        <f t="shared" si="6274"/>
        <v>0</v>
      </c>
      <c r="AL1361" s="11">
        <f t="shared" si="6274"/>
        <v>0</v>
      </c>
      <c r="AM1361" s="25">
        <f>SUM(AM1357:AM1360)</f>
        <v>0</v>
      </c>
      <c r="AO1361" s="10">
        <f>SUM(AO1357:AO1360)</f>
        <v>0</v>
      </c>
      <c r="AP1361" s="11">
        <f t="shared" ref="AP1361:AS1361" si="6275">SUM(AP1357:AP1360)</f>
        <v>0</v>
      </c>
      <c r="AQ1361" s="11">
        <f t="shared" si="6275"/>
        <v>0</v>
      </c>
      <c r="AR1361" s="11">
        <f t="shared" si="6275"/>
        <v>0</v>
      </c>
      <c r="AS1361" s="11">
        <f t="shared" si="6275"/>
        <v>0</v>
      </c>
      <c r="AT1361" s="25">
        <f>SUM(AT1357:AT1360)</f>
        <v>0</v>
      </c>
      <c r="AV1361" s="10">
        <f>SUM(AV1357:AV1360)</f>
        <v>0</v>
      </c>
      <c r="AW1361" s="11">
        <f t="shared" ref="AW1361:AZ1361" si="6276">SUM(AW1357:AW1360)</f>
        <v>0</v>
      </c>
      <c r="AX1361" s="11">
        <f t="shared" si="6276"/>
        <v>0</v>
      </c>
      <c r="AY1361" s="11">
        <f t="shared" si="6276"/>
        <v>0</v>
      </c>
      <c r="AZ1361" s="11">
        <f t="shared" si="6276"/>
        <v>0</v>
      </c>
      <c r="BA1361" s="25">
        <f>SUM(BA1357:BA1360)</f>
        <v>0</v>
      </c>
      <c r="BC1361" s="10">
        <f>SUM(BC1357:BC1360)</f>
        <v>0</v>
      </c>
      <c r="BD1361" s="11">
        <f t="shared" ref="BD1361:BG1361" si="6277">SUM(BD1357:BD1360)</f>
        <v>0</v>
      </c>
      <c r="BE1361" s="11">
        <f t="shared" si="6277"/>
        <v>0</v>
      </c>
      <c r="BF1361" s="11">
        <f t="shared" si="6277"/>
        <v>0</v>
      </c>
      <c r="BG1361" s="11">
        <f t="shared" si="6277"/>
        <v>0</v>
      </c>
      <c r="BH1361" s="25">
        <f>SUM(BH1357:BH1360)</f>
        <v>0</v>
      </c>
      <c r="BJ1361" s="10">
        <f>SUM(BJ1357:BJ1360)</f>
        <v>0</v>
      </c>
      <c r="BK1361" s="11">
        <f t="shared" ref="BK1361:BN1361" si="6278">SUM(BK1357:BK1360)</f>
        <v>0</v>
      </c>
      <c r="BL1361" s="11">
        <f t="shared" si="6278"/>
        <v>0</v>
      </c>
      <c r="BM1361" s="11">
        <f t="shared" si="6278"/>
        <v>0</v>
      </c>
      <c r="BN1361" s="11">
        <f t="shared" si="6278"/>
        <v>0</v>
      </c>
      <c r="BO1361" s="25">
        <f>SUM(BO1357:BO1360)</f>
        <v>0</v>
      </c>
      <c r="BQ1361" s="10">
        <f>SUM(BQ1357:BQ1360)</f>
        <v>0</v>
      </c>
      <c r="BR1361" s="11">
        <f t="shared" ref="BR1361:BU1361" si="6279">SUM(BR1357:BR1360)</f>
        <v>0</v>
      </c>
      <c r="BS1361" s="11">
        <f t="shared" si="6279"/>
        <v>0</v>
      </c>
      <c r="BT1361" s="11">
        <f t="shared" si="6279"/>
        <v>0</v>
      </c>
      <c r="BU1361" s="11">
        <f t="shared" si="6279"/>
        <v>0</v>
      </c>
      <c r="BV1361" s="25">
        <f>SUM(BV1357:BV1360)</f>
        <v>0</v>
      </c>
      <c r="BX1361" s="10">
        <f>SUM(BX1357:BX1360)</f>
        <v>0</v>
      </c>
      <c r="BY1361" s="11">
        <f t="shared" ref="BY1361:CB1361" si="6280">SUM(BY1357:BY1360)</f>
        <v>0</v>
      </c>
      <c r="BZ1361" s="11">
        <f t="shared" si="6280"/>
        <v>0</v>
      </c>
      <c r="CA1361" s="11">
        <f t="shared" si="6280"/>
        <v>0</v>
      </c>
      <c r="CB1361" s="11">
        <f t="shared" si="6280"/>
        <v>0</v>
      </c>
      <c r="CC1361" s="25">
        <f>SUM(CC1357:CC1360)</f>
        <v>0</v>
      </c>
      <c r="CE1361" s="62">
        <f t="shared" ref="CE1361:CJ1361" si="6281">SUM(CE1357:CE1360)</f>
        <v>0</v>
      </c>
      <c r="CF1361" s="63">
        <f t="shared" si="6281"/>
        <v>0</v>
      </c>
      <c r="CG1361" s="63">
        <f t="shared" si="6281"/>
        <v>0</v>
      </c>
      <c r="CH1361" s="63">
        <f t="shared" si="6281"/>
        <v>0</v>
      </c>
      <c r="CI1361" s="63">
        <f t="shared" si="6281"/>
        <v>0</v>
      </c>
      <c r="CJ1361" s="25">
        <f t="shared" si="6281"/>
        <v>0</v>
      </c>
      <c r="CL1361" s="10">
        <f>SUM(CL1357:CL1360)</f>
        <v>0</v>
      </c>
      <c r="CM1361" s="11">
        <f t="shared" ref="CM1361:CP1361" si="6282">SUM(CM1357:CM1360)</f>
        <v>0</v>
      </c>
      <c r="CN1361" s="11">
        <f t="shared" si="6282"/>
        <v>0</v>
      </c>
      <c r="CO1361" s="11">
        <f t="shared" si="6282"/>
        <v>0</v>
      </c>
      <c r="CP1361" s="11">
        <f t="shared" si="6282"/>
        <v>0</v>
      </c>
      <c r="CQ1361" s="25">
        <f>SUM(CQ1357:CQ1360)</f>
        <v>0</v>
      </c>
      <c r="CS1361" s="10">
        <f>SUM(CS1357:CS1360)</f>
        <v>0</v>
      </c>
      <c r="CT1361" s="11">
        <f t="shared" ref="CT1361:CW1361" si="6283">SUM(CT1357:CT1360)</f>
        <v>0</v>
      </c>
      <c r="CU1361" s="11">
        <f t="shared" si="6283"/>
        <v>0</v>
      </c>
      <c r="CV1361" s="11">
        <f t="shared" si="6283"/>
        <v>0</v>
      </c>
      <c r="CW1361" s="11">
        <f t="shared" si="6283"/>
        <v>0</v>
      </c>
      <c r="CX1361" s="25">
        <f>SUM(CX1357:CX1360)</f>
        <v>0</v>
      </c>
      <c r="CZ1361" s="10">
        <f>SUM(CZ1357:CZ1360)</f>
        <v>0</v>
      </c>
      <c r="DA1361" s="11">
        <f t="shared" ref="DA1361:DD1361" si="6284">SUM(DA1357:DA1360)</f>
        <v>0</v>
      </c>
      <c r="DB1361" s="11">
        <f t="shared" si="6284"/>
        <v>0</v>
      </c>
      <c r="DC1361" s="11">
        <f t="shared" si="6284"/>
        <v>0</v>
      </c>
      <c r="DD1361" s="11">
        <f t="shared" si="6284"/>
        <v>0</v>
      </c>
      <c r="DE1361" s="25">
        <f>SUM(DE1357:DE1360)</f>
        <v>0</v>
      </c>
    </row>
    <row r="1362" spans="3:109" ht="10.4" customHeight="1" thickBot="1"/>
    <row r="1363" spans="3:109">
      <c r="C1363" s="553">
        <v>2026</v>
      </c>
      <c r="E1363" s="1" t="s">
        <v>59</v>
      </c>
      <c r="F1363" s="21">
        <f>CE1357</f>
        <v>0</v>
      </c>
      <c r="G1363" s="22">
        <f t="shared" ref="G1363:G1366" si="6285">CF1357</f>
        <v>0</v>
      </c>
      <c r="H1363" s="22">
        <f t="shared" ref="H1363:H1366" si="6286">CG1357</f>
        <v>0</v>
      </c>
      <c r="I1363" s="22">
        <f t="shared" ref="I1363:I1366" si="6287">CH1357</f>
        <v>0</v>
      </c>
      <c r="J1363" s="22">
        <f t="shared" ref="J1363:J1366" si="6288">CI1357</f>
        <v>0</v>
      </c>
      <c r="K1363" s="4">
        <f>SUM(F1363:J1363)</f>
        <v>0</v>
      </c>
      <c r="M1363" s="2"/>
      <c r="N1363" s="3"/>
      <c r="O1363" s="3"/>
      <c r="P1363" s="3"/>
      <c r="Q1363" s="3"/>
      <c r="R1363" s="4">
        <f>SUM(M1363:Q1363)</f>
        <v>0</v>
      </c>
      <c r="T1363" s="2"/>
      <c r="U1363" s="3"/>
      <c r="V1363" s="3"/>
      <c r="W1363" s="3"/>
      <c r="X1363" s="3"/>
      <c r="Y1363" s="4">
        <f>SUM(T1363:X1363)</f>
        <v>0</v>
      </c>
      <c r="AA1363" s="2"/>
      <c r="AB1363" s="3"/>
      <c r="AC1363" s="3"/>
      <c r="AD1363" s="3"/>
      <c r="AE1363" s="3"/>
      <c r="AF1363" s="4">
        <f>SUM(AA1363:AE1363)</f>
        <v>0</v>
      </c>
      <c r="AH1363" s="2"/>
      <c r="AI1363" s="3"/>
      <c r="AJ1363" s="3"/>
      <c r="AK1363" s="3"/>
      <c r="AL1363" s="3"/>
      <c r="AM1363" s="4">
        <f>SUM(AH1363:AL1363)</f>
        <v>0</v>
      </c>
      <c r="AO1363" s="2"/>
      <c r="AP1363" s="3"/>
      <c r="AQ1363" s="3"/>
      <c r="AR1363" s="3"/>
      <c r="AS1363" s="3"/>
      <c r="AT1363" s="4">
        <f>SUM(AO1363:AS1363)</f>
        <v>0</v>
      </c>
      <c r="AV1363" s="2"/>
      <c r="AW1363" s="3"/>
      <c r="AX1363" s="3"/>
      <c r="AY1363" s="3"/>
      <c r="AZ1363" s="3"/>
      <c r="BA1363" s="4">
        <f>SUM(AV1363:AZ1363)</f>
        <v>0</v>
      </c>
      <c r="BC1363" s="2"/>
      <c r="BD1363" s="3"/>
      <c r="BE1363" s="3"/>
      <c r="BF1363" s="3"/>
      <c r="BG1363" s="3"/>
      <c r="BH1363" s="4">
        <f>SUM(BC1363:BG1363)</f>
        <v>0</v>
      </c>
      <c r="BJ1363" s="2"/>
      <c r="BK1363" s="3"/>
      <c r="BL1363" s="3"/>
      <c r="BM1363" s="3"/>
      <c r="BN1363" s="3"/>
      <c r="BO1363" s="4">
        <f>SUM(BJ1363:BN1363)</f>
        <v>0</v>
      </c>
      <c r="BQ1363" s="2"/>
      <c r="BR1363" s="3"/>
      <c r="BS1363" s="3"/>
      <c r="BT1363" s="3"/>
      <c r="BU1363" s="3"/>
      <c r="BV1363" s="4">
        <f>SUM(BQ1363:BU1363)</f>
        <v>0</v>
      </c>
      <c r="BX1363" s="2"/>
      <c r="BY1363" s="3"/>
      <c r="BZ1363" s="3"/>
      <c r="CA1363" s="3"/>
      <c r="CB1363" s="3"/>
      <c r="CC1363" s="4">
        <f>SUM(BX1363:CB1363)</f>
        <v>0</v>
      </c>
      <c r="CE1363" s="26">
        <f t="shared" ref="CE1363:CE1366" si="6289">F1363+M1363+T1363+AA1363+AH1363+AO1363+AV1363+BC1363+BJ1363+BQ1363+BX1363</f>
        <v>0</v>
      </c>
      <c r="CF1363" s="27">
        <f t="shared" ref="CF1363:CF1366" si="6290">G1363+N1363+U1363+AB1363+AI1363+AP1363+AW1363+BD1363+BK1363+BR1363+BY1363</f>
        <v>0</v>
      </c>
      <c r="CG1363" s="27">
        <f t="shared" ref="CG1363:CG1366" si="6291">H1363+O1363+V1363+AC1363+AJ1363+AQ1363+AX1363+BE1363+BL1363+BS1363+BZ1363</f>
        <v>0</v>
      </c>
      <c r="CH1363" s="27">
        <f t="shared" ref="CH1363:CH1366" si="6292">I1363+P1363+W1363+AD1363+AK1363+AR1363+AY1363+BF1363+BM1363+BT1363+CA1363</f>
        <v>0</v>
      </c>
      <c r="CI1363" s="27">
        <f t="shared" ref="CI1363:CI1366" si="6293">J1363+Q1363+X1363+AE1363+AL1363+AS1363+AZ1363+BG1363+BN1363+BU1363+CB1363</f>
        <v>0</v>
      </c>
      <c r="CJ1363" s="4">
        <f>SUM(CE1363:CI1363)</f>
        <v>0</v>
      </c>
      <c r="CL1363" s="2"/>
      <c r="CM1363" s="3"/>
      <c r="CN1363" s="3"/>
      <c r="CO1363" s="3"/>
      <c r="CP1363" s="3"/>
      <c r="CQ1363" s="4">
        <f>SUM(CL1363:CP1363)</f>
        <v>0</v>
      </c>
      <c r="CS1363" s="2"/>
      <c r="CT1363" s="3"/>
      <c r="CU1363" s="3"/>
      <c r="CV1363" s="3"/>
      <c r="CW1363" s="3"/>
      <c r="CX1363" s="4">
        <f>SUM(CS1363:CW1363)</f>
        <v>0</v>
      </c>
      <c r="CZ1363" s="2"/>
      <c r="DA1363" s="3"/>
      <c r="DB1363" s="3"/>
      <c r="DC1363" s="3"/>
      <c r="DD1363" s="3"/>
      <c r="DE1363" s="4">
        <f>SUM(CZ1363:DD1363)</f>
        <v>0</v>
      </c>
    </row>
    <row r="1364" spans="3:109">
      <c r="C1364" s="567"/>
      <c r="E1364" s="5" t="s">
        <v>60</v>
      </c>
      <c r="F1364" s="23">
        <f t="shared" ref="F1364:F1366" si="6294">CE1358</f>
        <v>0</v>
      </c>
      <c r="G1364" s="24">
        <f t="shared" si="6285"/>
        <v>0</v>
      </c>
      <c r="H1364" s="24">
        <f t="shared" si="6286"/>
        <v>0</v>
      </c>
      <c r="I1364" s="24">
        <f t="shared" si="6287"/>
        <v>0</v>
      </c>
      <c r="J1364" s="24">
        <f t="shared" si="6288"/>
        <v>0</v>
      </c>
      <c r="K1364" s="8">
        <f t="shared" ref="K1364:K1366" si="6295">SUM(F1364:J1364)</f>
        <v>0</v>
      </c>
      <c r="M1364" s="6"/>
      <c r="N1364" s="7"/>
      <c r="O1364" s="7"/>
      <c r="P1364" s="7"/>
      <c r="Q1364" s="7"/>
      <c r="R1364" s="8">
        <f t="shared" ref="R1364:R1366" si="6296">SUM(M1364:Q1364)</f>
        <v>0</v>
      </c>
      <c r="T1364" s="6"/>
      <c r="U1364" s="7"/>
      <c r="V1364" s="7"/>
      <c r="W1364" s="7"/>
      <c r="X1364" s="7"/>
      <c r="Y1364" s="8">
        <f t="shared" ref="Y1364:Y1366" si="6297">SUM(T1364:X1364)</f>
        <v>0</v>
      </c>
      <c r="AA1364" s="6"/>
      <c r="AB1364" s="7"/>
      <c r="AC1364" s="7"/>
      <c r="AD1364" s="7"/>
      <c r="AE1364" s="7"/>
      <c r="AF1364" s="8">
        <f>SUM(AA1364:AE1364)</f>
        <v>0</v>
      </c>
      <c r="AH1364" s="6"/>
      <c r="AI1364" s="7"/>
      <c r="AJ1364" s="7"/>
      <c r="AK1364" s="7"/>
      <c r="AL1364" s="7"/>
      <c r="AM1364" s="8">
        <f>SUM(AH1364:AL1364)</f>
        <v>0</v>
      </c>
      <c r="AO1364" s="6"/>
      <c r="AP1364" s="7"/>
      <c r="AQ1364" s="7"/>
      <c r="AR1364" s="7"/>
      <c r="AS1364" s="7"/>
      <c r="AT1364" s="8">
        <f>SUM(AO1364:AS1364)</f>
        <v>0</v>
      </c>
      <c r="AV1364" s="6"/>
      <c r="AW1364" s="7"/>
      <c r="AX1364" s="7"/>
      <c r="AY1364" s="7"/>
      <c r="AZ1364" s="7"/>
      <c r="BA1364" s="8">
        <f>SUM(AV1364:AZ1364)</f>
        <v>0</v>
      </c>
      <c r="BC1364" s="6"/>
      <c r="BD1364" s="7"/>
      <c r="BE1364" s="7"/>
      <c r="BF1364" s="7"/>
      <c r="BG1364" s="7"/>
      <c r="BH1364" s="8">
        <f>SUM(BC1364:BG1364)</f>
        <v>0</v>
      </c>
      <c r="BJ1364" s="6"/>
      <c r="BK1364" s="7"/>
      <c r="BL1364" s="7"/>
      <c r="BM1364" s="7"/>
      <c r="BN1364" s="7"/>
      <c r="BO1364" s="8">
        <f>SUM(BJ1364:BN1364)</f>
        <v>0</v>
      </c>
      <c r="BQ1364" s="6"/>
      <c r="BR1364" s="7"/>
      <c r="BS1364" s="7"/>
      <c r="BT1364" s="7"/>
      <c r="BU1364" s="7"/>
      <c r="BV1364" s="8">
        <f>SUM(BQ1364:BU1364)</f>
        <v>0</v>
      </c>
      <c r="BX1364" s="6"/>
      <c r="BY1364" s="7"/>
      <c r="BZ1364" s="7"/>
      <c r="CA1364" s="7"/>
      <c r="CB1364" s="7"/>
      <c r="CC1364" s="8">
        <f>SUM(BX1364:CB1364)</f>
        <v>0</v>
      </c>
      <c r="CE1364" s="28">
        <f t="shared" si="6289"/>
        <v>0</v>
      </c>
      <c r="CF1364" s="29">
        <f t="shared" si="6290"/>
        <v>0</v>
      </c>
      <c r="CG1364" s="29">
        <f t="shared" si="6291"/>
        <v>0</v>
      </c>
      <c r="CH1364" s="29">
        <f t="shared" si="6292"/>
        <v>0</v>
      </c>
      <c r="CI1364" s="29">
        <f t="shared" si="6293"/>
        <v>0</v>
      </c>
      <c r="CJ1364" s="8">
        <f>SUM(CE1364:CI1364)</f>
        <v>0</v>
      </c>
      <c r="CL1364" s="6"/>
      <c r="CM1364" s="7"/>
      <c r="CN1364" s="7"/>
      <c r="CO1364" s="7"/>
      <c r="CP1364" s="7"/>
      <c r="CQ1364" s="8">
        <f>SUM(CL1364:CP1364)</f>
        <v>0</v>
      </c>
      <c r="CS1364" s="6"/>
      <c r="CT1364" s="7"/>
      <c r="CU1364" s="7"/>
      <c r="CV1364" s="7"/>
      <c r="CW1364" s="7"/>
      <c r="CX1364" s="8">
        <f t="shared" ref="CX1364:CX1366" si="6298">SUM(CS1364:CW1364)</f>
        <v>0</v>
      </c>
      <c r="CZ1364" s="6"/>
      <c r="DA1364" s="7"/>
      <c r="DB1364" s="7"/>
      <c r="DC1364" s="7"/>
      <c r="DD1364" s="7"/>
      <c r="DE1364" s="8">
        <f t="shared" ref="DE1364:DE1366" si="6299">SUM(CZ1364:DD1364)</f>
        <v>0</v>
      </c>
    </row>
    <row r="1365" spans="3:109">
      <c r="C1365" s="567"/>
      <c r="E1365" s="5" t="s">
        <v>61</v>
      </c>
      <c r="F1365" s="23">
        <f t="shared" si="6294"/>
        <v>0</v>
      </c>
      <c r="G1365" s="24">
        <f t="shared" si="6285"/>
        <v>0</v>
      </c>
      <c r="H1365" s="24">
        <f t="shared" si="6286"/>
        <v>0</v>
      </c>
      <c r="I1365" s="24">
        <f t="shared" si="6287"/>
        <v>0</v>
      </c>
      <c r="J1365" s="24">
        <f t="shared" si="6288"/>
        <v>0</v>
      </c>
      <c r="K1365" s="8">
        <f t="shared" si="6295"/>
        <v>0</v>
      </c>
      <c r="M1365" s="6"/>
      <c r="N1365" s="7"/>
      <c r="O1365" s="7"/>
      <c r="P1365" s="7"/>
      <c r="Q1365" s="7"/>
      <c r="R1365" s="8">
        <f t="shared" si="6296"/>
        <v>0</v>
      </c>
      <c r="T1365" s="6"/>
      <c r="U1365" s="7"/>
      <c r="V1365" s="7"/>
      <c r="W1365" s="7"/>
      <c r="X1365" s="7"/>
      <c r="Y1365" s="8">
        <f t="shared" si="6297"/>
        <v>0</v>
      </c>
      <c r="AA1365" s="6"/>
      <c r="AB1365" s="7"/>
      <c r="AC1365" s="7"/>
      <c r="AD1365" s="7"/>
      <c r="AE1365" s="7"/>
      <c r="AF1365" s="8">
        <f>SUM(AA1365:AE1365)</f>
        <v>0</v>
      </c>
      <c r="AH1365" s="6"/>
      <c r="AI1365" s="7"/>
      <c r="AJ1365" s="7"/>
      <c r="AK1365" s="7"/>
      <c r="AL1365" s="7"/>
      <c r="AM1365" s="8">
        <f>SUM(AH1365:AL1365)</f>
        <v>0</v>
      </c>
      <c r="AO1365" s="6"/>
      <c r="AP1365" s="7"/>
      <c r="AQ1365" s="7"/>
      <c r="AR1365" s="7"/>
      <c r="AS1365" s="7"/>
      <c r="AT1365" s="8">
        <f>SUM(AO1365:AS1365)</f>
        <v>0</v>
      </c>
      <c r="AV1365" s="6"/>
      <c r="AW1365" s="7"/>
      <c r="AX1365" s="7"/>
      <c r="AY1365" s="7"/>
      <c r="AZ1365" s="7"/>
      <c r="BA1365" s="8">
        <f>SUM(AV1365:AZ1365)</f>
        <v>0</v>
      </c>
      <c r="BC1365" s="6"/>
      <c r="BD1365" s="7"/>
      <c r="BE1365" s="7"/>
      <c r="BF1365" s="7"/>
      <c r="BG1365" s="7"/>
      <c r="BH1365" s="8">
        <f>SUM(BC1365:BG1365)</f>
        <v>0</v>
      </c>
      <c r="BJ1365" s="6"/>
      <c r="BK1365" s="7"/>
      <c r="BL1365" s="7"/>
      <c r="BM1365" s="7"/>
      <c r="BN1365" s="7"/>
      <c r="BO1365" s="8">
        <f>SUM(BJ1365:BN1365)</f>
        <v>0</v>
      </c>
      <c r="BQ1365" s="6"/>
      <c r="BR1365" s="7"/>
      <c r="BS1365" s="7"/>
      <c r="BT1365" s="7"/>
      <c r="BU1365" s="7"/>
      <c r="BV1365" s="8">
        <f>SUM(BQ1365:BU1365)</f>
        <v>0</v>
      </c>
      <c r="BX1365" s="6"/>
      <c r="BY1365" s="7"/>
      <c r="BZ1365" s="7"/>
      <c r="CA1365" s="7"/>
      <c r="CB1365" s="7"/>
      <c r="CC1365" s="8">
        <f>SUM(BX1365:CB1365)</f>
        <v>0</v>
      </c>
      <c r="CE1365" s="28">
        <f t="shared" si="6289"/>
        <v>0</v>
      </c>
      <c r="CF1365" s="29">
        <f t="shared" si="6290"/>
        <v>0</v>
      </c>
      <c r="CG1365" s="29">
        <f t="shared" si="6291"/>
        <v>0</v>
      </c>
      <c r="CH1365" s="29">
        <f t="shared" si="6292"/>
        <v>0</v>
      </c>
      <c r="CI1365" s="29">
        <f t="shared" si="6293"/>
        <v>0</v>
      </c>
      <c r="CJ1365" s="8">
        <f>SUM(CE1365:CI1365)</f>
        <v>0</v>
      </c>
      <c r="CL1365" s="6"/>
      <c r="CM1365" s="7"/>
      <c r="CN1365" s="7"/>
      <c r="CO1365" s="7"/>
      <c r="CP1365" s="7"/>
      <c r="CQ1365" s="8">
        <f>SUM(CL1365:CP1365)</f>
        <v>0</v>
      </c>
      <c r="CS1365" s="6"/>
      <c r="CT1365" s="7"/>
      <c r="CU1365" s="7"/>
      <c r="CV1365" s="7"/>
      <c r="CW1365" s="7"/>
      <c r="CX1365" s="8">
        <f t="shared" si="6298"/>
        <v>0</v>
      </c>
      <c r="CZ1365" s="6"/>
      <c r="DA1365" s="7"/>
      <c r="DB1365" s="7"/>
      <c r="DC1365" s="7"/>
      <c r="DD1365" s="7"/>
      <c r="DE1365" s="8">
        <f t="shared" si="6299"/>
        <v>0</v>
      </c>
    </row>
    <row r="1366" spans="3:109" ht="14" thickBot="1">
      <c r="C1366" s="567"/>
      <c r="E1366" s="5" t="s">
        <v>62</v>
      </c>
      <c r="F1366" s="23">
        <f t="shared" si="6294"/>
        <v>0</v>
      </c>
      <c r="G1366" s="24">
        <f t="shared" si="6285"/>
        <v>0</v>
      </c>
      <c r="H1366" s="24">
        <f t="shared" si="6286"/>
        <v>0</v>
      </c>
      <c r="I1366" s="24">
        <f t="shared" si="6287"/>
        <v>0</v>
      </c>
      <c r="J1366" s="24">
        <f t="shared" si="6288"/>
        <v>0</v>
      </c>
      <c r="K1366" s="8">
        <f t="shared" si="6295"/>
        <v>0</v>
      </c>
      <c r="M1366" s="6"/>
      <c r="N1366" s="7"/>
      <c r="O1366" s="7"/>
      <c r="P1366" s="7"/>
      <c r="Q1366" s="7"/>
      <c r="R1366" s="8">
        <f t="shared" si="6296"/>
        <v>0</v>
      </c>
      <c r="T1366" s="6"/>
      <c r="U1366" s="7"/>
      <c r="V1366" s="7"/>
      <c r="W1366" s="7"/>
      <c r="X1366" s="7"/>
      <c r="Y1366" s="8">
        <f t="shared" si="6297"/>
        <v>0</v>
      </c>
      <c r="AA1366" s="6"/>
      <c r="AB1366" s="7"/>
      <c r="AC1366" s="7"/>
      <c r="AD1366" s="7"/>
      <c r="AE1366" s="7"/>
      <c r="AF1366" s="8">
        <f>SUM(AA1366:AE1366)</f>
        <v>0</v>
      </c>
      <c r="AH1366" s="6"/>
      <c r="AI1366" s="7"/>
      <c r="AJ1366" s="7"/>
      <c r="AK1366" s="7"/>
      <c r="AL1366" s="7"/>
      <c r="AM1366" s="8">
        <f>SUM(AH1366:AL1366)</f>
        <v>0</v>
      </c>
      <c r="AO1366" s="6"/>
      <c r="AP1366" s="7"/>
      <c r="AQ1366" s="7"/>
      <c r="AR1366" s="7"/>
      <c r="AS1366" s="7"/>
      <c r="AT1366" s="8">
        <f>SUM(AO1366:AS1366)</f>
        <v>0</v>
      </c>
      <c r="AV1366" s="6"/>
      <c r="AW1366" s="7"/>
      <c r="AX1366" s="7"/>
      <c r="AY1366" s="7"/>
      <c r="AZ1366" s="7"/>
      <c r="BA1366" s="8">
        <f>SUM(AV1366:AZ1366)</f>
        <v>0</v>
      </c>
      <c r="BC1366" s="6"/>
      <c r="BD1366" s="7"/>
      <c r="BE1366" s="7"/>
      <c r="BF1366" s="7"/>
      <c r="BG1366" s="7"/>
      <c r="BH1366" s="8">
        <f>SUM(BC1366:BG1366)</f>
        <v>0</v>
      </c>
      <c r="BJ1366" s="6"/>
      <c r="BK1366" s="7"/>
      <c r="BL1366" s="7"/>
      <c r="BM1366" s="7"/>
      <c r="BN1366" s="7"/>
      <c r="BO1366" s="8">
        <f>SUM(BJ1366:BN1366)</f>
        <v>0</v>
      </c>
      <c r="BQ1366" s="6"/>
      <c r="BR1366" s="7"/>
      <c r="BS1366" s="7"/>
      <c r="BT1366" s="7"/>
      <c r="BU1366" s="7"/>
      <c r="BV1366" s="8">
        <f>SUM(BQ1366:BU1366)</f>
        <v>0</v>
      </c>
      <c r="BX1366" s="6"/>
      <c r="BY1366" s="7"/>
      <c r="BZ1366" s="7"/>
      <c r="CA1366" s="7"/>
      <c r="CB1366" s="7"/>
      <c r="CC1366" s="8">
        <f>SUM(BX1366:CB1366)</f>
        <v>0</v>
      </c>
      <c r="CE1366" s="493">
        <f t="shared" si="6289"/>
        <v>0</v>
      </c>
      <c r="CF1366" s="494">
        <f t="shared" si="6290"/>
        <v>0</v>
      </c>
      <c r="CG1366" s="494">
        <f t="shared" si="6291"/>
        <v>0</v>
      </c>
      <c r="CH1366" s="494">
        <f t="shared" si="6292"/>
        <v>0</v>
      </c>
      <c r="CI1366" s="494">
        <f t="shared" si="6293"/>
        <v>0</v>
      </c>
      <c r="CJ1366" s="495">
        <f>SUM(CE1366:CI1366)</f>
        <v>0</v>
      </c>
      <c r="CL1366" s="6"/>
      <c r="CM1366" s="7"/>
      <c r="CN1366" s="7"/>
      <c r="CO1366" s="7"/>
      <c r="CP1366" s="7"/>
      <c r="CQ1366" s="8">
        <f>SUM(CL1366:CP1366)</f>
        <v>0</v>
      </c>
      <c r="CS1366" s="6"/>
      <c r="CT1366" s="7"/>
      <c r="CU1366" s="7"/>
      <c r="CV1366" s="7"/>
      <c r="CW1366" s="7"/>
      <c r="CX1366" s="8">
        <f t="shared" si="6298"/>
        <v>0</v>
      </c>
      <c r="CZ1366" s="6"/>
      <c r="DA1366" s="7"/>
      <c r="DB1366" s="7"/>
      <c r="DC1366" s="7"/>
      <c r="DD1366" s="7"/>
      <c r="DE1366" s="8">
        <f t="shared" si="6299"/>
        <v>0</v>
      </c>
    </row>
    <row r="1367" spans="3:109" ht="14" thickBot="1">
      <c r="C1367" s="554"/>
      <c r="E1367" s="9"/>
      <c r="F1367" s="10">
        <f>SUM(F1363:F1366)</f>
        <v>0</v>
      </c>
      <c r="G1367" s="11">
        <f t="shared" ref="G1367:J1367" si="6300">SUM(G1363:G1366)</f>
        <v>0</v>
      </c>
      <c r="H1367" s="11">
        <f t="shared" si="6300"/>
        <v>0</v>
      </c>
      <c r="I1367" s="11">
        <f t="shared" si="6300"/>
        <v>0</v>
      </c>
      <c r="J1367" s="11">
        <f t="shared" si="6300"/>
        <v>0</v>
      </c>
      <c r="K1367" s="25">
        <f>SUM(K1363:K1366)</f>
        <v>0</v>
      </c>
      <c r="M1367" s="10">
        <f>SUM(M1363:M1366)</f>
        <v>0</v>
      </c>
      <c r="N1367" s="11">
        <f t="shared" ref="N1367:Q1367" si="6301">SUM(N1363:N1366)</f>
        <v>0</v>
      </c>
      <c r="O1367" s="11">
        <f t="shared" si="6301"/>
        <v>0</v>
      </c>
      <c r="P1367" s="11">
        <f t="shared" si="6301"/>
        <v>0</v>
      </c>
      <c r="Q1367" s="11">
        <f t="shared" si="6301"/>
        <v>0</v>
      </c>
      <c r="R1367" s="25">
        <f>SUM(R1363:R1366)</f>
        <v>0</v>
      </c>
      <c r="T1367" s="10">
        <f>SUM(T1363:T1366)</f>
        <v>0</v>
      </c>
      <c r="U1367" s="11">
        <f t="shared" ref="U1367:X1367" si="6302">SUM(U1363:U1366)</f>
        <v>0</v>
      </c>
      <c r="V1367" s="11">
        <f t="shared" si="6302"/>
        <v>0</v>
      </c>
      <c r="W1367" s="11">
        <f t="shared" si="6302"/>
        <v>0</v>
      </c>
      <c r="X1367" s="11">
        <f t="shared" si="6302"/>
        <v>0</v>
      </c>
      <c r="Y1367" s="25">
        <f>SUM(Y1363:Y1366)</f>
        <v>0</v>
      </c>
      <c r="AA1367" s="10">
        <f>SUM(AA1363:AA1366)</f>
        <v>0</v>
      </c>
      <c r="AB1367" s="11">
        <f t="shared" ref="AB1367:AE1367" si="6303">SUM(AB1363:AB1366)</f>
        <v>0</v>
      </c>
      <c r="AC1367" s="11">
        <f t="shared" si="6303"/>
        <v>0</v>
      </c>
      <c r="AD1367" s="11">
        <f t="shared" si="6303"/>
        <v>0</v>
      </c>
      <c r="AE1367" s="11">
        <f t="shared" si="6303"/>
        <v>0</v>
      </c>
      <c r="AF1367" s="25">
        <f>SUM(AF1363:AF1366)</f>
        <v>0</v>
      </c>
      <c r="AH1367" s="10">
        <f>SUM(AH1363:AH1366)</f>
        <v>0</v>
      </c>
      <c r="AI1367" s="11">
        <f t="shared" ref="AI1367:AL1367" si="6304">SUM(AI1363:AI1366)</f>
        <v>0</v>
      </c>
      <c r="AJ1367" s="11">
        <f t="shared" si="6304"/>
        <v>0</v>
      </c>
      <c r="AK1367" s="11">
        <f t="shared" si="6304"/>
        <v>0</v>
      </c>
      <c r="AL1367" s="11">
        <f t="shared" si="6304"/>
        <v>0</v>
      </c>
      <c r="AM1367" s="25">
        <f>SUM(AM1363:AM1366)</f>
        <v>0</v>
      </c>
      <c r="AO1367" s="10">
        <f>SUM(AO1363:AO1366)</f>
        <v>0</v>
      </c>
      <c r="AP1367" s="11">
        <f t="shared" ref="AP1367:AS1367" si="6305">SUM(AP1363:AP1366)</f>
        <v>0</v>
      </c>
      <c r="AQ1367" s="11">
        <f t="shared" si="6305"/>
        <v>0</v>
      </c>
      <c r="AR1367" s="11">
        <f t="shared" si="6305"/>
        <v>0</v>
      </c>
      <c r="AS1367" s="11">
        <f t="shared" si="6305"/>
        <v>0</v>
      </c>
      <c r="AT1367" s="25">
        <f>SUM(AT1363:AT1366)</f>
        <v>0</v>
      </c>
      <c r="AV1367" s="10">
        <f>SUM(AV1363:AV1366)</f>
        <v>0</v>
      </c>
      <c r="AW1367" s="11">
        <f t="shared" ref="AW1367:AZ1367" si="6306">SUM(AW1363:AW1366)</f>
        <v>0</v>
      </c>
      <c r="AX1367" s="11">
        <f t="shared" si="6306"/>
        <v>0</v>
      </c>
      <c r="AY1367" s="11">
        <f t="shared" si="6306"/>
        <v>0</v>
      </c>
      <c r="AZ1367" s="11">
        <f t="shared" si="6306"/>
        <v>0</v>
      </c>
      <c r="BA1367" s="25">
        <f>SUM(BA1363:BA1366)</f>
        <v>0</v>
      </c>
      <c r="BC1367" s="10">
        <f>SUM(BC1363:BC1366)</f>
        <v>0</v>
      </c>
      <c r="BD1367" s="11">
        <f t="shared" ref="BD1367:BG1367" si="6307">SUM(BD1363:BD1366)</f>
        <v>0</v>
      </c>
      <c r="BE1367" s="11">
        <f t="shared" si="6307"/>
        <v>0</v>
      </c>
      <c r="BF1367" s="11">
        <f t="shared" si="6307"/>
        <v>0</v>
      </c>
      <c r="BG1367" s="11">
        <f t="shared" si="6307"/>
        <v>0</v>
      </c>
      <c r="BH1367" s="25">
        <f>SUM(BH1363:BH1366)</f>
        <v>0</v>
      </c>
      <c r="BJ1367" s="10">
        <f>SUM(BJ1363:BJ1366)</f>
        <v>0</v>
      </c>
      <c r="BK1367" s="11">
        <f t="shared" ref="BK1367:BN1367" si="6308">SUM(BK1363:BK1366)</f>
        <v>0</v>
      </c>
      <c r="BL1367" s="11">
        <f t="shared" si="6308"/>
        <v>0</v>
      </c>
      <c r="BM1367" s="11">
        <f t="shared" si="6308"/>
        <v>0</v>
      </c>
      <c r="BN1367" s="11">
        <f t="shared" si="6308"/>
        <v>0</v>
      </c>
      <c r="BO1367" s="25">
        <f>SUM(BO1363:BO1366)</f>
        <v>0</v>
      </c>
      <c r="BQ1367" s="10">
        <f>SUM(BQ1363:BQ1366)</f>
        <v>0</v>
      </c>
      <c r="BR1367" s="11">
        <f t="shared" ref="BR1367:BU1367" si="6309">SUM(BR1363:BR1366)</f>
        <v>0</v>
      </c>
      <c r="BS1367" s="11">
        <f t="shared" si="6309"/>
        <v>0</v>
      </c>
      <c r="BT1367" s="11">
        <f t="shared" si="6309"/>
        <v>0</v>
      </c>
      <c r="BU1367" s="11">
        <f t="shared" si="6309"/>
        <v>0</v>
      </c>
      <c r="BV1367" s="25">
        <f>SUM(BV1363:BV1366)</f>
        <v>0</v>
      </c>
      <c r="BX1367" s="10">
        <f>SUM(BX1363:BX1366)</f>
        <v>0</v>
      </c>
      <c r="BY1367" s="11">
        <f t="shared" ref="BY1367:CB1367" si="6310">SUM(BY1363:BY1366)</f>
        <v>0</v>
      </c>
      <c r="BZ1367" s="11">
        <f t="shared" si="6310"/>
        <v>0</v>
      </c>
      <c r="CA1367" s="11">
        <f t="shared" si="6310"/>
        <v>0</v>
      </c>
      <c r="CB1367" s="11">
        <f t="shared" si="6310"/>
        <v>0</v>
      </c>
      <c r="CC1367" s="25">
        <f>SUM(CC1363:CC1366)</f>
        <v>0</v>
      </c>
      <c r="CE1367" s="62">
        <f t="shared" ref="CE1367:CJ1367" si="6311">SUM(CE1363:CE1366)</f>
        <v>0</v>
      </c>
      <c r="CF1367" s="63">
        <f t="shared" si="6311"/>
        <v>0</v>
      </c>
      <c r="CG1367" s="63">
        <f t="shared" si="6311"/>
        <v>0</v>
      </c>
      <c r="CH1367" s="63">
        <f t="shared" si="6311"/>
        <v>0</v>
      </c>
      <c r="CI1367" s="63">
        <f t="shared" si="6311"/>
        <v>0</v>
      </c>
      <c r="CJ1367" s="25">
        <f t="shared" si="6311"/>
        <v>0</v>
      </c>
      <c r="CL1367" s="10">
        <f>SUM(CL1363:CL1366)</f>
        <v>0</v>
      </c>
      <c r="CM1367" s="11">
        <f t="shared" ref="CM1367:CP1367" si="6312">SUM(CM1363:CM1366)</f>
        <v>0</v>
      </c>
      <c r="CN1367" s="11">
        <f t="shared" si="6312"/>
        <v>0</v>
      </c>
      <c r="CO1367" s="11">
        <f t="shared" si="6312"/>
        <v>0</v>
      </c>
      <c r="CP1367" s="11">
        <f t="shared" si="6312"/>
        <v>0</v>
      </c>
      <c r="CQ1367" s="25">
        <f>SUM(CQ1363:CQ1366)</f>
        <v>0</v>
      </c>
      <c r="CS1367" s="10">
        <f>SUM(CS1363:CS1366)</f>
        <v>0</v>
      </c>
      <c r="CT1367" s="11">
        <f t="shared" ref="CT1367:CW1367" si="6313">SUM(CT1363:CT1366)</f>
        <v>0</v>
      </c>
      <c r="CU1367" s="11">
        <f t="shared" si="6313"/>
        <v>0</v>
      </c>
      <c r="CV1367" s="11">
        <f t="shared" si="6313"/>
        <v>0</v>
      </c>
      <c r="CW1367" s="11">
        <f t="shared" si="6313"/>
        <v>0</v>
      </c>
      <c r="CX1367" s="25">
        <f>SUM(CX1363:CX1366)</f>
        <v>0</v>
      </c>
      <c r="CZ1367" s="10">
        <f>SUM(CZ1363:CZ1366)</f>
        <v>0</v>
      </c>
      <c r="DA1367" s="11">
        <f t="shared" ref="DA1367:DD1367" si="6314">SUM(DA1363:DA1366)</f>
        <v>0</v>
      </c>
      <c r="DB1367" s="11">
        <f t="shared" si="6314"/>
        <v>0</v>
      </c>
      <c r="DC1367" s="11">
        <f t="shared" si="6314"/>
        <v>0</v>
      </c>
      <c r="DD1367" s="11">
        <f t="shared" si="6314"/>
        <v>0</v>
      </c>
      <c r="DE1367" s="25">
        <f>SUM(DE1363:DE1366)</f>
        <v>0</v>
      </c>
    </row>
    <row r="1368" spans="3:109" ht="10.4" customHeight="1" thickBot="1"/>
    <row r="1369" spans="3:109">
      <c r="C1369" s="553">
        <v>2027</v>
      </c>
      <c r="E1369" s="1" t="s">
        <v>59</v>
      </c>
      <c r="F1369" s="21">
        <f>CE1363</f>
        <v>0</v>
      </c>
      <c r="G1369" s="22">
        <f t="shared" ref="G1369:G1372" si="6315">CF1363</f>
        <v>0</v>
      </c>
      <c r="H1369" s="22">
        <f t="shared" ref="H1369:H1372" si="6316">CG1363</f>
        <v>0</v>
      </c>
      <c r="I1369" s="22">
        <f t="shared" ref="I1369:I1372" si="6317">CH1363</f>
        <v>0</v>
      </c>
      <c r="J1369" s="22">
        <f t="shared" ref="J1369:J1372" si="6318">CI1363</f>
        <v>0</v>
      </c>
      <c r="K1369" s="4">
        <f>SUM(F1369:J1369)</f>
        <v>0</v>
      </c>
      <c r="M1369" s="2"/>
      <c r="N1369" s="3"/>
      <c r="O1369" s="3"/>
      <c r="P1369" s="3"/>
      <c r="Q1369" s="3"/>
      <c r="R1369" s="4">
        <f>SUM(M1369:Q1369)</f>
        <v>0</v>
      </c>
      <c r="T1369" s="2"/>
      <c r="U1369" s="3"/>
      <c r="V1369" s="3"/>
      <c r="W1369" s="3"/>
      <c r="X1369" s="3"/>
      <c r="Y1369" s="4">
        <f>SUM(T1369:X1369)</f>
        <v>0</v>
      </c>
      <c r="AA1369" s="2"/>
      <c r="AB1369" s="3"/>
      <c r="AC1369" s="3"/>
      <c r="AD1369" s="3"/>
      <c r="AE1369" s="3"/>
      <c r="AF1369" s="4">
        <f>SUM(AA1369:AE1369)</f>
        <v>0</v>
      </c>
      <c r="AH1369" s="2"/>
      <c r="AI1369" s="3"/>
      <c r="AJ1369" s="3"/>
      <c r="AK1369" s="3"/>
      <c r="AL1369" s="3"/>
      <c r="AM1369" s="4">
        <f>SUM(AH1369:AL1369)</f>
        <v>0</v>
      </c>
      <c r="AO1369" s="2"/>
      <c r="AP1369" s="3"/>
      <c r="AQ1369" s="3"/>
      <c r="AR1369" s="3"/>
      <c r="AS1369" s="3"/>
      <c r="AT1369" s="4">
        <f>SUM(AO1369:AS1369)</f>
        <v>0</v>
      </c>
      <c r="AV1369" s="2"/>
      <c r="AW1369" s="3"/>
      <c r="AX1369" s="3"/>
      <c r="AY1369" s="3"/>
      <c r="AZ1369" s="3"/>
      <c r="BA1369" s="4">
        <f>SUM(AV1369:AZ1369)</f>
        <v>0</v>
      </c>
      <c r="BC1369" s="2"/>
      <c r="BD1369" s="3"/>
      <c r="BE1369" s="3"/>
      <c r="BF1369" s="3"/>
      <c r="BG1369" s="3"/>
      <c r="BH1369" s="4">
        <f>SUM(BC1369:BG1369)</f>
        <v>0</v>
      </c>
      <c r="BJ1369" s="2"/>
      <c r="BK1369" s="3"/>
      <c r="BL1369" s="3"/>
      <c r="BM1369" s="3"/>
      <c r="BN1369" s="3"/>
      <c r="BO1369" s="4">
        <f>SUM(BJ1369:BN1369)</f>
        <v>0</v>
      </c>
      <c r="BQ1369" s="2"/>
      <c r="BR1369" s="3"/>
      <c r="BS1369" s="3"/>
      <c r="BT1369" s="3"/>
      <c r="BU1369" s="3"/>
      <c r="BV1369" s="4">
        <f>SUM(BQ1369:BU1369)</f>
        <v>0</v>
      </c>
      <c r="BX1369" s="2"/>
      <c r="BY1369" s="3"/>
      <c r="BZ1369" s="3"/>
      <c r="CA1369" s="3"/>
      <c r="CB1369" s="3"/>
      <c r="CC1369" s="4">
        <f>SUM(BX1369:CB1369)</f>
        <v>0</v>
      </c>
      <c r="CE1369" s="26">
        <f t="shared" ref="CE1369:CE1372" si="6319">F1369+M1369+T1369+AA1369+AH1369+AO1369+AV1369+BC1369+BJ1369+BQ1369+BX1369</f>
        <v>0</v>
      </c>
      <c r="CF1369" s="27">
        <f t="shared" ref="CF1369:CF1372" si="6320">G1369+N1369+U1369+AB1369+AI1369+AP1369+AW1369+BD1369+BK1369+BR1369+BY1369</f>
        <v>0</v>
      </c>
      <c r="CG1369" s="27">
        <f t="shared" ref="CG1369:CG1372" si="6321">H1369+O1369+V1369+AC1369+AJ1369+AQ1369+AX1369+BE1369+BL1369+BS1369+BZ1369</f>
        <v>0</v>
      </c>
      <c r="CH1369" s="27">
        <f t="shared" ref="CH1369:CH1372" si="6322">I1369+P1369+W1369+AD1369+AK1369+AR1369+AY1369+BF1369+BM1369+BT1369+CA1369</f>
        <v>0</v>
      </c>
      <c r="CI1369" s="27">
        <f t="shared" ref="CI1369:CI1372" si="6323">J1369+Q1369+X1369+AE1369+AL1369+AS1369+AZ1369+BG1369+BN1369+BU1369+CB1369</f>
        <v>0</v>
      </c>
      <c r="CJ1369" s="4">
        <f>SUM(CE1369:CI1369)</f>
        <v>0</v>
      </c>
      <c r="CL1369" s="2"/>
      <c r="CM1369" s="3"/>
      <c r="CN1369" s="3"/>
      <c r="CO1369" s="3"/>
      <c r="CP1369" s="3"/>
      <c r="CQ1369" s="4">
        <f>SUM(CL1369:CP1369)</f>
        <v>0</v>
      </c>
      <c r="CS1369" s="2"/>
      <c r="CT1369" s="3"/>
      <c r="CU1369" s="3"/>
      <c r="CV1369" s="3"/>
      <c r="CW1369" s="3"/>
      <c r="CX1369" s="4">
        <f>SUM(CS1369:CW1369)</f>
        <v>0</v>
      </c>
      <c r="CZ1369" s="2"/>
      <c r="DA1369" s="3"/>
      <c r="DB1369" s="3"/>
      <c r="DC1369" s="3"/>
      <c r="DD1369" s="3"/>
      <c r="DE1369" s="4">
        <f>SUM(CZ1369:DD1369)</f>
        <v>0</v>
      </c>
    </row>
    <row r="1370" spans="3:109">
      <c r="C1370" s="567"/>
      <c r="E1370" s="5" t="s">
        <v>60</v>
      </c>
      <c r="F1370" s="23">
        <f t="shared" ref="F1370:F1372" si="6324">CE1364</f>
        <v>0</v>
      </c>
      <c r="G1370" s="24">
        <f t="shared" si="6315"/>
        <v>0</v>
      </c>
      <c r="H1370" s="24">
        <f t="shared" si="6316"/>
        <v>0</v>
      </c>
      <c r="I1370" s="24">
        <f t="shared" si="6317"/>
        <v>0</v>
      </c>
      <c r="J1370" s="24">
        <f t="shared" si="6318"/>
        <v>0</v>
      </c>
      <c r="K1370" s="8">
        <f t="shared" ref="K1370:K1372" si="6325">SUM(F1370:J1370)</f>
        <v>0</v>
      </c>
      <c r="M1370" s="6"/>
      <c r="N1370" s="7"/>
      <c r="O1370" s="7"/>
      <c r="P1370" s="7"/>
      <c r="Q1370" s="7"/>
      <c r="R1370" s="8">
        <f t="shared" ref="R1370:R1372" si="6326">SUM(M1370:Q1370)</f>
        <v>0</v>
      </c>
      <c r="T1370" s="6"/>
      <c r="U1370" s="7"/>
      <c r="V1370" s="7"/>
      <c r="W1370" s="7"/>
      <c r="X1370" s="7"/>
      <c r="Y1370" s="8">
        <f t="shared" ref="Y1370:Y1372" si="6327">SUM(T1370:X1370)</f>
        <v>0</v>
      </c>
      <c r="AA1370" s="6"/>
      <c r="AB1370" s="7"/>
      <c r="AC1370" s="7"/>
      <c r="AD1370" s="7"/>
      <c r="AE1370" s="7"/>
      <c r="AF1370" s="8">
        <f>SUM(AA1370:AE1370)</f>
        <v>0</v>
      </c>
      <c r="AH1370" s="6"/>
      <c r="AI1370" s="7"/>
      <c r="AJ1370" s="7"/>
      <c r="AK1370" s="7"/>
      <c r="AL1370" s="7"/>
      <c r="AM1370" s="8">
        <f>SUM(AH1370:AL1370)</f>
        <v>0</v>
      </c>
      <c r="AO1370" s="6"/>
      <c r="AP1370" s="7"/>
      <c r="AQ1370" s="7"/>
      <c r="AR1370" s="7"/>
      <c r="AS1370" s="7"/>
      <c r="AT1370" s="8">
        <f>SUM(AO1370:AS1370)</f>
        <v>0</v>
      </c>
      <c r="AV1370" s="6"/>
      <c r="AW1370" s="7"/>
      <c r="AX1370" s="7"/>
      <c r="AY1370" s="7"/>
      <c r="AZ1370" s="7"/>
      <c r="BA1370" s="8">
        <f>SUM(AV1370:AZ1370)</f>
        <v>0</v>
      </c>
      <c r="BC1370" s="6"/>
      <c r="BD1370" s="7"/>
      <c r="BE1370" s="7"/>
      <c r="BF1370" s="7"/>
      <c r="BG1370" s="7"/>
      <c r="BH1370" s="8">
        <f>SUM(BC1370:BG1370)</f>
        <v>0</v>
      </c>
      <c r="BJ1370" s="6"/>
      <c r="BK1370" s="7"/>
      <c r="BL1370" s="7"/>
      <c r="BM1370" s="7"/>
      <c r="BN1370" s="7"/>
      <c r="BO1370" s="8">
        <f>SUM(BJ1370:BN1370)</f>
        <v>0</v>
      </c>
      <c r="BQ1370" s="6"/>
      <c r="BR1370" s="7"/>
      <c r="BS1370" s="7"/>
      <c r="BT1370" s="7"/>
      <c r="BU1370" s="7"/>
      <c r="BV1370" s="8">
        <f>SUM(BQ1370:BU1370)</f>
        <v>0</v>
      </c>
      <c r="BX1370" s="6"/>
      <c r="BY1370" s="7"/>
      <c r="BZ1370" s="7"/>
      <c r="CA1370" s="7"/>
      <c r="CB1370" s="7"/>
      <c r="CC1370" s="8">
        <f>SUM(BX1370:CB1370)</f>
        <v>0</v>
      </c>
      <c r="CE1370" s="28">
        <f t="shared" si="6319"/>
        <v>0</v>
      </c>
      <c r="CF1370" s="29">
        <f t="shared" si="6320"/>
        <v>0</v>
      </c>
      <c r="CG1370" s="29">
        <f t="shared" si="6321"/>
        <v>0</v>
      </c>
      <c r="CH1370" s="29">
        <f t="shared" si="6322"/>
        <v>0</v>
      </c>
      <c r="CI1370" s="29">
        <f t="shared" si="6323"/>
        <v>0</v>
      </c>
      <c r="CJ1370" s="8">
        <f>SUM(CE1370:CI1370)</f>
        <v>0</v>
      </c>
      <c r="CL1370" s="6"/>
      <c r="CM1370" s="7"/>
      <c r="CN1370" s="7"/>
      <c r="CO1370" s="7"/>
      <c r="CP1370" s="7"/>
      <c r="CQ1370" s="8">
        <f>SUM(CL1370:CP1370)</f>
        <v>0</v>
      </c>
      <c r="CS1370" s="6"/>
      <c r="CT1370" s="7"/>
      <c r="CU1370" s="7"/>
      <c r="CV1370" s="7"/>
      <c r="CW1370" s="7"/>
      <c r="CX1370" s="8">
        <f t="shared" ref="CX1370:CX1372" si="6328">SUM(CS1370:CW1370)</f>
        <v>0</v>
      </c>
      <c r="CZ1370" s="6"/>
      <c r="DA1370" s="7"/>
      <c r="DB1370" s="7"/>
      <c r="DC1370" s="7"/>
      <c r="DD1370" s="7"/>
      <c r="DE1370" s="8">
        <f t="shared" ref="DE1370:DE1372" si="6329">SUM(CZ1370:DD1370)</f>
        <v>0</v>
      </c>
    </row>
    <row r="1371" spans="3:109">
      <c r="C1371" s="567"/>
      <c r="E1371" s="5" t="s">
        <v>61</v>
      </c>
      <c r="F1371" s="23">
        <f t="shared" si="6324"/>
        <v>0</v>
      </c>
      <c r="G1371" s="24">
        <f t="shared" si="6315"/>
        <v>0</v>
      </c>
      <c r="H1371" s="24">
        <f t="shared" si="6316"/>
        <v>0</v>
      </c>
      <c r="I1371" s="24">
        <f t="shared" si="6317"/>
        <v>0</v>
      </c>
      <c r="J1371" s="24">
        <f t="shared" si="6318"/>
        <v>0</v>
      </c>
      <c r="K1371" s="8">
        <f t="shared" si="6325"/>
        <v>0</v>
      </c>
      <c r="M1371" s="6"/>
      <c r="N1371" s="7"/>
      <c r="O1371" s="7"/>
      <c r="P1371" s="7"/>
      <c r="Q1371" s="7"/>
      <c r="R1371" s="8">
        <f t="shared" si="6326"/>
        <v>0</v>
      </c>
      <c r="T1371" s="6"/>
      <c r="U1371" s="7"/>
      <c r="V1371" s="7"/>
      <c r="W1371" s="7"/>
      <c r="X1371" s="7"/>
      <c r="Y1371" s="8">
        <f t="shared" si="6327"/>
        <v>0</v>
      </c>
      <c r="AA1371" s="6"/>
      <c r="AB1371" s="7"/>
      <c r="AC1371" s="7"/>
      <c r="AD1371" s="7"/>
      <c r="AE1371" s="7"/>
      <c r="AF1371" s="8">
        <f>SUM(AA1371:AE1371)</f>
        <v>0</v>
      </c>
      <c r="AH1371" s="6"/>
      <c r="AI1371" s="7"/>
      <c r="AJ1371" s="7"/>
      <c r="AK1371" s="7"/>
      <c r="AL1371" s="7"/>
      <c r="AM1371" s="8">
        <f>SUM(AH1371:AL1371)</f>
        <v>0</v>
      </c>
      <c r="AO1371" s="6"/>
      <c r="AP1371" s="7"/>
      <c r="AQ1371" s="7"/>
      <c r="AR1371" s="7"/>
      <c r="AS1371" s="7"/>
      <c r="AT1371" s="8">
        <f>SUM(AO1371:AS1371)</f>
        <v>0</v>
      </c>
      <c r="AV1371" s="6"/>
      <c r="AW1371" s="7"/>
      <c r="AX1371" s="7"/>
      <c r="AY1371" s="7"/>
      <c r="AZ1371" s="7"/>
      <c r="BA1371" s="8">
        <f>SUM(AV1371:AZ1371)</f>
        <v>0</v>
      </c>
      <c r="BC1371" s="6"/>
      <c r="BD1371" s="7"/>
      <c r="BE1371" s="7"/>
      <c r="BF1371" s="7"/>
      <c r="BG1371" s="7"/>
      <c r="BH1371" s="8">
        <f>SUM(BC1371:BG1371)</f>
        <v>0</v>
      </c>
      <c r="BJ1371" s="6"/>
      <c r="BK1371" s="7"/>
      <c r="BL1371" s="7"/>
      <c r="BM1371" s="7"/>
      <c r="BN1371" s="7"/>
      <c r="BO1371" s="8">
        <f>SUM(BJ1371:BN1371)</f>
        <v>0</v>
      </c>
      <c r="BQ1371" s="6"/>
      <c r="BR1371" s="7"/>
      <c r="BS1371" s="7"/>
      <c r="BT1371" s="7"/>
      <c r="BU1371" s="7"/>
      <c r="BV1371" s="8">
        <f>SUM(BQ1371:BU1371)</f>
        <v>0</v>
      </c>
      <c r="BX1371" s="6"/>
      <c r="BY1371" s="7"/>
      <c r="BZ1371" s="7"/>
      <c r="CA1371" s="7"/>
      <c r="CB1371" s="7"/>
      <c r="CC1371" s="8">
        <f>SUM(BX1371:CB1371)</f>
        <v>0</v>
      </c>
      <c r="CE1371" s="28">
        <f t="shared" si="6319"/>
        <v>0</v>
      </c>
      <c r="CF1371" s="29">
        <f t="shared" si="6320"/>
        <v>0</v>
      </c>
      <c r="CG1371" s="29">
        <f t="shared" si="6321"/>
        <v>0</v>
      </c>
      <c r="CH1371" s="29">
        <f t="shared" si="6322"/>
        <v>0</v>
      </c>
      <c r="CI1371" s="29">
        <f t="shared" si="6323"/>
        <v>0</v>
      </c>
      <c r="CJ1371" s="8">
        <f>SUM(CE1371:CI1371)</f>
        <v>0</v>
      </c>
      <c r="CL1371" s="6"/>
      <c r="CM1371" s="7"/>
      <c r="CN1371" s="7"/>
      <c r="CO1371" s="7"/>
      <c r="CP1371" s="7"/>
      <c r="CQ1371" s="8">
        <f>SUM(CL1371:CP1371)</f>
        <v>0</v>
      </c>
      <c r="CS1371" s="6"/>
      <c r="CT1371" s="7"/>
      <c r="CU1371" s="7"/>
      <c r="CV1371" s="7"/>
      <c r="CW1371" s="7"/>
      <c r="CX1371" s="8">
        <f t="shared" si="6328"/>
        <v>0</v>
      </c>
      <c r="CZ1371" s="6"/>
      <c r="DA1371" s="7"/>
      <c r="DB1371" s="7"/>
      <c r="DC1371" s="7"/>
      <c r="DD1371" s="7"/>
      <c r="DE1371" s="8">
        <f t="shared" si="6329"/>
        <v>0</v>
      </c>
    </row>
    <row r="1372" spans="3:109" ht="14" thickBot="1">
      <c r="C1372" s="567"/>
      <c r="E1372" s="5" t="s">
        <v>62</v>
      </c>
      <c r="F1372" s="23">
        <f t="shared" si="6324"/>
        <v>0</v>
      </c>
      <c r="G1372" s="24">
        <f t="shared" si="6315"/>
        <v>0</v>
      </c>
      <c r="H1372" s="24">
        <f t="shared" si="6316"/>
        <v>0</v>
      </c>
      <c r="I1372" s="24">
        <f t="shared" si="6317"/>
        <v>0</v>
      </c>
      <c r="J1372" s="24">
        <f t="shared" si="6318"/>
        <v>0</v>
      </c>
      <c r="K1372" s="8">
        <f t="shared" si="6325"/>
        <v>0</v>
      </c>
      <c r="M1372" s="6"/>
      <c r="N1372" s="7"/>
      <c r="O1372" s="7"/>
      <c r="P1372" s="7"/>
      <c r="Q1372" s="7"/>
      <c r="R1372" s="8">
        <f t="shared" si="6326"/>
        <v>0</v>
      </c>
      <c r="T1372" s="6"/>
      <c r="U1372" s="7"/>
      <c r="V1372" s="7"/>
      <c r="W1372" s="7"/>
      <c r="X1372" s="7"/>
      <c r="Y1372" s="8">
        <f t="shared" si="6327"/>
        <v>0</v>
      </c>
      <c r="AA1372" s="6"/>
      <c r="AB1372" s="7"/>
      <c r="AC1372" s="7"/>
      <c r="AD1372" s="7"/>
      <c r="AE1372" s="7"/>
      <c r="AF1372" s="8">
        <f>SUM(AA1372:AE1372)</f>
        <v>0</v>
      </c>
      <c r="AH1372" s="6"/>
      <c r="AI1372" s="7"/>
      <c r="AJ1372" s="7"/>
      <c r="AK1372" s="7"/>
      <c r="AL1372" s="7"/>
      <c r="AM1372" s="8">
        <f>SUM(AH1372:AL1372)</f>
        <v>0</v>
      </c>
      <c r="AO1372" s="6"/>
      <c r="AP1372" s="7"/>
      <c r="AQ1372" s="7"/>
      <c r="AR1372" s="7"/>
      <c r="AS1372" s="7"/>
      <c r="AT1372" s="8">
        <f>SUM(AO1372:AS1372)</f>
        <v>0</v>
      </c>
      <c r="AV1372" s="6"/>
      <c r="AW1372" s="7"/>
      <c r="AX1372" s="7"/>
      <c r="AY1372" s="7"/>
      <c r="AZ1372" s="7"/>
      <c r="BA1372" s="8">
        <f>SUM(AV1372:AZ1372)</f>
        <v>0</v>
      </c>
      <c r="BC1372" s="6"/>
      <c r="BD1372" s="7"/>
      <c r="BE1372" s="7"/>
      <c r="BF1372" s="7"/>
      <c r="BG1372" s="7"/>
      <c r="BH1372" s="8">
        <f>SUM(BC1372:BG1372)</f>
        <v>0</v>
      </c>
      <c r="BJ1372" s="6"/>
      <c r="BK1372" s="7"/>
      <c r="BL1372" s="7"/>
      <c r="BM1372" s="7"/>
      <c r="BN1372" s="7"/>
      <c r="BO1372" s="8">
        <f>SUM(BJ1372:BN1372)</f>
        <v>0</v>
      </c>
      <c r="BQ1372" s="6"/>
      <c r="BR1372" s="7"/>
      <c r="BS1372" s="7"/>
      <c r="BT1372" s="7"/>
      <c r="BU1372" s="7"/>
      <c r="BV1372" s="8">
        <f>SUM(BQ1372:BU1372)</f>
        <v>0</v>
      </c>
      <c r="BX1372" s="6"/>
      <c r="BY1372" s="7"/>
      <c r="BZ1372" s="7"/>
      <c r="CA1372" s="7"/>
      <c r="CB1372" s="7"/>
      <c r="CC1372" s="8">
        <f>SUM(BX1372:CB1372)</f>
        <v>0</v>
      </c>
      <c r="CE1372" s="493">
        <f t="shared" si="6319"/>
        <v>0</v>
      </c>
      <c r="CF1372" s="494">
        <f t="shared" si="6320"/>
        <v>0</v>
      </c>
      <c r="CG1372" s="494">
        <f t="shared" si="6321"/>
        <v>0</v>
      </c>
      <c r="CH1372" s="494">
        <f t="shared" si="6322"/>
        <v>0</v>
      </c>
      <c r="CI1372" s="494">
        <f t="shared" si="6323"/>
        <v>0</v>
      </c>
      <c r="CJ1372" s="495">
        <f>SUM(CE1372:CI1372)</f>
        <v>0</v>
      </c>
      <c r="CL1372" s="6"/>
      <c r="CM1372" s="7"/>
      <c r="CN1372" s="7"/>
      <c r="CO1372" s="7"/>
      <c r="CP1372" s="7"/>
      <c r="CQ1372" s="8">
        <f>SUM(CL1372:CP1372)</f>
        <v>0</v>
      </c>
      <c r="CS1372" s="6"/>
      <c r="CT1372" s="7"/>
      <c r="CU1372" s="7"/>
      <c r="CV1372" s="7"/>
      <c r="CW1372" s="7"/>
      <c r="CX1372" s="8">
        <f t="shared" si="6328"/>
        <v>0</v>
      </c>
      <c r="CZ1372" s="6"/>
      <c r="DA1372" s="7"/>
      <c r="DB1372" s="7"/>
      <c r="DC1372" s="7"/>
      <c r="DD1372" s="7"/>
      <c r="DE1372" s="8">
        <f t="shared" si="6329"/>
        <v>0</v>
      </c>
    </row>
    <row r="1373" spans="3:109" ht="14" thickBot="1">
      <c r="C1373" s="554"/>
      <c r="E1373" s="9"/>
      <c r="F1373" s="10">
        <f>SUM(F1369:F1372)</f>
        <v>0</v>
      </c>
      <c r="G1373" s="11">
        <f t="shared" ref="G1373:J1373" si="6330">SUM(G1369:G1372)</f>
        <v>0</v>
      </c>
      <c r="H1373" s="11">
        <f t="shared" si="6330"/>
        <v>0</v>
      </c>
      <c r="I1373" s="11">
        <f t="shared" si="6330"/>
        <v>0</v>
      </c>
      <c r="J1373" s="11">
        <f t="shared" si="6330"/>
        <v>0</v>
      </c>
      <c r="K1373" s="25">
        <f>SUM(K1369:K1372)</f>
        <v>0</v>
      </c>
      <c r="M1373" s="10">
        <f>SUM(M1369:M1372)</f>
        <v>0</v>
      </c>
      <c r="N1373" s="11">
        <f t="shared" ref="N1373:Q1373" si="6331">SUM(N1369:N1372)</f>
        <v>0</v>
      </c>
      <c r="O1373" s="11">
        <f t="shared" si="6331"/>
        <v>0</v>
      </c>
      <c r="P1373" s="11">
        <f t="shared" si="6331"/>
        <v>0</v>
      </c>
      <c r="Q1373" s="11">
        <f t="shared" si="6331"/>
        <v>0</v>
      </c>
      <c r="R1373" s="25">
        <f>SUM(R1369:R1372)</f>
        <v>0</v>
      </c>
      <c r="T1373" s="10">
        <f>SUM(T1369:T1372)</f>
        <v>0</v>
      </c>
      <c r="U1373" s="11">
        <f t="shared" ref="U1373:X1373" si="6332">SUM(U1369:U1372)</f>
        <v>0</v>
      </c>
      <c r="V1373" s="11">
        <f t="shared" si="6332"/>
        <v>0</v>
      </c>
      <c r="W1373" s="11">
        <f t="shared" si="6332"/>
        <v>0</v>
      </c>
      <c r="X1373" s="11">
        <f t="shared" si="6332"/>
        <v>0</v>
      </c>
      <c r="Y1373" s="25">
        <f>SUM(Y1369:Y1372)</f>
        <v>0</v>
      </c>
      <c r="AA1373" s="10">
        <f>SUM(AA1369:AA1372)</f>
        <v>0</v>
      </c>
      <c r="AB1373" s="11">
        <f t="shared" ref="AB1373:AE1373" si="6333">SUM(AB1369:AB1372)</f>
        <v>0</v>
      </c>
      <c r="AC1373" s="11">
        <f t="shared" si="6333"/>
        <v>0</v>
      </c>
      <c r="AD1373" s="11">
        <f t="shared" si="6333"/>
        <v>0</v>
      </c>
      <c r="AE1373" s="11">
        <f t="shared" si="6333"/>
        <v>0</v>
      </c>
      <c r="AF1373" s="25">
        <f>SUM(AF1369:AF1372)</f>
        <v>0</v>
      </c>
      <c r="AH1373" s="10">
        <f>SUM(AH1369:AH1372)</f>
        <v>0</v>
      </c>
      <c r="AI1373" s="11">
        <f t="shared" ref="AI1373:AL1373" si="6334">SUM(AI1369:AI1372)</f>
        <v>0</v>
      </c>
      <c r="AJ1373" s="11">
        <f t="shared" si="6334"/>
        <v>0</v>
      </c>
      <c r="AK1373" s="11">
        <f t="shared" si="6334"/>
        <v>0</v>
      </c>
      <c r="AL1373" s="11">
        <f t="shared" si="6334"/>
        <v>0</v>
      </c>
      <c r="AM1373" s="25">
        <f>SUM(AM1369:AM1372)</f>
        <v>0</v>
      </c>
      <c r="AO1373" s="10">
        <f>SUM(AO1369:AO1372)</f>
        <v>0</v>
      </c>
      <c r="AP1373" s="11">
        <f t="shared" ref="AP1373:AS1373" si="6335">SUM(AP1369:AP1372)</f>
        <v>0</v>
      </c>
      <c r="AQ1373" s="11">
        <f t="shared" si="6335"/>
        <v>0</v>
      </c>
      <c r="AR1373" s="11">
        <f t="shared" si="6335"/>
        <v>0</v>
      </c>
      <c r="AS1373" s="11">
        <f t="shared" si="6335"/>
        <v>0</v>
      </c>
      <c r="AT1373" s="25">
        <f>SUM(AT1369:AT1372)</f>
        <v>0</v>
      </c>
      <c r="AV1373" s="10">
        <f>SUM(AV1369:AV1372)</f>
        <v>0</v>
      </c>
      <c r="AW1373" s="11">
        <f t="shared" ref="AW1373:AZ1373" si="6336">SUM(AW1369:AW1372)</f>
        <v>0</v>
      </c>
      <c r="AX1373" s="11">
        <f t="shared" si="6336"/>
        <v>0</v>
      </c>
      <c r="AY1373" s="11">
        <f t="shared" si="6336"/>
        <v>0</v>
      </c>
      <c r="AZ1373" s="11">
        <f t="shared" si="6336"/>
        <v>0</v>
      </c>
      <c r="BA1373" s="25">
        <f>SUM(BA1369:BA1372)</f>
        <v>0</v>
      </c>
      <c r="BC1373" s="10">
        <f>SUM(BC1369:BC1372)</f>
        <v>0</v>
      </c>
      <c r="BD1373" s="11">
        <f t="shared" ref="BD1373:BG1373" si="6337">SUM(BD1369:BD1372)</f>
        <v>0</v>
      </c>
      <c r="BE1373" s="11">
        <f t="shared" si="6337"/>
        <v>0</v>
      </c>
      <c r="BF1373" s="11">
        <f t="shared" si="6337"/>
        <v>0</v>
      </c>
      <c r="BG1373" s="11">
        <f t="shared" si="6337"/>
        <v>0</v>
      </c>
      <c r="BH1373" s="25">
        <f>SUM(BH1369:BH1372)</f>
        <v>0</v>
      </c>
      <c r="BJ1373" s="10">
        <f>SUM(BJ1369:BJ1372)</f>
        <v>0</v>
      </c>
      <c r="BK1373" s="11">
        <f t="shared" ref="BK1373:BN1373" si="6338">SUM(BK1369:BK1372)</f>
        <v>0</v>
      </c>
      <c r="BL1373" s="11">
        <f t="shared" si="6338"/>
        <v>0</v>
      </c>
      <c r="BM1373" s="11">
        <f t="shared" si="6338"/>
        <v>0</v>
      </c>
      <c r="BN1373" s="11">
        <f t="shared" si="6338"/>
        <v>0</v>
      </c>
      <c r="BO1373" s="25">
        <f>SUM(BO1369:BO1372)</f>
        <v>0</v>
      </c>
      <c r="BQ1373" s="10">
        <f>SUM(BQ1369:BQ1372)</f>
        <v>0</v>
      </c>
      <c r="BR1373" s="11">
        <f t="shared" ref="BR1373:BU1373" si="6339">SUM(BR1369:BR1372)</f>
        <v>0</v>
      </c>
      <c r="BS1373" s="11">
        <f t="shared" si="6339"/>
        <v>0</v>
      </c>
      <c r="BT1373" s="11">
        <f t="shared" si="6339"/>
        <v>0</v>
      </c>
      <c r="BU1373" s="11">
        <f t="shared" si="6339"/>
        <v>0</v>
      </c>
      <c r="BV1373" s="25">
        <f>SUM(BV1369:BV1372)</f>
        <v>0</v>
      </c>
      <c r="BX1373" s="10">
        <f>SUM(BX1369:BX1372)</f>
        <v>0</v>
      </c>
      <c r="BY1373" s="11">
        <f t="shared" ref="BY1373:CB1373" si="6340">SUM(BY1369:BY1372)</f>
        <v>0</v>
      </c>
      <c r="BZ1373" s="11">
        <f t="shared" si="6340"/>
        <v>0</v>
      </c>
      <c r="CA1373" s="11">
        <f t="shared" si="6340"/>
        <v>0</v>
      </c>
      <c r="CB1373" s="11">
        <f t="shared" si="6340"/>
        <v>0</v>
      </c>
      <c r="CC1373" s="25">
        <f>SUM(CC1369:CC1372)</f>
        <v>0</v>
      </c>
      <c r="CE1373" s="62">
        <f t="shared" ref="CE1373:CJ1373" si="6341">SUM(CE1369:CE1372)</f>
        <v>0</v>
      </c>
      <c r="CF1373" s="63">
        <f t="shared" si="6341"/>
        <v>0</v>
      </c>
      <c r="CG1373" s="63">
        <f t="shared" si="6341"/>
        <v>0</v>
      </c>
      <c r="CH1373" s="63">
        <f t="shared" si="6341"/>
        <v>0</v>
      </c>
      <c r="CI1373" s="63">
        <f t="shared" si="6341"/>
        <v>0</v>
      </c>
      <c r="CJ1373" s="25">
        <f t="shared" si="6341"/>
        <v>0</v>
      </c>
      <c r="CL1373" s="10">
        <f>SUM(CL1369:CL1372)</f>
        <v>0</v>
      </c>
      <c r="CM1373" s="11">
        <f t="shared" ref="CM1373:CP1373" si="6342">SUM(CM1369:CM1372)</f>
        <v>0</v>
      </c>
      <c r="CN1373" s="11">
        <f t="shared" si="6342"/>
        <v>0</v>
      </c>
      <c r="CO1373" s="11">
        <f t="shared" si="6342"/>
        <v>0</v>
      </c>
      <c r="CP1373" s="11">
        <f t="shared" si="6342"/>
        <v>0</v>
      </c>
      <c r="CQ1373" s="25">
        <f>SUM(CQ1369:CQ1372)</f>
        <v>0</v>
      </c>
      <c r="CS1373" s="10">
        <f>SUM(CS1369:CS1372)</f>
        <v>0</v>
      </c>
      <c r="CT1373" s="11">
        <f t="shared" ref="CT1373:CW1373" si="6343">SUM(CT1369:CT1372)</f>
        <v>0</v>
      </c>
      <c r="CU1373" s="11">
        <f t="shared" si="6343"/>
        <v>0</v>
      </c>
      <c r="CV1373" s="11">
        <f t="shared" si="6343"/>
        <v>0</v>
      </c>
      <c r="CW1373" s="11">
        <f t="shared" si="6343"/>
        <v>0</v>
      </c>
      <c r="CX1373" s="25">
        <f>SUM(CX1369:CX1372)</f>
        <v>0</v>
      </c>
      <c r="CZ1373" s="10">
        <f>SUM(CZ1369:CZ1372)</f>
        <v>0</v>
      </c>
      <c r="DA1373" s="11">
        <f t="shared" ref="DA1373:DD1373" si="6344">SUM(DA1369:DA1372)</f>
        <v>0</v>
      </c>
      <c r="DB1373" s="11">
        <f t="shared" si="6344"/>
        <v>0</v>
      </c>
      <c r="DC1373" s="11">
        <f t="shared" si="6344"/>
        <v>0</v>
      </c>
      <c r="DD1373" s="11">
        <f t="shared" si="6344"/>
        <v>0</v>
      </c>
      <c r="DE1373" s="25">
        <f>SUM(DE1369:DE1372)</f>
        <v>0</v>
      </c>
    </row>
    <row r="1374" spans="3:109" ht="10.4" customHeight="1" thickBot="1"/>
    <row r="1375" spans="3:109">
      <c r="C1375" s="553">
        <v>2028</v>
      </c>
      <c r="E1375" s="1" t="s">
        <v>59</v>
      </c>
      <c r="F1375" s="21">
        <f>CE1369</f>
        <v>0</v>
      </c>
      <c r="G1375" s="22">
        <f t="shared" ref="G1375:G1378" si="6345">CF1369</f>
        <v>0</v>
      </c>
      <c r="H1375" s="22">
        <f t="shared" ref="H1375:H1378" si="6346">CG1369</f>
        <v>0</v>
      </c>
      <c r="I1375" s="22">
        <f t="shared" ref="I1375:I1378" si="6347">CH1369</f>
        <v>0</v>
      </c>
      <c r="J1375" s="22">
        <f t="shared" ref="J1375:J1378" si="6348">CI1369</f>
        <v>0</v>
      </c>
      <c r="K1375" s="4">
        <f>SUM(F1375:J1375)</f>
        <v>0</v>
      </c>
      <c r="M1375" s="2"/>
      <c r="N1375" s="3"/>
      <c r="O1375" s="3"/>
      <c r="P1375" s="3"/>
      <c r="Q1375" s="3"/>
      <c r="R1375" s="4">
        <f>SUM(M1375:Q1375)</f>
        <v>0</v>
      </c>
      <c r="T1375" s="2"/>
      <c r="U1375" s="3"/>
      <c r="V1375" s="3"/>
      <c r="W1375" s="3"/>
      <c r="X1375" s="3"/>
      <c r="Y1375" s="4">
        <f>SUM(T1375:X1375)</f>
        <v>0</v>
      </c>
      <c r="AA1375" s="2"/>
      <c r="AB1375" s="3"/>
      <c r="AC1375" s="3"/>
      <c r="AD1375" s="3"/>
      <c r="AE1375" s="3"/>
      <c r="AF1375" s="4">
        <f>SUM(AA1375:AE1375)</f>
        <v>0</v>
      </c>
      <c r="AH1375" s="2"/>
      <c r="AI1375" s="3"/>
      <c r="AJ1375" s="3"/>
      <c r="AK1375" s="3"/>
      <c r="AL1375" s="3"/>
      <c r="AM1375" s="4">
        <f>SUM(AH1375:AL1375)</f>
        <v>0</v>
      </c>
      <c r="AO1375" s="2"/>
      <c r="AP1375" s="3"/>
      <c r="AQ1375" s="3"/>
      <c r="AR1375" s="3"/>
      <c r="AS1375" s="3"/>
      <c r="AT1375" s="4">
        <f>SUM(AO1375:AS1375)</f>
        <v>0</v>
      </c>
      <c r="AV1375" s="2"/>
      <c r="AW1375" s="3"/>
      <c r="AX1375" s="3"/>
      <c r="AY1375" s="3"/>
      <c r="AZ1375" s="3"/>
      <c r="BA1375" s="4">
        <f>SUM(AV1375:AZ1375)</f>
        <v>0</v>
      </c>
      <c r="BC1375" s="2"/>
      <c r="BD1375" s="3"/>
      <c r="BE1375" s="3"/>
      <c r="BF1375" s="3"/>
      <c r="BG1375" s="3"/>
      <c r="BH1375" s="4">
        <f>SUM(BC1375:BG1375)</f>
        <v>0</v>
      </c>
      <c r="BJ1375" s="2"/>
      <c r="BK1375" s="3"/>
      <c r="BL1375" s="3"/>
      <c r="BM1375" s="3"/>
      <c r="BN1375" s="3"/>
      <c r="BO1375" s="4">
        <f>SUM(BJ1375:BN1375)</f>
        <v>0</v>
      </c>
      <c r="BQ1375" s="2"/>
      <c r="BR1375" s="3"/>
      <c r="BS1375" s="3"/>
      <c r="BT1375" s="3"/>
      <c r="BU1375" s="3"/>
      <c r="BV1375" s="4">
        <f>SUM(BQ1375:BU1375)</f>
        <v>0</v>
      </c>
      <c r="BX1375" s="2"/>
      <c r="BY1375" s="3"/>
      <c r="BZ1375" s="3"/>
      <c r="CA1375" s="3"/>
      <c r="CB1375" s="3"/>
      <c r="CC1375" s="4">
        <f>SUM(BX1375:CB1375)</f>
        <v>0</v>
      </c>
      <c r="CE1375" s="26">
        <f t="shared" ref="CE1375:CE1378" si="6349">F1375+M1375+T1375+AA1375+AH1375+AO1375+AV1375+BC1375+BJ1375+BQ1375+BX1375</f>
        <v>0</v>
      </c>
      <c r="CF1375" s="27">
        <f t="shared" ref="CF1375:CF1378" si="6350">G1375+N1375+U1375+AB1375+AI1375+AP1375+AW1375+BD1375+BK1375+BR1375+BY1375</f>
        <v>0</v>
      </c>
      <c r="CG1375" s="27">
        <f t="shared" ref="CG1375:CG1378" si="6351">H1375+O1375+V1375+AC1375+AJ1375+AQ1375+AX1375+BE1375+BL1375+BS1375+BZ1375</f>
        <v>0</v>
      </c>
      <c r="CH1375" s="27">
        <f t="shared" ref="CH1375:CH1378" si="6352">I1375+P1375+W1375+AD1375+AK1375+AR1375+AY1375+BF1375+BM1375+BT1375+CA1375</f>
        <v>0</v>
      </c>
      <c r="CI1375" s="27">
        <f t="shared" ref="CI1375:CI1378" si="6353">J1375+Q1375+X1375+AE1375+AL1375+AS1375+AZ1375+BG1375+BN1375+BU1375+CB1375</f>
        <v>0</v>
      </c>
      <c r="CJ1375" s="4">
        <f>SUM(CE1375:CI1375)</f>
        <v>0</v>
      </c>
      <c r="CL1375" s="2"/>
      <c r="CM1375" s="3"/>
      <c r="CN1375" s="3"/>
      <c r="CO1375" s="3"/>
      <c r="CP1375" s="3"/>
      <c r="CQ1375" s="4">
        <f>SUM(CL1375:CP1375)</f>
        <v>0</v>
      </c>
      <c r="CS1375" s="2"/>
      <c r="CT1375" s="3"/>
      <c r="CU1375" s="3"/>
      <c r="CV1375" s="3"/>
      <c r="CW1375" s="3"/>
      <c r="CX1375" s="4">
        <f>SUM(CS1375:CW1375)</f>
        <v>0</v>
      </c>
      <c r="CZ1375" s="2"/>
      <c r="DA1375" s="3"/>
      <c r="DB1375" s="3"/>
      <c r="DC1375" s="3"/>
      <c r="DD1375" s="3"/>
      <c r="DE1375" s="4">
        <f>SUM(CZ1375:DD1375)</f>
        <v>0</v>
      </c>
    </row>
    <row r="1376" spans="3:109">
      <c r="C1376" s="567"/>
      <c r="E1376" s="5" t="s">
        <v>60</v>
      </c>
      <c r="F1376" s="23">
        <f t="shared" ref="F1376:F1378" si="6354">CE1370</f>
        <v>0</v>
      </c>
      <c r="G1376" s="24">
        <f t="shared" si="6345"/>
        <v>0</v>
      </c>
      <c r="H1376" s="24">
        <f t="shared" si="6346"/>
        <v>0</v>
      </c>
      <c r="I1376" s="24">
        <f t="shared" si="6347"/>
        <v>0</v>
      </c>
      <c r="J1376" s="24">
        <f t="shared" si="6348"/>
        <v>0</v>
      </c>
      <c r="K1376" s="8">
        <f t="shared" ref="K1376:K1378" si="6355">SUM(F1376:J1376)</f>
        <v>0</v>
      </c>
      <c r="M1376" s="6"/>
      <c r="N1376" s="7"/>
      <c r="O1376" s="7"/>
      <c r="P1376" s="7"/>
      <c r="Q1376" s="7"/>
      <c r="R1376" s="8">
        <f t="shared" ref="R1376:R1378" si="6356">SUM(M1376:Q1376)</f>
        <v>0</v>
      </c>
      <c r="T1376" s="6"/>
      <c r="U1376" s="7"/>
      <c r="V1376" s="7"/>
      <c r="W1376" s="7"/>
      <c r="X1376" s="7"/>
      <c r="Y1376" s="8">
        <f t="shared" ref="Y1376:Y1378" si="6357">SUM(T1376:X1376)</f>
        <v>0</v>
      </c>
      <c r="AA1376" s="6"/>
      <c r="AB1376" s="7"/>
      <c r="AC1376" s="7"/>
      <c r="AD1376" s="7"/>
      <c r="AE1376" s="7"/>
      <c r="AF1376" s="8">
        <f>SUM(AA1376:AE1376)</f>
        <v>0</v>
      </c>
      <c r="AH1376" s="6"/>
      <c r="AI1376" s="7"/>
      <c r="AJ1376" s="7"/>
      <c r="AK1376" s="7"/>
      <c r="AL1376" s="7"/>
      <c r="AM1376" s="8">
        <f>SUM(AH1376:AL1376)</f>
        <v>0</v>
      </c>
      <c r="AO1376" s="6"/>
      <c r="AP1376" s="7"/>
      <c r="AQ1376" s="7"/>
      <c r="AR1376" s="7"/>
      <c r="AS1376" s="7"/>
      <c r="AT1376" s="8">
        <f>SUM(AO1376:AS1376)</f>
        <v>0</v>
      </c>
      <c r="AV1376" s="6"/>
      <c r="AW1376" s="7"/>
      <c r="AX1376" s="7"/>
      <c r="AY1376" s="7"/>
      <c r="AZ1376" s="7"/>
      <c r="BA1376" s="8">
        <f>SUM(AV1376:AZ1376)</f>
        <v>0</v>
      </c>
      <c r="BC1376" s="6"/>
      <c r="BD1376" s="7"/>
      <c r="BE1376" s="7"/>
      <c r="BF1376" s="7"/>
      <c r="BG1376" s="7"/>
      <c r="BH1376" s="8">
        <f>SUM(BC1376:BG1376)</f>
        <v>0</v>
      </c>
      <c r="BJ1376" s="6"/>
      <c r="BK1376" s="7"/>
      <c r="BL1376" s="7"/>
      <c r="BM1376" s="7"/>
      <c r="BN1376" s="7"/>
      <c r="BO1376" s="8">
        <f>SUM(BJ1376:BN1376)</f>
        <v>0</v>
      </c>
      <c r="BQ1376" s="6"/>
      <c r="BR1376" s="7"/>
      <c r="BS1376" s="7"/>
      <c r="BT1376" s="7"/>
      <c r="BU1376" s="7"/>
      <c r="BV1376" s="8">
        <f>SUM(BQ1376:BU1376)</f>
        <v>0</v>
      </c>
      <c r="BX1376" s="6"/>
      <c r="BY1376" s="7"/>
      <c r="BZ1376" s="7"/>
      <c r="CA1376" s="7"/>
      <c r="CB1376" s="7"/>
      <c r="CC1376" s="8">
        <f>SUM(BX1376:CB1376)</f>
        <v>0</v>
      </c>
      <c r="CE1376" s="28">
        <f t="shared" si="6349"/>
        <v>0</v>
      </c>
      <c r="CF1376" s="29">
        <f t="shared" si="6350"/>
        <v>0</v>
      </c>
      <c r="CG1376" s="29">
        <f t="shared" si="6351"/>
        <v>0</v>
      </c>
      <c r="CH1376" s="29">
        <f t="shared" si="6352"/>
        <v>0</v>
      </c>
      <c r="CI1376" s="29">
        <f t="shared" si="6353"/>
        <v>0</v>
      </c>
      <c r="CJ1376" s="8">
        <f>SUM(CE1376:CI1376)</f>
        <v>0</v>
      </c>
      <c r="CL1376" s="6"/>
      <c r="CM1376" s="7"/>
      <c r="CN1376" s="7"/>
      <c r="CO1376" s="7"/>
      <c r="CP1376" s="7"/>
      <c r="CQ1376" s="8">
        <f>SUM(CL1376:CP1376)</f>
        <v>0</v>
      </c>
      <c r="CS1376" s="6"/>
      <c r="CT1376" s="7"/>
      <c r="CU1376" s="7"/>
      <c r="CV1376" s="7"/>
      <c r="CW1376" s="7"/>
      <c r="CX1376" s="8">
        <f t="shared" ref="CX1376:CX1378" si="6358">SUM(CS1376:CW1376)</f>
        <v>0</v>
      </c>
      <c r="CZ1376" s="6"/>
      <c r="DA1376" s="7"/>
      <c r="DB1376" s="7"/>
      <c r="DC1376" s="7"/>
      <c r="DD1376" s="7"/>
      <c r="DE1376" s="8">
        <f t="shared" ref="DE1376:DE1378" si="6359">SUM(CZ1376:DD1376)</f>
        <v>0</v>
      </c>
    </row>
    <row r="1377" spans="2:110">
      <c r="C1377" s="567"/>
      <c r="E1377" s="5" t="s">
        <v>61</v>
      </c>
      <c r="F1377" s="23">
        <f t="shared" si="6354"/>
        <v>0</v>
      </c>
      <c r="G1377" s="24">
        <f t="shared" si="6345"/>
        <v>0</v>
      </c>
      <c r="H1377" s="24">
        <f t="shared" si="6346"/>
        <v>0</v>
      </c>
      <c r="I1377" s="24">
        <f t="shared" si="6347"/>
        <v>0</v>
      </c>
      <c r="J1377" s="24">
        <f t="shared" si="6348"/>
        <v>0</v>
      </c>
      <c r="K1377" s="8">
        <f t="shared" si="6355"/>
        <v>0</v>
      </c>
      <c r="M1377" s="6"/>
      <c r="N1377" s="7"/>
      <c r="O1377" s="7"/>
      <c r="P1377" s="7"/>
      <c r="Q1377" s="7"/>
      <c r="R1377" s="8">
        <f t="shared" si="6356"/>
        <v>0</v>
      </c>
      <c r="T1377" s="6"/>
      <c r="U1377" s="7"/>
      <c r="V1377" s="7"/>
      <c r="W1377" s="7"/>
      <c r="X1377" s="7"/>
      <c r="Y1377" s="8">
        <f t="shared" si="6357"/>
        <v>0</v>
      </c>
      <c r="AA1377" s="6"/>
      <c r="AB1377" s="7"/>
      <c r="AC1377" s="7"/>
      <c r="AD1377" s="7"/>
      <c r="AE1377" s="7"/>
      <c r="AF1377" s="8">
        <f>SUM(AA1377:AE1377)</f>
        <v>0</v>
      </c>
      <c r="AH1377" s="6"/>
      <c r="AI1377" s="7"/>
      <c r="AJ1377" s="7"/>
      <c r="AK1377" s="7"/>
      <c r="AL1377" s="7"/>
      <c r="AM1377" s="8">
        <f>SUM(AH1377:AL1377)</f>
        <v>0</v>
      </c>
      <c r="AO1377" s="6"/>
      <c r="AP1377" s="7"/>
      <c r="AQ1377" s="7"/>
      <c r="AR1377" s="7"/>
      <c r="AS1377" s="7"/>
      <c r="AT1377" s="8">
        <f>SUM(AO1377:AS1377)</f>
        <v>0</v>
      </c>
      <c r="AV1377" s="6"/>
      <c r="AW1377" s="7"/>
      <c r="AX1377" s="7"/>
      <c r="AY1377" s="7"/>
      <c r="AZ1377" s="7"/>
      <c r="BA1377" s="8">
        <f>SUM(AV1377:AZ1377)</f>
        <v>0</v>
      </c>
      <c r="BC1377" s="6"/>
      <c r="BD1377" s="7"/>
      <c r="BE1377" s="7"/>
      <c r="BF1377" s="7"/>
      <c r="BG1377" s="7"/>
      <c r="BH1377" s="8">
        <f>SUM(BC1377:BG1377)</f>
        <v>0</v>
      </c>
      <c r="BJ1377" s="6"/>
      <c r="BK1377" s="7"/>
      <c r="BL1377" s="7"/>
      <c r="BM1377" s="7"/>
      <c r="BN1377" s="7"/>
      <c r="BO1377" s="8">
        <f>SUM(BJ1377:BN1377)</f>
        <v>0</v>
      </c>
      <c r="BQ1377" s="6"/>
      <c r="BR1377" s="7"/>
      <c r="BS1377" s="7"/>
      <c r="BT1377" s="7"/>
      <c r="BU1377" s="7"/>
      <c r="BV1377" s="8">
        <f>SUM(BQ1377:BU1377)</f>
        <v>0</v>
      </c>
      <c r="BX1377" s="6"/>
      <c r="BY1377" s="7"/>
      <c r="BZ1377" s="7"/>
      <c r="CA1377" s="7"/>
      <c r="CB1377" s="7"/>
      <c r="CC1377" s="8">
        <f>SUM(BX1377:CB1377)</f>
        <v>0</v>
      </c>
      <c r="CE1377" s="28">
        <f t="shared" si="6349"/>
        <v>0</v>
      </c>
      <c r="CF1377" s="29">
        <f t="shared" si="6350"/>
        <v>0</v>
      </c>
      <c r="CG1377" s="29">
        <f t="shared" si="6351"/>
        <v>0</v>
      </c>
      <c r="CH1377" s="29">
        <f t="shared" si="6352"/>
        <v>0</v>
      </c>
      <c r="CI1377" s="29">
        <f t="shared" si="6353"/>
        <v>0</v>
      </c>
      <c r="CJ1377" s="8">
        <f>SUM(CE1377:CI1377)</f>
        <v>0</v>
      </c>
      <c r="CL1377" s="6"/>
      <c r="CM1377" s="7"/>
      <c r="CN1377" s="7"/>
      <c r="CO1377" s="7"/>
      <c r="CP1377" s="7"/>
      <c r="CQ1377" s="8">
        <f>SUM(CL1377:CP1377)</f>
        <v>0</v>
      </c>
      <c r="CS1377" s="6"/>
      <c r="CT1377" s="7"/>
      <c r="CU1377" s="7"/>
      <c r="CV1377" s="7"/>
      <c r="CW1377" s="7"/>
      <c r="CX1377" s="8">
        <f t="shared" si="6358"/>
        <v>0</v>
      </c>
      <c r="CZ1377" s="6"/>
      <c r="DA1377" s="7"/>
      <c r="DB1377" s="7"/>
      <c r="DC1377" s="7"/>
      <c r="DD1377" s="7"/>
      <c r="DE1377" s="8">
        <f t="shared" si="6359"/>
        <v>0</v>
      </c>
    </row>
    <row r="1378" spans="2:110" ht="14" thickBot="1">
      <c r="C1378" s="567"/>
      <c r="E1378" s="5" t="s">
        <v>62</v>
      </c>
      <c r="F1378" s="23">
        <f t="shared" si="6354"/>
        <v>0</v>
      </c>
      <c r="G1378" s="24">
        <f t="shared" si="6345"/>
        <v>0</v>
      </c>
      <c r="H1378" s="24">
        <f t="shared" si="6346"/>
        <v>0</v>
      </c>
      <c r="I1378" s="24">
        <f t="shared" si="6347"/>
        <v>0</v>
      </c>
      <c r="J1378" s="24">
        <f t="shared" si="6348"/>
        <v>0</v>
      </c>
      <c r="K1378" s="8">
        <f t="shared" si="6355"/>
        <v>0</v>
      </c>
      <c r="M1378" s="6"/>
      <c r="N1378" s="7"/>
      <c r="O1378" s="7"/>
      <c r="P1378" s="7"/>
      <c r="Q1378" s="7"/>
      <c r="R1378" s="8">
        <f t="shared" si="6356"/>
        <v>0</v>
      </c>
      <c r="T1378" s="6"/>
      <c r="U1378" s="7"/>
      <c r="V1378" s="7"/>
      <c r="W1378" s="7"/>
      <c r="X1378" s="7"/>
      <c r="Y1378" s="8">
        <f t="shared" si="6357"/>
        <v>0</v>
      </c>
      <c r="AA1378" s="6"/>
      <c r="AB1378" s="7"/>
      <c r="AC1378" s="7"/>
      <c r="AD1378" s="7"/>
      <c r="AE1378" s="7"/>
      <c r="AF1378" s="8">
        <f>SUM(AA1378:AE1378)</f>
        <v>0</v>
      </c>
      <c r="AH1378" s="6"/>
      <c r="AI1378" s="7"/>
      <c r="AJ1378" s="7"/>
      <c r="AK1378" s="7"/>
      <c r="AL1378" s="7"/>
      <c r="AM1378" s="8">
        <f>SUM(AH1378:AL1378)</f>
        <v>0</v>
      </c>
      <c r="AO1378" s="6"/>
      <c r="AP1378" s="7"/>
      <c r="AQ1378" s="7"/>
      <c r="AR1378" s="7"/>
      <c r="AS1378" s="7"/>
      <c r="AT1378" s="8">
        <f>SUM(AO1378:AS1378)</f>
        <v>0</v>
      </c>
      <c r="AV1378" s="6"/>
      <c r="AW1378" s="7"/>
      <c r="AX1378" s="7"/>
      <c r="AY1378" s="7"/>
      <c r="AZ1378" s="7"/>
      <c r="BA1378" s="8">
        <f>SUM(AV1378:AZ1378)</f>
        <v>0</v>
      </c>
      <c r="BC1378" s="6"/>
      <c r="BD1378" s="7"/>
      <c r="BE1378" s="7"/>
      <c r="BF1378" s="7"/>
      <c r="BG1378" s="7"/>
      <c r="BH1378" s="8">
        <f>SUM(BC1378:BG1378)</f>
        <v>0</v>
      </c>
      <c r="BJ1378" s="6"/>
      <c r="BK1378" s="7"/>
      <c r="BL1378" s="7"/>
      <c r="BM1378" s="7"/>
      <c r="BN1378" s="7"/>
      <c r="BO1378" s="8">
        <f>SUM(BJ1378:BN1378)</f>
        <v>0</v>
      </c>
      <c r="BQ1378" s="6"/>
      <c r="BR1378" s="7"/>
      <c r="BS1378" s="7"/>
      <c r="BT1378" s="7"/>
      <c r="BU1378" s="7"/>
      <c r="BV1378" s="8">
        <f>SUM(BQ1378:BU1378)</f>
        <v>0</v>
      </c>
      <c r="BX1378" s="6"/>
      <c r="BY1378" s="7"/>
      <c r="BZ1378" s="7"/>
      <c r="CA1378" s="7"/>
      <c r="CB1378" s="7"/>
      <c r="CC1378" s="8">
        <f>SUM(BX1378:CB1378)</f>
        <v>0</v>
      </c>
      <c r="CE1378" s="493">
        <f t="shared" si="6349"/>
        <v>0</v>
      </c>
      <c r="CF1378" s="494">
        <f t="shared" si="6350"/>
        <v>0</v>
      </c>
      <c r="CG1378" s="494">
        <f t="shared" si="6351"/>
        <v>0</v>
      </c>
      <c r="CH1378" s="494">
        <f t="shared" si="6352"/>
        <v>0</v>
      </c>
      <c r="CI1378" s="494">
        <f t="shared" si="6353"/>
        <v>0</v>
      </c>
      <c r="CJ1378" s="495">
        <f>SUM(CE1378:CI1378)</f>
        <v>0</v>
      </c>
      <c r="CL1378" s="6"/>
      <c r="CM1378" s="7"/>
      <c r="CN1378" s="7"/>
      <c r="CO1378" s="7"/>
      <c r="CP1378" s="7"/>
      <c r="CQ1378" s="8">
        <f>SUM(CL1378:CP1378)</f>
        <v>0</v>
      </c>
      <c r="CS1378" s="6"/>
      <c r="CT1378" s="7"/>
      <c r="CU1378" s="7"/>
      <c r="CV1378" s="7"/>
      <c r="CW1378" s="7"/>
      <c r="CX1378" s="8">
        <f t="shared" si="6358"/>
        <v>0</v>
      </c>
      <c r="CZ1378" s="6"/>
      <c r="DA1378" s="7"/>
      <c r="DB1378" s="7"/>
      <c r="DC1378" s="7"/>
      <c r="DD1378" s="7"/>
      <c r="DE1378" s="8">
        <f t="shared" si="6359"/>
        <v>0</v>
      </c>
    </row>
    <row r="1379" spans="2:110" ht="14" thickBot="1">
      <c r="C1379" s="554"/>
      <c r="E1379" s="9"/>
      <c r="F1379" s="10">
        <f>SUM(F1375:F1378)</f>
        <v>0</v>
      </c>
      <c r="G1379" s="11">
        <f t="shared" ref="G1379:J1379" si="6360">SUM(G1375:G1378)</f>
        <v>0</v>
      </c>
      <c r="H1379" s="11">
        <f t="shared" si="6360"/>
        <v>0</v>
      </c>
      <c r="I1379" s="11">
        <f t="shared" si="6360"/>
        <v>0</v>
      </c>
      <c r="J1379" s="11">
        <f t="shared" si="6360"/>
        <v>0</v>
      </c>
      <c r="K1379" s="25">
        <f>SUM(K1375:K1378)</f>
        <v>0</v>
      </c>
      <c r="M1379" s="10">
        <f>SUM(M1375:M1378)</f>
        <v>0</v>
      </c>
      <c r="N1379" s="11">
        <f t="shared" ref="N1379:Q1379" si="6361">SUM(N1375:N1378)</f>
        <v>0</v>
      </c>
      <c r="O1379" s="11">
        <f t="shared" si="6361"/>
        <v>0</v>
      </c>
      <c r="P1379" s="11">
        <f t="shared" si="6361"/>
        <v>0</v>
      </c>
      <c r="Q1379" s="11">
        <f t="shared" si="6361"/>
        <v>0</v>
      </c>
      <c r="R1379" s="25">
        <f>SUM(R1375:R1378)</f>
        <v>0</v>
      </c>
      <c r="T1379" s="10">
        <f>SUM(T1375:T1378)</f>
        <v>0</v>
      </c>
      <c r="U1379" s="11">
        <f t="shared" ref="U1379:X1379" si="6362">SUM(U1375:U1378)</f>
        <v>0</v>
      </c>
      <c r="V1379" s="11">
        <f t="shared" si="6362"/>
        <v>0</v>
      </c>
      <c r="W1379" s="11">
        <f t="shared" si="6362"/>
        <v>0</v>
      </c>
      <c r="X1379" s="11">
        <f t="shared" si="6362"/>
        <v>0</v>
      </c>
      <c r="Y1379" s="25">
        <f>SUM(Y1375:Y1378)</f>
        <v>0</v>
      </c>
      <c r="AA1379" s="10">
        <f>SUM(AA1375:AA1378)</f>
        <v>0</v>
      </c>
      <c r="AB1379" s="11">
        <f t="shared" ref="AB1379:AE1379" si="6363">SUM(AB1375:AB1378)</f>
        <v>0</v>
      </c>
      <c r="AC1379" s="11">
        <f t="shared" si="6363"/>
        <v>0</v>
      </c>
      <c r="AD1379" s="11">
        <f t="shared" si="6363"/>
        <v>0</v>
      </c>
      <c r="AE1379" s="11">
        <f t="shared" si="6363"/>
        <v>0</v>
      </c>
      <c r="AF1379" s="25">
        <f>SUM(AF1375:AF1378)</f>
        <v>0</v>
      </c>
      <c r="AH1379" s="10">
        <f>SUM(AH1375:AH1378)</f>
        <v>0</v>
      </c>
      <c r="AI1379" s="11">
        <f t="shared" ref="AI1379:AL1379" si="6364">SUM(AI1375:AI1378)</f>
        <v>0</v>
      </c>
      <c r="AJ1379" s="11">
        <f t="shared" si="6364"/>
        <v>0</v>
      </c>
      <c r="AK1379" s="11">
        <f t="shared" si="6364"/>
        <v>0</v>
      </c>
      <c r="AL1379" s="11">
        <f t="shared" si="6364"/>
        <v>0</v>
      </c>
      <c r="AM1379" s="25">
        <f>SUM(AM1375:AM1378)</f>
        <v>0</v>
      </c>
      <c r="AO1379" s="10">
        <f>SUM(AO1375:AO1378)</f>
        <v>0</v>
      </c>
      <c r="AP1379" s="11">
        <f t="shared" ref="AP1379:AS1379" si="6365">SUM(AP1375:AP1378)</f>
        <v>0</v>
      </c>
      <c r="AQ1379" s="11">
        <f t="shared" si="6365"/>
        <v>0</v>
      </c>
      <c r="AR1379" s="11">
        <f t="shared" si="6365"/>
        <v>0</v>
      </c>
      <c r="AS1379" s="11">
        <f t="shared" si="6365"/>
        <v>0</v>
      </c>
      <c r="AT1379" s="25">
        <f>SUM(AT1375:AT1378)</f>
        <v>0</v>
      </c>
      <c r="AV1379" s="10">
        <f>SUM(AV1375:AV1378)</f>
        <v>0</v>
      </c>
      <c r="AW1379" s="11">
        <f t="shared" ref="AW1379:AZ1379" si="6366">SUM(AW1375:AW1378)</f>
        <v>0</v>
      </c>
      <c r="AX1379" s="11">
        <f t="shared" si="6366"/>
        <v>0</v>
      </c>
      <c r="AY1379" s="11">
        <f t="shared" si="6366"/>
        <v>0</v>
      </c>
      <c r="AZ1379" s="11">
        <f t="shared" si="6366"/>
        <v>0</v>
      </c>
      <c r="BA1379" s="25">
        <f>SUM(BA1375:BA1378)</f>
        <v>0</v>
      </c>
      <c r="BC1379" s="10">
        <f>SUM(BC1375:BC1378)</f>
        <v>0</v>
      </c>
      <c r="BD1379" s="11">
        <f t="shared" ref="BD1379:BG1379" si="6367">SUM(BD1375:BD1378)</f>
        <v>0</v>
      </c>
      <c r="BE1379" s="11">
        <f t="shared" si="6367"/>
        <v>0</v>
      </c>
      <c r="BF1379" s="11">
        <f t="shared" si="6367"/>
        <v>0</v>
      </c>
      <c r="BG1379" s="11">
        <f t="shared" si="6367"/>
        <v>0</v>
      </c>
      <c r="BH1379" s="25">
        <f>SUM(BH1375:BH1378)</f>
        <v>0</v>
      </c>
      <c r="BJ1379" s="10">
        <f>SUM(BJ1375:BJ1378)</f>
        <v>0</v>
      </c>
      <c r="BK1379" s="11">
        <f t="shared" ref="BK1379:BN1379" si="6368">SUM(BK1375:BK1378)</f>
        <v>0</v>
      </c>
      <c r="BL1379" s="11">
        <f t="shared" si="6368"/>
        <v>0</v>
      </c>
      <c r="BM1379" s="11">
        <f t="shared" si="6368"/>
        <v>0</v>
      </c>
      <c r="BN1379" s="11">
        <f t="shared" si="6368"/>
        <v>0</v>
      </c>
      <c r="BO1379" s="25">
        <f>SUM(BO1375:BO1378)</f>
        <v>0</v>
      </c>
      <c r="BQ1379" s="10">
        <f>SUM(BQ1375:BQ1378)</f>
        <v>0</v>
      </c>
      <c r="BR1379" s="11">
        <f t="shared" ref="BR1379:BU1379" si="6369">SUM(BR1375:BR1378)</f>
        <v>0</v>
      </c>
      <c r="BS1379" s="11">
        <f t="shared" si="6369"/>
        <v>0</v>
      </c>
      <c r="BT1379" s="11">
        <f t="shared" si="6369"/>
        <v>0</v>
      </c>
      <c r="BU1379" s="11">
        <f t="shared" si="6369"/>
        <v>0</v>
      </c>
      <c r="BV1379" s="25">
        <f>SUM(BV1375:BV1378)</f>
        <v>0</v>
      </c>
      <c r="BX1379" s="10">
        <f>SUM(BX1375:BX1378)</f>
        <v>0</v>
      </c>
      <c r="BY1379" s="11">
        <f t="shared" ref="BY1379:CB1379" si="6370">SUM(BY1375:BY1378)</f>
        <v>0</v>
      </c>
      <c r="BZ1379" s="11">
        <f t="shared" si="6370"/>
        <v>0</v>
      </c>
      <c r="CA1379" s="11">
        <f t="shared" si="6370"/>
        <v>0</v>
      </c>
      <c r="CB1379" s="11">
        <f t="shared" si="6370"/>
        <v>0</v>
      </c>
      <c r="CC1379" s="25">
        <f>SUM(CC1375:CC1378)</f>
        <v>0</v>
      </c>
      <c r="CE1379" s="62">
        <f t="shared" ref="CE1379:CJ1379" si="6371">SUM(CE1375:CE1378)</f>
        <v>0</v>
      </c>
      <c r="CF1379" s="63">
        <f t="shared" si="6371"/>
        <v>0</v>
      </c>
      <c r="CG1379" s="63">
        <f t="shared" si="6371"/>
        <v>0</v>
      </c>
      <c r="CH1379" s="63">
        <f t="shared" si="6371"/>
        <v>0</v>
      </c>
      <c r="CI1379" s="63">
        <f t="shared" si="6371"/>
        <v>0</v>
      </c>
      <c r="CJ1379" s="25">
        <f t="shared" si="6371"/>
        <v>0</v>
      </c>
      <c r="CL1379" s="10">
        <f>SUM(CL1375:CL1378)</f>
        <v>0</v>
      </c>
      <c r="CM1379" s="11">
        <f t="shared" ref="CM1379:CP1379" si="6372">SUM(CM1375:CM1378)</f>
        <v>0</v>
      </c>
      <c r="CN1379" s="11">
        <f t="shared" si="6372"/>
        <v>0</v>
      </c>
      <c r="CO1379" s="11">
        <f t="shared" si="6372"/>
        <v>0</v>
      </c>
      <c r="CP1379" s="11">
        <f t="shared" si="6372"/>
        <v>0</v>
      </c>
      <c r="CQ1379" s="25">
        <f>SUM(CQ1375:CQ1378)</f>
        <v>0</v>
      </c>
      <c r="CS1379" s="10">
        <f>SUM(CS1375:CS1378)</f>
        <v>0</v>
      </c>
      <c r="CT1379" s="11">
        <f t="shared" ref="CT1379:CW1379" si="6373">SUM(CT1375:CT1378)</f>
        <v>0</v>
      </c>
      <c r="CU1379" s="11">
        <f t="shared" si="6373"/>
        <v>0</v>
      </c>
      <c r="CV1379" s="11">
        <f t="shared" si="6373"/>
        <v>0</v>
      </c>
      <c r="CW1379" s="11">
        <f t="shared" si="6373"/>
        <v>0</v>
      </c>
      <c r="CX1379" s="25">
        <f>SUM(CX1375:CX1378)</f>
        <v>0</v>
      </c>
      <c r="CZ1379" s="10">
        <f>SUM(CZ1375:CZ1378)</f>
        <v>0</v>
      </c>
      <c r="DA1379" s="11">
        <f t="shared" ref="DA1379:DD1379" si="6374">SUM(DA1375:DA1378)</f>
        <v>0</v>
      </c>
      <c r="DB1379" s="11">
        <f t="shared" si="6374"/>
        <v>0</v>
      </c>
      <c r="DC1379" s="11">
        <f t="shared" si="6374"/>
        <v>0</v>
      </c>
      <c r="DD1379" s="11">
        <f t="shared" si="6374"/>
        <v>0</v>
      </c>
      <c r="DE1379" s="25">
        <f>SUM(DE1375:DE1378)</f>
        <v>0</v>
      </c>
    </row>
    <row r="1381" spans="2:110">
      <c r="B1381" s="123"/>
      <c r="C1381" s="20"/>
      <c r="D1381" s="20"/>
      <c r="E1381" s="20"/>
      <c r="F1381" s="20"/>
      <c r="G1381" s="20"/>
      <c r="H1381" s="20"/>
      <c r="I1381" s="20"/>
      <c r="J1381" s="20"/>
      <c r="K1381" s="20"/>
      <c r="L1381" s="20"/>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Q1381" s="20"/>
      <c r="BR1381" s="20"/>
      <c r="BS1381" s="20"/>
      <c r="BT1381" s="20"/>
      <c r="BU1381" s="20"/>
      <c r="BV1381" s="20"/>
      <c r="BW1381" s="20"/>
      <c r="BX1381" s="20"/>
      <c r="BY1381" s="20"/>
      <c r="BZ1381" s="20"/>
      <c r="CA1381" s="20"/>
      <c r="CB1381" s="20"/>
      <c r="CC1381" s="20"/>
      <c r="CD1381" s="20"/>
      <c r="CE1381" s="20"/>
      <c r="CF1381" s="20"/>
      <c r="CG1381" s="20"/>
      <c r="CH1381" s="20"/>
      <c r="CI1381" s="20"/>
      <c r="CJ1381" s="20"/>
      <c r="CK1381" s="20"/>
      <c r="CL1381" s="20"/>
      <c r="CM1381" s="20"/>
      <c r="CN1381" s="20"/>
      <c r="CO1381" s="20"/>
      <c r="CP1381" s="20"/>
      <c r="CQ1381" s="20"/>
      <c r="CR1381" s="20"/>
      <c r="CS1381" s="20"/>
      <c r="CT1381" s="20"/>
      <c r="CU1381" s="20"/>
      <c r="CV1381" s="20"/>
      <c r="CW1381" s="20"/>
      <c r="CX1381" s="20"/>
      <c r="CY1381" s="20"/>
      <c r="CZ1381" s="20"/>
      <c r="DA1381" s="20"/>
      <c r="DB1381" s="20"/>
      <c r="DC1381" s="20"/>
      <c r="DD1381" s="20"/>
      <c r="DE1381" s="20"/>
      <c r="DF1381" s="20"/>
    </row>
    <row r="1382" spans="2:110" ht="14" thickBot="1">
      <c r="B1382" s="94">
        <v>44</v>
      </c>
      <c r="C1382" s="12" t="s">
        <v>105</v>
      </c>
    </row>
    <row r="1383" spans="2:110">
      <c r="C1383" s="553">
        <v>2024</v>
      </c>
      <c r="E1383" s="1" t="s">
        <v>59</v>
      </c>
      <c r="F1383" s="2"/>
      <c r="G1383" s="3"/>
      <c r="H1383" s="3"/>
      <c r="I1383" s="3"/>
      <c r="J1383" s="3"/>
      <c r="K1383" s="4">
        <f>SUM(F1383:J1383)</f>
        <v>0</v>
      </c>
      <c r="M1383" s="2"/>
      <c r="N1383" s="3"/>
      <c r="O1383" s="3"/>
      <c r="P1383" s="3"/>
      <c r="Q1383" s="3"/>
      <c r="R1383" s="4">
        <f>SUM(M1383:Q1383)</f>
        <v>0</v>
      </c>
      <c r="T1383" s="2"/>
      <c r="U1383" s="3"/>
      <c r="V1383" s="3"/>
      <c r="W1383" s="3"/>
      <c r="X1383" s="3"/>
      <c r="Y1383" s="4">
        <f>SUM(T1383:X1383)</f>
        <v>0</v>
      </c>
      <c r="AA1383" s="2"/>
      <c r="AB1383" s="3"/>
      <c r="AC1383" s="3"/>
      <c r="AD1383" s="3"/>
      <c r="AE1383" s="3"/>
      <c r="AF1383" s="4">
        <f>SUM(AA1383:AE1383)</f>
        <v>0</v>
      </c>
      <c r="AH1383" s="2"/>
      <c r="AI1383" s="3"/>
      <c r="AJ1383" s="3"/>
      <c r="AK1383" s="3"/>
      <c r="AL1383" s="3"/>
      <c r="AM1383" s="4">
        <f>SUM(AH1383:AL1383)</f>
        <v>0</v>
      </c>
      <c r="AO1383" s="2"/>
      <c r="AP1383" s="3"/>
      <c r="AQ1383" s="3"/>
      <c r="AR1383" s="3"/>
      <c r="AS1383" s="3"/>
      <c r="AT1383" s="4">
        <f>SUM(AO1383:AS1383)</f>
        <v>0</v>
      </c>
      <c r="AV1383" s="2"/>
      <c r="AW1383" s="3"/>
      <c r="AX1383" s="3"/>
      <c r="AY1383" s="3"/>
      <c r="AZ1383" s="3"/>
      <c r="BA1383" s="4">
        <f>SUM(AV1383:AZ1383)</f>
        <v>0</v>
      </c>
      <c r="BC1383" s="2"/>
      <c r="BD1383" s="3"/>
      <c r="BE1383" s="3"/>
      <c r="BF1383" s="3"/>
      <c r="BG1383" s="3"/>
      <c r="BH1383" s="4">
        <f>SUM(BC1383:BG1383)</f>
        <v>0</v>
      </c>
      <c r="BJ1383" s="2"/>
      <c r="BK1383" s="3"/>
      <c r="BL1383" s="3"/>
      <c r="BM1383" s="3"/>
      <c r="BN1383" s="3"/>
      <c r="BO1383" s="4">
        <f>SUM(BJ1383:BN1383)</f>
        <v>0</v>
      </c>
      <c r="BQ1383" s="2"/>
      <c r="BR1383" s="3"/>
      <c r="BS1383" s="3"/>
      <c r="BT1383" s="3"/>
      <c r="BU1383" s="3"/>
      <c r="BV1383" s="4">
        <f>SUM(BQ1383:BU1383)</f>
        <v>0</v>
      </c>
      <c r="BX1383" s="2"/>
      <c r="BY1383" s="3"/>
      <c r="BZ1383" s="3"/>
      <c r="CA1383" s="3"/>
      <c r="CB1383" s="3"/>
      <c r="CC1383" s="4">
        <f>SUM(BX1383:CB1383)</f>
        <v>0</v>
      </c>
      <c r="CE1383" s="26">
        <f t="shared" ref="CE1383:CE1386" si="6375">F1383+M1383+T1383+AA1383+AH1383+AO1383+AV1383+BC1383+BJ1383+BQ1383+BX1383</f>
        <v>0</v>
      </c>
      <c r="CF1383" s="27">
        <f t="shared" ref="CF1383:CF1386" si="6376">G1383+N1383+U1383+AB1383+AI1383+AP1383+AW1383+BD1383+BK1383+BR1383+BY1383</f>
        <v>0</v>
      </c>
      <c r="CG1383" s="27">
        <f t="shared" ref="CG1383:CG1386" si="6377">H1383+O1383+V1383+AC1383+AJ1383+AQ1383+AX1383+BE1383+BL1383+BS1383+BZ1383</f>
        <v>0</v>
      </c>
      <c r="CH1383" s="27">
        <f t="shared" ref="CH1383:CH1386" si="6378">I1383+P1383+W1383+AD1383+AK1383+AR1383+AY1383+BF1383+BM1383+BT1383+CA1383</f>
        <v>0</v>
      </c>
      <c r="CI1383" s="27">
        <f t="shared" ref="CI1383:CI1386" si="6379">J1383+Q1383+X1383+AE1383+AL1383+AS1383+AZ1383+BG1383+BN1383+BU1383+CB1383</f>
        <v>0</v>
      </c>
      <c r="CJ1383" s="4">
        <f>SUM(CE1383:CI1383)</f>
        <v>0</v>
      </c>
      <c r="CL1383" s="2"/>
      <c r="CM1383" s="3"/>
      <c r="CN1383" s="3"/>
      <c r="CO1383" s="3"/>
      <c r="CP1383" s="3"/>
      <c r="CQ1383" s="4">
        <f>SUM(CL1383:CP1383)</f>
        <v>0</v>
      </c>
      <c r="CS1383" s="2"/>
      <c r="CT1383" s="3"/>
      <c r="CU1383" s="3"/>
      <c r="CV1383" s="3"/>
      <c r="CW1383" s="3"/>
      <c r="CX1383" s="4">
        <f>SUM(CS1383:CW1383)</f>
        <v>0</v>
      </c>
      <c r="CZ1383" s="2"/>
      <c r="DA1383" s="3"/>
      <c r="DB1383" s="3"/>
      <c r="DC1383" s="3"/>
      <c r="DD1383" s="3"/>
      <c r="DE1383" s="4">
        <f>SUM(CZ1383:DD1383)</f>
        <v>0</v>
      </c>
    </row>
    <row r="1384" spans="2:110">
      <c r="C1384" s="567"/>
      <c r="E1384" s="5" t="s">
        <v>60</v>
      </c>
      <c r="F1384" s="6"/>
      <c r="G1384" s="7"/>
      <c r="H1384" s="7"/>
      <c r="I1384" s="7"/>
      <c r="J1384" s="7"/>
      <c r="K1384" s="8">
        <f t="shared" ref="K1384:K1386" si="6380">SUM(F1384:J1384)</f>
        <v>0</v>
      </c>
      <c r="M1384" s="6"/>
      <c r="N1384" s="7"/>
      <c r="O1384" s="7"/>
      <c r="P1384" s="7"/>
      <c r="Q1384" s="7"/>
      <c r="R1384" s="8">
        <f t="shared" ref="R1384:R1386" si="6381">SUM(M1384:Q1384)</f>
        <v>0</v>
      </c>
      <c r="T1384" s="6"/>
      <c r="U1384" s="7"/>
      <c r="V1384" s="7"/>
      <c r="W1384" s="7"/>
      <c r="X1384" s="7"/>
      <c r="Y1384" s="8">
        <f t="shared" ref="Y1384:Y1386" si="6382">SUM(T1384:X1384)</f>
        <v>0</v>
      </c>
      <c r="AA1384" s="6"/>
      <c r="AB1384" s="7"/>
      <c r="AC1384" s="7"/>
      <c r="AD1384" s="7"/>
      <c r="AE1384" s="7"/>
      <c r="AF1384" s="8">
        <f>SUM(AA1384:AE1384)</f>
        <v>0</v>
      </c>
      <c r="AH1384" s="6"/>
      <c r="AI1384" s="7"/>
      <c r="AJ1384" s="7"/>
      <c r="AK1384" s="7"/>
      <c r="AL1384" s="7"/>
      <c r="AM1384" s="8">
        <f>SUM(AH1384:AL1384)</f>
        <v>0</v>
      </c>
      <c r="AO1384" s="6"/>
      <c r="AP1384" s="7"/>
      <c r="AQ1384" s="7"/>
      <c r="AR1384" s="7"/>
      <c r="AS1384" s="7"/>
      <c r="AT1384" s="8">
        <f>SUM(AO1384:AS1384)</f>
        <v>0</v>
      </c>
      <c r="AV1384" s="6"/>
      <c r="AW1384" s="7"/>
      <c r="AX1384" s="7"/>
      <c r="AY1384" s="7"/>
      <c r="AZ1384" s="7"/>
      <c r="BA1384" s="8">
        <f>SUM(AV1384:AZ1384)</f>
        <v>0</v>
      </c>
      <c r="BC1384" s="6"/>
      <c r="BD1384" s="7"/>
      <c r="BE1384" s="7"/>
      <c r="BF1384" s="7"/>
      <c r="BG1384" s="7"/>
      <c r="BH1384" s="8">
        <f>SUM(BC1384:BG1384)</f>
        <v>0</v>
      </c>
      <c r="BJ1384" s="6"/>
      <c r="BK1384" s="7"/>
      <c r="BL1384" s="7"/>
      <c r="BM1384" s="7"/>
      <c r="BN1384" s="7"/>
      <c r="BO1384" s="8">
        <f>SUM(BJ1384:BN1384)</f>
        <v>0</v>
      </c>
      <c r="BQ1384" s="6"/>
      <c r="BR1384" s="7"/>
      <c r="BS1384" s="7"/>
      <c r="BT1384" s="7"/>
      <c r="BU1384" s="7"/>
      <c r="BV1384" s="8">
        <f>SUM(BQ1384:BU1384)</f>
        <v>0</v>
      </c>
      <c r="BX1384" s="6"/>
      <c r="BY1384" s="7"/>
      <c r="BZ1384" s="7"/>
      <c r="CA1384" s="7"/>
      <c r="CB1384" s="7"/>
      <c r="CC1384" s="8">
        <f>SUM(BX1384:CB1384)</f>
        <v>0</v>
      </c>
      <c r="CE1384" s="28">
        <f t="shared" si="6375"/>
        <v>0</v>
      </c>
      <c r="CF1384" s="29">
        <f t="shared" si="6376"/>
        <v>0</v>
      </c>
      <c r="CG1384" s="29">
        <f t="shared" si="6377"/>
        <v>0</v>
      </c>
      <c r="CH1384" s="29">
        <f t="shared" si="6378"/>
        <v>0</v>
      </c>
      <c r="CI1384" s="29">
        <f t="shared" si="6379"/>
        <v>0</v>
      </c>
      <c r="CJ1384" s="8">
        <f>SUM(CE1384:CI1384)</f>
        <v>0</v>
      </c>
      <c r="CL1384" s="6"/>
      <c r="CM1384" s="7"/>
      <c r="CN1384" s="7"/>
      <c r="CO1384" s="7"/>
      <c r="CP1384" s="7"/>
      <c r="CQ1384" s="8">
        <f>SUM(CL1384:CP1384)</f>
        <v>0</v>
      </c>
      <c r="CS1384" s="6"/>
      <c r="CT1384" s="7"/>
      <c r="CU1384" s="7"/>
      <c r="CV1384" s="7"/>
      <c r="CW1384" s="7"/>
      <c r="CX1384" s="8">
        <f t="shared" ref="CX1384:CX1386" si="6383">SUM(CS1384:CW1384)</f>
        <v>0</v>
      </c>
      <c r="CZ1384" s="6"/>
      <c r="DA1384" s="7"/>
      <c r="DB1384" s="7"/>
      <c r="DC1384" s="7"/>
      <c r="DD1384" s="7"/>
      <c r="DE1384" s="8">
        <f t="shared" ref="DE1384:DE1386" si="6384">SUM(CZ1384:DD1384)</f>
        <v>0</v>
      </c>
    </row>
    <row r="1385" spans="2:110">
      <c r="C1385" s="567"/>
      <c r="E1385" s="5" t="s">
        <v>61</v>
      </c>
      <c r="F1385" s="6"/>
      <c r="G1385" s="7"/>
      <c r="H1385" s="7"/>
      <c r="I1385" s="7"/>
      <c r="J1385" s="7"/>
      <c r="K1385" s="8">
        <f t="shared" si="6380"/>
        <v>0</v>
      </c>
      <c r="M1385" s="6"/>
      <c r="N1385" s="7"/>
      <c r="O1385" s="7"/>
      <c r="P1385" s="7"/>
      <c r="Q1385" s="7"/>
      <c r="R1385" s="8">
        <f t="shared" si="6381"/>
        <v>0</v>
      </c>
      <c r="T1385" s="6"/>
      <c r="U1385" s="7"/>
      <c r="V1385" s="7"/>
      <c r="W1385" s="7"/>
      <c r="X1385" s="7"/>
      <c r="Y1385" s="8">
        <f t="shared" si="6382"/>
        <v>0</v>
      </c>
      <c r="AA1385" s="6"/>
      <c r="AB1385" s="7"/>
      <c r="AC1385" s="7"/>
      <c r="AD1385" s="7"/>
      <c r="AE1385" s="7"/>
      <c r="AF1385" s="8">
        <f>SUM(AA1385:AE1385)</f>
        <v>0</v>
      </c>
      <c r="AH1385" s="6"/>
      <c r="AI1385" s="7"/>
      <c r="AJ1385" s="7"/>
      <c r="AK1385" s="7"/>
      <c r="AL1385" s="7"/>
      <c r="AM1385" s="8">
        <f>SUM(AH1385:AL1385)</f>
        <v>0</v>
      </c>
      <c r="AO1385" s="6"/>
      <c r="AP1385" s="7"/>
      <c r="AQ1385" s="7"/>
      <c r="AR1385" s="7"/>
      <c r="AS1385" s="7"/>
      <c r="AT1385" s="8">
        <f>SUM(AO1385:AS1385)</f>
        <v>0</v>
      </c>
      <c r="AV1385" s="6"/>
      <c r="AW1385" s="7"/>
      <c r="AX1385" s="7"/>
      <c r="AY1385" s="7"/>
      <c r="AZ1385" s="7"/>
      <c r="BA1385" s="8">
        <f>SUM(AV1385:AZ1385)</f>
        <v>0</v>
      </c>
      <c r="BC1385" s="6"/>
      <c r="BD1385" s="7"/>
      <c r="BE1385" s="7"/>
      <c r="BF1385" s="7"/>
      <c r="BG1385" s="7"/>
      <c r="BH1385" s="8">
        <f>SUM(BC1385:BG1385)</f>
        <v>0</v>
      </c>
      <c r="BJ1385" s="6"/>
      <c r="BK1385" s="7"/>
      <c r="BL1385" s="7"/>
      <c r="BM1385" s="7"/>
      <c r="BN1385" s="7"/>
      <c r="BO1385" s="8">
        <f>SUM(BJ1385:BN1385)</f>
        <v>0</v>
      </c>
      <c r="BQ1385" s="6"/>
      <c r="BR1385" s="7"/>
      <c r="BS1385" s="7"/>
      <c r="BT1385" s="7"/>
      <c r="BU1385" s="7"/>
      <c r="BV1385" s="8">
        <f>SUM(BQ1385:BU1385)</f>
        <v>0</v>
      </c>
      <c r="BX1385" s="6"/>
      <c r="BY1385" s="7"/>
      <c r="BZ1385" s="7"/>
      <c r="CA1385" s="7"/>
      <c r="CB1385" s="7"/>
      <c r="CC1385" s="8">
        <f>SUM(BX1385:CB1385)</f>
        <v>0</v>
      </c>
      <c r="CE1385" s="28">
        <f t="shared" si="6375"/>
        <v>0</v>
      </c>
      <c r="CF1385" s="29">
        <f t="shared" si="6376"/>
        <v>0</v>
      </c>
      <c r="CG1385" s="29">
        <f t="shared" si="6377"/>
        <v>0</v>
      </c>
      <c r="CH1385" s="29">
        <f t="shared" si="6378"/>
        <v>0</v>
      </c>
      <c r="CI1385" s="29">
        <f t="shared" si="6379"/>
        <v>0</v>
      </c>
      <c r="CJ1385" s="8">
        <f>SUM(CE1385:CI1385)</f>
        <v>0</v>
      </c>
      <c r="CL1385" s="6"/>
      <c r="CM1385" s="7"/>
      <c r="CN1385" s="7"/>
      <c r="CO1385" s="7"/>
      <c r="CP1385" s="7"/>
      <c r="CQ1385" s="8">
        <f>SUM(CL1385:CP1385)</f>
        <v>0</v>
      </c>
      <c r="CS1385" s="6"/>
      <c r="CT1385" s="7"/>
      <c r="CU1385" s="7"/>
      <c r="CV1385" s="7"/>
      <c r="CW1385" s="7"/>
      <c r="CX1385" s="8">
        <f t="shared" si="6383"/>
        <v>0</v>
      </c>
      <c r="CZ1385" s="6"/>
      <c r="DA1385" s="7"/>
      <c r="DB1385" s="7"/>
      <c r="DC1385" s="7"/>
      <c r="DD1385" s="7"/>
      <c r="DE1385" s="8">
        <f t="shared" si="6384"/>
        <v>0</v>
      </c>
    </row>
    <row r="1386" spans="2:110" ht="14" thickBot="1">
      <c r="C1386" s="567"/>
      <c r="E1386" s="5" t="s">
        <v>62</v>
      </c>
      <c r="F1386" s="6"/>
      <c r="G1386" s="7"/>
      <c r="H1386" s="7"/>
      <c r="I1386" s="7"/>
      <c r="J1386" s="7"/>
      <c r="K1386" s="8">
        <f t="shared" si="6380"/>
        <v>0</v>
      </c>
      <c r="M1386" s="6"/>
      <c r="N1386" s="7"/>
      <c r="O1386" s="7"/>
      <c r="P1386" s="7"/>
      <c r="Q1386" s="7"/>
      <c r="R1386" s="8">
        <f t="shared" si="6381"/>
        <v>0</v>
      </c>
      <c r="T1386" s="6"/>
      <c r="U1386" s="7"/>
      <c r="V1386" s="7"/>
      <c r="W1386" s="7"/>
      <c r="X1386" s="7"/>
      <c r="Y1386" s="8">
        <f t="shared" si="6382"/>
        <v>0</v>
      </c>
      <c r="AA1386" s="6"/>
      <c r="AB1386" s="7"/>
      <c r="AC1386" s="7"/>
      <c r="AD1386" s="7"/>
      <c r="AE1386" s="7"/>
      <c r="AF1386" s="8">
        <f>SUM(AA1386:AE1386)</f>
        <v>0</v>
      </c>
      <c r="AH1386" s="6"/>
      <c r="AI1386" s="7"/>
      <c r="AJ1386" s="7"/>
      <c r="AK1386" s="7"/>
      <c r="AL1386" s="7"/>
      <c r="AM1386" s="8">
        <f>SUM(AH1386:AL1386)</f>
        <v>0</v>
      </c>
      <c r="AO1386" s="6"/>
      <c r="AP1386" s="7"/>
      <c r="AQ1386" s="7"/>
      <c r="AR1386" s="7"/>
      <c r="AS1386" s="7"/>
      <c r="AT1386" s="8">
        <f>SUM(AO1386:AS1386)</f>
        <v>0</v>
      </c>
      <c r="AV1386" s="6"/>
      <c r="AW1386" s="7"/>
      <c r="AX1386" s="7"/>
      <c r="AY1386" s="7"/>
      <c r="AZ1386" s="7"/>
      <c r="BA1386" s="8">
        <f>SUM(AV1386:AZ1386)</f>
        <v>0</v>
      </c>
      <c r="BC1386" s="6"/>
      <c r="BD1386" s="7"/>
      <c r="BE1386" s="7"/>
      <c r="BF1386" s="7"/>
      <c r="BG1386" s="7"/>
      <c r="BH1386" s="8">
        <f>SUM(BC1386:BG1386)</f>
        <v>0</v>
      </c>
      <c r="BJ1386" s="6"/>
      <c r="BK1386" s="7"/>
      <c r="BL1386" s="7"/>
      <c r="BM1386" s="7"/>
      <c r="BN1386" s="7"/>
      <c r="BO1386" s="8">
        <f>SUM(BJ1386:BN1386)</f>
        <v>0</v>
      </c>
      <c r="BQ1386" s="6"/>
      <c r="BR1386" s="7"/>
      <c r="BS1386" s="7"/>
      <c r="BT1386" s="7"/>
      <c r="BU1386" s="7"/>
      <c r="BV1386" s="8">
        <f>SUM(BQ1386:BU1386)</f>
        <v>0</v>
      </c>
      <c r="BX1386" s="6"/>
      <c r="BY1386" s="7"/>
      <c r="BZ1386" s="7"/>
      <c r="CA1386" s="7"/>
      <c r="CB1386" s="7"/>
      <c r="CC1386" s="8">
        <f>SUM(BX1386:CB1386)</f>
        <v>0</v>
      </c>
      <c r="CE1386" s="493">
        <f t="shared" si="6375"/>
        <v>0</v>
      </c>
      <c r="CF1386" s="494">
        <f t="shared" si="6376"/>
        <v>0</v>
      </c>
      <c r="CG1386" s="494">
        <f t="shared" si="6377"/>
        <v>0</v>
      </c>
      <c r="CH1386" s="494">
        <f t="shared" si="6378"/>
        <v>0</v>
      </c>
      <c r="CI1386" s="494">
        <f t="shared" si="6379"/>
        <v>0</v>
      </c>
      <c r="CJ1386" s="495">
        <f>SUM(CE1386:CI1386)</f>
        <v>0</v>
      </c>
      <c r="CL1386" s="6"/>
      <c r="CM1386" s="7"/>
      <c r="CN1386" s="7"/>
      <c r="CO1386" s="7"/>
      <c r="CP1386" s="7"/>
      <c r="CQ1386" s="8">
        <f>SUM(CL1386:CP1386)</f>
        <v>0</v>
      </c>
      <c r="CS1386" s="6"/>
      <c r="CT1386" s="7"/>
      <c r="CU1386" s="7"/>
      <c r="CV1386" s="7"/>
      <c r="CW1386" s="7"/>
      <c r="CX1386" s="8">
        <f t="shared" si="6383"/>
        <v>0</v>
      </c>
      <c r="CZ1386" s="6"/>
      <c r="DA1386" s="7"/>
      <c r="DB1386" s="7"/>
      <c r="DC1386" s="7"/>
      <c r="DD1386" s="7"/>
      <c r="DE1386" s="8">
        <f t="shared" si="6384"/>
        <v>0</v>
      </c>
    </row>
    <row r="1387" spans="2:110" ht="14" thickBot="1">
      <c r="C1387" s="554"/>
      <c r="E1387" s="9"/>
      <c r="F1387" s="10">
        <f>SUM(F1383:F1386)</f>
        <v>0</v>
      </c>
      <c r="G1387" s="11">
        <f t="shared" ref="G1387:J1387" si="6385">SUM(G1383:G1386)</f>
        <v>0</v>
      </c>
      <c r="H1387" s="11">
        <f t="shared" si="6385"/>
        <v>0</v>
      </c>
      <c r="I1387" s="11">
        <f t="shared" si="6385"/>
        <v>0</v>
      </c>
      <c r="J1387" s="61">
        <f t="shared" si="6385"/>
        <v>0</v>
      </c>
      <c r="K1387" s="25">
        <f>SUM(K1383:K1386)</f>
        <v>0</v>
      </c>
      <c r="M1387" s="10">
        <f>SUM(M1383:M1386)</f>
        <v>0</v>
      </c>
      <c r="N1387" s="11">
        <f t="shared" ref="N1387:Q1387" si="6386">SUM(N1383:N1386)</f>
        <v>0</v>
      </c>
      <c r="O1387" s="11">
        <f t="shared" si="6386"/>
        <v>0</v>
      </c>
      <c r="P1387" s="11">
        <f t="shared" si="6386"/>
        <v>0</v>
      </c>
      <c r="Q1387" s="11">
        <f t="shared" si="6386"/>
        <v>0</v>
      </c>
      <c r="R1387" s="25">
        <f>SUM(R1383:R1386)</f>
        <v>0</v>
      </c>
      <c r="T1387" s="10">
        <f>SUM(T1383:T1386)</f>
        <v>0</v>
      </c>
      <c r="U1387" s="11">
        <f t="shared" ref="U1387:X1387" si="6387">SUM(U1383:U1386)</f>
        <v>0</v>
      </c>
      <c r="V1387" s="11">
        <f t="shared" si="6387"/>
        <v>0</v>
      </c>
      <c r="W1387" s="11">
        <f t="shared" si="6387"/>
        <v>0</v>
      </c>
      <c r="X1387" s="11">
        <f t="shared" si="6387"/>
        <v>0</v>
      </c>
      <c r="Y1387" s="25">
        <f>SUM(Y1383:Y1386)</f>
        <v>0</v>
      </c>
      <c r="AA1387" s="10">
        <f>SUM(AA1383:AA1386)</f>
        <v>0</v>
      </c>
      <c r="AB1387" s="11">
        <f t="shared" ref="AB1387:AE1387" si="6388">SUM(AB1383:AB1386)</f>
        <v>0</v>
      </c>
      <c r="AC1387" s="11">
        <f t="shared" si="6388"/>
        <v>0</v>
      </c>
      <c r="AD1387" s="11">
        <f t="shared" si="6388"/>
        <v>0</v>
      </c>
      <c r="AE1387" s="11">
        <f t="shared" si="6388"/>
        <v>0</v>
      </c>
      <c r="AF1387" s="25">
        <f>SUM(AF1383:AF1386)</f>
        <v>0</v>
      </c>
      <c r="AH1387" s="10">
        <f>SUM(AH1383:AH1386)</f>
        <v>0</v>
      </c>
      <c r="AI1387" s="11">
        <f t="shared" ref="AI1387:AL1387" si="6389">SUM(AI1383:AI1386)</f>
        <v>0</v>
      </c>
      <c r="AJ1387" s="11">
        <f t="shared" si="6389"/>
        <v>0</v>
      </c>
      <c r="AK1387" s="11">
        <f t="shared" si="6389"/>
        <v>0</v>
      </c>
      <c r="AL1387" s="11">
        <f t="shared" si="6389"/>
        <v>0</v>
      </c>
      <c r="AM1387" s="25">
        <f>SUM(AM1383:AM1386)</f>
        <v>0</v>
      </c>
      <c r="AO1387" s="10">
        <f>SUM(AO1383:AO1386)</f>
        <v>0</v>
      </c>
      <c r="AP1387" s="11">
        <f t="shared" ref="AP1387:AS1387" si="6390">SUM(AP1383:AP1386)</f>
        <v>0</v>
      </c>
      <c r="AQ1387" s="11">
        <f t="shared" si="6390"/>
        <v>0</v>
      </c>
      <c r="AR1387" s="11">
        <f t="shared" si="6390"/>
        <v>0</v>
      </c>
      <c r="AS1387" s="11">
        <f t="shared" si="6390"/>
        <v>0</v>
      </c>
      <c r="AT1387" s="25">
        <f>SUM(AT1383:AT1386)</f>
        <v>0</v>
      </c>
      <c r="AV1387" s="10">
        <f>SUM(AV1383:AV1386)</f>
        <v>0</v>
      </c>
      <c r="AW1387" s="11">
        <f t="shared" ref="AW1387:AZ1387" si="6391">SUM(AW1383:AW1386)</f>
        <v>0</v>
      </c>
      <c r="AX1387" s="11">
        <f t="shared" si="6391"/>
        <v>0</v>
      </c>
      <c r="AY1387" s="11">
        <f t="shared" si="6391"/>
        <v>0</v>
      </c>
      <c r="AZ1387" s="11">
        <f t="shared" si="6391"/>
        <v>0</v>
      </c>
      <c r="BA1387" s="25">
        <f>SUM(BA1383:BA1386)</f>
        <v>0</v>
      </c>
      <c r="BC1387" s="10">
        <f>SUM(BC1383:BC1386)</f>
        <v>0</v>
      </c>
      <c r="BD1387" s="11">
        <f t="shared" ref="BD1387:BG1387" si="6392">SUM(BD1383:BD1386)</f>
        <v>0</v>
      </c>
      <c r="BE1387" s="11">
        <f t="shared" si="6392"/>
        <v>0</v>
      </c>
      <c r="BF1387" s="11">
        <f t="shared" si="6392"/>
        <v>0</v>
      </c>
      <c r="BG1387" s="11">
        <f t="shared" si="6392"/>
        <v>0</v>
      </c>
      <c r="BH1387" s="25">
        <f>SUM(BH1383:BH1386)</f>
        <v>0</v>
      </c>
      <c r="BJ1387" s="10">
        <f>SUM(BJ1383:BJ1386)</f>
        <v>0</v>
      </c>
      <c r="BK1387" s="11">
        <f t="shared" ref="BK1387:BN1387" si="6393">SUM(BK1383:BK1386)</f>
        <v>0</v>
      </c>
      <c r="BL1387" s="11">
        <f t="shared" si="6393"/>
        <v>0</v>
      </c>
      <c r="BM1387" s="11">
        <f t="shared" si="6393"/>
        <v>0</v>
      </c>
      <c r="BN1387" s="11">
        <f t="shared" si="6393"/>
        <v>0</v>
      </c>
      <c r="BO1387" s="25">
        <f>SUM(BO1383:BO1386)</f>
        <v>0</v>
      </c>
      <c r="BQ1387" s="10">
        <f>SUM(BQ1383:BQ1386)</f>
        <v>0</v>
      </c>
      <c r="BR1387" s="11">
        <f t="shared" ref="BR1387:BU1387" si="6394">SUM(BR1383:BR1386)</f>
        <v>0</v>
      </c>
      <c r="BS1387" s="11">
        <f t="shared" si="6394"/>
        <v>0</v>
      </c>
      <c r="BT1387" s="11">
        <f t="shared" si="6394"/>
        <v>0</v>
      </c>
      <c r="BU1387" s="11">
        <f t="shared" si="6394"/>
        <v>0</v>
      </c>
      <c r="BV1387" s="25">
        <f>SUM(BV1383:BV1386)</f>
        <v>0</v>
      </c>
      <c r="BX1387" s="10">
        <f>SUM(BX1383:BX1386)</f>
        <v>0</v>
      </c>
      <c r="BY1387" s="11">
        <f t="shared" ref="BY1387:CB1387" si="6395">SUM(BY1383:BY1386)</f>
        <v>0</v>
      </c>
      <c r="BZ1387" s="11">
        <f t="shared" si="6395"/>
        <v>0</v>
      </c>
      <c r="CA1387" s="11">
        <f t="shared" si="6395"/>
        <v>0</v>
      </c>
      <c r="CB1387" s="11">
        <f t="shared" si="6395"/>
        <v>0</v>
      </c>
      <c r="CC1387" s="25">
        <f>SUM(CC1383:CC1386)</f>
        <v>0</v>
      </c>
      <c r="CE1387" s="62">
        <f t="shared" ref="CE1387:CJ1387" si="6396">SUM(CE1383:CE1386)</f>
        <v>0</v>
      </c>
      <c r="CF1387" s="63">
        <f t="shared" si="6396"/>
        <v>0</v>
      </c>
      <c r="CG1387" s="63">
        <f t="shared" si="6396"/>
        <v>0</v>
      </c>
      <c r="CH1387" s="63">
        <f t="shared" si="6396"/>
        <v>0</v>
      </c>
      <c r="CI1387" s="63">
        <f t="shared" si="6396"/>
        <v>0</v>
      </c>
      <c r="CJ1387" s="25">
        <f t="shared" si="6396"/>
        <v>0</v>
      </c>
      <c r="CL1387" s="10">
        <f>SUM(CL1383:CL1386)</f>
        <v>0</v>
      </c>
      <c r="CM1387" s="11">
        <f t="shared" ref="CM1387:CP1387" si="6397">SUM(CM1383:CM1386)</f>
        <v>0</v>
      </c>
      <c r="CN1387" s="11">
        <f t="shared" si="6397"/>
        <v>0</v>
      </c>
      <c r="CO1387" s="11">
        <f t="shared" si="6397"/>
        <v>0</v>
      </c>
      <c r="CP1387" s="11">
        <f t="shared" si="6397"/>
        <v>0</v>
      </c>
      <c r="CQ1387" s="25">
        <f>SUM(CQ1383:CQ1386)</f>
        <v>0</v>
      </c>
      <c r="CS1387" s="10">
        <f>SUM(CS1383:CS1386)</f>
        <v>0</v>
      </c>
      <c r="CT1387" s="11">
        <f t="shared" ref="CT1387:CW1387" si="6398">SUM(CT1383:CT1386)</f>
        <v>0</v>
      </c>
      <c r="CU1387" s="11">
        <f t="shared" si="6398"/>
        <v>0</v>
      </c>
      <c r="CV1387" s="11">
        <f t="shared" si="6398"/>
        <v>0</v>
      </c>
      <c r="CW1387" s="11">
        <f t="shared" si="6398"/>
        <v>0</v>
      </c>
      <c r="CX1387" s="25">
        <f>SUM(CX1383:CX1386)</f>
        <v>0</v>
      </c>
      <c r="CZ1387" s="10">
        <f>SUM(CZ1383:CZ1386)</f>
        <v>0</v>
      </c>
      <c r="DA1387" s="11">
        <f t="shared" ref="DA1387:DD1387" si="6399">SUM(DA1383:DA1386)</f>
        <v>0</v>
      </c>
      <c r="DB1387" s="11">
        <f t="shared" si="6399"/>
        <v>0</v>
      </c>
      <c r="DC1387" s="11">
        <f t="shared" si="6399"/>
        <v>0</v>
      </c>
      <c r="DD1387" s="11">
        <f t="shared" si="6399"/>
        <v>0</v>
      </c>
      <c r="DE1387" s="25">
        <f>SUM(DE1383:DE1386)</f>
        <v>0</v>
      </c>
    </row>
    <row r="1388" spans="2:110" ht="10.4" customHeight="1" thickBot="1"/>
    <row r="1389" spans="2:110">
      <c r="C1389" s="553">
        <v>2025</v>
      </c>
      <c r="E1389" s="13" t="s">
        <v>59</v>
      </c>
      <c r="F1389" s="21">
        <f>CE1383</f>
        <v>0</v>
      </c>
      <c r="G1389" s="22">
        <f t="shared" ref="G1389:G1392" si="6400">CF1383</f>
        <v>0</v>
      </c>
      <c r="H1389" s="22">
        <f t="shared" ref="H1389:H1392" si="6401">CG1383</f>
        <v>0</v>
      </c>
      <c r="I1389" s="22">
        <f t="shared" ref="I1389:I1392" si="6402">CH1383</f>
        <v>0</v>
      </c>
      <c r="J1389" s="22">
        <f t="shared" ref="J1389:J1392" si="6403">CI1383</f>
        <v>0</v>
      </c>
      <c r="K1389" s="15">
        <f>SUM(F1389:J1389)</f>
        <v>0</v>
      </c>
      <c r="M1389" s="2"/>
      <c r="N1389" s="3"/>
      <c r="O1389" s="3"/>
      <c r="P1389" s="3"/>
      <c r="Q1389" s="3"/>
      <c r="R1389" s="15">
        <f>SUM(M1389:Q1389)</f>
        <v>0</v>
      </c>
      <c r="T1389" s="2"/>
      <c r="U1389" s="3"/>
      <c r="V1389" s="3"/>
      <c r="W1389" s="3"/>
      <c r="X1389" s="3"/>
      <c r="Y1389" s="15">
        <f>SUM(T1389:X1389)</f>
        <v>0</v>
      </c>
      <c r="AA1389" s="2"/>
      <c r="AB1389" s="3"/>
      <c r="AC1389" s="3"/>
      <c r="AD1389" s="3"/>
      <c r="AE1389" s="3"/>
      <c r="AF1389" s="15">
        <f>SUM(AA1389:AE1389)</f>
        <v>0</v>
      </c>
      <c r="AH1389" s="2"/>
      <c r="AI1389" s="3"/>
      <c r="AJ1389" s="3"/>
      <c r="AK1389" s="3"/>
      <c r="AL1389" s="3"/>
      <c r="AM1389" s="15">
        <f>SUM(AH1389:AL1389)</f>
        <v>0</v>
      </c>
      <c r="AO1389" s="2"/>
      <c r="AP1389" s="3"/>
      <c r="AQ1389" s="3"/>
      <c r="AR1389" s="3"/>
      <c r="AS1389" s="3"/>
      <c r="AT1389" s="15">
        <f>SUM(AO1389:AS1389)</f>
        <v>0</v>
      </c>
      <c r="AV1389" s="2"/>
      <c r="AW1389" s="3"/>
      <c r="AX1389" s="3"/>
      <c r="AY1389" s="3"/>
      <c r="AZ1389" s="3"/>
      <c r="BA1389" s="15">
        <f>SUM(AV1389:AZ1389)</f>
        <v>0</v>
      </c>
      <c r="BC1389" s="2"/>
      <c r="BD1389" s="3"/>
      <c r="BE1389" s="3"/>
      <c r="BF1389" s="3"/>
      <c r="BG1389" s="3"/>
      <c r="BH1389" s="15">
        <f>SUM(BC1389:BG1389)</f>
        <v>0</v>
      </c>
      <c r="BJ1389" s="2"/>
      <c r="BK1389" s="3"/>
      <c r="BL1389" s="3"/>
      <c r="BM1389" s="3"/>
      <c r="BN1389" s="3"/>
      <c r="BO1389" s="15">
        <f>SUM(BJ1389:BN1389)</f>
        <v>0</v>
      </c>
      <c r="BQ1389" s="2"/>
      <c r="BR1389" s="3"/>
      <c r="BS1389" s="3"/>
      <c r="BT1389" s="3"/>
      <c r="BU1389" s="3"/>
      <c r="BV1389" s="15">
        <f>SUM(BQ1389:BU1389)</f>
        <v>0</v>
      </c>
      <c r="BX1389" s="2"/>
      <c r="BY1389" s="3"/>
      <c r="BZ1389" s="3"/>
      <c r="CA1389" s="3"/>
      <c r="CB1389" s="3"/>
      <c r="CC1389" s="15">
        <f>SUM(BX1389:CB1389)</f>
        <v>0</v>
      </c>
      <c r="CE1389" s="26">
        <f t="shared" ref="CE1389:CE1392" si="6404">F1389+M1389+T1389+AA1389+AH1389+AO1389+AV1389+BC1389+BJ1389+BQ1389+BX1389</f>
        <v>0</v>
      </c>
      <c r="CF1389" s="27">
        <f t="shared" ref="CF1389:CF1392" si="6405">G1389+N1389+U1389+AB1389+AI1389+AP1389+AW1389+BD1389+BK1389+BR1389+BY1389</f>
        <v>0</v>
      </c>
      <c r="CG1389" s="27">
        <f t="shared" ref="CG1389:CG1392" si="6406">H1389+O1389+V1389+AC1389+AJ1389+AQ1389+AX1389+BE1389+BL1389+BS1389+BZ1389</f>
        <v>0</v>
      </c>
      <c r="CH1389" s="27">
        <f t="shared" ref="CH1389:CH1392" si="6407">I1389+P1389+W1389+AD1389+AK1389+AR1389+AY1389+BF1389+BM1389+BT1389+CA1389</f>
        <v>0</v>
      </c>
      <c r="CI1389" s="27">
        <f t="shared" ref="CI1389:CI1392" si="6408">J1389+Q1389+X1389+AE1389+AL1389+AS1389+AZ1389+BG1389+BN1389+BU1389+CB1389</f>
        <v>0</v>
      </c>
      <c r="CJ1389" s="4">
        <f>SUM(CE1389:CI1389)</f>
        <v>0</v>
      </c>
      <c r="CL1389" s="2"/>
      <c r="CM1389" s="3"/>
      <c r="CN1389" s="3"/>
      <c r="CO1389" s="3"/>
      <c r="CP1389" s="3"/>
      <c r="CQ1389" s="15">
        <f>SUM(CL1389:CP1389)</f>
        <v>0</v>
      </c>
      <c r="CS1389" s="2"/>
      <c r="CT1389" s="3"/>
      <c r="CU1389" s="3"/>
      <c r="CV1389" s="3"/>
      <c r="CW1389" s="3"/>
      <c r="CX1389" s="4">
        <f>SUM(CS1389:CW1389)</f>
        <v>0</v>
      </c>
      <c r="CZ1389" s="2"/>
      <c r="DA1389" s="3"/>
      <c r="DB1389" s="3"/>
      <c r="DC1389" s="3"/>
      <c r="DD1389" s="3"/>
      <c r="DE1389" s="15">
        <f>SUM(CZ1389:DD1389)</f>
        <v>0</v>
      </c>
    </row>
    <row r="1390" spans="2:110">
      <c r="C1390" s="567"/>
      <c r="E1390" s="14" t="s">
        <v>60</v>
      </c>
      <c r="F1390" s="23">
        <f t="shared" ref="F1390:F1392" si="6409">CE1384</f>
        <v>0</v>
      </c>
      <c r="G1390" s="24">
        <f t="shared" si="6400"/>
        <v>0</v>
      </c>
      <c r="H1390" s="24">
        <f t="shared" si="6401"/>
        <v>0</v>
      </c>
      <c r="I1390" s="24">
        <f t="shared" si="6402"/>
        <v>0</v>
      </c>
      <c r="J1390" s="24">
        <f t="shared" si="6403"/>
        <v>0</v>
      </c>
      <c r="K1390" s="16">
        <f t="shared" ref="K1390:K1392" si="6410">SUM(F1390:J1390)</f>
        <v>0</v>
      </c>
      <c r="M1390" s="6"/>
      <c r="N1390" s="7"/>
      <c r="O1390" s="7"/>
      <c r="P1390" s="7"/>
      <c r="Q1390" s="7"/>
      <c r="R1390" s="16">
        <f t="shared" ref="R1390:R1392" si="6411">SUM(M1390:Q1390)</f>
        <v>0</v>
      </c>
      <c r="T1390" s="6"/>
      <c r="U1390" s="7"/>
      <c r="V1390" s="7"/>
      <c r="W1390" s="7"/>
      <c r="X1390" s="7"/>
      <c r="Y1390" s="16">
        <f t="shared" ref="Y1390:Y1392" si="6412">SUM(T1390:X1390)</f>
        <v>0</v>
      </c>
      <c r="AA1390" s="6"/>
      <c r="AB1390" s="7"/>
      <c r="AC1390" s="7"/>
      <c r="AD1390" s="7"/>
      <c r="AE1390" s="7"/>
      <c r="AF1390" s="16">
        <f>SUM(AA1390:AE1390)</f>
        <v>0</v>
      </c>
      <c r="AH1390" s="6"/>
      <c r="AI1390" s="7"/>
      <c r="AJ1390" s="7"/>
      <c r="AK1390" s="7"/>
      <c r="AL1390" s="7"/>
      <c r="AM1390" s="16">
        <f>SUM(AH1390:AL1390)</f>
        <v>0</v>
      </c>
      <c r="AO1390" s="6"/>
      <c r="AP1390" s="7"/>
      <c r="AQ1390" s="7"/>
      <c r="AR1390" s="7"/>
      <c r="AS1390" s="7"/>
      <c r="AT1390" s="16">
        <f>SUM(AO1390:AS1390)</f>
        <v>0</v>
      </c>
      <c r="AV1390" s="6"/>
      <c r="AW1390" s="7"/>
      <c r="AX1390" s="7"/>
      <c r="AY1390" s="7"/>
      <c r="AZ1390" s="7"/>
      <c r="BA1390" s="16">
        <f>SUM(AV1390:AZ1390)</f>
        <v>0</v>
      </c>
      <c r="BC1390" s="6"/>
      <c r="BD1390" s="7"/>
      <c r="BE1390" s="7"/>
      <c r="BF1390" s="7"/>
      <c r="BG1390" s="7"/>
      <c r="BH1390" s="16">
        <f>SUM(BC1390:BG1390)</f>
        <v>0</v>
      </c>
      <c r="BJ1390" s="6"/>
      <c r="BK1390" s="7"/>
      <c r="BL1390" s="7"/>
      <c r="BM1390" s="7"/>
      <c r="BN1390" s="7"/>
      <c r="BO1390" s="16">
        <f>SUM(BJ1390:BN1390)</f>
        <v>0</v>
      </c>
      <c r="BQ1390" s="6"/>
      <c r="BR1390" s="7"/>
      <c r="BS1390" s="7"/>
      <c r="BT1390" s="7"/>
      <c r="BU1390" s="7"/>
      <c r="BV1390" s="16">
        <f>SUM(BQ1390:BU1390)</f>
        <v>0</v>
      </c>
      <c r="BX1390" s="6"/>
      <c r="BY1390" s="7"/>
      <c r="BZ1390" s="7"/>
      <c r="CA1390" s="7"/>
      <c r="CB1390" s="7"/>
      <c r="CC1390" s="16">
        <f>SUM(BX1390:CB1390)</f>
        <v>0</v>
      </c>
      <c r="CE1390" s="28">
        <f t="shared" si="6404"/>
        <v>0</v>
      </c>
      <c r="CF1390" s="29">
        <f t="shared" si="6405"/>
        <v>0</v>
      </c>
      <c r="CG1390" s="29">
        <f t="shared" si="6406"/>
        <v>0</v>
      </c>
      <c r="CH1390" s="29">
        <f t="shared" si="6407"/>
        <v>0</v>
      </c>
      <c r="CI1390" s="29">
        <f t="shared" si="6408"/>
        <v>0</v>
      </c>
      <c r="CJ1390" s="8">
        <f>SUM(CE1390:CI1390)</f>
        <v>0</v>
      </c>
      <c r="CL1390" s="6"/>
      <c r="CM1390" s="7"/>
      <c r="CN1390" s="7"/>
      <c r="CO1390" s="7"/>
      <c r="CP1390" s="7"/>
      <c r="CQ1390" s="16">
        <f>SUM(CL1390:CP1390)</f>
        <v>0</v>
      </c>
      <c r="CS1390" s="6"/>
      <c r="CT1390" s="7"/>
      <c r="CU1390" s="7"/>
      <c r="CV1390" s="7"/>
      <c r="CW1390" s="7"/>
      <c r="CX1390" s="8">
        <f t="shared" ref="CX1390:CX1392" si="6413">SUM(CS1390:CW1390)</f>
        <v>0</v>
      </c>
      <c r="CZ1390" s="6"/>
      <c r="DA1390" s="7"/>
      <c r="DB1390" s="7"/>
      <c r="DC1390" s="7"/>
      <c r="DD1390" s="7"/>
      <c r="DE1390" s="16">
        <f t="shared" ref="DE1390:DE1392" si="6414">SUM(CZ1390:DD1390)</f>
        <v>0</v>
      </c>
    </row>
    <row r="1391" spans="2:110">
      <c r="C1391" s="567"/>
      <c r="E1391" s="14" t="s">
        <v>61</v>
      </c>
      <c r="F1391" s="23">
        <f t="shared" si="6409"/>
        <v>0</v>
      </c>
      <c r="G1391" s="24">
        <f t="shared" si="6400"/>
        <v>0</v>
      </c>
      <c r="H1391" s="24">
        <f t="shared" si="6401"/>
        <v>0</v>
      </c>
      <c r="I1391" s="24">
        <f t="shared" si="6402"/>
        <v>0</v>
      </c>
      <c r="J1391" s="24">
        <f t="shared" si="6403"/>
        <v>0</v>
      </c>
      <c r="K1391" s="16">
        <f t="shared" si="6410"/>
        <v>0</v>
      </c>
      <c r="M1391" s="6"/>
      <c r="N1391" s="7"/>
      <c r="O1391" s="7"/>
      <c r="P1391" s="7"/>
      <c r="Q1391" s="7"/>
      <c r="R1391" s="16">
        <f t="shared" si="6411"/>
        <v>0</v>
      </c>
      <c r="T1391" s="6"/>
      <c r="U1391" s="7"/>
      <c r="V1391" s="7"/>
      <c r="W1391" s="7"/>
      <c r="X1391" s="7"/>
      <c r="Y1391" s="16">
        <f t="shared" si="6412"/>
        <v>0</v>
      </c>
      <c r="AA1391" s="6"/>
      <c r="AB1391" s="7"/>
      <c r="AC1391" s="7"/>
      <c r="AD1391" s="7"/>
      <c r="AE1391" s="7"/>
      <c r="AF1391" s="16">
        <f>SUM(AA1391:AE1391)</f>
        <v>0</v>
      </c>
      <c r="AH1391" s="6"/>
      <c r="AI1391" s="7"/>
      <c r="AJ1391" s="7"/>
      <c r="AK1391" s="7"/>
      <c r="AL1391" s="7"/>
      <c r="AM1391" s="16">
        <f>SUM(AH1391:AL1391)</f>
        <v>0</v>
      </c>
      <c r="AO1391" s="6"/>
      <c r="AP1391" s="7"/>
      <c r="AQ1391" s="7"/>
      <c r="AR1391" s="7"/>
      <c r="AS1391" s="7"/>
      <c r="AT1391" s="16">
        <f>SUM(AO1391:AS1391)</f>
        <v>0</v>
      </c>
      <c r="AV1391" s="6"/>
      <c r="AW1391" s="7"/>
      <c r="AX1391" s="7"/>
      <c r="AY1391" s="7"/>
      <c r="AZ1391" s="7"/>
      <c r="BA1391" s="16">
        <f>SUM(AV1391:AZ1391)</f>
        <v>0</v>
      </c>
      <c r="BC1391" s="6"/>
      <c r="BD1391" s="7"/>
      <c r="BE1391" s="7"/>
      <c r="BF1391" s="7"/>
      <c r="BG1391" s="7"/>
      <c r="BH1391" s="16">
        <f>SUM(BC1391:BG1391)</f>
        <v>0</v>
      </c>
      <c r="BJ1391" s="6"/>
      <c r="BK1391" s="7"/>
      <c r="BL1391" s="7"/>
      <c r="BM1391" s="7"/>
      <c r="BN1391" s="7"/>
      <c r="BO1391" s="16">
        <f>SUM(BJ1391:BN1391)</f>
        <v>0</v>
      </c>
      <c r="BQ1391" s="6"/>
      <c r="BR1391" s="7"/>
      <c r="BS1391" s="7"/>
      <c r="BT1391" s="7"/>
      <c r="BU1391" s="7"/>
      <c r="BV1391" s="16">
        <f>SUM(BQ1391:BU1391)</f>
        <v>0</v>
      </c>
      <c r="BX1391" s="6"/>
      <c r="BY1391" s="7"/>
      <c r="BZ1391" s="7"/>
      <c r="CA1391" s="7"/>
      <c r="CB1391" s="7"/>
      <c r="CC1391" s="16">
        <f>SUM(BX1391:CB1391)</f>
        <v>0</v>
      </c>
      <c r="CE1391" s="28">
        <f t="shared" si="6404"/>
        <v>0</v>
      </c>
      <c r="CF1391" s="29">
        <f t="shared" si="6405"/>
        <v>0</v>
      </c>
      <c r="CG1391" s="29">
        <f t="shared" si="6406"/>
        <v>0</v>
      </c>
      <c r="CH1391" s="29">
        <f t="shared" si="6407"/>
        <v>0</v>
      </c>
      <c r="CI1391" s="29">
        <f t="shared" si="6408"/>
        <v>0</v>
      </c>
      <c r="CJ1391" s="8">
        <f>SUM(CE1391:CI1391)</f>
        <v>0</v>
      </c>
      <c r="CL1391" s="6"/>
      <c r="CM1391" s="7"/>
      <c r="CN1391" s="7"/>
      <c r="CO1391" s="7"/>
      <c r="CP1391" s="7"/>
      <c r="CQ1391" s="16">
        <f>SUM(CL1391:CP1391)</f>
        <v>0</v>
      </c>
      <c r="CS1391" s="6"/>
      <c r="CT1391" s="7"/>
      <c r="CU1391" s="7"/>
      <c r="CV1391" s="7"/>
      <c r="CW1391" s="7"/>
      <c r="CX1391" s="8">
        <f t="shared" si="6413"/>
        <v>0</v>
      </c>
      <c r="CZ1391" s="6"/>
      <c r="DA1391" s="7"/>
      <c r="DB1391" s="7"/>
      <c r="DC1391" s="7"/>
      <c r="DD1391" s="7"/>
      <c r="DE1391" s="16">
        <f t="shared" si="6414"/>
        <v>0</v>
      </c>
    </row>
    <row r="1392" spans="2:110" ht="14" thickBot="1">
      <c r="C1392" s="567"/>
      <c r="E1392" s="14" t="s">
        <v>62</v>
      </c>
      <c r="F1392" s="23">
        <f t="shared" si="6409"/>
        <v>0</v>
      </c>
      <c r="G1392" s="24">
        <f t="shared" si="6400"/>
        <v>0</v>
      </c>
      <c r="H1392" s="24">
        <f t="shared" si="6401"/>
        <v>0</v>
      </c>
      <c r="I1392" s="24">
        <f t="shared" si="6402"/>
        <v>0</v>
      </c>
      <c r="J1392" s="24">
        <f t="shared" si="6403"/>
        <v>0</v>
      </c>
      <c r="K1392" s="16">
        <f t="shared" si="6410"/>
        <v>0</v>
      </c>
      <c r="M1392" s="6"/>
      <c r="N1392" s="7"/>
      <c r="O1392" s="7"/>
      <c r="P1392" s="7"/>
      <c r="Q1392" s="7"/>
      <c r="R1392" s="16">
        <f t="shared" si="6411"/>
        <v>0</v>
      </c>
      <c r="T1392" s="6"/>
      <c r="U1392" s="7"/>
      <c r="V1392" s="7"/>
      <c r="W1392" s="7"/>
      <c r="X1392" s="7"/>
      <c r="Y1392" s="16">
        <f t="shared" si="6412"/>
        <v>0</v>
      </c>
      <c r="AA1392" s="6"/>
      <c r="AB1392" s="7"/>
      <c r="AC1392" s="7"/>
      <c r="AD1392" s="7"/>
      <c r="AE1392" s="7"/>
      <c r="AF1392" s="16">
        <f>SUM(AA1392:AE1392)</f>
        <v>0</v>
      </c>
      <c r="AH1392" s="6"/>
      <c r="AI1392" s="7"/>
      <c r="AJ1392" s="7"/>
      <c r="AK1392" s="7"/>
      <c r="AL1392" s="7"/>
      <c r="AM1392" s="16">
        <f>SUM(AH1392:AL1392)</f>
        <v>0</v>
      </c>
      <c r="AO1392" s="6"/>
      <c r="AP1392" s="7"/>
      <c r="AQ1392" s="7"/>
      <c r="AR1392" s="7"/>
      <c r="AS1392" s="7"/>
      <c r="AT1392" s="16">
        <f>SUM(AO1392:AS1392)</f>
        <v>0</v>
      </c>
      <c r="AV1392" s="6"/>
      <c r="AW1392" s="7"/>
      <c r="AX1392" s="7"/>
      <c r="AY1392" s="7"/>
      <c r="AZ1392" s="7"/>
      <c r="BA1392" s="16">
        <f>SUM(AV1392:AZ1392)</f>
        <v>0</v>
      </c>
      <c r="BC1392" s="6"/>
      <c r="BD1392" s="7"/>
      <c r="BE1392" s="7"/>
      <c r="BF1392" s="7"/>
      <c r="BG1392" s="7"/>
      <c r="BH1392" s="16">
        <f>SUM(BC1392:BG1392)</f>
        <v>0</v>
      </c>
      <c r="BJ1392" s="6"/>
      <c r="BK1392" s="7"/>
      <c r="BL1392" s="7"/>
      <c r="BM1392" s="7"/>
      <c r="BN1392" s="7"/>
      <c r="BO1392" s="16">
        <f>SUM(BJ1392:BN1392)</f>
        <v>0</v>
      </c>
      <c r="BQ1392" s="6"/>
      <c r="BR1392" s="7"/>
      <c r="BS1392" s="7"/>
      <c r="BT1392" s="7"/>
      <c r="BU1392" s="7"/>
      <c r="BV1392" s="16">
        <f>SUM(BQ1392:BU1392)</f>
        <v>0</v>
      </c>
      <c r="BX1392" s="6"/>
      <c r="BY1392" s="7"/>
      <c r="BZ1392" s="7"/>
      <c r="CA1392" s="7"/>
      <c r="CB1392" s="7"/>
      <c r="CC1392" s="16">
        <f>SUM(BX1392:CB1392)</f>
        <v>0</v>
      </c>
      <c r="CE1392" s="493">
        <f t="shared" si="6404"/>
        <v>0</v>
      </c>
      <c r="CF1392" s="494">
        <f t="shared" si="6405"/>
        <v>0</v>
      </c>
      <c r="CG1392" s="494">
        <f t="shared" si="6406"/>
        <v>0</v>
      </c>
      <c r="CH1392" s="494">
        <f t="shared" si="6407"/>
        <v>0</v>
      </c>
      <c r="CI1392" s="494">
        <f t="shared" si="6408"/>
        <v>0</v>
      </c>
      <c r="CJ1392" s="495">
        <f>SUM(CE1392:CI1392)</f>
        <v>0</v>
      </c>
      <c r="CL1392" s="6"/>
      <c r="CM1392" s="7"/>
      <c r="CN1392" s="7"/>
      <c r="CO1392" s="7"/>
      <c r="CP1392" s="7"/>
      <c r="CQ1392" s="16">
        <f>SUM(CL1392:CP1392)</f>
        <v>0</v>
      </c>
      <c r="CS1392" s="6"/>
      <c r="CT1392" s="7"/>
      <c r="CU1392" s="7"/>
      <c r="CV1392" s="7"/>
      <c r="CW1392" s="7"/>
      <c r="CX1392" s="8">
        <f t="shared" si="6413"/>
        <v>0</v>
      </c>
      <c r="CZ1392" s="6"/>
      <c r="DA1392" s="7"/>
      <c r="DB1392" s="7"/>
      <c r="DC1392" s="7"/>
      <c r="DD1392" s="7"/>
      <c r="DE1392" s="16">
        <f t="shared" si="6414"/>
        <v>0</v>
      </c>
    </row>
    <row r="1393" spans="3:109" ht="14" thickBot="1">
      <c r="C1393" s="554"/>
      <c r="E1393" s="17"/>
      <c r="F1393" s="10">
        <f>SUM(F1389:F1392)</f>
        <v>0</v>
      </c>
      <c r="G1393" s="11">
        <f t="shared" ref="G1393:J1393" si="6415">SUM(G1389:G1392)</f>
        <v>0</v>
      </c>
      <c r="H1393" s="11">
        <f t="shared" si="6415"/>
        <v>0</v>
      </c>
      <c r="I1393" s="11">
        <f t="shared" si="6415"/>
        <v>0</v>
      </c>
      <c r="J1393" s="11">
        <f t="shared" si="6415"/>
        <v>0</v>
      </c>
      <c r="K1393" s="25">
        <f>SUM(K1389:K1392)</f>
        <v>0</v>
      </c>
      <c r="M1393" s="10">
        <f>SUM(M1389:M1392)</f>
        <v>0</v>
      </c>
      <c r="N1393" s="11">
        <f t="shared" ref="N1393:Q1393" si="6416">SUM(N1389:N1392)</f>
        <v>0</v>
      </c>
      <c r="O1393" s="11">
        <f t="shared" si="6416"/>
        <v>0</v>
      </c>
      <c r="P1393" s="11">
        <f t="shared" si="6416"/>
        <v>0</v>
      </c>
      <c r="Q1393" s="11">
        <f t="shared" si="6416"/>
        <v>0</v>
      </c>
      <c r="R1393" s="25">
        <f>SUM(R1389:R1392)</f>
        <v>0</v>
      </c>
      <c r="T1393" s="10">
        <f>SUM(T1389:T1392)</f>
        <v>0</v>
      </c>
      <c r="U1393" s="11">
        <f t="shared" ref="U1393:X1393" si="6417">SUM(U1389:U1392)</f>
        <v>0</v>
      </c>
      <c r="V1393" s="11">
        <f t="shared" si="6417"/>
        <v>0</v>
      </c>
      <c r="W1393" s="11">
        <f t="shared" si="6417"/>
        <v>0</v>
      </c>
      <c r="X1393" s="11">
        <f t="shared" si="6417"/>
        <v>0</v>
      </c>
      <c r="Y1393" s="25">
        <f>SUM(Y1389:Y1392)</f>
        <v>0</v>
      </c>
      <c r="AA1393" s="10">
        <f>SUM(AA1389:AA1392)</f>
        <v>0</v>
      </c>
      <c r="AB1393" s="11">
        <f t="shared" ref="AB1393:AE1393" si="6418">SUM(AB1389:AB1392)</f>
        <v>0</v>
      </c>
      <c r="AC1393" s="11">
        <f t="shared" si="6418"/>
        <v>0</v>
      </c>
      <c r="AD1393" s="11">
        <f t="shared" si="6418"/>
        <v>0</v>
      </c>
      <c r="AE1393" s="11">
        <f t="shared" si="6418"/>
        <v>0</v>
      </c>
      <c r="AF1393" s="25">
        <f>SUM(AF1389:AF1392)</f>
        <v>0</v>
      </c>
      <c r="AH1393" s="10">
        <f>SUM(AH1389:AH1392)</f>
        <v>0</v>
      </c>
      <c r="AI1393" s="11">
        <f t="shared" ref="AI1393:AL1393" si="6419">SUM(AI1389:AI1392)</f>
        <v>0</v>
      </c>
      <c r="AJ1393" s="11">
        <f t="shared" si="6419"/>
        <v>0</v>
      </c>
      <c r="AK1393" s="11">
        <f t="shared" si="6419"/>
        <v>0</v>
      </c>
      <c r="AL1393" s="11">
        <f t="shared" si="6419"/>
        <v>0</v>
      </c>
      <c r="AM1393" s="25">
        <f>SUM(AM1389:AM1392)</f>
        <v>0</v>
      </c>
      <c r="AO1393" s="10">
        <f>SUM(AO1389:AO1392)</f>
        <v>0</v>
      </c>
      <c r="AP1393" s="11">
        <f t="shared" ref="AP1393:AS1393" si="6420">SUM(AP1389:AP1392)</f>
        <v>0</v>
      </c>
      <c r="AQ1393" s="11">
        <f t="shared" si="6420"/>
        <v>0</v>
      </c>
      <c r="AR1393" s="11">
        <f t="shared" si="6420"/>
        <v>0</v>
      </c>
      <c r="AS1393" s="11">
        <f t="shared" si="6420"/>
        <v>0</v>
      </c>
      <c r="AT1393" s="25">
        <f>SUM(AT1389:AT1392)</f>
        <v>0</v>
      </c>
      <c r="AV1393" s="10">
        <f>SUM(AV1389:AV1392)</f>
        <v>0</v>
      </c>
      <c r="AW1393" s="11">
        <f t="shared" ref="AW1393:AZ1393" si="6421">SUM(AW1389:AW1392)</f>
        <v>0</v>
      </c>
      <c r="AX1393" s="11">
        <f t="shared" si="6421"/>
        <v>0</v>
      </c>
      <c r="AY1393" s="11">
        <f t="shared" si="6421"/>
        <v>0</v>
      </c>
      <c r="AZ1393" s="11">
        <f t="shared" si="6421"/>
        <v>0</v>
      </c>
      <c r="BA1393" s="25">
        <f>SUM(BA1389:BA1392)</f>
        <v>0</v>
      </c>
      <c r="BC1393" s="10">
        <f>SUM(BC1389:BC1392)</f>
        <v>0</v>
      </c>
      <c r="BD1393" s="11">
        <f t="shared" ref="BD1393:BG1393" si="6422">SUM(BD1389:BD1392)</f>
        <v>0</v>
      </c>
      <c r="BE1393" s="11">
        <f t="shared" si="6422"/>
        <v>0</v>
      </c>
      <c r="BF1393" s="11">
        <f t="shared" si="6422"/>
        <v>0</v>
      </c>
      <c r="BG1393" s="11">
        <f t="shared" si="6422"/>
        <v>0</v>
      </c>
      <c r="BH1393" s="25">
        <f>SUM(BH1389:BH1392)</f>
        <v>0</v>
      </c>
      <c r="BJ1393" s="10">
        <f>SUM(BJ1389:BJ1392)</f>
        <v>0</v>
      </c>
      <c r="BK1393" s="11">
        <f t="shared" ref="BK1393:BN1393" si="6423">SUM(BK1389:BK1392)</f>
        <v>0</v>
      </c>
      <c r="BL1393" s="11">
        <f t="shared" si="6423"/>
        <v>0</v>
      </c>
      <c r="BM1393" s="11">
        <f t="shared" si="6423"/>
        <v>0</v>
      </c>
      <c r="BN1393" s="11">
        <f t="shared" si="6423"/>
        <v>0</v>
      </c>
      <c r="BO1393" s="25">
        <f>SUM(BO1389:BO1392)</f>
        <v>0</v>
      </c>
      <c r="BQ1393" s="10">
        <f>SUM(BQ1389:BQ1392)</f>
        <v>0</v>
      </c>
      <c r="BR1393" s="11">
        <f t="shared" ref="BR1393:BU1393" si="6424">SUM(BR1389:BR1392)</f>
        <v>0</v>
      </c>
      <c r="BS1393" s="11">
        <f t="shared" si="6424"/>
        <v>0</v>
      </c>
      <c r="BT1393" s="11">
        <f t="shared" si="6424"/>
        <v>0</v>
      </c>
      <c r="BU1393" s="11">
        <f t="shared" si="6424"/>
        <v>0</v>
      </c>
      <c r="BV1393" s="25">
        <f>SUM(BV1389:BV1392)</f>
        <v>0</v>
      </c>
      <c r="BX1393" s="10">
        <f>SUM(BX1389:BX1392)</f>
        <v>0</v>
      </c>
      <c r="BY1393" s="11">
        <f t="shared" ref="BY1393:CB1393" si="6425">SUM(BY1389:BY1392)</f>
        <v>0</v>
      </c>
      <c r="BZ1393" s="11">
        <f t="shared" si="6425"/>
        <v>0</v>
      </c>
      <c r="CA1393" s="11">
        <f t="shared" si="6425"/>
        <v>0</v>
      </c>
      <c r="CB1393" s="11">
        <f t="shared" si="6425"/>
        <v>0</v>
      </c>
      <c r="CC1393" s="25">
        <f>SUM(CC1389:CC1392)</f>
        <v>0</v>
      </c>
      <c r="CE1393" s="62">
        <f t="shared" ref="CE1393:CJ1393" si="6426">SUM(CE1389:CE1392)</f>
        <v>0</v>
      </c>
      <c r="CF1393" s="63">
        <f t="shared" si="6426"/>
        <v>0</v>
      </c>
      <c r="CG1393" s="63">
        <f t="shared" si="6426"/>
        <v>0</v>
      </c>
      <c r="CH1393" s="63">
        <f t="shared" si="6426"/>
        <v>0</v>
      </c>
      <c r="CI1393" s="63">
        <f t="shared" si="6426"/>
        <v>0</v>
      </c>
      <c r="CJ1393" s="25">
        <f t="shared" si="6426"/>
        <v>0</v>
      </c>
      <c r="CL1393" s="10">
        <f>SUM(CL1389:CL1392)</f>
        <v>0</v>
      </c>
      <c r="CM1393" s="11">
        <f t="shared" ref="CM1393:CP1393" si="6427">SUM(CM1389:CM1392)</f>
        <v>0</v>
      </c>
      <c r="CN1393" s="11">
        <f t="shared" si="6427"/>
        <v>0</v>
      </c>
      <c r="CO1393" s="11">
        <f t="shared" si="6427"/>
        <v>0</v>
      </c>
      <c r="CP1393" s="11">
        <f t="shared" si="6427"/>
        <v>0</v>
      </c>
      <c r="CQ1393" s="25">
        <f>SUM(CQ1389:CQ1392)</f>
        <v>0</v>
      </c>
      <c r="CS1393" s="10">
        <f>SUM(CS1389:CS1392)</f>
        <v>0</v>
      </c>
      <c r="CT1393" s="11">
        <f t="shared" ref="CT1393:CW1393" si="6428">SUM(CT1389:CT1392)</f>
        <v>0</v>
      </c>
      <c r="CU1393" s="11">
        <f t="shared" si="6428"/>
        <v>0</v>
      </c>
      <c r="CV1393" s="11">
        <f t="shared" si="6428"/>
        <v>0</v>
      </c>
      <c r="CW1393" s="11">
        <f t="shared" si="6428"/>
        <v>0</v>
      </c>
      <c r="CX1393" s="25">
        <f>SUM(CX1389:CX1392)</f>
        <v>0</v>
      </c>
      <c r="CZ1393" s="10">
        <f>SUM(CZ1389:CZ1392)</f>
        <v>0</v>
      </c>
      <c r="DA1393" s="11">
        <f t="shared" ref="DA1393:DD1393" si="6429">SUM(DA1389:DA1392)</f>
        <v>0</v>
      </c>
      <c r="DB1393" s="11">
        <f t="shared" si="6429"/>
        <v>0</v>
      </c>
      <c r="DC1393" s="11">
        <f t="shared" si="6429"/>
        <v>0</v>
      </c>
      <c r="DD1393" s="11">
        <f t="shared" si="6429"/>
        <v>0</v>
      </c>
      <c r="DE1393" s="25">
        <f>SUM(DE1389:DE1392)</f>
        <v>0</v>
      </c>
    </row>
    <row r="1394" spans="3:109" ht="10.4" customHeight="1" thickBot="1"/>
    <row r="1395" spans="3:109">
      <c r="C1395" s="553">
        <v>2026</v>
      </c>
      <c r="E1395" s="1" t="s">
        <v>59</v>
      </c>
      <c r="F1395" s="21">
        <f>CE1389</f>
        <v>0</v>
      </c>
      <c r="G1395" s="22">
        <f t="shared" ref="G1395:G1398" si="6430">CF1389</f>
        <v>0</v>
      </c>
      <c r="H1395" s="22">
        <f t="shared" ref="H1395:H1398" si="6431">CG1389</f>
        <v>0</v>
      </c>
      <c r="I1395" s="22">
        <f t="shared" ref="I1395:I1398" si="6432">CH1389</f>
        <v>0</v>
      </c>
      <c r="J1395" s="22">
        <f t="shared" ref="J1395:J1398" si="6433">CI1389</f>
        <v>0</v>
      </c>
      <c r="K1395" s="4">
        <f>SUM(F1395:J1395)</f>
        <v>0</v>
      </c>
      <c r="M1395" s="2"/>
      <c r="N1395" s="3"/>
      <c r="O1395" s="3"/>
      <c r="P1395" s="3"/>
      <c r="Q1395" s="3"/>
      <c r="R1395" s="4">
        <f>SUM(M1395:Q1395)</f>
        <v>0</v>
      </c>
      <c r="T1395" s="2"/>
      <c r="U1395" s="3"/>
      <c r="V1395" s="3"/>
      <c r="W1395" s="3"/>
      <c r="X1395" s="3"/>
      <c r="Y1395" s="4">
        <f>SUM(T1395:X1395)</f>
        <v>0</v>
      </c>
      <c r="AA1395" s="2"/>
      <c r="AB1395" s="3"/>
      <c r="AC1395" s="3"/>
      <c r="AD1395" s="3"/>
      <c r="AE1395" s="3"/>
      <c r="AF1395" s="4">
        <f>SUM(AA1395:AE1395)</f>
        <v>0</v>
      </c>
      <c r="AH1395" s="2"/>
      <c r="AI1395" s="3"/>
      <c r="AJ1395" s="3"/>
      <c r="AK1395" s="3"/>
      <c r="AL1395" s="3"/>
      <c r="AM1395" s="4">
        <f>SUM(AH1395:AL1395)</f>
        <v>0</v>
      </c>
      <c r="AO1395" s="2"/>
      <c r="AP1395" s="3"/>
      <c r="AQ1395" s="3"/>
      <c r="AR1395" s="3"/>
      <c r="AS1395" s="3"/>
      <c r="AT1395" s="4">
        <f>SUM(AO1395:AS1395)</f>
        <v>0</v>
      </c>
      <c r="AV1395" s="2"/>
      <c r="AW1395" s="3"/>
      <c r="AX1395" s="3"/>
      <c r="AY1395" s="3"/>
      <c r="AZ1395" s="3"/>
      <c r="BA1395" s="4">
        <f>SUM(AV1395:AZ1395)</f>
        <v>0</v>
      </c>
      <c r="BC1395" s="2"/>
      <c r="BD1395" s="3"/>
      <c r="BE1395" s="3"/>
      <c r="BF1395" s="3"/>
      <c r="BG1395" s="3"/>
      <c r="BH1395" s="4">
        <f>SUM(BC1395:BG1395)</f>
        <v>0</v>
      </c>
      <c r="BJ1395" s="2"/>
      <c r="BK1395" s="3"/>
      <c r="BL1395" s="3"/>
      <c r="BM1395" s="3"/>
      <c r="BN1395" s="3"/>
      <c r="BO1395" s="4">
        <f>SUM(BJ1395:BN1395)</f>
        <v>0</v>
      </c>
      <c r="BQ1395" s="2"/>
      <c r="BR1395" s="3"/>
      <c r="BS1395" s="3"/>
      <c r="BT1395" s="3"/>
      <c r="BU1395" s="3"/>
      <c r="BV1395" s="4">
        <f>SUM(BQ1395:BU1395)</f>
        <v>0</v>
      </c>
      <c r="BX1395" s="2"/>
      <c r="BY1395" s="3"/>
      <c r="BZ1395" s="3"/>
      <c r="CA1395" s="3"/>
      <c r="CB1395" s="3"/>
      <c r="CC1395" s="4">
        <f>SUM(BX1395:CB1395)</f>
        <v>0</v>
      </c>
      <c r="CE1395" s="26">
        <f t="shared" ref="CE1395:CE1398" si="6434">F1395+M1395+T1395+AA1395+AH1395+AO1395+AV1395+BC1395+BJ1395+BQ1395+BX1395</f>
        <v>0</v>
      </c>
      <c r="CF1395" s="27">
        <f t="shared" ref="CF1395:CF1398" si="6435">G1395+N1395+U1395+AB1395+AI1395+AP1395+AW1395+BD1395+BK1395+BR1395+BY1395</f>
        <v>0</v>
      </c>
      <c r="CG1395" s="27">
        <f t="shared" ref="CG1395:CG1398" si="6436">H1395+O1395+V1395+AC1395+AJ1395+AQ1395+AX1395+BE1395+BL1395+BS1395+BZ1395</f>
        <v>0</v>
      </c>
      <c r="CH1395" s="27">
        <f t="shared" ref="CH1395:CH1398" si="6437">I1395+P1395+W1395+AD1395+AK1395+AR1395+AY1395+BF1395+BM1395+BT1395+CA1395</f>
        <v>0</v>
      </c>
      <c r="CI1395" s="27">
        <f t="shared" ref="CI1395:CI1398" si="6438">J1395+Q1395+X1395+AE1395+AL1395+AS1395+AZ1395+BG1395+BN1395+BU1395+CB1395</f>
        <v>0</v>
      </c>
      <c r="CJ1395" s="4">
        <f>SUM(CE1395:CI1395)</f>
        <v>0</v>
      </c>
      <c r="CL1395" s="2"/>
      <c r="CM1395" s="3"/>
      <c r="CN1395" s="3"/>
      <c r="CO1395" s="3"/>
      <c r="CP1395" s="3"/>
      <c r="CQ1395" s="4">
        <f>SUM(CL1395:CP1395)</f>
        <v>0</v>
      </c>
      <c r="CS1395" s="2"/>
      <c r="CT1395" s="3"/>
      <c r="CU1395" s="3"/>
      <c r="CV1395" s="3"/>
      <c r="CW1395" s="3"/>
      <c r="CX1395" s="4">
        <f>SUM(CS1395:CW1395)</f>
        <v>0</v>
      </c>
      <c r="CZ1395" s="2"/>
      <c r="DA1395" s="3"/>
      <c r="DB1395" s="3"/>
      <c r="DC1395" s="3"/>
      <c r="DD1395" s="3"/>
      <c r="DE1395" s="4">
        <f>SUM(CZ1395:DD1395)</f>
        <v>0</v>
      </c>
    </row>
    <row r="1396" spans="3:109">
      <c r="C1396" s="567"/>
      <c r="E1396" s="5" t="s">
        <v>60</v>
      </c>
      <c r="F1396" s="23">
        <f t="shared" ref="F1396:F1398" si="6439">CE1390</f>
        <v>0</v>
      </c>
      <c r="G1396" s="24">
        <f t="shared" si="6430"/>
        <v>0</v>
      </c>
      <c r="H1396" s="24">
        <f t="shared" si="6431"/>
        <v>0</v>
      </c>
      <c r="I1396" s="24">
        <f t="shared" si="6432"/>
        <v>0</v>
      </c>
      <c r="J1396" s="24">
        <f t="shared" si="6433"/>
        <v>0</v>
      </c>
      <c r="K1396" s="8">
        <f t="shared" ref="K1396:K1398" si="6440">SUM(F1396:J1396)</f>
        <v>0</v>
      </c>
      <c r="M1396" s="6"/>
      <c r="N1396" s="7"/>
      <c r="O1396" s="7"/>
      <c r="P1396" s="7"/>
      <c r="Q1396" s="7"/>
      <c r="R1396" s="8">
        <f t="shared" ref="R1396:R1398" si="6441">SUM(M1396:Q1396)</f>
        <v>0</v>
      </c>
      <c r="T1396" s="6"/>
      <c r="U1396" s="7"/>
      <c r="V1396" s="7"/>
      <c r="W1396" s="7"/>
      <c r="X1396" s="7"/>
      <c r="Y1396" s="8">
        <f t="shared" ref="Y1396:Y1398" si="6442">SUM(T1396:X1396)</f>
        <v>0</v>
      </c>
      <c r="AA1396" s="6"/>
      <c r="AB1396" s="7"/>
      <c r="AC1396" s="7"/>
      <c r="AD1396" s="7"/>
      <c r="AE1396" s="7"/>
      <c r="AF1396" s="8">
        <f>SUM(AA1396:AE1396)</f>
        <v>0</v>
      </c>
      <c r="AH1396" s="6"/>
      <c r="AI1396" s="7"/>
      <c r="AJ1396" s="7"/>
      <c r="AK1396" s="7"/>
      <c r="AL1396" s="7"/>
      <c r="AM1396" s="8">
        <f>SUM(AH1396:AL1396)</f>
        <v>0</v>
      </c>
      <c r="AO1396" s="6"/>
      <c r="AP1396" s="7"/>
      <c r="AQ1396" s="7"/>
      <c r="AR1396" s="7"/>
      <c r="AS1396" s="7"/>
      <c r="AT1396" s="8">
        <f>SUM(AO1396:AS1396)</f>
        <v>0</v>
      </c>
      <c r="AV1396" s="6"/>
      <c r="AW1396" s="7"/>
      <c r="AX1396" s="7"/>
      <c r="AY1396" s="7"/>
      <c r="AZ1396" s="7"/>
      <c r="BA1396" s="8">
        <f>SUM(AV1396:AZ1396)</f>
        <v>0</v>
      </c>
      <c r="BC1396" s="6"/>
      <c r="BD1396" s="7"/>
      <c r="BE1396" s="7"/>
      <c r="BF1396" s="7"/>
      <c r="BG1396" s="7"/>
      <c r="BH1396" s="8">
        <f>SUM(BC1396:BG1396)</f>
        <v>0</v>
      </c>
      <c r="BJ1396" s="6"/>
      <c r="BK1396" s="7"/>
      <c r="BL1396" s="7"/>
      <c r="BM1396" s="7"/>
      <c r="BN1396" s="7"/>
      <c r="BO1396" s="8">
        <f>SUM(BJ1396:BN1396)</f>
        <v>0</v>
      </c>
      <c r="BQ1396" s="6"/>
      <c r="BR1396" s="7"/>
      <c r="BS1396" s="7"/>
      <c r="BT1396" s="7"/>
      <c r="BU1396" s="7"/>
      <c r="BV1396" s="8">
        <f>SUM(BQ1396:BU1396)</f>
        <v>0</v>
      </c>
      <c r="BX1396" s="6"/>
      <c r="BY1396" s="7"/>
      <c r="BZ1396" s="7"/>
      <c r="CA1396" s="7"/>
      <c r="CB1396" s="7"/>
      <c r="CC1396" s="8">
        <f>SUM(BX1396:CB1396)</f>
        <v>0</v>
      </c>
      <c r="CE1396" s="28">
        <f t="shared" si="6434"/>
        <v>0</v>
      </c>
      <c r="CF1396" s="29">
        <f t="shared" si="6435"/>
        <v>0</v>
      </c>
      <c r="CG1396" s="29">
        <f t="shared" si="6436"/>
        <v>0</v>
      </c>
      <c r="CH1396" s="29">
        <f t="shared" si="6437"/>
        <v>0</v>
      </c>
      <c r="CI1396" s="29">
        <f t="shared" si="6438"/>
        <v>0</v>
      </c>
      <c r="CJ1396" s="8">
        <f>SUM(CE1396:CI1396)</f>
        <v>0</v>
      </c>
      <c r="CL1396" s="6"/>
      <c r="CM1396" s="7"/>
      <c r="CN1396" s="7"/>
      <c r="CO1396" s="7"/>
      <c r="CP1396" s="7"/>
      <c r="CQ1396" s="8">
        <f>SUM(CL1396:CP1396)</f>
        <v>0</v>
      </c>
      <c r="CS1396" s="6"/>
      <c r="CT1396" s="7"/>
      <c r="CU1396" s="7"/>
      <c r="CV1396" s="7"/>
      <c r="CW1396" s="7"/>
      <c r="CX1396" s="8">
        <f t="shared" ref="CX1396:CX1398" si="6443">SUM(CS1396:CW1396)</f>
        <v>0</v>
      </c>
      <c r="CZ1396" s="6"/>
      <c r="DA1396" s="7"/>
      <c r="DB1396" s="7"/>
      <c r="DC1396" s="7"/>
      <c r="DD1396" s="7"/>
      <c r="DE1396" s="8">
        <f t="shared" ref="DE1396:DE1398" si="6444">SUM(CZ1396:DD1396)</f>
        <v>0</v>
      </c>
    </row>
    <row r="1397" spans="3:109">
      <c r="C1397" s="567"/>
      <c r="E1397" s="5" t="s">
        <v>61</v>
      </c>
      <c r="F1397" s="23">
        <f t="shared" si="6439"/>
        <v>0</v>
      </c>
      <c r="G1397" s="24">
        <f t="shared" si="6430"/>
        <v>0</v>
      </c>
      <c r="H1397" s="24">
        <f t="shared" si="6431"/>
        <v>0</v>
      </c>
      <c r="I1397" s="24">
        <f t="shared" si="6432"/>
        <v>0</v>
      </c>
      <c r="J1397" s="24">
        <f t="shared" si="6433"/>
        <v>0</v>
      </c>
      <c r="K1397" s="8">
        <f t="shared" si="6440"/>
        <v>0</v>
      </c>
      <c r="M1397" s="6"/>
      <c r="N1397" s="7"/>
      <c r="O1397" s="7"/>
      <c r="P1397" s="7"/>
      <c r="Q1397" s="7"/>
      <c r="R1397" s="8">
        <f t="shared" si="6441"/>
        <v>0</v>
      </c>
      <c r="T1397" s="6"/>
      <c r="U1397" s="7"/>
      <c r="V1397" s="7"/>
      <c r="W1397" s="7"/>
      <c r="X1397" s="7"/>
      <c r="Y1397" s="8">
        <f t="shared" si="6442"/>
        <v>0</v>
      </c>
      <c r="AA1397" s="6"/>
      <c r="AB1397" s="7"/>
      <c r="AC1397" s="7"/>
      <c r="AD1397" s="7"/>
      <c r="AE1397" s="7"/>
      <c r="AF1397" s="8">
        <f>SUM(AA1397:AE1397)</f>
        <v>0</v>
      </c>
      <c r="AH1397" s="6"/>
      <c r="AI1397" s="7"/>
      <c r="AJ1397" s="7"/>
      <c r="AK1397" s="7"/>
      <c r="AL1397" s="7"/>
      <c r="AM1397" s="8">
        <f>SUM(AH1397:AL1397)</f>
        <v>0</v>
      </c>
      <c r="AO1397" s="6"/>
      <c r="AP1397" s="7"/>
      <c r="AQ1397" s="7"/>
      <c r="AR1397" s="7"/>
      <c r="AS1397" s="7"/>
      <c r="AT1397" s="8">
        <f>SUM(AO1397:AS1397)</f>
        <v>0</v>
      </c>
      <c r="AV1397" s="6"/>
      <c r="AW1397" s="7"/>
      <c r="AX1397" s="7"/>
      <c r="AY1397" s="7"/>
      <c r="AZ1397" s="7"/>
      <c r="BA1397" s="8">
        <f>SUM(AV1397:AZ1397)</f>
        <v>0</v>
      </c>
      <c r="BC1397" s="6"/>
      <c r="BD1397" s="7"/>
      <c r="BE1397" s="7"/>
      <c r="BF1397" s="7"/>
      <c r="BG1397" s="7"/>
      <c r="BH1397" s="8">
        <f>SUM(BC1397:BG1397)</f>
        <v>0</v>
      </c>
      <c r="BJ1397" s="6"/>
      <c r="BK1397" s="7"/>
      <c r="BL1397" s="7"/>
      <c r="BM1397" s="7"/>
      <c r="BN1397" s="7"/>
      <c r="BO1397" s="8">
        <f>SUM(BJ1397:BN1397)</f>
        <v>0</v>
      </c>
      <c r="BQ1397" s="6"/>
      <c r="BR1397" s="7"/>
      <c r="BS1397" s="7"/>
      <c r="BT1397" s="7"/>
      <c r="BU1397" s="7"/>
      <c r="BV1397" s="8">
        <f>SUM(BQ1397:BU1397)</f>
        <v>0</v>
      </c>
      <c r="BX1397" s="6"/>
      <c r="BY1397" s="7"/>
      <c r="BZ1397" s="7"/>
      <c r="CA1397" s="7"/>
      <c r="CB1397" s="7"/>
      <c r="CC1397" s="8">
        <f>SUM(BX1397:CB1397)</f>
        <v>0</v>
      </c>
      <c r="CE1397" s="28">
        <f t="shared" si="6434"/>
        <v>0</v>
      </c>
      <c r="CF1397" s="29">
        <f t="shared" si="6435"/>
        <v>0</v>
      </c>
      <c r="CG1397" s="29">
        <f t="shared" si="6436"/>
        <v>0</v>
      </c>
      <c r="CH1397" s="29">
        <f t="shared" si="6437"/>
        <v>0</v>
      </c>
      <c r="CI1397" s="29">
        <f t="shared" si="6438"/>
        <v>0</v>
      </c>
      <c r="CJ1397" s="8">
        <f>SUM(CE1397:CI1397)</f>
        <v>0</v>
      </c>
      <c r="CL1397" s="6"/>
      <c r="CM1397" s="7"/>
      <c r="CN1397" s="7"/>
      <c r="CO1397" s="7"/>
      <c r="CP1397" s="7"/>
      <c r="CQ1397" s="8">
        <f>SUM(CL1397:CP1397)</f>
        <v>0</v>
      </c>
      <c r="CS1397" s="6"/>
      <c r="CT1397" s="7"/>
      <c r="CU1397" s="7"/>
      <c r="CV1397" s="7"/>
      <c r="CW1397" s="7"/>
      <c r="CX1397" s="8">
        <f t="shared" si="6443"/>
        <v>0</v>
      </c>
      <c r="CZ1397" s="6"/>
      <c r="DA1397" s="7"/>
      <c r="DB1397" s="7"/>
      <c r="DC1397" s="7"/>
      <c r="DD1397" s="7"/>
      <c r="DE1397" s="8">
        <f t="shared" si="6444"/>
        <v>0</v>
      </c>
    </row>
    <row r="1398" spans="3:109" ht="14" thickBot="1">
      <c r="C1398" s="567"/>
      <c r="E1398" s="5" t="s">
        <v>62</v>
      </c>
      <c r="F1398" s="23">
        <f t="shared" si="6439"/>
        <v>0</v>
      </c>
      <c r="G1398" s="24">
        <f t="shared" si="6430"/>
        <v>0</v>
      </c>
      <c r="H1398" s="24">
        <f t="shared" si="6431"/>
        <v>0</v>
      </c>
      <c r="I1398" s="24">
        <f t="shared" si="6432"/>
        <v>0</v>
      </c>
      <c r="J1398" s="24">
        <f t="shared" si="6433"/>
        <v>0</v>
      </c>
      <c r="K1398" s="8">
        <f t="shared" si="6440"/>
        <v>0</v>
      </c>
      <c r="M1398" s="6"/>
      <c r="N1398" s="7"/>
      <c r="O1398" s="7"/>
      <c r="P1398" s="7"/>
      <c r="Q1398" s="7"/>
      <c r="R1398" s="8">
        <f t="shared" si="6441"/>
        <v>0</v>
      </c>
      <c r="T1398" s="6"/>
      <c r="U1398" s="7"/>
      <c r="V1398" s="7"/>
      <c r="W1398" s="7"/>
      <c r="X1398" s="7"/>
      <c r="Y1398" s="8">
        <f t="shared" si="6442"/>
        <v>0</v>
      </c>
      <c r="AA1398" s="6"/>
      <c r="AB1398" s="7"/>
      <c r="AC1398" s="7"/>
      <c r="AD1398" s="7"/>
      <c r="AE1398" s="7"/>
      <c r="AF1398" s="8">
        <f>SUM(AA1398:AE1398)</f>
        <v>0</v>
      </c>
      <c r="AH1398" s="6"/>
      <c r="AI1398" s="7"/>
      <c r="AJ1398" s="7"/>
      <c r="AK1398" s="7"/>
      <c r="AL1398" s="7"/>
      <c r="AM1398" s="8">
        <f>SUM(AH1398:AL1398)</f>
        <v>0</v>
      </c>
      <c r="AO1398" s="6"/>
      <c r="AP1398" s="7"/>
      <c r="AQ1398" s="7"/>
      <c r="AR1398" s="7"/>
      <c r="AS1398" s="7"/>
      <c r="AT1398" s="8">
        <f>SUM(AO1398:AS1398)</f>
        <v>0</v>
      </c>
      <c r="AV1398" s="6"/>
      <c r="AW1398" s="7"/>
      <c r="AX1398" s="7"/>
      <c r="AY1398" s="7"/>
      <c r="AZ1398" s="7"/>
      <c r="BA1398" s="8">
        <f>SUM(AV1398:AZ1398)</f>
        <v>0</v>
      </c>
      <c r="BC1398" s="6"/>
      <c r="BD1398" s="7"/>
      <c r="BE1398" s="7"/>
      <c r="BF1398" s="7"/>
      <c r="BG1398" s="7"/>
      <c r="BH1398" s="8">
        <f>SUM(BC1398:BG1398)</f>
        <v>0</v>
      </c>
      <c r="BJ1398" s="6"/>
      <c r="BK1398" s="7"/>
      <c r="BL1398" s="7"/>
      <c r="BM1398" s="7"/>
      <c r="BN1398" s="7"/>
      <c r="BO1398" s="8">
        <f>SUM(BJ1398:BN1398)</f>
        <v>0</v>
      </c>
      <c r="BQ1398" s="6"/>
      <c r="BR1398" s="7"/>
      <c r="BS1398" s="7"/>
      <c r="BT1398" s="7"/>
      <c r="BU1398" s="7"/>
      <c r="BV1398" s="8">
        <f>SUM(BQ1398:BU1398)</f>
        <v>0</v>
      </c>
      <c r="BX1398" s="6"/>
      <c r="BY1398" s="7"/>
      <c r="BZ1398" s="7"/>
      <c r="CA1398" s="7"/>
      <c r="CB1398" s="7"/>
      <c r="CC1398" s="8">
        <f>SUM(BX1398:CB1398)</f>
        <v>0</v>
      </c>
      <c r="CE1398" s="493">
        <f t="shared" si="6434"/>
        <v>0</v>
      </c>
      <c r="CF1398" s="494">
        <f t="shared" si="6435"/>
        <v>0</v>
      </c>
      <c r="CG1398" s="494">
        <f t="shared" si="6436"/>
        <v>0</v>
      </c>
      <c r="CH1398" s="494">
        <f t="shared" si="6437"/>
        <v>0</v>
      </c>
      <c r="CI1398" s="494">
        <f t="shared" si="6438"/>
        <v>0</v>
      </c>
      <c r="CJ1398" s="495">
        <f>SUM(CE1398:CI1398)</f>
        <v>0</v>
      </c>
      <c r="CL1398" s="6"/>
      <c r="CM1398" s="7"/>
      <c r="CN1398" s="7"/>
      <c r="CO1398" s="7"/>
      <c r="CP1398" s="7"/>
      <c r="CQ1398" s="8">
        <f>SUM(CL1398:CP1398)</f>
        <v>0</v>
      </c>
      <c r="CS1398" s="6"/>
      <c r="CT1398" s="7"/>
      <c r="CU1398" s="7"/>
      <c r="CV1398" s="7"/>
      <c r="CW1398" s="7"/>
      <c r="CX1398" s="8">
        <f t="shared" si="6443"/>
        <v>0</v>
      </c>
      <c r="CZ1398" s="6"/>
      <c r="DA1398" s="7"/>
      <c r="DB1398" s="7"/>
      <c r="DC1398" s="7"/>
      <c r="DD1398" s="7"/>
      <c r="DE1398" s="8">
        <f t="shared" si="6444"/>
        <v>0</v>
      </c>
    </row>
    <row r="1399" spans="3:109" ht="14" thickBot="1">
      <c r="C1399" s="554"/>
      <c r="E1399" s="9"/>
      <c r="F1399" s="10">
        <f>SUM(F1395:F1398)</f>
        <v>0</v>
      </c>
      <c r="G1399" s="11">
        <f t="shared" ref="G1399:J1399" si="6445">SUM(G1395:G1398)</f>
        <v>0</v>
      </c>
      <c r="H1399" s="11">
        <f t="shared" si="6445"/>
        <v>0</v>
      </c>
      <c r="I1399" s="11">
        <f t="shared" si="6445"/>
        <v>0</v>
      </c>
      <c r="J1399" s="11">
        <f t="shared" si="6445"/>
        <v>0</v>
      </c>
      <c r="K1399" s="25">
        <f>SUM(K1395:K1398)</f>
        <v>0</v>
      </c>
      <c r="M1399" s="10">
        <f>SUM(M1395:M1398)</f>
        <v>0</v>
      </c>
      <c r="N1399" s="11">
        <f t="shared" ref="N1399:Q1399" si="6446">SUM(N1395:N1398)</f>
        <v>0</v>
      </c>
      <c r="O1399" s="11">
        <f t="shared" si="6446"/>
        <v>0</v>
      </c>
      <c r="P1399" s="11">
        <f t="shared" si="6446"/>
        <v>0</v>
      </c>
      <c r="Q1399" s="11">
        <f t="shared" si="6446"/>
        <v>0</v>
      </c>
      <c r="R1399" s="25">
        <f>SUM(R1395:R1398)</f>
        <v>0</v>
      </c>
      <c r="T1399" s="10">
        <f>SUM(T1395:T1398)</f>
        <v>0</v>
      </c>
      <c r="U1399" s="11">
        <f t="shared" ref="U1399:X1399" si="6447">SUM(U1395:U1398)</f>
        <v>0</v>
      </c>
      <c r="V1399" s="11">
        <f t="shared" si="6447"/>
        <v>0</v>
      </c>
      <c r="W1399" s="11">
        <f t="shared" si="6447"/>
        <v>0</v>
      </c>
      <c r="X1399" s="11">
        <f t="shared" si="6447"/>
        <v>0</v>
      </c>
      <c r="Y1399" s="25">
        <f>SUM(Y1395:Y1398)</f>
        <v>0</v>
      </c>
      <c r="AA1399" s="10">
        <f>SUM(AA1395:AA1398)</f>
        <v>0</v>
      </c>
      <c r="AB1399" s="11">
        <f t="shared" ref="AB1399:AE1399" si="6448">SUM(AB1395:AB1398)</f>
        <v>0</v>
      </c>
      <c r="AC1399" s="11">
        <f t="shared" si="6448"/>
        <v>0</v>
      </c>
      <c r="AD1399" s="11">
        <f t="shared" si="6448"/>
        <v>0</v>
      </c>
      <c r="AE1399" s="11">
        <f t="shared" si="6448"/>
        <v>0</v>
      </c>
      <c r="AF1399" s="25">
        <f>SUM(AF1395:AF1398)</f>
        <v>0</v>
      </c>
      <c r="AH1399" s="10">
        <f>SUM(AH1395:AH1398)</f>
        <v>0</v>
      </c>
      <c r="AI1399" s="11">
        <f t="shared" ref="AI1399:AL1399" si="6449">SUM(AI1395:AI1398)</f>
        <v>0</v>
      </c>
      <c r="AJ1399" s="11">
        <f t="shared" si="6449"/>
        <v>0</v>
      </c>
      <c r="AK1399" s="11">
        <f t="shared" si="6449"/>
        <v>0</v>
      </c>
      <c r="AL1399" s="11">
        <f t="shared" si="6449"/>
        <v>0</v>
      </c>
      <c r="AM1399" s="25">
        <f>SUM(AM1395:AM1398)</f>
        <v>0</v>
      </c>
      <c r="AO1399" s="10">
        <f>SUM(AO1395:AO1398)</f>
        <v>0</v>
      </c>
      <c r="AP1399" s="11">
        <f t="shared" ref="AP1399:AS1399" si="6450">SUM(AP1395:AP1398)</f>
        <v>0</v>
      </c>
      <c r="AQ1399" s="11">
        <f t="shared" si="6450"/>
        <v>0</v>
      </c>
      <c r="AR1399" s="11">
        <f t="shared" si="6450"/>
        <v>0</v>
      </c>
      <c r="AS1399" s="11">
        <f t="shared" si="6450"/>
        <v>0</v>
      </c>
      <c r="AT1399" s="25">
        <f>SUM(AT1395:AT1398)</f>
        <v>0</v>
      </c>
      <c r="AV1399" s="10">
        <f>SUM(AV1395:AV1398)</f>
        <v>0</v>
      </c>
      <c r="AW1399" s="11">
        <f t="shared" ref="AW1399:AZ1399" si="6451">SUM(AW1395:AW1398)</f>
        <v>0</v>
      </c>
      <c r="AX1399" s="11">
        <f t="shared" si="6451"/>
        <v>0</v>
      </c>
      <c r="AY1399" s="11">
        <f t="shared" si="6451"/>
        <v>0</v>
      </c>
      <c r="AZ1399" s="11">
        <f t="shared" si="6451"/>
        <v>0</v>
      </c>
      <c r="BA1399" s="25">
        <f>SUM(BA1395:BA1398)</f>
        <v>0</v>
      </c>
      <c r="BC1399" s="10">
        <f>SUM(BC1395:BC1398)</f>
        <v>0</v>
      </c>
      <c r="BD1399" s="11">
        <f t="shared" ref="BD1399:BG1399" si="6452">SUM(BD1395:BD1398)</f>
        <v>0</v>
      </c>
      <c r="BE1399" s="11">
        <f t="shared" si="6452"/>
        <v>0</v>
      </c>
      <c r="BF1399" s="11">
        <f t="shared" si="6452"/>
        <v>0</v>
      </c>
      <c r="BG1399" s="11">
        <f t="shared" si="6452"/>
        <v>0</v>
      </c>
      <c r="BH1399" s="25">
        <f>SUM(BH1395:BH1398)</f>
        <v>0</v>
      </c>
      <c r="BJ1399" s="10">
        <f>SUM(BJ1395:BJ1398)</f>
        <v>0</v>
      </c>
      <c r="BK1399" s="11">
        <f t="shared" ref="BK1399:BN1399" si="6453">SUM(BK1395:BK1398)</f>
        <v>0</v>
      </c>
      <c r="BL1399" s="11">
        <f t="shared" si="6453"/>
        <v>0</v>
      </c>
      <c r="BM1399" s="11">
        <f t="shared" si="6453"/>
        <v>0</v>
      </c>
      <c r="BN1399" s="11">
        <f t="shared" si="6453"/>
        <v>0</v>
      </c>
      <c r="BO1399" s="25">
        <f>SUM(BO1395:BO1398)</f>
        <v>0</v>
      </c>
      <c r="BQ1399" s="10">
        <f>SUM(BQ1395:BQ1398)</f>
        <v>0</v>
      </c>
      <c r="BR1399" s="11">
        <f t="shared" ref="BR1399:BU1399" si="6454">SUM(BR1395:BR1398)</f>
        <v>0</v>
      </c>
      <c r="BS1399" s="11">
        <f t="shared" si="6454"/>
        <v>0</v>
      </c>
      <c r="BT1399" s="11">
        <f t="shared" si="6454"/>
        <v>0</v>
      </c>
      <c r="BU1399" s="11">
        <f t="shared" si="6454"/>
        <v>0</v>
      </c>
      <c r="BV1399" s="25">
        <f>SUM(BV1395:BV1398)</f>
        <v>0</v>
      </c>
      <c r="BX1399" s="10">
        <f>SUM(BX1395:BX1398)</f>
        <v>0</v>
      </c>
      <c r="BY1399" s="11">
        <f t="shared" ref="BY1399:CB1399" si="6455">SUM(BY1395:BY1398)</f>
        <v>0</v>
      </c>
      <c r="BZ1399" s="11">
        <f t="shared" si="6455"/>
        <v>0</v>
      </c>
      <c r="CA1399" s="11">
        <f t="shared" si="6455"/>
        <v>0</v>
      </c>
      <c r="CB1399" s="11">
        <f t="shared" si="6455"/>
        <v>0</v>
      </c>
      <c r="CC1399" s="25">
        <f>SUM(CC1395:CC1398)</f>
        <v>0</v>
      </c>
      <c r="CE1399" s="62">
        <f t="shared" ref="CE1399:CJ1399" si="6456">SUM(CE1395:CE1398)</f>
        <v>0</v>
      </c>
      <c r="CF1399" s="63">
        <f t="shared" si="6456"/>
        <v>0</v>
      </c>
      <c r="CG1399" s="63">
        <f t="shared" si="6456"/>
        <v>0</v>
      </c>
      <c r="CH1399" s="63">
        <f t="shared" si="6456"/>
        <v>0</v>
      </c>
      <c r="CI1399" s="63">
        <f t="shared" si="6456"/>
        <v>0</v>
      </c>
      <c r="CJ1399" s="25">
        <f t="shared" si="6456"/>
        <v>0</v>
      </c>
      <c r="CL1399" s="10">
        <f>SUM(CL1395:CL1398)</f>
        <v>0</v>
      </c>
      <c r="CM1399" s="11">
        <f t="shared" ref="CM1399:CP1399" si="6457">SUM(CM1395:CM1398)</f>
        <v>0</v>
      </c>
      <c r="CN1399" s="11">
        <f t="shared" si="6457"/>
        <v>0</v>
      </c>
      <c r="CO1399" s="11">
        <f t="shared" si="6457"/>
        <v>0</v>
      </c>
      <c r="CP1399" s="11">
        <f t="shared" si="6457"/>
        <v>0</v>
      </c>
      <c r="CQ1399" s="25">
        <f>SUM(CQ1395:CQ1398)</f>
        <v>0</v>
      </c>
      <c r="CS1399" s="10">
        <f>SUM(CS1395:CS1398)</f>
        <v>0</v>
      </c>
      <c r="CT1399" s="11">
        <f t="shared" ref="CT1399:CW1399" si="6458">SUM(CT1395:CT1398)</f>
        <v>0</v>
      </c>
      <c r="CU1399" s="11">
        <f t="shared" si="6458"/>
        <v>0</v>
      </c>
      <c r="CV1399" s="11">
        <f t="shared" si="6458"/>
        <v>0</v>
      </c>
      <c r="CW1399" s="11">
        <f t="shared" si="6458"/>
        <v>0</v>
      </c>
      <c r="CX1399" s="25">
        <f>SUM(CX1395:CX1398)</f>
        <v>0</v>
      </c>
      <c r="CZ1399" s="10">
        <f>SUM(CZ1395:CZ1398)</f>
        <v>0</v>
      </c>
      <c r="DA1399" s="11">
        <f t="shared" ref="DA1399:DD1399" si="6459">SUM(DA1395:DA1398)</f>
        <v>0</v>
      </c>
      <c r="DB1399" s="11">
        <f t="shared" si="6459"/>
        <v>0</v>
      </c>
      <c r="DC1399" s="11">
        <f t="shared" si="6459"/>
        <v>0</v>
      </c>
      <c r="DD1399" s="11">
        <f t="shared" si="6459"/>
        <v>0</v>
      </c>
      <c r="DE1399" s="25">
        <f>SUM(DE1395:DE1398)</f>
        <v>0</v>
      </c>
    </row>
    <row r="1400" spans="3:109" ht="10.4" customHeight="1" thickBot="1"/>
    <row r="1401" spans="3:109">
      <c r="C1401" s="553">
        <v>2027</v>
      </c>
      <c r="E1401" s="1" t="s">
        <v>59</v>
      </c>
      <c r="F1401" s="21">
        <f>CE1395</f>
        <v>0</v>
      </c>
      <c r="G1401" s="22">
        <f t="shared" ref="G1401:G1404" si="6460">CF1395</f>
        <v>0</v>
      </c>
      <c r="H1401" s="22">
        <f t="shared" ref="H1401:H1404" si="6461">CG1395</f>
        <v>0</v>
      </c>
      <c r="I1401" s="22">
        <f t="shared" ref="I1401:I1404" si="6462">CH1395</f>
        <v>0</v>
      </c>
      <c r="J1401" s="22">
        <f t="shared" ref="J1401:J1404" si="6463">CI1395</f>
        <v>0</v>
      </c>
      <c r="K1401" s="4">
        <f>SUM(F1401:J1401)</f>
        <v>0</v>
      </c>
      <c r="M1401" s="2"/>
      <c r="N1401" s="3"/>
      <c r="O1401" s="3"/>
      <c r="P1401" s="3"/>
      <c r="Q1401" s="3"/>
      <c r="R1401" s="4">
        <f>SUM(M1401:Q1401)</f>
        <v>0</v>
      </c>
      <c r="T1401" s="2"/>
      <c r="U1401" s="3"/>
      <c r="V1401" s="3"/>
      <c r="W1401" s="3"/>
      <c r="X1401" s="3"/>
      <c r="Y1401" s="4">
        <f>SUM(T1401:X1401)</f>
        <v>0</v>
      </c>
      <c r="AA1401" s="2"/>
      <c r="AB1401" s="3"/>
      <c r="AC1401" s="3"/>
      <c r="AD1401" s="3"/>
      <c r="AE1401" s="3"/>
      <c r="AF1401" s="4">
        <f>SUM(AA1401:AE1401)</f>
        <v>0</v>
      </c>
      <c r="AH1401" s="2"/>
      <c r="AI1401" s="3"/>
      <c r="AJ1401" s="3"/>
      <c r="AK1401" s="3"/>
      <c r="AL1401" s="3"/>
      <c r="AM1401" s="4">
        <f>SUM(AH1401:AL1401)</f>
        <v>0</v>
      </c>
      <c r="AO1401" s="2"/>
      <c r="AP1401" s="3"/>
      <c r="AQ1401" s="3"/>
      <c r="AR1401" s="3"/>
      <c r="AS1401" s="3"/>
      <c r="AT1401" s="4">
        <f>SUM(AO1401:AS1401)</f>
        <v>0</v>
      </c>
      <c r="AV1401" s="2"/>
      <c r="AW1401" s="3"/>
      <c r="AX1401" s="3"/>
      <c r="AY1401" s="3"/>
      <c r="AZ1401" s="3"/>
      <c r="BA1401" s="4">
        <f>SUM(AV1401:AZ1401)</f>
        <v>0</v>
      </c>
      <c r="BC1401" s="2"/>
      <c r="BD1401" s="3"/>
      <c r="BE1401" s="3"/>
      <c r="BF1401" s="3"/>
      <c r="BG1401" s="3"/>
      <c r="BH1401" s="4">
        <f>SUM(BC1401:BG1401)</f>
        <v>0</v>
      </c>
      <c r="BJ1401" s="2"/>
      <c r="BK1401" s="3"/>
      <c r="BL1401" s="3"/>
      <c r="BM1401" s="3"/>
      <c r="BN1401" s="3"/>
      <c r="BO1401" s="4">
        <f>SUM(BJ1401:BN1401)</f>
        <v>0</v>
      </c>
      <c r="BQ1401" s="2"/>
      <c r="BR1401" s="3"/>
      <c r="BS1401" s="3"/>
      <c r="BT1401" s="3"/>
      <c r="BU1401" s="3"/>
      <c r="BV1401" s="4">
        <f>SUM(BQ1401:BU1401)</f>
        <v>0</v>
      </c>
      <c r="BX1401" s="2"/>
      <c r="BY1401" s="3"/>
      <c r="BZ1401" s="3"/>
      <c r="CA1401" s="3"/>
      <c r="CB1401" s="3"/>
      <c r="CC1401" s="4">
        <f>SUM(BX1401:CB1401)</f>
        <v>0</v>
      </c>
      <c r="CE1401" s="26">
        <f t="shared" ref="CE1401:CE1404" si="6464">F1401+M1401+T1401+AA1401+AH1401+AO1401+AV1401+BC1401+BJ1401+BQ1401+BX1401</f>
        <v>0</v>
      </c>
      <c r="CF1401" s="27">
        <f t="shared" ref="CF1401:CF1404" si="6465">G1401+N1401+U1401+AB1401+AI1401+AP1401+AW1401+BD1401+BK1401+BR1401+BY1401</f>
        <v>0</v>
      </c>
      <c r="CG1401" s="27">
        <f t="shared" ref="CG1401:CG1404" si="6466">H1401+O1401+V1401+AC1401+AJ1401+AQ1401+AX1401+BE1401+BL1401+BS1401+BZ1401</f>
        <v>0</v>
      </c>
      <c r="CH1401" s="27">
        <f t="shared" ref="CH1401:CH1404" si="6467">I1401+P1401+W1401+AD1401+AK1401+AR1401+AY1401+BF1401+BM1401+BT1401+CA1401</f>
        <v>0</v>
      </c>
      <c r="CI1401" s="27">
        <f t="shared" ref="CI1401:CI1404" si="6468">J1401+Q1401+X1401+AE1401+AL1401+AS1401+AZ1401+BG1401+BN1401+BU1401+CB1401</f>
        <v>0</v>
      </c>
      <c r="CJ1401" s="4">
        <f>SUM(CE1401:CI1401)</f>
        <v>0</v>
      </c>
      <c r="CL1401" s="2"/>
      <c r="CM1401" s="3"/>
      <c r="CN1401" s="3"/>
      <c r="CO1401" s="3"/>
      <c r="CP1401" s="3"/>
      <c r="CQ1401" s="4">
        <f>SUM(CL1401:CP1401)</f>
        <v>0</v>
      </c>
      <c r="CS1401" s="2"/>
      <c r="CT1401" s="3"/>
      <c r="CU1401" s="3"/>
      <c r="CV1401" s="3"/>
      <c r="CW1401" s="3"/>
      <c r="CX1401" s="4">
        <f>SUM(CS1401:CW1401)</f>
        <v>0</v>
      </c>
      <c r="CZ1401" s="2"/>
      <c r="DA1401" s="3"/>
      <c r="DB1401" s="3"/>
      <c r="DC1401" s="3"/>
      <c r="DD1401" s="3"/>
      <c r="DE1401" s="4">
        <f>SUM(CZ1401:DD1401)</f>
        <v>0</v>
      </c>
    </row>
    <row r="1402" spans="3:109">
      <c r="C1402" s="567"/>
      <c r="E1402" s="5" t="s">
        <v>60</v>
      </c>
      <c r="F1402" s="23">
        <f t="shared" ref="F1402:F1404" si="6469">CE1396</f>
        <v>0</v>
      </c>
      <c r="G1402" s="24">
        <f t="shared" si="6460"/>
        <v>0</v>
      </c>
      <c r="H1402" s="24">
        <f t="shared" si="6461"/>
        <v>0</v>
      </c>
      <c r="I1402" s="24">
        <f t="shared" si="6462"/>
        <v>0</v>
      </c>
      <c r="J1402" s="24">
        <f t="shared" si="6463"/>
        <v>0</v>
      </c>
      <c r="K1402" s="8">
        <f t="shared" ref="K1402:K1404" si="6470">SUM(F1402:J1402)</f>
        <v>0</v>
      </c>
      <c r="M1402" s="6"/>
      <c r="N1402" s="7"/>
      <c r="O1402" s="7"/>
      <c r="P1402" s="7"/>
      <c r="Q1402" s="7"/>
      <c r="R1402" s="8">
        <f t="shared" ref="R1402:R1404" si="6471">SUM(M1402:Q1402)</f>
        <v>0</v>
      </c>
      <c r="T1402" s="6"/>
      <c r="U1402" s="7"/>
      <c r="V1402" s="7"/>
      <c r="W1402" s="7"/>
      <c r="X1402" s="7"/>
      <c r="Y1402" s="8">
        <f t="shared" ref="Y1402:Y1404" si="6472">SUM(T1402:X1402)</f>
        <v>0</v>
      </c>
      <c r="AA1402" s="6"/>
      <c r="AB1402" s="7"/>
      <c r="AC1402" s="7"/>
      <c r="AD1402" s="7"/>
      <c r="AE1402" s="7"/>
      <c r="AF1402" s="8">
        <f>SUM(AA1402:AE1402)</f>
        <v>0</v>
      </c>
      <c r="AH1402" s="6"/>
      <c r="AI1402" s="7"/>
      <c r="AJ1402" s="7"/>
      <c r="AK1402" s="7"/>
      <c r="AL1402" s="7"/>
      <c r="AM1402" s="8">
        <f>SUM(AH1402:AL1402)</f>
        <v>0</v>
      </c>
      <c r="AO1402" s="6"/>
      <c r="AP1402" s="7"/>
      <c r="AQ1402" s="7"/>
      <c r="AR1402" s="7"/>
      <c r="AS1402" s="7"/>
      <c r="AT1402" s="8">
        <f>SUM(AO1402:AS1402)</f>
        <v>0</v>
      </c>
      <c r="AV1402" s="6"/>
      <c r="AW1402" s="7"/>
      <c r="AX1402" s="7"/>
      <c r="AY1402" s="7"/>
      <c r="AZ1402" s="7"/>
      <c r="BA1402" s="8">
        <f>SUM(AV1402:AZ1402)</f>
        <v>0</v>
      </c>
      <c r="BC1402" s="6"/>
      <c r="BD1402" s="7"/>
      <c r="BE1402" s="7"/>
      <c r="BF1402" s="7"/>
      <c r="BG1402" s="7"/>
      <c r="BH1402" s="8">
        <f>SUM(BC1402:BG1402)</f>
        <v>0</v>
      </c>
      <c r="BJ1402" s="6"/>
      <c r="BK1402" s="7"/>
      <c r="BL1402" s="7"/>
      <c r="BM1402" s="7"/>
      <c r="BN1402" s="7"/>
      <c r="BO1402" s="8">
        <f>SUM(BJ1402:BN1402)</f>
        <v>0</v>
      </c>
      <c r="BQ1402" s="6"/>
      <c r="BR1402" s="7"/>
      <c r="BS1402" s="7"/>
      <c r="BT1402" s="7"/>
      <c r="BU1402" s="7"/>
      <c r="BV1402" s="8">
        <f>SUM(BQ1402:BU1402)</f>
        <v>0</v>
      </c>
      <c r="BX1402" s="6"/>
      <c r="BY1402" s="7"/>
      <c r="BZ1402" s="7"/>
      <c r="CA1402" s="7"/>
      <c r="CB1402" s="7"/>
      <c r="CC1402" s="8">
        <f>SUM(BX1402:CB1402)</f>
        <v>0</v>
      </c>
      <c r="CE1402" s="28">
        <f t="shared" si="6464"/>
        <v>0</v>
      </c>
      <c r="CF1402" s="29">
        <f t="shared" si="6465"/>
        <v>0</v>
      </c>
      <c r="CG1402" s="29">
        <f t="shared" si="6466"/>
        <v>0</v>
      </c>
      <c r="CH1402" s="29">
        <f t="shared" si="6467"/>
        <v>0</v>
      </c>
      <c r="CI1402" s="29">
        <f t="shared" si="6468"/>
        <v>0</v>
      </c>
      <c r="CJ1402" s="8">
        <f>SUM(CE1402:CI1402)</f>
        <v>0</v>
      </c>
      <c r="CL1402" s="6"/>
      <c r="CM1402" s="7"/>
      <c r="CN1402" s="7"/>
      <c r="CO1402" s="7"/>
      <c r="CP1402" s="7"/>
      <c r="CQ1402" s="8">
        <f>SUM(CL1402:CP1402)</f>
        <v>0</v>
      </c>
      <c r="CS1402" s="6"/>
      <c r="CT1402" s="7"/>
      <c r="CU1402" s="7"/>
      <c r="CV1402" s="7"/>
      <c r="CW1402" s="7"/>
      <c r="CX1402" s="8">
        <f t="shared" ref="CX1402:CX1404" si="6473">SUM(CS1402:CW1402)</f>
        <v>0</v>
      </c>
      <c r="CZ1402" s="6"/>
      <c r="DA1402" s="7"/>
      <c r="DB1402" s="7"/>
      <c r="DC1402" s="7"/>
      <c r="DD1402" s="7"/>
      <c r="DE1402" s="8">
        <f t="shared" ref="DE1402:DE1404" si="6474">SUM(CZ1402:DD1402)</f>
        <v>0</v>
      </c>
    </row>
    <row r="1403" spans="3:109">
      <c r="C1403" s="567"/>
      <c r="E1403" s="5" t="s">
        <v>61</v>
      </c>
      <c r="F1403" s="23">
        <f t="shared" si="6469"/>
        <v>0</v>
      </c>
      <c r="G1403" s="24">
        <f t="shared" si="6460"/>
        <v>0</v>
      </c>
      <c r="H1403" s="24">
        <f t="shared" si="6461"/>
        <v>0</v>
      </c>
      <c r="I1403" s="24">
        <f t="shared" si="6462"/>
        <v>0</v>
      </c>
      <c r="J1403" s="24">
        <f t="shared" si="6463"/>
        <v>0</v>
      </c>
      <c r="K1403" s="8">
        <f t="shared" si="6470"/>
        <v>0</v>
      </c>
      <c r="M1403" s="6"/>
      <c r="N1403" s="7"/>
      <c r="O1403" s="7"/>
      <c r="P1403" s="7"/>
      <c r="Q1403" s="7"/>
      <c r="R1403" s="8">
        <f t="shared" si="6471"/>
        <v>0</v>
      </c>
      <c r="T1403" s="6"/>
      <c r="U1403" s="7"/>
      <c r="V1403" s="7"/>
      <c r="W1403" s="7"/>
      <c r="X1403" s="7"/>
      <c r="Y1403" s="8">
        <f t="shared" si="6472"/>
        <v>0</v>
      </c>
      <c r="AA1403" s="6"/>
      <c r="AB1403" s="7"/>
      <c r="AC1403" s="7"/>
      <c r="AD1403" s="7"/>
      <c r="AE1403" s="7"/>
      <c r="AF1403" s="8">
        <f>SUM(AA1403:AE1403)</f>
        <v>0</v>
      </c>
      <c r="AH1403" s="6"/>
      <c r="AI1403" s="7"/>
      <c r="AJ1403" s="7"/>
      <c r="AK1403" s="7"/>
      <c r="AL1403" s="7"/>
      <c r="AM1403" s="8">
        <f>SUM(AH1403:AL1403)</f>
        <v>0</v>
      </c>
      <c r="AO1403" s="6"/>
      <c r="AP1403" s="7"/>
      <c r="AQ1403" s="7"/>
      <c r="AR1403" s="7"/>
      <c r="AS1403" s="7"/>
      <c r="AT1403" s="8">
        <f>SUM(AO1403:AS1403)</f>
        <v>0</v>
      </c>
      <c r="AV1403" s="6"/>
      <c r="AW1403" s="7"/>
      <c r="AX1403" s="7"/>
      <c r="AY1403" s="7"/>
      <c r="AZ1403" s="7"/>
      <c r="BA1403" s="8">
        <f>SUM(AV1403:AZ1403)</f>
        <v>0</v>
      </c>
      <c r="BC1403" s="6"/>
      <c r="BD1403" s="7"/>
      <c r="BE1403" s="7"/>
      <c r="BF1403" s="7"/>
      <c r="BG1403" s="7"/>
      <c r="BH1403" s="8">
        <f>SUM(BC1403:BG1403)</f>
        <v>0</v>
      </c>
      <c r="BJ1403" s="6"/>
      <c r="BK1403" s="7"/>
      <c r="BL1403" s="7"/>
      <c r="BM1403" s="7"/>
      <c r="BN1403" s="7"/>
      <c r="BO1403" s="8">
        <f>SUM(BJ1403:BN1403)</f>
        <v>0</v>
      </c>
      <c r="BQ1403" s="6"/>
      <c r="BR1403" s="7"/>
      <c r="BS1403" s="7"/>
      <c r="BT1403" s="7"/>
      <c r="BU1403" s="7"/>
      <c r="BV1403" s="8">
        <f>SUM(BQ1403:BU1403)</f>
        <v>0</v>
      </c>
      <c r="BX1403" s="6"/>
      <c r="BY1403" s="7"/>
      <c r="BZ1403" s="7"/>
      <c r="CA1403" s="7"/>
      <c r="CB1403" s="7"/>
      <c r="CC1403" s="8">
        <f>SUM(BX1403:CB1403)</f>
        <v>0</v>
      </c>
      <c r="CE1403" s="28">
        <f t="shared" si="6464"/>
        <v>0</v>
      </c>
      <c r="CF1403" s="29">
        <f t="shared" si="6465"/>
        <v>0</v>
      </c>
      <c r="CG1403" s="29">
        <f t="shared" si="6466"/>
        <v>0</v>
      </c>
      <c r="CH1403" s="29">
        <f t="shared" si="6467"/>
        <v>0</v>
      </c>
      <c r="CI1403" s="29">
        <f t="shared" si="6468"/>
        <v>0</v>
      </c>
      <c r="CJ1403" s="8">
        <f>SUM(CE1403:CI1403)</f>
        <v>0</v>
      </c>
      <c r="CL1403" s="6"/>
      <c r="CM1403" s="7"/>
      <c r="CN1403" s="7"/>
      <c r="CO1403" s="7"/>
      <c r="CP1403" s="7"/>
      <c r="CQ1403" s="8">
        <f>SUM(CL1403:CP1403)</f>
        <v>0</v>
      </c>
      <c r="CS1403" s="6"/>
      <c r="CT1403" s="7"/>
      <c r="CU1403" s="7"/>
      <c r="CV1403" s="7"/>
      <c r="CW1403" s="7"/>
      <c r="CX1403" s="8">
        <f t="shared" si="6473"/>
        <v>0</v>
      </c>
      <c r="CZ1403" s="6"/>
      <c r="DA1403" s="7"/>
      <c r="DB1403" s="7"/>
      <c r="DC1403" s="7"/>
      <c r="DD1403" s="7"/>
      <c r="DE1403" s="8">
        <f t="shared" si="6474"/>
        <v>0</v>
      </c>
    </row>
    <row r="1404" spans="3:109" ht="14" thickBot="1">
      <c r="C1404" s="567"/>
      <c r="E1404" s="5" t="s">
        <v>62</v>
      </c>
      <c r="F1404" s="23">
        <f t="shared" si="6469"/>
        <v>0</v>
      </c>
      <c r="G1404" s="24">
        <f t="shared" si="6460"/>
        <v>0</v>
      </c>
      <c r="H1404" s="24">
        <f t="shared" si="6461"/>
        <v>0</v>
      </c>
      <c r="I1404" s="24">
        <f t="shared" si="6462"/>
        <v>0</v>
      </c>
      <c r="J1404" s="24">
        <f t="shared" si="6463"/>
        <v>0</v>
      </c>
      <c r="K1404" s="8">
        <f t="shared" si="6470"/>
        <v>0</v>
      </c>
      <c r="M1404" s="6"/>
      <c r="N1404" s="7"/>
      <c r="O1404" s="7"/>
      <c r="P1404" s="7"/>
      <c r="Q1404" s="7"/>
      <c r="R1404" s="8">
        <f t="shared" si="6471"/>
        <v>0</v>
      </c>
      <c r="T1404" s="6"/>
      <c r="U1404" s="7"/>
      <c r="V1404" s="7"/>
      <c r="W1404" s="7"/>
      <c r="X1404" s="7"/>
      <c r="Y1404" s="8">
        <f t="shared" si="6472"/>
        <v>0</v>
      </c>
      <c r="AA1404" s="6"/>
      <c r="AB1404" s="7"/>
      <c r="AC1404" s="7"/>
      <c r="AD1404" s="7"/>
      <c r="AE1404" s="7"/>
      <c r="AF1404" s="8">
        <f>SUM(AA1404:AE1404)</f>
        <v>0</v>
      </c>
      <c r="AH1404" s="6"/>
      <c r="AI1404" s="7"/>
      <c r="AJ1404" s="7"/>
      <c r="AK1404" s="7"/>
      <c r="AL1404" s="7"/>
      <c r="AM1404" s="8">
        <f>SUM(AH1404:AL1404)</f>
        <v>0</v>
      </c>
      <c r="AO1404" s="6"/>
      <c r="AP1404" s="7"/>
      <c r="AQ1404" s="7"/>
      <c r="AR1404" s="7"/>
      <c r="AS1404" s="7"/>
      <c r="AT1404" s="8">
        <f>SUM(AO1404:AS1404)</f>
        <v>0</v>
      </c>
      <c r="AV1404" s="6"/>
      <c r="AW1404" s="7"/>
      <c r="AX1404" s="7"/>
      <c r="AY1404" s="7"/>
      <c r="AZ1404" s="7"/>
      <c r="BA1404" s="8">
        <f>SUM(AV1404:AZ1404)</f>
        <v>0</v>
      </c>
      <c r="BC1404" s="6"/>
      <c r="BD1404" s="7"/>
      <c r="BE1404" s="7"/>
      <c r="BF1404" s="7"/>
      <c r="BG1404" s="7"/>
      <c r="BH1404" s="8">
        <f>SUM(BC1404:BG1404)</f>
        <v>0</v>
      </c>
      <c r="BJ1404" s="6"/>
      <c r="BK1404" s="7"/>
      <c r="BL1404" s="7"/>
      <c r="BM1404" s="7"/>
      <c r="BN1404" s="7"/>
      <c r="BO1404" s="8">
        <f>SUM(BJ1404:BN1404)</f>
        <v>0</v>
      </c>
      <c r="BQ1404" s="6"/>
      <c r="BR1404" s="7"/>
      <c r="BS1404" s="7"/>
      <c r="BT1404" s="7"/>
      <c r="BU1404" s="7"/>
      <c r="BV1404" s="8">
        <f>SUM(BQ1404:BU1404)</f>
        <v>0</v>
      </c>
      <c r="BX1404" s="6"/>
      <c r="BY1404" s="7"/>
      <c r="BZ1404" s="7"/>
      <c r="CA1404" s="7"/>
      <c r="CB1404" s="7"/>
      <c r="CC1404" s="8">
        <f>SUM(BX1404:CB1404)</f>
        <v>0</v>
      </c>
      <c r="CE1404" s="493">
        <f t="shared" si="6464"/>
        <v>0</v>
      </c>
      <c r="CF1404" s="494">
        <f t="shared" si="6465"/>
        <v>0</v>
      </c>
      <c r="CG1404" s="494">
        <f t="shared" si="6466"/>
        <v>0</v>
      </c>
      <c r="CH1404" s="494">
        <f t="shared" si="6467"/>
        <v>0</v>
      </c>
      <c r="CI1404" s="494">
        <f t="shared" si="6468"/>
        <v>0</v>
      </c>
      <c r="CJ1404" s="495">
        <f>SUM(CE1404:CI1404)</f>
        <v>0</v>
      </c>
      <c r="CL1404" s="6"/>
      <c r="CM1404" s="7"/>
      <c r="CN1404" s="7"/>
      <c r="CO1404" s="7"/>
      <c r="CP1404" s="7"/>
      <c r="CQ1404" s="8">
        <f>SUM(CL1404:CP1404)</f>
        <v>0</v>
      </c>
      <c r="CS1404" s="6"/>
      <c r="CT1404" s="7"/>
      <c r="CU1404" s="7"/>
      <c r="CV1404" s="7"/>
      <c r="CW1404" s="7"/>
      <c r="CX1404" s="8">
        <f t="shared" si="6473"/>
        <v>0</v>
      </c>
      <c r="CZ1404" s="6"/>
      <c r="DA1404" s="7"/>
      <c r="DB1404" s="7"/>
      <c r="DC1404" s="7"/>
      <c r="DD1404" s="7"/>
      <c r="DE1404" s="8">
        <f t="shared" si="6474"/>
        <v>0</v>
      </c>
    </row>
    <row r="1405" spans="3:109" ht="14" thickBot="1">
      <c r="C1405" s="554"/>
      <c r="E1405" s="9"/>
      <c r="F1405" s="10">
        <f>SUM(F1401:F1404)</f>
        <v>0</v>
      </c>
      <c r="G1405" s="11">
        <f t="shared" ref="G1405:J1405" si="6475">SUM(G1401:G1404)</f>
        <v>0</v>
      </c>
      <c r="H1405" s="11">
        <f t="shared" si="6475"/>
        <v>0</v>
      </c>
      <c r="I1405" s="11">
        <f t="shared" si="6475"/>
        <v>0</v>
      </c>
      <c r="J1405" s="11">
        <f t="shared" si="6475"/>
        <v>0</v>
      </c>
      <c r="K1405" s="25">
        <f>SUM(K1401:K1404)</f>
        <v>0</v>
      </c>
      <c r="M1405" s="10">
        <f>SUM(M1401:M1404)</f>
        <v>0</v>
      </c>
      <c r="N1405" s="11">
        <f t="shared" ref="N1405:Q1405" si="6476">SUM(N1401:N1404)</f>
        <v>0</v>
      </c>
      <c r="O1405" s="11">
        <f t="shared" si="6476"/>
        <v>0</v>
      </c>
      <c r="P1405" s="11">
        <f t="shared" si="6476"/>
        <v>0</v>
      </c>
      <c r="Q1405" s="11">
        <f t="shared" si="6476"/>
        <v>0</v>
      </c>
      <c r="R1405" s="25">
        <f>SUM(R1401:R1404)</f>
        <v>0</v>
      </c>
      <c r="T1405" s="10">
        <f>SUM(T1401:T1404)</f>
        <v>0</v>
      </c>
      <c r="U1405" s="11">
        <f t="shared" ref="U1405:X1405" si="6477">SUM(U1401:U1404)</f>
        <v>0</v>
      </c>
      <c r="V1405" s="11">
        <f t="shared" si="6477"/>
        <v>0</v>
      </c>
      <c r="W1405" s="11">
        <f t="shared" si="6477"/>
        <v>0</v>
      </c>
      <c r="X1405" s="11">
        <f t="shared" si="6477"/>
        <v>0</v>
      </c>
      <c r="Y1405" s="25">
        <f>SUM(Y1401:Y1404)</f>
        <v>0</v>
      </c>
      <c r="AA1405" s="10">
        <f>SUM(AA1401:AA1404)</f>
        <v>0</v>
      </c>
      <c r="AB1405" s="11">
        <f t="shared" ref="AB1405:AE1405" si="6478">SUM(AB1401:AB1404)</f>
        <v>0</v>
      </c>
      <c r="AC1405" s="11">
        <f t="shared" si="6478"/>
        <v>0</v>
      </c>
      <c r="AD1405" s="11">
        <f t="shared" si="6478"/>
        <v>0</v>
      </c>
      <c r="AE1405" s="11">
        <f t="shared" si="6478"/>
        <v>0</v>
      </c>
      <c r="AF1405" s="25">
        <f>SUM(AF1401:AF1404)</f>
        <v>0</v>
      </c>
      <c r="AH1405" s="10">
        <f>SUM(AH1401:AH1404)</f>
        <v>0</v>
      </c>
      <c r="AI1405" s="11">
        <f t="shared" ref="AI1405:AL1405" si="6479">SUM(AI1401:AI1404)</f>
        <v>0</v>
      </c>
      <c r="AJ1405" s="11">
        <f t="shared" si="6479"/>
        <v>0</v>
      </c>
      <c r="AK1405" s="11">
        <f t="shared" si="6479"/>
        <v>0</v>
      </c>
      <c r="AL1405" s="11">
        <f t="shared" si="6479"/>
        <v>0</v>
      </c>
      <c r="AM1405" s="25">
        <f>SUM(AM1401:AM1404)</f>
        <v>0</v>
      </c>
      <c r="AO1405" s="10">
        <f>SUM(AO1401:AO1404)</f>
        <v>0</v>
      </c>
      <c r="AP1405" s="11">
        <f t="shared" ref="AP1405:AS1405" si="6480">SUM(AP1401:AP1404)</f>
        <v>0</v>
      </c>
      <c r="AQ1405" s="11">
        <f t="shared" si="6480"/>
        <v>0</v>
      </c>
      <c r="AR1405" s="11">
        <f t="shared" si="6480"/>
        <v>0</v>
      </c>
      <c r="AS1405" s="11">
        <f t="shared" si="6480"/>
        <v>0</v>
      </c>
      <c r="AT1405" s="25">
        <f>SUM(AT1401:AT1404)</f>
        <v>0</v>
      </c>
      <c r="AV1405" s="10">
        <f>SUM(AV1401:AV1404)</f>
        <v>0</v>
      </c>
      <c r="AW1405" s="11">
        <f t="shared" ref="AW1405:AZ1405" si="6481">SUM(AW1401:AW1404)</f>
        <v>0</v>
      </c>
      <c r="AX1405" s="11">
        <f t="shared" si="6481"/>
        <v>0</v>
      </c>
      <c r="AY1405" s="11">
        <f t="shared" si="6481"/>
        <v>0</v>
      </c>
      <c r="AZ1405" s="11">
        <f t="shared" si="6481"/>
        <v>0</v>
      </c>
      <c r="BA1405" s="25">
        <f>SUM(BA1401:BA1404)</f>
        <v>0</v>
      </c>
      <c r="BC1405" s="10">
        <f>SUM(BC1401:BC1404)</f>
        <v>0</v>
      </c>
      <c r="BD1405" s="11">
        <f t="shared" ref="BD1405:BG1405" si="6482">SUM(BD1401:BD1404)</f>
        <v>0</v>
      </c>
      <c r="BE1405" s="11">
        <f t="shared" si="6482"/>
        <v>0</v>
      </c>
      <c r="BF1405" s="11">
        <f t="shared" si="6482"/>
        <v>0</v>
      </c>
      <c r="BG1405" s="11">
        <f t="shared" si="6482"/>
        <v>0</v>
      </c>
      <c r="BH1405" s="25">
        <f>SUM(BH1401:BH1404)</f>
        <v>0</v>
      </c>
      <c r="BJ1405" s="10">
        <f>SUM(BJ1401:BJ1404)</f>
        <v>0</v>
      </c>
      <c r="BK1405" s="11">
        <f t="shared" ref="BK1405:BN1405" si="6483">SUM(BK1401:BK1404)</f>
        <v>0</v>
      </c>
      <c r="BL1405" s="11">
        <f t="shared" si="6483"/>
        <v>0</v>
      </c>
      <c r="BM1405" s="11">
        <f t="shared" si="6483"/>
        <v>0</v>
      </c>
      <c r="BN1405" s="11">
        <f t="shared" si="6483"/>
        <v>0</v>
      </c>
      <c r="BO1405" s="25">
        <f>SUM(BO1401:BO1404)</f>
        <v>0</v>
      </c>
      <c r="BQ1405" s="10">
        <f>SUM(BQ1401:BQ1404)</f>
        <v>0</v>
      </c>
      <c r="BR1405" s="11">
        <f t="shared" ref="BR1405:BU1405" si="6484">SUM(BR1401:BR1404)</f>
        <v>0</v>
      </c>
      <c r="BS1405" s="11">
        <f t="shared" si="6484"/>
        <v>0</v>
      </c>
      <c r="BT1405" s="11">
        <f t="shared" si="6484"/>
        <v>0</v>
      </c>
      <c r="BU1405" s="11">
        <f t="shared" si="6484"/>
        <v>0</v>
      </c>
      <c r="BV1405" s="25">
        <f>SUM(BV1401:BV1404)</f>
        <v>0</v>
      </c>
      <c r="BX1405" s="10">
        <f>SUM(BX1401:BX1404)</f>
        <v>0</v>
      </c>
      <c r="BY1405" s="11">
        <f t="shared" ref="BY1405:CB1405" si="6485">SUM(BY1401:BY1404)</f>
        <v>0</v>
      </c>
      <c r="BZ1405" s="11">
        <f t="shared" si="6485"/>
        <v>0</v>
      </c>
      <c r="CA1405" s="11">
        <f t="shared" si="6485"/>
        <v>0</v>
      </c>
      <c r="CB1405" s="11">
        <f t="shared" si="6485"/>
        <v>0</v>
      </c>
      <c r="CC1405" s="25">
        <f>SUM(CC1401:CC1404)</f>
        <v>0</v>
      </c>
      <c r="CE1405" s="62">
        <f t="shared" ref="CE1405:CJ1405" si="6486">SUM(CE1401:CE1404)</f>
        <v>0</v>
      </c>
      <c r="CF1405" s="63">
        <f t="shared" si="6486"/>
        <v>0</v>
      </c>
      <c r="CG1405" s="63">
        <f t="shared" si="6486"/>
        <v>0</v>
      </c>
      <c r="CH1405" s="63">
        <f t="shared" si="6486"/>
        <v>0</v>
      </c>
      <c r="CI1405" s="63">
        <f t="shared" si="6486"/>
        <v>0</v>
      </c>
      <c r="CJ1405" s="25">
        <f t="shared" si="6486"/>
        <v>0</v>
      </c>
      <c r="CL1405" s="10">
        <f>SUM(CL1401:CL1404)</f>
        <v>0</v>
      </c>
      <c r="CM1405" s="11">
        <f t="shared" ref="CM1405:CP1405" si="6487">SUM(CM1401:CM1404)</f>
        <v>0</v>
      </c>
      <c r="CN1405" s="11">
        <f t="shared" si="6487"/>
        <v>0</v>
      </c>
      <c r="CO1405" s="11">
        <f t="shared" si="6487"/>
        <v>0</v>
      </c>
      <c r="CP1405" s="11">
        <f t="shared" si="6487"/>
        <v>0</v>
      </c>
      <c r="CQ1405" s="25">
        <f>SUM(CQ1401:CQ1404)</f>
        <v>0</v>
      </c>
      <c r="CS1405" s="10">
        <f>SUM(CS1401:CS1404)</f>
        <v>0</v>
      </c>
      <c r="CT1405" s="11">
        <f t="shared" ref="CT1405:CW1405" si="6488">SUM(CT1401:CT1404)</f>
        <v>0</v>
      </c>
      <c r="CU1405" s="11">
        <f t="shared" si="6488"/>
        <v>0</v>
      </c>
      <c r="CV1405" s="11">
        <f t="shared" si="6488"/>
        <v>0</v>
      </c>
      <c r="CW1405" s="11">
        <f t="shared" si="6488"/>
        <v>0</v>
      </c>
      <c r="CX1405" s="25">
        <f>SUM(CX1401:CX1404)</f>
        <v>0</v>
      </c>
      <c r="CZ1405" s="10">
        <f>SUM(CZ1401:CZ1404)</f>
        <v>0</v>
      </c>
      <c r="DA1405" s="11">
        <f t="shared" ref="DA1405:DD1405" si="6489">SUM(DA1401:DA1404)</f>
        <v>0</v>
      </c>
      <c r="DB1405" s="11">
        <f t="shared" si="6489"/>
        <v>0</v>
      </c>
      <c r="DC1405" s="11">
        <f t="shared" si="6489"/>
        <v>0</v>
      </c>
      <c r="DD1405" s="11">
        <f t="shared" si="6489"/>
        <v>0</v>
      </c>
      <c r="DE1405" s="25">
        <f>SUM(DE1401:DE1404)</f>
        <v>0</v>
      </c>
    </row>
    <row r="1406" spans="3:109" ht="10.4" customHeight="1" thickBot="1"/>
    <row r="1407" spans="3:109">
      <c r="C1407" s="553">
        <v>2028</v>
      </c>
      <c r="E1407" s="1" t="s">
        <v>59</v>
      </c>
      <c r="F1407" s="21">
        <f>CE1401</f>
        <v>0</v>
      </c>
      <c r="G1407" s="22">
        <f t="shared" ref="G1407:G1410" si="6490">CF1401</f>
        <v>0</v>
      </c>
      <c r="H1407" s="22">
        <f t="shared" ref="H1407:H1410" si="6491">CG1401</f>
        <v>0</v>
      </c>
      <c r="I1407" s="22">
        <f t="shared" ref="I1407:I1410" si="6492">CH1401</f>
        <v>0</v>
      </c>
      <c r="J1407" s="22">
        <f t="shared" ref="J1407:J1410" si="6493">CI1401</f>
        <v>0</v>
      </c>
      <c r="K1407" s="4">
        <f>SUM(F1407:J1407)</f>
        <v>0</v>
      </c>
      <c r="M1407" s="2"/>
      <c r="N1407" s="3"/>
      <c r="O1407" s="3"/>
      <c r="P1407" s="3"/>
      <c r="Q1407" s="3"/>
      <c r="R1407" s="4">
        <f>SUM(M1407:Q1407)</f>
        <v>0</v>
      </c>
      <c r="T1407" s="2"/>
      <c r="U1407" s="3"/>
      <c r="V1407" s="3"/>
      <c r="W1407" s="3"/>
      <c r="X1407" s="3"/>
      <c r="Y1407" s="4">
        <f>SUM(T1407:X1407)</f>
        <v>0</v>
      </c>
      <c r="AA1407" s="2"/>
      <c r="AB1407" s="3"/>
      <c r="AC1407" s="3"/>
      <c r="AD1407" s="3"/>
      <c r="AE1407" s="3"/>
      <c r="AF1407" s="4">
        <f>SUM(AA1407:AE1407)</f>
        <v>0</v>
      </c>
      <c r="AH1407" s="2"/>
      <c r="AI1407" s="3"/>
      <c r="AJ1407" s="3"/>
      <c r="AK1407" s="3"/>
      <c r="AL1407" s="3"/>
      <c r="AM1407" s="4">
        <f>SUM(AH1407:AL1407)</f>
        <v>0</v>
      </c>
      <c r="AO1407" s="2"/>
      <c r="AP1407" s="3"/>
      <c r="AQ1407" s="3"/>
      <c r="AR1407" s="3"/>
      <c r="AS1407" s="3"/>
      <c r="AT1407" s="4">
        <f>SUM(AO1407:AS1407)</f>
        <v>0</v>
      </c>
      <c r="AV1407" s="2"/>
      <c r="AW1407" s="3"/>
      <c r="AX1407" s="3"/>
      <c r="AY1407" s="3"/>
      <c r="AZ1407" s="3"/>
      <c r="BA1407" s="4">
        <f>SUM(AV1407:AZ1407)</f>
        <v>0</v>
      </c>
      <c r="BC1407" s="2"/>
      <c r="BD1407" s="3"/>
      <c r="BE1407" s="3"/>
      <c r="BF1407" s="3"/>
      <c r="BG1407" s="3"/>
      <c r="BH1407" s="4">
        <f>SUM(BC1407:BG1407)</f>
        <v>0</v>
      </c>
      <c r="BJ1407" s="2"/>
      <c r="BK1407" s="3"/>
      <c r="BL1407" s="3"/>
      <c r="BM1407" s="3"/>
      <c r="BN1407" s="3"/>
      <c r="BO1407" s="4">
        <f>SUM(BJ1407:BN1407)</f>
        <v>0</v>
      </c>
      <c r="BQ1407" s="2"/>
      <c r="BR1407" s="3"/>
      <c r="BS1407" s="3"/>
      <c r="BT1407" s="3"/>
      <c r="BU1407" s="3"/>
      <c r="BV1407" s="4">
        <f>SUM(BQ1407:BU1407)</f>
        <v>0</v>
      </c>
      <c r="BX1407" s="2"/>
      <c r="BY1407" s="3"/>
      <c r="BZ1407" s="3"/>
      <c r="CA1407" s="3"/>
      <c r="CB1407" s="3"/>
      <c r="CC1407" s="4">
        <f>SUM(BX1407:CB1407)</f>
        <v>0</v>
      </c>
      <c r="CE1407" s="26">
        <f t="shared" ref="CE1407:CE1410" si="6494">F1407+M1407+T1407+AA1407+AH1407+AO1407+AV1407+BC1407+BJ1407+BQ1407+BX1407</f>
        <v>0</v>
      </c>
      <c r="CF1407" s="27">
        <f t="shared" ref="CF1407:CF1410" si="6495">G1407+N1407+U1407+AB1407+AI1407+AP1407+AW1407+BD1407+BK1407+BR1407+BY1407</f>
        <v>0</v>
      </c>
      <c r="CG1407" s="27">
        <f t="shared" ref="CG1407:CG1410" si="6496">H1407+O1407+V1407+AC1407+AJ1407+AQ1407+AX1407+BE1407+BL1407+BS1407+BZ1407</f>
        <v>0</v>
      </c>
      <c r="CH1407" s="27">
        <f t="shared" ref="CH1407:CH1410" si="6497">I1407+P1407+W1407+AD1407+AK1407+AR1407+AY1407+BF1407+BM1407+BT1407+CA1407</f>
        <v>0</v>
      </c>
      <c r="CI1407" s="27">
        <f t="shared" ref="CI1407:CI1410" si="6498">J1407+Q1407+X1407+AE1407+AL1407+AS1407+AZ1407+BG1407+BN1407+BU1407+CB1407</f>
        <v>0</v>
      </c>
      <c r="CJ1407" s="4">
        <f>SUM(CE1407:CI1407)</f>
        <v>0</v>
      </c>
      <c r="CL1407" s="2"/>
      <c r="CM1407" s="3"/>
      <c r="CN1407" s="3"/>
      <c r="CO1407" s="3"/>
      <c r="CP1407" s="3"/>
      <c r="CQ1407" s="4">
        <f>SUM(CL1407:CP1407)</f>
        <v>0</v>
      </c>
      <c r="CS1407" s="2"/>
      <c r="CT1407" s="3"/>
      <c r="CU1407" s="3"/>
      <c r="CV1407" s="3"/>
      <c r="CW1407" s="3"/>
      <c r="CX1407" s="4">
        <f>SUM(CS1407:CW1407)</f>
        <v>0</v>
      </c>
      <c r="CZ1407" s="2"/>
      <c r="DA1407" s="3"/>
      <c r="DB1407" s="3"/>
      <c r="DC1407" s="3"/>
      <c r="DD1407" s="3"/>
      <c r="DE1407" s="4">
        <f>SUM(CZ1407:DD1407)</f>
        <v>0</v>
      </c>
    </row>
    <row r="1408" spans="3:109">
      <c r="C1408" s="567"/>
      <c r="E1408" s="5" t="s">
        <v>60</v>
      </c>
      <c r="F1408" s="23">
        <f t="shared" ref="F1408:F1410" si="6499">CE1402</f>
        <v>0</v>
      </c>
      <c r="G1408" s="24">
        <f t="shared" si="6490"/>
        <v>0</v>
      </c>
      <c r="H1408" s="24">
        <f t="shared" si="6491"/>
        <v>0</v>
      </c>
      <c r="I1408" s="24">
        <f t="shared" si="6492"/>
        <v>0</v>
      </c>
      <c r="J1408" s="24">
        <f t="shared" si="6493"/>
        <v>0</v>
      </c>
      <c r="K1408" s="8">
        <f t="shared" ref="K1408:K1410" si="6500">SUM(F1408:J1408)</f>
        <v>0</v>
      </c>
      <c r="M1408" s="6"/>
      <c r="N1408" s="7"/>
      <c r="O1408" s="7"/>
      <c r="P1408" s="7"/>
      <c r="Q1408" s="7"/>
      <c r="R1408" s="8">
        <f t="shared" ref="R1408:R1410" si="6501">SUM(M1408:Q1408)</f>
        <v>0</v>
      </c>
      <c r="T1408" s="6"/>
      <c r="U1408" s="7"/>
      <c r="V1408" s="7"/>
      <c r="W1408" s="7"/>
      <c r="X1408" s="7"/>
      <c r="Y1408" s="8">
        <f t="shared" ref="Y1408:Y1410" si="6502">SUM(T1408:X1408)</f>
        <v>0</v>
      </c>
      <c r="AA1408" s="6"/>
      <c r="AB1408" s="7"/>
      <c r="AC1408" s="7"/>
      <c r="AD1408" s="7"/>
      <c r="AE1408" s="7"/>
      <c r="AF1408" s="8">
        <f>SUM(AA1408:AE1408)</f>
        <v>0</v>
      </c>
      <c r="AH1408" s="6"/>
      <c r="AI1408" s="7"/>
      <c r="AJ1408" s="7"/>
      <c r="AK1408" s="7"/>
      <c r="AL1408" s="7"/>
      <c r="AM1408" s="8">
        <f>SUM(AH1408:AL1408)</f>
        <v>0</v>
      </c>
      <c r="AO1408" s="6"/>
      <c r="AP1408" s="7"/>
      <c r="AQ1408" s="7"/>
      <c r="AR1408" s="7"/>
      <c r="AS1408" s="7"/>
      <c r="AT1408" s="8">
        <f>SUM(AO1408:AS1408)</f>
        <v>0</v>
      </c>
      <c r="AV1408" s="6"/>
      <c r="AW1408" s="7"/>
      <c r="AX1408" s="7"/>
      <c r="AY1408" s="7"/>
      <c r="AZ1408" s="7"/>
      <c r="BA1408" s="8">
        <f>SUM(AV1408:AZ1408)</f>
        <v>0</v>
      </c>
      <c r="BC1408" s="6"/>
      <c r="BD1408" s="7"/>
      <c r="BE1408" s="7"/>
      <c r="BF1408" s="7"/>
      <c r="BG1408" s="7"/>
      <c r="BH1408" s="8">
        <f>SUM(BC1408:BG1408)</f>
        <v>0</v>
      </c>
      <c r="BJ1408" s="6"/>
      <c r="BK1408" s="7"/>
      <c r="BL1408" s="7"/>
      <c r="BM1408" s="7"/>
      <c r="BN1408" s="7"/>
      <c r="BO1408" s="8">
        <f>SUM(BJ1408:BN1408)</f>
        <v>0</v>
      </c>
      <c r="BQ1408" s="6"/>
      <c r="BR1408" s="7"/>
      <c r="BS1408" s="7"/>
      <c r="BT1408" s="7"/>
      <c r="BU1408" s="7"/>
      <c r="BV1408" s="8">
        <f>SUM(BQ1408:BU1408)</f>
        <v>0</v>
      </c>
      <c r="BX1408" s="6"/>
      <c r="BY1408" s="7"/>
      <c r="BZ1408" s="7"/>
      <c r="CA1408" s="7"/>
      <c r="CB1408" s="7"/>
      <c r="CC1408" s="8">
        <f>SUM(BX1408:CB1408)</f>
        <v>0</v>
      </c>
      <c r="CE1408" s="28">
        <f t="shared" si="6494"/>
        <v>0</v>
      </c>
      <c r="CF1408" s="29">
        <f t="shared" si="6495"/>
        <v>0</v>
      </c>
      <c r="CG1408" s="29">
        <f t="shared" si="6496"/>
        <v>0</v>
      </c>
      <c r="CH1408" s="29">
        <f t="shared" si="6497"/>
        <v>0</v>
      </c>
      <c r="CI1408" s="29">
        <f t="shared" si="6498"/>
        <v>0</v>
      </c>
      <c r="CJ1408" s="8">
        <f>SUM(CE1408:CI1408)</f>
        <v>0</v>
      </c>
      <c r="CL1408" s="6"/>
      <c r="CM1408" s="7"/>
      <c r="CN1408" s="7"/>
      <c r="CO1408" s="7"/>
      <c r="CP1408" s="7"/>
      <c r="CQ1408" s="8">
        <f>SUM(CL1408:CP1408)</f>
        <v>0</v>
      </c>
      <c r="CS1408" s="6"/>
      <c r="CT1408" s="7"/>
      <c r="CU1408" s="7"/>
      <c r="CV1408" s="7"/>
      <c r="CW1408" s="7"/>
      <c r="CX1408" s="8">
        <f t="shared" ref="CX1408:CX1410" si="6503">SUM(CS1408:CW1408)</f>
        <v>0</v>
      </c>
      <c r="CZ1408" s="6"/>
      <c r="DA1408" s="7"/>
      <c r="DB1408" s="7"/>
      <c r="DC1408" s="7"/>
      <c r="DD1408" s="7"/>
      <c r="DE1408" s="8">
        <f t="shared" ref="DE1408:DE1410" si="6504">SUM(CZ1408:DD1408)</f>
        <v>0</v>
      </c>
    </row>
    <row r="1409" spans="2:110">
      <c r="C1409" s="567"/>
      <c r="E1409" s="5" t="s">
        <v>61</v>
      </c>
      <c r="F1409" s="23">
        <f t="shared" si="6499"/>
        <v>0</v>
      </c>
      <c r="G1409" s="24">
        <f t="shared" si="6490"/>
        <v>0</v>
      </c>
      <c r="H1409" s="24">
        <f t="shared" si="6491"/>
        <v>0</v>
      </c>
      <c r="I1409" s="24">
        <f t="shared" si="6492"/>
        <v>0</v>
      </c>
      <c r="J1409" s="24">
        <f t="shared" si="6493"/>
        <v>0</v>
      </c>
      <c r="K1409" s="8">
        <f t="shared" si="6500"/>
        <v>0</v>
      </c>
      <c r="M1409" s="6"/>
      <c r="N1409" s="7"/>
      <c r="O1409" s="7"/>
      <c r="P1409" s="7"/>
      <c r="Q1409" s="7"/>
      <c r="R1409" s="8">
        <f t="shared" si="6501"/>
        <v>0</v>
      </c>
      <c r="T1409" s="6"/>
      <c r="U1409" s="7"/>
      <c r="V1409" s="7"/>
      <c r="W1409" s="7"/>
      <c r="X1409" s="7"/>
      <c r="Y1409" s="8">
        <f t="shared" si="6502"/>
        <v>0</v>
      </c>
      <c r="AA1409" s="6"/>
      <c r="AB1409" s="7"/>
      <c r="AC1409" s="7"/>
      <c r="AD1409" s="7"/>
      <c r="AE1409" s="7"/>
      <c r="AF1409" s="8">
        <f>SUM(AA1409:AE1409)</f>
        <v>0</v>
      </c>
      <c r="AH1409" s="6"/>
      <c r="AI1409" s="7"/>
      <c r="AJ1409" s="7"/>
      <c r="AK1409" s="7"/>
      <c r="AL1409" s="7"/>
      <c r="AM1409" s="8">
        <f>SUM(AH1409:AL1409)</f>
        <v>0</v>
      </c>
      <c r="AO1409" s="6"/>
      <c r="AP1409" s="7"/>
      <c r="AQ1409" s="7"/>
      <c r="AR1409" s="7"/>
      <c r="AS1409" s="7"/>
      <c r="AT1409" s="8">
        <f>SUM(AO1409:AS1409)</f>
        <v>0</v>
      </c>
      <c r="AV1409" s="6"/>
      <c r="AW1409" s="7"/>
      <c r="AX1409" s="7"/>
      <c r="AY1409" s="7"/>
      <c r="AZ1409" s="7"/>
      <c r="BA1409" s="8">
        <f>SUM(AV1409:AZ1409)</f>
        <v>0</v>
      </c>
      <c r="BC1409" s="6"/>
      <c r="BD1409" s="7"/>
      <c r="BE1409" s="7"/>
      <c r="BF1409" s="7"/>
      <c r="BG1409" s="7"/>
      <c r="BH1409" s="8">
        <f>SUM(BC1409:BG1409)</f>
        <v>0</v>
      </c>
      <c r="BJ1409" s="6"/>
      <c r="BK1409" s="7"/>
      <c r="BL1409" s="7"/>
      <c r="BM1409" s="7"/>
      <c r="BN1409" s="7"/>
      <c r="BO1409" s="8">
        <f>SUM(BJ1409:BN1409)</f>
        <v>0</v>
      </c>
      <c r="BQ1409" s="6"/>
      <c r="BR1409" s="7"/>
      <c r="BS1409" s="7"/>
      <c r="BT1409" s="7"/>
      <c r="BU1409" s="7"/>
      <c r="BV1409" s="8">
        <f>SUM(BQ1409:BU1409)</f>
        <v>0</v>
      </c>
      <c r="BX1409" s="6"/>
      <c r="BY1409" s="7"/>
      <c r="BZ1409" s="7"/>
      <c r="CA1409" s="7"/>
      <c r="CB1409" s="7"/>
      <c r="CC1409" s="8">
        <f>SUM(BX1409:CB1409)</f>
        <v>0</v>
      </c>
      <c r="CE1409" s="28">
        <f t="shared" si="6494"/>
        <v>0</v>
      </c>
      <c r="CF1409" s="29">
        <f t="shared" si="6495"/>
        <v>0</v>
      </c>
      <c r="CG1409" s="29">
        <f t="shared" si="6496"/>
        <v>0</v>
      </c>
      <c r="CH1409" s="29">
        <f t="shared" si="6497"/>
        <v>0</v>
      </c>
      <c r="CI1409" s="29">
        <f t="shared" si="6498"/>
        <v>0</v>
      </c>
      <c r="CJ1409" s="8">
        <f>SUM(CE1409:CI1409)</f>
        <v>0</v>
      </c>
      <c r="CL1409" s="6"/>
      <c r="CM1409" s="7"/>
      <c r="CN1409" s="7"/>
      <c r="CO1409" s="7"/>
      <c r="CP1409" s="7"/>
      <c r="CQ1409" s="8">
        <f>SUM(CL1409:CP1409)</f>
        <v>0</v>
      </c>
      <c r="CS1409" s="6"/>
      <c r="CT1409" s="7"/>
      <c r="CU1409" s="7"/>
      <c r="CV1409" s="7"/>
      <c r="CW1409" s="7"/>
      <c r="CX1409" s="8">
        <f t="shared" si="6503"/>
        <v>0</v>
      </c>
      <c r="CZ1409" s="6"/>
      <c r="DA1409" s="7"/>
      <c r="DB1409" s="7"/>
      <c r="DC1409" s="7"/>
      <c r="DD1409" s="7"/>
      <c r="DE1409" s="8">
        <f t="shared" si="6504"/>
        <v>0</v>
      </c>
    </row>
    <row r="1410" spans="2:110" ht="14" thickBot="1">
      <c r="C1410" s="567"/>
      <c r="E1410" s="5" t="s">
        <v>62</v>
      </c>
      <c r="F1410" s="23">
        <f t="shared" si="6499"/>
        <v>0</v>
      </c>
      <c r="G1410" s="24">
        <f t="shared" si="6490"/>
        <v>0</v>
      </c>
      <c r="H1410" s="24">
        <f t="shared" si="6491"/>
        <v>0</v>
      </c>
      <c r="I1410" s="24">
        <f t="shared" si="6492"/>
        <v>0</v>
      </c>
      <c r="J1410" s="24">
        <f t="shared" si="6493"/>
        <v>0</v>
      </c>
      <c r="K1410" s="8">
        <f t="shared" si="6500"/>
        <v>0</v>
      </c>
      <c r="M1410" s="6"/>
      <c r="N1410" s="7"/>
      <c r="O1410" s="7"/>
      <c r="P1410" s="7"/>
      <c r="Q1410" s="7"/>
      <c r="R1410" s="8">
        <f t="shared" si="6501"/>
        <v>0</v>
      </c>
      <c r="T1410" s="6"/>
      <c r="U1410" s="7"/>
      <c r="V1410" s="7"/>
      <c r="W1410" s="7"/>
      <c r="X1410" s="7"/>
      <c r="Y1410" s="8">
        <f t="shared" si="6502"/>
        <v>0</v>
      </c>
      <c r="AA1410" s="6"/>
      <c r="AB1410" s="7"/>
      <c r="AC1410" s="7"/>
      <c r="AD1410" s="7"/>
      <c r="AE1410" s="7"/>
      <c r="AF1410" s="8">
        <f>SUM(AA1410:AE1410)</f>
        <v>0</v>
      </c>
      <c r="AH1410" s="6"/>
      <c r="AI1410" s="7"/>
      <c r="AJ1410" s="7"/>
      <c r="AK1410" s="7"/>
      <c r="AL1410" s="7"/>
      <c r="AM1410" s="8">
        <f>SUM(AH1410:AL1410)</f>
        <v>0</v>
      </c>
      <c r="AO1410" s="6"/>
      <c r="AP1410" s="7"/>
      <c r="AQ1410" s="7"/>
      <c r="AR1410" s="7"/>
      <c r="AS1410" s="7"/>
      <c r="AT1410" s="8">
        <f>SUM(AO1410:AS1410)</f>
        <v>0</v>
      </c>
      <c r="AV1410" s="6"/>
      <c r="AW1410" s="7"/>
      <c r="AX1410" s="7"/>
      <c r="AY1410" s="7"/>
      <c r="AZ1410" s="7"/>
      <c r="BA1410" s="8">
        <f>SUM(AV1410:AZ1410)</f>
        <v>0</v>
      </c>
      <c r="BC1410" s="6"/>
      <c r="BD1410" s="7"/>
      <c r="BE1410" s="7"/>
      <c r="BF1410" s="7"/>
      <c r="BG1410" s="7"/>
      <c r="BH1410" s="8">
        <f>SUM(BC1410:BG1410)</f>
        <v>0</v>
      </c>
      <c r="BJ1410" s="6"/>
      <c r="BK1410" s="7"/>
      <c r="BL1410" s="7"/>
      <c r="BM1410" s="7"/>
      <c r="BN1410" s="7"/>
      <c r="BO1410" s="8">
        <f>SUM(BJ1410:BN1410)</f>
        <v>0</v>
      </c>
      <c r="BQ1410" s="6"/>
      <c r="BR1410" s="7"/>
      <c r="BS1410" s="7"/>
      <c r="BT1410" s="7"/>
      <c r="BU1410" s="7"/>
      <c r="BV1410" s="8">
        <f>SUM(BQ1410:BU1410)</f>
        <v>0</v>
      </c>
      <c r="BX1410" s="6"/>
      <c r="BY1410" s="7"/>
      <c r="BZ1410" s="7"/>
      <c r="CA1410" s="7"/>
      <c r="CB1410" s="7"/>
      <c r="CC1410" s="8">
        <f>SUM(BX1410:CB1410)</f>
        <v>0</v>
      </c>
      <c r="CE1410" s="493">
        <f t="shared" si="6494"/>
        <v>0</v>
      </c>
      <c r="CF1410" s="494">
        <f t="shared" si="6495"/>
        <v>0</v>
      </c>
      <c r="CG1410" s="494">
        <f t="shared" si="6496"/>
        <v>0</v>
      </c>
      <c r="CH1410" s="494">
        <f t="shared" si="6497"/>
        <v>0</v>
      </c>
      <c r="CI1410" s="494">
        <f t="shared" si="6498"/>
        <v>0</v>
      </c>
      <c r="CJ1410" s="495">
        <f>SUM(CE1410:CI1410)</f>
        <v>0</v>
      </c>
      <c r="CL1410" s="6"/>
      <c r="CM1410" s="7"/>
      <c r="CN1410" s="7"/>
      <c r="CO1410" s="7"/>
      <c r="CP1410" s="7"/>
      <c r="CQ1410" s="8">
        <f>SUM(CL1410:CP1410)</f>
        <v>0</v>
      </c>
      <c r="CS1410" s="6"/>
      <c r="CT1410" s="7"/>
      <c r="CU1410" s="7"/>
      <c r="CV1410" s="7"/>
      <c r="CW1410" s="7"/>
      <c r="CX1410" s="8">
        <f t="shared" si="6503"/>
        <v>0</v>
      </c>
      <c r="CZ1410" s="6"/>
      <c r="DA1410" s="7"/>
      <c r="DB1410" s="7"/>
      <c r="DC1410" s="7"/>
      <c r="DD1410" s="7"/>
      <c r="DE1410" s="8">
        <f t="shared" si="6504"/>
        <v>0</v>
      </c>
    </row>
    <row r="1411" spans="2:110" ht="14" thickBot="1">
      <c r="C1411" s="554"/>
      <c r="E1411" s="9"/>
      <c r="F1411" s="10">
        <f>SUM(F1407:F1410)</f>
        <v>0</v>
      </c>
      <c r="G1411" s="11">
        <f t="shared" ref="G1411:J1411" si="6505">SUM(G1407:G1410)</f>
        <v>0</v>
      </c>
      <c r="H1411" s="11">
        <f t="shared" si="6505"/>
        <v>0</v>
      </c>
      <c r="I1411" s="11">
        <f t="shared" si="6505"/>
        <v>0</v>
      </c>
      <c r="J1411" s="11">
        <f t="shared" si="6505"/>
        <v>0</v>
      </c>
      <c r="K1411" s="25">
        <f>SUM(K1407:K1410)</f>
        <v>0</v>
      </c>
      <c r="M1411" s="10">
        <f>SUM(M1407:M1410)</f>
        <v>0</v>
      </c>
      <c r="N1411" s="11">
        <f t="shared" ref="N1411:Q1411" si="6506">SUM(N1407:N1410)</f>
        <v>0</v>
      </c>
      <c r="O1411" s="11">
        <f t="shared" si="6506"/>
        <v>0</v>
      </c>
      <c r="P1411" s="11">
        <f t="shared" si="6506"/>
        <v>0</v>
      </c>
      <c r="Q1411" s="11">
        <f t="shared" si="6506"/>
        <v>0</v>
      </c>
      <c r="R1411" s="25">
        <f>SUM(R1407:R1410)</f>
        <v>0</v>
      </c>
      <c r="T1411" s="10">
        <f>SUM(T1407:T1410)</f>
        <v>0</v>
      </c>
      <c r="U1411" s="11">
        <f t="shared" ref="U1411:X1411" si="6507">SUM(U1407:U1410)</f>
        <v>0</v>
      </c>
      <c r="V1411" s="11">
        <f t="shared" si="6507"/>
        <v>0</v>
      </c>
      <c r="W1411" s="11">
        <f t="shared" si="6507"/>
        <v>0</v>
      </c>
      <c r="X1411" s="11">
        <f t="shared" si="6507"/>
        <v>0</v>
      </c>
      <c r="Y1411" s="25">
        <f>SUM(Y1407:Y1410)</f>
        <v>0</v>
      </c>
      <c r="AA1411" s="10">
        <f>SUM(AA1407:AA1410)</f>
        <v>0</v>
      </c>
      <c r="AB1411" s="11">
        <f t="shared" ref="AB1411:AE1411" si="6508">SUM(AB1407:AB1410)</f>
        <v>0</v>
      </c>
      <c r="AC1411" s="11">
        <f t="shared" si="6508"/>
        <v>0</v>
      </c>
      <c r="AD1411" s="11">
        <f t="shared" si="6508"/>
        <v>0</v>
      </c>
      <c r="AE1411" s="11">
        <f t="shared" si="6508"/>
        <v>0</v>
      </c>
      <c r="AF1411" s="25">
        <f>SUM(AF1407:AF1410)</f>
        <v>0</v>
      </c>
      <c r="AH1411" s="10">
        <f>SUM(AH1407:AH1410)</f>
        <v>0</v>
      </c>
      <c r="AI1411" s="11">
        <f t="shared" ref="AI1411:AL1411" si="6509">SUM(AI1407:AI1410)</f>
        <v>0</v>
      </c>
      <c r="AJ1411" s="11">
        <f t="shared" si="6509"/>
        <v>0</v>
      </c>
      <c r="AK1411" s="11">
        <f t="shared" si="6509"/>
        <v>0</v>
      </c>
      <c r="AL1411" s="11">
        <f t="shared" si="6509"/>
        <v>0</v>
      </c>
      <c r="AM1411" s="25">
        <f>SUM(AM1407:AM1410)</f>
        <v>0</v>
      </c>
      <c r="AO1411" s="10">
        <f>SUM(AO1407:AO1410)</f>
        <v>0</v>
      </c>
      <c r="AP1411" s="11">
        <f t="shared" ref="AP1411:AS1411" si="6510">SUM(AP1407:AP1410)</f>
        <v>0</v>
      </c>
      <c r="AQ1411" s="11">
        <f t="shared" si="6510"/>
        <v>0</v>
      </c>
      <c r="AR1411" s="11">
        <f t="shared" si="6510"/>
        <v>0</v>
      </c>
      <c r="AS1411" s="11">
        <f t="shared" si="6510"/>
        <v>0</v>
      </c>
      <c r="AT1411" s="25">
        <f>SUM(AT1407:AT1410)</f>
        <v>0</v>
      </c>
      <c r="AV1411" s="10">
        <f>SUM(AV1407:AV1410)</f>
        <v>0</v>
      </c>
      <c r="AW1411" s="11">
        <f t="shared" ref="AW1411:AZ1411" si="6511">SUM(AW1407:AW1410)</f>
        <v>0</v>
      </c>
      <c r="AX1411" s="11">
        <f t="shared" si="6511"/>
        <v>0</v>
      </c>
      <c r="AY1411" s="11">
        <f t="shared" si="6511"/>
        <v>0</v>
      </c>
      <c r="AZ1411" s="11">
        <f t="shared" si="6511"/>
        <v>0</v>
      </c>
      <c r="BA1411" s="25">
        <f>SUM(BA1407:BA1410)</f>
        <v>0</v>
      </c>
      <c r="BC1411" s="10">
        <f>SUM(BC1407:BC1410)</f>
        <v>0</v>
      </c>
      <c r="BD1411" s="11">
        <f t="shared" ref="BD1411:BG1411" si="6512">SUM(BD1407:BD1410)</f>
        <v>0</v>
      </c>
      <c r="BE1411" s="11">
        <f t="shared" si="6512"/>
        <v>0</v>
      </c>
      <c r="BF1411" s="11">
        <f t="shared" si="6512"/>
        <v>0</v>
      </c>
      <c r="BG1411" s="11">
        <f t="shared" si="6512"/>
        <v>0</v>
      </c>
      <c r="BH1411" s="25">
        <f>SUM(BH1407:BH1410)</f>
        <v>0</v>
      </c>
      <c r="BJ1411" s="10">
        <f>SUM(BJ1407:BJ1410)</f>
        <v>0</v>
      </c>
      <c r="BK1411" s="11">
        <f t="shared" ref="BK1411:BN1411" si="6513">SUM(BK1407:BK1410)</f>
        <v>0</v>
      </c>
      <c r="BL1411" s="11">
        <f t="shared" si="6513"/>
        <v>0</v>
      </c>
      <c r="BM1411" s="11">
        <f t="shared" si="6513"/>
        <v>0</v>
      </c>
      <c r="BN1411" s="11">
        <f t="shared" si="6513"/>
        <v>0</v>
      </c>
      <c r="BO1411" s="25">
        <f>SUM(BO1407:BO1410)</f>
        <v>0</v>
      </c>
      <c r="BQ1411" s="10">
        <f>SUM(BQ1407:BQ1410)</f>
        <v>0</v>
      </c>
      <c r="BR1411" s="11">
        <f t="shared" ref="BR1411:BU1411" si="6514">SUM(BR1407:BR1410)</f>
        <v>0</v>
      </c>
      <c r="BS1411" s="11">
        <f t="shared" si="6514"/>
        <v>0</v>
      </c>
      <c r="BT1411" s="11">
        <f t="shared" si="6514"/>
        <v>0</v>
      </c>
      <c r="BU1411" s="11">
        <f t="shared" si="6514"/>
        <v>0</v>
      </c>
      <c r="BV1411" s="25">
        <f>SUM(BV1407:BV1410)</f>
        <v>0</v>
      </c>
      <c r="BX1411" s="10">
        <f>SUM(BX1407:BX1410)</f>
        <v>0</v>
      </c>
      <c r="BY1411" s="11">
        <f t="shared" ref="BY1411:CB1411" si="6515">SUM(BY1407:BY1410)</f>
        <v>0</v>
      </c>
      <c r="BZ1411" s="11">
        <f t="shared" si="6515"/>
        <v>0</v>
      </c>
      <c r="CA1411" s="11">
        <f t="shared" si="6515"/>
        <v>0</v>
      </c>
      <c r="CB1411" s="11">
        <f t="shared" si="6515"/>
        <v>0</v>
      </c>
      <c r="CC1411" s="25">
        <f>SUM(CC1407:CC1410)</f>
        <v>0</v>
      </c>
      <c r="CE1411" s="62">
        <f t="shared" ref="CE1411:CJ1411" si="6516">SUM(CE1407:CE1410)</f>
        <v>0</v>
      </c>
      <c r="CF1411" s="63">
        <f t="shared" si="6516"/>
        <v>0</v>
      </c>
      <c r="CG1411" s="63">
        <f t="shared" si="6516"/>
        <v>0</v>
      </c>
      <c r="CH1411" s="63">
        <f t="shared" si="6516"/>
        <v>0</v>
      </c>
      <c r="CI1411" s="63">
        <f t="shared" si="6516"/>
        <v>0</v>
      </c>
      <c r="CJ1411" s="25">
        <f t="shared" si="6516"/>
        <v>0</v>
      </c>
      <c r="CL1411" s="10">
        <f>SUM(CL1407:CL1410)</f>
        <v>0</v>
      </c>
      <c r="CM1411" s="11">
        <f t="shared" ref="CM1411:CP1411" si="6517">SUM(CM1407:CM1410)</f>
        <v>0</v>
      </c>
      <c r="CN1411" s="11">
        <f t="shared" si="6517"/>
        <v>0</v>
      </c>
      <c r="CO1411" s="11">
        <f t="shared" si="6517"/>
        <v>0</v>
      </c>
      <c r="CP1411" s="11">
        <f t="shared" si="6517"/>
        <v>0</v>
      </c>
      <c r="CQ1411" s="25">
        <f>SUM(CQ1407:CQ1410)</f>
        <v>0</v>
      </c>
      <c r="CS1411" s="10">
        <f>SUM(CS1407:CS1410)</f>
        <v>0</v>
      </c>
      <c r="CT1411" s="11">
        <f t="shared" ref="CT1411:CW1411" si="6518">SUM(CT1407:CT1410)</f>
        <v>0</v>
      </c>
      <c r="CU1411" s="11">
        <f t="shared" si="6518"/>
        <v>0</v>
      </c>
      <c r="CV1411" s="11">
        <f t="shared" si="6518"/>
        <v>0</v>
      </c>
      <c r="CW1411" s="11">
        <f t="shared" si="6518"/>
        <v>0</v>
      </c>
      <c r="CX1411" s="25">
        <f>SUM(CX1407:CX1410)</f>
        <v>0</v>
      </c>
      <c r="CZ1411" s="10">
        <f>SUM(CZ1407:CZ1410)</f>
        <v>0</v>
      </c>
      <c r="DA1411" s="11">
        <f t="shared" ref="DA1411:DD1411" si="6519">SUM(DA1407:DA1410)</f>
        <v>0</v>
      </c>
      <c r="DB1411" s="11">
        <f t="shared" si="6519"/>
        <v>0</v>
      </c>
      <c r="DC1411" s="11">
        <f t="shared" si="6519"/>
        <v>0</v>
      </c>
      <c r="DD1411" s="11">
        <f t="shared" si="6519"/>
        <v>0</v>
      </c>
      <c r="DE1411" s="25">
        <f>SUM(DE1407:DE1410)</f>
        <v>0</v>
      </c>
    </row>
    <row r="1413" spans="2:110" ht="14" thickBot="1">
      <c r="B1413" s="123"/>
      <c r="C1413" s="20"/>
      <c r="D1413" s="20"/>
      <c r="E1413" s="20"/>
      <c r="F1413" s="20"/>
      <c r="G1413" s="20"/>
      <c r="H1413" s="20"/>
      <c r="I1413" s="20"/>
      <c r="J1413" s="20"/>
      <c r="K1413" s="20"/>
      <c r="L1413" s="20"/>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Q1413" s="20"/>
      <c r="BR1413" s="20"/>
      <c r="BS1413" s="20"/>
      <c r="BT1413" s="20"/>
      <c r="BU1413" s="20"/>
      <c r="BV1413" s="20"/>
      <c r="BW1413" s="20"/>
      <c r="BX1413" s="20"/>
      <c r="BY1413" s="20"/>
      <c r="BZ1413" s="20"/>
      <c r="CA1413" s="20"/>
      <c r="CB1413" s="20"/>
      <c r="CC1413" s="20"/>
      <c r="CD1413" s="20"/>
      <c r="CE1413" s="20"/>
      <c r="CF1413" s="20"/>
      <c r="CG1413" s="20"/>
      <c r="CH1413" s="20"/>
      <c r="CI1413" s="20"/>
      <c r="CJ1413" s="20"/>
      <c r="CK1413" s="20"/>
      <c r="CL1413" s="20"/>
      <c r="CM1413" s="20"/>
      <c r="CN1413" s="20"/>
      <c r="CO1413" s="20"/>
      <c r="CP1413" s="20"/>
      <c r="CQ1413" s="20"/>
      <c r="CR1413" s="20"/>
      <c r="CS1413" s="20"/>
      <c r="CT1413" s="20"/>
      <c r="CU1413" s="20"/>
      <c r="CV1413" s="20"/>
      <c r="CW1413" s="20"/>
      <c r="CX1413" s="20"/>
      <c r="CY1413" s="20"/>
      <c r="CZ1413" s="20"/>
      <c r="DA1413" s="20"/>
      <c r="DB1413" s="20"/>
      <c r="DC1413" s="20"/>
      <c r="DD1413" s="20"/>
      <c r="DE1413" s="20"/>
      <c r="DF1413" s="20"/>
    </row>
    <row r="1414" spans="2:110" ht="14" thickBot="1">
      <c r="B1414" s="94">
        <v>45</v>
      </c>
      <c r="C1414" s="12" t="s">
        <v>106</v>
      </c>
      <c r="F1414" s="18"/>
      <c r="G1414" s="19"/>
      <c r="H1414" s="19"/>
      <c r="I1414" s="19"/>
      <c r="J1414" s="19"/>
      <c r="K1414" s="492"/>
    </row>
    <row r="1415" spans="2:110">
      <c r="C1415" s="553">
        <v>2024</v>
      </c>
      <c r="E1415" s="1" t="s">
        <v>59</v>
      </c>
      <c r="F1415" s="2"/>
      <c r="G1415" s="3"/>
      <c r="H1415" s="3"/>
      <c r="I1415" s="3"/>
      <c r="J1415" s="3"/>
      <c r="K1415" s="4">
        <f>SUM(F1415:J1415)</f>
        <v>0</v>
      </c>
      <c r="M1415" s="2"/>
      <c r="N1415" s="3"/>
      <c r="O1415" s="3"/>
      <c r="P1415" s="3"/>
      <c r="Q1415" s="3"/>
      <c r="R1415" s="4">
        <f>SUM(M1415:Q1415)</f>
        <v>0</v>
      </c>
      <c r="T1415" s="2"/>
      <c r="U1415" s="3"/>
      <c r="V1415" s="3"/>
      <c r="W1415" s="3"/>
      <c r="X1415" s="3"/>
      <c r="Y1415" s="4">
        <f>SUM(T1415:X1415)</f>
        <v>0</v>
      </c>
      <c r="AA1415" s="2"/>
      <c r="AB1415" s="3"/>
      <c r="AC1415" s="3"/>
      <c r="AD1415" s="3"/>
      <c r="AE1415" s="3"/>
      <c r="AF1415" s="4">
        <f>SUM(AA1415:AE1415)</f>
        <v>0</v>
      </c>
      <c r="AH1415" s="2"/>
      <c r="AI1415" s="3"/>
      <c r="AJ1415" s="3"/>
      <c r="AK1415" s="3"/>
      <c r="AL1415" s="3"/>
      <c r="AM1415" s="4">
        <f>SUM(AH1415:AL1415)</f>
        <v>0</v>
      </c>
      <c r="AO1415" s="2"/>
      <c r="AP1415" s="3"/>
      <c r="AQ1415" s="3"/>
      <c r="AR1415" s="3"/>
      <c r="AS1415" s="3"/>
      <c r="AT1415" s="4">
        <f>SUM(AO1415:AS1415)</f>
        <v>0</v>
      </c>
      <c r="AV1415" s="2"/>
      <c r="AW1415" s="3"/>
      <c r="AX1415" s="3"/>
      <c r="AY1415" s="3"/>
      <c r="AZ1415" s="3"/>
      <c r="BA1415" s="4">
        <f>SUM(AV1415:AZ1415)</f>
        <v>0</v>
      </c>
      <c r="BC1415" s="2"/>
      <c r="BD1415" s="3"/>
      <c r="BE1415" s="3"/>
      <c r="BF1415" s="3"/>
      <c r="BG1415" s="3"/>
      <c r="BH1415" s="4">
        <f>SUM(BC1415:BG1415)</f>
        <v>0</v>
      </c>
      <c r="BJ1415" s="2"/>
      <c r="BK1415" s="3"/>
      <c r="BL1415" s="3"/>
      <c r="BM1415" s="3"/>
      <c r="BN1415" s="3"/>
      <c r="BO1415" s="4">
        <f>SUM(BJ1415:BN1415)</f>
        <v>0</v>
      </c>
      <c r="BQ1415" s="2"/>
      <c r="BR1415" s="3"/>
      <c r="BS1415" s="3"/>
      <c r="BT1415" s="3"/>
      <c r="BU1415" s="3"/>
      <c r="BV1415" s="4">
        <f>SUM(BQ1415:BU1415)</f>
        <v>0</v>
      </c>
      <c r="BX1415" s="2"/>
      <c r="BY1415" s="3"/>
      <c r="BZ1415" s="3"/>
      <c r="CA1415" s="3"/>
      <c r="CB1415" s="3"/>
      <c r="CC1415" s="4">
        <f>SUM(BX1415:CB1415)</f>
        <v>0</v>
      </c>
      <c r="CE1415" s="26">
        <f t="shared" ref="CE1415:CE1418" si="6520">F1415+M1415+T1415+AA1415+AH1415+AO1415+AV1415+BC1415+BJ1415+BQ1415+BX1415</f>
        <v>0</v>
      </c>
      <c r="CF1415" s="27">
        <f t="shared" ref="CF1415:CF1418" si="6521">G1415+N1415+U1415+AB1415+AI1415+AP1415+AW1415+BD1415+BK1415+BR1415+BY1415</f>
        <v>0</v>
      </c>
      <c r="CG1415" s="27">
        <f t="shared" ref="CG1415:CG1418" si="6522">H1415+O1415+V1415+AC1415+AJ1415+AQ1415+AX1415+BE1415+BL1415+BS1415+BZ1415</f>
        <v>0</v>
      </c>
      <c r="CH1415" s="27">
        <f t="shared" ref="CH1415:CH1418" si="6523">I1415+P1415+W1415+AD1415+AK1415+AR1415+AY1415+BF1415+BM1415+BT1415+CA1415</f>
        <v>0</v>
      </c>
      <c r="CI1415" s="27">
        <f t="shared" ref="CI1415:CI1418" si="6524">J1415+Q1415+X1415+AE1415+AL1415+AS1415+AZ1415+BG1415+BN1415+BU1415+CB1415</f>
        <v>0</v>
      </c>
      <c r="CJ1415" s="4">
        <f>SUM(CE1415:CI1415)</f>
        <v>0</v>
      </c>
      <c r="CL1415" s="2"/>
      <c r="CM1415" s="3"/>
      <c r="CN1415" s="3"/>
      <c r="CO1415" s="3"/>
      <c r="CP1415" s="3"/>
      <c r="CQ1415" s="4">
        <f>SUM(CL1415:CP1415)</f>
        <v>0</v>
      </c>
      <c r="CS1415" s="2"/>
      <c r="CT1415" s="3"/>
      <c r="CU1415" s="3"/>
      <c r="CV1415" s="3"/>
      <c r="CW1415" s="3"/>
      <c r="CX1415" s="4">
        <f>SUM(CS1415:CW1415)</f>
        <v>0</v>
      </c>
      <c r="CZ1415" s="2"/>
      <c r="DA1415" s="3"/>
      <c r="DB1415" s="3"/>
      <c r="DC1415" s="3"/>
      <c r="DD1415" s="3"/>
      <c r="DE1415" s="4">
        <f>SUM(CZ1415:DD1415)</f>
        <v>0</v>
      </c>
    </row>
    <row r="1416" spans="2:110">
      <c r="C1416" s="567"/>
      <c r="E1416" s="5" t="s">
        <v>60</v>
      </c>
      <c r="F1416" s="6"/>
      <c r="G1416" s="7"/>
      <c r="H1416" s="7"/>
      <c r="I1416" s="7"/>
      <c r="J1416" s="7"/>
      <c r="K1416" s="8">
        <f t="shared" ref="K1416:K1418" si="6525">SUM(F1416:J1416)</f>
        <v>0</v>
      </c>
      <c r="M1416" s="6"/>
      <c r="N1416" s="7"/>
      <c r="O1416" s="7"/>
      <c r="P1416" s="7"/>
      <c r="Q1416" s="7"/>
      <c r="R1416" s="8">
        <f t="shared" ref="R1416:R1418" si="6526">SUM(M1416:Q1416)</f>
        <v>0</v>
      </c>
      <c r="T1416" s="6"/>
      <c r="U1416" s="7"/>
      <c r="V1416" s="7"/>
      <c r="W1416" s="7"/>
      <c r="X1416" s="7"/>
      <c r="Y1416" s="8">
        <f t="shared" ref="Y1416:Y1418" si="6527">SUM(T1416:X1416)</f>
        <v>0</v>
      </c>
      <c r="AA1416" s="6"/>
      <c r="AB1416" s="7"/>
      <c r="AC1416" s="7"/>
      <c r="AD1416" s="7"/>
      <c r="AE1416" s="7"/>
      <c r="AF1416" s="8">
        <f>SUM(AA1416:AE1416)</f>
        <v>0</v>
      </c>
      <c r="AH1416" s="6"/>
      <c r="AI1416" s="7"/>
      <c r="AJ1416" s="7"/>
      <c r="AK1416" s="7"/>
      <c r="AL1416" s="7"/>
      <c r="AM1416" s="8">
        <f>SUM(AH1416:AL1416)</f>
        <v>0</v>
      </c>
      <c r="AO1416" s="6"/>
      <c r="AP1416" s="7"/>
      <c r="AQ1416" s="7"/>
      <c r="AR1416" s="7"/>
      <c r="AS1416" s="7"/>
      <c r="AT1416" s="8">
        <f>SUM(AO1416:AS1416)</f>
        <v>0</v>
      </c>
      <c r="AV1416" s="6"/>
      <c r="AW1416" s="7"/>
      <c r="AX1416" s="7"/>
      <c r="AY1416" s="7"/>
      <c r="AZ1416" s="7"/>
      <c r="BA1416" s="8">
        <f>SUM(AV1416:AZ1416)</f>
        <v>0</v>
      </c>
      <c r="BC1416" s="6"/>
      <c r="BD1416" s="7"/>
      <c r="BE1416" s="7"/>
      <c r="BF1416" s="7"/>
      <c r="BG1416" s="7"/>
      <c r="BH1416" s="8">
        <f>SUM(BC1416:BG1416)</f>
        <v>0</v>
      </c>
      <c r="BJ1416" s="6"/>
      <c r="BK1416" s="7"/>
      <c r="BL1416" s="7"/>
      <c r="BM1416" s="7"/>
      <c r="BN1416" s="7"/>
      <c r="BO1416" s="8">
        <f>SUM(BJ1416:BN1416)</f>
        <v>0</v>
      </c>
      <c r="BQ1416" s="6"/>
      <c r="BR1416" s="7"/>
      <c r="BS1416" s="7"/>
      <c r="BT1416" s="7"/>
      <c r="BU1416" s="7"/>
      <c r="BV1416" s="8">
        <f>SUM(BQ1416:BU1416)</f>
        <v>0</v>
      </c>
      <c r="BX1416" s="6"/>
      <c r="BY1416" s="7"/>
      <c r="BZ1416" s="7"/>
      <c r="CA1416" s="7"/>
      <c r="CB1416" s="7"/>
      <c r="CC1416" s="8">
        <f>SUM(BX1416:CB1416)</f>
        <v>0</v>
      </c>
      <c r="CE1416" s="28">
        <f t="shared" si="6520"/>
        <v>0</v>
      </c>
      <c r="CF1416" s="29">
        <f t="shared" si="6521"/>
        <v>0</v>
      </c>
      <c r="CG1416" s="29">
        <f t="shared" si="6522"/>
        <v>0</v>
      </c>
      <c r="CH1416" s="29">
        <f t="shared" si="6523"/>
        <v>0</v>
      </c>
      <c r="CI1416" s="29">
        <f t="shared" si="6524"/>
        <v>0</v>
      </c>
      <c r="CJ1416" s="8">
        <f>SUM(CE1416:CI1416)</f>
        <v>0</v>
      </c>
      <c r="CL1416" s="6"/>
      <c r="CM1416" s="7"/>
      <c r="CN1416" s="7"/>
      <c r="CO1416" s="7"/>
      <c r="CP1416" s="7"/>
      <c r="CQ1416" s="8">
        <f>SUM(CL1416:CP1416)</f>
        <v>0</v>
      </c>
      <c r="CS1416" s="6"/>
      <c r="CT1416" s="7"/>
      <c r="CU1416" s="7"/>
      <c r="CV1416" s="7"/>
      <c r="CW1416" s="7"/>
      <c r="CX1416" s="8">
        <f t="shared" ref="CX1416:CX1418" si="6528">SUM(CS1416:CW1416)</f>
        <v>0</v>
      </c>
      <c r="CZ1416" s="6"/>
      <c r="DA1416" s="7"/>
      <c r="DB1416" s="7"/>
      <c r="DC1416" s="7"/>
      <c r="DD1416" s="7"/>
      <c r="DE1416" s="8">
        <f t="shared" ref="DE1416:DE1418" si="6529">SUM(CZ1416:DD1416)</f>
        <v>0</v>
      </c>
    </row>
    <row r="1417" spans="2:110">
      <c r="C1417" s="567"/>
      <c r="E1417" s="5" t="s">
        <v>61</v>
      </c>
      <c r="F1417" s="6"/>
      <c r="G1417" s="7"/>
      <c r="H1417" s="7"/>
      <c r="I1417" s="7"/>
      <c r="J1417" s="7"/>
      <c r="K1417" s="8">
        <f t="shared" si="6525"/>
        <v>0</v>
      </c>
      <c r="M1417" s="6"/>
      <c r="N1417" s="7"/>
      <c r="O1417" s="7"/>
      <c r="P1417" s="7"/>
      <c r="Q1417" s="7"/>
      <c r="R1417" s="8">
        <f t="shared" si="6526"/>
        <v>0</v>
      </c>
      <c r="T1417" s="6"/>
      <c r="U1417" s="7"/>
      <c r="V1417" s="7"/>
      <c r="W1417" s="7"/>
      <c r="X1417" s="7"/>
      <c r="Y1417" s="8">
        <f t="shared" si="6527"/>
        <v>0</v>
      </c>
      <c r="AA1417" s="6"/>
      <c r="AB1417" s="7"/>
      <c r="AC1417" s="7"/>
      <c r="AD1417" s="7"/>
      <c r="AE1417" s="7"/>
      <c r="AF1417" s="8">
        <f>SUM(AA1417:AE1417)</f>
        <v>0</v>
      </c>
      <c r="AH1417" s="6"/>
      <c r="AI1417" s="7"/>
      <c r="AJ1417" s="7"/>
      <c r="AK1417" s="7"/>
      <c r="AL1417" s="7"/>
      <c r="AM1417" s="8">
        <f>SUM(AH1417:AL1417)</f>
        <v>0</v>
      </c>
      <c r="AO1417" s="6"/>
      <c r="AP1417" s="7"/>
      <c r="AQ1417" s="7"/>
      <c r="AR1417" s="7"/>
      <c r="AS1417" s="7"/>
      <c r="AT1417" s="8">
        <f>SUM(AO1417:AS1417)</f>
        <v>0</v>
      </c>
      <c r="AV1417" s="6"/>
      <c r="AW1417" s="7"/>
      <c r="AX1417" s="7"/>
      <c r="AY1417" s="7"/>
      <c r="AZ1417" s="7"/>
      <c r="BA1417" s="8">
        <f>SUM(AV1417:AZ1417)</f>
        <v>0</v>
      </c>
      <c r="BC1417" s="6"/>
      <c r="BD1417" s="7"/>
      <c r="BE1417" s="7"/>
      <c r="BF1417" s="7"/>
      <c r="BG1417" s="7"/>
      <c r="BH1417" s="8">
        <f>SUM(BC1417:BG1417)</f>
        <v>0</v>
      </c>
      <c r="BJ1417" s="6"/>
      <c r="BK1417" s="7"/>
      <c r="BL1417" s="7"/>
      <c r="BM1417" s="7"/>
      <c r="BN1417" s="7"/>
      <c r="BO1417" s="8">
        <f>SUM(BJ1417:BN1417)</f>
        <v>0</v>
      </c>
      <c r="BQ1417" s="6"/>
      <c r="BR1417" s="7"/>
      <c r="BS1417" s="7"/>
      <c r="BT1417" s="7"/>
      <c r="BU1417" s="7"/>
      <c r="BV1417" s="8">
        <f>SUM(BQ1417:BU1417)</f>
        <v>0</v>
      </c>
      <c r="BX1417" s="6"/>
      <c r="BY1417" s="7"/>
      <c r="BZ1417" s="7"/>
      <c r="CA1417" s="7"/>
      <c r="CB1417" s="7"/>
      <c r="CC1417" s="8">
        <f>SUM(BX1417:CB1417)</f>
        <v>0</v>
      </c>
      <c r="CE1417" s="28">
        <f t="shared" si="6520"/>
        <v>0</v>
      </c>
      <c r="CF1417" s="29">
        <f t="shared" si="6521"/>
        <v>0</v>
      </c>
      <c r="CG1417" s="29">
        <f t="shared" si="6522"/>
        <v>0</v>
      </c>
      <c r="CH1417" s="29">
        <f t="shared" si="6523"/>
        <v>0</v>
      </c>
      <c r="CI1417" s="29">
        <f t="shared" si="6524"/>
        <v>0</v>
      </c>
      <c r="CJ1417" s="8">
        <f>SUM(CE1417:CI1417)</f>
        <v>0</v>
      </c>
      <c r="CL1417" s="6"/>
      <c r="CM1417" s="7"/>
      <c r="CN1417" s="7"/>
      <c r="CO1417" s="7"/>
      <c r="CP1417" s="7"/>
      <c r="CQ1417" s="8">
        <f>SUM(CL1417:CP1417)</f>
        <v>0</v>
      </c>
      <c r="CS1417" s="6"/>
      <c r="CT1417" s="7"/>
      <c r="CU1417" s="7"/>
      <c r="CV1417" s="7"/>
      <c r="CW1417" s="7"/>
      <c r="CX1417" s="8">
        <f t="shared" si="6528"/>
        <v>0</v>
      </c>
      <c r="CZ1417" s="6"/>
      <c r="DA1417" s="7"/>
      <c r="DB1417" s="7"/>
      <c r="DC1417" s="7"/>
      <c r="DD1417" s="7"/>
      <c r="DE1417" s="8">
        <f t="shared" si="6529"/>
        <v>0</v>
      </c>
    </row>
    <row r="1418" spans="2:110" ht="14" thickBot="1">
      <c r="C1418" s="567"/>
      <c r="E1418" s="5" t="s">
        <v>62</v>
      </c>
      <c r="F1418" s="6"/>
      <c r="G1418" s="7"/>
      <c r="H1418" s="7"/>
      <c r="I1418" s="7"/>
      <c r="J1418" s="7"/>
      <c r="K1418" s="8">
        <f t="shared" si="6525"/>
        <v>0</v>
      </c>
      <c r="M1418" s="6"/>
      <c r="N1418" s="7"/>
      <c r="O1418" s="7"/>
      <c r="P1418" s="7"/>
      <c r="Q1418" s="7"/>
      <c r="R1418" s="8">
        <f t="shared" si="6526"/>
        <v>0</v>
      </c>
      <c r="T1418" s="6"/>
      <c r="U1418" s="7"/>
      <c r="V1418" s="7"/>
      <c r="W1418" s="7"/>
      <c r="X1418" s="7"/>
      <c r="Y1418" s="8">
        <f t="shared" si="6527"/>
        <v>0</v>
      </c>
      <c r="AA1418" s="6"/>
      <c r="AB1418" s="7"/>
      <c r="AC1418" s="7"/>
      <c r="AD1418" s="7"/>
      <c r="AE1418" s="7"/>
      <c r="AF1418" s="8">
        <f>SUM(AA1418:AE1418)</f>
        <v>0</v>
      </c>
      <c r="AH1418" s="6"/>
      <c r="AI1418" s="7"/>
      <c r="AJ1418" s="7"/>
      <c r="AK1418" s="7"/>
      <c r="AL1418" s="7"/>
      <c r="AM1418" s="8">
        <f>SUM(AH1418:AL1418)</f>
        <v>0</v>
      </c>
      <c r="AO1418" s="6"/>
      <c r="AP1418" s="7"/>
      <c r="AQ1418" s="7"/>
      <c r="AR1418" s="7"/>
      <c r="AS1418" s="7"/>
      <c r="AT1418" s="8">
        <f>SUM(AO1418:AS1418)</f>
        <v>0</v>
      </c>
      <c r="AV1418" s="6"/>
      <c r="AW1418" s="7"/>
      <c r="AX1418" s="7"/>
      <c r="AY1418" s="7"/>
      <c r="AZ1418" s="7"/>
      <c r="BA1418" s="8">
        <f>SUM(AV1418:AZ1418)</f>
        <v>0</v>
      </c>
      <c r="BC1418" s="6"/>
      <c r="BD1418" s="7"/>
      <c r="BE1418" s="7"/>
      <c r="BF1418" s="7"/>
      <c r="BG1418" s="7"/>
      <c r="BH1418" s="8">
        <f>SUM(BC1418:BG1418)</f>
        <v>0</v>
      </c>
      <c r="BJ1418" s="6"/>
      <c r="BK1418" s="7"/>
      <c r="BL1418" s="7"/>
      <c r="BM1418" s="7"/>
      <c r="BN1418" s="7"/>
      <c r="BO1418" s="8">
        <f>SUM(BJ1418:BN1418)</f>
        <v>0</v>
      </c>
      <c r="BQ1418" s="6"/>
      <c r="BR1418" s="7"/>
      <c r="BS1418" s="7"/>
      <c r="BT1418" s="7"/>
      <c r="BU1418" s="7"/>
      <c r="BV1418" s="8">
        <f>SUM(BQ1418:BU1418)</f>
        <v>0</v>
      </c>
      <c r="BX1418" s="6"/>
      <c r="BY1418" s="7"/>
      <c r="BZ1418" s="7"/>
      <c r="CA1418" s="7"/>
      <c r="CB1418" s="7"/>
      <c r="CC1418" s="8">
        <f>SUM(BX1418:CB1418)</f>
        <v>0</v>
      </c>
      <c r="CE1418" s="493">
        <f t="shared" si="6520"/>
        <v>0</v>
      </c>
      <c r="CF1418" s="494">
        <f t="shared" si="6521"/>
        <v>0</v>
      </c>
      <c r="CG1418" s="494">
        <f t="shared" si="6522"/>
        <v>0</v>
      </c>
      <c r="CH1418" s="494">
        <f t="shared" si="6523"/>
        <v>0</v>
      </c>
      <c r="CI1418" s="494">
        <f t="shared" si="6524"/>
        <v>0</v>
      </c>
      <c r="CJ1418" s="495">
        <f>SUM(CE1418:CI1418)</f>
        <v>0</v>
      </c>
      <c r="CL1418" s="6"/>
      <c r="CM1418" s="7"/>
      <c r="CN1418" s="7"/>
      <c r="CO1418" s="7"/>
      <c r="CP1418" s="7"/>
      <c r="CQ1418" s="8">
        <f>SUM(CL1418:CP1418)</f>
        <v>0</v>
      </c>
      <c r="CS1418" s="6"/>
      <c r="CT1418" s="7"/>
      <c r="CU1418" s="7"/>
      <c r="CV1418" s="7"/>
      <c r="CW1418" s="7"/>
      <c r="CX1418" s="8">
        <f t="shared" si="6528"/>
        <v>0</v>
      </c>
      <c r="CZ1418" s="6"/>
      <c r="DA1418" s="7"/>
      <c r="DB1418" s="7"/>
      <c r="DC1418" s="7"/>
      <c r="DD1418" s="7"/>
      <c r="DE1418" s="8">
        <f t="shared" si="6529"/>
        <v>0</v>
      </c>
    </row>
    <row r="1419" spans="2:110" ht="14" thickBot="1">
      <c r="C1419" s="554"/>
      <c r="E1419" s="9"/>
      <c r="F1419" s="10">
        <f>SUM(F1415:F1418)</f>
        <v>0</v>
      </c>
      <c r="G1419" s="11">
        <f t="shared" ref="G1419:J1419" si="6530">SUM(G1415:G1418)</f>
        <v>0</v>
      </c>
      <c r="H1419" s="11">
        <f t="shared" si="6530"/>
        <v>0</v>
      </c>
      <c r="I1419" s="11">
        <f t="shared" si="6530"/>
        <v>0</v>
      </c>
      <c r="J1419" s="61">
        <f t="shared" si="6530"/>
        <v>0</v>
      </c>
      <c r="K1419" s="25">
        <f>SUM(K1415:K1418)</f>
        <v>0</v>
      </c>
      <c r="M1419" s="10">
        <f>SUM(M1415:M1418)</f>
        <v>0</v>
      </c>
      <c r="N1419" s="11">
        <f t="shared" ref="N1419:Q1419" si="6531">SUM(N1415:N1418)</f>
        <v>0</v>
      </c>
      <c r="O1419" s="11">
        <f t="shared" si="6531"/>
        <v>0</v>
      </c>
      <c r="P1419" s="11">
        <f t="shared" si="6531"/>
        <v>0</v>
      </c>
      <c r="Q1419" s="11">
        <f t="shared" si="6531"/>
        <v>0</v>
      </c>
      <c r="R1419" s="25">
        <f>SUM(R1415:R1418)</f>
        <v>0</v>
      </c>
      <c r="T1419" s="10">
        <f>SUM(T1415:T1418)</f>
        <v>0</v>
      </c>
      <c r="U1419" s="11">
        <f t="shared" ref="U1419:X1419" si="6532">SUM(U1415:U1418)</f>
        <v>0</v>
      </c>
      <c r="V1419" s="11">
        <f t="shared" si="6532"/>
        <v>0</v>
      </c>
      <c r="W1419" s="11">
        <f t="shared" si="6532"/>
        <v>0</v>
      </c>
      <c r="X1419" s="11">
        <f t="shared" si="6532"/>
        <v>0</v>
      </c>
      <c r="Y1419" s="25">
        <f>SUM(Y1415:Y1418)</f>
        <v>0</v>
      </c>
      <c r="AA1419" s="10">
        <f>SUM(AA1415:AA1418)</f>
        <v>0</v>
      </c>
      <c r="AB1419" s="11">
        <f t="shared" ref="AB1419:AE1419" si="6533">SUM(AB1415:AB1418)</f>
        <v>0</v>
      </c>
      <c r="AC1419" s="11">
        <f t="shared" si="6533"/>
        <v>0</v>
      </c>
      <c r="AD1419" s="11">
        <f t="shared" si="6533"/>
        <v>0</v>
      </c>
      <c r="AE1419" s="11">
        <f t="shared" si="6533"/>
        <v>0</v>
      </c>
      <c r="AF1419" s="25">
        <f>SUM(AF1415:AF1418)</f>
        <v>0</v>
      </c>
      <c r="AH1419" s="10">
        <f>SUM(AH1415:AH1418)</f>
        <v>0</v>
      </c>
      <c r="AI1419" s="11">
        <f t="shared" ref="AI1419:AL1419" si="6534">SUM(AI1415:AI1418)</f>
        <v>0</v>
      </c>
      <c r="AJ1419" s="11">
        <f t="shared" si="6534"/>
        <v>0</v>
      </c>
      <c r="AK1419" s="11">
        <f t="shared" si="6534"/>
        <v>0</v>
      </c>
      <c r="AL1419" s="11">
        <f t="shared" si="6534"/>
        <v>0</v>
      </c>
      <c r="AM1419" s="25">
        <f>SUM(AM1415:AM1418)</f>
        <v>0</v>
      </c>
      <c r="AO1419" s="10">
        <f>SUM(AO1415:AO1418)</f>
        <v>0</v>
      </c>
      <c r="AP1419" s="11">
        <f t="shared" ref="AP1419:AS1419" si="6535">SUM(AP1415:AP1418)</f>
        <v>0</v>
      </c>
      <c r="AQ1419" s="11">
        <f t="shared" si="6535"/>
        <v>0</v>
      </c>
      <c r="AR1419" s="11">
        <f t="shared" si="6535"/>
        <v>0</v>
      </c>
      <c r="AS1419" s="11">
        <f t="shared" si="6535"/>
        <v>0</v>
      </c>
      <c r="AT1419" s="25">
        <f>SUM(AT1415:AT1418)</f>
        <v>0</v>
      </c>
      <c r="AV1419" s="10">
        <f>SUM(AV1415:AV1418)</f>
        <v>0</v>
      </c>
      <c r="AW1419" s="11">
        <f t="shared" ref="AW1419:AZ1419" si="6536">SUM(AW1415:AW1418)</f>
        <v>0</v>
      </c>
      <c r="AX1419" s="11">
        <f t="shared" si="6536"/>
        <v>0</v>
      </c>
      <c r="AY1419" s="11">
        <f t="shared" si="6536"/>
        <v>0</v>
      </c>
      <c r="AZ1419" s="11">
        <f t="shared" si="6536"/>
        <v>0</v>
      </c>
      <c r="BA1419" s="25">
        <f>SUM(BA1415:BA1418)</f>
        <v>0</v>
      </c>
      <c r="BC1419" s="10">
        <f>SUM(BC1415:BC1418)</f>
        <v>0</v>
      </c>
      <c r="BD1419" s="11">
        <f t="shared" ref="BD1419:BG1419" si="6537">SUM(BD1415:BD1418)</f>
        <v>0</v>
      </c>
      <c r="BE1419" s="11">
        <f t="shared" si="6537"/>
        <v>0</v>
      </c>
      <c r="BF1419" s="11">
        <f t="shared" si="6537"/>
        <v>0</v>
      </c>
      <c r="BG1419" s="11">
        <f t="shared" si="6537"/>
        <v>0</v>
      </c>
      <c r="BH1419" s="25">
        <f>SUM(BH1415:BH1418)</f>
        <v>0</v>
      </c>
      <c r="BJ1419" s="10">
        <f>SUM(BJ1415:BJ1418)</f>
        <v>0</v>
      </c>
      <c r="BK1419" s="11">
        <f t="shared" ref="BK1419:BN1419" si="6538">SUM(BK1415:BK1418)</f>
        <v>0</v>
      </c>
      <c r="BL1419" s="11">
        <f t="shared" si="6538"/>
        <v>0</v>
      </c>
      <c r="BM1419" s="11">
        <f t="shared" si="6538"/>
        <v>0</v>
      </c>
      <c r="BN1419" s="11">
        <f t="shared" si="6538"/>
        <v>0</v>
      </c>
      <c r="BO1419" s="25">
        <f>SUM(BO1415:BO1418)</f>
        <v>0</v>
      </c>
      <c r="BQ1419" s="10">
        <f>SUM(BQ1415:BQ1418)</f>
        <v>0</v>
      </c>
      <c r="BR1419" s="11">
        <f t="shared" ref="BR1419:BU1419" si="6539">SUM(BR1415:BR1418)</f>
        <v>0</v>
      </c>
      <c r="BS1419" s="11">
        <f t="shared" si="6539"/>
        <v>0</v>
      </c>
      <c r="BT1419" s="11">
        <f t="shared" si="6539"/>
        <v>0</v>
      </c>
      <c r="BU1419" s="11">
        <f t="shared" si="6539"/>
        <v>0</v>
      </c>
      <c r="BV1419" s="25">
        <f>SUM(BV1415:BV1418)</f>
        <v>0</v>
      </c>
      <c r="BX1419" s="10">
        <f>SUM(BX1415:BX1418)</f>
        <v>0</v>
      </c>
      <c r="BY1419" s="11">
        <f t="shared" ref="BY1419:CB1419" si="6540">SUM(BY1415:BY1418)</f>
        <v>0</v>
      </c>
      <c r="BZ1419" s="11">
        <f t="shared" si="6540"/>
        <v>0</v>
      </c>
      <c r="CA1419" s="11">
        <f t="shared" si="6540"/>
        <v>0</v>
      </c>
      <c r="CB1419" s="11">
        <f t="shared" si="6540"/>
        <v>0</v>
      </c>
      <c r="CC1419" s="25">
        <f>SUM(CC1415:CC1418)</f>
        <v>0</v>
      </c>
      <c r="CE1419" s="62">
        <f t="shared" ref="CE1419:CJ1419" si="6541">SUM(CE1415:CE1418)</f>
        <v>0</v>
      </c>
      <c r="CF1419" s="63">
        <f t="shared" si="6541"/>
        <v>0</v>
      </c>
      <c r="CG1419" s="63">
        <f t="shared" si="6541"/>
        <v>0</v>
      </c>
      <c r="CH1419" s="63">
        <f t="shared" si="6541"/>
        <v>0</v>
      </c>
      <c r="CI1419" s="63">
        <f t="shared" si="6541"/>
        <v>0</v>
      </c>
      <c r="CJ1419" s="25">
        <f t="shared" si="6541"/>
        <v>0</v>
      </c>
      <c r="CL1419" s="10">
        <f>SUM(CL1415:CL1418)</f>
        <v>0</v>
      </c>
      <c r="CM1419" s="11">
        <f t="shared" ref="CM1419:CP1419" si="6542">SUM(CM1415:CM1418)</f>
        <v>0</v>
      </c>
      <c r="CN1419" s="11">
        <f t="shared" si="6542"/>
        <v>0</v>
      </c>
      <c r="CO1419" s="11">
        <f t="shared" si="6542"/>
        <v>0</v>
      </c>
      <c r="CP1419" s="11">
        <f t="shared" si="6542"/>
        <v>0</v>
      </c>
      <c r="CQ1419" s="25">
        <f>SUM(CQ1415:CQ1418)</f>
        <v>0</v>
      </c>
      <c r="CS1419" s="10">
        <f>SUM(CS1415:CS1418)</f>
        <v>0</v>
      </c>
      <c r="CT1419" s="11">
        <f t="shared" ref="CT1419:CW1419" si="6543">SUM(CT1415:CT1418)</f>
        <v>0</v>
      </c>
      <c r="CU1419" s="11">
        <f t="shared" si="6543"/>
        <v>0</v>
      </c>
      <c r="CV1419" s="11">
        <f t="shared" si="6543"/>
        <v>0</v>
      </c>
      <c r="CW1419" s="11">
        <f t="shared" si="6543"/>
        <v>0</v>
      </c>
      <c r="CX1419" s="25">
        <f>SUM(CX1415:CX1418)</f>
        <v>0</v>
      </c>
      <c r="CZ1419" s="10">
        <f>SUM(CZ1415:CZ1418)</f>
        <v>0</v>
      </c>
      <c r="DA1419" s="11">
        <f t="shared" ref="DA1419:DD1419" si="6544">SUM(DA1415:DA1418)</f>
        <v>0</v>
      </c>
      <c r="DB1419" s="11">
        <f t="shared" si="6544"/>
        <v>0</v>
      </c>
      <c r="DC1419" s="11">
        <f t="shared" si="6544"/>
        <v>0</v>
      </c>
      <c r="DD1419" s="11">
        <f t="shared" si="6544"/>
        <v>0</v>
      </c>
      <c r="DE1419" s="25">
        <f>SUM(DE1415:DE1418)</f>
        <v>0</v>
      </c>
    </row>
    <row r="1420" spans="2:110" ht="10.4" customHeight="1" thickBot="1"/>
    <row r="1421" spans="2:110">
      <c r="C1421" s="553">
        <v>2025</v>
      </c>
      <c r="E1421" s="13" t="s">
        <v>59</v>
      </c>
      <c r="F1421" s="21">
        <f>CE1415</f>
        <v>0</v>
      </c>
      <c r="G1421" s="22">
        <f t="shared" ref="G1421:G1424" si="6545">CF1415</f>
        <v>0</v>
      </c>
      <c r="H1421" s="22">
        <f t="shared" ref="H1421:H1424" si="6546">CG1415</f>
        <v>0</v>
      </c>
      <c r="I1421" s="22">
        <f t="shared" ref="I1421:I1424" si="6547">CH1415</f>
        <v>0</v>
      </c>
      <c r="J1421" s="22">
        <f t="shared" ref="J1421:J1424" si="6548">CI1415</f>
        <v>0</v>
      </c>
      <c r="K1421" s="15">
        <f>SUM(F1421:J1421)</f>
        <v>0</v>
      </c>
      <c r="M1421" s="2"/>
      <c r="N1421" s="3"/>
      <c r="O1421" s="3"/>
      <c r="P1421" s="3"/>
      <c r="Q1421" s="3"/>
      <c r="R1421" s="15">
        <f>SUM(M1421:Q1421)</f>
        <v>0</v>
      </c>
      <c r="T1421" s="2"/>
      <c r="U1421" s="3"/>
      <c r="V1421" s="3"/>
      <c r="W1421" s="3"/>
      <c r="X1421" s="3"/>
      <c r="Y1421" s="15">
        <f>SUM(T1421:X1421)</f>
        <v>0</v>
      </c>
      <c r="AA1421" s="2"/>
      <c r="AB1421" s="3"/>
      <c r="AC1421" s="3"/>
      <c r="AD1421" s="3"/>
      <c r="AE1421" s="3"/>
      <c r="AF1421" s="15">
        <f>SUM(AA1421:AE1421)</f>
        <v>0</v>
      </c>
      <c r="AH1421" s="2"/>
      <c r="AI1421" s="3"/>
      <c r="AJ1421" s="3"/>
      <c r="AK1421" s="3"/>
      <c r="AL1421" s="3"/>
      <c r="AM1421" s="15">
        <f>SUM(AH1421:AL1421)</f>
        <v>0</v>
      </c>
      <c r="AO1421" s="2"/>
      <c r="AP1421" s="3"/>
      <c r="AQ1421" s="3"/>
      <c r="AR1421" s="3"/>
      <c r="AS1421" s="3"/>
      <c r="AT1421" s="15">
        <f>SUM(AO1421:AS1421)</f>
        <v>0</v>
      </c>
      <c r="AV1421" s="2"/>
      <c r="AW1421" s="3"/>
      <c r="AX1421" s="3"/>
      <c r="AY1421" s="3"/>
      <c r="AZ1421" s="3"/>
      <c r="BA1421" s="15">
        <f>SUM(AV1421:AZ1421)</f>
        <v>0</v>
      </c>
      <c r="BC1421" s="2"/>
      <c r="BD1421" s="3"/>
      <c r="BE1421" s="3"/>
      <c r="BF1421" s="3"/>
      <c r="BG1421" s="3"/>
      <c r="BH1421" s="15">
        <f>SUM(BC1421:BG1421)</f>
        <v>0</v>
      </c>
      <c r="BJ1421" s="2"/>
      <c r="BK1421" s="3"/>
      <c r="BL1421" s="3"/>
      <c r="BM1421" s="3"/>
      <c r="BN1421" s="3"/>
      <c r="BO1421" s="15">
        <f>SUM(BJ1421:BN1421)</f>
        <v>0</v>
      </c>
      <c r="BQ1421" s="2"/>
      <c r="BR1421" s="3"/>
      <c r="BS1421" s="3"/>
      <c r="BT1421" s="3"/>
      <c r="BU1421" s="3"/>
      <c r="BV1421" s="15">
        <f>SUM(BQ1421:BU1421)</f>
        <v>0</v>
      </c>
      <c r="BX1421" s="2"/>
      <c r="BY1421" s="3"/>
      <c r="BZ1421" s="3"/>
      <c r="CA1421" s="3"/>
      <c r="CB1421" s="3"/>
      <c r="CC1421" s="15">
        <f>SUM(BX1421:CB1421)</f>
        <v>0</v>
      </c>
      <c r="CE1421" s="26">
        <f t="shared" ref="CE1421:CE1424" si="6549">F1421+M1421+T1421+AA1421+AH1421+AO1421+AV1421+BC1421+BJ1421+BQ1421+BX1421</f>
        <v>0</v>
      </c>
      <c r="CF1421" s="27">
        <f t="shared" ref="CF1421:CF1424" si="6550">G1421+N1421+U1421+AB1421+AI1421+AP1421+AW1421+BD1421+BK1421+BR1421+BY1421</f>
        <v>0</v>
      </c>
      <c r="CG1421" s="27">
        <f t="shared" ref="CG1421:CG1424" si="6551">H1421+O1421+V1421+AC1421+AJ1421+AQ1421+AX1421+BE1421+BL1421+BS1421+BZ1421</f>
        <v>0</v>
      </c>
      <c r="CH1421" s="27">
        <f t="shared" ref="CH1421:CH1424" si="6552">I1421+P1421+W1421+AD1421+AK1421+AR1421+AY1421+BF1421+BM1421+BT1421+CA1421</f>
        <v>0</v>
      </c>
      <c r="CI1421" s="27">
        <f t="shared" ref="CI1421:CI1424" si="6553">J1421+Q1421+X1421+AE1421+AL1421+AS1421+AZ1421+BG1421+BN1421+BU1421+CB1421</f>
        <v>0</v>
      </c>
      <c r="CJ1421" s="4">
        <f>SUM(CE1421:CI1421)</f>
        <v>0</v>
      </c>
      <c r="CL1421" s="2"/>
      <c r="CM1421" s="3"/>
      <c r="CN1421" s="3"/>
      <c r="CO1421" s="3"/>
      <c r="CP1421" s="3"/>
      <c r="CQ1421" s="15">
        <f>SUM(CL1421:CP1421)</f>
        <v>0</v>
      </c>
      <c r="CS1421" s="2"/>
      <c r="CT1421" s="3"/>
      <c r="CU1421" s="3"/>
      <c r="CV1421" s="3"/>
      <c r="CW1421" s="3"/>
      <c r="CX1421" s="4">
        <f>SUM(CS1421:CW1421)</f>
        <v>0</v>
      </c>
      <c r="CZ1421" s="2"/>
      <c r="DA1421" s="3"/>
      <c r="DB1421" s="3"/>
      <c r="DC1421" s="3"/>
      <c r="DD1421" s="3"/>
      <c r="DE1421" s="15">
        <f>SUM(CZ1421:DD1421)</f>
        <v>0</v>
      </c>
    </row>
    <row r="1422" spans="2:110">
      <c r="C1422" s="567"/>
      <c r="E1422" s="14" t="s">
        <v>60</v>
      </c>
      <c r="F1422" s="23">
        <f t="shared" ref="F1422:F1424" si="6554">CE1416</f>
        <v>0</v>
      </c>
      <c r="G1422" s="24">
        <f t="shared" si="6545"/>
        <v>0</v>
      </c>
      <c r="H1422" s="24">
        <f t="shared" si="6546"/>
        <v>0</v>
      </c>
      <c r="I1422" s="24">
        <f t="shared" si="6547"/>
        <v>0</v>
      </c>
      <c r="J1422" s="24">
        <f t="shared" si="6548"/>
        <v>0</v>
      </c>
      <c r="K1422" s="16">
        <f t="shared" ref="K1422:K1424" si="6555">SUM(F1422:J1422)</f>
        <v>0</v>
      </c>
      <c r="M1422" s="6"/>
      <c r="N1422" s="7"/>
      <c r="O1422" s="7"/>
      <c r="P1422" s="7"/>
      <c r="Q1422" s="7"/>
      <c r="R1422" s="16">
        <f t="shared" ref="R1422:R1424" si="6556">SUM(M1422:Q1422)</f>
        <v>0</v>
      </c>
      <c r="T1422" s="6"/>
      <c r="U1422" s="7"/>
      <c r="V1422" s="7"/>
      <c r="W1422" s="7"/>
      <c r="X1422" s="7"/>
      <c r="Y1422" s="16">
        <f t="shared" ref="Y1422:Y1424" si="6557">SUM(T1422:X1422)</f>
        <v>0</v>
      </c>
      <c r="AA1422" s="6"/>
      <c r="AB1422" s="7"/>
      <c r="AC1422" s="7"/>
      <c r="AD1422" s="7"/>
      <c r="AE1422" s="7"/>
      <c r="AF1422" s="16">
        <f>SUM(AA1422:AE1422)</f>
        <v>0</v>
      </c>
      <c r="AH1422" s="6"/>
      <c r="AI1422" s="7"/>
      <c r="AJ1422" s="7"/>
      <c r="AK1422" s="7"/>
      <c r="AL1422" s="7"/>
      <c r="AM1422" s="16">
        <f>SUM(AH1422:AL1422)</f>
        <v>0</v>
      </c>
      <c r="AO1422" s="6"/>
      <c r="AP1422" s="7"/>
      <c r="AQ1422" s="7"/>
      <c r="AR1422" s="7"/>
      <c r="AS1422" s="7"/>
      <c r="AT1422" s="16">
        <f>SUM(AO1422:AS1422)</f>
        <v>0</v>
      </c>
      <c r="AV1422" s="6"/>
      <c r="AW1422" s="7"/>
      <c r="AX1422" s="7"/>
      <c r="AY1422" s="7"/>
      <c r="AZ1422" s="7"/>
      <c r="BA1422" s="16">
        <f>SUM(AV1422:AZ1422)</f>
        <v>0</v>
      </c>
      <c r="BC1422" s="6"/>
      <c r="BD1422" s="7"/>
      <c r="BE1422" s="7"/>
      <c r="BF1422" s="7"/>
      <c r="BG1422" s="7"/>
      <c r="BH1422" s="16">
        <f>SUM(BC1422:BG1422)</f>
        <v>0</v>
      </c>
      <c r="BJ1422" s="6"/>
      <c r="BK1422" s="7"/>
      <c r="BL1422" s="7"/>
      <c r="BM1422" s="7"/>
      <c r="BN1422" s="7"/>
      <c r="BO1422" s="16">
        <f>SUM(BJ1422:BN1422)</f>
        <v>0</v>
      </c>
      <c r="BQ1422" s="6"/>
      <c r="BR1422" s="7"/>
      <c r="BS1422" s="7"/>
      <c r="BT1422" s="7"/>
      <c r="BU1422" s="7"/>
      <c r="BV1422" s="16">
        <f>SUM(BQ1422:BU1422)</f>
        <v>0</v>
      </c>
      <c r="BX1422" s="6"/>
      <c r="BY1422" s="7"/>
      <c r="BZ1422" s="7"/>
      <c r="CA1422" s="7"/>
      <c r="CB1422" s="7"/>
      <c r="CC1422" s="16">
        <f>SUM(BX1422:CB1422)</f>
        <v>0</v>
      </c>
      <c r="CE1422" s="28">
        <f t="shared" si="6549"/>
        <v>0</v>
      </c>
      <c r="CF1422" s="29">
        <f t="shared" si="6550"/>
        <v>0</v>
      </c>
      <c r="CG1422" s="29">
        <f t="shared" si="6551"/>
        <v>0</v>
      </c>
      <c r="CH1422" s="29">
        <f t="shared" si="6552"/>
        <v>0</v>
      </c>
      <c r="CI1422" s="29">
        <f t="shared" si="6553"/>
        <v>0</v>
      </c>
      <c r="CJ1422" s="8">
        <f>SUM(CE1422:CI1422)</f>
        <v>0</v>
      </c>
      <c r="CL1422" s="6"/>
      <c r="CM1422" s="7"/>
      <c r="CN1422" s="7"/>
      <c r="CO1422" s="7"/>
      <c r="CP1422" s="7"/>
      <c r="CQ1422" s="16">
        <f>SUM(CL1422:CP1422)</f>
        <v>0</v>
      </c>
      <c r="CS1422" s="6"/>
      <c r="CT1422" s="7"/>
      <c r="CU1422" s="7"/>
      <c r="CV1422" s="7"/>
      <c r="CW1422" s="7"/>
      <c r="CX1422" s="8">
        <f t="shared" ref="CX1422:CX1424" si="6558">SUM(CS1422:CW1422)</f>
        <v>0</v>
      </c>
      <c r="CZ1422" s="6"/>
      <c r="DA1422" s="7"/>
      <c r="DB1422" s="7"/>
      <c r="DC1422" s="7"/>
      <c r="DD1422" s="7"/>
      <c r="DE1422" s="16">
        <f t="shared" ref="DE1422:DE1424" si="6559">SUM(CZ1422:DD1422)</f>
        <v>0</v>
      </c>
    </row>
    <row r="1423" spans="2:110">
      <c r="C1423" s="567"/>
      <c r="E1423" s="14" t="s">
        <v>61</v>
      </c>
      <c r="F1423" s="23">
        <f t="shared" si="6554"/>
        <v>0</v>
      </c>
      <c r="G1423" s="24">
        <f t="shared" si="6545"/>
        <v>0</v>
      </c>
      <c r="H1423" s="24">
        <f t="shared" si="6546"/>
        <v>0</v>
      </c>
      <c r="I1423" s="24">
        <f t="shared" si="6547"/>
        <v>0</v>
      </c>
      <c r="J1423" s="24">
        <f t="shared" si="6548"/>
        <v>0</v>
      </c>
      <c r="K1423" s="16">
        <f t="shared" si="6555"/>
        <v>0</v>
      </c>
      <c r="M1423" s="6"/>
      <c r="N1423" s="7"/>
      <c r="O1423" s="7"/>
      <c r="P1423" s="7"/>
      <c r="Q1423" s="7"/>
      <c r="R1423" s="16">
        <f t="shared" si="6556"/>
        <v>0</v>
      </c>
      <c r="T1423" s="6"/>
      <c r="U1423" s="7"/>
      <c r="V1423" s="7"/>
      <c r="W1423" s="7"/>
      <c r="X1423" s="7"/>
      <c r="Y1423" s="16">
        <f t="shared" si="6557"/>
        <v>0</v>
      </c>
      <c r="AA1423" s="6"/>
      <c r="AB1423" s="7"/>
      <c r="AC1423" s="7"/>
      <c r="AD1423" s="7"/>
      <c r="AE1423" s="7"/>
      <c r="AF1423" s="16">
        <f>SUM(AA1423:AE1423)</f>
        <v>0</v>
      </c>
      <c r="AH1423" s="6"/>
      <c r="AI1423" s="7"/>
      <c r="AJ1423" s="7"/>
      <c r="AK1423" s="7"/>
      <c r="AL1423" s="7"/>
      <c r="AM1423" s="16">
        <f>SUM(AH1423:AL1423)</f>
        <v>0</v>
      </c>
      <c r="AO1423" s="6"/>
      <c r="AP1423" s="7"/>
      <c r="AQ1423" s="7"/>
      <c r="AR1423" s="7"/>
      <c r="AS1423" s="7"/>
      <c r="AT1423" s="16">
        <f>SUM(AO1423:AS1423)</f>
        <v>0</v>
      </c>
      <c r="AV1423" s="6"/>
      <c r="AW1423" s="7"/>
      <c r="AX1423" s="7"/>
      <c r="AY1423" s="7"/>
      <c r="AZ1423" s="7"/>
      <c r="BA1423" s="16">
        <f>SUM(AV1423:AZ1423)</f>
        <v>0</v>
      </c>
      <c r="BC1423" s="6"/>
      <c r="BD1423" s="7"/>
      <c r="BE1423" s="7"/>
      <c r="BF1423" s="7"/>
      <c r="BG1423" s="7"/>
      <c r="BH1423" s="16">
        <f>SUM(BC1423:BG1423)</f>
        <v>0</v>
      </c>
      <c r="BJ1423" s="6"/>
      <c r="BK1423" s="7"/>
      <c r="BL1423" s="7"/>
      <c r="BM1423" s="7"/>
      <c r="BN1423" s="7"/>
      <c r="BO1423" s="16">
        <f>SUM(BJ1423:BN1423)</f>
        <v>0</v>
      </c>
      <c r="BQ1423" s="6"/>
      <c r="BR1423" s="7"/>
      <c r="BS1423" s="7"/>
      <c r="BT1423" s="7"/>
      <c r="BU1423" s="7"/>
      <c r="BV1423" s="16">
        <f>SUM(BQ1423:BU1423)</f>
        <v>0</v>
      </c>
      <c r="BX1423" s="6"/>
      <c r="BY1423" s="7"/>
      <c r="BZ1423" s="7"/>
      <c r="CA1423" s="7"/>
      <c r="CB1423" s="7"/>
      <c r="CC1423" s="16">
        <f>SUM(BX1423:CB1423)</f>
        <v>0</v>
      </c>
      <c r="CE1423" s="28">
        <f t="shared" si="6549"/>
        <v>0</v>
      </c>
      <c r="CF1423" s="29">
        <f t="shared" si="6550"/>
        <v>0</v>
      </c>
      <c r="CG1423" s="29">
        <f t="shared" si="6551"/>
        <v>0</v>
      </c>
      <c r="CH1423" s="29">
        <f t="shared" si="6552"/>
        <v>0</v>
      </c>
      <c r="CI1423" s="29">
        <f t="shared" si="6553"/>
        <v>0</v>
      </c>
      <c r="CJ1423" s="8">
        <f>SUM(CE1423:CI1423)</f>
        <v>0</v>
      </c>
      <c r="CL1423" s="6"/>
      <c r="CM1423" s="7"/>
      <c r="CN1423" s="7"/>
      <c r="CO1423" s="7"/>
      <c r="CP1423" s="7"/>
      <c r="CQ1423" s="16">
        <f>SUM(CL1423:CP1423)</f>
        <v>0</v>
      </c>
      <c r="CS1423" s="6"/>
      <c r="CT1423" s="7"/>
      <c r="CU1423" s="7"/>
      <c r="CV1423" s="7"/>
      <c r="CW1423" s="7"/>
      <c r="CX1423" s="8">
        <f t="shared" si="6558"/>
        <v>0</v>
      </c>
      <c r="CZ1423" s="6"/>
      <c r="DA1423" s="7"/>
      <c r="DB1423" s="7"/>
      <c r="DC1423" s="7"/>
      <c r="DD1423" s="7"/>
      <c r="DE1423" s="16">
        <f t="shared" si="6559"/>
        <v>0</v>
      </c>
    </row>
    <row r="1424" spans="2:110" ht="14" thickBot="1">
      <c r="C1424" s="567"/>
      <c r="E1424" s="14" t="s">
        <v>62</v>
      </c>
      <c r="F1424" s="23">
        <f t="shared" si="6554"/>
        <v>0</v>
      </c>
      <c r="G1424" s="24">
        <f t="shared" si="6545"/>
        <v>0</v>
      </c>
      <c r="H1424" s="24">
        <f t="shared" si="6546"/>
        <v>0</v>
      </c>
      <c r="I1424" s="24">
        <f t="shared" si="6547"/>
        <v>0</v>
      </c>
      <c r="J1424" s="24">
        <f t="shared" si="6548"/>
        <v>0</v>
      </c>
      <c r="K1424" s="16">
        <f t="shared" si="6555"/>
        <v>0</v>
      </c>
      <c r="M1424" s="6"/>
      <c r="N1424" s="7"/>
      <c r="O1424" s="7"/>
      <c r="P1424" s="7"/>
      <c r="Q1424" s="7"/>
      <c r="R1424" s="16">
        <f t="shared" si="6556"/>
        <v>0</v>
      </c>
      <c r="T1424" s="6"/>
      <c r="U1424" s="7"/>
      <c r="V1424" s="7"/>
      <c r="W1424" s="7"/>
      <c r="X1424" s="7"/>
      <c r="Y1424" s="16">
        <f t="shared" si="6557"/>
        <v>0</v>
      </c>
      <c r="AA1424" s="6"/>
      <c r="AB1424" s="7"/>
      <c r="AC1424" s="7"/>
      <c r="AD1424" s="7"/>
      <c r="AE1424" s="7"/>
      <c r="AF1424" s="16">
        <f>SUM(AA1424:AE1424)</f>
        <v>0</v>
      </c>
      <c r="AH1424" s="6"/>
      <c r="AI1424" s="7"/>
      <c r="AJ1424" s="7"/>
      <c r="AK1424" s="7"/>
      <c r="AL1424" s="7"/>
      <c r="AM1424" s="16">
        <f>SUM(AH1424:AL1424)</f>
        <v>0</v>
      </c>
      <c r="AO1424" s="6"/>
      <c r="AP1424" s="7"/>
      <c r="AQ1424" s="7"/>
      <c r="AR1424" s="7"/>
      <c r="AS1424" s="7"/>
      <c r="AT1424" s="16">
        <f>SUM(AO1424:AS1424)</f>
        <v>0</v>
      </c>
      <c r="AV1424" s="6"/>
      <c r="AW1424" s="7"/>
      <c r="AX1424" s="7"/>
      <c r="AY1424" s="7"/>
      <c r="AZ1424" s="7"/>
      <c r="BA1424" s="16">
        <f>SUM(AV1424:AZ1424)</f>
        <v>0</v>
      </c>
      <c r="BC1424" s="6"/>
      <c r="BD1424" s="7"/>
      <c r="BE1424" s="7"/>
      <c r="BF1424" s="7"/>
      <c r="BG1424" s="7"/>
      <c r="BH1424" s="16">
        <f>SUM(BC1424:BG1424)</f>
        <v>0</v>
      </c>
      <c r="BJ1424" s="6"/>
      <c r="BK1424" s="7"/>
      <c r="BL1424" s="7"/>
      <c r="BM1424" s="7"/>
      <c r="BN1424" s="7"/>
      <c r="BO1424" s="16">
        <f>SUM(BJ1424:BN1424)</f>
        <v>0</v>
      </c>
      <c r="BQ1424" s="6"/>
      <c r="BR1424" s="7"/>
      <c r="BS1424" s="7"/>
      <c r="BT1424" s="7"/>
      <c r="BU1424" s="7"/>
      <c r="BV1424" s="16">
        <f>SUM(BQ1424:BU1424)</f>
        <v>0</v>
      </c>
      <c r="BX1424" s="6"/>
      <c r="BY1424" s="7"/>
      <c r="BZ1424" s="7"/>
      <c r="CA1424" s="7"/>
      <c r="CB1424" s="7"/>
      <c r="CC1424" s="16">
        <f>SUM(BX1424:CB1424)</f>
        <v>0</v>
      </c>
      <c r="CE1424" s="493">
        <f t="shared" si="6549"/>
        <v>0</v>
      </c>
      <c r="CF1424" s="494">
        <f t="shared" si="6550"/>
        <v>0</v>
      </c>
      <c r="CG1424" s="494">
        <f t="shared" si="6551"/>
        <v>0</v>
      </c>
      <c r="CH1424" s="494">
        <f t="shared" si="6552"/>
        <v>0</v>
      </c>
      <c r="CI1424" s="494">
        <f t="shared" si="6553"/>
        <v>0</v>
      </c>
      <c r="CJ1424" s="495">
        <f>SUM(CE1424:CI1424)</f>
        <v>0</v>
      </c>
      <c r="CL1424" s="6"/>
      <c r="CM1424" s="7"/>
      <c r="CN1424" s="7"/>
      <c r="CO1424" s="7"/>
      <c r="CP1424" s="7"/>
      <c r="CQ1424" s="16">
        <f>SUM(CL1424:CP1424)</f>
        <v>0</v>
      </c>
      <c r="CS1424" s="6"/>
      <c r="CT1424" s="7"/>
      <c r="CU1424" s="7"/>
      <c r="CV1424" s="7"/>
      <c r="CW1424" s="7"/>
      <c r="CX1424" s="8">
        <f t="shared" si="6558"/>
        <v>0</v>
      </c>
      <c r="CZ1424" s="6"/>
      <c r="DA1424" s="7"/>
      <c r="DB1424" s="7"/>
      <c r="DC1424" s="7"/>
      <c r="DD1424" s="7"/>
      <c r="DE1424" s="16">
        <f t="shared" si="6559"/>
        <v>0</v>
      </c>
    </row>
    <row r="1425" spans="3:109" ht="14" thickBot="1">
      <c r="C1425" s="554"/>
      <c r="E1425" s="17"/>
      <c r="F1425" s="10">
        <f>SUM(F1421:F1424)</f>
        <v>0</v>
      </c>
      <c r="G1425" s="11">
        <f t="shared" ref="G1425:J1425" si="6560">SUM(G1421:G1424)</f>
        <v>0</v>
      </c>
      <c r="H1425" s="11">
        <f t="shared" si="6560"/>
        <v>0</v>
      </c>
      <c r="I1425" s="11">
        <f t="shared" si="6560"/>
        <v>0</v>
      </c>
      <c r="J1425" s="11">
        <f t="shared" si="6560"/>
        <v>0</v>
      </c>
      <c r="K1425" s="25">
        <f>SUM(K1421:K1424)</f>
        <v>0</v>
      </c>
      <c r="M1425" s="10">
        <f>SUM(M1421:M1424)</f>
        <v>0</v>
      </c>
      <c r="N1425" s="11">
        <f t="shared" ref="N1425:Q1425" si="6561">SUM(N1421:N1424)</f>
        <v>0</v>
      </c>
      <c r="O1425" s="11">
        <f t="shared" si="6561"/>
        <v>0</v>
      </c>
      <c r="P1425" s="11">
        <f t="shared" si="6561"/>
        <v>0</v>
      </c>
      <c r="Q1425" s="11">
        <f t="shared" si="6561"/>
        <v>0</v>
      </c>
      <c r="R1425" s="25">
        <f>SUM(R1421:R1424)</f>
        <v>0</v>
      </c>
      <c r="T1425" s="10">
        <f>SUM(T1421:T1424)</f>
        <v>0</v>
      </c>
      <c r="U1425" s="11">
        <f t="shared" ref="U1425:X1425" si="6562">SUM(U1421:U1424)</f>
        <v>0</v>
      </c>
      <c r="V1425" s="11">
        <f t="shared" si="6562"/>
        <v>0</v>
      </c>
      <c r="W1425" s="11">
        <f t="shared" si="6562"/>
        <v>0</v>
      </c>
      <c r="X1425" s="11">
        <f t="shared" si="6562"/>
        <v>0</v>
      </c>
      <c r="Y1425" s="25">
        <f>SUM(Y1421:Y1424)</f>
        <v>0</v>
      </c>
      <c r="AA1425" s="10">
        <f>SUM(AA1421:AA1424)</f>
        <v>0</v>
      </c>
      <c r="AB1425" s="11">
        <f t="shared" ref="AB1425:AE1425" si="6563">SUM(AB1421:AB1424)</f>
        <v>0</v>
      </c>
      <c r="AC1425" s="11">
        <f t="shared" si="6563"/>
        <v>0</v>
      </c>
      <c r="AD1425" s="11">
        <f t="shared" si="6563"/>
        <v>0</v>
      </c>
      <c r="AE1425" s="11">
        <f t="shared" si="6563"/>
        <v>0</v>
      </c>
      <c r="AF1425" s="25">
        <f>SUM(AF1421:AF1424)</f>
        <v>0</v>
      </c>
      <c r="AH1425" s="10">
        <f>SUM(AH1421:AH1424)</f>
        <v>0</v>
      </c>
      <c r="AI1425" s="11">
        <f t="shared" ref="AI1425:AL1425" si="6564">SUM(AI1421:AI1424)</f>
        <v>0</v>
      </c>
      <c r="AJ1425" s="11">
        <f t="shared" si="6564"/>
        <v>0</v>
      </c>
      <c r="AK1425" s="11">
        <f t="shared" si="6564"/>
        <v>0</v>
      </c>
      <c r="AL1425" s="11">
        <f t="shared" si="6564"/>
        <v>0</v>
      </c>
      <c r="AM1425" s="25">
        <f>SUM(AM1421:AM1424)</f>
        <v>0</v>
      </c>
      <c r="AO1425" s="10">
        <f>SUM(AO1421:AO1424)</f>
        <v>0</v>
      </c>
      <c r="AP1425" s="11">
        <f t="shared" ref="AP1425:AS1425" si="6565">SUM(AP1421:AP1424)</f>
        <v>0</v>
      </c>
      <c r="AQ1425" s="11">
        <f t="shared" si="6565"/>
        <v>0</v>
      </c>
      <c r="AR1425" s="11">
        <f t="shared" si="6565"/>
        <v>0</v>
      </c>
      <c r="AS1425" s="11">
        <f t="shared" si="6565"/>
        <v>0</v>
      </c>
      <c r="AT1425" s="25">
        <f>SUM(AT1421:AT1424)</f>
        <v>0</v>
      </c>
      <c r="AV1425" s="10">
        <f>SUM(AV1421:AV1424)</f>
        <v>0</v>
      </c>
      <c r="AW1425" s="11">
        <f t="shared" ref="AW1425:AZ1425" si="6566">SUM(AW1421:AW1424)</f>
        <v>0</v>
      </c>
      <c r="AX1425" s="11">
        <f t="shared" si="6566"/>
        <v>0</v>
      </c>
      <c r="AY1425" s="11">
        <f t="shared" si="6566"/>
        <v>0</v>
      </c>
      <c r="AZ1425" s="11">
        <f t="shared" si="6566"/>
        <v>0</v>
      </c>
      <c r="BA1425" s="25">
        <f>SUM(BA1421:BA1424)</f>
        <v>0</v>
      </c>
      <c r="BC1425" s="10">
        <f>SUM(BC1421:BC1424)</f>
        <v>0</v>
      </c>
      <c r="BD1425" s="11">
        <f t="shared" ref="BD1425:BG1425" si="6567">SUM(BD1421:BD1424)</f>
        <v>0</v>
      </c>
      <c r="BE1425" s="11">
        <f t="shared" si="6567"/>
        <v>0</v>
      </c>
      <c r="BF1425" s="11">
        <f t="shared" si="6567"/>
        <v>0</v>
      </c>
      <c r="BG1425" s="11">
        <f t="shared" si="6567"/>
        <v>0</v>
      </c>
      <c r="BH1425" s="25">
        <f>SUM(BH1421:BH1424)</f>
        <v>0</v>
      </c>
      <c r="BJ1425" s="10">
        <f>SUM(BJ1421:BJ1424)</f>
        <v>0</v>
      </c>
      <c r="BK1425" s="11">
        <f t="shared" ref="BK1425:BN1425" si="6568">SUM(BK1421:BK1424)</f>
        <v>0</v>
      </c>
      <c r="BL1425" s="11">
        <f t="shared" si="6568"/>
        <v>0</v>
      </c>
      <c r="BM1425" s="11">
        <f t="shared" si="6568"/>
        <v>0</v>
      </c>
      <c r="BN1425" s="11">
        <f t="shared" si="6568"/>
        <v>0</v>
      </c>
      <c r="BO1425" s="25">
        <f>SUM(BO1421:BO1424)</f>
        <v>0</v>
      </c>
      <c r="BQ1425" s="10">
        <f>SUM(BQ1421:BQ1424)</f>
        <v>0</v>
      </c>
      <c r="BR1425" s="11">
        <f t="shared" ref="BR1425:BU1425" si="6569">SUM(BR1421:BR1424)</f>
        <v>0</v>
      </c>
      <c r="BS1425" s="11">
        <f t="shared" si="6569"/>
        <v>0</v>
      </c>
      <c r="BT1425" s="11">
        <f t="shared" si="6569"/>
        <v>0</v>
      </c>
      <c r="BU1425" s="11">
        <f t="shared" si="6569"/>
        <v>0</v>
      </c>
      <c r="BV1425" s="25">
        <f>SUM(BV1421:BV1424)</f>
        <v>0</v>
      </c>
      <c r="BX1425" s="10">
        <f>SUM(BX1421:BX1424)</f>
        <v>0</v>
      </c>
      <c r="BY1425" s="11">
        <f t="shared" ref="BY1425:CB1425" si="6570">SUM(BY1421:BY1424)</f>
        <v>0</v>
      </c>
      <c r="BZ1425" s="11">
        <f t="shared" si="6570"/>
        <v>0</v>
      </c>
      <c r="CA1425" s="11">
        <f t="shared" si="6570"/>
        <v>0</v>
      </c>
      <c r="CB1425" s="11">
        <f t="shared" si="6570"/>
        <v>0</v>
      </c>
      <c r="CC1425" s="25">
        <f>SUM(CC1421:CC1424)</f>
        <v>0</v>
      </c>
      <c r="CE1425" s="62">
        <f t="shared" ref="CE1425:CJ1425" si="6571">SUM(CE1421:CE1424)</f>
        <v>0</v>
      </c>
      <c r="CF1425" s="63">
        <f t="shared" si="6571"/>
        <v>0</v>
      </c>
      <c r="CG1425" s="63">
        <f t="shared" si="6571"/>
        <v>0</v>
      </c>
      <c r="CH1425" s="63">
        <f t="shared" si="6571"/>
        <v>0</v>
      </c>
      <c r="CI1425" s="63">
        <f t="shared" si="6571"/>
        <v>0</v>
      </c>
      <c r="CJ1425" s="25">
        <f t="shared" si="6571"/>
        <v>0</v>
      </c>
      <c r="CL1425" s="10">
        <f>SUM(CL1421:CL1424)</f>
        <v>0</v>
      </c>
      <c r="CM1425" s="11">
        <f t="shared" ref="CM1425:CP1425" si="6572">SUM(CM1421:CM1424)</f>
        <v>0</v>
      </c>
      <c r="CN1425" s="11">
        <f t="shared" si="6572"/>
        <v>0</v>
      </c>
      <c r="CO1425" s="11">
        <f t="shared" si="6572"/>
        <v>0</v>
      </c>
      <c r="CP1425" s="11">
        <f t="shared" si="6572"/>
        <v>0</v>
      </c>
      <c r="CQ1425" s="25">
        <f>SUM(CQ1421:CQ1424)</f>
        <v>0</v>
      </c>
      <c r="CS1425" s="10">
        <f>SUM(CS1421:CS1424)</f>
        <v>0</v>
      </c>
      <c r="CT1425" s="11">
        <f t="shared" ref="CT1425:CW1425" si="6573">SUM(CT1421:CT1424)</f>
        <v>0</v>
      </c>
      <c r="CU1425" s="11">
        <f t="shared" si="6573"/>
        <v>0</v>
      </c>
      <c r="CV1425" s="11">
        <f t="shared" si="6573"/>
        <v>0</v>
      </c>
      <c r="CW1425" s="11">
        <f t="shared" si="6573"/>
        <v>0</v>
      </c>
      <c r="CX1425" s="25">
        <f>SUM(CX1421:CX1424)</f>
        <v>0</v>
      </c>
      <c r="CZ1425" s="10">
        <f>SUM(CZ1421:CZ1424)</f>
        <v>0</v>
      </c>
      <c r="DA1425" s="11">
        <f t="shared" ref="DA1425:DD1425" si="6574">SUM(DA1421:DA1424)</f>
        <v>0</v>
      </c>
      <c r="DB1425" s="11">
        <f t="shared" si="6574"/>
        <v>0</v>
      </c>
      <c r="DC1425" s="11">
        <f t="shared" si="6574"/>
        <v>0</v>
      </c>
      <c r="DD1425" s="11">
        <f t="shared" si="6574"/>
        <v>0</v>
      </c>
      <c r="DE1425" s="25">
        <f>SUM(DE1421:DE1424)</f>
        <v>0</v>
      </c>
    </row>
    <row r="1426" spans="3:109" ht="10.4" customHeight="1" thickBot="1"/>
    <row r="1427" spans="3:109">
      <c r="C1427" s="553">
        <v>2026</v>
      </c>
      <c r="E1427" s="1" t="s">
        <v>59</v>
      </c>
      <c r="F1427" s="21">
        <f>CE1421</f>
        <v>0</v>
      </c>
      <c r="G1427" s="22">
        <f t="shared" ref="G1427:G1430" si="6575">CF1421</f>
        <v>0</v>
      </c>
      <c r="H1427" s="22">
        <f t="shared" ref="H1427:H1430" si="6576">CG1421</f>
        <v>0</v>
      </c>
      <c r="I1427" s="22">
        <f t="shared" ref="I1427:I1430" si="6577">CH1421</f>
        <v>0</v>
      </c>
      <c r="J1427" s="22">
        <f t="shared" ref="J1427:J1430" si="6578">CI1421</f>
        <v>0</v>
      </c>
      <c r="K1427" s="4">
        <f>SUM(F1427:J1427)</f>
        <v>0</v>
      </c>
      <c r="M1427" s="2"/>
      <c r="N1427" s="3"/>
      <c r="O1427" s="3"/>
      <c r="P1427" s="3"/>
      <c r="Q1427" s="3"/>
      <c r="R1427" s="4">
        <f>SUM(M1427:Q1427)</f>
        <v>0</v>
      </c>
      <c r="T1427" s="2"/>
      <c r="U1427" s="3"/>
      <c r="V1427" s="3"/>
      <c r="W1427" s="3"/>
      <c r="X1427" s="3"/>
      <c r="Y1427" s="4">
        <f>SUM(T1427:X1427)</f>
        <v>0</v>
      </c>
      <c r="AA1427" s="2"/>
      <c r="AB1427" s="3"/>
      <c r="AC1427" s="3"/>
      <c r="AD1427" s="3"/>
      <c r="AE1427" s="3"/>
      <c r="AF1427" s="4">
        <f>SUM(AA1427:AE1427)</f>
        <v>0</v>
      </c>
      <c r="AH1427" s="2"/>
      <c r="AI1427" s="3"/>
      <c r="AJ1427" s="3"/>
      <c r="AK1427" s="3"/>
      <c r="AL1427" s="3"/>
      <c r="AM1427" s="4">
        <f>SUM(AH1427:AL1427)</f>
        <v>0</v>
      </c>
      <c r="AO1427" s="2"/>
      <c r="AP1427" s="3"/>
      <c r="AQ1427" s="3"/>
      <c r="AR1427" s="3"/>
      <c r="AS1427" s="3"/>
      <c r="AT1427" s="4">
        <f>SUM(AO1427:AS1427)</f>
        <v>0</v>
      </c>
      <c r="AV1427" s="2"/>
      <c r="AW1427" s="3"/>
      <c r="AX1427" s="3"/>
      <c r="AY1427" s="3"/>
      <c r="AZ1427" s="3"/>
      <c r="BA1427" s="4">
        <f>SUM(AV1427:AZ1427)</f>
        <v>0</v>
      </c>
      <c r="BC1427" s="2"/>
      <c r="BD1427" s="3"/>
      <c r="BE1427" s="3"/>
      <c r="BF1427" s="3"/>
      <c r="BG1427" s="3"/>
      <c r="BH1427" s="4">
        <f>SUM(BC1427:BG1427)</f>
        <v>0</v>
      </c>
      <c r="BJ1427" s="2"/>
      <c r="BK1427" s="3"/>
      <c r="BL1427" s="3"/>
      <c r="BM1427" s="3"/>
      <c r="BN1427" s="3"/>
      <c r="BO1427" s="4">
        <f>SUM(BJ1427:BN1427)</f>
        <v>0</v>
      </c>
      <c r="BQ1427" s="2"/>
      <c r="BR1427" s="3"/>
      <c r="BS1427" s="3"/>
      <c r="BT1427" s="3"/>
      <c r="BU1427" s="3"/>
      <c r="BV1427" s="4">
        <f>SUM(BQ1427:BU1427)</f>
        <v>0</v>
      </c>
      <c r="BX1427" s="2"/>
      <c r="BY1427" s="3"/>
      <c r="BZ1427" s="3"/>
      <c r="CA1427" s="3"/>
      <c r="CB1427" s="3"/>
      <c r="CC1427" s="4">
        <f>SUM(BX1427:CB1427)</f>
        <v>0</v>
      </c>
      <c r="CE1427" s="26">
        <f t="shared" ref="CE1427:CE1430" si="6579">F1427+M1427+T1427+AA1427+AH1427+AO1427+AV1427+BC1427+BJ1427+BQ1427+BX1427</f>
        <v>0</v>
      </c>
      <c r="CF1427" s="27">
        <f t="shared" ref="CF1427:CF1430" si="6580">G1427+N1427+U1427+AB1427+AI1427+AP1427+AW1427+BD1427+BK1427+BR1427+BY1427</f>
        <v>0</v>
      </c>
      <c r="CG1427" s="27">
        <f t="shared" ref="CG1427:CG1430" si="6581">H1427+O1427+V1427+AC1427+AJ1427+AQ1427+AX1427+BE1427+BL1427+BS1427+BZ1427</f>
        <v>0</v>
      </c>
      <c r="CH1427" s="27">
        <f t="shared" ref="CH1427:CH1430" si="6582">I1427+P1427+W1427+AD1427+AK1427+AR1427+AY1427+BF1427+BM1427+BT1427+CA1427</f>
        <v>0</v>
      </c>
      <c r="CI1427" s="27">
        <f t="shared" ref="CI1427:CI1430" si="6583">J1427+Q1427+X1427+AE1427+AL1427+AS1427+AZ1427+BG1427+BN1427+BU1427+CB1427</f>
        <v>0</v>
      </c>
      <c r="CJ1427" s="4">
        <f>SUM(CE1427:CI1427)</f>
        <v>0</v>
      </c>
      <c r="CL1427" s="2"/>
      <c r="CM1427" s="3"/>
      <c r="CN1427" s="3"/>
      <c r="CO1427" s="3"/>
      <c r="CP1427" s="3"/>
      <c r="CQ1427" s="4">
        <f>SUM(CL1427:CP1427)</f>
        <v>0</v>
      </c>
      <c r="CS1427" s="2"/>
      <c r="CT1427" s="3"/>
      <c r="CU1427" s="3"/>
      <c r="CV1427" s="3"/>
      <c r="CW1427" s="3"/>
      <c r="CX1427" s="4">
        <f>SUM(CS1427:CW1427)</f>
        <v>0</v>
      </c>
      <c r="CZ1427" s="2"/>
      <c r="DA1427" s="3"/>
      <c r="DB1427" s="3"/>
      <c r="DC1427" s="3"/>
      <c r="DD1427" s="3"/>
      <c r="DE1427" s="4">
        <f>SUM(CZ1427:DD1427)</f>
        <v>0</v>
      </c>
    </row>
    <row r="1428" spans="3:109">
      <c r="C1428" s="567"/>
      <c r="E1428" s="5" t="s">
        <v>60</v>
      </c>
      <c r="F1428" s="23">
        <f t="shared" ref="F1428:F1430" si="6584">CE1422</f>
        <v>0</v>
      </c>
      <c r="G1428" s="24">
        <f t="shared" si="6575"/>
        <v>0</v>
      </c>
      <c r="H1428" s="24">
        <f t="shared" si="6576"/>
        <v>0</v>
      </c>
      <c r="I1428" s="24">
        <f t="shared" si="6577"/>
        <v>0</v>
      </c>
      <c r="J1428" s="24">
        <f t="shared" si="6578"/>
        <v>0</v>
      </c>
      <c r="K1428" s="8">
        <f t="shared" ref="K1428:K1430" si="6585">SUM(F1428:J1428)</f>
        <v>0</v>
      </c>
      <c r="M1428" s="6"/>
      <c r="N1428" s="7"/>
      <c r="O1428" s="7"/>
      <c r="P1428" s="7"/>
      <c r="Q1428" s="7"/>
      <c r="R1428" s="8">
        <f t="shared" ref="R1428:R1430" si="6586">SUM(M1428:Q1428)</f>
        <v>0</v>
      </c>
      <c r="T1428" s="6"/>
      <c r="U1428" s="7"/>
      <c r="V1428" s="7"/>
      <c r="W1428" s="7"/>
      <c r="X1428" s="7"/>
      <c r="Y1428" s="8">
        <f t="shared" ref="Y1428:Y1430" si="6587">SUM(T1428:X1428)</f>
        <v>0</v>
      </c>
      <c r="AA1428" s="6"/>
      <c r="AB1428" s="7"/>
      <c r="AC1428" s="7"/>
      <c r="AD1428" s="7"/>
      <c r="AE1428" s="7"/>
      <c r="AF1428" s="8">
        <f>SUM(AA1428:AE1428)</f>
        <v>0</v>
      </c>
      <c r="AH1428" s="6"/>
      <c r="AI1428" s="7"/>
      <c r="AJ1428" s="7"/>
      <c r="AK1428" s="7"/>
      <c r="AL1428" s="7"/>
      <c r="AM1428" s="8">
        <f>SUM(AH1428:AL1428)</f>
        <v>0</v>
      </c>
      <c r="AO1428" s="6"/>
      <c r="AP1428" s="7"/>
      <c r="AQ1428" s="7"/>
      <c r="AR1428" s="7"/>
      <c r="AS1428" s="7"/>
      <c r="AT1428" s="8">
        <f>SUM(AO1428:AS1428)</f>
        <v>0</v>
      </c>
      <c r="AV1428" s="6"/>
      <c r="AW1428" s="7"/>
      <c r="AX1428" s="7"/>
      <c r="AY1428" s="7"/>
      <c r="AZ1428" s="7"/>
      <c r="BA1428" s="8">
        <f>SUM(AV1428:AZ1428)</f>
        <v>0</v>
      </c>
      <c r="BC1428" s="6"/>
      <c r="BD1428" s="7"/>
      <c r="BE1428" s="7"/>
      <c r="BF1428" s="7"/>
      <c r="BG1428" s="7"/>
      <c r="BH1428" s="8">
        <f>SUM(BC1428:BG1428)</f>
        <v>0</v>
      </c>
      <c r="BJ1428" s="6"/>
      <c r="BK1428" s="7"/>
      <c r="BL1428" s="7"/>
      <c r="BM1428" s="7"/>
      <c r="BN1428" s="7"/>
      <c r="BO1428" s="8">
        <f>SUM(BJ1428:BN1428)</f>
        <v>0</v>
      </c>
      <c r="BQ1428" s="6"/>
      <c r="BR1428" s="7"/>
      <c r="BS1428" s="7"/>
      <c r="BT1428" s="7"/>
      <c r="BU1428" s="7"/>
      <c r="BV1428" s="8">
        <f>SUM(BQ1428:BU1428)</f>
        <v>0</v>
      </c>
      <c r="BX1428" s="6"/>
      <c r="BY1428" s="7"/>
      <c r="BZ1428" s="7"/>
      <c r="CA1428" s="7"/>
      <c r="CB1428" s="7"/>
      <c r="CC1428" s="8">
        <f>SUM(BX1428:CB1428)</f>
        <v>0</v>
      </c>
      <c r="CE1428" s="28">
        <f t="shared" si="6579"/>
        <v>0</v>
      </c>
      <c r="CF1428" s="29">
        <f t="shared" si="6580"/>
        <v>0</v>
      </c>
      <c r="CG1428" s="29">
        <f t="shared" si="6581"/>
        <v>0</v>
      </c>
      <c r="CH1428" s="29">
        <f t="shared" si="6582"/>
        <v>0</v>
      </c>
      <c r="CI1428" s="29">
        <f t="shared" si="6583"/>
        <v>0</v>
      </c>
      <c r="CJ1428" s="8">
        <f>SUM(CE1428:CI1428)</f>
        <v>0</v>
      </c>
      <c r="CL1428" s="6"/>
      <c r="CM1428" s="7"/>
      <c r="CN1428" s="7"/>
      <c r="CO1428" s="7"/>
      <c r="CP1428" s="7"/>
      <c r="CQ1428" s="8">
        <f>SUM(CL1428:CP1428)</f>
        <v>0</v>
      </c>
      <c r="CS1428" s="6"/>
      <c r="CT1428" s="7"/>
      <c r="CU1428" s="7"/>
      <c r="CV1428" s="7"/>
      <c r="CW1428" s="7"/>
      <c r="CX1428" s="8">
        <f t="shared" ref="CX1428:CX1430" si="6588">SUM(CS1428:CW1428)</f>
        <v>0</v>
      </c>
      <c r="CZ1428" s="6"/>
      <c r="DA1428" s="7"/>
      <c r="DB1428" s="7"/>
      <c r="DC1428" s="7"/>
      <c r="DD1428" s="7"/>
      <c r="DE1428" s="8">
        <f t="shared" ref="DE1428:DE1430" si="6589">SUM(CZ1428:DD1428)</f>
        <v>0</v>
      </c>
    </row>
    <row r="1429" spans="3:109">
      <c r="C1429" s="567"/>
      <c r="E1429" s="5" t="s">
        <v>61</v>
      </c>
      <c r="F1429" s="23">
        <f t="shared" si="6584"/>
        <v>0</v>
      </c>
      <c r="G1429" s="24">
        <f t="shared" si="6575"/>
        <v>0</v>
      </c>
      <c r="H1429" s="24">
        <f t="shared" si="6576"/>
        <v>0</v>
      </c>
      <c r="I1429" s="24">
        <f t="shared" si="6577"/>
        <v>0</v>
      </c>
      <c r="J1429" s="24">
        <f t="shared" si="6578"/>
        <v>0</v>
      </c>
      <c r="K1429" s="8">
        <f t="shared" si="6585"/>
        <v>0</v>
      </c>
      <c r="M1429" s="6"/>
      <c r="N1429" s="7"/>
      <c r="O1429" s="7"/>
      <c r="P1429" s="7"/>
      <c r="Q1429" s="7"/>
      <c r="R1429" s="8">
        <f t="shared" si="6586"/>
        <v>0</v>
      </c>
      <c r="T1429" s="6"/>
      <c r="U1429" s="7"/>
      <c r="V1429" s="7"/>
      <c r="W1429" s="7"/>
      <c r="X1429" s="7"/>
      <c r="Y1429" s="8">
        <f t="shared" si="6587"/>
        <v>0</v>
      </c>
      <c r="AA1429" s="6"/>
      <c r="AB1429" s="7"/>
      <c r="AC1429" s="7"/>
      <c r="AD1429" s="7"/>
      <c r="AE1429" s="7"/>
      <c r="AF1429" s="8">
        <f>SUM(AA1429:AE1429)</f>
        <v>0</v>
      </c>
      <c r="AH1429" s="6"/>
      <c r="AI1429" s="7"/>
      <c r="AJ1429" s="7"/>
      <c r="AK1429" s="7"/>
      <c r="AL1429" s="7"/>
      <c r="AM1429" s="8">
        <f>SUM(AH1429:AL1429)</f>
        <v>0</v>
      </c>
      <c r="AO1429" s="6"/>
      <c r="AP1429" s="7"/>
      <c r="AQ1429" s="7"/>
      <c r="AR1429" s="7"/>
      <c r="AS1429" s="7"/>
      <c r="AT1429" s="8">
        <f>SUM(AO1429:AS1429)</f>
        <v>0</v>
      </c>
      <c r="AV1429" s="6"/>
      <c r="AW1429" s="7"/>
      <c r="AX1429" s="7"/>
      <c r="AY1429" s="7"/>
      <c r="AZ1429" s="7"/>
      <c r="BA1429" s="8">
        <f>SUM(AV1429:AZ1429)</f>
        <v>0</v>
      </c>
      <c r="BC1429" s="6"/>
      <c r="BD1429" s="7"/>
      <c r="BE1429" s="7"/>
      <c r="BF1429" s="7"/>
      <c r="BG1429" s="7"/>
      <c r="BH1429" s="8">
        <f>SUM(BC1429:BG1429)</f>
        <v>0</v>
      </c>
      <c r="BJ1429" s="6"/>
      <c r="BK1429" s="7"/>
      <c r="BL1429" s="7"/>
      <c r="BM1429" s="7"/>
      <c r="BN1429" s="7"/>
      <c r="BO1429" s="8">
        <f>SUM(BJ1429:BN1429)</f>
        <v>0</v>
      </c>
      <c r="BQ1429" s="6"/>
      <c r="BR1429" s="7"/>
      <c r="BS1429" s="7"/>
      <c r="BT1429" s="7"/>
      <c r="BU1429" s="7"/>
      <c r="BV1429" s="8">
        <f>SUM(BQ1429:BU1429)</f>
        <v>0</v>
      </c>
      <c r="BX1429" s="6"/>
      <c r="BY1429" s="7"/>
      <c r="BZ1429" s="7"/>
      <c r="CA1429" s="7"/>
      <c r="CB1429" s="7"/>
      <c r="CC1429" s="8">
        <f>SUM(BX1429:CB1429)</f>
        <v>0</v>
      </c>
      <c r="CE1429" s="28">
        <f t="shared" si="6579"/>
        <v>0</v>
      </c>
      <c r="CF1429" s="29">
        <f t="shared" si="6580"/>
        <v>0</v>
      </c>
      <c r="CG1429" s="29">
        <f t="shared" si="6581"/>
        <v>0</v>
      </c>
      <c r="CH1429" s="29">
        <f t="shared" si="6582"/>
        <v>0</v>
      </c>
      <c r="CI1429" s="29">
        <f t="shared" si="6583"/>
        <v>0</v>
      </c>
      <c r="CJ1429" s="8">
        <f>SUM(CE1429:CI1429)</f>
        <v>0</v>
      </c>
      <c r="CL1429" s="6"/>
      <c r="CM1429" s="7"/>
      <c r="CN1429" s="7"/>
      <c r="CO1429" s="7"/>
      <c r="CP1429" s="7"/>
      <c r="CQ1429" s="8">
        <f>SUM(CL1429:CP1429)</f>
        <v>0</v>
      </c>
      <c r="CS1429" s="6"/>
      <c r="CT1429" s="7"/>
      <c r="CU1429" s="7"/>
      <c r="CV1429" s="7"/>
      <c r="CW1429" s="7"/>
      <c r="CX1429" s="8">
        <f t="shared" si="6588"/>
        <v>0</v>
      </c>
      <c r="CZ1429" s="6"/>
      <c r="DA1429" s="7"/>
      <c r="DB1429" s="7"/>
      <c r="DC1429" s="7"/>
      <c r="DD1429" s="7"/>
      <c r="DE1429" s="8">
        <f t="shared" si="6589"/>
        <v>0</v>
      </c>
    </row>
    <row r="1430" spans="3:109" ht="14" thickBot="1">
      <c r="C1430" s="567"/>
      <c r="E1430" s="5" t="s">
        <v>62</v>
      </c>
      <c r="F1430" s="23">
        <f t="shared" si="6584"/>
        <v>0</v>
      </c>
      <c r="G1430" s="24">
        <f t="shared" si="6575"/>
        <v>0</v>
      </c>
      <c r="H1430" s="24">
        <f t="shared" si="6576"/>
        <v>0</v>
      </c>
      <c r="I1430" s="24">
        <f t="shared" si="6577"/>
        <v>0</v>
      </c>
      <c r="J1430" s="24">
        <f t="shared" si="6578"/>
        <v>0</v>
      </c>
      <c r="K1430" s="8">
        <f t="shared" si="6585"/>
        <v>0</v>
      </c>
      <c r="M1430" s="6"/>
      <c r="N1430" s="7"/>
      <c r="O1430" s="7"/>
      <c r="P1430" s="7"/>
      <c r="Q1430" s="7"/>
      <c r="R1430" s="8">
        <f t="shared" si="6586"/>
        <v>0</v>
      </c>
      <c r="T1430" s="6"/>
      <c r="U1430" s="7"/>
      <c r="V1430" s="7"/>
      <c r="W1430" s="7"/>
      <c r="X1430" s="7"/>
      <c r="Y1430" s="8">
        <f t="shared" si="6587"/>
        <v>0</v>
      </c>
      <c r="AA1430" s="6"/>
      <c r="AB1430" s="7"/>
      <c r="AC1430" s="7"/>
      <c r="AD1430" s="7"/>
      <c r="AE1430" s="7"/>
      <c r="AF1430" s="8">
        <f>SUM(AA1430:AE1430)</f>
        <v>0</v>
      </c>
      <c r="AH1430" s="6"/>
      <c r="AI1430" s="7"/>
      <c r="AJ1430" s="7"/>
      <c r="AK1430" s="7"/>
      <c r="AL1430" s="7"/>
      <c r="AM1430" s="8">
        <f>SUM(AH1430:AL1430)</f>
        <v>0</v>
      </c>
      <c r="AO1430" s="6"/>
      <c r="AP1430" s="7"/>
      <c r="AQ1430" s="7"/>
      <c r="AR1430" s="7"/>
      <c r="AS1430" s="7"/>
      <c r="AT1430" s="8">
        <f>SUM(AO1430:AS1430)</f>
        <v>0</v>
      </c>
      <c r="AV1430" s="6"/>
      <c r="AW1430" s="7"/>
      <c r="AX1430" s="7"/>
      <c r="AY1430" s="7"/>
      <c r="AZ1430" s="7"/>
      <c r="BA1430" s="8">
        <f>SUM(AV1430:AZ1430)</f>
        <v>0</v>
      </c>
      <c r="BC1430" s="6"/>
      <c r="BD1430" s="7"/>
      <c r="BE1430" s="7"/>
      <c r="BF1430" s="7"/>
      <c r="BG1430" s="7"/>
      <c r="BH1430" s="8">
        <f>SUM(BC1430:BG1430)</f>
        <v>0</v>
      </c>
      <c r="BJ1430" s="6"/>
      <c r="BK1430" s="7"/>
      <c r="BL1430" s="7"/>
      <c r="BM1430" s="7"/>
      <c r="BN1430" s="7"/>
      <c r="BO1430" s="8">
        <f>SUM(BJ1430:BN1430)</f>
        <v>0</v>
      </c>
      <c r="BQ1430" s="6"/>
      <c r="BR1430" s="7"/>
      <c r="BS1430" s="7"/>
      <c r="BT1430" s="7"/>
      <c r="BU1430" s="7"/>
      <c r="BV1430" s="8">
        <f>SUM(BQ1430:BU1430)</f>
        <v>0</v>
      </c>
      <c r="BX1430" s="6"/>
      <c r="BY1430" s="7"/>
      <c r="BZ1430" s="7"/>
      <c r="CA1430" s="7"/>
      <c r="CB1430" s="7"/>
      <c r="CC1430" s="8">
        <f>SUM(BX1430:CB1430)</f>
        <v>0</v>
      </c>
      <c r="CE1430" s="493">
        <f t="shared" si="6579"/>
        <v>0</v>
      </c>
      <c r="CF1430" s="494">
        <f t="shared" si="6580"/>
        <v>0</v>
      </c>
      <c r="CG1430" s="494">
        <f t="shared" si="6581"/>
        <v>0</v>
      </c>
      <c r="CH1430" s="494">
        <f t="shared" si="6582"/>
        <v>0</v>
      </c>
      <c r="CI1430" s="494">
        <f t="shared" si="6583"/>
        <v>0</v>
      </c>
      <c r="CJ1430" s="495">
        <f>SUM(CE1430:CI1430)</f>
        <v>0</v>
      </c>
      <c r="CL1430" s="6"/>
      <c r="CM1430" s="7"/>
      <c r="CN1430" s="7"/>
      <c r="CO1430" s="7"/>
      <c r="CP1430" s="7"/>
      <c r="CQ1430" s="8">
        <f>SUM(CL1430:CP1430)</f>
        <v>0</v>
      </c>
      <c r="CS1430" s="6"/>
      <c r="CT1430" s="7"/>
      <c r="CU1430" s="7"/>
      <c r="CV1430" s="7"/>
      <c r="CW1430" s="7"/>
      <c r="CX1430" s="8">
        <f t="shared" si="6588"/>
        <v>0</v>
      </c>
      <c r="CZ1430" s="6"/>
      <c r="DA1430" s="7"/>
      <c r="DB1430" s="7"/>
      <c r="DC1430" s="7"/>
      <c r="DD1430" s="7"/>
      <c r="DE1430" s="8">
        <f t="shared" si="6589"/>
        <v>0</v>
      </c>
    </row>
    <row r="1431" spans="3:109" ht="14" thickBot="1">
      <c r="C1431" s="554"/>
      <c r="E1431" s="9"/>
      <c r="F1431" s="10">
        <f>SUM(F1427:F1430)</f>
        <v>0</v>
      </c>
      <c r="G1431" s="11">
        <f t="shared" ref="G1431:J1431" si="6590">SUM(G1427:G1430)</f>
        <v>0</v>
      </c>
      <c r="H1431" s="11">
        <f t="shared" si="6590"/>
        <v>0</v>
      </c>
      <c r="I1431" s="11">
        <f t="shared" si="6590"/>
        <v>0</v>
      </c>
      <c r="J1431" s="11">
        <f t="shared" si="6590"/>
        <v>0</v>
      </c>
      <c r="K1431" s="25">
        <f>SUM(K1427:K1430)</f>
        <v>0</v>
      </c>
      <c r="M1431" s="10">
        <f>SUM(M1427:M1430)</f>
        <v>0</v>
      </c>
      <c r="N1431" s="11">
        <f t="shared" ref="N1431:Q1431" si="6591">SUM(N1427:N1430)</f>
        <v>0</v>
      </c>
      <c r="O1431" s="11">
        <f t="shared" si="6591"/>
        <v>0</v>
      </c>
      <c r="P1431" s="11">
        <f t="shared" si="6591"/>
        <v>0</v>
      </c>
      <c r="Q1431" s="11">
        <f t="shared" si="6591"/>
        <v>0</v>
      </c>
      <c r="R1431" s="25">
        <f>SUM(R1427:R1430)</f>
        <v>0</v>
      </c>
      <c r="T1431" s="10">
        <f>SUM(T1427:T1430)</f>
        <v>0</v>
      </c>
      <c r="U1431" s="11">
        <f t="shared" ref="U1431:X1431" si="6592">SUM(U1427:U1430)</f>
        <v>0</v>
      </c>
      <c r="V1431" s="11">
        <f t="shared" si="6592"/>
        <v>0</v>
      </c>
      <c r="W1431" s="11">
        <f t="shared" si="6592"/>
        <v>0</v>
      </c>
      <c r="X1431" s="11">
        <f t="shared" si="6592"/>
        <v>0</v>
      </c>
      <c r="Y1431" s="25">
        <f>SUM(Y1427:Y1430)</f>
        <v>0</v>
      </c>
      <c r="AA1431" s="10">
        <f>SUM(AA1427:AA1430)</f>
        <v>0</v>
      </c>
      <c r="AB1431" s="11">
        <f t="shared" ref="AB1431:AE1431" si="6593">SUM(AB1427:AB1430)</f>
        <v>0</v>
      </c>
      <c r="AC1431" s="11">
        <f t="shared" si="6593"/>
        <v>0</v>
      </c>
      <c r="AD1431" s="11">
        <f t="shared" si="6593"/>
        <v>0</v>
      </c>
      <c r="AE1431" s="11">
        <f t="shared" si="6593"/>
        <v>0</v>
      </c>
      <c r="AF1431" s="25">
        <f>SUM(AF1427:AF1430)</f>
        <v>0</v>
      </c>
      <c r="AH1431" s="10">
        <f>SUM(AH1427:AH1430)</f>
        <v>0</v>
      </c>
      <c r="AI1431" s="11">
        <f t="shared" ref="AI1431:AL1431" si="6594">SUM(AI1427:AI1430)</f>
        <v>0</v>
      </c>
      <c r="AJ1431" s="11">
        <f t="shared" si="6594"/>
        <v>0</v>
      </c>
      <c r="AK1431" s="11">
        <f t="shared" si="6594"/>
        <v>0</v>
      </c>
      <c r="AL1431" s="11">
        <f t="shared" si="6594"/>
        <v>0</v>
      </c>
      <c r="AM1431" s="25">
        <f>SUM(AM1427:AM1430)</f>
        <v>0</v>
      </c>
      <c r="AO1431" s="10">
        <f>SUM(AO1427:AO1430)</f>
        <v>0</v>
      </c>
      <c r="AP1431" s="11">
        <f t="shared" ref="AP1431:AS1431" si="6595">SUM(AP1427:AP1430)</f>
        <v>0</v>
      </c>
      <c r="AQ1431" s="11">
        <f t="shared" si="6595"/>
        <v>0</v>
      </c>
      <c r="AR1431" s="11">
        <f t="shared" si="6595"/>
        <v>0</v>
      </c>
      <c r="AS1431" s="11">
        <f t="shared" si="6595"/>
        <v>0</v>
      </c>
      <c r="AT1431" s="25">
        <f>SUM(AT1427:AT1430)</f>
        <v>0</v>
      </c>
      <c r="AV1431" s="10">
        <f>SUM(AV1427:AV1430)</f>
        <v>0</v>
      </c>
      <c r="AW1431" s="11">
        <f t="shared" ref="AW1431:AZ1431" si="6596">SUM(AW1427:AW1430)</f>
        <v>0</v>
      </c>
      <c r="AX1431" s="11">
        <f t="shared" si="6596"/>
        <v>0</v>
      </c>
      <c r="AY1431" s="11">
        <f t="shared" si="6596"/>
        <v>0</v>
      </c>
      <c r="AZ1431" s="11">
        <f t="shared" si="6596"/>
        <v>0</v>
      </c>
      <c r="BA1431" s="25">
        <f>SUM(BA1427:BA1430)</f>
        <v>0</v>
      </c>
      <c r="BC1431" s="10">
        <f>SUM(BC1427:BC1430)</f>
        <v>0</v>
      </c>
      <c r="BD1431" s="11">
        <f t="shared" ref="BD1431:BG1431" si="6597">SUM(BD1427:BD1430)</f>
        <v>0</v>
      </c>
      <c r="BE1431" s="11">
        <f t="shared" si="6597"/>
        <v>0</v>
      </c>
      <c r="BF1431" s="11">
        <f t="shared" si="6597"/>
        <v>0</v>
      </c>
      <c r="BG1431" s="11">
        <f t="shared" si="6597"/>
        <v>0</v>
      </c>
      <c r="BH1431" s="25">
        <f>SUM(BH1427:BH1430)</f>
        <v>0</v>
      </c>
      <c r="BJ1431" s="10">
        <f>SUM(BJ1427:BJ1430)</f>
        <v>0</v>
      </c>
      <c r="BK1431" s="11">
        <f t="shared" ref="BK1431:BN1431" si="6598">SUM(BK1427:BK1430)</f>
        <v>0</v>
      </c>
      <c r="BL1431" s="11">
        <f t="shared" si="6598"/>
        <v>0</v>
      </c>
      <c r="BM1431" s="11">
        <f t="shared" si="6598"/>
        <v>0</v>
      </c>
      <c r="BN1431" s="11">
        <f t="shared" si="6598"/>
        <v>0</v>
      </c>
      <c r="BO1431" s="25">
        <f>SUM(BO1427:BO1430)</f>
        <v>0</v>
      </c>
      <c r="BQ1431" s="10">
        <f>SUM(BQ1427:BQ1430)</f>
        <v>0</v>
      </c>
      <c r="BR1431" s="11">
        <f t="shared" ref="BR1431:BU1431" si="6599">SUM(BR1427:BR1430)</f>
        <v>0</v>
      </c>
      <c r="BS1431" s="11">
        <f t="shared" si="6599"/>
        <v>0</v>
      </c>
      <c r="BT1431" s="11">
        <f t="shared" si="6599"/>
        <v>0</v>
      </c>
      <c r="BU1431" s="11">
        <f t="shared" si="6599"/>
        <v>0</v>
      </c>
      <c r="BV1431" s="25">
        <f>SUM(BV1427:BV1430)</f>
        <v>0</v>
      </c>
      <c r="BX1431" s="10">
        <f>SUM(BX1427:BX1430)</f>
        <v>0</v>
      </c>
      <c r="BY1431" s="11">
        <f t="shared" ref="BY1431:CB1431" si="6600">SUM(BY1427:BY1430)</f>
        <v>0</v>
      </c>
      <c r="BZ1431" s="11">
        <f t="shared" si="6600"/>
        <v>0</v>
      </c>
      <c r="CA1431" s="11">
        <f t="shared" si="6600"/>
        <v>0</v>
      </c>
      <c r="CB1431" s="11">
        <f t="shared" si="6600"/>
        <v>0</v>
      </c>
      <c r="CC1431" s="25">
        <f>SUM(CC1427:CC1430)</f>
        <v>0</v>
      </c>
      <c r="CE1431" s="62">
        <f t="shared" ref="CE1431:CJ1431" si="6601">SUM(CE1427:CE1430)</f>
        <v>0</v>
      </c>
      <c r="CF1431" s="63">
        <f t="shared" si="6601"/>
        <v>0</v>
      </c>
      <c r="CG1431" s="63">
        <f t="shared" si="6601"/>
        <v>0</v>
      </c>
      <c r="CH1431" s="63">
        <f t="shared" si="6601"/>
        <v>0</v>
      </c>
      <c r="CI1431" s="63">
        <f t="shared" si="6601"/>
        <v>0</v>
      </c>
      <c r="CJ1431" s="25">
        <f t="shared" si="6601"/>
        <v>0</v>
      </c>
      <c r="CL1431" s="10">
        <f>SUM(CL1427:CL1430)</f>
        <v>0</v>
      </c>
      <c r="CM1431" s="11">
        <f t="shared" ref="CM1431:CP1431" si="6602">SUM(CM1427:CM1430)</f>
        <v>0</v>
      </c>
      <c r="CN1431" s="11">
        <f t="shared" si="6602"/>
        <v>0</v>
      </c>
      <c r="CO1431" s="11">
        <f t="shared" si="6602"/>
        <v>0</v>
      </c>
      <c r="CP1431" s="11">
        <f t="shared" si="6602"/>
        <v>0</v>
      </c>
      <c r="CQ1431" s="25">
        <f>SUM(CQ1427:CQ1430)</f>
        <v>0</v>
      </c>
      <c r="CS1431" s="10">
        <f>SUM(CS1427:CS1430)</f>
        <v>0</v>
      </c>
      <c r="CT1431" s="11">
        <f t="shared" ref="CT1431:CW1431" si="6603">SUM(CT1427:CT1430)</f>
        <v>0</v>
      </c>
      <c r="CU1431" s="11">
        <f t="shared" si="6603"/>
        <v>0</v>
      </c>
      <c r="CV1431" s="11">
        <f t="shared" si="6603"/>
        <v>0</v>
      </c>
      <c r="CW1431" s="11">
        <f t="shared" si="6603"/>
        <v>0</v>
      </c>
      <c r="CX1431" s="25">
        <f>SUM(CX1427:CX1430)</f>
        <v>0</v>
      </c>
      <c r="CZ1431" s="10">
        <f>SUM(CZ1427:CZ1430)</f>
        <v>0</v>
      </c>
      <c r="DA1431" s="11">
        <f t="shared" ref="DA1431:DD1431" si="6604">SUM(DA1427:DA1430)</f>
        <v>0</v>
      </c>
      <c r="DB1431" s="11">
        <f t="shared" si="6604"/>
        <v>0</v>
      </c>
      <c r="DC1431" s="11">
        <f t="shared" si="6604"/>
        <v>0</v>
      </c>
      <c r="DD1431" s="11">
        <f t="shared" si="6604"/>
        <v>0</v>
      </c>
      <c r="DE1431" s="25">
        <f>SUM(DE1427:DE1430)</f>
        <v>0</v>
      </c>
    </row>
    <row r="1432" spans="3:109" ht="10.4" customHeight="1" thickBot="1"/>
    <row r="1433" spans="3:109">
      <c r="C1433" s="553">
        <v>2027</v>
      </c>
      <c r="E1433" s="1" t="s">
        <v>59</v>
      </c>
      <c r="F1433" s="21">
        <f>CE1427</f>
        <v>0</v>
      </c>
      <c r="G1433" s="22">
        <f t="shared" ref="G1433:G1436" si="6605">CF1427</f>
        <v>0</v>
      </c>
      <c r="H1433" s="22">
        <f t="shared" ref="H1433:H1436" si="6606">CG1427</f>
        <v>0</v>
      </c>
      <c r="I1433" s="22">
        <f t="shared" ref="I1433:I1436" si="6607">CH1427</f>
        <v>0</v>
      </c>
      <c r="J1433" s="22">
        <f t="shared" ref="J1433:J1436" si="6608">CI1427</f>
        <v>0</v>
      </c>
      <c r="K1433" s="4">
        <f>SUM(F1433:J1433)</f>
        <v>0</v>
      </c>
      <c r="M1433" s="2"/>
      <c r="N1433" s="3"/>
      <c r="O1433" s="3"/>
      <c r="P1433" s="3"/>
      <c r="Q1433" s="3"/>
      <c r="R1433" s="4">
        <f>SUM(M1433:Q1433)</f>
        <v>0</v>
      </c>
      <c r="T1433" s="2"/>
      <c r="U1433" s="3"/>
      <c r="V1433" s="3"/>
      <c r="W1433" s="3"/>
      <c r="X1433" s="3"/>
      <c r="Y1433" s="4">
        <f>SUM(T1433:X1433)</f>
        <v>0</v>
      </c>
      <c r="AA1433" s="2"/>
      <c r="AB1433" s="3"/>
      <c r="AC1433" s="3"/>
      <c r="AD1433" s="3"/>
      <c r="AE1433" s="3"/>
      <c r="AF1433" s="4">
        <f>SUM(AA1433:AE1433)</f>
        <v>0</v>
      </c>
      <c r="AH1433" s="2"/>
      <c r="AI1433" s="3"/>
      <c r="AJ1433" s="3"/>
      <c r="AK1433" s="3"/>
      <c r="AL1433" s="3"/>
      <c r="AM1433" s="4">
        <f>SUM(AH1433:AL1433)</f>
        <v>0</v>
      </c>
      <c r="AO1433" s="2"/>
      <c r="AP1433" s="3"/>
      <c r="AQ1433" s="3"/>
      <c r="AR1433" s="3"/>
      <c r="AS1433" s="3"/>
      <c r="AT1433" s="4">
        <f>SUM(AO1433:AS1433)</f>
        <v>0</v>
      </c>
      <c r="AV1433" s="2"/>
      <c r="AW1433" s="3"/>
      <c r="AX1433" s="3"/>
      <c r="AY1433" s="3"/>
      <c r="AZ1433" s="3"/>
      <c r="BA1433" s="4">
        <f>SUM(AV1433:AZ1433)</f>
        <v>0</v>
      </c>
      <c r="BC1433" s="2"/>
      <c r="BD1433" s="3"/>
      <c r="BE1433" s="3"/>
      <c r="BF1433" s="3"/>
      <c r="BG1433" s="3"/>
      <c r="BH1433" s="4">
        <f>SUM(BC1433:BG1433)</f>
        <v>0</v>
      </c>
      <c r="BJ1433" s="2"/>
      <c r="BK1433" s="3"/>
      <c r="BL1433" s="3"/>
      <c r="BM1433" s="3"/>
      <c r="BN1433" s="3"/>
      <c r="BO1433" s="4">
        <f>SUM(BJ1433:BN1433)</f>
        <v>0</v>
      </c>
      <c r="BQ1433" s="2"/>
      <c r="BR1433" s="3"/>
      <c r="BS1433" s="3"/>
      <c r="BT1433" s="3"/>
      <c r="BU1433" s="3"/>
      <c r="BV1433" s="4">
        <f>SUM(BQ1433:BU1433)</f>
        <v>0</v>
      </c>
      <c r="BX1433" s="2"/>
      <c r="BY1433" s="3"/>
      <c r="BZ1433" s="3"/>
      <c r="CA1433" s="3"/>
      <c r="CB1433" s="3"/>
      <c r="CC1433" s="4">
        <f>SUM(BX1433:CB1433)</f>
        <v>0</v>
      </c>
      <c r="CE1433" s="26">
        <f t="shared" ref="CE1433:CE1436" si="6609">F1433+M1433+T1433+AA1433+AH1433+AO1433+AV1433+BC1433+BJ1433+BQ1433+BX1433</f>
        <v>0</v>
      </c>
      <c r="CF1433" s="27">
        <f t="shared" ref="CF1433:CF1436" si="6610">G1433+N1433+U1433+AB1433+AI1433+AP1433+AW1433+BD1433+BK1433+BR1433+BY1433</f>
        <v>0</v>
      </c>
      <c r="CG1433" s="27">
        <f t="shared" ref="CG1433:CG1436" si="6611">H1433+O1433+V1433+AC1433+AJ1433+AQ1433+AX1433+BE1433+BL1433+BS1433+BZ1433</f>
        <v>0</v>
      </c>
      <c r="CH1433" s="27">
        <f t="shared" ref="CH1433:CH1436" si="6612">I1433+P1433+W1433+AD1433+AK1433+AR1433+AY1433+BF1433+BM1433+BT1433+CA1433</f>
        <v>0</v>
      </c>
      <c r="CI1433" s="27">
        <f t="shared" ref="CI1433:CI1436" si="6613">J1433+Q1433+X1433+AE1433+AL1433+AS1433+AZ1433+BG1433+BN1433+BU1433+CB1433</f>
        <v>0</v>
      </c>
      <c r="CJ1433" s="4">
        <f>SUM(CE1433:CI1433)</f>
        <v>0</v>
      </c>
      <c r="CL1433" s="2"/>
      <c r="CM1433" s="3"/>
      <c r="CN1433" s="3"/>
      <c r="CO1433" s="3"/>
      <c r="CP1433" s="3"/>
      <c r="CQ1433" s="4">
        <f>SUM(CL1433:CP1433)</f>
        <v>0</v>
      </c>
      <c r="CS1433" s="2"/>
      <c r="CT1433" s="3"/>
      <c r="CU1433" s="3"/>
      <c r="CV1433" s="3"/>
      <c r="CW1433" s="3"/>
      <c r="CX1433" s="4">
        <f>SUM(CS1433:CW1433)</f>
        <v>0</v>
      </c>
      <c r="CZ1433" s="2"/>
      <c r="DA1433" s="3"/>
      <c r="DB1433" s="3"/>
      <c r="DC1433" s="3"/>
      <c r="DD1433" s="3"/>
      <c r="DE1433" s="4">
        <f>SUM(CZ1433:DD1433)</f>
        <v>0</v>
      </c>
    </row>
    <row r="1434" spans="3:109">
      <c r="C1434" s="567"/>
      <c r="E1434" s="5" t="s">
        <v>60</v>
      </c>
      <c r="F1434" s="23">
        <f t="shared" ref="F1434:F1436" si="6614">CE1428</f>
        <v>0</v>
      </c>
      <c r="G1434" s="24">
        <f t="shared" si="6605"/>
        <v>0</v>
      </c>
      <c r="H1434" s="24">
        <f t="shared" si="6606"/>
        <v>0</v>
      </c>
      <c r="I1434" s="24">
        <f t="shared" si="6607"/>
        <v>0</v>
      </c>
      <c r="J1434" s="24">
        <f t="shared" si="6608"/>
        <v>0</v>
      </c>
      <c r="K1434" s="8">
        <f t="shared" ref="K1434:K1436" si="6615">SUM(F1434:J1434)</f>
        <v>0</v>
      </c>
      <c r="M1434" s="6"/>
      <c r="N1434" s="7"/>
      <c r="O1434" s="7"/>
      <c r="P1434" s="7"/>
      <c r="Q1434" s="7"/>
      <c r="R1434" s="8">
        <f t="shared" ref="R1434:R1436" si="6616">SUM(M1434:Q1434)</f>
        <v>0</v>
      </c>
      <c r="T1434" s="6"/>
      <c r="U1434" s="7"/>
      <c r="V1434" s="7"/>
      <c r="W1434" s="7"/>
      <c r="X1434" s="7"/>
      <c r="Y1434" s="8">
        <f t="shared" ref="Y1434:Y1436" si="6617">SUM(T1434:X1434)</f>
        <v>0</v>
      </c>
      <c r="AA1434" s="6"/>
      <c r="AB1434" s="7"/>
      <c r="AC1434" s="7"/>
      <c r="AD1434" s="7"/>
      <c r="AE1434" s="7"/>
      <c r="AF1434" s="8">
        <f>SUM(AA1434:AE1434)</f>
        <v>0</v>
      </c>
      <c r="AH1434" s="6"/>
      <c r="AI1434" s="7"/>
      <c r="AJ1434" s="7"/>
      <c r="AK1434" s="7"/>
      <c r="AL1434" s="7"/>
      <c r="AM1434" s="8">
        <f>SUM(AH1434:AL1434)</f>
        <v>0</v>
      </c>
      <c r="AO1434" s="6"/>
      <c r="AP1434" s="7"/>
      <c r="AQ1434" s="7"/>
      <c r="AR1434" s="7"/>
      <c r="AS1434" s="7"/>
      <c r="AT1434" s="8">
        <f>SUM(AO1434:AS1434)</f>
        <v>0</v>
      </c>
      <c r="AV1434" s="6"/>
      <c r="AW1434" s="7"/>
      <c r="AX1434" s="7"/>
      <c r="AY1434" s="7"/>
      <c r="AZ1434" s="7"/>
      <c r="BA1434" s="8">
        <f>SUM(AV1434:AZ1434)</f>
        <v>0</v>
      </c>
      <c r="BC1434" s="6"/>
      <c r="BD1434" s="7"/>
      <c r="BE1434" s="7"/>
      <c r="BF1434" s="7"/>
      <c r="BG1434" s="7"/>
      <c r="BH1434" s="8">
        <f>SUM(BC1434:BG1434)</f>
        <v>0</v>
      </c>
      <c r="BJ1434" s="6"/>
      <c r="BK1434" s="7"/>
      <c r="BL1434" s="7"/>
      <c r="BM1434" s="7"/>
      <c r="BN1434" s="7"/>
      <c r="BO1434" s="8">
        <f>SUM(BJ1434:BN1434)</f>
        <v>0</v>
      </c>
      <c r="BQ1434" s="6"/>
      <c r="BR1434" s="7"/>
      <c r="BS1434" s="7"/>
      <c r="BT1434" s="7"/>
      <c r="BU1434" s="7"/>
      <c r="BV1434" s="8">
        <f>SUM(BQ1434:BU1434)</f>
        <v>0</v>
      </c>
      <c r="BX1434" s="6"/>
      <c r="BY1434" s="7"/>
      <c r="BZ1434" s="7"/>
      <c r="CA1434" s="7"/>
      <c r="CB1434" s="7"/>
      <c r="CC1434" s="8">
        <f>SUM(BX1434:CB1434)</f>
        <v>0</v>
      </c>
      <c r="CE1434" s="28">
        <f t="shared" si="6609"/>
        <v>0</v>
      </c>
      <c r="CF1434" s="29">
        <f t="shared" si="6610"/>
        <v>0</v>
      </c>
      <c r="CG1434" s="29">
        <f t="shared" si="6611"/>
        <v>0</v>
      </c>
      <c r="CH1434" s="29">
        <f t="shared" si="6612"/>
        <v>0</v>
      </c>
      <c r="CI1434" s="29">
        <f t="shared" si="6613"/>
        <v>0</v>
      </c>
      <c r="CJ1434" s="8">
        <f>SUM(CE1434:CI1434)</f>
        <v>0</v>
      </c>
      <c r="CL1434" s="6"/>
      <c r="CM1434" s="7"/>
      <c r="CN1434" s="7"/>
      <c r="CO1434" s="7"/>
      <c r="CP1434" s="7"/>
      <c r="CQ1434" s="8">
        <f>SUM(CL1434:CP1434)</f>
        <v>0</v>
      </c>
      <c r="CS1434" s="6"/>
      <c r="CT1434" s="7"/>
      <c r="CU1434" s="7"/>
      <c r="CV1434" s="7"/>
      <c r="CW1434" s="7"/>
      <c r="CX1434" s="8">
        <f t="shared" ref="CX1434:CX1436" si="6618">SUM(CS1434:CW1434)</f>
        <v>0</v>
      </c>
      <c r="CZ1434" s="6"/>
      <c r="DA1434" s="7"/>
      <c r="DB1434" s="7"/>
      <c r="DC1434" s="7"/>
      <c r="DD1434" s="7"/>
      <c r="DE1434" s="8">
        <f t="shared" ref="DE1434:DE1436" si="6619">SUM(CZ1434:DD1434)</f>
        <v>0</v>
      </c>
    </row>
    <row r="1435" spans="3:109">
      <c r="C1435" s="567"/>
      <c r="E1435" s="5" t="s">
        <v>61</v>
      </c>
      <c r="F1435" s="23">
        <f t="shared" si="6614"/>
        <v>0</v>
      </c>
      <c r="G1435" s="24">
        <f t="shared" si="6605"/>
        <v>0</v>
      </c>
      <c r="H1435" s="24">
        <f t="shared" si="6606"/>
        <v>0</v>
      </c>
      <c r="I1435" s="24">
        <f t="shared" si="6607"/>
        <v>0</v>
      </c>
      <c r="J1435" s="24">
        <f t="shared" si="6608"/>
        <v>0</v>
      </c>
      <c r="K1435" s="8">
        <f t="shared" si="6615"/>
        <v>0</v>
      </c>
      <c r="M1435" s="6"/>
      <c r="N1435" s="7"/>
      <c r="O1435" s="7"/>
      <c r="P1435" s="7"/>
      <c r="Q1435" s="7"/>
      <c r="R1435" s="8">
        <f t="shared" si="6616"/>
        <v>0</v>
      </c>
      <c r="T1435" s="6"/>
      <c r="U1435" s="7"/>
      <c r="V1435" s="7"/>
      <c r="W1435" s="7"/>
      <c r="X1435" s="7"/>
      <c r="Y1435" s="8">
        <f t="shared" si="6617"/>
        <v>0</v>
      </c>
      <c r="AA1435" s="6"/>
      <c r="AB1435" s="7"/>
      <c r="AC1435" s="7"/>
      <c r="AD1435" s="7"/>
      <c r="AE1435" s="7"/>
      <c r="AF1435" s="8">
        <f>SUM(AA1435:AE1435)</f>
        <v>0</v>
      </c>
      <c r="AH1435" s="6"/>
      <c r="AI1435" s="7"/>
      <c r="AJ1435" s="7"/>
      <c r="AK1435" s="7"/>
      <c r="AL1435" s="7"/>
      <c r="AM1435" s="8">
        <f>SUM(AH1435:AL1435)</f>
        <v>0</v>
      </c>
      <c r="AO1435" s="6"/>
      <c r="AP1435" s="7"/>
      <c r="AQ1435" s="7"/>
      <c r="AR1435" s="7"/>
      <c r="AS1435" s="7"/>
      <c r="AT1435" s="8">
        <f>SUM(AO1435:AS1435)</f>
        <v>0</v>
      </c>
      <c r="AV1435" s="6"/>
      <c r="AW1435" s="7"/>
      <c r="AX1435" s="7"/>
      <c r="AY1435" s="7"/>
      <c r="AZ1435" s="7"/>
      <c r="BA1435" s="8">
        <f>SUM(AV1435:AZ1435)</f>
        <v>0</v>
      </c>
      <c r="BC1435" s="6"/>
      <c r="BD1435" s="7"/>
      <c r="BE1435" s="7"/>
      <c r="BF1435" s="7"/>
      <c r="BG1435" s="7"/>
      <c r="BH1435" s="8">
        <f>SUM(BC1435:BG1435)</f>
        <v>0</v>
      </c>
      <c r="BJ1435" s="6"/>
      <c r="BK1435" s="7"/>
      <c r="BL1435" s="7"/>
      <c r="BM1435" s="7"/>
      <c r="BN1435" s="7"/>
      <c r="BO1435" s="8">
        <f>SUM(BJ1435:BN1435)</f>
        <v>0</v>
      </c>
      <c r="BQ1435" s="6"/>
      <c r="BR1435" s="7"/>
      <c r="BS1435" s="7"/>
      <c r="BT1435" s="7"/>
      <c r="BU1435" s="7"/>
      <c r="BV1435" s="8">
        <f>SUM(BQ1435:BU1435)</f>
        <v>0</v>
      </c>
      <c r="BX1435" s="6"/>
      <c r="BY1435" s="7"/>
      <c r="BZ1435" s="7"/>
      <c r="CA1435" s="7"/>
      <c r="CB1435" s="7"/>
      <c r="CC1435" s="8">
        <f>SUM(BX1435:CB1435)</f>
        <v>0</v>
      </c>
      <c r="CE1435" s="28">
        <f t="shared" si="6609"/>
        <v>0</v>
      </c>
      <c r="CF1435" s="29">
        <f t="shared" si="6610"/>
        <v>0</v>
      </c>
      <c r="CG1435" s="29">
        <f t="shared" si="6611"/>
        <v>0</v>
      </c>
      <c r="CH1435" s="29">
        <f t="shared" si="6612"/>
        <v>0</v>
      </c>
      <c r="CI1435" s="29">
        <f t="shared" si="6613"/>
        <v>0</v>
      </c>
      <c r="CJ1435" s="8">
        <f>SUM(CE1435:CI1435)</f>
        <v>0</v>
      </c>
      <c r="CL1435" s="6"/>
      <c r="CM1435" s="7"/>
      <c r="CN1435" s="7"/>
      <c r="CO1435" s="7"/>
      <c r="CP1435" s="7"/>
      <c r="CQ1435" s="8">
        <f>SUM(CL1435:CP1435)</f>
        <v>0</v>
      </c>
      <c r="CS1435" s="6"/>
      <c r="CT1435" s="7"/>
      <c r="CU1435" s="7"/>
      <c r="CV1435" s="7"/>
      <c r="CW1435" s="7"/>
      <c r="CX1435" s="8">
        <f t="shared" si="6618"/>
        <v>0</v>
      </c>
      <c r="CZ1435" s="6"/>
      <c r="DA1435" s="7"/>
      <c r="DB1435" s="7"/>
      <c r="DC1435" s="7"/>
      <c r="DD1435" s="7"/>
      <c r="DE1435" s="8">
        <f t="shared" si="6619"/>
        <v>0</v>
      </c>
    </row>
    <row r="1436" spans="3:109" ht="14" thickBot="1">
      <c r="C1436" s="567"/>
      <c r="E1436" s="5" t="s">
        <v>62</v>
      </c>
      <c r="F1436" s="23">
        <f t="shared" si="6614"/>
        <v>0</v>
      </c>
      <c r="G1436" s="24">
        <f t="shared" si="6605"/>
        <v>0</v>
      </c>
      <c r="H1436" s="24">
        <f t="shared" si="6606"/>
        <v>0</v>
      </c>
      <c r="I1436" s="24">
        <f t="shared" si="6607"/>
        <v>0</v>
      </c>
      <c r="J1436" s="24">
        <f t="shared" si="6608"/>
        <v>0</v>
      </c>
      <c r="K1436" s="8">
        <f t="shared" si="6615"/>
        <v>0</v>
      </c>
      <c r="M1436" s="6"/>
      <c r="N1436" s="7"/>
      <c r="O1436" s="7"/>
      <c r="P1436" s="7"/>
      <c r="Q1436" s="7"/>
      <c r="R1436" s="8">
        <f t="shared" si="6616"/>
        <v>0</v>
      </c>
      <c r="T1436" s="6"/>
      <c r="U1436" s="7"/>
      <c r="V1436" s="7"/>
      <c r="W1436" s="7"/>
      <c r="X1436" s="7"/>
      <c r="Y1436" s="8">
        <f t="shared" si="6617"/>
        <v>0</v>
      </c>
      <c r="AA1436" s="6"/>
      <c r="AB1436" s="7"/>
      <c r="AC1436" s="7"/>
      <c r="AD1436" s="7"/>
      <c r="AE1436" s="7"/>
      <c r="AF1436" s="8">
        <f>SUM(AA1436:AE1436)</f>
        <v>0</v>
      </c>
      <c r="AH1436" s="6"/>
      <c r="AI1436" s="7"/>
      <c r="AJ1436" s="7"/>
      <c r="AK1436" s="7"/>
      <c r="AL1436" s="7"/>
      <c r="AM1436" s="8">
        <f>SUM(AH1436:AL1436)</f>
        <v>0</v>
      </c>
      <c r="AO1436" s="6"/>
      <c r="AP1436" s="7"/>
      <c r="AQ1436" s="7"/>
      <c r="AR1436" s="7"/>
      <c r="AS1436" s="7"/>
      <c r="AT1436" s="8">
        <f>SUM(AO1436:AS1436)</f>
        <v>0</v>
      </c>
      <c r="AV1436" s="6"/>
      <c r="AW1436" s="7"/>
      <c r="AX1436" s="7"/>
      <c r="AY1436" s="7"/>
      <c r="AZ1436" s="7"/>
      <c r="BA1436" s="8">
        <f>SUM(AV1436:AZ1436)</f>
        <v>0</v>
      </c>
      <c r="BC1436" s="6"/>
      <c r="BD1436" s="7"/>
      <c r="BE1436" s="7"/>
      <c r="BF1436" s="7"/>
      <c r="BG1436" s="7"/>
      <c r="BH1436" s="8">
        <f>SUM(BC1436:BG1436)</f>
        <v>0</v>
      </c>
      <c r="BJ1436" s="6"/>
      <c r="BK1436" s="7"/>
      <c r="BL1436" s="7"/>
      <c r="BM1436" s="7"/>
      <c r="BN1436" s="7"/>
      <c r="BO1436" s="8">
        <f>SUM(BJ1436:BN1436)</f>
        <v>0</v>
      </c>
      <c r="BQ1436" s="6"/>
      <c r="BR1436" s="7"/>
      <c r="BS1436" s="7"/>
      <c r="BT1436" s="7"/>
      <c r="BU1436" s="7"/>
      <c r="BV1436" s="8">
        <f>SUM(BQ1436:BU1436)</f>
        <v>0</v>
      </c>
      <c r="BX1436" s="6"/>
      <c r="BY1436" s="7"/>
      <c r="BZ1436" s="7"/>
      <c r="CA1436" s="7"/>
      <c r="CB1436" s="7"/>
      <c r="CC1436" s="8">
        <f>SUM(BX1436:CB1436)</f>
        <v>0</v>
      </c>
      <c r="CE1436" s="493">
        <f t="shared" si="6609"/>
        <v>0</v>
      </c>
      <c r="CF1436" s="494">
        <f t="shared" si="6610"/>
        <v>0</v>
      </c>
      <c r="CG1436" s="494">
        <f t="shared" si="6611"/>
        <v>0</v>
      </c>
      <c r="CH1436" s="494">
        <f t="shared" si="6612"/>
        <v>0</v>
      </c>
      <c r="CI1436" s="494">
        <f t="shared" si="6613"/>
        <v>0</v>
      </c>
      <c r="CJ1436" s="495">
        <f>SUM(CE1436:CI1436)</f>
        <v>0</v>
      </c>
      <c r="CL1436" s="6"/>
      <c r="CM1436" s="7"/>
      <c r="CN1436" s="7"/>
      <c r="CO1436" s="7"/>
      <c r="CP1436" s="7"/>
      <c r="CQ1436" s="8">
        <f>SUM(CL1436:CP1436)</f>
        <v>0</v>
      </c>
      <c r="CS1436" s="6"/>
      <c r="CT1436" s="7"/>
      <c r="CU1436" s="7"/>
      <c r="CV1436" s="7"/>
      <c r="CW1436" s="7"/>
      <c r="CX1436" s="8">
        <f t="shared" si="6618"/>
        <v>0</v>
      </c>
      <c r="CZ1436" s="6"/>
      <c r="DA1436" s="7"/>
      <c r="DB1436" s="7"/>
      <c r="DC1436" s="7"/>
      <c r="DD1436" s="7"/>
      <c r="DE1436" s="8">
        <f t="shared" si="6619"/>
        <v>0</v>
      </c>
    </row>
    <row r="1437" spans="3:109" ht="14" thickBot="1">
      <c r="C1437" s="554"/>
      <c r="E1437" s="9"/>
      <c r="F1437" s="10">
        <f>SUM(F1433:F1436)</f>
        <v>0</v>
      </c>
      <c r="G1437" s="11">
        <f t="shared" ref="G1437:J1437" si="6620">SUM(G1433:G1436)</f>
        <v>0</v>
      </c>
      <c r="H1437" s="11">
        <f t="shared" si="6620"/>
        <v>0</v>
      </c>
      <c r="I1437" s="11">
        <f t="shared" si="6620"/>
        <v>0</v>
      </c>
      <c r="J1437" s="11">
        <f t="shared" si="6620"/>
        <v>0</v>
      </c>
      <c r="K1437" s="25">
        <f>SUM(K1433:K1436)</f>
        <v>0</v>
      </c>
      <c r="M1437" s="10">
        <f>SUM(M1433:M1436)</f>
        <v>0</v>
      </c>
      <c r="N1437" s="11">
        <f t="shared" ref="N1437:Q1437" si="6621">SUM(N1433:N1436)</f>
        <v>0</v>
      </c>
      <c r="O1437" s="11">
        <f t="shared" si="6621"/>
        <v>0</v>
      </c>
      <c r="P1437" s="11">
        <f t="shared" si="6621"/>
        <v>0</v>
      </c>
      <c r="Q1437" s="11">
        <f t="shared" si="6621"/>
        <v>0</v>
      </c>
      <c r="R1437" s="25">
        <f>SUM(R1433:R1436)</f>
        <v>0</v>
      </c>
      <c r="T1437" s="10">
        <f>SUM(T1433:T1436)</f>
        <v>0</v>
      </c>
      <c r="U1437" s="11">
        <f t="shared" ref="U1437:X1437" si="6622">SUM(U1433:U1436)</f>
        <v>0</v>
      </c>
      <c r="V1437" s="11">
        <f t="shared" si="6622"/>
        <v>0</v>
      </c>
      <c r="W1437" s="11">
        <f t="shared" si="6622"/>
        <v>0</v>
      </c>
      <c r="X1437" s="11">
        <f t="shared" si="6622"/>
        <v>0</v>
      </c>
      <c r="Y1437" s="25">
        <f>SUM(Y1433:Y1436)</f>
        <v>0</v>
      </c>
      <c r="AA1437" s="10">
        <f>SUM(AA1433:AA1436)</f>
        <v>0</v>
      </c>
      <c r="AB1437" s="11">
        <f t="shared" ref="AB1437:AE1437" si="6623">SUM(AB1433:AB1436)</f>
        <v>0</v>
      </c>
      <c r="AC1437" s="11">
        <f t="shared" si="6623"/>
        <v>0</v>
      </c>
      <c r="AD1437" s="11">
        <f t="shared" si="6623"/>
        <v>0</v>
      </c>
      <c r="AE1437" s="11">
        <f t="shared" si="6623"/>
        <v>0</v>
      </c>
      <c r="AF1437" s="25">
        <f>SUM(AF1433:AF1436)</f>
        <v>0</v>
      </c>
      <c r="AH1437" s="10">
        <f>SUM(AH1433:AH1436)</f>
        <v>0</v>
      </c>
      <c r="AI1437" s="11">
        <f t="shared" ref="AI1437:AL1437" si="6624">SUM(AI1433:AI1436)</f>
        <v>0</v>
      </c>
      <c r="AJ1437" s="11">
        <f t="shared" si="6624"/>
        <v>0</v>
      </c>
      <c r="AK1437" s="11">
        <f t="shared" si="6624"/>
        <v>0</v>
      </c>
      <c r="AL1437" s="11">
        <f t="shared" si="6624"/>
        <v>0</v>
      </c>
      <c r="AM1437" s="25">
        <f>SUM(AM1433:AM1436)</f>
        <v>0</v>
      </c>
      <c r="AO1437" s="10">
        <f>SUM(AO1433:AO1436)</f>
        <v>0</v>
      </c>
      <c r="AP1437" s="11">
        <f t="shared" ref="AP1437:AS1437" si="6625">SUM(AP1433:AP1436)</f>
        <v>0</v>
      </c>
      <c r="AQ1437" s="11">
        <f t="shared" si="6625"/>
        <v>0</v>
      </c>
      <c r="AR1437" s="11">
        <f t="shared" si="6625"/>
        <v>0</v>
      </c>
      <c r="AS1437" s="11">
        <f t="shared" si="6625"/>
        <v>0</v>
      </c>
      <c r="AT1437" s="25">
        <f>SUM(AT1433:AT1436)</f>
        <v>0</v>
      </c>
      <c r="AV1437" s="10">
        <f>SUM(AV1433:AV1436)</f>
        <v>0</v>
      </c>
      <c r="AW1437" s="11">
        <f t="shared" ref="AW1437:AZ1437" si="6626">SUM(AW1433:AW1436)</f>
        <v>0</v>
      </c>
      <c r="AX1437" s="11">
        <f t="shared" si="6626"/>
        <v>0</v>
      </c>
      <c r="AY1437" s="11">
        <f t="shared" si="6626"/>
        <v>0</v>
      </c>
      <c r="AZ1437" s="11">
        <f t="shared" si="6626"/>
        <v>0</v>
      </c>
      <c r="BA1437" s="25">
        <f>SUM(BA1433:BA1436)</f>
        <v>0</v>
      </c>
      <c r="BC1437" s="10">
        <f>SUM(BC1433:BC1436)</f>
        <v>0</v>
      </c>
      <c r="BD1437" s="11">
        <f t="shared" ref="BD1437:BG1437" si="6627">SUM(BD1433:BD1436)</f>
        <v>0</v>
      </c>
      <c r="BE1437" s="11">
        <f t="shared" si="6627"/>
        <v>0</v>
      </c>
      <c r="BF1437" s="11">
        <f t="shared" si="6627"/>
        <v>0</v>
      </c>
      <c r="BG1437" s="11">
        <f t="shared" si="6627"/>
        <v>0</v>
      </c>
      <c r="BH1437" s="25">
        <f>SUM(BH1433:BH1436)</f>
        <v>0</v>
      </c>
      <c r="BJ1437" s="10">
        <f>SUM(BJ1433:BJ1436)</f>
        <v>0</v>
      </c>
      <c r="BK1437" s="11">
        <f t="shared" ref="BK1437:BN1437" si="6628">SUM(BK1433:BK1436)</f>
        <v>0</v>
      </c>
      <c r="BL1437" s="11">
        <f t="shared" si="6628"/>
        <v>0</v>
      </c>
      <c r="BM1437" s="11">
        <f t="shared" si="6628"/>
        <v>0</v>
      </c>
      <c r="BN1437" s="11">
        <f t="shared" si="6628"/>
        <v>0</v>
      </c>
      <c r="BO1437" s="25">
        <f>SUM(BO1433:BO1436)</f>
        <v>0</v>
      </c>
      <c r="BQ1437" s="10">
        <f>SUM(BQ1433:BQ1436)</f>
        <v>0</v>
      </c>
      <c r="BR1437" s="11">
        <f t="shared" ref="BR1437:BU1437" si="6629">SUM(BR1433:BR1436)</f>
        <v>0</v>
      </c>
      <c r="BS1437" s="11">
        <f t="shared" si="6629"/>
        <v>0</v>
      </c>
      <c r="BT1437" s="11">
        <f t="shared" si="6629"/>
        <v>0</v>
      </c>
      <c r="BU1437" s="11">
        <f t="shared" si="6629"/>
        <v>0</v>
      </c>
      <c r="BV1437" s="25">
        <f>SUM(BV1433:BV1436)</f>
        <v>0</v>
      </c>
      <c r="BX1437" s="10">
        <f>SUM(BX1433:BX1436)</f>
        <v>0</v>
      </c>
      <c r="BY1437" s="11">
        <f t="shared" ref="BY1437:CB1437" si="6630">SUM(BY1433:BY1436)</f>
        <v>0</v>
      </c>
      <c r="BZ1437" s="11">
        <f t="shared" si="6630"/>
        <v>0</v>
      </c>
      <c r="CA1437" s="11">
        <f t="shared" si="6630"/>
        <v>0</v>
      </c>
      <c r="CB1437" s="11">
        <f t="shared" si="6630"/>
        <v>0</v>
      </c>
      <c r="CC1437" s="25">
        <f>SUM(CC1433:CC1436)</f>
        <v>0</v>
      </c>
      <c r="CE1437" s="62">
        <f t="shared" ref="CE1437:CJ1437" si="6631">SUM(CE1433:CE1436)</f>
        <v>0</v>
      </c>
      <c r="CF1437" s="63">
        <f t="shared" si="6631"/>
        <v>0</v>
      </c>
      <c r="CG1437" s="63">
        <f t="shared" si="6631"/>
        <v>0</v>
      </c>
      <c r="CH1437" s="63">
        <f t="shared" si="6631"/>
        <v>0</v>
      </c>
      <c r="CI1437" s="63">
        <f t="shared" si="6631"/>
        <v>0</v>
      </c>
      <c r="CJ1437" s="25">
        <f t="shared" si="6631"/>
        <v>0</v>
      </c>
      <c r="CL1437" s="10">
        <f>SUM(CL1433:CL1436)</f>
        <v>0</v>
      </c>
      <c r="CM1437" s="11">
        <f t="shared" ref="CM1437:CP1437" si="6632">SUM(CM1433:CM1436)</f>
        <v>0</v>
      </c>
      <c r="CN1437" s="11">
        <f t="shared" si="6632"/>
        <v>0</v>
      </c>
      <c r="CO1437" s="11">
        <f t="shared" si="6632"/>
        <v>0</v>
      </c>
      <c r="CP1437" s="11">
        <f t="shared" si="6632"/>
        <v>0</v>
      </c>
      <c r="CQ1437" s="25">
        <f>SUM(CQ1433:CQ1436)</f>
        <v>0</v>
      </c>
      <c r="CS1437" s="10">
        <f>SUM(CS1433:CS1436)</f>
        <v>0</v>
      </c>
      <c r="CT1437" s="11">
        <f t="shared" ref="CT1437:CW1437" si="6633">SUM(CT1433:CT1436)</f>
        <v>0</v>
      </c>
      <c r="CU1437" s="11">
        <f t="shared" si="6633"/>
        <v>0</v>
      </c>
      <c r="CV1437" s="11">
        <f t="shared" si="6633"/>
        <v>0</v>
      </c>
      <c r="CW1437" s="11">
        <f t="shared" si="6633"/>
        <v>0</v>
      </c>
      <c r="CX1437" s="25">
        <f>SUM(CX1433:CX1436)</f>
        <v>0</v>
      </c>
      <c r="CZ1437" s="10">
        <f>SUM(CZ1433:CZ1436)</f>
        <v>0</v>
      </c>
      <c r="DA1437" s="11">
        <f t="shared" ref="DA1437:DD1437" si="6634">SUM(DA1433:DA1436)</f>
        <v>0</v>
      </c>
      <c r="DB1437" s="11">
        <f t="shared" si="6634"/>
        <v>0</v>
      </c>
      <c r="DC1437" s="11">
        <f t="shared" si="6634"/>
        <v>0</v>
      </c>
      <c r="DD1437" s="11">
        <f t="shared" si="6634"/>
        <v>0</v>
      </c>
      <c r="DE1437" s="25">
        <f>SUM(DE1433:DE1436)</f>
        <v>0</v>
      </c>
    </row>
    <row r="1438" spans="3:109" ht="10.4" customHeight="1" thickBot="1"/>
    <row r="1439" spans="3:109">
      <c r="C1439" s="553">
        <v>2028</v>
      </c>
      <c r="E1439" s="1" t="s">
        <v>59</v>
      </c>
      <c r="F1439" s="21">
        <f>CE1433</f>
        <v>0</v>
      </c>
      <c r="G1439" s="22">
        <f t="shared" ref="G1439:G1442" si="6635">CF1433</f>
        <v>0</v>
      </c>
      <c r="H1439" s="22">
        <f t="shared" ref="H1439:H1442" si="6636">CG1433</f>
        <v>0</v>
      </c>
      <c r="I1439" s="22">
        <f t="shared" ref="I1439:I1442" si="6637">CH1433</f>
        <v>0</v>
      </c>
      <c r="J1439" s="22">
        <f t="shared" ref="J1439:J1442" si="6638">CI1433</f>
        <v>0</v>
      </c>
      <c r="K1439" s="4">
        <f>SUM(F1439:J1439)</f>
        <v>0</v>
      </c>
      <c r="M1439" s="2"/>
      <c r="N1439" s="3"/>
      <c r="O1439" s="3"/>
      <c r="P1439" s="3"/>
      <c r="Q1439" s="3"/>
      <c r="R1439" s="4">
        <f>SUM(M1439:Q1439)</f>
        <v>0</v>
      </c>
      <c r="T1439" s="2"/>
      <c r="U1439" s="3"/>
      <c r="V1439" s="3"/>
      <c r="W1439" s="3"/>
      <c r="X1439" s="3"/>
      <c r="Y1439" s="4">
        <f>SUM(T1439:X1439)</f>
        <v>0</v>
      </c>
      <c r="AA1439" s="2"/>
      <c r="AB1439" s="3"/>
      <c r="AC1439" s="3"/>
      <c r="AD1439" s="3"/>
      <c r="AE1439" s="3"/>
      <c r="AF1439" s="4">
        <f>SUM(AA1439:AE1439)</f>
        <v>0</v>
      </c>
      <c r="AH1439" s="2"/>
      <c r="AI1439" s="3"/>
      <c r="AJ1439" s="3"/>
      <c r="AK1439" s="3"/>
      <c r="AL1439" s="3"/>
      <c r="AM1439" s="4">
        <f>SUM(AH1439:AL1439)</f>
        <v>0</v>
      </c>
      <c r="AO1439" s="2"/>
      <c r="AP1439" s="3"/>
      <c r="AQ1439" s="3"/>
      <c r="AR1439" s="3"/>
      <c r="AS1439" s="3"/>
      <c r="AT1439" s="4">
        <f>SUM(AO1439:AS1439)</f>
        <v>0</v>
      </c>
      <c r="AV1439" s="2"/>
      <c r="AW1439" s="3"/>
      <c r="AX1439" s="3"/>
      <c r="AY1439" s="3"/>
      <c r="AZ1439" s="3"/>
      <c r="BA1439" s="4">
        <f>SUM(AV1439:AZ1439)</f>
        <v>0</v>
      </c>
      <c r="BC1439" s="2"/>
      <c r="BD1439" s="3"/>
      <c r="BE1439" s="3"/>
      <c r="BF1439" s="3"/>
      <c r="BG1439" s="3"/>
      <c r="BH1439" s="4">
        <f>SUM(BC1439:BG1439)</f>
        <v>0</v>
      </c>
      <c r="BJ1439" s="2"/>
      <c r="BK1439" s="3"/>
      <c r="BL1439" s="3"/>
      <c r="BM1439" s="3"/>
      <c r="BN1439" s="3"/>
      <c r="BO1439" s="4">
        <f>SUM(BJ1439:BN1439)</f>
        <v>0</v>
      </c>
      <c r="BQ1439" s="2"/>
      <c r="BR1439" s="3"/>
      <c r="BS1439" s="3"/>
      <c r="BT1439" s="3"/>
      <c r="BU1439" s="3"/>
      <c r="BV1439" s="4">
        <f>SUM(BQ1439:BU1439)</f>
        <v>0</v>
      </c>
      <c r="BX1439" s="2"/>
      <c r="BY1439" s="3"/>
      <c r="BZ1439" s="3"/>
      <c r="CA1439" s="3"/>
      <c r="CB1439" s="3"/>
      <c r="CC1439" s="4">
        <f>SUM(BX1439:CB1439)</f>
        <v>0</v>
      </c>
      <c r="CE1439" s="26">
        <f t="shared" ref="CE1439:CE1442" si="6639">F1439+M1439+T1439+AA1439+AH1439+AO1439+AV1439+BC1439+BJ1439+BQ1439+BX1439</f>
        <v>0</v>
      </c>
      <c r="CF1439" s="27">
        <f t="shared" ref="CF1439:CF1442" si="6640">G1439+N1439+U1439+AB1439+AI1439+AP1439+AW1439+BD1439+BK1439+BR1439+BY1439</f>
        <v>0</v>
      </c>
      <c r="CG1439" s="27">
        <f t="shared" ref="CG1439:CG1442" si="6641">H1439+O1439+V1439+AC1439+AJ1439+AQ1439+AX1439+BE1439+BL1439+BS1439+BZ1439</f>
        <v>0</v>
      </c>
      <c r="CH1439" s="27">
        <f t="shared" ref="CH1439:CH1442" si="6642">I1439+P1439+W1439+AD1439+AK1439+AR1439+AY1439+BF1439+BM1439+BT1439+CA1439</f>
        <v>0</v>
      </c>
      <c r="CI1439" s="27">
        <f t="shared" ref="CI1439:CI1442" si="6643">J1439+Q1439+X1439+AE1439+AL1439+AS1439+AZ1439+BG1439+BN1439+BU1439+CB1439</f>
        <v>0</v>
      </c>
      <c r="CJ1439" s="4">
        <f>SUM(CE1439:CI1439)</f>
        <v>0</v>
      </c>
      <c r="CL1439" s="2"/>
      <c r="CM1439" s="3"/>
      <c r="CN1439" s="3"/>
      <c r="CO1439" s="3"/>
      <c r="CP1439" s="3"/>
      <c r="CQ1439" s="4">
        <f>SUM(CL1439:CP1439)</f>
        <v>0</v>
      </c>
      <c r="CS1439" s="2"/>
      <c r="CT1439" s="3"/>
      <c r="CU1439" s="3"/>
      <c r="CV1439" s="3"/>
      <c r="CW1439" s="3"/>
      <c r="CX1439" s="4">
        <f>SUM(CS1439:CW1439)</f>
        <v>0</v>
      </c>
      <c r="CZ1439" s="2"/>
      <c r="DA1439" s="3"/>
      <c r="DB1439" s="3"/>
      <c r="DC1439" s="3"/>
      <c r="DD1439" s="3"/>
      <c r="DE1439" s="4">
        <f>SUM(CZ1439:DD1439)</f>
        <v>0</v>
      </c>
    </row>
    <row r="1440" spans="3:109">
      <c r="C1440" s="567"/>
      <c r="E1440" s="5" t="s">
        <v>60</v>
      </c>
      <c r="F1440" s="23">
        <f t="shared" ref="F1440:F1442" si="6644">CE1434</f>
        <v>0</v>
      </c>
      <c r="G1440" s="24">
        <f t="shared" si="6635"/>
        <v>0</v>
      </c>
      <c r="H1440" s="24">
        <f t="shared" si="6636"/>
        <v>0</v>
      </c>
      <c r="I1440" s="24">
        <f t="shared" si="6637"/>
        <v>0</v>
      </c>
      <c r="J1440" s="24">
        <f t="shared" si="6638"/>
        <v>0</v>
      </c>
      <c r="K1440" s="8">
        <f t="shared" ref="K1440:K1442" si="6645">SUM(F1440:J1440)</f>
        <v>0</v>
      </c>
      <c r="M1440" s="6"/>
      <c r="N1440" s="7"/>
      <c r="O1440" s="7"/>
      <c r="P1440" s="7"/>
      <c r="Q1440" s="7"/>
      <c r="R1440" s="8">
        <f t="shared" ref="R1440:R1442" si="6646">SUM(M1440:Q1440)</f>
        <v>0</v>
      </c>
      <c r="T1440" s="6"/>
      <c r="U1440" s="7"/>
      <c r="V1440" s="7"/>
      <c r="W1440" s="7"/>
      <c r="X1440" s="7"/>
      <c r="Y1440" s="8">
        <f t="shared" ref="Y1440:Y1442" si="6647">SUM(T1440:X1440)</f>
        <v>0</v>
      </c>
      <c r="AA1440" s="6"/>
      <c r="AB1440" s="7"/>
      <c r="AC1440" s="7"/>
      <c r="AD1440" s="7"/>
      <c r="AE1440" s="7"/>
      <c r="AF1440" s="8">
        <f>SUM(AA1440:AE1440)</f>
        <v>0</v>
      </c>
      <c r="AH1440" s="6"/>
      <c r="AI1440" s="7"/>
      <c r="AJ1440" s="7"/>
      <c r="AK1440" s="7"/>
      <c r="AL1440" s="7"/>
      <c r="AM1440" s="8">
        <f>SUM(AH1440:AL1440)</f>
        <v>0</v>
      </c>
      <c r="AO1440" s="6"/>
      <c r="AP1440" s="7"/>
      <c r="AQ1440" s="7"/>
      <c r="AR1440" s="7"/>
      <c r="AS1440" s="7"/>
      <c r="AT1440" s="8">
        <f>SUM(AO1440:AS1440)</f>
        <v>0</v>
      </c>
      <c r="AV1440" s="6"/>
      <c r="AW1440" s="7"/>
      <c r="AX1440" s="7"/>
      <c r="AY1440" s="7"/>
      <c r="AZ1440" s="7"/>
      <c r="BA1440" s="8">
        <f>SUM(AV1440:AZ1440)</f>
        <v>0</v>
      </c>
      <c r="BC1440" s="6"/>
      <c r="BD1440" s="7"/>
      <c r="BE1440" s="7"/>
      <c r="BF1440" s="7"/>
      <c r="BG1440" s="7"/>
      <c r="BH1440" s="8">
        <f>SUM(BC1440:BG1440)</f>
        <v>0</v>
      </c>
      <c r="BJ1440" s="6"/>
      <c r="BK1440" s="7"/>
      <c r="BL1440" s="7"/>
      <c r="BM1440" s="7"/>
      <c r="BN1440" s="7"/>
      <c r="BO1440" s="8">
        <f>SUM(BJ1440:BN1440)</f>
        <v>0</v>
      </c>
      <c r="BQ1440" s="6"/>
      <c r="BR1440" s="7"/>
      <c r="BS1440" s="7"/>
      <c r="BT1440" s="7"/>
      <c r="BU1440" s="7"/>
      <c r="BV1440" s="8">
        <f>SUM(BQ1440:BU1440)</f>
        <v>0</v>
      </c>
      <c r="BX1440" s="6"/>
      <c r="BY1440" s="7"/>
      <c r="BZ1440" s="7"/>
      <c r="CA1440" s="7"/>
      <c r="CB1440" s="7"/>
      <c r="CC1440" s="8">
        <f>SUM(BX1440:CB1440)</f>
        <v>0</v>
      </c>
      <c r="CE1440" s="28">
        <f t="shared" si="6639"/>
        <v>0</v>
      </c>
      <c r="CF1440" s="29">
        <f t="shared" si="6640"/>
        <v>0</v>
      </c>
      <c r="CG1440" s="29">
        <f t="shared" si="6641"/>
        <v>0</v>
      </c>
      <c r="CH1440" s="29">
        <f t="shared" si="6642"/>
        <v>0</v>
      </c>
      <c r="CI1440" s="29">
        <f t="shared" si="6643"/>
        <v>0</v>
      </c>
      <c r="CJ1440" s="8">
        <f>SUM(CE1440:CI1440)</f>
        <v>0</v>
      </c>
      <c r="CL1440" s="6"/>
      <c r="CM1440" s="7"/>
      <c r="CN1440" s="7"/>
      <c r="CO1440" s="7"/>
      <c r="CP1440" s="7"/>
      <c r="CQ1440" s="8">
        <f>SUM(CL1440:CP1440)</f>
        <v>0</v>
      </c>
      <c r="CS1440" s="6"/>
      <c r="CT1440" s="7"/>
      <c r="CU1440" s="7"/>
      <c r="CV1440" s="7"/>
      <c r="CW1440" s="7"/>
      <c r="CX1440" s="8">
        <f t="shared" ref="CX1440:CX1442" si="6648">SUM(CS1440:CW1440)</f>
        <v>0</v>
      </c>
      <c r="CZ1440" s="6"/>
      <c r="DA1440" s="7"/>
      <c r="DB1440" s="7"/>
      <c r="DC1440" s="7"/>
      <c r="DD1440" s="7"/>
      <c r="DE1440" s="8">
        <f t="shared" ref="DE1440:DE1442" si="6649">SUM(CZ1440:DD1440)</f>
        <v>0</v>
      </c>
    </row>
    <row r="1441" spans="2:110">
      <c r="C1441" s="567"/>
      <c r="E1441" s="5" t="s">
        <v>61</v>
      </c>
      <c r="F1441" s="23">
        <f t="shared" si="6644"/>
        <v>0</v>
      </c>
      <c r="G1441" s="24">
        <f t="shared" si="6635"/>
        <v>0</v>
      </c>
      <c r="H1441" s="24">
        <f t="shared" si="6636"/>
        <v>0</v>
      </c>
      <c r="I1441" s="24">
        <f t="shared" si="6637"/>
        <v>0</v>
      </c>
      <c r="J1441" s="24">
        <f t="shared" si="6638"/>
        <v>0</v>
      </c>
      <c r="K1441" s="8">
        <f t="shared" si="6645"/>
        <v>0</v>
      </c>
      <c r="M1441" s="6"/>
      <c r="N1441" s="7"/>
      <c r="O1441" s="7"/>
      <c r="P1441" s="7"/>
      <c r="Q1441" s="7"/>
      <c r="R1441" s="8">
        <f t="shared" si="6646"/>
        <v>0</v>
      </c>
      <c r="T1441" s="6"/>
      <c r="U1441" s="7"/>
      <c r="V1441" s="7"/>
      <c r="W1441" s="7"/>
      <c r="X1441" s="7"/>
      <c r="Y1441" s="8">
        <f t="shared" si="6647"/>
        <v>0</v>
      </c>
      <c r="AA1441" s="6"/>
      <c r="AB1441" s="7"/>
      <c r="AC1441" s="7"/>
      <c r="AD1441" s="7"/>
      <c r="AE1441" s="7"/>
      <c r="AF1441" s="8">
        <f>SUM(AA1441:AE1441)</f>
        <v>0</v>
      </c>
      <c r="AH1441" s="6"/>
      <c r="AI1441" s="7"/>
      <c r="AJ1441" s="7"/>
      <c r="AK1441" s="7"/>
      <c r="AL1441" s="7"/>
      <c r="AM1441" s="8">
        <f>SUM(AH1441:AL1441)</f>
        <v>0</v>
      </c>
      <c r="AO1441" s="6"/>
      <c r="AP1441" s="7"/>
      <c r="AQ1441" s="7"/>
      <c r="AR1441" s="7"/>
      <c r="AS1441" s="7"/>
      <c r="AT1441" s="8">
        <f>SUM(AO1441:AS1441)</f>
        <v>0</v>
      </c>
      <c r="AV1441" s="6"/>
      <c r="AW1441" s="7"/>
      <c r="AX1441" s="7"/>
      <c r="AY1441" s="7"/>
      <c r="AZ1441" s="7"/>
      <c r="BA1441" s="8">
        <f>SUM(AV1441:AZ1441)</f>
        <v>0</v>
      </c>
      <c r="BC1441" s="6"/>
      <c r="BD1441" s="7"/>
      <c r="BE1441" s="7"/>
      <c r="BF1441" s="7"/>
      <c r="BG1441" s="7"/>
      <c r="BH1441" s="8">
        <f>SUM(BC1441:BG1441)</f>
        <v>0</v>
      </c>
      <c r="BJ1441" s="6"/>
      <c r="BK1441" s="7"/>
      <c r="BL1441" s="7"/>
      <c r="BM1441" s="7"/>
      <c r="BN1441" s="7"/>
      <c r="BO1441" s="8">
        <f>SUM(BJ1441:BN1441)</f>
        <v>0</v>
      </c>
      <c r="BQ1441" s="6"/>
      <c r="BR1441" s="7"/>
      <c r="BS1441" s="7"/>
      <c r="BT1441" s="7"/>
      <c r="BU1441" s="7"/>
      <c r="BV1441" s="8">
        <f>SUM(BQ1441:BU1441)</f>
        <v>0</v>
      </c>
      <c r="BX1441" s="6"/>
      <c r="BY1441" s="7"/>
      <c r="BZ1441" s="7"/>
      <c r="CA1441" s="7"/>
      <c r="CB1441" s="7"/>
      <c r="CC1441" s="8">
        <f>SUM(BX1441:CB1441)</f>
        <v>0</v>
      </c>
      <c r="CE1441" s="28">
        <f t="shared" si="6639"/>
        <v>0</v>
      </c>
      <c r="CF1441" s="29">
        <f t="shared" si="6640"/>
        <v>0</v>
      </c>
      <c r="CG1441" s="29">
        <f t="shared" si="6641"/>
        <v>0</v>
      </c>
      <c r="CH1441" s="29">
        <f t="shared" si="6642"/>
        <v>0</v>
      </c>
      <c r="CI1441" s="29">
        <f t="shared" si="6643"/>
        <v>0</v>
      </c>
      <c r="CJ1441" s="8">
        <f>SUM(CE1441:CI1441)</f>
        <v>0</v>
      </c>
      <c r="CL1441" s="6"/>
      <c r="CM1441" s="7"/>
      <c r="CN1441" s="7"/>
      <c r="CO1441" s="7"/>
      <c r="CP1441" s="7"/>
      <c r="CQ1441" s="8">
        <f>SUM(CL1441:CP1441)</f>
        <v>0</v>
      </c>
      <c r="CS1441" s="6"/>
      <c r="CT1441" s="7"/>
      <c r="CU1441" s="7"/>
      <c r="CV1441" s="7"/>
      <c r="CW1441" s="7"/>
      <c r="CX1441" s="8">
        <f t="shared" si="6648"/>
        <v>0</v>
      </c>
      <c r="CZ1441" s="6"/>
      <c r="DA1441" s="7"/>
      <c r="DB1441" s="7"/>
      <c r="DC1441" s="7"/>
      <c r="DD1441" s="7"/>
      <c r="DE1441" s="8">
        <f t="shared" si="6649"/>
        <v>0</v>
      </c>
    </row>
    <row r="1442" spans="2:110" ht="14" thickBot="1">
      <c r="C1442" s="567"/>
      <c r="E1442" s="5" t="s">
        <v>62</v>
      </c>
      <c r="F1442" s="23">
        <f t="shared" si="6644"/>
        <v>0</v>
      </c>
      <c r="G1442" s="24">
        <f t="shared" si="6635"/>
        <v>0</v>
      </c>
      <c r="H1442" s="24">
        <f t="shared" si="6636"/>
        <v>0</v>
      </c>
      <c r="I1442" s="24">
        <f t="shared" si="6637"/>
        <v>0</v>
      </c>
      <c r="J1442" s="24">
        <f t="shared" si="6638"/>
        <v>0</v>
      </c>
      <c r="K1442" s="8">
        <f t="shared" si="6645"/>
        <v>0</v>
      </c>
      <c r="M1442" s="6"/>
      <c r="N1442" s="7"/>
      <c r="O1442" s="7"/>
      <c r="P1442" s="7"/>
      <c r="Q1442" s="7"/>
      <c r="R1442" s="8">
        <f t="shared" si="6646"/>
        <v>0</v>
      </c>
      <c r="T1442" s="6"/>
      <c r="U1442" s="7"/>
      <c r="V1442" s="7"/>
      <c r="W1442" s="7"/>
      <c r="X1442" s="7"/>
      <c r="Y1442" s="8">
        <f t="shared" si="6647"/>
        <v>0</v>
      </c>
      <c r="AA1442" s="6"/>
      <c r="AB1442" s="7"/>
      <c r="AC1442" s="7"/>
      <c r="AD1442" s="7"/>
      <c r="AE1442" s="7"/>
      <c r="AF1442" s="8">
        <f>SUM(AA1442:AE1442)</f>
        <v>0</v>
      </c>
      <c r="AH1442" s="6"/>
      <c r="AI1442" s="7"/>
      <c r="AJ1442" s="7"/>
      <c r="AK1442" s="7"/>
      <c r="AL1442" s="7"/>
      <c r="AM1442" s="8">
        <f>SUM(AH1442:AL1442)</f>
        <v>0</v>
      </c>
      <c r="AO1442" s="6"/>
      <c r="AP1442" s="7"/>
      <c r="AQ1442" s="7"/>
      <c r="AR1442" s="7"/>
      <c r="AS1442" s="7"/>
      <c r="AT1442" s="8">
        <f>SUM(AO1442:AS1442)</f>
        <v>0</v>
      </c>
      <c r="AV1442" s="6"/>
      <c r="AW1442" s="7"/>
      <c r="AX1442" s="7"/>
      <c r="AY1442" s="7"/>
      <c r="AZ1442" s="7"/>
      <c r="BA1442" s="8">
        <f>SUM(AV1442:AZ1442)</f>
        <v>0</v>
      </c>
      <c r="BC1442" s="6"/>
      <c r="BD1442" s="7"/>
      <c r="BE1442" s="7"/>
      <c r="BF1442" s="7"/>
      <c r="BG1442" s="7"/>
      <c r="BH1442" s="8">
        <f>SUM(BC1442:BG1442)</f>
        <v>0</v>
      </c>
      <c r="BJ1442" s="6"/>
      <c r="BK1442" s="7"/>
      <c r="BL1442" s="7"/>
      <c r="BM1442" s="7"/>
      <c r="BN1442" s="7"/>
      <c r="BO1442" s="8">
        <f>SUM(BJ1442:BN1442)</f>
        <v>0</v>
      </c>
      <c r="BQ1442" s="6"/>
      <c r="BR1442" s="7"/>
      <c r="BS1442" s="7"/>
      <c r="BT1442" s="7"/>
      <c r="BU1442" s="7"/>
      <c r="BV1442" s="8">
        <f>SUM(BQ1442:BU1442)</f>
        <v>0</v>
      </c>
      <c r="BX1442" s="6"/>
      <c r="BY1442" s="7"/>
      <c r="BZ1442" s="7"/>
      <c r="CA1442" s="7"/>
      <c r="CB1442" s="7"/>
      <c r="CC1442" s="8">
        <f>SUM(BX1442:CB1442)</f>
        <v>0</v>
      </c>
      <c r="CE1442" s="493">
        <f t="shared" si="6639"/>
        <v>0</v>
      </c>
      <c r="CF1442" s="494">
        <f t="shared" si="6640"/>
        <v>0</v>
      </c>
      <c r="CG1442" s="494">
        <f t="shared" si="6641"/>
        <v>0</v>
      </c>
      <c r="CH1442" s="494">
        <f t="shared" si="6642"/>
        <v>0</v>
      </c>
      <c r="CI1442" s="494">
        <f t="shared" si="6643"/>
        <v>0</v>
      </c>
      <c r="CJ1442" s="495">
        <f>SUM(CE1442:CI1442)</f>
        <v>0</v>
      </c>
      <c r="CL1442" s="6"/>
      <c r="CM1442" s="7"/>
      <c r="CN1442" s="7"/>
      <c r="CO1442" s="7"/>
      <c r="CP1442" s="7"/>
      <c r="CQ1442" s="8">
        <f>SUM(CL1442:CP1442)</f>
        <v>0</v>
      </c>
      <c r="CS1442" s="6"/>
      <c r="CT1442" s="7"/>
      <c r="CU1442" s="7"/>
      <c r="CV1442" s="7"/>
      <c r="CW1442" s="7"/>
      <c r="CX1442" s="8">
        <f t="shared" si="6648"/>
        <v>0</v>
      </c>
      <c r="CZ1442" s="6"/>
      <c r="DA1442" s="7"/>
      <c r="DB1442" s="7"/>
      <c r="DC1442" s="7"/>
      <c r="DD1442" s="7"/>
      <c r="DE1442" s="8">
        <f t="shared" si="6649"/>
        <v>0</v>
      </c>
    </row>
    <row r="1443" spans="2:110" ht="14" thickBot="1">
      <c r="C1443" s="554"/>
      <c r="E1443" s="9"/>
      <c r="F1443" s="10">
        <f>SUM(F1439:F1442)</f>
        <v>0</v>
      </c>
      <c r="G1443" s="11">
        <f t="shared" ref="G1443:J1443" si="6650">SUM(G1439:G1442)</f>
        <v>0</v>
      </c>
      <c r="H1443" s="11">
        <f t="shared" si="6650"/>
        <v>0</v>
      </c>
      <c r="I1443" s="11">
        <f t="shared" si="6650"/>
        <v>0</v>
      </c>
      <c r="J1443" s="11">
        <f t="shared" si="6650"/>
        <v>0</v>
      </c>
      <c r="K1443" s="25">
        <f>SUM(K1439:K1442)</f>
        <v>0</v>
      </c>
      <c r="M1443" s="10">
        <f>SUM(M1439:M1442)</f>
        <v>0</v>
      </c>
      <c r="N1443" s="11">
        <f t="shared" ref="N1443:Q1443" si="6651">SUM(N1439:N1442)</f>
        <v>0</v>
      </c>
      <c r="O1443" s="11">
        <f t="shared" si="6651"/>
        <v>0</v>
      </c>
      <c r="P1443" s="11">
        <f t="shared" si="6651"/>
        <v>0</v>
      </c>
      <c r="Q1443" s="11">
        <f t="shared" si="6651"/>
        <v>0</v>
      </c>
      <c r="R1443" s="25">
        <f>SUM(R1439:R1442)</f>
        <v>0</v>
      </c>
      <c r="T1443" s="10">
        <f>SUM(T1439:T1442)</f>
        <v>0</v>
      </c>
      <c r="U1443" s="11">
        <f t="shared" ref="U1443:X1443" si="6652">SUM(U1439:U1442)</f>
        <v>0</v>
      </c>
      <c r="V1443" s="11">
        <f t="shared" si="6652"/>
        <v>0</v>
      </c>
      <c r="W1443" s="11">
        <f t="shared" si="6652"/>
        <v>0</v>
      </c>
      <c r="X1443" s="11">
        <f t="shared" si="6652"/>
        <v>0</v>
      </c>
      <c r="Y1443" s="25">
        <f>SUM(Y1439:Y1442)</f>
        <v>0</v>
      </c>
      <c r="AA1443" s="10">
        <f>SUM(AA1439:AA1442)</f>
        <v>0</v>
      </c>
      <c r="AB1443" s="11">
        <f t="shared" ref="AB1443:AE1443" si="6653">SUM(AB1439:AB1442)</f>
        <v>0</v>
      </c>
      <c r="AC1443" s="11">
        <f t="shared" si="6653"/>
        <v>0</v>
      </c>
      <c r="AD1443" s="11">
        <f t="shared" si="6653"/>
        <v>0</v>
      </c>
      <c r="AE1443" s="11">
        <f t="shared" si="6653"/>
        <v>0</v>
      </c>
      <c r="AF1443" s="25">
        <f>SUM(AF1439:AF1442)</f>
        <v>0</v>
      </c>
      <c r="AH1443" s="10">
        <f>SUM(AH1439:AH1442)</f>
        <v>0</v>
      </c>
      <c r="AI1443" s="11">
        <f t="shared" ref="AI1443:AL1443" si="6654">SUM(AI1439:AI1442)</f>
        <v>0</v>
      </c>
      <c r="AJ1443" s="11">
        <f t="shared" si="6654"/>
        <v>0</v>
      </c>
      <c r="AK1443" s="11">
        <f t="shared" si="6654"/>
        <v>0</v>
      </c>
      <c r="AL1443" s="11">
        <f t="shared" si="6654"/>
        <v>0</v>
      </c>
      <c r="AM1443" s="25">
        <f>SUM(AM1439:AM1442)</f>
        <v>0</v>
      </c>
      <c r="AO1443" s="10">
        <f>SUM(AO1439:AO1442)</f>
        <v>0</v>
      </c>
      <c r="AP1443" s="11">
        <f t="shared" ref="AP1443:AS1443" si="6655">SUM(AP1439:AP1442)</f>
        <v>0</v>
      </c>
      <c r="AQ1443" s="11">
        <f t="shared" si="6655"/>
        <v>0</v>
      </c>
      <c r="AR1443" s="11">
        <f t="shared" si="6655"/>
        <v>0</v>
      </c>
      <c r="AS1443" s="11">
        <f t="shared" si="6655"/>
        <v>0</v>
      </c>
      <c r="AT1443" s="25">
        <f>SUM(AT1439:AT1442)</f>
        <v>0</v>
      </c>
      <c r="AV1443" s="10">
        <f>SUM(AV1439:AV1442)</f>
        <v>0</v>
      </c>
      <c r="AW1443" s="11">
        <f t="shared" ref="AW1443:AZ1443" si="6656">SUM(AW1439:AW1442)</f>
        <v>0</v>
      </c>
      <c r="AX1443" s="11">
        <f t="shared" si="6656"/>
        <v>0</v>
      </c>
      <c r="AY1443" s="11">
        <f t="shared" si="6656"/>
        <v>0</v>
      </c>
      <c r="AZ1443" s="11">
        <f t="shared" si="6656"/>
        <v>0</v>
      </c>
      <c r="BA1443" s="25">
        <f>SUM(BA1439:BA1442)</f>
        <v>0</v>
      </c>
      <c r="BC1443" s="10">
        <f>SUM(BC1439:BC1442)</f>
        <v>0</v>
      </c>
      <c r="BD1443" s="11">
        <f t="shared" ref="BD1443:BG1443" si="6657">SUM(BD1439:BD1442)</f>
        <v>0</v>
      </c>
      <c r="BE1443" s="11">
        <f t="shared" si="6657"/>
        <v>0</v>
      </c>
      <c r="BF1443" s="11">
        <f t="shared" si="6657"/>
        <v>0</v>
      </c>
      <c r="BG1443" s="11">
        <f t="shared" si="6657"/>
        <v>0</v>
      </c>
      <c r="BH1443" s="25">
        <f>SUM(BH1439:BH1442)</f>
        <v>0</v>
      </c>
      <c r="BJ1443" s="10">
        <f>SUM(BJ1439:BJ1442)</f>
        <v>0</v>
      </c>
      <c r="BK1443" s="11">
        <f t="shared" ref="BK1443:BN1443" si="6658">SUM(BK1439:BK1442)</f>
        <v>0</v>
      </c>
      <c r="BL1443" s="11">
        <f t="shared" si="6658"/>
        <v>0</v>
      </c>
      <c r="BM1443" s="11">
        <f t="shared" si="6658"/>
        <v>0</v>
      </c>
      <c r="BN1443" s="11">
        <f t="shared" si="6658"/>
        <v>0</v>
      </c>
      <c r="BO1443" s="25">
        <f>SUM(BO1439:BO1442)</f>
        <v>0</v>
      </c>
      <c r="BQ1443" s="10">
        <f>SUM(BQ1439:BQ1442)</f>
        <v>0</v>
      </c>
      <c r="BR1443" s="11">
        <f t="shared" ref="BR1443:BU1443" si="6659">SUM(BR1439:BR1442)</f>
        <v>0</v>
      </c>
      <c r="BS1443" s="11">
        <f t="shared" si="6659"/>
        <v>0</v>
      </c>
      <c r="BT1443" s="11">
        <f t="shared" si="6659"/>
        <v>0</v>
      </c>
      <c r="BU1443" s="11">
        <f t="shared" si="6659"/>
        <v>0</v>
      </c>
      <c r="BV1443" s="25">
        <f>SUM(BV1439:BV1442)</f>
        <v>0</v>
      </c>
      <c r="BX1443" s="10">
        <f>SUM(BX1439:BX1442)</f>
        <v>0</v>
      </c>
      <c r="BY1443" s="11">
        <f t="shared" ref="BY1443:CB1443" si="6660">SUM(BY1439:BY1442)</f>
        <v>0</v>
      </c>
      <c r="BZ1443" s="11">
        <f t="shared" si="6660"/>
        <v>0</v>
      </c>
      <c r="CA1443" s="11">
        <f t="shared" si="6660"/>
        <v>0</v>
      </c>
      <c r="CB1443" s="11">
        <f t="shared" si="6660"/>
        <v>0</v>
      </c>
      <c r="CC1443" s="25">
        <f>SUM(CC1439:CC1442)</f>
        <v>0</v>
      </c>
      <c r="CE1443" s="62">
        <f t="shared" ref="CE1443:CJ1443" si="6661">SUM(CE1439:CE1442)</f>
        <v>0</v>
      </c>
      <c r="CF1443" s="63">
        <f t="shared" si="6661"/>
        <v>0</v>
      </c>
      <c r="CG1443" s="63">
        <f t="shared" si="6661"/>
        <v>0</v>
      </c>
      <c r="CH1443" s="63">
        <f t="shared" si="6661"/>
        <v>0</v>
      </c>
      <c r="CI1443" s="63">
        <f t="shared" si="6661"/>
        <v>0</v>
      </c>
      <c r="CJ1443" s="25">
        <f t="shared" si="6661"/>
        <v>0</v>
      </c>
      <c r="CL1443" s="10">
        <f>SUM(CL1439:CL1442)</f>
        <v>0</v>
      </c>
      <c r="CM1443" s="11">
        <f t="shared" ref="CM1443:CP1443" si="6662">SUM(CM1439:CM1442)</f>
        <v>0</v>
      </c>
      <c r="CN1443" s="11">
        <f t="shared" si="6662"/>
        <v>0</v>
      </c>
      <c r="CO1443" s="11">
        <f t="shared" si="6662"/>
        <v>0</v>
      </c>
      <c r="CP1443" s="11">
        <f t="shared" si="6662"/>
        <v>0</v>
      </c>
      <c r="CQ1443" s="25">
        <f>SUM(CQ1439:CQ1442)</f>
        <v>0</v>
      </c>
      <c r="CS1443" s="10">
        <f>SUM(CS1439:CS1442)</f>
        <v>0</v>
      </c>
      <c r="CT1443" s="11">
        <f t="shared" ref="CT1443:CW1443" si="6663">SUM(CT1439:CT1442)</f>
        <v>0</v>
      </c>
      <c r="CU1443" s="11">
        <f t="shared" si="6663"/>
        <v>0</v>
      </c>
      <c r="CV1443" s="11">
        <f t="shared" si="6663"/>
        <v>0</v>
      </c>
      <c r="CW1443" s="11">
        <f t="shared" si="6663"/>
        <v>0</v>
      </c>
      <c r="CX1443" s="25">
        <f>SUM(CX1439:CX1442)</f>
        <v>0</v>
      </c>
      <c r="CZ1443" s="10">
        <f>SUM(CZ1439:CZ1442)</f>
        <v>0</v>
      </c>
      <c r="DA1443" s="11">
        <f t="shared" ref="DA1443:DD1443" si="6664">SUM(DA1439:DA1442)</f>
        <v>0</v>
      </c>
      <c r="DB1443" s="11">
        <f t="shared" si="6664"/>
        <v>0</v>
      </c>
      <c r="DC1443" s="11">
        <f t="shared" si="6664"/>
        <v>0</v>
      </c>
      <c r="DD1443" s="11">
        <f t="shared" si="6664"/>
        <v>0</v>
      </c>
      <c r="DE1443" s="25">
        <f>SUM(DE1439:DE1442)</f>
        <v>0</v>
      </c>
    </row>
    <row r="1445" spans="2:110">
      <c r="B1445" s="123"/>
      <c r="C1445" s="20"/>
      <c r="D1445" s="20"/>
      <c r="E1445" s="20"/>
      <c r="F1445" s="20"/>
      <c r="G1445" s="20"/>
      <c r="H1445" s="20"/>
      <c r="I1445" s="20"/>
      <c r="J1445" s="20"/>
      <c r="K1445" s="20"/>
      <c r="L1445" s="20"/>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Q1445" s="20"/>
      <c r="BR1445" s="20"/>
      <c r="BS1445" s="20"/>
      <c r="BT1445" s="20"/>
      <c r="BU1445" s="20"/>
      <c r="BV1445" s="20"/>
      <c r="BW1445" s="20"/>
      <c r="BX1445" s="20"/>
      <c r="BY1445" s="20"/>
      <c r="BZ1445" s="20"/>
      <c r="CA1445" s="20"/>
      <c r="CB1445" s="20"/>
      <c r="CC1445" s="20"/>
      <c r="CD1445" s="20"/>
      <c r="CE1445" s="20"/>
      <c r="CF1445" s="20"/>
      <c r="CG1445" s="20"/>
      <c r="CH1445" s="20"/>
      <c r="CI1445" s="20"/>
      <c r="CJ1445" s="20"/>
      <c r="CK1445" s="20"/>
      <c r="CL1445" s="20"/>
      <c r="CM1445" s="20"/>
      <c r="CN1445" s="20"/>
      <c r="CO1445" s="20"/>
      <c r="CP1445" s="20"/>
      <c r="CQ1445" s="20"/>
      <c r="CR1445" s="20"/>
      <c r="CS1445" s="20"/>
      <c r="CT1445" s="20"/>
      <c r="CU1445" s="20"/>
      <c r="CV1445" s="20"/>
      <c r="CW1445" s="20"/>
      <c r="CX1445" s="20"/>
      <c r="CY1445" s="20"/>
      <c r="CZ1445" s="20"/>
      <c r="DA1445" s="20"/>
      <c r="DB1445" s="20"/>
      <c r="DC1445" s="20"/>
      <c r="DD1445" s="20"/>
      <c r="DE1445" s="20"/>
      <c r="DF1445" s="20"/>
    </row>
    <row r="1446" spans="2:110" ht="14" thickBot="1">
      <c r="B1446" s="94">
        <v>46</v>
      </c>
      <c r="C1446" s="12" t="s">
        <v>107</v>
      </c>
    </row>
    <row r="1447" spans="2:110">
      <c r="C1447" s="553">
        <v>2024</v>
      </c>
      <c r="E1447" s="1" t="s">
        <v>59</v>
      </c>
      <c r="F1447" s="2"/>
      <c r="G1447" s="3"/>
      <c r="H1447" s="3"/>
      <c r="I1447" s="3"/>
      <c r="J1447" s="3"/>
      <c r="K1447" s="4">
        <f>SUM(F1447:J1447)</f>
        <v>0</v>
      </c>
      <c r="M1447" s="2"/>
      <c r="N1447" s="3"/>
      <c r="O1447" s="3"/>
      <c r="P1447" s="3"/>
      <c r="Q1447" s="3"/>
      <c r="R1447" s="4">
        <f>SUM(M1447:Q1447)</f>
        <v>0</v>
      </c>
      <c r="T1447" s="2"/>
      <c r="U1447" s="3"/>
      <c r="V1447" s="3"/>
      <c r="W1447" s="3"/>
      <c r="X1447" s="3"/>
      <c r="Y1447" s="4">
        <f>SUM(T1447:X1447)</f>
        <v>0</v>
      </c>
      <c r="AA1447" s="2"/>
      <c r="AB1447" s="3"/>
      <c r="AC1447" s="3"/>
      <c r="AD1447" s="3"/>
      <c r="AE1447" s="3"/>
      <c r="AF1447" s="4">
        <f>SUM(AA1447:AE1447)</f>
        <v>0</v>
      </c>
      <c r="AH1447" s="2"/>
      <c r="AI1447" s="3"/>
      <c r="AJ1447" s="3"/>
      <c r="AK1447" s="3"/>
      <c r="AL1447" s="3"/>
      <c r="AM1447" s="4">
        <f>SUM(AH1447:AL1447)</f>
        <v>0</v>
      </c>
      <c r="AO1447" s="2"/>
      <c r="AP1447" s="3"/>
      <c r="AQ1447" s="3"/>
      <c r="AR1447" s="3"/>
      <c r="AS1447" s="3"/>
      <c r="AT1447" s="4">
        <f>SUM(AO1447:AS1447)</f>
        <v>0</v>
      </c>
      <c r="AV1447" s="2"/>
      <c r="AW1447" s="3"/>
      <c r="AX1447" s="3"/>
      <c r="AY1447" s="3"/>
      <c r="AZ1447" s="3"/>
      <c r="BA1447" s="4">
        <f>SUM(AV1447:AZ1447)</f>
        <v>0</v>
      </c>
      <c r="BC1447" s="2"/>
      <c r="BD1447" s="3"/>
      <c r="BE1447" s="3"/>
      <c r="BF1447" s="3"/>
      <c r="BG1447" s="3"/>
      <c r="BH1447" s="4">
        <f>SUM(BC1447:BG1447)</f>
        <v>0</v>
      </c>
      <c r="BJ1447" s="2"/>
      <c r="BK1447" s="3"/>
      <c r="BL1447" s="3"/>
      <c r="BM1447" s="3"/>
      <c r="BN1447" s="3"/>
      <c r="BO1447" s="4">
        <f>SUM(BJ1447:BN1447)</f>
        <v>0</v>
      </c>
      <c r="BQ1447" s="2"/>
      <c r="BR1447" s="3"/>
      <c r="BS1447" s="3"/>
      <c r="BT1447" s="3"/>
      <c r="BU1447" s="3"/>
      <c r="BV1447" s="4">
        <f>SUM(BQ1447:BU1447)</f>
        <v>0</v>
      </c>
      <c r="BX1447" s="2"/>
      <c r="BY1447" s="3"/>
      <c r="BZ1447" s="3"/>
      <c r="CA1447" s="3"/>
      <c r="CB1447" s="3"/>
      <c r="CC1447" s="4">
        <f>SUM(BX1447:CB1447)</f>
        <v>0</v>
      </c>
      <c r="CE1447" s="26">
        <f t="shared" ref="CE1447:CE1450" si="6665">F1447+M1447+T1447+AA1447+AH1447+AO1447+AV1447+BC1447+BJ1447+BQ1447+BX1447</f>
        <v>0</v>
      </c>
      <c r="CF1447" s="27">
        <f t="shared" ref="CF1447:CF1450" si="6666">G1447+N1447+U1447+AB1447+AI1447+AP1447+AW1447+BD1447+BK1447+BR1447+BY1447</f>
        <v>0</v>
      </c>
      <c r="CG1447" s="27">
        <f t="shared" ref="CG1447:CG1450" si="6667">H1447+O1447+V1447+AC1447+AJ1447+AQ1447+AX1447+BE1447+BL1447+BS1447+BZ1447</f>
        <v>0</v>
      </c>
      <c r="CH1447" s="27">
        <f t="shared" ref="CH1447:CH1450" si="6668">I1447+P1447+W1447+AD1447+AK1447+AR1447+AY1447+BF1447+BM1447+BT1447+CA1447</f>
        <v>0</v>
      </c>
      <c r="CI1447" s="27">
        <f t="shared" ref="CI1447:CI1450" si="6669">J1447+Q1447+X1447+AE1447+AL1447+AS1447+AZ1447+BG1447+BN1447+BU1447+CB1447</f>
        <v>0</v>
      </c>
      <c r="CJ1447" s="4">
        <f>SUM(CE1447:CI1447)</f>
        <v>0</v>
      </c>
      <c r="CL1447" s="2"/>
      <c r="CM1447" s="3"/>
      <c r="CN1447" s="3"/>
      <c r="CO1447" s="3"/>
      <c r="CP1447" s="3"/>
      <c r="CQ1447" s="4">
        <f>SUM(CL1447:CP1447)</f>
        <v>0</v>
      </c>
      <c r="CS1447" s="2"/>
      <c r="CT1447" s="3"/>
      <c r="CU1447" s="3"/>
      <c r="CV1447" s="3"/>
      <c r="CW1447" s="3"/>
      <c r="CX1447" s="4">
        <f>SUM(CS1447:CW1447)</f>
        <v>0</v>
      </c>
      <c r="CZ1447" s="2"/>
      <c r="DA1447" s="3"/>
      <c r="DB1447" s="3"/>
      <c r="DC1447" s="3"/>
      <c r="DD1447" s="3"/>
      <c r="DE1447" s="4">
        <f>SUM(CZ1447:DD1447)</f>
        <v>0</v>
      </c>
    </row>
    <row r="1448" spans="2:110">
      <c r="C1448" s="567"/>
      <c r="E1448" s="5" t="s">
        <v>60</v>
      </c>
      <c r="F1448" s="6"/>
      <c r="G1448" s="7"/>
      <c r="H1448" s="7"/>
      <c r="I1448" s="7"/>
      <c r="J1448" s="7"/>
      <c r="K1448" s="8">
        <f t="shared" ref="K1448:K1450" si="6670">SUM(F1448:J1448)</f>
        <v>0</v>
      </c>
      <c r="M1448" s="6"/>
      <c r="N1448" s="7"/>
      <c r="O1448" s="7"/>
      <c r="P1448" s="7"/>
      <c r="Q1448" s="7"/>
      <c r="R1448" s="8">
        <f t="shared" ref="R1448:R1450" si="6671">SUM(M1448:Q1448)</f>
        <v>0</v>
      </c>
      <c r="T1448" s="6"/>
      <c r="U1448" s="7"/>
      <c r="V1448" s="7"/>
      <c r="W1448" s="7"/>
      <c r="X1448" s="7"/>
      <c r="Y1448" s="8">
        <f t="shared" ref="Y1448:Y1450" si="6672">SUM(T1448:X1448)</f>
        <v>0</v>
      </c>
      <c r="AA1448" s="6"/>
      <c r="AB1448" s="7"/>
      <c r="AC1448" s="7"/>
      <c r="AD1448" s="7"/>
      <c r="AE1448" s="7"/>
      <c r="AF1448" s="8">
        <f>SUM(AA1448:AE1448)</f>
        <v>0</v>
      </c>
      <c r="AH1448" s="6"/>
      <c r="AI1448" s="7"/>
      <c r="AJ1448" s="7"/>
      <c r="AK1448" s="7"/>
      <c r="AL1448" s="7"/>
      <c r="AM1448" s="8">
        <f>SUM(AH1448:AL1448)</f>
        <v>0</v>
      </c>
      <c r="AO1448" s="6"/>
      <c r="AP1448" s="7"/>
      <c r="AQ1448" s="7"/>
      <c r="AR1448" s="7"/>
      <c r="AS1448" s="7"/>
      <c r="AT1448" s="8">
        <f>SUM(AO1448:AS1448)</f>
        <v>0</v>
      </c>
      <c r="AV1448" s="6"/>
      <c r="AW1448" s="7"/>
      <c r="AX1448" s="7"/>
      <c r="AY1448" s="7"/>
      <c r="AZ1448" s="7"/>
      <c r="BA1448" s="8">
        <f>SUM(AV1448:AZ1448)</f>
        <v>0</v>
      </c>
      <c r="BC1448" s="6"/>
      <c r="BD1448" s="7"/>
      <c r="BE1448" s="7"/>
      <c r="BF1448" s="7"/>
      <c r="BG1448" s="7"/>
      <c r="BH1448" s="8">
        <f>SUM(BC1448:BG1448)</f>
        <v>0</v>
      </c>
      <c r="BJ1448" s="6"/>
      <c r="BK1448" s="7"/>
      <c r="BL1448" s="7"/>
      <c r="BM1448" s="7"/>
      <c r="BN1448" s="7"/>
      <c r="BO1448" s="8">
        <f>SUM(BJ1448:BN1448)</f>
        <v>0</v>
      </c>
      <c r="BQ1448" s="6"/>
      <c r="BR1448" s="7"/>
      <c r="BS1448" s="7"/>
      <c r="BT1448" s="7"/>
      <c r="BU1448" s="7"/>
      <c r="BV1448" s="8">
        <f>SUM(BQ1448:BU1448)</f>
        <v>0</v>
      </c>
      <c r="BX1448" s="6"/>
      <c r="BY1448" s="7"/>
      <c r="BZ1448" s="7"/>
      <c r="CA1448" s="7"/>
      <c r="CB1448" s="7"/>
      <c r="CC1448" s="8">
        <f>SUM(BX1448:CB1448)</f>
        <v>0</v>
      </c>
      <c r="CE1448" s="28">
        <f t="shared" si="6665"/>
        <v>0</v>
      </c>
      <c r="CF1448" s="29">
        <f t="shared" si="6666"/>
        <v>0</v>
      </c>
      <c r="CG1448" s="29">
        <f t="shared" si="6667"/>
        <v>0</v>
      </c>
      <c r="CH1448" s="29">
        <f t="shared" si="6668"/>
        <v>0</v>
      </c>
      <c r="CI1448" s="29">
        <f t="shared" si="6669"/>
        <v>0</v>
      </c>
      <c r="CJ1448" s="8">
        <f>SUM(CE1448:CI1448)</f>
        <v>0</v>
      </c>
      <c r="CL1448" s="6"/>
      <c r="CM1448" s="7"/>
      <c r="CN1448" s="7"/>
      <c r="CO1448" s="7"/>
      <c r="CP1448" s="7"/>
      <c r="CQ1448" s="8">
        <f>SUM(CL1448:CP1448)</f>
        <v>0</v>
      </c>
      <c r="CS1448" s="6"/>
      <c r="CT1448" s="7"/>
      <c r="CU1448" s="7"/>
      <c r="CV1448" s="7"/>
      <c r="CW1448" s="7"/>
      <c r="CX1448" s="8">
        <f t="shared" ref="CX1448:CX1450" si="6673">SUM(CS1448:CW1448)</f>
        <v>0</v>
      </c>
      <c r="CZ1448" s="6"/>
      <c r="DA1448" s="7"/>
      <c r="DB1448" s="7"/>
      <c r="DC1448" s="7"/>
      <c r="DD1448" s="7"/>
      <c r="DE1448" s="8">
        <f t="shared" ref="DE1448:DE1450" si="6674">SUM(CZ1448:DD1448)</f>
        <v>0</v>
      </c>
    </row>
    <row r="1449" spans="2:110">
      <c r="C1449" s="567"/>
      <c r="E1449" s="5" t="s">
        <v>61</v>
      </c>
      <c r="F1449" s="6"/>
      <c r="G1449" s="7"/>
      <c r="H1449" s="7"/>
      <c r="I1449" s="7"/>
      <c r="J1449" s="7"/>
      <c r="K1449" s="8">
        <f t="shared" si="6670"/>
        <v>0</v>
      </c>
      <c r="M1449" s="6"/>
      <c r="N1449" s="7"/>
      <c r="O1449" s="7"/>
      <c r="P1449" s="7"/>
      <c r="Q1449" s="7"/>
      <c r="R1449" s="8">
        <f t="shared" si="6671"/>
        <v>0</v>
      </c>
      <c r="T1449" s="6"/>
      <c r="U1449" s="7"/>
      <c r="V1449" s="7"/>
      <c r="W1449" s="7"/>
      <c r="X1449" s="7"/>
      <c r="Y1449" s="8">
        <f t="shared" si="6672"/>
        <v>0</v>
      </c>
      <c r="AA1449" s="6"/>
      <c r="AB1449" s="7"/>
      <c r="AC1449" s="7"/>
      <c r="AD1449" s="7"/>
      <c r="AE1449" s="7"/>
      <c r="AF1449" s="8">
        <f>SUM(AA1449:AE1449)</f>
        <v>0</v>
      </c>
      <c r="AH1449" s="6"/>
      <c r="AI1449" s="7"/>
      <c r="AJ1449" s="7"/>
      <c r="AK1449" s="7"/>
      <c r="AL1449" s="7"/>
      <c r="AM1449" s="8">
        <f>SUM(AH1449:AL1449)</f>
        <v>0</v>
      </c>
      <c r="AO1449" s="6"/>
      <c r="AP1449" s="7"/>
      <c r="AQ1449" s="7"/>
      <c r="AR1449" s="7"/>
      <c r="AS1449" s="7"/>
      <c r="AT1449" s="8">
        <f>SUM(AO1449:AS1449)</f>
        <v>0</v>
      </c>
      <c r="AV1449" s="6"/>
      <c r="AW1449" s="7"/>
      <c r="AX1449" s="7"/>
      <c r="AY1449" s="7"/>
      <c r="AZ1449" s="7"/>
      <c r="BA1449" s="8">
        <f>SUM(AV1449:AZ1449)</f>
        <v>0</v>
      </c>
      <c r="BC1449" s="6"/>
      <c r="BD1449" s="7"/>
      <c r="BE1449" s="7"/>
      <c r="BF1449" s="7"/>
      <c r="BG1449" s="7"/>
      <c r="BH1449" s="8">
        <f>SUM(BC1449:BG1449)</f>
        <v>0</v>
      </c>
      <c r="BJ1449" s="6"/>
      <c r="BK1449" s="7"/>
      <c r="BL1449" s="7"/>
      <c r="BM1449" s="7"/>
      <c r="BN1449" s="7"/>
      <c r="BO1449" s="8">
        <f>SUM(BJ1449:BN1449)</f>
        <v>0</v>
      </c>
      <c r="BQ1449" s="6"/>
      <c r="BR1449" s="7"/>
      <c r="BS1449" s="7"/>
      <c r="BT1449" s="7"/>
      <c r="BU1449" s="7"/>
      <c r="BV1449" s="8">
        <f>SUM(BQ1449:BU1449)</f>
        <v>0</v>
      </c>
      <c r="BX1449" s="6"/>
      <c r="BY1449" s="7"/>
      <c r="BZ1449" s="7"/>
      <c r="CA1449" s="7"/>
      <c r="CB1449" s="7"/>
      <c r="CC1449" s="8">
        <f>SUM(BX1449:CB1449)</f>
        <v>0</v>
      </c>
      <c r="CE1449" s="28">
        <f t="shared" si="6665"/>
        <v>0</v>
      </c>
      <c r="CF1449" s="29">
        <f t="shared" si="6666"/>
        <v>0</v>
      </c>
      <c r="CG1449" s="29">
        <f t="shared" si="6667"/>
        <v>0</v>
      </c>
      <c r="CH1449" s="29">
        <f t="shared" si="6668"/>
        <v>0</v>
      </c>
      <c r="CI1449" s="29">
        <f t="shared" si="6669"/>
        <v>0</v>
      </c>
      <c r="CJ1449" s="8">
        <f>SUM(CE1449:CI1449)</f>
        <v>0</v>
      </c>
      <c r="CL1449" s="6"/>
      <c r="CM1449" s="7"/>
      <c r="CN1449" s="7"/>
      <c r="CO1449" s="7"/>
      <c r="CP1449" s="7"/>
      <c r="CQ1449" s="8">
        <f>SUM(CL1449:CP1449)</f>
        <v>0</v>
      </c>
      <c r="CS1449" s="6"/>
      <c r="CT1449" s="7"/>
      <c r="CU1449" s="7"/>
      <c r="CV1449" s="7"/>
      <c r="CW1449" s="7"/>
      <c r="CX1449" s="8">
        <f t="shared" si="6673"/>
        <v>0</v>
      </c>
      <c r="CZ1449" s="6"/>
      <c r="DA1449" s="7"/>
      <c r="DB1449" s="7"/>
      <c r="DC1449" s="7"/>
      <c r="DD1449" s="7"/>
      <c r="DE1449" s="8">
        <f t="shared" si="6674"/>
        <v>0</v>
      </c>
    </row>
    <row r="1450" spans="2:110" ht="14" thickBot="1">
      <c r="C1450" s="567"/>
      <c r="E1450" s="5" t="s">
        <v>62</v>
      </c>
      <c r="F1450" s="6"/>
      <c r="G1450" s="7"/>
      <c r="H1450" s="7"/>
      <c r="I1450" s="7"/>
      <c r="J1450" s="7"/>
      <c r="K1450" s="8">
        <f t="shared" si="6670"/>
        <v>0</v>
      </c>
      <c r="M1450" s="6"/>
      <c r="N1450" s="7"/>
      <c r="O1450" s="7"/>
      <c r="P1450" s="7"/>
      <c r="Q1450" s="7"/>
      <c r="R1450" s="8">
        <f t="shared" si="6671"/>
        <v>0</v>
      </c>
      <c r="T1450" s="6"/>
      <c r="U1450" s="7"/>
      <c r="V1450" s="7"/>
      <c r="W1450" s="7"/>
      <c r="X1450" s="7"/>
      <c r="Y1450" s="8">
        <f t="shared" si="6672"/>
        <v>0</v>
      </c>
      <c r="AA1450" s="6"/>
      <c r="AB1450" s="7"/>
      <c r="AC1450" s="7"/>
      <c r="AD1450" s="7"/>
      <c r="AE1450" s="7"/>
      <c r="AF1450" s="8">
        <f>SUM(AA1450:AE1450)</f>
        <v>0</v>
      </c>
      <c r="AH1450" s="6"/>
      <c r="AI1450" s="7"/>
      <c r="AJ1450" s="7"/>
      <c r="AK1450" s="7"/>
      <c r="AL1450" s="7"/>
      <c r="AM1450" s="8">
        <f>SUM(AH1450:AL1450)</f>
        <v>0</v>
      </c>
      <c r="AO1450" s="6"/>
      <c r="AP1450" s="7"/>
      <c r="AQ1450" s="7"/>
      <c r="AR1450" s="7"/>
      <c r="AS1450" s="7"/>
      <c r="AT1450" s="8">
        <f>SUM(AO1450:AS1450)</f>
        <v>0</v>
      </c>
      <c r="AV1450" s="6"/>
      <c r="AW1450" s="7"/>
      <c r="AX1450" s="7"/>
      <c r="AY1450" s="7"/>
      <c r="AZ1450" s="7"/>
      <c r="BA1450" s="8">
        <f>SUM(AV1450:AZ1450)</f>
        <v>0</v>
      </c>
      <c r="BC1450" s="6"/>
      <c r="BD1450" s="7"/>
      <c r="BE1450" s="7"/>
      <c r="BF1450" s="7"/>
      <c r="BG1450" s="7"/>
      <c r="BH1450" s="8">
        <f>SUM(BC1450:BG1450)</f>
        <v>0</v>
      </c>
      <c r="BJ1450" s="6"/>
      <c r="BK1450" s="7"/>
      <c r="BL1450" s="7"/>
      <c r="BM1450" s="7"/>
      <c r="BN1450" s="7"/>
      <c r="BO1450" s="8">
        <f>SUM(BJ1450:BN1450)</f>
        <v>0</v>
      </c>
      <c r="BQ1450" s="6"/>
      <c r="BR1450" s="7"/>
      <c r="BS1450" s="7"/>
      <c r="BT1450" s="7"/>
      <c r="BU1450" s="7"/>
      <c r="BV1450" s="8">
        <f>SUM(BQ1450:BU1450)</f>
        <v>0</v>
      </c>
      <c r="BX1450" s="6"/>
      <c r="BY1450" s="7"/>
      <c r="BZ1450" s="7"/>
      <c r="CA1450" s="7"/>
      <c r="CB1450" s="7"/>
      <c r="CC1450" s="8">
        <f>SUM(BX1450:CB1450)</f>
        <v>0</v>
      </c>
      <c r="CE1450" s="493">
        <f t="shared" si="6665"/>
        <v>0</v>
      </c>
      <c r="CF1450" s="494">
        <f t="shared" si="6666"/>
        <v>0</v>
      </c>
      <c r="CG1450" s="494">
        <f t="shared" si="6667"/>
        <v>0</v>
      </c>
      <c r="CH1450" s="494">
        <f t="shared" si="6668"/>
        <v>0</v>
      </c>
      <c r="CI1450" s="494">
        <f t="shared" si="6669"/>
        <v>0</v>
      </c>
      <c r="CJ1450" s="495">
        <f>SUM(CE1450:CI1450)</f>
        <v>0</v>
      </c>
      <c r="CL1450" s="6"/>
      <c r="CM1450" s="7"/>
      <c r="CN1450" s="7"/>
      <c r="CO1450" s="7"/>
      <c r="CP1450" s="7"/>
      <c r="CQ1450" s="8">
        <f>SUM(CL1450:CP1450)</f>
        <v>0</v>
      </c>
      <c r="CS1450" s="6"/>
      <c r="CT1450" s="7"/>
      <c r="CU1450" s="7"/>
      <c r="CV1450" s="7"/>
      <c r="CW1450" s="7"/>
      <c r="CX1450" s="8">
        <f t="shared" si="6673"/>
        <v>0</v>
      </c>
      <c r="CZ1450" s="6"/>
      <c r="DA1450" s="7"/>
      <c r="DB1450" s="7"/>
      <c r="DC1450" s="7"/>
      <c r="DD1450" s="7"/>
      <c r="DE1450" s="8">
        <f t="shared" si="6674"/>
        <v>0</v>
      </c>
    </row>
    <row r="1451" spans="2:110" ht="14" thickBot="1">
      <c r="C1451" s="554"/>
      <c r="E1451" s="9"/>
      <c r="F1451" s="10">
        <f>SUM(F1447:F1450)</f>
        <v>0</v>
      </c>
      <c r="G1451" s="11">
        <f t="shared" ref="G1451:J1451" si="6675">SUM(G1447:G1450)</f>
        <v>0</v>
      </c>
      <c r="H1451" s="11">
        <f t="shared" si="6675"/>
        <v>0</v>
      </c>
      <c r="I1451" s="11">
        <f t="shared" si="6675"/>
        <v>0</v>
      </c>
      <c r="J1451" s="61">
        <f t="shared" si="6675"/>
        <v>0</v>
      </c>
      <c r="K1451" s="25">
        <f>SUM(K1447:K1450)</f>
        <v>0</v>
      </c>
      <c r="M1451" s="10">
        <f>SUM(M1447:M1450)</f>
        <v>0</v>
      </c>
      <c r="N1451" s="11">
        <f t="shared" ref="N1451:Q1451" si="6676">SUM(N1447:N1450)</f>
        <v>0</v>
      </c>
      <c r="O1451" s="11">
        <f t="shared" si="6676"/>
        <v>0</v>
      </c>
      <c r="P1451" s="11">
        <f t="shared" si="6676"/>
        <v>0</v>
      </c>
      <c r="Q1451" s="11">
        <f t="shared" si="6676"/>
        <v>0</v>
      </c>
      <c r="R1451" s="25">
        <f>SUM(R1447:R1450)</f>
        <v>0</v>
      </c>
      <c r="T1451" s="10">
        <f>SUM(T1447:T1450)</f>
        <v>0</v>
      </c>
      <c r="U1451" s="11">
        <f t="shared" ref="U1451:X1451" si="6677">SUM(U1447:U1450)</f>
        <v>0</v>
      </c>
      <c r="V1451" s="11">
        <f t="shared" si="6677"/>
        <v>0</v>
      </c>
      <c r="W1451" s="11">
        <f t="shared" si="6677"/>
        <v>0</v>
      </c>
      <c r="X1451" s="11">
        <f t="shared" si="6677"/>
        <v>0</v>
      </c>
      <c r="Y1451" s="25">
        <f>SUM(Y1447:Y1450)</f>
        <v>0</v>
      </c>
      <c r="AA1451" s="10">
        <f>SUM(AA1447:AA1450)</f>
        <v>0</v>
      </c>
      <c r="AB1451" s="11">
        <f t="shared" ref="AB1451:AE1451" si="6678">SUM(AB1447:AB1450)</f>
        <v>0</v>
      </c>
      <c r="AC1451" s="11">
        <f t="shared" si="6678"/>
        <v>0</v>
      </c>
      <c r="AD1451" s="11">
        <f t="shared" si="6678"/>
        <v>0</v>
      </c>
      <c r="AE1451" s="11">
        <f t="shared" si="6678"/>
        <v>0</v>
      </c>
      <c r="AF1451" s="25">
        <f>SUM(AF1447:AF1450)</f>
        <v>0</v>
      </c>
      <c r="AH1451" s="10">
        <f>SUM(AH1447:AH1450)</f>
        <v>0</v>
      </c>
      <c r="AI1451" s="11">
        <f t="shared" ref="AI1451:AL1451" si="6679">SUM(AI1447:AI1450)</f>
        <v>0</v>
      </c>
      <c r="AJ1451" s="11">
        <f t="shared" si="6679"/>
        <v>0</v>
      </c>
      <c r="AK1451" s="11">
        <f t="shared" si="6679"/>
        <v>0</v>
      </c>
      <c r="AL1451" s="11">
        <f t="shared" si="6679"/>
        <v>0</v>
      </c>
      <c r="AM1451" s="25">
        <f>SUM(AM1447:AM1450)</f>
        <v>0</v>
      </c>
      <c r="AO1451" s="10">
        <f>SUM(AO1447:AO1450)</f>
        <v>0</v>
      </c>
      <c r="AP1451" s="11">
        <f t="shared" ref="AP1451:AS1451" si="6680">SUM(AP1447:AP1450)</f>
        <v>0</v>
      </c>
      <c r="AQ1451" s="11">
        <f t="shared" si="6680"/>
        <v>0</v>
      </c>
      <c r="AR1451" s="11">
        <f t="shared" si="6680"/>
        <v>0</v>
      </c>
      <c r="AS1451" s="11">
        <f t="shared" si="6680"/>
        <v>0</v>
      </c>
      <c r="AT1451" s="25">
        <f>SUM(AT1447:AT1450)</f>
        <v>0</v>
      </c>
      <c r="AV1451" s="10">
        <f>SUM(AV1447:AV1450)</f>
        <v>0</v>
      </c>
      <c r="AW1451" s="11">
        <f t="shared" ref="AW1451:AZ1451" si="6681">SUM(AW1447:AW1450)</f>
        <v>0</v>
      </c>
      <c r="AX1451" s="11">
        <f t="shared" si="6681"/>
        <v>0</v>
      </c>
      <c r="AY1451" s="11">
        <f t="shared" si="6681"/>
        <v>0</v>
      </c>
      <c r="AZ1451" s="11">
        <f t="shared" si="6681"/>
        <v>0</v>
      </c>
      <c r="BA1451" s="25">
        <f>SUM(BA1447:BA1450)</f>
        <v>0</v>
      </c>
      <c r="BC1451" s="10">
        <f>SUM(BC1447:BC1450)</f>
        <v>0</v>
      </c>
      <c r="BD1451" s="11">
        <f t="shared" ref="BD1451:BG1451" si="6682">SUM(BD1447:BD1450)</f>
        <v>0</v>
      </c>
      <c r="BE1451" s="11">
        <f t="shared" si="6682"/>
        <v>0</v>
      </c>
      <c r="BF1451" s="11">
        <f t="shared" si="6682"/>
        <v>0</v>
      </c>
      <c r="BG1451" s="11">
        <f t="shared" si="6682"/>
        <v>0</v>
      </c>
      <c r="BH1451" s="25">
        <f>SUM(BH1447:BH1450)</f>
        <v>0</v>
      </c>
      <c r="BJ1451" s="10">
        <f>SUM(BJ1447:BJ1450)</f>
        <v>0</v>
      </c>
      <c r="BK1451" s="11">
        <f t="shared" ref="BK1451:BN1451" si="6683">SUM(BK1447:BK1450)</f>
        <v>0</v>
      </c>
      <c r="BL1451" s="11">
        <f t="shared" si="6683"/>
        <v>0</v>
      </c>
      <c r="BM1451" s="11">
        <f t="shared" si="6683"/>
        <v>0</v>
      </c>
      <c r="BN1451" s="11">
        <f t="shared" si="6683"/>
        <v>0</v>
      </c>
      <c r="BO1451" s="25">
        <f>SUM(BO1447:BO1450)</f>
        <v>0</v>
      </c>
      <c r="BQ1451" s="10">
        <f>SUM(BQ1447:BQ1450)</f>
        <v>0</v>
      </c>
      <c r="BR1451" s="11">
        <f t="shared" ref="BR1451:BU1451" si="6684">SUM(BR1447:BR1450)</f>
        <v>0</v>
      </c>
      <c r="BS1451" s="11">
        <f t="shared" si="6684"/>
        <v>0</v>
      </c>
      <c r="BT1451" s="11">
        <f t="shared" si="6684"/>
        <v>0</v>
      </c>
      <c r="BU1451" s="11">
        <f t="shared" si="6684"/>
        <v>0</v>
      </c>
      <c r="BV1451" s="25">
        <f>SUM(BV1447:BV1450)</f>
        <v>0</v>
      </c>
      <c r="BX1451" s="10">
        <f>SUM(BX1447:BX1450)</f>
        <v>0</v>
      </c>
      <c r="BY1451" s="11">
        <f t="shared" ref="BY1451:CB1451" si="6685">SUM(BY1447:BY1450)</f>
        <v>0</v>
      </c>
      <c r="BZ1451" s="11">
        <f t="shared" si="6685"/>
        <v>0</v>
      </c>
      <c r="CA1451" s="11">
        <f t="shared" si="6685"/>
        <v>0</v>
      </c>
      <c r="CB1451" s="11">
        <f t="shared" si="6685"/>
        <v>0</v>
      </c>
      <c r="CC1451" s="25">
        <f>SUM(CC1447:CC1450)</f>
        <v>0</v>
      </c>
      <c r="CE1451" s="62">
        <f t="shared" ref="CE1451:CJ1451" si="6686">SUM(CE1447:CE1450)</f>
        <v>0</v>
      </c>
      <c r="CF1451" s="63">
        <f t="shared" si="6686"/>
        <v>0</v>
      </c>
      <c r="CG1451" s="63">
        <f t="shared" si="6686"/>
        <v>0</v>
      </c>
      <c r="CH1451" s="63">
        <f t="shared" si="6686"/>
        <v>0</v>
      </c>
      <c r="CI1451" s="63">
        <f t="shared" si="6686"/>
        <v>0</v>
      </c>
      <c r="CJ1451" s="25">
        <f t="shared" si="6686"/>
        <v>0</v>
      </c>
      <c r="CL1451" s="10">
        <f>SUM(CL1447:CL1450)</f>
        <v>0</v>
      </c>
      <c r="CM1451" s="11">
        <f t="shared" ref="CM1451:CP1451" si="6687">SUM(CM1447:CM1450)</f>
        <v>0</v>
      </c>
      <c r="CN1451" s="11">
        <f t="shared" si="6687"/>
        <v>0</v>
      </c>
      <c r="CO1451" s="11">
        <f t="shared" si="6687"/>
        <v>0</v>
      </c>
      <c r="CP1451" s="11">
        <f t="shared" si="6687"/>
        <v>0</v>
      </c>
      <c r="CQ1451" s="25">
        <f>SUM(CQ1447:CQ1450)</f>
        <v>0</v>
      </c>
      <c r="CS1451" s="10">
        <f>SUM(CS1447:CS1450)</f>
        <v>0</v>
      </c>
      <c r="CT1451" s="11">
        <f t="shared" ref="CT1451:CW1451" si="6688">SUM(CT1447:CT1450)</f>
        <v>0</v>
      </c>
      <c r="CU1451" s="11">
        <f t="shared" si="6688"/>
        <v>0</v>
      </c>
      <c r="CV1451" s="11">
        <f t="shared" si="6688"/>
        <v>0</v>
      </c>
      <c r="CW1451" s="11">
        <f t="shared" si="6688"/>
        <v>0</v>
      </c>
      <c r="CX1451" s="25">
        <f>SUM(CX1447:CX1450)</f>
        <v>0</v>
      </c>
      <c r="CZ1451" s="10">
        <f>SUM(CZ1447:CZ1450)</f>
        <v>0</v>
      </c>
      <c r="DA1451" s="11">
        <f t="shared" ref="DA1451:DD1451" si="6689">SUM(DA1447:DA1450)</f>
        <v>0</v>
      </c>
      <c r="DB1451" s="11">
        <f t="shared" si="6689"/>
        <v>0</v>
      </c>
      <c r="DC1451" s="11">
        <f t="shared" si="6689"/>
        <v>0</v>
      </c>
      <c r="DD1451" s="11">
        <f t="shared" si="6689"/>
        <v>0</v>
      </c>
      <c r="DE1451" s="25">
        <f>SUM(DE1447:DE1450)</f>
        <v>0</v>
      </c>
    </row>
    <row r="1452" spans="2:110" ht="10.4" customHeight="1" thickBot="1"/>
    <row r="1453" spans="2:110">
      <c r="C1453" s="553">
        <v>2025</v>
      </c>
      <c r="E1453" s="13" t="s">
        <v>59</v>
      </c>
      <c r="F1453" s="21">
        <f>CE1447</f>
        <v>0</v>
      </c>
      <c r="G1453" s="22">
        <f t="shared" ref="G1453:G1456" si="6690">CF1447</f>
        <v>0</v>
      </c>
      <c r="H1453" s="22">
        <f t="shared" ref="H1453:H1456" si="6691">CG1447</f>
        <v>0</v>
      </c>
      <c r="I1453" s="22">
        <f t="shared" ref="I1453:I1456" si="6692">CH1447</f>
        <v>0</v>
      </c>
      <c r="J1453" s="22">
        <f t="shared" ref="J1453:J1456" si="6693">CI1447</f>
        <v>0</v>
      </c>
      <c r="K1453" s="15">
        <f>SUM(F1453:J1453)</f>
        <v>0</v>
      </c>
      <c r="M1453" s="2"/>
      <c r="N1453" s="3"/>
      <c r="O1453" s="3"/>
      <c r="P1453" s="3"/>
      <c r="Q1453" s="3"/>
      <c r="R1453" s="15">
        <f>SUM(M1453:Q1453)</f>
        <v>0</v>
      </c>
      <c r="T1453" s="2"/>
      <c r="U1453" s="3"/>
      <c r="V1453" s="3"/>
      <c r="W1453" s="3"/>
      <c r="X1453" s="3"/>
      <c r="Y1453" s="15">
        <f>SUM(T1453:X1453)</f>
        <v>0</v>
      </c>
      <c r="AA1453" s="2"/>
      <c r="AB1453" s="3"/>
      <c r="AC1453" s="3"/>
      <c r="AD1453" s="3"/>
      <c r="AE1453" s="3"/>
      <c r="AF1453" s="15">
        <f>SUM(AA1453:AE1453)</f>
        <v>0</v>
      </c>
      <c r="AH1453" s="2"/>
      <c r="AI1453" s="3"/>
      <c r="AJ1453" s="3"/>
      <c r="AK1453" s="3"/>
      <c r="AL1453" s="3"/>
      <c r="AM1453" s="15">
        <f>SUM(AH1453:AL1453)</f>
        <v>0</v>
      </c>
      <c r="AO1453" s="2"/>
      <c r="AP1453" s="3"/>
      <c r="AQ1453" s="3"/>
      <c r="AR1453" s="3"/>
      <c r="AS1453" s="3"/>
      <c r="AT1453" s="15">
        <f>SUM(AO1453:AS1453)</f>
        <v>0</v>
      </c>
      <c r="AV1453" s="2"/>
      <c r="AW1453" s="3"/>
      <c r="AX1453" s="3"/>
      <c r="AY1453" s="3"/>
      <c r="AZ1453" s="3"/>
      <c r="BA1453" s="15">
        <f>SUM(AV1453:AZ1453)</f>
        <v>0</v>
      </c>
      <c r="BC1453" s="2"/>
      <c r="BD1453" s="3"/>
      <c r="BE1453" s="3"/>
      <c r="BF1453" s="3"/>
      <c r="BG1453" s="3"/>
      <c r="BH1453" s="15">
        <f>SUM(BC1453:BG1453)</f>
        <v>0</v>
      </c>
      <c r="BJ1453" s="2"/>
      <c r="BK1453" s="3"/>
      <c r="BL1453" s="3"/>
      <c r="BM1453" s="3"/>
      <c r="BN1453" s="3"/>
      <c r="BO1453" s="15">
        <f>SUM(BJ1453:BN1453)</f>
        <v>0</v>
      </c>
      <c r="BQ1453" s="2"/>
      <c r="BR1453" s="3"/>
      <c r="BS1453" s="3"/>
      <c r="BT1453" s="3"/>
      <c r="BU1453" s="3"/>
      <c r="BV1453" s="15">
        <f>SUM(BQ1453:BU1453)</f>
        <v>0</v>
      </c>
      <c r="BX1453" s="2"/>
      <c r="BY1453" s="3"/>
      <c r="BZ1453" s="3"/>
      <c r="CA1453" s="3"/>
      <c r="CB1453" s="3"/>
      <c r="CC1453" s="15">
        <f>SUM(BX1453:CB1453)</f>
        <v>0</v>
      </c>
      <c r="CE1453" s="26">
        <f t="shared" ref="CE1453:CE1456" si="6694">F1453+M1453+T1453+AA1453+AH1453+AO1453+AV1453+BC1453+BJ1453+BQ1453+BX1453</f>
        <v>0</v>
      </c>
      <c r="CF1453" s="27">
        <f t="shared" ref="CF1453:CF1456" si="6695">G1453+N1453+U1453+AB1453+AI1453+AP1453+AW1453+BD1453+BK1453+BR1453+BY1453</f>
        <v>0</v>
      </c>
      <c r="CG1453" s="27">
        <f t="shared" ref="CG1453:CG1456" si="6696">H1453+O1453+V1453+AC1453+AJ1453+AQ1453+AX1453+BE1453+BL1453+BS1453+BZ1453</f>
        <v>0</v>
      </c>
      <c r="CH1453" s="27">
        <f t="shared" ref="CH1453:CH1456" si="6697">I1453+P1453+W1453+AD1453+AK1453+AR1453+AY1453+BF1453+BM1453+BT1453+CA1453</f>
        <v>0</v>
      </c>
      <c r="CI1453" s="27">
        <f t="shared" ref="CI1453:CI1456" si="6698">J1453+Q1453+X1453+AE1453+AL1453+AS1453+AZ1453+BG1453+BN1453+BU1453+CB1453</f>
        <v>0</v>
      </c>
      <c r="CJ1453" s="4">
        <f>SUM(CE1453:CI1453)</f>
        <v>0</v>
      </c>
      <c r="CL1453" s="2"/>
      <c r="CM1453" s="3"/>
      <c r="CN1453" s="3"/>
      <c r="CO1453" s="3"/>
      <c r="CP1453" s="3"/>
      <c r="CQ1453" s="15">
        <f>SUM(CL1453:CP1453)</f>
        <v>0</v>
      </c>
      <c r="CS1453" s="2"/>
      <c r="CT1453" s="3"/>
      <c r="CU1453" s="3"/>
      <c r="CV1453" s="3"/>
      <c r="CW1453" s="3"/>
      <c r="CX1453" s="4">
        <f>SUM(CS1453:CW1453)</f>
        <v>0</v>
      </c>
      <c r="CZ1453" s="2"/>
      <c r="DA1453" s="3"/>
      <c r="DB1453" s="3"/>
      <c r="DC1453" s="3"/>
      <c r="DD1453" s="3"/>
      <c r="DE1453" s="15">
        <f>SUM(CZ1453:DD1453)</f>
        <v>0</v>
      </c>
    </row>
    <row r="1454" spans="2:110">
      <c r="C1454" s="567"/>
      <c r="E1454" s="14" t="s">
        <v>60</v>
      </c>
      <c r="F1454" s="23">
        <f t="shared" ref="F1454:F1456" si="6699">CE1448</f>
        <v>0</v>
      </c>
      <c r="G1454" s="24">
        <f t="shared" si="6690"/>
        <v>0</v>
      </c>
      <c r="H1454" s="24">
        <f t="shared" si="6691"/>
        <v>0</v>
      </c>
      <c r="I1454" s="24">
        <f t="shared" si="6692"/>
        <v>0</v>
      </c>
      <c r="J1454" s="24">
        <f t="shared" si="6693"/>
        <v>0</v>
      </c>
      <c r="K1454" s="16">
        <f t="shared" ref="K1454:K1456" si="6700">SUM(F1454:J1454)</f>
        <v>0</v>
      </c>
      <c r="M1454" s="6"/>
      <c r="N1454" s="7"/>
      <c r="O1454" s="7"/>
      <c r="P1454" s="7"/>
      <c r="Q1454" s="7"/>
      <c r="R1454" s="16">
        <f t="shared" ref="R1454:R1456" si="6701">SUM(M1454:Q1454)</f>
        <v>0</v>
      </c>
      <c r="T1454" s="6"/>
      <c r="U1454" s="7"/>
      <c r="V1454" s="7"/>
      <c r="W1454" s="7"/>
      <c r="X1454" s="7"/>
      <c r="Y1454" s="16">
        <f t="shared" ref="Y1454:Y1456" si="6702">SUM(T1454:X1454)</f>
        <v>0</v>
      </c>
      <c r="AA1454" s="6"/>
      <c r="AB1454" s="7"/>
      <c r="AC1454" s="7"/>
      <c r="AD1454" s="7"/>
      <c r="AE1454" s="7"/>
      <c r="AF1454" s="16">
        <f>SUM(AA1454:AE1454)</f>
        <v>0</v>
      </c>
      <c r="AH1454" s="6"/>
      <c r="AI1454" s="7"/>
      <c r="AJ1454" s="7"/>
      <c r="AK1454" s="7"/>
      <c r="AL1454" s="7"/>
      <c r="AM1454" s="16">
        <f>SUM(AH1454:AL1454)</f>
        <v>0</v>
      </c>
      <c r="AO1454" s="6"/>
      <c r="AP1454" s="7"/>
      <c r="AQ1454" s="7"/>
      <c r="AR1454" s="7"/>
      <c r="AS1454" s="7"/>
      <c r="AT1454" s="16">
        <f>SUM(AO1454:AS1454)</f>
        <v>0</v>
      </c>
      <c r="AV1454" s="6"/>
      <c r="AW1454" s="7"/>
      <c r="AX1454" s="7"/>
      <c r="AY1454" s="7"/>
      <c r="AZ1454" s="7"/>
      <c r="BA1454" s="16">
        <f>SUM(AV1454:AZ1454)</f>
        <v>0</v>
      </c>
      <c r="BC1454" s="6"/>
      <c r="BD1454" s="7"/>
      <c r="BE1454" s="7"/>
      <c r="BF1454" s="7"/>
      <c r="BG1454" s="7"/>
      <c r="BH1454" s="16">
        <f>SUM(BC1454:BG1454)</f>
        <v>0</v>
      </c>
      <c r="BJ1454" s="6"/>
      <c r="BK1454" s="7"/>
      <c r="BL1454" s="7"/>
      <c r="BM1454" s="7"/>
      <c r="BN1454" s="7"/>
      <c r="BO1454" s="16">
        <f>SUM(BJ1454:BN1454)</f>
        <v>0</v>
      </c>
      <c r="BQ1454" s="6"/>
      <c r="BR1454" s="7"/>
      <c r="BS1454" s="7"/>
      <c r="BT1454" s="7"/>
      <c r="BU1454" s="7"/>
      <c r="BV1454" s="16">
        <f>SUM(BQ1454:BU1454)</f>
        <v>0</v>
      </c>
      <c r="BX1454" s="6"/>
      <c r="BY1454" s="7"/>
      <c r="BZ1454" s="7"/>
      <c r="CA1454" s="7"/>
      <c r="CB1454" s="7"/>
      <c r="CC1454" s="16">
        <f>SUM(BX1454:CB1454)</f>
        <v>0</v>
      </c>
      <c r="CE1454" s="28">
        <f t="shared" si="6694"/>
        <v>0</v>
      </c>
      <c r="CF1454" s="29">
        <f t="shared" si="6695"/>
        <v>0</v>
      </c>
      <c r="CG1454" s="29">
        <f t="shared" si="6696"/>
        <v>0</v>
      </c>
      <c r="CH1454" s="29">
        <f t="shared" si="6697"/>
        <v>0</v>
      </c>
      <c r="CI1454" s="29">
        <f t="shared" si="6698"/>
        <v>0</v>
      </c>
      <c r="CJ1454" s="8">
        <f>SUM(CE1454:CI1454)</f>
        <v>0</v>
      </c>
      <c r="CL1454" s="6"/>
      <c r="CM1454" s="7"/>
      <c r="CN1454" s="7"/>
      <c r="CO1454" s="7"/>
      <c r="CP1454" s="7"/>
      <c r="CQ1454" s="16">
        <f>SUM(CL1454:CP1454)</f>
        <v>0</v>
      </c>
      <c r="CS1454" s="6"/>
      <c r="CT1454" s="7"/>
      <c r="CU1454" s="7"/>
      <c r="CV1454" s="7"/>
      <c r="CW1454" s="7"/>
      <c r="CX1454" s="8">
        <f t="shared" ref="CX1454:CX1456" si="6703">SUM(CS1454:CW1454)</f>
        <v>0</v>
      </c>
      <c r="CZ1454" s="6"/>
      <c r="DA1454" s="7"/>
      <c r="DB1454" s="7"/>
      <c r="DC1454" s="7"/>
      <c r="DD1454" s="7"/>
      <c r="DE1454" s="16">
        <f t="shared" ref="DE1454:DE1456" si="6704">SUM(CZ1454:DD1454)</f>
        <v>0</v>
      </c>
    </row>
    <row r="1455" spans="2:110">
      <c r="C1455" s="567"/>
      <c r="E1455" s="14" t="s">
        <v>61</v>
      </c>
      <c r="F1455" s="23">
        <f t="shared" si="6699"/>
        <v>0</v>
      </c>
      <c r="G1455" s="24">
        <f t="shared" si="6690"/>
        <v>0</v>
      </c>
      <c r="H1455" s="24">
        <f t="shared" si="6691"/>
        <v>0</v>
      </c>
      <c r="I1455" s="24">
        <f t="shared" si="6692"/>
        <v>0</v>
      </c>
      <c r="J1455" s="24">
        <f t="shared" si="6693"/>
        <v>0</v>
      </c>
      <c r="K1455" s="16">
        <f t="shared" si="6700"/>
        <v>0</v>
      </c>
      <c r="M1455" s="6"/>
      <c r="N1455" s="7"/>
      <c r="O1455" s="7"/>
      <c r="P1455" s="7"/>
      <c r="Q1455" s="7"/>
      <c r="R1455" s="16">
        <f t="shared" si="6701"/>
        <v>0</v>
      </c>
      <c r="T1455" s="6"/>
      <c r="U1455" s="7"/>
      <c r="V1455" s="7"/>
      <c r="W1455" s="7"/>
      <c r="X1455" s="7"/>
      <c r="Y1455" s="16">
        <f t="shared" si="6702"/>
        <v>0</v>
      </c>
      <c r="AA1455" s="6"/>
      <c r="AB1455" s="7"/>
      <c r="AC1455" s="7"/>
      <c r="AD1455" s="7"/>
      <c r="AE1455" s="7"/>
      <c r="AF1455" s="16">
        <f>SUM(AA1455:AE1455)</f>
        <v>0</v>
      </c>
      <c r="AH1455" s="6"/>
      <c r="AI1455" s="7"/>
      <c r="AJ1455" s="7"/>
      <c r="AK1455" s="7"/>
      <c r="AL1455" s="7"/>
      <c r="AM1455" s="16">
        <f>SUM(AH1455:AL1455)</f>
        <v>0</v>
      </c>
      <c r="AO1455" s="6"/>
      <c r="AP1455" s="7"/>
      <c r="AQ1455" s="7"/>
      <c r="AR1455" s="7"/>
      <c r="AS1455" s="7"/>
      <c r="AT1455" s="16">
        <f>SUM(AO1455:AS1455)</f>
        <v>0</v>
      </c>
      <c r="AV1455" s="6"/>
      <c r="AW1455" s="7"/>
      <c r="AX1455" s="7"/>
      <c r="AY1455" s="7"/>
      <c r="AZ1455" s="7"/>
      <c r="BA1455" s="16">
        <f>SUM(AV1455:AZ1455)</f>
        <v>0</v>
      </c>
      <c r="BC1455" s="6"/>
      <c r="BD1455" s="7"/>
      <c r="BE1455" s="7"/>
      <c r="BF1455" s="7"/>
      <c r="BG1455" s="7"/>
      <c r="BH1455" s="16">
        <f>SUM(BC1455:BG1455)</f>
        <v>0</v>
      </c>
      <c r="BJ1455" s="6"/>
      <c r="BK1455" s="7"/>
      <c r="BL1455" s="7"/>
      <c r="BM1455" s="7"/>
      <c r="BN1455" s="7"/>
      <c r="BO1455" s="16">
        <f>SUM(BJ1455:BN1455)</f>
        <v>0</v>
      </c>
      <c r="BQ1455" s="6"/>
      <c r="BR1455" s="7"/>
      <c r="BS1455" s="7"/>
      <c r="BT1455" s="7"/>
      <c r="BU1455" s="7"/>
      <c r="BV1455" s="16">
        <f>SUM(BQ1455:BU1455)</f>
        <v>0</v>
      </c>
      <c r="BX1455" s="6"/>
      <c r="BY1455" s="7"/>
      <c r="BZ1455" s="7"/>
      <c r="CA1455" s="7"/>
      <c r="CB1455" s="7"/>
      <c r="CC1455" s="16">
        <f>SUM(BX1455:CB1455)</f>
        <v>0</v>
      </c>
      <c r="CE1455" s="28">
        <f t="shared" si="6694"/>
        <v>0</v>
      </c>
      <c r="CF1455" s="29">
        <f t="shared" si="6695"/>
        <v>0</v>
      </c>
      <c r="CG1455" s="29">
        <f t="shared" si="6696"/>
        <v>0</v>
      </c>
      <c r="CH1455" s="29">
        <f t="shared" si="6697"/>
        <v>0</v>
      </c>
      <c r="CI1455" s="29">
        <f t="shared" si="6698"/>
        <v>0</v>
      </c>
      <c r="CJ1455" s="8">
        <f>SUM(CE1455:CI1455)</f>
        <v>0</v>
      </c>
      <c r="CL1455" s="6"/>
      <c r="CM1455" s="7"/>
      <c r="CN1455" s="7"/>
      <c r="CO1455" s="7"/>
      <c r="CP1455" s="7"/>
      <c r="CQ1455" s="16">
        <f>SUM(CL1455:CP1455)</f>
        <v>0</v>
      </c>
      <c r="CS1455" s="6"/>
      <c r="CT1455" s="7"/>
      <c r="CU1455" s="7"/>
      <c r="CV1455" s="7"/>
      <c r="CW1455" s="7"/>
      <c r="CX1455" s="8">
        <f t="shared" si="6703"/>
        <v>0</v>
      </c>
      <c r="CZ1455" s="6"/>
      <c r="DA1455" s="7"/>
      <c r="DB1455" s="7"/>
      <c r="DC1455" s="7"/>
      <c r="DD1455" s="7"/>
      <c r="DE1455" s="16">
        <f t="shared" si="6704"/>
        <v>0</v>
      </c>
    </row>
    <row r="1456" spans="2:110" ht="14" thickBot="1">
      <c r="C1456" s="567"/>
      <c r="E1456" s="14" t="s">
        <v>62</v>
      </c>
      <c r="F1456" s="23">
        <f t="shared" si="6699"/>
        <v>0</v>
      </c>
      <c r="G1456" s="24">
        <f t="shared" si="6690"/>
        <v>0</v>
      </c>
      <c r="H1456" s="24">
        <f t="shared" si="6691"/>
        <v>0</v>
      </c>
      <c r="I1456" s="24">
        <f t="shared" si="6692"/>
        <v>0</v>
      </c>
      <c r="J1456" s="24">
        <f t="shared" si="6693"/>
        <v>0</v>
      </c>
      <c r="K1456" s="16">
        <f t="shared" si="6700"/>
        <v>0</v>
      </c>
      <c r="M1456" s="6"/>
      <c r="N1456" s="7"/>
      <c r="O1456" s="7"/>
      <c r="P1456" s="7"/>
      <c r="Q1456" s="7"/>
      <c r="R1456" s="16">
        <f t="shared" si="6701"/>
        <v>0</v>
      </c>
      <c r="T1456" s="6"/>
      <c r="U1456" s="7"/>
      <c r="V1456" s="7"/>
      <c r="W1456" s="7"/>
      <c r="X1456" s="7"/>
      <c r="Y1456" s="16">
        <f t="shared" si="6702"/>
        <v>0</v>
      </c>
      <c r="AA1456" s="6"/>
      <c r="AB1456" s="7"/>
      <c r="AC1456" s="7"/>
      <c r="AD1456" s="7"/>
      <c r="AE1456" s="7"/>
      <c r="AF1456" s="16">
        <f>SUM(AA1456:AE1456)</f>
        <v>0</v>
      </c>
      <c r="AH1456" s="6"/>
      <c r="AI1456" s="7"/>
      <c r="AJ1456" s="7"/>
      <c r="AK1456" s="7"/>
      <c r="AL1456" s="7"/>
      <c r="AM1456" s="16">
        <f>SUM(AH1456:AL1456)</f>
        <v>0</v>
      </c>
      <c r="AO1456" s="6"/>
      <c r="AP1456" s="7"/>
      <c r="AQ1456" s="7"/>
      <c r="AR1456" s="7"/>
      <c r="AS1456" s="7"/>
      <c r="AT1456" s="16">
        <f>SUM(AO1456:AS1456)</f>
        <v>0</v>
      </c>
      <c r="AV1456" s="6"/>
      <c r="AW1456" s="7"/>
      <c r="AX1456" s="7"/>
      <c r="AY1456" s="7"/>
      <c r="AZ1456" s="7"/>
      <c r="BA1456" s="16">
        <f>SUM(AV1456:AZ1456)</f>
        <v>0</v>
      </c>
      <c r="BC1456" s="6"/>
      <c r="BD1456" s="7"/>
      <c r="BE1456" s="7"/>
      <c r="BF1456" s="7"/>
      <c r="BG1456" s="7"/>
      <c r="BH1456" s="16">
        <f>SUM(BC1456:BG1456)</f>
        <v>0</v>
      </c>
      <c r="BJ1456" s="6"/>
      <c r="BK1456" s="7"/>
      <c r="BL1456" s="7"/>
      <c r="BM1456" s="7"/>
      <c r="BN1456" s="7"/>
      <c r="BO1456" s="16">
        <f>SUM(BJ1456:BN1456)</f>
        <v>0</v>
      </c>
      <c r="BQ1456" s="6"/>
      <c r="BR1456" s="7"/>
      <c r="BS1456" s="7"/>
      <c r="BT1456" s="7"/>
      <c r="BU1456" s="7"/>
      <c r="BV1456" s="16">
        <f>SUM(BQ1456:BU1456)</f>
        <v>0</v>
      </c>
      <c r="BX1456" s="6"/>
      <c r="BY1456" s="7"/>
      <c r="BZ1456" s="7"/>
      <c r="CA1456" s="7"/>
      <c r="CB1456" s="7"/>
      <c r="CC1456" s="16">
        <f>SUM(BX1456:CB1456)</f>
        <v>0</v>
      </c>
      <c r="CE1456" s="493">
        <f t="shared" si="6694"/>
        <v>0</v>
      </c>
      <c r="CF1456" s="494">
        <f t="shared" si="6695"/>
        <v>0</v>
      </c>
      <c r="CG1456" s="494">
        <f t="shared" si="6696"/>
        <v>0</v>
      </c>
      <c r="CH1456" s="494">
        <f t="shared" si="6697"/>
        <v>0</v>
      </c>
      <c r="CI1456" s="494">
        <f t="shared" si="6698"/>
        <v>0</v>
      </c>
      <c r="CJ1456" s="495">
        <f>SUM(CE1456:CI1456)</f>
        <v>0</v>
      </c>
      <c r="CL1456" s="6"/>
      <c r="CM1456" s="7"/>
      <c r="CN1456" s="7"/>
      <c r="CO1456" s="7"/>
      <c r="CP1456" s="7"/>
      <c r="CQ1456" s="16">
        <f>SUM(CL1456:CP1456)</f>
        <v>0</v>
      </c>
      <c r="CS1456" s="6"/>
      <c r="CT1456" s="7"/>
      <c r="CU1456" s="7"/>
      <c r="CV1456" s="7"/>
      <c r="CW1456" s="7"/>
      <c r="CX1456" s="8">
        <f t="shared" si="6703"/>
        <v>0</v>
      </c>
      <c r="CZ1456" s="6"/>
      <c r="DA1456" s="7"/>
      <c r="DB1456" s="7"/>
      <c r="DC1456" s="7"/>
      <c r="DD1456" s="7"/>
      <c r="DE1456" s="16">
        <f t="shared" si="6704"/>
        <v>0</v>
      </c>
    </row>
    <row r="1457" spans="3:109" ht="14" thickBot="1">
      <c r="C1457" s="554"/>
      <c r="E1457" s="17"/>
      <c r="F1457" s="10">
        <f>SUM(F1453:F1456)</f>
        <v>0</v>
      </c>
      <c r="G1457" s="11">
        <f t="shared" ref="G1457:J1457" si="6705">SUM(G1453:G1456)</f>
        <v>0</v>
      </c>
      <c r="H1457" s="11">
        <f t="shared" si="6705"/>
        <v>0</v>
      </c>
      <c r="I1457" s="11">
        <f t="shared" si="6705"/>
        <v>0</v>
      </c>
      <c r="J1457" s="11">
        <f t="shared" si="6705"/>
        <v>0</v>
      </c>
      <c r="K1457" s="25">
        <f>SUM(K1453:K1456)</f>
        <v>0</v>
      </c>
      <c r="M1457" s="10">
        <f>SUM(M1453:M1456)</f>
        <v>0</v>
      </c>
      <c r="N1457" s="11">
        <f t="shared" ref="N1457:Q1457" si="6706">SUM(N1453:N1456)</f>
        <v>0</v>
      </c>
      <c r="O1457" s="11">
        <f t="shared" si="6706"/>
        <v>0</v>
      </c>
      <c r="P1457" s="11">
        <f t="shared" si="6706"/>
        <v>0</v>
      </c>
      <c r="Q1457" s="11">
        <f t="shared" si="6706"/>
        <v>0</v>
      </c>
      <c r="R1457" s="25">
        <f>SUM(R1453:R1456)</f>
        <v>0</v>
      </c>
      <c r="T1457" s="10">
        <f>SUM(T1453:T1456)</f>
        <v>0</v>
      </c>
      <c r="U1457" s="11">
        <f t="shared" ref="U1457:X1457" si="6707">SUM(U1453:U1456)</f>
        <v>0</v>
      </c>
      <c r="V1457" s="11">
        <f t="shared" si="6707"/>
        <v>0</v>
      </c>
      <c r="W1457" s="11">
        <f t="shared" si="6707"/>
        <v>0</v>
      </c>
      <c r="X1457" s="11">
        <f t="shared" si="6707"/>
        <v>0</v>
      </c>
      <c r="Y1457" s="25">
        <f>SUM(Y1453:Y1456)</f>
        <v>0</v>
      </c>
      <c r="AA1457" s="10">
        <f>SUM(AA1453:AA1456)</f>
        <v>0</v>
      </c>
      <c r="AB1457" s="11">
        <f t="shared" ref="AB1457:AE1457" si="6708">SUM(AB1453:AB1456)</f>
        <v>0</v>
      </c>
      <c r="AC1457" s="11">
        <f t="shared" si="6708"/>
        <v>0</v>
      </c>
      <c r="AD1457" s="11">
        <f t="shared" si="6708"/>
        <v>0</v>
      </c>
      <c r="AE1457" s="11">
        <f t="shared" si="6708"/>
        <v>0</v>
      </c>
      <c r="AF1457" s="25">
        <f>SUM(AF1453:AF1456)</f>
        <v>0</v>
      </c>
      <c r="AH1457" s="10">
        <f>SUM(AH1453:AH1456)</f>
        <v>0</v>
      </c>
      <c r="AI1457" s="11">
        <f t="shared" ref="AI1457:AL1457" si="6709">SUM(AI1453:AI1456)</f>
        <v>0</v>
      </c>
      <c r="AJ1457" s="11">
        <f t="shared" si="6709"/>
        <v>0</v>
      </c>
      <c r="AK1457" s="11">
        <f t="shared" si="6709"/>
        <v>0</v>
      </c>
      <c r="AL1457" s="11">
        <f t="shared" si="6709"/>
        <v>0</v>
      </c>
      <c r="AM1457" s="25">
        <f>SUM(AM1453:AM1456)</f>
        <v>0</v>
      </c>
      <c r="AO1457" s="10">
        <f>SUM(AO1453:AO1456)</f>
        <v>0</v>
      </c>
      <c r="AP1457" s="11">
        <f t="shared" ref="AP1457:AS1457" si="6710">SUM(AP1453:AP1456)</f>
        <v>0</v>
      </c>
      <c r="AQ1457" s="11">
        <f t="shared" si="6710"/>
        <v>0</v>
      </c>
      <c r="AR1457" s="11">
        <f t="shared" si="6710"/>
        <v>0</v>
      </c>
      <c r="AS1457" s="11">
        <f t="shared" si="6710"/>
        <v>0</v>
      </c>
      <c r="AT1457" s="25">
        <f>SUM(AT1453:AT1456)</f>
        <v>0</v>
      </c>
      <c r="AV1457" s="10">
        <f>SUM(AV1453:AV1456)</f>
        <v>0</v>
      </c>
      <c r="AW1457" s="11">
        <f t="shared" ref="AW1457:AZ1457" si="6711">SUM(AW1453:AW1456)</f>
        <v>0</v>
      </c>
      <c r="AX1457" s="11">
        <f t="shared" si="6711"/>
        <v>0</v>
      </c>
      <c r="AY1457" s="11">
        <f t="shared" si="6711"/>
        <v>0</v>
      </c>
      <c r="AZ1457" s="11">
        <f t="shared" si="6711"/>
        <v>0</v>
      </c>
      <c r="BA1457" s="25">
        <f>SUM(BA1453:BA1456)</f>
        <v>0</v>
      </c>
      <c r="BC1457" s="10">
        <f>SUM(BC1453:BC1456)</f>
        <v>0</v>
      </c>
      <c r="BD1457" s="11">
        <f t="shared" ref="BD1457:BG1457" si="6712">SUM(BD1453:BD1456)</f>
        <v>0</v>
      </c>
      <c r="BE1457" s="11">
        <f t="shared" si="6712"/>
        <v>0</v>
      </c>
      <c r="BF1457" s="11">
        <f t="shared" si="6712"/>
        <v>0</v>
      </c>
      <c r="BG1457" s="11">
        <f t="shared" si="6712"/>
        <v>0</v>
      </c>
      <c r="BH1457" s="25">
        <f>SUM(BH1453:BH1456)</f>
        <v>0</v>
      </c>
      <c r="BJ1457" s="10">
        <f>SUM(BJ1453:BJ1456)</f>
        <v>0</v>
      </c>
      <c r="BK1457" s="11">
        <f t="shared" ref="BK1457:BN1457" si="6713">SUM(BK1453:BK1456)</f>
        <v>0</v>
      </c>
      <c r="BL1457" s="11">
        <f t="shared" si="6713"/>
        <v>0</v>
      </c>
      <c r="BM1457" s="11">
        <f t="shared" si="6713"/>
        <v>0</v>
      </c>
      <c r="BN1457" s="11">
        <f t="shared" si="6713"/>
        <v>0</v>
      </c>
      <c r="BO1457" s="25">
        <f>SUM(BO1453:BO1456)</f>
        <v>0</v>
      </c>
      <c r="BQ1457" s="10">
        <f>SUM(BQ1453:BQ1456)</f>
        <v>0</v>
      </c>
      <c r="BR1457" s="11">
        <f t="shared" ref="BR1457:BU1457" si="6714">SUM(BR1453:BR1456)</f>
        <v>0</v>
      </c>
      <c r="BS1457" s="11">
        <f t="shared" si="6714"/>
        <v>0</v>
      </c>
      <c r="BT1457" s="11">
        <f t="shared" si="6714"/>
        <v>0</v>
      </c>
      <c r="BU1457" s="11">
        <f t="shared" si="6714"/>
        <v>0</v>
      </c>
      <c r="BV1457" s="25">
        <f>SUM(BV1453:BV1456)</f>
        <v>0</v>
      </c>
      <c r="BX1457" s="10">
        <f>SUM(BX1453:BX1456)</f>
        <v>0</v>
      </c>
      <c r="BY1457" s="11">
        <f t="shared" ref="BY1457:CB1457" si="6715">SUM(BY1453:BY1456)</f>
        <v>0</v>
      </c>
      <c r="BZ1457" s="11">
        <f t="shared" si="6715"/>
        <v>0</v>
      </c>
      <c r="CA1457" s="11">
        <f t="shared" si="6715"/>
        <v>0</v>
      </c>
      <c r="CB1457" s="11">
        <f t="shared" si="6715"/>
        <v>0</v>
      </c>
      <c r="CC1457" s="25">
        <f>SUM(CC1453:CC1456)</f>
        <v>0</v>
      </c>
      <c r="CE1457" s="62">
        <f t="shared" ref="CE1457:CJ1457" si="6716">SUM(CE1453:CE1456)</f>
        <v>0</v>
      </c>
      <c r="CF1457" s="63">
        <f t="shared" si="6716"/>
        <v>0</v>
      </c>
      <c r="CG1457" s="63">
        <f t="shared" si="6716"/>
        <v>0</v>
      </c>
      <c r="CH1457" s="63">
        <f t="shared" si="6716"/>
        <v>0</v>
      </c>
      <c r="CI1457" s="63">
        <f t="shared" si="6716"/>
        <v>0</v>
      </c>
      <c r="CJ1457" s="25">
        <f t="shared" si="6716"/>
        <v>0</v>
      </c>
      <c r="CL1457" s="10">
        <f>SUM(CL1453:CL1456)</f>
        <v>0</v>
      </c>
      <c r="CM1457" s="11">
        <f t="shared" ref="CM1457:CP1457" si="6717">SUM(CM1453:CM1456)</f>
        <v>0</v>
      </c>
      <c r="CN1457" s="11">
        <f t="shared" si="6717"/>
        <v>0</v>
      </c>
      <c r="CO1457" s="11">
        <f t="shared" si="6717"/>
        <v>0</v>
      </c>
      <c r="CP1457" s="11">
        <f t="shared" si="6717"/>
        <v>0</v>
      </c>
      <c r="CQ1457" s="25">
        <f>SUM(CQ1453:CQ1456)</f>
        <v>0</v>
      </c>
      <c r="CS1457" s="10">
        <f>SUM(CS1453:CS1456)</f>
        <v>0</v>
      </c>
      <c r="CT1457" s="11">
        <f t="shared" ref="CT1457:CW1457" si="6718">SUM(CT1453:CT1456)</f>
        <v>0</v>
      </c>
      <c r="CU1457" s="11">
        <f t="shared" si="6718"/>
        <v>0</v>
      </c>
      <c r="CV1457" s="11">
        <f t="shared" si="6718"/>
        <v>0</v>
      </c>
      <c r="CW1457" s="11">
        <f t="shared" si="6718"/>
        <v>0</v>
      </c>
      <c r="CX1457" s="25">
        <f>SUM(CX1453:CX1456)</f>
        <v>0</v>
      </c>
      <c r="CZ1457" s="10">
        <f>SUM(CZ1453:CZ1456)</f>
        <v>0</v>
      </c>
      <c r="DA1457" s="11">
        <f t="shared" ref="DA1457:DD1457" si="6719">SUM(DA1453:DA1456)</f>
        <v>0</v>
      </c>
      <c r="DB1457" s="11">
        <f t="shared" si="6719"/>
        <v>0</v>
      </c>
      <c r="DC1457" s="11">
        <f t="shared" si="6719"/>
        <v>0</v>
      </c>
      <c r="DD1457" s="11">
        <f t="shared" si="6719"/>
        <v>0</v>
      </c>
      <c r="DE1457" s="25">
        <f>SUM(DE1453:DE1456)</f>
        <v>0</v>
      </c>
    </row>
    <row r="1458" spans="3:109" ht="10.4" customHeight="1" thickBot="1"/>
    <row r="1459" spans="3:109">
      <c r="C1459" s="553">
        <v>2026</v>
      </c>
      <c r="E1459" s="1" t="s">
        <v>59</v>
      </c>
      <c r="F1459" s="21">
        <f>CE1453</f>
        <v>0</v>
      </c>
      <c r="G1459" s="22">
        <f t="shared" ref="G1459:G1462" si="6720">CF1453</f>
        <v>0</v>
      </c>
      <c r="H1459" s="22">
        <f t="shared" ref="H1459:H1462" si="6721">CG1453</f>
        <v>0</v>
      </c>
      <c r="I1459" s="22">
        <f t="shared" ref="I1459:I1462" si="6722">CH1453</f>
        <v>0</v>
      </c>
      <c r="J1459" s="22">
        <f t="shared" ref="J1459:J1462" si="6723">CI1453</f>
        <v>0</v>
      </c>
      <c r="K1459" s="4">
        <f>SUM(F1459:J1459)</f>
        <v>0</v>
      </c>
      <c r="M1459" s="2"/>
      <c r="N1459" s="3"/>
      <c r="O1459" s="3"/>
      <c r="P1459" s="3"/>
      <c r="Q1459" s="3"/>
      <c r="R1459" s="4">
        <f>SUM(M1459:Q1459)</f>
        <v>0</v>
      </c>
      <c r="T1459" s="2"/>
      <c r="U1459" s="3"/>
      <c r="V1459" s="3"/>
      <c r="W1459" s="3"/>
      <c r="X1459" s="3"/>
      <c r="Y1459" s="4">
        <f>SUM(T1459:X1459)</f>
        <v>0</v>
      </c>
      <c r="AA1459" s="2"/>
      <c r="AB1459" s="3"/>
      <c r="AC1459" s="3"/>
      <c r="AD1459" s="3"/>
      <c r="AE1459" s="3"/>
      <c r="AF1459" s="4">
        <f>SUM(AA1459:AE1459)</f>
        <v>0</v>
      </c>
      <c r="AH1459" s="2"/>
      <c r="AI1459" s="3"/>
      <c r="AJ1459" s="3"/>
      <c r="AK1459" s="3"/>
      <c r="AL1459" s="3"/>
      <c r="AM1459" s="4">
        <f>SUM(AH1459:AL1459)</f>
        <v>0</v>
      </c>
      <c r="AO1459" s="2"/>
      <c r="AP1459" s="3"/>
      <c r="AQ1459" s="3"/>
      <c r="AR1459" s="3"/>
      <c r="AS1459" s="3"/>
      <c r="AT1459" s="4">
        <f>SUM(AO1459:AS1459)</f>
        <v>0</v>
      </c>
      <c r="AV1459" s="2"/>
      <c r="AW1459" s="3"/>
      <c r="AX1459" s="3"/>
      <c r="AY1459" s="3"/>
      <c r="AZ1459" s="3"/>
      <c r="BA1459" s="4">
        <f>SUM(AV1459:AZ1459)</f>
        <v>0</v>
      </c>
      <c r="BC1459" s="2"/>
      <c r="BD1459" s="3"/>
      <c r="BE1459" s="3"/>
      <c r="BF1459" s="3"/>
      <c r="BG1459" s="3"/>
      <c r="BH1459" s="4">
        <f>SUM(BC1459:BG1459)</f>
        <v>0</v>
      </c>
      <c r="BJ1459" s="2"/>
      <c r="BK1459" s="3"/>
      <c r="BL1459" s="3"/>
      <c r="BM1459" s="3"/>
      <c r="BN1459" s="3"/>
      <c r="BO1459" s="4">
        <f>SUM(BJ1459:BN1459)</f>
        <v>0</v>
      </c>
      <c r="BQ1459" s="2"/>
      <c r="BR1459" s="3"/>
      <c r="BS1459" s="3"/>
      <c r="BT1459" s="3"/>
      <c r="BU1459" s="3"/>
      <c r="BV1459" s="4">
        <f>SUM(BQ1459:BU1459)</f>
        <v>0</v>
      </c>
      <c r="BX1459" s="2"/>
      <c r="BY1459" s="3"/>
      <c r="BZ1459" s="3"/>
      <c r="CA1459" s="3"/>
      <c r="CB1459" s="3"/>
      <c r="CC1459" s="4">
        <f>SUM(BX1459:CB1459)</f>
        <v>0</v>
      </c>
      <c r="CE1459" s="26">
        <f t="shared" ref="CE1459:CE1462" si="6724">F1459+M1459+T1459+AA1459+AH1459+AO1459+AV1459+BC1459+BJ1459+BQ1459+BX1459</f>
        <v>0</v>
      </c>
      <c r="CF1459" s="27">
        <f t="shared" ref="CF1459:CF1462" si="6725">G1459+N1459+U1459+AB1459+AI1459+AP1459+AW1459+BD1459+BK1459+BR1459+BY1459</f>
        <v>0</v>
      </c>
      <c r="CG1459" s="27">
        <f t="shared" ref="CG1459:CG1462" si="6726">H1459+O1459+V1459+AC1459+AJ1459+AQ1459+AX1459+BE1459+BL1459+BS1459+BZ1459</f>
        <v>0</v>
      </c>
      <c r="CH1459" s="27">
        <f t="shared" ref="CH1459:CH1462" si="6727">I1459+P1459+W1459+AD1459+AK1459+AR1459+AY1459+BF1459+BM1459+BT1459+CA1459</f>
        <v>0</v>
      </c>
      <c r="CI1459" s="27">
        <f t="shared" ref="CI1459:CI1462" si="6728">J1459+Q1459+X1459+AE1459+AL1459+AS1459+AZ1459+BG1459+BN1459+BU1459+CB1459</f>
        <v>0</v>
      </c>
      <c r="CJ1459" s="4">
        <f>SUM(CE1459:CI1459)</f>
        <v>0</v>
      </c>
      <c r="CL1459" s="2"/>
      <c r="CM1459" s="3"/>
      <c r="CN1459" s="3"/>
      <c r="CO1459" s="3"/>
      <c r="CP1459" s="3"/>
      <c r="CQ1459" s="4">
        <f>SUM(CL1459:CP1459)</f>
        <v>0</v>
      </c>
      <c r="CS1459" s="2"/>
      <c r="CT1459" s="3"/>
      <c r="CU1459" s="3"/>
      <c r="CV1459" s="3"/>
      <c r="CW1459" s="3"/>
      <c r="CX1459" s="4">
        <f>SUM(CS1459:CW1459)</f>
        <v>0</v>
      </c>
      <c r="CZ1459" s="2"/>
      <c r="DA1459" s="3"/>
      <c r="DB1459" s="3"/>
      <c r="DC1459" s="3"/>
      <c r="DD1459" s="3"/>
      <c r="DE1459" s="4">
        <f>SUM(CZ1459:DD1459)</f>
        <v>0</v>
      </c>
    </row>
    <row r="1460" spans="3:109">
      <c r="C1460" s="567"/>
      <c r="E1460" s="5" t="s">
        <v>60</v>
      </c>
      <c r="F1460" s="23">
        <f t="shared" ref="F1460:F1462" si="6729">CE1454</f>
        <v>0</v>
      </c>
      <c r="G1460" s="24">
        <f t="shared" si="6720"/>
        <v>0</v>
      </c>
      <c r="H1460" s="24">
        <f t="shared" si="6721"/>
        <v>0</v>
      </c>
      <c r="I1460" s="24">
        <f t="shared" si="6722"/>
        <v>0</v>
      </c>
      <c r="J1460" s="24">
        <f t="shared" si="6723"/>
        <v>0</v>
      </c>
      <c r="K1460" s="8">
        <f t="shared" ref="K1460:K1462" si="6730">SUM(F1460:J1460)</f>
        <v>0</v>
      </c>
      <c r="M1460" s="6"/>
      <c r="N1460" s="7"/>
      <c r="O1460" s="7"/>
      <c r="P1460" s="7"/>
      <c r="Q1460" s="7"/>
      <c r="R1460" s="8">
        <f t="shared" ref="R1460:R1462" si="6731">SUM(M1460:Q1460)</f>
        <v>0</v>
      </c>
      <c r="T1460" s="6"/>
      <c r="U1460" s="7"/>
      <c r="V1460" s="7"/>
      <c r="W1460" s="7"/>
      <c r="X1460" s="7"/>
      <c r="Y1460" s="8">
        <f t="shared" ref="Y1460:Y1462" si="6732">SUM(T1460:X1460)</f>
        <v>0</v>
      </c>
      <c r="AA1460" s="6"/>
      <c r="AB1460" s="7"/>
      <c r="AC1460" s="7"/>
      <c r="AD1460" s="7"/>
      <c r="AE1460" s="7"/>
      <c r="AF1460" s="8">
        <f>SUM(AA1460:AE1460)</f>
        <v>0</v>
      </c>
      <c r="AH1460" s="6"/>
      <c r="AI1460" s="7"/>
      <c r="AJ1460" s="7"/>
      <c r="AK1460" s="7"/>
      <c r="AL1460" s="7"/>
      <c r="AM1460" s="8">
        <f>SUM(AH1460:AL1460)</f>
        <v>0</v>
      </c>
      <c r="AO1460" s="6"/>
      <c r="AP1460" s="7"/>
      <c r="AQ1460" s="7"/>
      <c r="AR1460" s="7"/>
      <c r="AS1460" s="7"/>
      <c r="AT1460" s="8">
        <f>SUM(AO1460:AS1460)</f>
        <v>0</v>
      </c>
      <c r="AV1460" s="6"/>
      <c r="AW1460" s="7"/>
      <c r="AX1460" s="7"/>
      <c r="AY1460" s="7"/>
      <c r="AZ1460" s="7"/>
      <c r="BA1460" s="8">
        <f>SUM(AV1460:AZ1460)</f>
        <v>0</v>
      </c>
      <c r="BC1460" s="6"/>
      <c r="BD1460" s="7"/>
      <c r="BE1460" s="7"/>
      <c r="BF1460" s="7"/>
      <c r="BG1460" s="7"/>
      <c r="BH1460" s="8">
        <f>SUM(BC1460:BG1460)</f>
        <v>0</v>
      </c>
      <c r="BJ1460" s="6"/>
      <c r="BK1460" s="7"/>
      <c r="BL1460" s="7"/>
      <c r="BM1460" s="7"/>
      <c r="BN1460" s="7"/>
      <c r="BO1460" s="8">
        <f>SUM(BJ1460:BN1460)</f>
        <v>0</v>
      </c>
      <c r="BQ1460" s="6"/>
      <c r="BR1460" s="7"/>
      <c r="BS1460" s="7"/>
      <c r="BT1460" s="7"/>
      <c r="BU1460" s="7"/>
      <c r="BV1460" s="8">
        <f>SUM(BQ1460:BU1460)</f>
        <v>0</v>
      </c>
      <c r="BX1460" s="6"/>
      <c r="BY1460" s="7"/>
      <c r="BZ1460" s="7"/>
      <c r="CA1460" s="7"/>
      <c r="CB1460" s="7"/>
      <c r="CC1460" s="8">
        <f>SUM(BX1460:CB1460)</f>
        <v>0</v>
      </c>
      <c r="CE1460" s="28">
        <f t="shared" si="6724"/>
        <v>0</v>
      </c>
      <c r="CF1460" s="29">
        <f t="shared" si="6725"/>
        <v>0</v>
      </c>
      <c r="CG1460" s="29">
        <f t="shared" si="6726"/>
        <v>0</v>
      </c>
      <c r="CH1460" s="29">
        <f t="shared" si="6727"/>
        <v>0</v>
      </c>
      <c r="CI1460" s="29">
        <f t="shared" si="6728"/>
        <v>0</v>
      </c>
      <c r="CJ1460" s="8">
        <f>SUM(CE1460:CI1460)</f>
        <v>0</v>
      </c>
      <c r="CL1460" s="6"/>
      <c r="CM1460" s="7"/>
      <c r="CN1460" s="7"/>
      <c r="CO1460" s="7"/>
      <c r="CP1460" s="7"/>
      <c r="CQ1460" s="8">
        <f>SUM(CL1460:CP1460)</f>
        <v>0</v>
      </c>
      <c r="CS1460" s="6"/>
      <c r="CT1460" s="7"/>
      <c r="CU1460" s="7"/>
      <c r="CV1460" s="7"/>
      <c r="CW1460" s="7"/>
      <c r="CX1460" s="8">
        <f t="shared" ref="CX1460:CX1462" si="6733">SUM(CS1460:CW1460)</f>
        <v>0</v>
      </c>
      <c r="CZ1460" s="6"/>
      <c r="DA1460" s="7"/>
      <c r="DB1460" s="7"/>
      <c r="DC1460" s="7"/>
      <c r="DD1460" s="7"/>
      <c r="DE1460" s="8">
        <f t="shared" ref="DE1460:DE1462" si="6734">SUM(CZ1460:DD1460)</f>
        <v>0</v>
      </c>
    </row>
    <row r="1461" spans="3:109">
      <c r="C1461" s="567"/>
      <c r="E1461" s="5" t="s">
        <v>61</v>
      </c>
      <c r="F1461" s="23">
        <f t="shared" si="6729"/>
        <v>0</v>
      </c>
      <c r="G1461" s="24">
        <f t="shared" si="6720"/>
        <v>0</v>
      </c>
      <c r="H1461" s="24">
        <f t="shared" si="6721"/>
        <v>0</v>
      </c>
      <c r="I1461" s="24">
        <f t="shared" si="6722"/>
        <v>0</v>
      </c>
      <c r="J1461" s="24">
        <f t="shared" si="6723"/>
        <v>0</v>
      </c>
      <c r="K1461" s="8">
        <f t="shared" si="6730"/>
        <v>0</v>
      </c>
      <c r="M1461" s="6"/>
      <c r="N1461" s="7"/>
      <c r="O1461" s="7"/>
      <c r="P1461" s="7"/>
      <c r="Q1461" s="7"/>
      <c r="R1461" s="8">
        <f t="shared" si="6731"/>
        <v>0</v>
      </c>
      <c r="T1461" s="6"/>
      <c r="U1461" s="7"/>
      <c r="V1461" s="7"/>
      <c r="W1461" s="7"/>
      <c r="X1461" s="7"/>
      <c r="Y1461" s="8">
        <f t="shared" si="6732"/>
        <v>0</v>
      </c>
      <c r="AA1461" s="6"/>
      <c r="AB1461" s="7"/>
      <c r="AC1461" s="7"/>
      <c r="AD1461" s="7"/>
      <c r="AE1461" s="7"/>
      <c r="AF1461" s="8">
        <f>SUM(AA1461:AE1461)</f>
        <v>0</v>
      </c>
      <c r="AH1461" s="6"/>
      <c r="AI1461" s="7"/>
      <c r="AJ1461" s="7"/>
      <c r="AK1461" s="7"/>
      <c r="AL1461" s="7"/>
      <c r="AM1461" s="8">
        <f>SUM(AH1461:AL1461)</f>
        <v>0</v>
      </c>
      <c r="AO1461" s="6"/>
      <c r="AP1461" s="7"/>
      <c r="AQ1461" s="7"/>
      <c r="AR1461" s="7"/>
      <c r="AS1461" s="7"/>
      <c r="AT1461" s="8">
        <f>SUM(AO1461:AS1461)</f>
        <v>0</v>
      </c>
      <c r="AV1461" s="6"/>
      <c r="AW1461" s="7"/>
      <c r="AX1461" s="7"/>
      <c r="AY1461" s="7"/>
      <c r="AZ1461" s="7"/>
      <c r="BA1461" s="8">
        <f>SUM(AV1461:AZ1461)</f>
        <v>0</v>
      </c>
      <c r="BC1461" s="6"/>
      <c r="BD1461" s="7"/>
      <c r="BE1461" s="7"/>
      <c r="BF1461" s="7"/>
      <c r="BG1461" s="7"/>
      <c r="BH1461" s="8">
        <f>SUM(BC1461:BG1461)</f>
        <v>0</v>
      </c>
      <c r="BJ1461" s="6"/>
      <c r="BK1461" s="7"/>
      <c r="BL1461" s="7"/>
      <c r="BM1461" s="7"/>
      <c r="BN1461" s="7"/>
      <c r="BO1461" s="8">
        <f>SUM(BJ1461:BN1461)</f>
        <v>0</v>
      </c>
      <c r="BQ1461" s="6"/>
      <c r="BR1461" s="7"/>
      <c r="BS1461" s="7"/>
      <c r="BT1461" s="7"/>
      <c r="BU1461" s="7"/>
      <c r="BV1461" s="8">
        <f>SUM(BQ1461:BU1461)</f>
        <v>0</v>
      </c>
      <c r="BX1461" s="6"/>
      <c r="BY1461" s="7"/>
      <c r="BZ1461" s="7"/>
      <c r="CA1461" s="7"/>
      <c r="CB1461" s="7"/>
      <c r="CC1461" s="8">
        <f>SUM(BX1461:CB1461)</f>
        <v>0</v>
      </c>
      <c r="CE1461" s="28">
        <f t="shared" si="6724"/>
        <v>0</v>
      </c>
      <c r="CF1461" s="29">
        <f t="shared" si="6725"/>
        <v>0</v>
      </c>
      <c r="CG1461" s="29">
        <f t="shared" si="6726"/>
        <v>0</v>
      </c>
      <c r="CH1461" s="29">
        <f t="shared" si="6727"/>
        <v>0</v>
      </c>
      <c r="CI1461" s="29">
        <f t="shared" si="6728"/>
        <v>0</v>
      </c>
      <c r="CJ1461" s="8">
        <f>SUM(CE1461:CI1461)</f>
        <v>0</v>
      </c>
      <c r="CL1461" s="6"/>
      <c r="CM1461" s="7"/>
      <c r="CN1461" s="7"/>
      <c r="CO1461" s="7"/>
      <c r="CP1461" s="7"/>
      <c r="CQ1461" s="8">
        <f>SUM(CL1461:CP1461)</f>
        <v>0</v>
      </c>
      <c r="CS1461" s="6"/>
      <c r="CT1461" s="7"/>
      <c r="CU1461" s="7"/>
      <c r="CV1461" s="7"/>
      <c r="CW1461" s="7"/>
      <c r="CX1461" s="8">
        <f t="shared" si="6733"/>
        <v>0</v>
      </c>
      <c r="CZ1461" s="6"/>
      <c r="DA1461" s="7"/>
      <c r="DB1461" s="7"/>
      <c r="DC1461" s="7"/>
      <c r="DD1461" s="7"/>
      <c r="DE1461" s="8">
        <f t="shared" si="6734"/>
        <v>0</v>
      </c>
    </row>
    <row r="1462" spans="3:109" ht="14" thickBot="1">
      <c r="C1462" s="567"/>
      <c r="E1462" s="5" t="s">
        <v>62</v>
      </c>
      <c r="F1462" s="23">
        <f t="shared" si="6729"/>
        <v>0</v>
      </c>
      <c r="G1462" s="24">
        <f t="shared" si="6720"/>
        <v>0</v>
      </c>
      <c r="H1462" s="24">
        <f t="shared" si="6721"/>
        <v>0</v>
      </c>
      <c r="I1462" s="24">
        <f t="shared" si="6722"/>
        <v>0</v>
      </c>
      <c r="J1462" s="24">
        <f t="shared" si="6723"/>
        <v>0</v>
      </c>
      <c r="K1462" s="8">
        <f t="shared" si="6730"/>
        <v>0</v>
      </c>
      <c r="M1462" s="6"/>
      <c r="N1462" s="7"/>
      <c r="O1462" s="7"/>
      <c r="P1462" s="7"/>
      <c r="Q1462" s="7"/>
      <c r="R1462" s="8">
        <f t="shared" si="6731"/>
        <v>0</v>
      </c>
      <c r="T1462" s="6"/>
      <c r="U1462" s="7"/>
      <c r="V1462" s="7"/>
      <c r="W1462" s="7"/>
      <c r="X1462" s="7"/>
      <c r="Y1462" s="8">
        <f t="shared" si="6732"/>
        <v>0</v>
      </c>
      <c r="AA1462" s="6"/>
      <c r="AB1462" s="7"/>
      <c r="AC1462" s="7"/>
      <c r="AD1462" s="7"/>
      <c r="AE1462" s="7"/>
      <c r="AF1462" s="8">
        <f>SUM(AA1462:AE1462)</f>
        <v>0</v>
      </c>
      <c r="AH1462" s="6"/>
      <c r="AI1462" s="7"/>
      <c r="AJ1462" s="7"/>
      <c r="AK1462" s="7"/>
      <c r="AL1462" s="7"/>
      <c r="AM1462" s="8">
        <f>SUM(AH1462:AL1462)</f>
        <v>0</v>
      </c>
      <c r="AO1462" s="6"/>
      <c r="AP1462" s="7"/>
      <c r="AQ1462" s="7"/>
      <c r="AR1462" s="7"/>
      <c r="AS1462" s="7"/>
      <c r="AT1462" s="8">
        <f>SUM(AO1462:AS1462)</f>
        <v>0</v>
      </c>
      <c r="AV1462" s="6"/>
      <c r="AW1462" s="7"/>
      <c r="AX1462" s="7"/>
      <c r="AY1462" s="7"/>
      <c r="AZ1462" s="7"/>
      <c r="BA1462" s="8">
        <f>SUM(AV1462:AZ1462)</f>
        <v>0</v>
      </c>
      <c r="BC1462" s="6"/>
      <c r="BD1462" s="7"/>
      <c r="BE1462" s="7"/>
      <c r="BF1462" s="7"/>
      <c r="BG1462" s="7"/>
      <c r="BH1462" s="8">
        <f>SUM(BC1462:BG1462)</f>
        <v>0</v>
      </c>
      <c r="BJ1462" s="6"/>
      <c r="BK1462" s="7"/>
      <c r="BL1462" s="7"/>
      <c r="BM1462" s="7"/>
      <c r="BN1462" s="7"/>
      <c r="BO1462" s="8">
        <f>SUM(BJ1462:BN1462)</f>
        <v>0</v>
      </c>
      <c r="BQ1462" s="6"/>
      <c r="BR1462" s="7"/>
      <c r="BS1462" s="7"/>
      <c r="BT1462" s="7"/>
      <c r="BU1462" s="7"/>
      <c r="BV1462" s="8">
        <f>SUM(BQ1462:BU1462)</f>
        <v>0</v>
      </c>
      <c r="BX1462" s="6"/>
      <c r="BY1462" s="7"/>
      <c r="BZ1462" s="7"/>
      <c r="CA1462" s="7"/>
      <c r="CB1462" s="7"/>
      <c r="CC1462" s="8">
        <f>SUM(BX1462:CB1462)</f>
        <v>0</v>
      </c>
      <c r="CE1462" s="493">
        <f t="shared" si="6724"/>
        <v>0</v>
      </c>
      <c r="CF1462" s="494">
        <f t="shared" si="6725"/>
        <v>0</v>
      </c>
      <c r="CG1462" s="494">
        <f t="shared" si="6726"/>
        <v>0</v>
      </c>
      <c r="CH1462" s="494">
        <f t="shared" si="6727"/>
        <v>0</v>
      </c>
      <c r="CI1462" s="494">
        <f t="shared" si="6728"/>
        <v>0</v>
      </c>
      <c r="CJ1462" s="495">
        <f>SUM(CE1462:CI1462)</f>
        <v>0</v>
      </c>
      <c r="CL1462" s="6"/>
      <c r="CM1462" s="7"/>
      <c r="CN1462" s="7"/>
      <c r="CO1462" s="7"/>
      <c r="CP1462" s="7"/>
      <c r="CQ1462" s="8">
        <f>SUM(CL1462:CP1462)</f>
        <v>0</v>
      </c>
      <c r="CS1462" s="6"/>
      <c r="CT1462" s="7"/>
      <c r="CU1462" s="7"/>
      <c r="CV1462" s="7"/>
      <c r="CW1462" s="7"/>
      <c r="CX1462" s="8">
        <f t="shared" si="6733"/>
        <v>0</v>
      </c>
      <c r="CZ1462" s="6"/>
      <c r="DA1462" s="7"/>
      <c r="DB1462" s="7"/>
      <c r="DC1462" s="7"/>
      <c r="DD1462" s="7"/>
      <c r="DE1462" s="8">
        <f t="shared" si="6734"/>
        <v>0</v>
      </c>
    </row>
    <row r="1463" spans="3:109" ht="14" thickBot="1">
      <c r="C1463" s="554"/>
      <c r="E1463" s="9"/>
      <c r="F1463" s="10">
        <f>SUM(F1459:F1462)</f>
        <v>0</v>
      </c>
      <c r="G1463" s="11">
        <f t="shared" ref="G1463:J1463" si="6735">SUM(G1459:G1462)</f>
        <v>0</v>
      </c>
      <c r="H1463" s="11">
        <f t="shared" si="6735"/>
        <v>0</v>
      </c>
      <c r="I1463" s="11">
        <f t="shared" si="6735"/>
        <v>0</v>
      </c>
      <c r="J1463" s="11">
        <f t="shared" si="6735"/>
        <v>0</v>
      </c>
      <c r="K1463" s="25">
        <f>SUM(K1459:K1462)</f>
        <v>0</v>
      </c>
      <c r="M1463" s="10">
        <f>SUM(M1459:M1462)</f>
        <v>0</v>
      </c>
      <c r="N1463" s="11">
        <f t="shared" ref="N1463:Q1463" si="6736">SUM(N1459:N1462)</f>
        <v>0</v>
      </c>
      <c r="O1463" s="11">
        <f t="shared" si="6736"/>
        <v>0</v>
      </c>
      <c r="P1463" s="11">
        <f t="shared" si="6736"/>
        <v>0</v>
      </c>
      <c r="Q1463" s="11">
        <f t="shared" si="6736"/>
        <v>0</v>
      </c>
      <c r="R1463" s="25">
        <f>SUM(R1459:R1462)</f>
        <v>0</v>
      </c>
      <c r="T1463" s="10">
        <f>SUM(T1459:T1462)</f>
        <v>0</v>
      </c>
      <c r="U1463" s="11">
        <f t="shared" ref="U1463:X1463" si="6737">SUM(U1459:U1462)</f>
        <v>0</v>
      </c>
      <c r="V1463" s="11">
        <f t="shared" si="6737"/>
        <v>0</v>
      </c>
      <c r="W1463" s="11">
        <f t="shared" si="6737"/>
        <v>0</v>
      </c>
      <c r="X1463" s="11">
        <f t="shared" si="6737"/>
        <v>0</v>
      </c>
      <c r="Y1463" s="25">
        <f>SUM(Y1459:Y1462)</f>
        <v>0</v>
      </c>
      <c r="AA1463" s="10">
        <f>SUM(AA1459:AA1462)</f>
        <v>0</v>
      </c>
      <c r="AB1463" s="11">
        <f t="shared" ref="AB1463:AE1463" si="6738">SUM(AB1459:AB1462)</f>
        <v>0</v>
      </c>
      <c r="AC1463" s="11">
        <f t="shared" si="6738"/>
        <v>0</v>
      </c>
      <c r="AD1463" s="11">
        <f t="shared" si="6738"/>
        <v>0</v>
      </c>
      <c r="AE1463" s="11">
        <f t="shared" si="6738"/>
        <v>0</v>
      </c>
      <c r="AF1463" s="25">
        <f>SUM(AF1459:AF1462)</f>
        <v>0</v>
      </c>
      <c r="AH1463" s="10">
        <f>SUM(AH1459:AH1462)</f>
        <v>0</v>
      </c>
      <c r="AI1463" s="11">
        <f t="shared" ref="AI1463:AL1463" si="6739">SUM(AI1459:AI1462)</f>
        <v>0</v>
      </c>
      <c r="AJ1463" s="11">
        <f t="shared" si="6739"/>
        <v>0</v>
      </c>
      <c r="AK1463" s="11">
        <f t="shared" si="6739"/>
        <v>0</v>
      </c>
      <c r="AL1463" s="11">
        <f t="shared" si="6739"/>
        <v>0</v>
      </c>
      <c r="AM1463" s="25">
        <f>SUM(AM1459:AM1462)</f>
        <v>0</v>
      </c>
      <c r="AO1463" s="10">
        <f>SUM(AO1459:AO1462)</f>
        <v>0</v>
      </c>
      <c r="AP1463" s="11">
        <f t="shared" ref="AP1463:AS1463" si="6740">SUM(AP1459:AP1462)</f>
        <v>0</v>
      </c>
      <c r="AQ1463" s="11">
        <f t="shared" si="6740"/>
        <v>0</v>
      </c>
      <c r="AR1463" s="11">
        <f t="shared" si="6740"/>
        <v>0</v>
      </c>
      <c r="AS1463" s="11">
        <f t="shared" si="6740"/>
        <v>0</v>
      </c>
      <c r="AT1463" s="25">
        <f>SUM(AT1459:AT1462)</f>
        <v>0</v>
      </c>
      <c r="AV1463" s="10">
        <f>SUM(AV1459:AV1462)</f>
        <v>0</v>
      </c>
      <c r="AW1463" s="11">
        <f t="shared" ref="AW1463:AZ1463" si="6741">SUM(AW1459:AW1462)</f>
        <v>0</v>
      </c>
      <c r="AX1463" s="11">
        <f t="shared" si="6741"/>
        <v>0</v>
      </c>
      <c r="AY1463" s="11">
        <f t="shared" si="6741"/>
        <v>0</v>
      </c>
      <c r="AZ1463" s="11">
        <f t="shared" si="6741"/>
        <v>0</v>
      </c>
      <c r="BA1463" s="25">
        <f>SUM(BA1459:BA1462)</f>
        <v>0</v>
      </c>
      <c r="BC1463" s="10">
        <f>SUM(BC1459:BC1462)</f>
        <v>0</v>
      </c>
      <c r="BD1463" s="11">
        <f t="shared" ref="BD1463:BG1463" si="6742">SUM(BD1459:BD1462)</f>
        <v>0</v>
      </c>
      <c r="BE1463" s="11">
        <f t="shared" si="6742"/>
        <v>0</v>
      </c>
      <c r="BF1463" s="11">
        <f t="shared" si="6742"/>
        <v>0</v>
      </c>
      <c r="BG1463" s="11">
        <f t="shared" si="6742"/>
        <v>0</v>
      </c>
      <c r="BH1463" s="25">
        <f>SUM(BH1459:BH1462)</f>
        <v>0</v>
      </c>
      <c r="BJ1463" s="10">
        <f>SUM(BJ1459:BJ1462)</f>
        <v>0</v>
      </c>
      <c r="BK1463" s="11">
        <f t="shared" ref="BK1463:BN1463" si="6743">SUM(BK1459:BK1462)</f>
        <v>0</v>
      </c>
      <c r="BL1463" s="11">
        <f t="shared" si="6743"/>
        <v>0</v>
      </c>
      <c r="BM1463" s="11">
        <f t="shared" si="6743"/>
        <v>0</v>
      </c>
      <c r="BN1463" s="11">
        <f t="shared" si="6743"/>
        <v>0</v>
      </c>
      <c r="BO1463" s="25">
        <f>SUM(BO1459:BO1462)</f>
        <v>0</v>
      </c>
      <c r="BQ1463" s="10">
        <f>SUM(BQ1459:BQ1462)</f>
        <v>0</v>
      </c>
      <c r="BR1463" s="11">
        <f t="shared" ref="BR1463:BU1463" si="6744">SUM(BR1459:BR1462)</f>
        <v>0</v>
      </c>
      <c r="BS1463" s="11">
        <f t="shared" si="6744"/>
        <v>0</v>
      </c>
      <c r="BT1463" s="11">
        <f t="shared" si="6744"/>
        <v>0</v>
      </c>
      <c r="BU1463" s="11">
        <f t="shared" si="6744"/>
        <v>0</v>
      </c>
      <c r="BV1463" s="25">
        <f>SUM(BV1459:BV1462)</f>
        <v>0</v>
      </c>
      <c r="BX1463" s="10">
        <f>SUM(BX1459:BX1462)</f>
        <v>0</v>
      </c>
      <c r="BY1463" s="11">
        <f t="shared" ref="BY1463:CB1463" si="6745">SUM(BY1459:BY1462)</f>
        <v>0</v>
      </c>
      <c r="BZ1463" s="11">
        <f t="shared" si="6745"/>
        <v>0</v>
      </c>
      <c r="CA1463" s="11">
        <f t="shared" si="6745"/>
        <v>0</v>
      </c>
      <c r="CB1463" s="11">
        <f t="shared" si="6745"/>
        <v>0</v>
      </c>
      <c r="CC1463" s="25">
        <f>SUM(CC1459:CC1462)</f>
        <v>0</v>
      </c>
      <c r="CE1463" s="62">
        <f t="shared" ref="CE1463:CJ1463" si="6746">SUM(CE1459:CE1462)</f>
        <v>0</v>
      </c>
      <c r="CF1463" s="63">
        <f t="shared" si="6746"/>
        <v>0</v>
      </c>
      <c r="CG1463" s="63">
        <f t="shared" si="6746"/>
        <v>0</v>
      </c>
      <c r="CH1463" s="63">
        <f t="shared" si="6746"/>
        <v>0</v>
      </c>
      <c r="CI1463" s="63">
        <f t="shared" si="6746"/>
        <v>0</v>
      </c>
      <c r="CJ1463" s="25">
        <f t="shared" si="6746"/>
        <v>0</v>
      </c>
      <c r="CL1463" s="10">
        <f>SUM(CL1459:CL1462)</f>
        <v>0</v>
      </c>
      <c r="CM1463" s="11">
        <f t="shared" ref="CM1463:CP1463" si="6747">SUM(CM1459:CM1462)</f>
        <v>0</v>
      </c>
      <c r="CN1463" s="11">
        <f t="shared" si="6747"/>
        <v>0</v>
      </c>
      <c r="CO1463" s="11">
        <f t="shared" si="6747"/>
        <v>0</v>
      </c>
      <c r="CP1463" s="11">
        <f t="shared" si="6747"/>
        <v>0</v>
      </c>
      <c r="CQ1463" s="25">
        <f>SUM(CQ1459:CQ1462)</f>
        <v>0</v>
      </c>
      <c r="CS1463" s="10">
        <f>SUM(CS1459:CS1462)</f>
        <v>0</v>
      </c>
      <c r="CT1463" s="11">
        <f t="shared" ref="CT1463:CW1463" si="6748">SUM(CT1459:CT1462)</f>
        <v>0</v>
      </c>
      <c r="CU1463" s="11">
        <f t="shared" si="6748"/>
        <v>0</v>
      </c>
      <c r="CV1463" s="11">
        <f t="shared" si="6748"/>
        <v>0</v>
      </c>
      <c r="CW1463" s="11">
        <f t="shared" si="6748"/>
        <v>0</v>
      </c>
      <c r="CX1463" s="25">
        <f>SUM(CX1459:CX1462)</f>
        <v>0</v>
      </c>
      <c r="CZ1463" s="10">
        <f>SUM(CZ1459:CZ1462)</f>
        <v>0</v>
      </c>
      <c r="DA1463" s="11">
        <f t="shared" ref="DA1463:DD1463" si="6749">SUM(DA1459:DA1462)</f>
        <v>0</v>
      </c>
      <c r="DB1463" s="11">
        <f t="shared" si="6749"/>
        <v>0</v>
      </c>
      <c r="DC1463" s="11">
        <f t="shared" si="6749"/>
        <v>0</v>
      </c>
      <c r="DD1463" s="11">
        <f t="shared" si="6749"/>
        <v>0</v>
      </c>
      <c r="DE1463" s="25">
        <f>SUM(DE1459:DE1462)</f>
        <v>0</v>
      </c>
    </row>
    <row r="1464" spans="3:109" ht="10.4" customHeight="1" thickBot="1"/>
    <row r="1465" spans="3:109">
      <c r="C1465" s="553">
        <v>2027</v>
      </c>
      <c r="E1465" s="1" t="s">
        <v>59</v>
      </c>
      <c r="F1465" s="21">
        <f>CE1459</f>
        <v>0</v>
      </c>
      <c r="G1465" s="22">
        <f t="shared" ref="G1465:G1468" si="6750">CF1459</f>
        <v>0</v>
      </c>
      <c r="H1465" s="22">
        <f t="shared" ref="H1465:H1468" si="6751">CG1459</f>
        <v>0</v>
      </c>
      <c r="I1465" s="22">
        <f t="shared" ref="I1465:I1468" si="6752">CH1459</f>
        <v>0</v>
      </c>
      <c r="J1465" s="22">
        <f t="shared" ref="J1465:J1468" si="6753">CI1459</f>
        <v>0</v>
      </c>
      <c r="K1465" s="4">
        <f>SUM(F1465:J1465)</f>
        <v>0</v>
      </c>
      <c r="M1465" s="2"/>
      <c r="N1465" s="3"/>
      <c r="O1465" s="3"/>
      <c r="P1465" s="3"/>
      <c r="Q1465" s="3"/>
      <c r="R1465" s="4">
        <f>SUM(M1465:Q1465)</f>
        <v>0</v>
      </c>
      <c r="T1465" s="2"/>
      <c r="U1465" s="3"/>
      <c r="V1465" s="3"/>
      <c r="W1465" s="3"/>
      <c r="X1465" s="3"/>
      <c r="Y1465" s="4">
        <f>SUM(T1465:X1465)</f>
        <v>0</v>
      </c>
      <c r="AA1465" s="2"/>
      <c r="AB1465" s="3"/>
      <c r="AC1465" s="3"/>
      <c r="AD1465" s="3"/>
      <c r="AE1465" s="3"/>
      <c r="AF1465" s="4">
        <f>SUM(AA1465:AE1465)</f>
        <v>0</v>
      </c>
      <c r="AH1465" s="2"/>
      <c r="AI1465" s="3"/>
      <c r="AJ1465" s="3"/>
      <c r="AK1465" s="3"/>
      <c r="AL1465" s="3"/>
      <c r="AM1465" s="4">
        <f>SUM(AH1465:AL1465)</f>
        <v>0</v>
      </c>
      <c r="AO1465" s="2"/>
      <c r="AP1465" s="3"/>
      <c r="AQ1465" s="3"/>
      <c r="AR1465" s="3"/>
      <c r="AS1465" s="3"/>
      <c r="AT1465" s="4">
        <f>SUM(AO1465:AS1465)</f>
        <v>0</v>
      </c>
      <c r="AV1465" s="2"/>
      <c r="AW1465" s="3"/>
      <c r="AX1465" s="3"/>
      <c r="AY1465" s="3"/>
      <c r="AZ1465" s="3"/>
      <c r="BA1465" s="4">
        <f>SUM(AV1465:AZ1465)</f>
        <v>0</v>
      </c>
      <c r="BC1465" s="2"/>
      <c r="BD1465" s="3"/>
      <c r="BE1465" s="3"/>
      <c r="BF1465" s="3"/>
      <c r="BG1465" s="3"/>
      <c r="BH1465" s="4">
        <f>SUM(BC1465:BG1465)</f>
        <v>0</v>
      </c>
      <c r="BJ1465" s="2"/>
      <c r="BK1465" s="3"/>
      <c r="BL1465" s="3"/>
      <c r="BM1465" s="3"/>
      <c r="BN1465" s="3"/>
      <c r="BO1465" s="4">
        <f>SUM(BJ1465:BN1465)</f>
        <v>0</v>
      </c>
      <c r="BQ1465" s="2"/>
      <c r="BR1465" s="3"/>
      <c r="BS1465" s="3"/>
      <c r="BT1465" s="3"/>
      <c r="BU1465" s="3"/>
      <c r="BV1465" s="4">
        <f>SUM(BQ1465:BU1465)</f>
        <v>0</v>
      </c>
      <c r="BX1465" s="2"/>
      <c r="BY1465" s="3"/>
      <c r="BZ1465" s="3"/>
      <c r="CA1465" s="3"/>
      <c r="CB1465" s="3"/>
      <c r="CC1465" s="4">
        <f>SUM(BX1465:CB1465)</f>
        <v>0</v>
      </c>
      <c r="CE1465" s="26">
        <f t="shared" ref="CE1465:CE1468" si="6754">F1465+M1465+T1465+AA1465+AH1465+AO1465+AV1465+BC1465+BJ1465+BQ1465+BX1465</f>
        <v>0</v>
      </c>
      <c r="CF1465" s="27">
        <f t="shared" ref="CF1465:CF1468" si="6755">G1465+N1465+U1465+AB1465+AI1465+AP1465+AW1465+BD1465+BK1465+BR1465+BY1465</f>
        <v>0</v>
      </c>
      <c r="CG1465" s="27">
        <f t="shared" ref="CG1465:CG1468" si="6756">H1465+O1465+V1465+AC1465+AJ1465+AQ1465+AX1465+BE1465+BL1465+BS1465+BZ1465</f>
        <v>0</v>
      </c>
      <c r="CH1465" s="27">
        <f t="shared" ref="CH1465:CH1468" si="6757">I1465+P1465+W1465+AD1465+AK1465+AR1465+AY1465+BF1465+BM1465+BT1465+CA1465</f>
        <v>0</v>
      </c>
      <c r="CI1465" s="27">
        <f t="shared" ref="CI1465:CI1468" si="6758">J1465+Q1465+X1465+AE1465+AL1465+AS1465+AZ1465+BG1465+BN1465+BU1465+CB1465</f>
        <v>0</v>
      </c>
      <c r="CJ1465" s="4">
        <f>SUM(CE1465:CI1465)</f>
        <v>0</v>
      </c>
      <c r="CL1465" s="2"/>
      <c r="CM1465" s="3"/>
      <c r="CN1465" s="3"/>
      <c r="CO1465" s="3"/>
      <c r="CP1465" s="3"/>
      <c r="CQ1465" s="4">
        <f>SUM(CL1465:CP1465)</f>
        <v>0</v>
      </c>
      <c r="CS1465" s="2"/>
      <c r="CT1465" s="3"/>
      <c r="CU1465" s="3"/>
      <c r="CV1465" s="3"/>
      <c r="CW1465" s="3"/>
      <c r="CX1465" s="4">
        <f>SUM(CS1465:CW1465)</f>
        <v>0</v>
      </c>
      <c r="CZ1465" s="2"/>
      <c r="DA1465" s="3"/>
      <c r="DB1465" s="3"/>
      <c r="DC1465" s="3"/>
      <c r="DD1465" s="3"/>
      <c r="DE1465" s="4">
        <f>SUM(CZ1465:DD1465)</f>
        <v>0</v>
      </c>
    </row>
    <row r="1466" spans="3:109">
      <c r="C1466" s="567"/>
      <c r="E1466" s="5" t="s">
        <v>60</v>
      </c>
      <c r="F1466" s="23">
        <f t="shared" ref="F1466:F1468" si="6759">CE1460</f>
        <v>0</v>
      </c>
      <c r="G1466" s="24">
        <f t="shared" si="6750"/>
        <v>0</v>
      </c>
      <c r="H1466" s="24">
        <f t="shared" si="6751"/>
        <v>0</v>
      </c>
      <c r="I1466" s="24">
        <f t="shared" si="6752"/>
        <v>0</v>
      </c>
      <c r="J1466" s="24">
        <f t="shared" si="6753"/>
        <v>0</v>
      </c>
      <c r="K1466" s="8">
        <f t="shared" ref="K1466:K1468" si="6760">SUM(F1466:J1466)</f>
        <v>0</v>
      </c>
      <c r="M1466" s="6"/>
      <c r="N1466" s="7"/>
      <c r="O1466" s="7"/>
      <c r="P1466" s="7"/>
      <c r="Q1466" s="7"/>
      <c r="R1466" s="8">
        <f t="shared" ref="R1466:R1468" si="6761">SUM(M1466:Q1466)</f>
        <v>0</v>
      </c>
      <c r="T1466" s="6"/>
      <c r="U1466" s="7"/>
      <c r="V1466" s="7"/>
      <c r="W1466" s="7"/>
      <c r="X1466" s="7"/>
      <c r="Y1466" s="8">
        <f t="shared" ref="Y1466:Y1468" si="6762">SUM(T1466:X1466)</f>
        <v>0</v>
      </c>
      <c r="AA1466" s="6"/>
      <c r="AB1466" s="7"/>
      <c r="AC1466" s="7"/>
      <c r="AD1466" s="7"/>
      <c r="AE1466" s="7"/>
      <c r="AF1466" s="8">
        <f>SUM(AA1466:AE1466)</f>
        <v>0</v>
      </c>
      <c r="AH1466" s="6"/>
      <c r="AI1466" s="7"/>
      <c r="AJ1466" s="7"/>
      <c r="AK1466" s="7"/>
      <c r="AL1466" s="7"/>
      <c r="AM1466" s="8">
        <f>SUM(AH1466:AL1466)</f>
        <v>0</v>
      </c>
      <c r="AO1466" s="6"/>
      <c r="AP1466" s="7"/>
      <c r="AQ1466" s="7"/>
      <c r="AR1466" s="7"/>
      <c r="AS1466" s="7"/>
      <c r="AT1466" s="8">
        <f>SUM(AO1466:AS1466)</f>
        <v>0</v>
      </c>
      <c r="AV1466" s="6"/>
      <c r="AW1466" s="7"/>
      <c r="AX1466" s="7"/>
      <c r="AY1466" s="7"/>
      <c r="AZ1466" s="7"/>
      <c r="BA1466" s="8">
        <f>SUM(AV1466:AZ1466)</f>
        <v>0</v>
      </c>
      <c r="BC1466" s="6"/>
      <c r="BD1466" s="7"/>
      <c r="BE1466" s="7"/>
      <c r="BF1466" s="7"/>
      <c r="BG1466" s="7"/>
      <c r="BH1466" s="8">
        <f>SUM(BC1466:BG1466)</f>
        <v>0</v>
      </c>
      <c r="BJ1466" s="6"/>
      <c r="BK1466" s="7"/>
      <c r="BL1466" s="7"/>
      <c r="BM1466" s="7"/>
      <c r="BN1466" s="7"/>
      <c r="BO1466" s="8">
        <f>SUM(BJ1466:BN1466)</f>
        <v>0</v>
      </c>
      <c r="BQ1466" s="6"/>
      <c r="BR1466" s="7"/>
      <c r="BS1466" s="7"/>
      <c r="BT1466" s="7"/>
      <c r="BU1466" s="7"/>
      <c r="BV1466" s="8">
        <f>SUM(BQ1466:BU1466)</f>
        <v>0</v>
      </c>
      <c r="BX1466" s="6"/>
      <c r="BY1466" s="7"/>
      <c r="BZ1466" s="7"/>
      <c r="CA1466" s="7"/>
      <c r="CB1466" s="7"/>
      <c r="CC1466" s="8">
        <f>SUM(BX1466:CB1466)</f>
        <v>0</v>
      </c>
      <c r="CE1466" s="28">
        <f t="shared" si="6754"/>
        <v>0</v>
      </c>
      <c r="CF1466" s="29">
        <f t="shared" si="6755"/>
        <v>0</v>
      </c>
      <c r="CG1466" s="29">
        <f t="shared" si="6756"/>
        <v>0</v>
      </c>
      <c r="CH1466" s="29">
        <f t="shared" si="6757"/>
        <v>0</v>
      </c>
      <c r="CI1466" s="29">
        <f t="shared" si="6758"/>
        <v>0</v>
      </c>
      <c r="CJ1466" s="8">
        <f>SUM(CE1466:CI1466)</f>
        <v>0</v>
      </c>
      <c r="CL1466" s="6"/>
      <c r="CM1466" s="7"/>
      <c r="CN1466" s="7"/>
      <c r="CO1466" s="7"/>
      <c r="CP1466" s="7"/>
      <c r="CQ1466" s="8">
        <f>SUM(CL1466:CP1466)</f>
        <v>0</v>
      </c>
      <c r="CS1466" s="6"/>
      <c r="CT1466" s="7"/>
      <c r="CU1466" s="7"/>
      <c r="CV1466" s="7"/>
      <c r="CW1466" s="7"/>
      <c r="CX1466" s="8">
        <f t="shared" ref="CX1466:CX1468" si="6763">SUM(CS1466:CW1466)</f>
        <v>0</v>
      </c>
      <c r="CZ1466" s="6"/>
      <c r="DA1466" s="7"/>
      <c r="DB1466" s="7"/>
      <c r="DC1466" s="7"/>
      <c r="DD1466" s="7"/>
      <c r="DE1466" s="8">
        <f t="shared" ref="DE1466:DE1468" si="6764">SUM(CZ1466:DD1466)</f>
        <v>0</v>
      </c>
    </row>
    <row r="1467" spans="3:109">
      <c r="C1467" s="567"/>
      <c r="E1467" s="5" t="s">
        <v>61</v>
      </c>
      <c r="F1467" s="23">
        <f t="shared" si="6759"/>
        <v>0</v>
      </c>
      <c r="G1467" s="24">
        <f t="shared" si="6750"/>
        <v>0</v>
      </c>
      <c r="H1467" s="24">
        <f t="shared" si="6751"/>
        <v>0</v>
      </c>
      <c r="I1467" s="24">
        <f t="shared" si="6752"/>
        <v>0</v>
      </c>
      <c r="J1467" s="24">
        <f t="shared" si="6753"/>
        <v>0</v>
      </c>
      <c r="K1467" s="8">
        <f t="shared" si="6760"/>
        <v>0</v>
      </c>
      <c r="M1467" s="6"/>
      <c r="N1467" s="7"/>
      <c r="O1467" s="7"/>
      <c r="P1467" s="7"/>
      <c r="Q1467" s="7"/>
      <c r="R1467" s="8">
        <f t="shared" si="6761"/>
        <v>0</v>
      </c>
      <c r="T1467" s="6"/>
      <c r="U1467" s="7"/>
      <c r="V1467" s="7"/>
      <c r="W1467" s="7"/>
      <c r="X1467" s="7"/>
      <c r="Y1467" s="8">
        <f t="shared" si="6762"/>
        <v>0</v>
      </c>
      <c r="AA1467" s="6"/>
      <c r="AB1467" s="7"/>
      <c r="AC1467" s="7"/>
      <c r="AD1467" s="7"/>
      <c r="AE1467" s="7"/>
      <c r="AF1467" s="8">
        <f>SUM(AA1467:AE1467)</f>
        <v>0</v>
      </c>
      <c r="AH1467" s="6"/>
      <c r="AI1467" s="7"/>
      <c r="AJ1467" s="7"/>
      <c r="AK1467" s="7"/>
      <c r="AL1467" s="7"/>
      <c r="AM1467" s="8">
        <f>SUM(AH1467:AL1467)</f>
        <v>0</v>
      </c>
      <c r="AO1467" s="6"/>
      <c r="AP1467" s="7"/>
      <c r="AQ1467" s="7"/>
      <c r="AR1467" s="7"/>
      <c r="AS1467" s="7"/>
      <c r="AT1467" s="8">
        <f>SUM(AO1467:AS1467)</f>
        <v>0</v>
      </c>
      <c r="AV1467" s="6"/>
      <c r="AW1467" s="7"/>
      <c r="AX1467" s="7"/>
      <c r="AY1467" s="7"/>
      <c r="AZ1467" s="7"/>
      <c r="BA1467" s="8">
        <f>SUM(AV1467:AZ1467)</f>
        <v>0</v>
      </c>
      <c r="BC1467" s="6"/>
      <c r="BD1467" s="7"/>
      <c r="BE1467" s="7"/>
      <c r="BF1467" s="7"/>
      <c r="BG1467" s="7"/>
      <c r="BH1467" s="8">
        <f>SUM(BC1467:BG1467)</f>
        <v>0</v>
      </c>
      <c r="BJ1467" s="6"/>
      <c r="BK1467" s="7"/>
      <c r="BL1467" s="7"/>
      <c r="BM1467" s="7"/>
      <c r="BN1467" s="7"/>
      <c r="BO1467" s="8">
        <f>SUM(BJ1467:BN1467)</f>
        <v>0</v>
      </c>
      <c r="BQ1467" s="6"/>
      <c r="BR1467" s="7"/>
      <c r="BS1467" s="7"/>
      <c r="BT1467" s="7"/>
      <c r="BU1467" s="7"/>
      <c r="BV1467" s="8">
        <f>SUM(BQ1467:BU1467)</f>
        <v>0</v>
      </c>
      <c r="BX1467" s="6"/>
      <c r="BY1467" s="7"/>
      <c r="BZ1467" s="7"/>
      <c r="CA1467" s="7"/>
      <c r="CB1467" s="7"/>
      <c r="CC1467" s="8">
        <f>SUM(BX1467:CB1467)</f>
        <v>0</v>
      </c>
      <c r="CE1467" s="28">
        <f t="shared" si="6754"/>
        <v>0</v>
      </c>
      <c r="CF1467" s="29">
        <f t="shared" si="6755"/>
        <v>0</v>
      </c>
      <c r="CG1467" s="29">
        <f t="shared" si="6756"/>
        <v>0</v>
      </c>
      <c r="CH1467" s="29">
        <f t="shared" si="6757"/>
        <v>0</v>
      </c>
      <c r="CI1467" s="29">
        <f t="shared" si="6758"/>
        <v>0</v>
      </c>
      <c r="CJ1467" s="8">
        <f>SUM(CE1467:CI1467)</f>
        <v>0</v>
      </c>
      <c r="CL1467" s="6"/>
      <c r="CM1467" s="7"/>
      <c r="CN1467" s="7"/>
      <c r="CO1467" s="7"/>
      <c r="CP1467" s="7"/>
      <c r="CQ1467" s="8">
        <f>SUM(CL1467:CP1467)</f>
        <v>0</v>
      </c>
      <c r="CS1467" s="6"/>
      <c r="CT1467" s="7"/>
      <c r="CU1467" s="7"/>
      <c r="CV1467" s="7"/>
      <c r="CW1467" s="7"/>
      <c r="CX1467" s="8">
        <f t="shared" si="6763"/>
        <v>0</v>
      </c>
      <c r="CZ1467" s="6"/>
      <c r="DA1467" s="7"/>
      <c r="DB1467" s="7"/>
      <c r="DC1467" s="7"/>
      <c r="DD1467" s="7"/>
      <c r="DE1467" s="8">
        <f t="shared" si="6764"/>
        <v>0</v>
      </c>
    </row>
    <row r="1468" spans="3:109" ht="14" thickBot="1">
      <c r="C1468" s="567"/>
      <c r="E1468" s="5" t="s">
        <v>62</v>
      </c>
      <c r="F1468" s="23">
        <f t="shared" si="6759"/>
        <v>0</v>
      </c>
      <c r="G1468" s="24">
        <f t="shared" si="6750"/>
        <v>0</v>
      </c>
      <c r="H1468" s="24">
        <f t="shared" si="6751"/>
        <v>0</v>
      </c>
      <c r="I1468" s="24">
        <f t="shared" si="6752"/>
        <v>0</v>
      </c>
      <c r="J1468" s="24">
        <f t="shared" si="6753"/>
        <v>0</v>
      </c>
      <c r="K1468" s="8">
        <f t="shared" si="6760"/>
        <v>0</v>
      </c>
      <c r="M1468" s="6"/>
      <c r="N1468" s="7"/>
      <c r="O1468" s="7"/>
      <c r="P1468" s="7"/>
      <c r="Q1468" s="7"/>
      <c r="R1468" s="8">
        <f t="shared" si="6761"/>
        <v>0</v>
      </c>
      <c r="T1468" s="6"/>
      <c r="U1468" s="7"/>
      <c r="V1468" s="7"/>
      <c r="W1468" s="7"/>
      <c r="X1468" s="7"/>
      <c r="Y1468" s="8">
        <f t="shared" si="6762"/>
        <v>0</v>
      </c>
      <c r="AA1468" s="6"/>
      <c r="AB1468" s="7"/>
      <c r="AC1468" s="7"/>
      <c r="AD1468" s="7"/>
      <c r="AE1468" s="7"/>
      <c r="AF1468" s="8">
        <f>SUM(AA1468:AE1468)</f>
        <v>0</v>
      </c>
      <c r="AH1468" s="6"/>
      <c r="AI1468" s="7"/>
      <c r="AJ1468" s="7"/>
      <c r="AK1468" s="7"/>
      <c r="AL1468" s="7"/>
      <c r="AM1468" s="8">
        <f>SUM(AH1468:AL1468)</f>
        <v>0</v>
      </c>
      <c r="AO1468" s="6"/>
      <c r="AP1468" s="7"/>
      <c r="AQ1468" s="7"/>
      <c r="AR1468" s="7"/>
      <c r="AS1468" s="7"/>
      <c r="AT1468" s="8">
        <f>SUM(AO1468:AS1468)</f>
        <v>0</v>
      </c>
      <c r="AV1468" s="6"/>
      <c r="AW1468" s="7"/>
      <c r="AX1468" s="7"/>
      <c r="AY1468" s="7"/>
      <c r="AZ1468" s="7"/>
      <c r="BA1468" s="8">
        <f>SUM(AV1468:AZ1468)</f>
        <v>0</v>
      </c>
      <c r="BC1468" s="6"/>
      <c r="BD1468" s="7"/>
      <c r="BE1468" s="7"/>
      <c r="BF1468" s="7"/>
      <c r="BG1468" s="7"/>
      <c r="BH1468" s="8">
        <f>SUM(BC1468:BG1468)</f>
        <v>0</v>
      </c>
      <c r="BJ1468" s="6"/>
      <c r="BK1468" s="7"/>
      <c r="BL1468" s="7"/>
      <c r="BM1468" s="7"/>
      <c r="BN1468" s="7"/>
      <c r="BO1468" s="8">
        <f>SUM(BJ1468:BN1468)</f>
        <v>0</v>
      </c>
      <c r="BQ1468" s="6"/>
      <c r="BR1468" s="7"/>
      <c r="BS1468" s="7"/>
      <c r="BT1468" s="7"/>
      <c r="BU1468" s="7"/>
      <c r="BV1468" s="8">
        <f>SUM(BQ1468:BU1468)</f>
        <v>0</v>
      </c>
      <c r="BX1468" s="6"/>
      <c r="BY1468" s="7"/>
      <c r="BZ1468" s="7"/>
      <c r="CA1468" s="7"/>
      <c r="CB1468" s="7"/>
      <c r="CC1468" s="8">
        <f>SUM(BX1468:CB1468)</f>
        <v>0</v>
      </c>
      <c r="CE1468" s="493">
        <f t="shared" si="6754"/>
        <v>0</v>
      </c>
      <c r="CF1468" s="494">
        <f t="shared" si="6755"/>
        <v>0</v>
      </c>
      <c r="CG1468" s="494">
        <f t="shared" si="6756"/>
        <v>0</v>
      </c>
      <c r="CH1468" s="494">
        <f t="shared" si="6757"/>
        <v>0</v>
      </c>
      <c r="CI1468" s="494">
        <f t="shared" si="6758"/>
        <v>0</v>
      </c>
      <c r="CJ1468" s="495">
        <f>SUM(CE1468:CI1468)</f>
        <v>0</v>
      </c>
      <c r="CL1468" s="6"/>
      <c r="CM1468" s="7"/>
      <c r="CN1468" s="7"/>
      <c r="CO1468" s="7"/>
      <c r="CP1468" s="7"/>
      <c r="CQ1468" s="8">
        <f>SUM(CL1468:CP1468)</f>
        <v>0</v>
      </c>
      <c r="CS1468" s="6"/>
      <c r="CT1468" s="7"/>
      <c r="CU1468" s="7"/>
      <c r="CV1468" s="7"/>
      <c r="CW1468" s="7"/>
      <c r="CX1468" s="8">
        <f t="shared" si="6763"/>
        <v>0</v>
      </c>
      <c r="CZ1468" s="6"/>
      <c r="DA1468" s="7"/>
      <c r="DB1468" s="7"/>
      <c r="DC1468" s="7"/>
      <c r="DD1468" s="7"/>
      <c r="DE1468" s="8">
        <f t="shared" si="6764"/>
        <v>0</v>
      </c>
    </row>
    <row r="1469" spans="3:109" ht="14" thickBot="1">
      <c r="C1469" s="554"/>
      <c r="E1469" s="9"/>
      <c r="F1469" s="10">
        <f>SUM(F1465:F1468)</f>
        <v>0</v>
      </c>
      <c r="G1469" s="11">
        <f t="shared" ref="G1469:J1469" si="6765">SUM(G1465:G1468)</f>
        <v>0</v>
      </c>
      <c r="H1469" s="11">
        <f t="shared" si="6765"/>
        <v>0</v>
      </c>
      <c r="I1469" s="11">
        <f t="shared" si="6765"/>
        <v>0</v>
      </c>
      <c r="J1469" s="11">
        <f t="shared" si="6765"/>
        <v>0</v>
      </c>
      <c r="K1469" s="25">
        <f>SUM(K1465:K1468)</f>
        <v>0</v>
      </c>
      <c r="M1469" s="10">
        <f>SUM(M1465:M1468)</f>
        <v>0</v>
      </c>
      <c r="N1469" s="11">
        <f t="shared" ref="N1469:Q1469" si="6766">SUM(N1465:N1468)</f>
        <v>0</v>
      </c>
      <c r="O1469" s="11">
        <f t="shared" si="6766"/>
        <v>0</v>
      </c>
      <c r="P1469" s="11">
        <f t="shared" si="6766"/>
        <v>0</v>
      </c>
      <c r="Q1469" s="11">
        <f t="shared" si="6766"/>
        <v>0</v>
      </c>
      <c r="R1469" s="25">
        <f>SUM(R1465:R1468)</f>
        <v>0</v>
      </c>
      <c r="T1469" s="10">
        <f>SUM(T1465:T1468)</f>
        <v>0</v>
      </c>
      <c r="U1469" s="11">
        <f t="shared" ref="U1469:X1469" si="6767">SUM(U1465:U1468)</f>
        <v>0</v>
      </c>
      <c r="V1469" s="11">
        <f t="shared" si="6767"/>
        <v>0</v>
      </c>
      <c r="W1469" s="11">
        <f t="shared" si="6767"/>
        <v>0</v>
      </c>
      <c r="X1469" s="11">
        <f t="shared" si="6767"/>
        <v>0</v>
      </c>
      <c r="Y1469" s="25">
        <f>SUM(Y1465:Y1468)</f>
        <v>0</v>
      </c>
      <c r="AA1469" s="10">
        <f>SUM(AA1465:AA1468)</f>
        <v>0</v>
      </c>
      <c r="AB1469" s="11">
        <f t="shared" ref="AB1469:AE1469" si="6768">SUM(AB1465:AB1468)</f>
        <v>0</v>
      </c>
      <c r="AC1469" s="11">
        <f t="shared" si="6768"/>
        <v>0</v>
      </c>
      <c r="AD1469" s="11">
        <f t="shared" si="6768"/>
        <v>0</v>
      </c>
      <c r="AE1469" s="11">
        <f t="shared" si="6768"/>
        <v>0</v>
      </c>
      <c r="AF1469" s="25">
        <f>SUM(AF1465:AF1468)</f>
        <v>0</v>
      </c>
      <c r="AH1469" s="10">
        <f>SUM(AH1465:AH1468)</f>
        <v>0</v>
      </c>
      <c r="AI1469" s="11">
        <f t="shared" ref="AI1469:AL1469" si="6769">SUM(AI1465:AI1468)</f>
        <v>0</v>
      </c>
      <c r="AJ1469" s="11">
        <f t="shared" si="6769"/>
        <v>0</v>
      </c>
      <c r="AK1469" s="11">
        <f t="shared" si="6769"/>
        <v>0</v>
      </c>
      <c r="AL1469" s="11">
        <f t="shared" si="6769"/>
        <v>0</v>
      </c>
      <c r="AM1469" s="25">
        <f>SUM(AM1465:AM1468)</f>
        <v>0</v>
      </c>
      <c r="AO1469" s="10">
        <f>SUM(AO1465:AO1468)</f>
        <v>0</v>
      </c>
      <c r="AP1469" s="11">
        <f t="shared" ref="AP1469:AS1469" si="6770">SUM(AP1465:AP1468)</f>
        <v>0</v>
      </c>
      <c r="AQ1469" s="11">
        <f t="shared" si="6770"/>
        <v>0</v>
      </c>
      <c r="AR1469" s="11">
        <f t="shared" si="6770"/>
        <v>0</v>
      </c>
      <c r="AS1469" s="11">
        <f t="shared" si="6770"/>
        <v>0</v>
      </c>
      <c r="AT1469" s="25">
        <f>SUM(AT1465:AT1468)</f>
        <v>0</v>
      </c>
      <c r="AV1469" s="10">
        <f>SUM(AV1465:AV1468)</f>
        <v>0</v>
      </c>
      <c r="AW1469" s="11">
        <f t="shared" ref="AW1469:AZ1469" si="6771">SUM(AW1465:AW1468)</f>
        <v>0</v>
      </c>
      <c r="AX1469" s="11">
        <f t="shared" si="6771"/>
        <v>0</v>
      </c>
      <c r="AY1469" s="11">
        <f t="shared" si="6771"/>
        <v>0</v>
      </c>
      <c r="AZ1469" s="11">
        <f t="shared" si="6771"/>
        <v>0</v>
      </c>
      <c r="BA1469" s="25">
        <f>SUM(BA1465:BA1468)</f>
        <v>0</v>
      </c>
      <c r="BC1469" s="10">
        <f>SUM(BC1465:BC1468)</f>
        <v>0</v>
      </c>
      <c r="BD1469" s="11">
        <f t="shared" ref="BD1469:BG1469" si="6772">SUM(BD1465:BD1468)</f>
        <v>0</v>
      </c>
      <c r="BE1469" s="11">
        <f t="shared" si="6772"/>
        <v>0</v>
      </c>
      <c r="BF1469" s="11">
        <f t="shared" si="6772"/>
        <v>0</v>
      </c>
      <c r="BG1469" s="11">
        <f t="shared" si="6772"/>
        <v>0</v>
      </c>
      <c r="BH1469" s="25">
        <f>SUM(BH1465:BH1468)</f>
        <v>0</v>
      </c>
      <c r="BJ1469" s="10">
        <f>SUM(BJ1465:BJ1468)</f>
        <v>0</v>
      </c>
      <c r="BK1469" s="11">
        <f t="shared" ref="BK1469:BN1469" si="6773">SUM(BK1465:BK1468)</f>
        <v>0</v>
      </c>
      <c r="BL1469" s="11">
        <f t="shared" si="6773"/>
        <v>0</v>
      </c>
      <c r="BM1469" s="11">
        <f t="shared" si="6773"/>
        <v>0</v>
      </c>
      <c r="BN1469" s="11">
        <f t="shared" si="6773"/>
        <v>0</v>
      </c>
      <c r="BO1469" s="25">
        <f>SUM(BO1465:BO1468)</f>
        <v>0</v>
      </c>
      <c r="BQ1469" s="10">
        <f>SUM(BQ1465:BQ1468)</f>
        <v>0</v>
      </c>
      <c r="BR1469" s="11">
        <f t="shared" ref="BR1469:BU1469" si="6774">SUM(BR1465:BR1468)</f>
        <v>0</v>
      </c>
      <c r="BS1469" s="11">
        <f t="shared" si="6774"/>
        <v>0</v>
      </c>
      <c r="BT1469" s="11">
        <f t="shared" si="6774"/>
        <v>0</v>
      </c>
      <c r="BU1469" s="11">
        <f t="shared" si="6774"/>
        <v>0</v>
      </c>
      <c r="BV1469" s="25">
        <f>SUM(BV1465:BV1468)</f>
        <v>0</v>
      </c>
      <c r="BX1469" s="10">
        <f>SUM(BX1465:BX1468)</f>
        <v>0</v>
      </c>
      <c r="BY1469" s="11">
        <f t="shared" ref="BY1469:CB1469" si="6775">SUM(BY1465:BY1468)</f>
        <v>0</v>
      </c>
      <c r="BZ1469" s="11">
        <f t="shared" si="6775"/>
        <v>0</v>
      </c>
      <c r="CA1469" s="11">
        <f t="shared" si="6775"/>
        <v>0</v>
      </c>
      <c r="CB1469" s="11">
        <f t="shared" si="6775"/>
        <v>0</v>
      </c>
      <c r="CC1469" s="25">
        <f>SUM(CC1465:CC1468)</f>
        <v>0</v>
      </c>
      <c r="CE1469" s="62">
        <f t="shared" ref="CE1469:CJ1469" si="6776">SUM(CE1465:CE1468)</f>
        <v>0</v>
      </c>
      <c r="CF1469" s="63">
        <f t="shared" si="6776"/>
        <v>0</v>
      </c>
      <c r="CG1469" s="63">
        <f t="shared" si="6776"/>
        <v>0</v>
      </c>
      <c r="CH1469" s="63">
        <f t="shared" si="6776"/>
        <v>0</v>
      </c>
      <c r="CI1469" s="63">
        <f t="shared" si="6776"/>
        <v>0</v>
      </c>
      <c r="CJ1469" s="25">
        <f t="shared" si="6776"/>
        <v>0</v>
      </c>
      <c r="CL1469" s="10">
        <f>SUM(CL1465:CL1468)</f>
        <v>0</v>
      </c>
      <c r="CM1469" s="11">
        <f t="shared" ref="CM1469:CP1469" si="6777">SUM(CM1465:CM1468)</f>
        <v>0</v>
      </c>
      <c r="CN1469" s="11">
        <f t="shared" si="6777"/>
        <v>0</v>
      </c>
      <c r="CO1469" s="11">
        <f t="shared" si="6777"/>
        <v>0</v>
      </c>
      <c r="CP1469" s="11">
        <f t="shared" si="6777"/>
        <v>0</v>
      </c>
      <c r="CQ1469" s="25">
        <f>SUM(CQ1465:CQ1468)</f>
        <v>0</v>
      </c>
      <c r="CS1469" s="10">
        <f>SUM(CS1465:CS1468)</f>
        <v>0</v>
      </c>
      <c r="CT1469" s="11">
        <f t="shared" ref="CT1469:CW1469" si="6778">SUM(CT1465:CT1468)</f>
        <v>0</v>
      </c>
      <c r="CU1469" s="11">
        <f t="shared" si="6778"/>
        <v>0</v>
      </c>
      <c r="CV1469" s="11">
        <f t="shared" si="6778"/>
        <v>0</v>
      </c>
      <c r="CW1469" s="11">
        <f t="shared" si="6778"/>
        <v>0</v>
      </c>
      <c r="CX1469" s="25">
        <f>SUM(CX1465:CX1468)</f>
        <v>0</v>
      </c>
      <c r="CZ1469" s="10">
        <f>SUM(CZ1465:CZ1468)</f>
        <v>0</v>
      </c>
      <c r="DA1469" s="11">
        <f t="shared" ref="DA1469:DD1469" si="6779">SUM(DA1465:DA1468)</f>
        <v>0</v>
      </c>
      <c r="DB1469" s="11">
        <f t="shared" si="6779"/>
        <v>0</v>
      </c>
      <c r="DC1469" s="11">
        <f t="shared" si="6779"/>
        <v>0</v>
      </c>
      <c r="DD1469" s="11">
        <f t="shared" si="6779"/>
        <v>0</v>
      </c>
      <c r="DE1469" s="25">
        <f>SUM(DE1465:DE1468)</f>
        <v>0</v>
      </c>
    </row>
    <row r="1470" spans="3:109" ht="10.4" customHeight="1" thickBot="1"/>
    <row r="1471" spans="3:109">
      <c r="C1471" s="553">
        <v>2028</v>
      </c>
      <c r="E1471" s="1" t="s">
        <v>59</v>
      </c>
      <c r="F1471" s="21">
        <f>CE1465</f>
        <v>0</v>
      </c>
      <c r="G1471" s="22">
        <f t="shared" ref="G1471:G1474" si="6780">CF1465</f>
        <v>0</v>
      </c>
      <c r="H1471" s="22">
        <f t="shared" ref="H1471:H1474" si="6781">CG1465</f>
        <v>0</v>
      </c>
      <c r="I1471" s="22">
        <f t="shared" ref="I1471:I1474" si="6782">CH1465</f>
        <v>0</v>
      </c>
      <c r="J1471" s="22">
        <f t="shared" ref="J1471:J1474" si="6783">CI1465</f>
        <v>0</v>
      </c>
      <c r="K1471" s="4">
        <f>SUM(F1471:J1471)</f>
        <v>0</v>
      </c>
      <c r="M1471" s="2"/>
      <c r="N1471" s="3"/>
      <c r="O1471" s="3"/>
      <c r="P1471" s="3"/>
      <c r="Q1471" s="3"/>
      <c r="R1471" s="4">
        <f>SUM(M1471:Q1471)</f>
        <v>0</v>
      </c>
      <c r="T1471" s="2"/>
      <c r="U1471" s="3"/>
      <c r="V1471" s="3"/>
      <c r="W1471" s="3"/>
      <c r="X1471" s="3"/>
      <c r="Y1471" s="4">
        <f>SUM(T1471:X1471)</f>
        <v>0</v>
      </c>
      <c r="AA1471" s="2"/>
      <c r="AB1471" s="3"/>
      <c r="AC1471" s="3"/>
      <c r="AD1471" s="3"/>
      <c r="AE1471" s="3"/>
      <c r="AF1471" s="4">
        <f>SUM(AA1471:AE1471)</f>
        <v>0</v>
      </c>
      <c r="AH1471" s="2"/>
      <c r="AI1471" s="3"/>
      <c r="AJ1471" s="3"/>
      <c r="AK1471" s="3"/>
      <c r="AL1471" s="3"/>
      <c r="AM1471" s="4">
        <f>SUM(AH1471:AL1471)</f>
        <v>0</v>
      </c>
      <c r="AO1471" s="2"/>
      <c r="AP1471" s="3"/>
      <c r="AQ1471" s="3"/>
      <c r="AR1471" s="3"/>
      <c r="AS1471" s="3"/>
      <c r="AT1471" s="4">
        <f>SUM(AO1471:AS1471)</f>
        <v>0</v>
      </c>
      <c r="AV1471" s="2"/>
      <c r="AW1471" s="3"/>
      <c r="AX1471" s="3"/>
      <c r="AY1471" s="3"/>
      <c r="AZ1471" s="3"/>
      <c r="BA1471" s="4">
        <f>SUM(AV1471:AZ1471)</f>
        <v>0</v>
      </c>
      <c r="BC1471" s="2"/>
      <c r="BD1471" s="3"/>
      <c r="BE1471" s="3"/>
      <c r="BF1471" s="3"/>
      <c r="BG1471" s="3"/>
      <c r="BH1471" s="4">
        <f>SUM(BC1471:BG1471)</f>
        <v>0</v>
      </c>
      <c r="BJ1471" s="2"/>
      <c r="BK1471" s="3"/>
      <c r="BL1471" s="3"/>
      <c r="BM1471" s="3"/>
      <c r="BN1471" s="3"/>
      <c r="BO1471" s="4">
        <f>SUM(BJ1471:BN1471)</f>
        <v>0</v>
      </c>
      <c r="BQ1471" s="2"/>
      <c r="BR1471" s="3"/>
      <c r="BS1471" s="3"/>
      <c r="BT1471" s="3"/>
      <c r="BU1471" s="3"/>
      <c r="BV1471" s="4">
        <f>SUM(BQ1471:BU1471)</f>
        <v>0</v>
      </c>
      <c r="BX1471" s="2"/>
      <c r="BY1471" s="3"/>
      <c r="BZ1471" s="3"/>
      <c r="CA1471" s="3"/>
      <c r="CB1471" s="3"/>
      <c r="CC1471" s="4">
        <f>SUM(BX1471:CB1471)</f>
        <v>0</v>
      </c>
      <c r="CE1471" s="26">
        <f t="shared" ref="CE1471:CE1474" si="6784">F1471+M1471+T1471+AA1471+AH1471+AO1471+AV1471+BC1471+BJ1471+BQ1471+BX1471</f>
        <v>0</v>
      </c>
      <c r="CF1471" s="27">
        <f t="shared" ref="CF1471:CF1474" si="6785">G1471+N1471+U1471+AB1471+AI1471+AP1471+AW1471+BD1471+BK1471+BR1471+BY1471</f>
        <v>0</v>
      </c>
      <c r="CG1471" s="27">
        <f t="shared" ref="CG1471:CG1474" si="6786">H1471+O1471+V1471+AC1471+AJ1471+AQ1471+AX1471+BE1471+BL1471+BS1471+BZ1471</f>
        <v>0</v>
      </c>
      <c r="CH1471" s="27">
        <f t="shared" ref="CH1471:CH1474" si="6787">I1471+P1471+W1471+AD1471+AK1471+AR1471+AY1471+BF1471+BM1471+BT1471+CA1471</f>
        <v>0</v>
      </c>
      <c r="CI1471" s="27">
        <f t="shared" ref="CI1471:CI1474" si="6788">J1471+Q1471+X1471+AE1471+AL1471+AS1471+AZ1471+BG1471+BN1471+BU1471+CB1471</f>
        <v>0</v>
      </c>
      <c r="CJ1471" s="4">
        <f>SUM(CE1471:CI1471)</f>
        <v>0</v>
      </c>
      <c r="CL1471" s="2"/>
      <c r="CM1471" s="3"/>
      <c r="CN1471" s="3"/>
      <c r="CO1471" s="3"/>
      <c r="CP1471" s="3"/>
      <c r="CQ1471" s="4">
        <f>SUM(CL1471:CP1471)</f>
        <v>0</v>
      </c>
      <c r="CS1471" s="2"/>
      <c r="CT1471" s="3"/>
      <c r="CU1471" s="3"/>
      <c r="CV1471" s="3"/>
      <c r="CW1471" s="3"/>
      <c r="CX1471" s="4">
        <f>SUM(CS1471:CW1471)</f>
        <v>0</v>
      </c>
      <c r="CZ1471" s="2"/>
      <c r="DA1471" s="3"/>
      <c r="DB1471" s="3"/>
      <c r="DC1471" s="3"/>
      <c r="DD1471" s="3"/>
      <c r="DE1471" s="4">
        <f>SUM(CZ1471:DD1471)</f>
        <v>0</v>
      </c>
    </row>
    <row r="1472" spans="3:109">
      <c r="C1472" s="567"/>
      <c r="E1472" s="5" t="s">
        <v>60</v>
      </c>
      <c r="F1472" s="23">
        <f t="shared" ref="F1472:F1474" si="6789">CE1466</f>
        <v>0</v>
      </c>
      <c r="G1472" s="24">
        <f t="shared" si="6780"/>
        <v>0</v>
      </c>
      <c r="H1472" s="24">
        <f t="shared" si="6781"/>
        <v>0</v>
      </c>
      <c r="I1472" s="24">
        <f t="shared" si="6782"/>
        <v>0</v>
      </c>
      <c r="J1472" s="24">
        <f t="shared" si="6783"/>
        <v>0</v>
      </c>
      <c r="K1472" s="8">
        <f t="shared" ref="K1472:K1474" si="6790">SUM(F1472:J1472)</f>
        <v>0</v>
      </c>
      <c r="M1472" s="6"/>
      <c r="N1472" s="7"/>
      <c r="O1472" s="7"/>
      <c r="P1472" s="7"/>
      <c r="Q1472" s="7"/>
      <c r="R1472" s="8">
        <f t="shared" ref="R1472:R1474" si="6791">SUM(M1472:Q1472)</f>
        <v>0</v>
      </c>
      <c r="T1472" s="6"/>
      <c r="U1472" s="7"/>
      <c r="V1472" s="7"/>
      <c r="W1472" s="7"/>
      <c r="X1472" s="7"/>
      <c r="Y1472" s="8">
        <f t="shared" ref="Y1472:Y1474" si="6792">SUM(T1472:X1472)</f>
        <v>0</v>
      </c>
      <c r="AA1472" s="6"/>
      <c r="AB1472" s="7"/>
      <c r="AC1472" s="7"/>
      <c r="AD1472" s="7"/>
      <c r="AE1472" s="7"/>
      <c r="AF1472" s="8">
        <f>SUM(AA1472:AE1472)</f>
        <v>0</v>
      </c>
      <c r="AH1472" s="6"/>
      <c r="AI1472" s="7"/>
      <c r="AJ1472" s="7"/>
      <c r="AK1472" s="7"/>
      <c r="AL1472" s="7"/>
      <c r="AM1472" s="8">
        <f>SUM(AH1472:AL1472)</f>
        <v>0</v>
      </c>
      <c r="AO1472" s="6"/>
      <c r="AP1472" s="7"/>
      <c r="AQ1472" s="7"/>
      <c r="AR1472" s="7"/>
      <c r="AS1472" s="7"/>
      <c r="AT1472" s="8">
        <f>SUM(AO1472:AS1472)</f>
        <v>0</v>
      </c>
      <c r="AV1472" s="6"/>
      <c r="AW1472" s="7"/>
      <c r="AX1472" s="7"/>
      <c r="AY1472" s="7"/>
      <c r="AZ1472" s="7"/>
      <c r="BA1472" s="8">
        <f>SUM(AV1472:AZ1472)</f>
        <v>0</v>
      </c>
      <c r="BC1472" s="6"/>
      <c r="BD1472" s="7"/>
      <c r="BE1472" s="7"/>
      <c r="BF1472" s="7"/>
      <c r="BG1472" s="7"/>
      <c r="BH1472" s="8">
        <f>SUM(BC1472:BG1472)</f>
        <v>0</v>
      </c>
      <c r="BJ1472" s="6"/>
      <c r="BK1472" s="7"/>
      <c r="BL1472" s="7"/>
      <c r="BM1472" s="7"/>
      <c r="BN1472" s="7"/>
      <c r="BO1472" s="8">
        <f>SUM(BJ1472:BN1472)</f>
        <v>0</v>
      </c>
      <c r="BQ1472" s="6"/>
      <c r="BR1472" s="7"/>
      <c r="BS1472" s="7"/>
      <c r="BT1472" s="7"/>
      <c r="BU1472" s="7"/>
      <c r="BV1472" s="8">
        <f>SUM(BQ1472:BU1472)</f>
        <v>0</v>
      </c>
      <c r="BX1472" s="6"/>
      <c r="BY1472" s="7"/>
      <c r="BZ1472" s="7"/>
      <c r="CA1472" s="7"/>
      <c r="CB1472" s="7"/>
      <c r="CC1472" s="8">
        <f>SUM(BX1472:CB1472)</f>
        <v>0</v>
      </c>
      <c r="CE1472" s="28">
        <f t="shared" si="6784"/>
        <v>0</v>
      </c>
      <c r="CF1472" s="29">
        <f t="shared" si="6785"/>
        <v>0</v>
      </c>
      <c r="CG1472" s="29">
        <f t="shared" si="6786"/>
        <v>0</v>
      </c>
      <c r="CH1472" s="29">
        <f t="shared" si="6787"/>
        <v>0</v>
      </c>
      <c r="CI1472" s="29">
        <f t="shared" si="6788"/>
        <v>0</v>
      </c>
      <c r="CJ1472" s="8">
        <f>SUM(CE1472:CI1472)</f>
        <v>0</v>
      </c>
      <c r="CL1472" s="6"/>
      <c r="CM1472" s="7"/>
      <c r="CN1472" s="7"/>
      <c r="CO1472" s="7"/>
      <c r="CP1472" s="7"/>
      <c r="CQ1472" s="8">
        <f>SUM(CL1472:CP1472)</f>
        <v>0</v>
      </c>
      <c r="CS1472" s="6"/>
      <c r="CT1472" s="7"/>
      <c r="CU1472" s="7"/>
      <c r="CV1472" s="7"/>
      <c r="CW1472" s="7"/>
      <c r="CX1472" s="8">
        <f t="shared" ref="CX1472:CX1474" si="6793">SUM(CS1472:CW1472)</f>
        <v>0</v>
      </c>
      <c r="CZ1472" s="6"/>
      <c r="DA1472" s="7"/>
      <c r="DB1472" s="7"/>
      <c r="DC1472" s="7"/>
      <c r="DD1472" s="7"/>
      <c r="DE1472" s="8">
        <f t="shared" ref="DE1472:DE1474" si="6794">SUM(CZ1472:DD1472)</f>
        <v>0</v>
      </c>
    </row>
    <row r="1473" spans="2:110">
      <c r="C1473" s="567"/>
      <c r="E1473" s="5" t="s">
        <v>61</v>
      </c>
      <c r="F1473" s="23">
        <f t="shared" si="6789"/>
        <v>0</v>
      </c>
      <c r="G1473" s="24">
        <f t="shared" si="6780"/>
        <v>0</v>
      </c>
      <c r="H1473" s="24">
        <f t="shared" si="6781"/>
        <v>0</v>
      </c>
      <c r="I1473" s="24">
        <f t="shared" si="6782"/>
        <v>0</v>
      </c>
      <c r="J1473" s="24">
        <f t="shared" si="6783"/>
        <v>0</v>
      </c>
      <c r="K1473" s="8">
        <f t="shared" si="6790"/>
        <v>0</v>
      </c>
      <c r="M1473" s="6"/>
      <c r="N1473" s="7"/>
      <c r="O1473" s="7"/>
      <c r="P1473" s="7"/>
      <c r="Q1473" s="7"/>
      <c r="R1473" s="8">
        <f t="shared" si="6791"/>
        <v>0</v>
      </c>
      <c r="T1473" s="6"/>
      <c r="U1473" s="7"/>
      <c r="V1473" s="7"/>
      <c r="W1473" s="7"/>
      <c r="X1473" s="7"/>
      <c r="Y1473" s="8">
        <f t="shared" si="6792"/>
        <v>0</v>
      </c>
      <c r="AA1473" s="6"/>
      <c r="AB1473" s="7"/>
      <c r="AC1473" s="7"/>
      <c r="AD1473" s="7"/>
      <c r="AE1473" s="7"/>
      <c r="AF1473" s="8">
        <f>SUM(AA1473:AE1473)</f>
        <v>0</v>
      </c>
      <c r="AH1473" s="6"/>
      <c r="AI1473" s="7"/>
      <c r="AJ1473" s="7"/>
      <c r="AK1473" s="7"/>
      <c r="AL1473" s="7"/>
      <c r="AM1473" s="8">
        <f>SUM(AH1473:AL1473)</f>
        <v>0</v>
      </c>
      <c r="AO1473" s="6"/>
      <c r="AP1473" s="7"/>
      <c r="AQ1473" s="7"/>
      <c r="AR1473" s="7"/>
      <c r="AS1473" s="7"/>
      <c r="AT1473" s="8">
        <f>SUM(AO1473:AS1473)</f>
        <v>0</v>
      </c>
      <c r="AV1473" s="6"/>
      <c r="AW1473" s="7"/>
      <c r="AX1473" s="7"/>
      <c r="AY1473" s="7"/>
      <c r="AZ1473" s="7"/>
      <c r="BA1473" s="8">
        <f>SUM(AV1473:AZ1473)</f>
        <v>0</v>
      </c>
      <c r="BC1473" s="6"/>
      <c r="BD1473" s="7"/>
      <c r="BE1473" s="7"/>
      <c r="BF1473" s="7"/>
      <c r="BG1473" s="7"/>
      <c r="BH1473" s="8">
        <f>SUM(BC1473:BG1473)</f>
        <v>0</v>
      </c>
      <c r="BJ1473" s="6"/>
      <c r="BK1473" s="7"/>
      <c r="BL1473" s="7"/>
      <c r="BM1473" s="7"/>
      <c r="BN1473" s="7"/>
      <c r="BO1473" s="8">
        <f>SUM(BJ1473:BN1473)</f>
        <v>0</v>
      </c>
      <c r="BQ1473" s="6"/>
      <c r="BR1473" s="7"/>
      <c r="BS1473" s="7"/>
      <c r="BT1473" s="7"/>
      <c r="BU1473" s="7"/>
      <c r="BV1473" s="8">
        <f>SUM(BQ1473:BU1473)</f>
        <v>0</v>
      </c>
      <c r="BX1473" s="6"/>
      <c r="BY1473" s="7"/>
      <c r="BZ1473" s="7"/>
      <c r="CA1473" s="7"/>
      <c r="CB1473" s="7"/>
      <c r="CC1473" s="8">
        <f>SUM(BX1473:CB1473)</f>
        <v>0</v>
      </c>
      <c r="CE1473" s="28">
        <f t="shared" si="6784"/>
        <v>0</v>
      </c>
      <c r="CF1473" s="29">
        <f t="shared" si="6785"/>
        <v>0</v>
      </c>
      <c r="CG1473" s="29">
        <f t="shared" si="6786"/>
        <v>0</v>
      </c>
      <c r="CH1473" s="29">
        <f t="shared" si="6787"/>
        <v>0</v>
      </c>
      <c r="CI1473" s="29">
        <f t="shared" si="6788"/>
        <v>0</v>
      </c>
      <c r="CJ1473" s="8">
        <f>SUM(CE1473:CI1473)</f>
        <v>0</v>
      </c>
      <c r="CL1473" s="6"/>
      <c r="CM1473" s="7"/>
      <c r="CN1473" s="7"/>
      <c r="CO1473" s="7"/>
      <c r="CP1473" s="7"/>
      <c r="CQ1473" s="8">
        <f>SUM(CL1473:CP1473)</f>
        <v>0</v>
      </c>
      <c r="CS1473" s="6"/>
      <c r="CT1473" s="7"/>
      <c r="CU1473" s="7"/>
      <c r="CV1473" s="7"/>
      <c r="CW1473" s="7"/>
      <c r="CX1473" s="8">
        <f t="shared" si="6793"/>
        <v>0</v>
      </c>
      <c r="CZ1473" s="6"/>
      <c r="DA1473" s="7"/>
      <c r="DB1473" s="7"/>
      <c r="DC1473" s="7"/>
      <c r="DD1473" s="7"/>
      <c r="DE1473" s="8">
        <f t="shared" si="6794"/>
        <v>0</v>
      </c>
    </row>
    <row r="1474" spans="2:110" ht="14" thickBot="1">
      <c r="C1474" s="567"/>
      <c r="E1474" s="5" t="s">
        <v>62</v>
      </c>
      <c r="F1474" s="23">
        <f t="shared" si="6789"/>
        <v>0</v>
      </c>
      <c r="G1474" s="24">
        <f t="shared" si="6780"/>
        <v>0</v>
      </c>
      <c r="H1474" s="24">
        <f t="shared" si="6781"/>
        <v>0</v>
      </c>
      <c r="I1474" s="24">
        <f t="shared" si="6782"/>
        <v>0</v>
      </c>
      <c r="J1474" s="24">
        <f t="shared" si="6783"/>
        <v>0</v>
      </c>
      <c r="K1474" s="8">
        <f t="shared" si="6790"/>
        <v>0</v>
      </c>
      <c r="M1474" s="6"/>
      <c r="N1474" s="7"/>
      <c r="O1474" s="7"/>
      <c r="P1474" s="7"/>
      <c r="Q1474" s="7"/>
      <c r="R1474" s="8">
        <f t="shared" si="6791"/>
        <v>0</v>
      </c>
      <c r="T1474" s="6"/>
      <c r="U1474" s="7"/>
      <c r="V1474" s="7"/>
      <c r="W1474" s="7"/>
      <c r="X1474" s="7"/>
      <c r="Y1474" s="8">
        <f t="shared" si="6792"/>
        <v>0</v>
      </c>
      <c r="AA1474" s="6"/>
      <c r="AB1474" s="7"/>
      <c r="AC1474" s="7"/>
      <c r="AD1474" s="7"/>
      <c r="AE1474" s="7"/>
      <c r="AF1474" s="8">
        <f>SUM(AA1474:AE1474)</f>
        <v>0</v>
      </c>
      <c r="AH1474" s="6"/>
      <c r="AI1474" s="7"/>
      <c r="AJ1474" s="7"/>
      <c r="AK1474" s="7"/>
      <c r="AL1474" s="7"/>
      <c r="AM1474" s="8">
        <f>SUM(AH1474:AL1474)</f>
        <v>0</v>
      </c>
      <c r="AO1474" s="6"/>
      <c r="AP1474" s="7"/>
      <c r="AQ1474" s="7"/>
      <c r="AR1474" s="7"/>
      <c r="AS1474" s="7"/>
      <c r="AT1474" s="8">
        <f>SUM(AO1474:AS1474)</f>
        <v>0</v>
      </c>
      <c r="AV1474" s="6"/>
      <c r="AW1474" s="7"/>
      <c r="AX1474" s="7"/>
      <c r="AY1474" s="7"/>
      <c r="AZ1474" s="7"/>
      <c r="BA1474" s="8">
        <f>SUM(AV1474:AZ1474)</f>
        <v>0</v>
      </c>
      <c r="BC1474" s="6"/>
      <c r="BD1474" s="7"/>
      <c r="BE1474" s="7"/>
      <c r="BF1474" s="7"/>
      <c r="BG1474" s="7"/>
      <c r="BH1474" s="8">
        <f>SUM(BC1474:BG1474)</f>
        <v>0</v>
      </c>
      <c r="BJ1474" s="6"/>
      <c r="BK1474" s="7"/>
      <c r="BL1474" s="7"/>
      <c r="BM1474" s="7"/>
      <c r="BN1474" s="7"/>
      <c r="BO1474" s="8">
        <f>SUM(BJ1474:BN1474)</f>
        <v>0</v>
      </c>
      <c r="BQ1474" s="6"/>
      <c r="BR1474" s="7"/>
      <c r="BS1474" s="7"/>
      <c r="BT1474" s="7"/>
      <c r="BU1474" s="7"/>
      <c r="BV1474" s="8">
        <f>SUM(BQ1474:BU1474)</f>
        <v>0</v>
      </c>
      <c r="BX1474" s="6"/>
      <c r="BY1474" s="7"/>
      <c r="BZ1474" s="7"/>
      <c r="CA1474" s="7"/>
      <c r="CB1474" s="7"/>
      <c r="CC1474" s="8">
        <f>SUM(BX1474:CB1474)</f>
        <v>0</v>
      </c>
      <c r="CE1474" s="493">
        <f t="shared" si="6784"/>
        <v>0</v>
      </c>
      <c r="CF1474" s="494">
        <f t="shared" si="6785"/>
        <v>0</v>
      </c>
      <c r="CG1474" s="494">
        <f t="shared" si="6786"/>
        <v>0</v>
      </c>
      <c r="CH1474" s="494">
        <f t="shared" si="6787"/>
        <v>0</v>
      </c>
      <c r="CI1474" s="494">
        <f t="shared" si="6788"/>
        <v>0</v>
      </c>
      <c r="CJ1474" s="495">
        <f>SUM(CE1474:CI1474)</f>
        <v>0</v>
      </c>
      <c r="CL1474" s="6"/>
      <c r="CM1474" s="7"/>
      <c r="CN1474" s="7"/>
      <c r="CO1474" s="7"/>
      <c r="CP1474" s="7"/>
      <c r="CQ1474" s="8">
        <f>SUM(CL1474:CP1474)</f>
        <v>0</v>
      </c>
      <c r="CS1474" s="6"/>
      <c r="CT1474" s="7"/>
      <c r="CU1474" s="7"/>
      <c r="CV1474" s="7"/>
      <c r="CW1474" s="7"/>
      <c r="CX1474" s="8">
        <f t="shared" si="6793"/>
        <v>0</v>
      </c>
      <c r="CZ1474" s="6"/>
      <c r="DA1474" s="7"/>
      <c r="DB1474" s="7"/>
      <c r="DC1474" s="7"/>
      <c r="DD1474" s="7"/>
      <c r="DE1474" s="8">
        <f t="shared" si="6794"/>
        <v>0</v>
      </c>
    </row>
    <row r="1475" spans="2:110" ht="14" thickBot="1">
      <c r="C1475" s="554"/>
      <c r="E1475" s="9"/>
      <c r="F1475" s="10">
        <f>SUM(F1471:F1474)</f>
        <v>0</v>
      </c>
      <c r="G1475" s="11">
        <f t="shared" ref="G1475:J1475" si="6795">SUM(G1471:G1474)</f>
        <v>0</v>
      </c>
      <c r="H1475" s="11">
        <f t="shared" si="6795"/>
        <v>0</v>
      </c>
      <c r="I1475" s="11">
        <f t="shared" si="6795"/>
        <v>0</v>
      </c>
      <c r="J1475" s="11">
        <f t="shared" si="6795"/>
        <v>0</v>
      </c>
      <c r="K1475" s="25">
        <f>SUM(K1471:K1474)</f>
        <v>0</v>
      </c>
      <c r="M1475" s="10">
        <f>SUM(M1471:M1474)</f>
        <v>0</v>
      </c>
      <c r="N1475" s="11">
        <f t="shared" ref="N1475:Q1475" si="6796">SUM(N1471:N1474)</f>
        <v>0</v>
      </c>
      <c r="O1475" s="11">
        <f t="shared" si="6796"/>
        <v>0</v>
      </c>
      <c r="P1475" s="11">
        <f t="shared" si="6796"/>
        <v>0</v>
      </c>
      <c r="Q1475" s="11">
        <f t="shared" si="6796"/>
        <v>0</v>
      </c>
      <c r="R1475" s="25">
        <f>SUM(R1471:R1474)</f>
        <v>0</v>
      </c>
      <c r="T1475" s="10">
        <f>SUM(T1471:T1474)</f>
        <v>0</v>
      </c>
      <c r="U1475" s="11">
        <f t="shared" ref="U1475:X1475" si="6797">SUM(U1471:U1474)</f>
        <v>0</v>
      </c>
      <c r="V1475" s="11">
        <f t="shared" si="6797"/>
        <v>0</v>
      </c>
      <c r="W1475" s="11">
        <f t="shared" si="6797"/>
        <v>0</v>
      </c>
      <c r="X1475" s="11">
        <f t="shared" si="6797"/>
        <v>0</v>
      </c>
      <c r="Y1475" s="25">
        <f>SUM(Y1471:Y1474)</f>
        <v>0</v>
      </c>
      <c r="AA1475" s="10">
        <f>SUM(AA1471:AA1474)</f>
        <v>0</v>
      </c>
      <c r="AB1475" s="11">
        <f t="shared" ref="AB1475:AE1475" si="6798">SUM(AB1471:AB1474)</f>
        <v>0</v>
      </c>
      <c r="AC1475" s="11">
        <f t="shared" si="6798"/>
        <v>0</v>
      </c>
      <c r="AD1475" s="11">
        <f t="shared" si="6798"/>
        <v>0</v>
      </c>
      <c r="AE1475" s="11">
        <f t="shared" si="6798"/>
        <v>0</v>
      </c>
      <c r="AF1475" s="25">
        <f>SUM(AF1471:AF1474)</f>
        <v>0</v>
      </c>
      <c r="AH1475" s="10">
        <f>SUM(AH1471:AH1474)</f>
        <v>0</v>
      </c>
      <c r="AI1475" s="11">
        <f t="shared" ref="AI1475:AL1475" si="6799">SUM(AI1471:AI1474)</f>
        <v>0</v>
      </c>
      <c r="AJ1475" s="11">
        <f t="shared" si="6799"/>
        <v>0</v>
      </c>
      <c r="AK1475" s="11">
        <f t="shared" si="6799"/>
        <v>0</v>
      </c>
      <c r="AL1475" s="11">
        <f t="shared" si="6799"/>
        <v>0</v>
      </c>
      <c r="AM1475" s="25">
        <f>SUM(AM1471:AM1474)</f>
        <v>0</v>
      </c>
      <c r="AO1475" s="10">
        <f>SUM(AO1471:AO1474)</f>
        <v>0</v>
      </c>
      <c r="AP1475" s="11">
        <f t="shared" ref="AP1475:AS1475" si="6800">SUM(AP1471:AP1474)</f>
        <v>0</v>
      </c>
      <c r="AQ1475" s="11">
        <f t="shared" si="6800"/>
        <v>0</v>
      </c>
      <c r="AR1475" s="11">
        <f t="shared" si="6800"/>
        <v>0</v>
      </c>
      <c r="AS1475" s="11">
        <f t="shared" si="6800"/>
        <v>0</v>
      </c>
      <c r="AT1475" s="25">
        <f>SUM(AT1471:AT1474)</f>
        <v>0</v>
      </c>
      <c r="AV1475" s="10">
        <f>SUM(AV1471:AV1474)</f>
        <v>0</v>
      </c>
      <c r="AW1475" s="11">
        <f t="shared" ref="AW1475:AZ1475" si="6801">SUM(AW1471:AW1474)</f>
        <v>0</v>
      </c>
      <c r="AX1475" s="11">
        <f t="shared" si="6801"/>
        <v>0</v>
      </c>
      <c r="AY1475" s="11">
        <f t="shared" si="6801"/>
        <v>0</v>
      </c>
      <c r="AZ1475" s="11">
        <f t="shared" si="6801"/>
        <v>0</v>
      </c>
      <c r="BA1475" s="25">
        <f>SUM(BA1471:BA1474)</f>
        <v>0</v>
      </c>
      <c r="BC1475" s="10">
        <f>SUM(BC1471:BC1474)</f>
        <v>0</v>
      </c>
      <c r="BD1475" s="11">
        <f t="shared" ref="BD1475:BG1475" si="6802">SUM(BD1471:BD1474)</f>
        <v>0</v>
      </c>
      <c r="BE1475" s="11">
        <f t="shared" si="6802"/>
        <v>0</v>
      </c>
      <c r="BF1475" s="11">
        <f t="shared" si="6802"/>
        <v>0</v>
      </c>
      <c r="BG1475" s="11">
        <f t="shared" si="6802"/>
        <v>0</v>
      </c>
      <c r="BH1475" s="25">
        <f>SUM(BH1471:BH1474)</f>
        <v>0</v>
      </c>
      <c r="BJ1475" s="10">
        <f>SUM(BJ1471:BJ1474)</f>
        <v>0</v>
      </c>
      <c r="BK1475" s="11">
        <f t="shared" ref="BK1475:BN1475" si="6803">SUM(BK1471:BK1474)</f>
        <v>0</v>
      </c>
      <c r="BL1475" s="11">
        <f t="shared" si="6803"/>
        <v>0</v>
      </c>
      <c r="BM1475" s="11">
        <f t="shared" si="6803"/>
        <v>0</v>
      </c>
      <c r="BN1475" s="11">
        <f t="shared" si="6803"/>
        <v>0</v>
      </c>
      <c r="BO1475" s="25">
        <f>SUM(BO1471:BO1474)</f>
        <v>0</v>
      </c>
      <c r="BQ1475" s="10">
        <f>SUM(BQ1471:BQ1474)</f>
        <v>0</v>
      </c>
      <c r="BR1475" s="11">
        <f t="shared" ref="BR1475:BU1475" si="6804">SUM(BR1471:BR1474)</f>
        <v>0</v>
      </c>
      <c r="BS1475" s="11">
        <f t="shared" si="6804"/>
        <v>0</v>
      </c>
      <c r="BT1475" s="11">
        <f t="shared" si="6804"/>
        <v>0</v>
      </c>
      <c r="BU1475" s="11">
        <f t="shared" si="6804"/>
        <v>0</v>
      </c>
      <c r="BV1475" s="25">
        <f>SUM(BV1471:BV1474)</f>
        <v>0</v>
      </c>
      <c r="BX1475" s="10">
        <f>SUM(BX1471:BX1474)</f>
        <v>0</v>
      </c>
      <c r="BY1475" s="11">
        <f t="shared" ref="BY1475:CB1475" si="6805">SUM(BY1471:BY1474)</f>
        <v>0</v>
      </c>
      <c r="BZ1475" s="11">
        <f t="shared" si="6805"/>
        <v>0</v>
      </c>
      <c r="CA1475" s="11">
        <f t="shared" si="6805"/>
        <v>0</v>
      </c>
      <c r="CB1475" s="11">
        <f t="shared" si="6805"/>
        <v>0</v>
      </c>
      <c r="CC1475" s="25">
        <f>SUM(CC1471:CC1474)</f>
        <v>0</v>
      </c>
      <c r="CE1475" s="62">
        <f t="shared" ref="CE1475:CJ1475" si="6806">SUM(CE1471:CE1474)</f>
        <v>0</v>
      </c>
      <c r="CF1475" s="63">
        <f t="shared" si="6806"/>
        <v>0</v>
      </c>
      <c r="CG1475" s="63">
        <f t="shared" si="6806"/>
        <v>0</v>
      </c>
      <c r="CH1475" s="63">
        <f t="shared" si="6806"/>
        <v>0</v>
      </c>
      <c r="CI1475" s="63">
        <f t="shared" si="6806"/>
        <v>0</v>
      </c>
      <c r="CJ1475" s="25">
        <f t="shared" si="6806"/>
        <v>0</v>
      </c>
      <c r="CL1475" s="10">
        <f>SUM(CL1471:CL1474)</f>
        <v>0</v>
      </c>
      <c r="CM1475" s="11">
        <f t="shared" ref="CM1475:CP1475" si="6807">SUM(CM1471:CM1474)</f>
        <v>0</v>
      </c>
      <c r="CN1475" s="11">
        <f t="shared" si="6807"/>
        <v>0</v>
      </c>
      <c r="CO1475" s="11">
        <f t="shared" si="6807"/>
        <v>0</v>
      </c>
      <c r="CP1475" s="11">
        <f t="shared" si="6807"/>
        <v>0</v>
      </c>
      <c r="CQ1475" s="25">
        <f>SUM(CQ1471:CQ1474)</f>
        <v>0</v>
      </c>
      <c r="CS1475" s="10">
        <f>SUM(CS1471:CS1474)</f>
        <v>0</v>
      </c>
      <c r="CT1475" s="11">
        <f t="shared" ref="CT1475:CW1475" si="6808">SUM(CT1471:CT1474)</f>
        <v>0</v>
      </c>
      <c r="CU1475" s="11">
        <f t="shared" si="6808"/>
        <v>0</v>
      </c>
      <c r="CV1475" s="11">
        <f t="shared" si="6808"/>
        <v>0</v>
      </c>
      <c r="CW1475" s="11">
        <f t="shared" si="6808"/>
        <v>0</v>
      </c>
      <c r="CX1475" s="25">
        <f>SUM(CX1471:CX1474)</f>
        <v>0</v>
      </c>
      <c r="CZ1475" s="10">
        <f>SUM(CZ1471:CZ1474)</f>
        <v>0</v>
      </c>
      <c r="DA1475" s="11">
        <f t="shared" ref="DA1475:DD1475" si="6809">SUM(DA1471:DA1474)</f>
        <v>0</v>
      </c>
      <c r="DB1475" s="11">
        <f t="shared" si="6809"/>
        <v>0</v>
      </c>
      <c r="DC1475" s="11">
        <f t="shared" si="6809"/>
        <v>0</v>
      </c>
      <c r="DD1475" s="11">
        <f t="shared" si="6809"/>
        <v>0</v>
      </c>
      <c r="DE1475" s="25">
        <f>SUM(DE1471:DE1474)</f>
        <v>0</v>
      </c>
    </row>
    <row r="1477" spans="2:110">
      <c r="B1477" s="123"/>
      <c r="C1477" s="20"/>
      <c r="D1477" s="20"/>
      <c r="E1477" s="20"/>
      <c r="F1477" s="20"/>
      <c r="G1477" s="20"/>
      <c r="H1477" s="20"/>
      <c r="I1477" s="20"/>
      <c r="J1477" s="20"/>
      <c r="K1477" s="20"/>
      <c r="L1477" s="20"/>
      <c r="M1477" s="20"/>
      <c r="N1477" s="20"/>
      <c r="O1477" s="20"/>
      <c r="P1477" s="20"/>
      <c r="Q1477" s="20"/>
      <c r="R1477" s="20"/>
      <c r="S1477" s="20"/>
      <c r="T1477" s="20"/>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Q1477" s="20"/>
      <c r="BR1477" s="20"/>
      <c r="BS1477" s="20"/>
      <c r="BT1477" s="20"/>
      <c r="BU1477" s="20"/>
      <c r="BV1477" s="20"/>
      <c r="BW1477" s="20"/>
      <c r="BX1477" s="20"/>
      <c r="BY1477" s="20"/>
      <c r="BZ1477" s="20"/>
      <c r="CA1477" s="20"/>
      <c r="CB1477" s="20"/>
      <c r="CC1477" s="20"/>
      <c r="CD1477" s="20"/>
      <c r="CE1477" s="20"/>
      <c r="CF1477" s="20"/>
      <c r="CG1477" s="20"/>
      <c r="CH1477" s="20"/>
      <c r="CI1477" s="20"/>
      <c r="CJ1477" s="20"/>
      <c r="CK1477" s="20"/>
      <c r="CL1477" s="20"/>
      <c r="CM1477" s="20"/>
      <c r="CN1477" s="20"/>
      <c r="CO1477" s="20"/>
      <c r="CP1477" s="20"/>
      <c r="CQ1477" s="20"/>
      <c r="CR1477" s="20"/>
      <c r="CS1477" s="20"/>
      <c r="CT1477" s="20"/>
      <c r="CU1477" s="20"/>
      <c r="CV1477" s="20"/>
      <c r="CW1477" s="20"/>
      <c r="CX1477" s="20"/>
      <c r="CY1477" s="20"/>
      <c r="CZ1477" s="20"/>
      <c r="DA1477" s="20"/>
      <c r="DB1477" s="20"/>
      <c r="DC1477" s="20"/>
      <c r="DD1477" s="20"/>
      <c r="DE1477" s="20"/>
      <c r="DF1477" s="20"/>
    </row>
    <row r="1478" spans="2:110" ht="14" thickBot="1">
      <c r="B1478" s="94">
        <v>47</v>
      </c>
      <c r="C1478" s="12" t="s">
        <v>108</v>
      </c>
    </row>
    <row r="1479" spans="2:110">
      <c r="C1479" s="553">
        <v>2024</v>
      </c>
      <c r="E1479" s="1" t="s">
        <v>59</v>
      </c>
      <c r="F1479" s="2"/>
      <c r="G1479" s="3"/>
      <c r="H1479" s="3"/>
      <c r="I1479" s="3"/>
      <c r="J1479" s="3"/>
      <c r="K1479" s="4">
        <f>SUM(F1479:J1479)</f>
        <v>0</v>
      </c>
      <c r="M1479" s="2"/>
      <c r="N1479" s="3"/>
      <c r="O1479" s="3"/>
      <c r="P1479" s="3"/>
      <c r="Q1479" s="3"/>
      <c r="R1479" s="4">
        <f>SUM(M1479:Q1479)</f>
        <v>0</v>
      </c>
      <c r="T1479" s="2"/>
      <c r="U1479" s="3"/>
      <c r="V1479" s="3"/>
      <c r="W1479" s="3"/>
      <c r="X1479" s="3"/>
      <c r="Y1479" s="4">
        <f>SUM(T1479:X1479)</f>
        <v>0</v>
      </c>
      <c r="AA1479" s="2"/>
      <c r="AB1479" s="3"/>
      <c r="AC1479" s="3"/>
      <c r="AD1479" s="3"/>
      <c r="AE1479" s="3"/>
      <c r="AF1479" s="4">
        <f>SUM(AA1479:AE1479)</f>
        <v>0</v>
      </c>
      <c r="AH1479" s="2"/>
      <c r="AI1479" s="3"/>
      <c r="AJ1479" s="3"/>
      <c r="AK1479" s="3"/>
      <c r="AL1479" s="3"/>
      <c r="AM1479" s="4">
        <f>SUM(AH1479:AL1479)</f>
        <v>0</v>
      </c>
      <c r="AO1479" s="2"/>
      <c r="AP1479" s="3"/>
      <c r="AQ1479" s="3"/>
      <c r="AR1479" s="3"/>
      <c r="AS1479" s="3"/>
      <c r="AT1479" s="4">
        <f>SUM(AO1479:AS1479)</f>
        <v>0</v>
      </c>
      <c r="AV1479" s="2"/>
      <c r="AW1479" s="3"/>
      <c r="AX1479" s="3"/>
      <c r="AY1479" s="3"/>
      <c r="AZ1479" s="3"/>
      <c r="BA1479" s="4">
        <f>SUM(AV1479:AZ1479)</f>
        <v>0</v>
      </c>
      <c r="BC1479" s="2"/>
      <c r="BD1479" s="3"/>
      <c r="BE1479" s="3"/>
      <c r="BF1479" s="3"/>
      <c r="BG1479" s="3"/>
      <c r="BH1479" s="4">
        <f>SUM(BC1479:BG1479)</f>
        <v>0</v>
      </c>
      <c r="BJ1479" s="2"/>
      <c r="BK1479" s="3"/>
      <c r="BL1479" s="3"/>
      <c r="BM1479" s="3"/>
      <c r="BN1479" s="3"/>
      <c r="BO1479" s="4">
        <f>SUM(BJ1479:BN1479)</f>
        <v>0</v>
      </c>
      <c r="BQ1479" s="2"/>
      <c r="BR1479" s="3"/>
      <c r="BS1479" s="3"/>
      <c r="BT1479" s="3"/>
      <c r="BU1479" s="3"/>
      <c r="BV1479" s="4">
        <f>SUM(BQ1479:BU1479)</f>
        <v>0</v>
      </c>
      <c r="BX1479" s="2"/>
      <c r="BY1479" s="3"/>
      <c r="BZ1479" s="3"/>
      <c r="CA1479" s="3"/>
      <c r="CB1479" s="3"/>
      <c r="CC1479" s="4">
        <f>SUM(BX1479:CB1479)</f>
        <v>0</v>
      </c>
      <c r="CE1479" s="26">
        <f t="shared" ref="CE1479:CE1482" si="6810">F1479+M1479+T1479+AA1479+AH1479+AO1479+AV1479+BC1479+BJ1479+BQ1479+BX1479</f>
        <v>0</v>
      </c>
      <c r="CF1479" s="27">
        <f t="shared" ref="CF1479:CF1482" si="6811">G1479+N1479+U1479+AB1479+AI1479+AP1479+AW1479+BD1479+BK1479+BR1479+BY1479</f>
        <v>0</v>
      </c>
      <c r="CG1479" s="27">
        <f t="shared" ref="CG1479:CG1482" si="6812">H1479+O1479+V1479+AC1479+AJ1479+AQ1479+AX1479+BE1479+BL1479+BS1479+BZ1479</f>
        <v>0</v>
      </c>
      <c r="CH1479" s="27">
        <f t="shared" ref="CH1479:CH1482" si="6813">I1479+P1479+W1479+AD1479+AK1479+AR1479+AY1479+BF1479+BM1479+BT1479+CA1479</f>
        <v>0</v>
      </c>
      <c r="CI1479" s="27">
        <f t="shared" ref="CI1479:CI1482" si="6814">J1479+Q1479+X1479+AE1479+AL1479+AS1479+AZ1479+BG1479+BN1479+BU1479+CB1479</f>
        <v>0</v>
      </c>
      <c r="CJ1479" s="4">
        <f>SUM(CE1479:CI1479)</f>
        <v>0</v>
      </c>
      <c r="CL1479" s="2"/>
      <c r="CM1479" s="3"/>
      <c r="CN1479" s="3"/>
      <c r="CO1479" s="3"/>
      <c r="CP1479" s="3"/>
      <c r="CQ1479" s="4">
        <f>SUM(CL1479:CP1479)</f>
        <v>0</v>
      </c>
      <c r="CS1479" s="2"/>
      <c r="CT1479" s="3"/>
      <c r="CU1479" s="3"/>
      <c r="CV1479" s="3"/>
      <c r="CW1479" s="3"/>
      <c r="CX1479" s="4">
        <f>SUM(CS1479:CW1479)</f>
        <v>0</v>
      </c>
      <c r="CZ1479" s="2"/>
      <c r="DA1479" s="3"/>
      <c r="DB1479" s="3"/>
      <c r="DC1479" s="3"/>
      <c r="DD1479" s="3"/>
      <c r="DE1479" s="4">
        <f>SUM(CZ1479:DD1479)</f>
        <v>0</v>
      </c>
    </row>
    <row r="1480" spans="2:110">
      <c r="C1480" s="567"/>
      <c r="E1480" s="5" t="s">
        <v>60</v>
      </c>
      <c r="F1480" s="6"/>
      <c r="G1480" s="7"/>
      <c r="H1480" s="7"/>
      <c r="I1480" s="7"/>
      <c r="J1480" s="7"/>
      <c r="K1480" s="8">
        <f t="shared" ref="K1480:K1482" si="6815">SUM(F1480:J1480)</f>
        <v>0</v>
      </c>
      <c r="M1480" s="6"/>
      <c r="N1480" s="7"/>
      <c r="O1480" s="7"/>
      <c r="P1480" s="7"/>
      <c r="Q1480" s="7"/>
      <c r="R1480" s="8">
        <f t="shared" ref="R1480:R1482" si="6816">SUM(M1480:Q1480)</f>
        <v>0</v>
      </c>
      <c r="T1480" s="6"/>
      <c r="U1480" s="7"/>
      <c r="V1480" s="7"/>
      <c r="W1480" s="7"/>
      <c r="X1480" s="7"/>
      <c r="Y1480" s="8">
        <f t="shared" ref="Y1480:Y1482" si="6817">SUM(T1480:X1480)</f>
        <v>0</v>
      </c>
      <c r="AA1480" s="6"/>
      <c r="AB1480" s="7"/>
      <c r="AC1480" s="7"/>
      <c r="AD1480" s="7"/>
      <c r="AE1480" s="7"/>
      <c r="AF1480" s="8">
        <f>SUM(AA1480:AE1480)</f>
        <v>0</v>
      </c>
      <c r="AH1480" s="6"/>
      <c r="AI1480" s="7"/>
      <c r="AJ1480" s="7"/>
      <c r="AK1480" s="7"/>
      <c r="AL1480" s="7"/>
      <c r="AM1480" s="8">
        <f>SUM(AH1480:AL1480)</f>
        <v>0</v>
      </c>
      <c r="AO1480" s="6"/>
      <c r="AP1480" s="7"/>
      <c r="AQ1480" s="7"/>
      <c r="AR1480" s="7"/>
      <c r="AS1480" s="7"/>
      <c r="AT1480" s="8">
        <f>SUM(AO1480:AS1480)</f>
        <v>0</v>
      </c>
      <c r="AV1480" s="6"/>
      <c r="AW1480" s="7"/>
      <c r="AX1480" s="7"/>
      <c r="AY1480" s="7"/>
      <c r="AZ1480" s="7"/>
      <c r="BA1480" s="8">
        <f>SUM(AV1480:AZ1480)</f>
        <v>0</v>
      </c>
      <c r="BC1480" s="6"/>
      <c r="BD1480" s="7"/>
      <c r="BE1480" s="7"/>
      <c r="BF1480" s="7"/>
      <c r="BG1480" s="7"/>
      <c r="BH1480" s="8">
        <f>SUM(BC1480:BG1480)</f>
        <v>0</v>
      </c>
      <c r="BJ1480" s="6"/>
      <c r="BK1480" s="7"/>
      <c r="BL1480" s="7"/>
      <c r="BM1480" s="7"/>
      <c r="BN1480" s="7"/>
      <c r="BO1480" s="8">
        <f>SUM(BJ1480:BN1480)</f>
        <v>0</v>
      </c>
      <c r="BQ1480" s="6"/>
      <c r="BR1480" s="7"/>
      <c r="BS1480" s="7"/>
      <c r="BT1480" s="7"/>
      <c r="BU1480" s="7"/>
      <c r="BV1480" s="8">
        <f>SUM(BQ1480:BU1480)</f>
        <v>0</v>
      </c>
      <c r="BX1480" s="6"/>
      <c r="BY1480" s="7"/>
      <c r="BZ1480" s="7"/>
      <c r="CA1480" s="7"/>
      <c r="CB1480" s="7"/>
      <c r="CC1480" s="8">
        <f>SUM(BX1480:CB1480)</f>
        <v>0</v>
      </c>
      <c r="CE1480" s="28">
        <f t="shared" si="6810"/>
        <v>0</v>
      </c>
      <c r="CF1480" s="29">
        <f t="shared" si="6811"/>
        <v>0</v>
      </c>
      <c r="CG1480" s="29">
        <f t="shared" si="6812"/>
        <v>0</v>
      </c>
      <c r="CH1480" s="29">
        <f t="shared" si="6813"/>
        <v>0</v>
      </c>
      <c r="CI1480" s="29">
        <f t="shared" si="6814"/>
        <v>0</v>
      </c>
      <c r="CJ1480" s="8">
        <f>SUM(CE1480:CI1480)</f>
        <v>0</v>
      </c>
      <c r="CL1480" s="6"/>
      <c r="CM1480" s="7"/>
      <c r="CN1480" s="7"/>
      <c r="CO1480" s="7"/>
      <c r="CP1480" s="7"/>
      <c r="CQ1480" s="8">
        <f>SUM(CL1480:CP1480)</f>
        <v>0</v>
      </c>
      <c r="CS1480" s="6"/>
      <c r="CT1480" s="7"/>
      <c r="CU1480" s="7"/>
      <c r="CV1480" s="7"/>
      <c r="CW1480" s="7"/>
      <c r="CX1480" s="8">
        <f t="shared" ref="CX1480:CX1482" si="6818">SUM(CS1480:CW1480)</f>
        <v>0</v>
      </c>
      <c r="CZ1480" s="6"/>
      <c r="DA1480" s="7"/>
      <c r="DB1480" s="7"/>
      <c r="DC1480" s="7"/>
      <c r="DD1480" s="7"/>
      <c r="DE1480" s="8">
        <f t="shared" ref="DE1480:DE1482" si="6819">SUM(CZ1480:DD1480)</f>
        <v>0</v>
      </c>
    </row>
    <row r="1481" spans="2:110">
      <c r="C1481" s="567"/>
      <c r="E1481" s="5" t="s">
        <v>61</v>
      </c>
      <c r="F1481" s="6"/>
      <c r="G1481" s="7"/>
      <c r="H1481" s="7"/>
      <c r="I1481" s="7"/>
      <c r="J1481" s="7"/>
      <c r="K1481" s="8">
        <f t="shared" si="6815"/>
        <v>0</v>
      </c>
      <c r="M1481" s="6"/>
      <c r="N1481" s="7"/>
      <c r="O1481" s="7"/>
      <c r="P1481" s="7"/>
      <c r="Q1481" s="7"/>
      <c r="R1481" s="8">
        <f t="shared" si="6816"/>
        <v>0</v>
      </c>
      <c r="T1481" s="6"/>
      <c r="U1481" s="7"/>
      <c r="V1481" s="7"/>
      <c r="W1481" s="7"/>
      <c r="X1481" s="7"/>
      <c r="Y1481" s="8">
        <f t="shared" si="6817"/>
        <v>0</v>
      </c>
      <c r="AA1481" s="6"/>
      <c r="AB1481" s="7"/>
      <c r="AC1481" s="7"/>
      <c r="AD1481" s="7"/>
      <c r="AE1481" s="7"/>
      <c r="AF1481" s="8">
        <f>SUM(AA1481:AE1481)</f>
        <v>0</v>
      </c>
      <c r="AH1481" s="6"/>
      <c r="AI1481" s="7"/>
      <c r="AJ1481" s="7"/>
      <c r="AK1481" s="7"/>
      <c r="AL1481" s="7"/>
      <c r="AM1481" s="8">
        <f>SUM(AH1481:AL1481)</f>
        <v>0</v>
      </c>
      <c r="AO1481" s="6"/>
      <c r="AP1481" s="7"/>
      <c r="AQ1481" s="7"/>
      <c r="AR1481" s="7"/>
      <c r="AS1481" s="7"/>
      <c r="AT1481" s="8">
        <f>SUM(AO1481:AS1481)</f>
        <v>0</v>
      </c>
      <c r="AV1481" s="6"/>
      <c r="AW1481" s="7"/>
      <c r="AX1481" s="7"/>
      <c r="AY1481" s="7"/>
      <c r="AZ1481" s="7"/>
      <c r="BA1481" s="8">
        <f>SUM(AV1481:AZ1481)</f>
        <v>0</v>
      </c>
      <c r="BC1481" s="6"/>
      <c r="BD1481" s="7"/>
      <c r="BE1481" s="7"/>
      <c r="BF1481" s="7"/>
      <c r="BG1481" s="7"/>
      <c r="BH1481" s="8">
        <f>SUM(BC1481:BG1481)</f>
        <v>0</v>
      </c>
      <c r="BJ1481" s="6"/>
      <c r="BK1481" s="7"/>
      <c r="BL1481" s="7"/>
      <c r="BM1481" s="7"/>
      <c r="BN1481" s="7"/>
      <c r="BO1481" s="8">
        <f>SUM(BJ1481:BN1481)</f>
        <v>0</v>
      </c>
      <c r="BQ1481" s="6"/>
      <c r="BR1481" s="7"/>
      <c r="BS1481" s="7"/>
      <c r="BT1481" s="7"/>
      <c r="BU1481" s="7"/>
      <c r="BV1481" s="8">
        <f>SUM(BQ1481:BU1481)</f>
        <v>0</v>
      </c>
      <c r="BX1481" s="6"/>
      <c r="BY1481" s="7"/>
      <c r="BZ1481" s="7"/>
      <c r="CA1481" s="7"/>
      <c r="CB1481" s="7"/>
      <c r="CC1481" s="8">
        <f>SUM(BX1481:CB1481)</f>
        <v>0</v>
      </c>
      <c r="CE1481" s="28">
        <f t="shared" si="6810"/>
        <v>0</v>
      </c>
      <c r="CF1481" s="29">
        <f t="shared" si="6811"/>
        <v>0</v>
      </c>
      <c r="CG1481" s="29">
        <f t="shared" si="6812"/>
        <v>0</v>
      </c>
      <c r="CH1481" s="29">
        <f t="shared" si="6813"/>
        <v>0</v>
      </c>
      <c r="CI1481" s="29">
        <f t="shared" si="6814"/>
        <v>0</v>
      </c>
      <c r="CJ1481" s="8">
        <f>SUM(CE1481:CI1481)</f>
        <v>0</v>
      </c>
      <c r="CL1481" s="6"/>
      <c r="CM1481" s="7"/>
      <c r="CN1481" s="7"/>
      <c r="CO1481" s="7"/>
      <c r="CP1481" s="7"/>
      <c r="CQ1481" s="8">
        <f>SUM(CL1481:CP1481)</f>
        <v>0</v>
      </c>
      <c r="CS1481" s="6"/>
      <c r="CT1481" s="7"/>
      <c r="CU1481" s="7"/>
      <c r="CV1481" s="7"/>
      <c r="CW1481" s="7"/>
      <c r="CX1481" s="8">
        <f t="shared" si="6818"/>
        <v>0</v>
      </c>
      <c r="CZ1481" s="6"/>
      <c r="DA1481" s="7"/>
      <c r="DB1481" s="7"/>
      <c r="DC1481" s="7"/>
      <c r="DD1481" s="7"/>
      <c r="DE1481" s="8">
        <f t="shared" si="6819"/>
        <v>0</v>
      </c>
    </row>
    <row r="1482" spans="2:110" ht="14" thickBot="1">
      <c r="C1482" s="567"/>
      <c r="E1482" s="5" t="s">
        <v>62</v>
      </c>
      <c r="F1482" s="6"/>
      <c r="G1482" s="7"/>
      <c r="H1482" s="7"/>
      <c r="I1482" s="7"/>
      <c r="J1482" s="7"/>
      <c r="K1482" s="8">
        <f t="shared" si="6815"/>
        <v>0</v>
      </c>
      <c r="M1482" s="6"/>
      <c r="N1482" s="7"/>
      <c r="O1482" s="7"/>
      <c r="P1482" s="7"/>
      <c r="Q1482" s="7"/>
      <c r="R1482" s="8">
        <f t="shared" si="6816"/>
        <v>0</v>
      </c>
      <c r="T1482" s="6"/>
      <c r="U1482" s="7"/>
      <c r="V1482" s="7"/>
      <c r="W1482" s="7"/>
      <c r="X1482" s="7"/>
      <c r="Y1482" s="8">
        <f t="shared" si="6817"/>
        <v>0</v>
      </c>
      <c r="AA1482" s="6"/>
      <c r="AB1482" s="7"/>
      <c r="AC1482" s="7"/>
      <c r="AD1482" s="7"/>
      <c r="AE1482" s="7"/>
      <c r="AF1482" s="8">
        <f>SUM(AA1482:AE1482)</f>
        <v>0</v>
      </c>
      <c r="AH1482" s="6"/>
      <c r="AI1482" s="7"/>
      <c r="AJ1482" s="7"/>
      <c r="AK1482" s="7"/>
      <c r="AL1482" s="7"/>
      <c r="AM1482" s="8">
        <f>SUM(AH1482:AL1482)</f>
        <v>0</v>
      </c>
      <c r="AO1482" s="6"/>
      <c r="AP1482" s="7"/>
      <c r="AQ1482" s="7"/>
      <c r="AR1482" s="7"/>
      <c r="AS1482" s="7"/>
      <c r="AT1482" s="8">
        <f>SUM(AO1482:AS1482)</f>
        <v>0</v>
      </c>
      <c r="AV1482" s="6"/>
      <c r="AW1482" s="7"/>
      <c r="AX1482" s="7"/>
      <c r="AY1482" s="7"/>
      <c r="AZ1482" s="7"/>
      <c r="BA1482" s="8">
        <f>SUM(AV1482:AZ1482)</f>
        <v>0</v>
      </c>
      <c r="BC1482" s="6"/>
      <c r="BD1482" s="7"/>
      <c r="BE1482" s="7"/>
      <c r="BF1482" s="7"/>
      <c r="BG1482" s="7"/>
      <c r="BH1482" s="8">
        <f>SUM(BC1482:BG1482)</f>
        <v>0</v>
      </c>
      <c r="BJ1482" s="6"/>
      <c r="BK1482" s="7"/>
      <c r="BL1482" s="7"/>
      <c r="BM1482" s="7"/>
      <c r="BN1482" s="7"/>
      <c r="BO1482" s="8">
        <f>SUM(BJ1482:BN1482)</f>
        <v>0</v>
      </c>
      <c r="BQ1482" s="6"/>
      <c r="BR1482" s="7"/>
      <c r="BS1482" s="7"/>
      <c r="BT1482" s="7"/>
      <c r="BU1482" s="7"/>
      <c r="BV1482" s="8">
        <f>SUM(BQ1482:BU1482)</f>
        <v>0</v>
      </c>
      <c r="BX1482" s="6"/>
      <c r="BY1482" s="7"/>
      <c r="BZ1482" s="7"/>
      <c r="CA1482" s="7"/>
      <c r="CB1482" s="7"/>
      <c r="CC1482" s="8">
        <f>SUM(BX1482:CB1482)</f>
        <v>0</v>
      </c>
      <c r="CE1482" s="493">
        <f t="shared" si="6810"/>
        <v>0</v>
      </c>
      <c r="CF1482" s="494">
        <f t="shared" si="6811"/>
        <v>0</v>
      </c>
      <c r="CG1482" s="494">
        <f t="shared" si="6812"/>
        <v>0</v>
      </c>
      <c r="CH1482" s="494">
        <f t="shared" si="6813"/>
        <v>0</v>
      </c>
      <c r="CI1482" s="494">
        <f t="shared" si="6814"/>
        <v>0</v>
      </c>
      <c r="CJ1482" s="495">
        <f>SUM(CE1482:CI1482)</f>
        <v>0</v>
      </c>
      <c r="CL1482" s="6"/>
      <c r="CM1482" s="7"/>
      <c r="CN1482" s="7"/>
      <c r="CO1482" s="7"/>
      <c r="CP1482" s="7"/>
      <c r="CQ1482" s="8">
        <f>SUM(CL1482:CP1482)</f>
        <v>0</v>
      </c>
      <c r="CS1482" s="6"/>
      <c r="CT1482" s="7"/>
      <c r="CU1482" s="7"/>
      <c r="CV1482" s="7"/>
      <c r="CW1482" s="7"/>
      <c r="CX1482" s="8">
        <f t="shared" si="6818"/>
        <v>0</v>
      </c>
      <c r="CZ1482" s="6"/>
      <c r="DA1482" s="7"/>
      <c r="DB1482" s="7"/>
      <c r="DC1482" s="7"/>
      <c r="DD1482" s="7"/>
      <c r="DE1482" s="8">
        <f t="shared" si="6819"/>
        <v>0</v>
      </c>
    </row>
    <row r="1483" spans="2:110" ht="14" thickBot="1">
      <c r="C1483" s="554"/>
      <c r="E1483" s="9"/>
      <c r="F1483" s="10">
        <f>SUM(F1479:F1482)</f>
        <v>0</v>
      </c>
      <c r="G1483" s="11">
        <f t="shared" ref="G1483:J1483" si="6820">SUM(G1479:G1482)</f>
        <v>0</v>
      </c>
      <c r="H1483" s="11">
        <f t="shared" si="6820"/>
        <v>0</v>
      </c>
      <c r="I1483" s="11">
        <f t="shared" si="6820"/>
        <v>0</v>
      </c>
      <c r="J1483" s="61">
        <f t="shared" si="6820"/>
        <v>0</v>
      </c>
      <c r="K1483" s="25">
        <f>SUM(K1479:K1482)</f>
        <v>0</v>
      </c>
      <c r="M1483" s="10">
        <f>SUM(M1479:M1482)</f>
        <v>0</v>
      </c>
      <c r="N1483" s="11">
        <f t="shared" ref="N1483:Q1483" si="6821">SUM(N1479:N1482)</f>
        <v>0</v>
      </c>
      <c r="O1483" s="11">
        <f t="shared" si="6821"/>
        <v>0</v>
      </c>
      <c r="P1483" s="11">
        <f t="shared" si="6821"/>
        <v>0</v>
      </c>
      <c r="Q1483" s="11">
        <f t="shared" si="6821"/>
        <v>0</v>
      </c>
      <c r="R1483" s="25">
        <f>SUM(R1479:R1482)</f>
        <v>0</v>
      </c>
      <c r="T1483" s="10">
        <f>SUM(T1479:T1482)</f>
        <v>0</v>
      </c>
      <c r="U1483" s="11">
        <f t="shared" ref="U1483:X1483" si="6822">SUM(U1479:U1482)</f>
        <v>0</v>
      </c>
      <c r="V1483" s="11">
        <f t="shared" si="6822"/>
        <v>0</v>
      </c>
      <c r="W1483" s="11">
        <f t="shared" si="6822"/>
        <v>0</v>
      </c>
      <c r="X1483" s="11">
        <f t="shared" si="6822"/>
        <v>0</v>
      </c>
      <c r="Y1483" s="25">
        <f>SUM(Y1479:Y1482)</f>
        <v>0</v>
      </c>
      <c r="AA1483" s="10">
        <f>SUM(AA1479:AA1482)</f>
        <v>0</v>
      </c>
      <c r="AB1483" s="11">
        <f t="shared" ref="AB1483:AE1483" si="6823">SUM(AB1479:AB1482)</f>
        <v>0</v>
      </c>
      <c r="AC1483" s="11">
        <f t="shared" si="6823"/>
        <v>0</v>
      </c>
      <c r="AD1483" s="11">
        <f t="shared" si="6823"/>
        <v>0</v>
      </c>
      <c r="AE1483" s="11">
        <f t="shared" si="6823"/>
        <v>0</v>
      </c>
      <c r="AF1483" s="25">
        <f>SUM(AF1479:AF1482)</f>
        <v>0</v>
      </c>
      <c r="AH1483" s="10">
        <f>SUM(AH1479:AH1482)</f>
        <v>0</v>
      </c>
      <c r="AI1483" s="11">
        <f t="shared" ref="AI1483:AL1483" si="6824">SUM(AI1479:AI1482)</f>
        <v>0</v>
      </c>
      <c r="AJ1483" s="11">
        <f t="shared" si="6824"/>
        <v>0</v>
      </c>
      <c r="AK1483" s="11">
        <f t="shared" si="6824"/>
        <v>0</v>
      </c>
      <c r="AL1483" s="11">
        <f t="shared" si="6824"/>
        <v>0</v>
      </c>
      <c r="AM1483" s="25">
        <f>SUM(AM1479:AM1482)</f>
        <v>0</v>
      </c>
      <c r="AO1483" s="10">
        <f>SUM(AO1479:AO1482)</f>
        <v>0</v>
      </c>
      <c r="AP1483" s="11">
        <f t="shared" ref="AP1483:AS1483" si="6825">SUM(AP1479:AP1482)</f>
        <v>0</v>
      </c>
      <c r="AQ1483" s="11">
        <f t="shared" si="6825"/>
        <v>0</v>
      </c>
      <c r="AR1483" s="11">
        <f t="shared" si="6825"/>
        <v>0</v>
      </c>
      <c r="AS1483" s="11">
        <f t="shared" si="6825"/>
        <v>0</v>
      </c>
      <c r="AT1483" s="25">
        <f>SUM(AT1479:AT1482)</f>
        <v>0</v>
      </c>
      <c r="AV1483" s="10">
        <f>SUM(AV1479:AV1482)</f>
        <v>0</v>
      </c>
      <c r="AW1483" s="11">
        <f t="shared" ref="AW1483:AZ1483" si="6826">SUM(AW1479:AW1482)</f>
        <v>0</v>
      </c>
      <c r="AX1483" s="11">
        <f t="shared" si="6826"/>
        <v>0</v>
      </c>
      <c r="AY1483" s="11">
        <f t="shared" si="6826"/>
        <v>0</v>
      </c>
      <c r="AZ1483" s="11">
        <f t="shared" si="6826"/>
        <v>0</v>
      </c>
      <c r="BA1483" s="25">
        <f>SUM(BA1479:BA1482)</f>
        <v>0</v>
      </c>
      <c r="BC1483" s="10">
        <f>SUM(BC1479:BC1482)</f>
        <v>0</v>
      </c>
      <c r="BD1483" s="11">
        <f t="shared" ref="BD1483:BG1483" si="6827">SUM(BD1479:BD1482)</f>
        <v>0</v>
      </c>
      <c r="BE1483" s="11">
        <f t="shared" si="6827"/>
        <v>0</v>
      </c>
      <c r="BF1483" s="11">
        <f t="shared" si="6827"/>
        <v>0</v>
      </c>
      <c r="BG1483" s="11">
        <f t="shared" si="6827"/>
        <v>0</v>
      </c>
      <c r="BH1483" s="25">
        <f>SUM(BH1479:BH1482)</f>
        <v>0</v>
      </c>
      <c r="BJ1483" s="10">
        <f>SUM(BJ1479:BJ1482)</f>
        <v>0</v>
      </c>
      <c r="BK1483" s="11">
        <f t="shared" ref="BK1483:BN1483" si="6828">SUM(BK1479:BK1482)</f>
        <v>0</v>
      </c>
      <c r="BL1483" s="11">
        <f t="shared" si="6828"/>
        <v>0</v>
      </c>
      <c r="BM1483" s="11">
        <f t="shared" si="6828"/>
        <v>0</v>
      </c>
      <c r="BN1483" s="11">
        <f t="shared" si="6828"/>
        <v>0</v>
      </c>
      <c r="BO1483" s="25">
        <f>SUM(BO1479:BO1482)</f>
        <v>0</v>
      </c>
      <c r="BQ1483" s="10">
        <f>SUM(BQ1479:BQ1482)</f>
        <v>0</v>
      </c>
      <c r="BR1483" s="11">
        <f t="shared" ref="BR1483:BU1483" si="6829">SUM(BR1479:BR1482)</f>
        <v>0</v>
      </c>
      <c r="BS1483" s="11">
        <f t="shared" si="6829"/>
        <v>0</v>
      </c>
      <c r="BT1483" s="11">
        <f t="shared" si="6829"/>
        <v>0</v>
      </c>
      <c r="BU1483" s="11">
        <f t="shared" si="6829"/>
        <v>0</v>
      </c>
      <c r="BV1483" s="25">
        <f>SUM(BV1479:BV1482)</f>
        <v>0</v>
      </c>
      <c r="BX1483" s="10">
        <f>SUM(BX1479:BX1482)</f>
        <v>0</v>
      </c>
      <c r="BY1483" s="11">
        <f t="shared" ref="BY1483:CB1483" si="6830">SUM(BY1479:BY1482)</f>
        <v>0</v>
      </c>
      <c r="BZ1483" s="11">
        <f t="shared" si="6830"/>
        <v>0</v>
      </c>
      <c r="CA1483" s="11">
        <f t="shared" si="6830"/>
        <v>0</v>
      </c>
      <c r="CB1483" s="11">
        <f t="shared" si="6830"/>
        <v>0</v>
      </c>
      <c r="CC1483" s="25">
        <f>SUM(CC1479:CC1482)</f>
        <v>0</v>
      </c>
      <c r="CE1483" s="62">
        <f t="shared" ref="CE1483:CJ1483" si="6831">SUM(CE1479:CE1482)</f>
        <v>0</v>
      </c>
      <c r="CF1483" s="63">
        <f t="shared" si="6831"/>
        <v>0</v>
      </c>
      <c r="CG1483" s="63">
        <f t="shared" si="6831"/>
        <v>0</v>
      </c>
      <c r="CH1483" s="63">
        <f t="shared" si="6831"/>
        <v>0</v>
      </c>
      <c r="CI1483" s="63">
        <f t="shared" si="6831"/>
        <v>0</v>
      </c>
      <c r="CJ1483" s="25">
        <f t="shared" si="6831"/>
        <v>0</v>
      </c>
      <c r="CL1483" s="10">
        <f>SUM(CL1479:CL1482)</f>
        <v>0</v>
      </c>
      <c r="CM1483" s="11">
        <f t="shared" ref="CM1483:CP1483" si="6832">SUM(CM1479:CM1482)</f>
        <v>0</v>
      </c>
      <c r="CN1483" s="11">
        <f t="shared" si="6832"/>
        <v>0</v>
      </c>
      <c r="CO1483" s="11">
        <f t="shared" si="6832"/>
        <v>0</v>
      </c>
      <c r="CP1483" s="11">
        <f t="shared" si="6832"/>
        <v>0</v>
      </c>
      <c r="CQ1483" s="25">
        <f>SUM(CQ1479:CQ1482)</f>
        <v>0</v>
      </c>
      <c r="CS1483" s="10">
        <f>SUM(CS1479:CS1482)</f>
        <v>0</v>
      </c>
      <c r="CT1483" s="11">
        <f t="shared" ref="CT1483:CW1483" si="6833">SUM(CT1479:CT1482)</f>
        <v>0</v>
      </c>
      <c r="CU1483" s="11">
        <f t="shared" si="6833"/>
        <v>0</v>
      </c>
      <c r="CV1483" s="11">
        <f t="shared" si="6833"/>
        <v>0</v>
      </c>
      <c r="CW1483" s="11">
        <f t="shared" si="6833"/>
        <v>0</v>
      </c>
      <c r="CX1483" s="25">
        <f>SUM(CX1479:CX1482)</f>
        <v>0</v>
      </c>
      <c r="CZ1483" s="10">
        <f>SUM(CZ1479:CZ1482)</f>
        <v>0</v>
      </c>
      <c r="DA1483" s="11">
        <f t="shared" ref="DA1483:DD1483" si="6834">SUM(DA1479:DA1482)</f>
        <v>0</v>
      </c>
      <c r="DB1483" s="11">
        <f t="shared" si="6834"/>
        <v>0</v>
      </c>
      <c r="DC1483" s="11">
        <f t="shared" si="6834"/>
        <v>0</v>
      </c>
      <c r="DD1483" s="11">
        <f t="shared" si="6834"/>
        <v>0</v>
      </c>
      <c r="DE1483" s="25">
        <f>SUM(DE1479:DE1482)</f>
        <v>0</v>
      </c>
    </row>
    <row r="1484" spans="2:110" ht="10.4" customHeight="1" thickBot="1"/>
    <row r="1485" spans="2:110">
      <c r="C1485" s="553">
        <v>2025</v>
      </c>
      <c r="E1485" s="13" t="s">
        <v>59</v>
      </c>
      <c r="F1485" s="21">
        <f>CE1479</f>
        <v>0</v>
      </c>
      <c r="G1485" s="22">
        <f t="shared" ref="G1485:G1488" si="6835">CF1479</f>
        <v>0</v>
      </c>
      <c r="H1485" s="22">
        <f t="shared" ref="H1485:H1488" si="6836">CG1479</f>
        <v>0</v>
      </c>
      <c r="I1485" s="22">
        <f t="shared" ref="I1485:I1488" si="6837">CH1479</f>
        <v>0</v>
      </c>
      <c r="J1485" s="22">
        <f t="shared" ref="J1485:J1488" si="6838">CI1479</f>
        <v>0</v>
      </c>
      <c r="K1485" s="15">
        <f>SUM(F1485:J1485)</f>
        <v>0</v>
      </c>
      <c r="M1485" s="2"/>
      <c r="N1485" s="3"/>
      <c r="O1485" s="3"/>
      <c r="P1485" s="3"/>
      <c r="Q1485" s="3"/>
      <c r="R1485" s="15">
        <f>SUM(M1485:Q1485)</f>
        <v>0</v>
      </c>
      <c r="T1485" s="2"/>
      <c r="U1485" s="3"/>
      <c r="V1485" s="3"/>
      <c r="W1485" s="3"/>
      <c r="X1485" s="3"/>
      <c r="Y1485" s="15">
        <f>SUM(T1485:X1485)</f>
        <v>0</v>
      </c>
      <c r="AA1485" s="2"/>
      <c r="AB1485" s="3"/>
      <c r="AC1485" s="3"/>
      <c r="AD1485" s="3"/>
      <c r="AE1485" s="3"/>
      <c r="AF1485" s="15">
        <f>SUM(AA1485:AE1485)</f>
        <v>0</v>
      </c>
      <c r="AH1485" s="2"/>
      <c r="AI1485" s="3"/>
      <c r="AJ1485" s="3"/>
      <c r="AK1485" s="3"/>
      <c r="AL1485" s="3"/>
      <c r="AM1485" s="15">
        <f>SUM(AH1485:AL1485)</f>
        <v>0</v>
      </c>
      <c r="AO1485" s="2"/>
      <c r="AP1485" s="3"/>
      <c r="AQ1485" s="3"/>
      <c r="AR1485" s="3"/>
      <c r="AS1485" s="3"/>
      <c r="AT1485" s="15">
        <f>SUM(AO1485:AS1485)</f>
        <v>0</v>
      </c>
      <c r="AV1485" s="2"/>
      <c r="AW1485" s="3"/>
      <c r="AX1485" s="3"/>
      <c r="AY1485" s="3"/>
      <c r="AZ1485" s="3"/>
      <c r="BA1485" s="15">
        <f>SUM(AV1485:AZ1485)</f>
        <v>0</v>
      </c>
      <c r="BC1485" s="2"/>
      <c r="BD1485" s="3"/>
      <c r="BE1485" s="3"/>
      <c r="BF1485" s="3"/>
      <c r="BG1485" s="3"/>
      <c r="BH1485" s="15">
        <f>SUM(BC1485:BG1485)</f>
        <v>0</v>
      </c>
      <c r="BJ1485" s="2"/>
      <c r="BK1485" s="3"/>
      <c r="BL1485" s="3"/>
      <c r="BM1485" s="3"/>
      <c r="BN1485" s="3"/>
      <c r="BO1485" s="15">
        <f>SUM(BJ1485:BN1485)</f>
        <v>0</v>
      </c>
      <c r="BQ1485" s="2"/>
      <c r="BR1485" s="3"/>
      <c r="BS1485" s="3"/>
      <c r="BT1485" s="3"/>
      <c r="BU1485" s="3"/>
      <c r="BV1485" s="15">
        <f>SUM(BQ1485:BU1485)</f>
        <v>0</v>
      </c>
      <c r="BX1485" s="2"/>
      <c r="BY1485" s="3"/>
      <c r="BZ1485" s="3"/>
      <c r="CA1485" s="3"/>
      <c r="CB1485" s="3"/>
      <c r="CC1485" s="15">
        <f>SUM(BX1485:CB1485)</f>
        <v>0</v>
      </c>
      <c r="CE1485" s="26">
        <f t="shared" ref="CE1485:CE1488" si="6839">F1485+M1485+T1485+AA1485+AH1485+AO1485+AV1485+BC1485+BJ1485+BQ1485+BX1485</f>
        <v>0</v>
      </c>
      <c r="CF1485" s="27">
        <f t="shared" ref="CF1485:CF1488" si="6840">G1485+N1485+U1485+AB1485+AI1485+AP1485+AW1485+BD1485+BK1485+BR1485+BY1485</f>
        <v>0</v>
      </c>
      <c r="CG1485" s="27">
        <f t="shared" ref="CG1485:CG1488" si="6841">H1485+O1485+V1485+AC1485+AJ1485+AQ1485+AX1485+BE1485+BL1485+BS1485+BZ1485</f>
        <v>0</v>
      </c>
      <c r="CH1485" s="27">
        <f t="shared" ref="CH1485:CH1488" si="6842">I1485+P1485+W1485+AD1485+AK1485+AR1485+AY1485+BF1485+BM1485+BT1485+CA1485</f>
        <v>0</v>
      </c>
      <c r="CI1485" s="27">
        <f t="shared" ref="CI1485:CI1488" si="6843">J1485+Q1485+X1485+AE1485+AL1485+AS1485+AZ1485+BG1485+BN1485+BU1485+CB1485</f>
        <v>0</v>
      </c>
      <c r="CJ1485" s="4">
        <f>SUM(CE1485:CI1485)</f>
        <v>0</v>
      </c>
      <c r="CL1485" s="2"/>
      <c r="CM1485" s="3"/>
      <c r="CN1485" s="3"/>
      <c r="CO1485" s="3"/>
      <c r="CP1485" s="3"/>
      <c r="CQ1485" s="15">
        <f>SUM(CL1485:CP1485)</f>
        <v>0</v>
      </c>
      <c r="CS1485" s="2"/>
      <c r="CT1485" s="3"/>
      <c r="CU1485" s="3"/>
      <c r="CV1485" s="3"/>
      <c r="CW1485" s="3"/>
      <c r="CX1485" s="4">
        <f>SUM(CS1485:CW1485)</f>
        <v>0</v>
      </c>
      <c r="CZ1485" s="2"/>
      <c r="DA1485" s="3"/>
      <c r="DB1485" s="3"/>
      <c r="DC1485" s="3"/>
      <c r="DD1485" s="3"/>
      <c r="DE1485" s="15">
        <f>SUM(CZ1485:DD1485)</f>
        <v>0</v>
      </c>
    </row>
    <row r="1486" spans="2:110">
      <c r="C1486" s="567"/>
      <c r="E1486" s="14" t="s">
        <v>60</v>
      </c>
      <c r="F1486" s="23">
        <f t="shared" ref="F1486:F1488" si="6844">CE1480</f>
        <v>0</v>
      </c>
      <c r="G1486" s="24">
        <f t="shared" si="6835"/>
        <v>0</v>
      </c>
      <c r="H1486" s="24">
        <f t="shared" si="6836"/>
        <v>0</v>
      </c>
      <c r="I1486" s="24">
        <f t="shared" si="6837"/>
        <v>0</v>
      </c>
      <c r="J1486" s="24">
        <f t="shared" si="6838"/>
        <v>0</v>
      </c>
      <c r="K1486" s="16">
        <f t="shared" ref="K1486:K1488" si="6845">SUM(F1486:J1486)</f>
        <v>0</v>
      </c>
      <c r="M1486" s="6"/>
      <c r="N1486" s="7"/>
      <c r="O1486" s="7"/>
      <c r="P1486" s="7"/>
      <c r="Q1486" s="7"/>
      <c r="R1486" s="16">
        <f t="shared" ref="R1486:R1488" si="6846">SUM(M1486:Q1486)</f>
        <v>0</v>
      </c>
      <c r="T1486" s="6"/>
      <c r="U1486" s="7"/>
      <c r="V1486" s="7"/>
      <c r="W1486" s="7"/>
      <c r="X1486" s="7"/>
      <c r="Y1486" s="16">
        <f t="shared" ref="Y1486:Y1488" si="6847">SUM(T1486:X1486)</f>
        <v>0</v>
      </c>
      <c r="AA1486" s="6"/>
      <c r="AB1486" s="7"/>
      <c r="AC1486" s="7"/>
      <c r="AD1486" s="7"/>
      <c r="AE1486" s="7"/>
      <c r="AF1486" s="16">
        <f>SUM(AA1486:AE1486)</f>
        <v>0</v>
      </c>
      <c r="AH1486" s="6"/>
      <c r="AI1486" s="7"/>
      <c r="AJ1486" s="7"/>
      <c r="AK1486" s="7"/>
      <c r="AL1486" s="7"/>
      <c r="AM1486" s="16">
        <f>SUM(AH1486:AL1486)</f>
        <v>0</v>
      </c>
      <c r="AO1486" s="6"/>
      <c r="AP1486" s="7"/>
      <c r="AQ1486" s="7"/>
      <c r="AR1486" s="7"/>
      <c r="AS1486" s="7"/>
      <c r="AT1486" s="16">
        <f>SUM(AO1486:AS1486)</f>
        <v>0</v>
      </c>
      <c r="AV1486" s="6"/>
      <c r="AW1486" s="7"/>
      <c r="AX1486" s="7"/>
      <c r="AY1486" s="7"/>
      <c r="AZ1486" s="7"/>
      <c r="BA1486" s="16">
        <f>SUM(AV1486:AZ1486)</f>
        <v>0</v>
      </c>
      <c r="BC1486" s="6"/>
      <c r="BD1486" s="7"/>
      <c r="BE1486" s="7"/>
      <c r="BF1486" s="7"/>
      <c r="BG1486" s="7"/>
      <c r="BH1486" s="16">
        <f>SUM(BC1486:BG1486)</f>
        <v>0</v>
      </c>
      <c r="BJ1486" s="6"/>
      <c r="BK1486" s="7"/>
      <c r="BL1486" s="7"/>
      <c r="BM1486" s="7"/>
      <c r="BN1486" s="7"/>
      <c r="BO1486" s="16">
        <f>SUM(BJ1486:BN1486)</f>
        <v>0</v>
      </c>
      <c r="BQ1486" s="6"/>
      <c r="BR1486" s="7"/>
      <c r="BS1486" s="7"/>
      <c r="BT1486" s="7"/>
      <c r="BU1486" s="7"/>
      <c r="BV1486" s="16">
        <f>SUM(BQ1486:BU1486)</f>
        <v>0</v>
      </c>
      <c r="BX1486" s="6"/>
      <c r="BY1486" s="7"/>
      <c r="BZ1486" s="7"/>
      <c r="CA1486" s="7"/>
      <c r="CB1486" s="7"/>
      <c r="CC1486" s="16">
        <f>SUM(BX1486:CB1486)</f>
        <v>0</v>
      </c>
      <c r="CE1486" s="28">
        <f t="shared" si="6839"/>
        <v>0</v>
      </c>
      <c r="CF1486" s="29">
        <f t="shared" si="6840"/>
        <v>0</v>
      </c>
      <c r="CG1486" s="29">
        <f t="shared" si="6841"/>
        <v>0</v>
      </c>
      <c r="CH1486" s="29">
        <f t="shared" si="6842"/>
        <v>0</v>
      </c>
      <c r="CI1486" s="29">
        <f t="shared" si="6843"/>
        <v>0</v>
      </c>
      <c r="CJ1486" s="8">
        <f>SUM(CE1486:CI1486)</f>
        <v>0</v>
      </c>
      <c r="CL1486" s="6"/>
      <c r="CM1486" s="7"/>
      <c r="CN1486" s="7"/>
      <c r="CO1486" s="7"/>
      <c r="CP1486" s="7"/>
      <c r="CQ1486" s="16">
        <f>SUM(CL1486:CP1486)</f>
        <v>0</v>
      </c>
      <c r="CS1486" s="6"/>
      <c r="CT1486" s="7"/>
      <c r="CU1486" s="7"/>
      <c r="CV1486" s="7"/>
      <c r="CW1486" s="7"/>
      <c r="CX1486" s="8">
        <f t="shared" ref="CX1486:CX1488" si="6848">SUM(CS1486:CW1486)</f>
        <v>0</v>
      </c>
      <c r="CZ1486" s="6"/>
      <c r="DA1486" s="7"/>
      <c r="DB1486" s="7"/>
      <c r="DC1486" s="7"/>
      <c r="DD1486" s="7"/>
      <c r="DE1486" s="16">
        <f t="shared" ref="DE1486:DE1488" si="6849">SUM(CZ1486:DD1486)</f>
        <v>0</v>
      </c>
    </row>
    <row r="1487" spans="2:110">
      <c r="C1487" s="567"/>
      <c r="E1487" s="14" t="s">
        <v>61</v>
      </c>
      <c r="F1487" s="23">
        <f t="shared" si="6844"/>
        <v>0</v>
      </c>
      <c r="G1487" s="24">
        <f t="shared" si="6835"/>
        <v>0</v>
      </c>
      <c r="H1487" s="24">
        <f t="shared" si="6836"/>
        <v>0</v>
      </c>
      <c r="I1487" s="24">
        <f t="shared" si="6837"/>
        <v>0</v>
      </c>
      <c r="J1487" s="24">
        <f t="shared" si="6838"/>
        <v>0</v>
      </c>
      <c r="K1487" s="16">
        <f t="shared" si="6845"/>
        <v>0</v>
      </c>
      <c r="M1487" s="6"/>
      <c r="N1487" s="7"/>
      <c r="O1487" s="7"/>
      <c r="P1487" s="7"/>
      <c r="Q1487" s="7"/>
      <c r="R1487" s="16">
        <f t="shared" si="6846"/>
        <v>0</v>
      </c>
      <c r="T1487" s="6"/>
      <c r="U1487" s="7"/>
      <c r="V1487" s="7"/>
      <c r="W1487" s="7"/>
      <c r="X1487" s="7"/>
      <c r="Y1487" s="16">
        <f t="shared" si="6847"/>
        <v>0</v>
      </c>
      <c r="AA1487" s="6"/>
      <c r="AB1487" s="7"/>
      <c r="AC1487" s="7"/>
      <c r="AD1487" s="7"/>
      <c r="AE1487" s="7"/>
      <c r="AF1487" s="16">
        <f>SUM(AA1487:AE1487)</f>
        <v>0</v>
      </c>
      <c r="AH1487" s="6"/>
      <c r="AI1487" s="7"/>
      <c r="AJ1487" s="7"/>
      <c r="AK1487" s="7"/>
      <c r="AL1487" s="7"/>
      <c r="AM1487" s="16">
        <f>SUM(AH1487:AL1487)</f>
        <v>0</v>
      </c>
      <c r="AO1487" s="6"/>
      <c r="AP1487" s="7"/>
      <c r="AQ1487" s="7"/>
      <c r="AR1487" s="7"/>
      <c r="AS1487" s="7"/>
      <c r="AT1487" s="16">
        <f>SUM(AO1487:AS1487)</f>
        <v>0</v>
      </c>
      <c r="AV1487" s="6"/>
      <c r="AW1487" s="7"/>
      <c r="AX1487" s="7"/>
      <c r="AY1487" s="7"/>
      <c r="AZ1487" s="7"/>
      <c r="BA1487" s="16">
        <f>SUM(AV1487:AZ1487)</f>
        <v>0</v>
      </c>
      <c r="BC1487" s="6"/>
      <c r="BD1487" s="7"/>
      <c r="BE1487" s="7"/>
      <c r="BF1487" s="7"/>
      <c r="BG1487" s="7"/>
      <c r="BH1487" s="16">
        <f>SUM(BC1487:BG1487)</f>
        <v>0</v>
      </c>
      <c r="BJ1487" s="6"/>
      <c r="BK1487" s="7"/>
      <c r="BL1487" s="7"/>
      <c r="BM1487" s="7"/>
      <c r="BN1487" s="7"/>
      <c r="BO1487" s="16">
        <f>SUM(BJ1487:BN1487)</f>
        <v>0</v>
      </c>
      <c r="BQ1487" s="6"/>
      <c r="BR1487" s="7"/>
      <c r="BS1487" s="7"/>
      <c r="BT1487" s="7"/>
      <c r="BU1487" s="7"/>
      <c r="BV1487" s="16">
        <f>SUM(BQ1487:BU1487)</f>
        <v>0</v>
      </c>
      <c r="BX1487" s="6"/>
      <c r="BY1487" s="7"/>
      <c r="BZ1487" s="7"/>
      <c r="CA1487" s="7"/>
      <c r="CB1487" s="7"/>
      <c r="CC1487" s="16">
        <f>SUM(BX1487:CB1487)</f>
        <v>0</v>
      </c>
      <c r="CE1487" s="28">
        <f t="shared" si="6839"/>
        <v>0</v>
      </c>
      <c r="CF1487" s="29">
        <f t="shared" si="6840"/>
        <v>0</v>
      </c>
      <c r="CG1487" s="29">
        <f t="shared" si="6841"/>
        <v>0</v>
      </c>
      <c r="CH1487" s="29">
        <f t="shared" si="6842"/>
        <v>0</v>
      </c>
      <c r="CI1487" s="29">
        <f t="shared" si="6843"/>
        <v>0</v>
      </c>
      <c r="CJ1487" s="8">
        <f>SUM(CE1487:CI1487)</f>
        <v>0</v>
      </c>
      <c r="CL1487" s="6"/>
      <c r="CM1487" s="7"/>
      <c r="CN1487" s="7"/>
      <c r="CO1487" s="7"/>
      <c r="CP1487" s="7"/>
      <c r="CQ1487" s="16">
        <f>SUM(CL1487:CP1487)</f>
        <v>0</v>
      </c>
      <c r="CS1487" s="6"/>
      <c r="CT1487" s="7"/>
      <c r="CU1487" s="7"/>
      <c r="CV1487" s="7"/>
      <c r="CW1487" s="7"/>
      <c r="CX1487" s="8">
        <f t="shared" si="6848"/>
        <v>0</v>
      </c>
      <c r="CZ1487" s="6"/>
      <c r="DA1487" s="7"/>
      <c r="DB1487" s="7"/>
      <c r="DC1487" s="7"/>
      <c r="DD1487" s="7"/>
      <c r="DE1487" s="16">
        <f t="shared" si="6849"/>
        <v>0</v>
      </c>
    </row>
    <row r="1488" spans="2:110" ht="14" thickBot="1">
      <c r="C1488" s="567"/>
      <c r="E1488" s="14" t="s">
        <v>62</v>
      </c>
      <c r="F1488" s="23">
        <f t="shared" si="6844"/>
        <v>0</v>
      </c>
      <c r="G1488" s="24">
        <f t="shared" si="6835"/>
        <v>0</v>
      </c>
      <c r="H1488" s="24">
        <f t="shared" si="6836"/>
        <v>0</v>
      </c>
      <c r="I1488" s="24">
        <f t="shared" si="6837"/>
        <v>0</v>
      </c>
      <c r="J1488" s="24">
        <f t="shared" si="6838"/>
        <v>0</v>
      </c>
      <c r="K1488" s="16">
        <f t="shared" si="6845"/>
        <v>0</v>
      </c>
      <c r="M1488" s="6"/>
      <c r="N1488" s="7"/>
      <c r="O1488" s="7"/>
      <c r="P1488" s="7"/>
      <c r="Q1488" s="7"/>
      <c r="R1488" s="16">
        <f t="shared" si="6846"/>
        <v>0</v>
      </c>
      <c r="T1488" s="6"/>
      <c r="U1488" s="7"/>
      <c r="V1488" s="7"/>
      <c r="W1488" s="7"/>
      <c r="X1488" s="7"/>
      <c r="Y1488" s="16">
        <f t="shared" si="6847"/>
        <v>0</v>
      </c>
      <c r="AA1488" s="6"/>
      <c r="AB1488" s="7"/>
      <c r="AC1488" s="7"/>
      <c r="AD1488" s="7"/>
      <c r="AE1488" s="7"/>
      <c r="AF1488" s="16">
        <f>SUM(AA1488:AE1488)</f>
        <v>0</v>
      </c>
      <c r="AH1488" s="6"/>
      <c r="AI1488" s="7"/>
      <c r="AJ1488" s="7"/>
      <c r="AK1488" s="7"/>
      <c r="AL1488" s="7"/>
      <c r="AM1488" s="16">
        <f>SUM(AH1488:AL1488)</f>
        <v>0</v>
      </c>
      <c r="AO1488" s="6"/>
      <c r="AP1488" s="7"/>
      <c r="AQ1488" s="7"/>
      <c r="AR1488" s="7"/>
      <c r="AS1488" s="7"/>
      <c r="AT1488" s="16">
        <f>SUM(AO1488:AS1488)</f>
        <v>0</v>
      </c>
      <c r="AV1488" s="6"/>
      <c r="AW1488" s="7"/>
      <c r="AX1488" s="7"/>
      <c r="AY1488" s="7"/>
      <c r="AZ1488" s="7"/>
      <c r="BA1488" s="16">
        <f>SUM(AV1488:AZ1488)</f>
        <v>0</v>
      </c>
      <c r="BC1488" s="6"/>
      <c r="BD1488" s="7"/>
      <c r="BE1488" s="7"/>
      <c r="BF1488" s="7"/>
      <c r="BG1488" s="7"/>
      <c r="BH1488" s="16">
        <f>SUM(BC1488:BG1488)</f>
        <v>0</v>
      </c>
      <c r="BJ1488" s="6"/>
      <c r="BK1488" s="7"/>
      <c r="BL1488" s="7"/>
      <c r="BM1488" s="7"/>
      <c r="BN1488" s="7"/>
      <c r="BO1488" s="16">
        <f>SUM(BJ1488:BN1488)</f>
        <v>0</v>
      </c>
      <c r="BQ1488" s="6"/>
      <c r="BR1488" s="7"/>
      <c r="BS1488" s="7"/>
      <c r="BT1488" s="7"/>
      <c r="BU1488" s="7"/>
      <c r="BV1488" s="16">
        <f>SUM(BQ1488:BU1488)</f>
        <v>0</v>
      </c>
      <c r="BX1488" s="6"/>
      <c r="BY1488" s="7"/>
      <c r="BZ1488" s="7"/>
      <c r="CA1488" s="7"/>
      <c r="CB1488" s="7"/>
      <c r="CC1488" s="16">
        <f>SUM(BX1488:CB1488)</f>
        <v>0</v>
      </c>
      <c r="CE1488" s="493">
        <f t="shared" si="6839"/>
        <v>0</v>
      </c>
      <c r="CF1488" s="494">
        <f t="shared" si="6840"/>
        <v>0</v>
      </c>
      <c r="CG1488" s="494">
        <f t="shared" si="6841"/>
        <v>0</v>
      </c>
      <c r="CH1488" s="494">
        <f t="shared" si="6842"/>
        <v>0</v>
      </c>
      <c r="CI1488" s="494">
        <f t="shared" si="6843"/>
        <v>0</v>
      </c>
      <c r="CJ1488" s="495">
        <f>SUM(CE1488:CI1488)</f>
        <v>0</v>
      </c>
      <c r="CL1488" s="6"/>
      <c r="CM1488" s="7"/>
      <c r="CN1488" s="7"/>
      <c r="CO1488" s="7"/>
      <c r="CP1488" s="7"/>
      <c r="CQ1488" s="16">
        <f>SUM(CL1488:CP1488)</f>
        <v>0</v>
      </c>
      <c r="CS1488" s="6"/>
      <c r="CT1488" s="7"/>
      <c r="CU1488" s="7"/>
      <c r="CV1488" s="7"/>
      <c r="CW1488" s="7"/>
      <c r="CX1488" s="8">
        <f t="shared" si="6848"/>
        <v>0</v>
      </c>
      <c r="CZ1488" s="6"/>
      <c r="DA1488" s="7"/>
      <c r="DB1488" s="7"/>
      <c r="DC1488" s="7"/>
      <c r="DD1488" s="7"/>
      <c r="DE1488" s="16">
        <f t="shared" si="6849"/>
        <v>0</v>
      </c>
    </row>
    <row r="1489" spans="3:109" ht="14" thickBot="1">
      <c r="C1489" s="554"/>
      <c r="E1489" s="17"/>
      <c r="F1489" s="10">
        <f>SUM(F1485:F1488)</f>
        <v>0</v>
      </c>
      <c r="G1489" s="11">
        <f t="shared" ref="G1489:J1489" si="6850">SUM(G1485:G1488)</f>
        <v>0</v>
      </c>
      <c r="H1489" s="11">
        <f t="shared" si="6850"/>
        <v>0</v>
      </c>
      <c r="I1489" s="11">
        <f t="shared" si="6850"/>
        <v>0</v>
      </c>
      <c r="J1489" s="11">
        <f t="shared" si="6850"/>
        <v>0</v>
      </c>
      <c r="K1489" s="25">
        <f>SUM(K1485:K1488)</f>
        <v>0</v>
      </c>
      <c r="M1489" s="10">
        <f>SUM(M1485:M1488)</f>
        <v>0</v>
      </c>
      <c r="N1489" s="11">
        <f t="shared" ref="N1489:Q1489" si="6851">SUM(N1485:N1488)</f>
        <v>0</v>
      </c>
      <c r="O1489" s="11">
        <f t="shared" si="6851"/>
        <v>0</v>
      </c>
      <c r="P1489" s="11">
        <f t="shared" si="6851"/>
        <v>0</v>
      </c>
      <c r="Q1489" s="11">
        <f t="shared" si="6851"/>
        <v>0</v>
      </c>
      <c r="R1489" s="25">
        <f>SUM(R1485:R1488)</f>
        <v>0</v>
      </c>
      <c r="T1489" s="10">
        <f>SUM(T1485:T1488)</f>
        <v>0</v>
      </c>
      <c r="U1489" s="11">
        <f t="shared" ref="U1489:X1489" si="6852">SUM(U1485:U1488)</f>
        <v>0</v>
      </c>
      <c r="V1489" s="11">
        <f t="shared" si="6852"/>
        <v>0</v>
      </c>
      <c r="W1489" s="11">
        <f t="shared" si="6852"/>
        <v>0</v>
      </c>
      <c r="X1489" s="11">
        <f t="shared" si="6852"/>
        <v>0</v>
      </c>
      <c r="Y1489" s="25">
        <f>SUM(Y1485:Y1488)</f>
        <v>0</v>
      </c>
      <c r="AA1489" s="10">
        <f>SUM(AA1485:AA1488)</f>
        <v>0</v>
      </c>
      <c r="AB1489" s="11">
        <f t="shared" ref="AB1489:AE1489" si="6853">SUM(AB1485:AB1488)</f>
        <v>0</v>
      </c>
      <c r="AC1489" s="11">
        <f t="shared" si="6853"/>
        <v>0</v>
      </c>
      <c r="AD1489" s="11">
        <f t="shared" si="6853"/>
        <v>0</v>
      </c>
      <c r="AE1489" s="11">
        <f t="shared" si="6853"/>
        <v>0</v>
      </c>
      <c r="AF1489" s="25">
        <f>SUM(AF1485:AF1488)</f>
        <v>0</v>
      </c>
      <c r="AH1489" s="10">
        <f>SUM(AH1485:AH1488)</f>
        <v>0</v>
      </c>
      <c r="AI1489" s="11">
        <f t="shared" ref="AI1489:AL1489" si="6854">SUM(AI1485:AI1488)</f>
        <v>0</v>
      </c>
      <c r="AJ1489" s="11">
        <f t="shared" si="6854"/>
        <v>0</v>
      </c>
      <c r="AK1489" s="11">
        <f t="shared" si="6854"/>
        <v>0</v>
      </c>
      <c r="AL1489" s="11">
        <f t="shared" si="6854"/>
        <v>0</v>
      </c>
      <c r="AM1489" s="25">
        <f>SUM(AM1485:AM1488)</f>
        <v>0</v>
      </c>
      <c r="AO1489" s="10">
        <f>SUM(AO1485:AO1488)</f>
        <v>0</v>
      </c>
      <c r="AP1489" s="11">
        <f t="shared" ref="AP1489:AS1489" si="6855">SUM(AP1485:AP1488)</f>
        <v>0</v>
      </c>
      <c r="AQ1489" s="11">
        <f t="shared" si="6855"/>
        <v>0</v>
      </c>
      <c r="AR1489" s="11">
        <f t="shared" si="6855"/>
        <v>0</v>
      </c>
      <c r="AS1489" s="11">
        <f t="shared" si="6855"/>
        <v>0</v>
      </c>
      <c r="AT1489" s="25">
        <f>SUM(AT1485:AT1488)</f>
        <v>0</v>
      </c>
      <c r="AV1489" s="10">
        <f>SUM(AV1485:AV1488)</f>
        <v>0</v>
      </c>
      <c r="AW1489" s="11">
        <f t="shared" ref="AW1489:AZ1489" si="6856">SUM(AW1485:AW1488)</f>
        <v>0</v>
      </c>
      <c r="AX1489" s="11">
        <f t="shared" si="6856"/>
        <v>0</v>
      </c>
      <c r="AY1489" s="11">
        <f t="shared" si="6856"/>
        <v>0</v>
      </c>
      <c r="AZ1489" s="11">
        <f t="shared" si="6856"/>
        <v>0</v>
      </c>
      <c r="BA1489" s="25">
        <f>SUM(BA1485:BA1488)</f>
        <v>0</v>
      </c>
      <c r="BC1489" s="10">
        <f>SUM(BC1485:BC1488)</f>
        <v>0</v>
      </c>
      <c r="BD1489" s="11">
        <f t="shared" ref="BD1489:BG1489" si="6857">SUM(BD1485:BD1488)</f>
        <v>0</v>
      </c>
      <c r="BE1489" s="11">
        <f t="shared" si="6857"/>
        <v>0</v>
      </c>
      <c r="BF1489" s="11">
        <f t="shared" si="6857"/>
        <v>0</v>
      </c>
      <c r="BG1489" s="11">
        <f t="shared" si="6857"/>
        <v>0</v>
      </c>
      <c r="BH1489" s="25">
        <f>SUM(BH1485:BH1488)</f>
        <v>0</v>
      </c>
      <c r="BJ1489" s="10">
        <f>SUM(BJ1485:BJ1488)</f>
        <v>0</v>
      </c>
      <c r="BK1489" s="11">
        <f t="shared" ref="BK1489:BN1489" si="6858">SUM(BK1485:BK1488)</f>
        <v>0</v>
      </c>
      <c r="BL1489" s="11">
        <f t="shared" si="6858"/>
        <v>0</v>
      </c>
      <c r="BM1489" s="11">
        <f t="shared" si="6858"/>
        <v>0</v>
      </c>
      <c r="BN1489" s="11">
        <f t="shared" si="6858"/>
        <v>0</v>
      </c>
      <c r="BO1489" s="25">
        <f>SUM(BO1485:BO1488)</f>
        <v>0</v>
      </c>
      <c r="BQ1489" s="10">
        <f>SUM(BQ1485:BQ1488)</f>
        <v>0</v>
      </c>
      <c r="BR1489" s="11">
        <f t="shared" ref="BR1489:BU1489" si="6859">SUM(BR1485:BR1488)</f>
        <v>0</v>
      </c>
      <c r="BS1489" s="11">
        <f t="shared" si="6859"/>
        <v>0</v>
      </c>
      <c r="BT1489" s="11">
        <f t="shared" si="6859"/>
        <v>0</v>
      </c>
      <c r="BU1489" s="11">
        <f t="shared" si="6859"/>
        <v>0</v>
      </c>
      <c r="BV1489" s="25">
        <f>SUM(BV1485:BV1488)</f>
        <v>0</v>
      </c>
      <c r="BX1489" s="10">
        <f>SUM(BX1485:BX1488)</f>
        <v>0</v>
      </c>
      <c r="BY1489" s="11">
        <f t="shared" ref="BY1489:CB1489" si="6860">SUM(BY1485:BY1488)</f>
        <v>0</v>
      </c>
      <c r="BZ1489" s="11">
        <f t="shared" si="6860"/>
        <v>0</v>
      </c>
      <c r="CA1489" s="11">
        <f t="shared" si="6860"/>
        <v>0</v>
      </c>
      <c r="CB1489" s="11">
        <f t="shared" si="6860"/>
        <v>0</v>
      </c>
      <c r="CC1489" s="25">
        <f>SUM(CC1485:CC1488)</f>
        <v>0</v>
      </c>
      <c r="CE1489" s="62">
        <f t="shared" ref="CE1489:CJ1489" si="6861">SUM(CE1485:CE1488)</f>
        <v>0</v>
      </c>
      <c r="CF1489" s="63">
        <f t="shared" si="6861"/>
        <v>0</v>
      </c>
      <c r="CG1489" s="63">
        <f t="shared" si="6861"/>
        <v>0</v>
      </c>
      <c r="CH1489" s="63">
        <f t="shared" si="6861"/>
        <v>0</v>
      </c>
      <c r="CI1489" s="63">
        <f t="shared" si="6861"/>
        <v>0</v>
      </c>
      <c r="CJ1489" s="25">
        <f t="shared" si="6861"/>
        <v>0</v>
      </c>
      <c r="CL1489" s="10">
        <f>SUM(CL1485:CL1488)</f>
        <v>0</v>
      </c>
      <c r="CM1489" s="11">
        <f t="shared" ref="CM1489:CP1489" si="6862">SUM(CM1485:CM1488)</f>
        <v>0</v>
      </c>
      <c r="CN1489" s="11">
        <f t="shared" si="6862"/>
        <v>0</v>
      </c>
      <c r="CO1489" s="11">
        <f t="shared" si="6862"/>
        <v>0</v>
      </c>
      <c r="CP1489" s="11">
        <f t="shared" si="6862"/>
        <v>0</v>
      </c>
      <c r="CQ1489" s="25">
        <f>SUM(CQ1485:CQ1488)</f>
        <v>0</v>
      </c>
      <c r="CS1489" s="10">
        <f>SUM(CS1485:CS1488)</f>
        <v>0</v>
      </c>
      <c r="CT1489" s="11">
        <f t="shared" ref="CT1489:CW1489" si="6863">SUM(CT1485:CT1488)</f>
        <v>0</v>
      </c>
      <c r="CU1489" s="11">
        <f t="shared" si="6863"/>
        <v>0</v>
      </c>
      <c r="CV1489" s="11">
        <f t="shared" si="6863"/>
        <v>0</v>
      </c>
      <c r="CW1489" s="11">
        <f t="shared" si="6863"/>
        <v>0</v>
      </c>
      <c r="CX1489" s="25">
        <f>SUM(CX1485:CX1488)</f>
        <v>0</v>
      </c>
      <c r="CZ1489" s="10">
        <f>SUM(CZ1485:CZ1488)</f>
        <v>0</v>
      </c>
      <c r="DA1489" s="11">
        <f t="shared" ref="DA1489:DD1489" si="6864">SUM(DA1485:DA1488)</f>
        <v>0</v>
      </c>
      <c r="DB1489" s="11">
        <f t="shared" si="6864"/>
        <v>0</v>
      </c>
      <c r="DC1489" s="11">
        <f t="shared" si="6864"/>
        <v>0</v>
      </c>
      <c r="DD1489" s="11">
        <f t="shared" si="6864"/>
        <v>0</v>
      </c>
      <c r="DE1489" s="25">
        <f>SUM(DE1485:DE1488)</f>
        <v>0</v>
      </c>
    </row>
    <row r="1490" spans="3:109" ht="10.4" customHeight="1" thickBot="1"/>
    <row r="1491" spans="3:109">
      <c r="C1491" s="553">
        <v>2026</v>
      </c>
      <c r="E1491" s="1" t="s">
        <v>59</v>
      </c>
      <c r="F1491" s="21">
        <f>CE1485</f>
        <v>0</v>
      </c>
      <c r="G1491" s="22">
        <f t="shared" ref="G1491:G1494" si="6865">CF1485</f>
        <v>0</v>
      </c>
      <c r="H1491" s="22">
        <f t="shared" ref="H1491:H1494" si="6866">CG1485</f>
        <v>0</v>
      </c>
      <c r="I1491" s="22">
        <f t="shared" ref="I1491:I1494" si="6867">CH1485</f>
        <v>0</v>
      </c>
      <c r="J1491" s="22">
        <f t="shared" ref="J1491:J1494" si="6868">CI1485</f>
        <v>0</v>
      </c>
      <c r="K1491" s="4">
        <f>SUM(F1491:J1491)</f>
        <v>0</v>
      </c>
      <c r="M1491" s="2"/>
      <c r="N1491" s="3"/>
      <c r="O1491" s="3"/>
      <c r="P1491" s="3"/>
      <c r="Q1491" s="3"/>
      <c r="R1491" s="4">
        <f>SUM(M1491:Q1491)</f>
        <v>0</v>
      </c>
      <c r="T1491" s="2"/>
      <c r="U1491" s="3"/>
      <c r="V1491" s="3"/>
      <c r="W1491" s="3"/>
      <c r="X1491" s="3"/>
      <c r="Y1491" s="4">
        <f>SUM(T1491:X1491)</f>
        <v>0</v>
      </c>
      <c r="AA1491" s="2"/>
      <c r="AB1491" s="3"/>
      <c r="AC1491" s="3"/>
      <c r="AD1491" s="3"/>
      <c r="AE1491" s="3"/>
      <c r="AF1491" s="4">
        <f>SUM(AA1491:AE1491)</f>
        <v>0</v>
      </c>
      <c r="AH1491" s="2"/>
      <c r="AI1491" s="3"/>
      <c r="AJ1491" s="3"/>
      <c r="AK1491" s="3"/>
      <c r="AL1491" s="3"/>
      <c r="AM1491" s="4">
        <f>SUM(AH1491:AL1491)</f>
        <v>0</v>
      </c>
      <c r="AO1491" s="2"/>
      <c r="AP1491" s="3"/>
      <c r="AQ1491" s="3"/>
      <c r="AR1491" s="3"/>
      <c r="AS1491" s="3"/>
      <c r="AT1491" s="4">
        <f>SUM(AO1491:AS1491)</f>
        <v>0</v>
      </c>
      <c r="AV1491" s="2"/>
      <c r="AW1491" s="3"/>
      <c r="AX1491" s="3"/>
      <c r="AY1491" s="3"/>
      <c r="AZ1491" s="3"/>
      <c r="BA1491" s="4">
        <f>SUM(AV1491:AZ1491)</f>
        <v>0</v>
      </c>
      <c r="BC1491" s="2"/>
      <c r="BD1491" s="3"/>
      <c r="BE1491" s="3"/>
      <c r="BF1491" s="3"/>
      <c r="BG1491" s="3"/>
      <c r="BH1491" s="4">
        <f>SUM(BC1491:BG1491)</f>
        <v>0</v>
      </c>
      <c r="BJ1491" s="2"/>
      <c r="BK1491" s="3"/>
      <c r="BL1491" s="3"/>
      <c r="BM1491" s="3"/>
      <c r="BN1491" s="3"/>
      <c r="BO1491" s="4">
        <f>SUM(BJ1491:BN1491)</f>
        <v>0</v>
      </c>
      <c r="BQ1491" s="2"/>
      <c r="BR1491" s="3"/>
      <c r="BS1491" s="3"/>
      <c r="BT1491" s="3"/>
      <c r="BU1491" s="3"/>
      <c r="BV1491" s="4">
        <f>SUM(BQ1491:BU1491)</f>
        <v>0</v>
      </c>
      <c r="BX1491" s="2"/>
      <c r="BY1491" s="3"/>
      <c r="BZ1491" s="3"/>
      <c r="CA1491" s="3"/>
      <c r="CB1491" s="3"/>
      <c r="CC1491" s="4">
        <f>SUM(BX1491:CB1491)</f>
        <v>0</v>
      </c>
      <c r="CE1491" s="26">
        <f t="shared" ref="CE1491:CE1494" si="6869">F1491+M1491+T1491+AA1491+AH1491+AO1491+AV1491+BC1491+BJ1491+BQ1491+BX1491</f>
        <v>0</v>
      </c>
      <c r="CF1491" s="27">
        <f t="shared" ref="CF1491:CF1494" si="6870">G1491+N1491+U1491+AB1491+AI1491+AP1491+AW1491+BD1491+BK1491+BR1491+BY1491</f>
        <v>0</v>
      </c>
      <c r="CG1491" s="27">
        <f t="shared" ref="CG1491:CG1494" si="6871">H1491+O1491+V1491+AC1491+AJ1491+AQ1491+AX1491+BE1491+BL1491+BS1491+BZ1491</f>
        <v>0</v>
      </c>
      <c r="CH1491" s="27">
        <f t="shared" ref="CH1491:CH1494" si="6872">I1491+P1491+W1491+AD1491+AK1491+AR1491+AY1491+BF1491+BM1491+BT1491+CA1491</f>
        <v>0</v>
      </c>
      <c r="CI1491" s="27">
        <f t="shared" ref="CI1491:CI1494" si="6873">J1491+Q1491+X1491+AE1491+AL1491+AS1491+AZ1491+BG1491+BN1491+BU1491+CB1491</f>
        <v>0</v>
      </c>
      <c r="CJ1491" s="4">
        <f>SUM(CE1491:CI1491)</f>
        <v>0</v>
      </c>
      <c r="CL1491" s="2"/>
      <c r="CM1491" s="3"/>
      <c r="CN1491" s="3"/>
      <c r="CO1491" s="3"/>
      <c r="CP1491" s="3"/>
      <c r="CQ1491" s="4">
        <f>SUM(CL1491:CP1491)</f>
        <v>0</v>
      </c>
      <c r="CS1491" s="2"/>
      <c r="CT1491" s="3"/>
      <c r="CU1491" s="3"/>
      <c r="CV1491" s="3"/>
      <c r="CW1491" s="3"/>
      <c r="CX1491" s="4">
        <f>SUM(CS1491:CW1491)</f>
        <v>0</v>
      </c>
      <c r="CZ1491" s="2"/>
      <c r="DA1491" s="3"/>
      <c r="DB1491" s="3"/>
      <c r="DC1491" s="3"/>
      <c r="DD1491" s="3"/>
      <c r="DE1491" s="4">
        <f>SUM(CZ1491:DD1491)</f>
        <v>0</v>
      </c>
    </row>
    <row r="1492" spans="3:109">
      <c r="C1492" s="567"/>
      <c r="E1492" s="5" t="s">
        <v>60</v>
      </c>
      <c r="F1492" s="23">
        <f t="shared" ref="F1492:F1494" si="6874">CE1486</f>
        <v>0</v>
      </c>
      <c r="G1492" s="24">
        <f t="shared" si="6865"/>
        <v>0</v>
      </c>
      <c r="H1492" s="24">
        <f t="shared" si="6866"/>
        <v>0</v>
      </c>
      <c r="I1492" s="24">
        <f t="shared" si="6867"/>
        <v>0</v>
      </c>
      <c r="J1492" s="24">
        <f t="shared" si="6868"/>
        <v>0</v>
      </c>
      <c r="K1492" s="8">
        <f t="shared" ref="K1492:K1494" si="6875">SUM(F1492:J1492)</f>
        <v>0</v>
      </c>
      <c r="M1492" s="6"/>
      <c r="N1492" s="7"/>
      <c r="O1492" s="7"/>
      <c r="P1492" s="7"/>
      <c r="Q1492" s="7"/>
      <c r="R1492" s="8">
        <f t="shared" ref="R1492:R1494" si="6876">SUM(M1492:Q1492)</f>
        <v>0</v>
      </c>
      <c r="T1492" s="6"/>
      <c r="U1492" s="7"/>
      <c r="V1492" s="7"/>
      <c r="W1492" s="7"/>
      <c r="X1492" s="7"/>
      <c r="Y1492" s="8">
        <f t="shared" ref="Y1492:Y1494" si="6877">SUM(T1492:X1492)</f>
        <v>0</v>
      </c>
      <c r="AA1492" s="6"/>
      <c r="AB1492" s="7"/>
      <c r="AC1492" s="7"/>
      <c r="AD1492" s="7"/>
      <c r="AE1492" s="7"/>
      <c r="AF1492" s="8">
        <f>SUM(AA1492:AE1492)</f>
        <v>0</v>
      </c>
      <c r="AH1492" s="6"/>
      <c r="AI1492" s="7"/>
      <c r="AJ1492" s="7"/>
      <c r="AK1492" s="7"/>
      <c r="AL1492" s="7"/>
      <c r="AM1492" s="8">
        <f>SUM(AH1492:AL1492)</f>
        <v>0</v>
      </c>
      <c r="AO1492" s="6"/>
      <c r="AP1492" s="7"/>
      <c r="AQ1492" s="7"/>
      <c r="AR1492" s="7"/>
      <c r="AS1492" s="7"/>
      <c r="AT1492" s="8">
        <f>SUM(AO1492:AS1492)</f>
        <v>0</v>
      </c>
      <c r="AV1492" s="6"/>
      <c r="AW1492" s="7"/>
      <c r="AX1492" s="7"/>
      <c r="AY1492" s="7"/>
      <c r="AZ1492" s="7"/>
      <c r="BA1492" s="8">
        <f>SUM(AV1492:AZ1492)</f>
        <v>0</v>
      </c>
      <c r="BC1492" s="6"/>
      <c r="BD1492" s="7"/>
      <c r="BE1492" s="7"/>
      <c r="BF1492" s="7"/>
      <c r="BG1492" s="7"/>
      <c r="BH1492" s="8">
        <f>SUM(BC1492:BG1492)</f>
        <v>0</v>
      </c>
      <c r="BJ1492" s="6"/>
      <c r="BK1492" s="7"/>
      <c r="BL1492" s="7"/>
      <c r="BM1492" s="7"/>
      <c r="BN1492" s="7"/>
      <c r="BO1492" s="8">
        <f>SUM(BJ1492:BN1492)</f>
        <v>0</v>
      </c>
      <c r="BQ1492" s="6"/>
      <c r="BR1492" s="7"/>
      <c r="BS1492" s="7"/>
      <c r="BT1492" s="7"/>
      <c r="BU1492" s="7"/>
      <c r="BV1492" s="8">
        <f>SUM(BQ1492:BU1492)</f>
        <v>0</v>
      </c>
      <c r="BX1492" s="6"/>
      <c r="BY1492" s="7"/>
      <c r="BZ1492" s="7"/>
      <c r="CA1492" s="7"/>
      <c r="CB1492" s="7"/>
      <c r="CC1492" s="8">
        <f>SUM(BX1492:CB1492)</f>
        <v>0</v>
      </c>
      <c r="CE1492" s="28">
        <f t="shared" si="6869"/>
        <v>0</v>
      </c>
      <c r="CF1492" s="29">
        <f t="shared" si="6870"/>
        <v>0</v>
      </c>
      <c r="CG1492" s="29">
        <f t="shared" si="6871"/>
        <v>0</v>
      </c>
      <c r="CH1492" s="29">
        <f t="shared" si="6872"/>
        <v>0</v>
      </c>
      <c r="CI1492" s="29">
        <f t="shared" si="6873"/>
        <v>0</v>
      </c>
      <c r="CJ1492" s="8">
        <f>SUM(CE1492:CI1492)</f>
        <v>0</v>
      </c>
      <c r="CL1492" s="6"/>
      <c r="CM1492" s="7"/>
      <c r="CN1492" s="7"/>
      <c r="CO1492" s="7"/>
      <c r="CP1492" s="7"/>
      <c r="CQ1492" s="8">
        <f>SUM(CL1492:CP1492)</f>
        <v>0</v>
      </c>
      <c r="CS1492" s="6"/>
      <c r="CT1492" s="7"/>
      <c r="CU1492" s="7"/>
      <c r="CV1492" s="7"/>
      <c r="CW1492" s="7"/>
      <c r="CX1492" s="8">
        <f t="shared" ref="CX1492:CX1494" si="6878">SUM(CS1492:CW1492)</f>
        <v>0</v>
      </c>
      <c r="CZ1492" s="6"/>
      <c r="DA1492" s="7"/>
      <c r="DB1492" s="7"/>
      <c r="DC1492" s="7"/>
      <c r="DD1492" s="7"/>
      <c r="DE1492" s="8">
        <f t="shared" ref="DE1492:DE1494" si="6879">SUM(CZ1492:DD1492)</f>
        <v>0</v>
      </c>
    </row>
    <row r="1493" spans="3:109">
      <c r="C1493" s="567"/>
      <c r="E1493" s="5" t="s">
        <v>61</v>
      </c>
      <c r="F1493" s="23">
        <f t="shared" si="6874"/>
        <v>0</v>
      </c>
      <c r="G1493" s="24">
        <f t="shared" si="6865"/>
        <v>0</v>
      </c>
      <c r="H1493" s="24">
        <f t="shared" si="6866"/>
        <v>0</v>
      </c>
      <c r="I1493" s="24">
        <f t="shared" si="6867"/>
        <v>0</v>
      </c>
      <c r="J1493" s="24">
        <f t="shared" si="6868"/>
        <v>0</v>
      </c>
      <c r="K1493" s="8">
        <f t="shared" si="6875"/>
        <v>0</v>
      </c>
      <c r="M1493" s="6"/>
      <c r="N1493" s="7"/>
      <c r="O1493" s="7"/>
      <c r="P1493" s="7"/>
      <c r="Q1493" s="7"/>
      <c r="R1493" s="8">
        <f t="shared" si="6876"/>
        <v>0</v>
      </c>
      <c r="T1493" s="6"/>
      <c r="U1493" s="7"/>
      <c r="V1493" s="7"/>
      <c r="W1493" s="7"/>
      <c r="X1493" s="7"/>
      <c r="Y1493" s="8">
        <f t="shared" si="6877"/>
        <v>0</v>
      </c>
      <c r="AA1493" s="6"/>
      <c r="AB1493" s="7"/>
      <c r="AC1493" s="7"/>
      <c r="AD1493" s="7"/>
      <c r="AE1493" s="7"/>
      <c r="AF1493" s="8">
        <f>SUM(AA1493:AE1493)</f>
        <v>0</v>
      </c>
      <c r="AH1493" s="6"/>
      <c r="AI1493" s="7"/>
      <c r="AJ1493" s="7"/>
      <c r="AK1493" s="7"/>
      <c r="AL1493" s="7"/>
      <c r="AM1493" s="8">
        <f>SUM(AH1493:AL1493)</f>
        <v>0</v>
      </c>
      <c r="AO1493" s="6"/>
      <c r="AP1493" s="7"/>
      <c r="AQ1493" s="7"/>
      <c r="AR1493" s="7"/>
      <c r="AS1493" s="7"/>
      <c r="AT1493" s="8">
        <f>SUM(AO1493:AS1493)</f>
        <v>0</v>
      </c>
      <c r="AV1493" s="6"/>
      <c r="AW1493" s="7"/>
      <c r="AX1493" s="7"/>
      <c r="AY1493" s="7"/>
      <c r="AZ1493" s="7"/>
      <c r="BA1493" s="8">
        <f>SUM(AV1493:AZ1493)</f>
        <v>0</v>
      </c>
      <c r="BC1493" s="6"/>
      <c r="BD1493" s="7"/>
      <c r="BE1493" s="7"/>
      <c r="BF1493" s="7"/>
      <c r="BG1493" s="7"/>
      <c r="BH1493" s="8">
        <f>SUM(BC1493:BG1493)</f>
        <v>0</v>
      </c>
      <c r="BJ1493" s="6"/>
      <c r="BK1493" s="7"/>
      <c r="BL1493" s="7"/>
      <c r="BM1493" s="7"/>
      <c r="BN1493" s="7"/>
      <c r="BO1493" s="8">
        <f>SUM(BJ1493:BN1493)</f>
        <v>0</v>
      </c>
      <c r="BQ1493" s="6"/>
      <c r="BR1493" s="7"/>
      <c r="BS1493" s="7"/>
      <c r="BT1493" s="7"/>
      <c r="BU1493" s="7"/>
      <c r="BV1493" s="8">
        <f>SUM(BQ1493:BU1493)</f>
        <v>0</v>
      </c>
      <c r="BX1493" s="6"/>
      <c r="BY1493" s="7"/>
      <c r="BZ1493" s="7"/>
      <c r="CA1493" s="7"/>
      <c r="CB1493" s="7"/>
      <c r="CC1493" s="8">
        <f>SUM(BX1493:CB1493)</f>
        <v>0</v>
      </c>
      <c r="CE1493" s="28">
        <f t="shared" si="6869"/>
        <v>0</v>
      </c>
      <c r="CF1493" s="29">
        <f t="shared" si="6870"/>
        <v>0</v>
      </c>
      <c r="CG1493" s="29">
        <f t="shared" si="6871"/>
        <v>0</v>
      </c>
      <c r="CH1493" s="29">
        <f t="shared" si="6872"/>
        <v>0</v>
      </c>
      <c r="CI1493" s="29">
        <f t="shared" si="6873"/>
        <v>0</v>
      </c>
      <c r="CJ1493" s="8">
        <f>SUM(CE1493:CI1493)</f>
        <v>0</v>
      </c>
      <c r="CL1493" s="6"/>
      <c r="CM1493" s="7"/>
      <c r="CN1493" s="7"/>
      <c r="CO1493" s="7"/>
      <c r="CP1493" s="7"/>
      <c r="CQ1493" s="8">
        <f>SUM(CL1493:CP1493)</f>
        <v>0</v>
      </c>
      <c r="CS1493" s="6"/>
      <c r="CT1493" s="7"/>
      <c r="CU1493" s="7"/>
      <c r="CV1493" s="7"/>
      <c r="CW1493" s="7"/>
      <c r="CX1493" s="8">
        <f t="shared" si="6878"/>
        <v>0</v>
      </c>
      <c r="CZ1493" s="6"/>
      <c r="DA1493" s="7"/>
      <c r="DB1493" s="7"/>
      <c r="DC1493" s="7"/>
      <c r="DD1493" s="7"/>
      <c r="DE1493" s="8">
        <f t="shared" si="6879"/>
        <v>0</v>
      </c>
    </row>
    <row r="1494" spans="3:109" ht="14" thickBot="1">
      <c r="C1494" s="567"/>
      <c r="E1494" s="5" t="s">
        <v>62</v>
      </c>
      <c r="F1494" s="23">
        <f t="shared" si="6874"/>
        <v>0</v>
      </c>
      <c r="G1494" s="24">
        <f t="shared" si="6865"/>
        <v>0</v>
      </c>
      <c r="H1494" s="24">
        <f t="shared" si="6866"/>
        <v>0</v>
      </c>
      <c r="I1494" s="24">
        <f t="shared" si="6867"/>
        <v>0</v>
      </c>
      <c r="J1494" s="24">
        <f t="shared" si="6868"/>
        <v>0</v>
      </c>
      <c r="K1494" s="8">
        <f t="shared" si="6875"/>
        <v>0</v>
      </c>
      <c r="M1494" s="6"/>
      <c r="N1494" s="7"/>
      <c r="O1494" s="7"/>
      <c r="P1494" s="7"/>
      <c r="Q1494" s="7"/>
      <c r="R1494" s="8">
        <f t="shared" si="6876"/>
        <v>0</v>
      </c>
      <c r="T1494" s="6"/>
      <c r="U1494" s="7"/>
      <c r="V1494" s="7"/>
      <c r="W1494" s="7"/>
      <c r="X1494" s="7"/>
      <c r="Y1494" s="8">
        <f t="shared" si="6877"/>
        <v>0</v>
      </c>
      <c r="AA1494" s="6"/>
      <c r="AB1494" s="7"/>
      <c r="AC1494" s="7"/>
      <c r="AD1494" s="7"/>
      <c r="AE1494" s="7"/>
      <c r="AF1494" s="8">
        <f>SUM(AA1494:AE1494)</f>
        <v>0</v>
      </c>
      <c r="AH1494" s="6"/>
      <c r="AI1494" s="7"/>
      <c r="AJ1494" s="7"/>
      <c r="AK1494" s="7"/>
      <c r="AL1494" s="7"/>
      <c r="AM1494" s="8">
        <f>SUM(AH1494:AL1494)</f>
        <v>0</v>
      </c>
      <c r="AO1494" s="6"/>
      <c r="AP1494" s="7"/>
      <c r="AQ1494" s="7"/>
      <c r="AR1494" s="7"/>
      <c r="AS1494" s="7"/>
      <c r="AT1494" s="8">
        <f>SUM(AO1494:AS1494)</f>
        <v>0</v>
      </c>
      <c r="AV1494" s="6"/>
      <c r="AW1494" s="7"/>
      <c r="AX1494" s="7"/>
      <c r="AY1494" s="7"/>
      <c r="AZ1494" s="7"/>
      <c r="BA1494" s="8">
        <f>SUM(AV1494:AZ1494)</f>
        <v>0</v>
      </c>
      <c r="BC1494" s="6"/>
      <c r="BD1494" s="7"/>
      <c r="BE1494" s="7"/>
      <c r="BF1494" s="7"/>
      <c r="BG1494" s="7"/>
      <c r="BH1494" s="8">
        <f>SUM(BC1494:BG1494)</f>
        <v>0</v>
      </c>
      <c r="BJ1494" s="6"/>
      <c r="BK1494" s="7"/>
      <c r="BL1494" s="7"/>
      <c r="BM1494" s="7"/>
      <c r="BN1494" s="7"/>
      <c r="BO1494" s="8">
        <f>SUM(BJ1494:BN1494)</f>
        <v>0</v>
      </c>
      <c r="BQ1494" s="6"/>
      <c r="BR1494" s="7"/>
      <c r="BS1494" s="7"/>
      <c r="BT1494" s="7"/>
      <c r="BU1494" s="7"/>
      <c r="BV1494" s="8">
        <f>SUM(BQ1494:BU1494)</f>
        <v>0</v>
      </c>
      <c r="BX1494" s="6"/>
      <c r="BY1494" s="7"/>
      <c r="BZ1494" s="7"/>
      <c r="CA1494" s="7"/>
      <c r="CB1494" s="7"/>
      <c r="CC1494" s="8">
        <f>SUM(BX1494:CB1494)</f>
        <v>0</v>
      </c>
      <c r="CE1494" s="493">
        <f t="shared" si="6869"/>
        <v>0</v>
      </c>
      <c r="CF1494" s="494">
        <f t="shared" si="6870"/>
        <v>0</v>
      </c>
      <c r="CG1494" s="494">
        <f t="shared" si="6871"/>
        <v>0</v>
      </c>
      <c r="CH1494" s="494">
        <f t="shared" si="6872"/>
        <v>0</v>
      </c>
      <c r="CI1494" s="494">
        <f t="shared" si="6873"/>
        <v>0</v>
      </c>
      <c r="CJ1494" s="495">
        <f>SUM(CE1494:CI1494)</f>
        <v>0</v>
      </c>
      <c r="CL1494" s="6"/>
      <c r="CM1494" s="7"/>
      <c r="CN1494" s="7"/>
      <c r="CO1494" s="7"/>
      <c r="CP1494" s="7"/>
      <c r="CQ1494" s="8">
        <f>SUM(CL1494:CP1494)</f>
        <v>0</v>
      </c>
      <c r="CS1494" s="6"/>
      <c r="CT1494" s="7"/>
      <c r="CU1494" s="7"/>
      <c r="CV1494" s="7"/>
      <c r="CW1494" s="7"/>
      <c r="CX1494" s="8">
        <f t="shared" si="6878"/>
        <v>0</v>
      </c>
      <c r="CZ1494" s="6"/>
      <c r="DA1494" s="7"/>
      <c r="DB1494" s="7"/>
      <c r="DC1494" s="7"/>
      <c r="DD1494" s="7"/>
      <c r="DE1494" s="8">
        <f t="shared" si="6879"/>
        <v>0</v>
      </c>
    </row>
    <row r="1495" spans="3:109" ht="14" thickBot="1">
      <c r="C1495" s="554"/>
      <c r="E1495" s="9"/>
      <c r="F1495" s="10">
        <f>SUM(F1491:F1494)</f>
        <v>0</v>
      </c>
      <c r="G1495" s="11">
        <f t="shared" ref="G1495:J1495" si="6880">SUM(G1491:G1494)</f>
        <v>0</v>
      </c>
      <c r="H1495" s="11">
        <f t="shared" si="6880"/>
        <v>0</v>
      </c>
      <c r="I1495" s="11">
        <f t="shared" si="6880"/>
        <v>0</v>
      </c>
      <c r="J1495" s="11">
        <f t="shared" si="6880"/>
        <v>0</v>
      </c>
      <c r="K1495" s="25">
        <f>SUM(K1491:K1494)</f>
        <v>0</v>
      </c>
      <c r="M1495" s="10">
        <f>SUM(M1491:M1494)</f>
        <v>0</v>
      </c>
      <c r="N1495" s="11">
        <f t="shared" ref="N1495:Q1495" si="6881">SUM(N1491:N1494)</f>
        <v>0</v>
      </c>
      <c r="O1495" s="11">
        <f t="shared" si="6881"/>
        <v>0</v>
      </c>
      <c r="P1495" s="11">
        <f t="shared" si="6881"/>
        <v>0</v>
      </c>
      <c r="Q1495" s="11">
        <f t="shared" si="6881"/>
        <v>0</v>
      </c>
      <c r="R1495" s="25">
        <f>SUM(R1491:R1494)</f>
        <v>0</v>
      </c>
      <c r="T1495" s="10">
        <f>SUM(T1491:T1494)</f>
        <v>0</v>
      </c>
      <c r="U1495" s="11">
        <f t="shared" ref="U1495:X1495" si="6882">SUM(U1491:U1494)</f>
        <v>0</v>
      </c>
      <c r="V1495" s="11">
        <f t="shared" si="6882"/>
        <v>0</v>
      </c>
      <c r="W1495" s="11">
        <f t="shared" si="6882"/>
        <v>0</v>
      </c>
      <c r="X1495" s="11">
        <f t="shared" si="6882"/>
        <v>0</v>
      </c>
      <c r="Y1495" s="25">
        <f>SUM(Y1491:Y1494)</f>
        <v>0</v>
      </c>
      <c r="AA1495" s="10">
        <f>SUM(AA1491:AA1494)</f>
        <v>0</v>
      </c>
      <c r="AB1495" s="11">
        <f t="shared" ref="AB1495:AE1495" si="6883">SUM(AB1491:AB1494)</f>
        <v>0</v>
      </c>
      <c r="AC1495" s="11">
        <f t="shared" si="6883"/>
        <v>0</v>
      </c>
      <c r="AD1495" s="11">
        <f t="shared" si="6883"/>
        <v>0</v>
      </c>
      <c r="AE1495" s="11">
        <f t="shared" si="6883"/>
        <v>0</v>
      </c>
      <c r="AF1495" s="25">
        <f>SUM(AF1491:AF1494)</f>
        <v>0</v>
      </c>
      <c r="AH1495" s="10">
        <f>SUM(AH1491:AH1494)</f>
        <v>0</v>
      </c>
      <c r="AI1495" s="11">
        <f t="shared" ref="AI1495:AL1495" si="6884">SUM(AI1491:AI1494)</f>
        <v>0</v>
      </c>
      <c r="AJ1495" s="11">
        <f t="shared" si="6884"/>
        <v>0</v>
      </c>
      <c r="AK1495" s="11">
        <f t="shared" si="6884"/>
        <v>0</v>
      </c>
      <c r="AL1495" s="11">
        <f t="shared" si="6884"/>
        <v>0</v>
      </c>
      <c r="AM1495" s="25">
        <f>SUM(AM1491:AM1494)</f>
        <v>0</v>
      </c>
      <c r="AO1495" s="10">
        <f>SUM(AO1491:AO1494)</f>
        <v>0</v>
      </c>
      <c r="AP1495" s="11">
        <f t="shared" ref="AP1495:AS1495" si="6885">SUM(AP1491:AP1494)</f>
        <v>0</v>
      </c>
      <c r="AQ1495" s="11">
        <f t="shared" si="6885"/>
        <v>0</v>
      </c>
      <c r="AR1495" s="11">
        <f t="shared" si="6885"/>
        <v>0</v>
      </c>
      <c r="AS1495" s="11">
        <f t="shared" si="6885"/>
        <v>0</v>
      </c>
      <c r="AT1495" s="25">
        <f>SUM(AT1491:AT1494)</f>
        <v>0</v>
      </c>
      <c r="AV1495" s="10">
        <f>SUM(AV1491:AV1494)</f>
        <v>0</v>
      </c>
      <c r="AW1495" s="11">
        <f t="shared" ref="AW1495:AZ1495" si="6886">SUM(AW1491:AW1494)</f>
        <v>0</v>
      </c>
      <c r="AX1495" s="11">
        <f t="shared" si="6886"/>
        <v>0</v>
      </c>
      <c r="AY1495" s="11">
        <f t="shared" si="6886"/>
        <v>0</v>
      </c>
      <c r="AZ1495" s="11">
        <f t="shared" si="6886"/>
        <v>0</v>
      </c>
      <c r="BA1495" s="25">
        <f>SUM(BA1491:BA1494)</f>
        <v>0</v>
      </c>
      <c r="BC1495" s="10">
        <f>SUM(BC1491:BC1494)</f>
        <v>0</v>
      </c>
      <c r="BD1495" s="11">
        <f t="shared" ref="BD1495:BG1495" si="6887">SUM(BD1491:BD1494)</f>
        <v>0</v>
      </c>
      <c r="BE1495" s="11">
        <f t="shared" si="6887"/>
        <v>0</v>
      </c>
      <c r="BF1495" s="11">
        <f t="shared" si="6887"/>
        <v>0</v>
      </c>
      <c r="BG1495" s="11">
        <f t="shared" si="6887"/>
        <v>0</v>
      </c>
      <c r="BH1495" s="25">
        <f>SUM(BH1491:BH1494)</f>
        <v>0</v>
      </c>
      <c r="BJ1495" s="10">
        <f>SUM(BJ1491:BJ1494)</f>
        <v>0</v>
      </c>
      <c r="BK1495" s="11">
        <f t="shared" ref="BK1495:BN1495" si="6888">SUM(BK1491:BK1494)</f>
        <v>0</v>
      </c>
      <c r="BL1495" s="11">
        <f t="shared" si="6888"/>
        <v>0</v>
      </c>
      <c r="BM1495" s="11">
        <f t="shared" si="6888"/>
        <v>0</v>
      </c>
      <c r="BN1495" s="11">
        <f t="shared" si="6888"/>
        <v>0</v>
      </c>
      <c r="BO1495" s="25">
        <f>SUM(BO1491:BO1494)</f>
        <v>0</v>
      </c>
      <c r="BQ1495" s="10">
        <f>SUM(BQ1491:BQ1494)</f>
        <v>0</v>
      </c>
      <c r="BR1495" s="11">
        <f t="shared" ref="BR1495:BU1495" si="6889">SUM(BR1491:BR1494)</f>
        <v>0</v>
      </c>
      <c r="BS1495" s="11">
        <f t="shared" si="6889"/>
        <v>0</v>
      </c>
      <c r="BT1495" s="11">
        <f t="shared" si="6889"/>
        <v>0</v>
      </c>
      <c r="BU1495" s="11">
        <f t="shared" si="6889"/>
        <v>0</v>
      </c>
      <c r="BV1495" s="25">
        <f>SUM(BV1491:BV1494)</f>
        <v>0</v>
      </c>
      <c r="BX1495" s="10">
        <f>SUM(BX1491:BX1494)</f>
        <v>0</v>
      </c>
      <c r="BY1495" s="11">
        <f t="shared" ref="BY1495:CB1495" si="6890">SUM(BY1491:BY1494)</f>
        <v>0</v>
      </c>
      <c r="BZ1495" s="11">
        <f t="shared" si="6890"/>
        <v>0</v>
      </c>
      <c r="CA1495" s="11">
        <f t="shared" si="6890"/>
        <v>0</v>
      </c>
      <c r="CB1495" s="11">
        <f t="shared" si="6890"/>
        <v>0</v>
      </c>
      <c r="CC1495" s="25">
        <f>SUM(CC1491:CC1494)</f>
        <v>0</v>
      </c>
      <c r="CE1495" s="62">
        <f t="shared" ref="CE1495:CJ1495" si="6891">SUM(CE1491:CE1494)</f>
        <v>0</v>
      </c>
      <c r="CF1495" s="63">
        <f t="shared" si="6891"/>
        <v>0</v>
      </c>
      <c r="CG1495" s="63">
        <f t="shared" si="6891"/>
        <v>0</v>
      </c>
      <c r="CH1495" s="63">
        <f t="shared" si="6891"/>
        <v>0</v>
      </c>
      <c r="CI1495" s="63">
        <f t="shared" si="6891"/>
        <v>0</v>
      </c>
      <c r="CJ1495" s="25">
        <f t="shared" si="6891"/>
        <v>0</v>
      </c>
      <c r="CL1495" s="10">
        <f>SUM(CL1491:CL1494)</f>
        <v>0</v>
      </c>
      <c r="CM1495" s="11">
        <f t="shared" ref="CM1495:CP1495" si="6892">SUM(CM1491:CM1494)</f>
        <v>0</v>
      </c>
      <c r="CN1495" s="11">
        <f t="shared" si="6892"/>
        <v>0</v>
      </c>
      <c r="CO1495" s="11">
        <f t="shared" si="6892"/>
        <v>0</v>
      </c>
      <c r="CP1495" s="11">
        <f t="shared" si="6892"/>
        <v>0</v>
      </c>
      <c r="CQ1495" s="25">
        <f>SUM(CQ1491:CQ1494)</f>
        <v>0</v>
      </c>
      <c r="CS1495" s="10">
        <f>SUM(CS1491:CS1494)</f>
        <v>0</v>
      </c>
      <c r="CT1495" s="11">
        <f t="shared" ref="CT1495:CW1495" si="6893">SUM(CT1491:CT1494)</f>
        <v>0</v>
      </c>
      <c r="CU1495" s="11">
        <f t="shared" si="6893"/>
        <v>0</v>
      </c>
      <c r="CV1495" s="11">
        <f t="shared" si="6893"/>
        <v>0</v>
      </c>
      <c r="CW1495" s="11">
        <f t="shared" si="6893"/>
        <v>0</v>
      </c>
      <c r="CX1495" s="25">
        <f>SUM(CX1491:CX1494)</f>
        <v>0</v>
      </c>
      <c r="CZ1495" s="10">
        <f>SUM(CZ1491:CZ1494)</f>
        <v>0</v>
      </c>
      <c r="DA1495" s="11">
        <f t="shared" ref="DA1495:DD1495" si="6894">SUM(DA1491:DA1494)</f>
        <v>0</v>
      </c>
      <c r="DB1495" s="11">
        <f t="shared" si="6894"/>
        <v>0</v>
      </c>
      <c r="DC1495" s="11">
        <f t="shared" si="6894"/>
        <v>0</v>
      </c>
      <c r="DD1495" s="11">
        <f t="shared" si="6894"/>
        <v>0</v>
      </c>
      <c r="DE1495" s="25">
        <f>SUM(DE1491:DE1494)</f>
        <v>0</v>
      </c>
    </row>
    <row r="1496" spans="3:109" ht="10.4" customHeight="1" thickBot="1"/>
    <row r="1497" spans="3:109">
      <c r="C1497" s="553">
        <v>2027</v>
      </c>
      <c r="E1497" s="1" t="s">
        <v>59</v>
      </c>
      <c r="F1497" s="21">
        <f>CE1491</f>
        <v>0</v>
      </c>
      <c r="G1497" s="22">
        <f t="shared" ref="G1497:G1500" si="6895">CF1491</f>
        <v>0</v>
      </c>
      <c r="H1497" s="22">
        <f t="shared" ref="H1497:H1500" si="6896">CG1491</f>
        <v>0</v>
      </c>
      <c r="I1497" s="22">
        <f t="shared" ref="I1497:I1500" si="6897">CH1491</f>
        <v>0</v>
      </c>
      <c r="J1497" s="22">
        <f t="shared" ref="J1497:J1500" si="6898">CI1491</f>
        <v>0</v>
      </c>
      <c r="K1497" s="4">
        <f>SUM(F1497:J1497)</f>
        <v>0</v>
      </c>
      <c r="M1497" s="2"/>
      <c r="N1497" s="3"/>
      <c r="O1497" s="3"/>
      <c r="P1497" s="3"/>
      <c r="Q1497" s="3"/>
      <c r="R1497" s="4">
        <f>SUM(M1497:Q1497)</f>
        <v>0</v>
      </c>
      <c r="T1497" s="2"/>
      <c r="U1497" s="3"/>
      <c r="V1497" s="3"/>
      <c r="W1497" s="3"/>
      <c r="X1497" s="3"/>
      <c r="Y1497" s="4">
        <f>SUM(T1497:X1497)</f>
        <v>0</v>
      </c>
      <c r="AA1497" s="2"/>
      <c r="AB1497" s="3"/>
      <c r="AC1497" s="3"/>
      <c r="AD1497" s="3"/>
      <c r="AE1497" s="3"/>
      <c r="AF1497" s="4">
        <f>SUM(AA1497:AE1497)</f>
        <v>0</v>
      </c>
      <c r="AH1497" s="2"/>
      <c r="AI1497" s="3"/>
      <c r="AJ1497" s="3"/>
      <c r="AK1497" s="3"/>
      <c r="AL1497" s="3"/>
      <c r="AM1497" s="4">
        <f>SUM(AH1497:AL1497)</f>
        <v>0</v>
      </c>
      <c r="AO1497" s="2"/>
      <c r="AP1497" s="3"/>
      <c r="AQ1497" s="3"/>
      <c r="AR1497" s="3"/>
      <c r="AS1497" s="3"/>
      <c r="AT1497" s="4">
        <f>SUM(AO1497:AS1497)</f>
        <v>0</v>
      </c>
      <c r="AV1497" s="2"/>
      <c r="AW1497" s="3"/>
      <c r="AX1497" s="3"/>
      <c r="AY1497" s="3"/>
      <c r="AZ1497" s="3"/>
      <c r="BA1497" s="4">
        <f>SUM(AV1497:AZ1497)</f>
        <v>0</v>
      </c>
      <c r="BC1497" s="2"/>
      <c r="BD1497" s="3"/>
      <c r="BE1497" s="3"/>
      <c r="BF1497" s="3"/>
      <c r="BG1497" s="3"/>
      <c r="BH1497" s="4">
        <f>SUM(BC1497:BG1497)</f>
        <v>0</v>
      </c>
      <c r="BJ1497" s="2"/>
      <c r="BK1497" s="3"/>
      <c r="BL1497" s="3"/>
      <c r="BM1497" s="3"/>
      <c r="BN1497" s="3"/>
      <c r="BO1497" s="4">
        <f>SUM(BJ1497:BN1497)</f>
        <v>0</v>
      </c>
      <c r="BQ1497" s="2"/>
      <c r="BR1497" s="3"/>
      <c r="BS1497" s="3"/>
      <c r="BT1497" s="3"/>
      <c r="BU1497" s="3"/>
      <c r="BV1497" s="4">
        <f>SUM(BQ1497:BU1497)</f>
        <v>0</v>
      </c>
      <c r="BX1497" s="2"/>
      <c r="BY1497" s="3"/>
      <c r="BZ1497" s="3"/>
      <c r="CA1497" s="3"/>
      <c r="CB1497" s="3"/>
      <c r="CC1497" s="4">
        <f>SUM(BX1497:CB1497)</f>
        <v>0</v>
      </c>
      <c r="CE1497" s="26">
        <f t="shared" ref="CE1497:CE1500" si="6899">F1497+M1497+T1497+AA1497+AH1497+AO1497+AV1497+BC1497+BJ1497+BQ1497+BX1497</f>
        <v>0</v>
      </c>
      <c r="CF1497" s="27">
        <f t="shared" ref="CF1497:CF1500" si="6900">G1497+N1497+U1497+AB1497+AI1497+AP1497+AW1497+BD1497+BK1497+BR1497+BY1497</f>
        <v>0</v>
      </c>
      <c r="CG1497" s="27">
        <f t="shared" ref="CG1497:CG1500" si="6901">H1497+O1497+V1497+AC1497+AJ1497+AQ1497+AX1497+BE1497+BL1497+BS1497+BZ1497</f>
        <v>0</v>
      </c>
      <c r="CH1497" s="27">
        <f t="shared" ref="CH1497:CH1500" si="6902">I1497+P1497+W1497+AD1497+AK1497+AR1497+AY1497+BF1497+BM1497+BT1497+CA1497</f>
        <v>0</v>
      </c>
      <c r="CI1497" s="27">
        <f t="shared" ref="CI1497:CI1500" si="6903">J1497+Q1497+X1497+AE1497+AL1497+AS1497+AZ1497+BG1497+BN1497+BU1497+CB1497</f>
        <v>0</v>
      </c>
      <c r="CJ1497" s="4">
        <f>SUM(CE1497:CI1497)</f>
        <v>0</v>
      </c>
      <c r="CL1497" s="2"/>
      <c r="CM1497" s="3"/>
      <c r="CN1497" s="3"/>
      <c r="CO1497" s="3"/>
      <c r="CP1497" s="3"/>
      <c r="CQ1497" s="4">
        <f>SUM(CL1497:CP1497)</f>
        <v>0</v>
      </c>
      <c r="CS1497" s="2"/>
      <c r="CT1497" s="3"/>
      <c r="CU1497" s="3"/>
      <c r="CV1497" s="3"/>
      <c r="CW1497" s="3"/>
      <c r="CX1497" s="4">
        <f>SUM(CS1497:CW1497)</f>
        <v>0</v>
      </c>
      <c r="CZ1497" s="2"/>
      <c r="DA1497" s="3"/>
      <c r="DB1497" s="3"/>
      <c r="DC1497" s="3"/>
      <c r="DD1497" s="3"/>
      <c r="DE1497" s="4">
        <f>SUM(CZ1497:DD1497)</f>
        <v>0</v>
      </c>
    </row>
    <row r="1498" spans="3:109">
      <c r="C1498" s="567"/>
      <c r="E1498" s="5" t="s">
        <v>60</v>
      </c>
      <c r="F1498" s="23">
        <f t="shared" ref="F1498:F1500" si="6904">CE1492</f>
        <v>0</v>
      </c>
      <c r="G1498" s="24">
        <f t="shared" si="6895"/>
        <v>0</v>
      </c>
      <c r="H1498" s="24">
        <f t="shared" si="6896"/>
        <v>0</v>
      </c>
      <c r="I1498" s="24">
        <f t="shared" si="6897"/>
        <v>0</v>
      </c>
      <c r="J1498" s="24">
        <f t="shared" si="6898"/>
        <v>0</v>
      </c>
      <c r="K1498" s="8">
        <f t="shared" ref="K1498:K1500" si="6905">SUM(F1498:J1498)</f>
        <v>0</v>
      </c>
      <c r="M1498" s="6"/>
      <c r="N1498" s="7"/>
      <c r="O1498" s="7"/>
      <c r="P1498" s="7"/>
      <c r="Q1498" s="7"/>
      <c r="R1498" s="8">
        <f t="shared" ref="R1498:R1500" si="6906">SUM(M1498:Q1498)</f>
        <v>0</v>
      </c>
      <c r="T1498" s="6"/>
      <c r="U1498" s="7"/>
      <c r="V1498" s="7"/>
      <c r="W1498" s="7"/>
      <c r="X1498" s="7"/>
      <c r="Y1498" s="8">
        <f t="shared" ref="Y1498:Y1500" si="6907">SUM(T1498:X1498)</f>
        <v>0</v>
      </c>
      <c r="AA1498" s="6"/>
      <c r="AB1498" s="7"/>
      <c r="AC1498" s="7"/>
      <c r="AD1498" s="7"/>
      <c r="AE1498" s="7"/>
      <c r="AF1498" s="8">
        <f>SUM(AA1498:AE1498)</f>
        <v>0</v>
      </c>
      <c r="AH1498" s="6"/>
      <c r="AI1498" s="7"/>
      <c r="AJ1498" s="7"/>
      <c r="AK1498" s="7"/>
      <c r="AL1498" s="7"/>
      <c r="AM1498" s="8">
        <f>SUM(AH1498:AL1498)</f>
        <v>0</v>
      </c>
      <c r="AO1498" s="6"/>
      <c r="AP1498" s="7"/>
      <c r="AQ1498" s="7"/>
      <c r="AR1498" s="7"/>
      <c r="AS1498" s="7"/>
      <c r="AT1498" s="8">
        <f>SUM(AO1498:AS1498)</f>
        <v>0</v>
      </c>
      <c r="AV1498" s="6"/>
      <c r="AW1498" s="7"/>
      <c r="AX1498" s="7"/>
      <c r="AY1498" s="7"/>
      <c r="AZ1498" s="7"/>
      <c r="BA1498" s="8">
        <f>SUM(AV1498:AZ1498)</f>
        <v>0</v>
      </c>
      <c r="BC1498" s="6"/>
      <c r="BD1498" s="7"/>
      <c r="BE1498" s="7"/>
      <c r="BF1498" s="7"/>
      <c r="BG1498" s="7"/>
      <c r="BH1498" s="8">
        <f>SUM(BC1498:BG1498)</f>
        <v>0</v>
      </c>
      <c r="BJ1498" s="6"/>
      <c r="BK1498" s="7"/>
      <c r="BL1498" s="7"/>
      <c r="BM1498" s="7"/>
      <c r="BN1498" s="7"/>
      <c r="BO1498" s="8">
        <f>SUM(BJ1498:BN1498)</f>
        <v>0</v>
      </c>
      <c r="BQ1498" s="6"/>
      <c r="BR1498" s="7"/>
      <c r="BS1498" s="7"/>
      <c r="BT1498" s="7"/>
      <c r="BU1498" s="7"/>
      <c r="BV1498" s="8">
        <f>SUM(BQ1498:BU1498)</f>
        <v>0</v>
      </c>
      <c r="BX1498" s="6"/>
      <c r="BY1498" s="7"/>
      <c r="BZ1498" s="7"/>
      <c r="CA1498" s="7"/>
      <c r="CB1498" s="7"/>
      <c r="CC1498" s="8">
        <f>SUM(BX1498:CB1498)</f>
        <v>0</v>
      </c>
      <c r="CE1498" s="28">
        <f t="shared" si="6899"/>
        <v>0</v>
      </c>
      <c r="CF1498" s="29">
        <f t="shared" si="6900"/>
        <v>0</v>
      </c>
      <c r="CG1498" s="29">
        <f t="shared" si="6901"/>
        <v>0</v>
      </c>
      <c r="CH1498" s="29">
        <f t="shared" si="6902"/>
        <v>0</v>
      </c>
      <c r="CI1498" s="29">
        <f t="shared" si="6903"/>
        <v>0</v>
      </c>
      <c r="CJ1498" s="8">
        <f>SUM(CE1498:CI1498)</f>
        <v>0</v>
      </c>
      <c r="CL1498" s="6"/>
      <c r="CM1498" s="7"/>
      <c r="CN1498" s="7"/>
      <c r="CO1498" s="7"/>
      <c r="CP1498" s="7"/>
      <c r="CQ1498" s="8">
        <f>SUM(CL1498:CP1498)</f>
        <v>0</v>
      </c>
      <c r="CS1498" s="6"/>
      <c r="CT1498" s="7"/>
      <c r="CU1498" s="7"/>
      <c r="CV1498" s="7"/>
      <c r="CW1498" s="7"/>
      <c r="CX1498" s="8">
        <f t="shared" ref="CX1498:CX1500" si="6908">SUM(CS1498:CW1498)</f>
        <v>0</v>
      </c>
      <c r="CZ1498" s="6"/>
      <c r="DA1498" s="7"/>
      <c r="DB1498" s="7"/>
      <c r="DC1498" s="7"/>
      <c r="DD1498" s="7"/>
      <c r="DE1498" s="8">
        <f t="shared" ref="DE1498:DE1500" si="6909">SUM(CZ1498:DD1498)</f>
        <v>0</v>
      </c>
    </row>
    <row r="1499" spans="3:109">
      <c r="C1499" s="567"/>
      <c r="E1499" s="5" t="s">
        <v>61</v>
      </c>
      <c r="F1499" s="23">
        <f t="shared" si="6904"/>
        <v>0</v>
      </c>
      <c r="G1499" s="24">
        <f t="shared" si="6895"/>
        <v>0</v>
      </c>
      <c r="H1499" s="24">
        <f t="shared" si="6896"/>
        <v>0</v>
      </c>
      <c r="I1499" s="24">
        <f t="shared" si="6897"/>
        <v>0</v>
      </c>
      <c r="J1499" s="24">
        <f t="shared" si="6898"/>
        <v>0</v>
      </c>
      <c r="K1499" s="8">
        <f t="shared" si="6905"/>
        <v>0</v>
      </c>
      <c r="M1499" s="6"/>
      <c r="N1499" s="7"/>
      <c r="O1499" s="7"/>
      <c r="P1499" s="7"/>
      <c r="Q1499" s="7"/>
      <c r="R1499" s="8">
        <f t="shared" si="6906"/>
        <v>0</v>
      </c>
      <c r="T1499" s="6"/>
      <c r="U1499" s="7"/>
      <c r="V1499" s="7"/>
      <c r="W1499" s="7"/>
      <c r="X1499" s="7"/>
      <c r="Y1499" s="8">
        <f t="shared" si="6907"/>
        <v>0</v>
      </c>
      <c r="AA1499" s="6"/>
      <c r="AB1499" s="7"/>
      <c r="AC1499" s="7"/>
      <c r="AD1499" s="7"/>
      <c r="AE1499" s="7"/>
      <c r="AF1499" s="8">
        <f>SUM(AA1499:AE1499)</f>
        <v>0</v>
      </c>
      <c r="AH1499" s="6"/>
      <c r="AI1499" s="7"/>
      <c r="AJ1499" s="7"/>
      <c r="AK1499" s="7"/>
      <c r="AL1499" s="7"/>
      <c r="AM1499" s="8">
        <f>SUM(AH1499:AL1499)</f>
        <v>0</v>
      </c>
      <c r="AO1499" s="6"/>
      <c r="AP1499" s="7"/>
      <c r="AQ1499" s="7"/>
      <c r="AR1499" s="7"/>
      <c r="AS1499" s="7"/>
      <c r="AT1499" s="8">
        <f>SUM(AO1499:AS1499)</f>
        <v>0</v>
      </c>
      <c r="AV1499" s="6"/>
      <c r="AW1499" s="7"/>
      <c r="AX1499" s="7"/>
      <c r="AY1499" s="7"/>
      <c r="AZ1499" s="7"/>
      <c r="BA1499" s="8">
        <f>SUM(AV1499:AZ1499)</f>
        <v>0</v>
      </c>
      <c r="BC1499" s="6"/>
      <c r="BD1499" s="7"/>
      <c r="BE1499" s="7"/>
      <c r="BF1499" s="7"/>
      <c r="BG1499" s="7"/>
      <c r="BH1499" s="8">
        <f>SUM(BC1499:BG1499)</f>
        <v>0</v>
      </c>
      <c r="BJ1499" s="6"/>
      <c r="BK1499" s="7"/>
      <c r="BL1499" s="7"/>
      <c r="BM1499" s="7"/>
      <c r="BN1499" s="7"/>
      <c r="BO1499" s="8">
        <f>SUM(BJ1499:BN1499)</f>
        <v>0</v>
      </c>
      <c r="BQ1499" s="6"/>
      <c r="BR1499" s="7"/>
      <c r="BS1499" s="7"/>
      <c r="BT1499" s="7"/>
      <c r="BU1499" s="7"/>
      <c r="BV1499" s="8">
        <f>SUM(BQ1499:BU1499)</f>
        <v>0</v>
      </c>
      <c r="BX1499" s="6"/>
      <c r="BY1499" s="7"/>
      <c r="BZ1499" s="7"/>
      <c r="CA1499" s="7"/>
      <c r="CB1499" s="7"/>
      <c r="CC1499" s="8">
        <f>SUM(BX1499:CB1499)</f>
        <v>0</v>
      </c>
      <c r="CE1499" s="28">
        <f t="shared" si="6899"/>
        <v>0</v>
      </c>
      <c r="CF1499" s="29">
        <f t="shared" si="6900"/>
        <v>0</v>
      </c>
      <c r="CG1499" s="29">
        <f t="shared" si="6901"/>
        <v>0</v>
      </c>
      <c r="CH1499" s="29">
        <f t="shared" si="6902"/>
        <v>0</v>
      </c>
      <c r="CI1499" s="29">
        <f t="shared" si="6903"/>
        <v>0</v>
      </c>
      <c r="CJ1499" s="8">
        <f>SUM(CE1499:CI1499)</f>
        <v>0</v>
      </c>
      <c r="CL1499" s="6"/>
      <c r="CM1499" s="7"/>
      <c r="CN1499" s="7"/>
      <c r="CO1499" s="7"/>
      <c r="CP1499" s="7"/>
      <c r="CQ1499" s="8">
        <f>SUM(CL1499:CP1499)</f>
        <v>0</v>
      </c>
      <c r="CS1499" s="6"/>
      <c r="CT1499" s="7"/>
      <c r="CU1499" s="7"/>
      <c r="CV1499" s="7"/>
      <c r="CW1499" s="7"/>
      <c r="CX1499" s="8">
        <f t="shared" si="6908"/>
        <v>0</v>
      </c>
      <c r="CZ1499" s="6"/>
      <c r="DA1499" s="7"/>
      <c r="DB1499" s="7"/>
      <c r="DC1499" s="7"/>
      <c r="DD1499" s="7"/>
      <c r="DE1499" s="8">
        <f t="shared" si="6909"/>
        <v>0</v>
      </c>
    </row>
    <row r="1500" spans="3:109" ht="14" thickBot="1">
      <c r="C1500" s="567"/>
      <c r="E1500" s="5" t="s">
        <v>62</v>
      </c>
      <c r="F1500" s="23">
        <f t="shared" si="6904"/>
        <v>0</v>
      </c>
      <c r="G1500" s="24">
        <f t="shared" si="6895"/>
        <v>0</v>
      </c>
      <c r="H1500" s="24">
        <f t="shared" si="6896"/>
        <v>0</v>
      </c>
      <c r="I1500" s="24">
        <f t="shared" si="6897"/>
        <v>0</v>
      </c>
      <c r="J1500" s="24">
        <f t="shared" si="6898"/>
        <v>0</v>
      </c>
      <c r="K1500" s="8">
        <f t="shared" si="6905"/>
        <v>0</v>
      </c>
      <c r="M1500" s="6"/>
      <c r="N1500" s="7"/>
      <c r="O1500" s="7"/>
      <c r="P1500" s="7"/>
      <c r="Q1500" s="7"/>
      <c r="R1500" s="8">
        <f t="shared" si="6906"/>
        <v>0</v>
      </c>
      <c r="T1500" s="6"/>
      <c r="U1500" s="7"/>
      <c r="V1500" s="7"/>
      <c r="W1500" s="7"/>
      <c r="X1500" s="7"/>
      <c r="Y1500" s="8">
        <f t="shared" si="6907"/>
        <v>0</v>
      </c>
      <c r="AA1500" s="6"/>
      <c r="AB1500" s="7"/>
      <c r="AC1500" s="7"/>
      <c r="AD1500" s="7"/>
      <c r="AE1500" s="7"/>
      <c r="AF1500" s="8">
        <f>SUM(AA1500:AE1500)</f>
        <v>0</v>
      </c>
      <c r="AH1500" s="6"/>
      <c r="AI1500" s="7"/>
      <c r="AJ1500" s="7"/>
      <c r="AK1500" s="7"/>
      <c r="AL1500" s="7"/>
      <c r="AM1500" s="8">
        <f>SUM(AH1500:AL1500)</f>
        <v>0</v>
      </c>
      <c r="AO1500" s="6"/>
      <c r="AP1500" s="7"/>
      <c r="AQ1500" s="7"/>
      <c r="AR1500" s="7"/>
      <c r="AS1500" s="7"/>
      <c r="AT1500" s="8">
        <f>SUM(AO1500:AS1500)</f>
        <v>0</v>
      </c>
      <c r="AV1500" s="6"/>
      <c r="AW1500" s="7"/>
      <c r="AX1500" s="7"/>
      <c r="AY1500" s="7"/>
      <c r="AZ1500" s="7"/>
      <c r="BA1500" s="8">
        <f>SUM(AV1500:AZ1500)</f>
        <v>0</v>
      </c>
      <c r="BC1500" s="6"/>
      <c r="BD1500" s="7"/>
      <c r="BE1500" s="7"/>
      <c r="BF1500" s="7"/>
      <c r="BG1500" s="7"/>
      <c r="BH1500" s="8">
        <f>SUM(BC1500:BG1500)</f>
        <v>0</v>
      </c>
      <c r="BJ1500" s="6"/>
      <c r="BK1500" s="7"/>
      <c r="BL1500" s="7"/>
      <c r="BM1500" s="7"/>
      <c r="BN1500" s="7"/>
      <c r="BO1500" s="8">
        <f>SUM(BJ1500:BN1500)</f>
        <v>0</v>
      </c>
      <c r="BQ1500" s="6"/>
      <c r="BR1500" s="7"/>
      <c r="BS1500" s="7"/>
      <c r="BT1500" s="7"/>
      <c r="BU1500" s="7"/>
      <c r="BV1500" s="8">
        <f>SUM(BQ1500:BU1500)</f>
        <v>0</v>
      </c>
      <c r="BX1500" s="6"/>
      <c r="BY1500" s="7"/>
      <c r="BZ1500" s="7"/>
      <c r="CA1500" s="7"/>
      <c r="CB1500" s="7"/>
      <c r="CC1500" s="8">
        <f>SUM(BX1500:CB1500)</f>
        <v>0</v>
      </c>
      <c r="CE1500" s="493">
        <f t="shared" si="6899"/>
        <v>0</v>
      </c>
      <c r="CF1500" s="494">
        <f t="shared" si="6900"/>
        <v>0</v>
      </c>
      <c r="CG1500" s="494">
        <f t="shared" si="6901"/>
        <v>0</v>
      </c>
      <c r="CH1500" s="494">
        <f t="shared" si="6902"/>
        <v>0</v>
      </c>
      <c r="CI1500" s="494">
        <f t="shared" si="6903"/>
        <v>0</v>
      </c>
      <c r="CJ1500" s="495">
        <f>SUM(CE1500:CI1500)</f>
        <v>0</v>
      </c>
      <c r="CL1500" s="6"/>
      <c r="CM1500" s="7"/>
      <c r="CN1500" s="7"/>
      <c r="CO1500" s="7"/>
      <c r="CP1500" s="7"/>
      <c r="CQ1500" s="8">
        <f>SUM(CL1500:CP1500)</f>
        <v>0</v>
      </c>
      <c r="CS1500" s="6"/>
      <c r="CT1500" s="7"/>
      <c r="CU1500" s="7"/>
      <c r="CV1500" s="7"/>
      <c r="CW1500" s="7"/>
      <c r="CX1500" s="8">
        <f t="shared" si="6908"/>
        <v>0</v>
      </c>
      <c r="CZ1500" s="6"/>
      <c r="DA1500" s="7"/>
      <c r="DB1500" s="7"/>
      <c r="DC1500" s="7"/>
      <c r="DD1500" s="7"/>
      <c r="DE1500" s="8">
        <f t="shared" si="6909"/>
        <v>0</v>
      </c>
    </row>
    <row r="1501" spans="3:109" ht="14" thickBot="1">
      <c r="C1501" s="554"/>
      <c r="E1501" s="9"/>
      <c r="F1501" s="10">
        <f>SUM(F1497:F1500)</f>
        <v>0</v>
      </c>
      <c r="G1501" s="11">
        <f t="shared" ref="G1501:J1501" si="6910">SUM(G1497:G1500)</f>
        <v>0</v>
      </c>
      <c r="H1501" s="11">
        <f t="shared" si="6910"/>
        <v>0</v>
      </c>
      <c r="I1501" s="11">
        <f t="shared" si="6910"/>
        <v>0</v>
      </c>
      <c r="J1501" s="11">
        <f t="shared" si="6910"/>
        <v>0</v>
      </c>
      <c r="K1501" s="25">
        <f>SUM(K1497:K1500)</f>
        <v>0</v>
      </c>
      <c r="M1501" s="10">
        <f>SUM(M1497:M1500)</f>
        <v>0</v>
      </c>
      <c r="N1501" s="11">
        <f t="shared" ref="N1501:Q1501" si="6911">SUM(N1497:N1500)</f>
        <v>0</v>
      </c>
      <c r="O1501" s="11">
        <f t="shared" si="6911"/>
        <v>0</v>
      </c>
      <c r="P1501" s="11">
        <f t="shared" si="6911"/>
        <v>0</v>
      </c>
      <c r="Q1501" s="11">
        <f t="shared" si="6911"/>
        <v>0</v>
      </c>
      <c r="R1501" s="25">
        <f>SUM(R1497:R1500)</f>
        <v>0</v>
      </c>
      <c r="T1501" s="10">
        <f>SUM(T1497:T1500)</f>
        <v>0</v>
      </c>
      <c r="U1501" s="11">
        <f t="shared" ref="U1501:X1501" si="6912">SUM(U1497:U1500)</f>
        <v>0</v>
      </c>
      <c r="V1501" s="11">
        <f t="shared" si="6912"/>
        <v>0</v>
      </c>
      <c r="W1501" s="11">
        <f t="shared" si="6912"/>
        <v>0</v>
      </c>
      <c r="X1501" s="11">
        <f t="shared" si="6912"/>
        <v>0</v>
      </c>
      <c r="Y1501" s="25">
        <f>SUM(Y1497:Y1500)</f>
        <v>0</v>
      </c>
      <c r="AA1501" s="10">
        <f>SUM(AA1497:AA1500)</f>
        <v>0</v>
      </c>
      <c r="AB1501" s="11">
        <f t="shared" ref="AB1501:AE1501" si="6913">SUM(AB1497:AB1500)</f>
        <v>0</v>
      </c>
      <c r="AC1501" s="11">
        <f t="shared" si="6913"/>
        <v>0</v>
      </c>
      <c r="AD1501" s="11">
        <f t="shared" si="6913"/>
        <v>0</v>
      </c>
      <c r="AE1501" s="11">
        <f t="shared" si="6913"/>
        <v>0</v>
      </c>
      <c r="AF1501" s="25">
        <f>SUM(AF1497:AF1500)</f>
        <v>0</v>
      </c>
      <c r="AH1501" s="10">
        <f>SUM(AH1497:AH1500)</f>
        <v>0</v>
      </c>
      <c r="AI1501" s="11">
        <f t="shared" ref="AI1501:AL1501" si="6914">SUM(AI1497:AI1500)</f>
        <v>0</v>
      </c>
      <c r="AJ1501" s="11">
        <f t="shared" si="6914"/>
        <v>0</v>
      </c>
      <c r="AK1501" s="11">
        <f t="shared" si="6914"/>
        <v>0</v>
      </c>
      <c r="AL1501" s="11">
        <f t="shared" si="6914"/>
        <v>0</v>
      </c>
      <c r="AM1501" s="25">
        <f>SUM(AM1497:AM1500)</f>
        <v>0</v>
      </c>
      <c r="AO1501" s="10">
        <f>SUM(AO1497:AO1500)</f>
        <v>0</v>
      </c>
      <c r="AP1501" s="11">
        <f t="shared" ref="AP1501:AS1501" si="6915">SUM(AP1497:AP1500)</f>
        <v>0</v>
      </c>
      <c r="AQ1501" s="11">
        <f t="shared" si="6915"/>
        <v>0</v>
      </c>
      <c r="AR1501" s="11">
        <f t="shared" si="6915"/>
        <v>0</v>
      </c>
      <c r="AS1501" s="11">
        <f t="shared" si="6915"/>
        <v>0</v>
      </c>
      <c r="AT1501" s="25">
        <f>SUM(AT1497:AT1500)</f>
        <v>0</v>
      </c>
      <c r="AV1501" s="10">
        <f>SUM(AV1497:AV1500)</f>
        <v>0</v>
      </c>
      <c r="AW1501" s="11">
        <f t="shared" ref="AW1501:AZ1501" si="6916">SUM(AW1497:AW1500)</f>
        <v>0</v>
      </c>
      <c r="AX1501" s="11">
        <f t="shared" si="6916"/>
        <v>0</v>
      </c>
      <c r="AY1501" s="11">
        <f t="shared" si="6916"/>
        <v>0</v>
      </c>
      <c r="AZ1501" s="11">
        <f t="shared" si="6916"/>
        <v>0</v>
      </c>
      <c r="BA1501" s="25">
        <f>SUM(BA1497:BA1500)</f>
        <v>0</v>
      </c>
      <c r="BC1501" s="10">
        <f>SUM(BC1497:BC1500)</f>
        <v>0</v>
      </c>
      <c r="BD1501" s="11">
        <f t="shared" ref="BD1501:BG1501" si="6917">SUM(BD1497:BD1500)</f>
        <v>0</v>
      </c>
      <c r="BE1501" s="11">
        <f t="shared" si="6917"/>
        <v>0</v>
      </c>
      <c r="BF1501" s="11">
        <f t="shared" si="6917"/>
        <v>0</v>
      </c>
      <c r="BG1501" s="11">
        <f t="shared" si="6917"/>
        <v>0</v>
      </c>
      <c r="BH1501" s="25">
        <f>SUM(BH1497:BH1500)</f>
        <v>0</v>
      </c>
      <c r="BJ1501" s="10">
        <f>SUM(BJ1497:BJ1500)</f>
        <v>0</v>
      </c>
      <c r="BK1501" s="11">
        <f t="shared" ref="BK1501:BN1501" si="6918">SUM(BK1497:BK1500)</f>
        <v>0</v>
      </c>
      <c r="BL1501" s="11">
        <f t="shared" si="6918"/>
        <v>0</v>
      </c>
      <c r="BM1501" s="11">
        <f t="shared" si="6918"/>
        <v>0</v>
      </c>
      <c r="BN1501" s="11">
        <f t="shared" si="6918"/>
        <v>0</v>
      </c>
      <c r="BO1501" s="25">
        <f>SUM(BO1497:BO1500)</f>
        <v>0</v>
      </c>
      <c r="BQ1501" s="10">
        <f>SUM(BQ1497:BQ1500)</f>
        <v>0</v>
      </c>
      <c r="BR1501" s="11">
        <f t="shared" ref="BR1501:BU1501" si="6919">SUM(BR1497:BR1500)</f>
        <v>0</v>
      </c>
      <c r="BS1501" s="11">
        <f t="shared" si="6919"/>
        <v>0</v>
      </c>
      <c r="BT1501" s="11">
        <f t="shared" si="6919"/>
        <v>0</v>
      </c>
      <c r="BU1501" s="11">
        <f t="shared" si="6919"/>
        <v>0</v>
      </c>
      <c r="BV1501" s="25">
        <f>SUM(BV1497:BV1500)</f>
        <v>0</v>
      </c>
      <c r="BX1501" s="10">
        <f>SUM(BX1497:BX1500)</f>
        <v>0</v>
      </c>
      <c r="BY1501" s="11">
        <f t="shared" ref="BY1501:CB1501" si="6920">SUM(BY1497:BY1500)</f>
        <v>0</v>
      </c>
      <c r="BZ1501" s="11">
        <f t="shared" si="6920"/>
        <v>0</v>
      </c>
      <c r="CA1501" s="11">
        <f t="shared" si="6920"/>
        <v>0</v>
      </c>
      <c r="CB1501" s="11">
        <f t="shared" si="6920"/>
        <v>0</v>
      </c>
      <c r="CC1501" s="25">
        <f>SUM(CC1497:CC1500)</f>
        <v>0</v>
      </c>
      <c r="CE1501" s="62">
        <f t="shared" ref="CE1501:CJ1501" si="6921">SUM(CE1497:CE1500)</f>
        <v>0</v>
      </c>
      <c r="CF1501" s="63">
        <f t="shared" si="6921"/>
        <v>0</v>
      </c>
      <c r="CG1501" s="63">
        <f t="shared" si="6921"/>
        <v>0</v>
      </c>
      <c r="CH1501" s="63">
        <f t="shared" si="6921"/>
        <v>0</v>
      </c>
      <c r="CI1501" s="63">
        <f t="shared" si="6921"/>
        <v>0</v>
      </c>
      <c r="CJ1501" s="25">
        <f t="shared" si="6921"/>
        <v>0</v>
      </c>
      <c r="CL1501" s="10">
        <f>SUM(CL1497:CL1500)</f>
        <v>0</v>
      </c>
      <c r="CM1501" s="11">
        <f t="shared" ref="CM1501:CP1501" si="6922">SUM(CM1497:CM1500)</f>
        <v>0</v>
      </c>
      <c r="CN1501" s="11">
        <f t="shared" si="6922"/>
        <v>0</v>
      </c>
      <c r="CO1501" s="11">
        <f t="shared" si="6922"/>
        <v>0</v>
      </c>
      <c r="CP1501" s="11">
        <f t="shared" si="6922"/>
        <v>0</v>
      </c>
      <c r="CQ1501" s="25">
        <f>SUM(CQ1497:CQ1500)</f>
        <v>0</v>
      </c>
      <c r="CS1501" s="10">
        <f>SUM(CS1497:CS1500)</f>
        <v>0</v>
      </c>
      <c r="CT1501" s="11">
        <f t="shared" ref="CT1501:CW1501" si="6923">SUM(CT1497:CT1500)</f>
        <v>0</v>
      </c>
      <c r="CU1501" s="11">
        <f t="shared" si="6923"/>
        <v>0</v>
      </c>
      <c r="CV1501" s="11">
        <f t="shared" si="6923"/>
        <v>0</v>
      </c>
      <c r="CW1501" s="11">
        <f t="shared" si="6923"/>
        <v>0</v>
      </c>
      <c r="CX1501" s="25">
        <f>SUM(CX1497:CX1500)</f>
        <v>0</v>
      </c>
      <c r="CZ1501" s="10">
        <f>SUM(CZ1497:CZ1500)</f>
        <v>0</v>
      </c>
      <c r="DA1501" s="11">
        <f t="shared" ref="DA1501:DD1501" si="6924">SUM(DA1497:DA1500)</f>
        <v>0</v>
      </c>
      <c r="DB1501" s="11">
        <f t="shared" si="6924"/>
        <v>0</v>
      </c>
      <c r="DC1501" s="11">
        <f t="shared" si="6924"/>
        <v>0</v>
      </c>
      <c r="DD1501" s="11">
        <f t="shared" si="6924"/>
        <v>0</v>
      </c>
      <c r="DE1501" s="25">
        <f>SUM(DE1497:DE1500)</f>
        <v>0</v>
      </c>
    </row>
    <row r="1502" spans="3:109" ht="10.4" customHeight="1" thickBot="1"/>
    <row r="1503" spans="3:109">
      <c r="C1503" s="553">
        <v>2028</v>
      </c>
      <c r="E1503" s="1" t="s">
        <v>59</v>
      </c>
      <c r="F1503" s="21">
        <f>CE1497</f>
        <v>0</v>
      </c>
      <c r="G1503" s="22">
        <f t="shared" ref="G1503:G1506" si="6925">CF1497</f>
        <v>0</v>
      </c>
      <c r="H1503" s="22">
        <f t="shared" ref="H1503:H1506" si="6926">CG1497</f>
        <v>0</v>
      </c>
      <c r="I1503" s="22">
        <f t="shared" ref="I1503:I1506" si="6927">CH1497</f>
        <v>0</v>
      </c>
      <c r="J1503" s="22">
        <f t="shared" ref="J1503:J1506" si="6928">CI1497</f>
        <v>0</v>
      </c>
      <c r="K1503" s="4">
        <f>SUM(F1503:J1503)</f>
        <v>0</v>
      </c>
      <c r="M1503" s="2"/>
      <c r="N1503" s="3"/>
      <c r="O1503" s="3"/>
      <c r="P1503" s="3"/>
      <c r="Q1503" s="3"/>
      <c r="R1503" s="4">
        <f>SUM(M1503:Q1503)</f>
        <v>0</v>
      </c>
      <c r="T1503" s="2"/>
      <c r="U1503" s="3"/>
      <c r="V1503" s="3"/>
      <c r="W1503" s="3"/>
      <c r="X1503" s="3"/>
      <c r="Y1503" s="4">
        <f>SUM(T1503:X1503)</f>
        <v>0</v>
      </c>
      <c r="AA1503" s="2"/>
      <c r="AB1503" s="3"/>
      <c r="AC1503" s="3"/>
      <c r="AD1503" s="3"/>
      <c r="AE1503" s="3"/>
      <c r="AF1503" s="4">
        <f>SUM(AA1503:AE1503)</f>
        <v>0</v>
      </c>
      <c r="AH1503" s="2"/>
      <c r="AI1503" s="3"/>
      <c r="AJ1503" s="3"/>
      <c r="AK1503" s="3"/>
      <c r="AL1503" s="3"/>
      <c r="AM1503" s="4">
        <f>SUM(AH1503:AL1503)</f>
        <v>0</v>
      </c>
      <c r="AO1503" s="2"/>
      <c r="AP1503" s="3"/>
      <c r="AQ1503" s="3"/>
      <c r="AR1503" s="3"/>
      <c r="AS1503" s="3"/>
      <c r="AT1503" s="4">
        <f>SUM(AO1503:AS1503)</f>
        <v>0</v>
      </c>
      <c r="AV1503" s="2"/>
      <c r="AW1503" s="3"/>
      <c r="AX1503" s="3"/>
      <c r="AY1503" s="3"/>
      <c r="AZ1503" s="3"/>
      <c r="BA1503" s="4">
        <f>SUM(AV1503:AZ1503)</f>
        <v>0</v>
      </c>
      <c r="BC1503" s="2"/>
      <c r="BD1503" s="3"/>
      <c r="BE1503" s="3"/>
      <c r="BF1503" s="3"/>
      <c r="BG1503" s="3"/>
      <c r="BH1503" s="4">
        <f>SUM(BC1503:BG1503)</f>
        <v>0</v>
      </c>
      <c r="BJ1503" s="2"/>
      <c r="BK1503" s="3"/>
      <c r="BL1503" s="3"/>
      <c r="BM1503" s="3"/>
      <c r="BN1503" s="3"/>
      <c r="BO1503" s="4">
        <f>SUM(BJ1503:BN1503)</f>
        <v>0</v>
      </c>
      <c r="BQ1503" s="2"/>
      <c r="BR1503" s="3"/>
      <c r="BS1503" s="3"/>
      <c r="BT1503" s="3"/>
      <c r="BU1503" s="3"/>
      <c r="BV1503" s="4">
        <f>SUM(BQ1503:BU1503)</f>
        <v>0</v>
      </c>
      <c r="BX1503" s="2"/>
      <c r="BY1503" s="3"/>
      <c r="BZ1503" s="3"/>
      <c r="CA1503" s="3"/>
      <c r="CB1503" s="3"/>
      <c r="CC1503" s="4">
        <f>SUM(BX1503:CB1503)</f>
        <v>0</v>
      </c>
      <c r="CE1503" s="26">
        <f t="shared" ref="CE1503:CE1506" si="6929">F1503+M1503+T1503+AA1503+AH1503+AO1503+AV1503+BC1503+BJ1503+BQ1503+BX1503</f>
        <v>0</v>
      </c>
      <c r="CF1503" s="27">
        <f t="shared" ref="CF1503:CF1506" si="6930">G1503+N1503+U1503+AB1503+AI1503+AP1503+AW1503+BD1503+BK1503+BR1503+BY1503</f>
        <v>0</v>
      </c>
      <c r="CG1503" s="27">
        <f t="shared" ref="CG1503:CG1506" si="6931">H1503+O1503+V1503+AC1503+AJ1503+AQ1503+AX1503+BE1503+BL1503+BS1503+BZ1503</f>
        <v>0</v>
      </c>
      <c r="CH1503" s="27">
        <f t="shared" ref="CH1503:CH1506" si="6932">I1503+P1503+W1503+AD1503+AK1503+AR1503+AY1503+BF1503+BM1503+BT1503+CA1503</f>
        <v>0</v>
      </c>
      <c r="CI1503" s="27">
        <f t="shared" ref="CI1503:CI1506" si="6933">J1503+Q1503+X1503+AE1503+AL1503+AS1503+AZ1503+BG1503+BN1503+BU1503+CB1503</f>
        <v>0</v>
      </c>
      <c r="CJ1503" s="4">
        <f>SUM(CE1503:CI1503)</f>
        <v>0</v>
      </c>
      <c r="CL1503" s="2"/>
      <c r="CM1503" s="3"/>
      <c r="CN1503" s="3"/>
      <c r="CO1503" s="3"/>
      <c r="CP1503" s="3"/>
      <c r="CQ1503" s="4">
        <f>SUM(CL1503:CP1503)</f>
        <v>0</v>
      </c>
      <c r="CS1503" s="2"/>
      <c r="CT1503" s="3"/>
      <c r="CU1503" s="3"/>
      <c r="CV1503" s="3"/>
      <c r="CW1503" s="3"/>
      <c r="CX1503" s="4">
        <f>SUM(CS1503:CW1503)</f>
        <v>0</v>
      </c>
      <c r="CZ1503" s="2"/>
      <c r="DA1503" s="3"/>
      <c r="DB1503" s="3"/>
      <c r="DC1503" s="3"/>
      <c r="DD1503" s="3"/>
      <c r="DE1503" s="4">
        <f>SUM(CZ1503:DD1503)</f>
        <v>0</v>
      </c>
    </row>
    <row r="1504" spans="3:109">
      <c r="C1504" s="567"/>
      <c r="E1504" s="5" t="s">
        <v>60</v>
      </c>
      <c r="F1504" s="23">
        <f t="shared" ref="F1504:F1506" si="6934">CE1498</f>
        <v>0</v>
      </c>
      <c r="G1504" s="24">
        <f t="shared" si="6925"/>
        <v>0</v>
      </c>
      <c r="H1504" s="24">
        <f t="shared" si="6926"/>
        <v>0</v>
      </c>
      <c r="I1504" s="24">
        <f t="shared" si="6927"/>
        <v>0</v>
      </c>
      <c r="J1504" s="24">
        <f t="shared" si="6928"/>
        <v>0</v>
      </c>
      <c r="K1504" s="8">
        <f t="shared" ref="K1504:K1506" si="6935">SUM(F1504:J1504)</f>
        <v>0</v>
      </c>
      <c r="M1504" s="6"/>
      <c r="N1504" s="7"/>
      <c r="O1504" s="7"/>
      <c r="P1504" s="7"/>
      <c r="Q1504" s="7"/>
      <c r="R1504" s="8">
        <f t="shared" ref="R1504:R1506" si="6936">SUM(M1504:Q1504)</f>
        <v>0</v>
      </c>
      <c r="T1504" s="6"/>
      <c r="U1504" s="7"/>
      <c r="V1504" s="7"/>
      <c r="W1504" s="7"/>
      <c r="X1504" s="7"/>
      <c r="Y1504" s="8">
        <f t="shared" ref="Y1504:Y1506" si="6937">SUM(T1504:X1504)</f>
        <v>0</v>
      </c>
      <c r="AA1504" s="6"/>
      <c r="AB1504" s="7"/>
      <c r="AC1504" s="7"/>
      <c r="AD1504" s="7"/>
      <c r="AE1504" s="7"/>
      <c r="AF1504" s="8">
        <f>SUM(AA1504:AE1504)</f>
        <v>0</v>
      </c>
      <c r="AH1504" s="6"/>
      <c r="AI1504" s="7"/>
      <c r="AJ1504" s="7"/>
      <c r="AK1504" s="7"/>
      <c r="AL1504" s="7"/>
      <c r="AM1504" s="8">
        <f>SUM(AH1504:AL1504)</f>
        <v>0</v>
      </c>
      <c r="AO1504" s="6"/>
      <c r="AP1504" s="7"/>
      <c r="AQ1504" s="7"/>
      <c r="AR1504" s="7"/>
      <c r="AS1504" s="7"/>
      <c r="AT1504" s="8">
        <f>SUM(AO1504:AS1504)</f>
        <v>0</v>
      </c>
      <c r="AV1504" s="6"/>
      <c r="AW1504" s="7"/>
      <c r="AX1504" s="7"/>
      <c r="AY1504" s="7"/>
      <c r="AZ1504" s="7"/>
      <c r="BA1504" s="8">
        <f>SUM(AV1504:AZ1504)</f>
        <v>0</v>
      </c>
      <c r="BC1504" s="6"/>
      <c r="BD1504" s="7"/>
      <c r="BE1504" s="7"/>
      <c r="BF1504" s="7"/>
      <c r="BG1504" s="7"/>
      <c r="BH1504" s="8">
        <f>SUM(BC1504:BG1504)</f>
        <v>0</v>
      </c>
      <c r="BJ1504" s="6"/>
      <c r="BK1504" s="7"/>
      <c r="BL1504" s="7"/>
      <c r="BM1504" s="7"/>
      <c r="BN1504" s="7"/>
      <c r="BO1504" s="8">
        <f>SUM(BJ1504:BN1504)</f>
        <v>0</v>
      </c>
      <c r="BQ1504" s="6"/>
      <c r="BR1504" s="7"/>
      <c r="BS1504" s="7"/>
      <c r="BT1504" s="7"/>
      <c r="BU1504" s="7"/>
      <c r="BV1504" s="8">
        <f>SUM(BQ1504:BU1504)</f>
        <v>0</v>
      </c>
      <c r="BX1504" s="6"/>
      <c r="BY1504" s="7"/>
      <c r="BZ1504" s="7"/>
      <c r="CA1504" s="7"/>
      <c r="CB1504" s="7"/>
      <c r="CC1504" s="8">
        <f>SUM(BX1504:CB1504)</f>
        <v>0</v>
      </c>
      <c r="CE1504" s="28">
        <f t="shared" si="6929"/>
        <v>0</v>
      </c>
      <c r="CF1504" s="29">
        <f t="shared" si="6930"/>
        <v>0</v>
      </c>
      <c r="CG1504" s="29">
        <f t="shared" si="6931"/>
        <v>0</v>
      </c>
      <c r="CH1504" s="29">
        <f t="shared" si="6932"/>
        <v>0</v>
      </c>
      <c r="CI1504" s="29">
        <f t="shared" si="6933"/>
        <v>0</v>
      </c>
      <c r="CJ1504" s="8">
        <f>SUM(CE1504:CI1504)</f>
        <v>0</v>
      </c>
      <c r="CL1504" s="6"/>
      <c r="CM1504" s="7"/>
      <c r="CN1504" s="7"/>
      <c r="CO1504" s="7"/>
      <c r="CP1504" s="7"/>
      <c r="CQ1504" s="8">
        <f>SUM(CL1504:CP1504)</f>
        <v>0</v>
      </c>
      <c r="CS1504" s="6"/>
      <c r="CT1504" s="7"/>
      <c r="CU1504" s="7"/>
      <c r="CV1504" s="7"/>
      <c r="CW1504" s="7"/>
      <c r="CX1504" s="8">
        <f t="shared" ref="CX1504:CX1506" si="6938">SUM(CS1504:CW1504)</f>
        <v>0</v>
      </c>
      <c r="CZ1504" s="6"/>
      <c r="DA1504" s="7"/>
      <c r="DB1504" s="7"/>
      <c r="DC1504" s="7"/>
      <c r="DD1504" s="7"/>
      <c r="DE1504" s="8">
        <f t="shared" ref="DE1504:DE1506" si="6939">SUM(CZ1504:DD1504)</f>
        <v>0</v>
      </c>
    </row>
    <row r="1505" spans="2:110">
      <c r="C1505" s="567"/>
      <c r="E1505" s="5" t="s">
        <v>61</v>
      </c>
      <c r="F1505" s="23">
        <f t="shared" si="6934"/>
        <v>0</v>
      </c>
      <c r="G1505" s="24">
        <f t="shared" si="6925"/>
        <v>0</v>
      </c>
      <c r="H1505" s="24">
        <f t="shared" si="6926"/>
        <v>0</v>
      </c>
      <c r="I1505" s="24">
        <f t="shared" si="6927"/>
        <v>0</v>
      </c>
      <c r="J1505" s="24">
        <f t="shared" si="6928"/>
        <v>0</v>
      </c>
      <c r="K1505" s="8">
        <f t="shared" si="6935"/>
        <v>0</v>
      </c>
      <c r="M1505" s="6"/>
      <c r="N1505" s="7"/>
      <c r="O1505" s="7"/>
      <c r="P1505" s="7"/>
      <c r="Q1505" s="7"/>
      <c r="R1505" s="8">
        <f t="shared" si="6936"/>
        <v>0</v>
      </c>
      <c r="T1505" s="6"/>
      <c r="U1505" s="7"/>
      <c r="V1505" s="7"/>
      <c r="W1505" s="7"/>
      <c r="X1505" s="7"/>
      <c r="Y1505" s="8">
        <f t="shared" si="6937"/>
        <v>0</v>
      </c>
      <c r="AA1505" s="6"/>
      <c r="AB1505" s="7"/>
      <c r="AC1505" s="7"/>
      <c r="AD1505" s="7"/>
      <c r="AE1505" s="7"/>
      <c r="AF1505" s="8">
        <f>SUM(AA1505:AE1505)</f>
        <v>0</v>
      </c>
      <c r="AH1505" s="6"/>
      <c r="AI1505" s="7"/>
      <c r="AJ1505" s="7"/>
      <c r="AK1505" s="7"/>
      <c r="AL1505" s="7"/>
      <c r="AM1505" s="8">
        <f>SUM(AH1505:AL1505)</f>
        <v>0</v>
      </c>
      <c r="AO1505" s="6"/>
      <c r="AP1505" s="7"/>
      <c r="AQ1505" s="7"/>
      <c r="AR1505" s="7"/>
      <c r="AS1505" s="7"/>
      <c r="AT1505" s="8">
        <f>SUM(AO1505:AS1505)</f>
        <v>0</v>
      </c>
      <c r="AV1505" s="6"/>
      <c r="AW1505" s="7"/>
      <c r="AX1505" s="7"/>
      <c r="AY1505" s="7"/>
      <c r="AZ1505" s="7"/>
      <c r="BA1505" s="8">
        <f>SUM(AV1505:AZ1505)</f>
        <v>0</v>
      </c>
      <c r="BC1505" s="6"/>
      <c r="BD1505" s="7"/>
      <c r="BE1505" s="7"/>
      <c r="BF1505" s="7"/>
      <c r="BG1505" s="7"/>
      <c r="BH1505" s="8">
        <f>SUM(BC1505:BG1505)</f>
        <v>0</v>
      </c>
      <c r="BJ1505" s="6"/>
      <c r="BK1505" s="7"/>
      <c r="BL1505" s="7"/>
      <c r="BM1505" s="7"/>
      <c r="BN1505" s="7"/>
      <c r="BO1505" s="8">
        <f>SUM(BJ1505:BN1505)</f>
        <v>0</v>
      </c>
      <c r="BQ1505" s="6"/>
      <c r="BR1505" s="7"/>
      <c r="BS1505" s="7"/>
      <c r="BT1505" s="7"/>
      <c r="BU1505" s="7"/>
      <c r="BV1505" s="8">
        <f>SUM(BQ1505:BU1505)</f>
        <v>0</v>
      </c>
      <c r="BX1505" s="6"/>
      <c r="BY1505" s="7"/>
      <c r="BZ1505" s="7"/>
      <c r="CA1505" s="7"/>
      <c r="CB1505" s="7"/>
      <c r="CC1505" s="8">
        <f>SUM(BX1505:CB1505)</f>
        <v>0</v>
      </c>
      <c r="CE1505" s="28">
        <f t="shared" si="6929"/>
        <v>0</v>
      </c>
      <c r="CF1505" s="29">
        <f t="shared" si="6930"/>
        <v>0</v>
      </c>
      <c r="CG1505" s="29">
        <f t="shared" si="6931"/>
        <v>0</v>
      </c>
      <c r="CH1505" s="29">
        <f t="shared" si="6932"/>
        <v>0</v>
      </c>
      <c r="CI1505" s="29">
        <f t="shared" si="6933"/>
        <v>0</v>
      </c>
      <c r="CJ1505" s="8">
        <f>SUM(CE1505:CI1505)</f>
        <v>0</v>
      </c>
      <c r="CL1505" s="6"/>
      <c r="CM1505" s="7"/>
      <c r="CN1505" s="7"/>
      <c r="CO1505" s="7"/>
      <c r="CP1505" s="7"/>
      <c r="CQ1505" s="8">
        <f>SUM(CL1505:CP1505)</f>
        <v>0</v>
      </c>
      <c r="CS1505" s="6"/>
      <c r="CT1505" s="7"/>
      <c r="CU1505" s="7"/>
      <c r="CV1505" s="7"/>
      <c r="CW1505" s="7"/>
      <c r="CX1505" s="8">
        <f t="shared" si="6938"/>
        <v>0</v>
      </c>
      <c r="CZ1505" s="6"/>
      <c r="DA1505" s="7"/>
      <c r="DB1505" s="7"/>
      <c r="DC1505" s="7"/>
      <c r="DD1505" s="7"/>
      <c r="DE1505" s="8">
        <f t="shared" si="6939"/>
        <v>0</v>
      </c>
    </row>
    <row r="1506" spans="2:110" ht="14" thickBot="1">
      <c r="C1506" s="567"/>
      <c r="E1506" s="5" t="s">
        <v>62</v>
      </c>
      <c r="F1506" s="23">
        <f t="shared" si="6934"/>
        <v>0</v>
      </c>
      <c r="G1506" s="24">
        <f t="shared" si="6925"/>
        <v>0</v>
      </c>
      <c r="H1506" s="24">
        <f t="shared" si="6926"/>
        <v>0</v>
      </c>
      <c r="I1506" s="24">
        <f t="shared" si="6927"/>
        <v>0</v>
      </c>
      <c r="J1506" s="24">
        <f t="shared" si="6928"/>
        <v>0</v>
      </c>
      <c r="K1506" s="8">
        <f t="shared" si="6935"/>
        <v>0</v>
      </c>
      <c r="M1506" s="6"/>
      <c r="N1506" s="7"/>
      <c r="O1506" s="7"/>
      <c r="P1506" s="7"/>
      <c r="Q1506" s="7"/>
      <c r="R1506" s="8">
        <f t="shared" si="6936"/>
        <v>0</v>
      </c>
      <c r="T1506" s="6"/>
      <c r="U1506" s="7"/>
      <c r="V1506" s="7"/>
      <c r="W1506" s="7"/>
      <c r="X1506" s="7"/>
      <c r="Y1506" s="8">
        <f t="shared" si="6937"/>
        <v>0</v>
      </c>
      <c r="AA1506" s="6"/>
      <c r="AB1506" s="7"/>
      <c r="AC1506" s="7"/>
      <c r="AD1506" s="7"/>
      <c r="AE1506" s="7"/>
      <c r="AF1506" s="8">
        <f>SUM(AA1506:AE1506)</f>
        <v>0</v>
      </c>
      <c r="AH1506" s="6"/>
      <c r="AI1506" s="7"/>
      <c r="AJ1506" s="7"/>
      <c r="AK1506" s="7"/>
      <c r="AL1506" s="7"/>
      <c r="AM1506" s="8">
        <f>SUM(AH1506:AL1506)</f>
        <v>0</v>
      </c>
      <c r="AO1506" s="6"/>
      <c r="AP1506" s="7"/>
      <c r="AQ1506" s="7"/>
      <c r="AR1506" s="7"/>
      <c r="AS1506" s="7"/>
      <c r="AT1506" s="8">
        <f>SUM(AO1506:AS1506)</f>
        <v>0</v>
      </c>
      <c r="AV1506" s="6"/>
      <c r="AW1506" s="7"/>
      <c r="AX1506" s="7"/>
      <c r="AY1506" s="7"/>
      <c r="AZ1506" s="7"/>
      <c r="BA1506" s="8">
        <f>SUM(AV1506:AZ1506)</f>
        <v>0</v>
      </c>
      <c r="BC1506" s="6"/>
      <c r="BD1506" s="7"/>
      <c r="BE1506" s="7"/>
      <c r="BF1506" s="7"/>
      <c r="BG1506" s="7"/>
      <c r="BH1506" s="8">
        <f>SUM(BC1506:BG1506)</f>
        <v>0</v>
      </c>
      <c r="BJ1506" s="6"/>
      <c r="BK1506" s="7"/>
      <c r="BL1506" s="7"/>
      <c r="BM1506" s="7"/>
      <c r="BN1506" s="7"/>
      <c r="BO1506" s="8">
        <f>SUM(BJ1506:BN1506)</f>
        <v>0</v>
      </c>
      <c r="BQ1506" s="6"/>
      <c r="BR1506" s="7"/>
      <c r="BS1506" s="7"/>
      <c r="BT1506" s="7"/>
      <c r="BU1506" s="7"/>
      <c r="BV1506" s="8">
        <f>SUM(BQ1506:BU1506)</f>
        <v>0</v>
      </c>
      <c r="BX1506" s="6"/>
      <c r="BY1506" s="7"/>
      <c r="BZ1506" s="7"/>
      <c r="CA1506" s="7"/>
      <c r="CB1506" s="7"/>
      <c r="CC1506" s="8">
        <f>SUM(BX1506:CB1506)</f>
        <v>0</v>
      </c>
      <c r="CE1506" s="493">
        <f t="shared" si="6929"/>
        <v>0</v>
      </c>
      <c r="CF1506" s="494">
        <f t="shared" si="6930"/>
        <v>0</v>
      </c>
      <c r="CG1506" s="494">
        <f t="shared" si="6931"/>
        <v>0</v>
      </c>
      <c r="CH1506" s="494">
        <f t="shared" si="6932"/>
        <v>0</v>
      </c>
      <c r="CI1506" s="494">
        <f t="shared" si="6933"/>
        <v>0</v>
      </c>
      <c r="CJ1506" s="495">
        <f>SUM(CE1506:CI1506)</f>
        <v>0</v>
      </c>
      <c r="CL1506" s="6"/>
      <c r="CM1506" s="7"/>
      <c r="CN1506" s="7"/>
      <c r="CO1506" s="7"/>
      <c r="CP1506" s="7"/>
      <c r="CQ1506" s="8">
        <f>SUM(CL1506:CP1506)</f>
        <v>0</v>
      </c>
      <c r="CS1506" s="6"/>
      <c r="CT1506" s="7"/>
      <c r="CU1506" s="7"/>
      <c r="CV1506" s="7"/>
      <c r="CW1506" s="7"/>
      <c r="CX1506" s="8">
        <f t="shared" si="6938"/>
        <v>0</v>
      </c>
      <c r="CZ1506" s="6"/>
      <c r="DA1506" s="7"/>
      <c r="DB1506" s="7"/>
      <c r="DC1506" s="7"/>
      <c r="DD1506" s="7"/>
      <c r="DE1506" s="8">
        <f t="shared" si="6939"/>
        <v>0</v>
      </c>
    </row>
    <row r="1507" spans="2:110" ht="14" thickBot="1">
      <c r="C1507" s="554"/>
      <c r="E1507" s="9"/>
      <c r="F1507" s="10">
        <f>SUM(F1503:F1506)</f>
        <v>0</v>
      </c>
      <c r="G1507" s="11">
        <f t="shared" ref="G1507:J1507" si="6940">SUM(G1503:G1506)</f>
        <v>0</v>
      </c>
      <c r="H1507" s="11">
        <f t="shared" si="6940"/>
        <v>0</v>
      </c>
      <c r="I1507" s="11">
        <f t="shared" si="6940"/>
        <v>0</v>
      </c>
      <c r="J1507" s="11">
        <f t="shared" si="6940"/>
        <v>0</v>
      </c>
      <c r="K1507" s="25">
        <f>SUM(K1503:K1506)</f>
        <v>0</v>
      </c>
      <c r="M1507" s="10">
        <f>SUM(M1503:M1506)</f>
        <v>0</v>
      </c>
      <c r="N1507" s="11">
        <f t="shared" ref="N1507:Q1507" si="6941">SUM(N1503:N1506)</f>
        <v>0</v>
      </c>
      <c r="O1507" s="11">
        <f t="shared" si="6941"/>
        <v>0</v>
      </c>
      <c r="P1507" s="11">
        <f t="shared" si="6941"/>
        <v>0</v>
      </c>
      <c r="Q1507" s="11">
        <f t="shared" si="6941"/>
        <v>0</v>
      </c>
      <c r="R1507" s="25">
        <f>SUM(R1503:R1506)</f>
        <v>0</v>
      </c>
      <c r="T1507" s="10">
        <f>SUM(T1503:T1506)</f>
        <v>0</v>
      </c>
      <c r="U1507" s="11">
        <f t="shared" ref="U1507:X1507" si="6942">SUM(U1503:U1506)</f>
        <v>0</v>
      </c>
      <c r="V1507" s="11">
        <f t="shared" si="6942"/>
        <v>0</v>
      </c>
      <c r="W1507" s="11">
        <f t="shared" si="6942"/>
        <v>0</v>
      </c>
      <c r="X1507" s="11">
        <f t="shared" si="6942"/>
        <v>0</v>
      </c>
      <c r="Y1507" s="25">
        <f>SUM(Y1503:Y1506)</f>
        <v>0</v>
      </c>
      <c r="AA1507" s="10">
        <f>SUM(AA1503:AA1506)</f>
        <v>0</v>
      </c>
      <c r="AB1507" s="11">
        <f t="shared" ref="AB1507:AE1507" si="6943">SUM(AB1503:AB1506)</f>
        <v>0</v>
      </c>
      <c r="AC1507" s="11">
        <f t="shared" si="6943"/>
        <v>0</v>
      </c>
      <c r="AD1507" s="11">
        <f t="shared" si="6943"/>
        <v>0</v>
      </c>
      <c r="AE1507" s="11">
        <f t="shared" si="6943"/>
        <v>0</v>
      </c>
      <c r="AF1507" s="25">
        <f>SUM(AF1503:AF1506)</f>
        <v>0</v>
      </c>
      <c r="AH1507" s="10">
        <f>SUM(AH1503:AH1506)</f>
        <v>0</v>
      </c>
      <c r="AI1507" s="11">
        <f t="shared" ref="AI1507:AL1507" si="6944">SUM(AI1503:AI1506)</f>
        <v>0</v>
      </c>
      <c r="AJ1507" s="11">
        <f t="shared" si="6944"/>
        <v>0</v>
      </c>
      <c r="AK1507" s="11">
        <f t="shared" si="6944"/>
        <v>0</v>
      </c>
      <c r="AL1507" s="11">
        <f t="shared" si="6944"/>
        <v>0</v>
      </c>
      <c r="AM1507" s="25">
        <f>SUM(AM1503:AM1506)</f>
        <v>0</v>
      </c>
      <c r="AO1507" s="10">
        <f>SUM(AO1503:AO1506)</f>
        <v>0</v>
      </c>
      <c r="AP1507" s="11">
        <f t="shared" ref="AP1507:AS1507" si="6945">SUM(AP1503:AP1506)</f>
        <v>0</v>
      </c>
      <c r="AQ1507" s="11">
        <f t="shared" si="6945"/>
        <v>0</v>
      </c>
      <c r="AR1507" s="11">
        <f t="shared" si="6945"/>
        <v>0</v>
      </c>
      <c r="AS1507" s="11">
        <f t="shared" si="6945"/>
        <v>0</v>
      </c>
      <c r="AT1507" s="25">
        <f>SUM(AT1503:AT1506)</f>
        <v>0</v>
      </c>
      <c r="AV1507" s="10">
        <f>SUM(AV1503:AV1506)</f>
        <v>0</v>
      </c>
      <c r="AW1507" s="11">
        <f t="shared" ref="AW1507:AZ1507" si="6946">SUM(AW1503:AW1506)</f>
        <v>0</v>
      </c>
      <c r="AX1507" s="11">
        <f t="shared" si="6946"/>
        <v>0</v>
      </c>
      <c r="AY1507" s="11">
        <f t="shared" si="6946"/>
        <v>0</v>
      </c>
      <c r="AZ1507" s="11">
        <f t="shared" si="6946"/>
        <v>0</v>
      </c>
      <c r="BA1507" s="25">
        <f>SUM(BA1503:BA1506)</f>
        <v>0</v>
      </c>
      <c r="BC1507" s="10">
        <f>SUM(BC1503:BC1506)</f>
        <v>0</v>
      </c>
      <c r="BD1507" s="11">
        <f t="shared" ref="BD1507:BG1507" si="6947">SUM(BD1503:BD1506)</f>
        <v>0</v>
      </c>
      <c r="BE1507" s="11">
        <f t="shared" si="6947"/>
        <v>0</v>
      </c>
      <c r="BF1507" s="11">
        <f t="shared" si="6947"/>
        <v>0</v>
      </c>
      <c r="BG1507" s="11">
        <f t="shared" si="6947"/>
        <v>0</v>
      </c>
      <c r="BH1507" s="25">
        <f>SUM(BH1503:BH1506)</f>
        <v>0</v>
      </c>
      <c r="BJ1507" s="10">
        <f>SUM(BJ1503:BJ1506)</f>
        <v>0</v>
      </c>
      <c r="BK1507" s="11">
        <f t="shared" ref="BK1507:BN1507" si="6948">SUM(BK1503:BK1506)</f>
        <v>0</v>
      </c>
      <c r="BL1507" s="11">
        <f t="shared" si="6948"/>
        <v>0</v>
      </c>
      <c r="BM1507" s="11">
        <f t="shared" si="6948"/>
        <v>0</v>
      </c>
      <c r="BN1507" s="11">
        <f t="shared" si="6948"/>
        <v>0</v>
      </c>
      <c r="BO1507" s="25">
        <f>SUM(BO1503:BO1506)</f>
        <v>0</v>
      </c>
      <c r="BQ1507" s="10">
        <f>SUM(BQ1503:BQ1506)</f>
        <v>0</v>
      </c>
      <c r="BR1507" s="11">
        <f t="shared" ref="BR1507:BU1507" si="6949">SUM(BR1503:BR1506)</f>
        <v>0</v>
      </c>
      <c r="BS1507" s="11">
        <f t="shared" si="6949"/>
        <v>0</v>
      </c>
      <c r="BT1507" s="11">
        <f t="shared" si="6949"/>
        <v>0</v>
      </c>
      <c r="BU1507" s="11">
        <f t="shared" si="6949"/>
        <v>0</v>
      </c>
      <c r="BV1507" s="25">
        <f>SUM(BV1503:BV1506)</f>
        <v>0</v>
      </c>
      <c r="BX1507" s="10">
        <f>SUM(BX1503:BX1506)</f>
        <v>0</v>
      </c>
      <c r="BY1507" s="11">
        <f t="shared" ref="BY1507:CB1507" si="6950">SUM(BY1503:BY1506)</f>
        <v>0</v>
      </c>
      <c r="BZ1507" s="11">
        <f t="shared" si="6950"/>
        <v>0</v>
      </c>
      <c r="CA1507" s="11">
        <f t="shared" si="6950"/>
        <v>0</v>
      </c>
      <c r="CB1507" s="11">
        <f t="shared" si="6950"/>
        <v>0</v>
      </c>
      <c r="CC1507" s="25">
        <f>SUM(CC1503:CC1506)</f>
        <v>0</v>
      </c>
      <c r="CE1507" s="62">
        <f t="shared" ref="CE1507:CJ1507" si="6951">SUM(CE1503:CE1506)</f>
        <v>0</v>
      </c>
      <c r="CF1507" s="63">
        <f t="shared" si="6951"/>
        <v>0</v>
      </c>
      <c r="CG1507" s="63">
        <f t="shared" si="6951"/>
        <v>0</v>
      </c>
      <c r="CH1507" s="63">
        <f t="shared" si="6951"/>
        <v>0</v>
      </c>
      <c r="CI1507" s="63">
        <f t="shared" si="6951"/>
        <v>0</v>
      </c>
      <c r="CJ1507" s="25">
        <f t="shared" si="6951"/>
        <v>0</v>
      </c>
      <c r="CL1507" s="10">
        <f>SUM(CL1503:CL1506)</f>
        <v>0</v>
      </c>
      <c r="CM1507" s="11">
        <f t="shared" ref="CM1507:CP1507" si="6952">SUM(CM1503:CM1506)</f>
        <v>0</v>
      </c>
      <c r="CN1507" s="11">
        <f t="shared" si="6952"/>
        <v>0</v>
      </c>
      <c r="CO1507" s="11">
        <f t="shared" si="6952"/>
        <v>0</v>
      </c>
      <c r="CP1507" s="11">
        <f t="shared" si="6952"/>
        <v>0</v>
      </c>
      <c r="CQ1507" s="25">
        <f>SUM(CQ1503:CQ1506)</f>
        <v>0</v>
      </c>
      <c r="CS1507" s="10">
        <f>SUM(CS1503:CS1506)</f>
        <v>0</v>
      </c>
      <c r="CT1507" s="11">
        <f t="shared" ref="CT1507:CW1507" si="6953">SUM(CT1503:CT1506)</f>
        <v>0</v>
      </c>
      <c r="CU1507" s="11">
        <f t="shared" si="6953"/>
        <v>0</v>
      </c>
      <c r="CV1507" s="11">
        <f t="shared" si="6953"/>
        <v>0</v>
      </c>
      <c r="CW1507" s="11">
        <f t="shared" si="6953"/>
        <v>0</v>
      </c>
      <c r="CX1507" s="25">
        <f>SUM(CX1503:CX1506)</f>
        <v>0</v>
      </c>
      <c r="CZ1507" s="10">
        <f>SUM(CZ1503:CZ1506)</f>
        <v>0</v>
      </c>
      <c r="DA1507" s="11">
        <f t="shared" ref="DA1507:DD1507" si="6954">SUM(DA1503:DA1506)</f>
        <v>0</v>
      </c>
      <c r="DB1507" s="11">
        <f t="shared" si="6954"/>
        <v>0</v>
      </c>
      <c r="DC1507" s="11">
        <f t="shared" si="6954"/>
        <v>0</v>
      </c>
      <c r="DD1507" s="11">
        <f t="shared" si="6954"/>
        <v>0</v>
      </c>
      <c r="DE1507" s="25">
        <f>SUM(DE1503:DE1506)</f>
        <v>0</v>
      </c>
    </row>
    <row r="1509" spans="2:110">
      <c r="B1509" s="123"/>
      <c r="C1509" s="20"/>
      <c r="D1509" s="20"/>
      <c r="E1509" s="20"/>
      <c r="F1509" s="20"/>
      <c r="G1509" s="20"/>
      <c r="H1509" s="20"/>
      <c r="I1509" s="20"/>
      <c r="J1509" s="20"/>
      <c r="K1509" s="20"/>
      <c r="L1509" s="20"/>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Q1509" s="20"/>
      <c r="BR1509" s="20"/>
      <c r="BS1509" s="20"/>
      <c r="BT1509" s="20"/>
      <c r="BU1509" s="20"/>
      <c r="BV1509" s="20"/>
      <c r="BW1509" s="20"/>
      <c r="BX1509" s="20"/>
      <c r="BY1509" s="20"/>
      <c r="BZ1509" s="20"/>
      <c r="CA1509" s="20"/>
      <c r="CB1509" s="20"/>
      <c r="CC1509" s="20"/>
      <c r="CD1509" s="20"/>
      <c r="CE1509" s="20"/>
      <c r="CF1509" s="20"/>
      <c r="CG1509" s="20"/>
      <c r="CH1509" s="20"/>
      <c r="CI1509" s="20"/>
      <c r="CJ1509" s="20"/>
      <c r="CK1509" s="20"/>
      <c r="CL1509" s="20"/>
      <c r="CM1509" s="20"/>
      <c r="CN1509" s="20"/>
      <c r="CO1509" s="20"/>
      <c r="CP1509" s="20"/>
      <c r="CQ1509" s="20"/>
      <c r="CR1509" s="20"/>
      <c r="CS1509" s="20"/>
      <c r="CT1509" s="20"/>
      <c r="CU1509" s="20"/>
      <c r="CV1509" s="20"/>
      <c r="CW1509" s="20"/>
      <c r="CX1509" s="20"/>
      <c r="CY1509" s="20"/>
      <c r="CZ1509" s="20"/>
      <c r="DA1509" s="20"/>
      <c r="DB1509" s="20"/>
      <c r="DC1509" s="20"/>
      <c r="DD1509" s="20"/>
      <c r="DE1509" s="20"/>
      <c r="DF1509" s="20"/>
    </row>
    <row r="1510" spans="2:110" ht="14" thickBot="1">
      <c r="B1510" s="94">
        <v>48</v>
      </c>
      <c r="C1510" s="12" t="s">
        <v>177</v>
      </c>
    </row>
    <row r="1511" spans="2:110">
      <c r="C1511" s="553">
        <v>2024</v>
      </c>
      <c r="E1511" s="1" t="s">
        <v>59</v>
      </c>
      <c r="F1511" s="2"/>
      <c r="G1511" s="3"/>
      <c r="H1511" s="3"/>
      <c r="I1511" s="3"/>
      <c r="J1511" s="3"/>
      <c r="K1511" s="4">
        <f>SUM(F1511:J1511)</f>
        <v>0</v>
      </c>
      <c r="M1511" s="2"/>
      <c r="N1511" s="3"/>
      <c r="O1511" s="3"/>
      <c r="P1511" s="3"/>
      <c r="Q1511" s="3"/>
      <c r="R1511" s="4">
        <f>SUM(M1511:Q1511)</f>
        <v>0</v>
      </c>
      <c r="T1511" s="2"/>
      <c r="U1511" s="3"/>
      <c r="V1511" s="3"/>
      <c r="W1511" s="3"/>
      <c r="X1511" s="3"/>
      <c r="Y1511" s="4">
        <f>SUM(T1511:X1511)</f>
        <v>0</v>
      </c>
      <c r="AA1511" s="2"/>
      <c r="AB1511" s="3"/>
      <c r="AC1511" s="3"/>
      <c r="AD1511" s="3"/>
      <c r="AE1511" s="3"/>
      <c r="AF1511" s="4">
        <f>SUM(AA1511:AE1511)</f>
        <v>0</v>
      </c>
      <c r="AH1511" s="2"/>
      <c r="AI1511" s="3"/>
      <c r="AJ1511" s="3"/>
      <c r="AK1511" s="3"/>
      <c r="AL1511" s="3"/>
      <c r="AM1511" s="4">
        <f>SUM(AH1511:AL1511)</f>
        <v>0</v>
      </c>
      <c r="AO1511" s="2"/>
      <c r="AP1511" s="3"/>
      <c r="AQ1511" s="3"/>
      <c r="AR1511" s="3"/>
      <c r="AS1511" s="3"/>
      <c r="AT1511" s="4">
        <f>SUM(AO1511:AS1511)</f>
        <v>0</v>
      </c>
      <c r="AV1511" s="2"/>
      <c r="AW1511" s="3"/>
      <c r="AX1511" s="3"/>
      <c r="AY1511" s="3"/>
      <c r="AZ1511" s="3"/>
      <c r="BA1511" s="4">
        <f>SUM(AV1511:AZ1511)</f>
        <v>0</v>
      </c>
      <c r="BC1511" s="2"/>
      <c r="BD1511" s="3"/>
      <c r="BE1511" s="3"/>
      <c r="BF1511" s="3"/>
      <c r="BG1511" s="3"/>
      <c r="BH1511" s="4">
        <f>SUM(BC1511:BG1511)</f>
        <v>0</v>
      </c>
      <c r="BJ1511" s="2"/>
      <c r="BK1511" s="3"/>
      <c r="BL1511" s="3"/>
      <c r="BM1511" s="3"/>
      <c r="BN1511" s="3"/>
      <c r="BO1511" s="4">
        <f>SUM(BJ1511:BN1511)</f>
        <v>0</v>
      </c>
      <c r="BQ1511" s="2"/>
      <c r="BR1511" s="3"/>
      <c r="BS1511" s="3"/>
      <c r="BT1511" s="3"/>
      <c r="BU1511" s="3"/>
      <c r="BV1511" s="4">
        <f>SUM(BQ1511:BU1511)</f>
        <v>0</v>
      </c>
      <c r="BX1511" s="2"/>
      <c r="BY1511" s="3"/>
      <c r="BZ1511" s="3"/>
      <c r="CA1511" s="3"/>
      <c r="CB1511" s="3"/>
      <c r="CC1511" s="4">
        <f>SUM(BX1511:CB1511)</f>
        <v>0</v>
      </c>
      <c r="CE1511" s="26">
        <f t="shared" ref="CE1511:CE1514" si="6955">F1511+M1511+T1511+AA1511+AH1511+AO1511+AV1511+BC1511+BJ1511+BQ1511+BX1511</f>
        <v>0</v>
      </c>
      <c r="CF1511" s="27">
        <f t="shared" ref="CF1511:CF1514" si="6956">G1511+N1511+U1511+AB1511+AI1511+AP1511+AW1511+BD1511+BK1511+BR1511+BY1511</f>
        <v>0</v>
      </c>
      <c r="CG1511" s="27">
        <f t="shared" ref="CG1511:CG1514" si="6957">H1511+O1511+V1511+AC1511+AJ1511+AQ1511+AX1511+BE1511+BL1511+BS1511+BZ1511</f>
        <v>0</v>
      </c>
      <c r="CH1511" s="27">
        <f t="shared" ref="CH1511:CH1514" si="6958">I1511+P1511+W1511+AD1511+AK1511+AR1511+AY1511+BF1511+BM1511+BT1511+CA1511</f>
        <v>0</v>
      </c>
      <c r="CI1511" s="27">
        <f t="shared" ref="CI1511:CI1514" si="6959">J1511+Q1511+X1511+AE1511+AL1511+AS1511+AZ1511+BG1511+BN1511+BU1511+CB1511</f>
        <v>0</v>
      </c>
      <c r="CJ1511" s="4">
        <f>SUM(CE1511:CI1511)</f>
        <v>0</v>
      </c>
      <c r="CL1511" s="2"/>
      <c r="CM1511" s="3"/>
      <c r="CN1511" s="3"/>
      <c r="CO1511" s="3"/>
      <c r="CP1511" s="3"/>
      <c r="CQ1511" s="4">
        <f>SUM(CL1511:CP1511)</f>
        <v>0</v>
      </c>
      <c r="CS1511" s="2"/>
      <c r="CT1511" s="3"/>
      <c r="CU1511" s="3"/>
      <c r="CV1511" s="3"/>
      <c r="CW1511" s="3"/>
      <c r="CX1511" s="4">
        <f>SUM(CS1511:CW1511)</f>
        <v>0</v>
      </c>
      <c r="CZ1511" s="2"/>
      <c r="DA1511" s="3"/>
      <c r="DB1511" s="3"/>
      <c r="DC1511" s="3"/>
      <c r="DD1511" s="3"/>
      <c r="DE1511" s="4">
        <f>SUM(CZ1511:DD1511)</f>
        <v>0</v>
      </c>
    </row>
    <row r="1512" spans="2:110">
      <c r="C1512" s="567"/>
      <c r="E1512" s="5" t="s">
        <v>60</v>
      </c>
      <c r="F1512" s="6"/>
      <c r="G1512" s="7"/>
      <c r="H1512" s="7"/>
      <c r="I1512" s="7"/>
      <c r="J1512" s="7"/>
      <c r="K1512" s="8">
        <f t="shared" ref="K1512:K1514" si="6960">SUM(F1512:J1512)</f>
        <v>0</v>
      </c>
      <c r="M1512" s="6"/>
      <c r="N1512" s="7"/>
      <c r="O1512" s="7"/>
      <c r="P1512" s="7"/>
      <c r="Q1512" s="7"/>
      <c r="R1512" s="8">
        <f t="shared" ref="R1512:R1514" si="6961">SUM(M1512:Q1512)</f>
        <v>0</v>
      </c>
      <c r="T1512" s="6"/>
      <c r="U1512" s="7"/>
      <c r="V1512" s="7"/>
      <c r="W1512" s="7"/>
      <c r="X1512" s="7"/>
      <c r="Y1512" s="8">
        <f t="shared" ref="Y1512:Y1514" si="6962">SUM(T1512:X1512)</f>
        <v>0</v>
      </c>
      <c r="AA1512" s="6"/>
      <c r="AB1512" s="7"/>
      <c r="AC1512" s="7"/>
      <c r="AD1512" s="7"/>
      <c r="AE1512" s="7"/>
      <c r="AF1512" s="8">
        <f>SUM(AA1512:AE1512)</f>
        <v>0</v>
      </c>
      <c r="AH1512" s="6"/>
      <c r="AI1512" s="7"/>
      <c r="AJ1512" s="7"/>
      <c r="AK1512" s="7"/>
      <c r="AL1512" s="7"/>
      <c r="AM1512" s="8">
        <f>SUM(AH1512:AL1512)</f>
        <v>0</v>
      </c>
      <c r="AO1512" s="6"/>
      <c r="AP1512" s="7"/>
      <c r="AQ1512" s="7"/>
      <c r="AR1512" s="7"/>
      <c r="AS1512" s="7"/>
      <c r="AT1512" s="8">
        <f>SUM(AO1512:AS1512)</f>
        <v>0</v>
      </c>
      <c r="AV1512" s="6"/>
      <c r="AW1512" s="7"/>
      <c r="AX1512" s="7"/>
      <c r="AY1512" s="7"/>
      <c r="AZ1512" s="7"/>
      <c r="BA1512" s="8">
        <f>SUM(AV1512:AZ1512)</f>
        <v>0</v>
      </c>
      <c r="BC1512" s="6"/>
      <c r="BD1512" s="7"/>
      <c r="BE1512" s="7"/>
      <c r="BF1512" s="7"/>
      <c r="BG1512" s="7"/>
      <c r="BH1512" s="8">
        <f>SUM(BC1512:BG1512)</f>
        <v>0</v>
      </c>
      <c r="BJ1512" s="6"/>
      <c r="BK1512" s="7"/>
      <c r="BL1512" s="7"/>
      <c r="BM1512" s="7"/>
      <c r="BN1512" s="7"/>
      <c r="BO1512" s="8">
        <f>SUM(BJ1512:BN1512)</f>
        <v>0</v>
      </c>
      <c r="BQ1512" s="6"/>
      <c r="BR1512" s="7"/>
      <c r="BS1512" s="7"/>
      <c r="BT1512" s="7"/>
      <c r="BU1512" s="7"/>
      <c r="BV1512" s="8">
        <f>SUM(BQ1512:BU1512)</f>
        <v>0</v>
      </c>
      <c r="BX1512" s="6"/>
      <c r="BY1512" s="7"/>
      <c r="BZ1512" s="7"/>
      <c r="CA1512" s="7"/>
      <c r="CB1512" s="7"/>
      <c r="CC1512" s="8">
        <f>SUM(BX1512:CB1512)</f>
        <v>0</v>
      </c>
      <c r="CE1512" s="28">
        <f t="shared" si="6955"/>
        <v>0</v>
      </c>
      <c r="CF1512" s="29">
        <f t="shared" si="6956"/>
        <v>0</v>
      </c>
      <c r="CG1512" s="29">
        <f t="shared" si="6957"/>
        <v>0</v>
      </c>
      <c r="CH1512" s="29">
        <f t="shared" si="6958"/>
        <v>0</v>
      </c>
      <c r="CI1512" s="29">
        <f t="shared" si="6959"/>
        <v>0</v>
      </c>
      <c r="CJ1512" s="8">
        <f>SUM(CE1512:CI1512)</f>
        <v>0</v>
      </c>
      <c r="CL1512" s="6"/>
      <c r="CM1512" s="7"/>
      <c r="CN1512" s="7"/>
      <c r="CO1512" s="7"/>
      <c r="CP1512" s="7"/>
      <c r="CQ1512" s="8">
        <f>SUM(CL1512:CP1512)</f>
        <v>0</v>
      </c>
      <c r="CS1512" s="6"/>
      <c r="CT1512" s="7"/>
      <c r="CU1512" s="7"/>
      <c r="CV1512" s="7"/>
      <c r="CW1512" s="7"/>
      <c r="CX1512" s="8">
        <f t="shared" ref="CX1512:CX1514" si="6963">SUM(CS1512:CW1512)</f>
        <v>0</v>
      </c>
      <c r="CZ1512" s="6"/>
      <c r="DA1512" s="7"/>
      <c r="DB1512" s="7"/>
      <c r="DC1512" s="7"/>
      <c r="DD1512" s="7"/>
      <c r="DE1512" s="8">
        <f t="shared" ref="DE1512:DE1514" si="6964">SUM(CZ1512:DD1512)</f>
        <v>0</v>
      </c>
    </row>
    <row r="1513" spans="2:110">
      <c r="C1513" s="567"/>
      <c r="E1513" s="5" t="s">
        <v>61</v>
      </c>
      <c r="F1513" s="6"/>
      <c r="G1513" s="7"/>
      <c r="H1513" s="7"/>
      <c r="I1513" s="7"/>
      <c r="J1513" s="7"/>
      <c r="K1513" s="8">
        <f t="shared" si="6960"/>
        <v>0</v>
      </c>
      <c r="M1513" s="6"/>
      <c r="N1513" s="7"/>
      <c r="O1513" s="7"/>
      <c r="P1513" s="7"/>
      <c r="Q1513" s="7"/>
      <c r="R1513" s="8">
        <f t="shared" si="6961"/>
        <v>0</v>
      </c>
      <c r="T1513" s="6"/>
      <c r="U1513" s="7"/>
      <c r="V1513" s="7"/>
      <c r="W1513" s="7"/>
      <c r="X1513" s="7"/>
      <c r="Y1513" s="8">
        <f t="shared" si="6962"/>
        <v>0</v>
      </c>
      <c r="AA1513" s="6"/>
      <c r="AB1513" s="7"/>
      <c r="AC1513" s="7"/>
      <c r="AD1513" s="7"/>
      <c r="AE1513" s="7"/>
      <c r="AF1513" s="8">
        <f>SUM(AA1513:AE1513)</f>
        <v>0</v>
      </c>
      <c r="AH1513" s="6"/>
      <c r="AI1513" s="7"/>
      <c r="AJ1513" s="7"/>
      <c r="AK1513" s="7"/>
      <c r="AL1513" s="7"/>
      <c r="AM1513" s="8">
        <f>SUM(AH1513:AL1513)</f>
        <v>0</v>
      </c>
      <c r="AO1513" s="6"/>
      <c r="AP1513" s="7"/>
      <c r="AQ1513" s="7"/>
      <c r="AR1513" s="7"/>
      <c r="AS1513" s="7"/>
      <c r="AT1513" s="8">
        <f>SUM(AO1513:AS1513)</f>
        <v>0</v>
      </c>
      <c r="AV1513" s="6"/>
      <c r="AW1513" s="7"/>
      <c r="AX1513" s="7"/>
      <c r="AY1513" s="7"/>
      <c r="AZ1513" s="7"/>
      <c r="BA1513" s="8">
        <f>SUM(AV1513:AZ1513)</f>
        <v>0</v>
      </c>
      <c r="BC1513" s="6"/>
      <c r="BD1513" s="7"/>
      <c r="BE1513" s="7"/>
      <c r="BF1513" s="7"/>
      <c r="BG1513" s="7"/>
      <c r="BH1513" s="8">
        <f>SUM(BC1513:BG1513)</f>
        <v>0</v>
      </c>
      <c r="BJ1513" s="6"/>
      <c r="BK1513" s="7"/>
      <c r="BL1513" s="7"/>
      <c r="BM1513" s="7"/>
      <c r="BN1513" s="7"/>
      <c r="BO1513" s="8">
        <f>SUM(BJ1513:BN1513)</f>
        <v>0</v>
      </c>
      <c r="BQ1513" s="6"/>
      <c r="BR1513" s="7"/>
      <c r="BS1513" s="7"/>
      <c r="BT1513" s="7"/>
      <c r="BU1513" s="7"/>
      <c r="BV1513" s="8">
        <f>SUM(BQ1513:BU1513)</f>
        <v>0</v>
      </c>
      <c r="BX1513" s="6"/>
      <c r="BY1513" s="7"/>
      <c r="BZ1513" s="7"/>
      <c r="CA1513" s="7"/>
      <c r="CB1513" s="7"/>
      <c r="CC1513" s="8">
        <f>SUM(BX1513:CB1513)</f>
        <v>0</v>
      </c>
      <c r="CE1513" s="28">
        <f t="shared" si="6955"/>
        <v>0</v>
      </c>
      <c r="CF1513" s="29">
        <f t="shared" si="6956"/>
        <v>0</v>
      </c>
      <c r="CG1513" s="29">
        <f t="shared" si="6957"/>
        <v>0</v>
      </c>
      <c r="CH1513" s="29">
        <f t="shared" si="6958"/>
        <v>0</v>
      </c>
      <c r="CI1513" s="29">
        <f t="shared" si="6959"/>
        <v>0</v>
      </c>
      <c r="CJ1513" s="8">
        <f>SUM(CE1513:CI1513)</f>
        <v>0</v>
      </c>
      <c r="CL1513" s="6"/>
      <c r="CM1513" s="7"/>
      <c r="CN1513" s="7"/>
      <c r="CO1513" s="7"/>
      <c r="CP1513" s="7"/>
      <c r="CQ1513" s="8">
        <f>SUM(CL1513:CP1513)</f>
        <v>0</v>
      </c>
      <c r="CS1513" s="6"/>
      <c r="CT1513" s="7"/>
      <c r="CU1513" s="7"/>
      <c r="CV1513" s="7"/>
      <c r="CW1513" s="7"/>
      <c r="CX1513" s="8">
        <f t="shared" si="6963"/>
        <v>0</v>
      </c>
      <c r="CZ1513" s="6"/>
      <c r="DA1513" s="7"/>
      <c r="DB1513" s="7"/>
      <c r="DC1513" s="7"/>
      <c r="DD1513" s="7"/>
      <c r="DE1513" s="8">
        <f t="shared" si="6964"/>
        <v>0</v>
      </c>
    </row>
    <row r="1514" spans="2:110" ht="14" thickBot="1">
      <c r="C1514" s="567"/>
      <c r="E1514" s="5" t="s">
        <v>62</v>
      </c>
      <c r="F1514" s="6"/>
      <c r="G1514" s="7"/>
      <c r="H1514" s="7"/>
      <c r="I1514" s="7"/>
      <c r="J1514" s="7"/>
      <c r="K1514" s="8">
        <f t="shared" si="6960"/>
        <v>0</v>
      </c>
      <c r="M1514" s="6"/>
      <c r="N1514" s="7"/>
      <c r="O1514" s="7"/>
      <c r="P1514" s="7"/>
      <c r="Q1514" s="7"/>
      <c r="R1514" s="8">
        <f t="shared" si="6961"/>
        <v>0</v>
      </c>
      <c r="T1514" s="6"/>
      <c r="U1514" s="7"/>
      <c r="V1514" s="7"/>
      <c r="W1514" s="7"/>
      <c r="X1514" s="7"/>
      <c r="Y1514" s="8">
        <f t="shared" si="6962"/>
        <v>0</v>
      </c>
      <c r="AA1514" s="6"/>
      <c r="AB1514" s="7"/>
      <c r="AC1514" s="7"/>
      <c r="AD1514" s="7"/>
      <c r="AE1514" s="7"/>
      <c r="AF1514" s="8">
        <f>SUM(AA1514:AE1514)</f>
        <v>0</v>
      </c>
      <c r="AH1514" s="6"/>
      <c r="AI1514" s="7"/>
      <c r="AJ1514" s="7"/>
      <c r="AK1514" s="7"/>
      <c r="AL1514" s="7"/>
      <c r="AM1514" s="8">
        <f>SUM(AH1514:AL1514)</f>
        <v>0</v>
      </c>
      <c r="AO1514" s="6"/>
      <c r="AP1514" s="7"/>
      <c r="AQ1514" s="7"/>
      <c r="AR1514" s="7"/>
      <c r="AS1514" s="7"/>
      <c r="AT1514" s="8">
        <f>SUM(AO1514:AS1514)</f>
        <v>0</v>
      </c>
      <c r="AV1514" s="6"/>
      <c r="AW1514" s="7"/>
      <c r="AX1514" s="7"/>
      <c r="AY1514" s="7"/>
      <c r="AZ1514" s="7"/>
      <c r="BA1514" s="8">
        <f>SUM(AV1514:AZ1514)</f>
        <v>0</v>
      </c>
      <c r="BC1514" s="6"/>
      <c r="BD1514" s="7"/>
      <c r="BE1514" s="7"/>
      <c r="BF1514" s="7"/>
      <c r="BG1514" s="7"/>
      <c r="BH1514" s="8">
        <f>SUM(BC1514:BG1514)</f>
        <v>0</v>
      </c>
      <c r="BJ1514" s="6"/>
      <c r="BK1514" s="7"/>
      <c r="BL1514" s="7"/>
      <c r="BM1514" s="7"/>
      <c r="BN1514" s="7"/>
      <c r="BO1514" s="8">
        <f>SUM(BJ1514:BN1514)</f>
        <v>0</v>
      </c>
      <c r="BQ1514" s="6"/>
      <c r="BR1514" s="7"/>
      <c r="BS1514" s="7"/>
      <c r="BT1514" s="7"/>
      <c r="BU1514" s="7"/>
      <c r="BV1514" s="8">
        <f>SUM(BQ1514:BU1514)</f>
        <v>0</v>
      </c>
      <c r="BX1514" s="6"/>
      <c r="BY1514" s="7"/>
      <c r="BZ1514" s="7"/>
      <c r="CA1514" s="7"/>
      <c r="CB1514" s="7"/>
      <c r="CC1514" s="8">
        <f>SUM(BX1514:CB1514)</f>
        <v>0</v>
      </c>
      <c r="CE1514" s="493">
        <f t="shared" si="6955"/>
        <v>0</v>
      </c>
      <c r="CF1514" s="494">
        <f t="shared" si="6956"/>
        <v>0</v>
      </c>
      <c r="CG1514" s="494">
        <f t="shared" si="6957"/>
        <v>0</v>
      </c>
      <c r="CH1514" s="494">
        <f t="shared" si="6958"/>
        <v>0</v>
      </c>
      <c r="CI1514" s="494">
        <f t="shared" si="6959"/>
        <v>0</v>
      </c>
      <c r="CJ1514" s="495">
        <f>SUM(CE1514:CI1514)</f>
        <v>0</v>
      </c>
      <c r="CL1514" s="6"/>
      <c r="CM1514" s="7"/>
      <c r="CN1514" s="7"/>
      <c r="CO1514" s="7"/>
      <c r="CP1514" s="7"/>
      <c r="CQ1514" s="8">
        <f>SUM(CL1514:CP1514)</f>
        <v>0</v>
      </c>
      <c r="CS1514" s="6"/>
      <c r="CT1514" s="7"/>
      <c r="CU1514" s="7"/>
      <c r="CV1514" s="7"/>
      <c r="CW1514" s="7"/>
      <c r="CX1514" s="8">
        <f t="shared" si="6963"/>
        <v>0</v>
      </c>
      <c r="CZ1514" s="6"/>
      <c r="DA1514" s="7"/>
      <c r="DB1514" s="7"/>
      <c r="DC1514" s="7"/>
      <c r="DD1514" s="7"/>
      <c r="DE1514" s="8">
        <f t="shared" si="6964"/>
        <v>0</v>
      </c>
    </row>
    <row r="1515" spans="2:110" ht="14" thickBot="1">
      <c r="C1515" s="554"/>
      <c r="E1515" s="9"/>
      <c r="F1515" s="10">
        <f>SUM(F1511:F1514)</f>
        <v>0</v>
      </c>
      <c r="G1515" s="11">
        <f t="shared" ref="G1515:J1515" si="6965">SUM(G1511:G1514)</f>
        <v>0</v>
      </c>
      <c r="H1515" s="11">
        <f t="shared" si="6965"/>
        <v>0</v>
      </c>
      <c r="I1515" s="11">
        <f t="shared" si="6965"/>
        <v>0</v>
      </c>
      <c r="J1515" s="61">
        <f t="shared" si="6965"/>
        <v>0</v>
      </c>
      <c r="K1515" s="25">
        <f>SUM(K1511:K1514)</f>
        <v>0</v>
      </c>
      <c r="M1515" s="10">
        <f>SUM(M1511:M1514)</f>
        <v>0</v>
      </c>
      <c r="N1515" s="11">
        <f t="shared" ref="N1515:Q1515" si="6966">SUM(N1511:N1514)</f>
        <v>0</v>
      </c>
      <c r="O1515" s="11">
        <f t="shared" si="6966"/>
        <v>0</v>
      </c>
      <c r="P1515" s="11">
        <f t="shared" si="6966"/>
        <v>0</v>
      </c>
      <c r="Q1515" s="11">
        <f t="shared" si="6966"/>
        <v>0</v>
      </c>
      <c r="R1515" s="25">
        <f>SUM(R1511:R1514)</f>
        <v>0</v>
      </c>
      <c r="T1515" s="10">
        <f>SUM(T1511:T1514)</f>
        <v>0</v>
      </c>
      <c r="U1515" s="11">
        <f t="shared" ref="U1515:X1515" si="6967">SUM(U1511:U1514)</f>
        <v>0</v>
      </c>
      <c r="V1515" s="11">
        <f t="shared" si="6967"/>
        <v>0</v>
      </c>
      <c r="W1515" s="11">
        <f t="shared" si="6967"/>
        <v>0</v>
      </c>
      <c r="X1515" s="11">
        <f t="shared" si="6967"/>
        <v>0</v>
      </c>
      <c r="Y1515" s="25">
        <f>SUM(Y1511:Y1514)</f>
        <v>0</v>
      </c>
      <c r="AA1515" s="10">
        <f>SUM(AA1511:AA1514)</f>
        <v>0</v>
      </c>
      <c r="AB1515" s="11">
        <f t="shared" ref="AB1515:AE1515" si="6968">SUM(AB1511:AB1514)</f>
        <v>0</v>
      </c>
      <c r="AC1515" s="11">
        <f t="shared" si="6968"/>
        <v>0</v>
      </c>
      <c r="AD1515" s="11">
        <f t="shared" si="6968"/>
        <v>0</v>
      </c>
      <c r="AE1515" s="11">
        <f t="shared" si="6968"/>
        <v>0</v>
      </c>
      <c r="AF1515" s="25">
        <f>SUM(AF1511:AF1514)</f>
        <v>0</v>
      </c>
      <c r="AH1515" s="10">
        <f>SUM(AH1511:AH1514)</f>
        <v>0</v>
      </c>
      <c r="AI1515" s="11">
        <f t="shared" ref="AI1515:AL1515" si="6969">SUM(AI1511:AI1514)</f>
        <v>0</v>
      </c>
      <c r="AJ1515" s="11">
        <f t="shared" si="6969"/>
        <v>0</v>
      </c>
      <c r="AK1515" s="11">
        <f t="shared" si="6969"/>
        <v>0</v>
      </c>
      <c r="AL1515" s="11">
        <f t="shared" si="6969"/>
        <v>0</v>
      </c>
      <c r="AM1515" s="25">
        <f>SUM(AM1511:AM1514)</f>
        <v>0</v>
      </c>
      <c r="AO1515" s="10">
        <f>SUM(AO1511:AO1514)</f>
        <v>0</v>
      </c>
      <c r="AP1515" s="11">
        <f t="shared" ref="AP1515:AS1515" si="6970">SUM(AP1511:AP1514)</f>
        <v>0</v>
      </c>
      <c r="AQ1515" s="11">
        <f t="shared" si="6970"/>
        <v>0</v>
      </c>
      <c r="AR1515" s="11">
        <f t="shared" si="6970"/>
        <v>0</v>
      </c>
      <c r="AS1515" s="11">
        <f t="shared" si="6970"/>
        <v>0</v>
      </c>
      <c r="AT1515" s="25">
        <f>SUM(AT1511:AT1514)</f>
        <v>0</v>
      </c>
      <c r="AV1515" s="10">
        <f>SUM(AV1511:AV1514)</f>
        <v>0</v>
      </c>
      <c r="AW1515" s="11">
        <f t="shared" ref="AW1515:AZ1515" si="6971">SUM(AW1511:AW1514)</f>
        <v>0</v>
      </c>
      <c r="AX1515" s="11">
        <f t="shared" si="6971"/>
        <v>0</v>
      </c>
      <c r="AY1515" s="11">
        <f t="shared" si="6971"/>
        <v>0</v>
      </c>
      <c r="AZ1515" s="11">
        <f t="shared" si="6971"/>
        <v>0</v>
      </c>
      <c r="BA1515" s="25">
        <f>SUM(BA1511:BA1514)</f>
        <v>0</v>
      </c>
      <c r="BC1515" s="10">
        <f>SUM(BC1511:BC1514)</f>
        <v>0</v>
      </c>
      <c r="BD1515" s="11">
        <f t="shared" ref="BD1515:BG1515" si="6972">SUM(BD1511:BD1514)</f>
        <v>0</v>
      </c>
      <c r="BE1515" s="11">
        <f t="shared" si="6972"/>
        <v>0</v>
      </c>
      <c r="BF1515" s="11">
        <f t="shared" si="6972"/>
        <v>0</v>
      </c>
      <c r="BG1515" s="11">
        <f t="shared" si="6972"/>
        <v>0</v>
      </c>
      <c r="BH1515" s="25">
        <f>SUM(BH1511:BH1514)</f>
        <v>0</v>
      </c>
      <c r="BJ1515" s="10">
        <f>SUM(BJ1511:BJ1514)</f>
        <v>0</v>
      </c>
      <c r="BK1515" s="11">
        <f t="shared" ref="BK1515:BN1515" si="6973">SUM(BK1511:BK1514)</f>
        <v>0</v>
      </c>
      <c r="BL1515" s="11">
        <f t="shared" si="6973"/>
        <v>0</v>
      </c>
      <c r="BM1515" s="11">
        <f t="shared" si="6973"/>
        <v>0</v>
      </c>
      <c r="BN1515" s="11">
        <f t="shared" si="6973"/>
        <v>0</v>
      </c>
      <c r="BO1515" s="25">
        <f>SUM(BO1511:BO1514)</f>
        <v>0</v>
      </c>
      <c r="BQ1515" s="10">
        <f>SUM(BQ1511:BQ1514)</f>
        <v>0</v>
      </c>
      <c r="BR1515" s="11">
        <f t="shared" ref="BR1515:BU1515" si="6974">SUM(BR1511:BR1514)</f>
        <v>0</v>
      </c>
      <c r="BS1515" s="11">
        <f t="shared" si="6974"/>
        <v>0</v>
      </c>
      <c r="BT1515" s="11">
        <f t="shared" si="6974"/>
        <v>0</v>
      </c>
      <c r="BU1515" s="11">
        <f t="shared" si="6974"/>
        <v>0</v>
      </c>
      <c r="BV1515" s="25">
        <f>SUM(BV1511:BV1514)</f>
        <v>0</v>
      </c>
      <c r="BX1515" s="10">
        <f>SUM(BX1511:BX1514)</f>
        <v>0</v>
      </c>
      <c r="BY1515" s="11">
        <f t="shared" ref="BY1515:CB1515" si="6975">SUM(BY1511:BY1514)</f>
        <v>0</v>
      </c>
      <c r="BZ1515" s="11">
        <f t="shared" si="6975"/>
        <v>0</v>
      </c>
      <c r="CA1515" s="11">
        <f t="shared" si="6975"/>
        <v>0</v>
      </c>
      <c r="CB1515" s="11">
        <f t="shared" si="6975"/>
        <v>0</v>
      </c>
      <c r="CC1515" s="25">
        <f>SUM(CC1511:CC1514)</f>
        <v>0</v>
      </c>
      <c r="CE1515" s="62">
        <f t="shared" ref="CE1515:CJ1515" si="6976">SUM(CE1511:CE1514)</f>
        <v>0</v>
      </c>
      <c r="CF1515" s="63">
        <f t="shared" si="6976"/>
        <v>0</v>
      </c>
      <c r="CG1515" s="63">
        <f t="shared" si="6976"/>
        <v>0</v>
      </c>
      <c r="CH1515" s="63">
        <f t="shared" si="6976"/>
        <v>0</v>
      </c>
      <c r="CI1515" s="63">
        <f t="shared" si="6976"/>
        <v>0</v>
      </c>
      <c r="CJ1515" s="25">
        <f t="shared" si="6976"/>
        <v>0</v>
      </c>
      <c r="CL1515" s="10">
        <f>SUM(CL1511:CL1514)</f>
        <v>0</v>
      </c>
      <c r="CM1515" s="11">
        <f t="shared" ref="CM1515:CP1515" si="6977">SUM(CM1511:CM1514)</f>
        <v>0</v>
      </c>
      <c r="CN1515" s="11">
        <f t="shared" si="6977"/>
        <v>0</v>
      </c>
      <c r="CO1515" s="11">
        <f t="shared" si="6977"/>
        <v>0</v>
      </c>
      <c r="CP1515" s="11">
        <f t="shared" si="6977"/>
        <v>0</v>
      </c>
      <c r="CQ1515" s="25">
        <f>SUM(CQ1511:CQ1514)</f>
        <v>0</v>
      </c>
      <c r="CS1515" s="10">
        <f>SUM(CS1511:CS1514)</f>
        <v>0</v>
      </c>
      <c r="CT1515" s="11">
        <f t="shared" ref="CT1515:CW1515" si="6978">SUM(CT1511:CT1514)</f>
        <v>0</v>
      </c>
      <c r="CU1515" s="11">
        <f t="shared" si="6978"/>
        <v>0</v>
      </c>
      <c r="CV1515" s="11">
        <f t="shared" si="6978"/>
        <v>0</v>
      </c>
      <c r="CW1515" s="11">
        <f t="shared" si="6978"/>
        <v>0</v>
      </c>
      <c r="CX1515" s="25">
        <f>SUM(CX1511:CX1514)</f>
        <v>0</v>
      </c>
      <c r="CZ1515" s="10">
        <f>SUM(CZ1511:CZ1514)</f>
        <v>0</v>
      </c>
      <c r="DA1515" s="11">
        <f t="shared" ref="DA1515:DD1515" si="6979">SUM(DA1511:DA1514)</f>
        <v>0</v>
      </c>
      <c r="DB1515" s="11">
        <f t="shared" si="6979"/>
        <v>0</v>
      </c>
      <c r="DC1515" s="11">
        <f t="shared" si="6979"/>
        <v>0</v>
      </c>
      <c r="DD1515" s="11">
        <f t="shared" si="6979"/>
        <v>0</v>
      </c>
      <c r="DE1515" s="25">
        <f>SUM(DE1511:DE1514)</f>
        <v>0</v>
      </c>
    </row>
    <row r="1516" spans="2:110" ht="10.4" customHeight="1" thickBot="1"/>
    <row r="1517" spans="2:110">
      <c r="C1517" s="553">
        <v>2025</v>
      </c>
      <c r="E1517" s="13" t="s">
        <v>59</v>
      </c>
      <c r="F1517" s="21">
        <f>CE1511</f>
        <v>0</v>
      </c>
      <c r="G1517" s="22">
        <f t="shared" ref="G1517:G1520" si="6980">CF1511</f>
        <v>0</v>
      </c>
      <c r="H1517" s="22">
        <f t="shared" ref="H1517:H1520" si="6981">CG1511</f>
        <v>0</v>
      </c>
      <c r="I1517" s="22">
        <f t="shared" ref="I1517:I1520" si="6982">CH1511</f>
        <v>0</v>
      </c>
      <c r="J1517" s="22">
        <f t="shared" ref="J1517:J1520" si="6983">CI1511</f>
        <v>0</v>
      </c>
      <c r="K1517" s="15">
        <f>SUM(F1517:J1517)</f>
        <v>0</v>
      </c>
      <c r="M1517" s="2"/>
      <c r="N1517" s="3"/>
      <c r="O1517" s="3"/>
      <c r="P1517" s="3"/>
      <c r="Q1517" s="3"/>
      <c r="R1517" s="15">
        <f>SUM(M1517:Q1517)</f>
        <v>0</v>
      </c>
      <c r="T1517" s="2"/>
      <c r="U1517" s="3"/>
      <c r="V1517" s="3"/>
      <c r="W1517" s="3"/>
      <c r="X1517" s="3"/>
      <c r="Y1517" s="15">
        <f>SUM(T1517:X1517)</f>
        <v>0</v>
      </c>
      <c r="AA1517" s="2"/>
      <c r="AB1517" s="3"/>
      <c r="AC1517" s="3"/>
      <c r="AD1517" s="3"/>
      <c r="AE1517" s="3"/>
      <c r="AF1517" s="15">
        <f>SUM(AA1517:AE1517)</f>
        <v>0</v>
      </c>
      <c r="AH1517" s="2"/>
      <c r="AI1517" s="3"/>
      <c r="AJ1517" s="3"/>
      <c r="AK1517" s="3"/>
      <c r="AL1517" s="3"/>
      <c r="AM1517" s="15">
        <f>SUM(AH1517:AL1517)</f>
        <v>0</v>
      </c>
      <c r="AO1517" s="2"/>
      <c r="AP1517" s="3"/>
      <c r="AQ1517" s="3"/>
      <c r="AR1517" s="3"/>
      <c r="AS1517" s="3"/>
      <c r="AT1517" s="15">
        <f>SUM(AO1517:AS1517)</f>
        <v>0</v>
      </c>
      <c r="AV1517" s="2"/>
      <c r="AW1517" s="3"/>
      <c r="AX1517" s="3"/>
      <c r="AY1517" s="3"/>
      <c r="AZ1517" s="3"/>
      <c r="BA1517" s="15">
        <f>SUM(AV1517:AZ1517)</f>
        <v>0</v>
      </c>
      <c r="BC1517" s="2"/>
      <c r="BD1517" s="3"/>
      <c r="BE1517" s="3"/>
      <c r="BF1517" s="3"/>
      <c r="BG1517" s="3"/>
      <c r="BH1517" s="15">
        <f>SUM(BC1517:BG1517)</f>
        <v>0</v>
      </c>
      <c r="BJ1517" s="2"/>
      <c r="BK1517" s="3"/>
      <c r="BL1517" s="3"/>
      <c r="BM1517" s="3"/>
      <c r="BN1517" s="3"/>
      <c r="BO1517" s="15">
        <f>SUM(BJ1517:BN1517)</f>
        <v>0</v>
      </c>
      <c r="BQ1517" s="2"/>
      <c r="BR1517" s="3"/>
      <c r="BS1517" s="3"/>
      <c r="BT1517" s="3"/>
      <c r="BU1517" s="3"/>
      <c r="BV1517" s="15">
        <f>SUM(BQ1517:BU1517)</f>
        <v>0</v>
      </c>
      <c r="BX1517" s="2"/>
      <c r="BY1517" s="3"/>
      <c r="BZ1517" s="3"/>
      <c r="CA1517" s="3"/>
      <c r="CB1517" s="3"/>
      <c r="CC1517" s="15">
        <f>SUM(BX1517:CB1517)</f>
        <v>0</v>
      </c>
      <c r="CE1517" s="26">
        <f t="shared" ref="CE1517:CE1520" si="6984">F1517+M1517+T1517+AA1517+AH1517+AO1517+AV1517+BC1517+BJ1517+BQ1517+BX1517</f>
        <v>0</v>
      </c>
      <c r="CF1517" s="27">
        <f t="shared" ref="CF1517:CF1520" si="6985">G1517+N1517+U1517+AB1517+AI1517+AP1517+AW1517+BD1517+BK1517+BR1517+BY1517</f>
        <v>0</v>
      </c>
      <c r="CG1517" s="27">
        <f t="shared" ref="CG1517:CG1520" si="6986">H1517+O1517+V1517+AC1517+AJ1517+AQ1517+AX1517+BE1517+BL1517+BS1517+BZ1517</f>
        <v>0</v>
      </c>
      <c r="CH1517" s="27">
        <f t="shared" ref="CH1517:CH1520" si="6987">I1517+P1517+W1517+AD1517+AK1517+AR1517+AY1517+BF1517+BM1517+BT1517+CA1517</f>
        <v>0</v>
      </c>
      <c r="CI1517" s="27">
        <f t="shared" ref="CI1517:CI1520" si="6988">J1517+Q1517+X1517+AE1517+AL1517+AS1517+AZ1517+BG1517+BN1517+BU1517+CB1517</f>
        <v>0</v>
      </c>
      <c r="CJ1517" s="4">
        <f>SUM(CE1517:CI1517)</f>
        <v>0</v>
      </c>
      <c r="CL1517" s="2"/>
      <c r="CM1517" s="3"/>
      <c r="CN1517" s="3"/>
      <c r="CO1517" s="3"/>
      <c r="CP1517" s="3"/>
      <c r="CQ1517" s="15">
        <f>SUM(CL1517:CP1517)</f>
        <v>0</v>
      </c>
      <c r="CS1517" s="2"/>
      <c r="CT1517" s="3"/>
      <c r="CU1517" s="3"/>
      <c r="CV1517" s="3"/>
      <c r="CW1517" s="3"/>
      <c r="CX1517" s="4">
        <f>SUM(CS1517:CW1517)</f>
        <v>0</v>
      </c>
      <c r="CZ1517" s="2"/>
      <c r="DA1517" s="3"/>
      <c r="DB1517" s="3"/>
      <c r="DC1517" s="3"/>
      <c r="DD1517" s="3"/>
      <c r="DE1517" s="15">
        <f>SUM(CZ1517:DD1517)</f>
        <v>0</v>
      </c>
    </row>
    <row r="1518" spans="2:110">
      <c r="C1518" s="567"/>
      <c r="E1518" s="14" t="s">
        <v>60</v>
      </c>
      <c r="F1518" s="23">
        <f t="shared" ref="F1518:F1520" si="6989">CE1512</f>
        <v>0</v>
      </c>
      <c r="G1518" s="24">
        <f t="shared" si="6980"/>
        <v>0</v>
      </c>
      <c r="H1518" s="24">
        <f t="shared" si="6981"/>
        <v>0</v>
      </c>
      <c r="I1518" s="24">
        <f t="shared" si="6982"/>
        <v>0</v>
      </c>
      <c r="J1518" s="24">
        <f t="shared" si="6983"/>
        <v>0</v>
      </c>
      <c r="K1518" s="16">
        <f t="shared" ref="K1518:K1520" si="6990">SUM(F1518:J1518)</f>
        <v>0</v>
      </c>
      <c r="M1518" s="6"/>
      <c r="N1518" s="7"/>
      <c r="O1518" s="7"/>
      <c r="P1518" s="7"/>
      <c r="Q1518" s="7"/>
      <c r="R1518" s="16">
        <f t="shared" ref="R1518:R1520" si="6991">SUM(M1518:Q1518)</f>
        <v>0</v>
      </c>
      <c r="T1518" s="6"/>
      <c r="U1518" s="7"/>
      <c r="V1518" s="7"/>
      <c r="W1518" s="7"/>
      <c r="X1518" s="7"/>
      <c r="Y1518" s="16">
        <f t="shared" ref="Y1518:Y1520" si="6992">SUM(T1518:X1518)</f>
        <v>0</v>
      </c>
      <c r="AA1518" s="6"/>
      <c r="AB1518" s="7"/>
      <c r="AC1518" s="7"/>
      <c r="AD1518" s="7"/>
      <c r="AE1518" s="7"/>
      <c r="AF1518" s="16">
        <f>SUM(AA1518:AE1518)</f>
        <v>0</v>
      </c>
      <c r="AH1518" s="6"/>
      <c r="AI1518" s="7"/>
      <c r="AJ1518" s="7"/>
      <c r="AK1518" s="7"/>
      <c r="AL1518" s="7"/>
      <c r="AM1518" s="16">
        <f>SUM(AH1518:AL1518)</f>
        <v>0</v>
      </c>
      <c r="AO1518" s="6"/>
      <c r="AP1518" s="7"/>
      <c r="AQ1518" s="7"/>
      <c r="AR1518" s="7"/>
      <c r="AS1518" s="7"/>
      <c r="AT1518" s="16">
        <f>SUM(AO1518:AS1518)</f>
        <v>0</v>
      </c>
      <c r="AV1518" s="6"/>
      <c r="AW1518" s="7"/>
      <c r="AX1518" s="7"/>
      <c r="AY1518" s="7"/>
      <c r="AZ1518" s="7"/>
      <c r="BA1518" s="16">
        <f>SUM(AV1518:AZ1518)</f>
        <v>0</v>
      </c>
      <c r="BC1518" s="6"/>
      <c r="BD1518" s="7"/>
      <c r="BE1518" s="7"/>
      <c r="BF1518" s="7"/>
      <c r="BG1518" s="7"/>
      <c r="BH1518" s="16">
        <f>SUM(BC1518:BG1518)</f>
        <v>0</v>
      </c>
      <c r="BJ1518" s="6"/>
      <c r="BK1518" s="7"/>
      <c r="BL1518" s="7"/>
      <c r="BM1518" s="7"/>
      <c r="BN1518" s="7"/>
      <c r="BO1518" s="16">
        <f>SUM(BJ1518:BN1518)</f>
        <v>0</v>
      </c>
      <c r="BQ1518" s="6"/>
      <c r="BR1518" s="7"/>
      <c r="BS1518" s="7"/>
      <c r="BT1518" s="7"/>
      <c r="BU1518" s="7"/>
      <c r="BV1518" s="16">
        <f>SUM(BQ1518:BU1518)</f>
        <v>0</v>
      </c>
      <c r="BX1518" s="6"/>
      <c r="BY1518" s="7"/>
      <c r="BZ1518" s="7"/>
      <c r="CA1518" s="7"/>
      <c r="CB1518" s="7"/>
      <c r="CC1518" s="16">
        <f>SUM(BX1518:CB1518)</f>
        <v>0</v>
      </c>
      <c r="CE1518" s="28">
        <f t="shared" si="6984"/>
        <v>0</v>
      </c>
      <c r="CF1518" s="29">
        <f t="shared" si="6985"/>
        <v>0</v>
      </c>
      <c r="CG1518" s="29">
        <f t="shared" si="6986"/>
        <v>0</v>
      </c>
      <c r="CH1518" s="29">
        <f t="shared" si="6987"/>
        <v>0</v>
      </c>
      <c r="CI1518" s="29">
        <f t="shared" si="6988"/>
        <v>0</v>
      </c>
      <c r="CJ1518" s="8">
        <f>SUM(CE1518:CI1518)</f>
        <v>0</v>
      </c>
      <c r="CL1518" s="6"/>
      <c r="CM1518" s="7"/>
      <c r="CN1518" s="7"/>
      <c r="CO1518" s="7"/>
      <c r="CP1518" s="7"/>
      <c r="CQ1518" s="16">
        <f>SUM(CL1518:CP1518)</f>
        <v>0</v>
      </c>
      <c r="CS1518" s="6"/>
      <c r="CT1518" s="7"/>
      <c r="CU1518" s="7"/>
      <c r="CV1518" s="7"/>
      <c r="CW1518" s="7"/>
      <c r="CX1518" s="8">
        <f t="shared" ref="CX1518:CX1520" si="6993">SUM(CS1518:CW1518)</f>
        <v>0</v>
      </c>
      <c r="CZ1518" s="6"/>
      <c r="DA1518" s="7"/>
      <c r="DB1518" s="7"/>
      <c r="DC1518" s="7"/>
      <c r="DD1518" s="7"/>
      <c r="DE1518" s="16">
        <f t="shared" ref="DE1518:DE1520" si="6994">SUM(CZ1518:DD1518)</f>
        <v>0</v>
      </c>
    </row>
    <row r="1519" spans="2:110">
      <c r="C1519" s="567"/>
      <c r="E1519" s="14" t="s">
        <v>61</v>
      </c>
      <c r="F1519" s="23">
        <f t="shared" si="6989"/>
        <v>0</v>
      </c>
      <c r="G1519" s="24">
        <f t="shared" si="6980"/>
        <v>0</v>
      </c>
      <c r="H1519" s="24">
        <f t="shared" si="6981"/>
        <v>0</v>
      </c>
      <c r="I1519" s="24">
        <f t="shared" si="6982"/>
        <v>0</v>
      </c>
      <c r="J1519" s="24">
        <f t="shared" si="6983"/>
        <v>0</v>
      </c>
      <c r="K1519" s="16">
        <f t="shared" si="6990"/>
        <v>0</v>
      </c>
      <c r="M1519" s="6"/>
      <c r="N1519" s="7"/>
      <c r="O1519" s="7"/>
      <c r="P1519" s="7"/>
      <c r="Q1519" s="7"/>
      <c r="R1519" s="16">
        <f t="shared" si="6991"/>
        <v>0</v>
      </c>
      <c r="T1519" s="6"/>
      <c r="U1519" s="7"/>
      <c r="V1519" s="7"/>
      <c r="W1519" s="7"/>
      <c r="X1519" s="7"/>
      <c r="Y1519" s="16">
        <f t="shared" si="6992"/>
        <v>0</v>
      </c>
      <c r="AA1519" s="6"/>
      <c r="AB1519" s="7"/>
      <c r="AC1519" s="7"/>
      <c r="AD1519" s="7"/>
      <c r="AE1519" s="7"/>
      <c r="AF1519" s="16">
        <f>SUM(AA1519:AE1519)</f>
        <v>0</v>
      </c>
      <c r="AH1519" s="6"/>
      <c r="AI1519" s="7"/>
      <c r="AJ1519" s="7"/>
      <c r="AK1519" s="7"/>
      <c r="AL1519" s="7"/>
      <c r="AM1519" s="16">
        <f>SUM(AH1519:AL1519)</f>
        <v>0</v>
      </c>
      <c r="AO1519" s="6"/>
      <c r="AP1519" s="7"/>
      <c r="AQ1519" s="7"/>
      <c r="AR1519" s="7"/>
      <c r="AS1519" s="7"/>
      <c r="AT1519" s="16">
        <f>SUM(AO1519:AS1519)</f>
        <v>0</v>
      </c>
      <c r="AV1519" s="6"/>
      <c r="AW1519" s="7"/>
      <c r="AX1519" s="7"/>
      <c r="AY1519" s="7"/>
      <c r="AZ1519" s="7"/>
      <c r="BA1519" s="16">
        <f>SUM(AV1519:AZ1519)</f>
        <v>0</v>
      </c>
      <c r="BC1519" s="6"/>
      <c r="BD1519" s="7"/>
      <c r="BE1519" s="7"/>
      <c r="BF1519" s="7"/>
      <c r="BG1519" s="7"/>
      <c r="BH1519" s="16">
        <f>SUM(BC1519:BG1519)</f>
        <v>0</v>
      </c>
      <c r="BJ1519" s="6"/>
      <c r="BK1519" s="7"/>
      <c r="BL1519" s="7"/>
      <c r="BM1519" s="7"/>
      <c r="BN1519" s="7"/>
      <c r="BO1519" s="16">
        <f>SUM(BJ1519:BN1519)</f>
        <v>0</v>
      </c>
      <c r="BQ1519" s="6"/>
      <c r="BR1519" s="7"/>
      <c r="BS1519" s="7"/>
      <c r="BT1519" s="7"/>
      <c r="BU1519" s="7"/>
      <c r="BV1519" s="16">
        <f>SUM(BQ1519:BU1519)</f>
        <v>0</v>
      </c>
      <c r="BX1519" s="6"/>
      <c r="BY1519" s="7"/>
      <c r="BZ1519" s="7"/>
      <c r="CA1519" s="7"/>
      <c r="CB1519" s="7"/>
      <c r="CC1519" s="16">
        <f>SUM(BX1519:CB1519)</f>
        <v>0</v>
      </c>
      <c r="CE1519" s="28">
        <f t="shared" si="6984"/>
        <v>0</v>
      </c>
      <c r="CF1519" s="29">
        <f t="shared" si="6985"/>
        <v>0</v>
      </c>
      <c r="CG1519" s="29">
        <f t="shared" si="6986"/>
        <v>0</v>
      </c>
      <c r="CH1519" s="29">
        <f t="shared" si="6987"/>
        <v>0</v>
      </c>
      <c r="CI1519" s="29">
        <f t="shared" si="6988"/>
        <v>0</v>
      </c>
      <c r="CJ1519" s="8">
        <f>SUM(CE1519:CI1519)</f>
        <v>0</v>
      </c>
      <c r="CL1519" s="6"/>
      <c r="CM1519" s="7"/>
      <c r="CN1519" s="7"/>
      <c r="CO1519" s="7"/>
      <c r="CP1519" s="7"/>
      <c r="CQ1519" s="16">
        <f>SUM(CL1519:CP1519)</f>
        <v>0</v>
      </c>
      <c r="CS1519" s="6"/>
      <c r="CT1519" s="7"/>
      <c r="CU1519" s="7"/>
      <c r="CV1519" s="7"/>
      <c r="CW1519" s="7"/>
      <c r="CX1519" s="8">
        <f t="shared" si="6993"/>
        <v>0</v>
      </c>
      <c r="CZ1519" s="6"/>
      <c r="DA1519" s="7"/>
      <c r="DB1519" s="7"/>
      <c r="DC1519" s="7"/>
      <c r="DD1519" s="7"/>
      <c r="DE1519" s="16">
        <f t="shared" si="6994"/>
        <v>0</v>
      </c>
    </row>
    <row r="1520" spans="2:110" ht="14" thickBot="1">
      <c r="C1520" s="567"/>
      <c r="E1520" s="14" t="s">
        <v>62</v>
      </c>
      <c r="F1520" s="23">
        <f t="shared" si="6989"/>
        <v>0</v>
      </c>
      <c r="G1520" s="24">
        <f t="shared" si="6980"/>
        <v>0</v>
      </c>
      <c r="H1520" s="24">
        <f t="shared" si="6981"/>
        <v>0</v>
      </c>
      <c r="I1520" s="24">
        <f t="shared" si="6982"/>
        <v>0</v>
      </c>
      <c r="J1520" s="24">
        <f t="shared" si="6983"/>
        <v>0</v>
      </c>
      <c r="K1520" s="16">
        <f t="shared" si="6990"/>
        <v>0</v>
      </c>
      <c r="M1520" s="6"/>
      <c r="N1520" s="7"/>
      <c r="O1520" s="7"/>
      <c r="P1520" s="7"/>
      <c r="Q1520" s="7"/>
      <c r="R1520" s="16">
        <f t="shared" si="6991"/>
        <v>0</v>
      </c>
      <c r="T1520" s="6"/>
      <c r="U1520" s="7"/>
      <c r="V1520" s="7"/>
      <c r="W1520" s="7"/>
      <c r="X1520" s="7"/>
      <c r="Y1520" s="16">
        <f t="shared" si="6992"/>
        <v>0</v>
      </c>
      <c r="AA1520" s="6"/>
      <c r="AB1520" s="7"/>
      <c r="AC1520" s="7"/>
      <c r="AD1520" s="7"/>
      <c r="AE1520" s="7"/>
      <c r="AF1520" s="16">
        <f>SUM(AA1520:AE1520)</f>
        <v>0</v>
      </c>
      <c r="AH1520" s="6"/>
      <c r="AI1520" s="7"/>
      <c r="AJ1520" s="7"/>
      <c r="AK1520" s="7"/>
      <c r="AL1520" s="7"/>
      <c r="AM1520" s="16">
        <f>SUM(AH1520:AL1520)</f>
        <v>0</v>
      </c>
      <c r="AO1520" s="6"/>
      <c r="AP1520" s="7"/>
      <c r="AQ1520" s="7"/>
      <c r="AR1520" s="7"/>
      <c r="AS1520" s="7"/>
      <c r="AT1520" s="16">
        <f>SUM(AO1520:AS1520)</f>
        <v>0</v>
      </c>
      <c r="AV1520" s="6"/>
      <c r="AW1520" s="7"/>
      <c r="AX1520" s="7"/>
      <c r="AY1520" s="7"/>
      <c r="AZ1520" s="7"/>
      <c r="BA1520" s="16">
        <f>SUM(AV1520:AZ1520)</f>
        <v>0</v>
      </c>
      <c r="BC1520" s="6"/>
      <c r="BD1520" s="7"/>
      <c r="BE1520" s="7"/>
      <c r="BF1520" s="7"/>
      <c r="BG1520" s="7"/>
      <c r="BH1520" s="16">
        <f>SUM(BC1520:BG1520)</f>
        <v>0</v>
      </c>
      <c r="BJ1520" s="6"/>
      <c r="BK1520" s="7"/>
      <c r="BL1520" s="7"/>
      <c r="BM1520" s="7"/>
      <c r="BN1520" s="7"/>
      <c r="BO1520" s="16">
        <f>SUM(BJ1520:BN1520)</f>
        <v>0</v>
      </c>
      <c r="BQ1520" s="6"/>
      <c r="BR1520" s="7"/>
      <c r="BS1520" s="7"/>
      <c r="BT1520" s="7"/>
      <c r="BU1520" s="7"/>
      <c r="BV1520" s="16">
        <f>SUM(BQ1520:BU1520)</f>
        <v>0</v>
      </c>
      <c r="BX1520" s="6"/>
      <c r="BY1520" s="7"/>
      <c r="BZ1520" s="7"/>
      <c r="CA1520" s="7"/>
      <c r="CB1520" s="7"/>
      <c r="CC1520" s="16">
        <f>SUM(BX1520:CB1520)</f>
        <v>0</v>
      </c>
      <c r="CE1520" s="493">
        <f t="shared" si="6984"/>
        <v>0</v>
      </c>
      <c r="CF1520" s="494">
        <f t="shared" si="6985"/>
        <v>0</v>
      </c>
      <c r="CG1520" s="494">
        <f t="shared" si="6986"/>
        <v>0</v>
      </c>
      <c r="CH1520" s="494">
        <f t="shared" si="6987"/>
        <v>0</v>
      </c>
      <c r="CI1520" s="494">
        <f t="shared" si="6988"/>
        <v>0</v>
      </c>
      <c r="CJ1520" s="495">
        <f>SUM(CE1520:CI1520)</f>
        <v>0</v>
      </c>
      <c r="CL1520" s="6"/>
      <c r="CM1520" s="7"/>
      <c r="CN1520" s="7"/>
      <c r="CO1520" s="7"/>
      <c r="CP1520" s="7"/>
      <c r="CQ1520" s="16">
        <f>SUM(CL1520:CP1520)</f>
        <v>0</v>
      </c>
      <c r="CS1520" s="6"/>
      <c r="CT1520" s="7"/>
      <c r="CU1520" s="7"/>
      <c r="CV1520" s="7"/>
      <c r="CW1520" s="7"/>
      <c r="CX1520" s="8">
        <f t="shared" si="6993"/>
        <v>0</v>
      </c>
      <c r="CZ1520" s="6"/>
      <c r="DA1520" s="7"/>
      <c r="DB1520" s="7"/>
      <c r="DC1520" s="7"/>
      <c r="DD1520" s="7"/>
      <c r="DE1520" s="16">
        <f t="shared" si="6994"/>
        <v>0</v>
      </c>
    </row>
    <row r="1521" spans="3:109" ht="14" thickBot="1">
      <c r="C1521" s="554"/>
      <c r="E1521" s="17"/>
      <c r="F1521" s="10">
        <f>SUM(F1517:F1520)</f>
        <v>0</v>
      </c>
      <c r="G1521" s="11">
        <f t="shared" ref="G1521:J1521" si="6995">SUM(G1517:G1520)</f>
        <v>0</v>
      </c>
      <c r="H1521" s="11">
        <f t="shared" si="6995"/>
        <v>0</v>
      </c>
      <c r="I1521" s="11">
        <f t="shared" si="6995"/>
        <v>0</v>
      </c>
      <c r="J1521" s="11">
        <f t="shared" si="6995"/>
        <v>0</v>
      </c>
      <c r="K1521" s="25">
        <f>SUM(K1517:K1520)</f>
        <v>0</v>
      </c>
      <c r="M1521" s="10">
        <f>SUM(M1517:M1520)</f>
        <v>0</v>
      </c>
      <c r="N1521" s="11">
        <f t="shared" ref="N1521:Q1521" si="6996">SUM(N1517:N1520)</f>
        <v>0</v>
      </c>
      <c r="O1521" s="11">
        <f t="shared" si="6996"/>
        <v>0</v>
      </c>
      <c r="P1521" s="11">
        <f t="shared" si="6996"/>
        <v>0</v>
      </c>
      <c r="Q1521" s="11">
        <f t="shared" si="6996"/>
        <v>0</v>
      </c>
      <c r="R1521" s="25">
        <f>SUM(R1517:R1520)</f>
        <v>0</v>
      </c>
      <c r="T1521" s="10">
        <f>SUM(T1517:T1520)</f>
        <v>0</v>
      </c>
      <c r="U1521" s="11">
        <f t="shared" ref="U1521:X1521" si="6997">SUM(U1517:U1520)</f>
        <v>0</v>
      </c>
      <c r="V1521" s="11">
        <f t="shared" si="6997"/>
        <v>0</v>
      </c>
      <c r="W1521" s="11">
        <f t="shared" si="6997"/>
        <v>0</v>
      </c>
      <c r="X1521" s="11">
        <f t="shared" si="6997"/>
        <v>0</v>
      </c>
      <c r="Y1521" s="25">
        <f>SUM(Y1517:Y1520)</f>
        <v>0</v>
      </c>
      <c r="AA1521" s="10">
        <f>SUM(AA1517:AA1520)</f>
        <v>0</v>
      </c>
      <c r="AB1521" s="11">
        <f t="shared" ref="AB1521:AE1521" si="6998">SUM(AB1517:AB1520)</f>
        <v>0</v>
      </c>
      <c r="AC1521" s="11">
        <f t="shared" si="6998"/>
        <v>0</v>
      </c>
      <c r="AD1521" s="11">
        <f t="shared" si="6998"/>
        <v>0</v>
      </c>
      <c r="AE1521" s="11">
        <f t="shared" si="6998"/>
        <v>0</v>
      </c>
      <c r="AF1521" s="25">
        <f>SUM(AF1517:AF1520)</f>
        <v>0</v>
      </c>
      <c r="AH1521" s="10">
        <f>SUM(AH1517:AH1520)</f>
        <v>0</v>
      </c>
      <c r="AI1521" s="11">
        <f t="shared" ref="AI1521:AL1521" si="6999">SUM(AI1517:AI1520)</f>
        <v>0</v>
      </c>
      <c r="AJ1521" s="11">
        <f t="shared" si="6999"/>
        <v>0</v>
      </c>
      <c r="AK1521" s="11">
        <f t="shared" si="6999"/>
        <v>0</v>
      </c>
      <c r="AL1521" s="11">
        <f t="shared" si="6999"/>
        <v>0</v>
      </c>
      <c r="AM1521" s="25">
        <f>SUM(AM1517:AM1520)</f>
        <v>0</v>
      </c>
      <c r="AO1521" s="10">
        <f>SUM(AO1517:AO1520)</f>
        <v>0</v>
      </c>
      <c r="AP1521" s="11">
        <f t="shared" ref="AP1521:AS1521" si="7000">SUM(AP1517:AP1520)</f>
        <v>0</v>
      </c>
      <c r="AQ1521" s="11">
        <f t="shared" si="7000"/>
        <v>0</v>
      </c>
      <c r="AR1521" s="11">
        <f t="shared" si="7000"/>
        <v>0</v>
      </c>
      <c r="AS1521" s="11">
        <f t="shared" si="7000"/>
        <v>0</v>
      </c>
      <c r="AT1521" s="25">
        <f>SUM(AT1517:AT1520)</f>
        <v>0</v>
      </c>
      <c r="AV1521" s="10">
        <f>SUM(AV1517:AV1520)</f>
        <v>0</v>
      </c>
      <c r="AW1521" s="11">
        <f t="shared" ref="AW1521:AZ1521" si="7001">SUM(AW1517:AW1520)</f>
        <v>0</v>
      </c>
      <c r="AX1521" s="11">
        <f t="shared" si="7001"/>
        <v>0</v>
      </c>
      <c r="AY1521" s="11">
        <f t="shared" si="7001"/>
        <v>0</v>
      </c>
      <c r="AZ1521" s="11">
        <f t="shared" si="7001"/>
        <v>0</v>
      </c>
      <c r="BA1521" s="25">
        <f>SUM(BA1517:BA1520)</f>
        <v>0</v>
      </c>
      <c r="BC1521" s="10">
        <f>SUM(BC1517:BC1520)</f>
        <v>0</v>
      </c>
      <c r="BD1521" s="11">
        <f t="shared" ref="BD1521:BG1521" si="7002">SUM(BD1517:BD1520)</f>
        <v>0</v>
      </c>
      <c r="BE1521" s="11">
        <f t="shared" si="7002"/>
        <v>0</v>
      </c>
      <c r="BF1521" s="11">
        <f t="shared" si="7002"/>
        <v>0</v>
      </c>
      <c r="BG1521" s="11">
        <f t="shared" si="7002"/>
        <v>0</v>
      </c>
      <c r="BH1521" s="25">
        <f>SUM(BH1517:BH1520)</f>
        <v>0</v>
      </c>
      <c r="BJ1521" s="10">
        <f>SUM(BJ1517:BJ1520)</f>
        <v>0</v>
      </c>
      <c r="BK1521" s="11">
        <f t="shared" ref="BK1521:BN1521" si="7003">SUM(BK1517:BK1520)</f>
        <v>0</v>
      </c>
      <c r="BL1521" s="11">
        <f t="shared" si="7003"/>
        <v>0</v>
      </c>
      <c r="BM1521" s="11">
        <f t="shared" si="7003"/>
        <v>0</v>
      </c>
      <c r="BN1521" s="11">
        <f t="shared" si="7003"/>
        <v>0</v>
      </c>
      <c r="BO1521" s="25">
        <f>SUM(BO1517:BO1520)</f>
        <v>0</v>
      </c>
      <c r="BQ1521" s="10">
        <f>SUM(BQ1517:BQ1520)</f>
        <v>0</v>
      </c>
      <c r="BR1521" s="11">
        <f t="shared" ref="BR1521:BU1521" si="7004">SUM(BR1517:BR1520)</f>
        <v>0</v>
      </c>
      <c r="BS1521" s="11">
        <f t="shared" si="7004"/>
        <v>0</v>
      </c>
      <c r="BT1521" s="11">
        <f t="shared" si="7004"/>
        <v>0</v>
      </c>
      <c r="BU1521" s="11">
        <f t="shared" si="7004"/>
        <v>0</v>
      </c>
      <c r="BV1521" s="25">
        <f>SUM(BV1517:BV1520)</f>
        <v>0</v>
      </c>
      <c r="BX1521" s="10">
        <f>SUM(BX1517:BX1520)</f>
        <v>0</v>
      </c>
      <c r="BY1521" s="11">
        <f t="shared" ref="BY1521:CB1521" si="7005">SUM(BY1517:BY1520)</f>
        <v>0</v>
      </c>
      <c r="BZ1521" s="11">
        <f t="shared" si="7005"/>
        <v>0</v>
      </c>
      <c r="CA1521" s="11">
        <f t="shared" si="7005"/>
        <v>0</v>
      </c>
      <c r="CB1521" s="11">
        <f t="shared" si="7005"/>
        <v>0</v>
      </c>
      <c r="CC1521" s="25">
        <f>SUM(CC1517:CC1520)</f>
        <v>0</v>
      </c>
      <c r="CE1521" s="62">
        <f t="shared" ref="CE1521:CJ1521" si="7006">SUM(CE1517:CE1520)</f>
        <v>0</v>
      </c>
      <c r="CF1521" s="63">
        <f t="shared" si="7006"/>
        <v>0</v>
      </c>
      <c r="CG1521" s="63">
        <f t="shared" si="7006"/>
        <v>0</v>
      </c>
      <c r="CH1521" s="63">
        <f t="shared" si="7006"/>
        <v>0</v>
      </c>
      <c r="CI1521" s="63">
        <f t="shared" si="7006"/>
        <v>0</v>
      </c>
      <c r="CJ1521" s="25">
        <f t="shared" si="7006"/>
        <v>0</v>
      </c>
      <c r="CL1521" s="10">
        <f>SUM(CL1517:CL1520)</f>
        <v>0</v>
      </c>
      <c r="CM1521" s="11">
        <f t="shared" ref="CM1521:CP1521" si="7007">SUM(CM1517:CM1520)</f>
        <v>0</v>
      </c>
      <c r="CN1521" s="11">
        <f t="shared" si="7007"/>
        <v>0</v>
      </c>
      <c r="CO1521" s="11">
        <f t="shared" si="7007"/>
        <v>0</v>
      </c>
      <c r="CP1521" s="11">
        <f t="shared" si="7007"/>
        <v>0</v>
      </c>
      <c r="CQ1521" s="25">
        <f>SUM(CQ1517:CQ1520)</f>
        <v>0</v>
      </c>
      <c r="CS1521" s="10">
        <f>SUM(CS1517:CS1520)</f>
        <v>0</v>
      </c>
      <c r="CT1521" s="11">
        <f t="shared" ref="CT1521:CW1521" si="7008">SUM(CT1517:CT1520)</f>
        <v>0</v>
      </c>
      <c r="CU1521" s="11">
        <f t="shared" si="7008"/>
        <v>0</v>
      </c>
      <c r="CV1521" s="11">
        <f t="shared" si="7008"/>
        <v>0</v>
      </c>
      <c r="CW1521" s="11">
        <f t="shared" si="7008"/>
        <v>0</v>
      </c>
      <c r="CX1521" s="25">
        <f>SUM(CX1517:CX1520)</f>
        <v>0</v>
      </c>
      <c r="CZ1521" s="10">
        <f>SUM(CZ1517:CZ1520)</f>
        <v>0</v>
      </c>
      <c r="DA1521" s="11">
        <f t="shared" ref="DA1521:DD1521" si="7009">SUM(DA1517:DA1520)</f>
        <v>0</v>
      </c>
      <c r="DB1521" s="11">
        <f t="shared" si="7009"/>
        <v>0</v>
      </c>
      <c r="DC1521" s="11">
        <f t="shared" si="7009"/>
        <v>0</v>
      </c>
      <c r="DD1521" s="11">
        <f t="shared" si="7009"/>
        <v>0</v>
      </c>
      <c r="DE1521" s="25">
        <f>SUM(DE1517:DE1520)</f>
        <v>0</v>
      </c>
    </row>
    <row r="1522" spans="3:109" ht="10.4" customHeight="1" thickBot="1"/>
    <row r="1523" spans="3:109">
      <c r="C1523" s="553">
        <v>2026</v>
      </c>
      <c r="E1523" s="1" t="s">
        <v>59</v>
      </c>
      <c r="F1523" s="21">
        <f>CE1517</f>
        <v>0</v>
      </c>
      <c r="G1523" s="22">
        <f t="shared" ref="G1523:G1526" si="7010">CF1517</f>
        <v>0</v>
      </c>
      <c r="H1523" s="22">
        <f t="shared" ref="H1523:H1526" si="7011">CG1517</f>
        <v>0</v>
      </c>
      <c r="I1523" s="22">
        <f t="shared" ref="I1523:I1526" si="7012">CH1517</f>
        <v>0</v>
      </c>
      <c r="J1523" s="22">
        <f t="shared" ref="J1523:J1526" si="7013">CI1517</f>
        <v>0</v>
      </c>
      <c r="K1523" s="4">
        <f>SUM(F1523:J1523)</f>
        <v>0</v>
      </c>
      <c r="M1523" s="2"/>
      <c r="N1523" s="3"/>
      <c r="O1523" s="3"/>
      <c r="P1523" s="3"/>
      <c r="Q1523" s="3"/>
      <c r="R1523" s="4">
        <f>SUM(M1523:Q1523)</f>
        <v>0</v>
      </c>
      <c r="T1523" s="2"/>
      <c r="U1523" s="3"/>
      <c r="V1523" s="3"/>
      <c r="W1523" s="3"/>
      <c r="X1523" s="3"/>
      <c r="Y1523" s="4">
        <f>SUM(T1523:X1523)</f>
        <v>0</v>
      </c>
      <c r="AA1523" s="2"/>
      <c r="AB1523" s="3"/>
      <c r="AC1523" s="3"/>
      <c r="AD1523" s="3"/>
      <c r="AE1523" s="3"/>
      <c r="AF1523" s="4">
        <f>SUM(AA1523:AE1523)</f>
        <v>0</v>
      </c>
      <c r="AH1523" s="2"/>
      <c r="AI1523" s="3"/>
      <c r="AJ1523" s="3"/>
      <c r="AK1523" s="3"/>
      <c r="AL1523" s="3"/>
      <c r="AM1523" s="4">
        <f>SUM(AH1523:AL1523)</f>
        <v>0</v>
      </c>
      <c r="AO1523" s="2"/>
      <c r="AP1523" s="3"/>
      <c r="AQ1523" s="3"/>
      <c r="AR1523" s="3"/>
      <c r="AS1523" s="3"/>
      <c r="AT1523" s="4">
        <f>SUM(AO1523:AS1523)</f>
        <v>0</v>
      </c>
      <c r="AV1523" s="2"/>
      <c r="AW1523" s="3"/>
      <c r="AX1523" s="3"/>
      <c r="AY1523" s="3"/>
      <c r="AZ1523" s="3"/>
      <c r="BA1523" s="4">
        <f>SUM(AV1523:AZ1523)</f>
        <v>0</v>
      </c>
      <c r="BC1523" s="2"/>
      <c r="BD1523" s="3"/>
      <c r="BE1523" s="3"/>
      <c r="BF1523" s="3"/>
      <c r="BG1523" s="3"/>
      <c r="BH1523" s="4">
        <f>SUM(BC1523:BG1523)</f>
        <v>0</v>
      </c>
      <c r="BJ1523" s="2"/>
      <c r="BK1523" s="3"/>
      <c r="BL1523" s="3"/>
      <c r="BM1523" s="3"/>
      <c r="BN1523" s="3"/>
      <c r="BO1523" s="4">
        <f>SUM(BJ1523:BN1523)</f>
        <v>0</v>
      </c>
      <c r="BQ1523" s="2"/>
      <c r="BR1523" s="3"/>
      <c r="BS1523" s="3"/>
      <c r="BT1523" s="3"/>
      <c r="BU1523" s="3"/>
      <c r="BV1523" s="4">
        <f>SUM(BQ1523:BU1523)</f>
        <v>0</v>
      </c>
      <c r="BX1523" s="2"/>
      <c r="BY1523" s="3"/>
      <c r="BZ1523" s="3"/>
      <c r="CA1523" s="3"/>
      <c r="CB1523" s="3"/>
      <c r="CC1523" s="4">
        <f>SUM(BX1523:CB1523)</f>
        <v>0</v>
      </c>
      <c r="CE1523" s="26">
        <f t="shared" ref="CE1523:CE1526" si="7014">F1523+M1523+T1523+AA1523+AH1523+AO1523+AV1523+BC1523+BJ1523+BQ1523+BX1523</f>
        <v>0</v>
      </c>
      <c r="CF1523" s="27">
        <f t="shared" ref="CF1523:CF1526" si="7015">G1523+N1523+U1523+AB1523+AI1523+AP1523+AW1523+BD1523+BK1523+BR1523+BY1523</f>
        <v>0</v>
      </c>
      <c r="CG1523" s="27">
        <f t="shared" ref="CG1523:CG1526" si="7016">H1523+O1523+V1523+AC1523+AJ1523+AQ1523+AX1523+BE1523+BL1523+BS1523+BZ1523</f>
        <v>0</v>
      </c>
      <c r="CH1523" s="27">
        <f t="shared" ref="CH1523:CH1526" si="7017">I1523+P1523+W1523+AD1523+AK1523+AR1523+AY1523+BF1523+BM1523+BT1523+CA1523</f>
        <v>0</v>
      </c>
      <c r="CI1523" s="27">
        <f t="shared" ref="CI1523:CI1526" si="7018">J1523+Q1523+X1523+AE1523+AL1523+AS1523+AZ1523+BG1523+BN1523+BU1523+CB1523</f>
        <v>0</v>
      </c>
      <c r="CJ1523" s="4">
        <f>SUM(CE1523:CI1523)</f>
        <v>0</v>
      </c>
      <c r="CL1523" s="2"/>
      <c r="CM1523" s="3"/>
      <c r="CN1523" s="3"/>
      <c r="CO1523" s="3"/>
      <c r="CP1523" s="3"/>
      <c r="CQ1523" s="4">
        <f>SUM(CL1523:CP1523)</f>
        <v>0</v>
      </c>
      <c r="CS1523" s="2"/>
      <c r="CT1523" s="3"/>
      <c r="CU1523" s="3"/>
      <c r="CV1523" s="3"/>
      <c r="CW1523" s="3"/>
      <c r="CX1523" s="4">
        <f>SUM(CS1523:CW1523)</f>
        <v>0</v>
      </c>
      <c r="CZ1523" s="2"/>
      <c r="DA1523" s="3"/>
      <c r="DB1523" s="3"/>
      <c r="DC1523" s="3"/>
      <c r="DD1523" s="3"/>
      <c r="DE1523" s="4">
        <f>SUM(CZ1523:DD1523)</f>
        <v>0</v>
      </c>
    </row>
    <row r="1524" spans="3:109">
      <c r="C1524" s="567"/>
      <c r="E1524" s="5" t="s">
        <v>60</v>
      </c>
      <c r="F1524" s="23">
        <f t="shared" ref="F1524:F1526" si="7019">CE1518</f>
        <v>0</v>
      </c>
      <c r="G1524" s="24">
        <f t="shared" si="7010"/>
        <v>0</v>
      </c>
      <c r="H1524" s="24">
        <f t="shared" si="7011"/>
        <v>0</v>
      </c>
      <c r="I1524" s="24">
        <f t="shared" si="7012"/>
        <v>0</v>
      </c>
      <c r="J1524" s="24">
        <f t="shared" si="7013"/>
        <v>0</v>
      </c>
      <c r="K1524" s="8">
        <f t="shared" ref="K1524:K1526" si="7020">SUM(F1524:J1524)</f>
        <v>0</v>
      </c>
      <c r="M1524" s="6"/>
      <c r="N1524" s="7"/>
      <c r="O1524" s="7"/>
      <c r="P1524" s="7"/>
      <c r="Q1524" s="7"/>
      <c r="R1524" s="8">
        <f t="shared" ref="R1524:R1526" si="7021">SUM(M1524:Q1524)</f>
        <v>0</v>
      </c>
      <c r="T1524" s="6"/>
      <c r="U1524" s="7"/>
      <c r="V1524" s="7"/>
      <c r="W1524" s="7"/>
      <c r="X1524" s="7"/>
      <c r="Y1524" s="8">
        <f t="shared" ref="Y1524:Y1526" si="7022">SUM(T1524:X1524)</f>
        <v>0</v>
      </c>
      <c r="AA1524" s="6"/>
      <c r="AB1524" s="7"/>
      <c r="AC1524" s="7"/>
      <c r="AD1524" s="7"/>
      <c r="AE1524" s="7"/>
      <c r="AF1524" s="8">
        <f>SUM(AA1524:AE1524)</f>
        <v>0</v>
      </c>
      <c r="AH1524" s="6"/>
      <c r="AI1524" s="7"/>
      <c r="AJ1524" s="7"/>
      <c r="AK1524" s="7"/>
      <c r="AL1524" s="7"/>
      <c r="AM1524" s="8">
        <f>SUM(AH1524:AL1524)</f>
        <v>0</v>
      </c>
      <c r="AO1524" s="6"/>
      <c r="AP1524" s="7"/>
      <c r="AQ1524" s="7"/>
      <c r="AR1524" s="7"/>
      <c r="AS1524" s="7"/>
      <c r="AT1524" s="8">
        <f>SUM(AO1524:AS1524)</f>
        <v>0</v>
      </c>
      <c r="AV1524" s="6"/>
      <c r="AW1524" s="7"/>
      <c r="AX1524" s="7"/>
      <c r="AY1524" s="7"/>
      <c r="AZ1524" s="7"/>
      <c r="BA1524" s="8">
        <f>SUM(AV1524:AZ1524)</f>
        <v>0</v>
      </c>
      <c r="BC1524" s="6"/>
      <c r="BD1524" s="7"/>
      <c r="BE1524" s="7"/>
      <c r="BF1524" s="7"/>
      <c r="BG1524" s="7"/>
      <c r="BH1524" s="8">
        <f>SUM(BC1524:BG1524)</f>
        <v>0</v>
      </c>
      <c r="BJ1524" s="6"/>
      <c r="BK1524" s="7"/>
      <c r="BL1524" s="7"/>
      <c r="BM1524" s="7"/>
      <c r="BN1524" s="7"/>
      <c r="BO1524" s="8">
        <f>SUM(BJ1524:BN1524)</f>
        <v>0</v>
      </c>
      <c r="BQ1524" s="6"/>
      <c r="BR1524" s="7"/>
      <c r="BS1524" s="7"/>
      <c r="BT1524" s="7"/>
      <c r="BU1524" s="7"/>
      <c r="BV1524" s="8">
        <f>SUM(BQ1524:BU1524)</f>
        <v>0</v>
      </c>
      <c r="BX1524" s="6"/>
      <c r="BY1524" s="7"/>
      <c r="BZ1524" s="7"/>
      <c r="CA1524" s="7"/>
      <c r="CB1524" s="7"/>
      <c r="CC1524" s="8">
        <f>SUM(BX1524:CB1524)</f>
        <v>0</v>
      </c>
      <c r="CE1524" s="28">
        <f t="shared" si="7014"/>
        <v>0</v>
      </c>
      <c r="CF1524" s="29">
        <f t="shared" si="7015"/>
        <v>0</v>
      </c>
      <c r="CG1524" s="29">
        <f t="shared" si="7016"/>
        <v>0</v>
      </c>
      <c r="CH1524" s="29">
        <f t="shared" si="7017"/>
        <v>0</v>
      </c>
      <c r="CI1524" s="29">
        <f t="shared" si="7018"/>
        <v>0</v>
      </c>
      <c r="CJ1524" s="8">
        <f>SUM(CE1524:CI1524)</f>
        <v>0</v>
      </c>
      <c r="CL1524" s="6"/>
      <c r="CM1524" s="7"/>
      <c r="CN1524" s="7"/>
      <c r="CO1524" s="7"/>
      <c r="CP1524" s="7"/>
      <c r="CQ1524" s="8">
        <f>SUM(CL1524:CP1524)</f>
        <v>0</v>
      </c>
      <c r="CS1524" s="6"/>
      <c r="CT1524" s="7"/>
      <c r="CU1524" s="7"/>
      <c r="CV1524" s="7"/>
      <c r="CW1524" s="7"/>
      <c r="CX1524" s="8">
        <f t="shared" ref="CX1524:CX1526" si="7023">SUM(CS1524:CW1524)</f>
        <v>0</v>
      </c>
      <c r="CZ1524" s="6"/>
      <c r="DA1524" s="7"/>
      <c r="DB1524" s="7"/>
      <c r="DC1524" s="7"/>
      <c r="DD1524" s="7"/>
      <c r="DE1524" s="8">
        <f t="shared" ref="DE1524:DE1526" si="7024">SUM(CZ1524:DD1524)</f>
        <v>0</v>
      </c>
    </row>
    <row r="1525" spans="3:109">
      <c r="C1525" s="567"/>
      <c r="E1525" s="5" t="s">
        <v>61</v>
      </c>
      <c r="F1525" s="23">
        <f t="shared" si="7019"/>
        <v>0</v>
      </c>
      <c r="G1525" s="24">
        <f t="shared" si="7010"/>
        <v>0</v>
      </c>
      <c r="H1525" s="24">
        <f t="shared" si="7011"/>
        <v>0</v>
      </c>
      <c r="I1525" s="24">
        <f t="shared" si="7012"/>
        <v>0</v>
      </c>
      <c r="J1525" s="24">
        <f t="shared" si="7013"/>
        <v>0</v>
      </c>
      <c r="K1525" s="8">
        <f t="shared" si="7020"/>
        <v>0</v>
      </c>
      <c r="M1525" s="6"/>
      <c r="N1525" s="7"/>
      <c r="O1525" s="7"/>
      <c r="P1525" s="7"/>
      <c r="Q1525" s="7"/>
      <c r="R1525" s="8">
        <f t="shared" si="7021"/>
        <v>0</v>
      </c>
      <c r="T1525" s="6"/>
      <c r="U1525" s="7"/>
      <c r="V1525" s="7"/>
      <c r="W1525" s="7"/>
      <c r="X1525" s="7"/>
      <c r="Y1525" s="8">
        <f t="shared" si="7022"/>
        <v>0</v>
      </c>
      <c r="AA1525" s="6"/>
      <c r="AB1525" s="7"/>
      <c r="AC1525" s="7"/>
      <c r="AD1525" s="7"/>
      <c r="AE1525" s="7"/>
      <c r="AF1525" s="8">
        <f>SUM(AA1525:AE1525)</f>
        <v>0</v>
      </c>
      <c r="AH1525" s="6"/>
      <c r="AI1525" s="7"/>
      <c r="AJ1525" s="7"/>
      <c r="AK1525" s="7"/>
      <c r="AL1525" s="7"/>
      <c r="AM1525" s="8">
        <f>SUM(AH1525:AL1525)</f>
        <v>0</v>
      </c>
      <c r="AO1525" s="6"/>
      <c r="AP1525" s="7"/>
      <c r="AQ1525" s="7"/>
      <c r="AR1525" s="7"/>
      <c r="AS1525" s="7"/>
      <c r="AT1525" s="8">
        <f>SUM(AO1525:AS1525)</f>
        <v>0</v>
      </c>
      <c r="AV1525" s="6"/>
      <c r="AW1525" s="7"/>
      <c r="AX1525" s="7"/>
      <c r="AY1525" s="7"/>
      <c r="AZ1525" s="7"/>
      <c r="BA1525" s="8">
        <f>SUM(AV1525:AZ1525)</f>
        <v>0</v>
      </c>
      <c r="BC1525" s="6"/>
      <c r="BD1525" s="7"/>
      <c r="BE1525" s="7"/>
      <c r="BF1525" s="7"/>
      <c r="BG1525" s="7"/>
      <c r="BH1525" s="8">
        <f>SUM(BC1525:BG1525)</f>
        <v>0</v>
      </c>
      <c r="BJ1525" s="6"/>
      <c r="BK1525" s="7"/>
      <c r="BL1525" s="7"/>
      <c r="BM1525" s="7"/>
      <c r="BN1525" s="7"/>
      <c r="BO1525" s="8">
        <f>SUM(BJ1525:BN1525)</f>
        <v>0</v>
      </c>
      <c r="BQ1525" s="6"/>
      <c r="BR1525" s="7"/>
      <c r="BS1525" s="7"/>
      <c r="BT1525" s="7"/>
      <c r="BU1525" s="7"/>
      <c r="BV1525" s="8">
        <f>SUM(BQ1525:BU1525)</f>
        <v>0</v>
      </c>
      <c r="BX1525" s="6"/>
      <c r="BY1525" s="7"/>
      <c r="BZ1525" s="7"/>
      <c r="CA1525" s="7"/>
      <c r="CB1525" s="7"/>
      <c r="CC1525" s="8">
        <f>SUM(BX1525:CB1525)</f>
        <v>0</v>
      </c>
      <c r="CE1525" s="28">
        <f t="shared" si="7014"/>
        <v>0</v>
      </c>
      <c r="CF1525" s="29">
        <f t="shared" si="7015"/>
        <v>0</v>
      </c>
      <c r="CG1525" s="29">
        <f t="shared" si="7016"/>
        <v>0</v>
      </c>
      <c r="CH1525" s="29">
        <f t="shared" si="7017"/>
        <v>0</v>
      </c>
      <c r="CI1525" s="29">
        <f t="shared" si="7018"/>
        <v>0</v>
      </c>
      <c r="CJ1525" s="8">
        <f>SUM(CE1525:CI1525)</f>
        <v>0</v>
      </c>
      <c r="CL1525" s="6"/>
      <c r="CM1525" s="7"/>
      <c r="CN1525" s="7"/>
      <c r="CO1525" s="7"/>
      <c r="CP1525" s="7"/>
      <c r="CQ1525" s="8">
        <f>SUM(CL1525:CP1525)</f>
        <v>0</v>
      </c>
      <c r="CS1525" s="6"/>
      <c r="CT1525" s="7"/>
      <c r="CU1525" s="7"/>
      <c r="CV1525" s="7"/>
      <c r="CW1525" s="7"/>
      <c r="CX1525" s="8">
        <f t="shared" si="7023"/>
        <v>0</v>
      </c>
      <c r="CZ1525" s="6"/>
      <c r="DA1525" s="7"/>
      <c r="DB1525" s="7"/>
      <c r="DC1525" s="7"/>
      <c r="DD1525" s="7"/>
      <c r="DE1525" s="8">
        <f t="shared" si="7024"/>
        <v>0</v>
      </c>
    </row>
    <row r="1526" spans="3:109" ht="14" thickBot="1">
      <c r="C1526" s="567"/>
      <c r="E1526" s="5" t="s">
        <v>62</v>
      </c>
      <c r="F1526" s="23">
        <f t="shared" si="7019"/>
        <v>0</v>
      </c>
      <c r="G1526" s="24">
        <f t="shared" si="7010"/>
        <v>0</v>
      </c>
      <c r="H1526" s="24">
        <f t="shared" si="7011"/>
        <v>0</v>
      </c>
      <c r="I1526" s="24">
        <f t="shared" si="7012"/>
        <v>0</v>
      </c>
      <c r="J1526" s="24">
        <f t="shared" si="7013"/>
        <v>0</v>
      </c>
      <c r="K1526" s="8">
        <f t="shared" si="7020"/>
        <v>0</v>
      </c>
      <c r="M1526" s="6"/>
      <c r="N1526" s="7"/>
      <c r="O1526" s="7"/>
      <c r="P1526" s="7"/>
      <c r="Q1526" s="7"/>
      <c r="R1526" s="8">
        <f t="shared" si="7021"/>
        <v>0</v>
      </c>
      <c r="T1526" s="6"/>
      <c r="U1526" s="7"/>
      <c r="V1526" s="7"/>
      <c r="W1526" s="7"/>
      <c r="X1526" s="7"/>
      <c r="Y1526" s="8">
        <f t="shared" si="7022"/>
        <v>0</v>
      </c>
      <c r="AA1526" s="6"/>
      <c r="AB1526" s="7"/>
      <c r="AC1526" s="7"/>
      <c r="AD1526" s="7"/>
      <c r="AE1526" s="7"/>
      <c r="AF1526" s="8">
        <f>SUM(AA1526:AE1526)</f>
        <v>0</v>
      </c>
      <c r="AH1526" s="6"/>
      <c r="AI1526" s="7"/>
      <c r="AJ1526" s="7"/>
      <c r="AK1526" s="7"/>
      <c r="AL1526" s="7"/>
      <c r="AM1526" s="8">
        <f>SUM(AH1526:AL1526)</f>
        <v>0</v>
      </c>
      <c r="AO1526" s="6"/>
      <c r="AP1526" s="7"/>
      <c r="AQ1526" s="7"/>
      <c r="AR1526" s="7"/>
      <c r="AS1526" s="7"/>
      <c r="AT1526" s="8">
        <f>SUM(AO1526:AS1526)</f>
        <v>0</v>
      </c>
      <c r="AV1526" s="6"/>
      <c r="AW1526" s="7"/>
      <c r="AX1526" s="7"/>
      <c r="AY1526" s="7"/>
      <c r="AZ1526" s="7"/>
      <c r="BA1526" s="8">
        <f>SUM(AV1526:AZ1526)</f>
        <v>0</v>
      </c>
      <c r="BC1526" s="6"/>
      <c r="BD1526" s="7"/>
      <c r="BE1526" s="7"/>
      <c r="BF1526" s="7"/>
      <c r="BG1526" s="7"/>
      <c r="BH1526" s="8">
        <f>SUM(BC1526:BG1526)</f>
        <v>0</v>
      </c>
      <c r="BJ1526" s="6"/>
      <c r="BK1526" s="7"/>
      <c r="BL1526" s="7"/>
      <c r="BM1526" s="7"/>
      <c r="BN1526" s="7"/>
      <c r="BO1526" s="8">
        <f>SUM(BJ1526:BN1526)</f>
        <v>0</v>
      </c>
      <c r="BQ1526" s="6"/>
      <c r="BR1526" s="7"/>
      <c r="BS1526" s="7"/>
      <c r="BT1526" s="7"/>
      <c r="BU1526" s="7"/>
      <c r="BV1526" s="8">
        <f>SUM(BQ1526:BU1526)</f>
        <v>0</v>
      </c>
      <c r="BX1526" s="6"/>
      <c r="BY1526" s="7"/>
      <c r="BZ1526" s="7"/>
      <c r="CA1526" s="7"/>
      <c r="CB1526" s="7"/>
      <c r="CC1526" s="8">
        <f>SUM(BX1526:CB1526)</f>
        <v>0</v>
      </c>
      <c r="CE1526" s="493">
        <f t="shared" si="7014"/>
        <v>0</v>
      </c>
      <c r="CF1526" s="494">
        <f t="shared" si="7015"/>
        <v>0</v>
      </c>
      <c r="CG1526" s="494">
        <f t="shared" si="7016"/>
        <v>0</v>
      </c>
      <c r="CH1526" s="494">
        <f t="shared" si="7017"/>
        <v>0</v>
      </c>
      <c r="CI1526" s="494">
        <f t="shared" si="7018"/>
        <v>0</v>
      </c>
      <c r="CJ1526" s="495">
        <f>SUM(CE1526:CI1526)</f>
        <v>0</v>
      </c>
      <c r="CL1526" s="6"/>
      <c r="CM1526" s="7"/>
      <c r="CN1526" s="7"/>
      <c r="CO1526" s="7"/>
      <c r="CP1526" s="7"/>
      <c r="CQ1526" s="8">
        <f>SUM(CL1526:CP1526)</f>
        <v>0</v>
      </c>
      <c r="CS1526" s="6"/>
      <c r="CT1526" s="7"/>
      <c r="CU1526" s="7"/>
      <c r="CV1526" s="7"/>
      <c r="CW1526" s="7"/>
      <c r="CX1526" s="8">
        <f t="shared" si="7023"/>
        <v>0</v>
      </c>
      <c r="CZ1526" s="6"/>
      <c r="DA1526" s="7"/>
      <c r="DB1526" s="7"/>
      <c r="DC1526" s="7"/>
      <c r="DD1526" s="7"/>
      <c r="DE1526" s="8">
        <f t="shared" si="7024"/>
        <v>0</v>
      </c>
    </row>
    <row r="1527" spans="3:109" ht="14" thickBot="1">
      <c r="C1527" s="554"/>
      <c r="E1527" s="9"/>
      <c r="F1527" s="10">
        <f>SUM(F1523:F1526)</f>
        <v>0</v>
      </c>
      <c r="G1527" s="11">
        <f t="shared" ref="G1527:J1527" si="7025">SUM(G1523:G1526)</f>
        <v>0</v>
      </c>
      <c r="H1527" s="11">
        <f t="shared" si="7025"/>
        <v>0</v>
      </c>
      <c r="I1527" s="11">
        <f t="shared" si="7025"/>
        <v>0</v>
      </c>
      <c r="J1527" s="11">
        <f t="shared" si="7025"/>
        <v>0</v>
      </c>
      <c r="K1527" s="25">
        <f>SUM(K1523:K1526)</f>
        <v>0</v>
      </c>
      <c r="M1527" s="10">
        <f>SUM(M1523:M1526)</f>
        <v>0</v>
      </c>
      <c r="N1527" s="11">
        <f t="shared" ref="N1527:Q1527" si="7026">SUM(N1523:N1526)</f>
        <v>0</v>
      </c>
      <c r="O1527" s="11">
        <f t="shared" si="7026"/>
        <v>0</v>
      </c>
      <c r="P1527" s="11">
        <f t="shared" si="7026"/>
        <v>0</v>
      </c>
      <c r="Q1527" s="11">
        <f t="shared" si="7026"/>
        <v>0</v>
      </c>
      <c r="R1527" s="25">
        <f>SUM(R1523:R1526)</f>
        <v>0</v>
      </c>
      <c r="T1527" s="10">
        <f>SUM(T1523:T1526)</f>
        <v>0</v>
      </c>
      <c r="U1527" s="11">
        <f t="shared" ref="U1527:X1527" si="7027">SUM(U1523:U1526)</f>
        <v>0</v>
      </c>
      <c r="V1527" s="11">
        <f t="shared" si="7027"/>
        <v>0</v>
      </c>
      <c r="W1527" s="11">
        <f t="shared" si="7027"/>
        <v>0</v>
      </c>
      <c r="X1527" s="11">
        <f t="shared" si="7027"/>
        <v>0</v>
      </c>
      <c r="Y1527" s="25">
        <f>SUM(Y1523:Y1526)</f>
        <v>0</v>
      </c>
      <c r="AA1527" s="10">
        <f>SUM(AA1523:AA1526)</f>
        <v>0</v>
      </c>
      <c r="AB1527" s="11">
        <f t="shared" ref="AB1527:AE1527" si="7028">SUM(AB1523:AB1526)</f>
        <v>0</v>
      </c>
      <c r="AC1527" s="11">
        <f t="shared" si="7028"/>
        <v>0</v>
      </c>
      <c r="AD1527" s="11">
        <f t="shared" si="7028"/>
        <v>0</v>
      </c>
      <c r="AE1527" s="11">
        <f t="shared" si="7028"/>
        <v>0</v>
      </c>
      <c r="AF1527" s="25">
        <f>SUM(AF1523:AF1526)</f>
        <v>0</v>
      </c>
      <c r="AH1527" s="10">
        <f>SUM(AH1523:AH1526)</f>
        <v>0</v>
      </c>
      <c r="AI1527" s="11">
        <f t="shared" ref="AI1527:AL1527" si="7029">SUM(AI1523:AI1526)</f>
        <v>0</v>
      </c>
      <c r="AJ1527" s="11">
        <f t="shared" si="7029"/>
        <v>0</v>
      </c>
      <c r="AK1527" s="11">
        <f t="shared" si="7029"/>
        <v>0</v>
      </c>
      <c r="AL1527" s="11">
        <f t="shared" si="7029"/>
        <v>0</v>
      </c>
      <c r="AM1527" s="25">
        <f>SUM(AM1523:AM1526)</f>
        <v>0</v>
      </c>
      <c r="AO1527" s="10">
        <f>SUM(AO1523:AO1526)</f>
        <v>0</v>
      </c>
      <c r="AP1527" s="11">
        <f t="shared" ref="AP1527:AS1527" si="7030">SUM(AP1523:AP1526)</f>
        <v>0</v>
      </c>
      <c r="AQ1527" s="11">
        <f t="shared" si="7030"/>
        <v>0</v>
      </c>
      <c r="AR1527" s="11">
        <f t="shared" si="7030"/>
        <v>0</v>
      </c>
      <c r="AS1527" s="11">
        <f t="shared" si="7030"/>
        <v>0</v>
      </c>
      <c r="AT1527" s="25">
        <f>SUM(AT1523:AT1526)</f>
        <v>0</v>
      </c>
      <c r="AV1527" s="10">
        <f>SUM(AV1523:AV1526)</f>
        <v>0</v>
      </c>
      <c r="AW1527" s="11">
        <f t="shared" ref="AW1527:AZ1527" si="7031">SUM(AW1523:AW1526)</f>
        <v>0</v>
      </c>
      <c r="AX1527" s="11">
        <f t="shared" si="7031"/>
        <v>0</v>
      </c>
      <c r="AY1527" s="11">
        <f t="shared" si="7031"/>
        <v>0</v>
      </c>
      <c r="AZ1527" s="11">
        <f t="shared" si="7031"/>
        <v>0</v>
      </c>
      <c r="BA1527" s="25">
        <f>SUM(BA1523:BA1526)</f>
        <v>0</v>
      </c>
      <c r="BC1527" s="10">
        <f>SUM(BC1523:BC1526)</f>
        <v>0</v>
      </c>
      <c r="BD1527" s="11">
        <f t="shared" ref="BD1527:BG1527" si="7032">SUM(BD1523:BD1526)</f>
        <v>0</v>
      </c>
      <c r="BE1527" s="11">
        <f t="shared" si="7032"/>
        <v>0</v>
      </c>
      <c r="BF1527" s="11">
        <f t="shared" si="7032"/>
        <v>0</v>
      </c>
      <c r="BG1527" s="11">
        <f t="shared" si="7032"/>
        <v>0</v>
      </c>
      <c r="BH1527" s="25">
        <f>SUM(BH1523:BH1526)</f>
        <v>0</v>
      </c>
      <c r="BJ1527" s="10">
        <f>SUM(BJ1523:BJ1526)</f>
        <v>0</v>
      </c>
      <c r="BK1527" s="11">
        <f t="shared" ref="BK1527:BN1527" si="7033">SUM(BK1523:BK1526)</f>
        <v>0</v>
      </c>
      <c r="BL1527" s="11">
        <f t="shared" si="7033"/>
        <v>0</v>
      </c>
      <c r="BM1527" s="11">
        <f t="shared" si="7033"/>
        <v>0</v>
      </c>
      <c r="BN1527" s="11">
        <f t="shared" si="7033"/>
        <v>0</v>
      </c>
      <c r="BO1527" s="25">
        <f>SUM(BO1523:BO1526)</f>
        <v>0</v>
      </c>
      <c r="BQ1527" s="10">
        <f>SUM(BQ1523:BQ1526)</f>
        <v>0</v>
      </c>
      <c r="BR1527" s="11">
        <f t="shared" ref="BR1527:BU1527" si="7034">SUM(BR1523:BR1526)</f>
        <v>0</v>
      </c>
      <c r="BS1527" s="11">
        <f t="shared" si="7034"/>
        <v>0</v>
      </c>
      <c r="BT1527" s="11">
        <f t="shared" si="7034"/>
        <v>0</v>
      </c>
      <c r="BU1527" s="11">
        <f t="shared" si="7034"/>
        <v>0</v>
      </c>
      <c r="BV1527" s="25">
        <f>SUM(BV1523:BV1526)</f>
        <v>0</v>
      </c>
      <c r="BX1527" s="10">
        <f>SUM(BX1523:BX1526)</f>
        <v>0</v>
      </c>
      <c r="BY1527" s="11">
        <f t="shared" ref="BY1527:CB1527" si="7035">SUM(BY1523:BY1526)</f>
        <v>0</v>
      </c>
      <c r="BZ1527" s="11">
        <f t="shared" si="7035"/>
        <v>0</v>
      </c>
      <c r="CA1527" s="11">
        <f t="shared" si="7035"/>
        <v>0</v>
      </c>
      <c r="CB1527" s="11">
        <f t="shared" si="7035"/>
        <v>0</v>
      </c>
      <c r="CC1527" s="25">
        <f>SUM(CC1523:CC1526)</f>
        <v>0</v>
      </c>
      <c r="CE1527" s="62">
        <f t="shared" ref="CE1527:CJ1527" si="7036">SUM(CE1523:CE1526)</f>
        <v>0</v>
      </c>
      <c r="CF1527" s="63">
        <f t="shared" si="7036"/>
        <v>0</v>
      </c>
      <c r="CG1527" s="63">
        <f t="shared" si="7036"/>
        <v>0</v>
      </c>
      <c r="CH1527" s="63">
        <f t="shared" si="7036"/>
        <v>0</v>
      </c>
      <c r="CI1527" s="63">
        <f t="shared" si="7036"/>
        <v>0</v>
      </c>
      <c r="CJ1527" s="25">
        <f t="shared" si="7036"/>
        <v>0</v>
      </c>
      <c r="CL1527" s="10">
        <f>SUM(CL1523:CL1526)</f>
        <v>0</v>
      </c>
      <c r="CM1527" s="11">
        <f t="shared" ref="CM1527:CP1527" si="7037">SUM(CM1523:CM1526)</f>
        <v>0</v>
      </c>
      <c r="CN1527" s="11">
        <f t="shared" si="7037"/>
        <v>0</v>
      </c>
      <c r="CO1527" s="11">
        <f t="shared" si="7037"/>
        <v>0</v>
      </c>
      <c r="CP1527" s="11">
        <f t="shared" si="7037"/>
        <v>0</v>
      </c>
      <c r="CQ1527" s="25">
        <f>SUM(CQ1523:CQ1526)</f>
        <v>0</v>
      </c>
      <c r="CS1527" s="10">
        <f>SUM(CS1523:CS1526)</f>
        <v>0</v>
      </c>
      <c r="CT1527" s="11">
        <f t="shared" ref="CT1527:CW1527" si="7038">SUM(CT1523:CT1526)</f>
        <v>0</v>
      </c>
      <c r="CU1527" s="11">
        <f t="shared" si="7038"/>
        <v>0</v>
      </c>
      <c r="CV1527" s="11">
        <f t="shared" si="7038"/>
        <v>0</v>
      </c>
      <c r="CW1527" s="11">
        <f t="shared" si="7038"/>
        <v>0</v>
      </c>
      <c r="CX1527" s="25">
        <f>SUM(CX1523:CX1526)</f>
        <v>0</v>
      </c>
      <c r="CZ1527" s="10">
        <f>SUM(CZ1523:CZ1526)</f>
        <v>0</v>
      </c>
      <c r="DA1527" s="11">
        <f t="shared" ref="DA1527:DD1527" si="7039">SUM(DA1523:DA1526)</f>
        <v>0</v>
      </c>
      <c r="DB1527" s="11">
        <f t="shared" si="7039"/>
        <v>0</v>
      </c>
      <c r="DC1527" s="11">
        <f t="shared" si="7039"/>
        <v>0</v>
      </c>
      <c r="DD1527" s="11">
        <f t="shared" si="7039"/>
        <v>0</v>
      </c>
      <c r="DE1527" s="25">
        <f>SUM(DE1523:DE1526)</f>
        <v>0</v>
      </c>
    </row>
    <row r="1528" spans="3:109" ht="10.4" customHeight="1" thickBot="1"/>
    <row r="1529" spans="3:109">
      <c r="C1529" s="553">
        <v>2027</v>
      </c>
      <c r="E1529" s="1" t="s">
        <v>59</v>
      </c>
      <c r="F1529" s="21">
        <f>CE1523</f>
        <v>0</v>
      </c>
      <c r="G1529" s="22">
        <f t="shared" ref="G1529:G1532" si="7040">CF1523</f>
        <v>0</v>
      </c>
      <c r="H1529" s="22">
        <f t="shared" ref="H1529:H1532" si="7041">CG1523</f>
        <v>0</v>
      </c>
      <c r="I1529" s="22">
        <f t="shared" ref="I1529:I1532" si="7042">CH1523</f>
        <v>0</v>
      </c>
      <c r="J1529" s="22">
        <f t="shared" ref="J1529:J1532" si="7043">CI1523</f>
        <v>0</v>
      </c>
      <c r="K1529" s="4">
        <f>SUM(F1529:J1529)</f>
        <v>0</v>
      </c>
      <c r="M1529" s="2"/>
      <c r="N1529" s="3"/>
      <c r="O1529" s="3"/>
      <c r="P1529" s="3"/>
      <c r="Q1529" s="3"/>
      <c r="R1529" s="4">
        <f>SUM(M1529:Q1529)</f>
        <v>0</v>
      </c>
      <c r="T1529" s="2"/>
      <c r="U1529" s="3"/>
      <c r="V1529" s="3"/>
      <c r="W1529" s="3"/>
      <c r="X1529" s="3"/>
      <c r="Y1529" s="4">
        <f>SUM(T1529:X1529)</f>
        <v>0</v>
      </c>
      <c r="AA1529" s="2"/>
      <c r="AB1529" s="3"/>
      <c r="AC1529" s="3"/>
      <c r="AD1529" s="3"/>
      <c r="AE1529" s="3"/>
      <c r="AF1529" s="4">
        <f>SUM(AA1529:AE1529)</f>
        <v>0</v>
      </c>
      <c r="AH1529" s="2"/>
      <c r="AI1529" s="3"/>
      <c r="AJ1529" s="3"/>
      <c r="AK1529" s="3"/>
      <c r="AL1529" s="3"/>
      <c r="AM1529" s="4">
        <f>SUM(AH1529:AL1529)</f>
        <v>0</v>
      </c>
      <c r="AO1529" s="2"/>
      <c r="AP1529" s="3"/>
      <c r="AQ1529" s="3"/>
      <c r="AR1529" s="3"/>
      <c r="AS1529" s="3"/>
      <c r="AT1529" s="4">
        <f>SUM(AO1529:AS1529)</f>
        <v>0</v>
      </c>
      <c r="AV1529" s="2"/>
      <c r="AW1529" s="3"/>
      <c r="AX1529" s="3"/>
      <c r="AY1529" s="3"/>
      <c r="AZ1529" s="3"/>
      <c r="BA1529" s="4">
        <f>SUM(AV1529:AZ1529)</f>
        <v>0</v>
      </c>
      <c r="BC1529" s="2"/>
      <c r="BD1529" s="3"/>
      <c r="BE1529" s="3"/>
      <c r="BF1529" s="3"/>
      <c r="BG1529" s="3"/>
      <c r="BH1529" s="4">
        <f>SUM(BC1529:BG1529)</f>
        <v>0</v>
      </c>
      <c r="BJ1529" s="2"/>
      <c r="BK1529" s="3"/>
      <c r="BL1529" s="3"/>
      <c r="BM1529" s="3"/>
      <c r="BN1529" s="3"/>
      <c r="BO1529" s="4">
        <f>SUM(BJ1529:BN1529)</f>
        <v>0</v>
      </c>
      <c r="BQ1529" s="2"/>
      <c r="BR1529" s="3"/>
      <c r="BS1529" s="3"/>
      <c r="BT1529" s="3"/>
      <c r="BU1529" s="3"/>
      <c r="BV1529" s="4">
        <f>SUM(BQ1529:BU1529)</f>
        <v>0</v>
      </c>
      <c r="BX1529" s="2"/>
      <c r="BY1529" s="3"/>
      <c r="BZ1529" s="3"/>
      <c r="CA1529" s="3"/>
      <c r="CB1529" s="3"/>
      <c r="CC1529" s="4">
        <f>SUM(BX1529:CB1529)</f>
        <v>0</v>
      </c>
      <c r="CE1529" s="26">
        <f t="shared" ref="CE1529:CE1532" si="7044">F1529+M1529+T1529+AA1529+AH1529+AO1529+AV1529+BC1529+BJ1529+BQ1529+BX1529</f>
        <v>0</v>
      </c>
      <c r="CF1529" s="27">
        <f t="shared" ref="CF1529:CF1532" si="7045">G1529+N1529+U1529+AB1529+AI1529+AP1529+AW1529+BD1529+BK1529+BR1529+BY1529</f>
        <v>0</v>
      </c>
      <c r="CG1529" s="27">
        <f t="shared" ref="CG1529:CG1532" si="7046">H1529+O1529+V1529+AC1529+AJ1529+AQ1529+AX1529+BE1529+BL1529+BS1529+BZ1529</f>
        <v>0</v>
      </c>
      <c r="CH1529" s="27">
        <f t="shared" ref="CH1529:CH1532" si="7047">I1529+P1529+W1529+AD1529+AK1529+AR1529+AY1529+BF1529+BM1529+BT1529+CA1529</f>
        <v>0</v>
      </c>
      <c r="CI1529" s="27">
        <f t="shared" ref="CI1529:CI1532" si="7048">J1529+Q1529+X1529+AE1529+AL1529+AS1529+AZ1529+BG1529+BN1529+BU1529+CB1529</f>
        <v>0</v>
      </c>
      <c r="CJ1529" s="4">
        <f>SUM(CE1529:CI1529)</f>
        <v>0</v>
      </c>
      <c r="CL1529" s="2"/>
      <c r="CM1529" s="3"/>
      <c r="CN1529" s="3"/>
      <c r="CO1529" s="3"/>
      <c r="CP1529" s="3"/>
      <c r="CQ1529" s="4">
        <f>SUM(CL1529:CP1529)</f>
        <v>0</v>
      </c>
      <c r="CS1529" s="2"/>
      <c r="CT1529" s="3"/>
      <c r="CU1529" s="3"/>
      <c r="CV1529" s="3"/>
      <c r="CW1529" s="3"/>
      <c r="CX1529" s="4">
        <f>SUM(CS1529:CW1529)</f>
        <v>0</v>
      </c>
      <c r="CZ1529" s="2"/>
      <c r="DA1529" s="3"/>
      <c r="DB1529" s="3"/>
      <c r="DC1529" s="3"/>
      <c r="DD1529" s="3"/>
      <c r="DE1529" s="4">
        <f>SUM(CZ1529:DD1529)</f>
        <v>0</v>
      </c>
    </row>
    <row r="1530" spans="3:109">
      <c r="C1530" s="567"/>
      <c r="E1530" s="5" t="s">
        <v>60</v>
      </c>
      <c r="F1530" s="23">
        <f t="shared" ref="F1530:F1532" si="7049">CE1524</f>
        <v>0</v>
      </c>
      <c r="G1530" s="24">
        <f t="shared" si="7040"/>
        <v>0</v>
      </c>
      <c r="H1530" s="24">
        <f t="shared" si="7041"/>
        <v>0</v>
      </c>
      <c r="I1530" s="24">
        <f t="shared" si="7042"/>
        <v>0</v>
      </c>
      <c r="J1530" s="24">
        <f t="shared" si="7043"/>
        <v>0</v>
      </c>
      <c r="K1530" s="8">
        <f t="shared" ref="K1530:K1532" si="7050">SUM(F1530:J1530)</f>
        <v>0</v>
      </c>
      <c r="M1530" s="6"/>
      <c r="N1530" s="7"/>
      <c r="O1530" s="7"/>
      <c r="P1530" s="7"/>
      <c r="Q1530" s="7"/>
      <c r="R1530" s="8">
        <f t="shared" ref="R1530:R1532" si="7051">SUM(M1530:Q1530)</f>
        <v>0</v>
      </c>
      <c r="T1530" s="6"/>
      <c r="U1530" s="7"/>
      <c r="V1530" s="7"/>
      <c r="W1530" s="7"/>
      <c r="X1530" s="7"/>
      <c r="Y1530" s="8">
        <f t="shared" ref="Y1530:Y1532" si="7052">SUM(T1530:X1530)</f>
        <v>0</v>
      </c>
      <c r="AA1530" s="6"/>
      <c r="AB1530" s="7"/>
      <c r="AC1530" s="7"/>
      <c r="AD1530" s="7"/>
      <c r="AE1530" s="7"/>
      <c r="AF1530" s="8">
        <f>SUM(AA1530:AE1530)</f>
        <v>0</v>
      </c>
      <c r="AH1530" s="6"/>
      <c r="AI1530" s="7"/>
      <c r="AJ1530" s="7"/>
      <c r="AK1530" s="7"/>
      <c r="AL1530" s="7"/>
      <c r="AM1530" s="8">
        <f>SUM(AH1530:AL1530)</f>
        <v>0</v>
      </c>
      <c r="AO1530" s="6"/>
      <c r="AP1530" s="7"/>
      <c r="AQ1530" s="7"/>
      <c r="AR1530" s="7"/>
      <c r="AS1530" s="7"/>
      <c r="AT1530" s="8">
        <f>SUM(AO1530:AS1530)</f>
        <v>0</v>
      </c>
      <c r="AV1530" s="6"/>
      <c r="AW1530" s="7"/>
      <c r="AX1530" s="7"/>
      <c r="AY1530" s="7"/>
      <c r="AZ1530" s="7"/>
      <c r="BA1530" s="8">
        <f>SUM(AV1530:AZ1530)</f>
        <v>0</v>
      </c>
      <c r="BC1530" s="6"/>
      <c r="BD1530" s="7"/>
      <c r="BE1530" s="7"/>
      <c r="BF1530" s="7"/>
      <c r="BG1530" s="7"/>
      <c r="BH1530" s="8">
        <f>SUM(BC1530:BG1530)</f>
        <v>0</v>
      </c>
      <c r="BJ1530" s="6"/>
      <c r="BK1530" s="7"/>
      <c r="BL1530" s="7"/>
      <c r="BM1530" s="7"/>
      <c r="BN1530" s="7"/>
      <c r="BO1530" s="8">
        <f>SUM(BJ1530:BN1530)</f>
        <v>0</v>
      </c>
      <c r="BQ1530" s="6"/>
      <c r="BR1530" s="7"/>
      <c r="BS1530" s="7"/>
      <c r="BT1530" s="7"/>
      <c r="BU1530" s="7"/>
      <c r="BV1530" s="8">
        <f>SUM(BQ1530:BU1530)</f>
        <v>0</v>
      </c>
      <c r="BX1530" s="6"/>
      <c r="BY1530" s="7"/>
      <c r="BZ1530" s="7"/>
      <c r="CA1530" s="7"/>
      <c r="CB1530" s="7"/>
      <c r="CC1530" s="8">
        <f>SUM(BX1530:CB1530)</f>
        <v>0</v>
      </c>
      <c r="CE1530" s="28">
        <f t="shared" si="7044"/>
        <v>0</v>
      </c>
      <c r="CF1530" s="29">
        <f t="shared" si="7045"/>
        <v>0</v>
      </c>
      <c r="CG1530" s="29">
        <f t="shared" si="7046"/>
        <v>0</v>
      </c>
      <c r="CH1530" s="29">
        <f t="shared" si="7047"/>
        <v>0</v>
      </c>
      <c r="CI1530" s="29">
        <f t="shared" si="7048"/>
        <v>0</v>
      </c>
      <c r="CJ1530" s="8">
        <f>SUM(CE1530:CI1530)</f>
        <v>0</v>
      </c>
      <c r="CL1530" s="6"/>
      <c r="CM1530" s="7"/>
      <c r="CN1530" s="7"/>
      <c r="CO1530" s="7"/>
      <c r="CP1530" s="7"/>
      <c r="CQ1530" s="8">
        <f>SUM(CL1530:CP1530)</f>
        <v>0</v>
      </c>
      <c r="CS1530" s="6"/>
      <c r="CT1530" s="7"/>
      <c r="CU1530" s="7"/>
      <c r="CV1530" s="7"/>
      <c r="CW1530" s="7"/>
      <c r="CX1530" s="8">
        <f t="shared" ref="CX1530:CX1532" si="7053">SUM(CS1530:CW1530)</f>
        <v>0</v>
      </c>
      <c r="CZ1530" s="6"/>
      <c r="DA1530" s="7"/>
      <c r="DB1530" s="7"/>
      <c r="DC1530" s="7"/>
      <c r="DD1530" s="7"/>
      <c r="DE1530" s="8">
        <f t="shared" ref="DE1530:DE1532" si="7054">SUM(CZ1530:DD1530)</f>
        <v>0</v>
      </c>
    </row>
    <row r="1531" spans="3:109">
      <c r="C1531" s="567"/>
      <c r="E1531" s="5" t="s">
        <v>61</v>
      </c>
      <c r="F1531" s="23">
        <f t="shared" si="7049"/>
        <v>0</v>
      </c>
      <c r="G1531" s="24">
        <f t="shared" si="7040"/>
        <v>0</v>
      </c>
      <c r="H1531" s="24">
        <f t="shared" si="7041"/>
        <v>0</v>
      </c>
      <c r="I1531" s="24">
        <f t="shared" si="7042"/>
        <v>0</v>
      </c>
      <c r="J1531" s="24">
        <f t="shared" si="7043"/>
        <v>0</v>
      </c>
      <c r="K1531" s="8">
        <f t="shared" si="7050"/>
        <v>0</v>
      </c>
      <c r="M1531" s="6"/>
      <c r="N1531" s="7"/>
      <c r="O1531" s="7"/>
      <c r="P1531" s="7"/>
      <c r="Q1531" s="7"/>
      <c r="R1531" s="8">
        <f t="shared" si="7051"/>
        <v>0</v>
      </c>
      <c r="T1531" s="6"/>
      <c r="U1531" s="7"/>
      <c r="V1531" s="7"/>
      <c r="W1531" s="7"/>
      <c r="X1531" s="7"/>
      <c r="Y1531" s="8">
        <f t="shared" si="7052"/>
        <v>0</v>
      </c>
      <c r="AA1531" s="6"/>
      <c r="AB1531" s="7"/>
      <c r="AC1531" s="7"/>
      <c r="AD1531" s="7"/>
      <c r="AE1531" s="7"/>
      <c r="AF1531" s="8">
        <f>SUM(AA1531:AE1531)</f>
        <v>0</v>
      </c>
      <c r="AH1531" s="6"/>
      <c r="AI1531" s="7"/>
      <c r="AJ1531" s="7"/>
      <c r="AK1531" s="7"/>
      <c r="AL1531" s="7"/>
      <c r="AM1531" s="8">
        <f>SUM(AH1531:AL1531)</f>
        <v>0</v>
      </c>
      <c r="AO1531" s="6"/>
      <c r="AP1531" s="7"/>
      <c r="AQ1531" s="7"/>
      <c r="AR1531" s="7"/>
      <c r="AS1531" s="7"/>
      <c r="AT1531" s="8">
        <f>SUM(AO1531:AS1531)</f>
        <v>0</v>
      </c>
      <c r="AV1531" s="6"/>
      <c r="AW1531" s="7"/>
      <c r="AX1531" s="7"/>
      <c r="AY1531" s="7"/>
      <c r="AZ1531" s="7"/>
      <c r="BA1531" s="8">
        <f>SUM(AV1531:AZ1531)</f>
        <v>0</v>
      </c>
      <c r="BC1531" s="6"/>
      <c r="BD1531" s="7"/>
      <c r="BE1531" s="7"/>
      <c r="BF1531" s="7"/>
      <c r="BG1531" s="7"/>
      <c r="BH1531" s="8">
        <f>SUM(BC1531:BG1531)</f>
        <v>0</v>
      </c>
      <c r="BJ1531" s="6"/>
      <c r="BK1531" s="7"/>
      <c r="BL1531" s="7"/>
      <c r="BM1531" s="7"/>
      <c r="BN1531" s="7"/>
      <c r="BO1531" s="8">
        <f>SUM(BJ1531:BN1531)</f>
        <v>0</v>
      </c>
      <c r="BQ1531" s="6"/>
      <c r="BR1531" s="7"/>
      <c r="BS1531" s="7"/>
      <c r="BT1531" s="7"/>
      <c r="BU1531" s="7"/>
      <c r="BV1531" s="8">
        <f>SUM(BQ1531:BU1531)</f>
        <v>0</v>
      </c>
      <c r="BX1531" s="6"/>
      <c r="BY1531" s="7"/>
      <c r="BZ1531" s="7"/>
      <c r="CA1531" s="7"/>
      <c r="CB1531" s="7"/>
      <c r="CC1531" s="8">
        <f>SUM(BX1531:CB1531)</f>
        <v>0</v>
      </c>
      <c r="CE1531" s="28">
        <f t="shared" si="7044"/>
        <v>0</v>
      </c>
      <c r="CF1531" s="29">
        <f t="shared" si="7045"/>
        <v>0</v>
      </c>
      <c r="CG1531" s="29">
        <f t="shared" si="7046"/>
        <v>0</v>
      </c>
      <c r="CH1531" s="29">
        <f t="shared" si="7047"/>
        <v>0</v>
      </c>
      <c r="CI1531" s="29">
        <f t="shared" si="7048"/>
        <v>0</v>
      </c>
      <c r="CJ1531" s="8">
        <f>SUM(CE1531:CI1531)</f>
        <v>0</v>
      </c>
      <c r="CL1531" s="6"/>
      <c r="CM1531" s="7"/>
      <c r="CN1531" s="7"/>
      <c r="CO1531" s="7"/>
      <c r="CP1531" s="7"/>
      <c r="CQ1531" s="8">
        <f>SUM(CL1531:CP1531)</f>
        <v>0</v>
      </c>
      <c r="CS1531" s="6"/>
      <c r="CT1531" s="7"/>
      <c r="CU1531" s="7"/>
      <c r="CV1531" s="7"/>
      <c r="CW1531" s="7"/>
      <c r="CX1531" s="8">
        <f t="shared" si="7053"/>
        <v>0</v>
      </c>
      <c r="CZ1531" s="6"/>
      <c r="DA1531" s="7"/>
      <c r="DB1531" s="7"/>
      <c r="DC1531" s="7"/>
      <c r="DD1531" s="7"/>
      <c r="DE1531" s="8">
        <f t="shared" si="7054"/>
        <v>0</v>
      </c>
    </row>
    <row r="1532" spans="3:109" ht="14" thickBot="1">
      <c r="C1532" s="567"/>
      <c r="E1532" s="5" t="s">
        <v>62</v>
      </c>
      <c r="F1532" s="23">
        <f t="shared" si="7049"/>
        <v>0</v>
      </c>
      <c r="G1532" s="24">
        <f t="shared" si="7040"/>
        <v>0</v>
      </c>
      <c r="H1532" s="24">
        <f t="shared" si="7041"/>
        <v>0</v>
      </c>
      <c r="I1532" s="24">
        <f t="shared" si="7042"/>
        <v>0</v>
      </c>
      <c r="J1532" s="24">
        <f t="shared" si="7043"/>
        <v>0</v>
      </c>
      <c r="K1532" s="8">
        <f t="shared" si="7050"/>
        <v>0</v>
      </c>
      <c r="M1532" s="6"/>
      <c r="N1532" s="7"/>
      <c r="O1532" s="7"/>
      <c r="P1532" s="7"/>
      <c r="Q1532" s="7"/>
      <c r="R1532" s="8">
        <f t="shared" si="7051"/>
        <v>0</v>
      </c>
      <c r="T1532" s="6"/>
      <c r="U1532" s="7"/>
      <c r="V1532" s="7"/>
      <c r="W1532" s="7"/>
      <c r="X1532" s="7"/>
      <c r="Y1532" s="8">
        <f t="shared" si="7052"/>
        <v>0</v>
      </c>
      <c r="AA1532" s="6"/>
      <c r="AB1532" s="7"/>
      <c r="AC1532" s="7"/>
      <c r="AD1532" s="7"/>
      <c r="AE1532" s="7"/>
      <c r="AF1532" s="8">
        <f>SUM(AA1532:AE1532)</f>
        <v>0</v>
      </c>
      <c r="AH1532" s="6"/>
      <c r="AI1532" s="7"/>
      <c r="AJ1532" s="7"/>
      <c r="AK1532" s="7"/>
      <c r="AL1532" s="7"/>
      <c r="AM1532" s="8">
        <f>SUM(AH1532:AL1532)</f>
        <v>0</v>
      </c>
      <c r="AO1532" s="6"/>
      <c r="AP1532" s="7"/>
      <c r="AQ1532" s="7"/>
      <c r="AR1532" s="7"/>
      <c r="AS1532" s="7"/>
      <c r="AT1532" s="8">
        <f>SUM(AO1532:AS1532)</f>
        <v>0</v>
      </c>
      <c r="AV1532" s="6"/>
      <c r="AW1532" s="7"/>
      <c r="AX1532" s="7"/>
      <c r="AY1532" s="7"/>
      <c r="AZ1532" s="7"/>
      <c r="BA1532" s="8">
        <f>SUM(AV1532:AZ1532)</f>
        <v>0</v>
      </c>
      <c r="BC1532" s="6"/>
      <c r="BD1532" s="7"/>
      <c r="BE1532" s="7"/>
      <c r="BF1532" s="7"/>
      <c r="BG1532" s="7"/>
      <c r="BH1532" s="8">
        <f>SUM(BC1532:BG1532)</f>
        <v>0</v>
      </c>
      <c r="BJ1532" s="6"/>
      <c r="BK1532" s="7"/>
      <c r="BL1532" s="7"/>
      <c r="BM1532" s="7"/>
      <c r="BN1532" s="7"/>
      <c r="BO1532" s="8">
        <f>SUM(BJ1532:BN1532)</f>
        <v>0</v>
      </c>
      <c r="BQ1532" s="6"/>
      <c r="BR1532" s="7"/>
      <c r="BS1532" s="7"/>
      <c r="BT1532" s="7"/>
      <c r="BU1532" s="7"/>
      <c r="BV1532" s="8">
        <f>SUM(BQ1532:BU1532)</f>
        <v>0</v>
      </c>
      <c r="BX1532" s="6"/>
      <c r="BY1532" s="7"/>
      <c r="BZ1532" s="7"/>
      <c r="CA1532" s="7"/>
      <c r="CB1532" s="7"/>
      <c r="CC1532" s="8">
        <f>SUM(BX1532:CB1532)</f>
        <v>0</v>
      </c>
      <c r="CE1532" s="493">
        <f t="shared" si="7044"/>
        <v>0</v>
      </c>
      <c r="CF1532" s="494">
        <f t="shared" si="7045"/>
        <v>0</v>
      </c>
      <c r="CG1532" s="494">
        <f t="shared" si="7046"/>
        <v>0</v>
      </c>
      <c r="CH1532" s="494">
        <f t="shared" si="7047"/>
        <v>0</v>
      </c>
      <c r="CI1532" s="494">
        <f t="shared" si="7048"/>
        <v>0</v>
      </c>
      <c r="CJ1532" s="495">
        <f>SUM(CE1532:CI1532)</f>
        <v>0</v>
      </c>
      <c r="CL1532" s="6"/>
      <c r="CM1532" s="7"/>
      <c r="CN1532" s="7"/>
      <c r="CO1532" s="7"/>
      <c r="CP1532" s="7"/>
      <c r="CQ1532" s="8">
        <f>SUM(CL1532:CP1532)</f>
        <v>0</v>
      </c>
      <c r="CS1532" s="6"/>
      <c r="CT1532" s="7"/>
      <c r="CU1532" s="7"/>
      <c r="CV1532" s="7"/>
      <c r="CW1532" s="7"/>
      <c r="CX1532" s="8">
        <f t="shared" si="7053"/>
        <v>0</v>
      </c>
      <c r="CZ1532" s="6"/>
      <c r="DA1532" s="7"/>
      <c r="DB1532" s="7"/>
      <c r="DC1532" s="7"/>
      <c r="DD1532" s="7"/>
      <c r="DE1532" s="8">
        <f t="shared" si="7054"/>
        <v>0</v>
      </c>
    </row>
    <row r="1533" spans="3:109" ht="14" thickBot="1">
      <c r="C1533" s="554"/>
      <c r="E1533" s="9"/>
      <c r="F1533" s="10">
        <f>SUM(F1529:F1532)</f>
        <v>0</v>
      </c>
      <c r="G1533" s="11">
        <f t="shared" ref="G1533:J1533" si="7055">SUM(G1529:G1532)</f>
        <v>0</v>
      </c>
      <c r="H1533" s="11">
        <f t="shared" si="7055"/>
        <v>0</v>
      </c>
      <c r="I1533" s="11">
        <f t="shared" si="7055"/>
        <v>0</v>
      </c>
      <c r="J1533" s="11">
        <f t="shared" si="7055"/>
        <v>0</v>
      </c>
      <c r="K1533" s="25">
        <f>SUM(K1529:K1532)</f>
        <v>0</v>
      </c>
      <c r="M1533" s="10">
        <f>SUM(M1529:M1532)</f>
        <v>0</v>
      </c>
      <c r="N1533" s="11">
        <f t="shared" ref="N1533:Q1533" si="7056">SUM(N1529:N1532)</f>
        <v>0</v>
      </c>
      <c r="O1533" s="11">
        <f t="shared" si="7056"/>
        <v>0</v>
      </c>
      <c r="P1533" s="11">
        <f t="shared" si="7056"/>
        <v>0</v>
      </c>
      <c r="Q1533" s="11">
        <f t="shared" si="7056"/>
        <v>0</v>
      </c>
      <c r="R1533" s="25">
        <f>SUM(R1529:R1532)</f>
        <v>0</v>
      </c>
      <c r="T1533" s="10">
        <f>SUM(T1529:T1532)</f>
        <v>0</v>
      </c>
      <c r="U1533" s="11">
        <f t="shared" ref="U1533:X1533" si="7057">SUM(U1529:U1532)</f>
        <v>0</v>
      </c>
      <c r="V1533" s="11">
        <f t="shared" si="7057"/>
        <v>0</v>
      </c>
      <c r="W1533" s="11">
        <f t="shared" si="7057"/>
        <v>0</v>
      </c>
      <c r="X1533" s="11">
        <f t="shared" si="7057"/>
        <v>0</v>
      </c>
      <c r="Y1533" s="25">
        <f>SUM(Y1529:Y1532)</f>
        <v>0</v>
      </c>
      <c r="AA1533" s="10">
        <f>SUM(AA1529:AA1532)</f>
        <v>0</v>
      </c>
      <c r="AB1533" s="11">
        <f t="shared" ref="AB1533:AE1533" si="7058">SUM(AB1529:AB1532)</f>
        <v>0</v>
      </c>
      <c r="AC1533" s="11">
        <f t="shared" si="7058"/>
        <v>0</v>
      </c>
      <c r="AD1533" s="11">
        <f t="shared" si="7058"/>
        <v>0</v>
      </c>
      <c r="AE1533" s="11">
        <f t="shared" si="7058"/>
        <v>0</v>
      </c>
      <c r="AF1533" s="25">
        <f>SUM(AF1529:AF1532)</f>
        <v>0</v>
      </c>
      <c r="AH1533" s="10">
        <f>SUM(AH1529:AH1532)</f>
        <v>0</v>
      </c>
      <c r="AI1533" s="11">
        <f t="shared" ref="AI1533:AL1533" si="7059">SUM(AI1529:AI1532)</f>
        <v>0</v>
      </c>
      <c r="AJ1533" s="11">
        <f t="shared" si="7059"/>
        <v>0</v>
      </c>
      <c r="AK1533" s="11">
        <f t="shared" si="7059"/>
        <v>0</v>
      </c>
      <c r="AL1533" s="11">
        <f t="shared" si="7059"/>
        <v>0</v>
      </c>
      <c r="AM1533" s="25">
        <f>SUM(AM1529:AM1532)</f>
        <v>0</v>
      </c>
      <c r="AO1533" s="10">
        <f>SUM(AO1529:AO1532)</f>
        <v>0</v>
      </c>
      <c r="AP1533" s="11">
        <f t="shared" ref="AP1533:AS1533" si="7060">SUM(AP1529:AP1532)</f>
        <v>0</v>
      </c>
      <c r="AQ1533" s="11">
        <f t="shared" si="7060"/>
        <v>0</v>
      </c>
      <c r="AR1533" s="11">
        <f t="shared" si="7060"/>
        <v>0</v>
      </c>
      <c r="AS1533" s="11">
        <f t="shared" si="7060"/>
        <v>0</v>
      </c>
      <c r="AT1533" s="25">
        <f>SUM(AT1529:AT1532)</f>
        <v>0</v>
      </c>
      <c r="AV1533" s="10">
        <f>SUM(AV1529:AV1532)</f>
        <v>0</v>
      </c>
      <c r="AW1533" s="11">
        <f t="shared" ref="AW1533:AZ1533" si="7061">SUM(AW1529:AW1532)</f>
        <v>0</v>
      </c>
      <c r="AX1533" s="11">
        <f t="shared" si="7061"/>
        <v>0</v>
      </c>
      <c r="AY1533" s="11">
        <f t="shared" si="7061"/>
        <v>0</v>
      </c>
      <c r="AZ1533" s="11">
        <f t="shared" si="7061"/>
        <v>0</v>
      </c>
      <c r="BA1533" s="25">
        <f>SUM(BA1529:BA1532)</f>
        <v>0</v>
      </c>
      <c r="BC1533" s="10">
        <f>SUM(BC1529:BC1532)</f>
        <v>0</v>
      </c>
      <c r="BD1533" s="11">
        <f t="shared" ref="BD1533:BG1533" si="7062">SUM(BD1529:BD1532)</f>
        <v>0</v>
      </c>
      <c r="BE1533" s="11">
        <f t="shared" si="7062"/>
        <v>0</v>
      </c>
      <c r="BF1533" s="11">
        <f t="shared" si="7062"/>
        <v>0</v>
      </c>
      <c r="BG1533" s="11">
        <f t="shared" si="7062"/>
        <v>0</v>
      </c>
      <c r="BH1533" s="25">
        <f>SUM(BH1529:BH1532)</f>
        <v>0</v>
      </c>
      <c r="BJ1533" s="10">
        <f>SUM(BJ1529:BJ1532)</f>
        <v>0</v>
      </c>
      <c r="BK1533" s="11">
        <f t="shared" ref="BK1533:BN1533" si="7063">SUM(BK1529:BK1532)</f>
        <v>0</v>
      </c>
      <c r="BL1533" s="11">
        <f t="shared" si="7063"/>
        <v>0</v>
      </c>
      <c r="BM1533" s="11">
        <f t="shared" si="7063"/>
        <v>0</v>
      </c>
      <c r="BN1533" s="11">
        <f t="shared" si="7063"/>
        <v>0</v>
      </c>
      <c r="BO1533" s="25">
        <f>SUM(BO1529:BO1532)</f>
        <v>0</v>
      </c>
      <c r="BQ1533" s="10">
        <f>SUM(BQ1529:BQ1532)</f>
        <v>0</v>
      </c>
      <c r="BR1533" s="11">
        <f t="shared" ref="BR1533:BU1533" si="7064">SUM(BR1529:BR1532)</f>
        <v>0</v>
      </c>
      <c r="BS1533" s="11">
        <f t="shared" si="7064"/>
        <v>0</v>
      </c>
      <c r="BT1533" s="11">
        <f t="shared" si="7064"/>
        <v>0</v>
      </c>
      <c r="BU1533" s="11">
        <f t="shared" si="7064"/>
        <v>0</v>
      </c>
      <c r="BV1533" s="25">
        <f>SUM(BV1529:BV1532)</f>
        <v>0</v>
      </c>
      <c r="BX1533" s="10">
        <f>SUM(BX1529:BX1532)</f>
        <v>0</v>
      </c>
      <c r="BY1533" s="11">
        <f t="shared" ref="BY1533:CB1533" si="7065">SUM(BY1529:BY1532)</f>
        <v>0</v>
      </c>
      <c r="BZ1533" s="11">
        <f t="shared" si="7065"/>
        <v>0</v>
      </c>
      <c r="CA1533" s="11">
        <f t="shared" si="7065"/>
        <v>0</v>
      </c>
      <c r="CB1533" s="11">
        <f t="shared" si="7065"/>
        <v>0</v>
      </c>
      <c r="CC1533" s="25">
        <f>SUM(CC1529:CC1532)</f>
        <v>0</v>
      </c>
      <c r="CE1533" s="62">
        <f t="shared" ref="CE1533:CJ1533" si="7066">SUM(CE1529:CE1532)</f>
        <v>0</v>
      </c>
      <c r="CF1533" s="63">
        <f t="shared" si="7066"/>
        <v>0</v>
      </c>
      <c r="CG1533" s="63">
        <f t="shared" si="7066"/>
        <v>0</v>
      </c>
      <c r="CH1533" s="63">
        <f t="shared" si="7066"/>
        <v>0</v>
      </c>
      <c r="CI1533" s="63">
        <f t="shared" si="7066"/>
        <v>0</v>
      </c>
      <c r="CJ1533" s="25">
        <f t="shared" si="7066"/>
        <v>0</v>
      </c>
      <c r="CL1533" s="10">
        <f>SUM(CL1529:CL1532)</f>
        <v>0</v>
      </c>
      <c r="CM1533" s="11">
        <f t="shared" ref="CM1533:CP1533" si="7067">SUM(CM1529:CM1532)</f>
        <v>0</v>
      </c>
      <c r="CN1533" s="11">
        <f t="shared" si="7067"/>
        <v>0</v>
      </c>
      <c r="CO1533" s="11">
        <f t="shared" si="7067"/>
        <v>0</v>
      </c>
      <c r="CP1533" s="11">
        <f t="shared" si="7067"/>
        <v>0</v>
      </c>
      <c r="CQ1533" s="25">
        <f>SUM(CQ1529:CQ1532)</f>
        <v>0</v>
      </c>
      <c r="CS1533" s="10">
        <f>SUM(CS1529:CS1532)</f>
        <v>0</v>
      </c>
      <c r="CT1533" s="11">
        <f t="shared" ref="CT1533:CW1533" si="7068">SUM(CT1529:CT1532)</f>
        <v>0</v>
      </c>
      <c r="CU1533" s="11">
        <f t="shared" si="7068"/>
        <v>0</v>
      </c>
      <c r="CV1533" s="11">
        <f t="shared" si="7068"/>
        <v>0</v>
      </c>
      <c r="CW1533" s="11">
        <f t="shared" si="7068"/>
        <v>0</v>
      </c>
      <c r="CX1533" s="25">
        <f>SUM(CX1529:CX1532)</f>
        <v>0</v>
      </c>
      <c r="CZ1533" s="10">
        <f>SUM(CZ1529:CZ1532)</f>
        <v>0</v>
      </c>
      <c r="DA1533" s="11">
        <f t="shared" ref="DA1533:DD1533" si="7069">SUM(DA1529:DA1532)</f>
        <v>0</v>
      </c>
      <c r="DB1533" s="11">
        <f t="shared" si="7069"/>
        <v>0</v>
      </c>
      <c r="DC1533" s="11">
        <f t="shared" si="7069"/>
        <v>0</v>
      </c>
      <c r="DD1533" s="11">
        <f t="shared" si="7069"/>
        <v>0</v>
      </c>
      <c r="DE1533" s="25">
        <f>SUM(DE1529:DE1532)</f>
        <v>0</v>
      </c>
    </row>
    <row r="1534" spans="3:109" ht="10.4" customHeight="1" thickBot="1"/>
    <row r="1535" spans="3:109">
      <c r="C1535" s="553">
        <v>2028</v>
      </c>
      <c r="E1535" s="1" t="s">
        <v>59</v>
      </c>
      <c r="F1535" s="21">
        <f>CE1529</f>
        <v>0</v>
      </c>
      <c r="G1535" s="22">
        <f t="shared" ref="G1535:G1538" si="7070">CF1529</f>
        <v>0</v>
      </c>
      <c r="H1535" s="22">
        <f t="shared" ref="H1535:H1538" si="7071">CG1529</f>
        <v>0</v>
      </c>
      <c r="I1535" s="22">
        <f t="shared" ref="I1535:I1538" si="7072">CH1529</f>
        <v>0</v>
      </c>
      <c r="J1535" s="22">
        <f t="shared" ref="J1535:J1538" si="7073">CI1529</f>
        <v>0</v>
      </c>
      <c r="K1535" s="4">
        <f>SUM(F1535:J1535)</f>
        <v>0</v>
      </c>
      <c r="M1535" s="2"/>
      <c r="N1535" s="3"/>
      <c r="O1535" s="3"/>
      <c r="P1535" s="3"/>
      <c r="Q1535" s="3"/>
      <c r="R1535" s="4">
        <f>SUM(M1535:Q1535)</f>
        <v>0</v>
      </c>
      <c r="T1535" s="2"/>
      <c r="U1535" s="3"/>
      <c r="V1535" s="3"/>
      <c r="W1535" s="3"/>
      <c r="X1535" s="3"/>
      <c r="Y1535" s="4">
        <f>SUM(T1535:X1535)</f>
        <v>0</v>
      </c>
      <c r="AA1535" s="2"/>
      <c r="AB1535" s="3"/>
      <c r="AC1535" s="3"/>
      <c r="AD1535" s="3"/>
      <c r="AE1535" s="3"/>
      <c r="AF1535" s="4">
        <f>SUM(AA1535:AE1535)</f>
        <v>0</v>
      </c>
      <c r="AH1535" s="2"/>
      <c r="AI1535" s="3"/>
      <c r="AJ1535" s="3"/>
      <c r="AK1535" s="3"/>
      <c r="AL1535" s="3"/>
      <c r="AM1535" s="4">
        <f>SUM(AH1535:AL1535)</f>
        <v>0</v>
      </c>
      <c r="AO1535" s="2"/>
      <c r="AP1535" s="3"/>
      <c r="AQ1535" s="3"/>
      <c r="AR1535" s="3"/>
      <c r="AS1535" s="3"/>
      <c r="AT1535" s="4">
        <f>SUM(AO1535:AS1535)</f>
        <v>0</v>
      </c>
      <c r="AV1535" s="2"/>
      <c r="AW1535" s="3"/>
      <c r="AX1535" s="3"/>
      <c r="AY1535" s="3"/>
      <c r="AZ1535" s="3"/>
      <c r="BA1535" s="4">
        <f>SUM(AV1535:AZ1535)</f>
        <v>0</v>
      </c>
      <c r="BC1535" s="2"/>
      <c r="BD1535" s="3"/>
      <c r="BE1535" s="3"/>
      <c r="BF1535" s="3"/>
      <c r="BG1535" s="3"/>
      <c r="BH1535" s="4">
        <f>SUM(BC1535:BG1535)</f>
        <v>0</v>
      </c>
      <c r="BJ1535" s="2"/>
      <c r="BK1535" s="3"/>
      <c r="BL1535" s="3"/>
      <c r="BM1535" s="3"/>
      <c r="BN1535" s="3"/>
      <c r="BO1535" s="4">
        <f>SUM(BJ1535:BN1535)</f>
        <v>0</v>
      </c>
      <c r="BQ1535" s="2"/>
      <c r="BR1535" s="3"/>
      <c r="BS1535" s="3"/>
      <c r="BT1535" s="3"/>
      <c r="BU1535" s="3"/>
      <c r="BV1535" s="4">
        <f>SUM(BQ1535:BU1535)</f>
        <v>0</v>
      </c>
      <c r="BX1535" s="2"/>
      <c r="BY1535" s="3"/>
      <c r="BZ1535" s="3"/>
      <c r="CA1535" s="3"/>
      <c r="CB1535" s="3"/>
      <c r="CC1535" s="4">
        <f>SUM(BX1535:CB1535)</f>
        <v>0</v>
      </c>
      <c r="CE1535" s="26">
        <f t="shared" ref="CE1535:CE1538" si="7074">F1535+M1535+T1535+AA1535+AH1535+AO1535+AV1535+BC1535+BJ1535+BQ1535+BX1535</f>
        <v>0</v>
      </c>
      <c r="CF1535" s="27">
        <f t="shared" ref="CF1535:CF1538" si="7075">G1535+N1535+U1535+AB1535+AI1535+AP1535+AW1535+BD1535+BK1535+BR1535+BY1535</f>
        <v>0</v>
      </c>
      <c r="CG1535" s="27">
        <f t="shared" ref="CG1535:CG1538" si="7076">H1535+O1535+V1535+AC1535+AJ1535+AQ1535+AX1535+BE1535+BL1535+BS1535+BZ1535</f>
        <v>0</v>
      </c>
      <c r="CH1535" s="27">
        <f t="shared" ref="CH1535:CH1538" si="7077">I1535+P1535+W1535+AD1535+AK1535+AR1535+AY1535+BF1535+BM1535+BT1535+CA1535</f>
        <v>0</v>
      </c>
      <c r="CI1535" s="27">
        <f t="shared" ref="CI1535:CI1538" si="7078">J1535+Q1535+X1535+AE1535+AL1535+AS1535+AZ1535+BG1535+BN1535+BU1535+CB1535</f>
        <v>0</v>
      </c>
      <c r="CJ1535" s="4">
        <f>SUM(CE1535:CI1535)</f>
        <v>0</v>
      </c>
      <c r="CL1535" s="2"/>
      <c r="CM1535" s="3"/>
      <c r="CN1535" s="3"/>
      <c r="CO1535" s="3"/>
      <c r="CP1535" s="3"/>
      <c r="CQ1535" s="4">
        <f>SUM(CL1535:CP1535)</f>
        <v>0</v>
      </c>
      <c r="CS1535" s="2"/>
      <c r="CT1535" s="3"/>
      <c r="CU1535" s="3"/>
      <c r="CV1535" s="3"/>
      <c r="CW1535" s="3"/>
      <c r="CX1535" s="4">
        <f>SUM(CS1535:CW1535)</f>
        <v>0</v>
      </c>
      <c r="CZ1535" s="2"/>
      <c r="DA1535" s="3"/>
      <c r="DB1535" s="3"/>
      <c r="DC1535" s="3"/>
      <c r="DD1535" s="3"/>
      <c r="DE1535" s="4">
        <f>SUM(CZ1535:DD1535)</f>
        <v>0</v>
      </c>
    </row>
    <row r="1536" spans="3:109">
      <c r="C1536" s="567"/>
      <c r="E1536" s="5" t="s">
        <v>60</v>
      </c>
      <c r="F1536" s="23">
        <f t="shared" ref="F1536:F1538" si="7079">CE1530</f>
        <v>0</v>
      </c>
      <c r="G1536" s="24">
        <f t="shared" si="7070"/>
        <v>0</v>
      </c>
      <c r="H1536" s="24">
        <f t="shared" si="7071"/>
        <v>0</v>
      </c>
      <c r="I1536" s="24">
        <f t="shared" si="7072"/>
        <v>0</v>
      </c>
      <c r="J1536" s="24">
        <f t="shared" si="7073"/>
        <v>0</v>
      </c>
      <c r="K1536" s="8">
        <f t="shared" ref="K1536:K1538" si="7080">SUM(F1536:J1536)</f>
        <v>0</v>
      </c>
      <c r="M1536" s="6"/>
      <c r="N1536" s="7"/>
      <c r="O1536" s="7"/>
      <c r="P1536" s="7"/>
      <c r="Q1536" s="7"/>
      <c r="R1536" s="8">
        <f t="shared" ref="R1536:R1538" si="7081">SUM(M1536:Q1536)</f>
        <v>0</v>
      </c>
      <c r="T1536" s="6"/>
      <c r="U1536" s="7"/>
      <c r="V1536" s="7"/>
      <c r="W1536" s="7"/>
      <c r="X1536" s="7"/>
      <c r="Y1536" s="8">
        <f t="shared" ref="Y1536:Y1538" si="7082">SUM(T1536:X1536)</f>
        <v>0</v>
      </c>
      <c r="AA1536" s="6"/>
      <c r="AB1536" s="7"/>
      <c r="AC1536" s="7"/>
      <c r="AD1536" s="7"/>
      <c r="AE1536" s="7"/>
      <c r="AF1536" s="8">
        <f>SUM(AA1536:AE1536)</f>
        <v>0</v>
      </c>
      <c r="AH1536" s="6"/>
      <c r="AI1536" s="7"/>
      <c r="AJ1536" s="7"/>
      <c r="AK1536" s="7"/>
      <c r="AL1536" s="7"/>
      <c r="AM1536" s="8">
        <f>SUM(AH1536:AL1536)</f>
        <v>0</v>
      </c>
      <c r="AO1536" s="6"/>
      <c r="AP1536" s="7"/>
      <c r="AQ1536" s="7"/>
      <c r="AR1536" s="7"/>
      <c r="AS1536" s="7"/>
      <c r="AT1536" s="8">
        <f>SUM(AO1536:AS1536)</f>
        <v>0</v>
      </c>
      <c r="AV1536" s="6"/>
      <c r="AW1536" s="7"/>
      <c r="AX1536" s="7"/>
      <c r="AY1536" s="7"/>
      <c r="AZ1536" s="7"/>
      <c r="BA1536" s="8">
        <f>SUM(AV1536:AZ1536)</f>
        <v>0</v>
      </c>
      <c r="BC1536" s="6"/>
      <c r="BD1536" s="7"/>
      <c r="BE1536" s="7"/>
      <c r="BF1536" s="7"/>
      <c r="BG1536" s="7"/>
      <c r="BH1536" s="8">
        <f>SUM(BC1536:BG1536)</f>
        <v>0</v>
      </c>
      <c r="BJ1536" s="6"/>
      <c r="BK1536" s="7"/>
      <c r="BL1536" s="7"/>
      <c r="BM1536" s="7"/>
      <c r="BN1536" s="7"/>
      <c r="BO1536" s="8">
        <f>SUM(BJ1536:BN1536)</f>
        <v>0</v>
      </c>
      <c r="BQ1536" s="6"/>
      <c r="BR1536" s="7"/>
      <c r="BS1536" s="7"/>
      <c r="BT1536" s="7"/>
      <c r="BU1536" s="7"/>
      <c r="BV1536" s="8">
        <f>SUM(BQ1536:BU1536)</f>
        <v>0</v>
      </c>
      <c r="BX1536" s="6"/>
      <c r="BY1536" s="7"/>
      <c r="BZ1536" s="7"/>
      <c r="CA1536" s="7"/>
      <c r="CB1536" s="7"/>
      <c r="CC1536" s="8">
        <f>SUM(BX1536:CB1536)</f>
        <v>0</v>
      </c>
      <c r="CE1536" s="28">
        <f t="shared" si="7074"/>
        <v>0</v>
      </c>
      <c r="CF1536" s="29">
        <f t="shared" si="7075"/>
        <v>0</v>
      </c>
      <c r="CG1536" s="29">
        <f t="shared" si="7076"/>
        <v>0</v>
      </c>
      <c r="CH1536" s="29">
        <f t="shared" si="7077"/>
        <v>0</v>
      </c>
      <c r="CI1536" s="29">
        <f t="shared" si="7078"/>
        <v>0</v>
      </c>
      <c r="CJ1536" s="8">
        <f>SUM(CE1536:CI1536)</f>
        <v>0</v>
      </c>
      <c r="CL1536" s="6"/>
      <c r="CM1536" s="7"/>
      <c r="CN1536" s="7"/>
      <c r="CO1536" s="7"/>
      <c r="CP1536" s="7"/>
      <c r="CQ1536" s="8">
        <f>SUM(CL1536:CP1536)</f>
        <v>0</v>
      </c>
      <c r="CS1536" s="6"/>
      <c r="CT1536" s="7"/>
      <c r="CU1536" s="7"/>
      <c r="CV1536" s="7"/>
      <c r="CW1536" s="7"/>
      <c r="CX1536" s="8">
        <f t="shared" ref="CX1536:CX1538" si="7083">SUM(CS1536:CW1536)</f>
        <v>0</v>
      </c>
      <c r="CZ1536" s="6"/>
      <c r="DA1536" s="7"/>
      <c r="DB1536" s="7"/>
      <c r="DC1536" s="7"/>
      <c r="DD1536" s="7"/>
      <c r="DE1536" s="8">
        <f t="shared" ref="DE1536:DE1538" si="7084">SUM(CZ1536:DD1536)</f>
        <v>0</v>
      </c>
    </row>
    <row r="1537" spans="2:110">
      <c r="C1537" s="567"/>
      <c r="E1537" s="5" t="s">
        <v>61</v>
      </c>
      <c r="F1537" s="23">
        <f t="shared" si="7079"/>
        <v>0</v>
      </c>
      <c r="G1537" s="24">
        <f t="shared" si="7070"/>
        <v>0</v>
      </c>
      <c r="H1537" s="24">
        <f t="shared" si="7071"/>
        <v>0</v>
      </c>
      <c r="I1537" s="24">
        <f t="shared" si="7072"/>
        <v>0</v>
      </c>
      <c r="J1537" s="24">
        <f t="shared" si="7073"/>
        <v>0</v>
      </c>
      <c r="K1537" s="8">
        <f t="shared" si="7080"/>
        <v>0</v>
      </c>
      <c r="M1537" s="6"/>
      <c r="N1537" s="7"/>
      <c r="O1537" s="7"/>
      <c r="P1537" s="7"/>
      <c r="Q1537" s="7"/>
      <c r="R1537" s="8">
        <f t="shared" si="7081"/>
        <v>0</v>
      </c>
      <c r="T1537" s="6"/>
      <c r="U1537" s="7"/>
      <c r="V1537" s="7"/>
      <c r="W1537" s="7"/>
      <c r="X1537" s="7"/>
      <c r="Y1537" s="8">
        <f t="shared" si="7082"/>
        <v>0</v>
      </c>
      <c r="AA1537" s="6"/>
      <c r="AB1537" s="7"/>
      <c r="AC1537" s="7"/>
      <c r="AD1537" s="7"/>
      <c r="AE1537" s="7"/>
      <c r="AF1537" s="8">
        <f>SUM(AA1537:AE1537)</f>
        <v>0</v>
      </c>
      <c r="AH1537" s="6"/>
      <c r="AI1537" s="7"/>
      <c r="AJ1537" s="7"/>
      <c r="AK1537" s="7"/>
      <c r="AL1537" s="7"/>
      <c r="AM1537" s="8">
        <f>SUM(AH1537:AL1537)</f>
        <v>0</v>
      </c>
      <c r="AO1537" s="6"/>
      <c r="AP1537" s="7"/>
      <c r="AQ1537" s="7"/>
      <c r="AR1537" s="7"/>
      <c r="AS1537" s="7"/>
      <c r="AT1537" s="8">
        <f>SUM(AO1537:AS1537)</f>
        <v>0</v>
      </c>
      <c r="AV1537" s="6"/>
      <c r="AW1537" s="7"/>
      <c r="AX1537" s="7"/>
      <c r="AY1537" s="7"/>
      <c r="AZ1537" s="7"/>
      <c r="BA1537" s="8">
        <f>SUM(AV1537:AZ1537)</f>
        <v>0</v>
      </c>
      <c r="BC1537" s="6"/>
      <c r="BD1537" s="7"/>
      <c r="BE1537" s="7"/>
      <c r="BF1537" s="7"/>
      <c r="BG1537" s="7"/>
      <c r="BH1537" s="8">
        <f>SUM(BC1537:BG1537)</f>
        <v>0</v>
      </c>
      <c r="BJ1537" s="6"/>
      <c r="BK1537" s="7"/>
      <c r="BL1537" s="7"/>
      <c r="BM1537" s="7"/>
      <c r="BN1537" s="7"/>
      <c r="BO1537" s="8">
        <f>SUM(BJ1537:BN1537)</f>
        <v>0</v>
      </c>
      <c r="BQ1537" s="6"/>
      <c r="BR1537" s="7"/>
      <c r="BS1537" s="7"/>
      <c r="BT1537" s="7"/>
      <c r="BU1537" s="7"/>
      <c r="BV1537" s="8">
        <f>SUM(BQ1537:BU1537)</f>
        <v>0</v>
      </c>
      <c r="BX1537" s="6"/>
      <c r="BY1537" s="7"/>
      <c r="BZ1537" s="7"/>
      <c r="CA1537" s="7"/>
      <c r="CB1537" s="7"/>
      <c r="CC1537" s="8">
        <f>SUM(BX1537:CB1537)</f>
        <v>0</v>
      </c>
      <c r="CE1537" s="28">
        <f t="shared" si="7074"/>
        <v>0</v>
      </c>
      <c r="CF1537" s="29">
        <f t="shared" si="7075"/>
        <v>0</v>
      </c>
      <c r="CG1537" s="29">
        <f t="shared" si="7076"/>
        <v>0</v>
      </c>
      <c r="CH1537" s="29">
        <f t="shared" si="7077"/>
        <v>0</v>
      </c>
      <c r="CI1537" s="29">
        <f t="shared" si="7078"/>
        <v>0</v>
      </c>
      <c r="CJ1537" s="8">
        <f>SUM(CE1537:CI1537)</f>
        <v>0</v>
      </c>
      <c r="CL1537" s="6"/>
      <c r="CM1537" s="7"/>
      <c r="CN1537" s="7"/>
      <c r="CO1537" s="7"/>
      <c r="CP1537" s="7"/>
      <c r="CQ1537" s="8">
        <f>SUM(CL1537:CP1537)</f>
        <v>0</v>
      </c>
      <c r="CS1537" s="6"/>
      <c r="CT1537" s="7"/>
      <c r="CU1537" s="7"/>
      <c r="CV1537" s="7"/>
      <c r="CW1537" s="7"/>
      <c r="CX1537" s="8">
        <f t="shared" si="7083"/>
        <v>0</v>
      </c>
      <c r="CZ1537" s="6"/>
      <c r="DA1537" s="7"/>
      <c r="DB1537" s="7"/>
      <c r="DC1537" s="7"/>
      <c r="DD1537" s="7"/>
      <c r="DE1537" s="8">
        <f t="shared" si="7084"/>
        <v>0</v>
      </c>
    </row>
    <row r="1538" spans="2:110" ht="14" thickBot="1">
      <c r="C1538" s="567"/>
      <c r="E1538" s="5" t="s">
        <v>62</v>
      </c>
      <c r="F1538" s="23">
        <f t="shared" si="7079"/>
        <v>0</v>
      </c>
      <c r="G1538" s="24">
        <f t="shared" si="7070"/>
        <v>0</v>
      </c>
      <c r="H1538" s="24">
        <f t="shared" si="7071"/>
        <v>0</v>
      </c>
      <c r="I1538" s="24">
        <f t="shared" si="7072"/>
        <v>0</v>
      </c>
      <c r="J1538" s="24">
        <f t="shared" si="7073"/>
        <v>0</v>
      </c>
      <c r="K1538" s="8">
        <f t="shared" si="7080"/>
        <v>0</v>
      </c>
      <c r="M1538" s="6"/>
      <c r="N1538" s="7"/>
      <c r="O1538" s="7"/>
      <c r="P1538" s="7"/>
      <c r="Q1538" s="7"/>
      <c r="R1538" s="8">
        <f t="shared" si="7081"/>
        <v>0</v>
      </c>
      <c r="T1538" s="6"/>
      <c r="U1538" s="7"/>
      <c r="V1538" s="7"/>
      <c r="W1538" s="7"/>
      <c r="X1538" s="7"/>
      <c r="Y1538" s="8">
        <f t="shared" si="7082"/>
        <v>0</v>
      </c>
      <c r="AA1538" s="6"/>
      <c r="AB1538" s="7"/>
      <c r="AC1538" s="7"/>
      <c r="AD1538" s="7"/>
      <c r="AE1538" s="7"/>
      <c r="AF1538" s="8">
        <f>SUM(AA1538:AE1538)</f>
        <v>0</v>
      </c>
      <c r="AH1538" s="6"/>
      <c r="AI1538" s="7"/>
      <c r="AJ1538" s="7"/>
      <c r="AK1538" s="7"/>
      <c r="AL1538" s="7"/>
      <c r="AM1538" s="8">
        <f>SUM(AH1538:AL1538)</f>
        <v>0</v>
      </c>
      <c r="AO1538" s="6"/>
      <c r="AP1538" s="7"/>
      <c r="AQ1538" s="7"/>
      <c r="AR1538" s="7"/>
      <c r="AS1538" s="7"/>
      <c r="AT1538" s="8">
        <f>SUM(AO1538:AS1538)</f>
        <v>0</v>
      </c>
      <c r="AV1538" s="6"/>
      <c r="AW1538" s="7"/>
      <c r="AX1538" s="7"/>
      <c r="AY1538" s="7"/>
      <c r="AZ1538" s="7"/>
      <c r="BA1538" s="8">
        <f>SUM(AV1538:AZ1538)</f>
        <v>0</v>
      </c>
      <c r="BC1538" s="6"/>
      <c r="BD1538" s="7"/>
      <c r="BE1538" s="7"/>
      <c r="BF1538" s="7"/>
      <c r="BG1538" s="7"/>
      <c r="BH1538" s="8">
        <f>SUM(BC1538:BG1538)</f>
        <v>0</v>
      </c>
      <c r="BJ1538" s="6"/>
      <c r="BK1538" s="7"/>
      <c r="BL1538" s="7"/>
      <c r="BM1538" s="7"/>
      <c r="BN1538" s="7"/>
      <c r="BO1538" s="8">
        <f>SUM(BJ1538:BN1538)</f>
        <v>0</v>
      </c>
      <c r="BQ1538" s="6"/>
      <c r="BR1538" s="7"/>
      <c r="BS1538" s="7"/>
      <c r="BT1538" s="7"/>
      <c r="BU1538" s="7"/>
      <c r="BV1538" s="8">
        <f>SUM(BQ1538:BU1538)</f>
        <v>0</v>
      </c>
      <c r="BX1538" s="6"/>
      <c r="BY1538" s="7"/>
      <c r="BZ1538" s="7"/>
      <c r="CA1538" s="7"/>
      <c r="CB1538" s="7"/>
      <c r="CC1538" s="8">
        <f>SUM(BX1538:CB1538)</f>
        <v>0</v>
      </c>
      <c r="CE1538" s="493">
        <f t="shared" si="7074"/>
        <v>0</v>
      </c>
      <c r="CF1538" s="494">
        <f t="shared" si="7075"/>
        <v>0</v>
      </c>
      <c r="CG1538" s="494">
        <f t="shared" si="7076"/>
        <v>0</v>
      </c>
      <c r="CH1538" s="494">
        <f t="shared" si="7077"/>
        <v>0</v>
      </c>
      <c r="CI1538" s="494">
        <f t="shared" si="7078"/>
        <v>0</v>
      </c>
      <c r="CJ1538" s="495">
        <f>SUM(CE1538:CI1538)</f>
        <v>0</v>
      </c>
      <c r="CL1538" s="6"/>
      <c r="CM1538" s="7"/>
      <c r="CN1538" s="7"/>
      <c r="CO1538" s="7"/>
      <c r="CP1538" s="7"/>
      <c r="CQ1538" s="8">
        <f>SUM(CL1538:CP1538)</f>
        <v>0</v>
      </c>
      <c r="CS1538" s="6"/>
      <c r="CT1538" s="7"/>
      <c r="CU1538" s="7"/>
      <c r="CV1538" s="7"/>
      <c r="CW1538" s="7"/>
      <c r="CX1538" s="8">
        <f t="shared" si="7083"/>
        <v>0</v>
      </c>
      <c r="CZ1538" s="6"/>
      <c r="DA1538" s="7"/>
      <c r="DB1538" s="7"/>
      <c r="DC1538" s="7"/>
      <c r="DD1538" s="7"/>
      <c r="DE1538" s="8">
        <f t="shared" si="7084"/>
        <v>0</v>
      </c>
    </row>
    <row r="1539" spans="2:110" ht="14" thickBot="1">
      <c r="C1539" s="554"/>
      <c r="E1539" s="9"/>
      <c r="F1539" s="10">
        <f>SUM(F1535:F1538)</f>
        <v>0</v>
      </c>
      <c r="G1539" s="11">
        <f t="shared" ref="G1539:J1539" si="7085">SUM(G1535:G1538)</f>
        <v>0</v>
      </c>
      <c r="H1539" s="11">
        <f t="shared" si="7085"/>
        <v>0</v>
      </c>
      <c r="I1539" s="11">
        <f t="shared" si="7085"/>
        <v>0</v>
      </c>
      <c r="J1539" s="11">
        <f t="shared" si="7085"/>
        <v>0</v>
      </c>
      <c r="K1539" s="25">
        <f>SUM(K1535:K1538)</f>
        <v>0</v>
      </c>
      <c r="M1539" s="10">
        <f>SUM(M1535:M1538)</f>
        <v>0</v>
      </c>
      <c r="N1539" s="11">
        <f t="shared" ref="N1539:Q1539" si="7086">SUM(N1535:N1538)</f>
        <v>0</v>
      </c>
      <c r="O1539" s="11">
        <f t="shared" si="7086"/>
        <v>0</v>
      </c>
      <c r="P1539" s="11">
        <f t="shared" si="7086"/>
        <v>0</v>
      </c>
      <c r="Q1539" s="11">
        <f t="shared" si="7086"/>
        <v>0</v>
      </c>
      <c r="R1539" s="25">
        <f>SUM(R1535:R1538)</f>
        <v>0</v>
      </c>
      <c r="T1539" s="10">
        <f>SUM(T1535:T1538)</f>
        <v>0</v>
      </c>
      <c r="U1539" s="11">
        <f t="shared" ref="U1539:X1539" si="7087">SUM(U1535:U1538)</f>
        <v>0</v>
      </c>
      <c r="V1539" s="11">
        <f t="shared" si="7087"/>
        <v>0</v>
      </c>
      <c r="W1539" s="11">
        <f t="shared" si="7087"/>
        <v>0</v>
      </c>
      <c r="X1539" s="11">
        <f t="shared" si="7087"/>
        <v>0</v>
      </c>
      <c r="Y1539" s="25">
        <f>SUM(Y1535:Y1538)</f>
        <v>0</v>
      </c>
      <c r="AA1539" s="10">
        <f>SUM(AA1535:AA1538)</f>
        <v>0</v>
      </c>
      <c r="AB1539" s="11">
        <f t="shared" ref="AB1539:AE1539" si="7088">SUM(AB1535:AB1538)</f>
        <v>0</v>
      </c>
      <c r="AC1539" s="11">
        <f t="shared" si="7088"/>
        <v>0</v>
      </c>
      <c r="AD1539" s="11">
        <f t="shared" si="7088"/>
        <v>0</v>
      </c>
      <c r="AE1539" s="11">
        <f t="shared" si="7088"/>
        <v>0</v>
      </c>
      <c r="AF1539" s="25">
        <f>SUM(AF1535:AF1538)</f>
        <v>0</v>
      </c>
      <c r="AH1539" s="10">
        <f>SUM(AH1535:AH1538)</f>
        <v>0</v>
      </c>
      <c r="AI1539" s="11">
        <f t="shared" ref="AI1539:AL1539" si="7089">SUM(AI1535:AI1538)</f>
        <v>0</v>
      </c>
      <c r="AJ1539" s="11">
        <f t="shared" si="7089"/>
        <v>0</v>
      </c>
      <c r="AK1539" s="11">
        <f t="shared" si="7089"/>
        <v>0</v>
      </c>
      <c r="AL1539" s="11">
        <f t="shared" si="7089"/>
        <v>0</v>
      </c>
      <c r="AM1539" s="25">
        <f>SUM(AM1535:AM1538)</f>
        <v>0</v>
      </c>
      <c r="AO1539" s="10">
        <f>SUM(AO1535:AO1538)</f>
        <v>0</v>
      </c>
      <c r="AP1539" s="11">
        <f t="shared" ref="AP1539:AS1539" si="7090">SUM(AP1535:AP1538)</f>
        <v>0</v>
      </c>
      <c r="AQ1539" s="11">
        <f t="shared" si="7090"/>
        <v>0</v>
      </c>
      <c r="AR1539" s="11">
        <f t="shared" si="7090"/>
        <v>0</v>
      </c>
      <c r="AS1539" s="11">
        <f t="shared" si="7090"/>
        <v>0</v>
      </c>
      <c r="AT1539" s="25">
        <f>SUM(AT1535:AT1538)</f>
        <v>0</v>
      </c>
      <c r="AV1539" s="10">
        <f>SUM(AV1535:AV1538)</f>
        <v>0</v>
      </c>
      <c r="AW1539" s="11">
        <f t="shared" ref="AW1539:AZ1539" si="7091">SUM(AW1535:AW1538)</f>
        <v>0</v>
      </c>
      <c r="AX1539" s="11">
        <f t="shared" si="7091"/>
        <v>0</v>
      </c>
      <c r="AY1539" s="11">
        <f t="shared" si="7091"/>
        <v>0</v>
      </c>
      <c r="AZ1539" s="11">
        <f t="shared" si="7091"/>
        <v>0</v>
      </c>
      <c r="BA1539" s="25">
        <f>SUM(BA1535:BA1538)</f>
        <v>0</v>
      </c>
      <c r="BC1539" s="10">
        <f>SUM(BC1535:BC1538)</f>
        <v>0</v>
      </c>
      <c r="BD1539" s="11">
        <f t="shared" ref="BD1539:BG1539" si="7092">SUM(BD1535:BD1538)</f>
        <v>0</v>
      </c>
      <c r="BE1539" s="11">
        <f t="shared" si="7092"/>
        <v>0</v>
      </c>
      <c r="BF1539" s="11">
        <f t="shared" si="7092"/>
        <v>0</v>
      </c>
      <c r="BG1539" s="11">
        <f t="shared" si="7092"/>
        <v>0</v>
      </c>
      <c r="BH1539" s="25">
        <f>SUM(BH1535:BH1538)</f>
        <v>0</v>
      </c>
      <c r="BJ1539" s="10">
        <f>SUM(BJ1535:BJ1538)</f>
        <v>0</v>
      </c>
      <c r="BK1539" s="11">
        <f t="shared" ref="BK1539:BN1539" si="7093">SUM(BK1535:BK1538)</f>
        <v>0</v>
      </c>
      <c r="BL1539" s="11">
        <f t="shared" si="7093"/>
        <v>0</v>
      </c>
      <c r="BM1539" s="11">
        <f t="shared" si="7093"/>
        <v>0</v>
      </c>
      <c r="BN1539" s="11">
        <f t="shared" si="7093"/>
        <v>0</v>
      </c>
      <c r="BO1539" s="25">
        <f>SUM(BO1535:BO1538)</f>
        <v>0</v>
      </c>
      <c r="BQ1539" s="10">
        <f>SUM(BQ1535:BQ1538)</f>
        <v>0</v>
      </c>
      <c r="BR1539" s="11">
        <f t="shared" ref="BR1539:BU1539" si="7094">SUM(BR1535:BR1538)</f>
        <v>0</v>
      </c>
      <c r="BS1539" s="11">
        <f t="shared" si="7094"/>
        <v>0</v>
      </c>
      <c r="BT1539" s="11">
        <f t="shared" si="7094"/>
        <v>0</v>
      </c>
      <c r="BU1539" s="11">
        <f t="shared" si="7094"/>
        <v>0</v>
      </c>
      <c r="BV1539" s="25">
        <f>SUM(BV1535:BV1538)</f>
        <v>0</v>
      </c>
      <c r="BX1539" s="10">
        <f>SUM(BX1535:BX1538)</f>
        <v>0</v>
      </c>
      <c r="BY1539" s="11">
        <f t="shared" ref="BY1539:CB1539" si="7095">SUM(BY1535:BY1538)</f>
        <v>0</v>
      </c>
      <c r="BZ1539" s="11">
        <f t="shared" si="7095"/>
        <v>0</v>
      </c>
      <c r="CA1539" s="11">
        <f t="shared" si="7095"/>
        <v>0</v>
      </c>
      <c r="CB1539" s="11">
        <f t="shared" si="7095"/>
        <v>0</v>
      </c>
      <c r="CC1539" s="25">
        <f>SUM(CC1535:CC1538)</f>
        <v>0</v>
      </c>
      <c r="CE1539" s="62">
        <f t="shared" ref="CE1539:CJ1539" si="7096">SUM(CE1535:CE1538)</f>
        <v>0</v>
      </c>
      <c r="CF1539" s="63">
        <f t="shared" si="7096"/>
        <v>0</v>
      </c>
      <c r="CG1539" s="63">
        <f t="shared" si="7096"/>
        <v>0</v>
      </c>
      <c r="CH1539" s="63">
        <f t="shared" si="7096"/>
        <v>0</v>
      </c>
      <c r="CI1539" s="63">
        <f t="shared" si="7096"/>
        <v>0</v>
      </c>
      <c r="CJ1539" s="25">
        <f t="shared" si="7096"/>
        <v>0</v>
      </c>
      <c r="CL1539" s="10">
        <f>SUM(CL1535:CL1538)</f>
        <v>0</v>
      </c>
      <c r="CM1539" s="11">
        <f t="shared" ref="CM1539:CP1539" si="7097">SUM(CM1535:CM1538)</f>
        <v>0</v>
      </c>
      <c r="CN1539" s="11">
        <f t="shared" si="7097"/>
        <v>0</v>
      </c>
      <c r="CO1539" s="11">
        <f t="shared" si="7097"/>
        <v>0</v>
      </c>
      <c r="CP1539" s="11">
        <f t="shared" si="7097"/>
        <v>0</v>
      </c>
      <c r="CQ1539" s="25">
        <f>SUM(CQ1535:CQ1538)</f>
        <v>0</v>
      </c>
      <c r="CS1539" s="10">
        <f>SUM(CS1535:CS1538)</f>
        <v>0</v>
      </c>
      <c r="CT1539" s="11">
        <f t="shared" ref="CT1539:CW1539" si="7098">SUM(CT1535:CT1538)</f>
        <v>0</v>
      </c>
      <c r="CU1539" s="11">
        <f t="shared" si="7098"/>
        <v>0</v>
      </c>
      <c r="CV1539" s="11">
        <f t="shared" si="7098"/>
        <v>0</v>
      </c>
      <c r="CW1539" s="11">
        <f t="shared" si="7098"/>
        <v>0</v>
      </c>
      <c r="CX1539" s="25">
        <f>SUM(CX1535:CX1538)</f>
        <v>0</v>
      </c>
      <c r="CZ1539" s="10">
        <f>SUM(CZ1535:CZ1538)</f>
        <v>0</v>
      </c>
      <c r="DA1539" s="11">
        <f t="shared" ref="DA1539:DD1539" si="7099">SUM(DA1535:DA1538)</f>
        <v>0</v>
      </c>
      <c r="DB1539" s="11">
        <f t="shared" si="7099"/>
        <v>0</v>
      </c>
      <c r="DC1539" s="11">
        <f t="shared" si="7099"/>
        <v>0</v>
      </c>
      <c r="DD1539" s="11">
        <f t="shared" si="7099"/>
        <v>0</v>
      </c>
      <c r="DE1539" s="25">
        <f>SUM(DE1535:DE1538)</f>
        <v>0</v>
      </c>
    </row>
    <row r="1541" spans="2:110">
      <c r="B1541" s="123"/>
      <c r="C1541" s="20"/>
      <c r="D1541" s="20"/>
      <c r="E1541" s="20"/>
      <c r="F1541" s="20"/>
      <c r="G1541" s="20"/>
      <c r="H1541" s="20"/>
      <c r="I1541" s="20"/>
      <c r="J1541" s="20"/>
      <c r="K1541" s="20"/>
      <c r="L1541" s="20"/>
      <c r="M1541" s="20"/>
      <c r="N1541" s="20"/>
      <c r="O1541" s="20"/>
      <c r="P1541" s="20"/>
      <c r="Q1541" s="20"/>
      <c r="R1541" s="20"/>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Q1541" s="20"/>
      <c r="BR1541" s="20"/>
      <c r="BS1541" s="20"/>
      <c r="BT1541" s="20"/>
      <c r="BU1541" s="20"/>
      <c r="BV1541" s="20"/>
      <c r="BW1541" s="20"/>
      <c r="BX1541" s="20"/>
      <c r="BY1541" s="20"/>
      <c r="BZ1541" s="20"/>
      <c r="CA1541" s="20"/>
      <c r="CB1541" s="20"/>
      <c r="CC1541" s="20"/>
      <c r="CD1541" s="20"/>
      <c r="CE1541" s="20"/>
      <c r="CF1541" s="20"/>
      <c r="CG1541" s="20"/>
      <c r="CH1541" s="20"/>
      <c r="CI1541" s="20"/>
      <c r="CJ1541" s="20"/>
      <c r="CK1541" s="20"/>
      <c r="CL1541" s="20"/>
      <c r="CM1541" s="20"/>
      <c r="CN1541" s="20"/>
      <c r="CO1541" s="20"/>
      <c r="CP1541" s="20"/>
      <c r="CQ1541" s="20"/>
      <c r="CR1541" s="20"/>
      <c r="CS1541" s="20"/>
      <c r="CT1541" s="20"/>
      <c r="CU1541" s="20"/>
      <c r="CV1541" s="20"/>
      <c r="CW1541" s="20"/>
      <c r="CX1541" s="20"/>
      <c r="CY1541" s="20"/>
      <c r="CZ1541" s="20"/>
      <c r="DA1541" s="20"/>
      <c r="DB1541" s="20"/>
      <c r="DC1541" s="20"/>
      <c r="DD1541" s="20"/>
      <c r="DE1541" s="20"/>
      <c r="DF1541" s="20"/>
    </row>
    <row r="1542" spans="2:110" ht="14" thickBot="1">
      <c r="B1542" s="94">
        <v>49</v>
      </c>
      <c r="C1542" s="12" t="s">
        <v>178</v>
      </c>
    </row>
    <row r="1543" spans="2:110">
      <c r="C1543" s="553">
        <v>2024</v>
      </c>
      <c r="E1543" s="1" t="s">
        <v>59</v>
      </c>
      <c r="F1543" s="2"/>
      <c r="G1543" s="3"/>
      <c r="H1543" s="3"/>
      <c r="I1543" s="3"/>
      <c r="J1543" s="3"/>
      <c r="K1543" s="4">
        <f>SUM(F1543:J1543)</f>
        <v>0</v>
      </c>
      <c r="M1543" s="2"/>
      <c r="N1543" s="3"/>
      <c r="O1543" s="3"/>
      <c r="P1543" s="3"/>
      <c r="Q1543" s="3"/>
      <c r="R1543" s="4">
        <f>SUM(M1543:Q1543)</f>
        <v>0</v>
      </c>
      <c r="T1543" s="2"/>
      <c r="U1543" s="3"/>
      <c r="V1543" s="3"/>
      <c r="W1543" s="3"/>
      <c r="X1543" s="3"/>
      <c r="Y1543" s="4">
        <f>SUM(T1543:X1543)</f>
        <v>0</v>
      </c>
      <c r="AA1543" s="2"/>
      <c r="AB1543" s="3"/>
      <c r="AC1543" s="3"/>
      <c r="AD1543" s="3"/>
      <c r="AE1543" s="3"/>
      <c r="AF1543" s="4">
        <f>SUM(AA1543:AE1543)</f>
        <v>0</v>
      </c>
      <c r="AH1543" s="2"/>
      <c r="AI1543" s="3"/>
      <c r="AJ1543" s="3"/>
      <c r="AK1543" s="3"/>
      <c r="AL1543" s="3"/>
      <c r="AM1543" s="4">
        <f>SUM(AH1543:AL1543)</f>
        <v>0</v>
      </c>
      <c r="AO1543" s="2"/>
      <c r="AP1543" s="3"/>
      <c r="AQ1543" s="3"/>
      <c r="AR1543" s="3"/>
      <c r="AS1543" s="3"/>
      <c r="AT1543" s="4">
        <f>SUM(AO1543:AS1543)</f>
        <v>0</v>
      </c>
      <c r="AV1543" s="2"/>
      <c r="AW1543" s="3"/>
      <c r="AX1543" s="3"/>
      <c r="AY1543" s="3"/>
      <c r="AZ1543" s="3"/>
      <c r="BA1543" s="4">
        <f>SUM(AV1543:AZ1543)</f>
        <v>0</v>
      </c>
      <c r="BC1543" s="2"/>
      <c r="BD1543" s="3"/>
      <c r="BE1543" s="3"/>
      <c r="BF1543" s="3"/>
      <c r="BG1543" s="3"/>
      <c r="BH1543" s="4">
        <f>SUM(BC1543:BG1543)</f>
        <v>0</v>
      </c>
      <c r="BJ1543" s="2"/>
      <c r="BK1543" s="3"/>
      <c r="BL1543" s="3"/>
      <c r="BM1543" s="3"/>
      <c r="BN1543" s="3"/>
      <c r="BO1543" s="4">
        <f>SUM(BJ1543:BN1543)</f>
        <v>0</v>
      </c>
      <c r="BQ1543" s="2"/>
      <c r="BR1543" s="3"/>
      <c r="BS1543" s="3"/>
      <c r="BT1543" s="3"/>
      <c r="BU1543" s="3"/>
      <c r="BV1543" s="4">
        <f>SUM(BQ1543:BU1543)</f>
        <v>0</v>
      </c>
      <c r="BX1543" s="2"/>
      <c r="BY1543" s="3"/>
      <c r="BZ1543" s="3"/>
      <c r="CA1543" s="3"/>
      <c r="CB1543" s="3"/>
      <c r="CC1543" s="4">
        <f>SUM(BX1543:CB1543)</f>
        <v>0</v>
      </c>
      <c r="CE1543" s="26">
        <f t="shared" ref="CE1543:CE1546" si="7100">F1543+M1543+T1543+AA1543+AH1543+AO1543+AV1543+BC1543+BJ1543+BQ1543+BX1543</f>
        <v>0</v>
      </c>
      <c r="CF1543" s="27">
        <f t="shared" ref="CF1543:CF1546" si="7101">G1543+N1543+U1543+AB1543+AI1543+AP1543+AW1543+BD1543+BK1543+BR1543+BY1543</f>
        <v>0</v>
      </c>
      <c r="CG1543" s="27">
        <f t="shared" ref="CG1543:CG1546" si="7102">H1543+O1543+V1543+AC1543+AJ1543+AQ1543+AX1543+BE1543+BL1543+BS1543+BZ1543</f>
        <v>0</v>
      </c>
      <c r="CH1543" s="27">
        <f t="shared" ref="CH1543:CH1546" si="7103">I1543+P1543+W1543+AD1543+AK1543+AR1543+AY1543+BF1543+BM1543+BT1543+CA1543</f>
        <v>0</v>
      </c>
      <c r="CI1543" s="27">
        <f t="shared" ref="CI1543:CI1546" si="7104">J1543+Q1543+X1543+AE1543+AL1543+AS1543+AZ1543+BG1543+BN1543+BU1543+CB1543</f>
        <v>0</v>
      </c>
      <c r="CJ1543" s="4">
        <f>SUM(CE1543:CI1543)</f>
        <v>0</v>
      </c>
      <c r="CL1543" s="2"/>
      <c r="CM1543" s="3"/>
      <c r="CN1543" s="3"/>
      <c r="CO1543" s="3"/>
      <c r="CP1543" s="3"/>
      <c r="CQ1543" s="4">
        <f>SUM(CL1543:CP1543)</f>
        <v>0</v>
      </c>
      <c r="CS1543" s="2"/>
      <c r="CT1543" s="3"/>
      <c r="CU1543" s="3"/>
      <c r="CV1543" s="3"/>
      <c r="CW1543" s="3"/>
      <c r="CX1543" s="4">
        <f>SUM(CS1543:CW1543)</f>
        <v>0</v>
      </c>
      <c r="CZ1543" s="2"/>
      <c r="DA1543" s="3"/>
      <c r="DB1543" s="3"/>
      <c r="DC1543" s="3"/>
      <c r="DD1543" s="3"/>
      <c r="DE1543" s="4">
        <f>SUM(CZ1543:DD1543)</f>
        <v>0</v>
      </c>
    </row>
    <row r="1544" spans="2:110">
      <c r="C1544" s="567"/>
      <c r="E1544" s="5" t="s">
        <v>60</v>
      </c>
      <c r="F1544" s="6"/>
      <c r="G1544" s="7"/>
      <c r="H1544" s="7"/>
      <c r="I1544" s="7"/>
      <c r="J1544" s="7"/>
      <c r="K1544" s="8">
        <f t="shared" ref="K1544:K1546" si="7105">SUM(F1544:J1544)</f>
        <v>0</v>
      </c>
      <c r="M1544" s="6"/>
      <c r="N1544" s="7"/>
      <c r="O1544" s="7"/>
      <c r="P1544" s="7"/>
      <c r="Q1544" s="7"/>
      <c r="R1544" s="8">
        <f t="shared" ref="R1544:R1546" si="7106">SUM(M1544:Q1544)</f>
        <v>0</v>
      </c>
      <c r="T1544" s="6"/>
      <c r="U1544" s="7"/>
      <c r="V1544" s="7"/>
      <c r="W1544" s="7"/>
      <c r="X1544" s="7"/>
      <c r="Y1544" s="8">
        <f t="shared" ref="Y1544:Y1546" si="7107">SUM(T1544:X1544)</f>
        <v>0</v>
      </c>
      <c r="AA1544" s="6"/>
      <c r="AB1544" s="7"/>
      <c r="AC1544" s="7"/>
      <c r="AD1544" s="7"/>
      <c r="AE1544" s="7"/>
      <c r="AF1544" s="8">
        <f>SUM(AA1544:AE1544)</f>
        <v>0</v>
      </c>
      <c r="AH1544" s="6"/>
      <c r="AI1544" s="7"/>
      <c r="AJ1544" s="7"/>
      <c r="AK1544" s="7"/>
      <c r="AL1544" s="7"/>
      <c r="AM1544" s="8">
        <f>SUM(AH1544:AL1544)</f>
        <v>0</v>
      </c>
      <c r="AO1544" s="6"/>
      <c r="AP1544" s="7"/>
      <c r="AQ1544" s="7"/>
      <c r="AR1544" s="7"/>
      <c r="AS1544" s="7"/>
      <c r="AT1544" s="8">
        <f>SUM(AO1544:AS1544)</f>
        <v>0</v>
      </c>
      <c r="AV1544" s="6"/>
      <c r="AW1544" s="7"/>
      <c r="AX1544" s="7"/>
      <c r="AY1544" s="7"/>
      <c r="AZ1544" s="7"/>
      <c r="BA1544" s="8">
        <f>SUM(AV1544:AZ1544)</f>
        <v>0</v>
      </c>
      <c r="BC1544" s="6"/>
      <c r="BD1544" s="7"/>
      <c r="BE1544" s="7"/>
      <c r="BF1544" s="7"/>
      <c r="BG1544" s="7"/>
      <c r="BH1544" s="8">
        <f>SUM(BC1544:BG1544)</f>
        <v>0</v>
      </c>
      <c r="BJ1544" s="6"/>
      <c r="BK1544" s="7"/>
      <c r="BL1544" s="7"/>
      <c r="BM1544" s="7"/>
      <c r="BN1544" s="7"/>
      <c r="BO1544" s="8">
        <f>SUM(BJ1544:BN1544)</f>
        <v>0</v>
      </c>
      <c r="BQ1544" s="6"/>
      <c r="BR1544" s="7"/>
      <c r="BS1544" s="7"/>
      <c r="BT1544" s="7"/>
      <c r="BU1544" s="7"/>
      <c r="BV1544" s="8">
        <f>SUM(BQ1544:BU1544)</f>
        <v>0</v>
      </c>
      <c r="BX1544" s="6"/>
      <c r="BY1544" s="7"/>
      <c r="BZ1544" s="7"/>
      <c r="CA1544" s="7"/>
      <c r="CB1544" s="7"/>
      <c r="CC1544" s="8">
        <f>SUM(BX1544:CB1544)</f>
        <v>0</v>
      </c>
      <c r="CE1544" s="28">
        <f t="shared" si="7100"/>
        <v>0</v>
      </c>
      <c r="CF1544" s="29">
        <f t="shared" si="7101"/>
        <v>0</v>
      </c>
      <c r="CG1544" s="29">
        <f t="shared" si="7102"/>
        <v>0</v>
      </c>
      <c r="CH1544" s="29">
        <f t="shared" si="7103"/>
        <v>0</v>
      </c>
      <c r="CI1544" s="29">
        <f t="shared" si="7104"/>
        <v>0</v>
      </c>
      <c r="CJ1544" s="8">
        <f>SUM(CE1544:CI1544)</f>
        <v>0</v>
      </c>
      <c r="CL1544" s="6"/>
      <c r="CM1544" s="7"/>
      <c r="CN1544" s="7"/>
      <c r="CO1544" s="7"/>
      <c r="CP1544" s="7"/>
      <c r="CQ1544" s="8">
        <f>SUM(CL1544:CP1544)</f>
        <v>0</v>
      </c>
      <c r="CS1544" s="6"/>
      <c r="CT1544" s="7"/>
      <c r="CU1544" s="7"/>
      <c r="CV1544" s="7"/>
      <c r="CW1544" s="7"/>
      <c r="CX1544" s="8">
        <f t="shared" ref="CX1544:CX1546" si="7108">SUM(CS1544:CW1544)</f>
        <v>0</v>
      </c>
      <c r="CZ1544" s="6"/>
      <c r="DA1544" s="7"/>
      <c r="DB1544" s="7"/>
      <c r="DC1544" s="7"/>
      <c r="DD1544" s="7"/>
      <c r="DE1544" s="8">
        <f t="shared" ref="DE1544:DE1546" si="7109">SUM(CZ1544:DD1544)</f>
        <v>0</v>
      </c>
    </row>
    <row r="1545" spans="2:110">
      <c r="C1545" s="567"/>
      <c r="E1545" s="5" t="s">
        <v>61</v>
      </c>
      <c r="F1545" s="6"/>
      <c r="G1545" s="7"/>
      <c r="H1545" s="7"/>
      <c r="I1545" s="7"/>
      <c r="J1545" s="7"/>
      <c r="K1545" s="8">
        <f t="shared" si="7105"/>
        <v>0</v>
      </c>
      <c r="M1545" s="6"/>
      <c r="N1545" s="7"/>
      <c r="O1545" s="7"/>
      <c r="P1545" s="7"/>
      <c r="Q1545" s="7"/>
      <c r="R1545" s="8">
        <f t="shared" si="7106"/>
        <v>0</v>
      </c>
      <c r="T1545" s="6"/>
      <c r="U1545" s="7"/>
      <c r="V1545" s="7"/>
      <c r="W1545" s="7"/>
      <c r="X1545" s="7"/>
      <c r="Y1545" s="8">
        <f t="shared" si="7107"/>
        <v>0</v>
      </c>
      <c r="AA1545" s="6"/>
      <c r="AB1545" s="7"/>
      <c r="AC1545" s="7"/>
      <c r="AD1545" s="7"/>
      <c r="AE1545" s="7"/>
      <c r="AF1545" s="8">
        <f>SUM(AA1545:AE1545)</f>
        <v>0</v>
      </c>
      <c r="AH1545" s="6"/>
      <c r="AI1545" s="7"/>
      <c r="AJ1545" s="7"/>
      <c r="AK1545" s="7"/>
      <c r="AL1545" s="7"/>
      <c r="AM1545" s="8">
        <f>SUM(AH1545:AL1545)</f>
        <v>0</v>
      </c>
      <c r="AO1545" s="6"/>
      <c r="AP1545" s="7"/>
      <c r="AQ1545" s="7"/>
      <c r="AR1545" s="7"/>
      <c r="AS1545" s="7"/>
      <c r="AT1545" s="8">
        <f>SUM(AO1545:AS1545)</f>
        <v>0</v>
      </c>
      <c r="AV1545" s="6"/>
      <c r="AW1545" s="7"/>
      <c r="AX1545" s="7"/>
      <c r="AY1545" s="7"/>
      <c r="AZ1545" s="7"/>
      <c r="BA1545" s="8">
        <f>SUM(AV1545:AZ1545)</f>
        <v>0</v>
      </c>
      <c r="BC1545" s="6"/>
      <c r="BD1545" s="7"/>
      <c r="BE1545" s="7"/>
      <c r="BF1545" s="7"/>
      <c r="BG1545" s="7"/>
      <c r="BH1545" s="8">
        <f>SUM(BC1545:BG1545)</f>
        <v>0</v>
      </c>
      <c r="BJ1545" s="6"/>
      <c r="BK1545" s="7"/>
      <c r="BL1545" s="7"/>
      <c r="BM1545" s="7"/>
      <c r="BN1545" s="7"/>
      <c r="BO1545" s="8">
        <f>SUM(BJ1545:BN1545)</f>
        <v>0</v>
      </c>
      <c r="BQ1545" s="6"/>
      <c r="BR1545" s="7"/>
      <c r="BS1545" s="7"/>
      <c r="BT1545" s="7"/>
      <c r="BU1545" s="7"/>
      <c r="BV1545" s="8">
        <f>SUM(BQ1545:BU1545)</f>
        <v>0</v>
      </c>
      <c r="BX1545" s="6"/>
      <c r="BY1545" s="7"/>
      <c r="BZ1545" s="7"/>
      <c r="CA1545" s="7"/>
      <c r="CB1545" s="7"/>
      <c r="CC1545" s="8">
        <f>SUM(BX1545:CB1545)</f>
        <v>0</v>
      </c>
      <c r="CE1545" s="28">
        <f t="shared" si="7100"/>
        <v>0</v>
      </c>
      <c r="CF1545" s="29">
        <f t="shared" si="7101"/>
        <v>0</v>
      </c>
      <c r="CG1545" s="29">
        <f t="shared" si="7102"/>
        <v>0</v>
      </c>
      <c r="CH1545" s="29">
        <f t="shared" si="7103"/>
        <v>0</v>
      </c>
      <c r="CI1545" s="29">
        <f t="shared" si="7104"/>
        <v>0</v>
      </c>
      <c r="CJ1545" s="8">
        <f>SUM(CE1545:CI1545)</f>
        <v>0</v>
      </c>
      <c r="CL1545" s="6"/>
      <c r="CM1545" s="7"/>
      <c r="CN1545" s="7"/>
      <c r="CO1545" s="7"/>
      <c r="CP1545" s="7"/>
      <c r="CQ1545" s="8">
        <f>SUM(CL1545:CP1545)</f>
        <v>0</v>
      </c>
      <c r="CS1545" s="6"/>
      <c r="CT1545" s="7"/>
      <c r="CU1545" s="7"/>
      <c r="CV1545" s="7"/>
      <c r="CW1545" s="7"/>
      <c r="CX1545" s="8">
        <f t="shared" si="7108"/>
        <v>0</v>
      </c>
      <c r="CZ1545" s="6"/>
      <c r="DA1545" s="7"/>
      <c r="DB1545" s="7"/>
      <c r="DC1545" s="7"/>
      <c r="DD1545" s="7"/>
      <c r="DE1545" s="8">
        <f t="shared" si="7109"/>
        <v>0</v>
      </c>
    </row>
    <row r="1546" spans="2:110" ht="14" thickBot="1">
      <c r="C1546" s="567"/>
      <c r="E1546" s="5" t="s">
        <v>62</v>
      </c>
      <c r="F1546" s="6"/>
      <c r="G1546" s="7"/>
      <c r="H1546" s="7"/>
      <c r="I1546" s="7"/>
      <c r="J1546" s="7"/>
      <c r="K1546" s="8">
        <f t="shared" si="7105"/>
        <v>0</v>
      </c>
      <c r="M1546" s="6"/>
      <c r="N1546" s="7"/>
      <c r="O1546" s="7"/>
      <c r="P1546" s="7"/>
      <c r="Q1546" s="7"/>
      <c r="R1546" s="8">
        <f t="shared" si="7106"/>
        <v>0</v>
      </c>
      <c r="T1546" s="6"/>
      <c r="U1546" s="7"/>
      <c r="V1546" s="7"/>
      <c r="W1546" s="7"/>
      <c r="X1546" s="7"/>
      <c r="Y1546" s="8">
        <f t="shared" si="7107"/>
        <v>0</v>
      </c>
      <c r="AA1546" s="6"/>
      <c r="AB1546" s="7"/>
      <c r="AC1546" s="7"/>
      <c r="AD1546" s="7"/>
      <c r="AE1546" s="7"/>
      <c r="AF1546" s="8">
        <f>SUM(AA1546:AE1546)</f>
        <v>0</v>
      </c>
      <c r="AH1546" s="6"/>
      <c r="AI1546" s="7"/>
      <c r="AJ1546" s="7"/>
      <c r="AK1546" s="7"/>
      <c r="AL1546" s="7"/>
      <c r="AM1546" s="8">
        <f>SUM(AH1546:AL1546)</f>
        <v>0</v>
      </c>
      <c r="AO1546" s="6"/>
      <c r="AP1546" s="7"/>
      <c r="AQ1546" s="7"/>
      <c r="AR1546" s="7"/>
      <c r="AS1546" s="7"/>
      <c r="AT1546" s="8">
        <f>SUM(AO1546:AS1546)</f>
        <v>0</v>
      </c>
      <c r="AV1546" s="6"/>
      <c r="AW1546" s="7"/>
      <c r="AX1546" s="7"/>
      <c r="AY1546" s="7"/>
      <c r="AZ1546" s="7"/>
      <c r="BA1546" s="8">
        <f>SUM(AV1546:AZ1546)</f>
        <v>0</v>
      </c>
      <c r="BC1546" s="6"/>
      <c r="BD1546" s="7"/>
      <c r="BE1546" s="7"/>
      <c r="BF1546" s="7"/>
      <c r="BG1546" s="7"/>
      <c r="BH1546" s="8">
        <f>SUM(BC1546:BG1546)</f>
        <v>0</v>
      </c>
      <c r="BJ1546" s="6"/>
      <c r="BK1546" s="7"/>
      <c r="BL1546" s="7"/>
      <c r="BM1546" s="7"/>
      <c r="BN1546" s="7"/>
      <c r="BO1546" s="8">
        <f>SUM(BJ1546:BN1546)</f>
        <v>0</v>
      </c>
      <c r="BQ1546" s="6"/>
      <c r="BR1546" s="7"/>
      <c r="BS1546" s="7"/>
      <c r="BT1546" s="7"/>
      <c r="BU1546" s="7"/>
      <c r="BV1546" s="8">
        <f>SUM(BQ1546:BU1546)</f>
        <v>0</v>
      </c>
      <c r="BX1546" s="6"/>
      <c r="BY1546" s="7"/>
      <c r="BZ1546" s="7"/>
      <c r="CA1546" s="7"/>
      <c r="CB1546" s="7"/>
      <c r="CC1546" s="8">
        <f>SUM(BX1546:CB1546)</f>
        <v>0</v>
      </c>
      <c r="CE1546" s="493">
        <f t="shared" si="7100"/>
        <v>0</v>
      </c>
      <c r="CF1546" s="494">
        <f t="shared" si="7101"/>
        <v>0</v>
      </c>
      <c r="CG1546" s="494">
        <f t="shared" si="7102"/>
        <v>0</v>
      </c>
      <c r="CH1546" s="494">
        <f t="shared" si="7103"/>
        <v>0</v>
      </c>
      <c r="CI1546" s="494">
        <f t="shared" si="7104"/>
        <v>0</v>
      </c>
      <c r="CJ1546" s="495">
        <f>SUM(CE1546:CI1546)</f>
        <v>0</v>
      </c>
      <c r="CL1546" s="6"/>
      <c r="CM1546" s="7"/>
      <c r="CN1546" s="7"/>
      <c r="CO1546" s="7"/>
      <c r="CP1546" s="7"/>
      <c r="CQ1546" s="8">
        <f>SUM(CL1546:CP1546)</f>
        <v>0</v>
      </c>
      <c r="CS1546" s="6"/>
      <c r="CT1546" s="7"/>
      <c r="CU1546" s="7"/>
      <c r="CV1546" s="7"/>
      <c r="CW1546" s="7"/>
      <c r="CX1546" s="8">
        <f t="shared" si="7108"/>
        <v>0</v>
      </c>
      <c r="CZ1546" s="6"/>
      <c r="DA1546" s="7"/>
      <c r="DB1546" s="7"/>
      <c r="DC1546" s="7"/>
      <c r="DD1546" s="7"/>
      <c r="DE1546" s="8">
        <f t="shared" si="7109"/>
        <v>0</v>
      </c>
    </row>
    <row r="1547" spans="2:110" ht="14" thickBot="1">
      <c r="C1547" s="554"/>
      <c r="E1547" s="9"/>
      <c r="F1547" s="10">
        <f>SUM(F1543:F1546)</f>
        <v>0</v>
      </c>
      <c r="G1547" s="11">
        <f t="shared" ref="G1547:J1547" si="7110">SUM(G1543:G1546)</f>
        <v>0</v>
      </c>
      <c r="H1547" s="11">
        <f t="shared" si="7110"/>
        <v>0</v>
      </c>
      <c r="I1547" s="11">
        <f t="shared" si="7110"/>
        <v>0</v>
      </c>
      <c r="J1547" s="61">
        <f t="shared" si="7110"/>
        <v>0</v>
      </c>
      <c r="K1547" s="25">
        <f>SUM(K1543:K1546)</f>
        <v>0</v>
      </c>
      <c r="M1547" s="10">
        <f>SUM(M1543:M1546)</f>
        <v>0</v>
      </c>
      <c r="N1547" s="11">
        <f t="shared" ref="N1547:Q1547" si="7111">SUM(N1543:N1546)</f>
        <v>0</v>
      </c>
      <c r="O1547" s="11">
        <f t="shared" si="7111"/>
        <v>0</v>
      </c>
      <c r="P1547" s="11">
        <f t="shared" si="7111"/>
        <v>0</v>
      </c>
      <c r="Q1547" s="11">
        <f t="shared" si="7111"/>
        <v>0</v>
      </c>
      <c r="R1547" s="25">
        <f>SUM(R1543:R1546)</f>
        <v>0</v>
      </c>
      <c r="T1547" s="10">
        <f>SUM(T1543:T1546)</f>
        <v>0</v>
      </c>
      <c r="U1547" s="11">
        <f t="shared" ref="U1547:X1547" si="7112">SUM(U1543:U1546)</f>
        <v>0</v>
      </c>
      <c r="V1547" s="11">
        <f t="shared" si="7112"/>
        <v>0</v>
      </c>
      <c r="W1547" s="11">
        <f t="shared" si="7112"/>
        <v>0</v>
      </c>
      <c r="X1547" s="11">
        <f t="shared" si="7112"/>
        <v>0</v>
      </c>
      <c r="Y1547" s="25">
        <f>SUM(Y1543:Y1546)</f>
        <v>0</v>
      </c>
      <c r="AA1547" s="10">
        <f>SUM(AA1543:AA1546)</f>
        <v>0</v>
      </c>
      <c r="AB1547" s="11">
        <f t="shared" ref="AB1547:AE1547" si="7113">SUM(AB1543:AB1546)</f>
        <v>0</v>
      </c>
      <c r="AC1547" s="11">
        <f t="shared" si="7113"/>
        <v>0</v>
      </c>
      <c r="AD1547" s="11">
        <f t="shared" si="7113"/>
        <v>0</v>
      </c>
      <c r="AE1547" s="11">
        <f t="shared" si="7113"/>
        <v>0</v>
      </c>
      <c r="AF1547" s="25">
        <f>SUM(AF1543:AF1546)</f>
        <v>0</v>
      </c>
      <c r="AH1547" s="10">
        <f>SUM(AH1543:AH1546)</f>
        <v>0</v>
      </c>
      <c r="AI1547" s="11">
        <f t="shared" ref="AI1547:AL1547" si="7114">SUM(AI1543:AI1546)</f>
        <v>0</v>
      </c>
      <c r="AJ1547" s="11">
        <f t="shared" si="7114"/>
        <v>0</v>
      </c>
      <c r="AK1547" s="11">
        <f t="shared" si="7114"/>
        <v>0</v>
      </c>
      <c r="AL1547" s="11">
        <f t="shared" si="7114"/>
        <v>0</v>
      </c>
      <c r="AM1547" s="25">
        <f>SUM(AM1543:AM1546)</f>
        <v>0</v>
      </c>
      <c r="AO1547" s="10">
        <f>SUM(AO1543:AO1546)</f>
        <v>0</v>
      </c>
      <c r="AP1547" s="11">
        <f t="shared" ref="AP1547:AS1547" si="7115">SUM(AP1543:AP1546)</f>
        <v>0</v>
      </c>
      <c r="AQ1547" s="11">
        <f t="shared" si="7115"/>
        <v>0</v>
      </c>
      <c r="AR1547" s="11">
        <f t="shared" si="7115"/>
        <v>0</v>
      </c>
      <c r="AS1547" s="11">
        <f t="shared" si="7115"/>
        <v>0</v>
      </c>
      <c r="AT1547" s="25">
        <f>SUM(AT1543:AT1546)</f>
        <v>0</v>
      </c>
      <c r="AV1547" s="10">
        <f>SUM(AV1543:AV1546)</f>
        <v>0</v>
      </c>
      <c r="AW1547" s="11">
        <f t="shared" ref="AW1547:AZ1547" si="7116">SUM(AW1543:AW1546)</f>
        <v>0</v>
      </c>
      <c r="AX1547" s="11">
        <f t="shared" si="7116"/>
        <v>0</v>
      </c>
      <c r="AY1547" s="11">
        <f t="shared" si="7116"/>
        <v>0</v>
      </c>
      <c r="AZ1547" s="11">
        <f t="shared" si="7116"/>
        <v>0</v>
      </c>
      <c r="BA1547" s="25">
        <f>SUM(BA1543:BA1546)</f>
        <v>0</v>
      </c>
      <c r="BC1547" s="10">
        <f>SUM(BC1543:BC1546)</f>
        <v>0</v>
      </c>
      <c r="BD1547" s="11">
        <f t="shared" ref="BD1547:BG1547" si="7117">SUM(BD1543:BD1546)</f>
        <v>0</v>
      </c>
      <c r="BE1547" s="11">
        <f t="shared" si="7117"/>
        <v>0</v>
      </c>
      <c r="BF1547" s="11">
        <f t="shared" si="7117"/>
        <v>0</v>
      </c>
      <c r="BG1547" s="11">
        <f t="shared" si="7117"/>
        <v>0</v>
      </c>
      <c r="BH1547" s="25">
        <f>SUM(BH1543:BH1546)</f>
        <v>0</v>
      </c>
      <c r="BJ1547" s="10">
        <f>SUM(BJ1543:BJ1546)</f>
        <v>0</v>
      </c>
      <c r="BK1547" s="11">
        <f t="shared" ref="BK1547:BN1547" si="7118">SUM(BK1543:BK1546)</f>
        <v>0</v>
      </c>
      <c r="BL1547" s="11">
        <f t="shared" si="7118"/>
        <v>0</v>
      </c>
      <c r="BM1547" s="11">
        <f t="shared" si="7118"/>
        <v>0</v>
      </c>
      <c r="BN1547" s="11">
        <f t="shared" si="7118"/>
        <v>0</v>
      </c>
      <c r="BO1547" s="25">
        <f>SUM(BO1543:BO1546)</f>
        <v>0</v>
      </c>
      <c r="BQ1547" s="10">
        <f>SUM(BQ1543:BQ1546)</f>
        <v>0</v>
      </c>
      <c r="BR1547" s="11">
        <f t="shared" ref="BR1547:BU1547" si="7119">SUM(BR1543:BR1546)</f>
        <v>0</v>
      </c>
      <c r="BS1547" s="11">
        <f t="shared" si="7119"/>
        <v>0</v>
      </c>
      <c r="BT1547" s="11">
        <f t="shared" si="7119"/>
        <v>0</v>
      </c>
      <c r="BU1547" s="11">
        <f t="shared" si="7119"/>
        <v>0</v>
      </c>
      <c r="BV1547" s="25">
        <f>SUM(BV1543:BV1546)</f>
        <v>0</v>
      </c>
      <c r="BX1547" s="10">
        <f>SUM(BX1543:BX1546)</f>
        <v>0</v>
      </c>
      <c r="BY1547" s="11">
        <f t="shared" ref="BY1547:CB1547" si="7120">SUM(BY1543:BY1546)</f>
        <v>0</v>
      </c>
      <c r="BZ1547" s="11">
        <f t="shared" si="7120"/>
        <v>0</v>
      </c>
      <c r="CA1547" s="11">
        <f t="shared" si="7120"/>
        <v>0</v>
      </c>
      <c r="CB1547" s="11">
        <f t="shared" si="7120"/>
        <v>0</v>
      </c>
      <c r="CC1547" s="25">
        <f>SUM(CC1543:CC1546)</f>
        <v>0</v>
      </c>
      <c r="CE1547" s="62">
        <f t="shared" ref="CE1547:CJ1547" si="7121">SUM(CE1543:CE1546)</f>
        <v>0</v>
      </c>
      <c r="CF1547" s="63">
        <f t="shared" si="7121"/>
        <v>0</v>
      </c>
      <c r="CG1547" s="63">
        <f t="shared" si="7121"/>
        <v>0</v>
      </c>
      <c r="CH1547" s="63">
        <f t="shared" si="7121"/>
        <v>0</v>
      </c>
      <c r="CI1547" s="63">
        <f t="shared" si="7121"/>
        <v>0</v>
      </c>
      <c r="CJ1547" s="25">
        <f t="shared" si="7121"/>
        <v>0</v>
      </c>
      <c r="CL1547" s="10">
        <f>SUM(CL1543:CL1546)</f>
        <v>0</v>
      </c>
      <c r="CM1547" s="11">
        <f t="shared" ref="CM1547:CP1547" si="7122">SUM(CM1543:CM1546)</f>
        <v>0</v>
      </c>
      <c r="CN1547" s="11">
        <f t="shared" si="7122"/>
        <v>0</v>
      </c>
      <c r="CO1547" s="11">
        <f t="shared" si="7122"/>
        <v>0</v>
      </c>
      <c r="CP1547" s="11">
        <f t="shared" si="7122"/>
        <v>0</v>
      </c>
      <c r="CQ1547" s="25">
        <f>SUM(CQ1543:CQ1546)</f>
        <v>0</v>
      </c>
      <c r="CS1547" s="10">
        <f>SUM(CS1543:CS1546)</f>
        <v>0</v>
      </c>
      <c r="CT1547" s="11">
        <f t="shared" ref="CT1547:CW1547" si="7123">SUM(CT1543:CT1546)</f>
        <v>0</v>
      </c>
      <c r="CU1547" s="11">
        <f t="shared" si="7123"/>
        <v>0</v>
      </c>
      <c r="CV1547" s="11">
        <f t="shared" si="7123"/>
        <v>0</v>
      </c>
      <c r="CW1547" s="11">
        <f t="shared" si="7123"/>
        <v>0</v>
      </c>
      <c r="CX1547" s="25">
        <f>SUM(CX1543:CX1546)</f>
        <v>0</v>
      </c>
      <c r="CZ1547" s="10">
        <f>SUM(CZ1543:CZ1546)</f>
        <v>0</v>
      </c>
      <c r="DA1547" s="11">
        <f t="shared" ref="DA1547:DD1547" si="7124">SUM(DA1543:DA1546)</f>
        <v>0</v>
      </c>
      <c r="DB1547" s="11">
        <f t="shared" si="7124"/>
        <v>0</v>
      </c>
      <c r="DC1547" s="11">
        <f t="shared" si="7124"/>
        <v>0</v>
      </c>
      <c r="DD1547" s="11">
        <f t="shared" si="7124"/>
        <v>0</v>
      </c>
      <c r="DE1547" s="25">
        <f>SUM(DE1543:DE1546)</f>
        <v>0</v>
      </c>
    </row>
    <row r="1548" spans="2:110" ht="10.4" customHeight="1" thickBot="1"/>
    <row r="1549" spans="2:110">
      <c r="C1549" s="553">
        <v>2025</v>
      </c>
      <c r="E1549" s="13" t="s">
        <v>59</v>
      </c>
      <c r="F1549" s="21">
        <f>CE1543</f>
        <v>0</v>
      </c>
      <c r="G1549" s="22">
        <f t="shared" ref="G1549:G1552" si="7125">CF1543</f>
        <v>0</v>
      </c>
      <c r="H1549" s="22">
        <f t="shared" ref="H1549:H1552" si="7126">CG1543</f>
        <v>0</v>
      </c>
      <c r="I1549" s="22">
        <f t="shared" ref="I1549:I1552" si="7127">CH1543</f>
        <v>0</v>
      </c>
      <c r="J1549" s="22">
        <f t="shared" ref="J1549:J1552" si="7128">CI1543</f>
        <v>0</v>
      </c>
      <c r="K1549" s="15">
        <f>SUM(F1549:J1549)</f>
        <v>0</v>
      </c>
      <c r="M1549" s="2"/>
      <c r="N1549" s="3"/>
      <c r="O1549" s="3"/>
      <c r="P1549" s="3"/>
      <c r="Q1549" s="3"/>
      <c r="R1549" s="15">
        <f>SUM(M1549:Q1549)</f>
        <v>0</v>
      </c>
      <c r="T1549" s="2"/>
      <c r="U1549" s="3"/>
      <c r="V1549" s="3"/>
      <c r="W1549" s="3"/>
      <c r="X1549" s="3"/>
      <c r="Y1549" s="15">
        <f>SUM(T1549:X1549)</f>
        <v>0</v>
      </c>
      <c r="AA1549" s="2"/>
      <c r="AB1549" s="3"/>
      <c r="AC1549" s="3"/>
      <c r="AD1549" s="3"/>
      <c r="AE1549" s="3"/>
      <c r="AF1549" s="15">
        <f>SUM(AA1549:AE1549)</f>
        <v>0</v>
      </c>
      <c r="AH1549" s="2"/>
      <c r="AI1549" s="3"/>
      <c r="AJ1549" s="3"/>
      <c r="AK1549" s="3"/>
      <c r="AL1549" s="3"/>
      <c r="AM1549" s="15">
        <f>SUM(AH1549:AL1549)</f>
        <v>0</v>
      </c>
      <c r="AO1549" s="2"/>
      <c r="AP1549" s="3"/>
      <c r="AQ1549" s="3"/>
      <c r="AR1549" s="3"/>
      <c r="AS1549" s="3"/>
      <c r="AT1549" s="15">
        <f>SUM(AO1549:AS1549)</f>
        <v>0</v>
      </c>
      <c r="AV1549" s="2"/>
      <c r="AW1549" s="3"/>
      <c r="AX1549" s="3"/>
      <c r="AY1549" s="3"/>
      <c r="AZ1549" s="3"/>
      <c r="BA1549" s="15">
        <f>SUM(AV1549:AZ1549)</f>
        <v>0</v>
      </c>
      <c r="BC1549" s="2"/>
      <c r="BD1549" s="3"/>
      <c r="BE1549" s="3"/>
      <c r="BF1549" s="3"/>
      <c r="BG1549" s="3"/>
      <c r="BH1549" s="15">
        <f>SUM(BC1549:BG1549)</f>
        <v>0</v>
      </c>
      <c r="BJ1549" s="2"/>
      <c r="BK1549" s="3"/>
      <c r="BL1549" s="3"/>
      <c r="BM1549" s="3"/>
      <c r="BN1549" s="3"/>
      <c r="BO1549" s="15">
        <f>SUM(BJ1549:BN1549)</f>
        <v>0</v>
      </c>
      <c r="BQ1549" s="2"/>
      <c r="BR1549" s="3"/>
      <c r="BS1549" s="3"/>
      <c r="BT1549" s="3"/>
      <c r="BU1549" s="3"/>
      <c r="BV1549" s="15">
        <f>SUM(BQ1549:BU1549)</f>
        <v>0</v>
      </c>
      <c r="BX1549" s="2"/>
      <c r="BY1549" s="3"/>
      <c r="BZ1549" s="3"/>
      <c r="CA1549" s="3"/>
      <c r="CB1549" s="3"/>
      <c r="CC1549" s="15">
        <f>SUM(BX1549:CB1549)</f>
        <v>0</v>
      </c>
      <c r="CE1549" s="26">
        <f t="shared" ref="CE1549:CE1552" si="7129">F1549+M1549+T1549+AA1549+AH1549+AO1549+AV1549+BC1549+BJ1549+BQ1549+BX1549</f>
        <v>0</v>
      </c>
      <c r="CF1549" s="27">
        <f t="shared" ref="CF1549:CF1552" si="7130">G1549+N1549+U1549+AB1549+AI1549+AP1549+AW1549+BD1549+BK1549+BR1549+BY1549</f>
        <v>0</v>
      </c>
      <c r="CG1549" s="27">
        <f t="shared" ref="CG1549:CG1552" si="7131">H1549+O1549+V1549+AC1549+AJ1549+AQ1549+AX1549+BE1549+BL1549+BS1549+BZ1549</f>
        <v>0</v>
      </c>
      <c r="CH1549" s="27">
        <f t="shared" ref="CH1549:CH1552" si="7132">I1549+P1549+W1549+AD1549+AK1549+AR1549+AY1549+BF1549+BM1549+BT1549+CA1549</f>
        <v>0</v>
      </c>
      <c r="CI1549" s="27">
        <f t="shared" ref="CI1549:CI1552" si="7133">J1549+Q1549+X1549+AE1549+AL1549+AS1549+AZ1549+BG1549+BN1549+BU1549+CB1549</f>
        <v>0</v>
      </c>
      <c r="CJ1549" s="4">
        <f>SUM(CE1549:CI1549)</f>
        <v>0</v>
      </c>
      <c r="CL1549" s="2"/>
      <c r="CM1549" s="3"/>
      <c r="CN1549" s="3"/>
      <c r="CO1549" s="3"/>
      <c r="CP1549" s="3"/>
      <c r="CQ1549" s="15">
        <f>SUM(CL1549:CP1549)</f>
        <v>0</v>
      </c>
      <c r="CS1549" s="2"/>
      <c r="CT1549" s="3"/>
      <c r="CU1549" s="3"/>
      <c r="CV1549" s="3"/>
      <c r="CW1549" s="3"/>
      <c r="CX1549" s="4">
        <f>SUM(CS1549:CW1549)</f>
        <v>0</v>
      </c>
      <c r="CZ1549" s="2"/>
      <c r="DA1549" s="3"/>
      <c r="DB1549" s="3"/>
      <c r="DC1549" s="3"/>
      <c r="DD1549" s="3"/>
      <c r="DE1549" s="15">
        <f>SUM(CZ1549:DD1549)</f>
        <v>0</v>
      </c>
    </row>
    <row r="1550" spans="2:110">
      <c r="C1550" s="567"/>
      <c r="E1550" s="14" t="s">
        <v>60</v>
      </c>
      <c r="F1550" s="23">
        <f t="shared" ref="F1550:F1552" si="7134">CE1544</f>
        <v>0</v>
      </c>
      <c r="G1550" s="24">
        <f t="shared" si="7125"/>
        <v>0</v>
      </c>
      <c r="H1550" s="24">
        <f t="shared" si="7126"/>
        <v>0</v>
      </c>
      <c r="I1550" s="24">
        <f t="shared" si="7127"/>
        <v>0</v>
      </c>
      <c r="J1550" s="24">
        <f t="shared" si="7128"/>
        <v>0</v>
      </c>
      <c r="K1550" s="16">
        <f t="shared" ref="K1550:K1552" si="7135">SUM(F1550:J1550)</f>
        <v>0</v>
      </c>
      <c r="M1550" s="6"/>
      <c r="N1550" s="7"/>
      <c r="O1550" s="7"/>
      <c r="P1550" s="7"/>
      <c r="Q1550" s="7"/>
      <c r="R1550" s="16">
        <f t="shared" ref="R1550:R1552" si="7136">SUM(M1550:Q1550)</f>
        <v>0</v>
      </c>
      <c r="T1550" s="6"/>
      <c r="U1550" s="7"/>
      <c r="V1550" s="7"/>
      <c r="W1550" s="7"/>
      <c r="X1550" s="7"/>
      <c r="Y1550" s="16">
        <f t="shared" ref="Y1550:Y1552" si="7137">SUM(T1550:X1550)</f>
        <v>0</v>
      </c>
      <c r="AA1550" s="6"/>
      <c r="AB1550" s="7"/>
      <c r="AC1550" s="7"/>
      <c r="AD1550" s="7"/>
      <c r="AE1550" s="7"/>
      <c r="AF1550" s="16">
        <f>SUM(AA1550:AE1550)</f>
        <v>0</v>
      </c>
      <c r="AH1550" s="6"/>
      <c r="AI1550" s="7"/>
      <c r="AJ1550" s="7"/>
      <c r="AK1550" s="7"/>
      <c r="AL1550" s="7"/>
      <c r="AM1550" s="16">
        <f>SUM(AH1550:AL1550)</f>
        <v>0</v>
      </c>
      <c r="AO1550" s="6"/>
      <c r="AP1550" s="7"/>
      <c r="AQ1550" s="7"/>
      <c r="AR1550" s="7"/>
      <c r="AS1550" s="7"/>
      <c r="AT1550" s="16">
        <f>SUM(AO1550:AS1550)</f>
        <v>0</v>
      </c>
      <c r="AV1550" s="6"/>
      <c r="AW1550" s="7"/>
      <c r="AX1550" s="7"/>
      <c r="AY1550" s="7"/>
      <c r="AZ1550" s="7"/>
      <c r="BA1550" s="16">
        <f>SUM(AV1550:AZ1550)</f>
        <v>0</v>
      </c>
      <c r="BC1550" s="6"/>
      <c r="BD1550" s="7"/>
      <c r="BE1550" s="7"/>
      <c r="BF1550" s="7"/>
      <c r="BG1550" s="7"/>
      <c r="BH1550" s="16">
        <f>SUM(BC1550:BG1550)</f>
        <v>0</v>
      </c>
      <c r="BJ1550" s="6"/>
      <c r="BK1550" s="7"/>
      <c r="BL1550" s="7"/>
      <c r="BM1550" s="7"/>
      <c r="BN1550" s="7"/>
      <c r="BO1550" s="16">
        <f>SUM(BJ1550:BN1550)</f>
        <v>0</v>
      </c>
      <c r="BQ1550" s="6"/>
      <c r="BR1550" s="7"/>
      <c r="BS1550" s="7"/>
      <c r="BT1550" s="7"/>
      <c r="BU1550" s="7"/>
      <c r="BV1550" s="16">
        <f>SUM(BQ1550:BU1550)</f>
        <v>0</v>
      </c>
      <c r="BX1550" s="6"/>
      <c r="BY1550" s="7"/>
      <c r="BZ1550" s="7"/>
      <c r="CA1550" s="7"/>
      <c r="CB1550" s="7"/>
      <c r="CC1550" s="16">
        <f>SUM(BX1550:CB1550)</f>
        <v>0</v>
      </c>
      <c r="CE1550" s="28">
        <f t="shared" si="7129"/>
        <v>0</v>
      </c>
      <c r="CF1550" s="29">
        <f t="shared" si="7130"/>
        <v>0</v>
      </c>
      <c r="CG1550" s="29">
        <f t="shared" si="7131"/>
        <v>0</v>
      </c>
      <c r="CH1550" s="29">
        <f t="shared" si="7132"/>
        <v>0</v>
      </c>
      <c r="CI1550" s="29">
        <f t="shared" si="7133"/>
        <v>0</v>
      </c>
      <c r="CJ1550" s="8">
        <f>SUM(CE1550:CI1550)</f>
        <v>0</v>
      </c>
      <c r="CL1550" s="6"/>
      <c r="CM1550" s="7"/>
      <c r="CN1550" s="7"/>
      <c r="CO1550" s="7"/>
      <c r="CP1550" s="7"/>
      <c r="CQ1550" s="16">
        <f>SUM(CL1550:CP1550)</f>
        <v>0</v>
      </c>
      <c r="CS1550" s="6"/>
      <c r="CT1550" s="7"/>
      <c r="CU1550" s="7"/>
      <c r="CV1550" s="7"/>
      <c r="CW1550" s="7"/>
      <c r="CX1550" s="8">
        <f t="shared" ref="CX1550:CX1552" si="7138">SUM(CS1550:CW1550)</f>
        <v>0</v>
      </c>
      <c r="CZ1550" s="6"/>
      <c r="DA1550" s="7"/>
      <c r="DB1550" s="7"/>
      <c r="DC1550" s="7"/>
      <c r="DD1550" s="7"/>
      <c r="DE1550" s="16">
        <f t="shared" ref="DE1550:DE1552" si="7139">SUM(CZ1550:DD1550)</f>
        <v>0</v>
      </c>
    </row>
    <row r="1551" spans="2:110">
      <c r="C1551" s="567"/>
      <c r="E1551" s="14" t="s">
        <v>61</v>
      </c>
      <c r="F1551" s="23">
        <f t="shared" si="7134"/>
        <v>0</v>
      </c>
      <c r="G1551" s="24">
        <f t="shared" si="7125"/>
        <v>0</v>
      </c>
      <c r="H1551" s="24">
        <f t="shared" si="7126"/>
        <v>0</v>
      </c>
      <c r="I1551" s="24">
        <f t="shared" si="7127"/>
        <v>0</v>
      </c>
      <c r="J1551" s="24">
        <f t="shared" si="7128"/>
        <v>0</v>
      </c>
      <c r="K1551" s="16">
        <f t="shared" si="7135"/>
        <v>0</v>
      </c>
      <c r="M1551" s="6"/>
      <c r="N1551" s="7"/>
      <c r="O1551" s="7"/>
      <c r="P1551" s="7"/>
      <c r="Q1551" s="7"/>
      <c r="R1551" s="16">
        <f t="shared" si="7136"/>
        <v>0</v>
      </c>
      <c r="T1551" s="6"/>
      <c r="U1551" s="7"/>
      <c r="V1551" s="7"/>
      <c r="W1551" s="7"/>
      <c r="X1551" s="7"/>
      <c r="Y1551" s="16">
        <f t="shared" si="7137"/>
        <v>0</v>
      </c>
      <c r="AA1551" s="6"/>
      <c r="AB1551" s="7"/>
      <c r="AC1551" s="7"/>
      <c r="AD1551" s="7"/>
      <c r="AE1551" s="7"/>
      <c r="AF1551" s="16">
        <f>SUM(AA1551:AE1551)</f>
        <v>0</v>
      </c>
      <c r="AH1551" s="6"/>
      <c r="AI1551" s="7"/>
      <c r="AJ1551" s="7"/>
      <c r="AK1551" s="7"/>
      <c r="AL1551" s="7"/>
      <c r="AM1551" s="16">
        <f>SUM(AH1551:AL1551)</f>
        <v>0</v>
      </c>
      <c r="AO1551" s="6"/>
      <c r="AP1551" s="7"/>
      <c r="AQ1551" s="7"/>
      <c r="AR1551" s="7"/>
      <c r="AS1551" s="7"/>
      <c r="AT1551" s="16">
        <f>SUM(AO1551:AS1551)</f>
        <v>0</v>
      </c>
      <c r="AV1551" s="6"/>
      <c r="AW1551" s="7"/>
      <c r="AX1551" s="7"/>
      <c r="AY1551" s="7"/>
      <c r="AZ1551" s="7"/>
      <c r="BA1551" s="16">
        <f>SUM(AV1551:AZ1551)</f>
        <v>0</v>
      </c>
      <c r="BC1551" s="6"/>
      <c r="BD1551" s="7"/>
      <c r="BE1551" s="7"/>
      <c r="BF1551" s="7"/>
      <c r="BG1551" s="7"/>
      <c r="BH1551" s="16">
        <f>SUM(BC1551:BG1551)</f>
        <v>0</v>
      </c>
      <c r="BJ1551" s="6"/>
      <c r="BK1551" s="7"/>
      <c r="BL1551" s="7"/>
      <c r="BM1551" s="7"/>
      <c r="BN1551" s="7"/>
      <c r="BO1551" s="16">
        <f>SUM(BJ1551:BN1551)</f>
        <v>0</v>
      </c>
      <c r="BQ1551" s="6"/>
      <c r="BR1551" s="7"/>
      <c r="BS1551" s="7"/>
      <c r="BT1551" s="7"/>
      <c r="BU1551" s="7"/>
      <c r="BV1551" s="16">
        <f>SUM(BQ1551:BU1551)</f>
        <v>0</v>
      </c>
      <c r="BX1551" s="6"/>
      <c r="BY1551" s="7"/>
      <c r="BZ1551" s="7"/>
      <c r="CA1551" s="7"/>
      <c r="CB1551" s="7"/>
      <c r="CC1551" s="16">
        <f>SUM(BX1551:CB1551)</f>
        <v>0</v>
      </c>
      <c r="CE1551" s="28">
        <f t="shared" si="7129"/>
        <v>0</v>
      </c>
      <c r="CF1551" s="29">
        <f t="shared" si="7130"/>
        <v>0</v>
      </c>
      <c r="CG1551" s="29">
        <f t="shared" si="7131"/>
        <v>0</v>
      </c>
      <c r="CH1551" s="29">
        <f t="shared" si="7132"/>
        <v>0</v>
      </c>
      <c r="CI1551" s="29">
        <f t="shared" si="7133"/>
        <v>0</v>
      </c>
      <c r="CJ1551" s="8">
        <f>SUM(CE1551:CI1551)</f>
        <v>0</v>
      </c>
      <c r="CL1551" s="6"/>
      <c r="CM1551" s="7"/>
      <c r="CN1551" s="7"/>
      <c r="CO1551" s="7"/>
      <c r="CP1551" s="7"/>
      <c r="CQ1551" s="16">
        <f>SUM(CL1551:CP1551)</f>
        <v>0</v>
      </c>
      <c r="CS1551" s="6"/>
      <c r="CT1551" s="7"/>
      <c r="CU1551" s="7"/>
      <c r="CV1551" s="7"/>
      <c r="CW1551" s="7"/>
      <c r="CX1551" s="8">
        <f t="shared" si="7138"/>
        <v>0</v>
      </c>
      <c r="CZ1551" s="6"/>
      <c r="DA1551" s="7"/>
      <c r="DB1551" s="7"/>
      <c r="DC1551" s="7"/>
      <c r="DD1551" s="7"/>
      <c r="DE1551" s="16">
        <f t="shared" si="7139"/>
        <v>0</v>
      </c>
    </row>
    <row r="1552" spans="2:110" ht="14" thickBot="1">
      <c r="C1552" s="567"/>
      <c r="E1552" s="14" t="s">
        <v>62</v>
      </c>
      <c r="F1552" s="23">
        <f t="shared" si="7134"/>
        <v>0</v>
      </c>
      <c r="G1552" s="24">
        <f t="shared" si="7125"/>
        <v>0</v>
      </c>
      <c r="H1552" s="24">
        <f t="shared" si="7126"/>
        <v>0</v>
      </c>
      <c r="I1552" s="24">
        <f t="shared" si="7127"/>
        <v>0</v>
      </c>
      <c r="J1552" s="24">
        <f t="shared" si="7128"/>
        <v>0</v>
      </c>
      <c r="K1552" s="16">
        <f t="shared" si="7135"/>
        <v>0</v>
      </c>
      <c r="M1552" s="6"/>
      <c r="N1552" s="7"/>
      <c r="O1552" s="7"/>
      <c r="P1552" s="7"/>
      <c r="Q1552" s="7"/>
      <c r="R1552" s="16">
        <f t="shared" si="7136"/>
        <v>0</v>
      </c>
      <c r="T1552" s="6"/>
      <c r="U1552" s="7"/>
      <c r="V1552" s="7"/>
      <c r="W1552" s="7"/>
      <c r="X1552" s="7"/>
      <c r="Y1552" s="16">
        <f t="shared" si="7137"/>
        <v>0</v>
      </c>
      <c r="AA1552" s="6"/>
      <c r="AB1552" s="7"/>
      <c r="AC1552" s="7"/>
      <c r="AD1552" s="7"/>
      <c r="AE1552" s="7"/>
      <c r="AF1552" s="16">
        <f>SUM(AA1552:AE1552)</f>
        <v>0</v>
      </c>
      <c r="AH1552" s="6"/>
      <c r="AI1552" s="7"/>
      <c r="AJ1552" s="7"/>
      <c r="AK1552" s="7"/>
      <c r="AL1552" s="7"/>
      <c r="AM1552" s="16">
        <f>SUM(AH1552:AL1552)</f>
        <v>0</v>
      </c>
      <c r="AO1552" s="6"/>
      <c r="AP1552" s="7"/>
      <c r="AQ1552" s="7"/>
      <c r="AR1552" s="7"/>
      <c r="AS1552" s="7"/>
      <c r="AT1552" s="16">
        <f>SUM(AO1552:AS1552)</f>
        <v>0</v>
      </c>
      <c r="AV1552" s="6"/>
      <c r="AW1552" s="7"/>
      <c r="AX1552" s="7"/>
      <c r="AY1552" s="7"/>
      <c r="AZ1552" s="7"/>
      <c r="BA1552" s="16">
        <f>SUM(AV1552:AZ1552)</f>
        <v>0</v>
      </c>
      <c r="BC1552" s="6"/>
      <c r="BD1552" s="7"/>
      <c r="BE1552" s="7"/>
      <c r="BF1552" s="7"/>
      <c r="BG1552" s="7"/>
      <c r="BH1552" s="16">
        <f>SUM(BC1552:BG1552)</f>
        <v>0</v>
      </c>
      <c r="BJ1552" s="6"/>
      <c r="BK1552" s="7"/>
      <c r="BL1552" s="7"/>
      <c r="BM1552" s="7"/>
      <c r="BN1552" s="7"/>
      <c r="BO1552" s="16">
        <f>SUM(BJ1552:BN1552)</f>
        <v>0</v>
      </c>
      <c r="BQ1552" s="6"/>
      <c r="BR1552" s="7"/>
      <c r="BS1552" s="7"/>
      <c r="BT1552" s="7"/>
      <c r="BU1552" s="7"/>
      <c r="BV1552" s="16">
        <f>SUM(BQ1552:BU1552)</f>
        <v>0</v>
      </c>
      <c r="BX1552" s="6"/>
      <c r="BY1552" s="7"/>
      <c r="BZ1552" s="7"/>
      <c r="CA1552" s="7"/>
      <c r="CB1552" s="7"/>
      <c r="CC1552" s="16">
        <f>SUM(BX1552:CB1552)</f>
        <v>0</v>
      </c>
      <c r="CE1552" s="493">
        <f t="shared" si="7129"/>
        <v>0</v>
      </c>
      <c r="CF1552" s="494">
        <f t="shared" si="7130"/>
        <v>0</v>
      </c>
      <c r="CG1552" s="494">
        <f t="shared" si="7131"/>
        <v>0</v>
      </c>
      <c r="CH1552" s="494">
        <f t="shared" si="7132"/>
        <v>0</v>
      </c>
      <c r="CI1552" s="494">
        <f t="shared" si="7133"/>
        <v>0</v>
      </c>
      <c r="CJ1552" s="495">
        <f>SUM(CE1552:CI1552)</f>
        <v>0</v>
      </c>
      <c r="CL1552" s="6"/>
      <c r="CM1552" s="7"/>
      <c r="CN1552" s="7"/>
      <c r="CO1552" s="7"/>
      <c r="CP1552" s="7"/>
      <c r="CQ1552" s="16">
        <f>SUM(CL1552:CP1552)</f>
        <v>0</v>
      </c>
      <c r="CS1552" s="6"/>
      <c r="CT1552" s="7"/>
      <c r="CU1552" s="7"/>
      <c r="CV1552" s="7"/>
      <c r="CW1552" s="7"/>
      <c r="CX1552" s="8">
        <f t="shared" si="7138"/>
        <v>0</v>
      </c>
      <c r="CZ1552" s="6"/>
      <c r="DA1552" s="7"/>
      <c r="DB1552" s="7"/>
      <c r="DC1552" s="7"/>
      <c r="DD1552" s="7"/>
      <c r="DE1552" s="16">
        <f t="shared" si="7139"/>
        <v>0</v>
      </c>
    </row>
    <row r="1553" spans="3:109" ht="14" thickBot="1">
      <c r="C1553" s="554"/>
      <c r="E1553" s="17"/>
      <c r="F1553" s="10">
        <f>SUM(F1549:F1552)</f>
        <v>0</v>
      </c>
      <c r="G1553" s="11">
        <f t="shared" ref="G1553:J1553" si="7140">SUM(G1549:G1552)</f>
        <v>0</v>
      </c>
      <c r="H1553" s="11">
        <f t="shared" si="7140"/>
        <v>0</v>
      </c>
      <c r="I1553" s="11">
        <f t="shared" si="7140"/>
        <v>0</v>
      </c>
      <c r="J1553" s="11">
        <f t="shared" si="7140"/>
        <v>0</v>
      </c>
      <c r="K1553" s="25">
        <f>SUM(K1549:K1552)</f>
        <v>0</v>
      </c>
      <c r="M1553" s="10">
        <f>SUM(M1549:M1552)</f>
        <v>0</v>
      </c>
      <c r="N1553" s="11">
        <f t="shared" ref="N1553:Q1553" si="7141">SUM(N1549:N1552)</f>
        <v>0</v>
      </c>
      <c r="O1553" s="11">
        <f t="shared" si="7141"/>
        <v>0</v>
      </c>
      <c r="P1553" s="11">
        <f t="shared" si="7141"/>
        <v>0</v>
      </c>
      <c r="Q1553" s="11">
        <f t="shared" si="7141"/>
        <v>0</v>
      </c>
      <c r="R1553" s="25">
        <f>SUM(R1549:R1552)</f>
        <v>0</v>
      </c>
      <c r="T1553" s="10">
        <f>SUM(T1549:T1552)</f>
        <v>0</v>
      </c>
      <c r="U1553" s="11">
        <f t="shared" ref="U1553:X1553" si="7142">SUM(U1549:U1552)</f>
        <v>0</v>
      </c>
      <c r="V1553" s="11">
        <f t="shared" si="7142"/>
        <v>0</v>
      </c>
      <c r="W1553" s="11">
        <f t="shared" si="7142"/>
        <v>0</v>
      </c>
      <c r="X1553" s="11">
        <f t="shared" si="7142"/>
        <v>0</v>
      </c>
      <c r="Y1553" s="25">
        <f>SUM(Y1549:Y1552)</f>
        <v>0</v>
      </c>
      <c r="AA1553" s="10">
        <f>SUM(AA1549:AA1552)</f>
        <v>0</v>
      </c>
      <c r="AB1553" s="11">
        <f t="shared" ref="AB1553:AE1553" si="7143">SUM(AB1549:AB1552)</f>
        <v>0</v>
      </c>
      <c r="AC1553" s="11">
        <f t="shared" si="7143"/>
        <v>0</v>
      </c>
      <c r="AD1553" s="11">
        <f t="shared" si="7143"/>
        <v>0</v>
      </c>
      <c r="AE1553" s="11">
        <f t="shared" si="7143"/>
        <v>0</v>
      </c>
      <c r="AF1553" s="25">
        <f>SUM(AF1549:AF1552)</f>
        <v>0</v>
      </c>
      <c r="AH1553" s="10">
        <f>SUM(AH1549:AH1552)</f>
        <v>0</v>
      </c>
      <c r="AI1553" s="11">
        <f t="shared" ref="AI1553:AL1553" si="7144">SUM(AI1549:AI1552)</f>
        <v>0</v>
      </c>
      <c r="AJ1553" s="11">
        <f t="shared" si="7144"/>
        <v>0</v>
      </c>
      <c r="AK1553" s="11">
        <f t="shared" si="7144"/>
        <v>0</v>
      </c>
      <c r="AL1553" s="11">
        <f t="shared" si="7144"/>
        <v>0</v>
      </c>
      <c r="AM1553" s="25">
        <f>SUM(AM1549:AM1552)</f>
        <v>0</v>
      </c>
      <c r="AO1553" s="10">
        <f>SUM(AO1549:AO1552)</f>
        <v>0</v>
      </c>
      <c r="AP1553" s="11">
        <f t="shared" ref="AP1553:AS1553" si="7145">SUM(AP1549:AP1552)</f>
        <v>0</v>
      </c>
      <c r="AQ1553" s="11">
        <f t="shared" si="7145"/>
        <v>0</v>
      </c>
      <c r="AR1553" s="11">
        <f t="shared" si="7145"/>
        <v>0</v>
      </c>
      <c r="AS1553" s="11">
        <f t="shared" si="7145"/>
        <v>0</v>
      </c>
      <c r="AT1553" s="25">
        <f>SUM(AT1549:AT1552)</f>
        <v>0</v>
      </c>
      <c r="AV1553" s="10">
        <f>SUM(AV1549:AV1552)</f>
        <v>0</v>
      </c>
      <c r="AW1553" s="11">
        <f t="shared" ref="AW1553:AZ1553" si="7146">SUM(AW1549:AW1552)</f>
        <v>0</v>
      </c>
      <c r="AX1553" s="11">
        <f t="shared" si="7146"/>
        <v>0</v>
      </c>
      <c r="AY1553" s="11">
        <f t="shared" si="7146"/>
        <v>0</v>
      </c>
      <c r="AZ1553" s="11">
        <f t="shared" si="7146"/>
        <v>0</v>
      </c>
      <c r="BA1553" s="25">
        <f>SUM(BA1549:BA1552)</f>
        <v>0</v>
      </c>
      <c r="BC1553" s="10">
        <f>SUM(BC1549:BC1552)</f>
        <v>0</v>
      </c>
      <c r="BD1553" s="11">
        <f t="shared" ref="BD1553:BG1553" si="7147">SUM(BD1549:BD1552)</f>
        <v>0</v>
      </c>
      <c r="BE1553" s="11">
        <f t="shared" si="7147"/>
        <v>0</v>
      </c>
      <c r="BF1553" s="11">
        <f t="shared" si="7147"/>
        <v>0</v>
      </c>
      <c r="BG1553" s="11">
        <f t="shared" si="7147"/>
        <v>0</v>
      </c>
      <c r="BH1553" s="25">
        <f>SUM(BH1549:BH1552)</f>
        <v>0</v>
      </c>
      <c r="BJ1553" s="10">
        <f>SUM(BJ1549:BJ1552)</f>
        <v>0</v>
      </c>
      <c r="BK1553" s="11">
        <f t="shared" ref="BK1553:BN1553" si="7148">SUM(BK1549:BK1552)</f>
        <v>0</v>
      </c>
      <c r="BL1553" s="11">
        <f t="shared" si="7148"/>
        <v>0</v>
      </c>
      <c r="BM1553" s="11">
        <f t="shared" si="7148"/>
        <v>0</v>
      </c>
      <c r="BN1553" s="11">
        <f t="shared" si="7148"/>
        <v>0</v>
      </c>
      <c r="BO1553" s="25">
        <f>SUM(BO1549:BO1552)</f>
        <v>0</v>
      </c>
      <c r="BQ1553" s="10">
        <f>SUM(BQ1549:BQ1552)</f>
        <v>0</v>
      </c>
      <c r="BR1553" s="11">
        <f t="shared" ref="BR1553:BU1553" si="7149">SUM(BR1549:BR1552)</f>
        <v>0</v>
      </c>
      <c r="BS1553" s="11">
        <f t="shared" si="7149"/>
        <v>0</v>
      </c>
      <c r="BT1553" s="11">
        <f t="shared" si="7149"/>
        <v>0</v>
      </c>
      <c r="BU1553" s="11">
        <f t="shared" si="7149"/>
        <v>0</v>
      </c>
      <c r="BV1553" s="25">
        <f>SUM(BV1549:BV1552)</f>
        <v>0</v>
      </c>
      <c r="BX1553" s="10">
        <f>SUM(BX1549:BX1552)</f>
        <v>0</v>
      </c>
      <c r="BY1553" s="11">
        <f t="shared" ref="BY1553:CB1553" si="7150">SUM(BY1549:BY1552)</f>
        <v>0</v>
      </c>
      <c r="BZ1553" s="11">
        <f t="shared" si="7150"/>
        <v>0</v>
      </c>
      <c r="CA1553" s="11">
        <f t="shared" si="7150"/>
        <v>0</v>
      </c>
      <c r="CB1553" s="11">
        <f t="shared" si="7150"/>
        <v>0</v>
      </c>
      <c r="CC1553" s="25">
        <f>SUM(CC1549:CC1552)</f>
        <v>0</v>
      </c>
      <c r="CE1553" s="62">
        <f t="shared" ref="CE1553:CJ1553" si="7151">SUM(CE1549:CE1552)</f>
        <v>0</v>
      </c>
      <c r="CF1553" s="63">
        <f t="shared" si="7151"/>
        <v>0</v>
      </c>
      <c r="CG1553" s="63">
        <f t="shared" si="7151"/>
        <v>0</v>
      </c>
      <c r="CH1553" s="63">
        <f t="shared" si="7151"/>
        <v>0</v>
      </c>
      <c r="CI1553" s="63">
        <f t="shared" si="7151"/>
        <v>0</v>
      </c>
      <c r="CJ1553" s="25">
        <f t="shared" si="7151"/>
        <v>0</v>
      </c>
      <c r="CL1553" s="10">
        <f>SUM(CL1549:CL1552)</f>
        <v>0</v>
      </c>
      <c r="CM1553" s="11">
        <f t="shared" ref="CM1553:CP1553" si="7152">SUM(CM1549:CM1552)</f>
        <v>0</v>
      </c>
      <c r="CN1553" s="11">
        <f t="shared" si="7152"/>
        <v>0</v>
      </c>
      <c r="CO1553" s="11">
        <f t="shared" si="7152"/>
        <v>0</v>
      </c>
      <c r="CP1553" s="11">
        <f t="shared" si="7152"/>
        <v>0</v>
      </c>
      <c r="CQ1553" s="25">
        <f>SUM(CQ1549:CQ1552)</f>
        <v>0</v>
      </c>
      <c r="CS1553" s="10">
        <f>SUM(CS1549:CS1552)</f>
        <v>0</v>
      </c>
      <c r="CT1553" s="11">
        <f t="shared" ref="CT1553:CW1553" si="7153">SUM(CT1549:CT1552)</f>
        <v>0</v>
      </c>
      <c r="CU1553" s="11">
        <f t="shared" si="7153"/>
        <v>0</v>
      </c>
      <c r="CV1553" s="11">
        <f t="shared" si="7153"/>
        <v>0</v>
      </c>
      <c r="CW1553" s="11">
        <f t="shared" si="7153"/>
        <v>0</v>
      </c>
      <c r="CX1553" s="25">
        <f>SUM(CX1549:CX1552)</f>
        <v>0</v>
      </c>
      <c r="CZ1553" s="10">
        <f>SUM(CZ1549:CZ1552)</f>
        <v>0</v>
      </c>
      <c r="DA1553" s="11">
        <f t="shared" ref="DA1553:DD1553" si="7154">SUM(DA1549:DA1552)</f>
        <v>0</v>
      </c>
      <c r="DB1553" s="11">
        <f t="shared" si="7154"/>
        <v>0</v>
      </c>
      <c r="DC1553" s="11">
        <f t="shared" si="7154"/>
        <v>0</v>
      </c>
      <c r="DD1553" s="11">
        <f t="shared" si="7154"/>
        <v>0</v>
      </c>
      <c r="DE1553" s="25">
        <f>SUM(DE1549:DE1552)</f>
        <v>0</v>
      </c>
    </row>
    <row r="1554" spans="3:109" ht="10.4" customHeight="1" thickBot="1"/>
    <row r="1555" spans="3:109">
      <c r="C1555" s="553">
        <v>2026</v>
      </c>
      <c r="E1555" s="1" t="s">
        <v>59</v>
      </c>
      <c r="F1555" s="21">
        <f>CE1549</f>
        <v>0</v>
      </c>
      <c r="G1555" s="22">
        <f t="shared" ref="G1555:G1558" si="7155">CF1549</f>
        <v>0</v>
      </c>
      <c r="H1555" s="22">
        <f t="shared" ref="H1555:H1558" si="7156">CG1549</f>
        <v>0</v>
      </c>
      <c r="I1555" s="22">
        <f t="shared" ref="I1555:I1558" si="7157">CH1549</f>
        <v>0</v>
      </c>
      <c r="J1555" s="22">
        <f t="shared" ref="J1555:J1558" si="7158">CI1549</f>
        <v>0</v>
      </c>
      <c r="K1555" s="4">
        <f>SUM(F1555:J1555)</f>
        <v>0</v>
      </c>
      <c r="M1555" s="2"/>
      <c r="N1555" s="3"/>
      <c r="O1555" s="3"/>
      <c r="P1555" s="3"/>
      <c r="Q1555" s="3"/>
      <c r="R1555" s="4">
        <f>SUM(M1555:Q1555)</f>
        <v>0</v>
      </c>
      <c r="T1555" s="2"/>
      <c r="U1555" s="3"/>
      <c r="V1555" s="3"/>
      <c r="W1555" s="3"/>
      <c r="X1555" s="3"/>
      <c r="Y1555" s="4">
        <f>SUM(T1555:X1555)</f>
        <v>0</v>
      </c>
      <c r="AA1555" s="2"/>
      <c r="AB1555" s="3"/>
      <c r="AC1555" s="3"/>
      <c r="AD1555" s="3"/>
      <c r="AE1555" s="3"/>
      <c r="AF1555" s="4">
        <f>SUM(AA1555:AE1555)</f>
        <v>0</v>
      </c>
      <c r="AH1555" s="2"/>
      <c r="AI1555" s="3"/>
      <c r="AJ1555" s="3"/>
      <c r="AK1555" s="3"/>
      <c r="AL1555" s="3"/>
      <c r="AM1555" s="4">
        <f>SUM(AH1555:AL1555)</f>
        <v>0</v>
      </c>
      <c r="AO1555" s="2"/>
      <c r="AP1555" s="3"/>
      <c r="AQ1555" s="3"/>
      <c r="AR1555" s="3"/>
      <c r="AS1555" s="3"/>
      <c r="AT1555" s="4">
        <f>SUM(AO1555:AS1555)</f>
        <v>0</v>
      </c>
      <c r="AV1555" s="2"/>
      <c r="AW1555" s="3"/>
      <c r="AX1555" s="3"/>
      <c r="AY1555" s="3"/>
      <c r="AZ1555" s="3"/>
      <c r="BA1555" s="4">
        <f>SUM(AV1555:AZ1555)</f>
        <v>0</v>
      </c>
      <c r="BC1555" s="2"/>
      <c r="BD1555" s="3"/>
      <c r="BE1555" s="3"/>
      <c r="BF1555" s="3"/>
      <c r="BG1555" s="3"/>
      <c r="BH1555" s="4">
        <f>SUM(BC1555:BG1555)</f>
        <v>0</v>
      </c>
      <c r="BJ1555" s="2"/>
      <c r="BK1555" s="3"/>
      <c r="BL1555" s="3"/>
      <c r="BM1555" s="3"/>
      <c r="BN1555" s="3"/>
      <c r="BO1555" s="4">
        <f>SUM(BJ1555:BN1555)</f>
        <v>0</v>
      </c>
      <c r="BQ1555" s="2"/>
      <c r="BR1555" s="3"/>
      <c r="BS1555" s="3"/>
      <c r="BT1555" s="3"/>
      <c r="BU1555" s="3"/>
      <c r="BV1555" s="4">
        <f>SUM(BQ1555:BU1555)</f>
        <v>0</v>
      </c>
      <c r="BX1555" s="2"/>
      <c r="BY1555" s="3"/>
      <c r="BZ1555" s="3"/>
      <c r="CA1555" s="3"/>
      <c r="CB1555" s="3"/>
      <c r="CC1555" s="4">
        <f>SUM(BX1555:CB1555)</f>
        <v>0</v>
      </c>
      <c r="CE1555" s="26">
        <f t="shared" ref="CE1555:CE1558" si="7159">F1555+M1555+T1555+AA1555+AH1555+AO1555+AV1555+BC1555+BJ1555+BQ1555+BX1555</f>
        <v>0</v>
      </c>
      <c r="CF1555" s="27">
        <f t="shared" ref="CF1555:CF1558" si="7160">G1555+N1555+U1555+AB1555+AI1555+AP1555+AW1555+BD1555+BK1555+BR1555+BY1555</f>
        <v>0</v>
      </c>
      <c r="CG1555" s="27">
        <f t="shared" ref="CG1555:CG1558" si="7161">H1555+O1555+V1555+AC1555+AJ1555+AQ1555+AX1555+BE1555+BL1555+BS1555+BZ1555</f>
        <v>0</v>
      </c>
      <c r="CH1555" s="27">
        <f t="shared" ref="CH1555:CH1558" si="7162">I1555+P1555+W1555+AD1555+AK1555+AR1555+AY1555+BF1555+BM1555+BT1555+CA1555</f>
        <v>0</v>
      </c>
      <c r="CI1555" s="27">
        <f t="shared" ref="CI1555:CI1558" si="7163">J1555+Q1555+X1555+AE1555+AL1555+AS1555+AZ1555+BG1555+BN1555+BU1555+CB1555</f>
        <v>0</v>
      </c>
      <c r="CJ1555" s="4">
        <f>SUM(CE1555:CI1555)</f>
        <v>0</v>
      </c>
      <c r="CL1555" s="2"/>
      <c r="CM1555" s="3"/>
      <c r="CN1555" s="3"/>
      <c r="CO1555" s="3"/>
      <c r="CP1555" s="3"/>
      <c r="CQ1555" s="4">
        <f>SUM(CL1555:CP1555)</f>
        <v>0</v>
      </c>
      <c r="CS1555" s="2"/>
      <c r="CT1555" s="3"/>
      <c r="CU1555" s="3"/>
      <c r="CV1555" s="3"/>
      <c r="CW1555" s="3"/>
      <c r="CX1555" s="4">
        <f>SUM(CS1555:CW1555)</f>
        <v>0</v>
      </c>
      <c r="CZ1555" s="2"/>
      <c r="DA1555" s="3"/>
      <c r="DB1555" s="3"/>
      <c r="DC1555" s="3"/>
      <c r="DD1555" s="3"/>
      <c r="DE1555" s="4">
        <f>SUM(CZ1555:DD1555)</f>
        <v>0</v>
      </c>
    </row>
    <row r="1556" spans="3:109">
      <c r="C1556" s="567"/>
      <c r="E1556" s="5" t="s">
        <v>60</v>
      </c>
      <c r="F1556" s="23">
        <f t="shared" ref="F1556:F1558" si="7164">CE1550</f>
        <v>0</v>
      </c>
      <c r="G1556" s="24">
        <f t="shared" si="7155"/>
        <v>0</v>
      </c>
      <c r="H1556" s="24">
        <f t="shared" si="7156"/>
        <v>0</v>
      </c>
      <c r="I1556" s="24">
        <f t="shared" si="7157"/>
        <v>0</v>
      </c>
      <c r="J1556" s="24">
        <f t="shared" si="7158"/>
        <v>0</v>
      </c>
      <c r="K1556" s="8">
        <f t="shared" ref="K1556:K1558" si="7165">SUM(F1556:J1556)</f>
        <v>0</v>
      </c>
      <c r="M1556" s="6"/>
      <c r="N1556" s="7"/>
      <c r="O1556" s="7"/>
      <c r="P1556" s="7"/>
      <c r="Q1556" s="7"/>
      <c r="R1556" s="8">
        <f t="shared" ref="R1556:R1558" si="7166">SUM(M1556:Q1556)</f>
        <v>0</v>
      </c>
      <c r="T1556" s="6"/>
      <c r="U1556" s="7"/>
      <c r="V1556" s="7"/>
      <c r="W1556" s="7"/>
      <c r="X1556" s="7"/>
      <c r="Y1556" s="8">
        <f t="shared" ref="Y1556:Y1558" si="7167">SUM(T1556:X1556)</f>
        <v>0</v>
      </c>
      <c r="AA1556" s="6"/>
      <c r="AB1556" s="7"/>
      <c r="AC1556" s="7"/>
      <c r="AD1556" s="7"/>
      <c r="AE1556" s="7"/>
      <c r="AF1556" s="8">
        <f>SUM(AA1556:AE1556)</f>
        <v>0</v>
      </c>
      <c r="AH1556" s="6"/>
      <c r="AI1556" s="7"/>
      <c r="AJ1556" s="7"/>
      <c r="AK1556" s="7"/>
      <c r="AL1556" s="7"/>
      <c r="AM1556" s="8">
        <f>SUM(AH1556:AL1556)</f>
        <v>0</v>
      </c>
      <c r="AO1556" s="6"/>
      <c r="AP1556" s="7"/>
      <c r="AQ1556" s="7"/>
      <c r="AR1556" s="7"/>
      <c r="AS1556" s="7"/>
      <c r="AT1556" s="8">
        <f>SUM(AO1556:AS1556)</f>
        <v>0</v>
      </c>
      <c r="AV1556" s="6"/>
      <c r="AW1556" s="7"/>
      <c r="AX1556" s="7"/>
      <c r="AY1556" s="7"/>
      <c r="AZ1556" s="7"/>
      <c r="BA1556" s="8">
        <f>SUM(AV1556:AZ1556)</f>
        <v>0</v>
      </c>
      <c r="BC1556" s="6"/>
      <c r="BD1556" s="7"/>
      <c r="BE1556" s="7"/>
      <c r="BF1556" s="7"/>
      <c r="BG1556" s="7"/>
      <c r="BH1556" s="8">
        <f>SUM(BC1556:BG1556)</f>
        <v>0</v>
      </c>
      <c r="BJ1556" s="6"/>
      <c r="BK1556" s="7"/>
      <c r="BL1556" s="7"/>
      <c r="BM1556" s="7"/>
      <c r="BN1556" s="7"/>
      <c r="BO1556" s="8">
        <f>SUM(BJ1556:BN1556)</f>
        <v>0</v>
      </c>
      <c r="BQ1556" s="6"/>
      <c r="BR1556" s="7"/>
      <c r="BS1556" s="7"/>
      <c r="BT1556" s="7"/>
      <c r="BU1556" s="7"/>
      <c r="BV1556" s="8">
        <f>SUM(BQ1556:BU1556)</f>
        <v>0</v>
      </c>
      <c r="BX1556" s="6"/>
      <c r="BY1556" s="7"/>
      <c r="BZ1556" s="7"/>
      <c r="CA1556" s="7"/>
      <c r="CB1556" s="7"/>
      <c r="CC1556" s="8">
        <f>SUM(BX1556:CB1556)</f>
        <v>0</v>
      </c>
      <c r="CE1556" s="28">
        <f t="shared" si="7159"/>
        <v>0</v>
      </c>
      <c r="CF1556" s="29">
        <f t="shared" si="7160"/>
        <v>0</v>
      </c>
      <c r="CG1556" s="29">
        <f t="shared" si="7161"/>
        <v>0</v>
      </c>
      <c r="CH1556" s="29">
        <f t="shared" si="7162"/>
        <v>0</v>
      </c>
      <c r="CI1556" s="29">
        <f t="shared" si="7163"/>
        <v>0</v>
      </c>
      <c r="CJ1556" s="8">
        <f>SUM(CE1556:CI1556)</f>
        <v>0</v>
      </c>
      <c r="CL1556" s="6"/>
      <c r="CM1556" s="7"/>
      <c r="CN1556" s="7"/>
      <c r="CO1556" s="7"/>
      <c r="CP1556" s="7"/>
      <c r="CQ1556" s="8">
        <f>SUM(CL1556:CP1556)</f>
        <v>0</v>
      </c>
      <c r="CS1556" s="6"/>
      <c r="CT1556" s="7"/>
      <c r="CU1556" s="7"/>
      <c r="CV1556" s="7"/>
      <c r="CW1556" s="7"/>
      <c r="CX1556" s="8">
        <f t="shared" ref="CX1556:CX1558" si="7168">SUM(CS1556:CW1556)</f>
        <v>0</v>
      </c>
      <c r="CZ1556" s="6"/>
      <c r="DA1556" s="7"/>
      <c r="DB1556" s="7"/>
      <c r="DC1556" s="7"/>
      <c r="DD1556" s="7"/>
      <c r="DE1556" s="8">
        <f t="shared" ref="DE1556:DE1558" si="7169">SUM(CZ1556:DD1556)</f>
        <v>0</v>
      </c>
    </row>
    <row r="1557" spans="3:109">
      <c r="C1557" s="567"/>
      <c r="E1557" s="5" t="s">
        <v>61</v>
      </c>
      <c r="F1557" s="23">
        <f t="shared" si="7164"/>
        <v>0</v>
      </c>
      <c r="G1557" s="24">
        <f t="shared" si="7155"/>
        <v>0</v>
      </c>
      <c r="H1557" s="24">
        <f t="shared" si="7156"/>
        <v>0</v>
      </c>
      <c r="I1557" s="24">
        <f t="shared" si="7157"/>
        <v>0</v>
      </c>
      <c r="J1557" s="24">
        <f t="shared" si="7158"/>
        <v>0</v>
      </c>
      <c r="K1557" s="8">
        <f t="shared" si="7165"/>
        <v>0</v>
      </c>
      <c r="M1557" s="6"/>
      <c r="N1557" s="7"/>
      <c r="O1557" s="7"/>
      <c r="P1557" s="7"/>
      <c r="Q1557" s="7"/>
      <c r="R1557" s="8">
        <f t="shared" si="7166"/>
        <v>0</v>
      </c>
      <c r="T1557" s="6"/>
      <c r="U1557" s="7"/>
      <c r="V1557" s="7"/>
      <c r="W1557" s="7"/>
      <c r="X1557" s="7"/>
      <c r="Y1557" s="8">
        <f t="shared" si="7167"/>
        <v>0</v>
      </c>
      <c r="AA1557" s="6"/>
      <c r="AB1557" s="7"/>
      <c r="AC1557" s="7"/>
      <c r="AD1557" s="7"/>
      <c r="AE1557" s="7"/>
      <c r="AF1557" s="8">
        <f>SUM(AA1557:AE1557)</f>
        <v>0</v>
      </c>
      <c r="AH1557" s="6"/>
      <c r="AI1557" s="7"/>
      <c r="AJ1557" s="7"/>
      <c r="AK1557" s="7"/>
      <c r="AL1557" s="7"/>
      <c r="AM1557" s="8">
        <f>SUM(AH1557:AL1557)</f>
        <v>0</v>
      </c>
      <c r="AO1557" s="6"/>
      <c r="AP1557" s="7"/>
      <c r="AQ1557" s="7"/>
      <c r="AR1557" s="7"/>
      <c r="AS1557" s="7"/>
      <c r="AT1557" s="8">
        <f>SUM(AO1557:AS1557)</f>
        <v>0</v>
      </c>
      <c r="AV1557" s="6"/>
      <c r="AW1557" s="7"/>
      <c r="AX1557" s="7"/>
      <c r="AY1557" s="7"/>
      <c r="AZ1557" s="7"/>
      <c r="BA1557" s="8">
        <f>SUM(AV1557:AZ1557)</f>
        <v>0</v>
      </c>
      <c r="BC1557" s="6"/>
      <c r="BD1557" s="7"/>
      <c r="BE1557" s="7"/>
      <c r="BF1557" s="7"/>
      <c r="BG1557" s="7"/>
      <c r="BH1557" s="8">
        <f>SUM(BC1557:BG1557)</f>
        <v>0</v>
      </c>
      <c r="BJ1557" s="6"/>
      <c r="BK1557" s="7"/>
      <c r="BL1557" s="7"/>
      <c r="BM1557" s="7"/>
      <c r="BN1557" s="7"/>
      <c r="BO1557" s="8">
        <f>SUM(BJ1557:BN1557)</f>
        <v>0</v>
      </c>
      <c r="BQ1557" s="6"/>
      <c r="BR1557" s="7"/>
      <c r="BS1557" s="7"/>
      <c r="BT1557" s="7"/>
      <c r="BU1557" s="7"/>
      <c r="BV1557" s="8">
        <f>SUM(BQ1557:BU1557)</f>
        <v>0</v>
      </c>
      <c r="BX1557" s="6"/>
      <c r="BY1557" s="7"/>
      <c r="BZ1557" s="7"/>
      <c r="CA1557" s="7"/>
      <c r="CB1557" s="7"/>
      <c r="CC1557" s="8">
        <f>SUM(BX1557:CB1557)</f>
        <v>0</v>
      </c>
      <c r="CE1557" s="28">
        <f t="shared" si="7159"/>
        <v>0</v>
      </c>
      <c r="CF1557" s="29">
        <f t="shared" si="7160"/>
        <v>0</v>
      </c>
      <c r="CG1557" s="29">
        <f t="shared" si="7161"/>
        <v>0</v>
      </c>
      <c r="CH1557" s="29">
        <f t="shared" si="7162"/>
        <v>0</v>
      </c>
      <c r="CI1557" s="29">
        <f t="shared" si="7163"/>
        <v>0</v>
      </c>
      <c r="CJ1557" s="8">
        <f>SUM(CE1557:CI1557)</f>
        <v>0</v>
      </c>
      <c r="CL1557" s="6"/>
      <c r="CM1557" s="7"/>
      <c r="CN1557" s="7"/>
      <c r="CO1557" s="7"/>
      <c r="CP1557" s="7"/>
      <c r="CQ1557" s="8">
        <f>SUM(CL1557:CP1557)</f>
        <v>0</v>
      </c>
      <c r="CS1557" s="6"/>
      <c r="CT1557" s="7"/>
      <c r="CU1557" s="7"/>
      <c r="CV1557" s="7"/>
      <c r="CW1557" s="7"/>
      <c r="CX1557" s="8">
        <f t="shared" si="7168"/>
        <v>0</v>
      </c>
      <c r="CZ1557" s="6"/>
      <c r="DA1557" s="7"/>
      <c r="DB1557" s="7"/>
      <c r="DC1557" s="7"/>
      <c r="DD1557" s="7"/>
      <c r="DE1557" s="8">
        <f t="shared" si="7169"/>
        <v>0</v>
      </c>
    </row>
    <row r="1558" spans="3:109" ht="14" thickBot="1">
      <c r="C1558" s="567"/>
      <c r="E1558" s="5" t="s">
        <v>62</v>
      </c>
      <c r="F1558" s="23">
        <f t="shared" si="7164"/>
        <v>0</v>
      </c>
      <c r="G1558" s="24">
        <f t="shared" si="7155"/>
        <v>0</v>
      </c>
      <c r="H1558" s="24">
        <f t="shared" si="7156"/>
        <v>0</v>
      </c>
      <c r="I1558" s="24">
        <f t="shared" si="7157"/>
        <v>0</v>
      </c>
      <c r="J1558" s="24">
        <f t="shared" si="7158"/>
        <v>0</v>
      </c>
      <c r="K1558" s="8">
        <f t="shared" si="7165"/>
        <v>0</v>
      </c>
      <c r="M1558" s="6"/>
      <c r="N1558" s="7"/>
      <c r="O1558" s="7"/>
      <c r="P1558" s="7"/>
      <c r="Q1558" s="7"/>
      <c r="R1558" s="8">
        <f t="shared" si="7166"/>
        <v>0</v>
      </c>
      <c r="T1558" s="6"/>
      <c r="U1558" s="7"/>
      <c r="V1558" s="7"/>
      <c r="W1558" s="7"/>
      <c r="X1558" s="7"/>
      <c r="Y1558" s="8">
        <f t="shared" si="7167"/>
        <v>0</v>
      </c>
      <c r="AA1558" s="6"/>
      <c r="AB1558" s="7"/>
      <c r="AC1558" s="7"/>
      <c r="AD1558" s="7"/>
      <c r="AE1558" s="7"/>
      <c r="AF1558" s="8">
        <f>SUM(AA1558:AE1558)</f>
        <v>0</v>
      </c>
      <c r="AH1558" s="6"/>
      <c r="AI1558" s="7"/>
      <c r="AJ1558" s="7"/>
      <c r="AK1558" s="7"/>
      <c r="AL1558" s="7"/>
      <c r="AM1558" s="8">
        <f>SUM(AH1558:AL1558)</f>
        <v>0</v>
      </c>
      <c r="AO1558" s="6"/>
      <c r="AP1558" s="7"/>
      <c r="AQ1558" s="7"/>
      <c r="AR1558" s="7"/>
      <c r="AS1558" s="7"/>
      <c r="AT1558" s="8">
        <f>SUM(AO1558:AS1558)</f>
        <v>0</v>
      </c>
      <c r="AV1558" s="6"/>
      <c r="AW1558" s="7"/>
      <c r="AX1558" s="7"/>
      <c r="AY1558" s="7"/>
      <c r="AZ1558" s="7"/>
      <c r="BA1558" s="8">
        <f>SUM(AV1558:AZ1558)</f>
        <v>0</v>
      </c>
      <c r="BC1558" s="6"/>
      <c r="BD1558" s="7"/>
      <c r="BE1558" s="7"/>
      <c r="BF1558" s="7"/>
      <c r="BG1558" s="7"/>
      <c r="BH1558" s="8">
        <f>SUM(BC1558:BG1558)</f>
        <v>0</v>
      </c>
      <c r="BJ1558" s="6"/>
      <c r="BK1558" s="7"/>
      <c r="BL1558" s="7"/>
      <c r="BM1558" s="7"/>
      <c r="BN1558" s="7"/>
      <c r="BO1558" s="8">
        <f>SUM(BJ1558:BN1558)</f>
        <v>0</v>
      </c>
      <c r="BQ1558" s="6"/>
      <c r="BR1558" s="7"/>
      <c r="BS1558" s="7"/>
      <c r="BT1558" s="7"/>
      <c r="BU1558" s="7"/>
      <c r="BV1558" s="8">
        <f>SUM(BQ1558:BU1558)</f>
        <v>0</v>
      </c>
      <c r="BX1558" s="6"/>
      <c r="BY1558" s="7"/>
      <c r="BZ1558" s="7"/>
      <c r="CA1558" s="7"/>
      <c r="CB1558" s="7"/>
      <c r="CC1558" s="8">
        <f>SUM(BX1558:CB1558)</f>
        <v>0</v>
      </c>
      <c r="CE1558" s="493">
        <f t="shared" si="7159"/>
        <v>0</v>
      </c>
      <c r="CF1558" s="494">
        <f t="shared" si="7160"/>
        <v>0</v>
      </c>
      <c r="CG1558" s="494">
        <f t="shared" si="7161"/>
        <v>0</v>
      </c>
      <c r="CH1558" s="494">
        <f t="shared" si="7162"/>
        <v>0</v>
      </c>
      <c r="CI1558" s="494">
        <f t="shared" si="7163"/>
        <v>0</v>
      </c>
      <c r="CJ1558" s="495">
        <f>SUM(CE1558:CI1558)</f>
        <v>0</v>
      </c>
      <c r="CL1558" s="6"/>
      <c r="CM1558" s="7"/>
      <c r="CN1558" s="7"/>
      <c r="CO1558" s="7"/>
      <c r="CP1558" s="7"/>
      <c r="CQ1558" s="8">
        <f>SUM(CL1558:CP1558)</f>
        <v>0</v>
      </c>
      <c r="CS1558" s="6"/>
      <c r="CT1558" s="7"/>
      <c r="CU1558" s="7"/>
      <c r="CV1558" s="7"/>
      <c r="CW1558" s="7"/>
      <c r="CX1558" s="8">
        <f t="shared" si="7168"/>
        <v>0</v>
      </c>
      <c r="CZ1558" s="6"/>
      <c r="DA1558" s="7"/>
      <c r="DB1558" s="7"/>
      <c r="DC1558" s="7"/>
      <c r="DD1558" s="7"/>
      <c r="DE1558" s="8">
        <f t="shared" si="7169"/>
        <v>0</v>
      </c>
    </row>
    <row r="1559" spans="3:109" ht="14" thickBot="1">
      <c r="C1559" s="554"/>
      <c r="E1559" s="9"/>
      <c r="F1559" s="10">
        <f>SUM(F1555:F1558)</f>
        <v>0</v>
      </c>
      <c r="G1559" s="11">
        <f t="shared" ref="G1559:J1559" si="7170">SUM(G1555:G1558)</f>
        <v>0</v>
      </c>
      <c r="H1559" s="11">
        <f t="shared" si="7170"/>
        <v>0</v>
      </c>
      <c r="I1559" s="11">
        <f t="shared" si="7170"/>
        <v>0</v>
      </c>
      <c r="J1559" s="11">
        <f t="shared" si="7170"/>
        <v>0</v>
      </c>
      <c r="K1559" s="25">
        <f>SUM(K1555:K1558)</f>
        <v>0</v>
      </c>
      <c r="M1559" s="10">
        <f>SUM(M1555:M1558)</f>
        <v>0</v>
      </c>
      <c r="N1559" s="11">
        <f t="shared" ref="N1559:Q1559" si="7171">SUM(N1555:N1558)</f>
        <v>0</v>
      </c>
      <c r="O1559" s="11">
        <f t="shared" si="7171"/>
        <v>0</v>
      </c>
      <c r="P1559" s="11">
        <f t="shared" si="7171"/>
        <v>0</v>
      </c>
      <c r="Q1559" s="11">
        <f t="shared" si="7171"/>
        <v>0</v>
      </c>
      <c r="R1559" s="25">
        <f>SUM(R1555:R1558)</f>
        <v>0</v>
      </c>
      <c r="T1559" s="10">
        <f>SUM(T1555:T1558)</f>
        <v>0</v>
      </c>
      <c r="U1559" s="11">
        <f t="shared" ref="U1559:X1559" si="7172">SUM(U1555:U1558)</f>
        <v>0</v>
      </c>
      <c r="V1559" s="11">
        <f t="shared" si="7172"/>
        <v>0</v>
      </c>
      <c r="W1559" s="11">
        <f t="shared" si="7172"/>
        <v>0</v>
      </c>
      <c r="X1559" s="11">
        <f t="shared" si="7172"/>
        <v>0</v>
      </c>
      <c r="Y1559" s="25">
        <f>SUM(Y1555:Y1558)</f>
        <v>0</v>
      </c>
      <c r="AA1559" s="10">
        <f>SUM(AA1555:AA1558)</f>
        <v>0</v>
      </c>
      <c r="AB1559" s="11">
        <f t="shared" ref="AB1559:AE1559" si="7173">SUM(AB1555:AB1558)</f>
        <v>0</v>
      </c>
      <c r="AC1559" s="11">
        <f t="shared" si="7173"/>
        <v>0</v>
      </c>
      <c r="AD1559" s="11">
        <f t="shared" si="7173"/>
        <v>0</v>
      </c>
      <c r="AE1559" s="11">
        <f t="shared" si="7173"/>
        <v>0</v>
      </c>
      <c r="AF1559" s="25">
        <f>SUM(AF1555:AF1558)</f>
        <v>0</v>
      </c>
      <c r="AH1559" s="10">
        <f>SUM(AH1555:AH1558)</f>
        <v>0</v>
      </c>
      <c r="AI1559" s="11">
        <f t="shared" ref="AI1559:AL1559" si="7174">SUM(AI1555:AI1558)</f>
        <v>0</v>
      </c>
      <c r="AJ1559" s="11">
        <f t="shared" si="7174"/>
        <v>0</v>
      </c>
      <c r="AK1559" s="11">
        <f t="shared" si="7174"/>
        <v>0</v>
      </c>
      <c r="AL1559" s="11">
        <f t="shared" si="7174"/>
        <v>0</v>
      </c>
      <c r="AM1559" s="25">
        <f>SUM(AM1555:AM1558)</f>
        <v>0</v>
      </c>
      <c r="AO1559" s="10">
        <f>SUM(AO1555:AO1558)</f>
        <v>0</v>
      </c>
      <c r="AP1559" s="11">
        <f t="shared" ref="AP1559:AS1559" si="7175">SUM(AP1555:AP1558)</f>
        <v>0</v>
      </c>
      <c r="AQ1559" s="11">
        <f t="shared" si="7175"/>
        <v>0</v>
      </c>
      <c r="AR1559" s="11">
        <f t="shared" si="7175"/>
        <v>0</v>
      </c>
      <c r="AS1559" s="11">
        <f t="shared" si="7175"/>
        <v>0</v>
      </c>
      <c r="AT1559" s="25">
        <f>SUM(AT1555:AT1558)</f>
        <v>0</v>
      </c>
      <c r="AV1559" s="10">
        <f>SUM(AV1555:AV1558)</f>
        <v>0</v>
      </c>
      <c r="AW1559" s="11">
        <f t="shared" ref="AW1559:AZ1559" si="7176">SUM(AW1555:AW1558)</f>
        <v>0</v>
      </c>
      <c r="AX1559" s="11">
        <f t="shared" si="7176"/>
        <v>0</v>
      </c>
      <c r="AY1559" s="11">
        <f t="shared" si="7176"/>
        <v>0</v>
      </c>
      <c r="AZ1559" s="11">
        <f t="shared" si="7176"/>
        <v>0</v>
      </c>
      <c r="BA1559" s="25">
        <f>SUM(BA1555:BA1558)</f>
        <v>0</v>
      </c>
      <c r="BC1559" s="10">
        <f>SUM(BC1555:BC1558)</f>
        <v>0</v>
      </c>
      <c r="BD1559" s="11">
        <f t="shared" ref="BD1559:BG1559" si="7177">SUM(BD1555:BD1558)</f>
        <v>0</v>
      </c>
      <c r="BE1559" s="11">
        <f t="shared" si="7177"/>
        <v>0</v>
      </c>
      <c r="BF1559" s="11">
        <f t="shared" si="7177"/>
        <v>0</v>
      </c>
      <c r="BG1559" s="11">
        <f t="shared" si="7177"/>
        <v>0</v>
      </c>
      <c r="BH1559" s="25">
        <f>SUM(BH1555:BH1558)</f>
        <v>0</v>
      </c>
      <c r="BJ1559" s="10">
        <f>SUM(BJ1555:BJ1558)</f>
        <v>0</v>
      </c>
      <c r="BK1559" s="11">
        <f t="shared" ref="BK1559:BN1559" si="7178">SUM(BK1555:BK1558)</f>
        <v>0</v>
      </c>
      <c r="BL1559" s="11">
        <f t="shared" si="7178"/>
        <v>0</v>
      </c>
      <c r="BM1559" s="11">
        <f t="shared" si="7178"/>
        <v>0</v>
      </c>
      <c r="BN1559" s="11">
        <f t="shared" si="7178"/>
        <v>0</v>
      </c>
      <c r="BO1559" s="25">
        <f>SUM(BO1555:BO1558)</f>
        <v>0</v>
      </c>
      <c r="BQ1559" s="10">
        <f>SUM(BQ1555:BQ1558)</f>
        <v>0</v>
      </c>
      <c r="BR1559" s="11">
        <f t="shared" ref="BR1559:BU1559" si="7179">SUM(BR1555:BR1558)</f>
        <v>0</v>
      </c>
      <c r="BS1559" s="11">
        <f t="shared" si="7179"/>
        <v>0</v>
      </c>
      <c r="BT1559" s="11">
        <f t="shared" si="7179"/>
        <v>0</v>
      </c>
      <c r="BU1559" s="11">
        <f t="shared" si="7179"/>
        <v>0</v>
      </c>
      <c r="BV1559" s="25">
        <f>SUM(BV1555:BV1558)</f>
        <v>0</v>
      </c>
      <c r="BX1559" s="10">
        <f>SUM(BX1555:BX1558)</f>
        <v>0</v>
      </c>
      <c r="BY1559" s="11">
        <f t="shared" ref="BY1559:CB1559" si="7180">SUM(BY1555:BY1558)</f>
        <v>0</v>
      </c>
      <c r="BZ1559" s="11">
        <f t="shared" si="7180"/>
        <v>0</v>
      </c>
      <c r="CA1559" s="11">
        <f t="shared" si="7180"/>
        <v>0</v>
      </c>
      <c r="CB1559" s="11">
        <f t="shared" si="7180"/>
        <v>0</v>
      </c>
      <c r="CC1559" s="25">
        <f>SUM(CC1555:CC1558)</f>
        <v>0</v>
      </c>
      <c r="CE1559" s="62">
        <f t="shared" ref="CE1559:CJ1559" si="7181">SUM(CE1555:CE1558)</f>
        <v>0</v>
      </c>
      <c r="CF1559" s="63">
        <f t="shared" si="7181"/>
        <v>0</v>
      </c>
      <c r="CG1559" s="63">
        <f t="shared" si="7181"/>
        <v>0</v>
      </c>
      <c r="CH1559" s="63">
        <f t="shared" si="7181"/>
        <v>0</v>
      </c>
      <c r="CI1559" s="63">
        <f t="shared" si="7181"/>
        <v>0</v>
      </c>
      <c r="CJ1559" s="25">
        <f t="shared" si="7181"/>
        <v>0</v>
      </c>
      <c r="CL1559" s="10">
        <f>SUM(CL1555:CL1558)</f>
        <v>0</v>
      </c>
      <c r="CM1559" s="11">
        <f t="shared" ref="CM1559:CP1559" si="7182">SUM(CM1555:CM1558)</f>
        <v>0</v>
      </c>
      <c r="CN1559" s="11">
        <f t="shared" si="7182"/>
        <v>0</v>
      </c>
      <c r="CO1559" s="11">
        <f t="shared" si="7182"/>
        <v>0</v>
      </c>
      <c r="CP1559" s="11">
        <f t="shared" si="7182"/>
        <v>0</v>
      </c>
      <c r="CQ1559" s="25">
        <f>SUM(CQ1555:CQ1558)</f>
        <v>0</v>
      </c>
      <c r="CS1559" s="10">
        <f>SUM(CS1555:CS1558)</f>
        <v>0</v>
      </c>
      <c r="CT1559" s="11">
        <f t="shared" ref="CT1559:CW1559" si="7183">SUM(CT1555:CT1558)</f>
        <v>0</v>
      </c>
      <c r="CU1559" s="11">
        <f t="shared" si="7183"/>
        <v>0</v>
      </c>
      <c r="CV1559" s="11">
        <f t="shared" si="7183"/>
        <v>0</v>
      </c>
      <c r="CW1559" s="11">
        <f t="shared" si="7183"/>
        <v>0</v>
      </c>
      <c r="CX1559" s="25">
        <f>SUM(CX1555:CX1558)</f>
        <v>0</v>
      </c>
      <c r="CZ1559" s="10">
        <f>SUM(CZ1555:CZ1558)</f>
        <v>0</v>
      </c>
      <c r="DA1559" s="11">
        <f t="shared" ref="DA1559:DD1559" si="7184">SUM(DA1555:DA1558)</f>
        <v>0</v>
      </c>
      <c r="DB1559" s="11">
        <f t="shared" si="7184"/>
        <v>0</v>
      </c>
      <c r="DC1559" s="11">
        <f t="shared" si="7184"/>
        <v>0</v>
      </c>
      <c r="DD1559" s="11">
        <f t="shared" si="7184"/>
        <v>0</v>
      </c>
      <c r="DE1559" s="25">
        <f>SUM(DE1555:DE1558)</f>
        <v>0</v>
      </c>
    </row>
    <row r="1560" spans="3:109" ht="10.4" customHeight="1" thickBot="1"/>
    <row r="1561" spans="3:109">
      <c r="C1561" s="553">
        <v>2027</v>
      </c>
      <c r="E1561" s="1" t="s">
        <v>59</v>
      </c>
      <c r="F1561" s="21">
        <f>CE1555</f>
        <v>0</v>
      </c>
      <c r="G1561" s="22">
        <f t="shared" ref="G1561:G1564" si="7185">CF1555</f>
        <v>0</v>
      </c>
      <c r="H1561" s="22">
        <f t="shared" ref="H1561:H1564" si="7186">CG1555</f>
        <v>0</v>
      </c>
      <c r="I1561" s="22">
        <f t="shared" ref="I1561:I1564" si="7187">CH1555</f>
        <v>0</v>
      </c>
      <c r="J1561" s="22">
        <f t="shared" ref="J1561:J1564" si="7188">CI1555</f>
        <v>0</v>
      </c>
      <c r="K1561" s="4">
        <f>SUM(F1561:J1561)</f>
        <v>0</v>
      </c>
      <c r="M1561" s="2"/>
      <c r="N1561" s="3"/>
      <c r="O1561" s="3"/>
      <c r="P1561" s="3"/>
      <c r="Q1561" s="3"/>
      <c r="R1561" s="4">
        <f>SUM(M1561:Q1561)</f>
        <v>0</v>
      </c>
      <c r="T1561" s="2"/>
      <c r="U1561" s="3"/>
      <c r="V1561" s="3"/>
      <c r="W1561" s="3"/>
      <c r="X1561" s="3"/>
      <c r="Y1561" s="4">
        <f>SUM(T1561:X1561)</f>
        <v>0</v>
      </c>
      <c r="AA1561" s="2"/>
      <c r="AB1561" s="3"/>
      <c r="AC1561" s="3"/>
      <c r="AD1561" s="3"/>
      <c r="AE1561" s="3"/>
      <c r="AF1561" s="4">
        <f>SUM(AA1561:AE1561)</f>
        <v>0</v>
      </c>
      <c r="AH1561" s="2"/>
      <c r="AI1561" s="3"/>
      <c r="AJ1561" s="3"/>
      <c r="AK1561" s="3"/>
      <c r="AL1561" s="3"/>
      <c r="AM1561" s="4">
        <f>SUM(AH1561:AL1561)</f>
        <v>0</v>
      </c>
      <c r="AO1561" s="2"/>
      <c r="AP1561" s="3"/>
      <c r="AQ1561" s="3"/>
      <c r="AR1561" s="3"/>
      <c r="AS1561" s="3"/>
      <c r="AT1561" s="4">
        <f>SUM(AO1561:AS1561)</f>
        <v>0</v>
      </c>
      <c r="AV1561" s="2"/>
      <c r="AW1561" s="3"/>
      <c r="AX1561" s="3"/>
      <c r="AY1561" s="3"/>
      <c r="AZ1561" s="3"/>
      <c r="BA1561" s="4">
        <f>SUM(AV1561:AZ1561)</f>
        <v>0</v>
      </c>
      <c r="BC1561" s="2"/>
      <c r="BD1561" s="3"/>
      <c r="BE1561" s="3"/>
      <c r="BF1561" s="3"/>
      <c r="BG1561" s="3"/>
      <c r="BH1561" s="4">
        <f>SUM(BC1561:BG1561)</f>
        <v>0</v>
      </c>
      <c r="BJ1561" s="2"/>
      <c r="BK1561" s="3"/>
      <c r="BL1561" s="3"/>
      <c r="BM1561" s="3"/>
      <c r="BN1561" s="3"/>
      <c r="BO1561" s="4">
        <f>SUM(BJ1561:BN1561)</f>
        <v>0</v>
      </c>
      <c r="BQ1561" s="2"/>
      <c r="BR1561" s="3"/>
      <c r="BS1561" s="3"/>
      <c r="BT1561" s="3"/>
      <c r="BU1561" s="3"/>
      <c r="BV1561" s="4">
        <f>SUM(BQ1561:BU1561)</f>
        <v>0</v>
      </c>
      <c r="BX1561" s="2"/>
      <c r="BY1561" s="3"/>
      <c r="BZ1561" s="3"/>
      <c r="CA1561" s="3"/>
      <c r="CB1561" s="3"/>
      <c r="CC1561" s="4">
        <f>SUM(BX1561:CB1561)</f>
        <v>0</v>
      </c>
      <c r="CE1561" s="26">
        <f t="shared" ref="CE1561:CE1564" si="7189">F1561+M1561+T1561+AA1561+AH1561+AO1561+AV1561+BC1561+BJ1561+BQ1561+BX1561</f>
        <v>0</v>
      </c>
      <c r="CF1561" s="27">
        <f t="shared" ref="CF1561:CF1564" si="7190">G1561+N1561+U1561+AB1561+AI1561+AP1561+AW1561+BD1561+BK1561+BR1561+BY1561</f>
        <v>0</v>
      </c>
      <c r="CG1561" s="27">
        <f t="shared" ref="CG1561:CG1564" si="7191">H1561+O1561+V1561+AC1561+AJ1561+AQ1561+AX1561+BE1561+BL1561+BS1561+BZ1561</f>
        <v>0</v>
      </c>
      <c r="CH1561" s="27">
        <f t="shared" ref="CH1561:CH1564" si="7192">I1561+P1561+W1561+AD1561+AK1561+AR1561+AY1561+BF1561+BM1561+BT1561+CA1561</f>
        <v>0</v>
      </c>
      <c r="CI1561" s="27">
        <f t="shared" ref="CI1561:CI1564" si="7193">J1561+Q1561+X1561+AE1561+AL1561+AS1561+AZ1561+BG1561+BN1561+BU1561+CB1561</f>
        <v>0</v>
      </c>
      <c r="CJ1561" s="4">
        <f>SUM(CE1561:CI1561)</f>
        <v>0</v>
      </c>
      <c r="CL1561" s="2"/>
      <c r="CM1561" s="3"/>
      <c r="CN1561" s="3"/>
      <c r="CO1561" s="3"/>
      <c r="CP1561" s="3"/>
      <c r="CQ1561" s="4">
        <f>SUM(CL1561:CP1561)</f>
        <v>0</v>
      </c>
      <c r="CS1561" s="2"/>
      <c r="CT1561" s="3"/>
      <c r="CU1561" s="3"/>
      <c r="CV1561" s="3"/>
      <c r="CW1561" s="3"/>
      <c r="CX1561" s="4">
        <f>SUM(CS1561:CW1561)</f>
        <v>0</v>
      </c>
      <c r="CZ1561" s="2"/>
      <c r="DA1561" s="3"/>
      <c r="DB1561" s="3"/>
      <c r="DC1561" s="3"/>
      <c r="DD1561" s="3"/>
      <c r="DE1561" s="4">
        <f>SUM(CZ1561:DD1561)</f>
        <v>0</v>
      </c>
    </row>
    <row r="1562" spans="3:109">
      <c r="C1562" s="567"/>
      <c r="E1562" s="5" t="s">
        <v>60</v>
      </c>
      <c r="F1562" s="23">
        <f t="shared" ref="F1562:F1564" si="7194">CE1556</f>
        <v>0</v>
      </c>
      <c r="G1562" s="24">
        <f t="shared" si="7185"/>
        <v>0</v>
      </c>
      <c r="H1562" s="24">
        <f t="shared" si="7186"/>
        <v>0</v>
      </c>
      <c r="I1562" s="24">
        <f t="shared" si="7187"/>
        <v>0</v>
      </c>
      <c r="J1562" s="24">
        <f t="shared" si="7188"/>
        <v>0</v>
      </c>
      <c r="K1562" s="8">
        <f t="shared" ref="K1562:K1564" si="7195">SUM(F1562:J1562)</f>
        <v>0</v>
      </c>
      <c r="M1562" s="6"/>
      <c r="N1562" s="7"/>
      <c r="O1562" s="7"/>
      <c r="P1562" s="7"/>
      <c r="Q1562" s="7"/>
      <c r="R1562" s="8">
        <f t="shared" ref="R1562:R1564" si="7196">SUM(M1562:Q1562)</f>
        <v>0</v>
      </c>
      <c r="T1562" s="6"/>
      <c r="U1562" s="7"/>
      <c r="V1562" s="7"/>
      <c r="W1562" s="7"/>
      <c r="X1562" s="7"/>
      <c r="Y1562" s="8">
        <f t="shared" ref="Y1562:Y1564" si="7197">SUM(T1562:X1562)</f>
        <v>0</v>
      </c>
      <c r="AA1562" s="6"/>
      <c r="AB1562" s="7"/>
      <c r="AC1562" s="7"/>
      <c r="AD1562" s="7"/>
      <c r="AE1562" s="7"/>
      <c r="AF1562" s="8">
        <f>SUM(AA1562:AE1562)</f>
        <v>0</v>
      </c>
      <c r="AH1562" s="6"/>
      <c r="AI1562" s="7"/>
      <c r="AJ1562" s="7"/>
      <c r="AK1562" s="7"/>
      <c r="AL1562" s="7"/>
      <c r="AM1562" s="8">
        <f>SUM(AH1562:AL1562)</f>
        <v>0</v>
      </c>
      <c r="AO1562" s="6"/>
      <c r="AP1562" s="7"/>
      <c r="AQ1562" s="7"/>
      <c r="AR1562" s="7"/>
      <c r="AS1562" s="7"/>
      <c r="AT1562" s="8">
        <f>SUM(AO1562:AS1562)</f>
        <v>0</v>
      </c>
      <c r="AV1562" s="6"/>
      <c r="AW1562" s="7"/>
      <c r="AX1562" s="7"/>
      <c r="AY1562" s="7"/>
      <c r="AZ1562" s="7"/>
      <c r="BA1562" s="8">
        <f>SUM(AV1562:AZ1562)</f>
        <v>0</v>
      </c>
      <c r="BC1562" s="6"/>
      <c r="BD1562" s="7"/>
      <c r="BE1562" s="7"/>
      <c r="BF1562" s="7"/>
      <c r="BG1562" s="7"/>
      <c r="BH1562" s="8">
        <f>SUM(BC1562:BG1562)</f>
        <v>0</v>
      </c>
      <c r="BJ1562" s="6"/>
      <c r="BK1562" s="7"/>
      <c r="BL1562" s="7"/>
      <c r="BM1562" s="7"/>
      <c r="BN1562" s="7"/>
      <c r="BO1562" s="8">
        <f>SUM(BJ1562:BN1562)</f>
        <v>0</v>
      </c>
      <c r="BQ1562" s="6"/>
      <c r="BR1562" s="7"/>
      <c r="BS1562" s="7"/>
      <c r="BT1562" s="7"/>
      <c r="BU1562" s="7"/>
      <c r="BV1562" s="8">
        <f>SUM(BQ1562:BU1562)</f>
        <v>0</v>
      </c>
      <c r="BX1562" s="6"/>
      <c r="BY1562" s="7"/>
      <c r="BZ1562" s="7"/>
      <c r="CA1562" s="7"/>
      <c r="CB1562" s="7"/>
      <c r="CC1562" s="8">
        <f>SUM(BX1562:CB1562)</f>
        <v>0</v>
      </c>
      <c r="CE1562" s="28">
        <f t="shared" si="7189"/>
        <v>0</v>
      </c>
      <c r="CF1562" s="29">
        <f t="shared" si="7190"/>
        <v>0</v>
      </c>
      <c r="CG1562" s="29">
        <f t="shared" si="7191"/>
        <v>0</v>
      </c>
      <c r="CH1562" s="29">
        <f t="shared" si="7192"/>
        <v>0</v>
      </c>
      <c r="CI1562" s="29">
        <f t="shared" si="7193"/>
        <v>0</v>
      </c>
      <c r="CJ1562" s="8">
        <f>SUM(CE1562:CI1562)</f>
        <v>0</v>
      </c>
      <c r="CL1562" s="6"/>
      <c r="CM1562" s="7"/>
      <c r="CN1562" s="7"/>
      <c r="CO1562" s="7"/>
      <c r="CP1562" s="7"/>
      <c r="CQ1562" s="8">
        <f>SUM(CL1562:CP1562)</f>
        <v>0</v>
      </c>
      <c r="CS1562" s="6"/>
      <c r="CT1562" s="7"/>
      <c r="CU1562" s="7"/>
      <c r="CV1562" s="7"/>
      <c r="CW1562" s="7"/>
      <c r="CX1562" s="8">
        <f t="shared" ref="CX1562:CX1564" si="7198">SUM(CS1562:CW1562)</f>
        <v>0</v>
      </c>
      <c r="CZ1562" s="6"/>
      <c r="DA1562" s="7"/>
      <c r="DB1562" s="7"/>
      <c r="DC1562" s="7"/>
      <c r="DD1562" s="7"/>
      <c r="DE1562" s="8">
        <f t="shared" ref="DE1562:DE1564" si="7199">SUM(CZ1562:DD1562)</f>
        <v>0</v>
      </c>
    </row>
    <row r="1563" spans="3:109">
      <c r="C1563" s="567"/>
      <c r="E1563" s="5" t="s">
        <v>61</v>
      </c>
      <c r="F1563" s="23">
        <f t="shared" si="7194"/>
        <v>0</v>
      </c>
      <c r="G1563" s="24">
        <f t="shared" si="7185"/>
        <v>0</v>
      </c>
      <c r="H1563" s="24">
        <f t="shared" si="7186"/>
        <v>0</v>
      </c>
      <c r="I1563" s="24">
        <f t="shared" si="7187"/>
        <v>0</v>
      </c>
      <c r="J1563" s="24">
        <f t="shared" si="7188"/>
        <v>0</v>
      </c>
      <c r="K1563" s="8">
        <f t="shared" si="7195"/>
        <v>0</v>
      </c>
      <c r="M1563" s="6"/>
      <c r="N1563" s="7"/>
      <c r="O1563" s="7"/>
      <c r="P1563" s="7"/>
      <c r="Q1563" s="7"/>
      <c r="R1563" s="8">
        <f t="shared" si="7196"/>
        <v>0</v>
      </c>
      <c r="T1563" s="6"/>
      <c r="U1563" s="7"/>
      <c r="V1563" s="7"/>
      <c r="W1563" s="7"/>
      <c r="X1563" s="7"/>
      <c r="Y1563" s="8">
        <f t="shared" si="7197"/>
        <v>0</v>
      </c>
      <c r="AA1563" s="6"/>
      <c r="AB1563" s="7"/>
      <c r="AC1563" s="7"/>
      <c r="AD1563" s="7"/>
      <c r="AE1563" s="7"/>
      <c r="AF1563" s="8">
        <f>SUM(AA1563:AE1563)</f>
        <v>0</v>
      </c>
      <c r="AH1563" s="6"/>
      <c r="AI1563" s="7"/>
      <c r="AJ1563" s="7"/>
      <c r="AK1563" s="7"/>
      <c r="AL1563" s="7"/>
      <c r="AM1563" s="8">
        <f>SUM(AH1563:AL1563)</f>
        <v>0</v>
      </c>
      <c r="AO1563" s="6"/>
      <c r="AP1563" s="7"/>
      <c r="AQ1563" s="7"/>
      <c r="AR1563" s="7"/>
      <c r="AS1563" s="7"/>
      <c r="AT1563" s="8">
        <f>SUM(AO1563:AS1563)</f>
        <v>0</v>
      </c>
      <c r="AV1563" s="6"/>
      <c r="AW1563" s="7"/>
      <c r="AX1563" s="7"/>
      <c r="AY1563" s="7"/>
      <c r="AZ1563" s="7"/>
      <c r="BA1563" s="8">
        <f>SUM(AV1563:AZ1563)</f>
        <v>0</v>
      </c>
      <c r="BC1563" s="6"/>
      <c r="BD1563" s="7"/>
      <c r="BE1563" s="7"/>
      <c r="BF1563" s="7"/>
      <c r="BG1563" s="7"/>
      <c r="BH1563" s="8">
        <f>SUM(BC1563:BG1563)</f>
        <v>0</v>
      </c>
      <c r="BJ1563" s="6"/>
      <c r="BK1563" s="7"/>
      <c r="BL1563" s="7"/>
      <c r="BM1563" s="7"/>
      <c r="BN1563" s="7"/>
      <c r="BO1563" s="8">
        <f>SUM(BJ1563:BN1563)</f>
        <v>0</v>
      </c>
      <c r="BQ1563" s="6"/>
      <c r="BR1563" s="7"/>
      <c r="BS1563" s="7"/>
      <c r="BT1563" s="7"/>
      <c r="BU1563" s="7"/>
      <c r="BV1563" s="8">
        <f>SUM(BQ1563:BU1563)</f>
        <v>0</v>
      </c>
      <c r="BX1563" s="6"/>
      <c r="BY1563" s="7"/>
      <c r="BZ1563" s="7"/>
      <c r="CA1563" s="7"/>
      <c r="CB1563" s="7"/>
      <c r="CC1563" s="8">
        <f>SUM(BX1563:CB1563)</f>
        <v>0</v>
      </c>
      <c r="CE1563" s="28">
        <f t="shared" si="7189"/>
        <v>0</v>
      </c>
      <c r="CF1563" s="29">
        <f t="shared" si="7190"/>
        <v>0</v>
      </c>
      <c r="CG1563" s="29">
        <f t="shared" si="7191"/>
        <v>0</v>
      </c>
      <c r="CH1563" s="29">
        <f t="shared" si="7192"/>
        <v>0</v>
      </c>
      <c r="CI1563" s="29">
        <f t="shared" si="7193"/>
        <v>0</v>
      </c>
      <c r="CJ1563" s="8">
        <f>SUM(CE1563:CI1563)</f>
        <v>0</v>
      </c>
      <c r="CL1563" s="6"/>
      <c r="CM1563" s="7"/>
      <c r="CN1563" s="7"/>
      <c r="CO1563" s="7"/>
      <c r="CP1563" s="7"/>
      <c r="CQ1563" s="8">
        <f>SUM(CL1563:CP1563)</f>
        <v>0</v>
      </c>
      <c r="CS1563" s="6"/>
      <c r="CT1563" s="7"/>
      <c r="CU1563" s="7"/>
      <c r="CV1563" s="7"/>
      <c r="CW1563" s="7"/>
      <c r="CX1563" s="8">
        <f t="shared" si="7198"/>
        <v>0</v>
      </c>
      <c r="CZ1563" s="6"/>
      <c r="DA1563" s="7"/>
      <c r="DB1563" s="7"/>
      <c r="DC1563" s="7"/>
      <c r="DD1563" s="7"/>
      <c r="DE1563" s="8">
        <f t="shared" si="7199"/>
        <v>0</v>
      </c>
    </row>
    <row r="1564" spans="3:109" ht="14" thickBot="1">
      <c r="C1564" s="567"/>
      <c r="E1564" s="5" t="s">
        <v>62</v>
      </c>
      <c r="F1564" s="23">
        <f t="shared" si="7194"/>
        <v>0</v>
      </c>
      <c r="G1564" s="24">
        <f t="shared" si="7185"/>
        <v>0</v>
      </c>
      <c r="H1564" s="24">
        <f t="shared" si="7186"/>
        <v>0</v>
      </c>
      <c r="I1564" s="24">
        <f t="shared" si="7187"/>
        <v>0</v>
      </c>
      <c r="J1564" s="24">
        <f t="shared" si="7188"/>
        <v>0</v>
      </c>
      <c r="K1564" s="8">
        <f t="shared" si="7195"/>
        <v>0</v>
      </c>
      <c r="M1564" s="6"/>
      <c r="N1564" s="7"/>
      <c r="O1564" s="7"/>
      <c r="P1564" s="7"/>
      <c r="Q1564" s="7"/>
      <c r="R1564" s="8">
        <f t="shared" si="7196"/>
        <v>0</v>
      </c>
      <c r="T1564" s="6"/>
      <c r="U1564" s="7"/>
      <c r="V1564" s="7"/>
      <c r="W1564" s="7"/>
      <c r="X1564" s="7"/>
      <c r="Y1564" s="8">
        <f t="shared" si="7197"/>
        <v>0</v>
      </c>
      <c r="AA1564" s="6"/>
      <c r="AB1564" s="7"/>
      <c r="AC1564" s="7"/>
      <c r="AD1564" s="7"/>
      <c r="AE1564" s="7"/>
      <c r="AF1564" s="8">
        <f>SUM(AA1564:AE1564)</f>
        <v>0</v>
      </c>
      <c r="AH1564" s="6"/>
      <c r="AI1564" s="7"/>
      <c r="AJ1564" s="7"/>
      <c r="AK1564" s="7"/>
      <c r="AL1564" s="7"/>
      <c r="AM1564" s="8">
        <f>SUM(AH1564:AL1564)</f>
        <v>0</v>
      </c>
      <c r="AO1564" s="6"/>
      <c r="AP1564" s="7"/>
      <c r="AQ1564" s="7"/>
      <c r="AR1564" s="7"/>
      <c r="AS1564" s="7"/>
      <c r="AT1564" s="8">
        <f>SUM(AO1564:AS1564)</f>
        <v>0</v>
      </c>
      <c r="AV1564" s="6"/>
      <c r="AW1564" s="7"/>
      <c r="AX1564" s="7"/>
      <c r="AY1564" s="7"/>
      <c r="AZ1564" s="7"/>
      <c r="BA1564" s="8">
        <f>SUM(AV1564:AZ1564)</f>
        <v>0</v>
      </c>
      <c r="BC1564" s="6"/>
      <c r="BD1564" s="7"/>
      <c r="BE1564" s="7"/>
      <c r="BF1564" s="7"/>
      <c r="BG1564" s="7"/>
      <c r="BH1564" s="8">
        <f>SUM(BC1564:BG1564)</f>
        <v>0</v>
      </c>
      <c r="BJ1564" s="6"/>
      <c r="BK1564" s="7"/>
      <c r="BL1564" s="7"/>
      <c r="BM1564" s="7"/>
      <c r="BN1564" s="7"/>
      <c r="BO1564" s="8">
        <f>SUM(BJ1564:BN1564)</f>
        <v>0</v>
      </c>
      <c r="BQ1564" s="6"/>
      <c r="BR1564" s="7"/>
      <c r="BS1564" s="7"/>
      <c r="BT1564" s="7"/>
      <c r="BU1564" s="7"/>
      <c r="BV1564" s="8">
        <f>SUM(BQ1564:BU1564)</f>
        <v>0</v>
      </c>
      <c r="BX1564" s="6"/>
      <c r="BY1564" s="7"/>
      <c r="BZ1564" s="7"/>
      <c r="CA1564" s="7"/>
      <c r="CB1564" s="7"/>
      <c r="CC1564" s="8">
        <f>SUM(BX1564:CB1564)</f>
        <v>0</v>
      </c>
      <c r="CE1564" s="493">
        <f t="shared" si="7189"/>
        <v>0</v>
      </c>
      <c r="CF1564" s="494">
        <f t="shared" si="7190"/>
        <v>0</v>
      </c>
      <c r="CG1564" s="494">
        <f t="shared" si="7191"/>
        <v>0</v>
      </c>
      <c r="CH1564" s="494">
        <f t="shared" si="7192"/>
        <v>0</v>
      </c>
      <c r="CI1564" s="494">
        <f t="shared" si="7193"/>
        <v>0</v>
      </c>
      <c r="CJ1564" s="495">
        <f>SUM(CE1564:CI1564)</f>
        <v>0</v>
      </c>
      <c r="CL1564" s="6"/>
      <c r="CM1564" s="7"/>
      <c r="CN1564" s="7"/>
      <c r="CO1564" s="7"/>
      <c r="CP1564" s="7"/>
      <c r="CQ1564" s="8">
        <f>SUM(CL1564:CP1564)</f>
        <v>0</v>
      </c>
      <c r="CS1564" s="6"/>
      <c r="CT1564" s="7"/>
      <c r="CU1564" s="7"/>
      <c r="CV1564" s="7"/>
      <c r="CW1564" s="7"/>
      <c r="CX1564" s="8">
        <f t="shared" si="7198"/>
        <v>0</v>
      </c>
      <c r="CZ1564" s="6"/>
      <c r="DA1564" s="7"/>
      <c r="DB1564" s="7"/>
      <c r="DC1564" s="7"/>
      <c r="DD1564" s="7"/>
      <c r="DE1564" s="8">
        <f t="shared" si="7199"/>
        <v>0</v>
      </c>
    </row>
    <row r="1565" spans="3:109" ht="14" thickBot="1">
      <c r="C1565" s="554"/>
      <c r="E1565" s="9"/>
      <c r="F1565" s="10">
        <f>SUM(F1561:F1564)</f>
        <v>0</v>
      </c>
      <c r="G1565" s="11">
        <f t="shared" ref="G1565:J1565" si="7200">SUM(G1561:G1564)</f>
        <v>0</v>
      </c>
      <c r="H1565" s="11">
        <f t="shared" si="7200"/>
        <v>0</v>
      </c>
      <c r="I1565" s="11">
        <f t="shared" si="7200"/>
        <v>0</v>
      </c>
      <c r="J1565" s="11">
        <f t="shared" si="7200"/>
        <v>0</v>
      </c>
      <c r="K1565" s="25">
        <f>SUM(K1561:K1564)</f>
        <v>0</v>
      </c>
      <c r="M1565" s="10">
        <f>SUM(M1561:M1564)</f>
        <v>0</v>
      </c>
      <c r="N1565" s="11">
        <f t="shared" ref="N1565:Q1565" si="7201">SUM(N1561:N1564)</f>
        <v>0</v>
      </c>
      <c r="O1565" s="11">
        <f t="shared" si="7201"/>
        <v>0</v>
      </c>
      <c r="P1565" s="11">
        <f t="shared" si="7201"/>
        <v>0</v>
      </c>
      <c r="Q1565" s="11">
        <f t="shared" si="7201"/>
        <v>0</v>
      </c>
      <c r="R1565" s="25">
        <f>SUM(R1561:R1564)</f>
        <v>0</v>
      </c>
      <c r="T1565" s="10">
        <f>SUM(T1561:T1564)</f>
        <v>0</v>
      </c>
      <c r="U1565" s="11">
        <f t="shared" ref="U1565:X1565" si="7202">SUM(U1561:U1564)</f>
        <v>0</v>
      </c>
      <c r="V1565" s="11">
        <f t="shared" si="7202"/>
        <v>0</v>
      </c>
      <c r="W1565" s="11">
        <f t="shared" si="7202"/>
        <v>0</v>
      </c>
      <c r="X1565" s="11">
        <f t="shared" si="7202"/>
        <v>0</v>
      </c>
      <c r="Y1565" s="25">
        <f>SUM(Y1561:Y1564)</f>
        <v>0</v>
      </c>
      <c r="AA1565" s="10">
        <f>SUM(AA1561:AA1564)</f>
        <v>0</v>
      </c>
      <c r="AB1565" s="11">
        <f t="shared" ref="AB1565:AE1565" si="7203">SUM(AB1561:AB1564)</f>
        <v>0</v>
      </c>
      <c r="AC1565" s="11">
        <f t="shared" si="7203"/>
        <v>0</v>
      </c>
      <c r="AD1565" s="11">
        <f t="shared" si="7203"/>
        <v>0</v>
      </c>
      <c r="AE1565" s="11">
        <f t="shared" si="7203"/>
        <v>0</v>
      </c>
      <c r="AF1565" s="25">
        <f>SUM(AF1561:AF1564)</f>
        <v>0</v>
      </c>
      <c r="AH1565" s="10">
        <f>SUM(AH1561:AH1564)</f>
        <v>0</v>
      </c>
      <c r="AI1565" s="11">
        <f t="shared" ref="AI1565:AL1565" si="7204">SUM(AI1561:AI1564)</f>
        <v>0</v>
      </c>
      <c r="AJ1565" s="11">
        <f t="shared" si="7204"/>
        <v>0</v>
      </c>
      <c r="AK1565" s="11">
        <f t="shared" si="7204"/>
        <v>0</v>
      </c>
      <c r="AL1565" s="11">
        <f t="shared" si="7204"/>
        <v>0</v>
      </c>
      <c r="AM1565" s="25">
        <f>SUM(AM1561:AM1564)</f>
        <v>0</v>
      </c>
      <c r="AO1565" s="10">
        <f>SUM(AO1561:AO1564)</f>
        <v>0</v>
      </c>
      <c r="AP1565" s="11">
        <f t="shared" ref="AP1565:AS1565" si="7205">SUM(AP1561:AP1564)</f>
        <v>0</v>
      </c>
      <c r="AQ1565" s="11">
        <f t="shared" si="7205"/>
        <v>0</v>
      </c>
      <c r="AR1565" s="11">
        <f t="shared" si="7205"/>
        <v>0</v>
      </c>
      <c r="AS1565" s="11">
        <f t="shared" si="7205"/>
        <v>0</v>
      </c>
      <c r="AT1565" s="25">
        <f>SUM(AT1561:AT1564)</f>
        <v>0</v>
      </c>
      <c r="AV1565" s="10">
        <f>SUM(AV1561:AV1564)</f>
        <v>0</v>
      </c>
      <c r="AW1565" s="11">
        <f t="shared" ref="AW1565:AZ1565" si="7206">SUM(AW1561:AW1564)</f>
        <v>0</v>
      </c>
      <c r="AX1565" s="11">
        <f t="shared" si="7206"/>
        <v>0</v>
      </c>
      <c r="AY1565" s="11">
        <f t="shared" si="7206"/>
        <v>0</v>
      </c>
      <c r="AZ1565" s="11">
        <f t="shared" si="7206"/>
        <v>0</v>
      </c>
      <c r="BA1565" s="25">
        <f>SUM(BA1561:BA1564)</f>
        <v>0</v>
      </c>
      <c r="BC1565" s="10">
        <f>SUM(BC1561:BC1564)</f>
        <v>0</v>
      </c>
      <c r="BD1565" s="11">
        <f t="shared" ref="BD1565:BG1565" si="7207">SUM(BD1561:BD1564)</f>
        <v>0</v>
      </c>
      <c r="BE1565" s="11">
        <f t="shared" si="7207"/>
        <v>0</v>
      </c>
      <c r="BF1565" s="11">
        <f t="shared" si="7207"/>
        <v>0</v>
      </c>
      <c r="BG1565" s="11">
        <f t="shared" si="7207"/>
        <v>0</v>
      </c>
      <c r="BH1565" s="25">
        <f>SUM(BH1561:BH1564)</f>
        <v>0</v>
      </c>
      <c r="BJ1565" s="10">
        <f>SUM(BJ1561:BJ1564)</f>
        <v>0</v>
      </c>
      <c r="BK1565" s="11">
        <f t="shared" ref="BK1565:BN1565" si="7208">SUM(BK1561:BK1564)</f>
        <v>0</v>
      </c>
      <c r="BL1565" s="11">
        <f t="shared" si="7208"/>
        <v>0</v>
      </c>
      <c r="BM1565" s="11">
        <f t="shared" si="7208"/>
        <v>0</v>
      </c>
      <c r="BN1565" s="11">
        <f t="shared" si="7208"/>
        <v>0</v>
      </c>
      <c r="BO1565" s="25">
        <f>SUM(BO1561:BO1564)</f>
        <v>0</v>
      </c>
      <c r="BQ1565" s="10">
        <f>SUM(BQ1561:BQ1564)</f>
        <v>0</v>
      </c>
      <c r="BR1565" s="11">
        <f t="shared" ref="BR1565:BU1565" si="7209">SUM(BR1561:BR1564)</f>
        <v>0</v>
      </c>
      <c r="BS1565" s="11">
        <f t="shared" si="7209"/>
        <v>0</v>
      </c>
      <c r="BT1565" s="11">
        <f t="shared" si="7209"/>
        <v>0</v>
      </c>
      <c r="BU1565" s="11">
        <f t="shared" si="7209"/>
        <v>0</v>
      </c>
      <c r="BV1565" s="25">
        <f>SUM(BV1561:BV1564)</f>
        <v>0</v>
      </c>
      <c r="BX1565" s="10">
        <f>SUM(BX1561:BX1564)</f>
        <v>0</v>
      </c>
      <c r="BY1565" s="11">
        <f t="shared" ref="BY1565:CB1565" si="7210">SUM(BY1561:BY1564)</f>
        <v>0</v>
      </c>
      <c r="BZ1565" s="11">
        <f t="shared" si="7210"/>
        <v>0</v>
      </c>
      <c r="CA1565" s="11">
        <f t="shared" si="7210"/>
        <v>0</v>
      </c>
      <c r="CB1565" s="11">
        <f t="shared" si="7210"/>
        <v>0</v>
      </c>
      <c r="CC1565" s="25">
        <f>SUM(CC1561:CC1564)</f>
        <v>0</v>
      </c>
      <c r="CE1565" s="62">
        <f t="shared" ref="CE1565:CJ1565" si="7211">SUM(CE1561:CE1564)</f>
        <v>0</v>
      </c>
      <c r="CF1565" s="63">
        <f t="shared" si="7211"/>
        <v>0</v>
      </c>
      <c r="CG1565" s="63">
        <f t="shared" si="7211"/>
        <v>0</v>
      </c>
      <c r="CH1565" s="63">
        <f t="shared" si="7211"/>
        <v>0</v>
      </c>
      <c r="CI1565" s="63">
        <f t="shared" si="7211"/>
        <v>0</v>
      </c>
      <c r="CJ1565" s="25">
        <f t="shared" si="7211"/>
        <v>0</v>
      </c>
      <c r="CL1565" s="10">
        <f>SUM(CL1561:CL1564)</f>
        <v>0</v>
      </c>
      <c r="CM1565" s="11">
        <f t="shared" ref="CM1565:CP1565" si="7212">SUM(CM1561:CM1564)</f>
        <v>0</v>
      </c>
      <c r="CN1565" s="11">
        <f t="shared" si="7212"/>
        <v>0</v>
      </c>
      <c r="CO1565" s="11">
        <f t="shared" si="7212"/>
        <v>0</v>
      </c>
      <c r="CP1565" s="11">
        <f t="shared" si="7212"/>
        <v>0</v>
      </c>
      <c r="CQ1565" s="25">
        <f>SUM(CQ1561:CQ1564)</f>
        <v>0</v>
      </c>
      <c r="CS1565" s="10">
        <f>SUM(CS1561:CS1564)</f>
        <v>0</v>
      </c>
      <c r="CT1565" s="11">
        <f t="shared" ref="CT1565:CW1565" si="7213">SUM(CT1561:CT1564)</f>
        <v>0</v>
      </c>
      <c r="CU1565" s="11">
        <f t="shared" si="7213"/>
        <v>0</v>
      </c>
      <c r="CV1565" s="11">
        <f t="shared" si="7213"/>
        <v>0</v>
      </c>
      <c r="CW1565" s="11">
        <f t="shared" si="7213"/>
        <v>0</v>
      </c>
      <c r="CX1565" s="25">
        <f>SUM(CX1561:CX1564)</f>
        <v>0</v>
      </c>
      <c r="CZ1565" s="10">
        <f>SUM(CZ1561:CZ1564)</f>
        <v>0</v>
      </c>
      <c r="DA1565" s="11">
        <f t="shared" ref="DA1565:DD1565" si="7214">SUM(DA1561:DA1564)</f>
        <v>0</v>
      </c>
      <c r="DB1565" s="11">
        <f t="shared" si="7214"/>
        <v>0</v>
      </c>
      <c r="DC1565" s="11">
        <f t="shared" si="7214"/>
        <v>0</v>
      </c>
      <c r="DD1565" s="11">
        <f t="shared" si="7214"/>
        <v>0</v>
      </c>
      <c r="DE1565" s="25">
        <f>SUM(DE1561:DE1564)</f>
        <v>0</v>
      </c>
    </row>
    <row r="1566" spans="3:109" ht="10.4" customHeight="1" thickBot="1"/>
    <row r="1567" spans="3:109">
      <c r="C1567" s="553">
        <v>2028</v>
      </c>
      <c r="E1567" s="1" t="s">
        <v>59</v>
      </c>
      <c r="F1567" s="21">
        <f>CE1561</f>
        <v>0</v>
      </c>
      <c r="G1567" s="22">
        <f t="shared" ref="G1567:G1570" si="7215">CF1561</f>
        <v>0</v>
      </c>
      <c r="H1567" s="22">
        <f t="shared" ref="H1567:H1570" si="7216">CG1561</f>
        <v>0</v>
      </c>
      <c r="I1567" s="22">
        <f t="shared" ref="I1567:I1570" si="7217">CH1561</f>
        <v>0</v>
      </c>
      <c r="J1567" s="22">
        <f t="shared" ref="J1567:J1570" si="7218">CI1561</f>
        <v>0</v>
      </c>
      <c r="K1567" s="4">
        <f>SUM(F1567:J1567)</f>
        <v>0</v>
      </c>
      <c r="M1567" s="2"/>
      <c r="N1567" s="3"/>
      <c r="O1567" s="3"/>
      <c r="P1567" s="3"/>
      <c r="Q1567" s="3"/>
      <c r="R1567" s="4">
        <f>SUM(M1567:Q1567)</f>
        <v>0</v>
      </c>
      <c r="T1567" s="2"/>
      <c r="U1567" s="3"/>
      <c r="V1567" s="3"/>
      <c r="W1567" s="3"/>
      <c r="X1567" s="3"/>
      <c r="Y1567" s="4">
        <f>SUM(T1567:X1567)</f>
        <v>0</v>
      </c>
      <c r="AA1567" s="2"/>
      <c r="AB1567" s="3"/>
      <c r="AC1567" s="3"/>
      <c r="AD1567" s="3"/>
      <c r="AE1567" s="3"/>
      <c r="AF1567" s="4">
        <f>SUM(AA1567:AE1567)</f>
        <v>0</v>
      </c>
      <c r="AH1567" s="2"/>
      <c r="AI1567" s="3"/>
      <c r="AJ1567" s="3"/>
      <c r="AK1567" s="3"/>
      <c r="AL1567" s="3"/>
      <c r="AM1567" s="4">
        <f>SUM(AH1567:AL1567)</f>
        <v>0</v>
      </c>
      <c r="AO1567" s="2"/>
      <c r="AP1567" s="3"/>
      <c r="AQ1567" s="3"/>
      <c r="AR1567" s="3"/>
      <c r="AS1567" s="3"/>
      <c r="AT1567" s="4">
        <f>SUM(AO1567:AS1567)</f>
        <v>0</v>
      </c>
      <c r="AV1567" s="2"/>
      <c r="AW1567" s="3"/>
      <c r="AX1567" s="3"/>
      <c r="AY1567" s="3"/>
      <c r="AZ1567" s="3"/>
      <c r="BA1567" s="4">
        <f>SUM(AV1567:AZ1567)</f>
        <v>0</v>
      </c>
      <c r="BC1567" s="2"/>
      <c r="BD1567" s="3"/>
      <c r="BE1567" s="3"/>
      <c r="BF1567" s="3"/>
      <c r="BG1567" s="3"/>
      <c r="BH1567" s="4">
        <f>SUM(BC1567:BG1567)</f>
        <v>0</v>
      </c>
      <c r="BJ1567" s="2"/>
      <c r="BK1567" s="3"/>
      <c r="BL1567" s="3"/>
      <c r="BM1567" s="3"/>
      <c r="BN1567" s="3"/>
      <c r="BO1567" s="4">
        <f>SUM(BJ1567:BN1567)</f>
        <v>0</v>
      </c>
      <c r="BQ1567" s="2"/>
      <c r="BR1567" s="3"/>
      <c r="BS1567" s="3"/>
      <c r="BT1567" s="3"/>
      <c r="BU1567" s="3"/>
      <c r="BV1567" s="4">
        <f>SUM(BQ1567:BU1567)</f>
        <v>0</v>
      </c>
      <c r="BX1567" s="2"/>
      <c r="BY1567" s="3"/>
      <c r="BZ1567" s="3"/>
      <c r="CA1567" s="3"/>
      <c r="CB1567" s="3"/>
      <c r="CC1567" s="4">
        <f>SUM(BX1567:CB1567)</f>
        <v>0</v>
      </c>
      <c r="CE1567" s="26">
        <f t="shared" ref="CE1567:CE1570" si="7219">F1567+M1567+T1567+AA1567+AH1567+AO1567+AV1567+BC1567+BJ1567+BQ1567+BX1567</f>
        <v>0</v>
      </c>
      <c r="CF1567" s="27">
        <f t="shared" ref="CF1567:CF1570" si="7220">G1567+N1567+U1567+AB1567+AI1567+AP1567+AW1567+BD1567+BK1567+BR1567+BY1567</f>
        <v>0</v>
      </c>
      <c r="CG1567" s="27">
        <f t="shared" ref="CG1567:CG1570" si="7221">H1567+O1567+V1567+AC1567+AJ1567+AQ1567+AX1567+BE1567+BL1567+BS1567+BZ1567</f>
        <v>0</v>
      </c>
      <c r="CH1567" s="27">
        <f t="shared" ref="CH1567:CH1570" si="7222">I1567+P1567+W1567+AD1567+AK1567+AR1567+AY1567+BF1567+BM1567+BT1567+CA1567</f>
        <v>0</v>
      </c>
      <c r="CI1567" s="27">
        <f t="shared" ref="CI1567:CI1570" si="7223">J1567+Q1567+X1567+AE1567+AL1567+AS1567+AZ1567+BG1567+BN1567+BU1567+CB1567</f>
        <v>0</v>
      </c>
      <c r="CJ1567" s="4">
        <f>SUM(CE1567:CI1567)</f>
        <v>0</v>
      </c>
      <c r="CL1567" s="2"/>
      <c r="CM1567" s="3"/>
      <c r="CN1567" s="3"/>
      <c r="CO1567" s="3"/>
      <c r="CP1567" s="3"/>
      <c r="CQ1567" s="4">
        <f>SUM(CL1567:CP1567)</f>
        <v>0</v>
      </c>
      <c r="CS1567" s="2"/>
      <c r="CT1567" s="3"/>
      <c r="CU1567" s="3"/>
      <c r="CV1567" s="3"/>
      <c r="CW1567" s="3"/>
      <c r="CX1567" s="4">
        <f>SUM(CS1567:CW1567)</f>
        <v>0</v>
      </c>
      <c r="CZ1567" s="2"/>
      <c r="DA1567" s="3"/>
      <c r="DB1567" s="3"/>
      <c r="DC1567" s="3"/>
      <c r="DD1567" s="3"/>
      <c r="DE1567" s="4">
        <f>SUM(CZ1567:DD1567)</f>
        <v>0</v>
      </c>
    </row>
    <row r="1568" spans="3:109">
      <c r="C1568" s="567"/>
      <c r="E1568" s="5" t="s">
        <v>60</v>
      </c>
      <c r="F1568" s="23">
        <f t="shared" ref="F1568:F1570" si="7224">CE1562</f>
        <v>0</v>
      </c>
      <c r="G1568" s="24">
        <f t="shared" si="7215"/>
        <v>0</v>
      </c>
      <c r="H1568" s="24">
        <f t="shared" si="7216"/>
        <v>0</v>
      </c>
      <c r="I1568" s="24">
        <f t="shared" si="7217"/>
        <v>0</v>
      </c>
      <c r="J1568" s="24">
        <f t="shared" si="7218"/>
        <v>0</v>
      </c>
      <c r="K1568" s="8">
        <f t="shared" ref="K1568:K1570" si="7225">SUM(F1568:J1568)</f>
        <v>0</v>
      </c>
      <c r="M1568" s="6"/>
      <c r="N1568" s="7"/>
      <c r="O1568" s="7"/>
      <c r="P1568" s="7"/>
      <c r="Q1568" s="7"/>
      <c r="R1568" s="8">
        <f t="shared" ref="R1568:R1570" si="7226">SUM(M1568:Q1568)</f>
        <v>0</v>
      </c>
      <c r="T1568" s="6"/>
      <c r="U1568" s="7"/>
      <c r="V1568" s="7"/>
      <c r="W1568" s="7"/>
      <c r="X1568" s="7"/>
      <c r="Y1568" s="8">
        <f t="shared" ref="Y1568:Y1570" si="7227">SUM(T1568:X1568)</f>
        <v>0</v>
      </c>
      <c r="AA1568" s="6"/>
      <c r="AB1568" s="7"/>
      <c r="AC1568" s="7"/>
      <c r="AD1568" s="7"/>
      <c r="AE1568" s="7"/>
      <c r="AF1568" s="8">
        <f>SUM(AA1568:AE1568)</f>
        <v>0</v>
      </c>
      <c r="AH1568" s="6"/>
      <c r="AI1568" s="7"/>
      <c r="AJ1568" s="7"/>
      <c r="AK1568" s="7"/>
      <c r="AL1568" s="7"/>
      <c r="AM1568" s="8">
        <f>SUM(AH1568:AL1568)</f>
        <v>0</v>
      </c>
      <c r="AO1568" s="6"/>
      <c r="AP1568" s="7"/>
      <c r="AQ1568" s="7"/>
      <c r="AR1568" s="7"/>
      <c r="AS1568" s="7"/>
      <c r="AT1568" s="8">
        <f>SUM(AO1568:AS1568)</f>
        <v>0</v>
      </c>
      <c r="AV1568" s="6"/>
      <c r="AW1568" s="7"/>
      <c r="AX1568" s="7"/>
      <c r="AY1568" s="7"/>
      <c r="AZ1568" s="7"/>
      <c r="BA1568" s="8">
        <f>SUM(AV1568:AZ1568)</f>
        <v>0</v>
      </c>
      <c r="BC1568" s="6"/>
      <c r="BD1568" s="7"/>
      <c r="BE1568" s="7"/>
      <c r="BF1568" s="7"/>
      <c r="BG1568" s="7"/>
      <c r="BH1568" s="8">
        <f>SUM(BC1568:BG1568)</f>
        <v>0</v>
      </c>
      <c r="BJ1568" s="6"/>
      <c r="BK1568" s="7"/>
      <c r="BL1568" s="7"/>
      <c r="BM1568" s="7"/>
      <c r="BN1568" s="7"/>
      <c r="BO1568" s="8">
        <f>SUM(BJ1568:BN1568)</f>
        <v>0</v>
      </c>
      <c r="BQ1568" s="6"/>
      <c r="BR1568" s="7"/>
      <c r="BS1568" s="7"/>
      <c r="BT1568" s="7"/>
      <c r="BU1568" s="7"/>
      <c r="BV1568" s="8">
        <f>SUM(BQ1568:BU1568)</f>
        <v>0</v>
      </c>
      <c r="BX1568" s="6"/>
      <c r="BY1568" s="7"/>
      <c r="BZ1568" s="7"/>
      <c r="CA1568" s="7"/>
      <c r="CB1568" s="7"/>
      <c r="CC1568" s="8">
        <f>SUM(BX1568:CB1568)</f>
        <v>0</v>
      </c>
      <c r="CE1568" s="28">
        <f t="shared" si="7219"/>
        <v>0</v>
      </c>
      <c r="CF1568" s="29">
        <f t="shared" si="7220"/>
        <v>0</v>
      </c>
      <c r="CG1568" s="29">
        <f t="shared" si="7221"/>
        <v>0</v>
      </c>
      <c r="CH1568" s="29">
        <f t="shared" si="7222"/>
        <v>0</v>
      </c>
      <c r="CI1568" s="29">
        <f t="shared" si="7223"/>
        <v>0</v>
      </c>
      <c r="CJ1568" s="8">
        <f>SUM(CE1568:CI1568)</f>
        <v>0</v>
      </c>
      <c r="CL1568" s="6"/>
      <c r="CM1568" s="7"/>
      <c r="CN1568" s="7"/>
      <c r="CO1568" s="7"/>
      <c r="CP1568" s="7"/>
      <c r="CQ1568" s="8">
        <f>SUM(CL1568:CP1568)</f>
        <v>0</v>
      </c>
      <c r="CS1568" s="6"/>
      <c r="CT1568" s="7"/>
      <c r="CU1568" s="7"/>
      <c r="CV1568" s="7"/>
      <c r="CW1568" s="7"/>
      <c r="CX1568" s="8">
        <f t="shared" ref="CX1568:CX1570" si="7228">SUM(CS1568:CW1568)</f>
        <v>0</v>
      </c>
      <c r="CZ1568" s="6"/>
      <c r="DA1568" s="7"/>
      <c r="DB1568" s="7"/>
      <c r="DC1568" s="7"/>
      <c r="DD1568" s="7"/>
      <c r="DE1568" s="8">
        <f t="shared" ref="DE1568:DE1570" si="7229">SUM(CZ1568:DD1568)</f>
        <v>0</v>
      </c>
    </row>
    <row r="1569" spans="2:110">
      <c r="C1569" s="567"/>
      <c r="E1569" s="5" t="s">
        <v>61</v>
      </c>
      <c r="F1569" s="23">
        <f t="shared" si="7224"/>
        <v>0</v>
      </c>
      <c r="G1569" s="24">
        <f t="shared" si="7215"/>
        <v>0</v>
      </c>
      <c r="H1569" s="24">
        <f t="shared" si="7216"/>
        <v>0</v>
      </c>
      <c r="I1569" s="24">
        <f t="shared" si="7217"/>
        <v>0</v>
      </c>
      <c r="J1569" s="24">
        <f t="shared" si="7218"/>
        <v>0</v>
      </c>
      <c r="K1569" s="8">
        <f t="shared" si="7225"/>
        <v>0</v>
      </c>
      <c r="M1569" s="6"/>
      <c r="N1569" s="7"/>
      <c r="O1569" s="7"/>
      <c r="P1569" s="7"/>
      <c r="Q1569" s="7"/>
      <c r="R1569" s="8">
        <f t="shared" si="7226"/>
        <v>0</v>
      </c>
      <c r="T1569" s="6"/>
      <c r="U1569" s="7"/>
      <c r="V1569" s="7"/>
      <c r="W1569" s="7"/>
      <c r="X1569" s="7"/>
      <c r="Y1569" s="8">
        <f t="shared" si="7227"/>
        <v>0</v>
      </c>
      <c r="AA1569" s="6"/>
      <c r="AB1569" s="7"/>
      <c r="AC1569" s="7"/>
      <c r="AD1569" s="7"/>
      <c r="AE1569" s="7"/>
      <c r="AF1569" s="8">
        <f>SUM(AA1569:AE1569)</f>
        <v>0</v>
      </c>
      <c r="AH1569" s="6"/>
      <c r="AI1569" s="7"/>
      <c r="AJ1569" s="7"/>
      <c r="AK1569" s="7"/>
      <c r="AL1569" s="7"/>
      <c r="AM1569" s="8">
        <f>SUM(AH1569:AL1569)</f>
        <v>0</v>
      </c>
      <c r="AO1569" s="6"/>
      <c r="AP1569" s="7"/>
      <c r="AQ1569" s="7"/>
      <c r="AR1569" s="7"/>
      <c r="AS1569" s="7"/>
      <c r="AT1569" s="8">
        <f>SUM(AO1569:AS1569)</f>
        <v>0</v>
      </c>
      <c r="AV1569" s="6"/>
      <c r="AW1569" s="7"/>
      <c r="AX1569" s="7"/>
      <c r="AY1569" s="7"/>
      <c r="AZ1569" s="7"/>
      <c r="BA1569" s="8">
        <f>SUM(AV1569:AZ1569)</f>
        <v>0</v>
      </c>
      <c r="BC1569" s="6"/>
      <c r="BD1569" s="7"/>
      <c r="BE1569" s="7"/>
      <c r="BF1569" s="7"/>
      <c r="BG1569" s="7"/>
      <c r="BH1569" s="8">
        <f>SUM(BC1569:BG1569)</f>
        <v>0</v>
      </c>
      <c r="BJ1569" s="6"/>
      <c r="BK1569" s="7"/>
      <c r="BL1569" s="7"/>
      <c r="BM1569" s="7"/>
      <c r="BN1569" s="7"/>
      <c r="BO1569" s="8">
        <f>SUM(BJ1569:BN1569)</f>
        <v>0</v>
      </c>
      <c r="BQ1569" s="6"/>
      <c r="BR1569" s="7"/>
      <c r="BS1569" s="7"/>
      <c r="BT1569" s="7"/>
      <c r="BU1569" s="7"/>
      <c r="BV1569" s="8">
        <f>SUM(BQ1569:BU1569)</f>
        <v>0</v>
      </c>
      <c r="BX1569" s="6"/>
      <c r="BY1569" s="7"/>
      <c r="BZ1569" s="7"/>
      <c r="CA1569" s="7"/>
      <c r="CB1569" s="7"/>
      <c r="CC1569" s="8">
        <f>SUM(BX1569:CB1569)</f>
        <v>0</v>
      </c>
      <c r="CE1569" s="28">
        <f t="shared" si="7219"/>
        <v>0</v>
      </c>
      <c r="CF1569" s="29">
        <f t="shared" si="7220"/>
        <v>0</v>
      </c>
      <c r="CG1569" s="29">
        <f t="shared" si="7221"/>
        <v>0</v>
      </c>
      <c r="CH1569" s="29">
        <f t="shared" si="7222"/>
        <v>0</v>
      </c>
      <c r="CI1569" s="29">
        <f t="shared" si="7223"/>
        <v>0</v>
      </c>
      <c r="CJ1569" s="8">
        <f>SUM(CE1569:CI1569)</f>
        <v>0</v>
      </c>
      <c r="CL1569" s="6"/>
      <c r="CM1569" s="7"/>
      <c r="CN1569" s="7"/>
      <c r="CO1569" s="7"/>
      <c r="CP1569" s="7"/>
      <c r="CQ1569" s="8">
        <f>SUM(CL1569:CP1569)</f>
        <v>0</v>
      </c>
      <c r="CS1569" s="6"/>
      <c r="CT1569" s="7"/>
      <c r="CU1569" s="7"/>
      <c r="CV1569" s="7"/>
      <c r="CW1569" s="7"/>
      <c r="CX1569" s="8">
        <f t="shared" si="7228"/>
        <v>0</v>
      </c>
      <c r="CZ1569" s="6"/>
      <c r="DA1569" s="7"/>
      <c r="DB1569" s="7"/>
      <c r="DC1569" s="7"/>
      <c r="DD1569" s="7"/>
      <c r="DE1569" s="8">
        <f t="shared" si="7229"/>
        <v>0</v>
      </c>
    </row>
    <row r="1570" spans="2:110" ht="14" thickBot="1">
      <c r="C1570" s="567"/>
      <c r="E1570" s="5" t="s">
        <v>62</v>
      </c>
      <c r="F1570" s="23">
        <f t="shared" si="7224"/>
        <v>0</v>
      </c>
      <c r="G1570" s="24">
        <f t="shared" si="7215"/>
        <v>0</v>
      </c>
      <c r="H1570" s="24">
        <f t="shared" si="7216"/>
        <v>0</v>
      </c>
      <c r="I1570" s="24">
        <f t="shared" si="7217"/>
        <v>0</v>
      </c>
      <c r="J1570" s="24">
        <f t="shared" si="7218"/>
        <v>0</v>
      </c>
      <c r="K1570" s="8">
        <f t="shared" si="7225"/>
        <v>0</v>
      </c>
      <c r="M1570" s="6"/>
      <c r="N1570" s="7"/>
      <c r="O1570" s="7"/>
      <c r="P1570" s="7"/>
      <c r="Q1570" s="7"/>
      <c r="R1570" s="8">
        <f t="shared" si="7226"/>
        <v>0</v>
      </c>
      <c r="T1570" s="6"/>
      <c r="U1570" s="7"/>
      <c r="V1570" s="7"/>
      <c r="W1570" s="7"/>
      <c r="X1570" s="7"/>
      <c r="Y1570" s="8">
        <f t="shared" si="7227"/>
        <v>0</v>
      </c>
      <c r="AA1570" s="6"/>
      <c r="AB1570" s="7"/>
      <c r="AC1570" s="7"/>
      <c r="AD1570" s="7"/>
      <c r="AE1570" s="7"/>
      <c r="AF1570" s="8">
        <f>SUM(AA1570:AE1570)</f>
        <v>0</v>
      </c>
      <c r="AH1570" s="6"/>
      <c r="AI1570" s="7"/>
      <c r="AJ1570" s="7"/>
      <c r="AK1570" s="7"/>
      <c r="AL1570" s="7"/>
      <c r="AM1570" s="8">
        <f>SUM(AH1570:AL1570)</f>
        <v>0</v>
      </c>
      <c r="AO1570" s="6"/>
      <c r="AP1570" s="7"/>
      <c r="AQ1570" s="7"/>
      <c r="AR1570" s="7"/>
      <c r="AS1570" s="7"/>
      <c r="AT1570" s="8">
        <f>SUM(AO1570:AS1570)</f>
        <v>0</v>
      </c>
      <c r="AV1570" s="6"/>
      <c r="AW1570" s="7"/>
      <c r="AX1570" s="7"/>
      <c r="AY1570" s="7"/>
      <c r="AZ1570" s="7"/>
      <c r="BA1570" s="8">
        <f>SUM(AV1570:AZ1570)</f>
        <v>0</v>
      </c>
      <c r="BC1570" s="6"/>
      <c r="BD1570" s="7"/>
      <c r="BE1570" s="7"/>
      <c r="BF1570" s="7"/>
      <c r="BG1570" s="7"/>
      <c r="BH1570" s="8">
        <f>SUM(BC1570:BG1570)</f>
        <v>0</v>
      </c>
      <c r="BJ1570" s="6"/>
      <c r="BK1570" s="7"/>
      <c r="BL1570" s="7"/>
      <c r="BM1570" s="7"/>
      <c r="BN1570" s="7"/>
      <c r="BO1570" s="8">
        <f>SUM(BJ1570:BN1570)</f>
        <v>0</v>
      </c>
      <c r="BQ1570" s="6"/>
      <c r="BR1570" s="7"/>
      <c r="BS1570" s="7"/>
      <c r="BT1570" s="7"/>
      <c r="BU1570" s="7"/>
      <c r="BV1570" s="8">
        <f>SUM(BQ1570:BU1570)</f>
        <v>0</v>
      </c>
      <c r="BX1570" s="6"/>
      <c r="BY1570" s="7"/>
      <c r="BZ1570" s="7"/>
      <c r="CA1570" s="7"/>
      <c r="CB1570" s="7"/>
      <c r="CC1570" s="8">
        <f>SUM(BX1570:CB1570)</f>
        <v>0</v>
      </c>
      <c r="CE1570" s="493">
        <f t="shared" si="7219"/>
        <v>0</v>
      </c>
      <c r="CF1570" s="494">
        <f t="shared" si="7220"/>
        <v>0</v>
      </c>
      <c r="CG1570" s="494">
        <f t="shared" si="7221"/>
        <v>0</v>
      </c>
      <c r="CH1570" s="494">
        <f t="shared" si="7222"/>
        <v>0</v>
      </c>
      <c r="CI1570" s="494">
        <f t="shared" si="7223"/>
        <v>0</v>
      </c>
      <c r="CJ1570" s="495">
        <f>SUM(CE1570:CI1570)</f>
        <v>0</v>
      </c>
      <c r="CL1570" s="6"/>
      <c r="CM1570" s="7"/>
      <c r="CN1570" s="7"/>
      <c r="CO1570" s="7"/>
      <c r="CP1570" s="7"/>
      <c r="CQ1570" s="8">
        <f>SUM(CL1570:CP1570)</f>
        <v>0</v>
      </c>
      <c r="CS1570" s="6"/>
      <c r="CT1570" s="7"/>
      <c r="CU1570" s="7"/>
      <c r="CV1570" s="7"/>
      <c r="CW1570" s="7"/>
      <c r="CX1570" s="8">
        <f t="shared" si="7228"/>
        <v>0</v>
      </c>
      <c r="CZ1570" s="6"/>
      <c r="DA1570" s="7"/>
      <c r="DB1570" s="7"/>
      <c r="DC1570" s="7"/>
      <c r="DD1570" s="7"/>
      <c r="DE1570" s="8">
        <f t="shared" si="7229"/>
        <v>0</v>
      </c>
    </row>
    <row r="1571" spans="2:110" ht="14" thickBot="1">
      <c r="C1571" s="554"/>
      <c r="E1571" s="9"/>
      <c r="F1571" s="10">
        <f>SUM(F1567:F1570)</f>
        <v>0</v>
      </c>
      <c r="G1571" s="11">
        <f t="shared" ref="G1571:J1571" si="7230">SUM(G1567:G1570)</f>
        <v>0</v>
      </c>
      <c r="H1571" s="11">
        <f t="shared" si="7230"/>
        <v>0</v>
      </c>
      <c r="I1571" s="11">
        <f t="shared" si="7230"/>
        <v>0</v>
      </c>
      <c r="J1571" s="11">
        <f t="shared" si="7230"/>
        <v>0</v>
      </c>
      <c r="K1571" s="25">
        <f>SUM(K1567:K1570)</f>
        <v>0</v>
      </c>
      <c r="M1571" s="10">
        <f>SUM(M1567:M1570)</f>
        <v>0</v>
      </c>
      <c r="N1571" s="11">
        <f t="shared" ref="N1571:Q1571" si="7231">SUM(N1567:N1570)</f>
        <v>0</v>
      </c>
      <c r="O1571" s="11">
        <f t="shared" si="7231"/>
        <v>0</v>
      </c>
      <c r="P1571" s="11">
        <f t="shared" si="7231"/>
        <v>0</v>
      </c>
      <c r="Q1571" s="11">
        <f t="shared" si="7231"/>
        <v>0</v>
      </c>
      <c r="R1571" s="25">
        <f>SUM(R1567:R1570)</f>
        <v>0</v>
      </c>
      <c r="T1571" s="10">
        <f>SUM(T1567:T1570)</f>
        <v>0</v>
      </c>
      <c r="U1571" s="11">
        <f t="shared" ref="U1571:X1571" si="7232">SUM(U1567:U1570)</f>
        <v>0</v>
      </c>
      <c r="V1571" s="11">
        <f t="shared" si="7232"/>
        <v>0</v>
      </c>
      <c r="W1571" s="11">
        <f t="shared" si="7232"/>
        <v>0</v>
      </c>
      <c r="X1571" s="11">
        <f t="shared" si="7232"/>
        <v>0</v>
      </c>
      <c r="Y1571" s="25">
        <f>SUM(Y1567:Y1570)</f>
        <v>0</v>
      </c>
      <c r="AA1571" s="10">
        <f>SUM(AA1567:AA1570)</f>
        <v>0</v>
      </c>
      <c r="AB1571" s="11">
        <f t="shared" ref="AB1571:AE1571" si="7233">SUM(AB1567:AB1570)</f>
        <v>0</v>
      </c>
      <c r="AC1571" s="11">
        <f t="shared" si="7233"/>
        <v>0</v>
      </c>
      <c r="AD1571" s="11">
        <f t="shared" si="7233"/>
        <v>0</v>
      </c>
      <c r="AE1571" s="11">
        <f t="shared" si="7233"/>
        <v>0</v>
      </c>
      <c r="AF1571" s="25">
        <f>SUM(AF1567:AF1570)</f>
        <v>0</v>
      </c>
      <c r="AH1571" s="10">
        <f>SUM(AH1567:AH1570)</f>
        <v>0</v>
      </c>
      <c r="AI1571" s="11">
        <f t="shared" ref="AI1571:AL1571" si="7234">SUM(AI1567:AI1570)</f>
        <v>0</v>
      </c>
      <c r="AJ1571" s="11">
        <f t="shared" si="7234"/>
        <v>0</v>
      </c>
      <c r="AK1571" s="11">
        <f t="shared" si="7234"/>
        <v>0</v>
      </c>
      <c r="AL1571" s="11">
        <f t="shared" si="7234"/>
        <v>0</v>
      </c>
      <c r="AM1571" s="25">
        <f>SUM(AM1567:AM1570)</f>
        <v>0</v>
      </c>
      <c r="AO1571" s="10">
        <f>SUM(AO1567:AO1570)</f>
        <v>0</v>
      </c>
      <c r="AP1571" s="11">
        <f t="shared" ref="AP1571:AS1571" si="7235">SUM(AP1567:AP1570)</f>
        <v>0</v>
      </c>
      <c r="AQ1571" s="11">
        <f t="shared" si="7235"/>
        <v>0</v>
      </c>
      <c r="AR1571" s="11">
        <f t="shared" si="7235"/>
        <v>0</v>
      </c>
      <c r="AS1571" s="11">
        <f t="shared" si="7235"/>
        <v>0</v>
      </c>
      <c r="AT1571" s="25">
        <f>SUM(AT1567:AT1570)</f>
        <v>0</v>
      </c>
      <c r="AV1571" s="10">
        <f>SUM(AV1567:AV1570)</f>
        <v>0</v>
      </c>
      <c r="AW1571" s="11">
        <f t="shared" ref="AW1571:AZ1571" si="7236">SUM(AW1567:AW1570)</f>
        <v>0</v>
      </c>
      <c r="AX1571" s="11">
        <f t="shared" si="7236"/>
        <v>0</v>
      </c>
      <c r="AY1571" s="11">
        <f t="shared" si="7236"/>
        <v>0</v>
      </c>
      <c r="AZ1571" s="11">
        <f t="shared" si="7236"/>
        <v>0</v>
      </c>
      <c r="BA1571" s="25">
        <f>SUM(BA1567:BA1570)</f>
        <v>0</v>
      </c>
      <c r="BC1571" s="10">
        <f>SUM(BC1567:BC1570)</f>
        <v>0</v>
      </c>
      <c r="BD1571" s="11">
        <f t="shared" ref="BD1571:BG1571" si="7237">SUM(BD1567:BD1570)</f>
        <v>0</v>
      </c>
      <c r="BE1571" s="11">
        <f t="shared" si="7237"/>
        <v>0</v>
      </c>
      <c r="BF1571" s="11">
        <f t="shared" si="7237"/>
        <v>0</v>
      </c>
      <c r="BG1571" s="11">
        <f t="shared" si="7237"/>
        <v>0</v>
      </c>
      <c r="BH1571" s="25">
        <f>SUM(BH1567:BH1570)</f>
        <v>0</v>
      </c>
      <c r="BJ1571" s="10">
        <f>SUM(BJ1567:BJ1570)</f>
        <v>0</v>
      </c>
      <c r="BK1571" s="11">
        <f t="shared" ref="BK1571:BN1571" si="7238">SUM(BK1567:BK1570)</f>
        <v>0</v>
      </c>
      <c r="BL1571" s="11">
        <f t="shared" si="7238"/>
        <v>0</v>
      </c>
      <c r="BM1571" s="11">
        <f t="shared" si="7238"/>
        <v>0</v>
      </c>
      <c r="BN1571" s="11">
        <f t="shared" si="7238"/>
        <v>0</v>
      </c>
      <c r="BO1571" s="25">
        <f>SUM(BO1567:BO1570)</f>
        <v>0</v>
      </c>
      <c r="BQ1571" s="10">
        <f>SUM(BQ1567:BQ1570)</f>
        <v>0</v>
      </c>
      <c r="BR1571" s="11">
        <f t="shared" ref="BR1571:BU1571" si="7239">SUM(BR1567:BR1570)</f>
        <v>0</v>
      </c>
      <c r="BS1571" s="11">
        <f t="shared" si="7239"/>
        <v>0</v>
      </c>
      <c r="BT1571" s="11">
        <f t="shared" si="7239"/>
        <v>0</v>
      </c>
      <c r="BU1571" s="11">
        <f t="shared" si="7239"/>
        <v>0</v>
      </c>
      <c r="BV1571" s="25">
        <f>SUM(BV1567:BV1570)</f>
        <v>0</v>
      </c>
      <c r="BX1571" s="10">
        <f>SUM(BX1567:BX1570)</f>
        <v>0</v>
      </c>
      <c r="BY1571" s="11">
        <f t="shared" ref="BY1571:CB1571" si="7240">SUM(BY1567:BY1570)</f>
        <v>0</v>
      </c>
      <c r="BZ1571" s="11">
        <f t="shared" si="7240"/>
        <v>0</v>
      </c>
      <c r="CA1571" s="11">
        <f t="shared" si="7240"/>
        <v>0</v>
      </c>
      <c r="CB1571" s="11">
        <f t="shared" si="7240"/>
        <v>0</v>
      </c>
      <c r="CC1571" s="25">
        <f>SUM(CC1567:CC1570)</f>
        <v>0</v>
      </c>
      <c r="CE1571" s="62">
        <f t="shared" ref="CE1571:CJ1571" si="7241">SUM(CE1567:CE1570)</f>
        <v>0</v>
      </c>
      <c r="CF1571" s="63">
        <f t="shared" si="7241"/>
        <v>0</v>
      </c>
      <c r="CG1571" s="63">
        <f t="shared" si="7241"/>
        <v>0</v>
      </c>
      <c r="CH1571" s="63">
        <f t="shared" si="7241"/>
        <v>0</v>
      </c>
      <c r="CI1571" s="63">
        <f t="shared" si="7241"/>
        <v>0</v>
      </c>
      <c r="CJ1571" s="25">
        <f t="shared" si="7241"/>
        <v>0</v>
      </c>
      <c r="CL1571" s="10">
        <f>SUM(CL1567:CL1570)</f>
        <v>0</v>
      </c>
      <c r="CM1571" s="11">
        <f t="shared" ref="CM1571:CP1571" si="7242">SUM(CM1567:CM1570)</f>
        <v>0</v>
      </c>
      <c r="CN1571" s="11">
        <f t="shared" si="7242"/>
        <v>0</v>
      </c>
      <c r="CO1571" s="11">
        <f t="shared" si="7242"/>
        <v>0</v>
      </c>
      <c r="CP1571" s="11">
        <f t="shared" si="7242"/>
        <v>0</v>
      </c>
      <c r="CQ1571" s="25">
        <f>SUM(CQ1567:CQ1570)</f>
        <v>0</v>
      </c>
      <c r="CS1571" s="10">
        <f>SUM(CS1567:CS1570)</f>
        <v>0</v>
      </c>
      <c r="CT1571" s="11">
        <f t="shared" ref="CT1571:CW1571" si="7243">SUM(CT1567:CT1570)</f>
        <v>0</v>
      </c>
      <c r="CU1571" s="11">
        <f t="shared" si="7243"/>
        <v>0</v>
      </c>
      <c r="CV1571" s="11">
        <f t="shared" si="7243"/>
        <v>0</v>
      </c>
      <c r="CW1571" s="11">
        <f t="shared" si="7243"/>
        <v>0</v>
      </c>
      <c r="CX1571" s="25">
        <f>SUM(CX1567:CX1570)</f>
        <v>0</v>
      </c>
      <c r="CZ1571" s="10">
        <f>SUM(CZ1567:CZ1570)</f>
        <v>0</v>
      </c>
      <c r="DA1571" s="11">
        <f t="shared" ref="DA1571:DD1571" si="7244">SUM(DA1567:DA1570)</f>
        <v>0</v>
      </c>
      <c r="DB1571" s="11">
        <f t="shared" si="7244"/>
        <v>0</v>
      </c>
      <c r="DC1571" s="11">
        <f t="shared" si="7244"/>
        <v>0</v>
      </c>
      <c r="DD1571" s="11">
        <f t="shared" si="7244"/>
        <v>0</v>
      </c>
      <c r="DE1571" s="25">
        <f>SUM(DE1567:DE1570)</f>
        <v>0</v>
      </c>
    </row>
    <row r="1573" spans="2:110">
      <c r="B1573" s="123"/>
      <c r="C1573" s="20"/>
      <c r="D1573" s="20"/>
      <c r="E1573" s="20"/>
      <c r="F1573" s="20"/>
      <c r="G1573" s="20"/>
      <c r="H1573" s="20"/>
      <c r="I1573" s="20"/>
      <c r="J1573" s="20"/>
      <c r="K1573" s="20"/>
      <c r="L1573" s="20"/>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Q1573" s="20"/>
      <c r="BR1573" s="20"/>
      <c r="BS1573" s="20"/>
      <c r="BT1573" s="20"/>
      <c r="BU1573" s="20"/>
      <c r="BV1573" s="20"/>
      <c r="BW1573" s="20"/>
      <c r="BX1573" s="20"/>
      <c r="BY1573" s="20"/>
      <c r="BZ1573" s="20"/>
      <c r="CA1573" s="20"/>
      <c r="CB1573" s="20"/>
      <c r="CC1573" s="20"/>
      <c r="CD1573" s="20"/>
      <c r="CE1573" s="20"/>
      <c r="CF1573" s="20"/>
      <c r="CG1573" s="20"/>
      <c r="CH1573" s="20"/>
      <c r="CI1573" s="20"/>
      <c r="CJ1573" s="20"/>
      <c r="CK1573" s="20"/>
      <c r="CL1573" s="20"/>
      <c r="CM1573" s="20"/>
      <c r="CN1573" s="20"/>
      <c r="CO1573" s="20"/>
      <c r="CP1573" s="20"/>
      <c r="CQ1573" s="20"/>
      <c r="CR1573" s="20"/>
      <c r="CS1573" s="20"/>
      <c r="CT1573" s="20"/>
      <c r="CU1573" s="20"/>
      <c r="CV1573" s="20"/>
      <c r="CW1573" s="20"/>
      <c r="CX1573" s="20"/>
      <c r="CY1573" s="20"/>
      <c r="CZ1573" s="20"/>
      <c r="DA1573" s="20"/>
      <c r="DB1573" s="20"/>
      <c r="DC1573" s="20"/>
      <c r="DD1573" s="20"/>
      <c r="DE1573" s="20"/>
      <c r="DF1573" s="20"/>
    </row>
    <row r="1574" spans="2:110" ht="14" thickBot="1">
      <c r="B1574" s="94">
        <v>50</v>
      </c>
      <c r="C1574" s="12" t="s">
        <v>111</v>
      </c>
    </row>
    <row r="1575" spans="2:110">
      <c r="C1575" s="553">
        <v>2024</v>
      </c>
      <c r="E1575" s="1" t="s">
        <v>59</v>
      </c>
      <c r="F1575" s="2"/>
      <c r="G1575" s="3"/>
      <c r="H1575" s="3"/>
      <c r="I1575" s="3"/>
      <c r="J1575" s="3"/>
      <c r="K1575" s="4">
        <f>SUM(F1575:J1575)</f>
        <v>0</v>
      </c>
      <c r="M1575" s="2"/>
      <c r="N1575" s="3"/>
      <c r="O1575" s="3"/>
      <c r="P1575" s="3"/>
      <c r="Q1575" s="3"/>
      <c r="R1575" s="4">
        <f>SUM(M1575:Q1575)</f>
        <v>0</v>
      </c>
      <c r="T1575" s="2"/>
      <c r="U1575" s="3"/>
      <c r="V1575" s="3"/>
      <c r="W1575" s="3"/>
      <c r="X1575" s="3"/>
      <c r="Y1575" s="4">
        <f>SUM(T1575:X1575)</f>
        <v>0</v>
      </c>
      <c r="AA1575" s="2"/>
      <c r="AB1575" s="3"/>
      <c r="AC1575" s="3"/>
      <c r="AD1575" s="3"/>
      <c r="AE1575" s="3"/>
      <c r="AF1575" s="4">
        <f>SUM(AA1575:AE1575)</f>
        <v>0</v>
      </c>
      <c r="AH1575" s="2"/>
      <c r="AI1575" s="3"/>
      <c r="AJ1575" s="3"/>
      <c r="AK1575" s="3"/>
      <c r="AL1575" s="3"/>
      <c r="AM1575" s="4">
        <f>SUM(AH1575:AL1575)</f>
        <v>0</v>
      </c>
      <c r="AO1575" s="2"/>
      <c r="AP1575" s="3"/>
      <c r="AQ1575" s="3"/>
      <c r="AR1575" s="3"/>
      <c r="AS1575" s="3"/>
      <c r="AT1575" s="4">
        <f>SUM(AO1575:AS1575)</f>
        <v>0</v>
      </c>
      <c r="AV1575" s="2"/>
      <c r="AW1575" s="3"/>
      <c r="AX1575" s="3"/>
      <c r="AY1575" s="3"/>
      <c r="AZ1575" s="3"/>
      <c r="BA1575" s="4">
        <f>SUM(AV1575:AZ1575)</f>
        <v>0</v>
      </c>
      <c r="BC1575" s="2"/>
      <c r="BD1575" s="3"/>
      <c r="BE1575" s="3"/>
      <c r="BF1575" s="3"/>
      <c r="BG1575" s="3"/>
      <c r="BH1575" s="4">
        <f>SUM(BC1575:BG1575)</f>
        <v>0</v>
      </c>
      <c r="BJ1575" s="2"/>
      <c r="BK1575" s="3"/>
      <c r="BL1575" s="3"/>
      <c r="BM1575" s="3"/>
      <c r="BN1575" s="3"/>
      <c r="BO1575" s="4">
        <f>SUM(BJ1575:BN1575)</f>
        <v>0</v>
      </c>
      <c r="BQ1575" s="2"/>
      <c r="BR1575" s="3"/>
      <c r="BS1575" s="3"/>
      <c r="BT1575" s="3"/>
      <c r="BU1575" s="3"/>
      <c r="BV1575" s="4">
        <f>SUM(BQ1575:BU1575)</f>
        <v>0</v>
      </c>
      <c r="BX1575" s="2"/>
      <c r="BY1575" s="3"/>
      <c r="BZ1575" s="3"/>
      <c r="CA1575" s="3"/>
      <c r="CB1575" s="3"/>
      <c r="CC1575" s="4">
        <f>SUM(BX1575:CB1575)</f>
        <v>0</v>
      </c>
      <c r="CE1575" s="26">
        <f t="shared" ref="CE1575:CE1578" si="7245">F1575+M1575+T1575+AA1575+AH1575+AO1575+AV1575+BC1575+BJ1575+BQ1575+BX1575</f>
        <v>0</v>
      </c>
      <c r="CF1575" s="27">
        <f t="shared" ref="CF1575:CF1578" si="7246">G1575+N1575+U1575+AB1575+AI1575+AP1575+AW1575+BD1575+BK1575+BR1575+BY1575</f>
        <v>0</v>
      </c>
      <c r="CG1575" s="27">
        <f t="shared" ref="CG1575:CG1578" si="7247">H1575+O1575+V1575+AC1575+AJ1575+AQ1575+AX1575+BE1575+BL1575+BS1575+BZ1575</f>
        <v>0</v>
      </c>
      <c r="CH1575" s="27">
        <f t="shared" ref="CH1575:CH1578" si="7248">I1575+P1575+W1575+AD1575+AK1575+AR1575+AY1575+BF1575+BM1575+BT1575+CA1575</f>
        <v>0</v>
      </c>
      <c r="CI1575" s="27">
        <f t="shared" ref="CI1575:CI1578" si="7249">J1575+Q1575+X1575+AE1575+AL1575+AS1575+AZ1575+BG1575+BN1575+BU1575+CB1575</f>
        <v>0</v>
      </c>
      <c r="CJ1575" s="4">
        <f>SUM(CE1575:CI1575)</f>
        <v>0</v>
      </c>
      <c r="CL1575" s="2"/>
      <c r="CM1575" s="3"/>
      <c r="CN1575" s="3"/>
      <c r="CO1575" s="3"/>
      <c r="CP1575" s="3"/>
      <c r="CQ1575" s="4">
        <f>SUM(CL1575:CP1575)</f>
        <v>0</v>
      </c>
      <c r="CS1575" s="2"/>
      <c r="CT1575" s="3"/>
      <c r="CU1575" s="3"/>
      <c r="CV1575" s="3"/>
      <c r="CW1575" s="3"/>
      <c r="CX1575" s="4">
        <f>SUM(CS1575:CW1575)</f>
        <v>0</v>
      </c>
      <c r="CZ1575" s="2"/>
      <c r="DA1575" s="3"/>
      <c r="DB1575" s="3"/>
      <c r="DC1575" s="3"/>
      <c r="DD1575" s="3"/>
      <c r="DE1575" s="4">
        <f>SUM(CZ1575:DD1575)</f>
        <v>0</v>
      </c>
    </row>
    <row r="1576" spans="2:110">
      <c r="C1576" s="567"/>
      <c r="E1576" s="5" t="s">
        <v>60</v>
      </c>
      <c r="F1576" s="6"/>
      <c r="G1576" s="7"/>
      <c r="H1576" s="7"/>
      <c r="I1576" s="7"/>
      <c r="J1576" s="7"/>
      <c r="K1576" s="8">
        <f t="shared" ref="K1576:K1578" si="7250">SUM(F1576:J1576)</f>
        <v>0</v>
      </c>
      <c r="M1576" s="6"/>
      <c r="N1576" s="7"/>
      <c r="O1576" s="7"/>
      <c r="P1576" s="7"/>
      <c r="Q1576" s="7"/>
      <c r="R1576" s="8">
        <f t="shared" ref="R1576:R1578" si="7251">SUM(M1576:Q1576)</f>
        <v>0</v>
      </c>
      <c r="T1576" s="6"/>
      <c r="U1576" s="7"/>
      <c r="V1576" s="7"/>
      <c r="W1576" s="7"/>
      <c r="X1576" s="7"/>
      <c r="Y1576" s="8">
        <f t="shared" ref="Y1576:Y1578" si="7252">SUM(T1576:X1576)</f>
        <v>0</v>
      </c>
      <c r="AA1576" s="6"/>
      <c r="AB1576" s="7"/>
      <c r="AC1576" s="7"/>
      <c r="AD1576" s="7"/>
      <c r="AE1576" s="7"/>
      <c r="AF1576" s="8">
        <f>SUM(AA1576:AE1576)</f>
        <v>0</v>
      </c>
      <c r="AH1576" s="6"/>
      <c r="AI1576" s="7"/>
      <c r="AJ1576" s="7"/>
      <c r="AK1576" s="7"/>
      <c r="AL1576" s="7"/>
      <c r="AM1576" s="8">
        <f>SUM(AH1576:AL1576)</f>
        <v>0</v>
      </c>
      <c r="AO1576" s="6"/>
      <c r="AP1576" s="7"/>
      <c r="AQ1576" s="7"/>
      <c r="AR1576" s="7"/>
      <c r="AS1576" s="7"/>
      <c r="AT1576" s="8">
        <f>SUM(AO1576:AS1576)</f>
        <v>0</v>
      </c>
      <c r="AV1576" s="6"/>
      <c r="AW1576" s="7"/>
      <c r="AX1576" s="7"/>
      <c r="AY1576" s="7"/>
      <c r="AZ1576" s="7"/>
      <c r="BA1576" s="8">
        <f>SUM(AV1576:AZ1576)</f>
        <v>0</v>
      </c>
      <c r="BC1576" s="6"/>
      <c r="BD1576" s="7"/>
      <c r="BE1576" s="7"/>
      <c r="BF1576" s="7"/>
      <c r="BG1576" s="7"/>
      <c r="BH1576" s="8">
        <f>SUM(BC1576:BG1576)</f>
        <v>0</v>
      </c>
      <c r="BJ1576" s="6"/>
      <c r="BK1576" s="7"/>
      <c r="BL1576" s="7"/>
      <c r="BM1576" s="7"/>
      <c r="BN1576" s="7"/>
      <c r="BO1576" s="8">
        <f>SUM(BJ1576:BN1576)</f>
        <v>0</v>
      </c>
      <c r="BQ1576" s="6"/>
      <c r="BR1576" s="7"/>
      <c r="BS1576" s="7"/>
      <c r="BT1576" s="7"/>
      <c r="BU1576" s="7"/>
      <c r="BV1576" s="8">
        <f>SUM(BQ1576:BU1576)</f>
        <v>0</v>
      </c>
      <c r="BX1576" s="6"/>
      <c r="BY1576" s="7"/>
      <c r="BZ1576" s="7"/>
      <c r="CA1576" s="7"/>
      <c r="CB1576" s="7"/>
      <c r="CC1576" s="8">
        <f>SUM(BX1576:CB1576)</f>
        <v>0</v>
      </c>
      <c r="CE1576" s="28">
        <f t="shared" si="7245"/>
        <v>0</v>
      </c>
      <c r="CF1576" s="29">
        <f t="shared" si="7246"/>
        <v>0</v>
      </c>
      <c r="CG1576" s="29">
        <f t="shared" si="7247"/>
        <v>0</v>
      </c>
      <c r="CH1576" s="29">
        <f t="shared" si="7248"/>
        <v>0</v>
      </c>
      <c r="CI1576" s="29">
        <f t="shared" si="7249"/>
        <v>0</v>
      </c>
      <c r="CJ1576" s="8">
        <f>SUM(CE1576:CI1576)</f>
        <v>0</v>
      </c>
      <c r="CL1576" s="6"/>
      <c r="CM1576" s="7"/>
      <c r="CN1576" s="7"/>
      <c r="CO1576" s="7"/>
      <c r="CP1576" s="7"/>
      <c r="CQ1576" s="8">
        <f>SUM(CL1576:CP1576)</f>
        <v>0</v>
      </c>
      <c r="CS1576" s="6"/>
      <c r="CT1576" s="7"/>
      <c r="CU1576" s="7"/>
      <c r="CV1576" s="7"/>
      <c r="CW1576" s="7"/>
      <c r="CX1576" s="8">
        <f t="shared" ref="CX1576:CX1578" si="7253">SUM(CS1576:CW1576)</f>
        <v>0</v>
      </c>
      <c r="CZ1576" s="6"/>
      <c r="DA1576" s="7"/>
      <c r="DB1576" s="7"/>
      <c r="DC1576" s="7"/>
      <c r="DD1576" s="7"/>
      <c r="DE1576" s="8">
        <f t="shared" ref="DE1576:DE1578" si="7254">SUM(CZ1576:DD1576)</f>
        <v>0</v>
      </c>
    </row>
    <row r="1577" spans="2:110">
      <c r="C1577" s="567"/>
      <c r="E1577" s="5" t="s">
        <v>61</v>
      </c>
      <c r="F1577" s="6"/>
      <c r="G1577" s="7"/>
      <c r="H1577" s="7"/>
      <c r="I1577" s="7"/>
      <c r="J1577" s="7"/>
      <c r="K1577" s="8">
        <f t="shared" si="7250"/>
        <v>0</v>
      </c>
      <c r="M1577" s="6"/>
      <c r="N1577" s="7"/>
      <c r="O1577" s="7"/>
      <c r="P1577" s="7"/>
      <c r="Q1577" s="7"/>
      <c r="R1577" s="8">
        <f t="shared" si="7251"/>
        <v>0</v>
      </c>
      <c r="T1577" s="6"/>
      <c r="U1577" s="7"/>
      <c r="V1577" s="7"/>
      <c r="W1577" s="7"/>
      <c r="X1577" s="7"/>
      <c r="Y1577" s="8">
        <f t="shared" si="7252"/>
        <v>0</v>
      </c>
      <c r="AA1577" s="6"/>
      <c r="AB1577" s="7"/>
      <c r="AC1577" s="7"/>
      <c r="AD1577" s="7"/>
      <c r="AE1577" s="7"/>
      <c r="AF1577" s="8">
        <f>SUM(AA1577:AE1577)</f>
        <v>0</v>
      </c>
      <c r="AH1577" s="6"/>
      <c r="AI1577" s="7"/>
      <c r="AJ1577" s="7"/>
      <c r="AK1577" s="7"/>
      <c r="AL1577" s="7"/>
      <c r="AM1577" s="8">
        <f>SUM(AH1577:AL1577)</f>
        <v>0</v>
      </c>
      <c r="AO1577" s="6"/>
      <c r="AP1577" s="7"/>
      <c r="AQ1577" s="7"/>
      <c r="AR1577" s="7"/>
      <c r="AS1577" s="7"/>
      <c r="AT1577" s="8">
        <f>SUM(AO1577:AS1577)</f>
        <v>0</v>
      </c>
      <c r="AV1577" s="6"/>
      <c r="AW1577" s="7"/>
      <c r="AX1577" s="7"/>
      <c r="AY1577" s="7"/>
      <c r="AZ1577" s="7"/>
      <c r="BA1577" s="8">
        <f>SUM(AV1577:AZ1577)</f>
        <v>0</v>
      </c>
      <c r="BC1577" s="6"/>
      <c r="BD1577" s="7"/>
      <c r="BE1577" s="7"/>
      <c r="BF1577" s="7"/>
      <c r="BG1577" s="7"/>
      <c r="BH1577" s="8">
        <f>SUM(BC1577:BG1577)</f>
        <v>0</v>
      </c>
      <c r="BJ1577" s="6"/>
      <c r="BK1577" s="7"/>
      <c r="BL1577" s="7"/>
      <c r="BM1577" s="7"/>
      <c r="BN1577" s="7"/>
      <c r="BO1577" s="8">
        <f>SUM(BJ1577:BN1577)</f>
        <v>0</v>
      </c>
      <c r="BQ1577" s="6"/>
      <c r="BR1577" s="7"/>
      <c r="BS1577" s="7"/>
      <c r="BT1577" s="7"/>
      <c r="BU1577" s="7"/>
      <c r="BV1577" s="8">
        <f>SUM(BQ1577:BU1577)</f>
        <v>0</v>
      </c>
      <c r="BX1577" s="6"/>
      <c r="BY1577" s="7"/>
      <c r="BZ1577" s="7"/>
      <c r="CA1577" s="7"/>
      <c r="CB1577" s="7"/>
      <c r="CC1577" s="8">
        <f>SUM(BX1577:CB1577)</f>
        <v>0</v>
      </c>
      <c r="CE1577" s="28">
        <f t="shared" si="7245"/>
        <v>0</v>
      </c>
      <c r="CF1577" s="29">
        <f t="shared" si="7246"/>
        <v>0</v>
      </c>
      <c r="CG1577" s="29">
        <f t="shared" si="7247"/>
        <v>0</v>
      </c>
      <c r="CH1577" s="29">
        <f t="shared" si="7248"/>
        <v>0</v>
      </c>
      <c r="CI1577" s="29">
        <f t="shared" si="7249"/>
        <v>0</v>
      </c>
      <c r="CJ1577" s="8">
        <f>SUM(CE1577:CI1577)</f>
        <v>0</v>
      </c>
      <c r="CL1577" s="6"/>
      <c r="CM1577" s="7"/>
      <c r="CN1577" s="7"/>
      <c r="CO1577" s="7"/>
      <c r="CP1577" s="7"/>
      <c r="CQ1577" s="8">
        <f>SUM(CL1577:CP1577)</f>
        <v>0</v>
      </c>
      <c r="CS1577" s="6"/>
      <c r="CT1577" s="7"/>
      <c r="CU1577" s="7"/>
      <c r="CV1577" s="7"/>
      <c r="CW1577" s="7"/>
      <c r="CX1577" s="8">
        <f t="shared" si="7253"/>
        <v>0</v>
      </c>
      <c r="CZ1577" s="6"/>
      <c r="DA1577" s="7"/>
      <c r="DB1577" s="7"/>
      <c r="DC1577" s="7"/>
      <c r="DD1577" s="7"/>
      <c r="DE1577" s="8">
        <f t="shared" si="7254"/>
        <v>0</v>
      </c>
    </row>
    <row r="1578" spans="2:110" ht="14" thickBot="1">
      <c r="C1578" s="567"/>
      <c r="E1578" s="5" t="s">
        <v>62</v>
      </c>
      <c r="F1578" s="6"/>
      <c r="G1578" s="7"/>
      <c r="H1578" s="7"/>
      <c r="I1578" s="7"/>
      <c r="J1578" s="7"/>
      <c r="K1578" s="8">
        <f t="shared" si="7250"/>
        <v>0</v>
      </c>
      <c r="M1578" s="6"/>
      <c r="N1578" s="7"/>
      <c r="O1578" s="7"/>
      <c r="P1578" s="7"/>
      <c r="Q1578" s="7"/>
      <c r="R1578" s="8">
        <f t="shared" si="7251"/>
        <v>0</v>
      </c>
      <c r="T1578" s="6"/>
      <c r="U1578" s="7"/>
      <c r="V1578" s="7"/>
      <c r="W1578" s="7"/>
      <c r="X1578" s="7"/>
      <c r="Y1578" s="8">
        <f t="shared" si="7252"/>
        <v>0</v>
      </c>
      <c r="AA1578" s="6"/>
      <c r="AB1578" s="7"/>
      <c r="AC1578" s="7"/>
      <c r="AD1578" s="7"/>
      <c r="AE1578" s="7"/>
      <c r="AF1578" s="8">
        <f>SUM(AA1578:AE1578)</f>
        <v>0</v>
      </c>
      <c r="AH1578" s="6"/>
      <c r="AI1578" s="7"/>
      <c r="AJ1578" s="7"/>
      <c r="AK1578" s="7"/>
      <c r="AL1578" s="7"/>
      <c r="AM1578" s="8">
        <f>SUM(AH1578:AL1578)</f>
        <v>0</v>
      </c>
      <c r="AO1578" s="6"/>
      <c r="AP1578" s="7"/>
      <c r="AQ1578" s="7"/>
      <c r="AR1578" s="7"/>
      <c r="AS1578" s="7"/>
      <c r="AT1578" s="8">
        <f>SUM(AO1578:AS1578)</f>
        <v>0</v>
      </c>
      <c r="AV1578" s="6"/>
      <c r="AW1578" s="7"/>
      <c r="AX1578" s="7"/>
      <c r="AY1578" s="7"/>
      <c r="AZ1578" s="7"/>
      <c r="BA1578" s="8">
        <f>SUM(AV1578:AZ1578)</f>
        <v>0</v>
      </c>
      <c r="BC1578" s="6"/>
      <c r="BD1578" s="7"/>
      <c r="BE1578" s="7"/>
      <c r="BF1578" s="7"/>
      <c r="BG1578" s="7"/>
      <c r="BH1578" s="8">
        <f>SUM(BC1578:BG1578)</f>
        <v>0</v>
      </c>
      <c r="BJ1578" s="6"/>
      <c r="BK1578" s="7"/>
      <c r="BL1578" s="7"/>
      <c r="BM1578" s="7"/>
      <c r="BN1578" s="7"/>
      <c r="BO1578" s="8">
        <f>SUM(BJ1578:BN1578)</f>
        <v>0</v>
      </c>
      <c r="BQ1578" s="6"/>
      <c r="BR1578" s="7"/>
      <c r="BS1578" s="7"/>
      <c r="BT1578" s="7"/>
      <c r="BU1578" s="7"/>
      <c r="BV1578" s="8">
        <f>SUM(BQ1578:BU1578)</f>
        <v>0</v>
      </c>
      <c r="BX1578" s="6"/>
      <c r="BY1578" s="7"/>
      <c r="BZ1578" s="7"/>
      <c r="CA1578" s="7"/>
      <c r="CB1578" s="7"/>
      <c r="CC1578" s="8">
        <f>SUM(BX1578:CB1578)</f>
        <v>0</v>
      </c>
      <c r="CE1578" s="493">
        <f t="shared" si="7245"/>
        <v>0</v>
      </c>
      <c r="CF1578" s="494">
        <f t="shared" si="7246"/>
        <v>0</v>
      </c>
      <c r="CG1578" s="494">
        <f t="shared" si="7247"/>
        <v>0</v>
      </c>
      <c r="CH1578" s="494">
        <f t="shared" si="7248"/>
        <v>0</v>
      </c>
      <c r="CI1578" s="494">
        <f t="shared" si="7249"/>
        <v>0</v>
      </c>
      <c r="CJ1578" s="495">
        <f>SUM(CE1578:CI1578)</f>
        <v>0</v>
      </c>
      <c r="CL1578" s="6"/>
      <c r="CM1578" s="7"/>
      <c r="CN1578" s="7"/>
      <c r="CO1578" s="7"/>
      <c r="CP1578" s="7"/>
      <c r="CQ1578" s="8">
        <f>SUM(CL1578:CP1578)</f>
        <v>0</v>
      </c>
      <c r="CS1578" s="6"/>
      <c r="CT1578" s="7"/>
      <c r="CU1578" s="7"/>
      <c r="CV1578" s="7"/>
      <c r="CW1578" s="7"/>
      <c r="CX1578" s="8">
        <f t="shared" si="7253"/>
        <v>0</v>
      </c>
      <c r="CZ1578" s="6"/>
      <c r="DA1578" s="7"/>
      <c r="DB1578" s="7"/>
      <c r="DC1578" s="7"/>
      <c r="DD1578" s="7"/>
      <c r="DE1578" s="8">
        <f t="shared" si="7254"/>
        <v>0</v>
      </c>
    </row>
    <row r="1579" spans="2:110" ht="14" thickBot="1">
      <c r="C1579" s="554"/>
      <c r="E1579" s="9"/>
      <c r="F1579" s="10">
        <f>SUM(F1575:F1578)</f>
        <v>0</v>
      </c>
      <c r="G1579" s="11">
        <f t="shared" ref="G1579:J1579" si="7255">SUM(G1575:G1578)</f>
        <v>0</v>
      </c>
      <c r="H1579" s="11">
        <f t="shared" si="7255"/>
        <v>0</v>
      </c>
      <c r="I1579" s="11">
        <f t="shared" si="7255"/>
        <v>0</v>
      </c>
      <c r="J1579" s="61">
        <f t="shared" si="7255"/>
        <v>0</v>
      </c>
      <c r="K1579" s="25">
        <f>SUM(K1575:K1578)</f>
        <v>0</v>
      </c>
      <c r="M1579" s="10">
        <f>SUM(M1575:M1578)</f>
        <v>0</v>
      </c>
      <c r="N1579" s="11">
        <f t="shared" ref="N1579:Q1579" si="7256">SUM(N1575:N1578)</f>
        <v>0</v>
      </c>
      <c r="O1579" s="11">
        <f t="shared" si="7256"/>
        <v>0</v>
      </c>
      <c r="P1579" s="11">
        <f t="shared" si="7256"/>
        <v>0</v>
      </c>
      <c r="Q1579" s="11">
        <f t="shared" si="7256"/>
        <v>0</v>
      </c>
      <c r="R1579" s="25">
        <f>SUM(R1575:R1578)</f>
        <v>0</v>
      </c>
      <c r="T1579" s="10">
        <f>SUM(T1575:T1578)</f>
        <v>0</v>
      </c>
      <c r="U1579" s="11">
        <f t="shared" ref="U1579:X1579" si="7257">SUM(U1575:U1578)</f>
        <v>0</v>
      </c>
      <c r="V1579" s="11">
        <f t="shared" si="7257"/>
        <v>0</v>
      </c>
      <c r="W1579" s="11">
        <f t="shared" si="7257"/>
        <v>0</v>
      </c>
      <c r="X1579" s="11">
        <f t="shared" si="7257"/>
        <v>0</v>
      </c>
      <c r="Y1579" s="25">
        <f>SUM(Y1575:Y1578)</f>
        <v>0</v>
      </c>
      <c r="AA1579" s="10">
        <f>SUM(AA1575:AA1578)</f>
        <v>0</v>
      </c>
      <c r="AB1579" s="11">
        <f t="shared" ref="AB1579:AE1579" si="7258">SUM(AB1575:AB1578)</f>
        <v>0</v>
      </c>
      <c r="AC1579" s="11">
        <f t="shared" si="7258"/>
        <v>0</v>
      </c>
      <c r="AD1579" s="11">
        <f t="shared" si="7258"/>
        <v>0</v>
      </c>
      <c r="AE1579" s="11">
        <f t="shared" si="7258"/>
        <v>0</v>
      </c>
      <c r="AF1579" s="25">
        <f>SUM(AF1575:AF1578)</f>
        <v>0</v>
      </c>
      <c r="AH1579" s="10">
        <f>SUM(AH1575:AH1578)</f>
        <v>0</v>
      </c>
      <c r="AI1579" s="11">
        <f t="shared" ref="AI1579:AL1579" si="7259">SUM(AI1575:AI1578)</f>
        <v>0</v>
      </c>
      <c r="AJ1579" s="11">
        <f t="shared" si="7259"/>
        <v>0</v>
      </c>
      <c r="AK1579" s="11">
        <f t="shared" si="7259"/>
        <v>0</v>
      </c>
      <c r="AL1579" s="11">
        <f t="shared" si="7259"/>
        <v>0</v>
      </c>
      <c r="AM1579" s="25">
        <f>SUM(AM1575:AM1578)</f>
        <v>0</v>
      </c>
      <c r="AO1579" s="10">
        <f>SUM(AO1575:AO1578)</f>
        <v>0</v>
      </c>
      <c r="AP1579" s="11">
        <f t="shared" ref="AP1579:AS1579" si="7260">SUM(AP1575:AP1578)</f>
        <v>0</v>
      </c>
      <c r="AQ1579" s="11">
        <f t="shared" si="7260"/>
        <v>0</v>
      </c>
      <c r="AR1579" s="11">
        <f t="shared" si="7260"/>
        <v>0</v>
      </c>
      <c r="AS1579" s="11">
        <f t="shared" si="7260"/>
        <v>0</v>
      </c>
      <c r="AT1579" s="25">
        <f>SUM(AT1575:AT1578)</f>
        <v>0</v>
      </c>
      <c r="AV1579" s="10">
        <f>SUM(AV1575:AV1578)</f>
        <v>0</v>
      </c>
      <c r="AW1579" s="11">
        <f t="shared" ref="AW1579:AZ1579" si="7261">SUM(AW1575:AW1578)</f>
        <v>0</v>
      </c>
      <c r="AX1579" s="11">
        <f t="shared" si="7261"/>
        <v>0</v>
      </c>
      <c r="AY1579" s="11">
        <f t="shared" si="7261"/>
        <v>0</v>
      </c>
      <c r="AZ1579" s="11">
        <f t="shared" si="7261"/>
        <v>0</v>
      </c>
      <c r="BA1579" s="25">
        <f>SUM(BA1575:BA1578)</f>
        <v>0</v>
      </c>
      <c r="BC1579" s="10">
        <f>SUM(BC1575:BC1578)</f>
        <v>0</v>
      </c>
      <c r="BD1579" s="11">
        <f t="shared" ref="BD1579:BG1579" si="7262">SUM(BD1575:BD1578)</f>
        <v>0</v>
      </c>
      <c r="BE1579" s="11">
        <f t="shared" si="7262"/>
        <v>0</v>
      </c>
      <c r="BF1579" s="11">
        <f t="shared" si="7262"/>
        <v>0</v>
      </c>
      <c r="BG1579" s="11">
        <f t="shared" si="7262"/>
        <v>0</v>
      </c>
      <c r="BH1579" s="25">
        <f>SUM(BH1575:BH1578)</f>
        <v>0</v>
      </c>
      <c r="BJ1579" s="10">
        <f>SUM(BJ1575:BJ1578)</f>
        <v>0</v>
      </c>
      <c r="BK1579" s="11">
        <f t="shared" ref="BK1579:BN1579" si="7263">SUM(BK1575:BK1578)</f>
        <v>0</v>
      </c>
      <c r="BL1579" s="11">
        <f t="shared" si="7263"/>
        <v>0</v>
      </c>
      <c r="BM1579" s="11">
        <f t="shared" si="7263"/>
        <v>0</v>
      </c>
      <c r="BN1579" s="11">
        <f t="shared" si="7263"/>
        <v>0</v>
      </c>
      <c r="BO1579" s="25">
        <f>SUM(BO1575:BO1578)</f>
        <v>0</v>
      </c>
      <c r="BQ1579" s="10">
        <f>SUM(BQ1575:BQ1578)</f>
        <v>0</v>
      </c>
      <c r="BR1579" s="11">
        <f t="shared" ref="BR1579:BU1579" si="7264">SUM(BR1575:BR1578)</f>
        <v>0</v>
      </c>
      <c r="BS1579" s="11">
        <f t="shared" si="7264"/>
        <v>0</v>
      </c>
      <c r="BT1579" s="11">
        <f t="shared" si="7264"/>
        <v>0</v>
      </c>
      <c r="BU1579" s="11">
        <f t="shared" si="7264"/>
        <v>0</v>
      </c>
      <c r="BV1579" s="25">
        <f>SUM(BV1575:BV1578)</f>
        <v>0</v>
      </c>
      <c r="BX1579" s="10">
        <f>SUM(BX1575:BX1578)</f>
        <v>0</v>
      </c>
      <c r="BY1579" s="11">
        <f t="shared" ref="BY1579:CB1579" si="7265">SUM(BY1575:BY1578)</f>
        <v>0</v>
      </c>
      <c r="BZ1579" s="11">
        <f t="shared" si="7265"/>
        <v>0</v>
      </c>
      <c r="CA1579" s="11">
        <f t="shared" si="7265"/>
        <v>0</v>
      </c>
      <c r="CB1579" s="11">
        <f t="shared" si="7265"/>
        <v>0</v>
      </c>
      <c r="CC1579" s="25">
        <f>SUM(CC1575:CC1578)</f>
        <v>0</v>
      </c>
      <c r="CE1579" s="62">
        <f t="shared" ref="CE1579:CJ1579" si="7266">SUM(CE1575:CE1578)</f>
        <v>0</v>
      </c>
      <c r="CF1579" s="63">
        <f t="shared" si="7266"/>
        <v>0</v>
      </c>
      <c r="CG1579" s="63">
        <f t="shared" si="7266"/>
        <v>0</v>
      </c>
      <c r="CH1579" s="63">
        <f t="shared" si="7266"/>
        <v>0</v>
      </c>
      <c r="CI1579" s="63">
        <f t="shared" si="7266"/>
        <v>0</v>
      </c>
      <c r="CJ1579" s="25">
        <f t="shared" si="7266"/>
        <v>0</v>
      </c>
      <c r="CL1579" s="10">
        <f>SUM(CL1575:CL1578)</f>
        <v>0</v>
      </c>
      <c r="CM1579" s="11">
        <f t="shared" ref="CM1579:CP1579" si="7267">SUM(CM1575:CM1578)</f>
        <v>0</v>
      </c>
      <c r="CN1579" s="11">
        <f t="shared" si="7267"/>
        <v>0</v>
      </c>
      <c r="CO1579" s="11">
        <f t="shared" si="7267"/>
        <v>0</v>
      </c>
      <c r="CP1579" s="11">
        <f t="shared" si="7267"/>
        <v>0</v>
      </c>
      <c r="CQ1579" s="25">
        <f>SUM(CQ1575:CQ1578)</f>
        <v>0</v>
      </c>
      <c r="CS1579" s="10">
        <f>SUM(CS1575:CS1578)</f>
        <v>0</v>
      </c>
      <c r="CT1579" s="11">
        <f t="shared" ref="CT1579:CW1579" si="7268">SUM(CT1575:CT1578)</f>
        <v>0</v>
      </c>
      <c r="CU1579" s="11">
        <f t="shared" si="7268"/>
        <v>0</v>
      </c>
      <c r="CV1579" s="11">
        <f t="shared" si="7268"/>
        <v>0</v>
      </c>
      <c r="CW1579" s="11">
        <f t="shared" si="7268"/>
        <v>0</v>
      </c>
      <c r="CX1579" s="25">
        <f>SUM(CX1575:CX1578)</f>
        <v>0</v>
      </c>
      <c r="CZ1579" s="10">
        <f>SUM(CZ1575:CZ1578)</f>
        <v>0</v>
      </c>
      <c r="DA1579" s="11">
        <f t="shared" ref="DA1579:DD1579" si="7269">SUM(DA1575:DA1578)</f>
        <v>0</v>
      </c>
      <c r="DB1579" s="11">
        <f t="shared" si="7269"/>
        <v>0</v>
      </c>
      <c r="DC1579" s="11">
        <f t="shared" si="7269"/>
        <v>0</v>
      </c>
      <c r="DD1579" s="11">
        <f t="shared" si="7269"/>
        <v>0</v>
      </c>
      <c r="DE1579" s="25">
        <f>SUM(DE1575:DE1578)</f>
        <v>0</v>
      </c>
    </row>
    <row r="1580" spans="2:110" ht="10.4" customHeight="1" thickBot="1"/>
    <row r="1581" spans="2:110">
      <c r="C1581" s="553">
        <v>2025</v>
      </c>
      <c r="E1581" s="13" t="s">
        <v>59</v>
      </c>
      <c r="F1581" s="21">
        <f>CE1575</f>
        <v>0</v>
      </c>
      <c r="G1581" s="22">
        <f t="shared" ref="G1581:G1584" si="7270">CF1575</f>
        <v>0</v>
      </c>
      <c r="H1581" s="22">
        <f t="shared" ref="H1581:H1584" si="7271">CG1575</f>
        <v>0</v>
      </c>
      <c r="I1581" s="22">
        <f t="shared" ref="I1581:I1584" si="7272">CH1575</f>
        <v>0</v>
      </c>
      <c r="J1581" s="22">
        <f t="shared" ref="J1581:J1584" si="7273">CI1575</f>
        <v>0</v>
      </c>
      <c r="K1581" s="15">
        <f>SUM(F1581:J1581)</f>
        <v>0</v>
      </c>
      <c r="M1581" s="2"/>
      <c r="N1581" s="3"/>
      <c r="O1581" s="3"/>
      <c r="P1581" s="3"/>
      <c r="Q1581" s="3"/>
      <c r="R1581" s="15">
        <f>SUM(M1581:Q1581)</f>
        <v>0</v>
      </c>
      <c r="T1581" s="2"/>
      <c r="U1581" s="3"/>
      <c r="V1581" s="3"/>
      <c r="W1581" s="3"/>
      <c r="X1581" s="3"/>
      <c r="Y1581" s="15">
        <f>SUM(T1581:X1581)</f>
        <v>0</v>
      </c>
      <c r="AA1581" s="2"/>
      <c r="AB1581" s="3"/>
      <c r="AC1581" s="3"/>
      <c r="AD1581" s="3"/>
      <c r="AE1581" s="3"/>
      <c r="AF1581" s="15">
        <f>SUM(AA1581:AE1581)</f>
        <v>0</v>
      </c>
      <c r="AH1581" s="2"/>
      <c r="AI1581" s="3"/>
      <c r="AJ1581" s="3"/>
      <c r="AK1581" s="3"/>
      <c r="AL1581" s="3"/>
      <c r="AM1581" s="15">
        <f>SUM(AH1581:AL1581)</f>
        <v>0</v>
      </c>
      <c r="AO1581" s="2"/>
      <c r="AP1581" s="3"/>
      <c r="AQ1581" s="3"/>
      <c r="AR1581" s="3"/>
      <c r="AS1581" s="3"/>
      <c r="AT1581" s="15">
        <f>SUM(AO1581:AS1581)</f>
        <v>0</v>
      </c>
      <c r="AV1581" s="2"/>
      <c r="AW1581" s="3"/>
      <c r="AX1581" s="3"/>
      <c r="AY1581" s="3"/>
      <c r="AZ1581" s="3"/>
      <c r="BA1581" s="15">
        <f>SUM(AV1581:AZ1581)</f>
        <v>0</v>
      </c>
      <c r="BC1581" s="2"/>
      <c r="BD1581" s="3"/>
      <c r="BE1581" s="3"/>
      <c r="BF1581" s="3"/>
      <c r="BG1581" s="3"/>
      <c r="BH1581" s="15">
        <f>SUM(BC1581:BG1581)</f>
        <v>0</v>
      </c>
      <c r="BJ1581" s="2"/>
      <c r="BK1581" s="3"/>
      <c r="BL1581" s="3"/>
      <c r="BM1581" s="3"/>
      <c r="BN1581" s="3"/>
      <c r="BO1581" s="15">
        <f>SUM(BJ1581:BN1581)</f>
        <v>0</v>
      </c>
      <c r="BQ1581" s="2"/>
      <c r="BR1581" s="3"/>
      <c r="BS1581" s="3"/>
      <c r="BT1581" s="3"/>
      <c r="BU1581" s="3"/>
      <c r="BV1581" s="15">
        <f>SUM(BQ1581:BU1581)</f>
        <v>0</v>
      </c>
      <c r="BX1581" s="2"/>
      <c r="BY1581" s="3"/>
      <c r="BZ1581" s="3"/>
      <c r="CA1581" s="3"/>
      <c r="CB1581" s="3"/>
      <c r="CC1581" s="15">
        <f>SUM(BX1581:CB1581)</f>
        <v>0</v>
      </c>
      <c r="CE1581" s="26">
        <f t="shared" ref="CE1581:CE1584" si="7274">F1581+M1581+T1581+AA1581+AH1581+AO1581+AV1581+BC1581+BJ1581+BQ1581+BX1581</f>
        <v>0</v>
      </c>
      <c r="CF1581" s="27">
        <f t="shared" ref="CF1581:CF1584" si="7275">G1581+N1581+U1581+AB1581+AI1581+AP1581+AW1581+BD1581+BK1581+BR1581+BY1581</f>
        <v>0</v>
      </c>
      <c r="CG1581" s="27">
        <f t="shared" ref="CG1581:CG1584" si="7276">H1581+O1581+V1581+AC1581+AJ1581+AQ1581+AX1581+BE1581+BL1581+BS1581+BZ1581</f>
        <v>0</v>
      </c>
      <c r="CH1581" s="27">
        <f t="shared" ref="CH1581:CH1584" si="7277">I1581+P1581+W1581+AD1581+AK1581+AR1581+AY1581+BF1581+BM1581+BT1581+CA1581</f>
        <v>0</v>
      </c>
      <c r="CI1581" s="27">
        <f t="shared" ref="CI1581:CI1584" si="7278">J1581+Q1581+X1581+AE1581+AL1581+AS1581+AZ1581+BG1581+BN1581+BU1581+CB1581</f>
        <v>0</v>
      </c>
      <c r="CJ1581" s="4">
        <f>SUM(CE1581:CI1581)</f>
        <v>0</v>
      </c>
      <c r="CL1581" s="2"/>
      <c r="CM1581" s="3"/>
      <c r="CN1581" s="3"/>
      <c r="CO1581" s="3"/>
      <c r="CP1581" s="3"/>
      <c r="CQ1581" s="15">
        <f>SUM(CL1581:CP1581)</f>
        <v>0</v>
      </c>
      <c r="CS1581" s="2"/>
      <c r="CT1581" s="3"/>
      <c r="CU1581" s="3"/>
      <c r="CV1581" s="3"/>
      <c r="CW1581" s="3"/>
      <c r="CX1581" s="4">
        <f>SUM(CS1581:CW1581)</f>
        <v>0</v>
      </c>
      <c r="CZ1581" s="2"/>
      <c r="DA1581" s="3"/>
      <c r="DB1581" s="3"/>
      <c r="DC1581" s="3"/>
      <c r="DD1581" s="3"/>
      <c r="DE1581" s="15">
        <f>SUM(CZ1581:DD1581)</f>
        <v>0</v>
      </c>
    </row>
    <row r="1582" spans="2:110">
      <c r="C1582" s="567"/>
      <c r="E1582" s="14" t="s">
        <v>60</v>
      </c>
      <c r="F1582" s="23">
        <f t="shared" ref="F1582:F1584" si="7279">CE1576</f>
        <v>0</v>
      </c>
      <c r="G1582" s="24">
        <f t="shared" si="7270"/>
        <v>0</v>
      </c>
      <c r="H1582" s="24">
        <f t="shared" si="7271"/>
        <v>0</v>
      </c>
      <c r="I1582" s="24">
        <f t="shared" si="7272"/>
        <v>0</v>
      </c>
      <c r="J1582" s="24">
        <f t="shared" si="7273"/>
        <v>0</v>
      </c>
      <c r="K1582" s="16">
        <f t="shared" ref="K1582:K1584" si="7280">SUM(F1582:J1582)</f>
        <v>0</v>
      </c>
      <c r="M1582" s="6"/>
      <c r="N1582" s="7"/>
      <c r="O1582" s="7"/>
      <c r="P1582" s="7"/>
      <c r="Q1582" s="7"/>
      <c r="R1582" s="16">
        <f t="shared" ref="R1582:R1584" si="7281">SUM(M1582:Q1582)</f>
        <v>0</v>
      </c>
      <c r="T1582" s="6"/>
      <c r="U1582" s="7"/>
      <c r="V1582" s="7"/>
      <c r="W1582" s="7"/>
      <c r="X1582" s="7"/>
      <c r="Y1582" s="16">
        <f t="shared" ref="Y1582:Y1584" si="7282">SUM(T1582:X1582)</f>
        <v>0</v>
      </c>
      <c r="AA1582" s="6"/>
      <c r="AB1582" s="7"/>
      <c r="AC1582" s="7"/>
      <c r="AD1582" s="7"/>
      <c r="AE1582" s="7"/>
      <c r="AF1582" s="16">
        <f>SUM(AA1582:AE1582)</f>
        <v>0</v>
      </c>
      <c r="AH1582" s="6"/>
      <c r="AI1582" s="7"/>
      <c r="AJ1582" s="7"/>
      <c r="AK1582" s="7"/>
      <c r="AL1582" s="7"/>
      <c r="AM1582" s="16">
        <f>SUM(AH1582:AL1582)</f>
        <v>0</v>
      </c>
      <c r="AO1582" s="6"/>
      <c r="AP1582" s="7"/>
      <c r="AQ1582" s="7"/>
      <c r="AR1582" s="7"/>
      <c r="AS1582" s="7"/>
      <c r="AT1582" s="16">
        <f>SUM(AO1582:AS1582)</f>
        <v>0</v>
      </c>
      <c r="AV1582" s="6"/>
      <c r="AW1582" s="7"/>
      <c r="AX1582" s="7"/>
      <c r="AY1582" s="7"/>
      <c r="AZ1582" s="7"/>
      <c r="BA1582" s="16">
        <f>SUM(AV1582:AZ1582)</f>
        <v>0</v>
      </c>
      <c r="BC1582" s="6"/>
      <c r="BD1582" s="7"/>
      <c r="BE1582" s="7"/>
      <c r="BF1582" s="7"/>
      <c r="BG1582" s="7"/>
      <c r="BH1582" s="16">
        <f>SUM(BC1582:BG1582)</f>
        <v>0</v>
      </c>
      <c r="BJ1582" s="6"/>
      <c r="BK1582" s="7"/>
      <c r="BL1582" s="7"/>
      <c r="BM1582" s="7"/>
      <c r="BN1582" s="7"/>
      <c r="BO1582" s="16">
        <f>SUM(BJ1582:BN1582)</f>
        <v>0</v>
      </c>
      <c r="BQ1582" s="6"/>
      <c r="BR1582" s="7"/>
      <c r="BS1582" s="7"/>
      <c r="BT1582" s="7"/>
      <c r="BU1582" s="7"/>
      <c r="BV1582" s="16">
        <f>SUM(BQ1582:BU1582)</f>
        <v>0</v>
      </c>
      <c r="BX1582" s="6"/>
      <c r="BY1582" s="7"/>
      <c r="BZ1582" s="7"/>
      <c r="CA1582" s="7"/>
      <c r="CB1582" s="7"/>
      <c r="CC1582" s="16">
        <f>SUM(BX1582:CB1582)</f>
        <v>0</v>
      </c>
      <c r="CE1582" s="28">
        <f t="shared" si="7274"/>
        <v>0</v>
      </c>
      <c r="CF1582" s="29">
        <f t="shared" si="7275"/>
        <v>0</v>
      </c>
      <c r="CG1582" s="29">
        <f t="shared" si="7276"/>
        <v>0</v>
      </c>
      <c r="CH1582" s="29">
        <f t="shared" si="7277"/>
        <v>0</v>
      </c>
      <c r="CI1582" s="29">
        <f t="shared" si="7278"/>
        <v>0</v>
      </c>
      <c r="CJ1582" s="8">
        <f>SUM(CE1582:CI1582)</f>
        <v>0</v>
      </c>
      <c r="CL1582" s="6"/>
      <c r="CM1582" s="7"/>
      <c r="CN1582" s="7"/>
      <c r="CO1582" s="7"/>
      <c r="CP1582" s="7"/>
      <c r="CQ1582" s="16">
        <f>SUM(CL1582:CP1582)</f>
        <v>0</v>
      </c>
      <c r="CS1582" s="6"/>
      <c r="CT1582" s="7"/>
      <c r="CU1582" s="7"/>
      <c r="CV1582" s="7"/>
      <c r="CW1582" s="7"/>
      <c r="CX1582" s="8">
        <f t="shared" ref="CX1582:CX1584" si="7283">SUM(CS1582:CW1582)</f>
        <v>0</v>
      </c>
      <c r="CZ1582" s="6"/>
      <c r="DA1582" s="7"/>
      <c r="DB1582" s="7"/>
      <c r="DC1582" s="7"/>
      <c r="DD1582" s="7"/>
      <c r="DE1582" s="16">
        <f t="shared" ref="DE1582:DE1584" si="7284">SUM(CZ1582:DD1582)</f>
        <v>0</v>
      </c>
    </row>
    <row r="1583" spans="2:110">
      <c r="C1583" s="567"/>
      <c r="E1583" s="14" t="s">
        <v>61</v>
      </c>
      <c r="F1583" s="23">
        <f t="shared" si="7279"/>
        <v>0</v>
      </c>
      <c r="G1583" s="24">
        <f t="shared" si="7270"/>
        <v>0</v>
      </c>
      <c r="H1583" s="24">
        <f t="shared" si="7271"/>
        <v>0</v>
      </c>
      <c r="I1583" s="24">
        <f t="shared" si="7272"/>
        <v>0</v>
      </c>
      <c r="J1583" s="24">
        <f t="shared" si="7273"/>
        <v>0</v>
      </c>
      <c r="K1583" s="16">
        <f t="shared" si="7280"/>
        <v>0</v>
      </c>
      <c r="M1583" s="6"/>
      <c r="N1583" s="7"/>
      <c r="O1583" s="7"/>
      <c r="P1583" s="7"/>
      <c r="Q1583" s="7"/>
      <c r="R1583" s="16">
        <f t="shared" si="7281"/>
        <v>0</v>
      </c>
      <c r="T1583" s="6"/>
      <c r="U1583" s="7"/>
      <c r="V1583" s="7"/>
      <c r="W1583" s="7"/>
      <c r="X1583" s="7"/>
      <c r="Y1583" s="16">
        <f t="shared" si="7282"/>
        <v>0</v>
      </c>
      <c r="AA1583" s="6"/>
      <c r="AB1583" s="7"/>
      <c r="AC1583" s="7"/>
      <c r="AD1583" s="7"/>
      <c r="AE1583" s="7"/>
      <c r="AF1583" s="16">
        <f>SUM(AA1583:AE1583)</f>
        <v>0</v>
      </c>
      <c r="AH1583" s="6"/>
      <c r="AI1583" s="7"/>
      <c r="AJ1583" s="7"/>
      <c r="AK1583" s="7"/>
      <c r="AL1583" s="7"/>
      <c r="AM1583" s="16">
        <f>SUM(AH1583:AL1583)</f>
        <v>0</v>
      </c>
      <c r="AO1583" s="6"/>
      <c r="AP1583" s="7"/>
      <c r="AQ1583" s="7"/>
      <c r="AR1583" s="7"/>
      <c r="AS1583" s="7"/>
      <c r="AT1583" s="16">
        <f>SUM(AO1583:AS1583)</f>
        <v>0</v>
      </c>
      <c r="AV1583" s="6"/>
      <c r="AW1583" s="7"/>
      <c r="AX1583" s="7"/>
      <c r="AY1583" s="7"/>
      <c r="AZ1583" s="7"/>
      <c r="BA1583" s="16">
        <f>SUM(AV1583:AZ1583)</f>
        <v>0</v>
      </c>
      <c r="BC1583" s="6"/>
      <c r="BD1583" s="7"/>
      <c r="BE1583" s="7"/>
      <c r="BF1583" s="7"/>
      <c r="BG1583" s="7"/>
      <c r="BH1583" s="16">
        <f>SUM(BC1583:BG1583)</f>
        <v>0</v>
      </c>
      <c r="BJ1583" s="6"/>
      <c r="BK1583" s="7"/>
      <c r="BL1583" s="7"/>
      <c r="BM1583" s="7"/>
      <c r="BN1583" s="7"/>
      <c r="BO1583" s="16">
        <f>SUM(BJ1583:BN1583)</f>
        <v>0</v>
      </c>
      <c r="BQ1583" s="6"/>
      <c r="BR1583" s="7"/>
      <c r="BS1583" s="7"/>
      <c r="BT1583" s="7"/>
      <c r="BU1583" s="7"/>
      <c r="BV1583" s="16">
        <f>SUM(BQ1583:BU1583)</f>
        <v>0</v>
      </c>
      <c r="BX1583" s="6"/>
      <c r="BY1583" s="7"/>
      <c r="BZ1583" s="7"/>
      <c r="CA1583" s="7"/>
      <c r="CB1583" s="7"/>
      <c r="CC1583" s="16">
        <f>SUM(BX1583:CB1583)</f>
        <v>0</v>
      </c>
      <c r="CE1583" s="28">
        <f t="shared" si="7274"/>
        <v>0</v>
      </c>
      <c r="CF1583" s="29">
        <f t="shared" si="7275"/>
        <v>0</v>
      </c>
      <c r="CG1583" s="29">
        <f t="shared" si="7276"/>
        <v>0</v>
      </c>
      <c r="CH1583" s="29">
        <f t="shared" si="7277"/>
        <v>0</v>
      </c>
      <c r="CI1583" s="29">
        <f t="shared" si="7278"/>
        <v>0</v>
      </c>
      <c r="CJ1583" s="8">
        <f>SUM(CE1583:CI1583)</f>
        <v>0</v>
      </c>
      <c r="CL1583" s="6"/>
      <c r="CM1583" s="7"/>
      <c r="CN1583" s="7"/>
      <c r="CO1583" s="7"/>
      <c r="CP1583" s="7"/>
      <c r="CQ1583" s="16">
        <f>SUM(CL1583:CP1583)</f>
        <v>0</v>
      </c>
      <c r="CS1583" s="6"/>
      <c r="CT1583" s="7"/>
      <c r="CU1583" s="7"/>
      <c r="CV1583" s="7"/>
      <c r="CW1583" s="7"/>
      <c r="CX1583" s="8">
        <f t="shared" si="7283"/>
        <v>0</v>
      </c>
      <c r="CZ1583" s="6"/>
      <c r="DA1583" s="7"/>
      <c r="DB1583" s="7"/>
      <c r="DC1583" s="7"/>
      <c r="DD1583" s="7"/>
      <c r="DE1583" s="16">
        <f t="shared" si="7284"/>
        <v>0</v>
      </c>
    </row>
    <row r="1584" spans="2:110" ht="14" thickBot="1">
      <c r="C1584" s="567"/>
      <c r="E1584" s="14" t="s">
        <v>62</v>
      </c>
      <c r="F1584" s="23">
        <f t="shared" si="7279"/>
        <v>0</v>
      </c>
      <c r="G1584" s="24">
        <f t="shared" si="7270"/>
        <v>0</v>
      </c>
      <c r="H1584" s="24">
        <f t="shared" si="7271"/>
        <v>0</v>
      </c>
      <c r="I1584" s="24">
        <f t="shared" si="7272"/>
        <v>0</v>
      </c>
      <c r="J1584" s="24">
        <f t="shared" si="7273"/>
        <v>0</v>
      </c>
      <c r="K1584" s="16">
        <f t="shared" si="7280"/>
        <v>0</v>
      </c>
      <c r="M1584" s="6"/>
      <c r="N1584" s="7"/>
      <c r="O1584" s="7"/>
      <c r="P1584" s="7"/>
      <c r="Q1584" s="7"/>
      <c r="R1584" s="16">
        <f t="shared" si="7281"/>
        <v>0</v>
      </c>
      <c r="T1584" s="6"/>
      <c r="U1584" s="7"/>
      <c r="V1584" s="7"/>
      <c r="W1584" s="7"/>
      <c r="X1584" s="7"/>
      <c r="Y1584" s="16">
        <f t="shared" si="7282"/>
        <v>0</v>
      </c>
      <c r="AA1584" s="6"/>
      <c r="AB1584" s="7"/>
      <c r="AC1584" s="7"/>
      <c r="AD1584" s="7"/>
      <c r="AE1584" s="7"/>
      <c r="AF1584" s="16">
        <f>SUM(AA1584:AE1584)</f>
        <v>0</v>
      </c>
      <c r="AH1584" s="6"/>
      <c r="AI1584" s="7"/>
      <c r="AJ1584" s="7"/>
      <c r="AK1584" s="7"/>
      <c r="AL1584" s="7"/>
      <c r="AM1584" s="16">
        <f>SUM(AH1584:AL1584)</f>
        <v>0</v>
      </c>
      <c r="AO1584" s="6"/>
      <c r="AP1584" s="7"/>
      <c r="AQ1584" s="7"/>
      <c r="AR1584" s="7"/>
      <c r="AS1584" s="7"/>
      <c r="AT1584" s="16">
        <f>SUM(AO1584:AS1584)</f>
        <v>0</v>
      </c>
      <c r="AV1584" s="6"/>
      <c r="AW1584" s="7"/>
      <c r="AX1584" s="7"/>
      <c r="AY1584" s="7"/>
      <c r="AZ1584" s="7"/>
      <c r="BA1584" s="16">
        <f>SUM(AV1584:AZ1584)</f>
        <v>0</v>
      </c>
      <c r="BC1584" s="6"/>
      <c r="BD1584" s="7"/>
      <c r="BE1584" s="7"/>
      <c r="BF1584" s="7"/>
      <c r="BG1584" s="7"/>
      <c r="BH1584" s="16">
        <f>SUM(BC1584:BG1584)</f>
        <v>0</v>
      </c>
      <c r="BJ1584" s="6"/>
      <c r="BK1584" s="7"/>
      <c r="BL1584" s="7"/>
      <c r="BM1584" s="7"/>
      <c r="BN1584" s="7"/>
      <c r="BO1584" s="16">
        <f>SUM(BJ1584:BN1584)</f>
        <v>0</v>
      </c>
      <c r="BQ1584" s="6"/>
      <c r="BR1584" s="7"/>
      <c r="BS1584" s="7"/>
      <c r="BT1584" s="7"/>
      <c r="BU1584" s="7"/>
      <c r="BV1584" s="16">
        <f>SUM(BQ1584:BU1584)</f>
        <v>0</v>
      </c>
      <c r="BX1584" s="6"/>
      <c r="BY1584" s="7"/>
      <c r="BZ1584" s="7"/>
      <c r="CA1584" s="7"/>
      <c r="CB1584" s="7"/>
      <c r="CC1584" s="16">
        <f>SUM(BX1584:CB1584)</f>
        <v>0</v>
      </c>
      <c r="CE1584" s="493">
        <f t="shared" si="7274"/>
        <v>0</v>
      </c>
      <c r="CF1584" s="494">
        <f t="shared" si="7275"/>
        <v>0</v>
      </c>
      <c r="CG1584" s="494">
        <f t="shared" si="7276"/>
        <v>0</v>
      </c>
      <c r="CH1584" s="494">
        <f t="shared" si="7277"/>
        <v>0</v>
      </c>
      <c r="CI1584" s="494">
        <f t="shared" si="7278"/>
        <v>0</v>
      </c>
      <c r="CJ1584" s="495">
        <f>SUM(CE1584:CI1584)</f>
        <v>0</v>
      </c>
      <c r="CL1584" s="6"/>
      <c r="CM1584" s="7"/>
      <c r="CN1584" s="7"/>
      <c r="CO1584" s="7"/>
      <c r="CP1584" s="7"/>
      <c r="CQ1584" s="16">
        <f>SUM(CL1584:CP1584)</f>
        <v>0</v>
      </c>
      <c r="CS1584" s="6"/>
      <c r="CT1584" s="7"/>
      <c r="CU1584" s="7"/>
      <c r="CV1584" s="7"/>
      <c r="CW1584" s="7"/>
      <c r="CX1584" s="8">
        <f t="shared" si="7283"/>
        <v>0</v>
      </c>
      <c r="CZ1584" s="6"/>
      <c r="DA1584" s="7"/>
      <c r="DB1584" s="7"/>
      <c r="DC1584" s="7"/>
      <c r="DD1584" s="7"/>
      <c r="DE1584" s="16">
        <f t="shared" si="7284"/>
        <v>0</v>
      </c>
    </row>
    <row r="1585" spans="3:109" ht="14" thickBot="1">
      <c r="C1585" s="554"/>
      <c r="E1585" s="17"/>
      <c r="F1585" s="10">
        <f>SUM(F1581:F1584)</f>
        <v>0</v>
      </c>
      <c r="G1585" s="11">
        <f t="shared" ref="G1585:J1585" si="7285">SUM(G1581:G1584)</f>
        <v>0</v>
      </c>
      <c r="H1585" s="11">
        <f t="shared" si="7285"/>
        <v>0</v>
      </c>
      <c r="I1585" s="11">
        <f t="shared" si="7285"/>
        <v>0</v>
      </c>
      <c r="J1585" s="11">
        <f t="shared" si="7285"/>
        <v>0</v>
      </c>
      <c r="K1585" s="25">
        <f>SUM(K1581:K1584)</f>
        <v>0</v>
      </c>
      <c r="M1585" s="10">
        <f>SUM(M1581:M1584)</f>
        <v>0</v>
      </c>
      <c r="N1585" s="11">
        <f t="shared" ref="N1585:Q1585" si="7286">SUM(N1581:N1584)</f>
        <v>0</v>
      </c>
      <c r="O1585" s="11">
        <f t="shared" si="7286"/>
        <v>0</v>
      </c>
      <c r="P1585" s="11">
        <f t="shared" si="7286"/>
        <v>0</v>
      </c>
      <c r="Q1585" s="11">
        <f t="shared" si="7286"/>
        <v>0</v>
      </c>
      <c r="R1585" s="25">
        <f>SUM(R1581:R1584)</f>
        <v>0</v>
      </c>
      <c r="T1585" s="10">
        <f>SUM(T1581:T1584)</f>
        <v>0</v>
      </c>
      <c r="U1585" s="11">
        <f t="shared" ref="U1585:X1585" si="7287">SUM(U1581:U1584)</f>
        <v>0</v>
      </c>
      <c r="V1585" s="11">
        <f t="shared" si="7287"/>
        <v>0</v>
      </c>
      <c r="W1585" s="11">
        <f t="shared" si="7287"/>
        <v>0</v>
      </c>
      <c r="X1585" s="11">
        <f t="shared" si="7287"/>
        <v>0</v>
      </c>
      <c r="Y1585" s="25">
        <f>SUM(Y1581:Y1584)</f>
        <v>0</v>
      </c>
      <c r="AA1585" s="10">
        <f>SUM(AA1581:AA1584)</f>
        <v>0</v>
      </c>
      <c r="AB1585" s="11">
        <f t="shared" ref="AB1585:AE1585" si="7288">SUM(AB1581:AB1584)</f>
        <v>0</v>
      </c>
      <c r="AC1585" s="11">
        <f t="shared" si="7288"/>
        <v>0</v>
      </c>
      <c r="AD1585" s="11">
        <f t="shared" si="7288"/>
        <v>0</v>
      </c>
      <c r="AE1585" s="11">
        <f t="shared" si="7288"/>
        <v>0</v>
      </c>
      <c r="AF1585" s="25">
        <f>SUM(AF1581:AF1584)</f>
        <v>0</v>
      </c>
      <c r="AH1585" s="10">
        <f>SUM(AH1581:AH1584)</f>
        <v>0</v>
      </c>
      <c r="AI1585" s="11">
        <f t="shared" ref="AI1585:AL1585" si="7289">SUM(AI1581:AI1584)</f>
        <v>0</v>
      </c>
      <c r="AJ1585" s="11">
        <f t="shared" si="7289"/>
        <v>0</v>
      </c>
      <c r="AK1585" s="11">
        <f t="shared" si="7289"/>
        <v>0</v>
      </c>
      <c r="AL1585" s="11">
        <f t="shared" si="7289"/>
        <v>0</v>
      </c>
      <c r="AM1585" s="25">
        <f>SUM(AM1581:AM1584)</f>
        <v>0</v>
      </c>
      <c r="AO1585" s="10">
        <f>SUM(AO1581:AO1584)</f>
        <v>0</v>
      </c>
      <c r="AP1585" s="11">
        <f t="shared" ref="AP1585:AS1585" si="7290">SUM(AP1581:AP1584)</f>
        <v>0</v>
      </c>
      <c r="AQ1585" s="11">
        <f t="shared" si="7290"/>
        <v>0</v>
      </c>
      <c r="AR1585" s="11">
        <f t="shared" si="7290"/>
        <v>0</v>
      </c>
      <c r="AS1585" s="11">
        <f t="shared" si="7290"/>
        <v>0</v>
      </c>
      <c r="AT1585" s="25">
        <f>SUM(AT1581:AT1584)</f>
        <v>0</v>
      </c>
      <c r="AV1585" s="10">
        <f>SUM(AV1581:AV1584)</f>
        <v>0</v>
      </c>
      <c r="AW1585" s="11">
        <f t="shared" ref="AW1585:AZ1585" si="7291">SUM(AW1581:AW1584)</f>
        <v>0</v>
      </c>
      <c r="AX1585" s="11">
        <f t="shared" si="7291"/>
        <v>0</v>
      </c>
      <c r="AY1585" s="11">
        <f t="shared" si="7291"/>
        <v>0</v>
      </c>
      <c r="AZ1585" s="11">
        <f t="shared" si="7291"/>
        <v>0</v>
      </c>
      <c r="BA1585" s="25">
        <f>SUM(BA1581:BA1584)</f>
        <v>0</v>
      </c>
      <c r="BC1585" s="10">
        <f>SUM(BC1581:BC1584)</f>
        <v>0</v>
      </c>
      <c r="BD1585" s="11">
        <f t="shared" ref="BD1585:BG1585" si="7292">SUM(BD1581:BD1584)</f>
        <v>0</v>
      </c>
      <c r="BE1585" s="11">
        <f t="shared" si="7292"/>
        <v>0</v>
      </c>
      <c r="BF1585" s="11">
        <f t="shared" si="7292"/>
        <v>0</v>
      </c>
      <c r="BG1585" s="11">
        <f t="shared" si="7292"/>
        <v>0</v>
      </c>
      <c r="BH1585" s="25">
        <f>SUM(BH1581:BH1584)</f>
        <v>0</v>
      </c>
      <c r="BJ1585" s="10">
        <f>SUM(BJ1581:BJ1584)</f>
        <v>0</v>
      </c>
      <c r="BK1585" s="11">
        <f t="shared" ref="BK1585:BN1585" si="7293">SUM(BK1581:BK1584)</f>
        <v>0</v>
      </c>
      <c r="BL1585" s="11">
        <f t="shared" si="7293"/>
        <v>0</v>
      </c>
      <c r="BM1585" s="11">
        <f t="shared" si="7293"/>
        <v>0</v>
      </c>
      <c r="BN1585" s="11">
        <f t="shared" si="7293"/>
        <v>0</v>
      </c>
      <c r="BO1585" s="25">
        <f>SUM(BO1581:BO1584)</f>
        <v>0</v>
      </c>
      <c r="BQ1585" s="10">
        <f>SUM(BQ1581:BQ1584)</f>
        <v>0</v>
      </c>
      <c r="BR1585" s="11">
        <f t="shared" ref="BR1585:BU1585" si="7294">SUM(BR1581:BR1584)</f>
        <v>0</v>
      </c>
      <c r="BS1585" s="11">
        <f t="shared" si="7294"/>
        <v>0</v>
      </c>
      <c r="BT1585" s="11">
        <f t="shared" si="7294"/>
        <v>0</v>
      </c>
      <c r="BU1585" s="11">
        <f t="shared" si="7294"/>
        <v>0</v>
      </c>
      <c r="BV1585" s="25">
        <f>SUM(BV1581:BV1584)</f>
        <v>0</v>
      </c>
      <c r="BX1585" s="10">
        <f>SUM(BX1581:BX1584)</f>
        <v>0</v>
      </c>
      <c r="BY1585" s="11">
        <f t="shared" ref="BY1585:CB1585" si="7295">SUM(BY1581:BY1584)</f>
        <v>0</v>
      </c>
      <c r="BZ1585" s="11">
        <f t="shared" si="7295"/>
        <v>0</v>
      </c>
      <c r="CA1585" s="11">
        <f t="shared" si="7295"/>
        <v>0</v>
      </c>
      <c r="CB1585" s="11">
        <f t="shared" si="7295"/>
        <v>0</v>
      </c>
      <c r="CC1585" s="25">
        <f>SUM(CC1581:CC1584)</f>
        <v>0</v>
      </c>
      <c r="CE1585" s="62">
        <f t="shared" ref="CE1585:CJ1585" si="7296">SUM(CE1581:CE1584)</f>
        <v>0</v>
      </c>
      <c r="CF1585" s="63">
        <f t="shared" si="7296"/>
        <v>0</v>
      </c>
      <c r="CG1585" s="63">
        <f t="shared" si="7296"/>
        <v>0</v>
      </c>
      <c r="CH1585" s="63">
        <f t="shared" si="7296"/>
        <v>0</v>
      </c>
      <c r="CI1585" s="63">
        <f t="shared" si="7296"/>
        <v>0</v>
      </c>
      <c r="CJ1585" s="25">
        <f t="shared" si="7296"/>
        <v>0</v>
      </c>
      <c r="CL1585" s="10">
        <f>SUM(CL1581:CL1584)</f>
        <v>0</v>
      </c>
      <c r="CM1585" s="11">
        <f t="shared" ref="CM1585:CP1585" si="7297">SUM(CM1581:CM1584)</f>
        <v>0</v>
      </c>
      <c r="CN1585" s="11">
        <f t="shared" si="7297"/>
        <v>0</v>
      </c>
      <c r="CO1585" s="11">
        <f t="shared" si="7297"/>
        <v>0</v>
      </c>
      <c r="CP1585" s="11">
        <f t="shared" si="7297"/>
        <v>0</v>
      </c>
      <c r="CQ1585" s="25">
        <f>SUM(CQ1581:CQ1584)</f>
        <v>0</v>
      </c>
      <c r="CS1585" s="10">
        <f>SUM(CS1581:CS1584)</f>
        <v>0</v>
      </c>
      <c r="CT1585" s="11">
        <f t="shared" ref="CT1585:CW1585" si="7298">SUM(CT1581:CT1584)</f>
        <v>0</v>
      </c>
      <c r="CU1585" s="11">
        <f t="shared" si="7298"/>
        <v>0</v>
      </c>
      <c r="CV1585" s="11">
        <f t="shared" si="7298"/>
        <v>0</v>
      </c>
      <c r="CW1585" s="11">
        <f t="shared" si="7298"/>
        <v>0</v>
      </c>
      <c r="CX1585" s="25">
        <f>SUM(CX1581:CX1584)</f>
        <v>0</v>
      </c>
      <c r="CZ1585" s="10">
        <f>SUM(CZ1581:CZ1584)</f>
        <v>0</v>
      </c>
      <c r="DA1585" s="11">
        <f t="shared" ref="DA1585:DD1585" si="7299">SUM(DA1581:DA1584)</f>
        <v>0</v>
      </c>
      <c r="DB1585" s="11">
        <f t="shared" si="7299"/>
        <v>0</v>
      </c>
      <c r="DC1585" s="11">
        <f t="shared" si="7299"/>
        <v>0</v>
      </c>
      <c r="DD1585" s="11">
        <f t="shared" si="7299"/>
        <v>0</v>
      </c>
      <c r="DE1585" s="25">
        <f>SUM(DE1581:DE1584)</f>
        <v>0</v>
      </c>
    </row>
    <row r="1586" spans="3:109" ht="10.4" customHeight="1" thickBot="1"/>
    <row r="1587" spans="3:109">
      <c r="C1587" s="553">
        <v>2026</v>
      </c>
      <c r="E1587" s="1" t="s">
        <v>59</v>
      </c>
      <c r="F1587" s="21">
        <f>CE1581</f>
        <v>0</v>
      </c>
      <c r="G1587" s="22">
        <f t="shared" ref="G1587:G1590" si="7300">CF1581</f>
        <v>0</v>
      </c>
      <c r="H1587" s="22">
        <f t="shared" ref="H1587:H1590" si="7301">CG1581</f>
        <v>0</v>
      </c>
      <c r="I1587" s="22">
        <f t="shared" ref="I1587:I1590" si="7302">CH1581</f>
        <v>0</v>
      </c>
      <c r="J1587" s="22">
        <f t="shared" ref="J1587:J1590" si="7303">CI1581</f>
        <v>0</v>
      </c>
      <c r="K1587" s="4">
        <f>SUM(F1587:J1587)</f>
        <v>0</v>
      </c>
      <c r="M1587" s="2"/>
      <c r="N1587" s="3"/>
      <c r="O1587" s="3"/>
      <c r="P1587" s="3"/>
      <c r="Q1587" s="3"/>
      <c r="R1587" s="4">
        <f>SUM(M1587:Q1587)</f>
        <v>0</v>
      </c>
      <c r="T1587" s="2"/>
      <c r="U1587" s="3"/>
      <c r="V1587" s="3"/>
      <c r="W1587" s="3"/>
      <c r="X1587" s="3"/>
      <c r="Y1587" s="4">
        <f>SUM(T1587:X1587)</f>
        <v>0</v>
      </c>
      <c r="AA1587" s="2"/>
      <c r="AB1587" s="3"/>
      <c r="AC1587" s="3"/>
      <c r="AD1587" s="3"/>
      <c r="AE1587" s="3"/>
      <c r="AF1587" s="4">
        <f>SUM(AA1587:AE1587)</f>
        <v>0</v>
      </c>
      <c r="AH1587" s="2"/>
      <c r="AI1587" s="3"/>
      <c r="AJ1587" s="3"/>
      <c r="AK1587" s="3"/>
      <c r="AL1587" s="3"/>
      <c r="AM1587" s="4">
        <f>SUM(AH1587:AL1587)</f>
        <v>0</v>
      </c>
      <c r="AO1587" s="2"/>
      <c r="AP1587" s="3"/>
      <c r="AQ1587" s="3"/>
      <c r="AR1587" s="3"/>
      <c r="AS1587" s="3"/>
      <c r="AT1587" s="4">
        <f>SUM(AO1587:AS1587)</f>
        <v>0</v>
      </c>
      <c r="AV1587" s="2"/>
      <c r="AW1587" s="3"/>
      <c r="AX1587" s="3"/>
      <c r="AY1587" s="3"/>
      <c r="AZ1587" s="3"/>
      <c r="BA1587" s="4">
        <f>SUM(AV1587:AZ1587)</f>
        <v>0</v>
      </c>
      <c r="BC1587" s="2"/>
      <c r="BD1587" s="3"/>
      <c r="BE1587" s="3"/>
      <c r="BF1587" s="3"/>
      <c r="BG1587" s="3"/>
      <c r="BH1587" s="4">
        <f>SUM(BC1587:BG1587)</f>
        <v>0</v>
      </c>
      <c r="BJ1587" s="2"/>
      <c r="BK1587" s="3"/>
      <c r="BL1587" s="3"/>
      <c r="BM1587" s="3"/>
      <c r="BN1587" s="3"/>
      <c r="BO1587" s="4">
        <f>SUM(BJ1587:BN1587)</f>
        <v>0</v>
      </c>
      <c r="BQ1587" s="2"/>
      <c r="BR1587" s="3"/>
      <c r="BS1587" s="3"/>
      <c r="BT1587" s="3"/>
      <c r="BU1587" s="3"/>
      <c r="BV1587" s="4">
        <f>SUM(BQ1587:BU1587)</f>
        <v>0</v>
      </c>
      <c r="BX1587" s="2"/>
      <c r="BY1587" s="3"/>
      <c r="BZ1587" s="3"/>
      <c r="CA1587" s="3"/>
      <c r="CB1587" s="3"/>
      <c r="CC1587" s="4">
        <f>SUM(BX1587:CB1587)</f>
        <v>0</v>
      </c>
      <c r="CE1587" s="26">
        <f t="shared" ref="CE1587:CE1590" si="7304">F1587+M1587+T1587+AA1587+AH1587+AO1587+AV1587+BC1587+BJ1587+BQ1587+BX1587</f>
        <v>0</v>
      </c>
      <c r="CF1587" s="27">
        <f t="shared" ref="CF1587:CF1590" si="7305">G1587+N1587+U1587+AB1587+AI1587+AP1587+AW1587+BD1587+BK1587+BR1587+BY1587</f>
        <v>0</v>
      </c>
      <c r="CG1587" s="27">
        <f t="shared" ref="CG1587:CG1590" si="7306">H1587+O1587+V1587+AC1587+AJ1587+AQ1587+AX1587+BE1587+BL1587+BS1587+BZ1587</f>
        <v>0</v>
      </c>
      <c r="CH1587" s="27">
        <f t="shared" ref="CH1587:CH1590" si="7307">I1587+P1587+W1587+AD1587+AK1587+AR1587+AY1587+BF1587+BM1587+BT1587+CA1587</f>
        <v>0</v>
      </c>
      <c r="CI1587" s="27">
        <f t="shared" ref="CI1587:CI1590" si="7308">J1587+Q1587+X1587+AE1587+AL1587+AS1587+AZ1587+BG1587+BN1587+BU1587+CB1587</f>
        <v>0</v>
      </c>
      <c r="CJ1587" s="4">
        <f>SUM(CE1587:CI1587)</f>
        <v>0</v>
      </c>
      <c r="CL1587" s="2"/>
      <c r="CM1587" s="3"/>
      <c r="CN1587" s="3"/>
      <c r="CO1587" s="3"/>
      <c r="CP1587" s="3"/>
      <c r="CQ1587" s="4">
        <f>SUM(CL1587:CP1587)</f>
        <v>0</v>
      </c>
      <c r="CS1587" s="2"/>
      <c r="CT1587" s="3"/>
      <c r="CU1587" s="3"/>
      <c r="CV1587" s="3"/>
      <c r="CW1587" s="3"/>
      <c r="CX1587" s="4">
        <f>SUM(CS1587:CW1587)</f>
        <v>0</v>
      </c>
      <c r="CZ1587" s="2"/>
      <c r="DA1587" s="3"/>
      <c r="DB1587" s="3"/>
      <c r="DC1587" s="3"/>
      <c r="DD1587" s="3"/>
      <c r="DE1587" s="4">
        <f>SUM(CZ1587:DD1587)</f>
        <v>0</v>
      </c>
    </row>
    <row r="1588" spans="3:109">
      <c r="C1588" s="567"/>
      <c r="E1588" s="5" t="s">
        <v>60</v>
      </c>
      <c r="F1588" s="23">
        <f t="shared" ref="F1588:F1590" si="7309">CE1582</f>
        <v>0</v>
      </c>
      <c r="G1588" s="24">
        <f t="shared" si="7300"/>
        <v>0</v>
      </c>
      <c r="H1588" s="24">
        <f t="shared" si="7301"/>
        <v>0</v>
      </c>
      <c r="I1588" s="24">
        <f t="shared" si="7302"/>
        <v>0</v>
      </c>
      <c r="J1588" s="24">
        <f t="shared" si="7303"/>
        <v>0</v>
      </c>
      <c r="K1588" s="8">
        <f t="shared" ref="K1588:K1590" si="7310">SUM(F1588:J1588)</f>
        <v>0</v>
      </c>
      <c r="M1588" s="6"/>
      <c r="N1588" s="7"/>
      <c r="O1588" s="7"/>
      <c r="P1588" s="7"/>
      <c r="Q1588" s="7"/>
      <c r="R1588" s="8">
        <f t="shared" ref="R1588:R1590" si="7311">SUM(M1588:Q1588)</f>
        <v>0</v>
      </c>
      <c r="T1588" s="6"/>
      <c r="U1588" s="7"/>
      <c r="V1588" s="7"/>
      <c r="W1588" s="7"/>
      <c r="X1588" s="7"/>
      <c r="Y1588" s="8">
        <f t="shared" ref="Y1588:Y1590" si="7312">SUM(T1588:X1588)</f>
        <v>0</v>
      </c>
      <c r="AA1588" s="6"/>
      <c r="AB1588" s="7"/>
      <c r="AC1588" s="7"/>
      <c r="AD1588" s="7"/>
      <c r="AE1588" s="7"/>
      <c r="AF1588" s="8">
        <f>SUM(AA1588:AE1588)</f>
        <v>0</v>
      </c>
      <c r="AH1588" s="6"/>
      <c r="AI1588" s="7"/>
      <c r="AJ1588" s="7"/>
      <c r="AK1588" s="7"/>
      <c r="AL1588" s="7"/>
      <c r="AM1588" s="8">
        <f>SUM(AH1588:AL1588)</f>
        <v>0</v>
      </c>
      <c r="AO1588" s="6"/>
      <c r="AP1588" s="7"/>
      <c r="AQ1588" s="7"/>
      <c r="AR1588" s="7"/>
      <c r="AS1588" s="7"/>
      <c r="AT1588" s="8">
        <f>SUM(AO1588:AS1588)</f>
        <v>0</v>
      </c>
      <c r="AV1588" s="6"/>
      <c r="AW1588" s="7"/>
      <c r="AX1588" s="7"/>
      <c r="AY1588" s="7"/>
      <c r="AZ1588" s="7"/>
      <c r="BA1588" s="8">
        <f>SUM(AV1588:AZ1588)</f>
        <v>0</v>
      </c>
      <c r="BC1588" s="6"/>
      <c r="BD1588" s="7"/>
      <c r="BE1588" s="7"/>
      <c r="BF1588" s="7"/>
      <c r="BG1588" s="7"/>
      <c r="BH1588" s="8">
        <f>SUM(BC1588:BG1588)</f>
        <v>0</v>
      </c>
      <c r="BJ1588" s="6"/>
      <c r="BK1588" s="7"/>
      <c r="BL1588" s="7"/>
      <c r="BM1588" s="7"/>
      <c r="BN1588" s="7"/>
      <c r="BO1588" s="8">
        <f>SUM(BJ1588:BN1588)</f>
        <v>0</v>
      </c>
      <c r="BQ1588" s="6"/>
      <c r="BR1588" s="7"/>
      <c r="BS1588" s="7"/>
      <c r="BT1588" s="7"/>
      <c r="BU1588" s="7"/>
      <c r="BV1588" s="8">
        <f>SUM(BQ1588:BU1588)</f>
        <v>0</v>
      </c>
      <c r="BX1588" s="6"/>
      <c r="BY1588" s="7"/>
      <c r="BZ1588" s="7"/>
      <c r="CA1588" s="7"/>
      <c r="CB1588" s="7"/>
      <c r="CC1588" s="8">
        <f>SUM(BX1588:CB1588)</f>
        <v>0</v>
      </c>
      <c r="CE1588" s="28">
        <f t="shared" si="7304"/>
        <v>0</v>
      </c>
      <c r="CF1588" s="29">
        <f t="shared" si="7305"/>
        <v>0</v>
      </c>
      <c r="CG1588" s="29">
        <f t="shared" si="7306"/>
        <v>0</v>
      </c>
      <c r="CH1588" s="29">
        <f t="shared" si="7307"/>
        <v>0</v>
      </c>
      <c r="CI1588" s="29">
        <f t="shared" si="7308"/>
        <v>0</v>
      </c>
      <c r="CJ1588" s="8">
        <f>SUM(CE1588:CI1588)</f>
        <v>0</v>
      </c>
      <c r="CL1588" s="6"/>
      <c r="CM1588" s="7"/>
      <c r="CN1588" s="7"/>
      <c r="CO1588" s="7"/>
      <c r="CP1588" s="7"/>
      <c r="CQ1588" s="8">
        <f>SUM(CL1588:CP1588)</f>
        <v>0</v>
      </c>
      <c r="CS1588" s="6"/>
      <c r="CT1588" s="7"/>
      <c r="CU1588" s="7"/>
      <c r="CV1588" s="7"/>
      <c r="CW1588" s="7"/>
      <c r="CX1588" s="8">
        <f t="shared" ref="CX1588:CX1590" si="7313">SUM(CS1588:CW1588)</f>
        <v>0</v>
      </c>
      <c r="CZ1588" s="6"/>
      <c r="DA1588" s="7"/>
      <c r="DB1588" s="7"/>
      <c r="DC1588" s="7"/>
      <c r="DD1588" s="7"/>
      <c r="DE1588" s="8">
        <f t="shared" ref="DE1588:DE1590" si="7314">SUM(CZ1588:DD1588)</f>
        <v>0</v>
      </c>
    </row>
    <row r="1589" spans="3:109">
      <c r="C1589" s="567"/>
      <c r="E1589" s="5" t="s">
        <v>61</v>
      </c>
      <c r="F1589" s="23">
        <f t="shared" si="7309"/>
        <v>0</v>
      </c>
      <c r="G1589" s="24">
        <f t="shared" si="7300"/>
        <v>0</v>
      </c>
      <c r="H1589" s="24">
        <f t="shared" si="7301"/>
        <v>0</v>
      </c>
      <c r="I1589" s="24">
        <f t="shared" si="7302"/>
        <v>0</v>
      </c>
      <c r="J1589" s="24">
        <f t="shared" si="7303"/>
        <v>0</v>
      </c>
      <c r="K1589" s="8">
        <f t="shared" si="7310"/>
        <v>0</v>
      </c>
      <c r="M1589" s="6"/>
      <c r="N1589" s="7"/>
      <c r="O1589" s="7"/>
      <c r="P1589" s="7"/>
      <c r="Q1589" s="7"/>
      <c r="R1589" s="8">
        <f t="shared" si="7311"/>
        <v>0</v>
      </c>
      <c r="T1589" s="6"/>
      <c r="U1589" s="7"/>
      <c r="V1589" s="7"/>
      <c r="W1589" s="7"/>
      <c r="X1589" s="7"/>
      <c r="Y1589" s="8">
        <f t="shared" si="7312"/>
        <v>0</v>
      </c>
      <c r="AA1589" s="6"/>
      <c r="AB1589" s="7"/>
      <c r="AC1589" s="7"/>
      <c r="AD1589" s="7"/>
      <c r="AE1589" s="7"/>
      <c r="AF1589" s="8">
        <f>SUM(AA1589:AE1589)</f>
        <v>0</v>
      </c>
      <c r="AH1589" s="6"/>
      <c r="AI1589" s="7"/>
      <c r="AJ1589" s="7"/>
      <c r="AK1589" s="7"/>
      <c r="AL1589" s="7"/>
      <c r="AM1589" s="8">
        <f>SUM(AH1589:AL1589)</f>
        <v>0</v>
      </c>
      <c r="AO1589" s="6"/>
      <c r="AP1589" s="7"/>
      <c r="AQ1589" s="7"/>
      <c r="AR1589" s="7"/>
      <c r="AS1589" s="7"/>
      <c r="AT1589" s="8">
        <f>SUM(AO1589:AS1589)</f>
        <v>0</v>
      </c>
      <c r="AV1589" s="6"/>
      <c r="AW1589" s="7"/>
      <c r="AX1589" s="7"/>
      <c r="AY1589" s="7"/>
      <c r="AZ1589" s="7"/>
      <c r="BA1589" s="8">
        <f>SUM(AV1589:AZ1589)</f>
        <v>0</v>
      </c>
      <c r="BC1589" s="6"/>
      <c r="BD1589" s="7"/>
      <c r="BE1589" s="7"/>
      <c r="BF1589" s="7"/>
      <c r="BG1589" s="7"/>
      <c r="BH1589" s="8">
        <f>SUM(BC1589:BG1589)</f>
        <v>0</v>
      </c>
      <c r="BJ1589" s="6"/>
      <c r="BK1589" s="7"/>
      <c r="BL1589" s="7"/>
      <c r="BM1589" s="7"/>
      <c r="BN1589" s="7"/>
      <c r="BO1589" s="8">
        <f>SUM(BJ1589:BN1589)</f>
        <v>0</v>
      </c>
      <c r="BQ1589" s="6"/>
      <c r="BR1589" s="7"/>
      <c r="BS1589" s="7"/>
      <c r="BT1589" s="7"/>
      <c r="BU1589" s="7"/>
      <c r="BV1589" s="8">
        <f>SUM(BQ1589:BU1589)</f>
        <v>0</v>
      </c>
      <c r="BX1589" s="6"/>
      <c r="BY1589" s="7"/>
      <c r="BZ1589" s="7"/>
      <c r="CA1589" s="7"/>
      <c r="CB1589" s="7"/>
      <c r="CC1589" s="8">
        <f>SUM(BX1589:CB1589)</f>
        <v>0</v>
      </c>
      <c r="CE1589" s="28">
        <f t="shared" si="7304"/>
        <v>0</v>
      </c>
      <c r="CF1589" s="29">
        <f t="shared" si="7305"/>
        <v>0</v>
      </c>
      <c r="CG1589" s="29">
        <f t="shared" si="7306"/>
        <v>0</v>
      </c>
      <c r="CH1589" s="29">
        <f t="shared" si="7307"/>
        <v>0</v>
      </c>
      <c r="CI1589" s="29">
        <f t="shared" si="7308"/>
        <v>0</v>
      </c>
      <c r="CJ1589" s="8">
        <f>SUM(CE1589:CI1589)</f>
        <v>0</v>
      </c>
      <c r="CL1589" s="6"/>
      <c r="CM1589" s="7"/>
      <c r="CN1589" s="7"/>
      <c r="CO1589" s="7"/>
      <c r="CP1589" s="7"/>
      <c r="CQ1589" s="8">
        <f>SUM(CL1589:CP1589)</f>
        <v>0</v>
      </c>
      <c r="CS1589" s="6"/>
      <c r="CT1589" s="7"/>
      <c r="CU1589" s="7"/>
      <c r="CV1589" s="7"/>
      <c r="CW1589" s="7"/>
      <c r="CX1589" s="8">
        <f t="shared" si="7313"/>
        <v>0</v>
      </c>
      <c r="CZ1589" s="6"/>
      <c r="DA1589" s="7"/>
      <c r="DB1589" s="7"/>
      <c r="DC1589" s="7"/>
      <c r="DD1589" s="7"/>
      <c r="DE1589" s="8">
        <f t="shared" si="7314"/>
        <v>0</v>
      </c>
    </row>
    <row r="1590" spans="3:109" ht="14" thickBot="1">
      <c r="C1590" s="567"/>
      <c r="E1590" s="5" t="s">
        <v>62</v>
      </c>
      <c r="F1590" s="23">
        <f t="shared" si="7309"/>
        <v>0</v>
      </c>
      <c r="G1590" s="24">
        <f t="shared" si="7300"/>
        <v>0</v>
      </c>
      <c r="H1590" s="24">
        <f t="shared" si="7301"/>
        <v>0</v>
      </c>
      <c r="I1590" s="24">
        <f t="shared" si="7302"/>
        <v>0</v>
      </c>
      <c r="J1590" s="24">
        <f t="shared" si="7303"/>
        <v>0</v>
      </c>
      <c r="K1590" s="8">
        <f t="shared" si="7310"/>
        <v>0</v>
      </c>
      <c r="M1590" s="6"/>
      <c r="N1590" s="7"/>
      <c r="O1590" s="7"/>
      <c r="P1590" s="7"/>
      <c r="Q1590" s="7"/>
      <c r="R1590" s="8">
        <f t="shared" si="7311"/>
        <v>0</v>
      </c>
      <c r="T1590" s="6"/>
      <c r="U1590" s="7"/>
      <c r="V1590" s="7"/>
      <c r="W1590" s="7"/>
      <c r="X1590" s="7"/>
      <c r="Y1590" s="8">
        <f t="shared" si="7312"/>
        <v>0</v>
      </c>
      <c r="AA1590" s="6"/>
      <c r="AB1590" s="7"/>
      <c r="AC1590" s="7"/>
      <c r="AD1590" s="7"/>
      <c r="AE1590" s="7"/>
      <c r="AF1590" s="8">
        <f>SUM(AA1590:AE1590)</f>
        <v>0</v>
      </c>
      <c r="AH1590" s="6"/>
      <c r="AI1590" s="7"/>
      <c r="AJ1590" s="7"/>
      <c r="AK1590" s="7"/>
      <c r="AL1590" s="7"/>
      <c r="AM1590" s="8">
        <f>SUM(AH1590:AL1590)</f>
        <v>0</v>
      </c>
      <c r="AO1590" s="6"/>
      <c r="AP1590" s="7"/>
      <c r="AQ1590" s="7"/>
      <c r="AR1590" s="7"/>
      <c r="AS1590" s="7"/>
      <c r="AT1590" s="8">
        <f>SUM(AO1590:AS1590)</f>
        <v>0</v>
      </c>
      <c r="AV1590" s="6"/>
      <c r="AW1590" s="7"/>
      <c r="AX1590" s="7"/>
      <c r="AY1590" s="7"/>
      <c r="AZ1590" s="7"/>
      <c r="BA1590" s="8">
        <f>SUM(AV1590:AZ1590)</f>
        <v>0</v>
      </c>
      <c r="BC1590" s="6"/>
      <c r="BD1590" s="7"/>
      <c r="BE1590" s="7"/>
      <c r="BF1590" s="7"/>
      <c r="BG1590" s="7"/>
      <c r="BH1590" s="8">
        <f>SUM(BC1590:BG1590)</f>
        <v>0</v>
      </c>
      <c r="BJ1590" s="6"/>
      <c r="BK1590" s="7"/>
      <c r="BL1590" s="7"/>
      <c r="BM1590" s="7"/>
      <c r="BN1590" s="7"/>
      <c r="BO1590" s="8">
        <f>SUM(BJ1590:BN1590)</f>
        <v>0</v>
      </c>
      <c r="BQ1590" s="6"/>
      <c r="BR1590" s="7"/>
      <c r="BS1590" s="7"/>
      <c r="BT1590" s="7"/>
      <c r="BU1590" s="7"/>
      <c r="BV1590" s="8">
        <f>SUM(BQ1590:BU1590)</f>
        <v>0</v>
      </c>
      <c r="BX1590" s="6"/>
      <c r="BY1590" s="7"/>
      <c r="BZ1590" s="7"/>
      <c r="CA1590" s="7"/>
      <c r="CB1590" s="7"/>
      <c r="CC1590" s="8">
        <f>SUM(BX1590:CB1590)</f>
        <v>0</v>
      </c>
      <c r="CE1590" s="493">
        <f t="shared" si="7304"/>
        <v>0</v>
      </c>
      <c r="CF1590" s="494">
        <f t="shared" si="7305"/>
        <v>0</v>
      </c>
      <c r="CG1590" s="494">
        <f t="shared" si="7306"/>
        <v>0</v>
      </c>
      <c r="CH1590" s="494">
        <f t="shared" si="7307"/>
        <v>0</v>
      </c>
      <c r="CI1590" s="494">
        <f t="shared" si="7308"/>
        <v>0</v>
      </c>
      <c r="CJ1590" s="495">
        <f>SUM(CE1590:CI1590)</f>
        <v>0</v>
      </c>
      <c r="CL1590" s="6"/>
      <c r="CM1590" s="7"/>
      <c r="CN1590" s="7"/>
      <c r="CO1590" s="7"/>
      <c r="CP1590" s="7"/>
      <c r="CQ1590" s="8">
        <f>SUM(CL1590:CP1590)</f>
        <v>0</v>
      </c>
      <c r="CS1590" s="6"/>
      <c r="CT1590" s="7"/>
      <c r="CU1590" s="7"/>
      <c r="CV1590" s="7"/>
      <c r="CW1590" s="7"/>
      <c r="CX1590" s="8">
        <f t="shared" si="7313"/>
        <v>0</v>
      </c>
      <c r="CZ1590" s="6"/>
      <c r="DA1590" s="7"/>
      <c r="DB1590" s="7"/>
      <c r="DC1590" s="7"/>
      <c r="DD1590" s="7"/>
      <c r="DE1590" s="8">
        <f t="shared" si="7314"/>
        <v>0</v>
      </c>
    </row>
    <row r="1591" spans="3:109" ht="14" thickBot="1">
      <c r="C1591" s="554"/>
      <c r="E1591" s="9"/>
      <c r="F1591" s="10">
        <f>SUM(F1587:F1590)</f>
        <v>0</v>
      </c>
      <c r="G1591" s="11">
        <f t="shared" ref="G1591:J1591" si="7315">SUM(G1587:G1590)</f>
        <v>0</v>
      </c>
      <c r="H1591" s="11">
        <f t="shared" si="7315"/>
        <v>0</v>
      </c>
      <c r="I1591" s="11">
        <f t="shared" si="7315"/>
        <v>0</v>
      </c>
      <c r="J1591" s="11">
        <f t="shared" si="7315"/>
        <v>0</v>
      </c>
      <c r="K1591" s="25">
        <f>SUM(K1587:K1590)</f>
        <v>0</v>
      </c>
      <c r="M1591" s="10">
        <f>SUM(M1587:M1590)</f>
        <v>0</v>
      </c>
      <c r="N1591" s="11">
        <f t="shared" ref="N1591:Q1591" si="7316">SUM(N1587:N1590)</f>
        <v>0</v>
      </c>
      <c r="O1591" s="11">
        <f t="shared" si="7316"/>
        <v>0</v>
      </c>
      <c r="P1591" s="11">
        <f t="shared" si="7316"/>
        <v>0</v>
      </c>
      <c r="Q1591" s="11">
        <f t="shared" si="7316"/>
        <v>0</v>
      </c>
      <c r="R1591" s="25">
        <f>SUM(R1587:R1590)</f>
        <v>0</v>
      </c>
      <c r="T1591" s="10">
        <f>SUM(T1587:T1590)</f>
        <v>0</v>
      </c>
      <c r="U1591" s="11">
        <f t="shared" ref="U1591:X1591" si="7317">SUM(U1587:U1590)</f>
        <v>0</v>
      </c>
      <c r="V1591" s="11">
        <f t="shared" si="7317"/>
        <v>0</v>
      </c>
      <c r="W1591" s="11">
        <f t="shared" si="7317"/>
        <v>0</v>
      </c>
      <c r="X1591" s="11">
        <f t="shared" si="7317"/>
        <v>0</v>
      </c>
      <c r="Y1591" s="25">
        <f>SUM(Y1587:Y1590)</f>
        <v>0</v>
      </c>
      <c r="AA1591" s="10">
        <f>SUM(AA1587:AA1590)</f>
        <v>0</v>
      </c>
      <c r="AB1591" s="11">
        <f t="shared" ref="AB1591:AE1591" si="7318">SUM(AB1587:AB1590)</f>
        <v>0</v>
      </c>
      <c r="AC1591" s="11">
        <f t="shared" si="7318"/>
        <v>0</v>
      </c>
      <c r="AD1591" s="11">
        <f t="shared" si="7318"/>
        <v>0</v>
      </c>
      <c r="AE1591" s="11">
        <f t="shared" si="7318"/>
        <v>0</v>
      </c>
      <c r="AF1591" s="25">
        <f>SUM(AF1587:AF1590)</f>
        <v>0</v>
      </c>
      <c r="AH1591" s="10">
        <f>SUM(AH1587:AH1590)</f>
        <v>0</v>
      </c>
      <c r="AI1591" s="11">
        <f t="shared" ref="AI1591:AL1591" si="7319">SUM(AI1587:AI1590)</f>
        <v>0</v>
      </c>
      <c r="AJ1591" s="11">
        <f t="shared" si="7319"/>
        <v>0</v>
      </c>
      <c r="AK1591" s="11">
        <f t="shared" si="7319"/>
        <v>0</v>
      </c>
      <c r="AL1591" s="11">
        <f t="shared" si="7319"/>
        <v>0</v>
      </c>
      <c r="AM1591" s="25">
        <f>SUM(AM1587:AM1590)</f>
        <v>0</v>
      </c>
      <c r="AO1591" s="10">
        <f>SUM(AO1587:AO1590)</f>
        <v>0</v>
      </c>
      <c r="AP1591" s="11">
        <f t="shared" ref="AP1591:AS1591" si="7320">SUM(AP1587:AP1590)</f>
        <v>0</v>
      </c>
      <c r="AQ1591" s="11">
        <f t="shared" si="7320"/>
        <v>0</v>
      </c>
      <c r="AR1591" s="11">
        <f t="shared" si="7320"/>
        <v>0</v>
      </c>
      <c r="AS1591" s="11">
        <f t="shared" si="7320"/>
        <v>0</v>
      </c>
      <c r="AT1591" s="25">
        <f>SUM(AT1587:AT1590)</f>
        <v>0</v>
      </c>
      <c r="AV1591" s="10">
        <f>SUM(AV1587:AV1590)</f>
        <v>0</v>
      </c>
      <c r="AW1591" s="11">
        <f t="shared" ref="AW1591:AZ1591" si="7321">SUM(AW1587:AW1590)</f>
        <v>0</v>
      </c>
      <c r="AX1591" s="11">
        <f t="shared" si="7321"/>
        <v>0</v>
      </c>
      <c r="AY1591" s="11">
        <f t="shared" si="7321"/>
        <v>0</v>
      </c>
      <c r="AZ1591" s="11">
        <f t="shared" si="7321"/>
        <v>0</v>
      </c>
      <c r="BA1591" s="25">
        <f>SUM(BA1587:BA1590)</f>
        <v>0</v>
      </c>
      <c r="BC1591" s="10">
        <f>SUM(BC1587:BC1590)</f>
        <v>0</v>
      </c>
      <c r="BD1591" s="11">
        <f t="shared" ref="BD1591:BG1591" si="7322">SUM(BD1587:BD1590)</f>
        <v>0</v>
      </c>
      <c r="BE1591" s="11">
        <f t="shared" si="7322"/>
        <v>0</v>
      </c>
      <c r="BF1591" s="11">
        <f t="shared" si="7322"/>
        <v>0</v>
      </c>
      <c r="BG1591" s="11">
        <f t="shared" si="7322"/>
        <v>0</v>
      </c>
      <c r="BH1591" s="25">
        <f>SUM(BH1587:BH1590)</f>
        <v>0</v>
      </c>
      <c r="BJ1591" s="10">
        <f>SUM(BJ1587:BJ1590)</f>
        <v>0</v>
      </c>
      <c r="BK1591" s="11">
        <f t="shared" ref="BK1591:BN1591" si="7323">SUM(BK1587:BK1590)</f>
        <v>0</v>
      </c>
      <c r="BL1591" s="11">
        <f t="shared" si="7323"/>
        <v>0</v>
      </c>
      <c r="BM1591" s="11">
        <f t="shared" si="7323"/>
        <v>0</v>
      </c>
      <c r="BN1591" s="11">
        <f t="shared" si="7323"/>
        <v>0</v>
      </c>
      <c r="BO1591" s="25">
        <f>SUM(BO1587:BO1590)</f>
        <v>0</v>
      </c>
      <c r="BQ1591" s="10">
        <f>SUM(BQ1587:BQ1590)</f>
        <v>0</v>
      </c>
      <c r="BR1591" s="11">
        <f t="shared" ref="BR1591:BU1591" si="7324">SUM(BR1587:BR1590)</f>
        <v>0</v>
      </c>
      <c r="BS1591" s="11">
        <f t="shared" si="7324"/>
        <v>0</v>
      </c>
      <c r="BT1591" s="11">
        <f t="shared" si="7324"/>
        <v>0</v>
      </c>
      <c r="BU1591" s="11">
        <f t="shared" si="7324"/>
        <v>0</v>
      </c>
      <c r="BV1591" s="25">
        <f>SUM(BV1587:BV1590)</f>
        <v>0</v>
      </c>
      <c r="BX1591" s="10">
        <f>SUM(BX1587:BX1590)</f>
        <v>0</v>
      </c>
      <c r="BY1591" s="11">
        <f t="shared" ref="BY1591:CB1591" si="7325">SUM(BY1587:BY1590)</f>
        <v>0</v>
      </c>
      <c r="BZ1591" s="11">
        <f t="shared" si="7325"/>
        <v>0</v>
      </c>
      <c r="CA1591" s="11">
        <f t="shared" si="7325"/>
        <v>0</v>
      </c>
      <c r="CB1591" s="11">
        <f t="shared" si="7325"/>
        <v>0</v>
      </c>
      <c r="CC1591" s="25">
        <f>SUM(CC1587:CC1590)</f>
        <v>0</v>
      </c>
      <c r="CE1591" s="62">
        <f t="shared" ref="CE1591:CJ1591" si="7326">SUM(CE1587:CE1590)</f>
        <v>0</v>
      </c>
      <c r="CF1591" s="63">
        <f t="shared" si="7326"/>
        <v>0</v>
      </c>
      <c r="CG1591" s="63">
        <f t="shared" si="7326"/>
        <v>0</v>
      </c>
      <c r="CH1591" s="63">
        <f t="shared" si="7326"/>
        <v>0</v>
      </c>
      <c r="CI1591" s="63">
        <f t="shared" si="7326"/>
        <v>0</v>
      </c>
      <c r="CJ1591" s="25">
        <f t="shared" si="7326"/>
        <v>0</v>
      </c>
      <c r="CL1591" s="10">
        <f>SUM(CL1587:CL1590)</f>
        <v>0</v>
      </c>
      <c r="CM1591" s="11">
        <f t="shared" ref="CM1591:CP1591" si="7327">SUM(CM1587:CM1590)</f>
        <v>0</v>
      </c>
      <c r="CN1591" s="11">
        <f t="shared" si="7327"/>
        <v>0</v>
      </c>
      <c r="CO1591" s="11">
        <f t="shared" si="7327"/>
        <v>0</v>
      </c>
      <c r="CP1591" s="11">
        <f t="shared" si="7327"/>
        <v>0</v>
      </c>
      <c r="CQ1591" s="25">
        <f>SUM(CQ1587:CQ1590)</f>
        <v>0</v>
      </c>
      <c r="CS1591" s="10">
        <f>SUM(CS1587:CS1590)</f>
        <v>0</v>
      </c>
      <c r="CT1591" s="11">
        <f t="shared" ref="CT1591:CW1591" si="7328">SUM(CT1587:CT1590)</f>
        <v>0</v>
      </c>
      <c r="CU1591" s="11">
        <f t="shared" si="7328"/>
        <v>0</v>
      </c>
      <c r="CV1591" s="11">
        <f t="shared" si="7328"/>
        <v>0</v>
      </c>
      <c r="CW1591" s="11">
        <f t="shared" si="7328"/>
        <v>0</v>
      </c>
      <c r="CX1591" s="25">
        <f>SUM(CX1587:CX1590)</f>
        <v>0</v>
      </c>
      <c r="CZ1591" s="10">
        <f>SUM(CZ1587:CZ1590)</f>
        <v>0</v>
      </c>
      <c r="DA1591" s="11">
        <f t="shared" ref="DA1591:DD1591" si="7329">SUM(DA1587:DA1590)</f>
        <v>0</v>
      </c>
      <c r="DB1591" s="11">
        <f t="shared" si="7329"/>
        <v>0</v>
      </c>
      <c r="DC1591" s="11">
        <f t="shared" si="7329"/>
        <v>0</v>
      </c>
      <c r="DD1591" s="11">
        <f t="shared" si="7329"/>
        <v>0</v>
      </c>
      <c r="DE1591" s="25">
        <f>SUM(DE1587:DE1590)</f>
        <v>0</v>
      </c>
    </row>
    <row r="1592" spans="3:109" ht="10.4" customHeight="1" thickBot="1"/>
    <row r="1593" spans="3:109">
      <c r="C1593" s="553">
        <v>2027</v>
      </c>
      <c r="E1593" s="1" t="s">
        <v>59</v>
      </c>
      <c r="F1593" s="21">
        <f>CE1587</f>
        <v>0</v>
      </c>
      <c r="G1593" s="22">
        <f t="shared" ref="G1593:G1596" si="7330">CF1587</f>
        <v>0</v>
      </c>
      <c r="H1593" s="22">
        <f t="shared" ref="H1593:H1596" si="7331">CG1587</f>
        <v>0</v>
      </c>
      <c r="I1593" s="22">
        <f t="shared" ref="I1593:I1596" si="7332">CH1587</f>
        <v>0</v>
      </c>
      <c r="J1593" s="22">
        <f t="shared" ref="J1593:J1596" si="7333">CI1587</f>
        <v>0</v>
      </c>
      <c r="K1593" s="4">
        <f>SUM(F1593:J1593)</f>
        <v>0</v>
      </c>
      <c r="M1593" s="2"/>
      <c r="N1593" s="3"/>
      <c r="O1593" s="3"/>
      <c r="P1593" s="3"/>
      <c r="Q1593" s="3"/>
      <c r="R1593" s="4">
        <f>SUM(M1593:Q1593)</f>
        <v>0</v>
      </c>
      <c r="T1593" s="2"/>
      <c r="U1593" s="3"/>
      <c r="V1593" s="3"/>
      <c r="W1593" s="3"/>
      <c r="X1593" s="3"/>
      <c r="Y1593" s="4">
        <f>SUM(T1593:X1593)</f>
        <v>0</v>
      </c>
      <c r="AA1593" s="2"/>
      <c r="AB1593" s="3"/>
      <c r="AC1593" s="3"/>
      <c r="AD1593" s="3"/>
      <c r="AE1593" s="3"/>
      <c r="AF1593" s="4">
        <f>SUM(AA1593:AE1593)</f>
        <v>0</v>
      </c>
      <c r="AH1593" s="2"/>
      <c r="AI1593" s="3"/>
      <c r="AJ1593" s="3"/>
      <c r="AK1593" s="3"/>
      <c r="AL1593" s="3"/>
      <c r="AM1593" s="4">
        <f>SUM(AH1593:AL1593)</f>
        <v>0</v>
      </c>
      <c r="AO1593" s="2"/>
      <c r="AP1593" s="3"/>
      <c r="AQ1593" s="3"/>
      <c r="AR1593" s="3"/>
      <c r="AS1593" s="3"/>
      <c r="AT1593" s="4">
        <f>SUM(AO1593:AS1593)</f>
        <v>0</v>
      </c>
      <c r="AV1593" s="2"/>
      <c r="AW1593" s="3"/>
      <c r="AX1593" s="3"/>
      <c r="AY1593" s="3"/>
      <c r="AZ1593" s="3"/>
      <c r="BA1593" s="4">
        <f>SUM(AV1593:AZ1593)</f>
        <v>0</v>
      </c>
      <c r="BC1593" s="2"/>
      <c r="BD1593" s="3"/>
      <c r="BE1593" s="3"/>
      <c r="BF1593" s="3"/>
      <c r="BG1593" s="3"/>
      <c r="BH1593" s="4">
        <f>SUM(BC1593:BG1593)</f>
        <v>0</v>
      </c>
      <c r="BJ1593" s="2"/>
      <c r="BK1593" s="3"/>
      <c r="BL1593" s="3"/>
      <c r="BM1593" s="3"/>
      <c r="BN1593" s="3"/>
      <c r="BO1593" s="4">
        <f>SUM(BJ1593:BN1593)</f>
        <v>0</v>
      </c>
      <c r="BQ1593" s="2"/>
      <c r="BR1593" s="3"/>
      <c r="BS1593" s="3"/>
      <c r="BT1593" s="3"/>
      <c r="BU1593" s="3"/>
      <c r="BV1593" s="4">
        <f>SUM(BQ1593:BU1593)</f>
        <v>0</v>
      </c>
      <c r="BX1593" s="2"/>
      <c r="BY1593" s="3"/>
      <c r="BZ1593" s="3"/>
      <c r="CA1593" s="3"/>
      <c r="CB1593" s="3"/>
      <c r="CC1593" s="4">
        <f>SUM(BX1593:CB1593)</f>
        <v>0</v>
      </c>
      <c r="CE1593" s="26">
        <f t="shared" ref="CE1593:CE1596" si="7334">F1593+M1593+T1593+AA1593+AH1593+AO1593+AV1593+BC1593+BJ1593+BQ1593+BX1593</f>
        <v>0</v>
      </c>
      <c r="CF1593" s="27">
        <f t="shared" ref="CF1593:CF1596" si="7335">G1593+N1593+U1593+AB1593+AI1593+AP1593+AW1593+BD1593+BK1593+BR1593+BY1593</f>
        <v>0</v>
      </c>
      <c r="CG1593" s="27">
        <f t="shared" ref="CG1593:CG1596" si="7336">H1593+O1593+V1593+AC1593+AJ1593+AQ1593+AX1593+BE1593+BL1593+BS1593+BZ1593</f>
        <v>0</v>
      </c>
      <c r="CH1593" s="27">
        <f t="shared" ref="CH1593:CH1596" si="7337">I1593+P1593+W1593+AD1593+AK1593+AR1593+AY1593+BF1593+BM1593+BT1593+CA1593</f>
        <v>0</v>
      </c>
      <c r="CI1593" s="27">
        <f t="shared" ref="CI1593:CI1596" si="7338">J1593+Q1593+X1593+AE1593+AL1593+AS1593+AZ1593+BG1593+BN1593+BU1593+CB1593</f>
        <v>0</v>
      </c>
      <c r="CJ1593" s="4">
        <f>SUM(CE1593:CI1593)</f>
        <v>0</v>
      </c>
      <c r="CL1593" s="2"/>
      <c r="CM1593" s="3"/>
      <c r="CN1593" s="3"/>
      <c r="CO1593" s="3"/>
      <c r="CP1593" s="3"/>
      <c r="CQ1593" s="4">
        <f>SUM(CL1593:CP1593)</f>
        <v>0</v>
      </c>
      <c r="CS1593" s="2"/>
      <c r="CT1593" s="3"/>
      <c r="CU1593" s="3"/>
      <c r="CV1593" s="3"/>
      <c r="CW1593" s="3"/>
      <c r="CX1593" s="4">
        <f>SUM(CS1593:CW1593)</f>
        <v>0</v>
      </c>
      <c r="CZ1593" s="2"/>
      <c r="DA1593" s="3"/>
      <c r="DB1593" s="3"/>
      <c r="DC1593" s="3"/>
      <c r="DD1593" s="3"/>
      <c r="DE1593" s="4">
        <f>SUM(CZ1593:DD1593)</f>
        <v>0</v>
      </c>
    </row>
    <row r="1594" spans="3:109">
      <c r="C1594" s="567"/>
      <c r="E1594" s="5" t="s">
        <v>60</v>
      </c>
      <c r="F1594" s="23">
        <f t="shared" ref="F1594:F1596" si="7339">CE1588</f>
        <v>0</v>
      </c>
      <c r="G1594" s="24">
        <f t="shared" si="7330"/>
        <v>0</v>
      </c>
      <c r="H1594" s="24">
        <f t="shared" si="7331"/>
        <v>0</v>
      </c>
      <c r="I1594" s="24">
        <f t="shared" si="7332"/>
        <v>0</v>
      </c>
      <c r="J1594" s="24">
        <f t="shared" si="7333"/>
        <v>0</v>
      </c>
      <c r="K1594" s="8">
        <f t="shared" ref="K1594:K1596" si="7340">SUM(F1594:J1594)</f>
        <v>0</v>
      </c>
      <c r="M1594" s="6"/>
      <c r="N1594" s="7"/>
      <c r="O1594" s="7"/>
      <c r="P1594" s="7"/>
      <c r="Q1594" s="7"/>
      <c r="R1594" s="8">
        <f t="shared" ref="R1594:R1596" si="7341">SUM(M1594:Q1594)</f>
        <v>0</v>
      </c>
      <c r="T1594" s="6"/>
      <c r="U1594" s="7"/>
      <c r="V1594" s="7"/>
      <c r="W1594" s="7"/>
      <c r="X1594" s="7"/>
      <c r="Y1594" s="8">
        <f t="shared" ref="Y1594:Y1596" si="7342">SUM(T1594:X1594)</f>
        <v>0</v>
      </c>
      <c r="AA1594" s="6"/>
      <c r="AB1594" s="7"/>
      <c r="AC1594" s="7"/>
      <c r="AD1594" s="7"/>
      <c r="AE1594" s="7"/>
      <c r="AF1594" s="8">
        <f>SUM(AA1594:AE1594)</f>
        <v>0</v>
      </c>
      <c r="AH1594" s="6"/>
      <c r="AI1594" s="7"/>
      <c r="AJ1594" s="7"/>
      <c r="AK1594" s="7"/>
      <c r="AL1594" s="7"/>
      <c r="AM1594" s="8">
        <f>SUM(AH1594:AL1594)</f>
        <v>0</v>
      </c>
      <c r="AO1594" s="6"/>
      <c r="AP1594" s="7"/>
      <c r="AQ1594" s="7"/>
      <c r="AR1594" s="7"/>
      <c r="AS1594" s="7"/>
      <c r="AT1594" s="8">
        <f>SUM(AO1594:AS1594)</f>
        <v>0</v>
      </c>
      <c r="AV1594" s="6"/>
      <c r="AW1594" s="7"/>
      <c r="AX1594" s="7"/>
      <c r="AY1594" s="7"/>
      <c r="AZ1594" s="7"/>
      <c r="BA1594" s="8">
        <f>SUM(AV1594:AZ1594)</f>
        <v>0</v>
      </c>
      <c r="BC1594" s="6"/>
      <c r="BD1594" s="7"/>
      <c r="BE1594" s="7"/>
      <c r="BF1594" s="7"/>
      <c r="BG1594" s="7"/>
      <c r="BH1594" s="8">
        <f>SUM(BC1594:BG1594)</f>
        <v>0</v>
      </c>
      <c r="BJ1594" s="6"/>
      <c r="BK1594" s="7"/>
      <c r="BL1594" s="7"/>
      <c r="BM1594" s="7"/>
      <c r="BN1594" s="7"/>
      <c r="BO1594" s="8">
        <f>SUM(BJ1594:BN1594)</f>
        <v>0</v>
      </c>
      <c r="BQ1594" s="6"/>
      <c r="BR1594" s="7"/>
      <c r="BS1594" s="7"/>
      <c r="BT1594" s="7"/>
      <c r="BU1594" s="7"/>
      <c r="BV1594" s="8">
        <f>SUM(BQ1594:BU1594)</f>
        <v>0</v>
      </c>
      <c r="BX1594" s="6"/>
      <c r="BY1594" s="7"/>
      <c r="BZ1594" s="7"/>
      <c r="CA1594" s="7"/>
      <c r="CB1594" s="7"/>
      <c r="CC1594" s="8">
        <f>SUM(BX1594:CB1594)</f>
        <v>0</v>
      </c>
      <c r="CE1594" s="28">
        <f t="shared" si="7334"/>
        <v>0</v>
      </c>
      <c r="CF1594" s="29">
        <f t="shared" si="7335"/>
        <v>0</v>
      </c>
      <c r="CG1594" s="29">
        <f t="shared" si="7336"/>
        <v>0</v>
      </c>
      <c r="CH1594" s="29">
        <f t="shared" si="7337"/>
        <v>0</v>
      </c>
      <c r="CI1594" s="29">
        <f t="shared" si="7338"/>
        <v>0</v>
      </c>
      <c r="CJ1594" s="8">
        <f>SUM(CE1594:CI1594)</f>
        <v>0</v>
      </c>
      <c r="CL1594" s="6"/>
      <c r="CM1594" s="7"/>
      <c r="CN1594" s="7"/>
      <c r="CO1594" s="7"/>
      <c r="CP1594" s="7"/>
      <c r="CQ1594" s="8">
        <f>SUM(CL1594:CP1594)</f>
        <v>0</v>
      </c>
      <c r="CS1594" s="6"/>
      <c r="CT1594" s="7"/>
      <c r="CU1594" s="7"/>
      <c r="CV1594" s="7"/>
      <c r="CW1594" s="7"/>
      <c r="CX1594" s="8">
        <f t="shared" ref="CX1594:CX1596" si="7343">SUM(CS1594:CW1594)</f>
        <v>0</v>
      </c>
      <c r="CZ1594" s="6"/>
      <c r="DA1594" s="7"/>
      <c r="DB1594" s="7"/>
      <c r="DC1594" s="7"/>
      <c r="DD1594" s="7"/>
      <c r="DE1594" s="8">
        <f t="shared" ref="DE1594:DE1596" si="7344">SUM(CZ1594:DD1594)</f>
        <v>0</v>
      </c>
    </row>
    <row r="1595" spans="3:109">
      <c r="C1595" s="567"/>
      <c r="E1595" s="5" t="s">
        <v>61</v>
      </c>
      <c r="F1595" s="23">
        <f t="shared" si="7339"/>
        <v>0</v>
      </c>
      <c r="G1595" s="24">
        <f t="shared" si="7330"/>
        <v>0</v>
      </c>
      <c r="H1595" s="24">
        <f t="shared" si="7331"/>
        <v>0</v>
      </c>
      <c r="I1595" s="24">
        <f t="shared" si="7332"/>
        <v>0</v>
      </c>
      <c r="J1595" s="24">
        <f t="shared" si="7333"/>
        <v>0</v>
      </c>
      <c r="K1595" s="8">
        <f t="shared" si="7340"/>
        <v>0</v>
      </c>
      <c r="M1595" s="6"/>
      <c r="N1595" s="7"/>
      <c r="O1595" s="7"/>
      <c r="P1595" s="7"/>
      <c r="Q1595" s="7"/>
      <c r="R1595" s="8">
        <f t="shared" si="7341"/>
        <v>0</v>
      </c>
      <c r="T1595" s="6"/>
      <c r="U1595" s="7"/>
      <c r="V1595" s="7"/>
      <c r="W1595" s="7"/>
      <c r="X1595" s="7"/>
      <c r="Y1595" s="8">
        <f t="shared" si="7342"/>
        <v>0</v>
      </c>
      <c r="AA1595" s="6"/>
      <c r="AB1595" s="7"/>
      <c r="AC1595" s="7"/>
      <c r="AD1595" s="7"/>
      <c r="AE1595" s="7"/>
      <c r="AF1595" s="8">
        <f>SUM(AA1595:AE1595)</f>
        <v>0</v>
      </c>
      <c r="AH1595" s="6"/>
      <c r="AI1595" s="7"/>
      <c r="AJ1595" s="7"/>
      <c r="AK1595" s="7"/>
      <c r="AL1595" s="7"/>
      <c r="AM1595" s="8">
        <f>SUM(AH1595:AL1595)</f>
        <v>0</v>
      </c>
      <c r="AO1595" s="6"/>
      <c r="AP1595" s="7"/>
      <c r="AQ1595" s="7"/>
      <c r="AR1595" s="7"/>
      <c r="AS1595" s="7"/>
      <c r="AT1595" s="8">
        <f>SUM(AO1595:AS1595)</f>
        <v>0</v>
      </c>
      <c r="AV1595" s="6"/>
      <c r="AW1595" s="7"/>
      <c r="AX1595" s="7"/>
      <c r="AY1595" s="7"/>
      <c r="AZ1595" s="7"/>
      <c r="BA1595" s="8">
        <f>SUM(AV1595:AZ1595)</f>
        <v>0</v>
      </c>
      <c r="BC1595" s="6"/>
      <c r="BD1595" s="7"/>
      <c r="BE1595" s="7"/>
      <c r="BF1595" s="7"/>
      <c r="BG1595" s="7"/>
      <c r="BH1595" s="8">
        <f>SUM(BC1595:BG1595)</f>
        <v>0</v>
      </c>
      <c r="BJ1595" s="6"/>
      <c r="BK1595" s="7"/>
      <c r="BL1595" s="7"/>
      <c r="BM1595" s="7"/>
      <c r="BN1595" s="7"/>
      <c r="BO1595" s="8">
        <f>SUM(BJ1595:BN1595)</f>
        <v>0</v>
      </c>
      <c r="BQ1595" s="6"/>
      <c r="BR1595" s="7"/>
      <c r="BS1595" s="7"/>
      <c r="BT1595" s="7"/>
      <c r="BU1595" s="7"/>
      <c r="BV1595" s="8">
        <f>SUM(BQ1595:BU1595)</f>
        <v>0</v>
      </c>
      <c r="BX1595" s="6"/>
      <c r="BY1595" s="7"/>
      <c r="BZ1595" s="7"/>
      <c r="CA1595" s="7"/>
      <c r="CB1595" s="7"/>
      <c r="CC1595" s="8">
        <f>SUM(BX1595:CB1595)</f>
        <v>0</v>
      </c>
      <c r="CE1595" s="28">
        <f t="shared" si="7334"/>
        <v>0</v>
      </c>
      <c r="CF1595" s="29">
        <f t="shared" si="7335"/>
        <v>0</v>
      </c>
      <c r="CG1595" s="29">
        <f t="shared" si="7336"/>
        <v>0</v>
      </c>
      <c r="CH1595" s="29">
        <f t="shared" si="7337"/>
        <v>0</v>
      </c>
      <c r="CI1595" s="29">
        <f t="shared" si="7338"/>
        <v>0</v>
      </c>
      <c r="CJ1595" s="8">
        <f>SUM(CE1595:CI1595)</f>
        <v>0</v>
      </c>
      <c r="CL1595" s="6"/>
      <c r="CM1595" s="7"/>
      <c r="CN1595" s="7"/>
      <c r="CO1595" s="7"/>
      <c r="CP1595" s="7"/>
      <c r="CQ1595" s="8">
        <f>SUM(CL1595:CP1595)</f>
        <v>0</v>
      </c>
      <c r="CS1595" s="6"/>
      <c r="CT1595" s="7"/>
      <c r="CU1595" s="7"/>
      <c r="CV1595" s="7"/>
      <c r="CW1595" s="7"/>
      <c r="CX1595" s="8">
        <f t="shared" si="7343"/>
        <v>0</v>
      </c>
      <c r="CZ1595" s="6"/>
      <c r="DA1595" s="7"/>
      <c r="DB1595" s="7"/>
      <c r="DC1595" s="7"/>
      <c r="DD1595" s="7"/>
      <c r="DE1595" s="8">
        <f t="shared" si="7344"/>
        <v>0</v>
      </c>
    </row>
    <row r="1596" spans="3:109" ht="14" thickBot="1">
      <c r="C1596" s="567"/>
      <c r="E1596" s="5" t="s">
        <v>62</v>
      </c>
      <c r="F1596" s="23">
        <f t="shared" si="7339"/>
        <v>0</v>
      </c>
      <c r="G1596" s="24">
        <f t="shared" si="7330"/>
        <v>0</v>
      </c>
      <c r="H1596" s="24">
        <f t="shared" si="7331"/>
        <v>0</v>
      </c>
      <c r="I1596" s="24">
        <f t="shared" si="7332"/>
        <v>0</v>
      </c>
      <c r="J1596" s="24">
        <f t="shared" si="7333"/>
        <v>0</v>
      </c>
      <c r="K1596" s="8">
        <f t="shared" si="7340"/>
        <v>0</v>
      </c>
      <c r="M1596" s="6"/>
      <c r="N1596" s="7"/>
      <c r="O1596" s="7"/>
      <c r="P1596" s="7"/>
      <c r="Q1596" s="7"/>
      <c r="R1596" s="8">
        <f t="shared" si="7341"/>
        <v>0</v>
      </c>
      <c r="T1596" s="6"/>
      <c r="U1596" s="7"/>
      <c r="V1596" s="7"/>
      <c r="W1596" s="7"/>
      <c r="X1596" s="7"/>
      <c r="Y1596" s="8">
        <f t="shared" si="7342"/>
        <v>0</v>
      </c>
      <c r="AA1596" s="6"/>
      <c r="AB1596" s="7"/>
      <c r="AC1596" s="7"/>
      <c r="AD1596" s="7"/>
      <c r="AE1596" s="7"/>
      <c r="AF1596" s="8">
        <f>SUM(AA1596:AE1596)</f>
        <v>0</v>
      </c>
      <c r="AH1596" s="6"/>
      <c r="AI1596" s="7"/>
      <c r="AJ1596" s="7"/>
      <c r="AK1596" s="7"/>
      <c r="AL1596" s="7"/>
      <c r="AM1596" s="8">
        <f>SUM(AH1596:AL1596)</f>
        <v>0</v>
      </c>
      <c r="AO1596" s="6"/>
      <c r="AP1596" s="7"/>
      <c r="AQ1596" s="7"/>
      <c r="AR1596" s="7"/>
      <c r="AS1596" s="7"/>
      <c r="AT1596" s="8">
        <f>SUM(AO1596:AS1596)</f>
        <v>0</v>
      </c>
      <c r="AV1596" s="6"/>
      <c r="AW1596" s="7"/>
      <c r="AX1596" s="7"/>
      <c r="AY1596" s="7"/>
      <c r="AZ1596" s="7"/>
      <c r="BA1596" s="8">
        <f>SUM(AV1596:AZ1596)</f>
        <v>0</v>
      </c>
      <c r="BC1596" s="6"/>
      <c r="BD1596" s="7"/>
      <c r="BE1596" s="7"/>
      <c r="BF1596" s="7"/>
      <c r="BG1596" s="7"/>
      <c r="BH1596" s="8">
        <f>SUM(BC1596:BG1596)</f>
        <v>0</v>
      </c>
      <c r="BJ1596" s="6"/>
      <c r="BK1596" s="7"/>
      <c r="BL1596" s="7"/>
      <c r="BM1596" s="7"/>
      <c r="BN1596" s="7"/>
      <c r="BO1596" s="8">
        <f>SUM(BJ1596:BN1596)</f>
        <v>0</v>
      </c>
      <c r="BQ1596" s="6"/>
      <c r="BR1596" s="7"/>
      <c r="BS1596" s="7"/>
      <c r="BT1596" s="7"/>
      <c r="BU1596" s="7"/>
      <c r="BV1596" s="8">
        <f>SUM(BQ1596:BU1596)</f>
        <v>0</v>
      </c>
      <c r="BX1596" s="6"/>
      <c r="BY1596" s="7"/>
      <c r="BZ1596" s="7"/>
      <c r="CA1596" s="7"/>
      <c r="CB1596" s="7"/>
      <c r="CC1596" s="8">
        <f>SUM(BX1596:CB1596)</f>
        <v>0</v>
      </c>
      <c r="CE1596" s="493">
        <f t="shared" si="7334"/>
        <v>0</v>
      </c>
      <c r="CF1596" s="494">
        <f t="shared" si="7335"/>
        <v>0</v>
      </c>
      <c r="CG1596" s="494">
        <f t="shared" si="7336"/>
        <v>0</v>
      </c>
      <c r="CH1596" s="494">
        <f t="shared" si="7337"/>
        <v>0</v>
      </c>
      <c r="CI1596" s="494">
        <f t="shared" si="7338"/>
        <v>0</v>
      </c>
      <c r="CJ1596" s="495">
        <f>SUM(CE1596:CI1596)</f>
        <v>0</v>
      </c>
      <c r="CL1596" s="6"/>
      <c r="CM1596" s="7"/>
      <c r="CN1596" s="7"/>
      <c r="CO1596" s="7"/>
      <c r="CP1596" s="7"/>
      <c r="CQ1596" s="8">
        <f>SUM(CL1596:CP1596)</f>
        <v>0</v>
      </c>
      <c r="CS1596" s="6"/>
      <c r="CT1596" s="7"/>
      <c r="CU1596" s="7"/>
      <c r="CV1596" s="7"/>
      <c r="CW1596" s="7"/>
      <c r="CX1596" s="8">
        <f t="shared" si="7343"/>
        <v>0</v>
      </c>
      <c r="CZ1596" s="6"/>
      <c r="DA1596" s="7"/>
      <c r="DB1596" s="7"/>
      <c r="DC1596" s="7"/>
      <c r="DD1596" s="7"/>
      <c r="DE1596" s="8">
        <f t="shared" si="7344"/>
        <v>0</v>
      </c>
    </row>
    <row r="1597" spans="3:109" ht="14" thickBot="1">
      <c r="C1597" s="554"/>
      <c r="E1597" s="9"/>
      <c r="F1597" s="10">
        <f>SUM(F1593:F1596)</f>
        <v>0</v>
      </c>
      <c r="G1597" s="11">
        <f t="shared" ref="G1597:J1597" si="7345">SUM(G1593:G1596)</f>
        <v>0</v>
      </c>
      <c r="H1597" s="11">
        <f t="shared" si="7345"/>
        <v>0</v>
      </c>
      <c r="I1597" s="11">
        <f t="shared" si="7345"/>
        <v>0</v>
      </c>
      <c r="J1597" s="11">
        <f t="shared" si="7345"/>
        <v>0</v>
      </c>
      <c r="K1597" s="25">
        <f>SUM(K1593:K1596)</f>
        <v>0</v>
      </c>
      <c r="M1597" s="10">
        <f>SUM(M1593:M1596)</f>
        <v>0</v>
      </c>
      <c r="N1597" s="11">
        <f t="shared" ref="N1597:Q1597" si="7346">SUM(N1593:N1596)</f>
        <v>0</v>
      </c>
      <c r="O1597" s="11">
        <f t="shared" si="7346"/>
        <v>0</v>
      </c>
      <c r="P1597" s="11">
        <f t="shared" si="7346"/>
        <v>0</v>
      </c>
      <c r="Q1597" s="11">
        <f t="shared" si="7346"/>
        <v>0</v>
      </c>
      <c r="R1597" s="25">
        <f>SUM(R1593:R1596)</f>
        <v>0</v>
      </c>
      <c r="T1597" s="10">
        <f>SUM(T1593:T1596)</f>
        <v>0</v>
      </c>
      <c r="U1597" s="11">
        <f t="shared" ref="U1597:X1597" si="7347">SUM(U1593:U1596)</f>
        <v>0</v>
      </c>
      <c r="V1597" s="11">
        <f t="shared" si="7347"/>
        <v>0</v>
      </c>
      <c r="W1597" s="11">
        <f t="shared" si="7347"/>
        <v>0</v>
      </c>
      <c r="X1597" s="11">
        <f t="shared" si="7347"/>
        <v>0</v>
      </c>
      <c r="Y1597" s="25">
        <f>SUM(Y1593:Y1596)</f>
        <v>0</v>
      </c>
      <c r="AA1597" s="10">
        <f>SUM(AA1593:AA1596)</f>
        <v>0</v>
      </c>
      <c r="AB1597" s="11">
        <f t="shared" ref="AB1597:AE1597" si="7348">SUM(AB1593:AB1596)</f>
        <v>0</v>
      </c>
      <c r="AC1597" s="11">
        <f t="shared" si="7348"/>
        <v>0</v>
      </c>
      <c r="AD1597" s="11">
        <f t="shared" si="7348"/>
        <v>0</v>
      </c>
      <c r="AE1597" s="11">
        <f t="shared" si="7348"/>
        <v>0</v>
      </c>
      <c r="AF1597" s="25">
        <f>SUM(AF1593:AF1596)</f>
        <v>0</v>
      </c>
      <c r="AH1597" s="10">
        <f>SUM(AH1593:AH1596)</f>
        <v>0</v>
      </c>
      <c r="AI1597" s="11">
        <f t="shared" ref="AI1597:AL1597" si="7349">SUM(AI1593:AI1596)</f>
        <v>0</v>
      </c>
      <c r="AJ1597" s="11">
        <f t="shared" si="7349"/>
        <v>0</v>
      </c>
      <c r="AK1597" s="11">
        <f t="shared" si="7349"/>
        <v>0</v>
      </c>
      <c r="AL1597" s="11">
        <f t="shared" si="7349"/>
        <v>0</v>
      </c>
      <c r="AM1597" s="25">
        <f>SUM(AM1593:AM1596)</f>
        <v>0</v>
      </c>
      <c r="AO1597" s="10">
        <f>SUM(AO1593:AO1596)</f>
        <v>0</v>
      </c>
      <c r="AP1597" s="11">
        <f t="shared" ref="AP1597:AS1597" si="7350">SUM(AP1593:AP1596)</f>
        <v>0</v>
      </c>
      <c r="AQ1597" s="11">
        <f t="shared" si="7350"/>
        <v>0</v>
      </c>
      <c r="AR1597" s="11">
        <f t="shared" si="7350"/>
        <v>0</v>
      </c>
      <c r="AS1597" s="11">
        <f t="shared" si="7350"/>
        <v>0</v>
      </c>
      <c r="AT1597" s="25">
        <f>SUM(AT1593:AT1596)</f>
        <v>0</v>
      </c>
      <c r="AV1597" s="10">
        <f>SUM(AV1593:AV1596)</f>
        <v>0</v>
      </c>
      <c r="AW1597" s="11">
        <f t="shared" ref="AW1597:AZ1597" si="7351">SUM(AW1593:AW1596)</f>
        <v>0</v>
      </c>
      <c r="AX1597" s="11">
        <f t="shared" si="7351"/>
        <v>0</v>
      </c>
      <c r="AY1597" s="11">
        <f t="shared" si="7351"/>
        <v>0</v>
      </c>
      <c r="AZ1597" s="11">
        <f t="shared" si="7351"/>
        <v>0</v>
      </c>
      <c r="BA1597" s="25">
        <f>SUM(BA1593:BA1596)</f>
        <v>0</v>
      </c>
      <c r="BC1597" s="10">
        <f>SUM(BC1593:BC1596)</f>
        <v>0</v>
      </c>
      <c r="BD1597" s="11">
        <f t="shared" ref="BD1597:BG1597" si="7352">SUM(BD1593:BD1596)</f>
        <v>0</v>
      </c>
      <c r="BE1597" s="11">
        <f t="shared" si="7352"/>
        <v>0</v>
      </c>
      <c r="BF1597" s="11">
        <f t="shared" si="7352"/>
        <v>0</v>
      </c>
      <c r="BG1597" s="11">
        <f t="shared" si="7352"/>
        <v>0</v>
      </c>
      <c r="BH1597" s="25">
        <f>SUM(BH1593:BH1596)</f>
        <v>0</v>
      </c>
      <c r="BJ1597" s="10">
        <f>SUM(BJ1593:BJ1596)</f>
        <v>0</v>
      </c>
      <c r="BK1597" s="11">
        <f t="shared" ref="BK1597:BN1597" si="7353">SUM(BK1593:BK1596)</f>
        <v>0</v>
      </c>
      <c r="BL1597" s="11">
        <f t="shared" si="7353"/>
        <v>0</v>
      </c>
      <c r="BM1597" s="11">
        <f t="shared" si="7353"/>
        <v>0</v>
      </c>
      <c r="BN1597" s="11">
        <f t="shared" si="7353"/>
        <v>0</v>
      </c>
      <c r="BO1597" s="25">
        <f>SUM(BO1593:BO1596)</f>
        <v>0</v>
      </c>
      <c r="BQ1597" s="10">
        <f>SUM(BQ1593:BQ1596)</f>
        <v>0</v>
      </c>
      <c r="BR1597" s="11">
        <f t="shared" ref="BR1597:BU1597" si="7354">SUM(BR1593:BR1596)</f>
        <v>0</v>
      </c>
      <c r="BS1597" s="11">
        <f t="shared" si="7354"/>
        <v>0</v>
      </c>
      <c r="BT1597" s="11">
        <f t="shared" si="7354"/>
        <v>0</v>
      </c>
      <c r="BU1597" s="11">
        <f t="shared" si="7354"/>
        <v>0</v>
      </c>
      <c r="BV1597" s="25">
        <f>SUM(BV1593:BV1596)</f>
        <v>0</v>
      </c>
      <c r="BX1597" s="10">
        <f>SUM(BX1593:BX1596)</f>
        <v>0</v>
      </c>
      <c r="BY1597" s="11">
        <f t="shared" ref="BY1597:CB1597" si="7355">SUM(BY1593:BY1596)</f>
        <v>0</v>
      </c>
      <c r="BZ1597" s="11">
        <f t="shared" si="7355"/>
        <v>0</v>
      </c>
      <c r="CA1597" s="11">
        <f t="shared" si="7355"/>
        <v>0</v>
      </c>
      <c r="CB1597" s="11">
        <f t="shared" si="7355"/>
        <v>0</v>
      </c>
      <c r="CC1597" s="25">
        <f>SUM(CC1593:CC1596)</f>
        <v>0</v>
      </c>
      <c r="CE1597" s="62">
        <f t="shared" ref="CE1597:CJ1597" si="7356">SUM(CE1593:CE1596)</f>
        <v>0</v>
      </c>
      <c r="CF1597" s="63">
        <f t="shared" si="7356"/>
        <v>0</v>
      </c>
      <c r="CG1597" s="63">
        <f t="shared" si="7356"/>
        <v>0</v>
      </c>
      <c r="CH1597" s="63">
        <f t="shared" si="7356"/>
        <v>0</v>
      </c>
      <c r="CI1597" s="63">
        <f t="shared" si="7356"/>
        <v>0</v>
      </c>
      <c r="CJ1597" s="25">
        <f t="shared" si="7356"/>
        <v>0</v>
      </c>
      <c r="CL1597" s="10">
        <f>SUM(CL1593:CL1596)</f>
        <v>0</v>
      </c>
      <c r="CM1597" s="11">
        <f t="shared" ref="CM1597:CP1597" si="7357">SUM(CM1593:CM1596)</f>
        <v>0</v>
      </c>
      <c r="CN1597" s="11">
        <f t="shared" si="7357"/>
        <v>0</v>
      </c>
      <c r="CO1597" s="11">
        <f t="shared" si="7357"/>
        <v>0</v>
      </c>
      <c r="CP1597" s="11">
        <f t="shared" si="7357"/>
        <v>0</v>
      </c>
      <c r="CQ1597" s="25">
        <f>SUM(CQ1593:CQ1596)</f>
        <v>0</v>
      </c>
      <c r="CS1597" s="10">
        <f>SUM(CS1593:CS1596)</f>
        <v>0</v>
      </c>
      <c r="CT1597" s="11">
        <f t="shared" ref="CT1597:CW1597" si="7358">SUM(CT1593:CT1596)</f>
        <v>0</v>
      </c>
      <c r="CU1597" s="11">
        <f t="shared" si="7358"/>
        <v>0</v>
      </c>
      <c r="CV1597" s="11">
        <f t="shared" si="7358"/>
        <v>0</v>
      </c>
      <c r="CW1597" s="11">
        <f t="shared" si="7358"/>
        <v>0</v>
      </c>
      <c r="CX1597" s="25">
        <f>SUM(CX1593:CX1596)</f>
        <v>0</v>
      </c>
      <c r="CZ1597" s="10">
        <f>SUM(CZ1593:CZ1596)</f>
        <v>0</v>
      </c>
      <c r="DA1597" s="11">
        <f t="shared" ref="DA1597:DD1597" si="7359">SUM(DA1593:DA1596)</f>
        <v>0</v>
      </c>
      <c r="DB1597" s="11">
        <f t="shared" si="7359"/>
        <v>0</v>
      </c>
      <c r="DC1597" s="11">
        <f t="shared" si="7359"/>
        <v>0</v>
      </c>
      <c r="DD1597" s="11">
        <f t="shared" si="7359"/>
        <v>0</v>
      </c>
      <c r="DE1597" s="25">
        <f>SUM(DE1593:DE1596)</f>
        <v>0</v>
      </c>
    </row>
    <row r="1598" spans="3:109" ht="10.4" customHeight="1" thickBot="1"/>
    <row r="1599" spans="3:109">
      <c r="C1599" s="553">
        <v>2028</v>
      </c>
      <c r="E1599" s="1" t="s">
        <v>59</v>
      </c>
      <c r="F1599" s="21">
        <f>CE1593</f>
        <v>0</v>
      </c>
      <c r="G1599" s="22">
        <f t="shared" ref="G1599:G1602" si="7360">CF1593</f>
        <v>0</v>
      </c>
      <c r="H1599" s="22">
        <f t="shared" ref="H1599:H1602" si="7361">CG1593</f>
        <v>0</v>
      </c>
      <c r="I1599" s="22">
        <f t="shared" ref="I1599:I1602" si="7362">CH1593</f>
        <v>0</v>
      </c>
      <c r="J1599" s="22">
        <f t="shared" ref="J1599:J1602" si="7363">CI1593</f>
        <v>0</v>
      </c>
      <c r="K1599" s="4">
        <f>SUM(F1599:J1599)</f>
        <v>0</v>
      </c>
      <c r="M1599" s="2"/>
      <c r="N1599" s="3"/>
      <c r="O1599" s="3"/>
      <c r="P1599" s="3"/>
      <c r="Q1599" s="3"/>
      <c r="R1599" s="4">
        <f>SUM(M1599:Q1599)</f>
        <v>0</v>
      </c>
      <c r="T1599" s="2"/>
      <c r="U1599" s="3"/>
      <c r="V1599" s="3"/>
      <c r="W1599" s="3"/>
      <c r="X1599" s="3"/>
      <c r="Y1599" s="4">
        <f>SUM(T1599:X1599)</f>
        <v>0</v>
      </c>
      <c r="AA1599" s="2"/>
      <c r="AB1599" s="3"/>
      <c r="AC1599" s="3"/>
      <c r="AD1599" s="3"/>
      <c r="AE1599" s="3"/>
      <c r="AF1599" s="4">
        <f>SUM(AA1599:AE1599)</f>
        <v>0</v>
      </c>
      <c r="AH1599" s="2"/>
      <c r="AI1599" s="3"/>
      <c r="AJ1599" s="3"/>
      <c r="AK1599" s="3"/>
      <c r="AL1599" s="3"/>
      <c r="AM1599" s="4">
        <f>SUM(AH1599:AL1599)</f>
        <v>0</v>
      </c>
      <c r="AO1599" s="2"/>
      <c r="AP1599" s="3"/>
      <c r="AQ1599" s="3"/>
      <c r="AR1599" s="3"/>
      <c r="AS1599" s="3"/>
      <c r="AT1599" s="4">
        <f>SUM(AO1599:AS1599)</f>
        <v>0</v>
      </c>
      <c r="AV1599" s="2"/>
      <c r="AW1599" s="3"/>
      <c r="AX1599" s="3"/>
      <c r="AY1599" s="3"/>
      <c r="AZ1599" s="3"/>
      <c r="BA1599" s="4">
        <f>SUM(AV1599:AZ1599)</f>
        <v>0</v>
      </c>
      <c r="BC1599" s="2"/>
      <c r="BD1599" s="3"/>
      <c r="BE1599" s="3"/>
      <c r="BF1599" s="3"/>
      <c r="BG1599" s="3"/>
      <c r="BH1599" s="4">
        <f>SUM(BC1599:BG1599)</f>
        <v>0</v>
      </c>
      <c r="BJ1599" s="2"/>
      <c r="BK1599" s="3"/>
      <c r="BL1599" s="3"/>
      <c r="BM1599" s="3"/>
      <c r="BN1599" s="3"/>
      <c r="BO1599" s="4">
        <f>SUM(BJ1599:BN1599)</f>
        <v>0</v>
      </c>
      <c r="BQ1599" s="2"/>
      <c r="BR1599" s="3"/>
      <c r="BS1599" s="3"/>
      <c r="BT1599" s="3"/>
      <c r="BU1599" s="3"/>
      <c r="BV1599" s="4">
        <f>SUM(BQ1599:BU1599)</f>
        <v>0</v>
      </c>
      <c r="BX1599" s="2"/>
      <c r="BY1599" s="3"/>
      <c r="BZ1599" s="3"/>
      <c r="CA1599" s="3"/>
      <c r="CB1599" s="3"/>
      <c r="CC1599" s="4">
        <f>SUM(BX1599:CB1599)</f>
        <v>0</v>
      </c>
      <c r="CE1599" s="26">
        <f t="shared" ref="CE1599:CE1602" si="7364">F1599+M1599+T1599+AA1599+AH1599+AO1599+AV1599+BC1599+BJ1599+BQ1599+BX1599</f>
        <v>0</v>
      </c>
      <c r="CF1599" s="27">
        <f t="shared" ref="CF1599:CF1602" si="7365">G1599+N1599+U1599+AB1599+AI1599+AP1599+AW1599+BD1599+BK1599+BR1599+BY1599</f>
        <v>0</v>
      </c>
      <c r="CG1599" s="27">
        <f t="shared" ref="CG1599:CG1602" si="7366">H1599+O1599+V1599+AC1599+AJ1599+AQ1599+AX1599+BE1599+BL1599+BS1599+BZ1599</f>
        <v>0</v>
      </c>
      <c r="CH1599" s="27">
        <f t="shared" ref="CH1599:CH1602" si="7367">I1599+P1599+W1599+AD1599+AK1599+AR1599+AY1599+BF1599+BM1599+BT1599+CA1599</f>
        <v>0</v>
      </c>
      <c r="CI1599" s="27">
        <f t="shared" ref="CI1599:CI1602" si="7368">J1599+Q1599+X1599+AE1599+AL1599+AS1599+AZ1599+BG1599+BN1599+BU1599+CB1599</f>
        <v>0</v>
      </c>
      <c r="CJ1599" s="4">
        <f>SUM(CE1599:CI1599)</f>
        <v>0</v>
      </c>
      <c r="CL1599" s="2"/>
      <c r="CM1599" s="3"/>
      <c r="CN1599" s="3"/>
      <c r="CO1599" s="3"/>
      <c r="CP1599" s="3"/>
      <c r="CQ1599" s="4">
        <f>SUM(CL1599:CP1599)</f>
        <v>0</v>
      </c>
      <c r="CS1599" s="2"/>
      <c r="CT1599" s="3"/>
      <c r="CU1599" s="3"/>
      <c r="CV1599" s="3"/>
      <c r="CW1599" s="3"/>
      <c r="CX1599" s="4">
        <f>SUM(CS1599:CW1599)</f>
        <v>0</v>
      </c>
      <c r="CZ1599" s="2"/>
      <c r="DA1599" s="3"/>
      <c r="DB1599" s="3"/>
      <c r="DC1599" s="3"/>
      <c r="DD1599" s="3"/>
      <c r="DE1599" s="4">
        <f>SUM(CZ1599:DD1599)</f>
        <v>0</v>
      </c>
    </row>
    <row r="1600" spans="3:109">
      <c r="C1600" s="567"/>
      <c r="E1600" s="5" t="s">
        <v>60</v>
      </c>
      <c r="F1600" s="23">
        <f t="shared" ref="F1600:F1602" si="7369">CE1594</f>
        <v>0</v>
      </c>
      <c r="G1600" s="24">
        <f t="shared" si="7360"/>
        <v>0</v>
      </c>
      <c r="H1600" s="24">
        <f t="shared" si="7361"/>
        <v>0</v>
      </c>
      <c r="I1600" s="24">
        <f t="shared" si="7362"/>
        <v>0</v>
      </c>
      <c r="J1600" s="24">
        <f t="shared" si="7363"/>
        <v>0</v>
      </c>
      <c r="K1600" s="8">
        <f t="shared" ref="K1600:K1602" si="7370">SUM(F1600:J1600)</f>
        <v>0</v>
      </c>
      <c r="M1600" s="6"/>
      <c r="N1600" s="7"/>
      <c r="O1600" s="7"/>
      <c r="P1600" s="7"/>
      <c r="Q1600" s="7"/>
      <c r="R1600" s="8">
        <f t="shared" ref="R1600:R1602" si="7371">SUM(M1600:Q1600)</f>
        <v>0</v>
      </c>
      <c r="T1600" s="6"/>
      <c r="U1600" s="7"/>
      <c r="V1600" s="7"/>
      <c r="W1600" s="7"/>
      <c r="X1600" s="7"/>
      <c r="Y1600" s="8">
        <f t="shared" ref="Y1600:Y1602" si="7372">SUM(T1600:X1600)</f>
        <v>0</v>
      </c>
      <c r="AA1600" s="6"/>
      <c r="AB1600" s="7"/>
      <c r="AC1600" s="7"/>
      <c r="AD1600" s="7"/>
      <c r="AE1600" s="7"/>
      <c r="AF1600" s="8">
        <f>SUM(AA1600:AE1600)</f>
        <v>0</v>
      </c>
      <c r="AH1600" s="6"/>
      <c r="AI1600" s="7"/>
      <c r="AJ1600" s="7"/>
      <c r="AK1600" s="7"/>
      <c r="AL1600" s="7"/>
      <c r="AM1600" s="8">
        <f>SUM(AH1600:AL1600)</f>
        <v>0</v>
      </c>
      <c r="AO1600" s="6"/>
      <c r="AP1600" s="7"/>
      <c r="AQ1600" s="7"/>
      <c r="AR1600" s="7"/>
      <c r="AS1600" s="7"/>
      <c r="AT1600" s="8">
        <f>SUM(AO1600:AS1600)</f>
        <v>0</v>
      </c>
      <c r="AV1600" s="6"/>
      <c r="AW1600" s="7"/>
      <c r="AX1600" s="7"/>
      <c r="AY1600" s="7"/>
      <c r="AZ1600" s="7"/>
      <c r="BA1600" s="8">
        <f>SUM(AV1600:AZ1600)</f>
        <v>0</v>
      </c>
      <c r="BC1600" s="6"/>
      <c r="BD1600" s="7"/>
      <c r="BE1600" s="7"/>
      <c r="BF1600" s="7"/>
      <c r="BG1600" s="7"/>
      <c r="BH1600" s="8">
        <f>SUM(BC1600:BG1600)</f>
        <v>0</v>
      </c>
      <c r="BJ1600" s="6"/>
      <c r="BK1600" s="7"/>
      <c r="BL1600" s="7"/>
      <c r="BM1600" s="7"/>
      <c r="BN1600" s="7"/>
      <c r="BO1600" s="8">
        <f>SUM(BJ1600:BN1600)</f>
        <v>0</v>
      </c>
      <c r="BQ1600" s="6"/>
      <c r="BR1600" s="7"/>
      <c r="BS1600" s="7"/>
      <c r="BT1600" s="7"/>
      <c r="BU1600" s="7"/>
      <c r="BV1600" s="8">
        <f>SUM(BQ1600:BU1600)</f>
        <v>0</v>
      </c>
      <c r="BX1600" s="6"/>
      <c r="BY1600" s="7"/>
      <c r="BZ1600" s="7"/>
      <c r="CA1600" s="7"/>
      <c r="CB1600" s="7"/>
      <c r="CC1600" s="8">
        <f>SUM(BX1600:CB1600)</f>
        <v>0</v>
      </c>
      <c r="CE1600" s="28">
        <f t="shared" si="7364"/>
        <v>0</v>
      </c>
      <c r="CF1600" s="29">
        <f t="shared" si="7365"/>
        <v>0</v>
      </c>
      <c r="CG1600" s="29">
        <f t="shared" si="7366"/>
        <v>0</v>
      </c>
      <c r="CH1600" s="29">
        <f t="shared" si="7367"/>
        <v>0</v>
      </c>
      <c r="CI1600" s="29">
        <f t="shared" si="7368"/>
        <v>0</v>
      </c>
      <c r="CJ1600" s="8">
        <f>SUM(CE1600:CI1600)</f>
        <v>0</v>
      </c>
      <c r="CL1600" s="6"/>
      <c r="CM1600" s="7"/>
      <c r="CN1600" s="7"/>
      <c r="CO1600" s="7"/>
      <c r="CP1600" s="7"/>
      <c r="CQ1600" s="8">
        <f>SUM(CL1600:CP1600)</f>
        <v>0</v>
      </c>
      <c r="CS1600" s="6"/>
      <c r="CT1600" s="7"/>
      <c r="CU1600" s="7"/>
      <c r="CV1600" s="7"/>
      <c r="CW1600" s="7"/>
      <c r="CX1600" s="8">
        <f t="shared" ref="CX1600:CX1602" si="7373">SUM(CS1600:CW1600)</f>
        <v>0</v>
      </c>
      <c r="CZ1600" s="6"/>
      <c r="DA1600" s="7"/>
      <c r="DB1600" s="7"/>
      <c r="DC1600" s="7"/>
      <c r="DD1600" s="7"/>
      <c r="DE1600" s="8">
        <f t="shared" ref="DE1600:DE1602" si="7374">SUM(CZ1600:DD1600)</f>
        <v>0</v>
      </c>
    </row>
    <row r="1601" spans="2:110">
      <c r="C1601" s="567"/>
      <c r="E1601" s="5" t="s">
        <v>61</v>
      </c>
      <c r="F1601" s="23">
        <f t="shared" si="7369"/>
        <v>0</v>
      </c>
      <c r="G1601" s="24">
        <f t="shared" si="7360"/>
        <v>0</v>
      </c>
      <c r="H1601" s="24">
        <f t="shared" si="7361"/>
        <v>0</v>
      </c>
      <c r="I1601" s="24">
        <f t="shared" si="7362"/>
        <v>0</v>
      </c>
      <c r="J1601" s="24">
        <f t="shared" si="7363"/>
        <v>0</v>
      </c>
      <c r="K1601" s="8">
        <f t="shared" si="7370"/>
        <v>0</v>
      </c>
      <c r="M1601" s="6"/>
      <c r="N1601" s="7"/>
      <c r="O1601" s="7"/>
      <c r="P1601" s="7"/>
      <c r="Q1601" s="7"/>
      <c r="R1601" s="8">
        <f t="shared" si="7371"/>
        <v>0</v>
      </c>
      <c r="T1601" s="6"/>
      <c r="U1601" s="7"/>
      <c r="V1601" s="7"/>
      <c r="W1601" s="7"/>
      <c r="X1601" s="7"/>
      <c r="Y1601" s="8">
        <f t="shared" si="7372"/>
        <v>0</v>
      </c>
      <c r="AA1601" s="6"/>
      <c r="AB1601" s="7"/>
      <c r="AC1601" s="7"/>
      <c r="AD1601" s="7"/>
      <c r="AE1601" s="7"/>
      <c r="AF1601" s="8">
        <f>SUM(AA1601:AE1601)</f>
        <v>0</v>
      </c>
      <c r="AH1601" s="6"/>
      <c r="AI1601" s="7"/>
      <c r="AJ1601" s="7"/>
      <c r="AK1601" s="7"/>
      <c r="AL1601" s="7"/>
      <c r="AM1601" s="8">
        <f>SUM(AH1601:AL1601)</f>
        <v>0</v>
      </c>
      <c r="AO1601" s="6"/>
      <c r="AP1601" s="7"/>
      <c r="AQ1601" s="7"/>
      <c r="AR1601" s="7"/>
      <c r="AS1601" s="7"/>
      <c r="AT1601" s="8">
        <f>SUM(AO1601:AS1601)</f>
        <v>0</v>
      </c>
      <c r="AV1601" s="6"/>
      <c r="AW1601" s="7"/>
      <c r="AX1601" s="7"/>
      <c r="AY1601" s="7"/>
      <c r="AZ1601" s="7"/>
      <c r="BA1601" s="8">
        <f>SUM(AV1601:AZ1601)</f>
        <v>0</v>
      </c>
      <c r="BC1601" s="6"/>
      <c r="BD1601" s="7"/>
      <c r="BE1601" s="7"/>
      <c r="BF1601" s="7"/>
      <c r="BG1601" s="7"/>
      <c r="BH1601" s="8">
        <f>SUM(BC1601:BG1601)</f>
        <v>0</v>
      </c>
      <c r="BJ1601" s="6"/>
      <c r="BK1601" s="7"/>
      <c r="BL1601" s="7"/>
      <c r="BM1601" s="7"/>
      <c r="BN1601" s="7"/>
      <c r="BO1601" s="8">
        <f>SUM(BJ1601:BN1601)</f>
        <v>0</v>
      </c>
      <c r="BQ1601" s="6"/>
      <c r="BR1601" s="7"/>
      <c r="BS1601" s="7"/>
      <c r="BT1601" s="7"/>
      <c r="BU1601" s="7"/>
      <c r="BV1601" s="8">
        <f>SUM(BQ1601:BU1601)</f>
        <v>0</v>
      </c>
      <c r="BX1601" s="6"/>
      <c r="BY1601" s="7"/>
      <c r="BZ1601" s="7"/>
      <c r="CA1601" s="7"/>
      <c r="CB1601" s="7"/>
      <c r="CC1601" s="8">
        <f>SUM(BX1601:CB1601)</f>
        <v>0</v>
      </c>
      <c r="CE1601" s="28">
        <f t="shared" si="7364"/>
        <v>0</v>
      </c>
      <c r="CF1601" s="29">
        <f t="shared" si="7365"/>
        <v>0</v>
      </c>
      <c r="CG1601" s="29">
        <f t="shared" si="7366"/>
        <v>0</v>
      </c>
      <c r="CH1601" s="29">
        <f t="shared" si="7367"/>
        <v>0</v>
      </c>
      <c r="CI1601" s="29">
        <f t="shared" si="7368"/>
        <v>0</v>
      </c>
      <c r="CJ1601" s="8">
        <f>SUM(CE1601:CI1601)</f>
        <v>0</v>
      </c>
      <c r="CL1601" s="6"/>
      <c r="CM1601" s="7"/>
      <c r="CN1601" s="7"/>
      <c r="CO1601" s="7"/>
      <c r="CP1601" s="7"/>
      <c r="CQ1601" s="8">
        <f>SUM(CL1601:CP1601)</f>
        <v>0</v>
      </c>
      <c r="CS1601" s="6"/>
      <c r="CT1601" s="7"/>
      <c r="CU1601" s="7"/>
      <c r="CV1601" s="7"/>
      <c r="CW1601" s="7"/>
      <c r="CX1601" s="8">
        <f t="shared" si="7373"/>
        <v>0</v>
      </c>
      <c r="CZ1601" s="6"/>
      <c r="DA1601" s="7"/>
      <c r="DB1601" s="7"/>
      <c r="DC1601" s="7"/>
      <c r="DD1601" s="7"/>
      <c r="DE1601" s="8">
        <f t="shared" si="7374"/>
        <v>0</v>
      </c>
    </row>
    <row r="1602" spans="2:110" ht="14" thickBot="1">
      <c r="C1602" s="567"/>
      <c r="E1602" s="5" t="s">
        <v>62</v>
      </c>
      <c r="F1602" s="23">
        <f t="shared" si="7369"/>
        <v>0</v>
      </c>
      <c r="G1602" s="24">
        <f t="shared" si="7360"/>
        <v>0</v>
      </c>
      <c r="H1602" s="24">
        <f t="shared" si="7361"/>
        <v>0</v>
      </c>
      <c r="I1602" s="24">
        <f t="shared" si="7362"/>
        <v>0</v>
      </c>
      <c r="J1602" s="24">
        <f t="shared" si="7363"/>
        <v>0</v>
      </c>
      <c r="K1602" s="8">
        <f t="shared" si="7370"/>
        <v>0</v>
      </c>
      <c r="M1602" s="6"/>
      <c r="N1602" s="7"/>
      <c r="O1602" s="7"/>
      <c r="P1602" s="7"/>
      <c r="Q1602" s="7"/>
      <c r="R1602" s="8">
        <f t="shared" si="7371"/>
        <v>0</v>
      </c>
      <c r="T1602" s="6"/>
      <c r="U1602" s="7"/>
      <c r="V1602" s="7"/>
      <c r="W1602" s="7"/>
      <c r="X1602" s="7"/>
      <c r="Y1602" s="8">
        <f t="shared" si="7372"/>
        <v>0</v>
      </c>
      <c r="AA1602" s="6"/>
      <c r="AB1602" s="7"/>
      <c r="AC1602" s="7"/>
      <c r="AD1602" s="7"/>
      <c r="AE1602" s="7"/>
      <c r="AF1602" s="8">
        <f>SUM(AA1602:AE1602)</f>
        <v>0</v>
      </c>
      <c r="AH1602" s="6"/>
      <c r="AI1602" s="7"/>
      <c r="AJ1602" s="7"/>
      <c r="AK1602" s="7"/>
      <c r="AL1602" s="7"/>
      <c r="AM1602" s="8">
        <f>SUM(AH1602:AL1602)</f>
        <v>0</v>
      </c>
      <c r="AO1602" s="6"/>
      <c r="AP1602" s="7"/>
      <c r="AQ1602" s="7"/>
      <c r="AR1602" s="7"/>
      <c r="AS1602" s="7"/>
      <c r="AT1602" s="8">
        <f>SUM(AO1602:AS1602)</f>
        <v>0</v>
      </c>
      <c r="AV1602" s="6"/>
      <c r="AW1602" s="7"/>
      <c r="AX1602" s="7"/>
      <c r="AY1602" s="7"/>
      <c r="AZ1602" s="7"/>
      <c r="BA1602" s="8">
        <f>SUM(AV1602:AZ1602)</f>
        <v>0</v>
      </c>
      <c r="BC1602" s="6"/>
      <c r="BD1602" s="7"/>
      <c r="BE1602" s="7"/>
      <c r="BF1602" s="7"/>
      <c r="BG1602" s="7"/>
      <c r="BH1602" s="8">
        <f>SUM(BC1602:BG1602)</f>
        <v>0</v>
      </c>
      <c r="BJ1602" s="6"/>
      <c r="BK1602" s="7"/>
      <c r="BL1602" s="7"/>
      <c r="BM1602" s="7"/>
      <c r="BN1602" s="7"/>
      <c r="BO1602" s="8">
        <f>SUM(BJ1602:BN1602)</f>
        <v>0</v>
      </c>
      <c r="BQ1602" s="6"/>
      <c r="BR1602" s="7"/>
      <c r="BS1602" s="7"/>
      <c r="BT1602" s="7"/>
      <c r="BU1602" s="7"/>
      <c r="BV1602" s="8">
        <f>SUM(BQ1602:BU1602)</f>
        <v>0</v>
      </c>
      <c r="BX1602" s="6"/>
      <c r="BY1602" s="7"/>
      <c r="BZ1602" s="7"/>
      <c r="CA1602" s="7"/>
      <c r="CB1602" s="7"/>
      <c r="CC1602" s="8">
        <f>SUM(BX1602:CB1602)</f>
        <v>0</v>
      </c>
      <c r="CE1602" s="493">
        <f t="shared" si="7364"/>
        <v>0</v>
      </c>
      <c r="CF1602" s="494">
        <f t="shared" si="7365"/>
        <v>0</v>
      </c>
      <c r="CG1602" s="494">
        <f t="shared" si="7366"/>
        <v>0</v>
      </c>
      <c r="CH1602" s="494">
        <f t="shared" si="7367"/>
        <v>0</v>
      </c>
      <c r="CI1602" s="494">
        <f t="shared" si="7368"/>
        <v>0</v>
      </c>
      <c r="CJ1602" s="495">
        <f>SUM(CE1602:CI1602)</f>
        <v>0</v>
      </c>
      <c r="CL1602" s="6"/>
      <c r="CM1602" s="7"/>
      <c r="CN1602" s="7"/>
      <c r="CO1602" s="7"/>
      <c r="CP1602" s="7"/>
      <c r="CQ1602" s="8">
        <f>SUM(CL1602:CP1602)</f>
        <v>0</v>
      </c>
      <c r="CS1602" s="6"/>
      <c r="CT1602" s="7"/>
      <c r="CU1602" s="7"/>
      <c r="CV1602" s="7"/>
      <c r="CW1602" s="7"/>
      <c r="CX1602" s="8">
        <f t="shared" si="7373"/>
        <v>0</v>
      </c>
      <c r="CZ1602" s="6"/>
      <c r="DA1602" s="7"/>
      <c r="DB1602" s="7"/>
      <c r="DC1602" s="7"/>
      <c r="DD1602" s="7"/>
      <c r="DE1602" s="8">
        <f t="shared" si="7374"/>
        <v>0</v>
      </c>
    </row>
    <row r="1603" spans="2:110" ht="14" thickBot="1">
      <c r="C1603" s="554"/>
      <c r="E1603" s="9"/>
      <c r="F1603" s="10">
        <f>SUM(F1599:F1602)</f>
        <v>0</v>
      </c>
      <c r="G1603" s="11">
        <f t="shared" ref="G1603:J1603" si="7375">SUM(G1599:G1602)</f>
        <v>0</v>
      </c>
      <c r="H1603" s="11">
        <f t="shared" si="7375"/>
        <v>0</v>
      </c>
      <c r="I1603" s="11">
        <f t="shared" si="7375"/>
        <v>0</v>
      </c>
      <c r="J1603" s="11">
        <f t="shared" si="7375"/>
        <v>0</v>
      </c>
      <c r="K1603" s="25">
        <f>SUM(K1599:K1602)</f>
        <v>0</v>
      </c>
      <c r="M1603" s="10">
        <f>SUM(M1599:M1602)</f>
        <v>0</v>
      </c>
      <c r="N1603" s="11">
        <f t="shared" ref="N1603:Q1603" si="7376">SUM(N1599:N1602)</f>
        <v>0</v>
      </c>
      <c r="O1603" s="11">
        <f t="shared" si="7376"/>
        <v>0</v>
      </c>
      <c r="P1603" s="11">
        <f t="shared" si="7376"/>
        <v>0</v>
      </c>
      <c r="Q1603" s="11">
        <f t="shared" si="7376"/>
        <v>0</v>
      </c>
      <c r="R1603" s="25">
        <f>SUM(R1599:R1602)</f>
        <v>0</v>
      </c>
      <c r="T1603" s="10">
        <f>SUM(T1599:T1602)</f>
        <v>0</v>
      </c>
      <c r="U1603" s="11">
        <f t="shared" ref="U1603:X1603" si="7377">SUM(U1599:U1602)</f>
        <v>0</v>
      </c>
      <c r="V1603" s="11">
        <f t="shared" si="7377"/>
        <v>0</v>
      </c>
      <c r="W1603" s="11">
        <f t="shared" si="7377"/>
        <v>0</v>
      </c>
      <c r="X1603" s="11">
        <f t="shared" si="7377"/>
        <v>0</v>
      </c>
      <c r="Y1603" s="25">
        <f>SUM(Y1599:Y1602)</f>
        <v>0</v>
      </c>
      <c r="AA1603" s="10">
        <f>SUM(AA1599:AA1602)</f>
        <v>0</v>
      </c>
      <c r="AB1603" s="11">
        <f t="shared" ref="AB1603:AE1603" si="7378">SUM(AB1599:AB1602)</f>
        <v>0</v>
      </c>
      <c r="AC1603" s="11">
        <f t="shared" si="7378"/>
        <v>0</v>
      </c>
      <c r="AD1603" s="11">
        <f t="shared" si="7378"/>
        <v>0</v>
      </c>
      <c r="AE1603" s="11">
        <f t="shared" si="7378"/>
        <v>0</v>
      </c>
      <c r="AF1603" s="25">
        <f>SUM(AF1599:AF1602)</f>
        <v>0</v>
      </c>
      <c r="AH1603" s="10">
        <f>SUM(AH1599:AH1602)</f>
        <v>0</v>
      </c>
      <c r="AI1603" s="11">
        <f t="shared" ref="AI1603:AL1603" si="7379">SUM(AI1599:AI1602)</f>
        <v>0</v>
      </c>
      <c r="AJ1603" s="11">
        <f t="shared" si="7379"/>
        <v>0</v>
      </c>
      <c r="AK1603" s="11">
        <f t="shared" si="7379"/>
        <v>0</v>
      </c>
      <c r="AL1603" s="11">
        <f t="shared" si="7379"/>
        <v>0</v>
      </c>
      <c r="AM1603" s="25">
        <f>SUM(AM1599:AM1602)</f>
        <v>0</v>
      </c>
      <c r="AO1603" s="10">
        <f>SUM(AO1599:AO1602)</f>
        <v>0</v>
      </c>
      <c r="AP1603" s="11">
        <f t="shared" ref="AP1603:AS1603" si="7380">SUM(AP1599:AP1602)</f>
        <v>0</v>
      </c>
      <c r="AQ1603" s="11">
        <f t="shared" si="7380"/>
        <v>0</v>
      </c>
      <c r="AR1603" s="11">
        <f t="shared" si="7380"/>
        <v>0</v>
      </c>
      <c r="AS1603" s="11">
        <f t="shared" si="7380"/>
        <v>0</v>
      </c>
      <c r="AT1603" s="25">
        <f>SUM(AT1599:AT1602)</f>
        <v>0</v>
      </c>
      <c r="AV1603" s="10">
        <f>SUM(AV1599:AV1602)</f>
        <v>0</v>
      </c>
      <c r="AW1603" s="11">
        <f t="shared" ref="AW1603:AZ1603" si="7381">SUM(AW1599:AW1602)</f>
        <v>0</v>
      </c>
      <c r="AX1603" s="11">
        <f t="shared" si="7381"/>
        <v>0</v>
      </c>
      <c r="AY1603" s="11">
        <f t="shared" si="7381"/>
        <v>0</v>
      </c>
      <c r="AZ1603" s="11">
        <f t="shared" si="7381"/>
        <v>0</v>
      </c>
      <c r="BA1603" s="25">
        <f>SUM(BA1599:BA1602)</f>
        <v>0</v>
      </c>
      <c r="BC1603" s="10">
        <f>SUM(BC1599:BC1602)</f>
        <v>0</v>
      </c>
      <c r="BD1603" s="11">
        <f t="shared" ref="BD1603:BG1603" si="7382">SUM(BD1599:BD1602)</f>
        <v>0</v>
      </c>
      <c r="BE1603" s="11">
        <f t="shared" si="7382"/>
        <v>0</v>
      </c>
      <c r="BF1603" s="11">
        <f t="shared" si="7382"/>
        <v>0</v>
      </c>
      <c r="BG1603" s="11">
        <f t="shared" si="7382"/>
        <v>0</v>
      </c>
      <c r="BH1603" s="25">
        <f>SUM(BH1599:BH1602)</f>
        <v>0</v>
      </c>
      <c r="BJ1603" s="10">
        <f>SUM(BJ1599:BJ1602)</f>
        <v>0</v>
      </c>
      <c r="BK1603" s="11">
        <f t="shared" ref="BK1603:BN1603" si="7383">SUM(BK1599:BK1602)</f>
        <v>0</v>
      </c>
      <c r="BL1603" s="11">
        <f t="shared" si="7383"/>
        <v>0</v>
      </c>
      <c r="BM1603" s="11">
        <f t="shared" si="7383"/>
        <v>0</v>
      </c>
      <c r="BN1603" s="11">
        <f t="shared" si="7383"/>
        <v>0</v>
      </c>
      <c r="BO1603" s="25">
        <f>SUM(BO1599:BO1602)</f>
        <v>0</v>
      </c>
      <c r="BQ1603" s="10">
        <f>SUM(BQ1599:BQ1602)</f>
        <v>0</v>
      </c>
      <c r="BR1603" s="11">
        <f t="shared" ref="BR1603:BU1603" si="7384">SUM(BR1599:BR1602)</f>
        <v>0</v>
      </c>
      <c r="BS1603" s="11">
        <f t="shared" si="7384"/>
        <v>0</v>
      </c>
      <c r="BT1603" s="11">
        <f t="shared" si="7384"/>
        <v>0</v>
      </c>
      <c r="BU1603" s="11">
        <f t="shared" si="7384"/>
        <v>0</v>
      </c>
      <c r="BV1603" s="25">
        <f>SUM(BV1599:BV1602)</f>
        <v>0</v>
      </c>
      <c r="BX1603" s="10">
        <f>SUM(BX1599:BX1602)</f>
        <v>0</v>
      </c>
      <c r="BY1603" s="11">
        <f t="shared" ref="BY1603:CB1603" si="7385">SUM(BY1599:BY1602)</f>
        <v>0</v>
      </c>
      <c r="BZ1603" s="11">
        <f t="shared" si="7385"/>
        <v>0</v>
      </c>
      <c r="CA1603" s="11">
        <f t="shared" si="7385"/>
        <v>0</v>
      </c>
      <c r="CB1603" s="11">
        <f t="shared" si="7385"/>
        <v>0</v>
      </c>
      <c r="CC1603" s="25">
        <f>SUM(CC1599:CC1602)</f>
        <v>0</v>
      </c>
      <c r="CE1603" s="62">
        <f t="shared" ref="CE1603:CJ1603" si="7386">SUM(CE1599:CE1602)</f>
        <v>0</v>
      </c>
      <c r="CF1603" s="63">
        <f t="shared" si="7386"/>
        <v>0</v>
      </c>
      <c r="CG1603" s="63">
        <f t="shared" si="7386"/>
        <v>0</v>
      </c>
      <c r="CH1603" s="63">
        <f t="shared" si="7386"/>
        <v>0</v>
      </c>
      <c r="CI1603" s="63">
        <f t="shared" si="7386"/>
        <v>0</v>
      </c>
      <c r="CJ1603" s="25">
        <f t="shared" si="7386"/>
        <v>0</v>
      </c>
      <c r="CL1603" s="10">
        <f>SUM(CL1599:CL1602)</f>
        <v>0</v>
      </c>
      <c r="CM1603" s="11">
        <f t="shared" ref="CM1603:CP1603" si="7387">SUM(CM1599:CM1602)</f>
        <v>0</v>
      </c>
      <c r="CN1603" s="11">
        <f t="shared" si="7387"/>
        <v>0</v>
      </c>
      <c r="CO1603" s="11">
        <f t="shared" si="7387"/>
        <v>0</v>
      </c>
      <c r="CP1603" s="11">
        <f t="shared" si="7387"/>
        <v>0</v>
      </c>
      <c r="CQ1603" s="25">
        <f>SUM(CQ1599:CQ1602)</f>
        <v>0</v>
      </c>
      <c r="CS1603" s="10">
        <f>SUM(CS1599:CS1602)</f>
        <v>0</v>
      </c>
      <c r="CT1603" s="11">
        <f t="shared" ref="CT1603:CW1603" si="7388">SUM(CT1599:CT1602)</f>
        <v>0</v>
      </c>
      <c r="CU1603" s="11">
        <f t="shared" si="7388"/>
        <v>0</v>
      </c>
      <c r="CV1603" s="11">
        <f t="shared" si="7388"/>
        <v>0</v>
      </c>
      <c r="CW1603" s="11">
        <f t="shared" si="7388"/>
        <v>0</v>
      </c>
      <c r="CX1603" s="25">
        <f>SUM(CX1599:CX1602)</f>
        <v>0</v>
      </c>
      <c r="CZ1603" s="10">
        <f>SUM(CZ1599:CZ1602)</f>
        <v>0</v>
      </c>
      <c r="DA1603" s="11">
        <f t="shared" ref="DA1603:DD1603" si="7389">SUM(DA1599:DA1602)</f>
        <v>0</v>
      </c>
      <c r="DB1603" s="11">
        <f t="shared" si="7389"/>
        <v>0</v>
      </c>
      <c r="DC1603" s="11">
        <f t="shared" si="7389"/>
        <v>0</v>
      </c>
      <c r="DD1603" s="11">
        <f t="shared" si="7389"/>
        <v>0</v>
      </c>
      <c r="DE1603" s="25">
        <f>SUM(DE1599:DE1602)</f>
        <v>0</v>
      </c>
    </row>
    <row r="1605" spans="2:110">
      <c r="B1605" s="123"/>
      <c r="C1605" s="20"/>
      <c r="D1605" s="20"/>
      <c r="E1605" s="20"/>
      <c r="F1605" s="20"/>
      <c r="G1605" s="20"/>
      <c r="H1605" s="20"/>
      <c r="I1605" s="20"/>
      <c r="J1605" s="20"/>
      <c r="K1605" s="20"/>
      <c r="L1605" s="20"/>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Q1605" s="20"/>
      <c r="BR1605" s="20"/>
      <c r="BS1605" s="20"/>
      <c r="BT1605" s="20"/>
      <c r="BU1605" s="20"/>
      <c r="BV1605" s="20"/>
      <c r="BW1605" s="20"/>
      <c r="BX1605" s="20"/>
      <c r="BY1605" s="20"/>
      <c r="BZ1605" s="20"/>
      <c r="CA1605" s="20"/>
      <c r="CB1605" s="20"/>
      <c r="CC1605" s="20"/>
      <c r="CD1605" s="20"/>
      <c r="CE1605" s="20"/>
      <c r="CF1605" s="20"/>
      <c r="CG1605" s="20"/>
      <c r="CH1605" s="20"/>
      <c r="CI1605" s="20"/>
      <c r="CJ1605" s="20"/>
      <c r="CK1605" s="20"/>
      <c r="CL1605" s="20"/>
      <c r="CM1605" s="20"/>
      <c r="CN1605" s="20"/>
      <c r="CO1605" s="20"/>
      <c r="CP1605" s="20"/>
      <c r="CQ1605" s="20"/>
      <c r="CR1605" s="20"/>
      <c r="CS1605" s="20"/>
      <c r="CT1605" s="20"/>
      <c r="CU1605" s="20"/>
      <c r="CV1605" s="20"/>
      <c r="CW1605" s="20"/>
      <c r="CX1605" s="20"/>
      <c r="CY1605" s="20"/>
      <c r="CZ1605" s="20"/>
      <c r="DA1605" s="20"/>
      <c r="DB1605" s="20"/>
      <c r="DC1605" s="20"/>
      <c r="DD1605" s="20"/>
      <c r="DE1605" s="20"/>
      <c r="DF1605" s="20"/>
    </row>
    <row r="1606" spans="2:110" ht="14" thickBot="1">
      <c r="B1606" s="94">
        <v>51</v>
      </c>
      <c r="C1606" s="12" t="s">
        <v>112</v>
      </c>
    </row>
    <row r="1607" spans="2:110">
      <c r="C1607" s="553">
        <v>2024</v>
      </c>
      <c r="E1607" s="1" t="s">
        <v>59</v>
      </c>
      <c r="F1607" s="2"/>
      <c r="G1607" s="3"/>
      <c r="H1607" s="3"/>
      <c r="I1607" s="3"/>
      <c r="J1607" s="3"/>
      <c r="K1607" s="4">
        <f>SUM(F1607:J1607)</f>
        <v>0</v>
      </c>
      <c r="M1607" s="2"/>
      <c r="N1607" s="3"/>
      <c r="O1607" s="3"/>
      <c r="P1607" s="3"/>
      <c r="Q1607" s="3"/>
      <c r="R1607" s="4">
        <f>SUM(M1607:Q1607)</f>
        <v>0</v>
      </c>
      <c r="T1607" s="2"/>
      <c r="U1607" s="3"/>
      <c r="V1607" s="3"/>
      <c r="W1607" s="3"/>
      <c r="X1607" s="3"/>
      <c r="Y1607" s="4">
        <f>SUM(T1607:X1607)</f>
        <v>0</v>
      </c>
      <c r="AA1607" s="2"/>
      <c r="AB1607" s="3"/>
      <c r="AC1607" s="3"/>
      <c r="AD1607" s="3"/>
      <c r="AE1607" s="3"/>
      <c r="AF1607" s="4">
        <f>SUM(AA1607:AE1607)</f>
        <v>0</v>
      </c>
      <c r="AH1607" s="2"/>
      <c r="AI1607" s="3"/>
      <c r="AJ1607" s="3"/>
      <c r="AK1607" s="3"/>
      <c r="AL1607" s="3"/>
      <c r="AM1607" s="4">
        <f>SUM(AH1607:AL1607)</f>
        <v>0</v>
      </c>
      <c r="AO1607" s="2"/>
      <c r="AP1607" s="3"/>
      <c r="AQ1607" s="3"/>
      <c r="AR1607" s="3"/>
      <c r="AS1607" s="3"/>
      <c r="AT1607" s="4">
        <f>SUM(AO1607:AS1607)</f>
        <v>0</v>
      </c>
      <c r="AV1607" s="2"/>
      <c r="AW1607" s="3"/>
      <c r="AX1607" s="3"/>
      <c r="AY1607" s="3"/>
      <c r="AZ1607" s="3"/>
      <c r="BA1607" s="4">
        <f>SUM(AV1607:AZ1607)</f>
        <v>0</v>
      </c>
      <c r="BC1607" s="2"/>
      <c r="BD1607" s="3"/>
      <c r="BE1607" s="3"/>
      <c r="BF1607" s="3"/>
      <c r="BG1607" s="3"/>
      <c r="BH1607" s="4">
        <f>SUM(BC1607:BG1607)</f>
        <v>0</v>
      </c>
      <c r="BJ1607" s="2"/>
      <c r="BK1607" s="3"/>
      <c r="BL1607" s="3"/>
      <c r="BM1607" s="3"/>
      <c r="BN1607" s="3"/>
      <c r="BO1607" s="4">
        <f>SUM(BJ1607:BN1607)</f>
        <v>0</v>
      </c>
      <c r="BQ1607" s="2"/>
      <c r="BR1607" s="3"/>
      <c r="BS1607" s="3"/>
      <c r="BT1607" s="3"/>
      <c r="BU1607" s="3"/>
      <c r="BV1607" s="4">
        <f>SUM(BQ1607:BU1607)</f>
        <v>0</v>
      </c>
      <c r="BX1607" s="2"/>
      <c r="BY1607" s="3"/>
      <c r="BZ1607" s="3"/>
      <c r="CA1607" s="3"/>
      <c r="CB1607" s="3"/>
      <c r="CC1607" s="4">
        <f>SUM(BX1607:CB1607)</f>
        <v>0</v>
      </c>
      <c r="CE1607" s="26">
        <f t="shared" ref="CE1607:CE1610" si="7390">F1607+M1607+T1607+AA1607+AH1607+AO1607+AV1607+BC1607+BJ1607+BQ1607+BX1607</f>
        <v>0</v>
      </c>
      <c r="CF1607" s="27">
        <f t="shared" ref="CF1607:CF1610" si="7391">G1607+N1607+U1607+AB1607+AI1607+AP1607+AW1607+BD1607+BK1607+BR1607+BY1607</f>
        <v>0</v>
      </c>
      <c r="CG1607" s="27">
        <f t="shared" ref="CG1607:CG1610" si="7392">H1607+O1607+V1607+AC1607+AJ1607+AQ1607+AX1607+BE1607+BL1607+BS1607+BZ1607</f>
        <v>0</v>
      </c>
      <c r="CH1607" s="27">
        <f t="shared" ref="CH1607:CH1610" si="7393">I1607+P1607+W1607+AD1607+AK1607+AR1607+AY1607+BF1607+BM1607+BT1607+CA1607</f>
        <v>0</v>
      </c>
      <c r="CI1607" s="27">
        <f t="shared" ref="CI1607:CI1610" si="7394">J1607+Q1607+X1607+AE1607+AL1607+AS1607+AZ1607+BG1607+BN1607+BU1607+CB1607</f>
        <v>0</v>
      </c>
      <c r="CJ1607" s="4">
        <f>SUM(CE1607:CI1607)</f>
        <v>0</v>
      </c>
      <c r="CL1607" s="2"/>
      <c r="CM1607" s="3"/>
      <c r="CN1607" s="3"/>
      <c r="CO1607" s="3"/>
      <c r="CP1607" s="3"/>
      <c r="CQ1607" s="4">
        <f>SUM(CL1607:CP1607)</f>
        <v>0</v>
      </c>
      <c r="CS1607" s="2"/>
      <c r="CT1607" s="3"/>
      <c r="CU1607" s="3"/>
      <c r="CV1607" s="3"/>
      <c r="CW1607" s="3"/>
      <c r="CX1607" s="4">
        <f>SUM(CS1607:CW1607)</f>
        <v>0</v>
      </c>
      <c r="CZ1607" s="2"/>
      <c r="DA1607" s="3"/>
      <c r="DB1607" s="3"/>
      <c r="DC1607" s="3"/>
      <c r="DD1607" s="3"/>
      <c r="DE1607" s="4">
        <f>SUM(CZ1607:DD1607)</f>
        <v>0</v>
      </c>
    </row>
    <row r="1608" spans="2:110">
      <c r="C1608" s="567"/>
      <c r="E1608" s="5" t="s">
        <v>60</v>
      </c>
      <c r="F1608" s="6"/>
      <c r="G1608" s="7"/>
      <c r="H1608" s="7"/>
      <c r="I1608" s="7"/>
      <c r="J1608" s="7"/>
      <c r="K1608" s="8">
        <f t="shared" ref="K1608:K1610" si="7395">SUM(F1608:J1608)</f>
        <v>0</v>
      </c>
      <c r="M1608" s="6"/>
      <c r="N1608" s="7"/>
      <c r="O1608" s="7"/>
      <c r="P1608" s="7"/>
      <c r="Q1608" s="7"/>
      <c r="R1608" s="8">
        <f t="shared" ref="R1608:R1610" si="7396">SUM(M1608:Q1608)</f>
        <v>0</v>
      </c>
      <c r="T1608" s="6"/>
      <c r="U1608" s="7"/>
      <c r="V1608" s="7"/>
      <c r="W1608" s="7"/>
      <c r="X1608" s="7"/>
      <c r="Y1608" s="8">
        <f t="shared" ref="Y1608:Y1610" si="7397">SUM(T1608:X1608)</f>
        <v>0</v>
      </c>
      <c r="AA1608" s="6"/>
      <c r="AB1608" s="7"/>
      <c r="AC1608" s="7"/>
      <c r="AD1608" s="7"/>
      <c r="AE1608" s="7"/>
      <c r="AF1608" s="8">
        <f>SUM(AA1608:AE1608)</f>
        <v>0</v>
      </c>
      <c r="AH1608" s="6"/>
      <c r="AI1608" s="7"/>
      <c r="AJ1608" s="7"/>
      <c r="AK1608" s="7"/>
      <c r="AL1608" s="7"/>
      <c r="AM1608" s="8">
        <f>SUM(AH1608:AL1608)</f>
        <v>0</v>
      </c>
      <c r="AO1608" s="6"/>
      <c r="AP1608" s="7"/>
      <c r="AQ1608" s="7"/>
      <c r="AR1608" s="7"/>
      <c r="AS1608" s="7"/>
      <c r="AT1608" s="8">
        <f>SUM(AO1608:AS1608)</f>
        <v>0</v>
      </c>
      <c r="AV1608" s="6"/>
      <c r="AW1608" s="7"/>
      <c r="AX1608" s="7"/>
      <c r="AY1608" s="7"/>
      <c r="AZ1608" s="7"/>
      <c r="BA1608" s="8">
        <f>SUM(AV1608:AZ1608)</f>
        <v>0</v>
      </c>
      <c r="BC1608" s="6"/>
      <c r="BD1608" s="7"/>
      <c r="BE1608" s="7"/>
      <c r="BF1608" s="7"/>
      <c r="BG1608" s="7"/>
      <c r="BH1608" s="8">
        <f>SUM(BC1608:BG1608)</f>
        <v>0</v>
      </c>
      <c r="BJ1608" s="6"/>
      <c r="BK1608" s="7"/>
      <c r="BL1608" s="7"/>
      <c r="BM1608" s="7"/>
      <c r="BN1608" s="7"/>
      <c r="BO1608" s="8">
        <f>SUM(BJ1608:BN1608)</f>
        <v>0</v>
      </c>
      <c r="BQ1608" s="6"/>
      <c r="BR1608" s="7"/>
      <c r="BS1608" s="7"/>
      <c r="BT1608" s="7"/>
      <c r="BU1608" s="7"/>
      <c r="BV1608" s="8">
        <f>SUM(BQ1608:BU1608)</f>
        <v>0</v>
      </c>
      <c r="BX1608" s="6"/>
      <c r="BY1608" s="7"/>
      <c r="BZ1608" s="7"/>
      <c r="CA1608" s="7"/>
      <c r="CB1608" s="7"/>
      <c r="CC1608" s="8">
        <f>SUM(BX1608:CB1608)</f>
        <v>0</v>
      </c>
      <c r="CE1608" s="28">
        <f t="shared" si="7390"/>
        <v>0</v>
      </c>
      <c r="CF1608" s="29">
        <f t="shared" si="7391"/>
        <v>0</v>
      </c>
      <c r="CG1608" s="29">
        <f t="shared" si="7392"/>
        <v>0</v>
      </c>
      <c r="CH1608" s="29">
        <f t="shared" si="7393"/>
        <v>0</v>
      </c>
      <c r="CI1608" s="29">
        <f t="shared" si="7394"/>
        <v>0</v>
      </c>
      <c r="CJ1608" s="8">
        <f>SUM(CE1608:CI1608)</f>
        <v>0</v>
      </c>
      <c r="CL1608" s="6"/>
      <c r="CM1608" s="7"/>
      <c r="CN1608" s="7"/>
      <c r="CO1608" s="7"/>
      <c r="CP1608" s="7"/>
      <c r="CQ1608" s="8">
        <f>SUM(CL1608:CP1608)</f>
        <v>0</v>
      </c>
      <c r="CS1608" s="6"/>
      <c r="CT1608" s="7"/>
      <c r="CU1608" s="7"/>
      <c r="CV1608" s="7"/>
      <c r="CW1608" s="7"/>
      <c r="CX1608" s="8">
        <f t="shared" ref="CX1608:CX1610" si="7398">SUM(CS1608:CW1608)</f>
        <v>0</v>
      </c>
      <c r="CZ1608" s="6"/>
      <c r="DA1608" s="7"/>
      <c r="DB1608" s="7"/>
      <c r="DC1608" s="7"/>
      <c r="DD1608" s="7"/>
      <c r="DE1608" s="8">
        <f t="shared" ref="DE1608:DE1610" si="7399">SUM(CZ1608:DD1608)</f>
        <v>0</v>
      </c>
    </row>
    <row r="1609" spans="2:110">
      <c r="C1609" s="567"/>
      <c r="E1609" s="5" t="s">
        <v>61</v>
      </c>
      <c r="F1609" s="6"/>
      <c r="G1609" s="7"/>
      <c r="H1609" s="7"/>
      <c r="I1609" s="7"/>
      <c r="J1609" s="7"/>
      <c r="K1609" s="8">
        <f t="shared" si="7395"/>
        <v>0</v>
      </c>
      <c r="M1609" s="6"/>
      <c r="N1609" s="7"/>
      <c r="O1609" s="7"/>
      <c r="P1609" s="7"/>
      <c r="Q1609" s="7"/>
      <c r="R1609" s="8">
        <f t="shared" si="7396"/>
        <v>0</v>
      </c>
      <c r="T1609" s="6"/>
      <c r="U1609" s="7"/>
      <c r="V1609" s="7"/>
      <c r="W1609" s="7"/>
      <c r="X1609" s="7"/>
      <c r="Y1609" s="8">
        <f t="shared" si="7397"/>
        <v>0</v>
      </c>
      <c r="AA1609" s="6"/>
      <c r="AB1609" s="7"/>
      <c r="AC1609" s="7"/>
      <c r="AD1609" s="7"/>
      <c r="AE1609" s="7"/>
      <c r="AF1609" s="8">
        <f>SUM(AA1609:AE1609)</f>
        <v>0</v>
      </c>
      <c r="AH1609" s="6"/>
      <c r="AI1609" s="7"/>
      <c r="AJ1609" s="7"/>
      <c r="AK1609" s="7"/>
      <c r="AL1609" s="7"/>
      <c r="AM1609" s="8">
        <f>SUM(AH1609:AL1609)</f>
        <v>0</v>
      </c>
      <c r="AO1609" s="6"/>
      <c r="AP1609" s="7"/>
      <c r="AQ1609" s="7"/>
      <c r="AR1609" s="7"/>
      <c r="AS1609" s="7"/>
      <c r="AT1609" s="8">
        <f>SUM(AO1609:AS1609)</f>
        <v>0</v>
      </c>
      <c r="AV1609" s="6"/>
      <c r="AW1609" s="7"/>
      <c r="AX1609" s="7"/>
      <c r="AY1609" s="7"/>
      <c r="AZ1609" s="7"/>
      <c r="BA1609" s="8">
        <f>SUM(AV1609:AZ1609)</f>
        <v>0</v>
      </c>
      <c r="BC1609" s="6"/>
      <c r="BD1609" s="7"/>
      <c r="BE1609" s="7"/>
      <c r="BF1609" s="7"/>
      <c r="BG1609" s="7"/>
      <c r="BH1609" s="8">
        <f>SUM(BC1609:BG1609)</f>
        <v>0</v>
      </c>
      <c r="BJ1609" s="6"/>
      <c r="BK1609" s="7"/>
      <c r="BL1609" s="7"/>
      <c r="BM1609" s="7"/>
      <c r="BN1609" s="7"/>
      <c r="BO1609" s="8">
        <f>SUM(BJ1609:BN1609)</f>
        <v>0</v>
      </c>
      <c r="BQ1609" s="6"/>
      <c r="BR1609" s="7"/>
      <c r="BS1609" s="7"/>
      <c r="BT1609" s="7"/>
      <c r="BU1609" s="7"/>
      <c r="BV1609" s="8">
        <f>SUM(BQ1609:BU1609)</f>
        <v>0</v>
      </c>
      <c r="BX1609" s="6"/>
      <c r="BY1609" s="7"/>
      <c r="BZ1609" s="7"/>
      <c r="CA1609" s="7"/>
      <c r="CB1609" s="7"/>
      <c r="CC1609" s="8">
        <f>SUM(BX1609:CB1609)</f>
        <v>0</v>
      </c>
      <c r="CE1609" s="28">
        <f t="shared" si="7390"/>
        <v>0</v>
      </c>
      <c r="CF1609" s="29">
        <f t="shared" si="7391"/>
        <v>0</v>
      </c>
      <c r="CG1609" s="29">
        <f t="shared" si="7392"/>
        <v>0</v>
      </c>
      <c r="CH1609" s="29">
        <f t="shared" si="7393"/>
        <v>0</v>
      </c>
      <c r="CI1609" s="29">
        <f t="shared" si="7394"/>
        <v>0</v>
      </c>
      <c r="CJ1609" s="8">
        <f>SUM(CE1609:CI1609)</f>
        <v>0</v>
      </c>
      <c r="CL1609" s="6"/>
      <c r="CM1609" s="7"/>
      <c r="CN1609" s="7"/>
      <c r="CO1609" s="7"/>
      <c r="CP1609" s="7"/>
      <c r="CQ1609" s="8">
        <f>SUM(CL1609:CP1609)</f>
        <v>0</v>
      </c>
      <c r="CS1609" s="6"/>
      <c r="CT1609" s="7"/>
      <c r="CU1609" s="7"/>
      <c r="CV1609" s="7"/>
      <c r="CW1609" s="7"/>
      <c r="CX1609" s="8">
        <f t="shared" si="7398"/>
        <v>0</v>
      </c>
      <c r="CZ1609" s="6"/>
      <c r="DA1609" s="7"/>
      <c r="DB1609" s="7"/>
      <c r="DC1609" s="7"/>
      <c r="DD1609" s="7"/>
      <c r="DE1609" s="8">
        <f t="shared" si="7399"/>
        <v>0</v>
      </c>
    </row>
    <row r="1610" spans="2:110" ht="14" thickBot="1">
      <c r="C1610" s="567"/>
      <c r="E1610" s="5" t="s">
        <v>62</v>
      </c>
      <c r="F1610" s="6"/>
      <c r="G1610" s="7"/>
      <c r="H1610" s="7"/>
      <c r="I1610" s="7"/>
      <c r="J1610" s="7"/>
      <c r="K1610" s="8">
        <f t="shared" si="7395"/>
        <v>0</v>
      </c>
      <c r="M1610" s="6"/>
      <c r="N1610" s="7"/>
      <c r="O1610" s="7"/>
      <c r="P1610" s="7"/>
      <c r="Q1610" s="7"/>
      <c r="R1610" s="8">
        <f t="shared" si="7396"/>
        <v>0</v>
      </c>
      <c r="T1610" s="6"/>
      <c r="U1610" s="7"/>
      <c r="V1610" s="7"/>
      <c r="W1610" s="7"/>
      <c r="X1610" s="7"/>
      <c r="Y1610" s="8">
        <f t="shared" si="7397"/>
        <v>0</v>
      </c>
      <c r="AA1610" s="6"/>
      <c r="AB1610" s="7"/>
      <c r="AC1610" s="7"/>
      <c r="AD1610" s="7"/>
      <c r="AE1610" s="7"/>
      <c r="AF1610" s="8">
        <f>SUM(AA1610:AE1610)</f>
        <v>0</v>
      </c>
      <c r="AH1610" s="6"/>
      <c r="AI1610" s="7"/>
      <c r="AJ1610" s="7"/>
      <c r="AK1610" s="7"/>
      <c r="AL1610" s="7"/>
      <c r="AM1610" s="8">
        <f>SUM(AH1610:AL1610)</f>
        <v>0</v>
      </c>
      <c r="AO1610" s="6"/>
      <c r="AP1610" s="7"/>
      <c r="AQ1610" s="7"/>
      <c r="AR1610" s="7"/>
      <c r="AS1610" s="7"/>
      <c r="AT1610" s="8">
        <f>SUM(AO1610:AS1610)</f>
        <v>0</v>
      </c>
      <c r="AV1610" s="6"/>
      <c r="AW1610" s="7"/>
      <c r="AX1610" s="7"/>
      <c r="AY1610" s="7"/>
      <c r="AZ1610" s="7"/>
      <c r="BA1610" s="8">
        <f>SUM(AV1610:AZ1610)</f>
        <v>0</v>
      </c>
      <c r="BC1610" s="6"/>
      <c r="BD1610" s="7"/>
      <c r="BE1610" s="7"/>
      <c r="BF1610" s="7"/>
      <c r="BG1610" s="7"/>
      <c r="BH1610" s="8">
        <f>SUM(BC1610:BG1610)</f>
        <v>0</v>
      </c>
      <c r="BJ1610" s="6"/>
      <c r="BK1610" s="7"/>
      <c r="BL1610" s="7"/>
      <c r="BM1610" s="7"/>
      <c r="BN1610" s="7"/>
      <c r="BO1610" s="8">
        <f>SUM(BJ1610:BN1610)</f>
        <v>0</v>
      </c>
      <c r="BQ1610" s="6"/>
      <c r="BR1610" s="7"/>
      <c r="BS1610" s="7"/>
      <c r="BT1610" s="7"/>
      <c r="BU1610" s="7"/>
      <c r="BV1610" s="8">
        <f>SUM(BQ1610:BU1610)</f>
        <v>0</v>
      </c>
      <c r="BX1610" s="6"/>
      <c r="BY1610" s="7"/>
      <c r="BZ1610" s="7"/>
      <c r="CA1610" s="7"/>
      <c r="CB1610" s="7"/>
      <c r="CC1610" s="8">
        <f>SUM(BX1610:CB1610)</f>
        <v>0</v>
      </c>
      <c r="CE1610" s="493">
        <f t="shared" si="7390"/>
        <v>0</v>
      </c>
      <c r="CF1610" s="494">
        <f t="shared" si="7391"/>
        <v>0</v>
      </c>
      <c r="CG1610" s="494">
        <f t="shared" si="7392"/>
        <v>0</v>
      </c>
      <c r="CH1610" s="494">
        <f t="shared" si="7393"/>
        <v>0</v>
      </c>
      <c r="CI1610" s="494">
        <f t="shared" si="7394"/>
        <v>0</v>
      </c>
      <c r="CJ1610" s="495">
        <f>SUM(CE1610:CI1610)</f>
        <v>0</v>
      </c>
      <c r="CL1610" s="6"/>
      <c r="CM1610" s="7"/>
      <c r="CN1610" s="7"/>
      <c r="CO1610" s="7"/>
      <c r="CP1610" s="7"/>
      <c r="CQ1610" s="8">
        <f>SUM(CL1610:CP1610)</f>
        <v>0</v>
      </c>
      <c r="CS1610" s="6"/>
      <c r="CT1610" s="7"/>
      <c r="CU1610" s="7"/>
      <c r="CV1610" s="7"/>
      <c r="CW1610" s="7"/>
      <c r="CX1610" s="8">
        <f t="shared" si="7398"/>
        <v>0</v>
      </c>
      <c r="CZ1610" s="6"/>
      <c r="DA1610" s="7"/>
      <c r="DB1610" s="7"/>
      <c r="DC1610" s="7"/>
      <c r="DD1610" s="7"/>
      <c r="DE1610" s="8">
        <f t="shared" si="7399"/>
        <v>0</v>
      </c>
    </row>
    <row r="1611" spans="2:110" ht="14" thickBot="1">
      <c r="C1611" s="554"/>
      <c r="E1611" s="9"/>
      <c r="F1611" s="10">
        <f>SUM(F1607:F1610)</f>
        <v>0</v>
      </c>
      <c r="G1611" s="11">
        <f t="shared" ref="G1611:J1611" si="7400">SUM(G1607:G1610)</f>
        <v>0</v>
      </c>
      <c r="H1611" s="11">
        <f t="shared" si="7400"/>
        <v>0</v>
      </c>
      <c r="I1611" s="11">
        <f t="shared" si="7400"/>
        <v>0</v>
      </c>
      <c r="J1611" s="61">
        <f t="shared" si="7400"/>
        <v>0</v>
      </c>
      <c r="K1611" s="25">
        <f>SUM(K1607:K1610)</f>
        <v>0</v>
      </c>
      <c r="M1611" s="10">
        <f>SUM(M1607:M1610)</f>
        <v>0</v>
      </c>
      <c r="N1611" s="11">
        <f t="shared" ref="N1611:Q1611" si="7401">SUM(N1607:N1610)</f>
        <v>0</v>
      </c>
      <c r="O1611" s="11">
        <f t="shared" si="7401"/>
        <v>0</v>
      </c>
      <c r="P1611" s="11">
        <f t="shared" si="7401"/>
        <v>0</v>
      </c>
      <c r="Q1611" s="11">
        <f t="shared" si="7401"/>
        <v>0</v>
      </c>
      <c r="R1611" s="25">
        <f>SUM(R1607:R1610)</f>
        <v>0</v>
      </c>
      <c r="T1611" s="10">
        <f>SUM(T1607:T1610)</f>
        <v>0</v>
      </c>
      <c r="U1611" s="11">
        <f t="shared" ref="U1611:X1611" si="7402">SUM(U1607:U1610)</f>
        <v>0</v>
      </c>
      <c r="V1611" s="11">
        <f t="shared" si="7402"/>
        <v>0</v>
      </c>
      <c r="W1611" s="11">
        <f t="shared" si="7402"/>
        <v>0</v>
      </c>
      <c r="X1611" s="11">
        <f t="shared" si="7402"/>
        <v>0</v>
      </c>
      <c r="Y1611" s="25">
        <f>SUM(Y1607:Y1610)</f>
        <v>0</v>
      </c>
      <c r="AA1611" s="10">
        <f>SUM(AA1607:AA1610)</f>
        <v>0</v>
      </c>
      <c r="AB1611" s="11">
        <f t="shared" ref="AB1611:AE1611" si="7403">SUM(AB1607:AB1610)</f>
        <v>0</v>
      </c>
      <c r="AC1611" s="11">
        <f t="shared" si="7403"/>
        <v>0</v>
      </c>
      <c r="AD1611" s="11">
        <f t="shared" si="7403"/>
        <v>0</v>
      </c>
      <c r="AE1611" s="11">
        <f t="shared" si="7403"/>
        <v>0</v>
      </c>
      <c r="AF1611" s="25">
        <f>SUM(AF1607:AF1610)</f>
        <v>0</v>
      </c>
      <c r="AH1611" s="10">
        <f>SUM(AH1607:AH1610)</f>
        <v>0</v>
      </c>
      <c r="AI1611" s="11">
        <f t="shared" ref="AI1611:AL1611" si="7404">SUM(AI1607:AI1610)</f>
        <v>0</v>
      </c>
      <c r="AJ1611" s="11">
        <f t="shared" si="7404"/>
        <v>0</v>
      </c>
      <c r="AK1611" s="11">
        <f t="shared" si="7404"/>
        <v>0</v>
      </c>
      <c r="AL1611" s="11">
        <f t="shared" si="7404"/>
        <v>0</v>
      </c>
      <c r="AM1611" s="25">
        <f>SUM(AM1607:AM1610)</f>
        <v>0</v>
      </c>
      <c r="AO1611" s="10">
        <f>SUM(AO1607:AO1610)</f>
        <v>0</v>
      </c>
      <c r="AP1611" s="11">
        <f t="shared" ref="AP1611:AS1611" si="7405">SUM(AP1607:AP1610)</f>
        <v>0</v>
      </c>
      <c r="AQ1611" s="11">
        <f t="shared" si="7405"/>
        <v>0</v>
      </c>
      <c r="AR1611" s="11">
        <f t="shared" si="7405"/>
        <v>0</v>
      </c>
      <c r="AS1611" s="11">
        <f t="shared" si="7405"/>
        <v>0</v>
      </c>
      <c r="AT1611" s="25">
        <f>SUM(AT1607:AT1610)</f>
        <v>0</v>
      </c>
      <c r="AV1611" s="10">
        <f>SUM(AV1607:AV1610)</f>
        <v>0</v>
      </c>
      <c r="AW1611" s="11">
        <f t="shared" ref="AW1611:AZ1611" si="7406">SUM(AW1607:AW1610)</f>
        <v>0</v>
      </c>
      <c r="AX1611" s="11">
        <f t="shared" si="7406"/>
        <v>0</v>
      </c>
      <c r="AY1611" s="11">
        <f t="shared" si="7406"/>
        <v>0</v>
      </c>
      <c r="AZ1611" s="11">
        <f t="shared" si="7406"/>
        <v>0</v>
      </c>
      <c r="BA1611" s="25">
        <f>SUM(BA1607:BA1610)</f>
        <v>0</v>
      </c>
      <c r="BC1611" s="10">
        <f>SUM(BC1607:BC1610)</f>
        <v>0</v>
      </c>
      <c r="BD1611" s="11">
        <f t="shared" ref="BD1611:BG1611" si="7407">SUM(BD1607:BD1610)</f>
        <v>0</v>
      </c>
      <c r="BE1611" s="11">
        <f t="shared" si="7407"/>
        <v>0</v>
      </c>
      <c r="BF1611" s="11">
        <f t="shared" si="7407"/>
        <v>0</v>
      </c>
      <c r="BG1611" s="11">
        <f t="shared" si="7407"/>
        <v>0</v>
      </c>
      <c r="BH1611" s="25">
        <f>SUM(BH1607:BH1610)</f>
        <v>0</v>
      </c>
      <c r="BJ1611" s="10">
        <f>SUM(BJ1607:BJ1610)</f>
        <v>0</v>
      </c>
      <c r="BK1611" s="11">
        <f t="shared" ref="BK1611:BN1611" si="7408">SUM(BK1607:BK1610)</f>
        <v>0</v>
      </c>
      <c r="BL1611" s="11">
        <f t="shared" si="7408"/>
        <v>0</v>
      </c>
      <c r="BM1611" s="11">
        <f t="shared" si="7408"/>
        <v>0</v>
      </c>
      <c r="BN1611" s="11">
        <f t="shared" si="7408"/>
        <v>0</v>
      </c>
      <c r="BO1611" s="25">
        <f>SUM(BO1607:BO1610)</f>
        <v>0</v>
      </c>
      <c r="BQ1611" s="10">
        <f>SUM(BQ1607:BQ1610)</f>
        <v>0</v>
      </c>
      <c r="BR1611" s="11">
        <f t="shared" ref="BR1611:BU1611" si="7409">SUM(BR1607:BR1610)</f>
        <v>0</v>
      </c>
      <c r="BS1611" s="11">
        <f t="shared" si="7409"/>
        <v>0</v>
      </c>
      <c r="BT1611" s="11">
        <f t="shared" si="7409"/>
        <v>0</v>
      </c>
      <c r="BU1611" s="11">
        <f t="shared" si="7409"/>
        <v>0</v>
      </c>
      <c r="BV1611" s="25">
        <f>SUM(BV1607:BV1610)</f>
        <v>0</v>
      </c>
      <c r="BX1611" s="10">
        <f>SUM(BX1607:BX1610)</f>
        <v>0</v>
      </c>
      <c r="BY1611" s="11">
        <f t="shared" ref="BY1611:CB1611" si="7410">SUM(BY1607:BY1610)</f>
        <v>0</v>
      </c>
      <c r="BZ1611" s="11">
        <f t="shared" si="7410"/>
        <v>0</v>
      </c>
      <c r="CA1611" s="11">
        <f t="shared" si="7410"/>
        <v>0</v>
      </c>
      <c r="CB1611" s="11">
        <f t="shared" si="7410"/>
        <v>0</v>
      </c>
      <c r="CC1611" s="25">
        <f>SUM(CC1607:CC1610)</f>
        <v>0</v>
      </c>
      <c r="CE1611" s="62">
        <f t="shared" ref="CE1611:CJ1611" si="7411">SUM(CE1607:CE1610)</f>
        <v>0</v>
      </c>
      <c r="CF1611" s="63">
        <f t="shared" si="7411"/>
        <v>0</v>
      </c>
      <c r="CG1611" s="63">
        <f t="shared" si="7411"/>
        <v>0</v>
      </c>
      <c r="CH1611" s="63">
        <f t="shared" si="7411"/>
        <v>0</v>
      </c>
      <c r="CI1611" s="63">
        <f t="shared" si="7411"/>
        <v>0</v>
      </c>
      <c r="CJ1611" s="25">
        <f t="shared" si="7411"/>
        <v>0</v>
      </c>
      <c r="CL1611" s="10">
        <f>SUM(CL1607:CL1610)</f>
        <v>0</v>
      </c>
      <c r="CM1611" s="11">
        <f t="shared" ref="CM1611:CP1611" si="7412">SUM(CM1607:CM1610)</f>
        <v>0</v>
      </c>
      <c r="CN1611" s="11">
        <f t="shared" si="7412"/>
        <v>0</v>
      </c>
      <c r="CO1611" s="11">
        <f t="shared" si="7412"/>
        <v>0</v>
      </c>
      <c r="CP1611" s="11">
        <f t="shared" si="7412"/>
        <v>0</v>
      </c>
      <c r="CQ1611" s="25">
        <f>SUM(CQ1607:CQ1610)</f>
        <v>0</v>
      </c>
      <c r="CS1611" s="10">
        <f>SUM(CS1607:CS1610)</f>
        <v>0</v>
      </c>
      <c r="CT1611" s="11">
        <f t="shared" ref="CT1611:CW1611" si="7413">SUM(CT1607:CT1610)</f>
        <v>0</v>
      </c>
      <c r="CU1611" s="11">
        <f t="shared" si="7413"/>
        <v>0</v>
      </c>
      <c r="CV1611" s="11">
        <f t="shared" si="7413"/>
        <v>0</v>
      </c>
      <c r="CW1611" s="11">
        <f t="shared" si="7413"/>
        <v>0</v>
      </c>
      <c r="CX1611" s="25">
        <f>SUM(CX1607:CX1610)</f>
        <v>0</v>
      </c>
      <c r="CZ1611" s="10">
        <f>SUM(CZ1607:CZ1610)</f>
        <v>0</v>
      </c>
      <c r="DA1611" s="11">
        <f t="shared" ref="DA1611:DD1611" si="7414">SUM(DA1607:DA1610)</f>
        <v>0</v>
      </c>
      <c r="DB1611" s="11">
        <f t="shared" si="7414"/>
        <v>0</v>
      </c>
      <c r="DC1611" s="11">
        <f t="shared" si="7414"/>
        <v>0</v>
      </c>
      <c r="DD1611" s="11">
        <f t="shared" si="7414"/>
        <v>0</v>
      </c>
      <c r="DE1611" s="25">
        <f>SUM(DE1607:DE1610)</f>
        <v>0</v>
      </c>
    </row>
    <row r="1612" spans="2:110" ht="10.4" customHeight="1" thickBot="1"/>
    <row r="1613" spans="2:110">
      <c r="C1613" s="553">
        <v>2025</v>
      </c>
      <c r="E1613" s="13" t="s">
        <v>59</v>
      </c>
      <c r="F1613" s="21">
        <f>CE1607</f>
        <v>0</v>
      </c>
      <c r="G1613" s="22">
        <f t="shared" ref="G1613:G1616" si="7415">CF1607</f>
        <v>0</v>
      </c>
      <c r="H1613" s="22">
        <f t="shared" ref="H1613:H1616" si="7416">CG1607</f>
        <v>0</v>
      </c>
      <c r="I1613" s="22">
        <f t="shared" ref="I1613:I1616" si="7417">CH1607</f>
        <v>0</v>
      </c>
      <c r="J1613" s="22">
        <f t="shared" ref="J1613:J1616" si="7418">CI1607</f>
        <v>0</v>
      </c>
      <c r="K1613" s="15">
        <f>SUM(F1613:J1613)</f>
        <v>0</v>
      </c>
      <c r="M1613" s="2"/>
      <c r="N1613" s="3"/>
      <c r="O1613" s="3"/>
      <c r="P1613" s="3"/>
      <c r="Q1613" s="3"/>
      <c r="R1613" s="15">
        <f>SUM(M1613:Q1613)</f>
        <v>0</v>
      </c>
      <c r="T1613" s="2"/>
      <c r="U1613" s="3"/>
      <c r="V1613" s="3"/>
      <c r="W1613" s="3"/>
      <c r="X1613" s="3"/>
      <c r="Y1613" s="15">
        <f>SUM(T1613:X1613)</f>
        <v>0</v>
      </c>
      <c r="AA1613" s="2"/>
      <c r="AB1613" s="3"/>
      <c r="AC1613" s="3"/>
      <c r="AD1613" s="3"/>
      <c r="AE1613" s="3"/>
      <c r="AF1613" s="15">
        <f>SUM(AA1613:AE1613)</f>
        <v>0</v>
      </c>
      <c r="AH1613" s="2"/>
      <c r="AI1613" s="3"/>
      <c r="AJ1613" s="3"/>
      <c r="AK1613" s="3"/>
      <c r="AL1613" s="3"/>
      <c r="AM1613" s="15">
        <f>SUM(AH1613:AL1613)</f>
        <v>0</v>
      </c>
      <c r="AO1613" s="2"/>
      <c r="AP1613" s="3"/>
      <c r="AQ1613" s="3"/>
      <c r="AR1613" s="3"/>
      <c r="AS1613" s="3"/>
      <c r="AT1613" s="15">
        <f>SUM(AO1613:AS1613)</f>
        <v>0</v>
      </c>
      <c r="AV1613" s="2"/>
      <c r="AW1613" s="3"/>
      <c r="AX1613" s="3"/>
      <c r="AY1613" s="3"/>
      <c r="AZ1613" s="3"/>
      <c r="BA1613" s="15">
        <f>SUM(AV1613:AZ1613)</f>
        <v>0</v>
      </c>
      <c r="BC1613" s="2"/>
      <c r="BD1613" s="3"/>
      <c r="BE1613" s="3"/>
      <c r="BF1613" s="3"/>
      <c r="BG1613" s="3"/>
      <c r="BH1613" s="15">
        <f>SUM(BC1613:BG1613)</f>
        <v>0</v>
      </c>
      <c r="BJ1613" s="2"/>
      <c r="BK1613" s="3"/>
      <c r="BL1613" s="3"/>
      <c r="BM1613" s="3"/>
      <c r="BN1613" s="3"/>
      <c r="BO1613" s="15">
        <f>SUM(BJ1613:BN1613)</f>
        <v>0</v>
      </c>
      <c r="BQ1613" s="2"/>
      <c r="BR1613" s="3"/>
      <c r="BS1613" s="3"/>
      <c r="BT1613" s="3"/>
      <c r="BU1613" s="3"/>
      <c r="BV1613" s="15">
        <f>SUM(BQ1613:BU1613)</f>
        <v>0</v>
      </c>
      <c r="BX1613" s="2"/>
      <c r="BY1613" s="3"/>
      <c r="BZ1613" s="3"/>
      <c r="CA1613" s="3"/>
      <c r="CB1613" s="3"/>
      <c r="CC1613" s="15">
        <f>SUM(BX1613:CB1613)</f>
        <v>0</v>
      </c>
      <c r="CE1613" s="26">
        <f t="shared" ref="CE1613:CE1616" si="7419">F1613+M1613+T1613+AA1613+AH1613+AO1613+AV1613+BC1613+BJ1613+BQ1613+BX1613</f>
        <v>0</v>
      </c>
      <c r="CF1613" s="27">
        <f t="shared" ref="CF1613:CF1616" si="7420">G1613+N1613+U1613+AB1613+AI1613+AP1613+AW1613+BD1613+BK1613+BR1613+BY1613</f>
        <v>0</v>
      </c>
      <c r="CG1613" s="27">
        <f t="shared" ref="CG1613:CG1616" si="7421">H1613+O1613+V1613+AC1613+AJ1613+AQ1613+AX1613+BE1613+BL1613+BS1613+BZ1613</f>
        <v>0</v>
      </c>
      <c r="CH1613" s="27">
        <f t="shared" ref="CH1613:CH1616" si="7422">I1613+P1613+W1613+AD1613+AK1613+AR1613+AY1613+BF1613+BM1613+BT1613+CA1613</f>
        <v>0</v>
      </c>
      <c r="CI1613" s="27">
        <f t="shared" ref="CI1613:CI1616" si="7423">J1613+Q1613+X1613+AE1613+AL1613+AS1613+AZ1613+BG1613+BN1613+BU1613+CB1613</f>
        <v>0</v>
      </c>
      <c r="CJ1613" s="4">
        <f>SUM(CE1613:CI1613)</f>
        <v>0</v>
      </c>
      <c r="CL1613" s="2"/>
      <c r="CM1613" s="3"/>
      <c r="CN1613" s="3"/>
      <c r="CO1613" s="3"/>
      <c r="CP1613" s="3"/>
      <c r="CQ1613" s="15">
        <f>SUM(CL1613:CP1613)</f>
        <v>0</v>
      </c>
      <c r="CS1613" s="2"/>
      <c r="CT1613" s="3"/>
      <c r="CU1613" s="3"/>
      <c r="CV1613" s="3"/>
      <c r="CW1613" s="3"/>
      <c r="CX1613" s="4">
        <f>SUM(CS1613:CW1613)</f>
        <v>0</v>
      </c>
      <c r="CZ1613" s="2"/>
      <c r="DA1613" s="3"/>
      <c r="DB1613" s="3"/>
      <c r="DC1613" s="3"/>
      <c r="DD1613" s="3"/>
      <c r="DE1613" s="15">
        <f>SUM(CZ1613:DD1613)</f>
        <v>0</v>
      </c>
    </row>
    <row r="1614" spans="2:110">
      <c r="C1614" s="567"/>
      <c r="E1614" s="14" t="s">
        <v>60</v>
      </c>
      <c r="F1614" s="23">
        <f t="shared" ref="F1614:F1616" si="7424">CE1608</f>
        <v>0</v>
      </c>
      <c r="G1614" s="24">
        <f t="shared" si="7415"/>
        <v>0</v>
      </c>
      <c r="H1614" s="24">
        <f t="shared" si="7416"/>
        <v>0</v>
      </c>
      <c r="I1614" s="24">
        <f t="shared" si="7417"/>
        <v>0</v>
      </c>
      <c r="J1614" s="24">
        <f t="shared" si="7418"/>
        <v>0</v>
      </c>
      <c r="K1614" s="16">
        <f t="shared" ref="K1614:K1616" si="7425">SUM(F1614:J1614)</f>
        <v>0</v>
      </c>
      <c r="M1614" s="6"/>
      <c r="N1614" s="7"/>
      <c r="O1614" s="7"/>
      <c r="P1614" s="7"/>
      <c r="Q1614" s="7"/>
      <c r="R1614" s="16">
        <f t="shared" ref="R1614:R1616" si="7426">SUM(M1614:Q1614)</f>
        <v>0</v>
      </c>
      <c r="T1614" s="6"/>
      <c r="U1614" s="7"/>
      <c r="V1614" s="7"/>
      <c r="W1614" s="7"/>
      <c r="X1614" s="7"/>
      <c r="Y1614" s="16">
        <f t="shared" ref="Y1614:Y1616" si="7427">SUM(T1614:X1614)</f>
        <v>0</v>
      </c>
      <c r="AA1614" s="6"/>
      <c r="AB1614" s="7"/>
      <c r="AC1614" s="7"/>
      <c r="AD1614" s="7"/>
      <c r="AE1614" s="7"/>
      <c r="AF1614" s="16">
        <f>SUM(AA1614:AE1614)</f>
        <v>0</v>
      </c>
      <c r="AH1614" s="6"/>
      <c r="AI1614" s="7"/>
      <c r="AJ1614" s="7"/>
      <c r="AK1614" s="7"/>
      <c r="AL1614" s="7"/>
      <c r="AM1614" s="16">
        <f>SUM(AH1614:AL1614)</f>
        <v>0</v>
      </c>
      <c r="AO1614" s="6"/>
      <c r="AP1614" s="7"/>
      <c r="AQ1614" s="7"/>
      <c r="AR1614" s="7"/>
      <c r="AS1614" s="7"/>
      <c r="AT1614" s="16">
        <f>SUM(AO1614:AS1614)</f>
        <v>0</v>
      </c>
      <c r="AV1614" s="6"/>
      <c r="AW1614" s="7"/>
      <c r="AX1614" s="7"/>
      <c r="AY1614" s="7"/>
      <c r="AZ1614" s="7"/>
      <c r="BA1614" s="16">
        <f>SUM(AV1614:AZ1614)</f>
        <v>0</v>
      </c>
      <c r="BC1614" s="6"/>
      <c r="BD1614" s="7"/>
      <c r="BE1614" s="7"/>
      <c r="BF1614" s="7"/>
      <c r="BG1614" s="7"/>
      <c r="BH1614" s="16">
        <f>SUM(BC1614:BG1614)</f>
        <v>0</v>
      </c>
      <c r="BJ1614" s="6"/>
      <c r="BK1614" s="7"/>
      <c r="BL1614" s="7"/>
      <c r="BM1614" s="7"/>
      <c r="BN1614" s="7"/>
      <c r="BO1614" s="16">
        <f>SUM(BJ1614:BN1614)</f>
        <v>0</v>
      </c>
      <c r="BQ1614" s="6"/>
      <c r="BR1614" s="7"/>
      <c r="BS1614" s="7"/>
      <c r="BT1614" s="7"/>
      <c r="BU1614" s="7"/>
      <c r="BV1614" s="16">
        <f>SUM(BQ1614:BU1614)</f>
        <v>0</v>
      </c>
      <c r="BX1614" s="6"/>
      <c r="BY1614" s="7"/>
      <c r="BZ1614" s="7"/>
      <c r="CA1614" s="7"/>
      <c r="CB1614" s="7"/>
      <c r="CC1614" s="16">
        <f>SUM(BX1614:CB1614)</f>
        <v>0</v>
      </c>
      <c r="CE1614" s="28">
        <f t="shared" si="7419"/>
        <v>0</v>
      </c>
      <c r="CF1614" s="29">
        <f t="shared" si="7420"/>
        <v>0</v>
      </c>
      <c r="CG1614" s="29">
        <f t="shared" si="7421"/>
        <v>0</v>
      </c>
      <c r="CH1614" s="29">
        <f t="shared" si="7422"/>
        <v>0</v>
      </c>
      <c r="CI1614" s="29">
        <f t="shared" si="7423"/>
        <v>0</v>
      </c>
      <c r="CJ1614" s="8">
        <f>SUM(CE1614:CI1614)</f>
        <v>0</v>
      </c>
      <c r="CL1614" s="6"/>
      <c r="CM1614" s="7"/>
      <c r="CN1614" s="7"/>
      <c r="CO1614" s="7"/>
      <c r="CP1614" s="7"/>
      <c r="CQ1614" s="16">
        <f>SUM(CL1614:CP1614)</f>
        <v>0</v>
      </c>
      <c r="CS1614" s="6"/>
      <c r="CT1614" s="7"/>
      <c r="CU1614" s="7"/>
      <c r="CV1614" s="7"/>
      <c r="CW1614" s="7"/>
      <c r="CX1614" s="8">
        <f t="shared" ref="CX1614:CX1616" si="7428">SUM(CS1614:CW1614)</f>
        <v>0</v>
      </c>
      <c r="CZ1614" s="6"/>
      <c r="DA1614" s="7"/>
      <c r="DB1614" s="7"/>
      <c r="DC1614" s="7"/>
      <c r="DD1614" s="7"/>
      <c r="DE1614" s="16">
        <f t="shared" ref="DE1614:DE1616" si="7429">SUM(CZ1614:DD1614)</f>
        <v>0</v>
      </c>
    </row>
    <row r="1615" spans="2:110">
      <c r="C1615" s="567"/>
      <c r="E1615" s="14" t="s">
        <v>61</v>
      </c>
      <c r="F1615" s="23">
        <f t="shared" si="7424"/>
        <v>0</v>
      </c>
      <c r="G1615" s="24">
        <f t="shared" si="7415"/>
        <v>0</v>
      </c>
      <c r="H1615" s="24">
        <f t="shared" si="7416"/>
        <v>0</v>
      </c>
      <c r="I1615" s="24">
        <f t="shared" si="7417"/>
        <v>0</v>
      </c>
      <c r="J1615" s="24">
        <f t="shared" si="7418"/>
        <v>0</v>
      </c>
      <c r="K1615" s="16">
        <f t="shared" si="7425"/>
        <v>0</v>
      </c>
      <c r="M1615" s="6"/>
      <c r="N1615" s="7"/>
      <c r="O1615" s="7"/>
      <c r="P1615" s="7"/>
      <c r="Q1615" s="7"/>
      <c r="R1615" s="16">
        <f t="shared" si="7426"/>
        <v>0</v>
      </c>
      <c r="T1615" s="6"/>
      <c r="U1615" s="7"/>
      <c r="V1615" s="7"/>
      <c r="W1615" s="7"/>
      <c r="X1615" s="7"/>
      <c r="Y1615" s="16">
        <f t="shared" si="7427"/>
        <v>0</v>
      </c>
      <c r="AA1615" s="6"/>
      <c r="AB1615" s="7"/>
      <c r="AC1615" s="7"/>
      <c r="AD1615" s="7"/>
      <c r="AE1615" s="7"/>
      <c r="AF1615" s="16">
        <f>SUM(AA1615:AE1615)</f>
        <v>0</v>
      </c>
      <c r="AH1615" s="6"/>
      <c r="AI1615" s="7"/>
      <c r="AJ1615" s="7"/>
      <c r="AK1615" s="7"/>
      <c r="AL1615" s="7"/>
      <c r="AM1615" s="16">
        <f>SUM(AH1615:AL1615)</f>
        <v>0</v>
      </c>
      <c r="AO1615" s="6"/>
      <c r="AP1615" s="7"/>
      <c r="AQ1615" s="7"/>
      <c r="AR1615" s="7"/>
      <c r="AS1615" s="7"/>
      <c r="AT1615" s="16">
        <f>SUM(AO1615:AS1615)</f>
        <v>0</v>
      </c>
      <c r="AV1615" s="6"/>
      <c r="AW1615" s="7"/>
      <c r="AX1615" s="7"/>
      <c r="AY1615" s="7"/>
      <c r="AZ1615" s="7"/>
      <c r="BA1615" s="16">
        <f>SUM(AV1615:AZ1615)</f>
        <v>0</v>
      </c>
      <c r="BC1615" s="6"/>
      <c r="BD1615" s="7"/>
      <c r="BE1615" s="7"/>
      <c r="BF1615" s="7"/>
      <c r="BG1615" s="7"/>
      <c r="BH1615" s="16">
        <f>SUM(BC1615:BG1615)</f>
        <v>0</v>
      </c>
      <c r="BJ1615" s="6"/>
      <c r="BK1615" s="7"/>
      <c r="BL1615" s="7"/>
      <c r="BM1615" s="7"/>
      <c r="BN1615" s="7"/>
      <c r="BO1615" s="16">
        <f>SUM(BJ1615:BN1615)</f>
        <v>0</v>
      </c>
      <c r="BQ1615" s="6"/>
      <c r="BR1615" s="7"/>
      <c r="BS1615" s="7"/>
      <c r="BT1615" s="7"/>
      <c r="BU1615" s="7"/>
      <c r="BV1615" s="16">
        <f>SUM(BQ1615:BU1615)</f>
        <v>0</v>
      </c>
      <c r="BX1615" s="6"/>
      <c r="BY1615" s="7"/>
      <c r="BZ1615" s="7"/>
      <c r="CA1615" s="7"/>
      <c r="CB1615" s="7"/>
      <c r="CC1615" s="16">
        <f>SUM(BX1615:CB1615)</f>
        <v>0</v>
      </c>
      <c r="CE1615" s="28">
        <f t="shared" si="7419"/>
        <v>0</v>
      </c>
      <c r="CF1615" s="29">
        <f t="shared" si="7420"/>
        <v>0</v>
      </c>
      <c r="CG1615" s="29">
        <f t="shared" si="7421"/>
        <v>0</v>
      </c>
      <c r="CH1615" s="29">
        <f t="shared" si="7422"/>
        <v>0</v>
      </c>
      <c r="CI1615" s="29">
        <f t="shared" si="7423"/>
        <v>0</v>
      </c>
      <c r="CJ1615" s="8">
        <f>SUM(CE1615:CI1615)</f>
        <v>0</v>
      </c>
      <c r="CL1615" s="6"/>
      <c r="CM1615" s="7"/>
      <c r="CN1615" s="7"/>
      <c r="CO1615" s="7"/>
      <c r="CP1615" s="7"/>
      <c r="CQ1615" s="16">
        <f>SUM(CL1615:CP1615)</f>
        <v>0</v>
      </c>
      <c r="CS1615" s="6"/>
      <c r="CT1615" s="7"/>
      <c r="CU1615" s="7"/>
      <c r="CV1615" s="7"/>
      <c r="CW1615" s="7"/>
      <c r="CX1615" s="8">
        <f t="shared" si="7428"/>
        <v>0</v>
      </c>
      <c r="CZ1615" s="6"/>
      <c r="DA1615" s="7"/>
      <c r="DB1615" s="7"/>
      <c r="DC1615" s="7"/>
      <c r="DD1615" s="7"/>
      <c r="DE1615" s="16">
        <f t="shared" si="7429"/>
        <v>0</v>
      </c>
    </row>
    <row r="1616" spans="2:110" ht="14" thickBot="1">
      <c r="C1616" s="567"/>
      <c r="E1616" s="14" t="s">
        <v>62</v>
      </c>
      <c r="F1616" s="23">
        <f t="shared" si="7424"/>
        <v>0</v>
      </c>
      <c r="G1616" s="24">
        <f t="shared" si="7415"/>
        <v>0</v>
      </c>
      <c r="H1616" s="24">
        <f t="shared" si="7416"/>
        <v>0</v>
      </c>
      <c r="I1616" s="24">
        <f t="shared" si="7417"/>
        <v>0</v>
      </c>
      <c r="J1616" s="24">
        <f t="shared" si="7418"/>
        <v>0</v>
      </c>
      <c r="K1616" s="16">
        <f t="shared" si="7425"/>
        <v>0</v>
      </c>
      <c r="M1616" s="6"/>
      <c r="N1616" s="7"/>
      <c r="O1616" s="7"/>
      <c r="P1616" s="7"/>
      <c r="Q1616" s="7"/>
      <c r="R1616" s="16">
        <f t="shared" si="7426"/>
        <v>0</v>
      </c>
      <c r="T1616" s="6"/>
      <c r="U1616" s="7"/>
      <c r="V1616" s="7"/>
      <c r="W1616" s="7"/>
      <c r="X1616" s="7"/>
      <c r="Y1616" s="16">
        <f t="shared" si="7427"/>
        <v>0</v>
      </c>
      <c r="AA1616" s="6"/>
      <c r="AB1616" s="7"/>
      <c r="AC1616" s="7"/>
      <c r="AD1616" s="7"/>
      <c r="AE1616" s="7"/>
      <c r="AF1616" s="16">
        <f>SUM(AA1616:AE1616)</f>
        <v>0</v>
      </c>
      <c r="AH1616" s="6"/>
      <c r="AI1616" s="7"/>
      <c r="AJ1616" s="7"/>
      <c r="AK1616" s="7"/>
      <c r="AL1616" s="7"/>
      <c r="AM1616" s="16">
        <f>SUM(AH1616:AL1616)</f>
        <v>0</v>
      </c>
      <c r="AO1616" s="6"/>
      <c r="AP1616" s="7"/>
      <c r="AQ1616" s="7"/>
      <c r="AR1616" s="7"/>
      <c r="AS1616" s="7"/>
      <c r="AT1616" s="16">
        <f>SUM(AO1616:AS1616)</f>
        <v>0</v>
      </c>
      <c r="AV1616" s="6"/>
      <c r="AW1616" s="7"/>
      <c r="AX1616" s="7"/>
      <c r="AY1616" s="7"/>
      <c r="AZ1616" s="7"/>
      <c r="BA1616" s="16">
        <f>SUM(AV1616:AZ1616)</f>
        <v>0</v>
      </c>
      <c r="BC1616" s="6"/>
      <c r="BD1616" s="7"/>
      <c r="BE1616" s="7"/>
      <c r="BF1616" s="7"/>
      <c r="BG1616" s="7"/>
      <c r="BH1616" s="16">
        <f>SUM(BC1616:BG1616)</f>
        <v>0</v>
      </c>
      <c r="BJ1616" s="6"/>
      <c r="BK1616" s="7"/>
      <c r="BL1616" s="7"/>
      <c r="BM1616" s="7"/>
      <c r="BN1616" s="7"/>
      <c r="BO1616" s="16">
        <f>SUM(BJ1616:BN1616)</f>
        <v>0</v>
      </c>
      <c r="BQ1616" s="6"/>
      <c r="BR1616" s="7"/>
      <c r="BS1616" s="7"/>
      <c r="BT1616" s="7"/>
      <c r="BU1616" s="7"/>
      <c r="BV1616" s="16">
        <f>SUM(BQ1616:BU1616)</f>
        <v>0</v>
      </c>
      <c r="BX1616" s="6"/>
      <c r="BY1616" s="7"/>
      <c r="BZ1616" s="7"/>
      <c r="CA1616" s="7"/>
      <c r="CB1616" s="7"/>
      <c r="CC1616" s="16">
        <f>SUM(BX1616:CB1616)</f>
        <v>0</v>
      </c>
      <c r="CE1616" s="493">
        <f t="shared" si="7419"/>
        <v>0</v>
      </c>
      <c r="CF1616" s="494">
        <f t="shared" si="7420"/>
        <v>0</v>
      </c>
      <c r="CG1616" s="494">
        <f t="shared" si="7421"/>
        <v>0</v>
      </c>
      <c r="CH1616" s="494">
        <f t="shared" si="7422"/>
        <v>0</v>
      </c>
      <c r="CI1616" s="494">
        <f t="shared" si="7423"/>
        <v>0</v>
      </c>
      <c r="CJ1616" s="495">
        <f>SUM(CE1616:CI1616)</f>
        <v>0</v>
      </c>
      <c r="CL1616" s="6"/>
      <c r="CM1616" s="7"/>
      <c r="CN1616" s="7"/>
      <c r="CO1616" s="7"/>
      <c r="CP1616" s="7"/>
      <c r="CQ1616" s="16">
        <f>SUM(CL1616:CP1616)</f>
        <v>0</v>
      </c>
      <c r="CS1616" s="6"/>
      <c r="CT1616" s="7"/>
      <c r="CU1616" s="7"/>
      <c r="CV1616" s="7"/>
      <c r="CW1616" s="7"/>
      <c r="CX1616" s="8">
        <f t="shared" si="7428"/>
        <v>0</v>
      </c>
      <c r="CZ1616" s="6"/>
      <c r="DA1616" s="7"/>
      <c r="DB1616" s="7"/>
      <c r="DC1616" s="7"/>
      <c r="DD1616" s="7"/>
      <c r="DE1616" s="16">
        <f t="shared" si="7429"/>
        <v>0</v>
      </c>
    </row>
    <row r="1617" spans="3:109" ht="14" thickBot="1">
      <c r="C1617" s="554"/>
      <c r="E1617" s="17"/>
      <c r="F1617" s="10">
        <f>SUM(F1613:F1616)</f>
        <v>0</v>
      </c>
      <c r="G1617" s="11">
        <f t="shared" ref="G1617:J1617" si="7430">SUM(G1613:G1616)</f>
        <v>0</v>
      </c>
      <c r="H1617" s="11">
        <f t="shared" si="7430"/>
        <v>0</v>
      </c>
      <c r="I1617" s="11">
        <f t="shared" si="7430"/>
        <v>0</v>
      </c>
      <c r="J1617" s="11">
        <f t="shared" si="7430"/>
        <v>0</v>
      </c>
      <c r="K1617" s="25">
        <f>SUM(K1613:K1616)</f>
        <v>0</v>
      </c>
      <c r="M1617" s="10">
        <f>SUM(M1613:M1616)</f>
        <v>0</v>
      </c>
      <c r="N1617" s="11">
        <f t="shared" ref="N1617:Q1617" si="7431">SUM(N1613:N1616)</f>
        <v>0</v>
      </c>
      <c r="O1617" s="11">
        <f t="shared" si="7431"/>
        <v>0</v>
      </c>
      <c r="P1617" s="11">
        <f t="shared" si="7431"/>
        <v>0</v>
      </c>
      <c r="Q1617" s="11">
        <f t="shared" si="7431"/>
        <v>0</v>
      </c>
      <c r="R1617" s="25">
        <f>SUM(R1613:R1616)</f>
        <v>0</v>
      </c>
      <c r="T1617" s="10">
        <f>SUM(T1613:T1616)</f>
        <v>0</v>
      </c>
      <c r="U1617" s="11">
        <f t="shared" ref="U1617:X1617" si="7432">SUM(U1613:U1616)</f>
        <v>0</v>
      </c>
      <c r="V1617" s="11">
        <f t="shared" si="7432"/>
        <v>0</v>
      </c>
      <c r="W1617" s="11">
        <f t="shared" si="7432"/>
        <v>0</v>
      </c>
      <c r="X1617" s="11">
        <f t="shared" si="7432"/>
        <v>0</v>
      </c>
      <c r="Y1617" s="25">
        <f>SUM(Y1613:Y1616)</f>
        <v>0</v>
      </c>
      <c r="AA1617" s="10">
        <f>SUM(AA1613:AA1616)</f>
        <v>0</v>
      </c>
      <c r="AB1617" s="11">
        <f t="shared" ref="AB1617:AE1617" si="7433">SUM(AB1613:AB1616)</f>
        <v>0</v>
      </c>
      <c r="AC1617" s="11">
        <f t="shared" si="7433"/>
        <v>0</v>
      </c>
      <c r="AD1617" s="11">
        <f t="shared" si="7433"/>
        <v>0</v>
      </c>
      <c r="AE1617" s="11">
        <f t="shared" si="7433"/>
        <v>0</v>
      </c>
      <c r="AF1617" s="25">
        <f>SUM(AF1613:AF1616)</f>
        <v>0</v>
      </c>
      <c r="AH1617" s="10">
        <f>SUM(AH1613:AH1616)</f>
        <v>0</v>
      </c>
      <c r="AI1617" s="11">
        <f t="shared" ref="AI1617:AL1617" si="7434">SUM(AI1613:AI1616)</f>
        <v>0</v>
      </c>
      <c r="AJ1617" s="11">
        <f t="shared" si="7434"/>
        <v>0</v>
      </c>
      <c r="AK1617" s="11">
        <f t="shared" si="7434"/>
        <v>0</v>
      </c>
      <c r="AL1617" s="11">
        <f t="shared" si="7434"/>
        <v>0</v>
      </c>
      <c r="AM1617" s="25">
        <f>SUM(AM1613:AM1616)</f>
        <v>0</v>
      </c>
      <c r="AO1617" s="10">
        <f>SUM(AO1613:AO1616)</f>
        <v>0</v>
      </c>
      <c r="AP1617" s="11">
        <f t="shared" ref="AP1617:AS1617" si="7435">SUM(AP1613:AP1616)</f>
        <v>0</v>
      </c>
      <c r="AQ1617" s="11">
        <f t="shared" si="7435"/>
        <v>0</v>
      </c>
      <c r="AR1617" s="11">
        <f t="shared" si="7435"/>
        <v>0</v>
      </c>
      <c r="AS1617" s="11">
        <f t="shared" si="7435"/>
        <v>0</v>
      </c>
      <c r="AT1617" s="25">
        <f>SUM(AT1613:AT1616)</f>
        <v>0</v>
      </c>
      <c r="AV1617" s="10">
        <f>SUM(AV1613:AV1616)</f>
        <v>0</v>
      </c>
      <c r="AW1617" s="11">
        <f t="shared" ref="AW1617:AZ1617" si="7436">SUM(AW1613:AW1616)</f>
        <v>0</v>
      </c>
      <c r="AX1617" s="11">
        <f t="shared" si="7436"/>
        <v>0</v>
      </c>
      <c r="AY1617" s="11">
        <f t="shared" si="7436"/>
        <v>0</v>
      </c>
      <c r="AZ1617" s="11">
        <f t="shared" si="7436"/>
        <v>0</v>
      </c>
      <c r="BA1617" s="25">
        <f>SUM(BA1613:BA1616)</f>
        <v>0</v>
      </c>
      <c r="BC1617" s="10">
        <f>SUM(BC1613:BC1616)</f>
        <v>0</v>
      </c>
      <c r="BD1617" s="11">
        <f t="shared" ref="BD1617:BG1617" si="7437">SUM(BD1613:BD1616)</f>
        <v>0</v>
      </c>
      <c r="BE1617" s="11">
        <f t="shared" si="7437"/>
        <v>0</v>
      </c>
      <c r="BF1617" s="11">
        <f t="shared" si="7437"/>
        <v>0</v>
      </c>
      <c r="BG1617" s="11">
        <f t="shared" si="7437"/>
        <v>0</v>
      </c>
      <c r="BH1617" s="25">
        <f>SUM(BH1613:BH1616)</f>
        <v>0</v>
      </c>
      <c r="BJ1617" s="10">
        <f>SUM(BJ1613:BJ1616)</f>
        <v>0</v>
      </c>
      <c r="BK1617" s="11">
        <f t="shared" ref="BK1617:BN1617" si="7438">SUM(BK1613:BK1616)</f>
        <v>0</v>
      </c>
      <c r="BL1617" s="11">
        <f t="shared" si="7438"/>
        <v>0</v>
      </c>
      <c r="BM1617" s="11">
        <f t="shared" si="7438"/>
        <v>0</v>
      </c>
      <c r="BN1617" s="11">
        <f t="shared" si="7438"/>
        <v>0</v>
      </c>
      <c r="BO1617" s="25">
        <f>SUM(BO1613:BO1616)</f>
        <v>0</v>
      </c>
      <c r="BQ1617" s="10">
        <f>SUM(BQ1613:BQ1616)</f>
        <v>0</v>
      </c>
      <c r="BR1617" s="11">
        <f t="shared" ref="BR1617:BU1617" si="7439">SUM(BR1613:BR1616)</f>
        <v>0</v>
      </c>
      <c r="BS1617" s="11">
        <f t="shared" si="7439"/>
        <v>0</v>
      </c>
      <c r="BT1617" s="11">
        <f t="shared" si="7439"/>
        <v>0</v>
      </c>
      <c r="BU1617" s="11">
        <f t="shared" si="7439"/>
        <v>0</v>
      </c>
      <c r="BV1617" s="25">
        <f>SUM(BV1613:BV1616)</f>
        <v>0</v>
      </c>
      <c r="BX1617" s="10">
        <f>SUM(BX1613:BX1616)</f>
        <v>0</v>
      </c>
      <c r="BY1617" s="11">
        <f t="shared" ref="BY1617:CB1617" si="7440">SUM(BY1613:BY1616)</f>
        <v>0</v>
      </c>
      <c r="BZ1617" s="11">
        <f t="shared" si="7440"/>
        <v>0</v>
      </c>
      <c r="CA1617" s="11">
        <f t="shared" si="7440"/>
        <v>0</v>
      </c>
      <c r="CB1617" s="11">
        <f t="shared" si="7440"/>
        <v>0</v>
      </c>
      <c r="CC1617" s="25">
        <f>SUM(CC1613:CC1616)</f>
        <v>0</v>
      </c>
      <c r="CE1617" s="62">
        <f t="shared" ref="CE1617:CJ1617" si="7441">SUM(CE1613:CE1616)</f>
        <v>0</v>
      </c>
      <c r="CF1617" s="63">
        <f t="shared" si="7441"/>
        <v>0</v>
      </c>
      <c r="CG1617" s="63">
        <f t="shared" si="7441"/>
        <v>0</v>
      </c>
      <c r="CH1617" s="63">
        <f t="shared" si="7441"/>
        <v>0</v>
      </c>
      <c r="CI1617" s="63">
        <f t="shared" si="7441"/>
        <v>0</v>
      </c>
      <c r="CJ1617" s="25">
        <f t="shared" si="7441"/>
        <v>0</v>
      </c>
      <c r="CL1617" s="10">
        <f>SUM(CL1613:CL1616)</f>
        <v>0</v>
      </c>
      <c r="CM1617" s="11">
        <f t="shared" ref="CM1617:CP1617" si="7442">SUM(CM1613:CM1616)</f>
        <v>0</v>
      </c>
      <c r="CN1617" s="11">
        <f t="shared" si="7442"/>
        <v>0</v>
      </c>
      <c r="CO1617" s="11">
        <f t="shared" si="7442"/>
        <v>0</v>
      </c>
      <c r="CP1617" s="11">
        <f t="shared" si="7442"/>
        <v>0</v>
      </c>
      <c r="CQ1617" s="25">
        <f>SUM(CQ1613:CQ1616)</f>
        <v>0</v>
      </c>
      <c r="CS1617" s="10">
        <f>SUM(CS1613:CS1616)</f>
        <v>0</v>
      </c>
      <c r="CT1617" s="11">
        <f t="shared" ref="CT1617:CW1617" si="7443">SUM(CT1613:CT1616)</f>
        <v>0</v>
      </c>
      <c r="CU1617" s="11">
        <f t="shared" si="7443"/>
        <v>0</v>
      </c>
      <c r="CV1617" s="11">
        <f t="shared" si="7443"/>
        <v>0</v>
      </c>
      <c r="CW1617" s="11">
        <f t="shared" si="7443"/>
        <v>0</v>
      </c>
      <c r="CX1617" s="25">
        <f>SUM(CX1613:CX1616)</f>
        <v>0</v>
      </c>
      <c r="CZ1617" s="10">
        <f>SUM(CZ1613:CZ1616)</f>
        <v>0</v>
      </c>
      <c r="DA1617" s="11">
        <f t="shared" ref="DA1617:DD1617" si="7444">SUM(DA1613:DA1616)</f>
        <v>0</v>
      </c>
      <c r="DB1617" s="11">
        <f t="shared" si="7444"/>
        <v>0</v>
      </c>
      <c r="DC1617" s="11">
        <f t="shared" si="7444"/>
        <v>0</v>
      </c>
      <c r="DD1617" s="11">
        <f t="shared" si="7444"/>
        <v>0</v>
      </c>
      <c r="DE1617" s="25">
        <f>SUM(DE1613:DE1616)</f>
        <v>0</v>
      </c>
    </row>
    <row r="1618" spans="3:109" ht="10.4" customHeight="1" thickBot="1"/>
    <row r="1619" spans="3:109">
      <c r="C1619" s="553">
        <v>2026</v>
      </c>
      <c r="E1619" s="1" t="s">
        <v>59</v>
      </c>
      <c r="F1619" s="21">
        <f>CE1613</f>
        <v>0</v>
      </c>
      <c r="G1619" s="22">
        <f t="shared" ref="G1619:G1622" si="7445">CF1613</f>
        <v>0</v>
      </c>
      <c r="H1619" s="22">
        <f t="shared" ref="H1619:H1622" si="7446">CG1613</f>
        <v>0</v>
      </c>
      <c r="I1619" s="22">
        <f t="shared" ref="I1619:I1622" si="7447">CH1613</f>
        <v>0</v>
      </c>
      <c r="J1619" s="22">
        <f t="shared" ref="J1619:J1622" si="7448">CI1613</f>
        <v>0</v>
      </c>
      <c r="K1619" s="4">
        <f>SUM(F1619:J1619)</f>
        <v>0</v>
      </c>
      <c r="M1619" s="2"/>
      <c r="N1619" s="3"/>
      <c r="O1619" s="3"/>
      <c r="P1619" s="3"/>
      <c r="Q1619" s="3"/>
      <c r="R1619" s="4">
        <f>SUM(M1619:Q1619)</f>
        <v>0</v>
      </c>
      <c r="T1619" s="2"/>
      <c r="U1619" s="3"/>
      <c r="V1619" s="3"/>
      <c r="W1619" s="3"/>
      <c r="X1619" s="3"/>
      <c r="Y1619" s="4">
        <f>SUM(T1619:X1619)</f>
        <v>0</v>
      </c>
      <c r="AA1619" s="2"/>
      <c r="AB1619" s="3"/>
      <c r="AC1619" s="3"/>
      <c r="AD1619" s="3"/>
      <c r="AE1619" s="3"/>
      <c r="AF1619" s="4">
        <f>SUM(AA1619:AE1619)</f>
        <v>0</v>
      </c>
      <c r="AH1619" s="2"/>
      <c r="AI1619" s="3"/>
      <c r="AJ1619" s="3"/>
      <c r="AK1619" s="3"/>
      <c r="AL1619" s="3"/>
      <c r="AM1619" s="4">
        <f>SUM(AH1619:AL1619)</f>
        <v>0</v>
      </c>
      <c r="AO1619" s="2"/>
      <c r="AP1619" s="3"/>
      <c r="AQ1619" s="3"/>
      <c r="AR1619" s="3"/>
      <c r="AS1619" s="3"/>
      <c r="AT1619" s="4">
        <f>SUM(AO1619:AS1619)</f>
        <v>0</v>
      </c>
      <c r="AV1619" s="2"/>
      <c r="AW1619" s="3"/>
      <c r="AX1619" s="3"/>
      <c r="AY1619" s="3"/>
      <c r="AZ1619" s="3"/>
      <c r="BA1619" s="4">
        <f>SUM(AV1619:AZ1619)</f>
        <v>0</v>
      </c>
      <c r="BC1619" s="2"/>
      <c r="BD1619" s="3"/>
      <c r="BE1619" s="3"/>
      <c r="BF1619" s="3"/>
      <c r="BG1619" s="3"/>
      <c r="BH1619" s="4">
        <f>SUM(BC1619:BG1619)</f>
        <v>0</v>
      </c>
      <c r="BJ1619" s="2"/>
      <c r="BK1619" s="3"/>
      <c r="BL1619" s="3"/>
      <c r="BM1619" s="3"/>
      <c r="BN1619" s="3"/>
      <c r="BO1619" s="4">
        <f>SUM(BJ1619:BN1619)</f>
        <v>0</v>
      </c>
      <c r="BQ1619" s="2"/>
      <c r="BR1619" s="3"/>
      <c r="BS1619" s="3"/>
      <c r="BT1619" s="3"/>
      <c r="BU1619" s="3"/>
      <c r="BV1619" s="4">
        <f>SUM(BQ1619:BU1619)</f>
        <v>0</v>
      </c>
      <c r="BX1619" s="2"/>
      <c r="BY1619" s="3"/>
      <c r="BZ1619" s="3"/>
      <c r="CA1619" s="3"/>
      <c r="CB1619" s="3"/>
      <c r="CC1619" s="4">
        <f>SUM(BX1619:CB1619)</f>
        <v>0</v>
      </c>
      <c r="CE1619" s="26">
        <f t="shared" ref="CE1619:CE1622" si="7449">F1619+M1619+T1619+AA1619+AH1619+AO1619+AV1619+BC1619+BJ1619+BQ1619+BX1619</f>
        <v>0</v>
      </c>
      <c r="CF1619" s="27">
        <f t="shared" ref="CF1619:CF1622" si="7450">G1619+N1619+U1619+AB1619+AI1619+AP1619+AW1619+BD1619+BK1619+BR1619+BY1619</f>
        <v>0</v>
      </c>
      <c r="CG1619" s="27">
        <f t="shared" ref="CG1619:CG1622" si="7451">H1619+O1619+V1619+AC1619+AJ1619+AQ1619+AX1619+BE1619+BL1619+BS1619+BZ1619</f>
        <v>0</v>
      </c>
      <c r="CH1619" s="27">
        <f t="shared" ref="CH1619:CH1622" si="7452">I1619+P1619+W1619+AD1619+AK1619+AR1619+AY1619+BF1619+BM1619+BT1619+CA1619</f>
        <v>0</v>
      </c>
      <c r="CI1619" s="27">
        <f t="shared" ref="CI1619:CI1622" si="7453">J1619+Q1619+X1619+AE1619+AL1619+AS1619+AZ1619+BG1619+BN1619+BU1619+CB1619</f>
        <v>0</v>
      </c>
      <c r="CJ1619" s="4">
        <f>SUM(CE1619:CI1619)</f>
        <v>0</v>
      </c>
      <c r="CL1619" s="2"/>
      <c r="CM1619" s="3"/>
      <c r="CN1619" s="3"/>
      <c r="CO1619" s="3"/>
      <c r="CP1619" s="3"/>
      <c r="CQ1619" s="4">
        <f>SUM(CL1619:CP1619)</f>
        <v>0</v>
      </c>
      <c r="CS1619" s="2"/>
      <c r="CT1619" s="3"/>
      <c r="CU1619" s="3"/>
      <c r="CV1619" s="3"/>
      <c r="CW1619" s="3"/>
      <c r="CX1619" s="4">
        <f>SUM(CS1619:CW1619)</f>
        <v>0</v>
      </c>
      <c r="CZ1619" s="2"/>
      <c r="DA1619" s="3"/>
      <c r="DB1619" s="3"/>
      <c r="DC1619" s="3"/>
      <c r="DD1619" s="3"/>
      <c r="DE1619" s="4">
        <f>SUM(CZ1619:DD1619)</f>
        <v>0</v>
      </c>
    </row>
    <row r="1620" spans="3:109">
      <c r="C1620" s="567"/>
      <c r="E1620" s="5" t="s">
        <v>60</v>
      </c>
      <c r="F1620" s="23">
        <f t="shared" ref="F1620:F1622" si="7454">CE1614</f>
        <v>0</v>
      </c>
      <c r="G1620" s="24">
        <f t="shared" si="7445"/>
        <v>0</v>
      </c>
      <c r="H1620" s="24">
        <f t="shared" si="7446"/>
        <v>0</v>
      </c>
      <c r="I1620" s="24">
        <f t="shared" si="7447"/>
        <v>0</v>
      </c>
      <c r="J1620" s="24">
        <f t="shared" si="7448"/>
        <v>0</v>
      </c>
      <c r="K1620" s="8">
        <f t="shared" ref="K1620:K1622" si="7455">SUM(F1620:J1620)</f>
        <v>0</v>
      </c>
      <c r="M1620" s="6"/>
      <c r="N1620" s="7"/>
      <c r="O1620" s="7"/>
      <c r="P1620" s="7"/>
      <c r="Q1620" s="7"/>
      <c r="R1620" s="8">
        <f t="shared" ref="R1620:R1622" si="7456">SUM(M1620:Q1620)</f>
        <v>0</v>
      </c>
      <c r="T1620" s="6"/>
      <c r="U1620" s="7"/>
      <c r="V1620" s="7"/>
      <c r="W1620" s="7"/>
      <c r="X1620" s="7"/>
      <c r="Y1620" s="8">
        <f t="shared" ref="Y1620:Y1622" si="7457">SUM(T1620:X1620)</f>
        <v>0</v>
      </c>
      <c r="AA1620" s="6"/>
      <c r="AB1620" s="7"/>
      <c r="AC1620" s="7"/>
      <c r="AD1620" s="7"/>
      <c r="AE1620" s="7"/>
      <c r="AF1620" s="8">
        <f>SUM(AA1620:AE1620)</f>
        <v>0</v>
      </c>
      <c r="AH1620" s="6"/>
      <c r="AI1620" s="7"/>
      <c r="AJ1620" s="7"/>
      <c r="AK1620" s="7"/>
      <c r="AL1620" s="7"/>
      <c r="AM1620" s="8">
        <f>SUM(AH1620:AL1620)</f>
        <v>0</v>
      </c>
      <c r="AO1620" s="6"/>
      <c r="AP1620" s="7"/>
      <c r="AQ1620" s="7"/>
      <c r="AR1620" s="7"/>
      <c r="AS1620" s="7"/>
      <c r="AT1620" s="8">
        <f>SUM(AO1620:AS1620)</f>
        <v>0</v>
      </c>
      <c r="AV1620" s="6"/>
      <c r="AW1620" s="7"/>
      <c r="AX1620" s="7"/>
      <c r="AY1620" s="7"/>
      <c r="AZ1620" s="7"/>
      <c r="BA1620" s="8">
        <f>SUM(AV1620:AZ1620)</f>
        <v>0</v>
      </c>
      <c r="BC1620" s="6"/>
      <c r="BD1620" s="7"/>
      <c r="BE1620" s="7"/>
      <c r="BF1620" s="7"/>
      <c r="BG1620" s="7"/>
      <c r="BH1620" s="8">
        <f>SUM(BC1620:BG1620)</f>
        <v>0</v>
      </c>
      <c r="BJ1620" s="6"/>
      <c r="BK1620" s="7"/>
      <c r="BL1620" s="7"/>
      <c r="BM1620" s="7"/>
      <c r="BN1620" s="7"/>
      <c r="BO1620" s="8">
        <f>SUM(BJ1620:BN1620)</f>
        <v>0</v>
      </c>
      <c r="BQ1620" s="6"/>
      <c r="BR1620" s="7"/>
      <c r="BS1620" s="7"/>
      <c r="BT1620" s="7"/>
      <c r="BU1620" s="7"/>
      <c r="BV1620" s="8">
        <f>SUM(BQ1620:BU1620)</f>
        <v>0</v>
      </c>
      <c r="BX1620" s="6"/>
      <c r="BY1620" s="7"/>
      <c r="BZ1620" s="7"/>
      <c r="CA1620" s="7"/>
      <c r="CB1620" s="7"/>
      <c r="CC1620" s="8">
        <f>SUM(BX1620:CB1620)</f>
        <v>0</v>
      </c>
      <c r="CE1620" s="28">
        <f t="shared" si="7449"/>
        <v>0</v>
      </c>
      <c r="CF1620" s="29">
        <f t="shared" si="7450"/>
        <v>0</v>
      </c>
      <c r="CG1620" s="29">
        <f t="shared" si="7451"/>
        <v>0</v>
      </c>
      <c r="CH1620" s="29">
        <f t="shared" si="7452"/>
        <v>0</v>
      </c>
      <c r="CI1620" s="29">
        <f t="shared" si="7453"/>
        <v>0</v>
      </c>
      <c r="CJ1620" s="8">
        <f>SUM(CE1620:CI1620)</f>
        <v>0</v>
      </c>
      <c r="CL1620" s="6"/>
      <c r="CM1620" s="7"/>
      <c r="CN1620" s="7"/>
      <c r="CO1620" s="7"/>
      <c r="CP1620" s="7"/>
      <c r="CQ1620" s="8">
        <f>SUM(CL1620:CP1620)</f>
        <v>0</v>
      </c>
      <c r="CS1620" s="6"/>
      <c r="CT1620" s="7"/>
      <c r="CU1620" s="7"/>
      <c r="CV1620" s="7"/>
      <c r="CW1620" s="7"/>
      <c r="CX1620" s="8">
        <f t="shared" ref="CX1620:CX1622" si="7458">SUM(CS1620:CW1620)</f>
        <v>0</v>
      </c>
      <c r="CZ1620" s="6"/>
      <c r="DA1620" s="7"/>
      <c r="DB1620" s="7"/>
      <c r="DC1620" s="7"/>
      <c r="DD1620" s="7"/>
      <c r="DE1620" s="8">
        <f t="shared" ref="DE1620:DE1622" si="7459">SUM(CZ1620:DD1620)</f>
        <v>0</v>
      </c>
    </row>
    <row r="1621" spans="3:109">
      <c r="C1621" s="567"/>
      <c r="E1621" s="5" t="s">
        <v>61</v>
      </c>
      <c r="F1621" s="23">
        <f t="shared" si="7454"/>
        <v>0</v>
      </c>
      <c r="G1621" s="24">
        <f t="shared" si="7445"/>
        <v>0</v>
      </c>
      <c r="H1621" s="24">
        <f t="shared" si="7446"/>
        <v>0</v>
      </c>
      <c r="I1621" s="24">
        <f t="shared" si="7447"/>
        <v>0</v>
      </c>
      <c r="J1621" s="24">
        <f t="shared" si="7448"/>
        <v>0</v>
      </c>
      <c r="K1621" s="8">
        <f t="shared" si="7455"/>
        <v>0</v>
      </c>
      <c r="M1621" s="6"/>
      <c r="N1621" s="7"/>
      <c r="O1621" s="7"/>
      <c r="P1621" s="7"/>
      <c r="Q1621" s="7"/>
      <c r="R1621" s="8">
        <f t="shared" si="7456"/>
        <v>0</v>
      </c>
      <c r="T1621" s="6"/>
      <c r="U1621" s="7"/>
      <c r="V1621" s="7"/>
      <c r="W1621" s="7"/>
      <c r="X1621" s="7"/>
      <c r="Y1621" s="8">
        <f t="shared" si="7457"/>
        <v>0</v>
      </c>
      <c r="AA1621" s="6"/>
      <c r="AB1621" s="7"/>
      <c r="AC1621" s="7"/>
      <c r="AD1621" s="7"/>
      <c r="AE1621" s="7"/>
      <c r="AF1621" s="8">
        <f>SUM(AA1621:AE1621)</f>
        <v>0</v>
      </c>
      <c r="AH1621" s="6"/>
      <c r="AI1621" s="7"/>
      <c r="AJ1621" s="7"/>
      <c r="AK1621" s="7"/>
      <c r="AL1621" s="7"/>
      <c r="AM1621" s="8">
        <f>SUM(AH1621:AL1621)</f>
        <v>0</v>
      </c>
      <c r="AO1621" s="6"/>
      <c r="AP1621" s="7"/>
      <c r="AQ1621" s="7"/>
      <c r="AR1621" s="7"/>
      <c r="AS1621" s="7"/>
      <c r="AT1621" s="8">
        <f>SUM(AO1621:AS1621)</f>
        <v>0</v>
      </c>
      <c r="AV1621" s="6"/>
      <c r="AW1621" s="7"/>
      <c r="AX1621" s="7"/>
      <c r="AY1621" s="7"/>
      <c r="AZ1621" s="7"/>
      <c r="BA1621" s="8">
        <f>SUM(AV1621:AZ1621)</f>
        <v>0</v>
      </c>
      <c r="BC1621" s="6"/>
      <c r="BD1621" s="7"/>
      <c r="BE1621" s="7"/>
      <c r="BF1621" s="7"/>
      <c r="BG1621" s="7"/>
      <c r="BH1621" s="8">
        <f>SUM(BC1621:BG1621)</f>
        <v>0</v>
      </c>
      <c r="BJ1621" s="6"/>
      <c r="BK1621" s="7"/>
      <c r="BL1621" s="7"/>
      <c r="BM1621" s="7"/>
      <c r="BN1621" s="7"/>
      <c r="BO1621" s="8">
        <f>SUM(BJ1621:BN1621)</f>
        <v>0</v>
      </c>
      <c r="BQ1621" s="6"/>
      <c r="BR1621" s="7"/>
      <c r="BS1621" s="7"/>
      <c r="BT1621" s="7"/>
      <c r="BU1621" s="7"/>
      <c r="BV1621" s="8">
        <f>SUM(BQ1621:BU1621)</f>
        <v>0</v>
      </c>
      <c r="BX1621" s="6"/>
      <c r="BY1621" s="7"/>
      <c r="BZ1621" s="7"/>
      <c r="CA1621" s="7"/>
      <c r="CB1621" s="7"/>
      <c r="CC1621" s="8">
        <f>SUM(BX1621:CB1621)</f>
        <v>0</v>
      </c>
      <c r="CE1621" s="28">
        <f t="shared" si="7449"/>
        <v>0</v>
      </c>
      <c r="CF1621" s="29">
        <f t="shared" si="7450"/>
        <v>0</v>
      </c>
      <c r="CG1621" s="29">
        <f t="shared" si="7451"/>
        <v>0</v>
      </c>
      <c r="CH1621" s="29">
        <f t="shared" si="7452"/>
        <v>0</v>
      </c>
      <c r="CI1621" s="29">
        <f t="shared" si="7453"/>
        <v>0</v>
      </c>
      <c r="CJ1621" s="8">
        <f>SUM(CE1621:CI1621)</f>
        <v>0</v>
      </c>
      <c r="CL1621" s="6"/>
      <c r="CM1621" s="7"/>
      <c r="CN1621" s="7"/>
      <c r="CO1621" s="7"/>
      <c r="CP1621" s="7"/>
      <c r="CQ1621" s="8">
        <f>SUM(CL1621:CP1621)</f>
        <v>0</v>
      </c>
      <c r="CS1621" s="6"/>
      <c r="CT1621" s="7"/>
      <c r="CU1621" s="7"/>
      <c r="CV1621" s="7"/>
      <c r="CW1621" s="7"/>
      <c r="CX1621" s="8">
        <f t="shared" si="7458"/>
        <v>0</v>
      </c>
      <c r="CZ1621" s="6"/>
      <c r="DA1621" s="7"/>
      <c r="DB1621" s="7"/>
      <c r="DC1621" s="7"/>
      <c r="DD1621" s="7"/>
      <c r="DE1621" s="8">
        <f t="shared" si="7459"/>
        <v>0</v>
      </c>
    </row>
    <row r="1622" spans="3:109" ht="14" thickBot="1">
      <c r="C1622" s="567"/>
      <c r="E1622" s="5" t="s">
        <v>62</v>
      </c>
      <c r="F1622" s="23">
        <f t="shared" si="7454"/>
        <v>0</v>
      </c>
      <c r="G1622" s="24">
        <f t="shared" si="7445"/>
        <v>0</v>
      </c>
      <c r="H1622" s="24">
        <f t="shared" si="7446"/>
        <v>0</v>
      </c>
      <c r="I1622" s="24">
        <f t="shared" si="7447"/>
        <v>0</v>
      </c>
      <c r="J1622" s="24">
        <f t="shared" si="7448"/>
        <v>0</v>
      </c>
      <c r="K1622" s="8">
        <f t="shared" si="7455"/>
        <v>0</v>
      </c>
      <c r="M1622" s="6"/>
      <c r="N1622" s="7"/>
      <c r="O1622" s="7"/>
      <c r="P1622" s="7"/>
      <c r="Q1622" s="7"/>
      <c r="R1622" s="8">
        <f t="shared" si="7456"/>
        <v>0</v>
      </c>
      <c r="T1622" s="6"/>
      <c r="U1622" s="7"/>
      <c r="V1622" s="7"/>
      <c r="W1622" s="7"/>
      <c r="X1622" s="7"/>
      <c r="Y1622" s="8">
        <f t="shared" si="7457"/>
        <v>0</v>
      </c>
      <c r="AA1622" s="6"/>
      <c r="AB1622" s="7"/>
      <c r="AC1622" s="7"/>
      <c r="AD1622" s="7"/>
      <c r="AE1622" s="7"/>
      <c r="AF1622" s="8">
        <f>SUM(AA1622:AE1622)</f>
        <v>0</v>
      </c>
      <c r="AH1622" s="6"/>
      <c r="AI1622" s="7"/>
      <c r="AJ1622" s="7"/>
      <c r="AK1622" s="7"/>
      <c r="AL1622" s="7"/>
      <c r="AM1622" s="8">
        <f>SUM(AH1622:AL1622)</f>
        <v>0</v>
      </c>
      <c r="AO1622" s="6"/>
      <c r="AP1622" s="7"/>
      <c r="AQ1622" s="7"/>
      <c r="AR1622" s="7"/>
      <c r="AS1622" s="7"/>
      <c r="AT1622" s="8">
        <f>SUM(AO1622:AS1622)</f>
        <v>0</v>
      </c>
      <c r="AV1622" s="6"/>
      <c r="AW1622" s="7"/>
      <c r="AX1622" s="7"/>
      <c r="AY1622" s="7"/>
      <c r="AZ1622" s="7"/>
      <c r="BA1622" s="8">
        <f>SUM(AV1622:AZ1622)</f>
        <v>0</v>
      </c>
      <c r="BC1622" s="6"/>
      <c r="BD1622" s="7"/>
      <c r="BE1622" s="7"/>
      <c r="BF1622" s="7"/>
      <c r="BG1622" s="7"/>
      <c r="BH1622" s="8">
        <f>SUM(BC1622:BG1622)</f>
        <v>0</v>
      </c>
      <c r="BJ1622" s="6"/>
      <c r="BK1622" s="7"/>
      <c r="BL1622" s="7"/>
      <c r="BM1622" s="7"/>
      <c r="BN1622" s="7"/>
      <c r="BO1622" s="8">
        <f>SUM(BJ1622:BN1622)</f>
        <v>0</v>
      </c>
      <c r="BQ1622" s="6"/>
      <c r="BR1622" s="7"/>
      <c r="BS1622" s="7"/>
      <c r="BT1622" s="7"/>
      <c r="BU1622" s="7"/>
      <c r="BV1622" s="8">
        <f>SUM(BQ1622:BU1622)</f>
        <v>0</v>
      </c>
      <c r="BX1622" s="6"/>
      <c r="BY1622" s="7"/>
      <c r="BZ1622" s="7"/>
      <c r="CA1622" s="7"/>
      <c r="CB1622" s="7"/>
      <c r="CC1622" s="8">
        <f>SUM(BX1622:CB1622)</f>
        <v>0</v>
      </c>
      <c r="CE1622" s="493">
        <f t="shared" si="7449"/>
        <v>0</v>
      </c>
      <c r="CF1622" s="494">
        <f t="shared" si="7450"/>
        <v>0</v>
      </c>
      <c r="CG1622" s="494">
        <f t="shared" si="7451"/>
        <v>0</v>
      </c>
      <c r="CH1622" s="494">
        <f t="shared" si="7452"/>
        <v>0</v>
      </c>
      <c r="CI1622" s="494">
        <f t="shared" si="7453"/>
        <v>0</v>
      </c>
      <c r="CJ1622" s="495">
        <f>SUM(CE1622:CI1622)</f>
        <v>0</v>
      </c>
      <c r="CL1622" s="6"/>
      <c r="CM1622" s="7"/>
      <c r="CN1622" s="7"/>
      <c r="CO1622" s="7"/>
      <c r="CP1622" s="7"/>
      <c r="CQ1622" s="8">
        <f>SUM(CL1622:CP1622)</f>
        <v>0</v>
      </c>
      <c r="CS1622" s="6"/>
      <c r="CT1622" s="7"/>
      <c r="CU1622" s="7"/>
      <c r="CV1622" s="7"/>
      <c r="CW1622" s="7"/>
      <c r="CX1622" s="8">
        <f t="shared" si="7458"/>
        <v>0</v>
      </c>
      <c r="CZ1622" s="6"/>
      <c r="DA1622" s="7"/>
      <c r="DB1622" s="7"/>
      <c r="DC1622" s="7"/>
      <c r="DD1622" s="7"/>
      <c r="DE1622" s="8">
        <f t="shared" si="7459"/>
        <v>0</v>
      </c>
    </row>
    <row r="1623" spans="3:109" ht="14" thickBot="1">
      <c r="C1623" s="554"/>
      <c r="E1623" s="9"/>
      <c r="F1623" s="10">
        <f>SUM(F1619:F1622)</f>
        <v>0</v>
      </c>
      <c r="G1623" s="11">
        <f t="shared" ref="G1623:J1623" si="7460">SUM(G1619:G1622)</f>
        <v>0</v>
      </c>
      <c r="H1623" s="11">
        <f t="shared" si="7460"/>
        <v>0</v>
      </c>
      <c r="I1623" s="11">
        <f t="shared" si="7460"/>
        <v>0</v>
      </c>
      <c r="J1623" s="11">
        <f t="shared" si="7460"/>
        <v>0</v>
      </c>
      <c r="K1623" s="25">
        <f>SUM(K1619:K1622)</f>
        <v>0</v>
      </c>
      <c r="M1623" s="10">
        <f>SUM(M1619:M1622)</f>
        <v>0</v>
      </c>
      <c r="N1623" s="11">
        <f t="shared" ref="N1623:Q1623" si="7461">SUM(N1619:N1622)</f>
        <v>0</v>
      </c>
      <c r="O1623" s="11">
        <f t="shared" si="7461"/>
        <v>0</v>
      </c>
      <c r="P1623" s="11">
        <f t="shared" si="7461"/>
        <v>0</v>
      </c>
      <c r="Q1623" s="11">
        <f t="shared" si="7461"/>
        <v>0</v>
      </c>
      <c r="R1623" s="25">
        <f>SUM(R1619:R1622)</f>
        <v>0</v>
      </c>
      <c r="T1623" s="10">
        <f>SUM(T1619:T1622)</f>
        <v>0</v>
      </c>
      <c r="U1623" s="11">
        <f t="shared" ref="U1623:X1623" si="7462">SUM(U1619:U1622)</f>
        <v>0</v>
      </c>
      <c r="V1623" s="11">
        <f t="shared" si="7462"/>
        <v>0</v>
      </c>
      <c r="W1623" s="11">
        <f t="shared" si="7462"/>
        <v>0</v>
      </c>
      <c r="X1623" s="11">
        <f t="shared" si="7462"/>
        <v>0</v>
      </c>
      <c r="Y1623" s="25">
        <f>SUM(Y1619:Y1622)</f>
        <v>0</v>
      </c>
      <c r="AA1623" s="10">
        <f>SUM(AA1619:AA1622)</f>
        <v>0</v>
      </c>
      <c r="AB1623" s="11">
        <f t="shared" ref="AB1623:AE1623" si="7463">SUM(AB1619:AB1622)</f>
        <v>0</v>
      </c>
      <c r="AC1623" s="11">
        <f t="shared" si="7463"/>
        <v>0</v>
      </c>
      <c r="AD1623" s="11">
        <f t="shared" si="7463"/>
        <v>0</v>
      </c>
      <c r="AE1623" s="11">
        <f t="shared" si="7463"/>
        <v>0</v>
      </c>
      <c r="AF1623" s="25">
        <f>SUM(AF1619:AF1622)</f>
        <v>0</v>
      </c>
      <c r="AH1623" s="10">
        <f>SUM(AH1619:AH1622)</f>
        <v>0</v>
      </c>
      <c r="AI1623" s="11">
        <f t="shared" ref="AI1623:AL1623" si="7464">SUM(AI1619:AI1622)</f>
        <v>0</v>
      </c>
      <c r="AJ1623" s="11">
        <f t="shared" si="7464"/>
        <v>0</v>
      </c>
      <c r="AK1623" s="11">
        <f t="shared" si="7464"/>
        <v>0</v>
      </c>
      <c r="AL1623" s="11">
        <f t="shared" si="7464"/>
        <v>0</v>
      </c>
      <c r="AM1623" s="25">
        <f>SUM(AM1619:AM1622)</f>
        <v>0</v>
      </c>
      <c r="AO1623" s="10">
        <f>SUM(AO1619:AO1622)</f>
        <v>0</v>
      </c>
      <c r="AP1623" s="11">
        <f t="shared" ref="AP1623:AS1623" si="7465">SUM(AP1619:AP1622)</f>
        <v>0</v>
      </c>
      <c r="AQ1623" s="11">
        <f t="shared" si="7465"/>
        <v>0</v>
      </c>
      <c r="AR1623" s="11">
        <f t="shared" si="7465"/>
        <v>0</v>
      </c>
      <c r="AS1623" s="11">
        <f t="shared" si="7465"/>
        <v>0</v>
      </c>
      <c r="AT1623" s="25">
        <f>SUM(AT1619:AT1622)</f>
        <v>0</v>
      </c>
      <c r="AV1623" s="10">
        <f>SUM(AV1619:AV1622)</f>
        <v>0</v>
      </c>
      <c r="AW1623" s="11">
        <f t="shared" ref="AW1623:AZ1623" si="7466">SUM(AW1619:AW1622)</f>
        <v>0</v>
      </c>
      <c r="AX1623" s="11">
        <f t="shared" si="7466"/>
        <v>0</v>
      </c>
      <c r="AY1623" s="11">
        <f t="shared" si="7466"/>
        <v>0</v>
      </c>
      <c r="AZ1623" s="11">
        <f t="shared" si="7466"/>
        <v>0</v>
      </c>
      <c r="BA1623" s="25">
        <f>SUM(BA1619:BA1622)</f>
        <v>0</v>
      </c>
      <c r="BC1623" s="10">
        <f>SUM(BC1619:BC1622)</f>
        <v>0</v>
      </c>
      <c r="BD1623" s="11">
        <f t="shared" ref="BD1623:BG1623" si="7467">SUM(BD1619:BD1622)</f>
        <v>0</v>
      </c>
      <c r="BE1623" s="11">
        <f t="shared" si="7467"/>
        <v>0</v>
      </c>
      <c r="BF1623" s="11">
        <f t="shared" si="7467"/>
        <v>0</v>
      </c>
      <c r="BG1623" s="11">
        <f t="shared" si="7467"/>
        <v>0</v>
      </c>
      <c r="BH1623" s="25">
        <f>SUM(BH1619:BH1622)</f>
        <v>0</v>
      </c>
      <c r="BJ1623" s="10">
        <f>SUM(BJ1619:BJ1622)</f>
        <v>0</v>
      </c>
      <c r="BK1623" s="11">
        <f t="shared" ref="BK1623:BN1623" si="7468">SUM(BK1619:BK1622)</f>
        <v>0</v>
      </c>
      <c r="BL1623" s="11">
        <f t="shared" si="7468"/>
        <v>0</v>
      </c>
      <c r="BM1623" s="11">
        <f t="shared" si="7468"/>
        <v>0</v>
      </c>
      <c r="BN1623" s="11">
        <f t="shared" si="7468"/>
        <v>0</v>
      </c>
      <c r="BO1623" s="25">
        <f>SUM(BO1619:BO1622)</f>
        <v>0</v>
      </c>
      <c r="BQ1623" s="10">
        <f>SUM(BQ1619:BQ1622)</f>
        <v>0</v>
      </c>
      <c r="BR1623" s="11">
        <f t="shared" ref="BR1623:BU1623" si="7469">SUM(BR1619:BR1622)</f>
        <v>0</v>
      </c>
      <c r="BS1623" s="11">
        <f t="shared" si="7469"/>
        <v>0</v>
      </c>
      <c r="BT1623" s="11">
        <f t="shared" si="7469"/>
        <v>0</v>
      </c>
      <c r="BU1623" s="11">
        <f t="shared" si="7469"/>
        <v>0</v>
      </c>
      <c r="BV1623" s="25">
        <f>SUM(BV1619:BV1622)</f>
        <v>0</v>
      </c>
      <c r="BX1623" s="10">
        <f>SUM(BX1619:BX1622)</f>
        <v>0</v>
      </c>
      <c r="BY1623" s="11">
        <f t="shared" ref="BY1623:CB1623" si="7470">SUM(BY1619:BY1622)</f>
        <v>0</v>
      </c>
      <c r="BZ1623" s="11">
        <f t="shared" si="7470"/>
        <v>0</v>
      </c>
      <c r="CA1623" s="11">
        <f t="shared" si="7470"/>
        <v>0</v>
      </c>
      <c r="CB1623" s="11">
        <f t="shared" si="7470"/>
        <v>0</v>
      </c>
      <c r="CC1623" s="25">
        <f>SUM(CC1619:CC1622)</f>
        <v>0</v>
      </c>
      <c r="CE1623" s="62">
        <f t="shared" ref="CE1623:CJ1623" si="7471">SUM(CE1619:CE1622)</f>
        <v>0</v>
      </c>
      <c r="CF1623" s="63">
        <f t="shared" si="7471"/>
        <v>0</v>
      </c>
      <c r="CG1623" s="63">
        <f t="shared" si="7471"/>
        <v>0</v>
      </c>
      <c r="CH1623" s="63">
        <f t="shared" si="7471"/>
        <v>0</v>
      </c>
      <c r="CI1623" s="63">
        <f t="shared" si="7471"/>
        <v>0</v>
      </c>
      <c r="CJ1623" s="25">
        <f t="shared" si="7471"/>
        <v>0</v>
      </c>
      <c r="CL1623" s="10">
        <f>SUM(CL1619:CL1622)</f>
        <v>0</v>
      </c>
      <c r="CM1623" s="11">
        <f t="shared" ref="CM1623:CP1623" si="7472">SUM(CM1619:CM1622)</f>
        <v>0</v>
      </c>
      <c r="CN1623" s="11">
        <f t="shared" si="7472"/>
        <v>0</v>
      </c>
      <c r="CO1623" s="11">
        <f t="shared" si="7472"/>
        <v>0</v>
      </c>
      <c r="CP1623" s="11">
        <f t="shared" si="7472"/>
        <v>0</v>
      </c>
      <c r="CQ1623" s="25">
        <f>SUM(CQ1619:CQ1622)</f>
        <v>0</v>
      </c>
      <c r="CS1623" s="10">
        <f>SUM(CS1619:CS1622)</f>
        <v>0</v>
      </c>
      <c r="CT1623" s="11">
        <f t="shared" ref="CT1623:CW1623" si="7473">SUM(CT1619:CT1622)</f>
        <v>0</v>
      </c>
      <c r="CU1623" s="11">
        <f t="shared" si="7473"/>
        <v>0</v>
      </c>
      <c r="CV1623" s="11">
        <f t="shared" si="7473"/>
        <v>0</v>
      </c>
      <c r="CW1623" s="11">
        <f t="shared" si="7473"/>
        <v>0</v>
      </c>
      <c r="CX1623" s="25">
        <f>SUM(CX1619:CX1622)</f>
        <v>0</v>
      </c>
      <c r="CZ1623" s="10">
        <f>SUM(CZ1619:CZ1622)</f>
        <v>0</v>
      </c>
      <c r="DA1623" s="11">
        <f t="shared" ref="DA1623:DD1623" si="7474">SUM(DA1619:DA1622)</f>
        <v>0</v>
      </c>
      <c r="DB1623" s="11">
        <f t="shared" si="7474"/>
        <v>0</v>
      </c>
      <c r="DC1623" s="11">
        <f t="shared" si="7474"/>
        <v>0</v>
      </c>
      <c r="DD1623" s="11">
        <f t="shared" si="7474"/>
        <v>0</v>
      </c>
      <c r="DE1623" s="25">
        <f>SUM(DE1619:DE1622)</f>
        <v>0</v>
      </c>
    </row>
    <row r="1624" spans="3:109" ht="10.4" customHeight="1" thickBot="1"/>
    <row r="1625" spans="3:109">
      <c r="C1625" s="553">
        <v>2027</v>
      </c>
      <c r="E1625" s="1" t="s">
        <v>59</v>
      </c>
      <c r="F1625" s="21">
        <f>CE1619</f>
        <v>0</v>
      </c>
      <c r="G1625" s="22">
        <f t="shared" ref="G1625:G1628" si="7475">CF1619</f>
        <v>0</v>
      </c>
      <c r="H1625" s="22">
        <f t="shared" ref="H1625:H1628" si="7476">CG1619</f>
        <v>0</v>
      </c>
      <c r="I1625" s="22">
        <f t="shared" ref="I1625:I1628" si="7477">CH1619</f>
        <v>0</v>
      </c>
      <c r="J1625" s="22">
        <f t="shared" ref="J1625:J1628" si="7478">CI1619</f>
        <v>0</v>
      </c>
      <c r="K1625" s="4">
        <f>SUM(F1625:J1625)</f>
        <v>0</v>
      </c>
      <c r="M1625" s="2"/>
      <c r="N1625" s="3"/>
      <c r="O1625" s="3"/>
      <c r="P1625" s="3"/>
      <c r="Q1625" s="3"/>
      <c r="R1625" s="4">
        <f>SUM(M1625:Q1625)</f>
        <v>0</v>
      </c>
      <c r="T1625" s="2"/>
      <c r="U1625" s="3"/>
      <c r="V1625" s="3"/>
      <c r="W1625" s="3"/>
      <c r="X1625" s="3"/>
      <c r="Y1625" s="4">
        <f>SUM(T1625:X1625)</f>
        <v>0</v>
      </c>
      <c r="AA1625" s="2"/>
      <c r="AB1625" s="3"/>
      <c r="AC1625" s="3"/>
      <c r="AD1625" s="3"/>
      <c r="AE1625" s="3"/>
      <c r="AF1625" s="4">
        <f>SUM(AA1625:AE1625)</f>
        <v>0</v>
      </c>
      <c r="AH1625" s="2"/>
      <c r="AI1625" s="3"/>
      <c r="AJ1625" s="3"/>
      <c r="AK1625" s="3"/>
      <c r="AL1625" s="3"/>
      <c r="AM1625" s="4">
        <f>SUM(AH1625:AL1625)</f>
        <v>0</v>
      </c>
      <c r="AO1625" s="2"/>
      <c r="AP1625" s="3"/>
      <c r="AQ1625" s="3"/>
      <c r="AR1625" s="3"/>
      <c r="AS1625" s="3"/>
      <c r="AT1625" s="4">
        <f>SUM(AO1625:AS1625)</f>
        <v>0</v>
      </c>
      <c r="AV1625" s="2"/>
      <c r="AW1625" s="3"/>
      <c r="AX1625" s="3"/>
      <c r="AY1625" s="3"/>
      <c r="AZ1625" s="3"/>
      <c r="BA1625" s="4">
        <f>SUM(AV1625:AZ1625)</f>
        <v>0</v>
      </c>
      <c r="BC1625" s="2"/>
      <c r="BD1625" s="3"/>
      <c r="BE1625" s="3"/>
      <c r="BF1625" s="3"/>
      <c r="BG1625" s="3"/>
      <c r="BH1625" s="4">
        <f>SUM(BC1625:BG1625)</f>
        <v>0</v>
      </c>
      <c r="BJ1625" s="2"/>
      <c r="BK1625" s="3"/>
      <c r="BL1625" s="3"/>
      <c r="BM1625" s="3"/>
      <c r="BN1625" s="3"/>
      <c r="BO1625" s="4">
        <f>SUM(BJ1625:BN1625)</f>
        <v>0</v>
      </c>
      <c r="BQ1625" s="2"/>
      <c r="BR1625" s="3"/>
      <c r="BS1625" s="3"/>
      <c r="BT1625" s="3"/>
      <c r="BU1625" s="3"/>
      <c r="BV1625" s="4">
        <f>SUM(BQ1625:BU1625)</f>
        <v>0</v>
      </c>
      <c r="BX1625" s="2"/>
      <c r="BY1625" s="3"/>
      <c r="BZ1625" s="3"/>
      <c r="CA1625" s="3"/>
      <c r="CB1625" s="3"/>
      <c r="CC1625" s="4">
        <f>SUM(BX1625:CB1625)</f>
        <v>0</v>
      </c>
      <c r="CE1625" s="26">
        <f t="shared" ref="CE1625:CE1628" si="7479">F1625+M1625+T1625+AA1625+AH1625+AO1625+AV1625+BC1625+BJ1625+BQ1625+BX1625</f>
        <v>0</v>
      </c>
      <c r="CF1625" s="27">
        <f t="shared" ref="CF1625:CF1628" si="7480">G1625+N1625+U1625+AB1625+AI1625+AP1625+AW1625+BD1625+BK1625+BR1625+BY1625</f>
        <v>0</v>
      </c>
      <c r="CG1625" s="27">
        <f t="shared" ref="CG1625:CG1628" si="7481">H1625+O1625+V1625+AC1625+AJ1625+AQ1625+AX1625+BE1625+BL1625+BS1625+BZ1625</f>
        <v>0</v>
      </c>
      <c r="CH1625" s="27">
        <f t="shared" ref="CH1625:CH1628" si="7482">I1625+P1625+W1625+AD1625+AK1625+AR1625+AY1625+BF1625+BM1625+BT1625+CA1625</f>
        <v>0</v>
      </c>
      <c r="CI1625" s="27">
        <f t="shared" ref="CI1625:CI1628" si="7483">J1625+Q1625+X1625+AE1625+AL1625+AS1625+AZ1625+BG1625+BN1625+BU1625+CB1625</f>
        <v>0</v>
      </c>
      <c r="CJ1625" s="4">
        <f>SUM(CE1625:CI1625)</f>
        <v>0</v>
      </c>
      <c r="CL1625" s="2"/>
      <c r="CM1625" s="3"/>
      <c r="CN1625" s="3"/>
      <c r="CO1625" s="3"/>
      <c r="CP1625" s="3"/>
      <c r="CQ1625" s="4">
        <f>SUM(CL1625:CP1625)</f>
        <v>0</v>
      </c>
      <c r="CS1625" s="2"/>
      <c r="CT1625" s="3"/>
      <c r="CU1625" s="3"/>
      <c r="CV1625" s="3"/>
      <c r="CW1625" s="3"/>
      <c r="CX1625" s="4">
        <f>SUM(CS1625:CW1625)</f>
        <v>0</v>
      </c>
      <c r="CZ1625" s="2"/>
      <c r="DA1625" s="3"/>
      <c r="DB1625" s="3"/>
      <c r="DC1625" s="3"/>
      <c r="DD1625" s="3"/>
      <c r="DE1625" s="4">
        <f>SUM(CZ1625:DD1625)</f>
        <v>0</v>
      </c>
    </row>
    <row r="1626" spans="3:109">
      <c r="C1626" s="567"/>
      <c r="E1626" s="5" t="s">
        <v>60</v>
      </c>
      <c r="F1626" s="23">
        <f t="shared" ref="F1626:F1628" si="7484">CE1620</f>
        <v>0</v>
      </c>
      <c r="G1626" s="24">
        <f t="shared" si="7475"/>
        <v>0</v>
      </c>
      <c r="H1626" s="24">
        <f t="shared" si="7476"/>
        <v>0</v>
      </c>
      <c r="I1626" s="24">
        <f t="shared" si="7477"/>
        <v>0</v>
      </c>
      <c r="J1626" s="24">
        <f t="shared" si="7478"/>
        <v>0</v>
      </c>
      <c r="K1626" s="8">
        <f t="shared" ref="K1626:K1628" si="7485">SUM(F1626:J1626)</f>
        <v>0</v>
      </c>
      <c r="M1626" s="6"/>
      <c r="N1626" s="7"/>
      <c r="O1626" s="7"/>
      <c r="P1626" s="7"/>
      <c r="Q1626" s="7"/>
      <c r="R1626" s="8">
        <f t="shared" ref="R1626:R1628" si="7486">SUM(M1626:Q1626)</f>
        <v>0</v>
      </c>
      <c r="T1626" s="6"/>
      <c r="U1626" s="7"/>
      <c r="V1626" s="7"/>
      <c r="W1626" s="7"/>
      <c r="X1626" s="7"/>
      <c r="Y1626" s="8">
        <f t="shared" ref="Y1626:Y1628" si="7487">SUM(T1626:X1626)</f>
        <v>0</v>
      </c>
      <c r="AA1626" s="6"/>
      <c r="AB1626" s="7"/>
      <c r="AC1626" s="7"/>
      <c r="AD1626" s="7"/>
      <c r="AE1626" s="7"/>
      <c r="AF1626" s="8">
        <f>SUM(AA1626:AE1626)</f>
        <v>0</v>
      </c>
      <c r="AH1626" s="6"/>
      <c r="AI1626" s="7"/>
      <c r="AJ1626" s="7"/>
      <c r="AK1626" s="7"/>
      <c r="AL1626" s="7"/>
      <c r="AM1626" s="8">
        <f>SUM(AH1626:AL1626)</f>
        <v>0</v>
      </c>
      <c r="AO1626" s="6"/>
      <c r="AP1626" s="7"/>
      <c r="AQ1626" s="7"/>
      <c r="AR1626" s="7"/>
      <c r="AS1626" s="7"/>
      <c r="AT1626" s="8">
        <f>SUM(AO1626:AS1626)</f>
        <v>0</v>
      </c>
      <c r="AV1626" s="6"/>
      <c r="AW1626" s="7"/>
      <c r="AX1626" s="7"/>
      <c r="AY1626" s="7"/>
      <c r="AZ1626" s="7"/>
      <c r="BA1626" s="8">
        <f>SUM(AV1626:AZ1626)</f>
        <v>0</v>
      </c>
      <c r="BC1626" s="6"/>
      <c r="BD1626" s="7"/>
      <c r="BE1626" s="7"/>
      <c r="BF1626" s="7"/>
      <c r="BG1626" s="7"/>
      <c r="BH1626" s="8">
        <f>SUM(BC1626:BG1626)</f>
        <v>0</v>
      </c>
      <c r="BJ1626" s="6"/>
      <c r="BK1626" s="7"/>
      <c r="BL1626" s="7"/>
      <c r="BM1626" s="7"/>
      <c r="BN1626" s="7"/>
      <c r="BO1626" s="8">
        <f>SUM(BJ1626:BN1626)</f>
        <v>0</v>
      </c>
      <c r="BQ1626" s="6"/>
      <c r="BR1626" s="7"/>
      <c r="BS1626" s="7"/>
      <c r="BT1626" s="7"/>
      <c r="BU1626" s="7"/>
      <c r="BV1626" s="8">
        <f>SUM(BQ1626:BU1626)</f>
        <v>0</v>
      </c>
      <c r="BX1626" s="6"/>
      <c r="BY1626" s="7"/>
      <c r="BZ1626" s="7"/>
      <c r="CA1626" s="7"/>
      <c r="CB1626" s="7"/>
      <c r="CC1626" s="8">
        <f>SUM(BX1626:CB1626)</f>
        <v>0</v>
      </c>
      <c r="CE1626" s="28">
        <f t="shared" si="7479"/>
        <v>0</v>
      </c>
      <c r="CF1626" s="29">
        <f t="shared" si="7480"/>
        <v>0</v>
      </c>
      <c r="CG1626" s="29">
        <f t="shared" si="7481"/>
        <v>0</v>
      </c>
      <c r="CH1626" s="29">
        <f t="shared" si="7482"/>
        <v>0</v>
      </c>
      <c r="CI1626" s="29">
        <f t="shared" si="7483"/>
        <v>0</v>
      </c>
      <c r="CJ1626" s="8">
        <f>SUM(CE1626:CI1626)</f>
        <v>0</v>
      </c>
      <c r="CL1626" s="6"/>
      <c r="CM1626" s="7"/>
      <c r="CN1626" s="7"/>
      <c r="CO1626" s="7"/>
      <c r="CP1626" s="7"/>
      <c r="CQ1626" s="8">
        <f>SUM(CL1626:CP1626)</f>
        <v>0</v>
      </c>
      <c r="CS1626" s="6"/>
      <c r="CT1626" s="7"/>
      <c r="CU1626" s="7"/>
      <c r="CV1626" s="7"/>
      <c r="CW1626" s="7"/>
      <c r="CX1626" s="8">
        <f t="shared" ref="CX1626:CX1628" si="7488">SUM(CS1626:CW1626)</f>
        <v>0</v>
      </c>
      <c r="CZ1626" s="6"/>
      <c r="DA1626" s="7"/>
      <c r="DB1626" s="7"/>
      <c r="DC1626" s="7"/>
      <c r="DD1626" s="7"/>
      <c r="DE1626" s="8">
        <f t="shared" ref="DE1626:DE1628" si="7489">SUM(CZ1626:DD1626)</f>
        <v>0</v>
      </c>
    </row>
    <row r="1627" spans="3:109">
      <c r="C1627" s="567"/>
      <c r="E1627" s="5" t="s">
        <v>61</v>
      </c>
      <c r="F1627" s="23">
        <f t="shared" si="7484"/>
        <v>0</v>
      </c>
      <c r="G1627" s="24">
        <f t="shared" si="7475"/>
        <v>0</v>
      </c>
      <c r="H1627" s="24">
        <f t="shared" si="7476"/>
        <v>0</v>
      </c>
      <c r="I1627" s="24">
        <f t="shared" si="7477"/>
        <v>0</v>
      </c>
      <c r="J1627" s="24">
        <f t="shared" si="7478"/>
        <v>0</v>
      </c>
      <c r="K1627" s="8">
        <f t="shared" si="7485"/>
        <v>0</v>
      </c>
      <c r="M1627" s="6"/>
      <c r="N1627" s="7"/>
      <c r="O1627" s="7"/>
      <c r="P1627" s="7"/>
      <c r="Q1627" s="7"/>
      <c r="R1627" s="8">
        <f t="shared" si="7486"/>
        <v>0</v>
      </c>
      <c r="T1627" s="6"/>
      <c r="U1627" s="7"/>
      <c r="V1627" s="7"/>
      <c r="W1627" s="7"/>
      <c r="X1627" s="7"/>
      <c r="Y1627" s="8">
        <f t="shared" si="7487"/>
        <v>0</v>
      </c>
      <c r="AA1627" s="6"/>
      <c r="AB1627" s="7"/>
      <c r="AC1627" s="7"/>
      <c r="AD1627" s="7"/>
      <c r="AE1627" s="7"/>
      <c r="AF1627" s="8">
        <f>SUM(AA1627:AE1627)</f>
        <v>0</v>
      </c>
      <c r="AH1627" s="6"/>
      <c r="AI1627" s="7"/>
      <c r="AJ1627" s="7"/>
      <c r="AK1627" s="7"/>
      <c r="AL1627" s="7"/>
      <c r="AM1627" s="8">
        <f>SUM(AH1627:AL1627)</f>
        <v>0</v>
      </c>
      <c r="AO1627" s="6"/>
      <c r="AP1627" s="7"/>
      <c r="AQ1627" s="7"/>
      <c r="AR1627" s="7"/>
      <c r="AS1627" s="7"/>
      <c r="AT1627" s="8">
        <f>SUM(AO1627:AS1627)</f>
        <v>0</v>
      </c>
      <c r="AV1627" s="6"/>
      <c r="AW1627" s="7"/>
      <c r="AX1627" s="7"/>
      <c r="AY1627" s="7"/>
      <c r="AZ1627" s="7"/>
      <c r="BA1627" s="8">
        <f>SUM(AV1627:AZ1627)</f>
        <v>0</v>
      </c>
      <c r="BC1627" s="6"/>
      <c r="BD1627" s="7"/>
      <c r="BE1627" s="7"/>
      <c r="BF1627" s="7"/>
      <c r="BG1627" s="7"/>
      <c r="BH1627" s="8">
        <f>SUM(BC1627:BG1627)</f>
        <v>0</v>
      </c>
      <c r="BJ1627" s="6"/>
      <c r="BK1627" s="7"/>
      <c r="BL1627" s="7"/>
      <c r="BM1627" s="7"/>
      <c r="BN1627" s="7"/>
      <c r="BO1627" s="8">
        <f>SUM(BJ1627:BN1627)</f>
        <v>0</v>
      </c>
      <c r="BQ1627" s="6"/>
      <c r="BR1627" s="7"/>
      <c r="BS1627" s="7"/>
      <c r="BT1627" s="7"/>
      <c r="BU1627" s="7"/>
      <c r="BV1627" s="8">
        <f>SUM(BQ1627:BU1627)</f>
        <v>0</v>
      </c>
      <c r="BX1627" s="6"/>
      <c r="BY1627" s="7"/>
      <c r="BZ1627" s="7"/>
      <c r="CA1627" s="7"/>
      <c r="CB1627" s="7"/>
      <c r="CC1627" s="8">
        <f>SUM(BX1627:CB1627)</f>
        <v>0</v>
      </c>
      <c r="CE1627" s="28">
        <f t="shared" si="7479"/>
        <v>0</v>
      </c>
      <c r="CF1627" s="29">
        <f t="shared" si="7480"/>
        <v>0</v>
      </c>
      <c r="CG1627" s="29">
        <f t="shared" si="7481"/>
        <v>0</v>
      </c>
      <c r="CH1627" s="29">
        <f t="shared" si="7482"/>
        <v>0</v>
      </c>
      <c r="CI1627" s="29">
        <f t="shared" si="7483"/>
        <v>0</v>
      </c>
      <c r="CJ1627" s="8">
        <f>SUM(CE1627:CI1627)</f>
        <v>0</v>
      </c>
      <c r="CL1627" s="6"/>
      <c r="CM1627" s="7"/>
      <c r="CN1627" s="7"/>
      <c r="CO1627" s="7"/>
      <c r="CP1627" s="7"/>
      <c r="CQ1627" s="8">
        <f>SUM(CL1627:CP1627)</f>
        <v>0</v>
      </c>
      <c r="CS1627" s="6"/>
      <c r="CT1627" s="7"/>
      <c r="CU1627" s="7"/>
      <c r="CV1627" s="7"/>
      <c r="CW1627" s="7"/>
      <c r="CX1627" s="8">
        <f t="shared" si="7488"/>
        <v>0</v>
      </c>
      <c r="CZ1627" s="6"/>
      <c r="DA1627" s="7"/>
      <c r="DB1627" s="7"/>
      <c r="DC1627" s="7"/>
      <c r="DD1627" s="7"/>
      <c r="DE1627" s="8">
        <f t="shared" si="7489"/>
        <v>0</v>
      </c>
    </row>
    <row r="1628" spans="3:109" ht="14" thickBot="1">
      <c r="C1628" s="567"/>
      <c r="E1628" s="5" t="s">
        <v>62</v>
      </c>
      <c r="F1628" s="23">
        <f t="shared" si="7484"/>
        <v>0</v>
      </c>
      <c r="G1628" s="24">
        <f t="shared" si="7475"/>
        <v>0</v>
      </c>
      <c r="H1628" s="24">
        <f t="shared" si="7476"/>
        <v>0</v>
      </c>
      <c r="I1628" s="24">
        <f t="shared" si="7477"/>
        <v>0</v>
      </c>
      <c r="J1628" s="24">
        <f t="shared" si="7478"/>
        <v>0</v>
      </c>
      <c r="K1628" s="8">
        <f t="shared" si="7485"/>
        <v>0</v>
      </c>
      <c r="M1628" s="6"/>
      <c r="N1628" s="7"/>
      <c r="O1628" s="7"/>
      <c r="P1628" s="7"/>
      <c r="Q1628" s="7"/>
      <c r="R1628" s="8">
        <f t="shared" si="7486"/>
        <v>0</v>
      </c>
      <c r="T1628" s="6"/>
      <c r="U1628" s="7"/>
      <c r="V1628" s="7"/>
      <c r="W1628" s="7"/>
      <c r="X1628" s="7"/>
      <c r="Y1628" s="8">
        <f t="shared" si="7487"/>
        <v>0</v>
      </c>
      <c r="AA1628" s="6"/>
      <c r="AB1628" s="7"/>
      <c r="AC1628" s="7"/>
      <c r="AD1628" s="7"/>
      <c r="AE1628" s="7"/>
      <c r="AF1628" s="8">
        <f>SUM(AA1628:AE1628)</f>
        <v>0</v>
      </c>
      <c r="AH1628" s="6"/>
      <c r="AI1628" s="7"/>
      <c r="AJ1628" s="7"/>
      <c r="AK1628" s="7"/>
      <c r="AL1628" s="7"/>
      <c r="AM1628" s="8">
        <f>SUM(AH1628:AL1628)</f>
        <v>0</v>
      </c>
      <c r="AO1628" s="6"/>
      <c r="AP1628" s="7"/>
      <c r="AQ1628" s="7"/>
      <c r="AR1628" s="7"/>
      <c r="AS1628" s="7"/>
      <c r="AT1628" s="8">
        <f>SUM(AO1628:AS1628)</f>
        <v>0</v>
      </c>
      <c r="AV1628" s="6"/>
      <c r="AW1628" s="7"/>
      <c r="AX1628" s="7"/>
      <c r="AY1628" s="7"/>
      <c r="AZ1628" s="7"/>
      <c r="BA1628" s="8">
        <f>SUM(AV1628:AZ1628)</f>
        <v>0</v>
      </c>
      <c r="BC1628" s="6"/>
      <c r="BD1628" s="7"/>
      <c r="BE1628" s="7"/>
      <c r="BF1628" s="7"/>
      <c r="BG1628" s="7"/>
      <c r="BH1628" s="8">
        <f>SUM(BC1628:BG1628)</f>
        <v>0</v>
      </c>
      <c r="BJ1628" s="6"/>
      <c r="BK1628" s="7"/>
      <c r="BL1628" s="7"/>
      <c r="BM1628" s="7"/>
      <c r="BN1628" s="7"/>
      <c r="BO1628" s="8">
        <f>SUM(BJ1628:BN1628)</f>
        <v>0</v>
      </c>
      <c r="BQ1628" s="6"/>
      <c r="BR1628" s="7"/>
      <c r="BS1628" s="7"/>
      <c r="BT1628" s="7"/>
      <c r="BU1628" s="7"/>
      <c r="BV1628" s="8">
        <f>SUM(BQ1628:BU1628)</f>
        <v>0</v>
      </c>
      <c r="BX1628" s="6"/>
      <c r="BY1628" s="7"/>
      <c r="BZ1628" s="7"/>
      <c r="CA1628" s="7"/>
      <c r="CB1628" s="7"/>
      <c r="CC1628" s="8">
        <f>SUM(BX1628:CB1628)</f>
        <v>0</v>
      </c>
      <c r="CE1628" s="493">
        <f t="shared" si="7479"/>
        <v>0</v>
      </c>
      <c r="CF1628" s="494">
        <f t="shared" si="7480"/>
        <v>0</v>
      </c>
      <c r="CG1628" s="494">
        <f t="shared" si="7481"/>
        <v>0</v>
      </c>
      <c r="CH1628" s="494">
        <f t="shared" si="7482"/>
        <v>0</v>
      </c>
      <c r="CI1628" s="494">
        <f t="shared" si="7483"/>
        <v>0</v>
      </c>
      <c r="CJ1628" s="495">
        <f>SUM(CE1628:CI1628)</f>
        <v>0</v>
      </c>
      <c r="CL1628" s="6"/>
      <c r="CM1628" s="7"/>
      <c r="CN1628" s="7"/>
      <c r="CO1628" s="7"/>
      <c r="CP1628" s="7"/>
      <c r="CQ1628" s="8">
        <f>SUM(CL1628:CP1628)</f>
        <v>0</v>
      </c>
      <c r="CS1628" s="6"/>
      <c r="CT1628" s="7"/>
      <c r="CU1628" s="7"/>
      <c r="CV1628" s="7"/>
      <c r="CW1628" s="7"/>
      <c r="CX1628" s="8">
        <f t="shared" si="7488"/>
        <v>0</v>
      </c>
      <c r="CZ1628" s="6"/>
      <c r="DA1628" s="7"/>
      <c r="DB1628" s="7"/>
      <c r="DC1628" s="7"/>
      <c r="DD1628" s="7"/>
      <c r="DE1628" s="8">
        <f t="shared" si="7489"/>
        <v>0</v>
      </c>
    </row>
    <row r="1629" spans="3:109" ht="14" thickBot="1">
      <c r="C1629" s="554"/>
      <c r="E1629" s="9"/>
      <c r="F1629" s="10">
        <f>SUM(F1625:F1628)</f>
        <v>0</v>
      </c>
      <c r="G1629" s="11">
        <f t="shared" ref="G1629:J1629" si="7490">SUM(G1625:G1628)</f>
        <v>0</v>
      </c>
      <c r="H1629" s="11">
        <f t="shared" si="7490"/>
        <v>0</v>
      </c>
      <c r="I1629" s="11">
        <f t="shared" si="7490"/>
        <v>0</v>
      </c>
      <c r="J1629" s="11">
        <f t="shared" si="7490"/>
        <v>0</v>
      </c>
      <c r="K1629" s="25">
        <f>SUM(K1625:K1628)</f>
        <v>0</v>
      </c>
      <c r="M1629" s="10">
        <f>SUM(M1625:M1628)</f>
        <v>0</v>
      </c>
      <c r="N1629" s="11">
        <f t="shared" ref="N1629:Q1629" si="7491">SUM(N1625:N1628)</f>
        <v>0</v>
      </c>
      <c r="O1629" s="11">
        <f t="shared" si="7491"/>
        <v>0</v>
      </c>
      <c r="P1629" s="11">
        <f t="shared" si="7491"/>
        <v>0</v>
      </c>
      <c r="Q1629" s="11">
        <f t="shared" si="7491"/>
        <v>0</v>
      </c>
      <c r="R1629" s="25">
        <f>SUM(R1625:R1628)</f>
        <v>0</v>
      </c>
      <c r="T1629" s="10">
        <f>SUM(T1625:T1628)</f>
        <v>0</v>
      </c>
      <c r="U1629" s="11">
        <f t="shared" ref="U1629:X1629" si="7492">SUM(U1625:U1628)</f>
        <v>0</v>
      </c>
      <c r="V1629" s="11">
        <f t="shared" si="7492"/>
        <v>0</v>
      </c>
      <c r="W1629" s="11">
        <f t="shared" si="7492"/>
        <v>0</v>
      </c>
      <c r="X1629" s="11">
        <f t="shared" si="7492"/>
        <v>0</v>
      </c>
      <c r="Y1629" s="25">
        <f>SUM(Y1625:Y1628)</f>
        <v>0</v>
      </c>
      <c r="AA1629" s="10">
        <f>SUM(AA1625:AA1628)</f>
        <v>0</v>
      </c>
      <c r="AB1629" s="11">
        <f t="shared" ref="AB1629:AE1629" si="7493">SUM(AB1625:AB1628)</f>
        <v>0</v>
      </c>
      <c r="AC1629" s="11">
        <f t="shared" si="7493"/>
        <v>0</v>
      </c>
      <c r="AD1629" s="11">
        <f t="shared" si="7493"/>
        <v>0</v>
      </c>
      <c r="AE1629" s="11">
        <f t="shared" si="7493"/>
        <v>0</v>
      </c>
      <c r="AF1629" s="25">
        <f>SUM(AF1625:AF1628)</f>
        <v>0</v>
      </c>
      <c r="AH1629" s="10">
        <f>SUM(AH1625:AH1628)</f>
        <v>0</v>
      </c>
      <c r="AI1629" s="11">
        <f t="shared" ref="AI1629:AL1629" si="7494">SUM(AI1625:AI1628)</f>
        <v>0</v>
      </c>
      <c r="AJ1629" s="11">
        <f t="shared" si="7494"/>
        <v>0</v>
      </c>
      <c r="AK1629" s="11">
        <f t="shared" si="7494"/>
        <v>0</v>
      </c>
      <c r="AL1629" s="11">
        <f t="shared" si="7494"/>
        <v>0</v>
      </c>
      <c r="AM1629" s="25">
        <f>SUM(AM1625:AM1628)</f>
        <v>0</v>
      </c>
      <c r="AO1629" s="10">
        <f>SUM(AO1625:AO1628)</f>
        <v>0</v>
      </c>
      <c r="AP1629" s="11">
        <f t="shared" ref="AP1629:AS1629" si="7495">SUM(AP1625:AP1628)</f>
        <v>0</v>
      </c>
      <c r="AQ1629" s="11">
        <f t="shared" si="7495"/>
        <v>0</v>
      </c>
      <c r="AR1629" s="11">
        <f t="shared" si="7495"/>
        <v>0</v>
      </c>
      <c r="AS1629" s="11">
        <f t="shared" si="7495"/>
        <v>0</v>
      </c>
      <c r="AT1629" s="25">
        <f>SUM(AT1625:AT1628)</f>
        <v>0</v>
      </c>
      <c r="AV1629" s="10">
        <f>SUM(AV1625:AV1628)</f>
        <v>0</v>
      </c>
      <c r="AW1629" s="11">
        <f t="shared" ref="AW1629:AZ1629" si="7496">SUM(AW1625:AW1628)</f>
        <v>0</v>
      </c>
      <c r="AX1629" s="11">
        <f t="shared" si="7496"/>
        <v>0</v>
      </c>
      <c r="AY1629" s="11">
        <f t="shared" si="7496"/>
        <v>0</v>
      </c>
      <c r="AZ1629" s="11">
        <f t="shared" si="7496"/>
        <v>0</v>
      </c>
      <c r="BA1629" s="25">
        <f>SUM(BA1625:BA1628)</f>
        <v>0</v>
      </c>
      <c r="BC1629" s="10">
        <f>SUM(BC1625:BC1628)</f>
        <v>0</v>
      </c>
      <c r="BD1629" s="11">
        <f t="shared" ref="BD1629:BG1629" si="7497">SUM(BD1625:BD1628)</f>
        <v>0</v>
      </c>
      <c r="BE1629" s="11">
        <f t="shared" si="7497"/>
        <v>0</v>
      </c>
      <c r="BF1629" s="11">
        <f t="shared" si="7497"/>
        <v>0</v>
      </c>
      <c r="BG1629" s="11">
        <f t="shared" si="7497"/>
        <v>0</v>
      </c>
      <c r="BH1629" s="25">
        <f>SUM(BH1625:BH1628)</f>
        <v>0</v>
      </c>
      <c r="BJ1629" s="10">
        <f>SUM(BJ1625:BJ1628)</f>
        <v>0</v>
      </c>
      <c r="BK1629" s="11">
        <f t="shared" ref="BK1629:BN1629" si="7498">SUM(BK1625:BK1628)</f>
        <v>0</v>
      </c>
      <c r="BL1629" s="11">
        <f t="shared" si="7498"/>
        <v>0</v>
      </c>
      <c r="BM1629" s="11">
        <f t="shared" si="7498"/>
        <v>0</v>
      </c>
      <c r="BN1629" s="11">
        <f t="shared" si="7498"/>
        <v>0</v>
      </c>
      <c r="BO1629" s="25">
        <f>SUM(BO1625:BO1628)</f>
        <v>0</v>
      </c>
      <c r="BQ1629" s="10">
        <f>SUM(BQ1625:BQ1628)</f>
        <v>0</v>
      </c>
      <c r="BR1629" s="11">
        <f t="shared" ref="BR1629:BU1629" si="7499">SUM(BR1625:BR1628)</f>
        <v>0</v>
      </c>
      <c r="BS1629" s="11">
        <f t="shared" si="7499"/>
        <v>0</v>
      </c>
      <c r="BT1629" s="11">
        <f t="shared" si="7499"/>
        <v>0</v>
      </c>
      <c r="BU1629" s="11">
        <f t="shared" si="7499"/>
        <v>0</v>
      </c>
      <c r="BV1629" s="25">
        <f>SUM(BV1625:BV1628)</f>
        <v>0</v>
      </c>
      <c r="BX1629" s="10">
        <f>SUM(BX1625:BX1628)</f>
        <v>0</v>
      </c>
      <c r="BY1629" s="11">
        <f t="shared" ref="BY1629:CB1629" si="7500">SUM(BY1625:BY1628)</f>
        <v>0</v>
      </c>
      <c r="BZ1629" s="11">
        <f t="shared" si="7500"/>
        <v>0</v>
      </c>
      <c r="CA1629" s="11">
        <f t="shared" si="7500"/>
        <v>0</v>
      </c>
      <c r="CB1629" s="11">
        <f t="shared" si="7500"/>
        <v>0</v>
      </c>
      <c r="CC1629" s="25">
        <f>SUM(CC1625:CC1628)</f>
        <v>0</v>
      </c>
      <c r="CE1629" s="62">
        <f t="shared" ref="CE1629:CJ1629" si="7501">SUM(CE1625:CE1628)</f>
        <v>0</v>
      </c>
      <c r="CF1629" s="63">
        <f t="shared" si="7501"/>
        <v>0</v>
      </c>
      <c r="CG1629" s="63">
        <f t="shared" si="7501"/>
        <v>0</v>
      </c>
      <c r="CH1629" s="63">
        <f t="shared" si="7501"/>
        <v>0</v>
      </c>
      <c r="CI1629" s="63">
        <f t="shared" si="7501"/>
        <v>0</v>
      </c>
      <c r="CJ1629" s="25">
        <f t="shared" si="7501"/>
        <v>0</v>
      </c>
      <c r="CL1629" s="10">
        <f>SUM(CL1625:CL1628)</f>
        <v>0</v>
      </c>
      <c r="CM1629" s="11">
        <f t="shared" ref="CM1629:CP1629" si="7502">SUM(CM1625:CM1628)</f>
        <v>0</v>
      </c>
      <c r="CN1629" s="11">
        <f t="shared" si="7502"/>
        <v>0</v>
      </c>
      <c r="CO1629" s="11">
        <f t="shared" si="7502"/>
        <v>0</v>
      </c>
      <c r="CP1629" s="11">
        <f t="shared" si="7502"/>
        <v>0</v>
      </c>
      <c r="CQ1629" s="25">
        <f>SUM(CQ1625:CQ1628)</f>
        <v>0</v>
      </c>
      <c r="CS1629" s="10">
        <f>SUM(CS1625:CS1628)</f>
        <v>0</v>
      </c>
      <c r="CT1629" s="11">
        <f t="shared" ref="CT1629:CW1629" si="7503">SUM(CT1625:CT1628)</f>
        <v>0</v>
      </c>
      <c r="CU1629" s="11">
        <f t="shared" si="7503"/>
        <v>0</v>
      </c>
      <c r="CV1629" s="11">
        <f t="shared" si="7503"/>
        <v>0</v>
      </c>
      <c r="CW1629" s="11">
        <f t="shared" si="7503"/>
        <v>0</v>
      </c>
      <c r="CX1629" s="25">
        <f>SUM(CX1625:CX1628)</f>
        <v>0</v>
      </c>
      <c r="CZ1629" s="10">
        <f>SUM(CZ1625:CZ1628)</f>
        <v>0</v>
      </c>
      <c r="DA1629" s="11">
        <f t="shared" ref="DA1629:DD1629" si="7504">SUM(DA1625:DA1628)</f>
        <v>0</v>
      </c>
      <c r="DB1629" s="11">
        <f t="shared" si="7504"/>
        <v>0</v>
      </c>
      <c r="DC1629" s="11">
        <f t="shared" si="7504"/>
        <v>0</v>
      </c>
      <c r="DD1629" s="11">
        <f t="shared" si="7504"/>
        <v>0</v>
      </c>
      <c r="DE1629" s="25">
        <f>SUM(DE1625:DE1628)</f>
        <v>0</v>
      </c>
    </row>
    <row r="1630" spans="3:109" ht="10.4" customHeight="1" thickBot="1"/>
    <row r="1631" spans="3:109">
      <c r="C1631" s="553">
        <v>2028</v>
      </c>
      <c r="E1631" s="1" t="s">
        <v>59</v>
      </c>
      <c r="F1631" s="21">
        <f>CE1625</f>
        <v>0</v>
      </c>
      <c r="G1631" s="22">
        <f t="shared" ref="G1631:G1634" si="7505">CF1625</f>
        <v>0</v>
      </c>
      <c r="H1631" s="22">
        <f t="shared" ref="H1631:H1634" si="7506">CG1625</f>
        <v>0</v>
      </c>
      <c r="I1631" s="22">
        <f t="shared" ref="I1631:I1634" si="7507">CH1625</f>
        <v>0</v>
      </c>
      <c r="J1631" s="22">
        <f t="shared" ref="J1631:J1634" si="7508">CI1625</f>
        <v>0</v>
      </c>
      <c r="K1631" s="4">
        <f>SUM(F1631:J1631)</f>
        <v>0</v>
      </c>
      <c r="M1631" s="2"/>
      <c r="N1631" s="3"/>
      <c r="O1631" s="3"/>
      <c r="P1631" s="3"/>
      <c r="Q1631" s="3"/>
      <c r="R1631" s="4">
        <f>SUM(M1631:Q1631)</f>
        <v>0</v>
      </c>
      <c r="T1631" s="2"/>
      <c r="U1631" s="3"/>
      <c r="V1631" s="3"/>
      <c r="W1631" s="3"/>
      <c r="X1631" s="3"/>
      <c r="Y1631" s="4">
        <f>SUM(T1631:X1631)</f>
        <v>0</v>
      </c>
      <c r="AA1631" s="2"/>
      <c r="AB1631" s="3"/>
      <c r="AC1631" s="3"/>
      <c r="AD1631" s="3"/>
      <c r="AE1631" s="3"/>
      <c r="AF1631" s="4">
        <f>SUM(AA1631:AE1631)</f>
        <v>0</v>
      </c>
      <c r="AH1631" s="2"/>
      <c r="AI1631" s="3"/>
      <c r="AJ1631" s="3"/>
      <c r="AK1631" s="3"/>
      <c r="AL1631" s="3"/>
      <c r="AM1631" s="4">
        <f>SUM(AH1631:AL1631)</f>
        <v>0</v>
      </c>
      <c r="AO1631" s="2"/>
      <c r="AP1631" s="3"/>
      <c r="AQ1631" s="3"/>
      <c r="AR1631" s="3"/>
      <c r="AS1631" s="3"/>
      <c r="AT1631" s="4">
        <f>SUM(AO1631:AS1631)</f>
        <v>0</v>
      </c>
      <c r="AV1631" s="2"/>
      <c r="AW1631" s="3"/>
      <c r="AX1631" s="3"/>
      <c r="AY1631" s="3"/>
      <c r="AZ1631" s="3"/>
      <c r="BA1631" s="4">
        <f>SUM(AV1631:AZ1631)</f>
        <v>0</v>
      </c>
      <c r="BC1631" s="2"/>
      <c r="BD1631" s="3"/>
      <c r="BE1631" s="3"/>
      <c r="BF1631" s="3"/>
      <c r="BG1631" s="3"/>
      <c r="BH1631" s="4">
        <f>SUM(BC1631:BG1631)</f>
        <v>0</v>
      </c>
      <c r="BJ1631" s="2"/>
      <c r="BK1631" s="3"/>
      <c r="BL1631" s="3"/>
      <c r="BM1631" s="3"/>
      <c r="BN1631" s="3"/>
      <c r="BO1631" s="4">
        <f>SUM(BJ1631:BN1631)</f>
        <v>0</v>
      </c>
      <c r="BQ1631" s="2"/>
      <c r="BR1631" s="3"/>
      <c r="BS1631" s="3"/>
      <c r="BT1631" s="3"/>
      <c r="BU1631" s="3"/>
      <c r="BV1631" s="4">
        <f>SUM(BQ1631:BU1631)</f>
        <v>0</v>
      </c>
      <c r="BX1631" s="2"/>
      <c r="BY1631" s="3"/>
      <c r="BZ1631" s="3"/>
      <c r="CA1631" s="3"/>
      <c r="CB1631" s="3"/>
      <c r="CC1631" s="4">
        <f>SUM(BX1631:CB1631)</f>
        <v>0</v>
      </c>
      <c r="CE1631" s="26">
        <f t="shared" ref="CE1631:CE1634" si="7509">F1631+M1631+T1631+AA1631+AH1631+AO1631+AV1631+BC1631+BJ1631+BQ1631+BX1631</f>
        <v>0</v>
      </c>
      <c r="CF1631" s="27">
        <f t="shared" ref="CF1631:CF1634" si="7510">G1631+N1631+U1631+AB1631+AI1631+AP1631+AW1631+BD1631+BK1631+BR1631+BY1631</f>
        <v>0</v>
      </c>
      <c r="CG1631" s="27">
        <f t="shared" ref="CG1631:CG1634" si="7511">H1631+O1631+V1631+AC1631+AJ1631+AQ1631+AX1631+BE1631+BL1631+BS1631+BZ1631</f>
        <v>0</v>
      </c>
      <c r="CH1631" s="27">
        <f t="shared" ref="CH1631:CH1634" si="7512">I1631+P1631+W1631+AD1631+AK1631+AR1631+AY1631+BF1631+BM1631+BT1631+CA1631</f>
        <v>0</v>
      </c>
      <c r="CI1631" s="27">
        <f t="shared" ref="CI1631:CI1634" si="7513">J1631+Q1631+X1631+AE1631+AL1631+AS1631+AZ1631+BG1631+BN1631+BU1631+CB1631</f>
        <v>0</v>
      </c>
      <c r="CJ1631" s="4">
        <f>SUM(CE1631:CI1631)</f>
        <v>0</v>
      </c>
      <c r="CL1631" s="2"/>
      <c r="CM1631" s="3"/>
      <c r="CN1631" s="3"/>
      <c r="CO1631" s="3"/>
      <c r="CP1631" s="3"/>
      <c r="CQ1631" s="4">
        <f>SUM(CL1631:CP1631)</f>
        <v>0</v>
      </c>
      <c r="CS1631" s="2"/>
      <c r="CT1631" s="3"/>
      <c r="CU1631" s="3"/>
      <c r="CV1631" s="3"/>
      <c r="CW1631" s="3"/>
      <c r="CX1631" s="4">
        <f>SUM(CS1631:CW1631)</f>
        <v>0</v>
      </c>
      <c r="CZ1631" s="2"/>
      <c r="DA1631" s="3"/>
      <c r="DB1631" s="3"/>
      <c r="DC1631" s="3"/>
      <c r="DD1631" s="3"/>
      <c r="DE1631" s="4">
        <f>SUM(CZ1631:DD1631)</f>
        <v>0</v>
      </c>
    </row>
    <row r="1632" spans="3:109">
      <c r="C1632" s="567"/>
      <c r="E1632" s="5" t="s">
        <v>60</v>
      </c>
      <c r="F1632" s="23">
        <f t="shared" ref="F1632:F1634" si="7514">CE1626</f>
        <v>0</v>
      </c>
      <c r="G1632" s="24">
        <f t="shared" si="7505"/>
        <v>0</v>
      </c>
      <c r="H1632" s="24">
        <f t="shared" si="7506"/>
        <v>0</v>
      </c>
      <c r="I1632" s="24">
        <f t="shared" si="7507"/>
        <v>0</v>
      </c>
      <c r="J1632" s="24">
        <f t="shared" si="7508"/>
        <v>0</v>
      </c>
      <c r="K1632" s="8">
        <f t="shared" ref="K1632:K1634" si="7515">SUM(F1632:J1632)</f>
        <v>0</v>
      </c>
      <c r="M1632" s="6"/>
      <c r="N1632" s="7"/>
      <c r="O1632" s="7"/>
      <c r="P1632" s="7"/>
      <c r="Q1632" s="7"/>
      <c r="R1632" s="8">
        <f t="shared" ref="R1632:R1634" si="7516">SUM(M1632:Q1632)</f>
        <v>0</v>
      </c>
      <c r="T1632" s="6"/>
      <c r="U1632" s="7"/>
      <c r="V1632" s="7"/>
      <c r="W1632" s="7"/>
      <c r="X1632" s="7"/>
      <c r="Y1632" s="8">
        <f t="shared" ref="Y1632:Y1634" si="7517">SUM(T1632:X1632)</f>
        <v>0</v>
      </c>
      <c r="AA1632" s="6"/>
      <c r="AB1632" s="7"/>
      <c r="AC1632" s="7"/>
      <c r="AD1632" s="7"/>
      <c r="AE1632" s="7"/>
      <c r="AF1632" s="8">
        <f>SUM(AA1632:AE1632)</f>
        <v>0</v>
      </c>
      <c r="AH1632" s="6"/>
      <c r="AI1632" s="7"/>
      <c r="AJ1632" s="7"/>
      <c r="AK1632" s="7"/>
      <c r="AL1632" s="7"/>
      <c r="AM1632" s="8">
        <f>SUM(AH1632:AL1632)</f>
        <v>0</v>
      </c>
      <c r="AO1632" s="6"/>
      <c r="AP1632" s="7"/>
      <c r="AQ1632" s="7"/>
      <c r="AR1632" s="7"/>
      <c r="AS1632" s="7"/>
      <c r="AT1632" s="8">
        <f>SUM(AO1632:AS1632)</f>
        <v>0</v>
      </c>
      <c r="AV1632" s="6"/>
      <c r="AW1632" s="7"/>
      <c r="AX1632" s="7"/>
      <c r="AY1632" s="7"/>
      <c r="AZ1632" s="7"/>
      <c r="BA1632" s="8">
        <f>SUM(AV1632:AZ1632)</f>
        <v>0</v>
      </c>
      <c r="BC1632" s="6"/>
      <c r="BD1632" s="7"/>
      <c r="BE1632" s="7"/>
      <c r="BF1632" s="7"/>
      <c r="BG1632" s="7"/>
      <c r="BH1632" s="8">
        <f>SUM(BC1632:BG1632)</f>
        <v>0</v>
      </c>
      <c r="BJ1632" s="6"/>
      <c r="BK1632" s="7"/>
      <c r="BL1632" s="7"/>
      <c r="BM1632" s="7"/>
      <c r="BN1632" s="7"/>
      <c r="BO1632" s="8">
        <f>SUM(BJ1632:BN1632)</f>
        <v>0</v>
      </c>
      <c r="BQ1632" s="6"/>
      <c r="BR1632" s="7"/>
      <c r="BS1632" s="7"/>
      <c r="BT1632" s="7"/>
      <c r="BU1632" s="7"/>
      <c r="BV1632" s="8">
        <f>SUM(BQ1632:BU1632)</f>
        <v>0</v>
      </c>
      <c r="BX1632" s="6"/>
      <c r="BY1632" s="7"/>
      <c r="BZ1632" s="7"/>
      <c r="CA1632" s="7"/>
      <c r="CB1632" s="7"/>
      <c r="CC1632" s="8">
        <f>SUM(BX1632:CB1632)</f>
        <v>0</v>
      </c>
      <c r="CE1632" s="28">
        <f t="shared" si="7509"/>
        <v>0</v>
      </c>
      <c r="CF1632" s="29">
        <f t="shared" si="7510"/>
        <v>0</v>
      </c>
      <c r="CG1632" s="29">
        <f t="shared" si="7511"/>
        <v>0</v>
      </c>
      <c r="CH1632" s="29">
        <f t="shared" si="7512"/>
        <v>0</v>
      </c>
      <c r="CI1632" s="29">
        <f t="shared" si="7513"/>
        <v>0</v>
      </c>
      <c r="CJ1632" s="8">
        <f>SUM(CE1632:CI1632)</f>
        <v>0</v>
      </c>
      <c r="CL1632" s="6"/>
      <c r="CM1632" s="7"/>
      <c r="CN1632" s="7"/>
      <c r="CO1632" s="7"/>
      <c r="CP1632" s="7"/>
      <c r="CQ1632" s="8">
        <f>SUM(CL1632:CP1632)</f>
        <v>0</v>
      </c>
      <c r="CS1632" s="6"/>
      <c r="CT1632" s="7"/>
      <c r="CU1632" s="7"/>
      <c r="CV1632" s="7"/>
      <c r="CW1632" s="7"/>
      <c r="CX1632" s="8">
        <f t="shared" ref="CX1632:CX1634" si="7518">SUM(CS1632:CW1632)</f>
        <v>0</v>
      </c>
      <c r="CZ1632" s="6"/>
      <c r="DA1632" s="7"/>
      <c r="DB1632" s="7"/>
      <c r="DC1632" s="7"/>
      <c r="DD1632" s="7"/>
      <c r="DE1632" s="8">
        <f t="shared" ref="DE1632:DE1634" si="7519">SUM(CZ1632:DD1632)</f>
        <v>0</v>
      </c>
    </row>
    <row r="1633" spans="2:110">
      <c r="C1633" s="567"/>
      <c r="E1633" s="5" t="s">
        <v>61</v>
      </c>
      <c r="F1633" s="23">
        <f t="shared" si="7514"/>
        <v>0</v>
      </c>
      <c r="G1633" s="24">
        <f t="shared" si="7505"/>
        <v>0</v>
      </c>
      <c r="H1633" s="24">
        <f t="shared" si="7506"/>
        <v>0</v>
      </c>
      <c r="I1633" s="24">
        <f t="shared" si="7507"/>
        <v>0</v>
      </c>
      <c r="J1633" s="24">
        <f t="shared" si="7508"/>
        <v>0</v>
      </c>
      <c r="K1633" s="8">
        <f t="shared" si="7515"/>
        <v>0</v>
      </c>
      <c r="M1633" s="6"/>
      <c r="N1633" s="7"/>
      <c r="O1633" s="7"/>
      <c r="P1633" s="7"/>
      <c r="Q1633" s="7"/>
      <c r="R1633" s="8">
        <f t="shared" si="7516"/>
        <v>0</v>
      </c>
      <c r="T1633" s="6"/>
      <c r="U1633" s="7"/>
      <c r="V1633" s="7"/>
      <c r="W1633" s="7"/>
      <c r="X1633" s="7"/>
      <c r="Y1633" s="8">
        <f t="shared" si="7517"/>
        <v>0</v>
      </c>
      <c r="AA1633" s="6"/>
      <c r="AB1633" s="7"/>
      <c r="AC1633" s="7"/>
      <c r="AD1633" s="7"/>
      <c r="AE1633" s="7"/>
      <c r="AF1633" s="8">
        <f>SUM(AA1633:AE1633)</f>
        <v>0</v>
      </c>
      <c r="AH1633" s="6"/>
      <c r="AI1633" s="7"/>
      <c r="AJ1633" s="7"/>
      <c r="AK1633" s="7"/>
      <c r="AL1633" s="7"/>
      <c r="AM1633" s="8">
        <f>SUM(AH1633:AL1633)</f>
        <v>0</v>
      </c>
      <c r="AO1633" s="6"/>
      <c r="AP1633" s="7"/>
      <c r="AQ1633" s="7"/>
      <c r="AR1633" s="7"/>
      <c r="AS1633" s="7"/>
      <c r="AT1633" s="8">
        <f>SUM(AO1633:AS1633)</f>
        <v>0</v>
      </c>
      <c r="AV1633" s="6"/>
      <c r="AW1633" s="7"/>
      <c r="AX1633" s="7"/>
      <c r="AY1633" s="7"/>
      <c r="AZ1633" s="7"/>
      <c r="BA1633" s="8">
        <f>SUM(AV1633:AZ1633)</f>
        <v>0</v>
      </c>
      <c r="BC1633" s="6"/>
      <c r="BD1633" s="7"/>
      <c r="BE1633" s="7"/>
      <c r="BF1633" s="7"/>
      <c r="BG1633" s="7"/>
      <c r="BH1633" s="8">
        <f>SUM(BC1633:BG1633)</f>
        <v>0</v>
      </c>
      <c r="BJ1633" s="6"/>
      <c r="BK1633" s="7"/>
      <c r="BL1633" s="7"/>
      <c r="BM1633" s="7"/>
      <c r="BN1633" s="7"/>
      <c r="BO1633" s="8">
        <f>SUM(BJ1633:BN1633)</f>
        <v>0</v>
      </c>
      <c r="BQ1633" s="6"/>
      <c r="BR1633" s="7"/>
      <c r="BS1633" s="7"/>
      <c r="BT1633" s="7"/>
      <c r="BU1633" s="7"/>
      <c r="BV1633" s="8">
        <f>SUM(BQ1633:BU1633)</f>
        <v>0</v>
      </c>
      <c r="BX1633" s="6"/>
      <c r="BY1633" s="7"/>
      <c r="BZ1633" s="7"/>
      <c r="CA1633" s="7"/>
      <c r="CB1633" s="7"/>
      <c r="CC1633" s="8">
        <f>SUM(BX1633:CB1633)</f>
        <v>0</v>
      </c>
      <c r="CE1633" s="28">
        <f t="shared" si="7509"/>
        <v>0</v>
      </c>
      <c r="CF1633" s="29">
        <f t="shared" si="7510"/>
        <v>0</v>
      </c>
      <c r="CG1633" s="29">
        <f t="shared" si="7511"/>
        <v>0</v>
      </c>
      <c r="CH1633" s="29">
        <f t="shared" si="7512"/>
        <v>0</v>
      </c>
      <c r="CI1633" s="29">
        <f t="shared" si="7513"/>
        <v>0</v>
      </c>
      <c r="CJ1633" s="8">
        <f>SUM(CE1633:CI1633)</f>
        <v>0</v>
      </c>
      <c r="CL1633" s="6"/>
      <c r="CM1633" s="7"/>
      <c r="CN1633" s="7"/>
      <c r="CO1633" s="7"/>
      <c r="CP1633" s="7"/>
      <c r="CQ1633" s="8">
        <f>SUM(CL1633:CP1633)</f>
        <v>0</v>
      </c>
      <c r="CS1633" s="6"/>
      <c r="CT1633" s="7"/>
      <c r="CU1633" s="7"/>
      <c r="CV1633" s="7"/>
      <c r="CW1633" s="7"/>
      <c r="CX1633" s="8">
        <f t="shared" si="7518"/>
        <v>0</v>
      </c>
      <c r="CZ1633" s="6"/>
      <c r="DA1633" s="7"/>
      <c r="DB1633" s="7"/>
      <c r="DC1633" s="7"/>
      <c r="DD1633" s="7"/>
      <c r="DE1633" s="8">
        <f t="shared" si="7519"/>
        <v>0</v>
      </c>
    </row>
    <row r="1634" spans="2:110" ht="14" thickBot="1">
      <c r="C1634" s="567"/>
      <c r="E1634" s="5" t="s">
        <v>62</v>
      </c>
      <c r="F1634" s="23">
        <f t="shared" si="7514"/>
        <v>0</v>
      </c>
      <c r="G1634" s="24">
        <f t="shared" si="7505"/>
        <v>0</v>
      </c>
      <c r="H1634" s="24">
        <f t="shared" si="7506"/>
        <v>0</v>
      </c>
      <c r="I1634" s="24">
        <f t="shared" si="7507"/>
        <v>0</v>
      </c>
      <c r="J1634" s="24">
        <f t="shared" si="7508"/>
        <v>0</v>
      </c>
      <c r="K1634" s="8">
        <f t="shared" si="7515"/>
        <v>0</v>
      </c>
      <c r="M1634" s="6"/>
      <c r="N1634" s="7"/>
      <c r="O1634" s="7"/>
      <c r="P1634" s="7"/>
      <c r="Q1634" s="7"/>
      <c r="R1634" s="8">
        <f t="shared" si="7516"/>
        <v>0</v>
      </c>
      <c r="T1634" s="6"/>
      <c r="U1634" s="7"/>
      <c r="V1634" s="7"/>
      <c r="W1634" s="7"/>
      <c r="X1634" s="7"/>
      <c r="Y1634" s="8">
        <f t="shared" si="7517"/>
        <v>0</v>
      </c>
      <c r="AA1634" s="6"/>
      <c r="AB1634" s="7"/>
      <c r="AC1634" s="7"/>
      <c r="AD1634" s="7"/>
      <c r="AE1634" s="7"/>
      <c r="AF1634" s="8">
        <f>SUM(AA1634:AE1634)</f>
        <v>0</v>
      </c>
      <c r="AH1634" s="6"/>
      <c r="AI1634" s="7"/>
      <c r="AJ1634" s="7"/>
      <c r="AK1634" s="7"/>
      <c r="AL1634" s="7"/>
      <c r="AM1634" s="8">
        <f>SUM(AH1634:AL1634)</f>
        <v>0</v>
      </c>
      <c r="AO1634" s="6"/>
      <c r="AP1634" s="7"/>
      <c r="AQ1634" s="7"/>
      <c r="AR1634" s="7"/>
      <c r="AS1634" s="7"/>
      <c r="AT1634" s="8">
        <f>SUM(AO1634:AS1634)</f>
        <v>0</v>
      </c>
      <c r="AV1634" s="6"/>
      <c r="AW1634" s="7"/>
      <c r="AX1634" s="7"/>
      <c r="AY1634" s="7"/>
      <c r="AZ1634" s="7"/>
      <c r="BA1634" s="8">
        <f>SUM(AV1634:AZ1634)</f>
        <v>0</v>
      </c>
      <c r="BC1634" s="6"/>
      <c r="BD1634" s="7"/>
      <c r="BE1634" s="7"/>
      <c r="BF1634" s="7"/>
      <c r="BG1634" s="7"/>
      <c r="BH1634" s="8">
        <f>SUM(BC1634:BG1634)</f>
        <v>0</v>
      </c>
      <c r="BJ1634" s="6"/>
      <c r="BK1634" s="7"/>
      <c r="BL1634" s="7"/>
      <c r="BM1634" s="7"/>
      <c r="BN1634" s="7"/>
      <c r="BO1634" s="8">
        <f>SUM(BJ1634:BN1634)</f>
        <v>0</v>
      </c>
      <c r="BQ1634" s="6"/>
      <c r="BR1634" s="7"/>
      <c r="BS1634" s="7"/>
      <c r="BT1634" s="7"/>
      <c r="BU1634" s="7"/>
      <c r="BV1634" s="8">
        <f>SUM(BQ1634:BU1634)</f>
        <v>0</v>
      </c>
      <c r="BX1634" s="6"/>
      <c r="BY1634" s="7"/>
      <c r="BZ1634" s="7"/>
      <c r="CA1634" s="7"/>
      <c r="CB1634" s="7"/>
      <c r="CC1634" s="8">
        <f>SUM(BX1634:CB1634)</f>
        <v>0</v>
      </c>
      <c r="CE1634" s="493">
        <f t="shared" si="7509"/>
        <v>0</v>
      </c>
      <c r="CF1634" s="494">
        <f t="shared" si="7510"/>
        <v>0</v>
      </c>
      <c r="CG1634" s="494">
        <f t="shared" si="7511"/>
        <v>0</v>
      </c>
      <c r="CH1634" s="494">
        <f t="shared" si="7512"/>
        <v>0</v>
      </c>
      <c r="CI1634" s="494">
        <f t="shared" si="7513"/>
        <v>0</v>
      </c>
      <c r="CJ1634" s="495">
        <f>SUM(CE1634:CI1634)</f>
        <v>0</v>
      </c>
      <c r="CL1634" s="6"/>
      <c r="CM1634" s="7"/>
      <c r="CN1634" s="7"/>
      <c r="CO1634" s="7"/>
      <c r="CP1634" s="7"/>
      <c r="CQ1634" s="8">
        <f>SUM(CL1634:CP1634)</f>
        <v>0</v>
      </c>
      <c r="CS1634" s="6"/>
      <c r="CT1634" s="7"/>
      <c r="CU1634" s="7"/>
      <c r="CV1634" s="7"/>
      <c r="CW1634" s="7"/>
      <c r="CX1634" s="8">
        <f t="shared" si="7518"/>
        <v>0</v>
      </c>
      <c r="CZ1634" s="6"/>
      <c r="DA1634" s="7"/>
      <c r="DB1634" s="7"/>
      <c r="DC1634" s="7"/>
      <c r="DD1634" s="7"/>
      <c r="DE1634" s="8">
        <f t="shared" si="7519"/>
        <v>0</v>
      </c>
    </row>
    <row r="1635" spans="2:110" ht="14" thickBot="1">
      <c r="C1635" s="554"/>
      <c r="E1635" s="9"/>
      <c r="F1635" s="10">
        <f>SUM(F1631:F1634)</f>
        <v>0</v>
      </c>
      <c r="G1635" s="11">
        <f t="shared" ref="G1635:J1635" si="7520">SUM(G1631:G1634)</f>
        <v>0</v>
      </c>
      <c r="H1635" s="11">
        <f t="shared" si="7520"/>
        <v>0</v>
      </c>
      <c r="I1635" s="11">
        <f t="shared" si="7520"/>
        <v>0</v>
      </c>
      <c r="J1635" s="11">
        <f t="shared" si="7520"/>
        <v>0</v>
      </c>
      <c r="K1635" s="25">
        <f>SUM(K1631:K1634)</f>
        <v>0</v>
      </c>
      <c r="M1635" s="10">
        <f>SUM(M1631:M1634)</f>
        <v>0</v>
      </c>
      <c r="N1635" s="11">
        <f t="shared" ref="N1635:Q1635" si="7521">SUM(N1631:N1634)</f>
        <v>0</v>
      </c>
      <c r="O1635" s="11">
        <f t="shared" si="7521"/>
        <v>0</v>
      </c>
      <c r="P1635" s="11">
        <f t="shared" si="7521"/>
        <v>0</v>
      </c>
      <c r="Q1635" s="11">
        <f t="shared" si="7521"/>
        <v>0</v>
      </c>
      <c r="R1635" s="25">
        <f>SUM(R1631:R1634)</f>
        <v>0</v>
      </c>
      <c r="T1635" s="10">
        <f>SUM(T1631:T1634)</f>
        <v>0</v>
      </c>
      <c r="U1635" s="11">
        <f t="shared" ref="U1635:X1635" si="7522">SUM(U1631:U1634)</f>
        <v>0</v>
      </c>
      <c r="V1635" s="11">
        <f t="shared" si="7522"/>
        <v>0</v>
      </c>
      <c r="W1635" s="11">
        <f t="shared" si="7522"/>
        <v>0</v>
      </c>
      <c r="X1635" s="11">
        <f t="shared" si="7522"/>
        <v>0</v>
      </c>
      <c r="Y1635" s="25">
        <f>SUM(Y1631:Y1634)</f>
        <v>0</v>
      </c>
      <c r="AA1635" s="10">
        <f>SUM(AA1631:AA1634)</f>
        <v>0</v>
      </c>
      <c r="AB1635" s="11">
        <f t="shared" ref="AB1635:AE1635" si="7523">SUM(AB1631:AB1634)</f>
        <v>0</v>
      </c>
      <c r="AC1635" s="11">
        <f t="shared" si="7523"/>
        <v>0</v>
      </c>
      <c r="AD1635" s="11">
        <f t="shared" si="7523"/>
        <v>0</v>
      </c>
      <c r="AE1635" s="11">
        <f t="shared" si="7523"/>
        <v>0</v>
      </c>
      <c r="AF1635" s="25">
        <f>SUM(AF1631:AF1634)</f>
        <v>0</v>
      </c>
      <c r="AH1635" s="10">
        <f>SUM(AH1631:AH1634)</f>
        <v>0</v>
      </c>
      <c r="AI1635" s="11">
        <f t="shared" ref="AI1635:AL1635" si="7524">SUM(AI1631:AI1634)</f>
        <v>0</v>
      </c>
      <c r="AJ1635" s="11">
        <f t="shared" si="7524"/>
        <v>0</v>
      </c>
      <c r="AK1635" s="11">
        <f t="shared" si="7524"/>
        <v>0</v>
      </c>
      <c r="AL1635" s="11">
        <f t="shared" si="7524"/>
        <v>0</v>
      </c>
      <c r="AM1635" s="25">
        <f>SUM(AM1631:AM1634)</f>
        <v>0</v>
      </c>
      <c r="AO1635" s="10">
        <f>SUM(AO1631:AO1634)</f>
        <v>0</v>
      </c>
      <c r="AP1635" s="11">
        <f t="shared" ref="AP1635:AS1635" si="7525">SUM(AP1631:AP1634)</f>
        <v>0</v>
      </c>
      <c r="AQ1635" s="11">
        <f t="shared" si="7525"/>
        <v>0</v>
      </c>
      <c r="AR1635" s="11">
        <f t="shared" si="7525"/>
        <v>0</v>
      </c>
      <c r="AS1635" s="11">
        <f t="shared" si="7525"/>
        <v>0</v>
      </c>
      <c r="AT1635" s="25">
        <f>SUM(AT1631:AT1634)</f>
        <v>0</v>
      </c>
      <c r="AV1635" s="10">
        <f>SUM(AV1631:AV1634)</f>
        <v>0</v>
      </c>
      <c r="AW1635" s="11">
        <f t="shared" ref="AW1635:AZ1635" si="7526">SUM(AW1631:AW1634)</f>
        <v>0</v>
      </c>
      <c r="AX1635" s="11">
        <f t="shared" si="7526"/>
        <v>0</v>
      </c>
      <c r="AY1635" s="11">
        <f t="shared" si="7526"/>
        <v>0</v>
      </c>
      <c r="AZ1635" s="11">
        <f t="shared" si="7526"/>
        <v>0</v>
      </c>
      <c r="BA1635" s="25">
        <f>SUM(BA1631:BA1634)</f>
        <v>0</v>
      </c>
      <c r="BC1635" s="10">
        <f>SUM(BC1631:BC1634)</f>
        <v>0</v>
      </c>
      <c r="BD1635" s="11">
        <f t="shared" ref="BD1635:BG1635" si="7527">SUM(BD1631:BD1634)</f>
        <v>0</v>
      </c>
      <c r="BE1635" s="11">
        <f t="shared" si="7527"/>
        <v>0</v>
      </c>
      <c r="BF1635" s="11">
        <f t="shared" si="7527"/>
        <v>0</v>
      </c>
      <c r="BG1635" s="11">
        <f t="shared" si="7527"/>
        <v>0</v>
      </c>
      <c r="BH1635" s="25">
        <f>SUM(BH1631:BH1634)</f>
        <v>0</v>
      </c>
      <c r="BJ1635" s="10">
        <f>SUM(BJ1631:BJ1634)</f>
        <v>0</v>
      </c>
      <c r="BK1635" s="11">
        <f t="shared" ref="BK1635:BN1635" si="7528">SUM(BK1631:BK1634)</f>
        <v>0</v>
      </c>
      <c r="BL1635" s="11">
        <f t="shared" si="7528"/>
        <v>0</v>
      </c>
      <c r="BM1635" s="11">
        <f t="shared" si="7528"/>
        <v>0</v>
      </c>
      <c r="BN1635" s="11">
        <f t="shared" si="7528"/>
        <v>0</v>
      </c>
      <c r="BO1635" s="25">
        <f>SUM(BO1631:BO1634)</f>
        <v>0</v>
      </c>
      <c r="BQ1635" s="10">
        <f>SUM(BQ1631:BQ1634)</f>
        <v>0</v>
      </c>
      <c r="BR1635" s="11">
        <f t="shared" ref="BR1635:BU1635" si="7529">SUM(BR1631:BR1634)</f>
        <v>0</v>
      </c>
      <c r="BS1635" s="11">
        <f t="shared" si="7529"/>
        <v>0</v>
      </c>
      <c r="BT1635" s="11">
        <f t="shared" si="7529"/>
        <v>0</v>
      </c>
      <c r="BU1635" s="11">
        <f t="shared" si="7529"/>
        <v>0</v>
      </c>
      <c r="BV1635" s="25">
        <f>SUM(BV1631:BV1634)</f>
        <v>0</v>
      </c>
      <c r="BX1635" s="10">
        <f>SUM(BX1631:BX1634)</f>
        <v>0</v>
      </c>
      <c r="BY1635" s="11">
        <f t="shared" ref="BY1635:CB1635" si="7530">SUM(BY1631:BY1634)</f>
        <v>0</v>
      </c>
      <c r="BZ1635" s="11">
        <f t="shared" si="7530"/>
        <v>0</v>
      </c>
      <c r="CA1635" s="11">
        <f t="shared" si="7530"/>
        <v>0</v>
      </c>
      <c r="CB1635" s="11">
        <f t="shared" si="7530"/>
        <v>0</v>
      </c>
      <c r="CC1635" s="25">
        <f>SUM(CC1631:CC1634)</f>
        <v>0</v>
      </c>
      <c r="CE1635" s="62">
        <f t="shared" ref="CE1635:CJ1635" si="7531">SUM(CE1631:CE1634)</f>
        <v>0</v>
      </c>
      <c r="CF1635" s="63">
        <f t="shared" si="7531"/>
        <v>0</v>
      </c>
      <c r="CG1635" s="63">
        <f t="shared" si="7531"/>
        <v>0</v>
      </c>
      <c r="CH1635" s="63">
        <f t="shared" si="7531"/>
        <v>0</v>
      </c>
      <c r="CI1635" s="63">
        <f t="shared" si="7531"/>
        <v>0</v>
      </c>
      <c r="CJ1635" s="25">
        <f t="shared" si="7531"/>
        <v>0</v>
      </c>
      <c r="CL1635" s="10">
        <f>SUM(CL1631:CL1634)</f>
        <v>0</v>
      </c>
      <c r="CM1635" s="11">
        <f t="shared" ref="CM1635:CP1635" si="7532">SUM(CM1631:CM1634)</f>
        <v>0</v>
      </c>
      <c r="CN1635" s="11">
        <f t="shared" si="7532"/>
        <v>0</v>
      </c>
      <c r="CO1635" s="11">
        <f t="shared" si="7532"/>
        <v>0</v>
      </c>
      <c r="CP1635" s="11">
        <f t="shared" si="7532"/>
        <v>0</v>
      </c>
      <c r="CQ1635" s="25">
        <f>SUM(CQ1631:CQ1634)</f>
        <v>0</v>
      </c>
      <c r="CS1635" s="10">
        <f>SUM(CS1631:CS1634)</f>
        <v>0</v>
      </c>
      <c r="CT1635" s="11">
        <f t="shared" ref="CT1635:CW1635" si="7533">SUM(CT1631:CT1634)</f>
        <v>0</v>
      </c>
      <c r="CU1635" s="11">
        <f t="shared" si="7533"/>
        <v>0</v>
      </c>
      <c r="CV1635" s="11">
        <f t="shared" si="7533"/>
        <v>0</v>
      </c>
      <c r="CW1635" s="11">
        <f t="shared" si="7533"/>
        <v>0</v>
      </c>
      <c r="CX1635" s="25">
        <f>SUM(CX1631:CX1634)</f>
        <v>0</v>
      </c>
      <c r="CZ1635" s="10">
        <f>SUM(CZ1631:CZ1634)</f>
        <v>0</v>
      </c>
      <c r="DA1635" s="11">
        <f t="shared" ref="DA1635:DD1635" si="7534">SUM(DA1631:DA1634)</f>
        <v>0</v>
      </c>
      <c r="DB1635" s="11">
        <f t="shared" si="7534"/>
        <v>0</v>
      </c>
      <c r="DC1635" s="11">
        <f t="shared" si="7534"/>
        <v>0</v>
      </c>
      <c r="DD1635" s="11">
        <f t="shared" si="7534"/>
        <v>0</v>
      </c>
      <c r="DE1635" s="25">
        <f>SUM(DE1631:DE1634)</f>
        <v>0</v>
      </c>
    </row>
    <row r="1637" spans="2:110">
      <c r="B1637" s="123"/>
      <c r="C1637" s="20"/>
      <c r="D1637" s="20"/>
      <c r="E1637" s="20"/>
      <c r="F1637" s="20"/>
      <c r="G1637" s="20"/>
      <c r="H1637" s="20"/>
      <c r="I1637" s="20"/>
      <c r="J1637" s="20"/>
      <c r="K1637" s="20"/>
      <c r="L1637" s="20"/>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Q1637" s="20"/>
      <c r="BR1637" s="20"/>
      <c r="BS1637" s="20"/>
      <c r="BT1637" s="20"/>
      <c r="BU1637" s="20"/>
      <c r="BV1637" s="20"/>
      <c r="BW1637" s="20"/>
      <c r="BX1637" s="20"/>
      <c r="BY1637" s="20"/>
      <c r="BZ1637" s="20"/>
      <c r="CA1637" s="20"/>
      <c r="CB1637" s="20"/>
      <c r="CC1637" s="20"/>
      <c r="CD1637" s="20"/>
      <c r="CE1637" s="20"/>
      <c r="CF1637" s="20"/>
      <c r="CG1637" s="20"/>
      <c r="CH1637" s="20"/>
      <c r="CI1637" s="20"/>
      <c r="CJ1637" s="20"/>
      <c r="CK1637" s="20"/>
      <c r="CL1637" s="20"/>
      <c r="CM1637" s="20"/>
      <c r="CN1637" s="20"/>
      <c r="CO1637" s="20"/>
      <c r="CP1637" s="20"/>
      <c r="CQ1637" s="20"/>
      <c r="CR1637" s="20"/>
      <c r="CS1637" s="20"/>
      <c r="CT1637" s="20"/>
      <c r="CU1637" s="20"/>
      <c r="CV1637" s="20"/>
      <c r="CW1637" s="20"/>
      <c r="CX1637" s="20"/>
      <c r="CY1637" s="20"/>
      <c r="CZ1637" s="20"/>
      <c r="DA1637" s="20"/>
      <c r="DB1637" s="20"/>
      <c r="DC1637" s="20"/>
      <c r="DD1637" s="20"/>
      <c r="DE1637" s="20"/>
      <c r="DF1637" s="20"/>
    </row>
    <row r="1638" spans="2:110" ht="14" thickBot="1">
      <c r="B1638" s="94">
        <v>52</v>
      </c>
      <c r="C1638" s="12" t="s">
        <v>113</v>
      </c>
    </row>
    <row r="1639" spans="2:110">
      <c r="C1639" s="553">
        <v>2024</v>
      </c>
      <c r="E1639" s="1" t="s">
        <v>59</v>
      </c>
      <c r="F1639" s="2"/>
      <c r="G1639" s="3"/>
      <c r="H1639" s="3"/>
      <c r="I1639" s="3"/>
      <c r="J1639" s="3"/>
      <c r="K1639" s="4">
        <f>SUM(F1639:J1639)</f>
        <v>0</v>
      </c>
      <c r="M1639" s="2"/>
      <c r="N1639" s="3"/>
      <c r="O1639" s="3"/>
      <c r="P1639" s="3"/>
      <c r="Q1639" s="3"/>
      <c r="R1639" s="4">
        <f>SUM(M1639:Q1639)</f>
        <v>0</v>
      </c>
      <c r="T1639" s="2"/>
      <c r="U1639" s="3"/>
      <c r="V1639" s="3"/>
      <c r="W1639" s="3"/>
      <c r="X1639" s="3"/>
      <c r="Y1639" s="4">
        <f>SUM(T1639:X1639)</f>
        <v>0</v>
      </c>
      <c r="AA1639" s="2"/>
      <c r="AB1639" s="3"/>
      <c r="AC1639" s="3"/>
      <c r="AD1639" s="3"/>
      <c r="AE1639" s="3"/>
      <c r="AF1639" s="4">
        <f>SUM(AA1639:AE1639)</f>
        <v>0</v>
      </c>
      <c r="AH1639" s="2"/>
      <c r="AI1639" s="3"/>
      <c r="AJ1639" s="3"/>
      <c r="AK1639" s="3"/>
      <c r="AL1639" s="3"/>
      <c r="AM1639" s="4">
        <f>SUM(AH1639:AL1639)</f>
        <v>0</v>
      </c>
      <c r="AO1639" s="2"/>
      <c r="AP1639" s="3"/>
      <c r="AQ1639" s="3"/>
      <c r="AR1639" s="3"/>
      <c r="AS1639" s="3"/>
      <c r="AT1639" s="4">
        <f>SUM(AO1639:AS1639)</f>
        <v>0</v>
      </c>
      <c r="AV1639" s="2"/>
      <c r="AW1639" s="3"/>
      <c r="AX1639" s="3"/>
      <c r="AY1639" s="3"/>
      <c r="AZ1639" s="3"/>
      <c r="BA1639" s="4">
        <f>SUM(AV1639:AZ1639)</f>
        <v>0</v>
      </c>
      <c r="BC1639" s="2"/>
      <c r="BD1639" s="3"/>
      <c r="BE1639" s="3"/>
      <c r="BF1639" s="3"/>
      <c r="BG1639" s="3"/>
      <c r="BH1639" s="4">
        <f>SUM(BC1639:BG1639)</f>
        <v>0</v>
      </c>
      <c r="BJ1639" s="2"/>
      <c r="BK1639" s="3"/>
      <c r="BL1639" s="3"/>
      <c r="BM1639" s="3"/>
      <c r="BN1639" s="3"/>
      <c r="BO1639" s="4">
        <f>SUM(BJ1639:BN1639)</f>
        <v>0</v>
      </c>
      <c r="BQ1639" s="2"/>
      <c r="BR1639" s="3"/>
      <c r="BS1639" s="3"/>
      <c r="BT1639" s="3"/>
      <c r="BU1639" s="3"/>
      <c r="BV1639" s="4">
        <f>SUM(BQ1639:BU1639)</f>
        <v>0</v>
      </c>
      <c r="BX1639" s="2"/>
      <c r="BY1639" s="3"/>
      <c r="BZ1639" s="3"/>
      <c r="CA1639" s="3"/>
      <c r="CB1639" s="3"/>
      <c r="CC1639" s="4">
        <f>SUM(BX1639:CB1639)</f>
        <v>0</v>
      </c>
      <c r="CE1639" s="26">
        <f t="shared" ref="CE1639:CE1642" si="7535">F1639+M1639+T1639+AA1639+AH1639+AO1639+AV1639+BC1639+BJ1639+BQ1639+BX1639</f>
        <v>0</v>
      </c>
      <c r="CF1639" s="27">
        <f t="shared" ref="CF1639:CF1642" si="7536">G1639+N1639+U1639+AB1639+AI1639+AP1639+AW1639+BD1639+BK1639+BR1639+BY1639</f>
        <v>0</v>
      </c>
      <c r="CG1639" s="27">
        <f t="shared" ref="CG1639:CG1642" si="7537">H1639+O1639+V1639+AC1639+AJ1639+AQ1639+AX1639+BE1639+BL1639+BS1639+BZ1639</f>
        <v>0</v>
      </c>
      <c r="CH1639" s="27">
        <f t="shared" ref="CH1639:CH1642" si="7538">I1639+P1639+W1639+AD1639+AK1639+AR1639+AY1639+BF1639+BM1639+BT1639+CA1639</f>
        <v>0</v>
      </c>
      <c r="CI1639" s="27">
        <f t="shared" ref="CI1639:CI1642" si="7539">J1639+Q1639+X1639+AE1639+AL1639+AS1639+AZ1639+BG1639+BN1639+BU1639+CB1639</f>
        <v>0</v>
      </c>
      <c r="CJ1639" s="4">
        <f>SUM(CE1639:CI1639)</f>
        <v>0</v>
      </c>
      <c r="CL1639" s="2"/>
      <c r="CM1639" s="3"/>
      <c r="CN1639" s="3"/>
      <c r="CO1639" s="3"/>
      <c r="CP1639" s="3"/>
      <c r="CQ1639" s="4">
        <f>SUM(CL1639:CP1639)</f>
        <v>0</v>
      </c>
      <c r="CS1639" s="2"/>
      <c r="CT1639" s="3"/>
      <c r="CU1639" s="3"/>
      <c r="CV1639" s="3"/>
      <c r="CW1639" s="3"/>
      <c r="CX1639" s="4">
        <f>SUM(CS1639:CW1639)</f>
        <v>0</v>
      </c>
      <c r="CZ1639" s="2"/>
      <c r="DA1639" s="3"/>
      <c r="DB1639" s="3"/>
      <c r="DC1639" s="3"/>
      <c r="DD1639" s="3"/>
      <c r="DE1639" s="4">
        <f>SUM(CZ1639:DD1639)</f>
        <v>0</v>
      </c>
    </row>
    <row r="1640" spans="2:110">
      <c r="C1640" s="567"/>
      <c r="E1640" s="5" t="s">
        <v>60</v>
      </c>
      <c r="F1640" s="6"/>
      <c r="G1640" s="7"/>
      <c r="H1640" s="7"/>
      <c r="I1640" s="7"/>
      <c r="J1640" s="7"/>
      <c r="K1640" s="8">
        <f t="shared" ref="K1640:K1642" si="7540">SUM(F1640:J1640)</f>
        <v>0</v>
      </c>
      <c r="M1640" s="6"/>
      <c r="N1640" s="7"/>
      <c r="O1640" s="7"/>
      <c r="P1640" s="7"/>
      <c r="Q1640" s="7"/>
      <c r="R1640" s="8">
        <f t="shared" ref="R1640:R1642" si="7541">SUM(M1640:Q1640)</f>
        <v>0</v>
      </c>
      <c r="T1640" s="6"/>
      <c r="U1640" s="7"/>
      <c r="V1640" s="7"/>
      <c r="W1640" s="7"/>
      <c r="X1640" s="7"/>
      <c r="Y1640" s="8">
        <f t="shared" ref="Y1640:Y1642" si="7542">SUM(T1640:X1640)</f>
        <v>0</v>
      </c>
      <c r="AA1640" s="6"/>
      <c r="AB1640" s="7"/>
      <c r="AC1640" s="7"/>
      <c r="AD1640" s="7"/>
      <c r="AE1640" s="7"/>
      <c r="AF1640" s="8">
        <f>SUM(AA1640:AE1640)</f>
        <v>0</v>
      </c>
      <c r="AH1640" s="6"/>
      <c r="AI1640" s="7"/>
      <c r="AJ1640" s="7"/>
      <c r="AK1640" s="7"/>
      <c r="AL1640" s="7"/>
      <c r="AM1640" s="8">
        <f>SUM(AH1640:AL1640)</f>
        <v>0</v>
      </c>
      <c r="AO1640" s="6"/>
      <c r="AP1640" s="7"/>
      <c r="AQ1640" s="7"/>
      <c r="AR1640" s="7"/>
      <c r="AS1640" s="7"/>
      <c r="AT1640" s="8">
        <f>SUM(AO1640:AS1640)</f>
        <v>0</v>
      </c>
      <c r="AV1640" s="6"/>
      <c r="AW1640" s="7"/>
      <c r="AX1640" s="7"/>
      <c r="AY1640" s="7"/>
      <c r="AZ1640" s="7"/>
      <c r="BA1640" s="8">
        <f>SUM(AV1640:AZ1640)</f>
        <v>0</v>
      </c>
      <c r="BC1640" s="6"/>
      <c r="BD1640" s="7"/>
      <c r="BE1640" s="7"/>
      <c r="BF1640" s="7"/>
      <c r="BG1640" s="7"/>
      <c r="BH1640" s="8">
        <f>SUM(BC1640:BG1640)</f>
        <v>0</v>
      </c>
      <c r="BJ1640" s="6"/>
      <c r="BK1640" s="7"/>
      <c r="BL1640" s="7"/>
      <c r="BM1640" s="7"/>
      <c r="BN1640" s="7"/>
      <c r="BO1640" s="8">
        <f>SUM(BJ1640:BN1640)</f>
        <v>0</v>
      </c>
      <c r="BQ1640" s="6"/>
      <c r="BR1640" s="7"/>
      <c r="BS1640" s="7"/>
      <c r="BT1640" s="7"/>
      <c r="BU1640" s="7"/>
      <c r="BV1640" s="8">
        <f>SUM(BQ1640:BU1640)</f>
        <v>0</v>
      </c>
      <c r="BX1640" s="6"/>
      <c r="BY1640" s="7"/>
      <c r="BZ1640" s="7"/>
      <c r="CA1640" s="7"/>
      <c r="CB1640" s="7"/>
      <c r="CC1640" s="8">
        <f>SUM(BX1640:CB1640)</f>
        <v>0</v>
      </c>
      <c r="CE1640" s="28">
        <f t="shared" si="7535"/>
        <v>0</v>
      </c>
      <c r="CF1640" s="29">
        <f t="shared" si="7536"/>
        <v>0</v>
      </c>
      <c r="CG1640" s="29">
        <f t="shared" si="7537"/>
        <v>0</v>
      </c>
      <c r="CH1640" s="29">
        <f t="shared" si="7538"/>
        <v>0</v>
      </c>
      <c r="CI1640" s="29">
        <f t="shared" si="7539"/>
        <v>0</v>
      </c>
      <c r="CJ1640" s="8">
        <f>SUM(CE1640:CI1640)</f>
        <v>0</v>
      </c>
      <c r="CL1640" s="6"/>
      <c r="CM1640" s="7"/>
      <c r="CN1640" s="7"/>
      <c r="CO1640" s="7"/>
      <c r="CP1640" s="7"/>
      <c r="CQ1640" s="8">
        <f>SUM(CL1640:CP1640)</f>
        <v>0</v>
      </c>
      <c r="CS1640" s="6"/>
      <c r="CT1640" s="7"/>
      <c r="CU1640" s="7"/>
      <c r="CV1640" s="7"/>
      <c r="CW1640" s="7"/>
      <c r="CX1640" s="8">
        <f t="shared" ref="CX1640:CX1642" si="7543">SUM(CS1640:CW1640)</f>
        <v>0</v>
      </c>
      <c r="CZ1640" s="6"/>
      <c r="DA1640" s="7"/>
      <c r="DB1640" s="7"/>
      <c r="DC1640" s="7"/>
      <c r="DD1640" s="7"/>
      <c r="DE1640" s="8">
        <f t="shared" ref="DE1640:DE1642" si="7544">SUM(CZ1640:DD1640)</f>
        <v>0</v>
      </c>
    </row>
    <row r="1641" spans="2:110">
      <c r="C1641" s="567"/>
      <c r="E1641" s="5" t="s">
        <v>61</v>
      </c>
      <c r="F1641" s="6"/>
      <c r="G1641" s="7"/>
      <c r="H1641" s="7"/>
      <c r="I1641" s="7"/>
      <c r="J1641" s="7"/>
      <c r="K1641" s="8">
        <f t="shared" si="7540"/>
        <v>0</v>
      </c>
      <c r="M1641" s="6"/>
      <c r="N1641" s="7"/>
      <c r="O1641" s="7"/>
      <c r="P1641" s="7"/>
      <c r="Q1641" s="7"/>
      <c r="R1641" s="8">
        <f t="shared" si="7541"/>
        <v>0</v>
      </c>
      <c r="T1641" s="6"/>
      <c r="U1641" s="7"/>
      <c r="V1641" s="7"/>
      <c r="W1641" s="7"/>
      <c r="X1641" s="7"/>
      <c r="Y1641" s="8">
        <f t="shared" si="7542"/>
        <v>0</v>
      </c>
      <c r="AA1641" s="6"/>
      <c r="AB1641" s="7"/>
      <c r="AC1641" s="7"/>
      <c r="AD1641" s="7"/>
      <c r="AE1641" s="7"/>
      <c r="AF1641" s="8">
        <f>SUM(AA1641:AE1641)</f>
        <v>0</v>
      </c>
      <c r="AH1641" s="6"/>
      <c r="AI1641" s="7"/>
      <c r="AJ1641" s="7"/>
      <c r="AK1641" s="7"/>
      <c r="AL1641" s="7"/>
      <c r="AM1641" s="8">
        <f>SUM(AH1641:AL1641)</f>
        <v>0</v>
      </c>
      <c r="AO1641" s="6"/>
      <c r="AP1641" s="7"/>
      <c r="AQ1641" s="7"/>
      <c r="AR1641" s="7"/>
      <c r="AS1641" s="7"/>
      <c r="AT1641" s="8">
        <f>SUM(AO1641:AS1641)</f>
        <v>0</v>
      </c>
      <c r="AV1641" s="6"/>
      <c r="AW1641" s="7"/>
      <c r="AX1641" s="7"/>
      <c r="AY1641" s="7"/>
      <c r="AZ1641" s="7"/>
      <c r="BA1641" s="8">
        <f>SUM(AV1641:AZ1641)</f>
        <v>0</v>
      </c>
      <c r="BC1641" s="6"/>
      <c r="BD1641" s="7"/>
      <c r="BE1641" s="7"/>
      <c r="BF1641" s="7"/>
      <c r="BG1641" s="7"/>
      <c r="BH1641" s="8">
        <f>SUM(BC1641:BG1641)</f>
        <v>0</v>
      </c>
      <c r="BJ1641" s="6"/>
      <c r="BK1641" s="7"/>
      <c r="BL1641" s="7"/>
      <c r="BM1641" s="7"/>
      <c r="BN1641" s="7"/>
      <c r="BO1641" s="8">
        <f>SUM(BJ1641:BN1641)</f>
        <v>0</v>
      </c>
      <c r="BQ1641" s="6"/>
      <c r="BR1641" s="7"/>
      <c r="BS1641" s="7"/>
      <c r="BT1641" s="7"/>
      <c r="BU1641" s="7"/>
      <c r="BV1641" s="8">
        <f>SUM(BQ1641:BU1641)</f>
        <v>0</v>
      </c>
      <c r="BX1641" s="6"/>
      <c r="BY1641" s="7"/>
      <c r="BZ1641" s="7"/>
      <c r="CA1641" s="7"/>
      <c r="CB1641" s="7"/>
      <c r="CC1641" s="8">
        <f>SUM(BX1641:CB1641)</f>
        <v>0</v>
      </c>
      <c r="CE1641" s="28">
        <f t="shared" si="7535"/>
        <v>0</v>
      </c>
      <c r="CF1641" s="29">
        <f t="shared" si="7536"/>
        <v>0</v>
      </c>
      <c r="CG1641" s="29">
        <f t="shared" si="7537"/>
        <v>0</v>
      </c>
      <c r="CH1641" s="29">
        <f t="shared" si="7538"/>
        <v>0</v>
      </c>
      <c r="CI1641" s="29">
        <f t="shared" si="7539"/>
        <v>0</v>
      </c>
      <c r="CJ1641" s="8">
        <f>SUM(CE1641:CI1641)</f>
        <v>0</v>
      </c>
      <c r="CL1641" s="6"/>
      <c r="CM1641" s="7"/>
      <c r="CN1641" s="7"/>
      <c r="CO1641" s="7"/>
      <c r="CP1641" s="7"/>
      <c r="CQ1641" s="8">
        <f>SUM(CL1641:CP1641)</f>
        <v>0</v>
      </c>
      <c r="CS1641" s="6"/>
      <c r="CT1641" s="7"/>
      <c r="CU1641" s="7"/>
      <c r="CV1641" s="7"/>
      <c r="CW1641" s="7"/>
      <c r="CX1641" s="8">
        <f t="shared" si="7543"/>
        <v>0</v>
      </c>
      <c r="CZ1641" s="6"/>
      <c r="DA1641" s="7"/>
      <c r="DB1641" s="7"/>
      <c r="DC1641" s="7"/>
      <c r="DD1641" s="7"/>
      <c r="DE1641" s="8">
        <f t="shared" si="7544"/>
        <v>0</v>
      </c>
    </row>
    <row r="1642" spans="2:110" ht="14" thickBot="1">
      <c r="C1642" s="567"/>
      <c r="E1642" s="5" t="s">
        <v>62</v>
      </c>
      <c r="F1642" s="6"/>
      <c r="G1642" s="7"/>
      <c r="H1642" s="7"/>
      <c r="I1642" s="7"/>
      <c r="J1642" s="7"/>
      <c r="K1642" s="8">
        <f t="shared" si="7540"/>
        <v>0</v>
      </c>
      <c r="M1642" s="6"/>
      <c r="N1642" s="7"/>
      <c r="O1642" s="7"/>
      <c r="P1642" s="7"/>
      <c r="Q1642" s="7"/>
      <c r="R1642" s="8">
        <f t="shared" si="7541"/>
        <v>0</v>
      </c>
      <c r="T1642" s="6"/>
      <c r="U1642" s="7"/>
      <c r="V1642" s="7"/>
      <c r="W1642" s="7"/>
      <c r="X1642" s="7"/>
      <c r="Y1642" s="8">
        <f t="shared" si="7542"/>
        <v>0</v>
      </c>
      <c r="AA1642" s="6"/>
      <c r="AB1642" s="7"/>
      <c r="AC1642" s="7"/>
      <c r="AD1642" s="7"/>
      <c r="AE1642" s="7"/>
      <c r="AF1642" s="8">
        <f>SUM(AA1642:AE1642)</f>
        <v>0</v>
      </c>
      <c r="AH1642" s="6"/>
      <c r="AI1642" s="7"/>
      <c r="AJ1642" s="7"/>
      <c r="AK1642" s="7"/>
      <c r="AL1642" s="7"/>
      <c r="AM1642" s="8">
        <f>SUM(AH1642:AL1642)</f>
        <v>0</v>
      </c>
      <c r="AO1642" s="6"/>
      <c r="AP1642" s="7"/>
      <c r="AQ1642" s="7"/>
      <c r="AR1642" s="7"/>
      <c r="AS1642" s="7"/>
      <c r="AT1642" s="8">
        <f>SUM(AO1642:AS1642)</f>
        <v>0</v>
      </c>
      <c r="AV1642" s="6"/>
      <c r="AW1642" s="7"/>
      <c r="AX1642" s="7"/>
      <c r="AY1642" s="7"/>
      <c r="AZ1642" s="7"/>
      <c r="BA1642" s="8">
        <f>SUM(AV1642:AZ1642)</f>
        <v>0</v>
      </c>
      <c r="BC1642" s="6"/>
      <c r="BD1642" s="7"/>
      <c r="BE1642" s="7"/>
      <c r="BF1642" s="7"/>
      <c r="BG1642" s="7"/>
      <c r="BH1642" s="8">
        <f>SUM(BC1642:BG1642)</f>
        <v>0</v>
      </c>
      <c r="BJ1642" s="6"/>
      <c r="BK1642" s="7"/>
      <c r="BL1642" s="7"/>
      <c r="BM1642" s="7"/>
      <c r="BN1642" s="7"/>
      <c r="BO1642" s="8">
        <f>SUM(BJ1642:BN1642)</f>
        <v>0</v>
      </c>
      <c r="BQ1642" s="6"/>
      <c r="BR1642" s="7"/>
      <c r="BS1642" s="7"/>
      <c r="BT1642" s="7"/>
      <c r="BU1642" s="7"/>
      <c r="BV1642" s="8">
        <f>SUM(BQ1642:BU1642)</f>
        <v>0</v>
      </c>
      <c r="BX1642" s="6"/>
      <c r="BY1642" s="7"/>
      <c r="BZ1642" s="7"/>
      <c r="CA1642" s="7"/>
      <c r="CB1642" s="7"/>
      <c r="CC1642" s="8">
        <f>SUM(BX1642:CB1642)</f>
        <v>0</v>
      </c>
      <c r="CE1642" s="493">
        <f t="shared" si="7535"/>
        <v>0</v>
      </c>
      <c r="CF1642" s="494">
        <f t="shared" si="7536"/>
        <v>0</v>
      </c>
      <c r="CG1642" s="494">
        <f t="shared" si="7537"/>
        <v>0</v>
      </c>
      <c r="CH1642" s="494">
        <f t="shared" si="7538"/>
        <v>0</v>
      </c>
      <c r="CI1642" s="494">
        <f t="shared" si="7539"/>
        <v>0</v>
      </c>
      <c r="CJ1642" s="495">
        <f>SUM(CE1642:CI1642)</f>
        <v>0</v>
      </c>
      <c r="CL1642" s="6"/>
      <c r="CM1642" s="7"/>
      <c r="CN1642" s="7"/>
      <c r="CO1642" s="7"/>
      <c r="CP1642" s="7"/>
      <c r="CQ1642" s="8">
        <f>SUM(CL1642:CP1642)</f>
        <v>0</v>
      </c>
      <c r="CS1642" s="6"/>
      <c r="CT1642" s="7"/>
      <c r="CU1642" s="7"/>
      <c r="CV1642" s="7"/>
      <c r="CW1642" s="7"/>
      <c r="CX1642" s="8">
        <f t="shared" si="7543"/>
        <v>0</v>
      </c>
      <c r="CZ1642" s="6"/>
      <c r="DA1642" s="7"/>
      <c r="DB1642" s="7"/>
      <c r="DC1642" s="7"/>
      <c r="DD1642" s="7"/>
      <c r="DE1642" s="8">
        <f t="shared" si="7544"/>
        <v>0</v>
      </c>
    </row>
    <row r="1643" spans="2:110" ht="14" thickBot="1">
      <c r="C1643" s="554"/>
      <c r="E1643" s="9"/>
      <c r="F1643" s="10">
        <f>SUM(F1639:F1642)</f>
        <v>0</v>
      </c>
      <c r="G1643" s="11">
        <f t="shared" ref="G1643:J1643" si="7545">SUM(G1639:G1642)</f>
        <v>0</v>
      </c>
      <c r="H1643" s="11">
        <f t="shared" si="7545"/>
        <v>0</v>
      </c>
      <c r="I1643" s="11">
        <f t="shared" si="7545"/>
        <v>0</v>
      </c>
      <c r="J1643" s="61">
        <f t="shared" si="7545"/>
        <v>0</v>
      </c>
      <c r="K1643" s="25">
        <f>SUM(K1639:K1642)</f>
        <v>0</v>
      </c>
      <c r="M1643" s="10">
        <f>SUM(M1639:M1642)</f>
        <v>0</v>
      </c>
      <c r="N1643" s="11">
        <f t="shared" ref="N1643:Q1643" si="7546">SUM(N1639:N1642)</f>
        <v>0</v>
      </c>
      <c r="O1643" s="11">
        <f t="shared" si="7546"/>
        <v>0</v>
      </c>
      <c r="P1643" s="11">
        <f t="shared" si="7546"/>
        <v>0</v>
      </c>
      <c r="Q1643" s="11">
        <f t="shared" si="7546"/>
        <v>0</v>
      </c>
      <c r="R1643" s="25">
        <f>SUM(R1639:R1642)</f>
        <v>0</v>
      </c>
      <c r="T1643" s="10">
        <f>SUM(T1639:T1642)</f>
        <v>0</v>
      </c>
      <c r="U1643" s="11">
        <f t="shared" ref="U1643:X1643" si="7547">SUM(U1639:U1642)</f>
        <v>0</v>
      </c>
      <c r="V1643" s="11">
        <f t="shared" si="7547"/>
        <v>0</v>
      </c>
      <c r="W1643" s="11">
        <f t="shared" si="7547"/>
        <v>0</v>
      </c>
      <c r="X1643" s="11">
        <f t="shared" si="7547"/>
        <v>0</v>
      </c>
      <c r="Y1643" s="25">
        <f>SUM(Y1639:Y1642)</f>
        <v>0</v>
      </c>
      <c r="AA1643" s="10">
        <f>SUM(AA1639:AA1642)</f>
        <v>0</v>
      </c>
      <c r="AB1643" s="11">
        <f t="shared" ref="AB1643:AE1643" si="7548">SUM(AB1639:AB1642)</f>
        <v>0</v>
      </c>
      <c r="AC1643" s="11">
        <f t="shared" si="7548"/>
        <v>0</v>
      </c>
      <c r="AD1643" s="11">
        <f t="shared" si="7548"/>
        <v>0</v>
      </c>
      <c r="AE1643" s="11">
        <f t="shared" si="7548"/>
        <v>0</v>
      </c>
      <c r="AF1643" s="25">
        <f>SUM(AF1639:AF1642)</f>
        <v>0</v>
      </c>
      <c r="AH1643" s="10">
        <f>SUM(AH1639:AH1642)</f>
        <v>0</v>
      </c>
      <c r="AI1643" s="11">
        <f t="shared" ref="AI1643:AL1643" si="7549">SUM(AI1639:AI1642)</f>
        <v>0</v>
      </c>
      <c r="AJ1643" s="11">
        <f t="shared" si="7549"/>
        <v>0</v>
      </c>
      <c r="AK1643" s="11">
        <f t="shared" si="7549"/>
        <v>0</v>
      </c>
      <c r="AL1643" s="11">
        <f t="shared" si="7549"/>
        <v>0</v>
      </c>
      <c r="AM1643" s="25">
        <f>SUM(AM1639:AM1642)</f>
        <v>0</v>
      </c>
      <c r="AO1643" s="10">
        <f>SUM(AO1639:AO1642)</f>
        <v>0</v>
      </c>
      <c r="AP1643" s="11">
        <f t="shared" ref="AP1643:AS1643" si="7550">SUM(AP1639:AP1642)</f>
        <v>0</v>
      </c>
      <c r="AQ1643" s="11">
        <f t="shared" si="7550"/>
        <v>0</v>
      </c>
      <c r="AR1643" s="11">
        <f t="shared" si="7550"/>
        <v>0</v>
      </c>
      <c r="AS1643" s="11">
        <f t="shared" si="7550"/>
        <v>0</v>
      </c>
      <c r="AT1643" s="25">
        <f>SUM(AT1639:AT1642)</f>
        <v>0</v>
      </c>
      <c r="AV1643" s="10">
        <f>SUM(AV1639:AV1642)</f>
        <v>0</v>
      </c>
      <c r="AW1643" s="11">
        <f t="shared" ref="AW1643:AZ1643" si="7551">SUM(AW1639:AW1642)</f>
        <v>0</v>
      </c>
      <c r="AX1643" s="11">
        <f t="shared" si="7551"/>
        <v>0</v>
      </c>
      <c r="AY1643" s="11">
        <f t="shared" si="7551"/>
        <v>0</v>
      </c>
      <c r="AZ1643" s="11">
        <f t="shared" si="7551"/>
        <v>0</v>
      </c>
      <c r="BA1643" s="25">
        <f>SUM(BA1639:BA1642)</f>
        <v>0</v>
      </c>
      <c r="BC1643" s="10">
        <f>SUM(BC1639:BC1642)</f>
        <v>0</v>
      </c>
      <c r="BD1643" s="11">
        <f t="shared" ref="BD1643:BG1643" si="7552">SUM(BD1639:BD1642)</f>
        <v>0</v>
      </c>
      <c r="BE1643" s="11">
        <f t="shared" si="7552"/>
        <v>0</v>
      </c>
      <c r="BF1643" s="11">
        <f t="shared" si="7552"/>
        <v>0</v>
      </c>
      <c r="BG1643" s="11">
        <f t="shared" si="7552"/>
        <v>0</v>
      </c>
      <c r="BH1643" s="25">
        <f>SUM(BH1639:BH1642)</f>
        <v>0</v>
      </c>
      <c r="BJ1643" s="10">
        <f>SUM(BJ1639:BJ1642)</f>
        <v>0</v>
      </c>
      <c r="BK1643" s="11">
        <f t="shared" ref="BK1643:BN1643" si="7553">SUM(BK1639:BK1642)</f>
        <v>0</v>
      </c>
      <c r="BL1643" s="11">
        <f t="shared" si="7553"/>
        <v>0</v>
      </c>
      <c r="BM1643" s="11">
        <f t="shared" si="7553"/>
        <v>0</v>
      </c>
      <c r="BN1643" s="11">
        <f t="shared" si="7553"/>
        <v>0</v>
      </c>
      <c r="BO1643" s="25">
        <f>SUM(BO1639:BO1642)</f>
        <v>0</v>
      </c>
      <c r="BQ1643" s="10">
        <f>SUM(BQ1639:BQ1642)</f>
        <v>0</v>
      </c>
      <c r="BR1643" s="11">
        <f t="shared" ref="BR1643:BU1643" si="7554">SUM(BR1639:BR1642)</f>
        <v>0</v>
      </c>
      <c r="BS1643" s="11">
        <f t="shared" si="7554"/>
        <v>0</v>
      </c>
      <c r="BT1643" s="11">
        <f t="shared" si="7554"/>
        <v>0</v>
      </c>
      <c r="BU1643" s="11">
        <f t="shared" si="7554"/>
        <v>0</v>
      </c>
      <c r="BV1643" s="25">
        <f>SUM(BV1639:BV1642)</f>
        <v>0</v>
      </c>
      <c r="BX1643" s="10">
        <f>SUM(BX1639:BX1642)</f>
        <v>0</v>
      </c>
      <c r="BY1643" s="11">
        <f t="shared" ref="BY1643:CB1643" si="7555">SUM(BY1639:BY1642)</f>
        <v>0</v>
      </c>
      <c r="BZ1643" s="11">
        <f t="shared" si="7555"/>
        <v>0</v>
      </c>
      <c r="CA1643" s="11">
        <f t="shared" si="7555"/>
        <v>0</v>
      </c>
      <c r="CB1643" s="11">
        <f t="shared" si="7555"/>
        <v>0</v>
      </c>
      <c r="CC1643" s="25">
        <f>SUM(CC1639:CC1642)</f>
        <v>0</v>
      </c>
      <c r="CE1643" s="62">
        <f t="shared" ref="CE1643:CJ1643" si="7556">SUM(CE1639:CE1642)</f>
        <v>0</v>
      </c>
      <c r="CF1643" s="63">
        <f t="shared" si="7556"/>
        <v>0</v>
      </c>
      <c r="CG1643" s="63">
        <f t="shared" si="7556"/>
        <v>0</v>
      </c>
      <c r="CH1643" s="63">
        <f t="shared" si="7556"/>
        <v>0</v>
      </c>
      <c r="CI1643" s="63">
        <f t="shared" si="7556"/>
        <v>0</v>
      </c>
      <c r="CJ1643" s="25">
        <f t="shared" si="7556"/>
        <v>0</v>
      </c>
      <c r="CL1643" s="10">
        <f>SUM(CL1639:CL1642)</f>
        <v>0</v>
      </c>
      <c r="CM1643" s="11">
        <f t="shared" ref="CM1643:CP1643" si="7557">SUM(CM1639:CM1642)</f>
        <v>0</v>
      </c>
      <c r="CN1643" s="11">
        <f t="shared" si="7557"/>
        <v>0</v>
      </c>
      <c r="CO1643" s="11">
        <f t="shared" si="7557"/>
        <v>0</v>
      </c>
      <c r="CP1643" s="11">
        <f t="shared" si="7557"/>
        <v>0</v>
      </c>
      <c r="CQ1643" s="25">
        <f>SUM(CQ1639:CQ1642)</f>
        <v>0</v>
      </c>
      <c r="CS1643" s="10">
        <f>SUM(CS1639:CS1642)</f>
        <v>0</v>
      </c>
      <c r="CT1643" s="11">
        <f t="shared" ref="CT1643:CW1643" si="7558">SUM(CT1639:CT1642)</f>
        <v>0</v>
      </c>
      <c r="CU1643" s="11">
        <f t="shared" si="7558"/>
        <v>0</v>
      </c>
      <c r="CV1643" s="11">
        <f t="shared" si="7558"/>
        <v>0</v>
      </c>
      <c r="CW1643" s="11">
        <f t="shared" si="7558"/>
        <v>0</v>
      </c>
      <c r="CX1643" s="25">
        <f>SUM(CX1639:CX1642)</f>
        <v>0</v>
      </c>
      <c r="CZ1643" s="10">
        <f>SUM(CZ1639:CZ1642)</f>
        <v>0</v>
      </c>
      <c r="DA1643" s="11">
        <f t="shared" ref="DA1643:DD1643" si="7559">SUM(DA1639:DA1642)</f>
        <v>0</v>
      </c>
      <c r="DB1643" s="11">
        <f t="shared" si="7559"/>
        <v>0</v>
      </c>
      <c r="DC1643" s="11">
        <f t="shared" si="7559"/>
        <v>0</v>
      </c>
      <c r="DD1643" s="11">
        <f t="shared" si="7559"/>
        <v>0</v>
      </c>
      <c r="DE1643" s="25">
        <f>SUM(DE1639:DE1642)</f>
        <v>0</v>
      </c>
    </row>
    <row r="1644" spans="2:110" ht="10.4" customHeight="1" thickBot="1"/>
    <row r="1645" spans="2:110">
      <c r="C1645" s="553">
        <v>2025</v>
      </c>
      <c r="E1645" s="13" t="s">
        <v>59</v>
      </c>
      <c r="F1645" s="21">
        <f>CE1639</f>
        <v>0</v>
      </c>
      <c r="G1645" s="22">
        <f t="shared" ref="G1645:G1648" si="7560">CF1639</f>
        <v>0</v>
      </c>
      <c r="H1645" s="22">
        <f t="shared" ref="H1645:H1648" si="7561">CG1639</f>
        <v>0</v>
      </c>
      <c r="I1645" s="22">
        <f t="shared" ref="I1645:I1648" si="7562">CH1639</f>
        <v>0</v>
      </c>
      <c r="J1645" s="22">
        <f t="shared" ref="J1645:J1648" si="7563">CI1639</f>
        <v>0</v>
      </c>
      <c r="K1645" s="15">
        <f>SUM(F1645:J1645)</f>
        <v>0</v>
      </c>
      <c r="M1645" s="2"/>
      <c r="N1645" s="3"/>
      <c r="O1645" s="3"/>
      <c r="P1645" s="3"/>
      <c r="Q1645" s="3"/>
      <c r="R1645" s="15">
        <f>SUM(M1645:Q1645)</f>
        <v>0</v>
      </c>
      <c r="T1645" s="2"/>
      <c r="U1645" s="3"/>
      <c r="V1645" s="3"/>
      <c r="W1645" s="3"/>
      <c r="X1645" s="3"/>
      <c r="Y1645" s="15">
        <f>SUM(T1645:X1645)</f>
        <v>0</v>
      </c>
      <c r="AA1645" s="2"/>
      <c r="AB1645" s="3"/>
      <c r="AC1645" s="3"/>
      <c r="AD1645" s="3"/>
      <c r="AE1645" s="3"/>
      <c r="AF1645" s="15">
        <f>SUM(AA1645:AE1645)</f>
        <v>0</v>
      </c>
      <c r="AH1645" s="2"/>
      <c r="AI1645" s="3"/>
      <c r="AJ1645" s="3"/>
      <c r="AK1645" s="3"/>
      <c r="AL1645" s="3"/>
      <c r="AM1645" s="15">
        <f>SUM(AH1645:AL1645)</f>
        <v>0</v>
      </c>
      <c r="AO1645" s="2"/>
      <c r="AP1645" s="3"/>
      <c r="AQ1645" s="3"/>
      <c r="AR1645" s="3"/>
      <c r="AS1645" s="3"/>
      <c r="AT1645" s="15">
        <f>SUM(AO1645:AS1645)</f>
        <v>0</v>
      </c>
      <c r="AV1645" s="2"/>
      <c r="AW1645" s="3"/>
      <c r="AX1645" s="3"/>
      <c r="AY1645" s="3"/>
      <c r="AZ1645" s="3"/>
      <c r="BA1645" s="15">
        <f>SUM(AV1645:AZ1645)</f>
        <v>0</v>
      </c>
      <c r="BC1645" s="2"/>
      <c r="BD1645" s="3"/>
      <c r="BE1645" s="3"/>
      <c r="BF1645" s="3"/>
      <c r="BG1645" s="3"/>
      <c r="BH1645" s="15">
        <f>SUM(BC1645:BG1645)</f>
        <v>0</v>
      </c>
      <c r="BJ1645" s="2"/>
      <c r="BK1645" s="3"/>
      <c r="BL1645" s="3"/>
      <c r="BM1645" s="3"/>
      <c r="BN1645" s="3"/>
      <c r="BO1645" s="15">
        <f>SUM(BJ1645:BN1645)</f>
        <v>0</v>
      </c>
      <c r="BQ1645" s="2"/>
      <c r="BR1645" s="3"/>
      <c r="BS1645" s="3"/>
      <c r="BT1645" s="3"/>
      <c r="BU1645" s="3"/>
      <c r="BV1645" s="15">
        <f>SUM(BQ1645:BU1645)</f>
        <v>0</v>
      </c>
      <c r="BX1645" s="2"/>
      <c r="BY1645" s="3"/>
      <c r="BZ1645" s="3"/>
      <c r="CA1645" s="3"/>
      <c r="CB1645" s="3"/>
      <c r="CC1645" s="15">
        <f>SUM(BX1645:CB1645)</f>
        <v>0</v>
      </c>
      <c r="CE1645" s="26">
        <f t="shared" ref="CE1645:CE1648" si="7564">F1645+M1645+T1645+AA1645+AH1645+AO1645+AV1645+BC1645+BJ1645+BQ1645+BX1645</f>
        <v>0</v>
      </c>
      <c r="CF1645" s="27">
        <f t="shared" ref="CF1645:CF1648" si="7565">G1645+N1645+U1645+AB1645+AI1645+AP1645+AW1645+BD1645+BK1645+BR1645+BY1645</f>
        <v>0</v>
      </c>
      <c r="CG1645" s="27">
        <f t="shared" ref="CG1645:CG1648" si="7566">H1645+O1645+V1645+AC1645+AJ1645+AQ1645+AX1645+BE1645+BL1645+BS1645+BZ1645</f>
        <v>0</v>
      </c>
      <c r="CH1645" s="27">
        <f t="shared" ref="CH1645:CH1648" si="7567">I1645+P1645+W1645+AD1645+AK1645+AR1645+AY1645+BF1645+BM1645+BT1645+CA1645</f>
        <v>0</v>
      </c>
      <c r="CI1645" s="27">
        <f t="shared" ref="CI1645:CI1648" si="7568">J1645+Q1645+X1645+AE1645+AL1645+AS1645+AZ1645+BG1645+BN1645+BU1645+CB1645</f>
        <v>0</v>
      </c>
      <c r="CJ1645" s="4">
        <f>SUM(CE1645:CI1645)</f>
        <v>0</v>
      </c>
      <c r="CL1645" s="2"/>
      <c r="CM1645" s="3"/>
      <c r="CN1645" s="3"/>
      <c r="CO1645" s="3"/>
      <c r="CP1645" s="3"/>
      <c r="CQ1645" s="15">
        <f>SUM(CL1645:CP1645)</f>
        <v>0</v>
      </c>
      <c r="CS1645" s="2"/>
      <c r="CT1645" s="3"/>
      <c r="CU1645" s="3"/>
      <c r="CV1645" s="3"/>
      <c r="CW1645" s="3"/>
      <c r="CX1645" s="4">
        <f>SUM(CS1645:CW1645)</f>
        <v>0</v>
      </c>
      <c r="CZ1645" s="2"/>
      <c r="DA1645" s="3"/>
      <c r="DB1645" s="3"/>
      <c r="DC1645" s="3"/>
      <c r="DD1645" s="3"/>
      <c r="DE1645" s="15">
        <f>SUM(CZ1645:DD1645)</f>
        <v>0</v>
      </c>
    </row>
    <row r="1646" spans="2:110">
      <c r="C1646" s="567"/>
      <c r="E1646" s="14" t="s">
        <v>60</v>
      </c>
      <c r="F1646" s="23">
        <f t="shared" ref="F1646:F1648" si="7569">CE1640</f>
        <v>0</v>
      </c>
      <c r="G1646" s="24">
        <f t="shared" si="7560"/>
        <v>0</v>
      </c>
      <c r="H1646" s="24">
        <f t="shared" si="7561"/>
        <v>0</v>
      </c>
      <c r="I1646" s="24">
        <f t="shared" si="7562"/>
        <v>0</v>
      </c>
      <c r="J1646" s="24">
        <f t="shared" si="7563"/>
        <v>0</v>
      </c>
      <c r="K1646" s="16">
        <f t="shared" ref="K1646:K1648" si="7570">SUM(F1646:J1646)</f>
        <v>0</v>
      </c>
      <c r="M1646" s="6"/>
      <c r="N1646" s="7"/>
      <c r="O1646" s="7"/>
      <c r="P1646" s="7"/>
      <c r="Q1646" s="7"/>
      <c r="R1646" s="16">
        <f t="shared" ref="R1646:R1648" si="7571">SUM(M1646:Q1646)</f>
        <v>0</v>
      </c>
      <c r="T1646" s="6"/>
      <c r="U1646" s="7"/>
      <c r="V1646" s="7"/>
      <c r="W1646" s="7"/>
      <c r="X1646" s="7"/>
      <c r="Y1646" s="16">
        <f t="shared" ref="Y1646:Y1648" si="7572">SUM(T1646:X1646)</f>
        <v>0</v>
      </c>
      <c r="AA1646" s="6"/>
      <c r="AB1646" s="7"/>
      <c r="AC1646" s="7"/>
      <c r="AD1646" s="7"/>
      <c r="AE1646" s="7"/>
      <c r="AF1646" s="16">
        <f>SUM(AA1646:AE1646)</f>
        <v>0</v>
      </c>
      <c r="AH1646" s="6"/>
      <c r="AI1646" s="7"/>
      <c r="AJ1646" s="7"/>
      <c r="AK1646" s="7"/>
      <c r="AL1646" s="7"/>
      <c r="AM1646" s="16">
        <f>SUM(AH1646:AL1646)</f>
        <v>0</v>
      </c>
      <c r="AO1646" s="6"/>
      <c r="AP1646" s="7"/>
      <c r="AQ1646" s="7"/>
      <c r="AR1646" s="7"/>
      <c r="AS1646" s="7"/>
      <c r="AT1646" s="16">
        <f>SUM(AO1646:AS1646)</f>
        <v>0</v>
      </c>
      <c r="AV1646" s="6"/>
      <c r="AW1646" s="7"/>
      <c r="AX1646" s="7"/>
      <c r="AY1646" s="7"/>
      <c r="AZ1646" s="7"/>
      <c r="BA1646" s="16">
        <f>SUM(AV1646:AZ1646)</f>
        <v>0</v>
      </c>
      <c r="BC1646" s="6"/>
      <c r="BD1646" s="7"/>
      <c r="BE1646" s="7"/>
      <c r="BF1646" s="7"/>
      <c r="BG1646" s="7"/>
      <c r="BH1646" s="16">
        <f>SUM(BC1646:BG1646)</f>
        <v>0</v>
      </c>
      <c r="BJ1646" s="6"/>
      <c r="BK1646" s="7"/>
      <c r="BL1646" s="7"/>
      <c r="BM1646" s="7"/>
      <c r="BN1646" s="7"/>
      <c r="BO1646" s="16">
        <f>SUM(BJ1646:BN1646)</f>
        <v>0</v>
      </c>
      <c r="BQ1646" s="6"/>
      <c r="BR1646" s="7"/>
      <c r="BS1646" s="7"/>
      <c r="BT1646" s="7"/>
      <c r="BU1646" s="7"/>
      <c r="BV1646" s="16">
        <f>SUM(BQ1646:BU1646)</f>
        <v>0</v>
      </c>
      <c r="BX1646" s="6"/>
      <c r="BY1646" s="7"/>
      <c r="BZ1646" s="7"/>
      <c r="CA1646" s="7"/>
      <c r="CB1646" s="7"/>
      <c r="CC1646" s="16">
        <f>SUM(BX1646:CB1646)</f>
        <v>0</v>
      </c>
      <c r="CE1646" s="28">
        <f t="shared" si="7564"/>
        <v>0</v>
      </c>
      <c r="CF1646" s="29">
        <f t="shared" si="7565"/>
        <v>0</v>
      </c>
      <c r="CG1646" s="29">
        <f t="shared" si="7566"/>
        <v>0</v>
      </c>
      <c r="CH1646" s="29">
        <f t="shared" si="7567"/>
        <v>0</v>
      </c>
      <c r="CI1646" s="29">
        <f t="shared" si="7568"/>
        <v>0</v>
      </c>
      <c r="CJ1646" s="8">
        <f>SUM(CE1646:CI1646)</f>
        <v>0</v>
      </c>
      <c r="CL1646" s="6"/>
      <c r="CM1646" s="7"/>
      <c r="CN1646" s="7"/>
      <c r="CO1646" s="7"/>
      <c r="CP1646" s="7"/>
      <c r="CQ1646" s="16">
        <f>SUM(CL1646:CP1646)</f>
        <v>0</v>
      </c>
      <c r="CS1646" s="6"/>
      <c r="CT1646" s="7"/>
      <c r="CU1646" s="7"/>
      <c r="CV1646" s="7"/>
      <c r="CW1646" s="7"/>
      <c r="CX1646" s="8">
        <f t="shared" ref="CX1646:CX1648" si="7573">SUM(CS1646:CW1646)</f>
        <v>0</v>
      </c>
      <c r="CZ1646" s="6"/>
      <c r="DA1646" s="7"/>
      <c r="DB1646" s="7"/>
      <c r="DC1646" s="7"/>
      <c r="DD1646" s="7"/>
      <c r="DE1646" s="16">
        <f t="shared" ref="DE1646:DE1648" si="7574">SUM(CZ1646:DD1646)</f>
        <v>0</v>
      </c>
    </row>
    <row r="1647" spans="2:110">
      <c r="C1647" s="567"/>
      <c r="E1647" s="14" t="s">
        <v>61</v>
      </c>
      <c r="F1647" s="23">
        <f t="shared" si="7569"/>
        <v>0</v>
      </c>
      <c r="G1647" s="24">
        <f t="shared" si="7560"/>
        <v>0</v>
      </c>
      <c r="H1647" s="24">
        <f t="shared" si="7561"/>
        <v>0</v>
      </c>
      <c r="I1647" s="24">
        <f t="shared" si="7562"/>
        <v>0</v>
      </c>
      <c r="J1647" s="24">
        <f t="shared" si="7563"/>
        <v>0</v>
      </c>
      <c r="K1647" s="16">
        <f t="shared" si="7570"/>
        <v>0</v>
      </c>
      <c r="M1647" s="6"/>
      <c r="N1647" s="7"/>
      <c r="O1647" s="7"/>
      <c r="P1647" s="7"/>
      <c r="Q1647" s="7"/>
      <c r="R1647" s="16">
        <f t="shared" si="7571"/>
        <v>0</v>
      </c>
      <c r="T1647" s="6"/>
      <c r="U1647" s="7"/>
      <c r="V1647" s="7"/>
      <c r="W1647" s="7"/>
      <c r="X1647" s="7"/>
      <c r="Y1647" s="16">
        <f t="shared" si="7572"/>
        <v>0</v>
      </c>
      <c r="AA1647" s="6"/>
      <c r="AB1647" s="7"/>
      <c r="AC1647" s="7"/>
      <c r="AD1647" s="7"/>
      <c r="AE1647" s="7"/>
      <c r="AF1647" s="16">
        <f>SUM(AA1647:AE1647)</f>
        <v>0</v>
      </c>
      <c r="AH1647" s="6"/>
      <c r="AI1647" s="7"/>
      <c r="AJ1647" s="7"/>
      <c r="AK1647" s="7"/>
      <c r="AL1647" s="7"/>
      <c r="AM1647" s="16">
        <f>SUM(AH1647:AL1647)</f>
        <v>0</v>
      </c>
      <c r="AO1647" s="6"/>
      <c r="AP1647" s="7"/>
      <c r="AQ1647" s="7"/>
      <c r="AR1647" s="7"/>
      <c r="AS1647" s="7"/>
      <c r="AT1647" s="16">
        <f>SUM(AO1647:AS1647)</f>
        <v>0</v>
      </c>
      <c r="AV1647" s="6"/>
      <c r="AW1647" s="7"/>
      <c r="AX1647" s="7"/>
      <c r="AY1647" s="7"/>
      <c r="AZ1647" s="7"/>
      <c r="BA1647" s="16">
        <f>SUM(AV1647:AZ1647)</f>
        <v>0</v>
      </c>
      <c r="BC1647" s="6"/>
      <c r="BD1647" s="7"/>
      <c r="BE1647" s="7"/>
      <c r="BF1647" s="7"/>
      <c r="BG1647" s="7"/>
      <c r="BH1647" s="16">
        <f>SUM(BC1647:BG1647)</f>
        <v>0</v>
      </c>
      <c r="BJ1647" s="6"/>
      <c r="BK1647" s="7"/>
      <c r="BL1647" s="7"/>
      <c r="BM1647" s="7"/>
      <c r="BN1647" s="7"/>
      <c r="BO1647" s="16">
        <f>SUM(BJ1647:BN1647)</f>
        <v>0</v>
      </c>
      <c r="BQ1647" s="6"/>
      <c r="BR1647" s="7"/>
      <c r="BS1647" s="7"/>
      <c r="BT1647" s="7"/>
      <c r="BU1647" s="7"/>
      <c r="BV1647" s="16">
        <f>SUM(BQ1647:BU1647)</f>
        <v>0</v>
      </c>
      <c r="BX1647" s="6"/>
      <c r="BY1647" s="7"/>
      <c r="BZ1647" s="7"/>
      <c r="CA1647" s="7"/>
      <c r="CB1647" s="7"/>
      <c r="CC1647" s="16">
        <f>SUM(BX1647:CB1647)</f>
        <v>0</v>
      </c>
      <c r="CE1647" s="28">
        <f t="shared" si="7564"/>
        <v>0</v>
      </c>
      <c r="CF1647" s="29">
        <f t="shared" si="7565"/>
        <v>0</v>
      </c>
      <c r="CG1647" s="29">
        <f t="shared" si="7566"/>
        <v>0</v>
      </c>
      <c r="CH1647" s="29">
        <f t="shared" si="7567"/>
        <v>0</v>
      </c>
      <c r="CI1647" s="29">
        <f t="shared" si="7568"/>
        <v>0</v>
      </c>
      <c r="CJ1647" s="8">
        <f>SUM(CE1647:CI1647)</f>
        <v>0</v>
      </c>
      <c r="CL1647" s="6"/>
      <c r="CM1647" s="7"/>
      <c r="CN1647" s="7"/>
      <c r="CO1647" s="7"/>
      <c r="CP1647" s="7"/>
      <c r="CQ1647" s="16">
        <f>SUM(CL1647:CP1647)</f>
        <v>0</v>
      </c>
      <c r="CS1647" s="6"/>
      <c r="CT1647" s="7"/>
      <c r="CU1647" s="7"/>
      <c r="CV1647" s="7"/>
      <c r="CW1647" s="7"/>
      <c r="CX1647" s="8">
        <f t="shared" si="7573"/>
        <v>0</v>
      </c>
      <c r="CZ1647" s="6"/>
      <c r="DA1647" s="7"/>
      <c r="DB1647" s="7"/>
      <c r="DC1647" s="7"/>
      <c r="DD1647" s="7"/>
      <c r="DE1647" s="16">
        <f t="shared" si="7574"/>
        <v>0</v>
      </c>
    </row>
    <row r="1648" spans="2:110" ht="14" thickBot="1">
      <c r="C1648" s="567"/>
      <c r="E1648" s="14" t="s">
        <v>62</v>
      </c>
      <c r="F1648" s="23">
        <f t="shared" si="7569"/>
        <v>0</v>
      </c>
      <c r="G1648" s="24">
        <f t="shared" si="7560"/>
        <v>0</v>
      </c>
      <c r="H1648" s="24">
        <f t="shared" si="7561"/>
        <v>0</v>
      </c>
      <c r="I1648" s="24">
        <f t="shared" si="7562"/>
        <v>0</v>
      </c>
      <c r="J1648" s="24">
        <f t="shared" si="7563"/>
        <v>0</v>
      </c>
      <c r="K1648" s="16">
        <f t="shared" si="7570"/>
        <v>0</v>
      </c>
      <c r="M1648" s="6"/>
      <c r="N1648" s="7"/>
      <c r="O1648" s="7"/>
      <c r="P1648" s="7"/>
      <c r="Q1648" s="7"/>
      <c r="R1648" s="16">
        <f t="shared" si="7571"/>
        <v>0</v>
      </c>
      <c r="T1648" s="6"/>
      <c r="U1648" s="7"/>
      <c r="V1648" s="7"/>
      <c r="W1648" s="7"/>
      <c r="X1648" s="7"/>
      <c r="Y1648" s="16">
        <f t="shared" si="7572"/>
        <v>0</v>
      </c>
      <c r="AA1648" s="6"/>
      <c r="AB1648" s="7"/>
      <c r="AC1648" s="7"/>
      <c r="AD1648" s="7"/>
      <c r="AE1648" s="7"/>
      <c r="AF1648" s="16">
        <f>SUM(AA1648:AE1648)</f>
        <v>0</v>
      </c>
      <c r="AH1648" s="6"/>
      <c r="AI1648" s="7"/>
      <c r="AJ1648" s="7"/>
      <c r="AK1648" s="7"/>
      <c r="AL1648" s="7"/>
      <c r="AM1648" s="16">
        <f>SUM(AH1648:AL1648)</f>
        <v>0</v>
      </c>
      <c r="AO1648" s="6"/>
      <c r="AP1648" s="7"/>
      <c r="AQ1648" s="7"/>
      <c r="AR1648" s="7"/>
      <c r="AS1648" s="7"/>
      <c r="AT1648" s="16">
        <f>SUM(AO1648:AS1648)</f>
        <v>0</v>
      </c>
      <c r="AV1648" s="6"/>
      <c r="AW1648" s="7"/>
      <c r="AX1648" s="7"/>
      <c r="AY1648" s="7"/>
      <c r="AZ1648" s="7"/>
      <c r="BA1648" s="16">
        <f>SUM(AV1648:AZ1648)</f>
        <v>0</v>
      </c>
      <c r="BC1648" s="6"/>
      <c r="BD1648" s="7"/>
      <c r="BE1648" s="7"/>
      <c r="BF1648" s="7"/>
      <c r="BG1648" s="7"/>
      <c r="BH1648" s="16">
        <f>SUM(BC1648:BG1648)</f>
        <v>0</v>
      </c>
      <c r="BJ1648" s="6"/>
      <c r="BK1648" s="7"/>
      <c r="BL1648" s="7"/>
      <c r="BM1648" s="7"/>
      <c r="BN1648" s="7"/>
      <c r="BO1648" s="16">
        <f>SUM(BJ1648:BN1648)</f>
        <v>0</v>
      </c>
      <c r="BQ1648" s="6"/>
      <c r="BR1648" s="7"/>
      <c r="BS1648" s="7"/>
      <c r="BT1648" s="7"/>
      <c r="BU1648" s="7"/>
      <c r="BV1648" s="16">
        <f>SUM(BQ1648:BU1648)</f>
        <v>0</v>
      </c>
      <c r="BX1648" s="6"/>
      <c r="BY1648" s="7"/>
      <c r="BZ1648" s="7"/>
      <c r="CA1648" s="7"/>
      <c r="CB1648" s="7"/>
      <c r="CC1648" s="16">
        <f>SUM(BX1648:CB1648)</f>
        <v>0</v>
      </c>
      <c r="CE1648" s="493">
        <f t="shared" si="7564"/>
        <v>0</v>
      </c>
      <c r="CF1648" s="494">
        <f t="shared" si="7565"/>
        <v>0</v>
      </c>
      <c r="CG1648" s="494">
        <f t="shared" si="7566"/>
        <v>0</v>
      </c>
      <c r="CH1648" s="494">
        <f t="shared" si="7567"/>
        <v>0</v>
      </c>
      <c r="CI1648" s="494">
        <f t="shared" si="7568"/>
        <v>0</v>
      </c>
      <c r="CJ1648" s="495">
        <f>SUM(CE1648:CI1648)</f>
        <v>0</v>
      </c>
      <c r="CL1648" s="6"/>
      <c r="CM1648" s="7"/>
      <c r="CN1648" s="7"/>
      <c r="CO1648" s="7"/>
      <c r="CP1648" s="7"/>
      <c r="CQ1648" s="16">
        <f>SUM(CL1648:CP1648)</f>
        <v>0</v>
      </c>
      <c r="CS1648" s="6"/>
      <c r="CT1648" s="7"/>
      <c r="CU1648" s="7"/>
      <c r="CV1648" s="7"/>
      <c r="CW1648" s="7"/>
      <c r="CX1648" s="8">
        <f t="shared" si="7573"/>
        <v>0</v>
      </c>
      <c r="CZ1648" s="6"/>
      <c r="DA1648" s="7"/>
      <c r="DB1648" s="7"/>
      <c r="DC1648" s="7"/>
      <c r="DD1648" s="7"/>
      <c r="DE1648" s="16">
        <f t="shared" si="7574"/>
        <v>0</v>
      </c>
    </row>
    <row r="1649" spans="3:109" ht="14" thickBot="1">
      <c r="C1649" s="554"/>
      <c r="E1649" s="17"/>
      <c r="F1649" s="10">
        <f>SUM(F1645:F1648)</f>
        <v>0</v>
      </c>
      <c r="G1649" s="11">
        <f t="shared" ref="G1649:J1649" si="7575">SUM(G1645:G1648)</f>
        <v>0</v>
      </c>
      <c r="H1649" s="11">
        <f t="shared" si="7575"/>
        <v>0</v>
      </c>
      <c r="I1649" s="11">
        <f t="shared" si="7575"/>
        <v>0</v>
      </c>
      <c r="J1649" s="11">
        <f t="shared" si="7575"/>
        <v>0</v>
      </c>
      <c r="K1649" s="25">
        <f>SUM(K1645:K1648)</f>
        <v>0</v>
      </c>
      <c r="M1649" s="10">
        <f>SUM(M1645:M1648)</f>
        <v>0</v>
      </c>
      <c r="N1649" s="11">
        <f t="shared" ref="N1649:Q1649" si="7576">SUM(N1645:N1648)</f>
        <v>0</v>
      </c>
      <c r="O1649" s="11">
        <f t="shared" si="7576"/>
        <v>0</v>
      </c>
      <c r="P1649" s="11">
        <f t="shared" si="7576"/>
        <v>0</v>
      </c>
      <c r="Q1649" s="11">
        <f t="shared" si="7576"/>
        <v>0</v>
      </c>
      <c r="R1649" s="25">
        <f>SUM(R1645:R1648)</f>
        <v>0</v>
      </c>
      <c r="T1649" s="10">
        <f>SUM(T1645:T1648)</f>
        <v>0</v>
      </c>
      <c r="U1649" s="11">
        <f t="shared" ref="U1649:X1649" si="7577">SUM(U1645:U1648)</f>
        <v>0</v>
      </c>
      <c r="V1649" s="11">
        <f t="shared" si="7577"/>
        <v>0</v>
      </c>
      <c r="W1649" s="11">
        <f t="shared" si="7577"/>
        <v>0</v>
      </c>
      <c r="X1649" s="11">
        <f t="shared" si="7577"/>
        <v>0</v>
      </c>
      <c r="Y1649" s="25">
        <f>SUM(Y1645:Y1648)</f>
        <v>0</v>
      </c>
      <c r="AA1649" s="10">
        <f>SUM(AA1645:AA1648)</f>
        <v>0</v>
      </c>
      <c r="AB1649" s="11">
        <f t="shared" ref="AB1649:AE1649" si="7578">SUM(AB1645:AB1648)</f>
        <v>0</v>
      </c>
      <c r="AC1649" s="11">
        <f t="shared" si="7578"/>
        <v>0</v>
      </c>
      <c r="AD1649" s="11">
        <f t="shared" si="7578"/>
        <v>0</v>
      </c>
      <c r="AE1649" s="11">
        <f t="shared" si="7578"/>
        <v>0</v>
      </c>
      <c r="AF1649" s="25">
        <f>SUM(AF1645:AF1648)</f>
        <v>0</v>
      </c>
      <c r="AH1649" s="10">
        <f>SUM(AH1645:AH1648)</f>
        <v>0</v>
      </c>
      <c r="AI1649" s="11">
        <f t="shared" ref="AI1649:AL1649" si="7579">SUM(AI1645:AI1648)</f>
        <v>0</v>
      </c>
      <c r="AJ1649" s="11">
        <f t="shared" si="7579"/>
        <v>0</v>
      </c>
      <c r="AK1649" s="11">
        <f t="shared" si="7579"/>
        <v>0</v>
      </c>
      <c r="AL1649" s="11">
        <f t="shared" si="7579"/>
        <v>0</v>
      </c>
      <c r="AM1649" s="25">
        <f>SUM(AM1645:AM1648)</f>
        <v>0</v>
      </c>
      <c r="AO1649" s="10">
        <f>SUM(AO1645:AO1648)</f>
        <v>0</v>
      </c>
      <c r="AP1649" s="11">
        <f t="shared" ref="AP1649:AS1649" si="7580">SUM(AP1645:AP1648)</f>
        <v>0</v>
      </c>
      <c r="AQ1649" s="11">
        <f t="shared" si="7580"/>
        <v>0</v>
      </c>
      <c r="AR1649" s="11">
        <f t="shared" si="7580"/>
        <v>0</v>
      </c>
      <c r="AS1649" s="11">
        <f t="shared" si="7580"/>
        <v>0</v>
      </c>
      <c r="AT1649" s="25">
        <f>SUM(AT1645:AT1648)</f>
        <v>0</v>
      </c>
      <c r="AV1649" s="10">
        <f>SUM(AV1645:AV1648)</f>
        <v>0</v>
      </c>
      <c r="AW1649" s="11">
        <f t="shared" ref="AW1649:AZ1649" si="7581">SUM(AW1645:AW1648)</f>
        <v>0</v>
      </c>
      <c r="AX1649" s="11">
        <f t="shared" si="7581"/>
        <v>0</v>
      </c>
      <c r="AY1649" s="11">
        <f t="shared" si="7581"/>
        <v>0</v>
      </c>
      <c r="AZ1649" s="11">
        <f t="shared" si="7581"/>
        <v>0</v>
      </c>
      <c r="BA1649" s="25">
        <f>SUM(BA1645:BA1648)</f>
        <v>0</v>
      </c>
      <c r="BC1649" s="10">
        <f>SUM(BC1645:BC1648)</f>
        <v>0</v>
      </c>
      <c r="BD1649" s="11">
        <f t="shared" ref="BD1649:BG1649" si="7582">SUM(BD1645:BD1648)</f>
        <v>0</v>
      </c>
      <c r="BE1649" s="11">
        <f t="shared" si="7582"/>
        <v>0</v>
      </c>
      <c r="BF1649" s="11">
        <f t="shared" si="7582"/>
        <v>0</v>
      </c>
      <c r="BG1649" s="11">
        <f t="shared" si="7582"/>
        <v>0</v>
      </c>
      <c r="BH1649" s="25">
        <f>SUM(BH1645:BH1648)</f>
        <v>0</v>
      </c>
      <c r="BJ1649" s="10">
        <f>SUM(BJ1645:BJ1648)</f>
        <v>0</v>
      </c>
      <c r="BK1649" s="11">
        <f t="shared" ref="BK1649:BN1649" si="7583">SUM(BK1645:BK1648)</f>
        <v>0</v>
      </c>
      <c r="BL1649" s="11">
        <f t="shared" si="7583"/>
        <v>0</v>
      </c>
      <c r="BM1649" s="11">
        <f t="shared" si="7583"/>
        <v>0</v>
      </c>
      <c r="BN1649" s="11">
        <f t="shared" si="7583"/>
        <v>0</v>
      </c>
      <c r="BO1649" s="25">
        <f>SUM(BO1645:BO1648)</f>
        <v>0</v>
      </c>
      <c r="BQ1649" s="10">
        <f>SUM(BQ1645:BQ1648)</f>
        <v>0</v>
      </c>
      <c r="BR1649" s="11">
        <f t="shared" ref="BR1649:BU1649" si="7584">SUM(BR1645:BR1648)</f>
        <v>0</v>
      </c>
      <c r="BS1649" s="11">
        <f t="shared" si="7584"/>
        <v>0</v>
      </c>
      <c r="BT1649" s="11">
        <f t="shared" si="7584"/>
        <v>0</v>
      </c>
      <c r="BU1649" s="11">
        <f t="shared" si="7584"/>
        <v>0</v>
      </c>
      <c r="BV1649" s="25">
        <f>SUM(BV1645:BV1648)</f>
        <v>0</v>
      </c>
      <c r="BX1649" s="10">
        <f>SUM(BX1645:BX1648)</f>
        <v>0</v>
      </c>
      <c r="BY1649" s="11">
        <f t="shared" ref="BY1649:CB1649" si="7585">SUM(BY1645:BY1648)</f>
        <v>0</v>
      </c>
      <c r="BZ1649" s="11">
        <f t="shared" si="7585"/>
        <v>0</v>
      </c>
      <c r="CA1649" s="11">
        <f t="shared" si="7585"/>
        <v>0</v>
      </c>
      <c r="CB1649" s="11">
        <f t="shared" si="7585"/>
        <v>0</v>
      </c>
      <c r="CC1649" s="25">
        <f>SUM(CC1645:CC1648)</f>
        <v>0</v>
      </c>
      <c r="CE1649" s="62">
        <f t="shared" ref="CE1649:CJ1649" si="7586">SUM(CE1645:CE1648)</f>
        <v>0</v>
      </c>
      <c r="CF1649" s="63">
        <f t="shared" si="7586"/>
        <v>0</v>
      </c>
      <c r="CG1649" s="63">
        <f t="shared" si="7586"/>
        <v>0</v>
      </c>
      <c r="CH1649" s="63">
        <f t="shared" si="7586"/>
        <v>0</v>
      </c>
      <c r="CI1649" s="63">
        <f t="shared" si="7586"/>
        <v>0</v>
      </c>
      <c r="CJ1649" s="25">
        <f t="shared" si="7586"/>
        <v>0</v>
      </c>
      <c r="CL1649" s="10">
        <f>SUM(CL1645:CL1648)</f>
        <v>0</v>
      </c>
      <c r="CM1649" s="11">
        <f t="shared" ref="CM1649:CP1649" si="7587">SUM(CM1645:CM1648)</f>
        <v>0</v>
      </c>
      <c r="CN1649" s="11">
        <f t="shared" si="7587"/>
        <v>0</v>
      </c>
      <c r="CO1649" s="11">
        <f t="shared" si="7587"/>
        <v>0</v>
      </c>
      <c r="CP1649" s="11">
        <f t="shared" si="7587"/>
        <v>0</v>
      </c>
      <c r="CQ1649" s="25">
        <f>SUM(CQ1645:CQ1648)</f>
        <v>0</v>
      </c>
      <c r="CS1649" s="10">
        <f>SUM(CS1645:CS1648)</f>
        <v>0</v>
      </c>
      <c r="CT1649" s="11">
        <f t="shared" ref="CT1649:CW1649" si="7588">SUM(CT1645:CT1648)</f>
        <v>0</v>
      </c>
      <c r="CU1649" s="11">
        <f t="shared" si="7588"/>
        <v>0</v>
      </c>
      <c r="CV1649" s="11">
        <f t="shared" si="7588"/>
        <v>0</v>
      </c>
      <c r="CW1649" s="11">
        <f t="shared" si="7588"/>
        <v>0</v>
      </c>
      <c r="CX1649" s="25">
        <f>SUM(CX1645:CX1648)</f>
        <v>0</v>
      </c>
      <c r="CZ1649" s="10">
        <f>SUM(CZ1645:CZ1648)</f>
        <v>0</v>
      </c>
      <c r="DA1649" s="11">
        <f t="shared" ref="DA1649:DD1649" si="7589">SUM(DA1645:DA1648)</f>
        <v>0</v>
      </c>
      <c r="DB1649" s="11">
        <f t="shared" si="7589"/>
        <v>0</v>
      </c>
      <c r="DC1649" s="11">
        <f t="shared" si="7589"/>
        <v>0</v>
      </c>
      <c r="DD1649" s="11">
        <f t="shared" si="7589"/>
        <v>0</v>
      </c>
      <c r="DE1649" s="25">
        <f>SUM(DE1645:DE1648)</f>
        <v>0</v>
      </c>
    </row>
    <row r="1650" spans="3:109" ht="10.4" customHeight="1" thickBot="1"/>
    <row r="1651" spans="3:109">
      <c r="C1651" s="553">
        <v>2026</v>
      </c>
      <c r="E1651" s="1" t="s">
        <v>59</v>
      </c>
      <c r="F1651" s="21">
        <f>CE1645</f>
        <v>0</v>
      </c>
      <c r="G1651" s="22">
        <f t="shared" ref="G1651:G1654" si="7590">CF1645</f>
        <v>0</v>
      </c>
      <c r="H1651" s="22">
        <f t="shared" ref="H1651:H1654" si="7591">CG1645</f>
        <v>0</v>
      </c>
      <c r="I1651" s="22">
        <f t="shared" ref="I1651:I1654" si="7592">CH1645</f>
        <v>0</v>
      </c>
      <c r="J1651" s="22">
        <f t="shared" ref="J1651:J1654" si="7593">CI1645</f>
        <v>0</v>
      </c>
      <c r="K1651" s="4">
        <f>SUM(F1651:J1651)</f>
        <v>0</v>
      </c>
      <c r="M1651" s="2"/>
      <c r="N1651" s="3"/>
      <c r="O1651" s="3"/>
      <c r="P1651" s="3"/>
      <c r="Q1651" s="3"/>
      <c r="R1651" s="4">
        <f>SUM(M1651:Q1651)</f>
        <v>0</v>
      </c>
      <c r="T1651" s="2"/>
      <c r="U1651" s="3"/>
      <c r="V1651" s="3"/>
      <c r="W1651" s="3"/>
      <c r="X1651" s="3"/>
      <c r="Y1651" s="4">
        <f>SUM(T1651:X1651)</f>
        <v>0</v>
      </c>
      <c r="AA1651" s="2"/>
      <c r="AB1651" s="3"/>
      <c r="AC1651" s="3"/>
      <c r="AD1651" s="3"/>
      <c r="AE1651" s="3"/>
      <c r="AF1651" s="4">
        <f>SUM(AA1651:AE1651)</f>
        <v>0</v>
      </c>
      <c r="AH1651" s="2"/>
      <c r="AI1651" s="3"/>
      <c r="AJ1651" s="3"/>
      <c r="AK1651" s="3"/>
      <c r="AL1651" s="3"/>
      <c r="AM1651" s="4">
        <f>SUM(AH1651:AL1651)</f>
        <v>0</v>
      </c>
      <c r="AO1651" s="2"/>
      <c r="AP1651" s="3"/>
      <c r="AQ1651" s="3"/>
      <c r="AR1651" s="3"/>
      <c r="AS1651" s="3"/>
      <c r="AT1651" s="4">
        <f>SUM(AO1651:AS1651)</f>
        <v>0</v>
      </c>
      <c r="AV1651" s="2"/>
      <c r="AW1651" s="3"/>
      <c r="AX1651" s="3"/>
      <c r="AY1651" s="3"/>
      <c r="AZ1651" s="3"/>
      <c r="BA1651" s="4">
        <f>SUM(AV1651:AZ1651)</f>
        <v>0</v>
      </c>
      <c r="BC1651" s="2"/>
      <c r="BD1651" s="3"/>
      <c r="BE1651" s="3"/>
      <c r="BF1651" s="3"/>
      <c r="BG1651" s="3"/>
      <c r="BH1651" s="4">
        <f>SUM(BC1651:BG1651)</f>
        <v>0</v>
      </c>
      <c r="BJ1651" s="2"/>
      <c r="BK1651" s="3"/>
      <c r="BL1651" s="3"/>
      <c r="BM1651" s="3"/>
      <c r="BN1651" s="3"/>
      <c r="BO1651" s="4">
        <f>SUM(BJ1651:BN1651)</f>
        <v>0</v>
      </c>
      <c r="BQ1651" s="2"/>
      <c r="BR1651" s="3"/>
      <c r="BS1651" s="3"/>
      <c r="BT1651" s="3"/>
      <c r="BU1651" s="3"/>
      <c r="BV1651" s="4">
        <f>SUM(BQ1651:BU1651)</f>
        <v>0</v>
      </c>
      <c r="BX1651" s="2"/>
      <c r="BY1651" s="3"/>
      <c r="BZ1651" s="3"/>
      <c r="CA1651" s="3"/>
      <c r="CB1651" s="3"/>
      <c r="CC1651" s="4">
        <f>SUM(BX1651:CB1651)</f>
        <v>0</v>
      </c>
      <c r="CE1651" s="26">
        <f t="shared" ref="CE1651:CE1654" si="7594">F1651+M1651+T1651+AA1651+AH1651+AO1651+AV1651+BC1651+BJ1651+BQ1651+BX1651</f>
        <v>0</v>
      </c>
      <c r="CF1651" s="27">
        <f t="shared" ref="CF1651:CF1654" si="7595">G1651+N1651+U1651+AB1651+AI1651+AP1651+AW1651+BD1651+BK1651+BR1651+BY1651</f>
        <v>0</v>
      </c>
      <c r="CG1651" s="27">
        <f t="shared" ref="CG1651:CG1654" si="7596">H1651+O1651+V1651+AC1651+AJ1651+AQ1651+AX1651+BE1651+BL1651+BS1651+BZ1651</f>
        <v>0</v>
      </c>
      <c r="CH1651" s="27">
        <f t="shared" ref="CH1651:CH1654" si="7597">I1651+P1651+W1651+AD1651+AK1651+AR1651+AY1651+BF1651+BM1651+BT1651+CA1651</f>
        <v>0</v>
      </c>
      <c r="CI1651" s="27">
        <f t="shared" ref="CI1651:CI1654" si="7598">J1651+Q1651+X1651+AE1651+AL1651+AS1651+AZ1651+BG1651+BN1651+BU1651+CB1651</f>
        <v>0</v>
      </c>
      <c r="CJ1651" s="4">
        <f>SUM(CE1651:CI1651)</f>
        <v>0</v>
      </c>
      <c r="CL1651" s="2"/>
      <c r="CM1651" s="3"/>
      <c r="CN1651" s="3"/>
      <c r="CO1651" s="3"/>
      <c r="CP1651" s="3"/>
      <c r="CQ1651" s="4">
        <f>SUM(CL1651:CP1651)</f>
        <v>0</v>
      </c>
      <c r="CS1651" s="2"/>
      <c r="CT1651" s="3"/>
      <c r="CU1651" s="3"/>
      <c r="CV1651" s="3"/>
      <c r="CW1651" s="3"/>
      <c r="CX1651" s="4">
        <f>SUM(CS1651:CW1651)</f>
        <v>0</v>
      </c>
      <c r="CZ1651" s="2"/>
      <c r="DA1651" s="3"/>
      <c r="DB1651" s="3"/>
      <c r="DC1651" s="3"/>
      <c r="DD1651" s="3"/>
      <c r="DE1651" s="4">
        <f>SUM(CZ1651:DD1651)</f>
        <v>0</v>
      </c>
    </row>
    <row r="1652" spans="3:109">
      <c r="C1652" s="567"/>
      <c r="E1652" s="5" t="s">
        <v>60</v>
      </c>
      <c r="F1652" s="23">
        <f t="shared" ref="F1652:F1654" si="7599">CE1646</f>
        <v>0</v>
      </c>
      <c r="G1652" s="24">
        <f t="shared" si="7590"/>
        <v>0</v>
      </c>
      <c r="H1652" s="24">
        <f t="shared" si="7591"/>
        <v>0</v>
      </c>
      <c r="I1652" s="24">
        <f t="shared" si="7592"/>
        <v>0</v>
      </c>
      <c r="J1652" s="24">
        <f t="shared" si="7593"/>
        <v>0</v>
      </c>
      <c r="K1652" s="8">
        <f t="shared" ref="K1652:K1654" si="7600">SUM(F1652:J1652)</f>
        <v>0</v>
      </c>
      <c r="M1652" s="6"/>
      <c r="N1652" s="7"/>
      <c r="O1652" s="7"/>
      <c r="P1652" s="7"/>
      <c r="Q1652" s="7"/>
      <c r="R1652" s="8">
        <f t="shared" ref="R1652:R1654" si="7601">SUM(M1652:Q1652)</f>
        <v>0</v>
      </c>
      <c r="T1652" s="6"/>
      <c r="U1652" s="7"/>
      <c r="V1652" s="7"/>
      <c r="W1652" s="7"/>
      <c r="X1652" s="7"/>
      <c r="Y1652" s="8">
        <f t="shared" ref="Y1652:Y1654" si="7602">SUM(T1652:X1652)</f>
        <v>0</v>
      </c>
      <c r="AA1652" s="6"/>
      <c r="AB1652" s="7"/>
      <c r="AC1652" s="7"/>
      <c r="AD1652" s="7"/>
      <c r="AE1652" s="7"/>
      <c r="AF1652" s="8">
        <f>SUM(AA1652:AE1652)</f>
        <v>0</v>
      </c>
      <c r="AH1652" s="6"/>
      <c r="AI1652" s="7"/>
      <c r="AJ1652" s="7"/>
      <c r="AK1652" s="7"/>
      <c r="AL1652" s="7"/>
      <c r="AM1652" s="8">
        <f>SUM(AH1652:AL1652)</f>
        <v>0</v>
      </c>
      <c r="AO1652" s="6"/>
      <c r="AP1652" s="7"/>
      <c r="AQ1652" s="7"/>
      <c r="AR1652" s="7"/>
      <c r="AS1652" s="7"/>
      <c r="AT1652" s="8">
        <f>SUM(AO1652:AS1652)</f>
        <v>0</v>
      </c>
      <c r="AV1652" s="6"/>
      <c r="AW1652" s="7"/>
      <c r="AX1652" s="7"/>
      <c r="AY1652" s="7"/>
      <c r="AZ1652" s="7"/>
      <c r="BA1652" s="8">
        <f>SUM(AV1652:AZ1652)</f>
        <v>0</v>
      </c>
      <c r="BC1652" s="6"/>
      <c r="BD1652" s="7"/>
      <c r="BE1652" s="7"/>
      <c r="BF1652" s="7"/>
      <c r="BG1652" s="7"/>
      <c r="BH1652" s="8">
        <f>SUM(BC1652:BG1652)</f>
        <v>0</v>
      </c>
      <c r="BJ1652" s="6"/>
      <c r="BK1652" s="7"/>
      <c r="BL1652" s="7"/>
      <c r="BM1652" s="7"/>
      <c r="BN1652" s="7"/>
      <c r="BO1652" s="8">
        <f>SUM(BJ1652:BN1652)</f>
        <v>0</v>
      </c>
      <c r="BQ1652" s="6"/>
      <c r="BR1652" s="7"/>
      <c r="BS1652" s="7"/>
      <c r="BT1652" s="7"/>
      <c r="BU1652" s="7"/>
      <c r="BV1652" s="8">
        <f>SUM(BQ1652:BU1652)</f>
        <v>0</v>
      </c>
      <c r="BX1652" s="6"/>
      <c r="BY1652" s="7"/>
      <c r="BZ1652" s="7"/>
      <c r="CA1652" s="7"/>
      <c r="CB1652" s="7"/>
      <c r="CC1652" s="8">
        <f>SUM(BX1652:CB1652)</f>
        <v>0</v>
      </c>
      <c r="CE1652" s="28">
        <f t="shared" si="7594"/>
        <v>0</v>
      </c>
      <c r="CF1652" s="29">
        <f t="shared" si="7595"/>
        <v>0</v>
      </c>
      <c r="CG1652" s="29">
        <f t="shared" si="7596"/>
        <v>0</v>
      </c>
      <c r="CH1652" s="29">
        <f t="shared" si="7597"/>
        <v>0</v>
      </c>
      <c r="CI1652" s="29">
        <f t="shared" si="7598"/>
        <v>0</v>
      </c>
      <c r="CJ1652" s="8">
        <f>SUM(CE1652:CI1652)</f>
        <v>0</v>
      </c>
      <c r="CL1652" s="6"/>
      <c r="CM1652" s="7"/>
      <c r="CN1652" s="7"/>
      <c r="CO1652" s="7"/>
      <c r="CP1652" s="7"/>
      <c r="CQ1652" s="8">
        <f>SUM(CL1652:CP1652)</f>
        <v>0</v>
      </c>
      <c r="CS1652" s="6"/>
      <c r="CT1652" s="7"/>
      <c r="CU1652" s="7"/>
      <c r="CV1652" s="7"/>
      <c r="CW1652" s="7"/>
      <c r="CX1652" s="8">
        <f t="shared" ref="CX1652:CX1654" si="7603">SUM(CS1652:CW1652)</f>
        <v>0</v>
      </c>
      <c r="CZ1652" s="6"/>
      <c r="DA1652" s="7"/>
      <c r="DB1652" s="7"/>
      <c r="DC1652" s="7"/>
      <c r="DD1652" s="7"/>
      <c r="DE1652" s="8">
        <f t="shared" ref="DE1652:DE1654" si="7604">SUM(CZ1652:DD1652)</f>
        <v>0</v>
      </c>
    </row>
    <row r="1653" spans="3:109">
      <c r="C1653" s="567"/>
      <c r="E1653" s="5" t="s">
        <v>61</v>
      </c>
      <c r="F1653" s="23">
        <f t="shared" si="7599"/>
        <v>0</v>
      </c>
      <c r="G1653" s="24">
        <f t="shared" si="7590"/>
        <v>0</v>
      </c>
      <c r="H1653" s="24">
        <f t="shared" si="7591"/>
        <v>0</v>
      </c>
      <c r="I1653" s="24">
        <f t="shared" si="7592"/>
        <v>0</v>
      </c>
      <c r="J1653" s="24">
        <f t="shared" si="7593"/>
        <v>0</v>
      </c>
      <c r="K1653" s="8">
        <f t="shared" si="7600"/>
        <v>0</v>
      </c>
      <c r="M1653" s="6"/>
      <c r="N1653" s="7"/>
      <c r="O1653" s="7"/>
      <c r="P1653" s="7"/>
      <c r="Q1653" s="7"/>
      <c r="R1653" s="8">
        <f t="shared" si="7601"/>
        <v>0</v>
      </c>
      <c r="T1653" s="6"/>
      <c r="U1653" s="7"/>
      <c r="V1653" s="7"/>
      <c r="W1653" s="7"/>
      <c r="X1653" s="7"/>
      <c r="Y1653" s="8">
        <f t="shared" si="7602"/>
        <v>0</v>
      </c>
      <c r="AA1653" s="6"/>
      <c r="AB1653" s="7"/>
      <c r="AC1653" s="7"/>
      <c r="AD1653" s="7"/>
      <c r="AE1653" s="7"/>
      <c r="AF1653" s="8">
        <f>SUM(AA1653:AE1653)</f>
        <v>0</v>
      </c>
      <c r="AH1653" s="6"/>
      <c r="AI1653" s="7"/>
      <c r="AJ1653" s="7"/>
      <c r="AK1653" s="7"/>
      <c r="AL1653" s="7"/>
      <c r="AM1653" s="8">
        <f>SUM(AH1653:AL1653)</f>
        <v>0</v>
      </c>
      <c r="AO1653" s="6"/>
      <c r="AP1653" s="7"/>
      <c r="AQ1653" s="7"/>
      <c r="AR1653" s="7"/>
      <c r="AS1653" s="7"/>
      <c r="AT1653" s="8">
        <f>SUM(AO1653:AS1653)</f>
        <v>0</v>
      </c>
      <c r="AV1653" s="6"/>
      <c r="AW1653" s="7"/>
      <c r="AX1653" s="7"/>
      <c r="AY1653" s="7"/>
      <c r="AZ1653" s="7"/>
      <c r="BA1653" s="8">
        <f>SUM(AV1653:AZ1653)</f>
        <v>0</v>
      </c>
      <c r="BC1653" s="6"/>
      <c r="BD1653" s="7"/>
      <c r="BE1653" s="7"/>
      <c r="BF1653" s="7"/>
      <c r="BG1653" s="7"/>
      <c r="BH1653" s="8">
        <f>SUM(BC1653:BG1653)</f>
        <v>0</v>
      </c>
      <c r="BJ1653" s="6"/>
      <c r="BK1653" s="7"/>
      <c r="BL1653" s="7"/>
      <c r="BM1653" s="7"/>
      <c r="BN1653" s="7"/>
      <c r="BO1653" s="8">
        <f>SUM(BJ1653:BN1653)</f>
        <v>0</v>
      </c>
      <c r="BQ1653" s="6"/>
      <c r="BR1653" s="7"/>
      <c r="BS1653" s="7"/>
      <c r="BT1653" s="7"/>
      <c r="BU1653" s="7"/>
      <c r="BV1653" s="8">
        <f>SUM(BQ1653:BU1653)</f>
        <v>0</v>
      </c>
      <c r="BX1653" s="6"/>
      <c r="BY1653" s="7"/>
      <c r="BZ1653" s="7"/>
      <c r="CA1653" s="7"/>
      <c r="CB1653" s="7"/>
      <c r="CC1653" s="8">
        <f>SUM(BX1653:CB1653)</f>
        <v>0</v>
      </c>
      <c r="CE1653" s="28">
        <f t="shared" si="7594"/>
        <v>0</v>
      </c>
      <c r="CF1653" s="29">
        <f t="shared" si="7595"/>
        <v>0</v>
      </c>
      <c r="CG1653" s="29">
        <f t="shared" si="7596"/>
        <v>0</v>
      </c>
      <c r="CH1653" s="29">
        <f t="shared" si="7597"/>
        <v>0</v>
      </c>
      <c r="CI1653" s="29">
        <f t="shared" si="7598"/>
        <v>0</v>
      </c>
      <c r="CJ1653" s="8">
        <f>SUM(CE1653:CI1653)</f>
        <v>0</v>
      </c>
      <c r="CL1653" s="6"/>
      <c r="CM1653" s="7"/>
      <c r="CN1653" s="7"/>
      <c r="CO1653" s="7"/>
      <c r="CP1653" s="7"/>
      <c r="CQ1653" s="8">
        <f>SUM(CL1653:CP1653)</f>
        <v>0</v>
      </c>
      <c r="CS1653" s="6"/>
      <c r="CT1653" s="7"/>
      <c r="CU1653" s="7"/>
      <c r="CV1653" s="7"/>
      <c r="CW1653" s="7"/>
      <c r="CX1653" s="8">
        <f t="shared" si="7603"/>
        <v>0</v>
      </c>
      <c r="CZ1653" s="6"/>
      <c r="DA1653" s="7"/>
      <c r="DB1653" s="7"/>
      <c r="DC1653" s="7"/>
      <c r="DD1653" s="7"/>
      <c r="DE1653" s="8">
        <f t="shared" si="7604"/>
        <v>0</v>
      </c>
    </row>
    <row r="1654" spans="3:109" ht="14" thickBot="1">
      <c r="C1654" s="567"/>
      <c r="E1654" s="5" t="s">
        <v>62</v>
      </c>
      <c r="F1654" s="23">
        <f t="shared" si="7599"/>
        <v>0</v>
      </c>
      <c r="G1654" s="24">
        <f t="shared" si="7590"/>
        <v>0</v>
      </c>
      <c r="H1654" s="24">
        <f t="shared" si="7591"/>
        <v>0</v>
      </c>
      <c r="I1654" s="24">
        <f t="shared" si="7592"/>
        <v>0</v>
      </c>
      <c r="J1654" s="24">
        <f t="shared" si="7593"/>
        <v>0</v>
      </c>
      <c r="K1654" s="8">
        <f t="shared" si="7600"/>
        <v>0</v>
      </c>
      <c r="M1654" s="6"/>
      <c r="N1654" s="7"/>
      <c r="O1654" s="7"/>
      <c r="P1654" s="7"/>
      <c r="Q1654" s="7"/>
      <c r="R1654" s="8">
        <f t="shared" si="7601"/>
        <v>0</v>
      </c>
      <c r="T1654" s="6"/>
      <c r="U1654" s="7"/>
      <c r="V1654" s="7"/>
      <c r="W1654" s="7"/>
      <c r="X1654" s="7"/>
      <c r="Y1654" s="8">
        <f t="shared" si="7602"/>
        <v>0</v>
      </c>
      <c r="AA1654" s="6"/>
      <c r="AB1654" s="7"/>
      <c r="AC1654" s="7"/>
      <c r="AD1654" s="7"/>
      <c r="AE1654" s="7"/>
      <c r="AF1654" s="8">
        <f>SUM(AA1654:AE1654)</f>
        <v>0</v>
      </c>
      <c r="AH1654" s="6"/>
      <c r="AI1654" s="7"/>
      <c r="AJ1654" s="7"/>
      <c r="AK1654" s="7"/>
      <c r="AL1654" s="7"/>
      <c r="AM1654" s="8">
        <f>SUM(AH1654:AL1654)</f>
        <v>0</v>
      </c>
      <c r="AO1654" s="6"/>
      <c r="AP1654" s="7"/>
      <c r="AQ1654" s="7"/>
      <c r="AR1654" s="7"/>
      <c r="AS1654" s="7"/>
      <c r="AT1654" s="8">
        <f>SUM(AO1654:AS1654)</f>
        <v>0</v>
      </c>
      <c r="AV1654" s="6"/>
      <c r="AW1654" s="7"/>
      <c r="AX1654" s="7"/>
      <c r="AY1654" s="7"/>
      <c r="AZ1654" s="7"/>
      <c r="BA1654" s="8">
        <f>SUM(AV1654:AZ1654)</f>
        <v>0</v>
      </c>
      <c r="BC1654" s="6"/>
      <c r="BD1654" s="7"/>
      <c r="BE1654" s="7"/>
      <c r="BF1654" s="7"/>
      <c r="BG1654" s="7"/>
      <c r="BH1654" s="8">
        <f>SUM(BC1654:BG1654)</f>
        <v>0</v>
      </c>
      <c r="BJ1654" s="6"/>
      <c r="BK1654" s="7"/>
      <c r="BL1654" s="7"/>
      <c r="BM1654" s="7"/>
      <c r="BN1654" s="7"/>
      <c r="BO1654" s="8">
        <f>SUM(BJ1654:BN1654)</f>
        <v>0</v>
      </c>
      <c r="BQ1654" s="6"/>
      <c r="BR1654" s="7"/>
      <c r="BS1654" s="7"/>
      <c r="BT1654" s="7"/>
      <c r="BU1654" s="7"/>
      <c r="BV1654" s="8">
        <f>SUM(BQ1654:BU1654)</f>
        <v>0</v>
      </c>
      <c r="BX1654" s="6"/>
      <c r="BY1654" s="7"/>
      <c r="BZ1654" s="7"/>
      <c r="CA1654" s="7"/>
      <c r="CB1654" s="7"/>
      <c r="CC1654" s="8">
        <f>SUM(BX1654:CB1654)</f>
        <v>0</v>
      </c>
      <c r="CE1654" s="493">
        <f t="shared" si="7594"/>
        <v>0</v>
      </c>
      <c r="CF1654" s="494">
        <f t="shared" si="7595"/>
        <v>0</v>
      </c>
      <c r="CG1654" s="494">
        <f t="shared" si="7596"/>
        <v>0</v>
      </c>
      <c r="CH1654" s="494">
        <f t="shared" si="7597"/>
        <v>0</v>
      </c>
      <c r="CI1654" s="494">
        <f t="shared" si="7598"/>
        <v>0</v>
      </c>
      <c r="CJ1654" s="495">
        <f>SUM(CE1654:CI1654)</f>
        <v>0</v>
      </c>
      <c r="CL1654" s="6"/>
      <c r="CM1654" s="7"/>
      <c r="CN1654" s="7"/>
      <c r="CO1654" s="7"/>
      <c r="CP1654" s="7"/>
      <c r="CQ1654" s="8">
        <f>SUM(CL1654:CP1654)</f>
        <v>0</v>
      </c>
      <c r="CS1654" s="6"/>
      <c r="CT1654" s="7"/>
      <c r="CU1654" s="7"/>
      <c r="CV1654" s="7"/>
      <c r="CW1654" s="7"/>
      <c r="CX1654" s="8">
        <f t="shared" si="7603"/>
        <v>0</v>
      </c>
      <c r="CZ1654" s="6"/>
      <c r="DA1654" s="7"/>
      <c r="DB1654" s="7"/>
      <c r="DC1654" s="7"/>
      <c r="DD1654" s="7"/>
      <c r="DE1654" s="8">
        <f t="shared" si="7604"/>
        <v>0</v>
      </c>
    </row>
    <row r="1655" spans="3:109" ht="14" thickBot="1">
      <c r="C1655" s="554"/>
      <c r="E1655" s="9"/>
      <c r="F1655" s="10">
        <f>SUM(F1651:F1654)</f>
        <v>0</v>
      </c>
      <c r="G1655" s="11">
        <f t="shared" ref="G1655:J1655" si="7605">SUM(G1651:G1654)</f>
        <v>0</v>
      </c>
      <c r="H1655" s="11">
        <f t="shared" si="7605"/>
        <v>0</v>
      </c>
      <c r="I1655" s="11">
        <f t="shared" si="7605"/>
        <v>0</v>
      </c>
      <c r="J1655" s="11">
        <f t="shared" si="7605"/>
        <v>0</v>
      </c>
      <c r="K1655" s="25">
        <f>SUM(K1651:K1654)</f>
        <v>0</v>
      </c>
      <c r="M1655" s="10">
        <f>SUM(M1651:M1654)</f>
        <v>0</v>
      </c>
      <c r="N1655" s="11">
        <f t="shared" ref="N1655:Q1655" si="7606">SUM(N1651:N1654)</f>
        <v>0</v>
      </c>
      <c r="O1655" s="11">
        <f t="shared" si="7606"/>
        <v>0</v>
      </c>
      <c r="P1655" s="11">
        <f t="shared" si="7606"/>
        <v>0</v>
      </c>
      <c r="Q1655" s="11">
        <f t="shared" si="7606"/>
        <v>0</v>
      </c>
      <c r="R1655" s="25">
        <f>SUM(R1651:R1654)</f>
        <v>0</v>
      </c>
      <c r="T1655" s="10">
        <f>SUM(T1651:T1654)</f>
        <v>0</v>
      </c>
      <c r="U1655" s="11">
        <f t="shared" ref="U1655:X1655" si="7607">SUM(U1651:U1654)</f>
        <v>0</v>
      </c>
      <c r="V1655" s="11">
        <f t="shared" si="7607"/>
        <v>0</v>
      </c>
      <c r="W1655" s="11">
        <f t="shared" si="7607"/>
        <v>0</v>
      </c>
      <c r="X1655" s="11">
        <f t="shared" si="7607"/>
        <v>0</v>
      </c>
      <c r="Y1655" s="25">
        <f>SUM(Y1651:Y1654)</f>
        <v>0</v>
      </c>
      <c r="AA1655" s="10">
        <f>SUM(AA1651:AA1654)</f>
        <v>0</v>
      </c>
      <c r="AB1655" s="11">
        <f t="shared" ref="AB1655:AE1655" si="7608">SUM(AB1651:AB1654)</f>
        <v>0</v>
      </c>
      <c r="AC1655" s="11">
        <f t="shared" si="7608"/>
        <v>0</v>
      </c>
      <c r="AD1655" s="11">
        <f t="shared" si="7608"/>
        <v>0</v>
      </c>
      <c r="AE1655" s="11">
        <f t="shared" si="7608"/>
        <v>0</v>
      </c>
      <c r="AF1655" s="25">
        <f>SUM(AF1651:AF1654)</f>
        <v>0</v>
      </c>
      <c r="AH1655" s="10">
        <f>SUM(AH1651:AH1654)</f>
        <v>0</v>
      </c>
      <c r="AI1655" s="11">
        <f t="shared" ref="AI1655:AL1655" si="7609">SUM(AI1651:AI1654)</f>
        <v>0</v>
      </c>
      <c r="AJ1655" s="11">
        <f t="shared" si="7609"/>
        <v>0</v>
      </c>
      <c r="AK1655" s="11">
        <f t="shared" si="7609"/>
        <v>0</v>
      </c>
      <c r="AL1655" s="11">
        <f t="shared" si="7609"/>
        <v>0</v>
      </c>
      <c r="AM1655" s="25">
        <f>SUM(AM1651:AM1654)</f>
        <v>0</v>
      </c>
      <c r="AO1655" s="10">
        <f>SUM(AO1651:AO1654)</f>
        <v>0</v>
      </c>
      <c r="AP1655" s="11">
        <f t="shared" ref="AP1655:AS1655" si="7610">SUM(AP1651:AP1654)</f>
        <v>0</v>
      </c>
      <c r="AQ1655" s="11">
        <f t="shared" si="7610"/>
        <v>0</v>
      </c>
      <c r="AR1655" s="11">
        <f t="shared" si="7610"/>
        <v>0</v>
      </c>
      <c r="AS1655" s="11">
        <f t="shared" si="7610"/>
        <v>0</v>
      </c>
      <c r="AT1655" s="25">
        <f>SUM(AT1651:AT1654)</f>
        <v>0</v>
      </c>
      <c r="AV1655" s="10">
        <f>SUM(AV1651:AV1654)</f>
        <v>0</v>
      </c>
      <c r="AW1655" s="11">
        <f t="shared" ref="AW1655:AZ1655" si="7611">SUM(AW1651:AW1654)</f>
        <v>0</v>
      </c>
      <c r="AX1655" s="11">
        <f t="shared" si="7611"/>
        <v>0</v>
      </c>
      <c r="AY1655" s="11">
        <f t="shared" si="7611"/>
        <v>0</v>
      </c>
      <c r="AZ1655" s="11">
        <f t="shared" si="7611"/>
        <v>0</v>
      </c>
      <c r="BA1655" s="25">
        <f>SUM(BA1651:BA1654)</f>
        <v>0</v>
      </c>
      <c r="BC1655" s="10">
        <f>SUM(BC1651:BC1654)</f>
        <v>0</v>
      </c>
      <c r="BD1655" s="11">
        <f t="shared" ref="BD1655:BG1655" si="7612">SUM(BD1651:BD1654)</f>
        <v>0</v>
      </c>
      <c r="BE1655" s="11">
        <f t="shared" si="7612"/>
        <v>0</v>
      </c>
      <c r="BF1655" s="11">
        <f t="shared" si="7612"/>
        <v>0</v>
      </c>
      <c r="BG1655" s="11">
        <f t="shared" si="7612"/>
        <v>0</v>
      </c>
      <c r="BH1655" s="25">
        <f>SUM(BH1651:BH1654)</f>
        <v>0</v>
      </c>
      <c r="BJ1655" s="10">
        <f>SUM(BJ1651:BJ1654)</f>
        <v>0</v>
      </c>
      <c r="BK1655" s="11">
        <f t="shared" ref="BK1655:BN1655" si="7613">SUM(BK1651:BK1654)</f>
        <v>0</v>
      </c>
      <c r="BL1655" s="11">
        <f t="shared" si="7613"/>
        <v>0</v>
      </c>
      <c r="BM1655" s="11">
        <f t="shared" si="7613"/>
        <v>0</v>
      </c>
      <c r="BN1655" s="11">
        <f t="shared" si="7613"/>
        <v>0</v>
      </c>
      <c r="BO1655" s="25">
        <f>SUM(BO1651:BO1654)</f>
        <v>0</v>
      </c>
      <c r="BQ1655" s="10">
        <f>SUM(BQ1651:BQ1654)</f>
        <v>0</v>
      </c>
      <c r="BR1655" s="11">
        <f t="shared" ref="BR1655:BU1655" si="7614">SUM(BR1651:BR1654)</f>
        <v>0</v>
      </c>
      <c r="BS1655" s="11">
        <f t="shared" si="7614"/>
        <v>0</v>
      </c>
      <c r="BT1655" s="11">
        <f t="shared" si="7614"/>
        <v>0</v>
      </c>
      <c r="BU1655" s="11">
        <f t="shared" si="7614"/>
        <v>0</v>
      </c>
      <c r="BV1655" s="25">
        <f>SUM(BV1651:BV1654)</f>
        <v>0</v>
      </c>
      <c r="BX1655" s="10">
        <f>SUM(BX1651:BX1654)</f>
        <v>0</v>
      </c>
      <c r="BY1655" s="11">
        <f t="shared" ref="BY1655:CB1655" si="7615">SUM(BY1651:BY1654)</f>
        <v>0</v>
      </c>
      <c r="BZ1655" s="11">
        <f t="shared" si="7615"/>
        <v>0</v>
      </c>
      <c r="CA1655" s="11">
        <f t="shared" si="7615"/>
        <v>0</v>
      </c>
      <c r="CB1655" s="11">
        <f t="shared" si="7615"/>
        <v>0</v>
      </c>
      <c r="CC1655" s="25">
        <f>SUM(CC1651:CC1654)</f>
        <v>0</v>
      </c>
      <c r="CE1655" s="62">
        <f t="shared" ref="CE1655:CJ1655" si="7616">SUM(CE1651:CE1654)</f>
        <v>0</v>
      </c>
      <c r="CF1655" s="63">
        <f t="shared" si="7616"/>
        <v>0</v>
      </c>
      <c r="CG1655" s="63">
        <f t="shared" si="7616"/>
        <v>0</v>
      </c>
      <c r="CH1655" s="63">
        <f t="shared" si="7616"/>
        <v>0</v>
      </c>
      <c r="CI1655" s="63">
        <f t="shared" si="7616"/>
        <v>0</v>
      </c>
      <c r="CJ1655" s="25">
        <f t="shared" si="7616"/>
        <v>0</v>
      </c>
      <c r="CL1655" s="10">
        <f>SUM(CL1651:CL1654)</f>
        <v>0</v>
      </c>
      <c r="CM1655" s="11">
        <f t="shared" ref="CM1655:CP1655" si="7617">SUM(CM1651:CM1654)</f>
        <v>0</v>
      </c>
      <c r="CN1655" s="11">
        <f t="shared" si="7617"/>
        <v>0</v>
      </c>
      <c r="CO1655" s="11">
        <f t="shared" si="7617"/>
        <v>0</v>
      </c>
      <c r="CP1655" s="11">
        <f t="shared" si="7617"/>
        <v>0</v>
      </c>
      <c r="CQ1655" s="25">
        <f>SUM(CQ1651:CQ1654)</f>
        <v>0</v>
      </c>
      <c r="CS1655" s="10">
        <f>SUM(CS1651:CS1654)</f>
        <v>0</v>
      </c>
      <c r="CT1655" s="11">
        <f t="shared" ref="CT1655:CW1655" si="7618">SUM(CT1651:CT1654)</f>
        <v>0</v>
      </c>
      <c r="CU1655" s="11">
        <f t="shared" si="7618"/>
        <v>0</v>
      </c>
      <c r="CV1655" s="11">
        <f t="shared" si="7618"/>
        <v>0</v>
      </c>
      <c r="CW1655" s="11">
        <f t="shared" si="7618"/>
        <v>0</v>
      </c>
      <c r="CX1655" s="25">
        <f>SUM(CX1651:CX1654)</f>
        <v>0</v>
      </c>
      <c r="CZ1655" s="10">
        <f>SUM(CZ1651:CZ1654)</f>
        <v>0</v>
      </c>
      <c r="DA1655" s="11">
        <f t="shared" ref="DA1655:DD1655" si="7619">SUM(DA1651:DA1654)</f>
        <v>0</v>
      </c>
      <c r="DB1655" s="11">
        <f t="shared" si="7619"/>
        <v>0</v>
      </c>
      <c r="DC1655" s="11">
        <f t="shared" si="7619"/>
        <v>0</v>
      </c>
      <c r="DD1655" s="11">
        <f t="shared" si="7619"/>
        <v>0</v>
      </c>
      <c r="DE1655" s="25">
        <f>SUM(DE1651:DE1654)</f>
        <v>0</v>
      </c>
    </row>
    <row r="1656" spans="3:109" ht="10.4" customHeight="1" thickBot="1"/>
    <row r="1657" spans="3:109">
      <c r="C1657" s="553">
        <v>2027</v>
      </c>
      <c r="E1657" s="1" t="s">
        <v>59</v>
      </c>
      <c r="F1657" s="21">
        <f>CE1651</f>
        <v>0</v>
      </c>
      <c r="G1657" s="22">
        <f t="shared" ref="G1657:G1660" si="7620">CF1651</f>
        <v>0</v>
      </c>
      <c r="H1657" s="22">
        <f t="shared" ref="H1657:H1660" si="7621">CG1651</f>
        <v>0</v>
      </c>
      <c r="I1657" s="22">
        <f t="shared" ref="I1657:I1660" si="7622">CH1651</f>
        <v>0</v>
      </c>
      <c r="J1657" s="22">
        <f t="shared" ref="J1657:J1660" si="7623">CI1651</f>
        <v>0</v>
      </c>
      <c r="K1657" s="4">
        <f>SUM(F1657:J1657)</f>
        <v>0</v>
      </c>
      <c r="M1657" s="2"/>
      <c r="N1657" s="3"/>
      <c r="O1657" s="3"/>
      <c r="P1657" s="3"/>
      <c r="Q1657" s="3"/>
      <c r="R1657" s="4">
        <f>SUM(M1657:Q1657)</f>
        <v>0</v>
      </c>
      <c r="T1657" s="2"/>
      <c r="U1657" s="3"/>
      <c r="V1657" s="3"/>
      <c r="W1657" s="3"/>
      <c r="X1657" s="3"/>
      <c r="Y1657" s="4">
        <f>SUM(T1657:X1657)</f>
        <v>0</v>
      </c>
      <c r="AA1657" s="2"/>
      <c r="AB1657" s="3"/>
      <c r="AC1657" s="3"/>
      <c r="AD1657" s="3"/>
      <c r="AE1657" s="3"/>
      <c r="AF1657" s="4">
        <f>SUM(AA1657:AE1657)</f>
        <v>0</v>
      </c>
      <c r="AH1657" s="2"/>
      <c r="AI1657" s="3"/>
      <c r="AJ1657" s="3"/>
      <c r="AK1657" s="3"/>
      <c r="AL1657" s="3"/>
      <c r="AM1657" s="4">
        <f>SUM(AH1657:AL1657)</f>
        <v>0</v>
      </c>
      <c r="AO1657" s="2"/>
      <c r="AP1657" s="3"/>
      <c r="AQ1657" s="3"/>
      <c r="AR1657" s="3"/>
      <c r="AS1657" s="3"/>
      <c r="AT1657" s="4">
        <f>SUM(AO1657:AS1657)</f>
        <v>0</v>
      </c>
      <c r="AV1657" s="2"/>
      <c r="AW1657" s="3"/>
      <c r="AX1657" s="3"/>
      <c r="AY1657" s="3"/>
      <c r="AZ1657" s="3"/>
      <c r="BA1657" s="4">
        <f>SUM(AV1657:AZ1657)</f>
        <v>0</v>
      </c>
      <c r="BC1657" s="2"/>
      <c r="BD1657" s="3"/>
      <c r="BE1657" s="3"/>
      <c r="BF1657" s="3"/>
      <c r="BG1657" s="3"/>
      <c r="BH1657" s="4">
        <f>SUM(BC1657:BG1657)</f>
        <v>0</v>
      </c>
      <c r="BJ1657" s="2"/>
      <c r="BK1657" s="3"/>
      <c r="BL1657" s="3"/>
      <c r="BM1657" s="3"/>
      <c r="BN1657" s="3"/>
      <c r="BO1657" s="4">
        <f>SUM(BJ1657:BN1657)</f>
        <v>0</v>
      </c>
      <c r="BQ1657" s="2"/>
      <c r="BR1657" s="3"/>
      <c r="BS1657" s="3"/>
      <c r="BT1657" s="3"/>
      <c r="BU1657" s="3"/>
      <c r="BV1657" s="4">
        <f>SUM(BQ1657:BU1657)</f>
        <v>0</v>
      </c>
      <c r="BX1657" s="2"/>
      <c r="BY1657" s="3"/>
      <c r="BZ1657" s="3"/>
      <c r="CA1657" s="3"/>
      <c r="CB1657" s="3"/>
      <c r="CC1657" s="4">
        <f>SUM(BX1657:CB1657)</f>
        <v>0</v>
      </c>
      <c r="CE1657" s="26">
        <f t="shared" ref="CE1657:CE1660" si="7624">F1657+M1657+T1657+AA1657+AH1657+AO1657+AV1657+BC1657+BJ1657+BQ1657+BX1657</f>
        <v>0</v>
      </c>
      <c r="CF1657" s="27">
        <f t="shared" ref="CF1657:CF1660" si="7625">G1657+N1657+U1657+AB1657+AI1657+AP1657+AW1657+BD1657+BK1657+BR1657+BY1657</f>
        <v>0</v>
      </c>
      <c r="CG1657" s="27">
        <f t="shared" ref="CG1657:CG1660" si="7626">H1657+O1657+V1657+AC1657+AJ1657+AQ1657+AX1657+BE1657+BL1657+BS1657+BZ1657</f>
        <v>0</v>
      </c>
      <c r="CH1657" s="27">
        <f t="shared" ref="CH1657:CH1660" si="7627">I1657+P1657+W1657+AD1657+AK1657+AR1657+AY1657+BF1657+BM1657+BT1657+CA1657</f>
        <v>0</v>
      </c>
      <c r="CI1657" s="27">
        <f t="shared" ref="CI1657:CI1660" si="7628">J1657+Q1657+X1657+AE1657+AL1657+AS1657+AZ1657+BG1657+BN1657+BU1657+CB1657</f>
        <v>0</v>
      </c>
      <c r="CJ1657" s="4">
        <f>SUM(CE1657:CI1657)</f>
        <v>0</v>
      </c>
      <c r="CL1657" s="2"/>
      <c r="CM1657" s="3"/>
      <c r="CN1657" s="3"/>
      <c r="CO1657" s="3"/>
      <c r="CP1657" s="3"/>
      <c r="CQ1657" s="4">
        <f>SUM(CL1657:CP1657)</f>
        <v>0</v>
      </c>
      <c r="CS1657" s="2"/>
      <c r="CT1657" s="3"/>
      <c r="CU1657" s="3"/>
      <c r="CV1657" s="3"/>
      <c r="CW1657" s="3"/>
      <c r="CX1657" s="4">
        <f>SUM(CS1657:CW1657)</f>
        <v>0</v>
      </c>
      <c r="CZ1657" s="2"/>
      <c r="DA1657" s="3"/>
      <c r="DB1657" s="3"/>
      <c r="DC1657" s="3"/>
      <c r="DD1657" s="3"/>
      <c r="DE1657" s="4">
        <f>SUM(CZ1657:DD1657)</f>
        <v>0</v>
      </c>
    </row>
    <row r="1658" spans="3:109">
      <c r="C1658" s="567"/>
      <c r="E1658" s="5" t="s">
        <v>60</v>
      </c>
      <c r="F1658" s="23">
        <f t="shared" ref="F1658:F1660" si="7629">CE1652</f>
        <v>0</v>
      </c>
      <c r="G1658" s="24">
        <f t="shared" si="7620"/>
        <v>0</v>
      </c>
      <c r="H1658" s="24">
        <f t="shared" si="7621"/>
        <v>0</v>
      </c>
      <c r="I1658" s="24">
        <f t="shared" si="7622"/>
        <v>0</v>
      </c>
      <c r="J1658" s="24">
        <f t="shared" si="7623"/>
        <v>0</v>
      </c>
      <c r="K1658" s="8">
        <f t="shared" ref="K1658:K1660" si="7630">SUM(F1658:J1658)</f>
        <v>0</v>
      </c>
      <c r="M1658" s="6"/>
      <c r="N1658" s="7"/>
      <c r="O1658" s="7"/>
      <c r="P1658" s="7"/>
      <c r="Q1658" s="7"/>
      <c r="R1658" s="8">
        <f t="shared" ref="R1658:R1660" si="7631">SUM(M1658:Q1658)</f>
        <v>0</v>
      </c>
      <c r="T1658" s="6"/>
      <c r="U1658" s="7"/>
      <c r="V1658" s="7"/>
      <c r="W1658" s="7"/>
      <c r="X1658" s="7"/>
      <c r="Y1658" s="8">
        <f t="shared" ref="Y1658:Y1660" si="7632">SUM(T1658:X1658)</f>
        <v>0</v>
      </c>
      <c r="AA1658" s="6"/>
      <c r="AB1658" s="7"/>
      <c r="AC1658" s="7"/>
      <c r="AD1658" s="7"/>
      <c r="AE1658" s="7"/>
      <c r="AF1658" s="8">
        <f>SUM(AA1658:AE1658)</f>
        <v>0</v>
      </c>
      <c r="AH1658" s="6"/>
      <c r="AI1658" s="7"/>
      <c r="AJ1658" s="7"/>
      <c r="AK1658" s="7"/>
      <c r="AL1658" s="7"/>
      <c r="AM1658" s="8">
        <f>SUM(AH1658:AL1658)</f>
        <v>0</v>
      </c>
      <c r="AO1658" s="6"/>
      <c r="AP1658" s="7"/>
      <c r="AQ1658" s="7"/>
      <c r="AR1658" s="7"/>
      <c r="AS1658" s="7"/>
      <c r="AT1658" s="8">
        <f>SUM(AO1658:AS1658)</f>
        <v>0</v>
      </c>
      <c r="AV1658" s="6"/>
      <c r="AW1658" s="7"/>
      <c r="AX1658" s="7"/>
      <c r="AY1658" s="7"/>
      <c r="AZ1658" s="7"/>
      <c r="BA1658" s="8">
        <f>SUM(AV1658:AZ1658)</f>
        <v>0</v>
      </c>
      <c r="BC1658" s="6"/>
      <c r="BD1658" s="7"/>
      <c r="BE1658" s="7"/>
      <c r="BF1658" s="7"/>
      <c r="BG1658" s="7"/>
      <c r="BH1658" s="8">
        <f>SUM(BC1658:BG1658)</f>
        <v>0</v>
      </c>
      <c r="BJ1658" s="6"/>
      <c r="BK1658" s="7"/>
      <c r="BL1658" s="7"/>
      <c r="BM1658" s="7"/>
      <c r="BN1658" s="7"/>
      <c r="BO1658" s="8">
        <f>SUM(BJ1658:BN1658)</f>
        <v>0</v>
      </c>
      <c r="BQ1658" s="6"/>
      <c r="BR1658" s="7"/>
      <c r="BS1658" s="7"/>
      <c r="BT1658" s="7"/>
      <c r="BU1658" s="7"/>
      <c r="BV1658" s="8">
        <f>SUM(BQ1658:BU1658)</f>
        <v>0</v>
      </c>
      <c r="BX1658" s="6"/>
      <c r="BY1658" s="7"/>
      <c r="BZ1658" s="7"/>
      <c r="CA1658" s="7"/>
      <c r="CB1658" s="7"/>
      <c r="CC1658" s="8">
        <f>SUM(BX1658:CB1658)</f>
        <v>0</v>
      </c>
      <c r="CE1658" s="28">
        <f t="shared" si="7624"/>
        <v>0</v>
      </c>
      <c r="CF1658" s="29">
        <f t="shared" si="7625"/>
        <v>0</v>
      </c>
      <c r="CG1658" s="29">
        <f t="shared" si="7626"/>
        <v>0</v>
      </c>
      <c r="CH1658" s="29">
        <f t="shared" si="7627"/>
        <v>0</v>
      </c>
      <c r="CI1658" s="29">
        <f t="shared" si="7628"/>
        <v>0</v>
      </c>
      <c r="CJ1658" s="8">
        <f>SUM(CE1658:CI1658)</f>
        <v>0</v>
      </c>
      <c r="CL1658" s="6"/>
      <c r="CM1658" s="7"/>
      <c r="CN1658" s="7"/>
      <c r="CO1658" s="7"/>
      <c r="CP1658" s="7"/>
      <c r="CQ1658" s="8">
        <f>SUM(CL1658:CP1658)</f>
        <v>0</v>
      </c>
      <c r="CS1658" s="6"/>
      <c r="CT1658" s="7"/>
      <c r="CU1658" s="7"/>
      <c r="CV1658" s="7"/>
      <c r="CW1658" s="7"/>
      <c r="CX1658" s="8">
        <f t="shared" ref="CX1658:CX1660" si="7633">SUM(CS1658:CW1658)</f>
        <v>0</v>
      </c>
      <c r="CZ1658" s="6"/>
      <c r="DA1658" s="7"/>
      <c r="DB1658" s="7"/>
      <c r="DC1658" s="7"/>
      <c r="DD1658" s="7"/>
      <c r="DE1658" s="8">
        <f t="shared" ref="DE1658:DE1660" si="7634">SUM(CZ1658:DD1658)</f>
        <v>0</v>
      </c>
    </row>
    <row r="1659" spans="3:109">
      <c r="C1659" s="567"/>
      <c r="E1659" s="5" t="s">
        <v>61</v>
      </c>
      <c r="F1659" s="23">
        <f t="shared" si="7629"/>
        <v>0</v>
      </c>
      <c r="G1659" s="24">
        <f t="shared" si="7620"/>
        <v>0</v>
      </c>
      <c r="H1659" s="24">
        <f t="shared" si="7621"/>
        <v>0</v>
      </c>
      <c r="I1659" s="24">
        <f t="shared" si="7622"/>
        <v>0</v>
      </c>
      <c r="J1659" s="24">
        <f t="shared" si="7623"/>
        <v>0</v>
      </c>
      <c r="K1659" s="8">
        <f t="shared" si="7630"/>
        <v>0</v>
      </c>
      <c r="M1659" s="6"/>
      <c r="N1659" s="7"/>
      <c r="O1659" s="7"/>
      <c r="P1659" s="7"/>
      <c r="Q1659" s="7"/>
      <c r="R1659" s="8">
        <f t="shared" si="7631"/>
        <v>0</v>
      </c>
      <c r="T1659" s="6"/>
      <c r="U1659" s="7"/>
      <c r="V1659" s="7"/>
      <c r="W1659" s="7"/>
      <c r="X1659" s="7"/>
      <c r="Y1659" s="8">
        <f t="shared" si="7632"/>
        <v>0</v>
      </c>
      <c r="AA1659" s="6"/>
      <c r="AB1659" s="7"/>
      <c r="AC1659" s="7"/>
      <c r="AD1659" s="7"/>
      <c r="AE1659" s="7"/>
      <c r="AF1659" s="8">
        <f>SUM(AA1659:AE1659)</f>
        <v>0</v>
      </c>
      <c r="AH1659" s="6"/>
      <c r="AI1659" s="7"/>
      <c r="AJ1659" s="7"/>
      <c r="AK1659" s="7"/>
      <c r="AL1659" s="7"/>
      <c r="AM1659" s="8">
        <f>SUM(AH1659:AL1659)</f>
        <v>0</v>
      </c>
      <c r="AO1659" s="6"/>
      <c r="AP1659" s="7"/>
      <c r="AQ1659" s="7"/>
      <c r="AR1659" s="7"/>
      <c r="AS1659" s="7"/>
      <c r="AT1659" s="8">
        <f>SUM(AO1659:AS1659)</f>
        <v>0</v>
      </c>
      <c r="AV1659" s="6"/>
      <c r="AW1659" s="7"/>
      <c r="AX1659" s="7"/>
      <c r="AY1659" s="7"/>
      <c r="AZ1659" s="7"/>
      <c r="BA1659" s="8">
        <f>SUM(AV1659:AZ1659)</f>
        <v>0</v>
      </c>
      <c r="BC1659" s="6"/>
      <c r="BD1659" s="7"/>
      <c r="BE1659" s="7"/>
      <c r="BF1659" s="7"/>
      <c r="BG1659" s="7"/>
      <c r="BH1659" s="8">
        <f>SUM(BC1659:BG1659)</f>
        <v>0</v>
      </c>
      <c r="BJ1659" s="6"/>
      <c r="BK1659" s="7"/>
      <c r="BL1659" s="7"/>
      <c r="BM1659" s="7"/>
      <c r="BN1659" s="7"/>
      <c r="BO1659" s="8">
        <f>SUM(BJ1659:BN1659)</f>
        <v>0</v>
      </c>
      <c r="BQ1659" s="6"/>
      <c r="BR1659" s="7"/>
      <c r="BS1659" s="7"/>
      <c r="BT1659" s="7"/>
      <c r="BU1659" s="7"/>
      <c r="BV1659" s="8">
        <f>SUM(BQ1659:BU1659)</f>
        <v>0</v>
      </c>
      <c r="BX1659" s="6"/>
      <c r="BY1659" s="7"/>
      <c r="BZ1659" s="7"/>
      <c r="CA1659" s="7"/>
      <c r="CB1659" s="7"/>
      <c r="CC1659" s="8">
        <f>SUM(BX1659:CB1659)</f>
        <v>0</v>
      </c>
      <c r="CE1659" s="28">
        <f t="shared" si="7624"/>
        <v>0</v>
      </c>
      <c r="CF1659" s="29">
        <f t="shared" si="7625"/>
        <v>0</v>
      </c>
      <c r="CG1659" s="29">
        <f t="shared" si="7626"/>
        <v>0</v>
      </c>
      <c r="CH1659" s="29">
        <f t="shared" si="7627"/>
        <v>0</v>
      </c>
      <c r="CI1659" s="29">
        <f t="shared" si="7628"/>
        <v>0</v>
      </c>
      <c r="CJ1659" s="8">
        <f>SUM(CE1659:CI1659)</f>
        <v>0</v>
      </c>
      <c r="CL1659" s="6"/>
      <c r="CM1659" s="7"/>
      <c r="CN1659" s="7"/>
      <c r="CO1659" s="7"/>
      <c r="CP1659" s="7"/>
      <c r="CQ1659" s="8">
        <f>SUM(CL1659:CP1659)</f>
        <v>0</v>
      </c>
      <c r="CS1659" s="6"/>
      <c r="CT1659" s="7"/>
      <c r="CU1659" s="7"/>
      <c r="CV1659" s="7"/>
      <c r="CW1659" s="7"/>
      <c r="CX1659" s="8">
        <f t="shared" si="7633"/>
        <v>0</v>
      </c>
      <c r="CZ1659" s="6"/>
      <c r="DA1659" s="7"/>
      <c r="DB1659" s="7"/>
      <c r="DC1659" s="7"/>
      <c r="DD1659" s="7"/>
      <c r="DE1659" s="8">
        <f t="shared" si="7634"/>
        <v>0</v>
      </c>
    </row>
    <row r="1660" spans="3:109" ht="14" thickBot="1">
      <c r="C1660" s="567"/>
      <c r="E1660" s="5" t="s">
        <v>62</v>
      </c>
      <c r="F1660" s="23">
        <f t="shared" si="7629"/>
        <v>0</v>
      </c>
      <c r="G1660" s="24">
        <f t="shared" si="7620"/>
        <v>0</v>
      </c>
      <c r="H1660" s="24">
        <f t="shared" si="7621"/>
        <v>0</v>
      </c>
      <c r="I1660" s="24">
        <f t="shared" si="7622"/>
        <v>0</v>
      </c>
      <c r="J1660" s="24">
        <f t="shared" si="7623"/>
        <v>0</v>
      </c>
      <c r="K1660" s="8">
        <f t="shared" si="7630"/>
        <v>0</v>
      </c>
      <c r="M1660" s="6"/>
      <c r="N1660" s="7"/>
      <c r="O1660" s="7"/>
      <c r="P1660" s="7"/>
      <c r="Q1660" s="7"/>
      <c r="R1660" s="8">
        <f t="shared" si="7631"/>
        <v>0</v>
      </c>
      <c r="T1660" s="6"/>
      <c r="U1660" s="7"/>
      <c r="V1660" s="7"/>
      <c r="W1660" s="7"/>
      <c r="X1660" s="7"/>
      <c r="Y1660" s="8">
        <f t="shared" si="7632"/>
        <v>0</v>
      </c>
      <c r="AA1660" s="6"/>
      <c r="AB1660" s="7"/>
      <c r="AC1660" s="7"/>
      <c r="AD1660" s="7"/>
      <c r="AE1660" s="7"/>
      <c r="AF1660" s="8">
        <f>SUM(AA1660:AE1660)</f>
        <v>0</v>
      </c>
      <c r="AH1660" s="6"/>
      <c r="AI1660" s="7"/>
      <c r="AJ1660" s="7"/>
      <c r="AK1660" s="7"/>
      <c r="AL1660" s="7"/>
      <c r="AM1660" s="8">
        <f>SUM(AH1660:AL1660)</f>
        <v>0</v>
      </c>
      <c r="AO1660" s="6"/>
      <c r="AP1660" s="7"/>
      <c r="AQ1660" s="7"/>
      <c r="AR1660" s="7"/>
      <c r="AS1660" s="7"/>
      <c r="AT1660" s="8">
        <f>SUM(AO1660:AS1660)</f>
        <v>0</v>
      </c>
      <c r="AV1660" s="6"/>
      <c r="AW1660" s="7"/>
      <c r="AX1660" s="7"/>
      <c r="AY1660" s="7"/>
      <c r="AZ1660" s="7"/>
      <c r="BA1660" s="8">
        <f>SUM(AV1660:AZ1660)</f>
        <v>0</v>
      </c>
      <c r="BC1660" s="6"/>
      <c r="BD1660" s="7"/>
      <c r="BE1660" s="7"/>
      <c r="BF1660" s="7"/>
      <c r="BG1660" s="7"/>
      <c r="BH1660" s="8">
        <f>SUM(BC1660:BG1660)</f>
        <v>0</v>
      </c>
      <c r="BJ1660" s="6"/>
      <c r="BK1660" s="7"/>
      <c r="BL1660" s="7"/>
      <c r="BM1660" s="7"/>
      <c r="BN1660" s="7"/>
      <c r="BO1660" s="8">
        <f>SUM(BJ1660:BN1660)</f>
        <v>0</v>
      </c>
      <c r="BQ1660" s="6"/>
      <c r="BR1660" s="7"/>
      <c r="BS1660" s="7"/>
      <c r="BT1660" s="7"/>
      <c r="BU1660" s="7"/>
      <c r="BV1660" s="8">
        <f>SUM(BQ1660:BU1660)</f>
        <v>0</v>
      </c>
      <c r="BX1660" s="6"/>
      <c r="BY1660" s="7"/>
      <c r="BZ1660" s="7"/>
      <c r="CA1660" s="7"/>
      <c r="CB1660" s="7"/>
      <c r="CC1660" s="8">
        <f>SUM(BX1660:CB1660)</f>
        <v>0</v>
      </c>
      <c r="CE1660" s="493">
        <f t="shared" si="7624"/>
        <v>0</v>
      </c>
      <c r="CF1660" s="494">
        <f t="shared" si="7625"/>
        <v>0</v>
      </c>
      <c r="CG1660" s="494">
        <f t="shared" si="7626"/>
        <v>0</v>
      </c>
      <c r="CH1660" s="494">
        <f t="shared" si="7627"/>
        <v>0</v>
      </c>
      <c r="CI1660" s="494">
        <f t="shared" si="7628"/>
        <v>0</v>
      </c>
      <c r="CJ1660" s="495">
        <f>SUM(CE1660:CI1660)</f>
        <v>0</v>
      </c>
      <c r="CL1660" s="6"/>
      <c r="CM1660" s="7"/>
      <c r="CN1660" s="7"/>
      <c r="CO1660" s="7"/>
      <c r="CP1660" s="7"/>
      <c r="CQ1660" s="8">
        <f>SUM(CL1660:CP1660)</f>
        <v>0</v>
      </c>
      <c r="CS1660" s="6"/>
      <c r="CT1660" s="7"/>
      <c r="CU1660" s="7"/>
      <c r="CV1660" s="7"/>
      <c r="CW1660" s="7"/>
      <c r="CX1660" s="8">
        <f t="shared" si="7633"/>
        <v>0</v>
      </c>
      <c r="CZ1660" s="6"/>
      <c r="DA1660" s="7"/>
      <c r="DB1660" s="7"/>
      <c r="DC1660" s="7"/>
      <c r="DD1660" s="7"/>
      <c r="DE1660" s="8">
        <f t="shared" si="7634"/>
        <v>0</v>
      </c>
    </row>
    <row r="1661" spans="3:109" ht="14" thickBot="1">
      <c r="C1661" s="554"/>
      <c r="E1661" s="9"/>
      <c r="F1661" s="10">
        <f>SUM(F1657:F1660)</f>
        <v>0</v>
      </c>
      <c r="G1661" s="11">
        <f t="shared" ref="G1661:J1661" si="7635">SUM(G1657:G1660)</f>
        <v>0</v>
      </c>
      <c r="H1661" s="11">
        <f t="shared" si="7635"/>
        <v>0</v>
      </c>
      <c r="I1661" s="11">
        <f t="shared" si="7635"/>
        <v>0</v>
      </c>
      <c r="J1661" s="11">
        <f t="shared" si="7635"/>
        <v>0</v>
      </c>
      <c r="K1661" s="25">
        <f>SUM(K1657:K1660)</f>
        <v>0</v>
      </c>
      <c r="M1661" s="10">
        <f>SUM(M1657:M1660)</f>
        <v>0</v>
      </c>
      <c r="N1661" s="11">
        <f t="shared" ref="N1661:Q1661" si="7636">SUM(N1657:N1660)</f>
        <v>0</v>
      </c>
      <c r="O1661" s="11">
        <f t="shared" si="7636"/>
        <v>0</v>
      </c>
      <c r="P1661" s="11">
        <f t="shared" si="7636"/>
        <v>0</v>
      </c>
      <c r="Q1661" s="11">
        <f t="shared" si="7636"/>
        <v>0</v>
      </c>
      <c r="R1661" s="25">
        <f>SUM(R1657:R1660)</f>
        <v>0</v>
      </c>
      <c r="T1661" s="10">
        <f>SUM(T1657:T1660)</f>
        <v>0</v>
      </c>
      <c r="U1661" s="11">
        <f t="shared" ref="U1661:X1661" si="7637">SUM(U1657:U1660)</f>
        <v>0</v>
      </c>
      <c r="V1661" s="11">
        <f t="shared" si="7637"/>
        <v>0</v>
      </c>
      <c r="W1661" s="11">
        <f t="shared" si="7637"/>
        <v>0</v>
      </c>
      <c r="X1661" s="11">
        <f t="shared" si="7637"/>
        <v>0</v>
      </c>
      <c r="Y1661" s="25">
        <f>SUM(Y1657:Y1660)</f>
        <v>0</v>
      </c>
      <c r="AA1661" s="10">
        <f>SUM(AA1657:AA1660)</f>
        <v>0</v>
      </c>
      <c r="AB1661" s="11">
        <f t="shared" ref="AB1661:AE1661" si="7638">SUM(AB1657:AB1660)</f>
        <v>0</v>
      </c>
      <c r="AC1661" s="11">
        <f t="shared" si="7638"/>
        <v>0</v>
      </c>
      <c r="AD1661" s="11">
        <f t="shared" si="7638"/>
        <v>0</v>
      </c>
      <c r="AE1661" s="11">
        <f t="shared" si="7638"/>
        <v>0</v>
      </c>
      <c r="AF1661" s="25">
        <f>SUM(AF1657:AF1660)</f>
        <v>0</v>
      </c>
      <c r="AH1661" s="10">
        <f>SUM(AH1657:AH1660)</f>
        <v>0</v>
      </c>
      <c r="AI1661" s="11">
        <f t="shared" ref="AI1661:AL1661" si="7639">SUM(AI1657:AI1660)</f>
        <v>0</v>
      </c>
      <c r="AJ1661" s="11">
        <f t="shared" si="7639"/>
        <v>0</v>
      </c>
      <c r="AK1661" s="11">
        <f t="shared" si="7639"/>
        <v>0</v>
      </c>
      <c r="AL1661" s="11">
        <f t="shared" si="7639"/>
        <v>0</v>
      </c>
      <c r="AM1661" s="25">
        <f>SUM(AM1657:AM1660)</f>
        <v>0</v>
      </c>
      <c r="AO1661" s="10">
        <f>SUM(AO1657:AO1660)</f>
        <v>0</v>
      </c>
      <c r="AP1661" s="11">
        <f t="shared" ref="AP1661:AS1661" si="7640">SUM(AP1657:AP1660)</f>
        <v>0</v>
      </c>
      <c r="AQ1661" s="11">
        <f t="shared" si="7640"/>
        <v>0</v>
      </c>
      <c r="AR1661" s="11">
        <f t="shared" si="7640"/>
        <v>0</v>
      </c>
      <c r="AS1661" s="11">
        <f t="shared" si="7640"/>
        <v>0</v>
      </c>
      <c r="AT1661" s="25">
        <f>SUM(AT1657:AT1660)</f>
        <v>0</v>
      </c>
      <c r="AV1661" s="10">
        <f>SUM(AV1657:AV1660)</f>
        <v>0</v>
      </c>
      <c r="AW1661" s="11">
        <f t="shared" ref="AW1661:AZ1661" si="7641">SUM(AW1657:AW1660)</f>
        <v>0</v>
      </c>
      <c r="AX1661" s="11">
        <f t="shared" si="7641"/>
        <v>0</v>
      </c>
      <c r="AY1661" s="11">
        <f t="shared" si="7641"/>
        <v>0</v>
      </c>
      <c r="AZ1661" s="11">
        <f t="shared" si="7641"/>
        <v>0</v>
      </c>
      <c r="BA1661" s="25">
        <f>SUM(BA1657:BA1660)</f>
        <v>0</v>
      </c>
      <c r="BC1661" s="10">
        <f>SUM(BC1657:BC1660)</f>
        <v>0</v>
      </c>
      <c r="BD1661" s="11">
        <f t="shared" ref="BD1661:BG1661" si="7642">SUM(BD1657:BD1660)</f>
        <v>0</v>
      </c>
      <c r="BE1661" s="11">
        <f t="shared" si="7642"/>
        <v>0</v>
      </c>
      <c r="BF1661" s="11">
        <f t="shared" si="7642"/>
        <v>0</v>
      </c>
      <c r="BG1661" s="11">
        <f t="shared" si="7642"/>
        <v>0</v>
      </c>
      <c r="BH1661" s="25">
        <f>SUM(BH1657:BH1660)</f>
        <v>0</v>
      </c>
      <c r="BJ1661" s="10">
        <f>SUM(BJ1657:BJ1660)</f>
        <v>0</v>
      </c>
      <c r="BK1661" s="11">
        <f t="shared" ref="BK1661:BN1661" si="7643">SUM(BK1657:BK1660)</f>
        <v>0</v>
      </c>
      <c r="BL1661" s="11">
        <f t="shared" si="7643"/>
        <v>0</v>
      </c>
      <c r="BM1661" s="11">
        <f t="shared" si="7643"/>
        <v>0</v>
      </c>
      <c r="BN1661" s="11">
        <f t="shared" si="7643"/>
        <v>0</v>
      </c>
      <c r="BO1661" s="25">
        <f>SUM(BO1657:BO1660)</f>
        <v>0</v>
      </c>
      <c r="BQ1661" s="10">
        <f>SUM(BQ1657:BQ1660)</f>
        <v>0</v>
      </c>
      <c r="BR1661" s="11">
        <f t="shared" ref="BR1661:BU1661" si="7644">SUM(BR1657:BR1660)</f>
        <v>0</v>
      </c>
      <c r="BS1661" s="11">
        <f t="shared" si="7644"/>
        <v>0</v>
      </c>
      <c r="BT1661" s="11">
        <f t="shared" si="7644"/>
        <v>0</v>
      </c>
      <c r="BU1661" s="11">
        <f t="shared" si="7644"/>
        <v>0</v>
      </c>
      <c r="BV1661" s="25">
        <f>SUM(BV1657:BV1660)</f>
        <v>0</v>
      </c>
      <c r="BX1661" s="10">
        <f>SUM(BX1657:BX1660)</f>
        <v>0</v>
      </c>
      <c r="BY1661" s="11">
        <f t="shared" ref="BY1661:CB1661" si="7645">SUM(BY1657:BY1660)</f>
        <v>0</v>
      </c>
      <c r="BZ1661" s="11">
        <f t="shared" si="7645"/>
        <v>0</v>
      </c>
      <c r="CA1661" s="11">
        <f t="shared" si="7645"/>
        <v>0</v>
      </c>
      <c r="CB1661" s="11">
        <f t="shared" si="7645"/>
        <v>0</v>
      </c>
      <c r="CC1661" s="25">
        <f>SUM(CC1657:CC1660)</f>
        <v>0</v>
      </c>
      <c r="CE1661" s="62">
        <f t="shared" ref="CE1661:CJ1661" si="7646">SUM(CE1657:CE1660)</f>
        <v>0</v>
      </c>
      <c r="CF1661" s="63">
        <f t="shared" si="7646"/>
        <v>0</v>
      </c>
      <c r="CG1661" s="63">
        <f t="shared" si="7646"/>
        <v>0</v>
      </c>
      <c r="CH1661" s="63">
        <f t="shared" si="7646"/>
        <v>0</v>
      </c>
      <c r="CI1661" s="63">
        <f t="shared" si="7646"/>
        <v>0</v>
      </c>
      <c r="CJ1661" s="25">
        <f t="shared" si="7646"/>
        <v>0</v>
      </c>
      <c r="CL1661" s="10">
        <f>SUM(CL1657:CL1660)</f>
        <v>0</v>
      </c>
      <c r="CM1661" s="11">
        <f t="shared" ref="CM1661:CP1661" si="7647">SUM(CM1657:CM1660)</f>
        <v>0</v>
      </c>
      <c r="CN1661" s="11">
        <f t="shared" si="7647"/>
        <v>0</v>
      </c>
      <c r="CO1661" s="11">
        <f t="shared" si="7647"/>
        <v>0</v>
      </c>
      <c r="CP1661" s="11">
        <f t="shared" si="7647"/>
        <v>0</v>
      </c>
      <c r="CQ1661" s="25">
        <f>SUM(CQ1657:CQ1660)</f>
        <v>0</v>
      </c>
      <c r="CS1661" s="10">
        <f>SUM(CS1657:CS1660)</f>
        <v>0</v>
      </c>
      <c r="CT1661" s="11">
        <f t="shared" ref="CT1661:CW1661" si="7648">SUM(CT1657:CT1660)</f>
        <v>0</v>
      </c>
      <c r="CU1661" s="11">
        <f t="shared" si="7648"/>
        <v>0</v>
      </c>
      <c r="CV1661" s="11">
        <f t="shared" si="7648"/>
        <v>0</v>
      </c>
      <c r="CW1661" s="11">
        <f t="shared" si="7648"/>
        <v>0</v>
      </c>
      <c r="CX1661" s="25">
        <f>SUM(CX1657:CX1660)</f>
        <v>0</v>
      </c>
      <c r="CZ1661" s="10">
        <f>SUM(CZ1657:CZ1660)</f>
        <v>0</v>
      </c>
      <c r="DA1661" s="11">
        <f t="shared" ref="DA1661:DD1661" si="7649">SUM(DA1657:DA1660)</f>
        <v>0</v>
      </c>
      <c r="DB1661" s="11">
        <f t="shared" si="7649"/>
        <v>0</v>
      </c>
      <c r="DC1661" s="11">
        <f t="shared" si="7649"/>
        <v>0</v>
      </c>
      <c r="DD1661" s="11">
        <f t="shared" si="7649"/>
        <v>0</v>
      </c>
      <c r="DE1661" s="25">
        <f>SUM(DE1657:DE1660)</f>
        <v>0</v>
      </c>
    </row>
    <row r="1662" spans="3:109" ht="10.4" customHeight="1" thickBot="1"/>
    <row r="1663" spans="3:109">
      <c r="C1663" s="553">
        <v>2028</v>
      </c>
      <c r="E1663" s="1" t="s">
        <v>59</v>
      </c>
      <c r="F1663" s="21">
        <f>CE1657</f>
        <v>0</v>
      </c>
      <c r="G1663" s="22">
        <f t="shared" ref="G1663:G1666" si="7650">CF1657</f>
        <v>0</v>
      </c>
      <c r="H1663" s="22">
        <f t="shared" ref="H1663:H1666" si="7651">CG1657</f>
        <v>0</v>
      </c>
      <c r="I1663" s="22">
        <f t="shared" ref="I1663:I1666" si="7652">CH1657</f>
        <v>0</v>
      </c>
      <c r="J1663" s="22">
        <f t="shared" ref="J1663:J1666" si="7653">CI1657</f>
        <v>0</v>
      </c>
      <c r="K1663" s="4">
        <f>SUM(F1663:J1663)</f>
        <v>0</v>
      </c>
      <c r="M1663" s="2"/>
      <c r="N1663" s="3"/>
      <c r="O1663" s="3"/>
      <c r="P1663" s="3"/>
      <c r="Q1663" s="3"/>
      <c r="R1663" s="4">
        <f>SUM(M1663:Q1663)</f>
        <v>0</v>
      </c>
      <c r="T1663" s="2"/>
      <c r="U1663" s="3"/>
      <c r="V1663" s="3"/>
      <c r="W1663" s="3"/>
      <c r="X1663" s="3"/>
      <c r="Y1663" s="4">
        <f>SUM(T1663:X1663)</f>
        <v>0</v>
      </c>
      <c r="AA1663" s="2"/>
      <c r="AB1663" s="3"/>
      <c r="AC1663" s="3"/>
      <c r="AD1663" s="3"/>
      <c r="AE1663" s="3"/>
      <c r="AF1663" s="4">
        <f>SUM(AA1663:AE1663)</f>
        <v>0</v>
      </c>
      <c r="AH1663" s="2"/>
      <c r="AI1663" s="3"/>
      <c r="AJ1663" s="3"/>
      <c r="AK1663" s="3"/>
      <c r="AL1663" s="3"/>
      <c r="AM1663" s="4">
        <f>SUM(AH1663:AL1663)</f>
        <v>0</v>
      </c>
      <c r="AO1663" s="2"/>
      <c r="AP1663" s="3"/>
      <c r="AQ1663" s="3"/>
      <c r="AR1663" s="3"/>
      <c r="AS1663" s="3"/>
      <c r="AT1663" s="4">
        <f>SUM(AO1663:AS1663)</f>
        <v>0</v>
      </c>
      <c r="AV1663" s="2"/>
      <c r="AW1663" s="3"/>
      <c r="AX1663" s="3"/>
      <c r="AY1663" s="3"/>
      <c r="AZ1663" s="3"/>
      <c r="BA1663" s="4">
        <f>SUM(AV1663:AZ1663)</f>
        <v>0</v>
      </c>
      <c r="BC1663" s="2"/>
      <c r="BD1663" s="3"/>
      <c r="BE1663" s="3"/>
      <c r="BF1663" s="3"/>
      <c r="BG1663" s="3"/>
      <c r="BH1663" s="4">
        <f>SUM(BC1663:BG1663)</f>
        <v>0</v>
      </c>
      <c r="BJ1663" s="2"/>
      <c r="BK1663" s="3"/>
      <c r="BL1663" s="3"/>
      <c r="BM1663" s="3"/>
      <c r="BN1663" s="3"/>
      <c r="BO1663" s="4">
        <f>SUM(BJ1663:BN1663)</f>
        <v>0</v>
      </c>
      <c r="BQ1663" s="2"/>
      <c r="BR1663" s="3"/>
      <c r="BS1663" s="3"/>
      <c r="BT1663" s="3"/>
      <c r="BU1663" s="3"/>
      <c r="BV1663" s="4">
        <f>SUM(BQ1663:BU1663)</f>
        <v>0</v>
      </c>
      <c r="BX1663" s="2"/>
      <c r="BY1663" s="3"/>
      <c r="BZ1663" s="3"/>
      <c r="CA1663" s="3"/>
      <c r="CB1663" s="3"/>
      <c r="CC1663" s="4">
        <f>SUM(BX1663:CB1663)</f>
        <v>0</v>
      </c>
      <c r="CE1663" s="26">
        <f t="shared" ref="CE1663:CE1666" si="7654">F1663+M1663+T1663+AA1663+AH1663+AO1663+AV1663+BC1663+BJ1663+BQ1663+BX1663</f>
        <v>0</v>
      </c>
      <c r="CF1663" s="27">
        <f t="shared" ref="CF1663:CF1666" si="7655">G1663+N1663+U1663+AB1663+AI1663+AP1663+AW1663+BD1663+BK1663+BR1663+BY1663</f>
        <v>0</v>
      </c>
      <c r="CG1663" s="27">
        <f t="shared" ref="CG1663:CG1666" si="7656">H1663+O1663+V1663+AC1663+AJ1663+AQ1663+AX1663+BE1663+BL1663+BS1663+BZ1663</f>
        <v>0</v>
      </c>
      <c r="CH1663" s="27">
        <f t="shared" ref="CH1663:CH1666" si="7657">I1663+P1663+W1663+AD1663+AK1663+AR1663+AY1663+BF1663+BM1663+BT1663+CA1663</f>
        <v>0</v>
      </c>
      <c r="CI1663" s="27">
        <f t="shared" ref="CI1663:CI1666" si="7658">J1663+Q1663+X1663+AE1663+AL1663+AS1663+AZ1663+BG1663+BN1663+BU1663+CB1663</f>
        <v>0</v>
      </c>
      <c r="CJ1663" s="4">
        <f>SUM(CE1663:CI1663)</f>
        <v>0</v>
      </c>
      <c r="CL1663" s="2"/>
      <c r="CM1663" s="3"/>
      <c r="CN1663" s="3"/>
      <c r="CO1663" s="3"/>
      <c r="CP1663" s="3"/>
      <c r="CQ1663" s="4">
        <f>SUM(CL1663:CP1663)</f>
        <v>0</v>
      </c>
      <c r="CS1663" s="2"/>
      <c r="CT1663" s="3"/>
      <c r="CU1663" s="3"/>
      <c r="CV1663" s="3"/>
      <c r="CW1663" s="3"/>
      <c r="CX1663" s="4">
        <f>SUM(CS1663:CW1663)</f>
        <v>0</v>
      </c>
      <c r="CZ1663" s="2"/>
      <c r="DA1663" s="3"/>
      <c r="DB1663" s="3"/>
      <c r="DC1663" s="3"/>
      <c r="DD1663" s="3"/>
      <c r="DE1663" s="4">
        <f>SUM(CZ1663:DD1663)</f>
        <v>0</v>
      </c>
    </row>
    <row r="1664" spans="3:109">
      <c r="C1664" s="567"/>
      <c r="E1664" s="5" t="s">
        <v>60</v>
      </c>
      <c r="F1664" s="23">
        <f t="shared" ref="F1664:F1666" si="7659">CE1658</f>
        <v>0</v>
      </c>
      <c r="G1664" s="24">
        <f t="shared" si="7650"/>
        <v>0</v>
      </c>
      <c r="H1664" s="24">
        <f t="shared" si="7651"/>
        <v>0</v>
      </c>
      <c r="I1664" s="24">
        <f t="shared" si="7652"/>
        <v>0</v>
      </c>
      <c r="J1664" s="24">
        <f t="shared" si="7653"/>
        <v>0</v>
      </c>
      <c r="K1664" s="8">
        <f t="shared" ref="K1664:K1666" si="7660">SUM(F1664:J1664)</f>
        <v>0</v>
      </c>
      <c r="M1664" s="6"/>
      <c r="N1664" s="7"/>
      <c r="O1664" s="7"/>
      <c r="P1664" s="7"/>
      <c r="Q1664" s="7"/>
      <c r="R1664" s="8">
        <f t="shared" ref="R1664:R1666" si="7661">SUM(M1664:Q1664)</f>
        <v>0</v>
      </c>
      <c r="T1664" s="6"/>
      <c r="U1664" s="7"/>
      <c r="V1664" s="7"/>
      <c r="W1664" s="7"/>
      <c r="X1664" s="7"/>
      <c r="Y1664" s="8">
        <f t="shared" ref="Y1664:Y1666" si="7662">SUM(T1664:X1664)</f>
        <v>0</v>
      </c>
      <c r="AA1664" s="6"/>
      <c r="AB1664" s="7"/>
      <c r="AC1664" s="7"/>
      <c r="AD1664" s="7"/>
      <c r="AE1664" s="7"/>
      <c r="AF1664" s="8">
        <f>SUM(AA1664:AE1664)</f>
        <v>0</v>
      </c>
      <c r="AH1664" s="6"/>
      <c r="AI1664" s="7"/>
      <c r="AJ1664" s="7"/>
      <c r="AK1664" s="7"/>
      <c r="AL1664" s="7"/>
      <c r="AM1664" s="8">
        <f>SUM(AH1664:AL1664)</f>
        <v>0</v>
      </c>
      <c r="AO1664" s="6"/>
      <c r="AP1664" s="7"/>
      <c r="AQ1664" s="7"/>
      <c r="AR1664" s="7"/>
      <c r="AS1664" s="7"/>
      <c r="AT1664" s="8">
        <f>SUM(AO1664:AS1664)</f>
        <v>0</v>
      </c>
      <c r="AV1664" s="6"/>
      <c r="AW1664" s="7"/>
      <c r="AX1664" s="7"/>
      <c r="AY1664" s="7"/>
      <c r="AZ1664" s="7"/>
      <c r="BA1664" s="8">
        <f>SUM(AV1664:AZ1664)</f>
        <v>0</v>
      </c>
      <c r="BC1664" s="6"/>
      <c r="BD1664" s="7"/>
      <c r="BE1664" s="7"/>
      <c r="BF1664" s="7"/>
      <c r="BG1664" s="7"/>
      <c r="BH1664" s="8">
        <f>SUM(BC1664:BG1664)</f>
        <v>0</v>
      </c>
      <c r="BJ1664" s="6"/>
      <c r="BK1664" s="7"/>
      <c r="BL1664" s="7"/>
      <c r="BM1664" s="7"/>
      <c r="BN1664" s="7"/>
      <c r="BO1664" s="8">
        <f>SUM(BJ1664:BN1664)</f>
        <v>0</v>
      </c>
      <c r="BQ1664" s="6"/>
      <c r="BR1664" s="7"/>
      <c r="BS1664" s="7"/>
      <c r="BT1664" s="7"/>
      <c r="BU1664" s="7"/>
      <c r="BV1664" s="8">
        <f>SUM(BQ1664:BU1664)</f>
        <v>0</v>
      </c>
      <c r="BX1664" s="6"/>
      <c r="BY1664" s="7"/>
      <c r="BZ1664" s="7"/>
      <c r="CA1664" s="7"/>
      <c r="CB1664" s="7"/>
      <c r="CC1664" s="8">
        <f>SUM(BX1664:CB1664)</f>
        <v>0</v>
      </c>
      <c r="CE1664" s="28">
        <f t="shared" si="7654"/>
        <v>0</v>
      </c>
      <c r="CF1664" s="29">
        <f t="shared" si="7655"/>
        <v>0</v>
      </c>
      <c r="CG1664" s="29">
        <f t="shared" si="7656"/>
        <v>0</v>
      </c>
      <c r="CH1664" s="29">
        <f t="shared" si="7657"/>
        <v>0</v>
      </c>
      <c r="CI1664" s="29">
        <f t="shared" si="7658"/>
        <v>0</v>
      </c>
      <c r="CJ1664" s="8">
        <f>SUM(CE1664:CI1664)</f>
        <v>0</v>
      </c>
      <c r="CL1664" s="6"/>
      <c r="CM1664" s="7"/>
      <c r="CN1664" s="7"/>
      <c r="CO1664" s="7"/>
      <c r="CP1664" s="7"/>
      <c r="CQ1664" s="8">
        <f>SUM(CL1664:CP1664)</f>
        <v>0</v>
      </c>
      <c r="CS1664" s="6"/>
      <c r="CT1664" s="7"/>
      <c r="CU1664" s="7"/>
      <c r="CV1664" s="7"/>
      <c r="CW1664" s="7"/>
      <c r="CX1664" s="8">
        <f t="shared" ref="CX1664:CX1666" si="7663">SUM(CS1664:CW1664)</f>
        <v>0</v>
      </c>
      <c r="CZ1664" s="6"/>
      <c r="DA1664" s="7"/>
      <c r="DB1664" s="7"/>
      <c r="DC1664" s="7"/>
      <c r="DD1664" s="7"/>
      <c r="DE1664" s="8">
        <f t="shared" ref="DE1664:DE1666" si="7664">SUM(CZ1664:DD1664)</f>
        <v>0</v>
      </c>
    </row>
    <row r="1665" spans="2:109">
      <c r="C1665" s="567"/>
      <c r="E1665" s="5" t="s">
        <v>61</v>
      </c>
      <c r="F1665" s="23">
        <f t="shared" si="7659"/>
        <v>0</v>
      </c>
      <c r="G1665" s="24">
        <f t="shared" si="7650"/>
        <v>0</v>
      </c>
      <c r="H1665" s="24">
        <f t="shared" si="7651"/>
        <v>0</v>
      </c>
      <c r="I1665" s="24">
        <f t="shared" si="7652"/>
        <v>0</v>
      </c>
      <c r="J1665" s="24">
        <f t="shared" si="7653"/>
        <v>0</v>
      </c>
      <c r="K1665" s="8">
        <f t="shared" si="7660"/>
        <v>0</v>
      </c>
      <c r="M1665" s="6"/>
      <c r="N1665" s="7"/>
      <c r="O1665" s="7"/>
      <c r="P1665" s="7"/>
      <c r="Q1665" s="7"/>
      <c r="R1665" s="8">
        <f t="shared" si="7661"/>
        <v>0</v>
      </c>
      <c r="T1665" s="6"/>
      <c r="U1665" s="7"/>
      <c r="V1665" s="7"/>
      <c r="W1665" s="7"/>
      <c r="X1665" s="7"/>
      <c r="Y1665" s="8">
        <f t="shared" si="7662"/>
        <v>0</v>
      </c>
      <c r="AA1665" s="6"/>
      <c r="AB1665" s="7"/>
      <c r="AC1665" s="7"/>
      <c r="AD1665" s="7"/>
      <c r="AE1665" s="7"/>
      <c r="AF1665" s="8">
        <f>SUM(AA1665:AE1665)</f>
        <v>0</v>
      </c>
      <c r="AH1665" s="6"/>
      <c r="AI1665" s="7"/>
      <c r="AJ1665" s="7"/>
      <c r="AK1665" s="7"/>
      <c r="AL1665" s="7"/>
      <c r="AM1665" s="8">
        <f>SUM(AH1665:AL1665)</f>
        <v>0</v>
      </c>
      <c r="AO1665" s="6"/>
      <c r="AP1665" s="7"/>
      <c r="AQ1665" s="7"/>
      <c r="AR1665" s="7"/>
      <c r="AS1665" s="7"/>
      <c r="AT1665" s="8">
        <f>SUM(AO1665:AS1665)</f>
        <v>0</v>
      </c>
      <c r="AV1665" s="6"/>
      <c r="AW1665" s="7"/>
      <c r="AX1665" s="7"/>
      <c r="AY1665" s="7"/>
      <c r="AZ1665" s="7"/>
      <c r="BA1665" s="8">
        <f>SUM(AV1665:AZ1665)</f>
        <v>0</v>
      </c>
      <c r="BC1665" s="6"/>
      <c r="BD1665" s="7"/>
      <c r="BE1665" s="7"/>
      <c r="BF1665" s="7"/>
      <c r="BG1665" s="7"/>
      <c r="BH1665" s="8">
        <f>SUM(BC1665:BG1665)</f>
        <v>0</v>
      </c>
      <c r="BJ1665" s="6"/>
      <c r="BK1665" s="7"/>
      <c r="BL1665" s="7"/>
      <c r="BM1665" s="7"/>
      <c r="BN1665" s="7"/>
      <c r="BO1665" s="8">
        <f>SUM(BJ1665:BN1665)</f>
        <v>0</v>
      </c>
      <c r="BQ1665" s="6"/>
      <c r="BR1665" s="7"/>
      <c r="BS1665" s="7"/>
      <c r="BT1665" s="7"/>
      <c r="BU1665" s="7"/>
      <c r="BV1665" s="8">
        <f>SUM(BQ1665:BU1665)</f>
        <v>0</v>
      </c>
      <c r="BX1665" s="6"/>
      <c r="BY1665" s="7"/>
      <c r="BZ1665" s="7"/>
      <c r="CA1665" s="7"/>
      <c r="CB1665" s="7"/>
      <c r="CC1665" s="8">
        <f>SUM(BX1665:CB1665)</f>
        <v>0</v>
      </c>
      <c r="CE1665" s="28">
        <f t="shared" si="7654"/>
        <v>0</v>
      </c>
      <c r="CF1665" s="29">
        <f t="shared" si="7655"/>
        <v>0</v>
      </c>
      <c r="CG1665" s="29">
        <f t="shared" si="7656"/>
        <v>0</v>
      </c>
      <c r="CH1665" s="29">
        <f t="shared" si="7657"/>
        <v>0</v>
      </c>
      <c r="CI1665" s="29">
        <f t="shared" si="7658"/>
        <v>0</v>
      </c>
      <c r="CJ1665" s="8">
        <f>SUM(CE1665:CI1665)</f>
        <v>0</v>
      </c>
      <c r="CL1665" s="6"/>
      <c r="CM1665" s="7"/>
      <c r="CN1665" s="7"/>
      <c r="CO1665" s="7"/>
      <c r="CP1665" s="7"/>
      <c r="CQ1665" s="8">
        <f>SUM(CL1665:CP1665)</f>
        <v>0</v>
      </c>
      <c r="CS1665" s="6"/>
      <c r="CT1665" s="7"/>
      <c r="CU1665" s="7"/>
      <c r="CV1665" s="7"/>
      <c r="CW1665" s="7"/>
      <c r="CX1665" s="8">
        <f t="shared" si="7663"/>
        <v>0</v>
      </c>
      <c r="CZ1665" s="6"/>
      <c r="DA1665" s="7"/>
      <c r="DB1665" s="7"/>
      <c r="DC1665" s="7"/>
      <c r="DD1665" s="7"/>
      <c r="DE1665" s="8">
        <f t="shared" si="7664"/>
        <v>0</v>
      </c>
    </row>
    <row r="1666" spans="2:109" ht="14" thickBot="1">
      <c r="C1666" s="567"/>
      <c r="E1666" s="5" t="s">
        <v>62</v>
      </c>
      <c r="F1666" s="23">
        <f t="shared" si="7659"/>
        <v>0</v>
      </c>
      <c r="G1666" s="24">
        <f t="shared" si="7650"/>
        <v>0</v>
      </c>
      <c r="H1666" s="24">
        <f t="shared" si="7651"/>
        <v>0</v>
      </c>
      <c r="I1666" s="24">
        <f t="shared" si="7652"/>
        <v>0</v>
      </c>
      <c r="J1666" s="24">
        <f t="shared" si="7653"/>
        <v>0</v>
      </c>
      <c r="K1666" s="8">
        <f t="shared" si="7660"/>
        <v>0</v>
      </c>
      <c r="M1666" s="6"/>
      <c r="N1666" s="7"/>
      <c r="O1666" s="7"/>
      <c r="P1666" s="7"/>
      <c r="Q1666" s="7"/>
      <c r="R1666" s="8">
        <f t="shared" si="7661"/>
        <v>0</v>
      </c>
      <c r="T1666" s="6"/>
      <c r="U1666" s="7"/>
      <c r="V1666" s="7"/>
      <c r="W1666" s="7"/>
      <c r="X1666" s="7"/>
      <c r="Y1666" s="8">
        <f t="shared" si="7662"/>
        <v>0</v>
      </c>
      <c r="AA1666" s="6"/>
      <c r="AB1666" s="7"/>
      <c r="AC1666" s="7"/>
      <c r="AD1666" s="7"/>
      <c r="AE1666" s="7"/>
      <c r="AF1666" s="8">
        <f>SUM(AA1666:AE1666)</f>
        <v>0</v>
      </c>
      <c r="AH1666" s="6"/>
      <c r="AI1666" s="7"/>
      <c r="AJ1666" s="7"/>
      <c r="AK1666" s="7"/>
      <c r="AL1666" s="7"/>
      <c r="AM1666" s="8">
        <f>SUM(AH1666:AL1666)</f>
        <v>0</v>
      </c>
      <c r="AO1666" s="6"/>
      <c r="AP1666" s="7"/>
      <c r="AQ1666" s="7"/>
      <c r="AR1666" s="7"/>
      <c r="AS1666" s="7"/>
      <c r="AT1666" s="8">
        <f>SUM(AO1666:AS1666)</f>
        <v>0</v>
      </c>
      <c r="AV1666" s="6"/>
      <c r="AW1666" s="7"/>
      <c r="AX1666" s="7"/>
      <c r="AY1666" s="7"/>
      <c r="AZ1666" s="7"/>
      <c r="BA1666" s="8">
        <f>SUM(AV1666:AZ1666)</f>
        <v>0</v>
      </c>
      <c r="BC1666" s="6"/>
      <c r="BD1666" s="7"/>
      <c r="BE1666" s="7"/>
      <c r="BF1666" s="7"/>
      <c r="BG1666" s="7"/>
      <c r="BH1666" s="8">
        <f>SUM(BC1666:BG1666)</f>
        <v>0</v>
      </c>
      <c r="BJ1666" s="6"/>
      <c r="BK1666" s="7"/>
      <c r="BL1666" s="7"/>
      <c r="BM1666" s="7"/>
      <c r="BN1666" s="7"/>
      <c r="BO1666" s="8">
        <f>SUM(BJ1666:BN1666)</f>
        <v>0</v>
      </c>
      <c r="BQ1666" s="6"/>
      <c r="BR1666" s="7"/>
      <c r="BS1666" s="7"/>
      <c r="BT1666" s="7"/>
      <c r="BU1666" s="7"/>
      <c r="BV1666" s="8">
        <f>SUM(BQ1666:BU1666)</f>
        <v>0</v>
      </c>
      <c r="BX1666" s="6"/>
      <c r="BY1666" s="7"/>
      <c r="BZ1666" s="7"/>
      <c r="CA1666" s="7"/>
      <c r="CB1666" s="7"/>
      <c r="CC1666" s="8">
        <f>SUM(BX1666:CB1666)</f>
        <v>0</v>
      </c>
      <c r="CE1666" s="493">
        <f t="shared" si="7654"/>
        <v>0</v>
      </c>
      <c r="CF1666" s="494">
        <f t="shared" si="7655"/>
        <v>0</v>
      </c>
      <c r="CG1666" s="494">
        <f t="shared" si="7656"/>
        <v>0</v>
      </c>
      <c r="CH1666" s="494">
        <f t="shared" si="7657"/>
        <v>0</v>
      </c>
      <c r="CI1666" s="494">
        <f t="shared" si="7658"/>
        <v>0</v>
      </c>
      <c r="CJ1666" s="495">
        <f>SUM(CE1666:CI1666)</f>
        <v>0</v>
      </c>
      <c r="CL1666" s="6"/>
      <c r="CM1666" s="7"/>
      <c r="CN1666" s="7"/>
      <c r="CO1666" s="7"/>
      <c r="CP1666" s="7"/>
      <c r="CQ1666" s="8">
        <f>SUM(CL1666:CP1666)</f>
        <v>0</v>
      </c>
      <c r="CS1666" s="6"/>
      <c r="CT1666" s="7"/>
      <c r="CU1666" s="7"/>
      <c r="CV1666" s="7"/>
      <c r="CW1666" s="7"/>
      <c r="CX1666" s="8">
        <f t="shared" si="7663"/>
        <v>0</v>
      </c>
      <c r="CZ1666" s="6"/>
      <c r="DA1666" s="7"/>
      <c r="DB1666" s="7"/>
      <c r="DC1666" s="7"/>
      <c r="DD1666" s="7"/>
      <c r="DE1666" s="8">
        <f t="shared" si="7664"/>
        <v>0</v>
      </c>
    </row>
    <row r="1667" spans="2:109" ht="14" thickBot="1">
      <c r="C1667" s="554"/>
      <c r="E1667" s="9"/>
      <c r="F1667" s="10">
        <f>SUM(F1663:F1666)</f>
        <v>0</v>
      </c>
      <c r="G1667" s="11">
        <f t="shared" ref="G1667:J1667" si="7665">SUM(G1663:G1666)</f>
        <v>0</v>
      </c>
      <c r="H1667" s="11">
        <f t="shared" si="7665"/>
        <v>0</v>
      </c>
      <c r="I1667" s="11">
        <f t="shared" si="7665"/>
        <v>0</v>
      </c>
      <c r="J1667" s="11">
        <f t="shared" si="7665"/>
        <v>0</v>
      </c>
      <c r="K1667" s="25">
        <f>SUM(K1663:K1666)</f>
        <v>0</v>
      </c>
      <c r="M1667" s="10">
        <f>SUM(M1663:M1666)</f>
        <v>0</v>
      </c>
      <c r="N1667" s="11">
        <f t="shared" ref="N1667:Q1667" si="7666">SUM(N1663:N1666)</f>
        <v>0</v>
      </c>
      <c r="O1667" s="11">
        <f t="shared" si="7666"/>
        <v>0</v>
      </c>
      <c r="P1667" s="11">
        <f t="shared" si="7666"/>
        <v>0</v>
      </c>
      <c r="Q1667" s="11">
        <f t="shared" si="7666"/>
        <v>0</v>
      </c>
      <c r="R1667" s="25">
        <f>SUM(R1663:R1666)</f>
        <v>0</v>
      </c>
      <c r="T1667" s="10">
        <f>SUM(T1663:T1666)</f>
        <v>0</v>
      </c>
      <c r="U1667" s="11">
        <f t="shared" ref="U1667:X1667" si="7667">SUM(U1663:U1666)</f>
        <v>0</v>
      </c>
      <c r="V1667" s="11">
        <f t="shared" si="7667"/>
        <v>0</v>
      </c>
      <c r="W1667" s="11">
        <f t="shared" si="7667"/>
        <v>0</v>
      </c>
      <c r="X1667" s="11">
        <f t="shared" si="7667"/>
        <v>0</v>
      </c>
      <c r="Y1667" s="25">
        <f>SUM(Y1663:Y1666)</f>
        <v>0</v>
      </c>
      <c r="AA1667" s="10">
        <f>SUM(AA1663:AA1666)</f>
        <v>0</v>
      </c>
      <c r="AB1667" s="11">
        <f t="shared" ref="AB1667:AE1667" si="7668">SUM(AB1663:AB1666)</f>
        <v>0</v>
      </c>
      <c r="AC1667" s="11">
        <f t="shared" si="7668"/>
        <v>0</v>
      </c>
      <c r="AD1667" s="11">
        <f t="shared" si="7668"/>
        <v>0</v>
      </c>
      <c r="AE1667" s="11">
        <f t="shared" si="7668"/>
        <v>0</v>
      </c>
      <c r="AF1667" s="25">
        <f>SUM(AF1663:AF1666)</f>
        <v>0</v>
      </c>
      <c r="AH1667" s="10">
        <f>SUM(AH1663:AH1666)</f>
        <v>0</v>
      </c>
      <c r="AI1667" s="11">
        <f t="shared" ref="AI1667:AL1667" si="7669">SUM(AI1663:AI1666)</f>
        <v>0</v>
      </c>
      <c r="AJ1667" s="11">
        <f t="shared" si="7669"/>
        <v>0</v>
      </c>
      <c r="AK1667" s="11">
        <f t="shared" si="7669"/>
        <v>0</v>
      </c>
      <c r="AL1667" s="11">
        <f t="shared" si="7669"/>
        <v>0</v>
      </c>
      <c r="AM1667" s="25">
        <f>SUM(AM1663:AM1666)</f>
        <v>0</v>
      </c>
      <c r="AO1667" s="10">
        <f>SUM(AO1663:AO1666)</f>
        <v>0</v>
      </c>
      <c r="AP1667" s="11">
        <f t="shared" ref="AP1667:AS1667" si="7670">SUM(AP1663:AP1666)</f>
        <v>0</v>
      </c>
      <c r="AQ1667" s="11">
        <f t="shared" si="7670"/>
        <v>0</v>
      </c>
      <c r="AR1667" s="11">
        <f t="shared" si="7670"/>
        <v>0</v>
      </c>
      <c r="AS1667" s="11">
        <f t="shared" si="7670"/>
        <v>0</v>
      </c>
      <c r="AT1667" s="25">
        <f>SUM(AT1663:AT1666)</f>
        <v>0</v>
      </c>
      <c r="AV1667" s="10">
        <f>SUM(AV1663:AV1666)</f>
        <v>0</v>
      </c>
      <c r="AW1667" s="11">
        <f t="shared" ref="AW1667:AZ1667" si="7671">SUM(AW1663:AW1666)</f>
        <v>0</v>
      </c>
      <c r="AX1667" s="11">
        <f t="shared" si="7671"/>
        <v>0</v>
      </c>
      <c r="AY1667" s="11">
        <f t="shared" si="7671"/>
        <v>0</v>
      </c>
      <c r="AZ1667" s="11">
        <f t="shared" si="7671"/>
        <v>0</v>
      </c>
      <c r="BA1667" s="25">
        <f>SUM(BA1663:BA1666)</f>
        <v>0</v>
      </c>
      <c r="BC1667" s="10">
        <f>SUM(BC1663:BC1666)</f>
        <v>0</v>
      </c>
      <c r="BD1667" s="11">
        <f t="shared" ref="BD1667:BG1667" si="7672">SUM(BD1663:BD1666)</f>
        <v>0</v>
      </c>
      <c r="BE1667" s="11">
        <f t="shared" si="7672"/>
        <v>0</v>
      </c>
      <c r="BF1667" s="11">
        <f t="shared" si="7672"/>
        <v>0</v>
      </c>
      <c r="BG1667" s="11">
        <f t="shared" si="7672"/>
        <v>0</v>
      </c>
      <c r="BH1667" s="25">
        <f>SUM(BH1663:BH1666)</f>
        <v>0</v>
      </c>
      <c r="BJ1667" s="10">
        <f>SUM(BJ1663:BJ1666)</f>
        <v>0</v>
      </c>
      <c r="BK1667" s="11">
        <f t="shared" ref="BK1667:BN1667" si="7673">SUM(BK1663:BK1666)</f>
        <v>0</v>
      </c>
      <c r="BL1667" s="11">
        <f t="shared" si="7673"/>
        <v>0</v>
      </c>
      <c r="BM1667" s="11">
        <f t="shared" si="7673"/>
        <v>0</v>
      </c>
      <c r="BN1667" s="11">
        <f t="shared" si="7673"/>
        <v>0</v>
      </c>
      <c r="BO1667" s="25">
        <f>SUM(BO1663:BO1666)</f>
        <v>0</v>
      </c>
      <c r="BQ1667" s="10">
        <f>SUM(BQ1663:BQ1666)</f>
        <v>0</v>
      </c>
      <c r="BR1667" s="11">
        <f t="shared" ref="BR1667:BU1667" si="7674">SUM(BR1663:BR1666)</f>
        <v>0</v>
      </c>
      <c r="BS1667" s="11">
        <f t="shared" si="7674"/>
        <v>0</v>
      </c>
      <c r="BT1667" s="11">
        <f t="shared" si="7674"/>
        <v>0</v>
      </c>
      <c r="BU1667" s="11">
        <f t="shared" si="7674"/>
        <v>0</v>
      </c>
      <c r="BV1667" s="25">
        <f>SUM(BV1663:BV1666)</f>
        <v>0</v>
      </c>
      <c r="BX1667" s="10">
        <f>SUM(BX1663:BX1666)</f>
        <v>0</v>
      </c>
      <c r="BY1667" s="11">
        <f t="shared" ref="BY1667:CB1667" si="7675">SUM(BY1663:BY1666)</f>
        <v>0</v>
      </c>
      <c r="BZ1667" s="11">
        <f t="shared" si="7675"/>
        <v>0</v>
      </c>
      <c r="CA1667" s="11">
        <f t="shared" si="7675"/>
        <v>0</v>
      </c>
      <c r="CB1667" s="11">
        <f t="shared" si="7675"/>
        <v>0</v>
      </c>
      <c r="CC1667" s="25">
        <f>SUM(CC1663:CC1666)</f>
        <v>0</v>
      </c>
      <c r="CE1667" s="62">
        <f t="shared" ref="CE1667:CJ1667" si="7676">SUM(CE1663:CE1666)</f>
        <v>0</v>
      </c>
      <c r="CF1667" s="63">
        <f t="shared" si="7676"/>
        <v>0</v>
      </c>
      <c r="CG1667" s="63">
        <f t="shared" si="7676"/>
        <v>0</v>
      </c>
      <c r="CH1667" s="63">
        <f t="shared" si="7676"/>
        <v>0</v>
      </c>
      <c r="CI1667" s="63">
        <f t="shared" si="7676"/>
        <v>0</v>
      </c>
      <c r="CJ1667" s="25">
        <f t="shared" si="7676"/>
        <v>0</v>
      </c>
      <c r="CL1667" s="10">
        <f>SUM(CL1663:CL1666)</f>
        <v>0</v>
      </c>
      <c r="CM1667" s="11">
        <f t="shared" ref="CM1667:CP1667" si="7677">SUM(CM1663:CM1666)</f>
        <v>0</v>
      </c>
      <c r="CN1667" s="11">
        <f t="shared" si="7677"/>
        <v>0</v>
      </c>
      <c r="CO1667" s="11">
        <f t="shared" si="7677"/>
        <v>0</v>
      </c>
      <c r="CP1667" s="11">
        <f t="shared" si="7677"/>
        <v>0</v>
      </c>
      <c r="CQ1667" s="25">
        <f>SUM(CQ1663:CQ1666)</f>
        <v>0</v>
      </c>
      <c r="CS1667" s="10">
        <f>SUM(CS1663:CS1666)</f>
        <v>0</v>
      </c>
      <c r="CT1667" s="11">
        <f t="shared" ref="CT1667:CW1667" si="7678">SUM(CT1663:CT1666)</f>
        <v>0</v>
      </c>
      <c r="CU1667" s="11">
        <f t="shared" si="7678"/>
        <v>0</v>
      </c>
      <c r="CV1667" s="11">
        <f t="shared" si="7678"/>
        <v>0</v>
      </c>
      <c r="CW1667" s="11">
        <f t="shared" si="7678"/>
        <v>0</v>
      </c>
      <c r="CX1667" s="25">
        <f>SUM(CX1663:CX1666)</f>
        <v>0</v>
      </c>
      <c r="CZ1667" s="10">
        <f>SUM(CZ1663:CZ1666)</f>
        <v>0</v>
      </c>
      <c r="DA1667" s="11">
        <f t="shared" ref="DA1667:DD1667" si="7679">SUM(DA1663:DA1666)</f>
        <v>0</v>
      </c>
      <c r="DB1667" s="11">
        <f t="shared" si="7679"/>
        <v>0</v>
      </c>
      <c r="DC1667" s="11">
        <f t="shared" si="7679"/>
        <v>0</v>
      </c>
      <c r="DD1667" s="11">
        <f t="shared" si="7679"/>
        <v>0</v>
      </c>
      <c r="DE1667" s="25">
        <f>SUM(DE1663:DE1666)</f>
        <v>0</v>
      </c>
    </row>
    <row r="1669" spans="2:109">
      <c r="B1669" s="123"/>
      <c r="C1669" s="20"/>
      <c r="D1669" s="20"/>
      <c r="E1669" s="20"/>
      <c r="F1669" s="20"/>
      <c r="G1669" s="20"/>
      <c r="H1669" s="20"/>
      <c r="I1669" s="20"/>
      <c r="J1669" s="20"/>
      <c r="K1669" s="20"/>
      <c r="L1669" s="20"/>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c r="BU1669" s="20"/>
      <c r="BV1669" s="20"/>
      <c r="BW1669" s="20"/>
      <c r="BX1669" s="20"/>
      <c r="BY1669" s="20"/>
      <c r="BZ1669" s="20"/>
      <c r="CA1669" s="20"/>
      <c r="CB1669" s="20"/>
      <c r="CC1669" s="20"/>
      <c r="CD1669" s="20"/>
      <c r="CE1669" s="20"/>
      <c r="CF1669" s="20"/>
      <c r="CG1669" s="20"/>
      <c r="CH1669" s="20"/>
      <c r="CI1669" s="20"/>
      <c r="CJ1669" s="20"/>
      <c r="CL1669" s="20"/>
      <c r="CM1669" s="20"/>
      <c r="CN1669" s="20"/>
      <c r="CO1669" s="20"/>
      <c r="CP1669" s="20"/>
      <c r="CQ1669" s="20"/>
      <c r="CR1669" s="20"/>
      <c r="CS1669" s="20"/>
      <c r="CT1669" s="20"/>
      <c r="CU1669" s="20"/>
      <c r="CV1669" s="20"/>
      <c r="CW1669" s="20"/>
      <c r="CX1669" s="20"/>
      <c r="CY1669" s="20"/>
      <c r="CZ1669" s="20"/>
      <c r="DA1669" s="20"/>
      <c r="DB1669" s="20"/>
      <c r="DC1669" s="20"/>
      <c r="DD1669" s="20"/>
      <c r="DE1669" s="20"/>
    </row>
    <row r="1670" spans="2:109" ht="14" thickBot="1">
      <c r="B1670" s="94">
        <v>53</v>
      </c>
      <c r="C1670" s="12" t="s">
        <v>114</v>
      </c>
    </row>
    <row r="1671" spans="2:109">
      <c r="C1671" s="553">
        <v>2024</v>
      </c>
      <c r="E1671" s="1" t="s">
        <v>59</v>
      </c>
      <c r="F1671" s="2"/>
      <c r="G1671" s="3"/>
      <c r="H1671" s="3"/>
      <c r="I1671" s="3"/>
      <c r="J1671" s="3"/>
      <c r="K1671" s="4">
        <f>SUM(F1671:J1671)</f>
        <v>0</v>
      </c>
      <c r="M1671" s="2"/>
      <c r="N1671" s="3"/>
      <c r="O1671" s="3"/>
      <c r="P1671" s="3"/>
      <c r="Q1671" s="3"/>
      <c r="R1671" s="4">
        <f>SUM(M1671:Q1671)</f>
        <v>0</v>
      </c>
      <c r="T1671" s="2"/>
      <c r="U1671" s="3"/>
      <c r="V1671" s="3"/>
      <c r="W1671" s="3"/>
      <c r="X1671" s="3"/>
      <c r="Y1671" s="4">
        <f>SUM(T1671:X1671)</f>
        <v>0</v>
      </c>
      <c r="AA1671" s="2"/>
      <c r="AB1671" s="3"/>
      <c r="AC1671" s="3"/>
      <c r="AD1671" s="3"/>
      <c r="AE1671" s="3"/>
      <c r="AF1671" s="4">
        <f>SUM(AA1671:AE1671)</f>
        <v>0</v>
      </c>
      <c r="AH1671" s="2"/>
      <c r="AI1671" s="3"/>
      <c r="AJ1671" s="3"/>
      <c r="AK1671" s="3"/>
      <c r="AL1671" s="3"/>
      <c r="AM1671" s="4">
        <f>SUM(AH1671:AL1671)</f>
        <v>0</v>
      </c>
      <c r="AO1671" s="2"/>
      <c r="AP1671" s="3"/>
      <c r="AQ1671" s="3"/>
      <c r="AR1671" s="3"/>
      <c r="AS1671" s="3"/>
      <c r="AT1671" s="4">
        <f>SUM(AO1671:AS1671)</f>
        <v>0</v>
      </c>
      <c r="AV1671" s="2"/>
      <c r="AW1671" s="3"/>
      <c r="AX1671" s="3"/>
      <c r="AY1671" s="3"/>
      <c r="AZ1671" s="3"/>
      <c r="BA1671" s="4">
        <f>SUM(AV1671:AZ1671)</f>
        <v>0</v>
      </c>
      <c r="BC1671" s="2"/>
      <c r="BD1671" s="3"/>
      <c r="BE1671" s="3"/>
      <c r="BF1671" s="3"/>
      <c r="BG1671" s="3"/>
      <c r="BH1671" s="4">
        <f>SUM(BC1671:BG1671)</f>
        <v>0</v>
      </c>
      <c r="BJ1671" s="2"/>
      <c r="BK1671" s="3"/>
      <c r="BL1671" s="3"/>
      <c r="BM1671" s="3"/>
      <c r="BN1671" s="3"/>
      <c r="BO1671" s="4">
        <f>SUM(BJ1671:BN1671)</f>
        <v>0</v>
      </c>
      <c r="BQ1671" s="2"/>
      <c r="BR1671" s="3"/>
      <c r="BS1671" s="3"/>
      <c r="BT1671" s="3"/>
      <c r="BU1671" s="3"/>
      <c r="BV1671" s="4">
        <f>SUM(BQ1671:BU1671)</f>
        <v>0</v>
      </c>
      <c r="BX1671" s="2"/>
      <c r="BY1671" s="3"/>
      <c r="BZ1671" s="3"/>
      <c r="CA1671" s="3"/>
      <c r="CB1671" s="3"/>
      <c r="CC1671" s="4">
        <f>SUM(BX1671:CB1671)</f>
        <v>0</v>
      </c>
      <c r="CE1671" s="26">
        <f t="shared" ref="CE1671:CE1674" si="7680">F1671+M1671+T1671+AA1671+AH1671+AO1671+AV1671+BC1671+BJ1671+BQ1671+BX1671</f>
        <v>0</v>
      </c>
      <c r="CF1671" s="27">
        <f t="shared" ref="CF1671:CF1674" si="7681">G1671+N1671+U1671+AB1671+AI1671+AP1671+AW1671+BD1671+BK1671+BR1671+BY1671</f>
        <v>0</v>
      </c>
      <c r="CG1671" s="27">
        <f t="shared" ref="CG1671:CG1674" si="7682">H1671+O1671+V1671+AC1671+AJ1671+AQ1671+AX1671+BE1671+BL1671+BS1671+BZ1671</f>
        <v>0</v>
      </c>
      <c r="CH1671" s="27">
        <f t="shared" ref="CH1671:CH1674" si="7683">I1671+P1671+W1671+AD1671+AK1671+AR1671+AY1671+BF1671+BM1671+BT1671+CA1671</f>
        <v>0</v>
      </c>
      <c r="CI1671" s="27">
        <f t="shared" ref="CI1671:CI1674" si="7684">J1671+Q1671+X1671+AE1671+AL1671+AS1671+AZ1671+BG1671+BN1671+BU1671+CB1671</f>
        <v>0</v>
      </c>
      <c r="CJ1671" s="4">
        <f>SUM(CE1671:CI1671)</f>
        <v>0</v>
      </c>
      <c r="CL1671" s="2"/>
      <c r="CM1671" s="3"/>
      <c r="CN1671" s="3"/>
      <c r="CO1671" s="3"/>
      <c r="CP1671" s="3"/>
      <c r="CQ1671" s="4">
        <f>SUM(CL1671:CP1671)</f>
        <v>0</v>
      </c>
      <c r="CS1671" s="2"/>
      <c r="CT1671" s="3"/>
      <c r="CU1671" s="3"/>
      <c r="CV1671" s="3"/>
      <c r="CW1671" s="3"/>
      <c r="CX1671" s="4">
        <f>SUM(CS1671:CW1671)</f>
        <v>0</v>
      </c>
      <c r="CZ1671" s="2"/>
      <c r="DA1671" s="3"/>
      <c r="DB1671" s="3"/>
      <c r="DC1671" s="3"/>
      <c r="DD1671" s="3"/>
      <c r="DE1671" s="4">
        <f>SUM(CZ1671:DD1671)</f>
        <v>0</v>
      </c>
    </row>
    <row r="1672" spans="2:109">
      <c r="C1672" s="567"/>
      <c r="E1672" s="5" t="s">
        <v>60</v>
      </c>
      <c r="F1672" s="6"/>
      <c r="G1672" s="7"/>
      <c r="H1672" s="7"/>
      <c r="I1672" s="7"/>
      <c r="J1672" s="7"/>
      <c r="K1672" s="8">
        <f t="shared" ref="K1672:K1674" si="7685">SUM(F1672:J1672)</f>
        <v>0</v>
      </c>
      <c r="M1672" s="6"/>
      <c r="N1672" s="7"/>
      <c r="O1672" s="7"/>
      <c r="P1672" s="7"/>
      <c r="Q1672" s="7"/>
      <c r="R1672" s="8">
        <f t="shared" ref="R1672:R1674" si="7686">SUM(M1672:Q1672)</f>
        <v>0</v>
      </c>
      <c r="T1672" s="6"/>
      <c r="U1672" s="7"/>
      <c r="V1672" s="7"/>
      <c r="W1672" s="7"/>
      <c r="X1672" s="7"/>
      <c r="Y1672" s="8">
        <f t="shared" ref="Y1672:Y1674" si="7687">SUM(T1672:X1672)</f>
        <v>0</v>
      </c>
      <c r="AA1672" s="6"/>
      <c r="AB1672" s="7"/>
      <c r="AC1672" s="7"/>
      <c r="AD1672" s="7"/>
      <c r="AE1672" s="7"/>
      <c r="AF1672" s="8">
        <f>SUM(AA1672:AE1672)</f>
        <v>0</v>
      </c>
      <c r="AH1672" s="6"/>
      <c r="AI1672" s="7"/>
      <c r="AJ1672" s="7"/>
      <c r="AK1672" s="7"/>
      <c r="AL1672" s="7"/>
      <c r="AM1672" s="8">
        <f>SUM(AH1672:AL1672)</f>
        <v>0</v>
      </c>
      <c r="AO1672" s="6"/>
      <c r="AP1672" s="7"/>
      <c r="AQ1672" s="7"/>
      <c r="AR1672" s="7"/>
      <c r="AS1672" s="7"/>
      <c r="AT1672" s="8">
        <f>SUM(AO1672:AS1672)</f>
        <v>0</v>
      </c>
      <c r="AV1672" s="6"/>
      <c r="AW1672" s="7"/>
      <c r="AX1672" s="7"/>
      <c r="AY1672" s="7"/>
      <c r="AZ1672" s="7"/>
      <c r="BA1672" s="8">
        <f>SUM(AV1672:AZ1672)</f>
        <v>0</v>
      </c>
      <c r="BC1672" s="6"/>
      <c r="BD1672" s="7"/>
      <c r="BE1672" s="7"/>
      <c r="BF1672" s="7"/>
      <c r="BG1672" s="7"/>
      <c r="BH1672" s="8">
        <f>SUM(BC1672:BG1672)</f>
        <v>0</v>
      </c>
      <c r="BJ1672" s="6"/>
      <c r="BK1672" s="7"/>
      <c r="BL1672" s="7"/>
      <c r="BM1672" s="7"/>
      <c r="BN1672" s="7"/>
      <c r="BO1672" s="8">
        <f>SUM(BJ1672:BN1672)</f>
        <v>0</v>
      </c>
      <c r="BQ1672" s="6"/>
      <c r="BR1672" s="7"/>
      <c r="BS1672" s="7"/>
      <c r="BT1672" s="7"/>
      <c r="BU1672" s="7"/>
      <c r="BV1672" s="8">
        <f>SUM(BQ1672:BU1672)</f>
        <v>0</v>
      </c>
      <c r="BX1672" s="6"/>
      <c r="BY1672" s="7"/>
      <c r="BZ1672" s="7"/>
      <c r="CA1672" s="7"/>
      <c r="CB1672" s="7"/>
      <c r="CC1672" s="8">
        <f>SUM(BX1672:CB1672)</f>
        <v>0</v>
      </c>
      <c r="CE1672" s="28">
        <f t="shared" si="7680"/>
        <v>0</v>
      </c>
      <c r="CF1672" s="29">
        <f t="shared" si="7681"/>
        <v>0</v>
      </c>
      <c r="CG1672" s="29">
        <f t="shared" si="7682"/>
        <v>0</v>
      </c>
      <c r="CH1672" s="29">
        <f t="shared" si="7683"/>
        <v>0</v>
      </c>
      <c r="CI1672" s="29">
        <f t="shared" si="7684"/>
        <v>0</v>
      </c>
      <c r="CJ1672" s="8">
        <f>SUM(CE1672:CI1672)</f>
        <v>0</v>
      </c>
      <c r="CL1672" s="6"/>
      <c r="CM1672" s="7"/>
      <c r="CN1672" s="7"/>
      <c r="CO1672" s="7"/>
      <c r="CP1672" s="7"/>
      <c r="CQ1672" s="8">
        <f>SUM(CL1672:CP1672)</f>
        <v>0</v>
      </c>
      <c r="CS1672" s="6"/>
      <c r="CT1672" s="7"/>
      <c r="CU1672" s="7"/>
      <c r="CV1672" s="7"/>
      <c r="CW1672" s="7"/>
      <c r="CX1672" s="8">
        <f t="shared" ref="CX1672:CX1674" si="7688">SUM(CS1672:CW1672)</f>
        <v>0</v>
      </c>
      <c r="CZ1672" s="6"/>
      <c r="DA1672" s="7"/>
      <c r="DB1672" s="7"/>
      <c r="DC1672" s="7"/>
      <c r="DD1672" s="7"/>
      <c r="DE1672" s="8">
        <f t="shared" ref="DE1672:DE1674" si="7689">SUM(CZ1672:DD1672)</f>
        <v>0</v>
      </c>
    </row>
    <row r="1673" spans="2:109">
      <c r="C1673" s="567"/>
      <c r="E1673" s="5" t="s">
        <v>61</v>
      </c>
      <c r="F1673" s="6"/>
      <c r="G1673" s="7"/>
      <c r="H1673" s="7"/>
      <c r="I1673" s="7"/>
      <c r="J1673" s="7"/>
      <c r="K1673" s="8">
        <f t="shared" si="7685"/>
        <v>0</v>
      </c>
      <c r="M1673" s="6"/>
      <c r="N1673" s="7"/>
      <c r="O1673" s="7"/>
      <c r="P1673" s="7"/>
      <c r="Q1673" s="7"/>
      <c r="R1673" s="8">
        <f t="shared" si="7686"/>
        <v>0</v>
      </c>
      <c r="T1673" s="6"/>
      <c r="U1673" s="7"/>
      <c r="V1673" s="7"/>
      <c r="W1673" s="7"/>
      <c r="X1673" s="7"/>
      <c r="Y1673" s="8">
        <f t="shared" si="7687"/>
        <v>0</v>
      </c>
      <c r="AA1673" s="6"/>
      <c r="AB1673" s="7"/>
      <c r="AC1673" s="7"/>
      <c r="AD1673" s="7"/>
      <c r="AE1673" s="7"/>
      <c r="AF1673" s="8">
        <f>SUM(AA1673:AE1673)</f>
        <v>0</v>
      </c>
      <c r="AH1673" s="6"/>
      <c r="AI1673" s="7"/>
      <c r="AJ1673" s="7"/>
      <c r="AK1673" s="7"/>
      <c r="AL1673" s="7"/>
      <c r="AM1673" s="8">
        <f>SUM(AH1673:AL1673)</f>
        <v>0</v>
      </c>
      <c r="AO1673" s="6"/>
      <c r="AP1673" s="7"/>
      <c r="AQ1673" s="7"/>
      <c r="AR1673" s="7"/>
      <c r="AS1673" s="7"/>
      <c r="AT1673" s="8">
        <f>SUM(AO1673:AS1673)</f>
        <v>0</v>
      </c>
      <c r="AV1673" s="6"/>
      <c r="AW1673" s="7"/>
      <c r="AX1673" s="7"/>
      <c r="AY1673" s="7"/>
      <c r="AZ1673" s="7"/>
      <c r="BA1673" s="8">
        <f>SUM(AV1673:AZ1673)</f>
        <v>0</v>
      </c>
      <c r="BC1673" s="6"/>
      <c r="BD1673" s="7"/>
      <c r="BE1673" s="7"/>
      <c r="BF1673" s="7"/>
      <c r="BG1673" s="7"/>
      <c r="BH1673" s="8">
        <f>SUM(BC1673:BG1673)</f>
        <v>0</v>
      </c>
      <c r="BJ1673" s="6"/>
      <c r="BK1673" s="7"/>
      <c r="BL1673" s="7"/>
      <c r="BM1673" s="7"/>
      <c r="BN1673" s="7"/>
      <c r="BO1673" s="8">
        <f>SUM(BJ1673:BN1673)</f>
        <v>0</v>
      </c>
      <c r="BQ1673" s="6"/>
      <c r="BR1673" s="7"/>
      <c r="BS1673" s="7"/>
      <c r="BT1673" s="7"/>
      <c r="BU1673" s="7"/>
      <c r="BV1673" s="8">
        <f>SUM(BQ1673:BU1673)</f>
        <v>0</v>
      </c>
      <c r="BX1673" s="6"/>
      <c r="BY1673" s="7"/>
      <c r="BZ1673" s="7"/>
      <c r="CA1673" s="7"/>
      <c r="CB1673" s="7"/>
      <c r="CC1673" s="8">
        <f>SUM(BX1673:CB1673)</f>
        <v>0</v>
      </c>
      <c r="CE1673" s="28">
        <f t="shared" si="7680"/>
        <v>0</v>
      </c>
      <c r="CF1673" s="29">
        <f t="shared" si="7681"/>
        <v>0</v>
      </c>
      <c r="CG1673" s="29">
        <f t="shared" si="7682"/>
        <v>0</v>
      </c>
      <c r="CH1673" s="29">
        <f t="shared" si="7683"/>
        <v>0</v>
      </c>
      <c r="CI1673" s="29">
        <f t="shared" si="7684"/>
        <v>0</v>
      </c>
      <c r="CJ1673" s="8">
        <f>SUM(CE1673:CI1673)</f>
        <v>0</v>
      </c>
      <c r="CL1673" s="6"/>
      <c r="CM1673" s="7"/>
      <c r="CN1673" s="7"/>
      <c r="CO1673" s="7"/>
      <c r="CP1673" s="7"/>
      <c r="CQ1673" s="8">
        <f>SUM(CL1673:CP1673)</f>
        <v>0</v>
      </c>
      <c r="CS1673" s="6"/>
      <c r="CT1673" s="7"/>
      <c r="CU1673" s="7"/>
      <c r="CV1673" s="7"/>
      <c r="CW1673" s="7"/>
      <c r="CX1673" s="8">
        <f t="shared" si="7688"/>
        <v>0</v>
      </c>
      <c r="CZ1673" s="6"/>
      <c r="DA1673" s="7"/>
      <c r="DB1673" s="7"/>
      <c r="DC1673" s="7"/>
      <c r="DD1673" s="7"/>
      <c r="DE1673" s="8">
        <f t="shared" si="7689"/>
        <v>0</v>
      </c>
    </row>
    <row r="1674" spans="2:109" ht="14" thickBot="1">
      <c r="C1674" s="567"/>
      <c r="E1674" s="5" t="s">
        <v>62</v>
      </c>
      <c r="F1674" s="6"/>
      <c r="G1674" s="7"/>
      <c r="H1674" s="7"/>
      <c r="I1674" s="7"/>
      <c r="J1674" s="7"/>
      <c r="K1674" s="8">
        <f t="shared" si="7685"/>
        <v>0</v>
      </c>
      <c r="M1674" s="6"/>
      <c r="N1674" s="7"/>
      <c r="O1674" s="7"/>
      <c r="P1674" s="7"/>
      <c r="Q1674" s="7"/>
      <c r="R1674" s="8">
        <f t="shared" si="7686"/>
        <v>0</v>
      </c>
      <c r="T1674" s="6"/>
      <c r="U1674" s="7"/>
      <c r="V1674" s="7"/>
      <c r="W1674" s="7"/>
      <c r="X1674" s="7"/>
      <c r="Y1674" s="8">
        <f t="shared" si="7687"/>
        <v>0</v>
      </c>
      <c r="AA1674" s="6"/>
      <c r="AB1674" s="7"/>
      <c r="AC1674" s="7"/>
      <c r="AD1674" s="7"/>
      <c r="AE1674" s="7"/>
      <c r="AF1674" s="8">
        <f>SUM(AA1674:AE1674)</f>
        <v>0</v>
      </c>
      <c r="AH1674" s="6"/>
      <c r="AI1674" s="7"/>
      <c r="AJ1674" s="7"/>
      <c r="AK1674" s="7"/>
      <c r="AL1674" s="7"/>
      <c r="AM1674" s="8">
        <f>SUM(AH1674:AL1674)</f>
        <v>0</v>
      </c>
      <c r="AO1674" s="6"/>
      <c r="AP1674" s="7"/>
      <c r="AQ1674" s="7"/>
      <c r="AR1674" s="7"/>
      <c r="AS1674" s="7"/>
      <c r="AT1674" s="8">
        <f>SUM(AO1674:AS1674)</f>
        <v>0</v>
      </c>
      <c r="AV1674" s="6"/>
      <c r="AW1674" s="7"/>
      <c r="AX1674" s="7"/>
      <c r="AY1674" s="7"/>
      <c r="AZ1674" s="7"/>
      <c r="BA1674" s="8">
        <f>SUM(AV1674:AZ1674)</f>
        <v>0</v>
      </c>
      <c r="BC1674" s="6"/>
      <c r="BD1674" s="7"/>
      <c r="BE1674" s="7"/>
      <c r="BF1674" s="7"/>
      <c r="BG1674" s="7"/>
      <c r="BH1674" s="8">
        <f>SUM(BC1674:BG1674)</f>
        <v>0</v>
      </c>
      <c r="BJ1674" s="6"/>
      <c r="BK1674" s="7"/>
      <c r="BL1674" s="7"/>
      <c r="BM1674" s="7"/>
      <c r="BN1674" s="7"/>
      <c r="BO1674" s="8">
        <f>SUM(BJ1674:BN1674)</f>
        <v>0</v>
      </c>
      <c r="BQ1674" s="6"/>
      <c r="BR1674" s="7"/>
      <c r="BS1674" s="7"/>
      <c r="BT1674" s="7"/>
      <c r="BU1674" s="7"/>
      <c r="BV1674" s="8">
        <f>SUM(BQ1674:BU1674)</f>
        <v>0</v>
      </c>
      <c r="BX1674" s="6"/>
      <c r="BY1674" s="7"/>
      <c r="BZ1674" s="7"/>
      <c r="CA1674" s="7"/>
      <c r="CB1674" s="7"/>
      <c r="CC1674" s="8">
        <f>SUM(BX1674:CB1674)</f>
        <v>0</v>
      </c>
      <c r="CE1674" s="493">
        <f t="shared" si="7680"/>
        <v>0</v>
      </c>
      <c r="CF1674" s="494">
        <f t="shared" si="7681"/>
        <v>0</v>
      </c>
      <c r="CG1674" s="494">
        <f t="shared" si="7682"/>
        <v>0</v>
      </c>
      <c r="CH1674" s="494">
        <f t="shared" si="7683"/>
        <v>0</v>
      </c>
      <c r="CI1674" s="494">
        <f t="shared" si="7684"/>
        <v>0</v>
      </c>
      <c r="CJ1674" s="495">
        <f>SUM(CE1674:CI1674)</f>
        <v>0</v>
      </c>
      <c r="CL1674" s="6"/>
      <c r="CM1674" s="7"/>
      <c r="CN1674" s="7"/>
      <c r="CO1674" s="7"/>
      <c r="CP1674" s="7"/>
      <c r="CQ1674" s="8">
        <f>SUM(CL1674:CP1674)</f>
        <v>0</v>
      </c>
      <c r="CS1674" s="6"/>
      <c r="CT1674" s="7"/>
      <c r="CU1674" s="7"/>
      <c r="CV1674" s="7"/>
      <c r="CW1674" s="7"/>
      <c r="CX1674" s="8">
        <f t="shared" si="7688"/>
        <v>0</v>
      </c>
      <c r="CZ1674" s="6"/>
      <c r="DA1674" s="7"/>
      <c r="DB1674" s="7"/>
      <c r="DC1674" s="7"/>
      <c r="DD1674" s="7"/>
      <c r="DE1674" s="8">
        <f t="shared" si="7689"/>
        <v>0</v>
      </c>
    </row>
    <row r="1675" spans="2:109" ht="14" thickBot="1">
      <c r="C1675" s="554"/>
      <c r="E1675" s="9"/>
      <c r="F1675" s="10">
        <f>SUM(F1671:F1674)</f>
        <v>0</v>
      </c>
      <c r="G1675" s="11">
        <f t="shared" ref="G1675:J1675" si="7690">SUM(G1671:G1674)</f>
        <v>0</v>
      </c>
      <c r="H1675" s="11">
        <f t="shared" si="7690"/>
        <v>0</v>
      </c>
      <c r="I1675" s="11">
        <f t="shared" si="7690"/>
        <v>0</v>
      </c>
      <c r="J1675" s="61">
        <f t="shared" si="7690"/>
        <v>0</v>
      </c>
      <c r="K1675" s="25">
        <f>SUM(K1671:K1674)</f>
        <v>0</v>
      </c>
      <c r="M1675" s="10">
        <f>SUM(M1671:M1674)</f>
        <v>0</v>
      </c>
      <c r="N1675" s="11">
        <f t="shared" ref="N1675:Q1675" si="7691">SUM(N1671:N1674)</f>
        <v>0</v>
      </c>
      <c r="O1675" s="11">
        <f t="shared" si="7691"/>
        <v>0</v>
      </c>
      <c r="P1675" s="11">
        <f t="shared" si="7691"/>
        <v>0</v>
      </c>
      <c r="Q1675" s="11">
        <f t="shared" si="7691"/>
        <v>0</v>
      </c>
      <c r="R1675" s="25">
        <f>SUM(R1671:R1674)</f>
        <v>0</v>
      </c>
      <c r="T1675" s="10">
        <f>SUM(T1671:T1674)</f>
        <v>0</v>
      </c>
      <c r="U1675" s="11">
        <f t="shared" ref="U1675:X1675" si="7692">SUM(U1671:U1674)</f>
        <v>0</v>
      </c>
      <c r="V1675" s="11">
        <f t="shared" si="7692"/>
        <v>0</v>
      </c>
      <c r="W1675" s="11">
        <f t="shared" si="7692"/>
        <v>0</v>
      </c>
      <c r="X1675" s="11">
        <f t="shared" si="7692"/>
        <v>0</v>
      </c>
      <c r="Y1675" s="25">
        <f>SUM(Y1671:Y1674)</f>
        <v>0</v>
      </c>
      <c r="AA1675" s="10">
        <f>SUM(AA1671:AA1674)</f>
        <v>0</v>
      </c>
      <c r="AB1675" s="11">
        <f t="shared" ref="AB1675:AE1675" si="7693">SUM(AB1671:AB1674)</f>
        <v>0</v>
      </c>
      <c r="AC1675" s="11">
        <f t="shared" si="7693"/>
        <v>0</v>
      </c>
      <c r="AD1675" s="11">
        <f t="shared" si="7693"/>
        <v>0</v>
      </c>
      <c r="AE1675" s="11">
        <f t="shared" si="7693"/>
        <v>0</v>
      </c>
      <c r="AF1675" s="25">
        <f>SUM(AF1671:AF1674)</f>
        <v>0</v>
      </c>
      <c r="AH1675" s="10">
        <f>SUM(AH1671:AH1674)</f>
        <v>0</v>
      </c>
      <c r="AI1675" s="11">
        <f t="shared" ref="AI1675:AL1675" si="7694">SUM(AI1671:AI1674)</f>
        <v>0</v>
      </c>
      <c r="AJ1675" s="11">
        <f t="shared" si="7694"/>
        <v>0</v>
      </c>
      <c r="AK1675" s="11">
        <f t="shared" si="7694"/>
        <v>0</v>
      </c>
      <c r="AL1675" s="11">
        <f t="shared" si="7694"/>
        <v>0</v>
      </c>
      <c r="AM1675" s="25">
        <f>SUM(AM1671:AM1674)</f>
        <v>0</v>
      </c>
      <c r="AO1675" s="10">
        <f>SUM(AO1671:AO1674)</f>
        <v>0</v>
      </c>
      <c r="AP1675" s="11">
        <f t="shared" ref="AP1675:AS1675" si="7695">SUM(AP1671:AP1674)</f>
        <v>0</v>
      </c>
      <c r="AQ1675" s="11">
        <f t="shared" si="7695"/>
        <v>0</v>
      </c>
      <c r="AR1675" s="11">
        <f t="shared" si="7695"/>
        <v>0</v>
      </c>
      <c r="AS1675" s="11">
        <f t="shared" si="7695"/>
        <v>0</v>
      </c>
      <c r="AT1675" s="25">
        <f>SUM(AT1671:AT1674)</f>
        <v>0</v>
      </c>
      <c r="AV1675" s="10">
        <f>SUM(AV1671:AV1674)</f>
        <v>0</v>
      </c>
      <c r="AW1675" s="11">
        <f t="shared" ref="AW1675:AZ1675" si="7696">SUM(AW1671:AW1674)</f>
        <v>0</v>
      </c>
      <c r="AX1675" s="11">
        <f t="shared" si="7696"/>
        <v>0</v>
      </c>
      <c r="AY1675" s="11">
        <f t="shared" si="7696"/>
        <v>0</v>
      </c>
      <c r="AZ1675" s="11">
        <f t="shared" si="7696"/>
        <v>0</v>
      </c>
      <c r="BA1675" s="25">
        <f>SUM(BA1671:BA1674)</f>
        <v>0</v>
      </c>
      <c r="BC1675" s="10">
        <f>SUM(BC1671:BC1674)</f>
        <v>0</v>
      </c>
      <c r="BD1675" s="11">
        <f t="shared" ref="BD1675:BG1675" si="7697">SUM(BD1671:BD1674)</f>
        <v>0</v>
      </c>
      <c r="BE1675" s="11">
        <f t="shared" si="7697"/>
        <v>0</v>
      </c>
      <c r="BF1675" s="11">
        <f t="shared" si="7697"/>
        <v>0</v>
      </c>
      <c r="BG1675" s="11">
        <f t="shared" si="7697"/>
        <v>0</v>
      </c>
      <c r="BH1675" s="25">
        <f>SUM(BH1671:BH1674)</f>
        <v>0</v>
      </c>
      <c r="BJ1675" s="10">
        <f>SUM(BJ1671:BJ1674)</f>
        <v>0</v>
      </c>
      <c r="BK1675" s="11">
        <f t="shared" ref="BK1675:BN1675" si="7698">SUM(BK1671:BK1674)</f>
        <v>0</v>
      </c>
      <c r="BL1675" s="11">
        <f t="shared" si="7698"/>
        <v>0</v>
      </c>
      <c r="BM1675" s="11">
        <f t="shared" si="7698"/>
        <v>0</v>
      </c>
      <c r="BN1675" s="11">
        <f t="shared" si="7698"/>
        <v>0</v>
      </c>
      <c r="BO1675" s="25">
        <f>SUM(BO1671:BO1674)</f>
        <v>0</v>
      </c>
      <c r="BQ1675" s="10">
        <f>SUM(BQ1671:BQ1674)</f>
        <v>0</v>
      </c>
      <c r="BR1675" s="11">
        <f t="shared" ref="BR1675:BU1675" si="7699">SUM(BR1671:BR1674)</f>
        <v>0</v>
      </c>
      <c r="BS1675" s="11">
        <f t="shared" si="7699"/>
        <v>0</v>
      </c>
      <c r="BT1675" s="11">
        <f t="shared" si="7699"/>
        <v>0</v>
      </c>
      <c r="BU1675" s="11">
        <f t="shared" si="7699"/>
        <v>0</v>
      </c>
      <c r="BV1675" s="25">
        <f>SUM(BV1671:BV1674)</f>
        <v>0</v>
      </c>
      <c r="BX1675" s="10">
        <f>SUM(BX1671:BX1674)</f>
        <v>0</v>
      </c>
      <c r="BY1675" s="11">
        <f t="shared" ref="BY1675:CB1675" si="7700">SUM(BY1671:BY1674)</f>
        <v>0</v>
      </c>
      <c r="BZ1675" s="11">
        <f t="shared" si="7700"/>
        <v>0</v>
      </c>
      <c r="CA1675" s="11">
        <f t="shared" si="7700"/>
        <v>0</v>
      </c>
      <c r="CB1675" s="11">
        <f t="shared" si="7700"/>
        <v>0</v>
      </c>
      <c r="CC1675" s="25">
        <f>SUM(CC1671:CC1674)</f>
        <v>0</v>
      </c>
      <c r="CE1675" s="62">
        <f t="shared" ref="CE1675:CJ1675" si="7701">SUM(CE1671:CE1674)</f>
        <v>0</v>
      </c>
      <c r="CF1675" s="63">
        <f t="shared" si="7701"/>
        <v>0</v>
      </c>
      <c r="CG1675" s="63">
        <f t="shared" si="7701"/>
        <v>0</v>
      </c>
      <c r="CH1675" s="63">
        <f t="shared" si="7701"/>
        <v>0</v>
      </c>
      <c r="CI1675" s="63">
        <f t="shared" si="7701"/>
        <v>0</v>
      </c>
      <c r="CJ1675" s="25">
        <f t="shared" si="7701"/>
        <v>0</v>
      </c>
      <c r="CL1675" s="10">
        <f>SUM(CL1671:CL1674)</f>
        <v>0</v>
      </c>
      <c r="CM1675" s="11">
        <f t="shared" ref="CM1675:CP1675" si="7702">SUM(CM1671:CM1674)</f>
        <v>0</v>
      </c>
      <c r="CN1675" s="11">
        <f t="shared" si="7702"/>
        <v>0</v>
      </c>
      <c r="CO1675" s="11">
        <f t="shared" si="7702"/>
        <v>0</v>
      </c>
      <c r="CP1675" s="11">
        <f t="shared" si="7702"/>
        <v>0</v>
      </c>
      <c r="CQ1675" s="25">
        <f>SUM(CQ1671:CQ1674)</f>
        <v>0</v>
      </c>
      <c r="CS1675" s="10">
        <f>SUM(CS1671:CS1674)</f>
        <v>0</v>
      </c>
      <c r="CT1675" s="11">
        <f t="shared" ref="CT1675:CW1675" si="7703">SUM(CT1671:CT1674)</f>
        <v>0</v>
      </c>
      <c r="CU1675" s="11">
        <f t="shared" si="7703"/>
        <v>0</v>
      </c>
      <c r="CV1675" s="11">
        <f t="shared" si="7703"/>
        <v>0</v>
      </c>
      <c r="CW1675" s="11">
        <f t="shared" si="7703"/>
        <v>0</v>
      </c>
      <c r="CX1675" s="25">
        <f>SUM(CX1671:CX1674)</f>
        <v>0</v>
      </c>
      <c r="CZ1675" s="10">
        <f>SUM(CZ1671:CZ1674)</f>
        <v>0</v>
      </c>
      <c r="DA1675" s="11">
        <f t="shared" ref="DA1675:DD1675" si="7704">SUM(DA1671:DA1674)</f>
        <v>0</v>
      </c>
      <c r="DB1675" s="11">
        <f t="shared" si="7704"/>
        <v>0</v>
      </c>
      <c r="DC1675" s="11">
        <f t="shared" si="7704"/>
        <v>0</v>
      </c>
      <c r="DD1675" s="11">
        <f t="shared" si="7704"/>
        <v>0</v>
      </c>
      <c r="DE1675" s="25">
        <f>SUM(DE1671:DE1674)</f>
        <v>0</v>
      </c>
    </row>
    <row r="1676" spans="2:109" ht="10.4" customHeight="1" thickBot="1"/>
    <row r="1677" spans="2:109">
      <c r="C1677" s="553">
        <v>2025</v>
      </c>
      <c r="E1677" s="13" t="s">
        <v>59</v>
      </c>
      <c r="F1677" s="21">
        <f>CE1671</f>
        <v>0</v>
      </c>
      <c r="G1677" s="22">
        <f t="shared" ref="G1677:G1680" si="7705">CF1671</f>
        <v>0</v>
      </c>
      <c r="H1677" s="22">
        <f t="shared" ref="H1677:H1680" si="7706">CG1671</f>
        <v>0</v>
      </c>
      <c r="I1677" s="22">
        <f t="shared" ref="I1677:I1680" si="7707">CH1671</f>
        <v>0</v>
      </c>
      <c r="J1677" s="22">
        <f t="shared" ref="J1677:J1680" si="7708">CI1671</f>
        <v>0</v>
      </c>
      <c r="K1677" s="15">
        <f>SUM(F1677:J1677)</f>
        <v>0</v>
      </c>
      <c r="M1677" s="2"/>
      <c r="N1677" s="3"/>
      <c r="O1677" s="3"/>
      <c r="P1677" s="3"/>
      <c r="Q1677" s="3"/>
      <c r="R1677" s="15">
        <f>SUM(M1677:Q1677)</f>
        <v>0</v>
      </c>
      <c r="T1677" s="2"/>
      <c r="U1677" s="3"/>
      <c r="V1677" s="3"/>
      <c r="W1677" s="3"/>
      <c r="X1677" s="3"/>
      <c r="Y1677" s="15">
        <f>SUM(T1677:X1677)</f>
        <v>0</v>
      </c>
      <c r="AA1677" s="2"/>
      <c r="AB1677" s="3"/>
      <c r="AC1677" s="3"/>
      <c r="AD1677" s="3"/>
      <c r="AE1677" s="3"/>
      <c r="AF1677" s="15">
        <f>SUM(AA1677:AE1677)</f>
        <v>0</v>
      </c>
      <c r="AH1677" s="2"/>
      <c r="AI1677" s="3"/>
      <c r="AJ1677" s="3"/>
      <c r="AK1677" s="3"/>
      <c r="AL1677" s="3"/>
      <c r="AM1677" s="15">
        <f>SUM(AH1677:AL1677)</f>
        <v>0</v>
      </c>
      <c r="AO1677" s="2"/>
      <c r="AP1677" s="3"/>
      <c r="AQ1677" s="3"/>
      <c r="AR1677" s="3"/>
      <c r="AS1677" s="3"/>
      <c r="AT1677" s="15">
        <f>SUM(AO1677:AS1677)</f>
        <v>0</v>
      </c>
      <c r="AV1677" s="2"/>
      <c r="AW1677" s="3"/>
      <c r="AX1677" s="3"/>
      <c r="AY1677" s="3"/>
      <c r="AZ1677" s="3"/>
      <c r="BA1677" s="15">
        <f>SUM(AV1677:AZ1677)</f>
        <v>0</v>
      </c>
      <c r="BC1677" s="2"/>
      <c r="BD1677" s="3"/>
      <c r="BE1677" s="3"/>
      <c r="BF1677" s="3"/>
      <c r="BG1677" s="3"/>
      <c r="BH1677" s="15">
        <f>SUM(BC1677:BG1677)</f>
        <v>0</v>
      </c>
      <c r="BJ1677" s="2"/>
      <c r="BK1677" s="3"/>
      <c r="BL1677" s="3"/>
      <c r="BM1677" s="3"/>
      <c r="BN1677" s="3"/>
      <c r="BO1677" s="15">
        <f>SUM(BJ1677:BN1677)</f>
        <v>0</v>
      </c>
      <c r="BQ1677" s="2"/>
      <c r="BR1677" s="3"/>
      <c r="BS1677" s="3"/>
      <c r="BT1677" s="3"/>
      <c r="BU1677" s="3"/>
      <c r="BV1677" s="15">
        <f>SUM(BQ1677:BU1677)</f>
        <v>0</v>
      </c>
      <c r="BX1677" s="2"/>
      <c r="BY1677" s="3"/>
      <c r="BZ1677" s="3"/>
      <c r="CA1677" s="3"/>
      <c r="CB1677" s="3"/>
      <c r="CC1677" s="15">
        <f>SUM(BX1677:CB1677)</f>
        <v>0</v>
      </c>
      <c r="CE1677" s="26">
        <f t="shared" ref="CE1677:CE1680" si="7709">F1677+M1677+T1677+AA1677+AH1677+AO1677+AV1677+BC1677+BJ1677+BQ1677+BX1677</f>
        <v>0</v>
      </c>
      <c r="CF1677" s="27">
        <f t="shared" ref="CF1677:CF1680" si="7710">G1677+N1677+U1677+AB1677+AI1677+AP1677+AW1677+BD1677+BK1677+BR1677+BY1677</f>
        <v>0</v>
      </c>
      <c r="CG1677" s="27">
        <f t="shared" ref="CG1677:CG1680" si="7711">H1677+O1677+V1677+AC1677+AJ1677+AQ1677+AX1677+BE1677+BL1677+BS1677+BZ1677</f>
        <v>0</v>
      </c>
      <c r="CH1677" s="27">
        <f t="shared" ref="CH1677:CH1680" si="7712">I1677+P1677+W1677+AD1677+AK1677+AR1677+AY1677+BF1677+BM1677+BT1677+CA1677</f>
        <v>0</v>
      </c>
      <c r="CI1677" s="27">
        <f t="shared" ref="CI1677:CI1680" si="7713">J1677+Q1677+X1677+AE1677+AL1677+AS1677+AZ1677+BG1677+BN1677+BU1677+CB1677</f>
        <v>0</v>
      </c>
      <c r="CJ1677" s="4">
        <f>SUM(CE1677:CI1677)</f>
        <v>0</v>
      </c>
      <c r="CL1677" s="2"/>
      <c r="CM1677" s="3"/>
      <c r="CN1677" s="3"/>
      <c r="CO1677" s="3"/>
      <c r="CP1677" s="3"/>
      <c r="CQ1677" s="15">
        <f>SUM(CL1677:CP1677)</f>
        <v>0</v>
      </c>
      <c r="CS1677" s="2"/>
      <c r="CT1677" s="3"/>
      <c r="CU1677" s="3"/>
      <c r="CV1677" s="3"/>
      <c r="CW1677" s="3"/>
      <c r="CX1677" s="4">
        <f>SUM(CS1677:CW1677)</f>
        <v>0</v>
      </c>
      <c r="CZ1677" s="2"/>
      <c r="DA1677" s="3"/>
      <c r="DB1677" s="3"/>
      <c r="DC1677" s="3"/>
      <c r="DD1677" s="3"/>
      <c r="DE1677" s="15">
        <f>SUM(CZ1677:DD1677)</f>
        <v>0</v>
      </c>
    </row>
    <row r="1678" spans="2:109">
      <c r="C1678" s="567"/>
      <c r="E1678" s="14" t="s">
        <v>60</v>
      </c>
      <c r="F1678" s="23">
        <f t="shared" ref="F1678:F1680" si="7714">CE1672</f>
        <v>0</v>
      </c>
      <c r="G1678" s="24">
        <f t="shared" si="7705"/>
        <v>0</v>
      </c>
      <c r="H1678" s="24">
        <f t="shared" si="7706"/>
        <v>0</v>
      </c>
      <c r="I1678" s="24">
        <f t="shared" si="7707"/>
        <v>0</v>
      </c>
      <c r="J1678" s="24">
        <f t="shared" si="7708"/>
        <v>0</v>
      </c>
      <c r="K1678" s="16">
        <f t="shared" ref="K1678:K1680" si="7715">SUM(F1678:J1678)</f>
        <v>0</v>
      </c>
      <c r="M1678" s="6"/>
      <c r="N1678" s="7"/>
      <c r="O1678" s="7"/>
      <c r="P1678" s="7"/>
      <c r="Q1678" s="7"/>
      <c r="R1678" s="16">
        <f t="shared" ref="R1678:R1680" si="7716">SUM(M1678:Q1678)</f>
        <v>0</v>
      </c>
      <c r="T1678" s="6"/>
      <c r="U1678" s="7"/>
      <c r="V1678" s="7"/>
      <c r="W1678" s="7"/>
      <c r="X1678" s="7"/>
      <c r="Y1678" s="16">
        <f t="shared" ref="Y1678:Y1680" si="7717">SUM(T1678:X1678)</f>
        <v>0</v>
      </c>
      <c r="AA1678" s="6"/>
      <c r="AB1678" s="7"/>
      <c r="AC1678" s="7"/>
      <c r="AD1678" s="7"/>
      <c r="AE1678" s="7"/>
      <c r="AF1678" s="16">
        <f>SUM(AA1678:AE1678)</f>
        <v>0</v>
      </c>
      <c r="AH1678" s="6"/>
      <c r="AI1678" s="7"/>
      <c r="AJ1678" s="7"/>
      <c r="AK1678" s="7"/>
      <c r="AL1678" s="7"/>
      <c r="AM1678" s="16">
        <f>SUM(AH1678:AL1678)</f>
        <v>0</v>
      </c>
      <c r="AO1678" s="6"/>
      <c r="AP1678" s="7"/>
      <c r="AQ1678" s="7"/>
      <c r="AR1678" s="7"/>
      <c r="AS1678" s="7"/>
      <c r="AT1678" s="16">
        <f>SUM(AO1678:AS1678)</f>
        <v>0</v>
      </c>
      <c r="AV1678" s="6"/>
      <c r="AW1678" s="7"/>
      <c r="AX1678" s="7"/>
      <c r="AY1678" s="7"/>
      <c r="AZ1678" s="7"/>
      <c r="BA1678" s="16">
        <f>SUM(AV1678:AZ1678)</f>
        <v>0</v>
      </c>
      <c r="BC1678" s="6"/>
      <c r="BD1678" s="7"/>
      <c r="BE1678" s="7"/>
      <c r="BF1678" s="7"/>
      <c r="BG1678" s="7"/>
      <c r="BH1678" s="16">
        <f>SUM(BC1678:BG1678)</f>
        <v>0</v>
      </c>
      <c r="BJ1678" s="6"/>
      <c r="BK1678" s="7"/>
      <c r="BL1678" s="7"/>
      <c r="BM1678" s="7"/>
      <c r="BN1678" s="7"/>
      <c r="BO1678" s="16">
        <f>SUM(BJ1678:BN1678)</f>
        <v>0</v>
      </c>
      <c r="BQ1678" s="6"/>
      <c r="BR1678" s="7"/>
      <c r="BS1678" s="7"/>
      <c r="BT1678" s="7"/>
      <c r="BU1678" s="7"/>
      <c r="BV1678" s="16">
        <f>SUM(BQ1678:BU1678)</f>
        <v>0</v>
      </c>
      <c r="BX1678" s="6"/>
      <c r="BY1678" s="7"/>
      <c r="BZ1678" s="7"/>
      <c r="CA1678" s="7"/>
      <c r="CB1678" s="7"/>
      <c r="CC1678" s="16">
        <f>SUM(BX1678:CB1678)</f>
        <v>0</v>
      </c>
      <c r="CE1678" s="28">
        <f t="shared" si="7709"/>
        <v>0</v>
      </c>
      <c r="CF1678" s="29">
        <f t="shared" si="7710"/>
        <v>0</v>
      </c>
      <c r="CG1678" s="29">
        <f t="shared" si="7711"/>
        <v>0</v>
      </c>
      <c r="CH1678" s="29">
        <f t="shared" si="7712"/>
        <v>0</v>
      </c>
      <c r="CI1678" s="29">
        <f t="shared" si="7713"/>
        <v>0</v>
      </c>
      <c r="CJ1678" s="8">
        <f>SUM(CE1678:CI1678)</f>
        <v>0</v>
      </c>
      <c r="CL1678" s="6"/>
      <c r="CM1678" s="7"/>
      <c r="CN1678" s="7"/>
      <c r="CO1678" s="7"/>
      <c r="CP1678" s="7"/>
      <c r="CQ1678" s="16">
        <f>SUM(CL1678:CP1678)</f>
        <v>0</v>
      </c>
      <c r="CS1678" s="6"/>
      <c r="CT1678" s="7"/>
      <c r="CU1678" s="7"/>
      <c r="CV1678" s="7"/>
      <c r="CW1678" s="7"/>
      <c r="CX1678" s="8">
        <f t="shared" ref="CX1678:CX1680" si="7718">SUM(CS1678:CW1678)</f>
        <v>0</v>
      </c>
      <c r="CZ1678" s="6"/>
      <c r="DA1678" s="7"/>
      <c r="DB1678" s="7"/>
      <c r="DC1678" s="7"/>
      <c r="DD1678" s="7"/>
      <c r="DE1678" s="16">
        <f t="shared" ref="DE1678:DE1680" si="7719">SUM(CZ1678:DD1678)</f>
        <v>0</v>
      </c>
    </row>
    <row r="1679" spans="2:109">
      <c r="C1679" s="567"/>
      <c r="E1679" s="14" t="s">
        <v>61</v>
      </c>
      <c r="F1679" s="23">
        <f t="shared" si="7714"/>
        <v>0</v>
      </c>
      <c r="G1679" s="24">
        <f t="shared" si="7705"/>
        <v>0</v>
      </c>
      <c r="H1679" s="24">
        <f t="shared" si="7706"/>
        <v>0</v>
      </c>
      <c r="I1679" s="24">
        <f t="shared" si="7707"/>
        <v>0</v>
      </c>
      <c r="J1679" s="24">
        <f t="shared" si="7708"/>
        <v>0</v>
      </c>
      <c r="K1679" s="16">
        <f t="shared" si="7715"/>
        <v>0</v>
      </c>
      <c r="M1679" s="6"/>
      <c r="N1679" s="7"/>
      <c r="O1679" s="7"/>
      <c r="P1679" s="7"/>
      <c r="Q1679" s="7"/>
      <c r="R1679" s="16">
        <f t="shared" si="7716"/>
        <v>0</v>
      </c>
      <c r="T1679" s="6"/>
      <c r="U1679" s="7"/>
      <c r="V1679" s="7"/>
      <c r="W1679" s="7"/>
      <c r="X1679" s="7"/>
      <c r="Y1679" s="16">
        <f t="shared" si="7717"/>
        <v>0</v>
      </c>
      <c r="AA1679" s="6"/>
      <c r="AB1679" s="7"/>
      <c r="AC1679" s="7"/>
      <c r="AD1679" s="7"/>
      <c r="AE1679" s="7"/>
      <c r="AF1679" s="16">
        <f>SUM(AA1679:AE1679)</f>
        <v>0</v>
      </c>
      <c r="AH1679" s="6"/>
      <c r="AI1679" s="7"/>
      <c r="AJ1679" s="7"/>
      <c r="AK1679" s="7"/>
      <c r="AL1679" s="7"/>
      <c r="AM1679" s="16">
        <f>SUM(AH1679:AL1679)</f>
        <v>0</v>
      </c>
      <c r="AO1679" s="6"/>
      <c r="AP1679" s="7"/>
      <c r="AQ1679" s="7"/>
      <c r="AR1679" s="7"/>
      <c r="AS1679" s="7"/>
      <c r="AT1679" s="16">
        <f>SUM(AO1679:AS1679)</f>
        <v>0</v>
      </c>
      <c r="AV1679" s="6"/>
      <c r="AW1679" s="7"/>
      <c r="AX1679" s="7"/>
      <c r="AY1679" s="7"/>
      <c r="AZ1679" s="7"/>
      <c r="BA1679" s="16">
        <f>SUM(AV1679:AZ1679)</f>
        <v>0</v>
      </c>
      <c r="BC1679" s="6"/>
      <c r="BD1679" s="7"/>
      <c r="BE1679" s="7"/>
      <c r="BF1679" s="7"/>
      <c r="BG1679" s="7"/>
      <c r="BH1679" s="16">
        <f>SUM(BC1679:BG1679)</f>
        <v>0</v>
      </c>
      <c r="BJ1679" s="6"/>
      <c r="BK1679" s="7"/>
      <c r="BL1679" s="7"/>
      <c r="BM1679" s="7"/>
      <c r="BN1679" s="7"/>
      <c r="BO1679" s="16">
        <f>SUM(BJ1679:BN1679)</f>
        <v>0</v>
      </c>
      <c r="BQ1679" s="6"/>
      <c r="BR1679" s="7"/>
      <c r="BS1679" s="7"/>
      <c r="BT1679" s="7"/>
      <c r="BU1679" s="7"/>
      <c r="BV1679" s="16">
        <f>SUM(BQ1679:BU1679)</f>
        <v>0</v>
      </c>
      <c r="BX1679" s="6"/>
      <c r="BY1679" s="7"/>
      <c r="BZ1679" s="7"/>
      <c r="CA1679" s="7"/>
      <c r="CB1679" s="7"/>
      <c r="CC1679" s="16">
        <f>SUM(BX1679:CB1679)</f>
        <v>0</v>
      </c>
      <c r="CE1679" s="28">
        <f t="shared" si="7709"/>
        <v>0</v>
      </c>
      <c r="CF1679" s="29">
        <f t="shared" si="7710"/>
        <v>0</v>
      </c>
      <c r="CG1679" s="29">
        <f t="shared" si="7711"/>
        <v>0</v>
      </c>
      <c r="CH1679" s="29">
        <f t="shared" si="7712"/>
        <v>0</v>
      </c>
      <c r="CI1679" s="29">
        <f t="shared" si="7713"/>
        <v>0</v>
      </c>
      <c r="CJ1679" s="8">
        <f>SUM(CE1679:CI1679)</f>
        <v>0</v>
      </c>
      <c r="CL1679" s="6"/>
      <c r="CM1679" s="7"/>
      <c r="CN1679" s="7"/>
      <c r="CO1679" s="7"/>
      <c r="CP1679" s="7"/>
      <c r="CQ1679" s="16">
        <f>SUM(CL1679:CP1679)</f>
        <v>0</v>
      </c>
      <c r="CS1679" s="6"/>
      <c r="CT1679" s="7"/>
      <c r="CU1679" s="7"/>
      <c r="CV1679" s="7"/>
      <c r="CW1679" s="7"/>
      <c r="CX1679" s="8">
        <f t="shared" si="7718"/>
        <v>0</v>
      </c>
      <c r="CZ1679" s="6"/>
      <c r="DA1679" s="7"/>
      <c r="DB1679" s="7"/>
      <c r="DC1679" s="7"/>
      <c r="DD1679" s="7"/>
      <c r="DE1679" s="16">
        <f t="shared" si="7719"/>
        <v>0</v>
      </c>
    </row>
    <row r="1680" spans="2:109" ht="14" thickBot="1">
      <c r="C1680" s="567"/>
      <c r="E1680" s="14" t="s">
        <v>62</v>
      </c>
      <c r="F1680" s="23">
        <f t="shared" si="7714"/>
        <v>0</v>
      </c>
      <c r="G1680" s="24">
        <f t="shared" si="7705"/>
        <v>0</v>
      </c>
      <c r="H1680" s="24">
        <f t="shared" si="7706"/>
        <v>0</v>
      </c>
      <c r="I1680" s="24">
        <f t="shared" si="7707"/>
        <v>0</v>
      </c>
      <c r="J1680" s="24">
        <f t="shared" si="7708"/>
        <v>0</v>
      </c>
      <c r="K1680" s="16">
        <f t="shared" si="7715"/>
        <v>0</v>
      </c>
      <c r="M1680" s="6"/>
      <c r="N1680" s="7"/>
      <c r="O1680" s="7"/>
      <c r="P1680" s="7"/>
      <c r="Q1680" s="7"/>
      <c r="R1680" s="16">
        <f t="shared" si="7716"/>
        <v>0</v>
      </c>
      <c r="T1680" s="6"/>
      <c r="U1680" s="7"/>
      <c r="V1680" s="7"/>
      <c r="W1680" s="7"/>
      <c r="X1680" s="7"/>
      <c r="Y1680" s="16">
        <f t="shared" si="7717"/>
        <v>0</v>
      </c>
      <c r="AA1680" s="6"/>
      <c r="AB1680" s="7"/>
      <c r="AC1680" s="7"/>
      <c r="AD1680" s="7"/>
      <c r="AE1680" s="7"/>
      <c r="AF1680" s="16">
        <f>SUM(AA1680:AE1680)</f>
        <v>0</v>
      </c>
      <c r="AH1680" s="6"/>
      <c r="AI1680" s="7"/>
      <c r="AJ1680" s="7"/>
      <c r="AK1680" s="7"/>
      <c r="AL1680" s="7"/>
      <c r="AM1680" s="16">
        <f>SUM(AH1680:AL1680)</f>
        <v>0</v>
      </c>
      <c r="AO1680" s="6"/>
      <c r="AP1680" s="7"/>
      <c r="AQ1680" s="7"/>
      <c r="AR1680" s="7"/>
      <c r="AS1680" s="7"/>
      <c r="AT1680" s="16">
        <f>SUM(AO1680:AS1680)</f>
        <v>0</v>
      </c>
      <c r="AV1680" s="6"/>
      <c r="AW1680" s="7"/>
      <c r="AX1680" s="7"/>
      <c r="AY1680" s="7"/>
      <c r="AZ1680" s="7"/>
      <c r="BA1680" s="16">
        <f>SUM(AV1680:AZ1680)</f>
        <v>0</v>
      </c>
      <c r="BC1680" s="6"/>
      <c r="BD1680" s="7"/>
      <c r="BE1680" s="7"/>
      <c r="BF1680" s="7"/>
      <c r="BG1680" s="7"/>
      <c r="BH1680" s="16">
        <f>SUM(BC1680:BG1680)</f>
        <v>0</v>
      </c>
      <c r="BJ1680" s="6"/>
      <c r="BK1680" s="7"/>
      <c r="BL1680" s="7"/>
      <c r="BM1680" s="7"/>
      <c r="BN1680" s="7"/>
      <c r="BO1680" s="16">
        <f>SUM(BJ1680:BN1680)</f>
        <v>0</v>
      </c>
      <c r="BQ1680" s="6"/>
      <c r="BR1680" s="7"/>
      <c r="BS1680" s="7"/>
      <c r="BT1680" s="7"/>
      <c r="BU1680" s="7"/>
      <c r="BV1680" s="16">
        <f>SUM(BQ1680:BU1680)</f>
        <v>0</v>
      </c>
      <c r="BX1680" s="6"/>
      <c r="BY1680" s="7"/>
      <c r="BZ1680" s="7"/>
      <c r="CA1680" s="7"/>
      <c r="CB1680" s="7"/>
      <c r="CC1680" s="16">
        <f>SUM(BX1680:CB1680)</f>
        <v>0</v>
      </c>
      <c r="CE1680" s="493">
        <f t="shared" si="7709"/>
        <v>0</v>
      </c>
      <c r="CF1680" s="494">
        <f t="shared" si="7710"/>
        <v>0</v>
      </c>
      <c r="CG1680" s="494">
        <f t="shared" si="7711"/>
        <v>0</v>
      </c>
      <c r="CH1680" s="494">
        <f t="shared" si="7712"/>
        <v>0</v>
      </c>
      <c r="CI1680" s="494">
        <f t="shared" si="7713"/>
        <v>0</v>
      </c>
      <c r="CJ1680" s="495">
        <f>SUM(CE1680:CI1680)</f>
        <v>0</v>
      </c>
      <c r="CL1680" s="6"/>
      <c r="CM1680" s="7"/>
      <c r="CN1680" s="7"/>
      <c r="CO1680" s="7"/>
      <c r="CP1680" s="7"/>
      <c r="CQ1680" s="16">
        <f>SUM(CL1680:CP1680)</f>
        <v>0</v>
      </c>
      <c r="CS1680" s="6"/>
      <c r="CT1680" s="7"/>
      <c r="CU1680" s="7"/>
      <c r="CV1680" s="7"/>
      <c r="CW1680" s="7"/>
      <c r="CX1680" s="8">
        <f t="shared" si="7718"/>
        <v>0</v>
      </c>
      <c r="CZ1680" s="6"/>
      <c r="DA1680" s="7"/>
      <c r="DB1680" s="7"/>
      <c r="DC1680" s="7"/>
      <c r="DD1680" s="7"/>
      <c r="DE1680" s="16">
        <f t="shared" si="7719"/>
        <v>0</v>
      </c>
    </row>
    <row r="1681" spans="3:109" ht="14" thickBot="1">
      <c r="C1681" s="554"/>
      <c r="E1681" s="17"/>
      <c r="F1681" s="10">
        <f>SUM(F1677:F1680)</f>
        <v>0</v>
      </c>
      <c r="G1681" s="11">
        <f t="shared" ref="G1681:J1681" si="7720">SUM(G1677:G1680)</f>
        <v>0</v>
      </c>
      <c r="H1681" s="11">
        <f t="shared" si="7720"/>
        <v>0</v>
      </c>
      <c r="I1681" s="11">
        <f t="shared" si="7720"/>
        <v>0</v>
      </c>
      <c r="J1681" s="11">
        <f t="shared" si="7720"/>
        <v>0</v>
      </c>
      <c r="K1681" s="25">
        <f>SUM(K1677:K1680)</f>
        <v>0</v>
      </c>
      <c r="M1681" s="10">
        <f>SUM(M1677:M1680)</f>
        <v>0</v>
      </c>
      <c r="N1681" s="11">
        <f t="shared" ref="N1681:Q1681" si="7721">SUM(N1677:N1680)</f>
        <v>0</v>
      </c>
      <c r="O1681" s="11">
        <f t="shared" si="7721"/>
        <v>0</v>
      </c>
      <c r="P1681" s="11">
        <f t="shared" si="7721"/>
        <v>0</v>
      </c>
      <c r="Q1681" s="11">
        <f t="shared" si="7721"/>
        <v>0</v>
      </c>
      <c r="R1681" s="25">
        <f>SUM(R1677:R1680)</f>
        <v>0</v>
      </c>
      <c r="T1681" s="10">
        <f>SUM(T1677:T1680)</f>
        <v>0</v>
      </c>
      <c r="U1681" s="11">
        <f t="shared" ref="U1681:X1681" si="7722">SUM(U1677:U1680)</f>
        <v>0</v>
      </c>
      <c r="V1681" s="11">
        <f t="shared" si="7722"/>
        <v>0</v>
      </c>
      <c r="W1681" s="11">
        <f t="shared" si="7722"/>
        <v>0</v>
      </c>
      <c r="X1681" s="11">
        <f t="shared" si="7722"/>
        <v>0</v>
      </c>
      <c r="Y1681" s="25">
        <f>SUM(Y1677:Y1680)</f>
        <v>0</v>
      </c>
      <c r="AA1681" s="10">
        <f>SUM(AA1677:AA1680)</f>
        <v>0</v>
      </c>
      <c r="AB1681" s="11">
        <f t="shared" ref="AB1681:AE1681" si="7723">SUM(AB1677:AB1680)</f>
        <v>0</v>
      </c>
      <c r="AC1681" s="11">
        <f t="shared" si="7723"/>
        <v>0</v>
      </c>
      <c r="AD1681" s="11">
        <f t="shared" si="7723"/>
        <v>0</v>
      </c>
      <c r="AE1681" s="11">
        <f t="shared" si="7723"/>
        <v>0</v>
      </c>
      <c r="AF1681" s="25">
        <f>SUM(AF1677:AF1680)</f>
        <v>0</v>
      </c>
      <c r="AH1681" s="10">
        <f>SUM(AH1677:AH1680)</f>
        <v>0</v>
      </c>
      <c r="AI1681" s="11">
        <f t="shared" ref="AI1681:AL1681" si="7724">SUM(AI1677:AI1680)</f>
        <v>0</v>
      </c>
      <c r="AJ1681" s="11">
        <f t="shared" si="7724"/>
        <v>0</v>
      </c>
      <c r="AK1681" s="11">
        <f t="shared" si="7724"/>
        <v>0</v>
      </c>
      <c r="AL1681" s="11">
        <f t="shared" si="7724"/>
        <v>0</v>
      </c>
      <c r="AM1681" s="25">
        <f>SUM(AM1677:AM1680)</f>
        <v>0</v>
      </c>
      <c r="AO1681" s="10">
        <f>SUM(AO1677:AO1680)</f>
        <v>0</v>
      </c>
      <c r="AP1681" s="11">
        <f t="shared" ref="AP1681:AS1681" si="7725">SUM(AP1677:AP1680)</f>
        <v>0</v>
      </c>
      <c r="AQ1681" s="11">
        <f t="shared" si="7725"/>
        <v>0</v>
      </c>
      <c r="AR1681" s="11">
        <f t="shared" si="7725"/>
        <v>0</v>
      </c>
      <c r="AS1681" s="11">
        <f t="shared" si="7725"/>
        <v>0</v>
      </c>
      <c r="AT1681" s="25">
        <f>SUM(AT1677:AT1680)</f>
        <v>0</v>
      </c>
      <c r="AV1681" s="10">
        <f>SUM(AV1677:AV1680)</f>
        <v>0</v>
      </c>
      <c r="AW1681" s="11">
        <f t="shared" ref="AW1681:AZ1681" si="7726">SUM(AW1677:AW1680)</f>
        <v>0</v>
      </c>
      <c r="AX1681" s="11">
        <f t="shared" si="7726"/>
        <v>0</v>
      </c>
      <c r="AY1681" s="11">
        <f t="shared" si="7726"/>
        <v>0</v>
      </c>
      <c r="AZ1681" s="11">
        <f t="shared" si="7726"/>
        <v>0</v>
      </c>
      <c r="BA1681" s="25">
        <f>SUM(BA1677:BA1680)</f>
        <v>0</v>
      </c>
      <c r="BC1681" s="10">
        <f>SUM(BC1677:BC1680)</f>
        <v>0</v>
      </c>
      <c r="BD1681" s="11">
        <f t="shared" ref="BD1681:BG1681" si="7727">SUM(BD1677:BD1680)</f>
        <v>0</v>
      </c>
      <c r="BE1681" s="11">
        <f t="shared" si="7727"/>
        <v>0</v>
      </c>
      <c r="BF1681" s="11">
        <f t="shared" si="7727"/>
        <v>0</v>
      </c>
      <c r="BG1681" s="11">
        <f t="shared" si="7727"/>
        <v>0</v>
      </c>
      <c r="BH1681" s="25">
        <f>SUM(BH1677:BH1680)</f>
        <v>0</v>
      </c>
      <c r="BJ1681" s="10">
        <f>SUM(BJ1677:BJ1680)</f>
        <v>0</v>
      </c>
      <c r="BK1681" s="11">
        <f t="shared" ref="BK1681:BN1681" si="7728">SUM(BK1677:BK1680)</f>
        <v>0</v>
      </c>
      <c r="BL1681" s="11">
        <f t="shared" si="7728"/>
        <v>0</v>
      </c>
      <c r="BM1681" s="11">
        <f t="shared" si="7728"/>
        <v>0</v>
      </c>
      <c r="BN1681" s="11">
        <f t="shared" si="7728"/>
        <v>0</v>
      </c>
      <c r="BO1681" s="25">
        <f>SUM(BO1677:BO1680)</f>
        <v>0</v>
      </c>
      <c r="BQ1681" s="10">
        <f>SUM(BQ1677:BQ1680)</f>
        <v>0</v>
      </c>
      <c r="BR1681" s="11">
        <f t="shared" ref="BR1681:BU1681" si="7729">SUM(BR1677:BR1680)</f>
        <v>0</v>
      </c>
      <c r="BS1681" s="11">
        <f t="shared" si="7729"/>
        <v>0</v>
      </c>
      <c r="BT1681" s="11">
        <f t="shared" si="7729"/>
        <v>0</v>
      </c>
      <c r="BU1681" s="11">
        <f t="shared" si="7729"/>
        <v>0</v>
      </c>
      <c r="BV1681" s="25">
        <f>SUM(BV1677:BV1680)</f>
        <v>0</v>
      </c>
      <c r="BX1681" s="10">
        <f>SUM(BX1677:BX1680)</f>
        <v>0</v>
      </c>
      <c r="BY1681" s="11">
        <f t="shared" ref="BY1681:CB1681" si="7730">SUM(BY1677:BY1680)</f>
        <v>0</v>
      </c>
      <c r="BZ1681" s="11">
        <f t="shared" si="7730"/>
        <v>0</v>
      </c>
      <c r="CA1681" s="11">
        <f t="shared" si="7730"/>
        <v>0</v>
      </c>
      <c r="CB1681" s="11">
        <f t="shared" si="7730"/>
        <v>0</v>
      </c>
      <c r="CC1681" s="25">
        <f>SUM(CC1677:CC1680)</f>
        <v>0</v>
      </c>
      <c r="CE1681" s="62">
        <f t="shared" ref="CE1681:CJ1681" si="7731">SUM(CE1677:CE1680)</f>
        <v>0</v>
      </c>
      <c r="CF1681" s="63">
        <f t="shared" si="7731"/>
        <v>0</v>
      </c>
      <c r="CG1681" s="63">
        <f t="shared" si="7731"/>
        <v>0</v>
      </c>
      <c r="CH1681" s="63">
        <f t="shared" si="7731"/>
        <v>0</v>
      </c>
      <c r="CI1681" s="63">
        <f t="shared" si="7731"/>
        <v>0</v>
      </c>
      <c r="CJ1681" s="25">
        <f t="shared" si="7731"/>
        <v>0</v>
      </c>
      <c r="CL1681" s="10">
        <f>SUM(CL1677:CL1680)</f>
        <v>0</v>
      </c>
      <c r="CM1681" s="11">
        <f t="shared" ref="CM1681:CP1681" si="7732">SUM(CM1677:CM1680)</f>
        <v>0</v>
      </c>
      <c r="CN1681" s="11">
        <f t="shared" si="7732"/>
        <v>0</v>
      </c>
      <c r="CO1681" s="11">
        <f t="shared" si="7732"/>
        <v>0</v>
      </c>
      <c r="CP1681" s="11">
        <f t="shared" si="7732"/>
        <v>0</v>
      </c>
      <c r="CQ1681" s="25">
        <f>SUM(CQ1677:CQ1680)</f>
        <v>0</v>
      </c>
      <c r="CS1681" s="10">
        <f>SUM(CS1677:CS1680)</f>
        <v>0</v>
      </c>
      <c r="CT1681" s="11">
        <f t="shared" ref="CT1681:CW1681" si="7733">SUM(CT1677:CT1680)</f>
        <v>0</v>
      </c>
      <c r="CU1681" s="11">
        <f t="shared" si="7733"/>
        <v>0</v>
      </c>
      <c r="CV1681" s="11">
        <f t="shared" si="7733"/>
        <v>0</v>
      </c>
      <c r="CW1681" s="11">
        <f t="shared" si="7733"/>
        <v>0</v>
      </c>
      <c r="CX1681" s="25">
        <f>SUM(CX1677:CX1680)</f>
        <v>0</v>
      </c>
      <c r="CZ1681" s="10">
        <f>SUM(CZ1677:CZ1680)</f>
        <v>0</v>
      </c>
      <c r="DA1681" s="11">
        <f t="shared" ref="DA1681:DD1681" si="7734">SUM(DA1677:DA1680)</f>
        <v>0</v>
      </c>
      <c r="DB1681" s="11">
        <f t="shared" si="7734"/>
        <v>0</v>
      </c>
      <c r="DC1681" s="11">
        <f t="shared" si="7734"/>
        <v>0</v>
      </c>
      <c r="DD1681" s="11">
        <f t="shared" si="7734"/>
        <v>0</v>
      </c>
      <c r="DE1681" s="25">
        <f>SUM(DE1677:DE1680)</f>
        <v>0</v>
      </c>
    </row>
    <row r="1682" spans="3:109" ht="10.4" customHeight="1" thickBot="1"/>
    <row r="1683" spans="3:109">
      <c r="C1683" s="553">
        <v>2026</v>
      </c>
      <c r="E1683" s="1" t="s">
        <v>59</v>
      </c>
      <c r="F1683" s="21">
        <f>CE1677</f>
        <v>0</v>
      </c>
      <c r="G1683" s="22">
        <f t="shared" ref="G1683:G1686" si="7735">CF1677</f>
        <v>0</v>
      </c>
      <c r="H1683" s="22">
        <f t="shared" ref="H1683:H1686" si="7736">CG1677</f>
        <v>0</v>
      </c>
      <c r="I1683" s="22">
        <f t="shared" ref="I1683:I1686" si="7737">CH1677</f>
        <v>0</v>
      </c>
      <c r="J1683" s="22">
        <f t="shared" ref="J1683:J1686" si="7738">CI1677</f>
        <v>0</v>
      </c>
      <c r="K1683" s="4">
        <f>SUM(F1683:J1683)</f>
        <v>0</v>
      </c>
      <c r="M1683" s="2"/>
      <c r="N1683" s="3"/>
      <c r="O1683" s="3"/>
      <c r="P1683" s="3"/>
      <c r="Q1683" s="3"/>
      <c r="R1683" s="4">
        <f>SUM(M1683:Q1683)</f>
        <v>0</v>
      </c>
      <c r="T1683" s="2"/>
      <c r="U1683" s="3"/>
      <c r="V1683" s="3"/>
      <c r="W1683" s="3"/>
      <c r="X1683" s="3"/>
      <c r="Y1683" s="4">
        <f>SUM(T1683:X1683)</f>
        <v>0</v>
      </c>
      <c r="AA1683" s="2"/>
      <c r="AB1683" s="3"/>
      <c r="AC1683" s="3"/>
      <c r="AD1683" s="3"/>
      <c r="AE1683" s="3"/>
      <c r="AF1683" s="4">
        <f>SUM(AA1683:AE1683)</f>
        <v>0</v>
      </c>
      <c r="AH1683" s="2"/>
      <c r="AI1683" s="3"/>
      <c r="AJ1683" s="3"/>
      <c r="AK1683" s="3"/>
      <c r="AL1683" s="3"/>
      <c r="AM1683" s="4">
        <f>SUM(AH1683:AL1683)</f>
        <v>0</v>
      </c>
      <c r="AO1683" s="2"/>
      <c r="AP1683" s="3"/>
      <c r="AQ1683" s="3"/>
      <c r="AR1683" s="3"/>
      <c r="AS1683" s="3"/>
      <c r="AT1683" s="4">
        <f>SUM(AO1683:AS1683)</f>
        <v>0</v>
      </c>
      <c r="AV1683" s="2"/>
      <c r="AW1683" s="3"/>
      <c r="AX1683" s="3"/>
      <c r="AY1683" s="3"/>
      <c r="AZ1683" s="3"/>
      <c r="BA1683" s="4">
        <f>SUM(AV1683:AZ1683)</f>
        <v>0</v>
      </c>
      <c r="BC1683" s="2"/>
      <c r="BD1683" s="3"/>
      <c r="BE1683" s="3"/>
      <c r="BF1683" s="3"/>
      <c r="BG1683" s="3"/>
      <c r="BH1683" s="4">
        <f>SUM(BC1683:BG1683)</f>
        <v>0</v>
      </c>
      <c r="BJ1683" s="2"/>
      <c r="BK1683" s="3"/>
      <c r="BL1683" s="3"/>
      <c r="BM1683" s="3"/>
      <c r="BN1683" s="3"/>
      <c r="BO1683" s="4">
        <f>SUM(BJ1683:BN1683)</f>
        <v>0</v>
      </c>
      <c r="BQ1683" s="2"/>
      <c r="BR1683" s="3"/>
      <c r="BS1683" s="3"/>
      <c r="BT1683" s="3"/>
      <c r="BU1683" s="3"/>
      <c r="BV1683" s="4">
        <f>SUM(BQ1683:BU1683)</f>
        <v>0</v>
      </c>
      <c r="BX1683" s="2"/>
      <c r="BY1683" s="3"/>
      <c r="BZ1683" s="3"/>
      <c r="CA1683" s="3"/>
      <c r="CB1683" s="3"/>
      <c r="CC1683" s="4">
        <f>SUM(BX1683:CB1683)</f>
        <v>0</v>
      </c>
      <c r="CE1683" s="26">
        <f t="shared" ref="CE1683:CE1686" si="7739">F1683+M1683+T1683+AA1683+AH1683+AO1683+AV1683+BC1683+BJ1683+BQ1683+BX1683</f>
        <v>0</v>
      </c>
      <c r="CF1683" s="27">
        <f t="shared" ref="CF1683:CF1686" si="7740">G1683+N1683+U1683+AB1683+AI1683+AP1683+AW1683+BD1683+BK1683+BR1683+BY1683</f>
        <v>0</v>
      </c>
      <c r="CG1683" s="27">
        <f t="shared" ref="CG1683:CG1686" si="7741">H1683+O1683+V1683+AC1683+AJ1683+AQ1683+AX1683+BE1683+BL1683+BS1683+BZ1683</f>
        <v>0</v>
      </c>
      <c r="CH1683" s="27">
        <f t="shared" ref="CH1683:CH1686" si="7742">I1683+P1683+W1683+AD1683+AK1683+AR1683+AY1683+BF1683+BM1683+BT1683+CA1683</f>
        <v>0</v>
      </c>
      <c r="CI1683" s="27">
        <f t="shared" ref="CI1683:CI1686" si="7743">J1683+Q1683+X1683+AE1683+AL1683+AS1683+AZ1683+BG1683+BN1683+BU1683+CB1683</f>
        <v>0</v>
      </c>
      <c r="CJ1683" s="4">
        <f>SUM(CE1683:CI1683)</f>
        <v>0</v>
      </c>
      <c r="CL1683" s="2"/>
      <c r="CM1683" s="3"/>
      <c r="CN1683" s="3"/>
      <c r="CO1683" s="3"/>
      <c r="CP1683" s="3"/>
      <c r="CQ1683" s="4">
        <f>SUM(CL1683:CP1683)</f>
        <v>0</v>
      </c>
      <c r="CS1683" s="2"/>
      <c r="CT1683" s="3"/>
      <c r="CU1683" s="3"/>
      <c r="CV1683" s="3"/>
      <c r="CW1683" s="3"/>
      <c r="CX1683" s="4">
        <f>SUM(CS1683:CW1683)</f>
        <v>0</v>
      </c>
      <c r="CZ1683" s="2"/>
      <c r="DA1683" s="3"/>
      <c r="DB1683" s="3"/>
      <c r="DC1683" s="3"/>
      <c r="DD1683" s="3"/>
      <c r="DE1683" s="4">
        <f>SUM(CZ1683:DD1683)</f>
        <v>0</v>
      </c>
    </row>
    <row r="1684" spans="3:109">
      <c r="C1684" s="567"/>
      <c r="E1684" s="5" t="s">
        <v>60</v>
      </c>
      <c r="F1684" s="23">
        <f t="shared" ref="F1684:F1686" si="7744">CE1678</f>
        <v>0</v>
      </c>
      <c r="G1684" s="24">
        <f t="shared" si="7735"/>
        <v>0</v>
      </c>
      <c r="H1684" s="24">
        <f t="shared" si="7736"/>
        <v>0</v>
      </c>
      <c r="I1684" s="24">
        <f t="shared" si="7737"/>
        <v>0</v>
      </c>
      <c r="J1684" s="24">
        <f t="shared" si="7738"/>
        <v>0</v>
      </c>
      <c r="K1684" s="8">
        <f t="shared" ref="K1684:K1686" si="7745">SUM(F1684:J1684)</f>
        <v>0</v>
      </c>
      <c r="M1684" s="6"/>
      <c r="N1684" s="7"/>
      <c r="O1684" s="7"/>
      <c r="P1684" s="7"/>
      <c r="Q1684" s="7"/>
      <c r="R1684" s="8">
        <f t="shared" ref="R1684:R1686" si="7746">SUM(M1684:Q1684)</f>
        <v>0</v>
      </c>
      <c r="T1684" s="6"/>
      <c r="U1684" s="7"/>
      <c r="V1684" s="7"/>
      <c r="W1684" s="7"/>
      <c r="X1684" s="7"/>
      <c r="Y1684" s="8">
        <f t="shared" ref="Y1684:Y1686" si="7747">SUM(T1684:X1684)</f>
        <v>0</v>
      </c>
      <c r="AA1684" s="6"/>
      <c r="AB1684" s="7"/>
      <c r="AC1684" s="7"/>
      <c r="AD1684" s="7"/>
      <c r="AE1684" s="7"/>
      <c r="AF1684" s="8">
        <f>SUM(AA1684:AE1684)</f>
        <v>0</v>
      </c>
      <c r="AH1684" s="6"/>
      <c r="AI1684" s="7"/>
      <c r="AJ1684" s="7"/>
      <c r="AK1684" s="7"/>
      <c r="AL1684" s="7"/>
      <c r="AM1684" s="8">
        <f>SUM(AH1684:AL1684)</f>
        <v>0</v>
      </c>
      <c r="AO1684" s="6"/>
      <c r="AP1684" s="7"/>
      <c r="AQ1684" s="7"/>
      <c r="AR1684" s="7"/>
      <c r="AS1684" s="7"/>
      <c r="AT1684" s="8">
        <f>SUM(AO1684:AS1684)</f>
        <v>0</v>
      </c>
      <c r="AV1684" s="6"/>
      <c r="AW1684" s="7"/>
      <c r="AX1684" s="7"/>
      <c r="AY1684" s="7"/>
      <c r="AZ1684" s="7"/>
      <c r="BA1684" s="8">
        <f>SUM(AV1684:AZ1684)</f>
        <v>0</v>
      </c>
      <c r="BC1684" s="6"/>
      <c r="BD1684" s="7"/>
      <c r="BE1684" s="7"/>
      <c r="BF1684" s="7"/>
      <c r="BG1684" s="7"/>
      <c r="BH1684" s="8">
        <f>SUM(BC1684:BG1684)</f>
        <v>0</v>
      </c>
      <c r="BJ1684" s="6"/>
      <c r="BK1684" s="7"/>
      <c r="BL1684" s="7"/>
      <c r="BM1684" s="7"/>
      <c r="BN1684" s="7"/>
      <c r="BO1684" s="8">
        <f>SUM(BJ1684:BN1684)</f>
        <v>0</v>
      </c>
      <c r="BQ1684" s="6"/>
      <c r="BR1684" s="7"/>
      <c r="BS1684" s="7"/>
      <c r="BT1684" s="7"/>
      <c r="BU1684" s="7"/>
      <c r="BV1684" s="8">
        <f>SUM(BQ1684:BU1684)</f>
        <v>0</v>
      </c>
      <c r="BX1684" s="6"/>
      <c r="BY1684" s="7"/>
      <c r="BZ1684" s="7"/>
      <c r="CA1684" s="7"/>
      <c r="CB1684" s="7"/>
      <c r="CC1684" s="8">
        <f>SUM(BX1684:CB1684)</f>
        <v>0</v>
      </c>
      <c r="CE1684" s="28">
        <f t="shared" si="7739"/>
        <v>0</v>
      </c>
      <c r="CF1684" s="29">
        <f t="shared" si="7740"/>
        <v>0</v>
      </c>
      <c r="CG1684" s="29">
        <f t="shared" si="7741"/>
        <v>0</v>
      </c>
      <c r="CH1684" s="29">
        <f t="shared" si="7742"/>
        <v>0</v>
      </c>
      <c r="CI1684" s="29">
        <f t="shared" si="7743"/>
        <v>0</v>
      </c>
      <c r="CJ1684" s="8">
        <f>SUM(CE1684:CI1684)</f>
        <v>0</v>
      </c>
      <c r="CL1684" s="6"/>
      <c r="CM1684" s="7"/>
      <c r="CN1684" s="7"/>
      <c r="CO1684" s="7"/>
      <c r="CP1684" s="7"/>
      <c r="CQ1684" s="8">
        <f>SUM(CL1684:CP1684)</f>
        <v>0</v>
      </c>
      <c r="CS1684" s="6"/>
      <c r="CT1684" s="7"/>
      <c r="CU1684" s="7"/>
      <c r="CV1684" s="7"/>
      <c r="CW1684" s="7"/>
      <c r="CX1684" s="8">
        <f t="shared" ref="CX1684:CX1686" si="7748">SUM(CS1684:CW1684)</f>
        <v>0</v>
      </c>
      <c r="CZ1684" s="6"/>
      <c r="DA1684" s="7"/>
      <c r="DB1684" s="7"/>
      <c r="DC1684" s="7"/>
      <c r="DD1684" s="7"/>
      <c r="DE1684" s="8">
        <f t="shared" ref="DE1684:DE1686" si="7749">SUM(CZ1684:DD1684)</f>
        <v>0</v>
      </c>
    </row>
    <row r="1685" spans="3:109">
      <c r="C1685" s="567"/>
      <c r="E1685" s="5" t="s">
        <v>61</v>
      </c>
      <c r="F1685" s="23">
        <f t="shared" si="7744"/>
        <v>0</v>
      </c>
      <c r="G1685" s="24">
        <f t="shared" si="7735"/>
        <v>0</v>
      </c>
      <c r="H1685" s="24">
        <f t="shared" si="7736"/>
        <v>0</v>
      </c>
      <c r="I1685" s="24">
        <f t="shared" si="7737"/>
        <v>0</v>
      </c>
      <c r="J1685" s="24">
        <f t="shared" si="7738"/>
        <v>0</v>
      </c>
      <c r="K1685" s="8">
        <f t="shared" si="7745"/>
        <v>0</v>
      </c>
      <c r="M1685" s="6"/>
      <c r="N1685" s="7"/>
      <c r="O1685" s="7"/>
      <c r="P1685" s="7"/>
      <c r="Q1685" s="7"/>
      <c r="R1685" s="8">
        <f t="shared" si="7746"/>
        <v>0</v>
      </c>
      <c r="T1685" s="6"/>
      <c r="U1685" s="7"/>
      <c r="V1685" s="7"/>
      <c r="W1685" s="7"/>
      <c r="X1685" s="7"/>
      <c r="Y1685" s="8">
        <f t="shared" si="7747"/>
        <v>0</v>
      </c>
      <c r="AA1685" s="6"/>
      <c r="AB1685" s="7"/>
      <c r="AC1685" s="7"/>
      <c r="AD1685" s="7"/>
      <c r="AE1685" s="7"/>
      <c r="AF1685" s="8">
        <f>SUM(AA1685:AE1685)</f>
        <v>0</v>
      </c>
      <c r="AH1685" s="6"/>
      <c r="AI1685" s="7"/>
      <c r="AJ1685" s="7"/>
      <c r="AK1685" s="7"/>
      <c r="AL1685" s="7"/>
      <c r="AM1685" s="8">
        <f>SUM(AH1685:AL1685)</f>
        <v>0</v>
      </c>
      <c r="AO1685" s="6"/>
      <c r="AP1685" s="7"/>
      <c r="AQ1685" s="7"/>
      <c r="AR1685" s="7"/>
      <c r="AS1685" s="7"/>
      <c r="AT1685" s="8">
        <f>SUM(AO1685:AS1685)</f>
        <v>0</v>
      </c>
      <c r="AV1685" s="6"/>
      <c r="AW1685" s="7"/>
      <c r="AX1685" s="7"/>
      <c r="AY1685" s="7"/>
      <c r="AZ1685" s="7"/>
      <c r="BA1685" s="8">
        <f>SUM(AV1685:AZ1685)</f>
        <v>0</v>
      </c>
      <c r="BC1685" s="6"/>
      <c r="BD1685" s="7"/>
      <c r="BE1685" s="7"/>
      <c r="BF1685" s="7"/>
      <c r="BG1685" s="7"/>
      <c r="BH1685" s="8">
        <f>SUM(BC1685:BG1685)</f>
        <v>0</v>
      </c>
      <c r="BJ1685" s="6"/>
      <c r="BK1685" s="7"/>
      <c r="BL1685" s="7"/>
      <c r="BM1685" s="7"/>
      <c r="BN1685" s="7"/>
      <c r="BO1685" s="8">
        <f>SUM(BJ1685:BN1685)</f>
        <v>0</v>
      </c>
      <c r="BQ1685" s="6"/>
      <c r="BR1685" s="7"/>
      <c r="BS1685" s="7"/>
      <c r="BT1685" s="7"/>
      <c r="BU1685" s="7"/>
      <c r="BV1685" s="8">
        <f>SUM(BQ1685:BU1685)</f>
        <v>0</v>
      </c>
      <c r="BX1685" s="6"/>
      <c r="BY1685" s="7"/>
      <c r="BZ1685" s="7"/>
      <c r="CA1685" s="7"/>
      <c r="CB1685" s="7"/>
      <c r="CC1685" s="8">
        <f>SUM(BX1685:CB1685)</f>
        <v>0</v>
      </c>
      <c r="CE1685" s="28">
        <f t="shared" si="7739"/>
        <v>0</v>
      </c>
      <c r="CF1685" s="29">
        <f t="shared" si="7740"/>
        <v>0</v>
      </c>
      <c r="CG1685" s="29">
        <f t="shared" si="7741"/>
        <v>0</v>
      </c>
      <c r="CH1685" s="29">
        <f t="shared" si="7742"/>
        <v>0</v>
      </c>
      <c r="CI1685" s="29">
        <f t="shared" si="7743"/>
        <v>0</v>
      </c>
      <c r="CJ1685" s="8">
        <f>SUM(CE1685:CI1685)</f>
        <v>0</v>
      </c>
      <c r="CL1685" s="6"/>
      <c r="CM1685" s="7"/>
      <c r="CN1685" s="7"/>
      <c r="CO1685" s="7"/>
      <c r="CP1685" s="7"/>
      <c r="CQ1685" s="8">
        <f>SUM(CL1685:CP1685)</f>
        <v>0</v>
      </c>
      <c r="CS1685" s="6"/>
      <c r="CT1685" s="7"/>
      <c r="CU1685" s="7"/>
      <c r="CV1685" s="7"/>
      <c r="CW1685" s="7"/>
      <c r="CX1685" s="8">
        <f t="shared" si="7748"/>
        <v>0</v>
      </c>
      <c r="CZ1685" s="6"/>
      <c r="DA1685" s="7"/>
      <c r="DB1685" s="7"/>
      <c r="DC1685" s="7"/>
      <c r="DD1685" s="7"/>
      <c r="DE1685" s="8">
        <f t="shared" si="7749"/>
        <v>0</v>
      </c>
    </row>
    <row r="1686" spans="3:109" ht="14" thickBot="1">
      <c r="C1686" s="567"/>
      <c r="E1686" s="5" t="s">
        <v>62</v>
      </c>
      <c r="F1686" s="23">
        <f t="shared" si="7744"/>
        <v>0</v>
      </c>
      <c r="G1686" s="24">
        <f t="shared" si="7735"/>
        <v>0</v>
      </c>
      <c r="H1686" s="24">
        <f t="shared" si="7736"/>
        <v>0</v>
      </c>
      <c r="I1686" s="24">
        <f t="shared" si="7737"/>
        <v>0</v>
      </c>
      <c r="J1686" s="24">
        <f t="shared" si="7738"/>
        <v>0</v>
      </c>
      <c r="K1686" s="8">
        <f t="shared" si="7745"/>
        <v>0</v>
      </c>
      <c r="M1686" s="6"/>
      <c r="N1686" s="7"/>
      <c r="O1686" s="7"/>
      <c r="P1686" s="7"/>
      <c r="Q1686" s="7"/>
      <c r="R1686" s="8">
        <f t="shared" si="7746"/>
        <v>0</v>
      </c>
      <c r="T1686" s="6"/>
      <c r="U1686" s="7"/>
      <c r="V1686" s="7"/>
      <c r="W1686" s="7"/>
      <c r="X1686" s="7"/>
      <c r="Y1686" s="8">
        <f t="shared" si="7747"/>
        <v>0</v>
      </c>
      <c r="AA1686" s="6"/>
      <c r="AB1686" s="7"/>
      <c r="AC1686" s="7"/>
      <c r="AD1686" s="7"/>
      <c r="AE1686" s="7"/>
      <c r="AF1686" s="8">
        <f>SUM(AA1686:AE1686)</f>
        <v>0</v>
      </c>
      <c r="AH1686" s="6"/>
      <c r="AI1686" s="7"/>
      <c r="AJ1686" s="7"/>
      <c r="AK1686" s="7"/>
      <c r="AL1686" s="7"/>
      <c r="AM1686" s="8">
        <f>SUM(AH1686:AL1686)</f>
        <v>0</v>
      </c>
      <c r="AO1686" s="6"/>
      <c r="AP1686" s="7"/>
      <c r="AQ1686" s="7"/>
      <c r="AR1686" s="7"/>
      <c r="AS1686" s="7"/>
      <c r="AT1686" s="8">
        <f>SUM(AO1686:AS1686)</f>
        <v>0</v>
      </c>
      <c r="AV1686" s="6"/>
      <c r="AW1686" s="7"/>
      <c r="AX1686" s="7"/>
      <c r="AY1686" s="7"/>
      <c r="AZ1686" s="7"/>
      <c r="BA1686" s="8">
        <f>SUM(AV1686:AZ1686)</f>
        <v>0</v>
      </c>
      <c r="BC1686" s="6"/>
      <c r="BD1686" s="7"/>
      <c r="BE1686" s="7"/>
      <c r="BF1686" s="7"/>
      <c r="BG1686" s="7"/>
      <c r="BH1686" s="8">
        <f>SUM(BC1686:BG1686)</f>
        <v>0</v>
      </c>
      <c r="BJ1686" s="6"/>
      <c r="BK1686" s="7"/>
      <c r="BL1686" s="7"/>
      <c r="BM1686" s="7"/>
      <c r="BN1686" s="7"/>
      <c r="BO1686" s="8">
        <f>SUM(BJ1686:BN1686)</f>
        <v>0</v>
      </c>
      <c r="BQ1686" s="6"/>
      <c r="BR1686" s="7"/>
      <c r="BS1686" s="7"/>
      <c r="BT1686" s="7"/>
      <c r="BU1686" s="7"/>
      <c r="BV1686" s="8">
        <f>SUM(BQ1686:BU1686)</f>
        <v>0</v>
      </c>
      <c r="BX1686" s="6"/>
      <c r="BY1686" s="7"/>
      <c r="BZ1686" s="7"/>
      <c r="CA1686" s="7"/>
      <c r="CB1686" s="7"/>
      <c r="CC1686" s="8">
        <f>SUM(BX1686:CB1686)</f>
        <v>0</v>
      </c>
      <c r="CE1686" s="493">
        <f t="shared" si="7739"/>
        <v>0</v>
      </c>
      <c r="CF1686" s="494">
        <f t="shared" si="7740"/>
        <v>0</v>
      </c>
      <c r="CG1686" s="494">
        <f t="shared" si="7741"/>
        <v>0</v>
      </c>
      <c r="CH1686" s="494">
        <f t="shared" si="7742"/>
        <v>0</v>
      </c>
      <c r="CI1686" s="494">
        <f t="shared" si="7743"/>
        <v>0</v>
      </c>
      <c r="CJ1686" s="495">
        <f>SUM(CE1686:CI1686)</f>
        <v>0</v>
      </c>
      <c r="CL1686" s="6"/>
      <c r="CM1686" s="7"/>
      <c r="CN1686" s="7"/>
      <c r="CO1686" s="7"/>
      <c r="CP1686" s="7"/>
      <c r="CQ1686" s="8">
        <f>SUM(CL1686:CP1686)</f>
        <v>0</v>
      </c>
      <c r="CS1686" s="6"/>
      <c r="CT1686" s="7"/>
      <c r="CU1686" s="7"/>
      <c r="CV1686" s="7"/>
      <c r="CW1686" s="7"/>
      <c r="CX1686" s="8">
        <f t="shared" si="7748"/>
        <v>0</v>
      </c>
      <c r="CZ1686" s="6"/>
      <c r="DA1686" s="7"/>
      <c r="DB1686" s="7"/>
      <c r="DC1686" s="7"/>
      <c r="DD1686" s="7"/>
      <c r="DE1686" s="8">
        <f t="shared" si="7749"/>
        <v>0</v>
      </c>
    </row>
    <row r="1687" spans="3:109" ht="14" thickBot="1">
      <c r="C1687" s="554"/>
      <c r="E1687" s="9"/>
      <c r="F1687" s="10">
        <f>SUM(F1683:F1686)</f>
        <v>0</v>
      </c>
      <c r="G1687" s="11">
        <f t="shared" ref="G1687:J1687" si="7750">SUM(G1683:G1686)</f>
        <v>0</v>
      </c>
      <c r="H1687" s="11">
        <f t="shared" si="7750"/>
        <v>0</v>
      </c>
      <c r="I1687" s="11">
        <f t="shared" si="7750"/>
        <v>0</v>
      </c>
      <c r="J1687" s="11">
        <f t="shared" si="7750"/>
        <v>0</v>
      </c>
      <c r="K1687" s="25">
        <f>SUM(K1683:K1686)</f>
        <v>0</v>
      </c>
      <c r="M1687" s="10">
        <f>SUM(M1683:M1686)</f>
        <v>0</v>
      </c>
      <c r="N1687" s="11">
        <f t="shared" ref="N1687:Q1687" si="7751">SUM(N1683:N1686)</f>
        <v>0</v>
      </c>
      <c r="O1687" s="11">
        <f t="shared" si="7751"/>
        <v>0</v>
      </c>
      <c r="P1687" s="11">
        <f t="shared" si="7751"/>
        <v>0</v>
      </c>
      <c r="Q1687" s="11">
        <f t="shared" si="7751"/>
        <v>0</v>
      </c>
      <c r="R1687" s="25">
        <f>SUM(R1683:R1686)</f>
        <v>0</v>
      </c>
      <c r="T1687" s="10">
        <f>SUM(T1683:T1686)</f>
        <v>0</v>
      </c>
      <c r="U1687" s="11">
        <f t="shared" ref="U1687:X1687" si="7752">SUM(U1683:U1686)</f>
        <v>0</v>
      </c>
      <c r="V1687" s="11">
        <f t="shared" si="7752"/>
        <v>0</v>
      </c>
      <c r="W1687" s="11">
        <f t="shared" si="7752"/>
        <v>0</v>
      </c>
      <c r="X1687" s="11">
        <f t="shared" si="7752"/>
        <v>0</v>
      </c>
      <c r="Y1687" s="25">
        <f>SUM(Y1683:Y1686)</f>
        <v>0</v>
      </c>
      <c r="AA1687" s="10">
        <f>SUM(AA1683:AA1686)</f>
        <v>0</v>
      </c>
      <c r="AB1687" s="11">
        <f t="shared" ref="AB1687:AE1687" si="7753">SUM(AB1683:AB1686)</f>
        <v>0</v>
      </c>
      <c r="AC1687" s="11">
        <f t="shared" si="7753"/>
        <v>0</v>
      </c>
      <c r="AD1687" s="11">
        <f t="shared" si="7753"/>
        <v>0</v>
      </c>
      <c r="AE1687" s="11">
        <f t="shared" si="7753"/>
        <v>0</v>
      </c>
      <c r="AF1687" s="25">
        <f>SUM(AF1683:AF1686)</f>
        <v>0</v>
      </c>
      <c r="AH1687" s="10">
        <f>SUM(AH1683:AH1686)</f>
        <v>0</v>
      </c>
      <c r="AI1687" s="11">
        <f t="shared" ref="AI1687:AL1687" si="7754">SUM(AI1683:AI1686)</f>
        <v>0</v>
      </c>
      <c r="AJ1687" s="11">
        <f t="shared" si="7754"/>
        <v>0</v>
      </c>
      <c r="AK1687" s="11">
        <f t="shared" si="7754"/>
        <v>0</v>
      </c>
      <c r="AL1687" s="11">
        <f t="shared" si="7754"/>
        <v>0</v>
      </c>
      <c r="AM1687" s="25">
        <f>SUM(AM1683:AM1686)</f>
        <v>0</v>
      </c>
      <c r="AO1687" s="10">
        <f>SUM(AO1683:AO1686)</f>
        <v>0</v>
      </c>
      <c r="AP1687" s="11">
        <f t="shared" ref="AP1687:AS1687" si="7755">SUM(AP1683:AP1686)</f>
        <v>0</v>
      </c>
      <c r="AQ1687" s="11">
        <f t="shared" si="7755"/>
        <v>0</v>
      </c>
      <c r="AR1687" s="11">
        <f t="shared" si="7755"/>
        <v>0</v>
      </c>
      <c r="AS1687" s="11">
        <f t="shared" si="7755"/>
        <v>0</v>
      </c>
      <c r="AT1687" s="25">
        <f>SUM(AT1683:AT1686)</f>
        <v>0</v>
      </c>
      <c r="AV1687" s="10">
        <f>SUM(AV1683:AV1686)</f>
        <v>0</v>
      </c>
      <c r="AW1687" s="11">
        <f t="shared" ref="AW1687:AZ1687" si="7756">SUM(AW1683:AW1686)</f>
        <v>0</v>
      </c>
      <c r="AX1687" s="11">
        <f t="shared" si="7756"/>
        <v>0</v>
      </c>
      <c r="AY1687" s="11">
        <f t="shared" si="7756"/>
        <v>0</v>
      </c>
      <c r="AZ1687" s="11">
        <f t="shared" si="7756"/>
        <v>0</v>
      </c>
      <c r="BA1687" s="25">
        <f>SUM(BA1683:BA1686)</f>
        <v>0</v>
      </c>
      <c r="BC1687" s="10">
        <f>SUM(BC1683:BC1686)</f>
        <v>0</v>
      </c>
      <c r="BD1687" s="11">
        <f t="shared" ref="BD1687:BG1687" si="7757">SUM(BD1683:BD1686)</f>
        <v>0</v>
      </c>
      <c r="BE1687" s="11">
        <f t="shared" si="7757"/>
        <v>0</v>
      </c>
      <c r="BF1687" s="11">
        <f t="shared" si="7757"/>
        <v>0</v>
      </c>
      <c r="BG1687" s="11">
        <f t="shared" si="7757"/>
        <v>0</v>
      </c>
      <c r="BH1687" s="25">
        <f>SUM(BH1683:BH1686)</f>
        <v>0</v>
      </c>
      <c r="BJ1687" s="10">
        <f>SUM(BJ1683:BJ1686)</f>
        <v>0</v>
      </c>
      <c r="BK1687" s="11">
        <f t="shared" ref="BK1687:BN1687" si="7758">SUM(BK1683:BK1686)</f>
        <v>0</v>
      </c>
      <c r="BL1687" s="11">
        <f t="shared" si="7758"/>
        <v>0</v>
      </c>
      <c r="BM1687" s="11">
        <f t="shared" si="7758"/>
        <v>0</v>
      </c>
      <c r="BN1687" s="11">
        <f t="shared" si="7758"/>
        <v>0</v>
      </c>
      <c r="BO1687" s="25">
        <f>SUM(BO1683:BO1686)</f>
        <v>0</v>
      </c>
      <c r="BQ1687" s="10">
        <f>SUM(BQ1683:BQ1686)</f>
        <v>0</v>
      </c>
      <c r="BR1687" s="11">
        <f t="shared" ref="BR1687:BU1687" si="7759">SUM(BR1683:BR1686)</f>
        <v>0</v>
      </c>
      <c r="BS1687" s="11">
        <f t="shared" si="7759"/>
        <v>0</v>
      </c>
      <c r="BT1687" s="11">
        <f t="shared" si="7759"/>
        <v>0</v>
      </c>
      <c r="BU1687" s="11">
        <f t="shared" si="7759"/>
        <v>0</v>
      </c>
      <c r="BV1687" s="25">
        <f>SUM(BV1683:BV1686)</f>
        <v>0</v>
      </c>
      <c r="BX1687" s="10">
        <f>SUM(BX1683:BX1686)</f>
        <v>0</v>
      </c>
      <c r="BY1687" s="11">
        <f t="shared" ref="BY1687:CB1687" si="7760">SUM(BY1683:BY1686)</f>
        <v>0</v>
      </c>
      <c r="BZ1687" s="11">
        <f t="shared" si="7760"/>
        <v>0</v>
      </c>
      <c r="CA1687" s="11">
        <f t="shared" si="7760"/>
        <v>0</v>
      </c>
      <c r="CB1687" s="11">
        <f t="shared" si="7760"/>
        <v>0</v>
      </c>
      <c r="CC1687" s="25">
        <f>SUM(CC1683:CC1686)</f>
        <v>0</v>
      </c>
      <c r="CE1687" s="62">
        <f t="shared" ref="CE1687:CJ1687" si="7761">SUM(CE1683:CE1686)</f>
        <v>0</v>
      </c>
      <c r="CF1687" s="63">
        <f t="shared" si="7761"/>
        <v>0</v>
      </c>
      <c r="CG1687" s="63">
        <f t="shared" si="7761"/>
        <v>0</v>
      </c>
      <c r="CH1687" s="63">
        <f t="shared" si="7761"/>
        <v>0</v>
      </c>
      <c r="CI1687" s="63">
        <f t="shared" si="7761"/>
        <v>0</v>
      </c>
      <c r="CJ1687" s="25">
        <f t="shared" si="7761"/>
        <v>0</v>
      </c>
      <c r="CL1687" s="10">
        <f>SUM(CL1683:CL1686)</f>
        <v>0</v>
      </c>
      <c r="CM1687" s="11">
        <f t="shared" ref="CM1687:CP1687" si="7762">SUM(CM1683:CM1686)</f>
        <v>0</v>
      </c>
      <c r="CN1687" s="11">
        <f t="shared" si="7762"/>
        <v>0</v>
      </c>
      <c r="CO1687" s="11">
        <f t="shared" si="7762"/>
        <v>0</v>
      </c>
      <c r="CP1687" s="11">
        <f t="shared" si="7762"/>
        <v>0</v>
      </c>
      <c r="CQ1687" s="25">
        <f>SUM(CQ1683:CQ1686)</f>
        <v>0</v>
      </c>
      <c r="CS1687" s="10">
        <f>SUM(CS1683:CS1686)</f>
        <v>0</v>
      </c>
      <c r="CT1687" s="11">
        <f t="shared" ref="CT1687:CW1687" si="7763">SUM(CT1683:CT1686)</f>
        <v>0</v>
      </c>
      <c r="CU1687" s="11">
        <f t="shared" si="7763"/>
        <v>0</v>
      </c>
      <c r="CV1687" s="11">
        <f t="shared" si="7763"/>
        <v>0</v>
      </c>
      <c r="CW1687" s="11">
        <f t="shared" si="7763"/>
        <v>0</v>
      </c>
      <c r="CX1687" s="25">
        <f>SUM(CX1683:CX1686)</f>
        <v>0</v>
      </c>
      <c r="CZ1687" s="10">
        <f>SUM(CZ1683:CZ1686)</f>
        <v>0</v>
      </c>
      <c r="DA1687" s="11">
        <f t="shared" ref="DA1687:DD1687" si="7764">SUM(DA1683:DA1686)</f>
        <v>0</v>
      </c>
      <c r="DB1687" s="11">
        <f t="shared" si="7764"/>
        <v>0</v>
      </c>
      <c r="DC1687" s="11">
        <f t="shared" si="7764"/>
        <v>0</v>
      </c>
      <c r="DD1687" s="11">
        <f t="shared" si="7764"/>
        <v>0</v>
      </c>
      <c r="DE1687" s="25">
        <f>SUM(DE1683:DE1686)</f>
        <v>0</v>
      </c>
    </row>
    <row r="1688" spans="3:109" ht="10.4" customHeight="1" thickBot="1"/>
    <row r="1689" spans="3:109">
      <c r="C1689" s="553">
        <v>2027</v>
      </c>
      <c r="E1689" s="1" t="s">
        <v>59</v>
      </c>
      <c r="F1689" s="21">
        <f>CE1683</f>
        <v>0</v>
      </c>
      <c r="G1689" s="22">
        <f t="shared" ref="G1689:G1692" si="7765">CF1683</f>
        <v>0</v>
      </c>
      <c r="H1689" s="22">
        <f t="shared" ref="H1689:H1692" si="7766">CG1683</f>
        <v>0</v>
      </c>
      <c r="I1689" s="22">
        <f t="shared" ref="I1689:I1692" si="7767">CH1683</f>
        <v>0</v>
      </c>
      <c r="J1689" s="22">
        <f t="shared" ref="J1689:J1692" si="7768">CI1683</f>
        <v>0</v>
      </c>
      <c r="K1689" s="4">
        <f>SUM(F1689:J1689)</f>
        <v>0</v>
      </c>
      <c r="M1689" s="2"/>
      <c r="N1689" s="3"/>
      <c r="O1689" s="3"/>
      <c r="P1689" s="3"/>
      <c r="Q1689" s="3"/>
      <c r="R1689" s="4">
        <f>SUM(M1689:Q1689)</f>
        <v>0</v>
      </c>
      <c r="T1689" s="2"/>
      <c r="U1689" s="3"/>
      <c r="V1689" s="3"/>
      <c r="W1689" s="3"/>
      <c r="X1689" s="3"/>
      <c r="Y1689" s="4">
        <f>SUM(T1689:X1689)</f>
        <v>0</v>
      </c>
      <c r="AA1689" s="2"/>
      <c r="AB1689" s="3"/>
      <c r="AC1689" s="3"/>
      <c r="AD1689" s="3"/>
      <c r="AE1689" s="3"/>
      <c r="AF1689" s="4">
        <f>SUM(AA1689:AE1689)</f>
        <v>0</v>
      </c>
      <c r="AH1689" s="2"/>
      <c r="AI1689" s="3"/>
      <c r="AJ1689" s="3"/>
      <c r="AK1689" s="3"/>
      <c r="AL1689" s="3"/>
      <c r="AM1689" s="4">
        <f>SUM(AH1689:AL1689)</f>
        <v>0</v>
      </c>
      <c r="AO1689" s="2"/>
      <c r="AP1689" s="3"/>
      <c r="AQ1689" s="3"/>
      <c r="AR1689" s="3"/>
      <c r="AS1689" s="3"/>
      <c r="AT1689" s="4">
        <f>SUM(AO1689:AS1689)</f>
        <v>0</v>
      </c>
      <c r="AV1689" s="2"/>
      <c r="AW1689" s="3"/>
      <c r="AX1689" s="3"/>
      <c r="AY1689" s="3"/>
      <c r="AZ1689" s="3"/>
      <c r="BA1689" s="4">
        <f>SUM(AV1689:AZ1689)</f>
        <v>0</v>
      </c>
      <c r="BC1689" s="2"/>
      <c r="BD1689" s="3"/>
      <c r="BE1689" s="3"/>
      <c r="BF1689" s="3"/>
      <c r="BG1689" s="3"/>
      <c r="BH1689" s="4">
        <f>SUM(BC1689:BG1689)</f>
        <v>0</v>
      </c>
      <c r="BJ1689" s="2"/>
      <c r="BK1689" s="3"/>
      <c r="BL1689" s="3"/>
      <c r="BM1689" s="3"/>
      <c r="BN1689" s="3"/>
      <c r="BO1689" s="4">
        <f>SUM(BJ1689:BN1689)</f>
        <v>0</v>
      </c>
      <c r="BQ1689" s="2"/>
      <c r="BR1689" s="3"/>
      <c r="BS1689" s="3"/>
      <c r="BT1689" s="3"/>
      <c r="BU1689" s="3"/>
      <c r="BV1689" s="4">
        <f>SUM(BQ1689:BU1689)</f>
        <v>0</v>
      </c>
      <c r="BX1689" s="2"/>
      <c r="BY1689" s="3"/>
      <c r="BZ1689" s="3"/>
      <c r="CA1689" s="3"/>
      <c r="CB1689" s="3"/>
      <c r="CC1689" s="4">
        <f>SUM(BX1689:CB1689)</f>
        <v>0</v>
      </c>
      <c r="CE1689" s="26">
        <f t="shared" ref="CE1689:CE1692" si="7769">F1689+M1689+T1689+AA1689+AH1689+AO1689+AV1689+BC1689+BJ1689+BQ1689+BX1689</f>
        <v>0</v>
      </c>
      <c r="CF1689" s="27">
        <f t="shared" ref="CF1689:CF1692" si="7770">G1689+N1689+U1689+AB1689+AI1689+AP1689+AW1689+BD1689+BK1689+BR1689+BY1689</f>
        <v>0</v>
      </c>
      <c r="CG1689" s="27">
        <f t="shared" ref="CG1689:CG1692" si="7771">H1689+O1689+V1689+AC1689+AJ1689+AQ1689+AX1689+BE1689+BL1689+BS1689+BZ1689</f>
        <v>0</v>
      </c>
      <c r="CH1689" s="27">
        <f t="shared" ref="CH1689:CH1692" si="7772">I1689+P1689+W1689+AD1689+AK1689+AR1689+AY1689+BF1689+BM1689+BT1689+CA1689</f>
        <v>0</v>
      </c>
      <c r="CI1689" s="27">
        <f t="shared" ref="CI1689:CI1692" si="7773">J1689+Q1689+X1689+AE1689+AL1689+AS1689+AZ1689+BG1689+BN1689+BU1689+CB1689</f>
        <v>0</v>
      </c>
      <c r="CJ1689" s="4">
        <f>SUM(CE1689:CI1689)</f>
        <v>0</v>
      </c>
      <c r="CL1689" s="2"/>
      <c r="CM1689" s="3"/>
      <c r="CN1689" s="3"/>
      <c r="CO1689" s="3"/>
      <c r="CP1689" s="3"/>
      <c r="CQ1689" s="4">
        <f>SUM(CL1689:CP1689)</f>
        <v>0</v>
      </c>
      <c r="CS1689" s="2"/>
      <c r="CT1689" s="3"/>
      <c r="CU1689" s="3"/>
      <c r="CV1689" s="3"/>
      <c r="CW1689" s="3"/>
      <c r="CX1689" s="4">
        <f>SUM(CS1689:CW1689)</f>
        <v>0</v>
      </c>
      <c r="CZ1689" s="2"/>
      <c r="DA1689" s="3"/>
      <c r="DB1689" s="3"/>
      <c r="DC1689" s="3"/>
      <c r="DD1689" s="3"/>
      <c r="DE1689" s="4">
        <f>SUM(CZ1689:DD1689)</f>
        <v>0</v>
      </c>
    </row>
    <row r="1690" spans="3:109">
      <c r="C1690" s="567"/>
      <c r="E1690" s="5" t="s">
        <v>60</v>
      </c>
      <c r="F1690" s="23">
        <f t="shared" ref="F1690:F1692" si="7774">CE1684</f>
        <v>0</v>
      </c>
      <c r="G1690" s="24">
        <f t="shared" si="7765"/>
        <v>0</v>
      </c>
      <c r="H1690" s="24">
        <f t="shared" si="7766"/>
        <v>0</v>
      </c>
      <c r="I1690" s="24">
        <f t="shared" si="7767"/>
        <v>0</v>
      </c>
      <c r="J1690" s="24">
        <f t="shared" si="7768"/>
        <v>0</v>
      </c>
      <c r="K1690" s="8">
        <f t="shared" ref="K1690:K1692" si="7775">SUM(F1690:J1690)</f>
        <v>0</v>
      </c>
      <c r="M1690" s="6"/>
      <c r="N1690" s="7"/>
      <c r="O1690" s="7"/>
      <c r="P1690" s="7"/>
      <c r="Q1690" s="7"/>
      <c r="R1690" s="8">
        <f t="shared" ref="R1690:R1692" si="7776">SUM(M1690:Q1690)</f>
        <v>0</v>
      </c>
      <c r="T1690" s="6"/>
      <c r="U1690" s="7"/>
      <c r="V1690" s="7"/>
      <c r="W1690" s="7"/>
      <c r="X1690" s="7"/>
      <c r="Y1690" s="8">
        <f t="shared" ref="Y1690:Y1692" si="7777">SUM(T1690:X1690)</f>
        <v>0</v>
      </c>
      <c r="AA1690" s="6"/>
      <c r="AB1690" s="7"/>
      <c r="AC1690" s="7"/>
      <c r="AD1690" s="7"/>
      <c r="AE1690" s="7"/>
      <c r="AF1690" s="8">
        <f>SUM(AA1690:AE1690)</f>
        <v>0</v>
      </c>
      <c r="AH1690" s="6"/>
      <c r="AI1690" s="7"/>
      <c r="AJ1690" s="7"/>
      <c r="AK1690" s="7"/>
      <c r="AL1690" s="7"/>
      <c r="AM1690" s="8">
        <f>SUM(AH1690:AL1690)</f>
        <v>0</v>
      </c>
      <c r="AO1690" s="6"/>
      <c r="AP1690" s="7"/>
      <c r="AQ1690" s="7"/>
      <c r="AR1690" s="7"/>
      <c r="AS1690" s="7"/>
      <c r="AT1690" s="8">
        <f>SUM(AO1690:AS1690)</f>
        <v>0</v>
      </c>
      <c r="AV1690" s="6"/>
      <c r="AW1690" s="7"/>
      <c r="AX1690" s="7"/>
      <c r="AY1690" s="7"/>
      <c r="AZ1690" s="7"/>
      <c r="BA1690" s="8">
        <f>SUM(AV1690:AZ1690)</f>
        <v>0</v>
      </c>
      <c r="BC1690" s="6"/>
      <c r="BD1690" s="7"/>
      <c r="BE1690" s="7"/>
      <c r="BF1690" s="7"/>
      <c r="BG1690" s="7"/>
      <c r="BH1690" s="8">
        <f>SUM(BC1690:BG1690)</f>
        <v>0</v>
      </c>
      <c r="BJ1690" s="6"/>
      <c r="BK1690" s="7"/>
      <c r="BL1690" s="7"/>
      <c r="BM1690" s="7"/>
      <c r="BN1690" s="7"/>
      <c r="BO1690" s="8">
        <f>SUM(BJ1690:BN1690)</f>
        <v>0</v>
      </c>
      <c r="BQ1690" s="6"/>
      <c r="BR1690" s="7"/>
      <c r="BS1690" s="7"/>
      <c r="BT1690" s="7"/>
      <c r="BU1690" s="7"/>
      <c r="BV1690" s="8">
        <f>SUM(BQ1690:BU1690)</f>
        <v>0</v>
      </c>
      <c r="BX1690" s="6"/>
      <c r="BY1690" s="7"/>
      <c r="BZ1690" s="7"/>
      <c r="CA1690" s="7"/>
      <c r="CB1690" s="7"/>
      <c r="CC1690" s="8">
        <f>SUM(BX1690:CB1690)</f>
        <v>0</v>
      </c>
      <c r="CE1690" s="28">
        <f t="shared" si="7769"/>
        <v>0</v>
      </c>
      <c r="CF1690" s="29">
        <f t="shared" si="7770"/>
        <v>0</v>
      </c>
      <c r="CG1690" s="29">
        <f t="shared" si="7771"/>
        <v>0</v>
      </c>
      <c r="CH1690" s="29">
        <f t="shared" si="7772"/>
        <v>0</v>
      </c>
      <c r="CI1690" s="29">
        <f t="shared" si="7773"/>
        <v>0</v>
      </c>
      <c r="CJ1690" s="8">
        <f>SUM(CE1690:CI1690)</f>
        <v>0</v>
      </c>
      <c r="CL1690" s="6"/>
      <c r="CM1690" s="7"/>
      <c r="CN1690" s="7"/>
      <c r="CO1690" s="7"/>
      <c r="CP1690" s="7"/>
      <c r="CQ1690" s="8">
        <f>SUM(CL1690:CP1690)</f>
        <v>0</v>
      </c>
      <c r="CS1690" s="6"/>
      <c r="CT1690" s="7"/>
      <c r="CU1690" s="7"/>
      <c r="CV1690" s="7"/>
      <c r="CW1690" s="7"/>
      <c r="CX1690" s="8">
        <f t="shared" ref="CX1690:CX1692" si="7778">SUM(CS1690:CW1690)</f>
        <v>0</v>
      </c>
      <c r="CZ1690" s="6"/>
      <c r="DA1690" s="7"/>
      <c r="DB1690" s="7"/>
      <c r="DC1690" s="7"/>
      <c r="DD1690" s="7"/>
      <c r="DE1690" s="8">
        <f t="shared" ref="DE1690:DE1692" si="7779">SUM(CZ1690:DD1690)</f>
        <v>0</v>
      </c>
    </row>
    <row r="1691" spans="3:109">
      <c r="C1691" s="567"/>
      <c r="E1691" s="5" t="s">
        <v>61</v>
      </c>
      <c r="F1691" s="23">
        <f t="shared" si="7774"/>
        <v>0</v>
      </c>
      <c r="G1691" s="24">
        <f t="shared" si="7765"/>
        <v>0</v>
      </c>
      <c r="H1691" s="24">
        <f t="shared" si="7766"/>
        <v>0</v>
      </c>
      <c r="I1691" s="24">
        <f t="shared" si="7767"/>
        <v>0</v>
      </c>
      <c r="J1691" s="24">
        <f t="shared" si="7768"/>
        <v>0</v>
      </c>
      <c r="K1691" s="8">
        <f t="shared" si="7775"/>
        <v>0</v>
      </c>
      <c r="M1691" s="6"/>
      <c r="N1691" s="7"/>
      <c r="O1691" s="7"/>
      <c r="P1691" s="7"/>
      <c r="Q1691" s="7"/>
      <c r="R1691" s="8">
        <f t="shared" si="7776"/>
        <v>0</v>
      </c>
      <c r="T1691" s="6"/>
      <c r="U1691" s="7"/>
      <c r="V1691" s="7"/>
      <c r="W1691" s="7"/>
      <c r="X1691" s="7"/>
      <c r="Y1691" s="8">
        <f t="shared" si="7777"/>
        <v>0</v>
      </c>
      <c r="AA1691" s="6"/>
      <c r="AB1691" s="7"/>
      <c r="AC1691" s="7"/>
      <c r="AD1691" s="7"/>
      <c r="AE1691" s="7"/>
      <c r="AF1691" s="8">
        <f>SUM(AA1691:AE1691)</f>
        <v>0</v>
      </c>
      <c r="AH1691" s="6"/>
      <c r="AI1691" s="7"/>
      <c r="AJ1691" s="7"/>
      <c r="AK1691" s="7"/>
      <c r="AL1691" s="7"/>
      <c r="AM1691" s="8">
        <f>SUM(AH1691:AL1691)</f>
        <v>0</v>
      </c>
      <c r="AO1691" s="6"/>
      <c r="AP1691" s="7"/>
      <c r="AQ1691" s="7"/>
      <c r="AR1691" s="7"/>
      <c r="AS1691" s="7"/>
      <c r="AT1691" s="8">
        <f>SUM(AO1691:AS1691)</f>
        <v>0</v>
      </c>
      <c r="AV1691" s="6"/>
      <c r="AW1691" s="7"/>
      <c r="AX1691" s="7"/>
      <c r="AY1691" s="7"/>
      <c r="AZ1691" s="7"/>
      <c r="BA1691" s="8">
        <f>SUM(AV1691:AZ1691)</f>
        <v>0</v>
      </c>
      <c r="BC1691" s="6"/>
      <c r="BD1691" s="7"/>
      <c r="BE1691" s="7"/>
      <c r="BF1691" s="7"/>
      <c r="BG1691" s="7"/>
      <c r="BH1691" s="8">
        <f>SUM(BC1691:BG1691)</f>
        <v>0</v>
      </c>
      <c r="BJ1691" s="6"/>
      <c r="BK1691" s="7"/>
      <c r="BL1691" s="7"/>
      <c r="BM1691" s="7"/>
      <c r="BN1691" s="7"/>
      <c r="BO1691" s="8">
        <f>SUM(BJ1691:BN1691)</f>
        <v>0</v>
      </c>
      <c r="BQ1691" s="6"/>
      <c r="BR1691" s="7"/>
      <c r="BS1691" s="7"/>
      <c r="BT1691" s="7"/>
      <c r="BU1691" s="7"/>
      <c r="BV1691" s="8">
        <f>SUM(BQ1691:BU1691)</f>
        <v>0</v>
      </c>
      <c r="BX1691" s="6"/>
      <c r="BY1691" s="7"/>
      <c r="BZ1691" s="7"/>
      <c r="CA1691" s="7"/>
      <c r="CB1691" s="7"/>
      <c r="CC1691" s="8">
        <f>SUM(BX1691:CB1691)</f>
        <v>0</v>
      </c>
      <c r="CE1691" s="28">
        <f t="shared" si="7769"/>
        <v>0</v>
      </c>
      <c r="CF1691" s="29">
        <f t="shared" si="7770"/>
        <v>0</v>
      </c>
      <c r="CG1691" s="29">
        <f t="shared" si="7771"/>
        <v>0</v>
      </c>
      <c r="CH1691" s="29">
        <f t="shared" si="7772"/>
        <v>0</v>
      </c>
      <c r="CI1691" s="29">
        <f t="shared" si="7773"/>
        <v>0</v>
      </c>
      <c r="CJ1691" s="8">
        <f>SUM(CE1691:CI1691)</f>
        <v>0</v>
      </c>
      <c r="CL1691" s="6"/>
      <c r="CM1691" s="7"/>
      <c r="CN1691" s="7"/>
      <c r="CO1691" s="7"/>
      <c r="CP1691" s="7"/>
      <c r="CQ1691" s="8">
        <f>SUM(CL1691:CP1691)</f>
        <v>0</v>
      </c>
      <c r="CS1691" s="6"/>
      <c r="CT1691" s="7"/>
      <c r="CU1691" s="7"/>
      <c r="CV1691" s="7"/>
      <c r="CW1691" s="7"/>
      <c r="CX1691" s="8">
        <f t="shared" si="7778"/>
        <v>0</v>
      </c>
      <c r="CZ1691" s="6"/>
      <c r="DA1691" s="7"/>
      <c r="DB1691" s="7"/>
      <c r="DC1691" s="7"/>
      <c r="DD1691" s="7"/>
      <c r="DE1691" s="8">
        <f t="shared" si="7779"/>
        <v>0</v>
      </c>
    </row>
    <row r="1692" spans="3:109" ht="14" thickBot="1">
      <c r="C1692" s="567"/>
      <c r="E1692" s="5" t="s">
        <v>62</v>
      </c>
      <c r="F1692" s="23">
        <f t="shared" si="7774"/>
        <v>0</v>
      </c>
      <c r="G1692" s="24">
        <f t="shared" si="7765"/>
        <v>0</v>
      </c>
      <c r="H1692" s="24">
        <f t="shared" si="7766"/>
        <v>0</v>
      </c>
      <c r="I1692" s="24">
        <f t="shared" si="7767"/>
        <v>0</v>
      </c>
      <c r="J1692" s="24">
        <f t="shared" si="7768"/>
        <v>0</v>
      </c>
      <c r="K1692" s="8">
        <f t="shared" si="7775"/>
        <v>0</v>
      </c>
      <c r="M1692" s="6"/>
      <c r="N1692" s="7"/>
      <c r="O1692" s="7"/>
      <c r="P1692" s="7"/>
      <c r="Q1692" s="7"/>
      <c r="R1692" s="8">
        <f t="shared" si="7776"/>
        <v>0</v>
      </c>
      <c r="T1692" s="6"/>
      <c r="U1692" s="7"/>
      <c r="V1692" s="7"/>
      <c r="W1692" s="7"/>
      <c r="X1692" s="7"/>
      <c r="Y1692" s="8">
        <f t="shared" si="7777"/>
        <v>0</v>
      </c>
      <c r="AA1692" s="6"/>
      <c r="AB1692" s="7"/>
      <c r="AC1692" s="7"/>
      <c r="AD1692" s="7"/>
      <c r="AE1692" s="7"/>
      <c r="AF1692" s="8">
        <f>SUM(AA1692:AE1692)</f>
        <v>0</v>
      </c>
      <c r="AH1692" s="6"/>
      <c r="AI1692" s="7"/>
      <c r="AJ1692" s="7"/>
      <c r="AK1692" s="7"/>
      <c r="AL1692" s="7"/>
      <c r="AM1692" s="8">
        <f>SUM(AH1692:AL1692)</f>
        <v>0</v>
      </c>
      <c r="AO1692" s="6"/>
      <c r="AP1692" s="7"/>
      <c r="AQ1692" s="7"/>
      <c r="AR1692" s="7"/>
      <c r="AS1692" s="7"/>
      <c r="AT1692" s="8">
        <f>SUM(AO1692:AS1692)</f>
        <v>0</v>
      </c>
      <c r="AV1692" s="6"/>
      <c r="AW1692" s="7"/>
      <c r="AX1692" s="7"/>
      <c r="AY1692" s="7"/>
      <c r="AZ1692" s="7"/>
      <c r="BA1692" s="8">
        <f>SUM(AV1692:AZ1692)</f>
        <v>0</v>
      </c>
      <c r="BC1692" s="6"/>
      <c r="BD1692" s="7"/>
      <c r="BE1692" s="7"/>
      <c r="BF1692" s="7"/>
      <c r="BG1692" s="7"/>
      <c r="BH1692" s="8">
        <f>SUM(BC1692:BG1692)</f>
        <v>0</v>
      </c>
      <c r="BJ1692" s="6"/>
      <c r="BK1692" s="7"/>
      <c r="BL1692" s="7"/>
      <c r="BM1692" s="7"/>
      <c r="BN1692" s="7"/>
      <c r="BO1692" s="8">
        <f>SUM(BJ1692:BN1692)</f>
        <v>0</v>
      </c>
      <c r="BQ1692" s="6"/>
      <c r="BR1692" s="7"/>
      <c r="BS1692" s="7"/>
      <c r="BT1692" s="7"/>
      <c r="BU1692" s="7"/>
      <c r="BV1692" s="8">
        <f>SUM(BQ1692:BU1692)</f>
        <v>0</v>
      </c>
      <c r="BX1692" s="6"/>
      <c r="BY1692" s="7"/>
      <c r="BZ1692" s="7"/>
      <c r="CA1692" s="7"/>
      <c r="CB1692" s="7"/>
      <c r="CC1692" s="8">
        <f>SUM(BX1692:CB1692)</f>
        <v>0</v>
      </c>
      <c r="CE1692" s="493">
        <f t="shared" si="7769"/>
        <v>0</v>
      </c>
      <c r="CF1692" s="494">
        <f t="shared" si="7770"/>
        <v>0</v>
      </c>
      <c r="CG1692" s="494">
        <f t="shared" si="7771"/>
        <v>0</v>
      </c>
      <c r="CH1692" s="494">
        <f t="shared" si="7772"/>
        <v>0</v>
      </c>
      <c r="CI1692" s="494">
        <f t="shared" si="7773"/>
        <v>0</v>
      </c>
      <c r="CJ1692" s="495">
        <f>SUM(CE1692:CI1692)</f>
        <v>0</v>
      </c>
      <c r="CL1692" s="6"/>
      <c r="CM1692" s="7"/>
      <c r="CN1692" s="7"/>
      <c r="CO1692" s="7"/>
      <c r="CP1692" s="7"/>
      <c r="CQ1692" s="8">
        <f>SUM(CL1692:CP1692)</f>
        <v>0</v>
      </c>
      <c r="CS1692" s="6"/>
      <c r="CT1692" s="7"/>
      <c r="CU1692" s="7"/>
      <c r="CV1692" s="7"/>
      <c r="CW1692" s="7"/>
      <c r="CX1692" s="8">
        <f t="shared" si="7778"/>
        <v>0</v>
      </c>
      <c r="CZ1692" s="6"/>
      <c r="DA1692" s="7"/>
      <c r="DB1692" s="7"/>
      <c r="DC1692" s="7"/>
      <c r="DD1692" s="7"/>
      <c r="DE1692" s="8">
        <f t="shared" si="7779"/>
        <v>0</v>
      </c>
    </row>
    <row r="1693" spans="3:109" ht="14" thickBot="1">
      <c r="C1693" s="554"/>
      <c r="E1693" s="9"/>
      <c r="F1693" s="10">
        <f>SUM(F1689:F1692)</f>
        <v>0</v>
      </c>
      <c r="G1693" s="11">
        <f t="shared" ref="G1693:J1693" si="7780">SUM(G1689:G1692)</f>
        <v>0</v>
      </c>
      <c r="H1693" s="11">
        <f t="shared" si="7780"/>
        <v>0</v>
      </c>
      <c r="I1693" s="11">
        <f t="shared" si="7780"/>
        <v>0</v>
      </c>
      <c r="J1693" s="11">
        <f t="shared" si="7780"/>
        <v>0</v>
      </c>
      <c r="K1693" s="25">
        <f>SUM(K1689:K1692)</f>
        <v>0</v>
      </c>
      <c r="M1693" s="10">
        <f>SUM(M1689:M1692)</f>
        <v>0</v>
      </c>
      <c r="N1693" s="11">
        <f t="shared" ref="N1693:Q1693" si="7781">SUM(N1689:N1692)</f>
        <v>0</v>
      </c>
      <c r="O1693" s="11">
        <f t="shared" si="7781"/>
        <v>0</v>
      </c>
      <c r="P1693" s="11">
        <f t="shared" si="7781"/>
        <v>0</v>
      </c>
      <c r="Q1693" s="11">
        <f t="shared" si="7781"/>
        <v>0</v>
      </c>
      <c r="R1693" s="25">
        <f>SUM(R1689:R1692)</f>
        <v>0</v>
      </c>
      <c r="T1693" s="10">
        <f>SUM(T1689:T1692)</f>
        <v>0</v>
      </c>
      <c r="U1693" s="11">
        <f t="shared" ref="U1693:X1693" si="7782">SUM(U1689:U1692)</f>
        <v>0</v>
      </c>
      <c r="V1693" s="11">
        <f t="shared" si="7782"/>
        <v>0</v>
      </c>
      <c r="W1693" s="11">
        <f t="shared" si="7782"/>
        <v>0</v>
      </c>
      <c r="X1693" s="11">
        <f t="shared" si="7782"/>
        <v>0</v>
      </c>
      <c r="Y1693" s="25">
        <f>SUM(Y1689:Y1692)</f>
        <v>0</v>
      </c>
      <c r="AA1693" s="10">
        <f>SUM(AA1689:AA1692)</f>
        <v>0</v>
      </c>
      <c r="AB1693" s="11">
        <f t="shared" ref="AB1693:AE1693" si="7783">SUM(AB1689:AB1692)</f>
        <v>0</v>
      </c>
      <c r="AC1693" s="11">
        <f t="shared" si="7783"/>
        <v>0</v>
      </c>
      <c r="AD1693" s="11">
        <f t="shared" si="7783"/>
        <v>0</v>
      </c>
      <c r="AE1693" s="11">
        <f t="shared" si="7783"/>
        <v>0</v>
      </c>
      <c r="AF1693" s="25">
        <f>SUM(AF1689:AF1692)</f>
        <v>0</v>
      </c>
      <c r="AH1693" s="10">
        <f>SUM(AH1689:AH1692)</f>
        <v>0</v>
      </c>
      <c r="AI1693" s="11">
        <f t="shared" ref="AI1693:AL1693" si="7784">SUM(AI1689:AI1692)</f>
        <v>0</v>
      </c>
      <c r="AJ1693" s="11">
        <f t="shared" si="7784"/>
        <v>0</v>
      </c>
      <c r="AK1693" s="11">
        <f t="shared" si="7784"/>
        <v>0</v>
      </c>
      <c r="AL1693" s="11">
        <f t="shared" si="7784"/>
        <v>0</v>
      </c>
      <c r="AM1693" s="25">
        <f>SUM(AM1689:AM1692)</f>
        <v>0</v>
      </c>
      <c r="AO1693" s="10">
        <f>SUM(AO1689:AO1692)</f>
        <v>0</v>
      </c>
      <c r="AP1693" s="11">
        <f t="shared" ref="AP1693:AS1693" si="7785">SUM(AP1689:AP1692)</f>
        <v>0</v>
      </c>
      <c r="AQ1693" s="11">
        <f t="shared" si="7785"/>
        <v>0</v>
      </c>
      <c r="AR1693" s="11">
        <f t="shared" si="7785"/>
        <v>0</v>
      </c>
      <c r="AS1693" s="11">
        <f t="shared" si="7785"/>
        <v>0</v>
      </c>
      <c r="AT1693" s="25">
        <f>SUM(AT1689:AT1692)</f>
        <v>0</v>
      </c>
      <c r="AV1693" s="10">
        <f>SUM(AV1689:AV1692)</f>
        <v>0</v>
      </c>
      <c r="AW1693" s="11">
        <f t="shared" ref="AW1693:AZ1693" si="7786">SUM(AW1689:AW1692)</f>
        <v>0</v>
      </c>
      <c r="AX1693" s="11">
        <f t="shared" si="7786"/>
        <v>0</v>
      </c>
      <c r="AY1693" s="11">
        <f t="shared" si="7786"/>
        <v>0</v>
      </c>
      <c r="AZ1693" s="11">
        <f t="shared" si="7786"/>
        <v>0</v>
      </c>
      <c r="BA1693" s="25">
        <f>SUM(BA1689:BA1692)</f>
        <v>0</v>
      </c>
      <c r="BC1693" s="10">
        <f>SUM(BC1689:BC1692)</f>
        <v>0</v>
      </c>
      <c r="BD1693" s="11">
        <f t="shared" ref="BD1693:BG1693" si="7787">SUM(BD1689:BD1692)</f>
        <v>0</v>
      </c>
      <c r="BE1693" s="11">
        <f t="shared" si="7787"/>
        <v>0</v>
      </c>
      <c r="BF1693" s="11">
        <f t="shared" si="7787"/>
        <v>0</v>
      </c>
      <c r="BG1693" s="11">
        <f t="shared" si="7787"/>
        <v>0</v>
      </c>
      <c r="BH1693" s="25">
        <f>SUM(BH1689:BH1692)</f>
        <v>0</v>
      </c>
      <c r="BJ1693" s="10">
        <f>SUM(BJ1689:BJ1692)</f>
        <v>0</v>
      </c>
      <c r="BK1693" s="11">
        <f t="shared" ref="BK1693:BN1693" si="7788">SUM(BK1689:BK1692)</f>
        <v>0</v>
      </c>
      <c r="BL1693" s="11">
        <f t="shared" si="7788"/>
        <v>0</v>
      </c>
      <c r="BM1693" s="11">
        <f t="shared" si="7788"/>
        <v>0</v>
      </c>
      <c r="BN1693" s="11">
        <f t="shared" si="7788"/>
        <v>0</v>
      </c>
      <c r="BO1693" s="25">
        <f>SUM(BO1689:BO1692)</f>
        <v>0</v>
      </c>
      <c r="BQ1693" s="10">
        <f>SUM(BQ1689:BQ1692)</f>
        <v>0</v>
      </c>
      <c r="BR1693" s="11">
        <f t="shared" ref="BR1693:BU1693" si="7789">SUM(BR1689:BR1692)</f>
        <v>0</v>
      </c>
      <c r="BS1693" s="11">
        <f t="shared" si="7789"/>
        <v>0</v>
      </c>
      <c r="BT1693" s="11">
        <f t="shared" si="7789"/>
        <v>0</v>
      </c>
      <c r="BU1693" s="11">
        <f t="shared" si="7789"/>
        <v>0</v>
      </c>
      <c r="BV1693" s="25">
        <f>SUM(BV1689:BV1692)</f>
        <v>0</v>
      </c>
      <c r="BX1693" s="10">
        <f>SUM(BX1689:BX1692)</f>
        <v>0</v>
      </c>
      <c r="BY1693" s="11">
        <f t="shared" ref="BY1693:CB1693" si="7790">SUM(BY1689:BY1692)</f>
        <v>0</v>
      </c>
      <c r="BZ1693" s="11">
        <f t="shared" si="7790"/>
        <v>0</v>
      </c>
      <c r="CA1693" s="11">
        <f t="shared" si="7790"/>
        <v>0</v>
      </c>
      <c r="CB1693" s="11">
        <f t="shared" si="7790"/>
        <v>0</v>
      </c>
      <c r="CC1693" s="25">
        <f>SUM(CC1689:CC1692)</f>
        <v>0</v>
      </c>
      <c r="CE1693" s="62">
        <f t="shared" ref="CE1693:CJ1693" si="7791">SUM(CE1689:CE1692)</f>
        <v>0</v>
      </c>
      <c r="CF1693" s="63">
        <f t="shared" si="7791"/>
        <v>0</v>
      </c>
      <c r="CG1693" s="63">
        <f t="shared" si="7791"/>
        <v>0</v>
      </c>
      <c r="CH1693" s="63">
        <f t="shared" si="7791"/>
        <v>0</v>
      </c>
      <c r="CI1693" s="63">
        <f t="shared" si="7791"/>
        <v>0</v>
      </c>
      <c r="CJ1693" s="25">
        <f t="shared" si="7791"/>
        <v>0</v>
      </c>
      <c r="CL1693" s="10">
        <f>SUM(CL1689:CL1692)</f>
        <v>0</v>
      </c>
      <c r="CM1693" s="11">
        <f t="shared" ref="CM1693:CP1693" si="7792">SUM(CM1689:CM1692)</f>
        <v>0</v>
      </c>
      <c r="CN1693" s="11">
        <f t="shared" si="7792"/>
        <v>0</v>
      </c>
      <c r="CO1693" s="11">
        <f t="shared" si="7792"/>
        <v>0</v>
      </c>
      <c r="CP1693" s="11">
        <f t="shared" si="7792"/>
        <v>0</v>
      </c>
      <c r="CQ1693" s="25">
        <f>SUM(CQ1689:CQ1692)</f>
        <v>0</v>
      </c>
      <c r="CS1693" s="10">
        <f>SUM(CS1689:CS1692)</f>
        <v>0</v>
      </c>
      <c r="CT1693" s="11">
        <f t="shared" ref="CT1693:CW1693" si="7793">SUM(CT1689:CT1692)</f>
        <v>0</v>
      </c>
      <c r="CU1693" s="11">
        <f t="shared" si="7793"/>
        <v>0</v>
      </c>
      <c r="CV1693" s="11">
        <f t="shared" si="7793"/>
        <v>0</v>
      </c>
      <c r="CW1693" s="11">
        <f t="shared" si="7793"/>
        <v>0</v>
      </c>
      <c r="CX1693" s="25">
        <f>SUM(CX1689:CX1692)</f>
        <v>0</v>
      </c>
      <c r="CZ1693" s="10">
        <f>SUM(CZ1689:CZ1692)</f>
        <v>0</v>
      </c>
      <c r="DA1693" s="11">
        <f t="shared" ref="DA1693:DD1693" si="7794">SUM(DA1689:DA1692)</f>
        <v>0</v>
      </c>
      <c r="DB1693" s="11">
        <f t="shared" si="7794"/>
        <v>0</v>
      </c>
      <c r="DC1693" s="11">
        <f t="shared" si="7794"/>
        <v>0</v>
      </c>
      <c r="DD1693" s="11">
        <f t="shared" si="7794"/>
        <v>0</v>
      </c>
      <c r="DE1693" s="25">
        <f>SUM(DE1689:DE1692)</f>
        <v>0</v>
      </c>
    </row>
    <row r="1694" spans="3:109" ht="10.4" customHeight="1" thickBot="1"/>
    <row r="1695" spans="3:109">
      <c r="C1695" s="553">
        <v>2028</v>
      </c>
      <c r="E1695" s="1" t="s">
        <v>59</v>
      </c>
      <c r="F1695" s="21">
        <f>CE1689</f>
        <v>0</v>
      </c>
      <c r="G1695" s="22">
        <f t="shared" ref="G1695:G1698" si="7795">CF1689</f>
        <v>0</v>
      </c>
      <c r="H1695" s="22">
        <f t="shared" ref="H1695:H1698" si="7796">CG1689</f>
        <v>0</v>
      </c>
      <c r="I1695" s="22">
        <f t="shared" ref="I1695:I1698" si="7797">CH1689</f>
        <v>0</v>
      </c>
      <c r="J1695" s="22">
        <f t="shared" ref="J1695:J1698" si="7798">CI1689</f>
        <v>0</v>
      </c>
      <c r="K1695" s="4">
        <f>SUM(F1695:J1695)</f>
        <v>0</v>
      </c>
      <c r="M1695" s="2"/>
      <c r="N1695" s="3"/>
      <c r="O1695" s="3"/>
      <c r="P1695" s="3"/>
      <c r="Q1695" s="3"/>
      <c r="R1695" s="4">
        <f>SUM(M1695:Q1695)</f>
        <v>0</v>
      </c>
      <c r="T1695" s="2"/>
      <c r="U1695" s="3"/>
      <c r="V1695" s="3"/>
      <c r="W1695" s="3"/>
      <c r="X1695" s="3"/>
      <c r="Y1695" s="4">
        <f>SUM(T1695:X1695)</f>
        <v>0</v>
      </c>
      <c r="AA1695" s="2"/>
      <c r="AB1695" s="3"/>
      <c r="AC1695" s="3"/>
      <c r="AD1695" s="3"/>
      <c r="AE1695" s="3"/>
      <c r="AF1695" s="4">
        <f>SUM(AA1695:AE1695)</f>
        <v>0</v>
      </c>
      <c r="AH1695" s="2"/>
      <c r="AI1695" s="3"/>
      <c r="AJ1695" s="3"/>
      <c r="AK1695" s="3"/>
      <c r="AL1695" s="3"/>
      <c r="AM1695" s="4">
        <f>SUM(AH1695:AL1695)</f>
        <v>0</v>
      </c>
      <c r="AO1695" s="2"/>
      <c r="AP1695" s="3"/>
      <c r="AQ1695" s="3"/>
      <c r="AR1695" s="3"/>
      <c r="AS1695" s="3"/>
      <c r="AT1695" s="4">
        <f>SUM(AO1695:AS1695)</f>
        <v>0</v>
      </c>
      <c r="AV1695" s="2"/>
      <c r="AW1695" s="3"/>
      <c r="AX1695" s="3"/>
      <c r="AY1695" s="3"/>
      <c r="AZ1695" s="3"/>
      <c r="BA1695" s="4">
        <f>SUM(AV1695:AZ1695)</f>
        <v>0</v>
      </c>
      <c r="BC1695" s="2"/>
      <c r="BD1695" s="3"/>
      <c r="BE1695" s="3"/>
      <c r="BF1695" s="3"/>
      <c r="BG1695" s="3"/>
      <c r="BH1695" s="4">
        <f>SUM(BC1695:BG1695)</f>
        <v>0</v>
      </c>
      <c r="BJ1695" s="2"/>
      <c r="BK1695" s="3"/>
      <c r="BL1695" s="3"/>
      <c r="BM1695" s="3"/>
      <c r="BN1695" s="3"/>
      <c r="BO1695" s="4">
        <f>SUM(BJ1695:BN1695)</f>
        <v>0</v>
      </c>
      <c r="BQ1695" s="2"/>
      <c r="BR1695" s="3"/>
      <c r="BS1695" s="3"/>
      <c r="BT1695" s="3"/>
      <c r="BU1695" s="3"/>
      <c r="BV1695" s="4">
        <f>SUM(BQ1695:BU1695)</f>
        <v>0</v>
      </c>
      <c r="BX1695" s="2"/>
      <c r="BY1695" s="3"/>
      <c r="BZ1695" s="3"/>
      <c r="CA1695" s="3"/>
      <c r="CB1695" s="3"/>
      <c r="CC1695" s="4">
        <f>SUM(BX1695:CB1695)</f>
        <v>0</v>
      </c>
      <c r="CE1695" s="26">
        <f t="shared" ref="CE1695:CE1698" si="7799">F1695+M1695+T1695+AA1695+AH1695+AO1695+AV1695+BC1695+BJ1695+BQ1695+BX1695</f>
        <v>0</v>
      </c>
      <c r="CF1695" s="27">
        <f t="shared" ref="CF1695:CF1698" si="7800">G1695+N1695+U1695+AB1695+AI1695+AP1695+AW1695+BD1695+BK1695+BR1695+BY1695</f>
        <v>0</v>
      </c>
      <c r="CG1695" s="27">
        <f t="shared" ref="CG1695:CG1698" si="7801">H1695+O1695+V1695+AC1695+AJ1695+AQ1695+AX1695+BE1695+BL1695+BS1695+BZ1695</f>
        <v>0</v>
      </c>
      <c r="CH1695" s="27">
        <f t="shared" ref="CH1695:CH1698" si="7802">I1695+P1695+W1695+AD1695+AK1695+AR1695+AY1695+BF1695+BM1695+BT1695+CA1695</f>
        <v>0</v>
      </c>
      <c r="CI1695" s="27">
        <f t="shared" ref="CI1695:CI1698" si="7803">J1695+Q1695+X1695+AE1695+AL1695+AS1695+AZ1695+BG1695+BN1695+BU1695+CB1695</f>
        <v>0</v>
      </c>
      <c r="CJ1695" s="4">
        <f>SUM(CE1695:CI1695)</f>
        <v>0</v>
      </c>
      <c r="CL1695" s="2"/>
      <c r="CM1695" s="3"/>
      <c r="CN1695" s="3"/>
      <c r="CO1695" s="3"/>
      <c r="CP1695" s="3"/>
      <c r="CQ1695" s="4">
        <f>SUM(CL1695:CP1695)</f>
        <v>0</v>
      </c>
      <c r="CS1695" s="2"/>
      <c r="CT1695" s="3"/>
      <c r="CU1695" s="3"/>
      <c r="CV1695" s="3"/>
      <c r="CW1695" s="3"/>
      <c r="CX1695" s="4">
        <f>SUM(CS1695:CW1695)</f>
        <v>0</v>
      </c>
      <c r="CZ1695" s="2"/>
      <c r="DA1695" s="3"/>
      <c r="DB1695" s="3"/>
      <c r="DC1695" s="3"/>
      <c r="DD1695" s="3"/>
      <c r="DE1695" s="4">
        <f>SUM(CZ1695:DD1695)</f>
        <v>0</v>
      </c>
    </row>
    <row r="1696" spans="3:109">
      <c r="C1696" s="567"/>
      <c r="E1696" s="5" t="s">
        <v>60</v>
      </c>
      <c r="F1696" s="23">
        <f t="shared" ref="F1696:F1698" si="7804">CE1690</f>
        <v>0</v>
      </c>
      <c r="G1696" s="24">
        <f t="shared" si="7795"/>
        <v>0</v>
      </c>
      <c r="H1696" s="24">
        <f t="shared" si="7796"/>
        <v>0</v>
      </c>
      <c r="I1696" s="24">
        <f t="shared" si="7797"/>
        <v>0</v>
      </c>
      <c r="J1696" s="24">
        <f t="shared" si="7798"/>
        <v>0</v>
      </c>
      <c r="K1696" s="8">
        <f t="shared" ref="K1696:K1698" si="7805">SUM(F1696:J1696)</f>
        <v>0</v>
      </c>
      <c r="M1696" s="6"/>
      <c r="N1696" s="7"/>
      <c r="O1696" s="7"/>
      <c r="P1696" s="7"/>
      <c r="Q1696" s="7"/>
      <c r="R1696" s="8">
        <f t="shared" ref="R1696:R1698" si="7806">SUM(M1696:Q1696)</f>
        <v>0</v>
      </c>
      <c r="T1696" s="6"/>
      <c r="U1696" s="7"/>
      <c r="V1696" s="7"/>
      <c r="W1696" s="7"/>
      <c r="X1696" s="7"/>
      <c r="Y1696" s="8">
        <f t="shared" ref="Y1696:Y1698" si="7807">SUM(T1696:X1696)</f>
        <v>0</v>
      </c>
      <c r="AA1696" s="6"/>
      <c r="AB1696" s="7"/>
      <c r="AC1696" s="7"/>
      <c r="AD1696" s="7"/>
      <c r="AE1696" s="7"/>
      <c r="AF1696" s="8">
        <f>SUM(AA1696:AE1696)</f>
        <v>0</v>
      </c>
      <c r="AH1696" s="6"/>
      <c r="AI1696" s="7"/>
      <c r="AJ1696" s="7"/>
      <c r="AK1696" s="7"/>
      <c r="AL1696" s="7"/>
      <c r="AM1696" s="8">
        <f>SUM(AH1696:AL1696)</f>
        <v>0</v>
      </c>
      <c r="AO1696" s="6"/>
      <c r="AP1696" s="7"/>
      <c r="AQ1696" s="7"/>
      <c r="AR1696" s="7"/>
      <c r="AS1696" s="7"/>
      <c r="AT1696" s="8">
        <f>SUM(AO1696:AS1696)</f>
        <v>0</v>
      </c>
      <c r="AV1696" s="6"/>
      <c r="AW1696" s="7"/>
      <c r="AX1696" s="7"/>
      <c r="AY1696" s="7"/>
      <c r="AZ1696" s="7"/>
      <c r="BA1696" s="8">
        <f>SUM(AV1696:AZ1696)</f>
        <v>0</v>
      </c>
      <c r="BC1696" s="6"/>
      <c r="BD1696" s="7"/>
      <c r="BE1696" s="7"/>
      <c r="BF1696" s="7"/>
      <c r="BG1696" s="7"/>
      <c r="BH1696" s="8">
        <f>SUM(BC1696:BG1696)</f>
        <v>0</v>
      </c>
      <c r="BJ1696" s="6"/>
      <c r="BK1696" s="7"/>
      <c r="BL1696" s="7"/>
      <c r="BM1696" s="7"/>
      <c r="BN1696" s="7"/>
      <c r="BO1696" s="8">
        <f>SUM(BJ1696:BN1696)</f>
        <v>0</v>
      </c>
      <c r="BQ1696" s="6"/>
      <c r="BR1696" s="7"/>
      <c r="BS1696" s="7"/>
      <c r="BT1696" s="7"/>
      <c r="BU1696" s="7"/>
      <c r="BV1696" s="8">
        <f>SUM(BQ1696:BU1696)</f>
        <v>0</v>
      </c>
      <c r="BX1696" s="6"/>
      <c r="BY1696" s="7"/>
      <c r="BZ1696" s="7"/>
      <c r="CA1696" s="7"/>
      <c r="CB1696" s="7"/>
      <c r="CC1696" s="8">
        <f>SUM(BX1696:CB1696)</f>
        <v>0</v>
      </c>
      <c r="CE1696" s="28">
        <f t="shared" si="7799"/>
        <v>0</v>
      </c>
      <c r="CF1696" s="29">
        <f t="shared" si="7800"/>
        <v>0</v>
      </c>
      <c r="CG1696" s="29">
        <f t="shared" si="7801"/>
        <v>0</v>
      </c>
      <c r="CH1696" s="29">
        <f t="shared" si="7802"/>
        <v>0</v>
      </c>
      <c r="CI1696" s="29">
        <f t="shared" si="7803"/>
        <v>0</v>
      </c>
      <c r="CJ1696" s="8">
        <f>SUM(CE1696:CI1696)</f>
        <v>0</v>
      </c>
      <c r="CL1696" s="6"/>
      <c r="CM1696" s="7"/>
      <c r="CN1696" s="7"/>
      <c r="CO1696" s="7"/>
      <c r="CP1696" s="7"/>
      <c r="CQ1696" s="8">
        <f>SUM(CL1696:CP1696)</f>
        <v>0</v>
      </c>
      <c r="CS1696" s="6"/>
      <c r="CT1696" s="7"/>
      <c r="CU1696" s="7"/>
      <c r="CV1696" s="7"/>
      <c r="CW1696" s="7"/>
      <c r="CX1696" s="8">
        <f t="shared" ref="CX1696:CX1698" si="7808">SUM(CS1696:CW1696)</f>
        <v>0</v>
      </c>
      <c r="CZ1696" s="6"/>
      <c r="DA1696" s="7"/>
      <c r="DB1696" s="7"/>
      <c r="DC1696" s="7"/>
      <c r="DD1696" s="7"/>
      <c r="DE1696" s="8">
        <f t="shared" ref="DE1696:DE1698" si="7809">SUM(CZ1696:DD1696)</f>
        <v>0</v>
      </c>
    </row>
    <row r="1697" spans="2:109">
      <c r="C1697" s="567"/>
      <c r="E1697" s="5" t="s">
        <v>61</v>
      </c>
      <c r="F1697" s="23">
        <f t="shared" si="7804"/>
        <v>0</v>
      </c>
      <c r="G1697" s="24">
        <f t="shared" si="7795"/>
        <v>0</v>
      </c>
      <c r="H1697" s="24">
        <f t="shared" si="7796"/>
        <v>0</v>
      </c>
      <c r="I1697" s="24">
        <f t="shared" si="7797"/>
        <v>0</v>
      </c>
      <c r="J1697" s="24">
        <f t="shared" si="7798"/>
        <v>0</v>
      </c>
      <c r="K1697" s="8">
        <f t="shared" si="7805"/>
        <v>0</v>
      </c>
      <c r="M1697" s="6"/>
      <c r="N1697" s="7"/>
      <c r="O1697" s="7"/>
      <c r="P1697" s="7"/>
      <c r="Q1697" s="7"/>
      <c r="R1697" s="8">
        <f t="shared" si="7806"/>
        <v>0</v>
      </c>
      <c r="T1697" s="6"/>
      <c r="U1697" s="7"/>
      <c r="V1697" s="7"/>
      <c r="W1697" s="7"/>
      <c r="X1697" s="7"/>
      <c r="Y1697" s="8">
        <f t="shared" si="7807"/>
        <v>0</v>
      </c>
      <c r="AA1697" s="6"/>
      <c r="AB1697" s="7"/>
      <c r="AC1697" s="7"/>
      <c r="AD1697" s="7"/>
      <c r="AE1697" s="7"/>
      <c r="AF1697" s="8">
        <f>SUM(AA1697:AE1697)</f>
        <v>0</v>
      </c>
      <c r="AH1697" s="6"/>
      <c r="AI1697" s="7"/>
      <c r="AJ1697" s="7"/>
      <c r="AK1697" s="7"/>
      <c r="AL1697" s="7"/>
      <c r="AM1697" s="8">
        <f>SUM(AH1697:AL1697)</f>
        <v>0</v>
      </c>
      <c r="AO1697" s="6"/>
      <c r="AP1697" s="7"/>
      <c r="AQ1697" s="7"/>
      <c r="AR1697" s="7"/>
      <c r="AS1697" s="7"/>
      <c r="AT1697" s="8">
        <f>SUM(AO1697:AS1697)</f>
        <v>0</v>
      </c>
      <c r="AV1697" s="6"/>
      <c r="AW1697" s="7"/>
      <c r="AX1697" s="7"/>
      <c r="AY1697" s="7"/>
      <c r="AZ1697" s="7"/>
      <c r="BA1697" s="8">
        <f>SUM(AV1697:AZ1697)</f>
        <v>0</v>
      </c>
      <c r="BC1697" s="6"/>
      <c r="BD1697" s="7"/>
      <c r="BE1697" s="7"/>
      <c r="BF1697" s="7"/>
      <c r="BG1697" s="7"/>
      <c r="BH1697" s="8">
        <f>SUM(BC1697:BG1697)</f>
        <v>0</v>
      </c>
      <c r="BJ1697" s="6"/>
      <c r="BK1697" s="7"/>
      <c r="BL1697" s="7"/>
      <c r="BM1697" s="7"/>
      <c r="BN1697" s="7"/>
      <c r="BO1697" s="8">
        <f>SUM(BJ1697:BN1697)</f>
        <v>0</v>
      </c>
      <c r="BQ1697" s="6"/>
      <c r="BR1697" s="7"/>
      <c r="BS1697" s="7"/>
      <c r="BT1697" s="7"/>
      <c r="BU1697" s="7"/>
      <c r="BV1697" s="8">
        <f>SUM(BQ1697:BU1697)</f>
        <v>0</v>
      </c>
      <c r="BX1697" s="6"/>
      <c r="BY1697" s="7"/>
      <c r="BZ1697" s="7"/>
      <c r="CA1697" s="7"/>
      <c r="CB1697" s="7"/>
      <c r="CC1697" s="8">
        <f>SUM(BX1697:CB1697)</f>
        <v>0</v>
      </c>
      <c r="CE1697" s="28">
        <f t="shared" si="7799"/>
        <v>0</v>
      </c>
      <c r="CF1697" s="29">
        <f t="shared" si="7800"/>
        <v>0</v>
      </c>
      <c r="CG1697" s="29">
        <f t="shared" si="7801"/>
        <v>0</v>
      </c>
      <c r="CH1697" s="29">
        <f t="shared" si="7802"/>
        <v>0</v>
      </c>
      <c r="CI1697" s="29">
        <f t="shared" si="7803"/>
        <v>0</v>
      </c>
      <c r="CJ1697" s="8">
        <f>SUM(CE1697:CI1697)</f>
        <v>0</v>
      </c>
      <c r="CL1697" s="6"/>
      <c r="CM1697" s="7"/>
      <c r="CN1697" s="7"/>
      <c r="CO1697" s="7"/>
      <c r="CP1697" s="7"/>
      <c r="CQ1697" s="8">
        <f>SUM(CL1697:CP1697)</f>
        <v>0</v>
      </c>
      <c r="CS1697" s="6"/>
      <c r="CT1697" s="7"/>
      <c r="CU1697" s="7"/>
      <c r="CV1697" s="7"/>
      <c r="CW1697" s="7"/>
      <c r="CX1697" s="8">
        <f t="shared" si="7808"/>
        <v>0</v>
      </c>
      <c r="CZ1697" s="6"/>
      <c r="DA1697" s="7"/>
      <c r="DB1697" s="7"/>
      <c r="DC1697" s="7"/>
      <c r="DD1697" s="7"/>
      <c r="DE1697" s="8">
        <f t="shared" si="7809"/>
        <v>0</v>
      </c>
    </row>
    <row r="1698" spans="2:109" ht="14" thickBot="1">
      <c r="C1698" s="567"/>
      <c r="E1698" s="5" t="s">
        <v>62</v>
      </c>
      <c r="F1698" s="23">
        <f t="shared" si="7804"/>
        <v>0</v>
      </c>
      <c r="G1698" s="24">
        <f t="shared" si="7795"/>
        <v>0</v>
      </c>
      <c r="H1698" s="24">
        <f t="shared" si="7796"/>
        <v>0</v>
      </c>
      <c r="I1698" s="24">
        <f t="shared" si="7797"/>
        <v>0</v>
      </c>
      <c r="J1698" s="24">
        <f t="shared" si="7798"/>
        <v>0</v>
      </c>
      <c r="K1698" s="8">
        <f t="shared" si="7805"/>
        <v>0</v>
      </c>
      <c r="M1698" s="6"/>
      <c r="N1698" s="7"/>
      <c r="O1698" s="7"/>
      <c r="P1698" s="7"/>
      <c r="Q1698" s="7"/>
      <c r="R1698" s="8">
        <f t="shared" si="7806"/>
        <v>0</v>
      </c>
      <c r="T1698" s="6"/>
      <c r="U1698" s="7"/>
      <c r="V1698" s="7"/>
      <c r="W1698" s="7"/>
      <c r="X1698" s="7"/>
      <c r="Y1698" s="8">
        <f t="shared" si="7807"/>
        <v>0</v>
      </c>
      <c r="AA1698" s="6"/>
      <c r="AB1698" s="7"/>
      <c r="AC1698" s="7"/>
      <c r="AD1698" s="7"/>
      <c r="AE1698" s="7"/>
      <c r="AF1698" s="8">
        <f>SUM(AA1698:AE1698)</f>
        <v>0</v>
      </c>
      <c r="AH1698" s="6"/>
      <c r="AI1698" s="7"/>
      <c r="AJ1698" s="7"/>
      <c r="AK1698" s="7"/>
      <c r="AL1698" s="7"/>
      <c r="AM1698" s="8">
        <f>SUM(AH1698:AL1698)</f>
        <v>0</v>
      </c>
      <c r="AO1698" s="6"/>
      <c r="AP1698" s="7"/>
      <c r="AQ1698" s="7"/>
      <c r="AR1698" s="7"/>
      <c r="AS1698" s="7"/>
      <c r="AT1698" s="8">
        <f>SUM(AO1698:AS1698)</f>
        <v>0</v>
      </c>
      <c r="AV1698" s="6"/>
      <c r="AW1698" s="7"/>
      <c r="AX1698" s="7"/>
      <c r="AY1698" s="7"/>
      <c r="AZ1698" s="7"/>
      <c r="BA1698" s="8">
        <f>SUM(AV1698:AZ1698)</f>
        <v>0</v>
      </c>
      <c r="BC1698" s="6"/>
      <c r="BD1698" s="7"/>
      <c r="BE1698" s="7"/>
      <c r="BF1698" s="7"/>
      <c r="BG1698" s="7"/>
      <c r="BH1698" s="8">
        <f>SUM(BC1698:BG1698)</f>
        <v>0</v>
      </c>
      <c r="BJ1698" s="6"/>
      <c r="BK1698" s="7"/>
      <c r="BL1698" s="7"/>
      <c r="BM1698" s="7"/>
      <c r="BN1698" s="7"/>
      <c r="BO1698" s="8">
        <f>SUM(BJ1698:BN1698)</f>
        <v>0</v>
      </c>
      <c r="BQ1698" s="6"/>
      <c r="BR1698" s="7"/>
      <c r="BS1698" s="7"/>
      <c r="BT1698" s="7"/>
      <c r="BU1698" s="7"/>
      <c r="BV1698" s="8">
        <f>SUM(BQ1698:BU1698)</f>
        <v>0</v>
      </c>
      <c r="BX1698" s="6"/>
      <c r="BY1698" s="7"/>
      <c r="BZ1698" s="7"/>
      <c r="CA1698" s="7"/>
      <c r="CB1698" s="7"/>
      <c r="CC1698" s="8">
        <f>SUM(BX1698:CB1698)</f>
        <v>0</v>
      </c>
      <c r="CE1698" s="493">
        <f t="shared" si="7799"/>
        <v>0</v>
      </c>
      <c r="CF1698" s="494">
        <f t="shared" si="7800"/>
        <v>0</v>
      </c>
      <c r="CG1698" s="494">
        <f t="shared" si="7801"/>
        <v>0</v>
      </c>
      <c r="CH1698" s="494">
        <f t="shared" si="7802"/>
        <v>0</v>
      </c>
      <c r="CI1698" s="494">
        <f t="shared" si="7803"/>
        <v>0</v>
      </c>
      <c r="CJ1698" s="495">
        <f>SUM(CE1698:CI1698)</f>
        <v>0</v>
      </c>
      <c r="CL1698" s="6"/>
      <c r="CM1698" s="7"/>
      <c r="CN1698" s="7"/>
      <c r="CO1698" s="7"/>
      <c r="CP1698" s="7"/>
      <c r="CQ1698" s="8">
        <f>SUM(CL1698:CP1698)</f>
        <v>0</v>
      </c>
      <c r="CS1698" s="6"/>
      <c r="CT1698" s="7"/>
      <c r="CU1698" s="7"/>
      <c r="CV1698" s="7"/>
      <c r="CW1698" s="7"/>
      <c r="CX1698" s="8">
        <f t="shared" si="7808"/>
        <v>0</v>
      </c>
      <c r="CZ1698" s="6"/>
      <c r="DA1698" s="7"/>
      <c r="DB1698" s="7"/>
      <c r="DC1698" s="7"/>
      <c r="DD1698" s="7"/>
      <c r="DE1698" s="8">
        <f t="shared" si="7809"/>
        <v>0</v>
      </c>
    </row>
    <row r="1699" spans="2:109" ht="14" thickBot="1">
      <c r="C1699" s="554"/>
      <c r="E1699" s="9"/>
      <c r="F1699" s="10">
        <f>SUM(F1695:F1698)</f>
        <v>0</v>
      </c>
      <c r="G1699" s="11">
        <f t="shared" ref="G1699:J1699" si="7810">SUM(G1695:G1698)</f>
        <v>0</v>
      </c>
      <c r="H1699" s="11">
        <f t="shared" si="7810"/>
        <v>0</v>
      </c>
      <c r="I1699" s="11">
        <f t="shared" si="7810"/>
        <v>0</v>
      </c>
      <c r="J1699" s="11">
        <f t="shared" si="7810"/>
        <v>0</v>
      </c>
      <c r="K1699" s="25">
        <f>SUM(K1695:K1698)</f>
        <v>0</v>
      </c>
      <c r="M1699" s="10">
        <f>SUM(M1695:M1698)</f>
        <v>0</v>
      </c>
      <c r="N1699" s="11">
        <f t="shared" ref="N1699:Q1699" si="7811">SUM(N1695:N1698)</f>
        <v>0</v>
      </c>
      <c r="O1699" s="11">
        <f t="shared" si="7811"/>
        <v>0</v>
      </c>
      <c r="P1699" s="11">
        <f t="shared" si="7811"/>
        <v>0</v>
      </c>
      <c r="Q1699" s="11">
        <f t="shared" si="7811"/>
        <v>0</v>
      </c>
      <c r="R1699" s="25">
        <f>SUM(R1695:R1698)</f>
        <v>0</v>
      </c>
      <c r="T1699" s="10">
        <f>SUM(T1695:T1698)</f>
        <v>0</v>
      </c>
      <c r="U1699" s="11">
        <f t="shared" ref="U1699:X1699" si="7812">SUM(U1695:U1698)</f>
        <v>0</v>
      </c>
      <c r="V1699" s="11">
        <f t="shared" si="7812"/>
        <v>0</v>
      </c>
      <c r="W1699" s="11">
        <f t="shared" si="7812"/>
        <v>0</v>
      </c>
      <c r="X1699" s="11">
        <f t="shared" si="7812"/>
        <v>0</v>
      </c>
      <c r="Y1699" s="25">
        <f>SUM(Y1695:Y1698)</f>
        <v>0</v>
      </c>
      <c r="AA1699" s="10">
        <f>SUM(AA1695:AA1698)</f>
        <v>0</v>
      </c>
      <c r="AB1699" s="11">
        <f t="shared" ref="AB1699:AE1699" si="7813">SUM(AB1695:AB1698)</f>
        <v>0</v>
      </c>
      <c r="AC1699" s="11">
        <f t="shared" si="7813"/>
        <v>0</v>
      </c>
      <c r="AD1699" s="11">
        <f t="shared" si="7813"/>
        <v>0</v>
      </c>
      <c r="AE1699" s="11">
        <f t="shared" si="7813"/>
        <v>0</v>
      </c>
      <c r="AF1699" s="25">
        <f>SUM(AF1695:AF1698)</f>
        <v>0</v>
      </c>
      <c r="AH1699" s="10">
        <f>SUM(AH1695:AH1698)</f>
        <v>0</v>
      </c>
      <c r="AI1699" s="11">
        <f t="shared" ref="AI1699:AL1699" si="7814">SUM(AI1695:AI1698)</f>
        <v>0</v>
      </c>
      <c r="AJ1699" s="11">
        <f t="shared" si="7814"/>
        <v>0</v>
      </c>
      <c r="AK1699" s="11">
        <f t="shared" si="7814"/>
        <v>0</v>
      </c>
      <c r="AL1699" s="11">
        <f t="shared" si="7814"/>
        <v>0</v>
      </c>
      <c r="AM1699" s="25">
        <f>SUM(AM1695:AM1698)</f>
        <v>0</v>
      </c>
      <c r="AO1699" s="10">
        <f>SUM(AO1695:AO1698)</f>
        <v>0</v>
      </c>
      <c r="AP1699" s="11">
        <f t="shared" ref="AP1699:AS1699" si="7815">SUM(AP1695:AP1698)</f>
        <v>0</v>
      </c>
      <c r="AQ1699" s="11">
        <f t="shared" si="7815"/>
        <v>0</v>
      </c>
      <c r="AR1699" s="11">
        <f t="shared" si="7815"/>
        <v>0</v>
      </c>
      <c r="AS1699" s="11">
        <f t="shared" si="7815"/>
        <v>0</v>
      </c>
      <c r="AT1699" s="25">
        <f>SUM(AT1695:AT1698)</f>
        <v>0</v>
      </c>
      <c r="AV1699" s="10">
        <f>SUM(AV1695:AV1698)</f>
        <v>0</v>
      </c>
      <c r="AW1699" s="11">
        <f t="shared" ref="AW1699:AZ1699" si="7816">SUM(AW1695:AW1698)</f>
        <v>0</v>
      </c>
      <c r="AX1699" s="11">
        <f t="shared" si="7816"/>
        <v>0</v>
      </c>
      <c r="AY1699" s="11">
        <f t="shared" si="7816"/>
        <v>0</v>
      </c>
      <c r="AZ1699" s="11">
        <f t="shared" si="7816"/>
        <v>0</v>
      </c>
      <c r="BA1699" s="25">
        <f>SUM(BA1695:BA1698)</f>
        <v>0</v>
      </c>
      <c r="BC1699" s="10">
        <f>SUM(BC1695:BC1698)</f>
        <v>0</v>
      </c>
      <c r="BD1699" s="11">
        <f t="shared" ref="BD1699:BG1699" si="7817">SUM(BD1695:BD1698)</f>
        <v>0</v>
      </c>
      <c r="BE1699" s="11">
        <f t="shared" si="7817"/>
        <v>0</v>
      </c>
      <c r="BF1699" s="11">
        <f t="shared" si="7817"/>
        <v>0</v>
      </c>
      <c r="BG1699" s="11">
        <f t="shared" si="7817"/>
        <v>0</v>
      </c>
      <c r="BH1699" s="25">
        <f>SUM(BH1695:BH1698)</f>
        <v>0</v>
      </c>
      <c r="BJ1699" s="10">
        <f>SUM(BJ1695:BJ1698)</f>
        <v>0</v>
      </c>
      <c r="BK1699" s="11">
        <f t="shared" ref="BK1699:BN1699" si="7818">SUM(BK1695:BK1698)</f>
        <v>0</v>
      </c>
      <c r="BL1699" s="11">
        <f t="shared" si="7818"/>
        <v>0</v>
      </c>
      <c r="BM1699" s="11">
        <f t="shared" si="7818"/>
        <v>0</v>
      </c>
      <c r="BN1699" s="11">
        <f t="shared" si="7818"/>
        <v>0</v>
      </c>
      <c r="BO1699" s="25">
        <f>SUM(BO1695:BO1698)</f>
        <v>0</v>
      </c>
      <c r="BQ1699" s="10">
        <f>SUM(BQ1695:BQ1698)</f>
        <v>0</v>
      </c>
      <c r="BR1699" s="11">
        <f t="shared" ref="BR1699:BU1699" si="7819">SUM(BR1695:BR1698)</f>
        <v>0</v>
      </c>
      <c r="BS1699" s="11">
        <f t="shared" si="7819"/>
        <v>0</v>
      </c>
      <c r="BT1699" s="11">
        <f t="shared" si="7819"/>
        <v>0</v>
      </c>
      <c r="BU1699" s="11">
        <f t="shared" si="7819"/>
        <v>0</v>
      </c>
      <c r="BV1699" s="25">
        <f>SUM(BV1695:BV1698)</f>
        <v>0</v>
      </c>
      <c r="BX1699" s="10">
        <f>SUM(BX1695:BX1698)</f>
        <v>0</v>
      </c>
      <c r="BY1699" s="11">
        <f t="shared" ref="BY1699:CB1699" si="7820">SUM(BY1695:BY1698)</f>
        <v>0</v>
      </c>
      <c r="BZ1699" s="11">
        <f t="shared" si="7820"/>
        <v>0</v>
      </c>
      <c r="CA1699" s="11">
        <f t="shared" si="7820"/>
        <v>0</v>
      </c>
      <c r="CB1699" s="11">
        <f t="shared" si="7820"/>
        <v>0</v>
      </c>
      <c r="CC1699" s="25">
        <f>SUM(CC1695:CC1698)</f>
        <v>0</v>
      </c>
      <c r="CE1699" s="62">
        <f t="shared" ref="CE1699:CJ1699" si="7821">SUM(CE1695:CE1698)</f>
        <v>0</v>
      </c>
      <c r="CF1699" s="63">
        <f t="shared" si="7821"/>
        <v>0</v>
      </c>
      <c r="CG1699" s="63">
        <f t="shared" si="7821"/>
        <v>0</v>
      </c>
      <c r="CH1699" s="63">
        <f t="shared" si="7821"/>
        <v>0</v>
      </c>
      <c r="CI1699" s="63">
        <f t="shared" si="7821"/>
        <v>0</v>
      </c>
      <c r="CJ1699" s="25">
        <f t="shared" si="7821"/>
        <v>0</v>
      </c>
      <c r="CL1699" s="10">
        <f>SUM(CL1695:CL1698)</f>
        <v>0</v>
      </c>
      <c r="CM1699" s="11">
        <f t="shared" ref="CM1699:CP1699" si="7822">SUM(CM1695:CM1698)</f>
        <v>0</v>
      </c>
      <c r="CN1699" s="11">
        <f t="shared" si="7822"/>
        <v>0</v>
      </c>
      <c r="CO1699" s="11">
        <f t="shared" si="7822"/>
        <v>0</v>
      </c>
      <c r="CP1699" s="11">
        <f t="shared" si="7822"/>
        <v>0</v>
      </c>
      <c r="CQ1699" s="25">
        <f>SUM(CQ1695:CQ1698)</f>
        <v>0</v>
      </c>
      <c r="CS1699" s="10">
        <f>SUM(CS1695:CS1698)</f>
        <v>0</v>
      </c>
      <c r="CT1699" s="11">
        <f t="shared" ref="CT1699:CW1699" si="7823">SUM(CT1695:CT1698)</f>
        <v>0</v>
      </c>
      <c r="CU1699" s="11">
        <f t="shared" si="7823"/>
        <v>0</v>
      </c>
      <c r="CV1699" s="11">
        <f t="shared" si="7823"/>
        <v>0</v>
      </c>
      <c r="CW1699" s="11">
        <f t="shared" si="7823"/>
        <v>0</v>
      </c>
      <c r="CX1699" s="25">
        <f>SUM(CX1695:CX1698)</f>
        <v>0</v>
      </c>
      <c r="CZ1699" s="10">
        <f>SUM(CZ1695:CZ1698)</f>
        <v>0</v>
      </c>
      <c r="DA1699" s="11">
        <f t="shared" ref="DA1699:DD1699" si="7824">SUM(DA1695:DA1698)</f>
        <v>0</v>
      </c>
      <c r="DB1699" s="11">
        <f t="shared" si="7824"/>
        <v>0</v>
      </c>
      <c r="DC1699" s="11">
        <f t="shared" si="7824"/>
        <v>0</v>
      </c>
      <c r="DD1699" s="11">
        <f t="shared" si="7824"/>
        <v>0</v>
      </c>
      <c r="DE1699" s="25">
        <f>SUM(DE1695:DE1698)</f>
        <v>0</v>
      </c>
    </row>
    <row r="1701" spans="2:109" ht="14" thickBot="1">
      <c r="B1701" s="123"/>
      <c r="C1701" s="20"/>
      <c r="D1701" s="20"/>
      <c r="E1701" s="20"/>
      <c r="F1701" s="20"/>
      <c r="G1701" s="20"/>
      <c r="H1701" s="20"/>
      <c r="I1701" s="20"/>
      <c r="J1701" s="20"/>
      <c r="K1701" s="20"/>
      <c r="L1701" s="20"/>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c r="BU1701" s="20"/>
      <c r="BV1701" s="20"/>
      <c r="BW1701" s="20"/>
      <c r="BX1701" s="20"/>
      <c r="BY1701" s="20"/>
      <c r="BZ1701" s="20"/>
      <c r="CA1701" s="20"/>
      <c r="CB1701" s="20"/>
      <c r="CC1701" s="20"/>
      <c r="CD1701" s="20"/>
      <c r="CE1701" s="20"/>
      <c r="CF1701" s="20"/>
      <c r="CG1701" s="20"/>
      <c r="CH1701" s="20"/>
      <c r="CI1701" s="20"/>
      <c r="CJ1701" s="20"/>
      <c r="CL1701" s="20"/>
      <c r="CM1701" s="20"/>
      <c r="CN1701" s="20"/>
      <c r="CO1701" s="20"/>
      <c r="CP1701" s="20"/>
      <c r="CQ1701" s="20"/>
      <c r="CR1701" s="20"/>
      <c r="CS1701" s="20"/>
      <c r="CT1701" s="20"/>
      <c r="CU1701" s="20"/>
      <c r="CV1701" s="20"/>
      <c r="CW1701" s="20"/>
      <c r="CX1701" s="20"/>
      <c r="CY1701" s="20"/>
      <c r="CZ1701" s="20"/>
      <c r="DA1701" s="20"/>
      <c r="DB1701" s="20"/>
      <c r="DC1701" s="20"/>
      <c r="DD1701" s="20"/>
      <c r="DE1701" s="20"/>
    </row>
    <row r="1702" spans="2:109" ht="14" thickBot="1">
      <c r="B1702" s="94">
        <v>54</v>
      </c>
      <c r="C1702" s="12" t="s">
        <v>115</v>
      </c>
      <c r="F1702" s="18"/>
      <c r="G1702" s="19"/>
      <c r="H1702" s="19"/>
      <c r="I1702" s="19"/>
      <c r="J1702" s="19"/>
      <c r="K1702" s="492"/>
    </row>
    <row r="1703" spans="2:109">
      <c r="C1703" s="553">
        <v>2024</v>
      </c>
      <c r="E1703" s="1" t="s">
        <v>59</v>
      </c>
      <c r="F1703" s="2"/>
      <c r="G1703" s="3"/>
      <c r="H1703" s="3"/>
      <c r="I1703" s="3"/>
      <c r="J1703" s="3"/>
      <c r="K1703" s="4">
        <f>SUM(F1703:J1703)</f>
        <v>0</v>
      </c>
      <c r="M1703" s="2"/>
      <c r="N1703" s="3"/>
      <c r="O1703" s="3"/>
      <c r="P1703" s="3"/>
      <c r="Q1703" s="3"/>
      <c r="R1703" s="4">
        <f>SUM(M1703:Q1703)</f>
        <v>0</v>
      </c>
      <c r="T1703" s="2"/>
      <c r="U1703" s="3"/>
      <c r="V1703" s="3"/>
      <c r="W1703" s="3"/>
      <c r="X1703" s="3"/>
      <c r="Y1703" s="4">
        <f>SUM(T1703:X1703)</f>
        <v>0</v>
      </c>
      <c r="AA1703" s="2"/>
      <c r="AB1703" s="3"/>
      <c r="AC1703" s="3"/>
      <c r="AD1703" s="3"/>
      <c r="AE1703" s="3"/>
      <c r="AF1703" s="4">
        <f>SUM(AA1703:AE1703)</f>
        <v>0</v>
      </c>
      <c r="AH1703" s="2"/>
      <c r="AI1703" s="3"/>
      <c r="AJ1703" s="3"/>
      <c r="AK1703" s="3"/>
      <c r="AL1703" s="3"/>
      <c r="AM1703" s="4">
        <f>SUM(AH1703:AL1703)</f>
        <v>0</v>
      </c>
      <c r="AO1703" s="2"/>
      <c r="AP1703" s="3"/>
      <c r="AQ1703" s="3"/>
      <c r="AR1703" s="3"/>
      <c r="AS1703" s="3"/>
      <c r="AT1703" s="4">
        <f>SUM(AO1703:AS1703)</f>
        <v>0</v>
      </c>
      <c r="AV1703" s="2"/>
      <c r="AW1703" s="3"/>
      <c r="AX1703" s="3"/>
      <c r="AY1703" s="3"/>
      <c r="AZ1703" s="3"/>
      <c r="BA1703" s="4">
        <f>SUM(AV1703:AZ1703)</f>
        <v>0</v>
      </c>
      <c r="BC1703" s="2"/>
      <c r="BD1703" s="3"/>
      <c r="BE1703" s="3"/>
      <c r="BF1703" s="3"/>
      <c r="BG1703" s="3"/>
      <c r="BH1703" s="4">
        <f>SUM(BC1703:BG1703)</f>
        <v>0</v>
      </c>
      <c r="BJ1703" s="2"/>
      <c r="BK1703" s="3"/>
      <c r="BL1703" s="3"/>
      <c r="BM1703" s="3"/>
      <c r="BN1703" s="3"/>
      <c r="BO1703" s="4">
        <f>SUM(BJ1703:BN1703)</f>
        <v>0</v>
      </c>
      <c r="BQ1703" s="2"/>
      <c r="BR1703" s="3"/>
      <c r="BS1703" s="3"/>
      <c r="BT1703" s="3"/>
      <c r="BU1703" s="3"/>
      <c r="BV1703" s="4">
        <f>SUM(BQ1703:BU1703)</f>
        <v>0</v>
      </c>
      <c r="BX1703" s="2"/>
      <c r="BY1703" s="3"/>
      <c r="BZ1703" s="3"/>
      <c r="CA1703" s="3"/>
      <c r="CB1703" s="3"/>
      <c r="CC1703" s="4">
        <f>SUM(BX1703:CB1703)</f>
        <v>0</v>
      </c>
      <c r="CE1703" s="26">
        <f t="shared" ref="CE1703:CE1706" si="7825">F1703+M1703+T1703+AA1703+AH1703+AO1703+AV1703+BC1703+BJ1703+BQ1703+BX1703</f>
        <v>0</v>
      </c>
      <c r="CF1703" s="27">
        <f t="shared" ref="CF1703:CF1706" si="7826">G1703+N1703+U1703+AB1703+AI1703+AP1703+AW1703+BD1703+BK1703+BR1703+BY1703</f>
        <v>0</v>
      </c>
      <c r="CG1703" s="27">
        <f t="shared" ref="CG1703:CG1706" si="7827">H1703+O1703+V1703+AC1703+AJ1703+AQ1703+AX1703+BE1703+BL1703+BS1703+BZ1703</f>
        <v>0</v>
      </c>
      <c r="CH1703" s="27">
        <f t="shared" ref="CH1703:CH1706" si="7828">I1703+P1703+W1703+AD1703+AK1703+AR1703+AY1703+BF1703+BM1703+BT1703+CA1703</f>
        <v>0</v>
      </c>
      <c r="CI1703" s="27">
        <f t="shared" ref="CI1703:CI1706" si="7829">J1703+Q1703+X1703+AE1703+AL1703+AS1703+AZ1703+BG1703+BN1703+BU1703+CB1703</f>
        <v>0</v>
      </c>
      <c r="CJ1703" s="4">
        <f>SUM(CE1703:CI1703)</f>
        <v>0</v>
      </c>
      <c r="CL1703" s="2"/>
      <c r="CM1703" s="3"/>
      <c r="CN1703" s="3"/>
      <c r="CO1703" s="3"/>
      <c r="CP1703" s="3"/>
      <c r="CQ1703" s="4">
        <f>SUM(CL1703:CP1703)</f>
        <v>0</v>
      </c>
      <c r="CS1703" s="2"/>
      <c r="CT1703" s="3"/>
      <c r="CU1703" s="3"/>
      <c r="CV1703" s="3"/>
      <c r="CW1703" s="3"/>
      <c r="CX1703" s="4">
        <f>SUM(CS1703:CW1703)</f>
        <v>0</v>
      </c>
      <c r="CZ1703" s="2"/>
      <c r="DA1703" s="3"/>
      <c r="DB1703" s="3"/>
      <c r="DC1703" s="3"/>
      <c r="DD1703" s="3"/>
      <c r="DE1703" s="4">
        <f>SUM(CZ1703:DD1703)</f>
        <v>0</v>
      </c>
    </row>
    <row r="1704" spans="2:109">
      <c r="C1704" s="567"/>
      <c r="E1704" s="5" t="s">
        <v>60</v>
      </c>
      <c r="F1704" s="6"/>
      <c r="G1704" s="7"/>
      <c r="H1704" s="7"/>
      <c r="I1704" s="7"/>
      <c r="J1704" s="7"/>
      <c r="K1704" s="8">
        <f t="shared" ref="K1704:K1706" si="7830">SUM(F1704:J1704)</f>
        <v>0</v>
      </c>
      <c r="M1704" s="6"/>
      <c r="N1704" s="7"/>
      <c r="O1704" s="7"/>
      <c r="P1704" s="7"/>
      <c r="Q1704" s="7"/>
      <c r="R1704" s="8">
        <f t="shared" ref="R1704:R1706" si="7831">SUM(M1704:Q1704)</f>
        <v>0</v>
      </c>
      <c r="T1704" s="6"/>
      <c r="U1704" s="7"/>
      <c r="V1704" s="7"/>
      <c r="W1704" s="7"/>
      <c r="X1704" s="7"/>
      <c r="Y1704" s="8">
        <f t="shared" ref="Y1704:Y1706" si="7832">SUM(T1704:X1704)</f>
        <v>0</v>
      </c>
      <c r="AA1704" s="6"/>
      <c r="AB1704" s="7"/>
      <c r="AC1704" s="7"/>
      <c r="AD1704" s="7"/>
      <c r="AE1704" s="7"/>
      <c r="AF1704" s="8">
        <f>SUM(AA1704:AE1704)</f>
        <v>0</v>
      </c>
      <c r="AH1704" s="6"/>
      <c r="AI1704" s="7"/>
      <c r="AJ1704" s="7"/>
      <c r="AK1704" s="7"/>
      <c r="AL1704" s="7"/>
      <c r="AM1704" s="8">
        <f>SUM(AH1704:AL1704)</f>
        <v>0</v>
      </c>
      <c r="AO1704" s="6"/>
      <c r="AP1704" s="7"/>
      <c r="AQ1704" s="7"/>
      <c r="AR1704" s="7"/>
      <c r="AS1704" s="7"/>
      <c r="AT1704" s="8">
        <f>SUM(AO1704:AS1704)</f>
        <v>0</v>
      </c>
      <c r="AV1704" s="6"/>
      <c r="AW1704" s="7"/>
      <c r="AX1704" s="7"/>
      <c r="AY1704" s="7"/>
      <c r="AZ1704" s="7"/>
      <c r="BA1704" s="8">
        <f>SUM(AV1704:AZ1704)</f>
        <v>0</v>
      </c>
      <c r="BC1704" s="6"/>
      <c r="BD1704" s="7"/>
      <c r="BE1704" s="7"/>
      <c r="BF1704" s="7"/>
      <c r="BG1704" s="7"/>
      <c r="BH1704" s="8">
        <f>SUM(BC1704:BG1704)</f>
        <v>0</v>
      </c>
      <c r="BJ1704" s="6"/>
      <c r="BK1704" s="7"/>
      <c r="BL1704" s="7"/>
      <c r="BM1704" s="7"/>
      <c r="BN1704" s="7"/>
      <c r="BO1704" s="8">
        <f>SUM(BJ1704:BN1704)</f>
        <v>0</v>
      </c>
      <c r="BQ1704" s="6"/>
      <c r="BR1704" s="7"/>
      <c r="BS1704" s="7"/>
      <c r="BT1704" s="7"/>
      <c r="BU1704" s="7"/>
      <c r="BV1704" s="8">
        <f>SUM(BQ1704:BU1704)</f>
        <v>0</v>
      </c>
      <c r="BX1704" s="6"/>
      <c r="BY1704" s="7"/>
      <c r="BZ1704" s="7"/>
      <c r="CA1704" s="7"/>
      <c r="CB1704" s="7"/>
      <c r="CC1704" s="8">
        <f>SUM(BX1704:CB1704)</f>
        <v>0</v>
      </c>
      <c r="CE1704" s="28">
        <f t="shared" si="7825"/>
        <v>0</v>
      </c>
      <c r="CF1704" s="29">
        <f t="shared" si="7826"/>
        <v>0</v>
      </c>
      <c r="CG1704" s="29">
        <f t="shared" si="7827"/>
        <v>0</v>
      </c>
      <c r="CH1704" s="29">
        <f t="shared" si="7828"/>
        <v>0</v>
      </c>
      <c r="CI1704" s="29">
        <f t="shared" si="7829"/>
        <v>0</v>
      </c>
      <c r="CJ1704" s="8">
        <f>SUM(CE1704:CI1704)</f>
        <v>0</v>
      </c>
      <c r="CL1704" s="6"/>
      <c r="CM1704" s="7"/>
      <c r="CN1704" s="7"/>
      <c r="CO1704" s="7"/>
      <c r="CP1704" s="7"/>
      <c r="CQ1704" s="8">
        <f>SUM(CL1704:CP1704)</f>
        <v>0</v>
      </c>
      <c r="CS1704" s="6"/>
      <c r="CT1704" s="7"/>
      <c r="CU1704" s="7"/>
      <c r="CV1704" s="7"/>
      <c r="CW1704" s="7"/>
      <c r="CX1704" s="8">
        <f t="shared" ref="CX1704:CX1706" si="7833">SUM(CS1704:CW1704)</f>
        <v>0</v>
      </c>
      <c r="CZ1704" s="6"/>
      <c r="DA1704" s="7"/>
      <c r="DB1704" s="7"/>
      <c r="DC1704" s="7"/>
      <c r="DD1704" s="7"/>
      <c r="DE1704" s="8">
        <f t="shared" ref="DE1704:DE1706" si="7834">SUM(CZ1704:DD1704)</f>
        <v>0</v>
      </c>
    </row>
    <row r="1705" spans="2:109">
      <c r="C1705" s="567"/>
      <c r="E1705" s="5" t="s">
        <v>61</v>
      </c>
      <c r="F1705" s="6"/>
      <c r="G1705" s="7"/>
      <c r="H1705" s="7"/>
      <c r="I1705" s="7"/>
      <c r="J1705" s="7"/>
      <c r="K1705" s="8">
        <f t="shared" si="7830"/>
        <v>0</v>
      </c>
      <c r="M1705" s="6"/>
      <c r="N1705" s="7"/>
      <c r="O1705" s="7"/>
      <c r="P1705" s="7"/>
      <c r="Q1705" s="7"/>
      <c r="R1705" s="8">
        <f t="shared" si="7831"/>
        <v>0</v>
      </c>
      <c r="T1705" s="6"/>
      <c r="U1705" s="7"/>
      <c r="V1705" s="7"/>
      <c r="W1705" s="7"/>
      <c r="X1705" s="7"/>
      <c r="Y1705" s="8">
        <f t="shared" si="7832"/>
        <v>0</v>
      </c>
      <c r="AA1705" s="6"/>
      <c r="AB1705" s="7"/>
      <c r="AC1705" s="7"/>
      <c r="AD1705" s="7"/>
      <c r="AE1705" s="7"/>
      <c r="AF1705" s="8">
        <f>SUM(AA1705:AE1705)</f>
        <v>0</v>
      </c>
      <c r="AH1705" s="6"/>
      <c r="AI1705" s="7"/>
      <c r="AJ1705" s="7"/>
      <c r="AK1705" s="7"/>
      <c r="AL1705" s="7"/>
      <c r="AM1705" s="8">
        <f>SUM(AH1705:AL1705)</f>
        <v>0</v>
      </c>
      <c r="AO1705" s="6"/>
      <c r="AP1705" s="7"/>
      <c r="AQ1705" s="7"/>
      <c r="AR1705" s="7"/>
      <c r="AS1705" s="7"/>
      <c r="AT1705" s="8">
        <f>SUM(AO1705:AS1705)</f>
        <v>0</v>
      </c>
      <c r="AV1705" s="6"/>
      <c r="AW1705" s="7"/>
      <c r="AX1705" s="7"/>
      <c r="AY1705" s="7"/>
      <c r="AZ1705" s="7"/>
      <c r="BA1705" s="8">
        <f>SUM(AV1705:AZ1705)</f>
        <v>0</v>
      </c>
      <c r="BC1705" s="6"/>
      <c r="BD1705" s="7"/>
      <c r="BE1705" s="7"/>
      <c r="BF1705" s="7"/>
      <c r="BG1705" s="7"/>
      <c r="BH1705" s="8">
        <f>SUM(BC1705:BG1705)</f>
        <v>0</v>
      </c>
      <c r="BJ1705" s="6"/>
      <c r="BK1705" s="7"/>
      <c r="BL1705" s="7"/>
      <c r="BM1705" s="7"/>
      <c r="BN1705" s="7"/>
      <c r="BO1705" s="8">
        <f>SUM(BJ1705:BN1705)</f>
        <v>0</v>
      </c>
      <c r="BQ1705" s="6"/>
      <c r="BR1705" s="7"/>
      <c r="BS1705" s="7"/>
      <c r="BT1705" s="7"/>
      <c r="BU1705" s="7"/>
      <c r="BV1705" s="8">
        <f>SUM(BQ1705:BU1705)</f>
        <v>0</v>
      </c>
      <c r="BX1705" s="6"/>
      <c r="BY1705" s="7"/>
      <c r="BZ1705" s="7"/>
      <c r="CA1705" s="7"/>
      <c r="CB1705" s="7"/>
      <c r="CC1705" s="8">
        <f>SUM(BX1705:CB1705)</f>
        <v>0</v>
      </c>
      <c r="CE1705" s="28">
        <f t="shared" si="7825"/>
        <v>0</v>
      </c>
      <c r="CF1705" s="29">
        <f t="shared" si="7826"/>
        <v>0</v>
      </c>
      <c r="CG1705" s="29">
        <f t="shared" si="7827"/>
        <v>0</v>
      </c>
      <c r="CH1705" s="29">
        <f t="shared" si="7828"/>
        <v>0</v>
      </c>
      <c r="CI1705" s="29">
        <f t="shared" si="7829"/>
        <v>0</v>
      </c>
      <c r="CJ1705" s="8">
        <f>SUM(CE1705:CI1705)</f>
        <v>0</v>
      </c>
      <c r="CL1705" s="6"/>
      <c r="CM1705" s="7"/>
      <c r="CN1705" s="7"/>
      <c r="CO1705" s="7"/>
      <c r="CP1705" s="7"/>
      <c r="CQ1705" s="8">
        <f>SUM(CL1705:CP1705)</f>
        <v>0</v>
      </c>
      <c r="CS1705" s="6"/>
      <c r="CT1705" s="7"/>
      <c r="CU1705" s="7"/>
      <c r="CV1705" s="7"/>
      <c r="CW1705" s="7"/>
      <c r="CX1705" s="8">
        <f t="shared" si="7833"/>
        <v>0</v>
      </c>
      <c r="CZ1705" s="6"/>
      <c r="DA1705" s="7"/>
      <c r="DB1705" s="7"/>
      <c r="DC1705" s="7"/>
      <c r="DD1705" s="7"/>
      <c r="DE1705" s="8">
        <f t="shared" si="7834"/>
        <v>0</v>
      </c>
    </row>
    <row r="1706" spans="2:109" ht="14" thickBot="1">
      <c r="C1706" s="567"/>
      <c r="E1706" s="5" t="s">
        <v>62</v>
      </c>
      <c r="F1706" s="6"/>
      <c r="G1706" s="7"/>
      <c r="H1706" s="7"/>
      <c r="I1706" s="7"/>
      <c r="J1706" s="7"/>
      <c r="K1706" s="8">
        <f t="shared" si="7830"/>
        <v>0</v>
      </c>
      <c r="M1706" s="6"/>
      <c r="N1706" s="7"/>
      <c r="O1706" s="7"/>
      <c r="P1706" s="7"/>
      <c r="Q1706" s="7"/>
      <c r="R1706" s="8">
        <f t="shared" si="7831"/>
        <v>0</v>
      </c>
      <c r="T1706" s="6"/>
      <c r="U1706" s="7"/>
      <c r="V1706" s="7"/>
      <c r="W1706" s="7"/>
      <c r="X1706" s="7"/>
      <c r="Y1706" s="8">
        <f t="shared" si="7832"/>
        <v>0</v>
      </c>
      <c r="AA1706" s="6"/>
      <c r="AB1706" s="7"/>
      <c r="AC1706" s="7"/>
      <c r="AD1706" s="7"/>
      <c r="AE1706" s="7"/>
      <c r="AF1706" s="8">
        <f>SUM(AA1706:AE1706)</f>
        <v>0</v>
      </c>
      <c r="AH1706" s="6"/>
      <c r="AI1706" s="7"/>
      <c r="AJ1706" s="7"/>
      <c r="AK1706" s="7"/>
      <c r="AL1706" s="7"/>
      <c r="AM1706" s="8">
        <f>SUM(AH1706:AL1706)</f>
        <v>0</v>
      </c>
      <c r="AO1706" s="6"/>
      <c r="AP1706" s="7"/>
      <c r="AQ1706" s="7"/>
      <c r="AR1706" s="7"/>
      <c r="AS1706" s="7"/>
      <c r="AT1706" s="8">
        <f>SUM(AO1706:AS1706)</f>
        <v>0</v>
      </c>
      <c r="AV1706" s="6"/>
      <c r="AW1706" s="7"/>
      <c r="AX1706" s="7"/>
      <c r="AY1706" s="7"/>
      <c r="AZ1706" s="7"/>
      <c r="BA1706" s="8">
        <f>SUM(AV1706:AZ1706)</f>
        <v>0</v>
      </c>
      <c r="BC1706" s="6"/>
      <c r="BD1706" s="7"/>
      <c r="BE1706" s="7"/>
      <c r="BF1706" s="7"/>
      <c r="BG1706" s="7"/>
      <c r="BH1706" s="8">
        <f>SUM(BC1706:BG1706)</f>
        <v>0</v>
      </c>
      <c r="BJ1706" s="6"/>
      <c r="BK1706" s="7"/>
      <c r="BL1706" s="7"/>
      <c r="BM1706" s="7"/>
      <c r="BN1706" s="7"/>
      <c r="BO1706" s="8">
        <f>SUM(BJ1706:BN1706)</f>
        <v>0</v>
      </c>
      <c r="BQ1706" s="6"/>
      <c r="BR1706" s="7"/>
      <c r="BS1706" s="7"/>
      <c r="BT1706" s="7"/>
      <c r="BU1706" s="7"/>
      <c r="BV1706" s="8">
        <f>SUM(BQ1706:BU1706)</f>
        <v>0</v>
      </c>
      <c r="BX1706" s="6"/>
      <c r="BY1706" s="7"/>
      <c r="BZ1706" s="7"/>
      <c r="CA1706" s="7"/>
      <c r="CB1706" s="7"/>
      <c r="CC1706" s="8">
        <f>SUM(BX1706:CB1706)</f>
        <v>0</v>
      </c>
      <c r="CE1706" s="493">
        <f t="shared" si="7825"/>
        <v>0</v>
      </c>
      <c r="CF1706" s="494">
        <f t="shared" si="7826"/>
        <v>0</v>
      </c>
      <c r="CG1706" s="494">
        <f t="shared" si="7827"/>
        <v>0</v>
      </c>
      <c r="CH1706" s="494">
        <f t="shared" si="7828"/>
        <v>0</v>
      </c>
      <c r="CI1706" s="494">
        <f t="shared" si="7829"/>
        <v>0</v>
      </c>
      <c r="CJ1706" s="495">
        <f>SUM(CE1706:CI1706)</f>
        <v>0</v>
      </c>
      <c r="CL1706" s="6"/>
      <c r="CM1706" s="7"/>
      <c r="CN1706" s="7"/>
      <c r="CO1706" s="7"/>
      <c r="CP1706" s="7"/>
      <c r="CQ1706" s="8">
        <f>SUM(CL1706:CP1706)</f>
        <v>0</v>
      </c>
      <c r="CS1706" s="6"/>
      <c r="CT1706" s="7"/>
      <c r="CU1706" s="7"/>
      <c r="CV1706" s="7"/>
      <c r="CW1706" s="7"/>
      <c r="CX1706" s="8">
        <f t="shared" si="7833"/>
        <v>0</v>
      </c>
      <c r="CZ1706" s="6"/>
      <c r="DA1706" s="7"/>
      <c r="DB1706" s="7"/>
      <c r="DC1706" s="7"/>
      <c r="DD1706" s="7"/>
      <c r="DE1706" s="8">
        <f t="shared" si="7834"/>
        <v>0</v>
      </c>
    </row>
    <row r="1707" spans="2:109" ht="14" thickBot="1">
      <c r="C1707" s="554"/>
      <c r="E1707" s="9"/>
      <c r="F1707" s="10">
        <f>SUM(F1703:F1706)</f>
        <v>0</v>
      </c>
      <c r="G1707" s="11">
        <f t="shared" ref="G1707:J1707" si="7835">SUM(G1703:G1706)</f>
        <v>0</v>
      </c>
      <c r="H1707" s="11">
        <f t="shared" si="7835"/>
        <v>0</v>
      </c>
      <c r="I1707" s="11">
        <f t="shared" si="7835"/>
        <v>0</v>
      </c>
      <c r="J1707" s="61">
        <f t="shared" si="7835"/>
        <v>0</v>
      </c>
      <c r="K1707" s="25">
        <f>SUM(K1703:K1706)</f>
        <v>0</v>
      </c>
      <c r="M1707" s="10">
        <f>SUM(M1703:M1706)</f>
        <v>0</v>
      </c>
      <c r="N1707" s="11">
        <f t="shared" ref="N1707:Q1707" si="7836">SUM(N1703:N1706)</f>
        <v>0</v>
      </c>
      <c r="O1707" s="11">
        <f t="shared" si="7836"/>
        <v>0</v>
      </c>
      <c r="P1707" s="11">
        <f t="shared" si="7836"/>
        <v>0</v>
      </c>
      <c r="Q1707" s="11">
        <f t="shared" si="7836"/>
        <v>0</v>
      </c>
      <c r="R1707" s="25">
        <f>SUM(R1703:R1706)</f>
        <v>0</v>
      </c>
      <c r="T1707" s="10">
        <f>SUM(T1703:T1706)</f>
        <v>0</v>
      </c>
      <c r="U1707" s="11">
        <f t="shared" ref="U1707:X1707" si="7837">SUM(U1703:U1706)</f>
        <v>0</v>
      </c>
      <c r="V1707" s="11">
        <f t="shared" si="7837"/>
        <v>0</v>
      </c>
      <c r="W1707" s="11">
        <f t="shared" si="7837"/>
        <v>0</v>
      </c>
      <c r="X1707" s="11">
        <f t="shared" si="7837"/>
        <v>0</v>
      </c>
      <c r="Y1707" s="25">
        <f>SUM(Y1703:Y1706)</f>
        <v>0</v>
      </c>
      <c r="AA1707" s="10">
        <f>SUM(AA1703:AA1706)</f>
        <v>0</v>
      </c>
      <c r="AB1707" s="11">
        <f t="shared" ref="AB1707:AE1707" si="7838">SUM(AB1703:AB1706)</f>
        <v>0</v>
      </c>
      <c r="AC1707" s="11">
        <f t="shared" si="7838"/>
        <v>0</v>
      </c>
      <c r="AD1707" s="11">
        <f t="shared" si="7838"/>
        <v>0</v>
      </c>
      <c r="AE1707" s="11">
        <f t="shared" si="7838"/>
        <v>0</v>
      </c>
      <c r="AF1707" s="25">
        <f>SUM(AF1703:AF1706)</f>
        <v>0</v>
      </c>
      <c r="AH1707" s="10">
        <f>SUM(AH1703:AH1706)</f>
        <v>0</v>
      </c>
      <c r="AI1707" s="11">
        <f t="shared" ref="AI1707:AL1707" si="7839">SUM(AI1703:AI1706)</f>
        <v>0</v>
      </c>
      <c r="AJ1707" s="11">
        <f t="shared" si="7839"/>
        <v>0</v>
      </c>
      <c r="AK1707" s="11">
        <f t="shared" si="7839"/>
        <v>0</v>
      </c>
      <c r="AL1707" s="11">
        <f t="shared" si="7839"/>
        <v>0</v>
      </c>
      <c r="AM1707" s="25">
        <f>SUM(AM1703:AM1706)</f>
        <v>0</v>
      </c>
      <c r="AO1707" s="10">
        <f>SUM(AO1703:AO1706)</f>
        <v>0</v>
      </c>
      <c r="AP1707" s="11">
        <f t="shared" ref="AP1707:AS1707" si="7840">SUM(AP1703:AP1706)</f>
        <v>0</v>
      </c>
      <c r="AQ1707" s="11">
        <f t="shared" si="7840"/>
        <v>0</v>
      </c>
      <c r="AR1707" s="11">
        <f t="shared" si="7840"/>
        <v>0</v>
      </c>
      <c r="AS1707" s="11">
        <f t="shared" si="7840"/>
        <v>0</v>
      </c>
      <c r="AT1707" s="25">
        <f>SUM(AT1703:AT1706)</f>
        <v>0</v>
      </c>
      <c r="AV1707" s="10">
        <f>SUM(AV1703:AV1706)</f>
        <v>0</v>
      </c>
      <c r="AW1707" s="11">
        <f t="shared" ref="AW1707:AZ1707" si="7841">SUM(AW1703:AW1706)</f>
        <v>0</v>
      </c>
      <c r="AX1707" s="11">
        <f t="shared" si="7841"/>
        <v>0</v>
      </c>
      <c r="AY1707" s="11">
        <f t="shared" si="7841"/>
        <v>0</v>
      </c>
      <c r="AZ1707" s="11">
        <f t="shared" si="7841"/>
        <v>0</v>
      </c>
      <c r="BA1707" s="25">
        <f>SUM(BA1703:BA1706)</f>
        <v>0</v>
      </c>
      <c r="BC1707" s="10">
        <f>SUM(BC1703:BC1706)</f>
        <v>0</v>
      </c>
      <c r="BD1707" s="11">
        <f t="shared" ref="BD1707:BG1707" si="7842">SUM(BD1703:BD1706)</f>
        <v>0</v>
      </c>
      <c r="BE1707" s="11">
        <f t="shared" si="7842"/>
        <v>0</v>
      </c>
      <c r="BF1707" s="11">
        <f t="shared" si="7842"/>
        <v>0</v>
      </c>
      <c r="BG1707" s="11">
        <f t="shared" si="7842"/>
        <v>0</v>
      </c>
      <c r="BH1707" s="25">
        <f>SUM(BH1703:BH1706)</f>
        <v>0</v>
      </c>
      <c r="BJ1707" s="10">
        <f>SUM(BJ1703:BJ1706)</f>
        <v>0</v>
      </c>
      <c r="BK1707" s="11">
        <f t="shared" ref="BK1707:BN1707" si="7843">SUM(BK1703:BK1706)</f>
        <v>0</v>
      </c>
      <c r="BL1707" s="11">
        <f t="shared" si="7843"/>
        <v>0</v>
      </c>
      <c r="BM1707" s="11">
        <f t="shared" si="7843"/>
        <v>0</v>
      </c>
      <c r="BN1707" s="11">
        <f t="shared" si="7843"/>
        <v>0</v>
      </c>
      <c r="BO1707" s="25">
        <f>SUM(BO1703:BO1706)</f>
        <v>0</v>
      </c>
      <c r="BQ1707" s="10">
        <f>SUM(BQ1703:BQ1706)</f>
        <v>0</v>
      </c>
      <c r="BR1707" s="11">
        <f t="shared" ref="BR1707:BU1707" si="7844">SUM(BR1703:BR1706)</f>
        <v>0</v>
      </c>
      <c r="BS1707" s="11">
        <f t="shared" si="7844"/>
        <v>0</v>
      </c>
      <c r="BT1707" s="11">
        <f t="shared" si="7844"/>
        <v>0</v>
      </c>
      <c r="BU1707" s="11">
        <f t="shared" si="7844"/>
        <v>0</v>
      </c>
      <c r="BV1707" s="25">
        <f>SUM(BV1703:BV1706)</f>
        <v>0</v>
      </c>
      <c r="BX1707" s="10">
        <f>SUM(BX1703:BX1706)</f>
        <v>0</v>
      </c>
      <c r="BY1707" s="11">
        <f t="shared" ref="BY1707:CB1707" si="7845">SUM(BY1703:BY1706)</f>
        <v>0</v>
      </c>
      <c r="BZ1707" s="11">
        <f t="shared" si="7845"/>
        <v>0</v>
      </c>
      <c r="CA1707" s="11">
        <f t="shared" si="7845"/>
        <v>0</v>
      </c>
      <c r="CB1707" s="11">
        <f t="shared" si="7845"/>
        <v>0</v>
      </c>
      <c r="CC1707" s="25">
        <f>SUM(CC1703:CC1706)</f>
        <v>0</v>
      </c>
      <c r="CE1707" s="62">
        <f t="shared" ref="CE1707:CJ1707" si="7846">SUM(CE1703:CE1706)</f>
        <v>0</v>
      </c>
      <c r="CF1707" s="63">
        <f t="shared" si="7846"/>
        <v>0</v>
      </c>
      <c r="CG1707" s="63">
        <f t="shared" si="7846"/>
        <v>0</v>
      </c>
      <c r="CH1707" s="63">
        <f t="shared" si="7846"/>
        <v>0</v>
      </c>
      <c r="CI1707" s="63">
        <f t="shared" si="7846"/>
        <v>0</v>
      </c>
      <c r="CJ1707" s="25">
        <f t="shared" si="7846"/>
        <v>0</v>
      </c>
      <c r="CL1707" s="10">
        <f>SUM(CL1703:CL1706)</f>
        <v>0</v>
      </c>
      <c r="CM1707" s="11">
        <f t="shared" ref="CM1707:CP1707" si="7847">SUM(CM1703:CM1706)</f>
        <v>0</v>
      </c>
      <c r="CN1707" s="11">
        <f t="shared" si="7847"/>
        <v>0</v>
      </c>
      <c r="CO1707" s="11">
        <f t="shared" si="7847"/>
        <v>0</v>
      </c>
      <c r="CP1707" s="11">
        <f t="shared" si="7847"/>
        <v>0</v>
      </c>
      <c r="CQ1707" s="25">
        <f>SUM(CQ1703:CQ1706)</f>
        <v>0</v>
      </c>
      <c r="CS1707" s="10">
        <f>SUM(CS1703:CS1706)</f>
        <v>0</v>
      </c>
      <c r="CT1707" s="11">
        <f t="shared" ref="CT1707:CW1707" si="7848">SUM(CT1703:CT1706)</f>
        <v>0</v>
      </c>
      <c r="CU1707" s="11">
        <f t="shared" si="7848"/>
        <v>0</v>
      </c>
      <c r="CV1707" s="11">
        <f t="shared" si="7848"/>
        <v>0</v>
      </c>
      <c r="CW1707" s="11">
        <f t="shared" si="7848"/>
        <v>0</v>
      </c>
      <c r="CX1707" s="25">
        <f>SUM(CX1703:CX1706)</f>
        <v>0</v>
      </c>
      <c r="CZ1707" s="10">
        <f>SUM(CZ1703:CZ1706)</f>
        <v>0</v>
      </c>
      <c r="DA1707" s="11">
        <f t="shared" ref="DA1707:DD1707" si="7849">SUM(DA1703:DA1706)</f>
        <v>0</v>
      </c>
      <c r="DB1707" s="11">
        <f t="shared" si="7849"/>
        <v>0</v>
      </c>
      <c r="DC1707" s="11">
        <f t="shared" si="7849"/>
        <v>0</v>
      </c>
      <c r="DD1707" s="11">
        <f t="shared" si="7849"/>
        <v>0</v>
      </c>
      <c r="DE1707" s="25">
        <f>SUM(DE1703:DE1706)</f>
        <v>0</v>
      </c>
    </row>
    <row r="1708" spans="2:109" ht="10.4" customHeight="1" thickBot="1"/>
    <row r="1709" spans="2:109">
      <c r="C1709" s="553">
        <v>2025</v>
      </c>
      <c r="E1709" s="13" t="s">
        <v>59</v>
      </c>
      <c r="F1709" s="21">
        <f>CE1703</f>
        <v>0</v>
      </c>
      <c r="G1709" s="22">
        <f t="shared" ref="G1709:G1712" si="7850">CF1703</f>
        <v>0</v>
      </c>
      <c r="H1709" s="22">
        <f t="shared" ref="H1709:H1712" si="7851">CG1703</f>
        <v>0</v>
      </c>
      <c r="I1709" s="22">
        <f t="shared" ref="I1709:I1712" si="7852">CH1703</f>
        <v>0</v>
      </c>
      <c r="J1709" s="22">
        <f t="shared" ref="J1709:J1712" si="7853">CI1703</f>
        <v>0</v>
      </c>
      <c r="K1709" s="15">
        <f>SUM(F1709:J1709)</f>
        <v>0</v>
      </c>
      <c r="M1709" s="2"/>
      <c r="N1709" s="3"/>
      <c r="O1709" s="3"/>
      <c r="P1709" s="3"/>
      <c r="Q1709" s="3"/>
      <c r="R1709" s="15">
        <f>SUM(M1709:Q1709)</f>
        <v>0</v>
      </c>
      <c r="T1709" s="2"/>
      <c r="U1709" s="3"/>
      <c r="V1709" s="3"/>
      <c r="W1709" s="3"/>
      <c r="X1709" s="3"/>
      <c r="Y1709" s="15">
        <f>SUM(T1709:X1709)</f>
        <v>0</v>
      </c>
      <c r="AA1709" s="2"/>
      <c r="AB1709" s="3"/>
      <c r="AC1709" s="3"/>
      <c r="AD1709" s="3"/>
      <c r="AE1709" s="3"/>
      <c r="AF1709" s="15">
        <f>SUM(AA1709:AE1709)</f>
        <v>0</v>
      </c>
      <c r="AH1709" s="2"/>
      <c r="AI1709" s="3"/>
      <c r="AJ1709" s="3"/>
      <c r="AK1709" s="3"/>
      <c r="AL1709" s="3"/>
      <c r="AM1709" s="15">
        <f>SUM(AH1709:AL1709)</f>
        <v>0</v>
      </c>
      <c r="AO1709" s="2"/>
      <c r="AP1709" s="3"/>
      <c r="AQ1709" s="3"/>
      <c r="AR1709" s="3"/>
      <c r="AS1709" s="3"/>
      <c r="AT1709" s="15">
        <f>SUM(AO1709:AS1709)</f>
        <v>0</v>
      </c>
      <c r="AV1709" s="2"/>
      <c r="AW1709" s="3"/>
      <c r="AX1709" s="3"/>
      <c r="AY1709" s="3"/>
      <c r="AZ1709" s="3"/>
      <c r="BA1709" s="15">
        <f>SUM(AV1709:AZ1709)</f>
        <v>0</v>
      </c>
      <c r="BC1709" s="2"/>
      <c r="BD1709" s="3"/>
      <c r="BE1709" s="3"/>
      <c r="BF1709" s="3"/>
      <c r="BG1709" s="3"/>
      <c r="BH1709" s="15">
        <f>SUM(BC1709:BG1709)</f>
        <v>0</v>
      </c>
      <c r="BJ1709" s="2"/>
      <c r="BK1709" s="3"/>
      <c r="BL1709" s="3"/>
      <c r="BM1709" s="3"/>
      <c r="BN1709" s="3"/>
      <c r="BO1709" s="15">
        <f>SUM(BJ1709:BN1709)</f>
        <v>0</v>
      </c>
      <c r="BQ1709" s="2"/>
      <c r="BR1709" s="3"/>
      <c r="BS1709" s="3"/>
      <c r="BT1709" s="3"/>
      <c r="BU1709" s="3"/>
      <c r="BV1709" s="15">
        <f>SUM(BQ1709:BU1709)</f>
        <v>0</v>
      </c>
      <c r="BX1709" s="2"/>
      <c r="BY1709" s="3"/>
      <c r="BZ1709" s="3"/>
      <c r="CA1709" s="3"/>
      <c r="CB1709" s="3"/>
      <c r="CC1709" s="15">
        <f>SUM(BX1709:CB1709)</f>
        <v>0</v>
      </c>
      <c r="CE1709" s="26">
        <f t="shared" ref="CE1709:CE1712" si="7854">F1709+M1709+T1709+AA1709+AH1709+AO1709+AV1709+BC1709+BJ1709+BQ1709+BX1709</f>
        <v>0</v>
      </c>
      <c r="CF1709" s="27">
        <f t="shared" ref="CF1709:CF1712" si="7855">G1709+N1709+U1709+AB1709+AI1709+AP1709+AW1709+BD1709+BK1709+BR1709+BY1709</f>
        <v>0</v>
      </c>
      <c r="CG1709" s="27">
        <f t="shared" ref="CG1709:CG1712" si="7856">H1709+O1709+V1709+AC1709+AJ1709+AQ1709+AX1709+BE1709+BL1709+BS1709+BZ1709</f>
        <v>0</v>
      </c>
      <c r="CH1709" s="27">
        <f t="shared" ref="CH1709:CH1712" si="7857">I1709+P1709+W1709+AD1709+AK1709+AR1709+AY1709+BF1709+BM1709+BT1709+CA1709</f>
        <v>0</v>
      </c>
      <c r="CI1709" s="27">
        <f t="shared" ref="CI1709:CI1712" si="7858">J1709+Q1709+X1709+AE1709+AL1709+AS1709+AZ1709+BG1709+BN1709+BU1709+CB1709</f>
        <v>0</v>
      </c>
      <c r="CJ1709" s="4">
        <f>SUM(CE1709:CI1709)</f>
        <v>0</v>
      </c>
      <c r="CL1709" s="2"/>
      <c r="CM1709" s="3"/>
      <c r="CN1709" s="3"/>
      <c r="CO1709" s="3"/>
      <c r="CP1709" s="3"/>
      <c r="CQ1709" s="15">
        <f>SUM(CL1709:CP1709)</f>
        <v>0</v>
      </c>
      <c r="CS1709" s="2"/>
      <c r="CT1709" s="3"/>
      <c r="CU1709" s="3"/>
      <c r="CV1709" s="3"/>
      <c r="CW1709" s="3"/>
      <c r="CX1709" s="4">
        <f>SUM(CS1709:CW1709)</f>
        <v>0</v>
      </c>
      <c r="CZ1709" s="2"/>
      <c r="DA1709" s="3"/>
      <c r="DB1709" s="3"/>
      <c r="DC1709" s="3"/>
      <c r="DD1709" s="3"/>
      <c r="DE1709" s="15">
        <f>SUM(CZ1709:DD1709)</f>
        <v>0</v>
      </c>
    </row>
    <row r="1710" spans="2:109">
      <c r="C1710" s="567"/>
      <c r="E1710" s="14" t="s">
        <v>60</v>
      </c>
      <c r="F1710" s="23">
        <f t="shared" ref="F1710:F1712" si="7859">CE1704</f>
        <v>0</v>
      </c>
      <c r="G1710" s="24">
        <f t="shared" si="7850"/>
        <v>0</v>
      </c>
      <c r="H1710" s="24">
        <f t="shared" si="7851"/>
        <v>0</v>
      </c>
      <c r="I1710" s="24">
        <f t="shared" si="7852"/>
        <v>0</v>
      </c>
      <c r="J1710" s="24">
        <f t="shared" si="7853"/>
        <v>0</v>
      </c>
      <c r="K1710" s="16">
        <f t="shared" ref="K1710:K1712" si="7860">SUM(F1710:J1710)</f>
        <v>0</v>
      </c>
      <c r="M1710" s="6"/>
      <c r="N1710" s="7"/>
      <c r="O1710" s="7"/>
      <c r="P1710" s="7"/>
      <c r="Q1710" s="7"/>
      <c r="R1710" s="16">
        <f t="shared" ref="R1710:R1712" si="7861">SUM(M1710:Q1710)</f>
        <v>0</v>
      </c>
      <c r="T1710" s="6"/>
      <c r="U1710" s="7"/>
      <c r="V1710" s="7"/>
      <c r="W1710" s="7"/>
      <c r="X1710" s="7"/>
      <c r="Y1710" s="16">
        <f t="shared" ref="Y1710:Y1712" si="7862">SUM(T1710:X1710)</f>
        <v>0</v>
      </c>
      <c r="AA1710" s="6"/>
      <c r="AB1710" s="7"/>
      <c r="AC1710" s="7"/>
      <c r="AD1710" s="7"/>
      <c r="AE1710" s="7"/>
      <c r="AF1710" s="16">
        <f>SUM(AA1710:AE1710)</f>
        <v>0</v>
      </c>
      <c r="AH1710" s="6"/>
      <c r="AI1710" s="7"/>
      <c r="AJ1710" s="7"/>
      <c r="AK1710" s="7"/>
      <c r="AL1710" s="7"/>
      <c r="AM1710" s="16">
        <f>SUM(AH1710:AL1710)</f>
        <v>0</v>
      </c>
      <c r="AO1710" s="6"/>
      <c r="AP1710" s="7"/>
      <c r="AQ1710" s="7"/>
      <c r="AR1710" s="7"/>
      <c r="AS1710" s="7"/>
      <c r="AT1710" s="16">
        <f>SUM(AO1710:AS1710)</f>
        <v>0</v>
      </c>
      <c r="AV1710" s="6"/>
      <c r="AW1710" s="7"/>
      <c r="AX1710" s="7"/>
      <c r="AY1710" s="7"/>
      <c r="AZ1710" s="7"/>
      <c r="BA1710" s="16">
        <f>SUM(AV1710:AZ1710)</f>
        <v>0</v>
      </c>
      <c r="BC1710" s="6"/>
      <c r="BD1710" s="7"/>
      <c r="BE1710" s="7"/>
      <c r="BF1710" s="7"/>
      <c r="BG1710" s="7"/>
      <c r="BH1710" s="16">
        <f>SUM(BC1710:BG1710)</f>
        <v>0</v>
      </c>
      <c r="BJ1710" s="6"/>
      <c r="BK1710" s="7"/>
      <c r="BL1710" s="7"/>
      <c r="BM1710" s="7"/>
      <c r="BN1710" s="7"/>
      <c r="BO1710" s="16">
        <f>SUM(BJ1710:BN1710)</f>
        <v>0</v>
      </c>
      <c r="BQ1710" s="6"/>
      <c r="BR1710" s="7"/>
      <c r="BS1710" s="7"/>
      <c r="BT1710" s="7"/>
      <c r="BU1710" s="7"/>
      <c r="BV1710" s="16">
        <f>SUM(BQ1710:BU1710)</f>
        <v>0</v>
      </c>
      <c r="BX1710" s="6"/>
      <c r="BY1710" s="7"/>
      <c r="BZ1710" s="7"/>
      <c r="CA1710" s="7"/>
      <c r="CB1710" s="7"/>
      <c r="CC1710" s="16">
        <f>SUM(BX1710:CB1710)</f>
        <v>0</v>
      </c>
      <c r="CE1710" s="28">
        <f t="shared" si="7854"/>
        <v>0</v>
      </c>
      <c r="CF1710" s="29">
        <f t="shared" si="7855"/>
        <v>0</v>
      </c>
      <c r="CG1710" s="29">
        <f t="shared" si="7856"/>
        <v>0</v>
      </c>
      <c r="CH1710" s="29">
        <f t="shared" si="7857"/>
        <v>0</v>
      </c>
      <c r="CI1710" s="29">
        <f t="shared" si="7858"/>
        <v>0</v>
      </c>
      <c r="CJ1710" s="8">
        <f>SUM(CE1710:CI1710)</f>
        <v>0</v>
      </c>
      <c r="CL1710" s="6"/>
      <c r="CM1710" s="7"/>
      <c r="CN1710" s="7"/>
      <c r="CO1710" s="7"/>
      <c r="CP1710" s="7"/>
      <c r="CQ1710" s="16">
        <f>SUM(CL1710:CP1710)</f>
        <v>0</v>
      </c>
      <c r="CS1710" s="6"/>
      <c r="CT1710" s="7"/>
      <c r="CU1710" s="7"/>
      <c r="CV1710" s="7"/>
      <c r="CW1710" s="7"/>
      <c r="CX1710" s="8">
        <f t="shared" ref="CX1710:CX1712" si="7863">SUM(CS1710:CW1710)</f>
        <v>0</v>
      </c>
      <c r="CZ1710" s="6"/>
      <c r="DA1710" s="7"/>
      <c r="DB1710" s="7"/>
      <c r="DC1710" s="7"/>
      <c r="DD1710" s="7"/>
      <c r="DE1710" s="16">
        <f t="shared" ref="DE1710:DE1712" si="7864">SUM(CZ1710:DD1710)</f>
        <v>0</v>
      </c>
    </row>
    <row r="1711" spans="2:109">
      <c r="C1711" s="567"/>
      <c r="E1711" s="14" t="s">
        <v>61</v>
      </c>
      <c r="F1711" s="23">
        <f t="shared" si="7859"/>
        <v>0</v>
      </c>
      <c r="G1711" s="24">
        <f t="shared" si="7850"/>
        <v>0</v>
      </c>
      <c r="H1711" s="24">
        <f t="shared" si="7851"/>
        <v>0</v>
      </c>
      <c r="I1711" s="24">
        <f t="shared" si="7852"/>
        <v>0</v>
      </c>
      <c r="J1711" s="24">
        <f t="shared" si="7853"/>
        <v>0</v>
      </c>
      <c r="K1711" s="16">
        <f t="shared" si="7860"/>
        <v>0</v>
      </c>
      <c r="M1711" s="6"/>
      <c r="N1711" s="7"/>
      <c r="O1711" s="7"/>
      <c r="P1711" s="7"/>
      <c r="Q1711" s="7"/>
      <c r="R1711" s="16">
        <f t="shared" si="7861"/>
        <v>0</v>
      </c>
      <c r="T1711" s="6"/>
      <c r="U1711" s="7"/>
      <c r="V1711" s="7"/>
      <c r="W1711" s="7"/>
      <c r="X1711" s="7"/>
      <c r="Y1711" s="16">
        <f t="shared" si="7862"/>
        <v>0</v>
      </c>
      <c r="AA1711" s="6"/>
      <c r="AB1711" s="7"/>
      <c r="AC1711" s="7"/>
      <c r="AD1711" s="7"/>
      <c r="AE1711" s="7"/>
      <c r="AF1711" s="16">
        <f>SUM(AA1711:AE1711)</f>
        <v>0</v>
      </c>
      <c r="AH1711" s="6"/>
      <c r="AI1711" s="7"/>
      <c r="AJ1711" s="7"/>
      <c r="AK1711" s="7"/>
      <c r="AL1711" s="7"/>
      <c r="AM1711" s="16">
        <f>SUM(AH1711:AL1711)</f>
        <v>0</v>
      </c>
      <c r="AO1711" s="6"/>
      <c r="AP1711" s="7"/>
      <c r="AQ1711" s="7"/>
      <c r="AR1711" s="7"/>
      <c r="AS1711" s="7"/>
      <c r="AT1711" s="16">
        <f>SUM(AO1711:AS1711)</f>
        <v>0</v>
      </c>
      <c r="AV1711" s="6"/>
      <c r="AW1711" s="7"/>
      <c r="AX1711" s="7"/>
      <c r="AY1711" s="7"/>
      <c r="AZ1711" s="7"/>
      <c r="BA1711" s="16">
        <f>SUM(AV1711:AZ1711)</f>
        <v>0</v>
      </c>
      <c r="BC1711" s="6"/>
      <c r="BD1711" s="7"/>
      <c r="BE1711" s="7"/>
      <c r="BF1711" s="7"/>
      <c r="BG1711" s="7"/>
      <c r="BH1711" s="16">
        <f>SUM(BC1711:BG1711)</f>
        <v>0</v>
      </c>
      <c r="BJ1711" s="6"/>
      <c r="BK1711" s="7"/>
      <c r="BL1711" s="7"/>
      <c r="BM1711" s="7"/>
      <c r="BN1711" s="7"/>
      <c r="BO1711" s="16">
        <f>SUM(BJ1711:BN1711)</f>
        <v>0</v>
      </c>
      <c r="BQ1711" s="6"/>
      <c r="BR1711" s="7"/>
      <c r="BS1711" s="7"/>
      <c r="BT1711" s="7"/>
      <c r="BU1711" s="7"/>
      <c r="BV1711" s="16">
        <f>SUM(BQ1711:BU1711)</f>
        <v>0</v>
      </c>
      <c r="BX1711" s="6"/>
      <c r="BY1711" s="7"/>
      <c r="BZ1711" s="7"/>
      <c r="CA1711" s="7"/>
      <c r="CB1711" s="7"/>
      <c r="CC1711" s="16">
        <f>SUM(BX1711:CB1711)</f>
        <v>0</v>
      </c>
      <c r="CE1711" s="28">
        <f t="shared" si="7854"/>
        <v>0</v>
      </c>
      <c r="CF1711" s="29">
        <f t="shared" si="7855"/>
        <v>0</v>
      </c>
      <c r="CG1711" s="29">
        <f t="shared" si="7856"/>
        <v>0</v>
      </c>
      <c r="CH1711" s="29">
        <f t="shared" si="7857"/>
        <v>0</v>
      </c>
      <c r="CI1711" s="29">
        <f t="shared" si="7858"/>
        <v>0</v>
      </c>
      <c r="CJ1711" s="8">
        <f>SUM(CE1711:CI1711)</f>
        <v>0</v>
      </c>
      <c r="CL1711" s="6"/>
      <c r="CM1711" s="7"/>
      <c r="CN1711" s="7"/>
      <c r="CO1711" s="7"/>
      <c r="CP1711" s="7"/>
      <c r="CQ1711" s="16">
        <f>SUM(CL1711:CP1711)</f>
        <v>0</v>
      </c>
      <c r="CS1711" s="6"/>
      <c r="CT1711" s="7"/>
      <c r="CU1711" s="7"/>
      <c r="CV1711" s="7"/>
      <c r="CW1711" s="7"/>
      <c r="CX1711" s="8">
        <f t="shared" si="7863"/>
        <v>0</v>
      </c>
      <c r="CZ1711" s="6"/>
      <c r="DA1711" s="7"/>
      <c r="DB1711" s="7"/>
      <c r="DC1711" s="7"/>
      <c r="DD1711" s="7"/>
      <c r="DE1711" s="16">
        <f t="shared" si="7864"/>
        <v>0</v>
      </c>
    </row>
    <row r="1712" spans="2:109" ht="14" thickBot="1">
      <c r="C1712" s="567"/>
      <c r="E1712" s="14" t="s">
        <v>62</v>
      </c>
      <c r="F1712" s="23">
        <f t="shared" si="7859"/>
        <v>0</v>
      </c>
      <c r="G1712" s="24">
        <f t="shared" si="7850"/>
        <v>0</v>
      </c>
      <c r="H1712" s="24">
        <f t="shared" si="7851"/>
        <v>0</v>
      </c>
      <c r="I1712" s="24">
        <f t="shared" si="7852"/>
        <v>0</v>
      </c>
      <c r="J1712" s="24">
        <f t="shared" si="7853"/>
        <v>0</v>
      </c>
      <c r="K1712" s="16">
        <f t="shared" si="7860"/>
        <v>0</v>
      </c>
      <c r="M1712" s="6"/>
      <c r="N1712" s="7"/>
      <c r="O1712" s="7"/>
      <c r="P1712" s="7"/>
      <c r="Q1712" s="7"/>
      <c r="R1712" s="16">
        <f t="shared" si="7861"/>
        <v>0</v>
      </c>
      <c r="T1712" s="6"/>
      <c r="U1712" s="7"/>
      <c r="V1712" s="7"/>
      <c r="W1712" s="7"/>
      <c r="X1712" s="7"/>
      <c r="Y1712" s="16">
        <f t="shared" si="7862"/>
        <v>0</v>
      </c>
      <c r="AA1712" s="6"/>
      <c r="AB1712" s="7"/>
      <c r="AC1712" s="7"/>
      <c r="AD1712" s="7"/>
      <c r="AE1712" s="7"/>
      <c r="AF1712" s="16">
        <f>SUM(AA1712:AE1712)</f>
        <v>0</v>
      </c>
      <c r="AH1712" s="6"/>
      <c r="AI1712" s="7"/>
      <c r="AJ1712" s="7"/>
      <c r="AK1712" s="7"/>
      <c r="AL1712" s="7"/>
      <c r="AM1712" s="16">
        <f>SUM(AH1712:AL1712)</f>
        <v>0</v>
      </c>
      <c r="AO1712" s="6"/>
      <c r="AP1712" s="7"/>
      <c r="AQ1712" s="7"/>
      <c r="AR1712" s="7"/>
      <c r="AS1712" s="7"/>
      <c r="AT1712" s="16">
        <f>SUM(AO1712:AS1712)</f>
        <v>0</v>
      </c>
      <c r="AV1712" s="6"/>
      <c r="AW1712" s="7"/>
      <c r="AX1712" s="7"/>
      <c r="AY1712" s="7"/>
      <c r="AZ1712" s="7"/>
      <c r="BA1712" s="16">
        <f>SUM(AV1712:AZ1712)</f>
        <v>0</v>
      </c>
      <c r="BC1712" s="6"/>
      <c r="BD1712" s="7"/>
      <c r="BE1712" s="7"/>
      <c r="BF1712" s="7"/>
      <c r="BG1712" s="7"/>
      <c r="BH1712" s="16">
        <f>SUM(BC1712:BG1712)</f>
        <v>0</v>
      </c>
      <c r="BJ1712" s="6"/>
      <c r="BK1712" s="7"/>
      <c r="BL1712" s="7"/>
      <c r="BM1712" s="7"/>
      <c r="BN1712" s="7"/>
      <c r="BO1712" s="16">
        <f>SUM(BJ1712:BN1712)</f>
        <v>0</v>
      </c>
      <c r="BQ1712" s="6"/>
      <c r="BR1712" s="7"/>
      <c r="BS1712" s="7"/>
      <c r="BT1712" s="7"/>
      <c r="BU1712" s="7"/>
      <c r="BV1712" s="16">
        <f>SUM(BQ1712:BU1712)</f>
        <v>0</v>
      </c>
      <c r="BX1712" s="6"/>
      <c r="BY1712" s="7"/>
      <c r="BZ1712" s="7"/>
      <c r="CA1712" s="7"/>
      <c r="CB1712" s="7"/>
      <c r="CC1712" s="16">
        <f>SUM(BX1712:CB1712)</f>
        <v>0</v>
      </c>
      <c r="CE1712" s="493">
        <f t="shared" si="7854"/>
        <v>0</v>
      </c>
      <c r="CF1712" s="494">
        <f t="shared" si="7855"/>
        <v>0</v>
      </c>
      <c r="CG1712" s="494">
        <f t="shared" si="7856"/>
        <v>0</v>
      </c>
      <c r="CH1712" s="494">
        <f t="shared" si="7857"/>
        <v>0</v>
      </c>
      <c r="CI1712" s="494">
        <f t="shared" si="7858"/>
        <v>0</v>
      </c>
      <c r="CJ1712" s="495">
        <f>SUM(CE1712:CI1712)</f>
        <v>0</v>
      </c>
      <c r="CL1712" s="6"/>
      <c r="CM1712" s="7"/>
      <c r="CN1712" s="7"/>
      <c r="CO1712" s="7"/>
      <c r="CP1712" s="7"/>
      <c r="CQ1712" s="16">
        <f>SUM(CL1712:CP1712)</f>
        <v>0</v>
      </c>
      <c r="CS1712" s="6"/>
      <c r="CT1712" s="7"/>
      <c r="CU1712" s="7"/>
      <c r="CV1712" s="7"/>
      <c r="CW1712" s="7"/>
      <c r="CX1712" s="8">
        <f t="shared" si="7863"/>
        <v>0</v>
      </c>
      <c r="CZ1712" s="6"/>
      <c r="DA1712" s="7"/>
      <c r="DB1712" s="7"/>
      <c r="DC1712" s="7"/>
      <c r="DD1712" s="7"/>
      <c r="DE1712" s="16">
        <f t="shared" si="7864"/>
        <v>0</v>
      </c>
    </row>
    <row r="1713" spans="3:109" ht="14" thickBot="1">
      <c r="C1713" s="554"/>
      <c r="E1713" s="17"/>
      <c r="F1713" s="10">
        <f>SUM(F1709:F1712)</f>
        <v>0</v>
      </c>
      <c r="G1713" s="11">
        <f t="shared" ref="G1713:J1713" si="7865">SUM(G1709:G1712)</f>
        <v>0</v>
      </c>
      <c r="H1713" s="11">
        <f t="shared" si="7865"/>
        <v>0</v>
      </c>
      <c r="I1713" s="11">
        <f t="shared" si="7865"/>
        <v>0</v>
      </c>
      <c r="J1713" s="11">
        <f t="shared" si="7865"/>
        <v>0</v>
      </c>
      <c r="K1713" s="25">
        <f>SUM(K1709:K1712)</f>
        <v>0</v>
      </c>
      <c r="M1713" s="10">
        <f>SUM(M1709:M1712)</f>
        <v>0</v>
      </c>
      <c r="N1713" s="11">
        <f t="shared" ref="N1713:Q1713" si="7866">SUM(N1709:N1712)</f>
        <v>0</v>
      </c>
      <c r="O1713" s="11">
        <f t="shared" si="7866"/>
        <v>0</v>
      </c>
      <c r="P1713" s="11">
        <f t="shared" si="7866"/>
        <v>0</v>
      </c>
      <c r="Q1713" s="11">
        <f t="shared" si="7866"/>
        <v>0</v>
      </c>
      <c r="R1713" s="25">
        <f>SUM(R1709:R1712)</f>
        <v>0</v>
      </c>
      <c r="T1713" s="10">
        <f>SUM(T1709:T1712)</f>
        <v>0</v>
      </c>
      <c r="U1713" s="11">
        <f t="shared" ref="U1713:X1713" si="7867">SUM(U1709:U1712)</f>
        <v>0</v>
      </c>
      <c r="V1713" s="11">
        <f t="shared" si="7867"/>
        <v>0</v>
      </c>
      <c r="W1713" s="11">
        <f t="shared" si="7867"/>
        <v>0</v>
      </c>
      <c r="X1713" s="11">
        <f t="shared" si="7867"/>
        <v>0</v>
      </c>
      <c r="Y1713" s="25">
        <f>SUM(Y1709:Y1712)</f>
        <v>0</v>
      </c>
      <c r="AA1713" s="10">
        <f>SUM(AA1709:AA1712)</f>
        <v>0</v>
      </c>
      <c r="AB1713" s="11">
        <f t="shared" ref="AB1713:AE1713" si="7868">SUM(AB1709:AB1712)</f>
        <v>0</v>
      </c>
      <c r="AC1713" s="11">
        <f t="shared" si="7868"/>
        <v>0</v>
      </c>
      <c r="AD1713" s="11">
        <f t="shared" si="7868"/>
        <v>0</v>
      </c>
      <c r="AE1713" s="11">
        <f t="shared" si="7868"/>
        <v>0</v>
      </c>
      <c r="AF1713" s="25">
        <f>SUM(AF1709:AF1712)</f>
        <v>0</v>
      </c>
      <c r="AH1713" s="10">
        <f>SUM(AH1709:AH1712)</f>
        <v>0</v>
      </c>
      <c r="AI1713" s="11">
        <f t="shared" ref="AI1713:AL1713" si="7869">SUM(AI1709:AI1712)</f>
        <v>0</v>
      </c>
      <c r="AJ1713" s="11">
        <f t="shared" si="7869"/>
        <v>0</v>
      </c>
      <c r="AK1713" s="11">
        <f t="shared" si="7869"/>
        <v>0</v>
      </c>
      <c r="AL1713" s="11">
        <f t="shared" si="7869"/>
        <v>0</v>
      </c>
      <c r="AM1713" s="25">
        <f>SUM(AM1709:AM1712)</f>
        <v>0</v>
      </c>
      <c r="AO1713" s="10">
        <f>SUM(AO1709:AO1712)</f>
        <v>0</v>
      </c>
      <c r="AP1713" s="11">
        <f t="shared" ref="AP1713:AS1713" si="7870">SUM(AP1709:AP1712)</f>
        <v>0</v>
      </c>
      <c r="AQ1713" s="11">
        <f t="shared" si="7870"/>
        <v>0</v>
      </c>
      <c r="AR1713" s="11">
        <f t="shared" si="7870"/>
        <v>0</v>
      </c>
      <c r="AS1713" s="11">
        <f t="shared" si="7870"/>
        <v>0</v>
      </c>
      <c r="AT1713" s="25">
        <f>SUM(AT1709:AT1712)</f>
        <v>0</v>
      </c>
      <c r="AV1713" s="10">
        <f>SUM(AV1709:AV1712)</f>
        <v>0</v>
      </c>
      <c r="AW1713" s="11">
        <f t="shared" ref="AW1713:AZ1713" si="7871">SUM(AW1709:AW1712)</f>
        <v>0</v>
      </c>
      <c r="AX1713" s="11">
        <f t="shared" si="7871"/>
        <v>0</v>
      </c>
      <c r="AY1713" s="11">
        <f t="shared" si="7871"/>
        <v>0</v>
      </c>
      <c r="AZ1713" s="11">
        <f t="shared" si="7871"/>
        <v>0</v>
      </c>
      <c r="BA1713" s="25">
        <f>SUM(BA1709:BA1712)</f>
        <v>0</v>
      </c>
      <c r="BC1713" s="10">
        <f>SUM(BC1709:BC1712)</f>
        <v>0</v>
      </c>
      <c r="BD1713" s="11">
        <f t="shared" ref="BD1713:BG1713" si="7872">SUM(BD1709:BD1712)</f>
        <v>0</v>
      </c>
      <c r="BE1713" s="11">
        <f t="shared" si="7872"/>
        <v>0</v>
      </c>
      <c r="BF1713" s="11">
        <f t="shared" si="7872"/>
        <v>0</v>
      </c>
      <c r="BG1713" s="11">
        <f t="shared" si="7872"/>
        <v>0</v>
      </c>
      <c r="BH1713" s="25">
        <f>SUM(BH1709:BH1712)</f>
        <v>0</v>
      </c>
      <c r="BJ1713" s="10">
        <f>SUM(BJ1709:BJ1712)</f>
        <v>0</v>
      </c>
      <c r="BK1713" s="11">
        <f t="shared" ref="BK1713:BN1713" si="7873">SUM(BK1709:BK1712)</f>
        <v>0</v>
      </c>
      <c r="BL1713" s="11">
        <f t="shared" si="7873"/>
        <v>0</v>
      </c>
      <c r="BM1713" s="11">
        <f t="shared" si="7873"/>
        <v>0</v>
      </c>
      <c r="BN1713" s="11">
        <f t="shared" si="7873"/>
        <v>0</v>
      </c>
      <c r="BO1713" s="25">
        <f>SUM(BO1709:BO1712)</f>
        <v>0</v>
      </c>
      <c r="BQ1713" s="10">
        <f>SUM(BQ1709:BQ1712)</f>
        <v>0</v>
      </c>
      <c r="BR1713" s="11">
        <f t="shared" ref="BR1713:BU1713" si="7874">SUM(BR1709:BR1712)</f>
        <v>0</v>
      </c>
      <c r="BS1713" s="11">
        <f t="shared" si="7874"/>
        <v>0</v>
      </c>
      <c r="BT1713" s="11">
        <f t="shared" si="7874"/>
        <v>0</v>
      </c>
      <c r="BU1713" s="11">
        <f t="shared" si="7874"/>
        <v>0</v>
      </c>
      <c r="BV1713" s="25">
        <f>SUM(BV1709:BV1712)</f>
        <v>0</v>
      </c>
      <c r="BX1713" s="10">
        <f>SUM(BX1709:BX1712)</f>
        <v>0</v>
      </c>
      <c r="BY1713" s="11">
        <f t="shared" ref="BY1713:CB1713" si="7875">SUM(BY1709:BY1712)</f>
        <v>0</v>
      </c>
      <c r="BZ1713" s="11">
        <f t="shared" si="7875"/>
        <v>0</v>
      </c>
      <c r="CA1713" s="11">
        <f t="shared" si="7875"/>
        <v>0</v>
      </c>
      <c r="CB1713" s="11">
        <f t="shared" si="7875"/>
        <v>0</v>
      </c>
      <c r="CC1713" s="25">
        <f>SUM(CC1709:CC1712)</f>
        <v>0</v>
      </c>
      <c r="CE1713" s="62">
        <f t="shared" ref="CE1713:CJ1713" si="7876">SUM(CE1709:CE1712)</f>
        <v>0</v>
      </c>
      <c r="CF1713" s="63">
        <f t="shared" si="7876"/>
        <v>0</v>
      </c>
      <c r="CG1713" s="63">
        <f t="shared" si="7876"/>
        <v>0</v>
      </c>
      <c r="CH1713" s="63">
        <f t="shared" si="7876"/>
        <v>0</v>
      </c>
      <c r="CI1713" s="63">
        <f t="shared" si="7876"/>
        <v>0</v>
      </c>
      <c r="CJ1713" s="25">
        <f t="shared" si="7876"/>
        <v>0</v>
      </c>
      <c r="CL1713" s="10">
        <f>SUM(CL1709:CL1712)</f>
        <v>0</v>
      </c>
      <c r="CM1713" s="11">
        <f t="shared" ref="CM1713:CP1713" si="7877">SUM(CM1709:CM1712)</f>
        <v>0</v>
      </c>
      <c r="CN1713" s="11">
        <f t="shared" si="7877"/>
        <v>0</v>
      </c>
      <c r="CO1713" s="11">
        <f t="shared" si="7877"/>
        <v>0</v>
      </c>
      <c r="CP1713" s="11">
        <f t="shared" si="7877"/>
        <v>0</v>
      </c>
      <c r="CQ1713" s="25">
        <f>SUM(CQ1709:CQ1712)</f>
        <v>0</v>
      </c>
      <c r="CS1713" s="10">
        <f>SUM(CS1709:CS1712)</f>
        <v>0</v>
      </c>
      <c r="CT1713" s="11">
        <f t="shared" ref="CT1713:CW1713" si="7878">SUM(CT1709:CT1712)</f>
        <v>0</v>
      </c>
      <c r="CU1713" s="11">
        <f t="shared" si="7878"/>
        <v>0</v>
      </c>
      <c r="CV1713" s="11">
        <f t="shared" si="7878"/>
        <v>0</v>
      </c>
      <c r="CW1713" s="11">
        <f t="shared" si="7878"/>
        <v>0</v>
      </c>
      <c r="CX1713" s="25">
        <f>SUM(CX1709:CX1712)</f>
        <v>0</v>
      </c>
      <c r="CZ1713" s="10">
        <f>SUM(CZ1709:CZ1712)</f>
        <v>0</v>
      </c>
      <c r="DA1713" s="11">
        <f t="shared" ref="DA1713:DD1713" si="7879">SUM(DA1709:DA1712)</f>
        <v>0</v>
      </c>
      <c r="DB1713" s="11">
        <f t="shared" si="7879"/>
        <v>0</v>
      </c>
      <c r="DC1713" s="11">
        <f t="shared" si="7879"/>
        <v>0</v>
      </c>
      <c r="DD1713" s="11">
        <f t="shared" si="7879"/>
        <v>0</v>
      </c>
      <c r="DE1713" s="25">
        <f>SUM(DE1709:DE1712)</f>
        <v>0</v>
      </c>
    </row>
    <row r="1714" spans="3:109" ht="10.4" customHeight="1" thickBot="1"/>
    <row r="1715" spans="3:109">
      <c r="C1715" s="553">
        <v>2026</v>
      </c>
      <c r="E1715" s="1" t="s">
        <v>59</v>
      </c>
      <c r="F1715" s="21">
        <f>CE1709</f>
        <v>0</v>
      </c>
      <c r="G1715" s="22">
        <f t="shared" ref="G1715:G1718" si="7880">CF1709</f>
        <v>0</v>
      </c>
      <c r="H1715" s="22">
        <f t="shared" ref="H1715:H1718" si="7881">CG1709</f>
        <v>0</v>
      </c>
      <c r="I1715" s="22">
        <f t="shared" ref="I1715:I1718" si="7882">CH1709</f>
        <v>0</v>
      </c>
      <c r="J1715" s="22">
        <f t="shared" ref="J1715:J1718" si="7883">CI1709</f>
        <v>0</v>
      </c>
      <c r="K1715" s="4">
        <f>SUM(F1715:J1715)</f>
        <v>0</v>
      </c>
      <c r="M1715" s="2"/>
      <c r="N1715" s="3"/>
      <c r="O1715" s="3"/>
      <c r="P1715" s="3"/>
      <c r="Q1715" s="3"/>
      <c r="R1715" s="4">
        <f>SUM(M1715:Q1715)</f>
        <v>0</v>
      </c>
      <c r="T1715" s="2"/>
      <c r="U1715" s="3"/>
      <c r="V1715" s="3"/>
      <c r="W1715" s="3"/>
      <c r="X1715" s="3"/>
      <c r="Y1715" s="4">
        <f>SUM(T1715:X1715)</f>
        <v>0</v>
      </c>
      <c r="AA1715" s="2"/>
      <c r="AB1715" s="3"/>
      <c r="AC1715" s="3"/>
      <c r="AD1715" s="3"/>
      <c r="AE1715" s="3"/>
      <c r="AF1715" s="4">
        <f>SUM(AA1715:AE1715)</f>
        <v>0</v>
      </c>
      <c r="AH1715" s="2"/>
      <c r="AI1715" s="3"/>
      <c r="AJ1715" s="3"/>
      <c r="AK1715" s="3"/>
      <c r="AL1715" s="3"/>
      <c r="AM1715" s="4">
        <f>SUM(AH1715:AL1715)</f>
        <v>0</v>
      </c>
      <c r="AO1715" s="2"/>
      <c r="AP1715" s="3"/>
      <c r="AQ1715" s="3"/>
      <c r="AR1715" s="3"/>
      <c r="AS1715" s="3"/>
      <c r="AT1715" s="4">
        <f>SUM(AO1715:AS1715)</f>
        <v>0</v>
      </c>
      <c r="AV1715" s="2"/>
      <c r="AW1715" s="3"/>
      <c r="AX1715" s="3"/>
      <c r="AY1715" s="3"/>
      <c r="AZ1715" s="3"/>
      <c r="BA1715" s="4">
        <f>SUM(AV1715:AZ1715)</f>
        <v>0</v>
      </c>
      <c r="BC1715" s="2"/>
      <c r="BD1715" s="3"/>
      <c r="BE1715" s="3"/>
      <c r="BF1715" s="3"/>
      <c r="BG1715" s="3"/>
      <c r="BH1715" s="4">
        <f>SUM(BC1715:BG1715)</f>
        <v>0</v>
      </c>
      <c r="BJ1715" s="2"/>
      <c r="BK1715" s="3"/>
      <c r="BL1715" s="3"/>
      <c r="BM1715" s="3"/>
      <c r="BN1715" s="3"/>
      <c r="BO1715" s="4">
        <f>SUM(BJ1715:BN1715)</f>
        <v>0</v>
      </c>
      <c r="BQ1715" s="2"/>
      <c r="BR1715" s="3"/>
      <c r="BS1715" s="3"/>
      <c r="BT1715" s="3"/>
      <c r="BU1715" s="3"/>
      <c r="BV1715" s="4">
        <f>SUM(BQ1715:BU1715)</f>
        <v>0</v>
      </c>
      <c r="BX1715" s="2"/>
      <c r="BY1715" s="3"/>
      <c r="BZ1715" s="3"/>
      <c r="CA1715" s="3"/>
      <c r="CB1715" s="3"/>
      <c r="CC1715" s="4">
        <f>SUM(BX1715:CB1715)</f>
        <v>0</v>
      </c>
      <c r="CE1715" s="26">
        <f t="shared" ref="CE1715:CE1718" si="7884">F1715+M1715+T1715+AA1715+AH1715+AO1715+AV1715+BC1715+BJ1715+BQ1715+BX1715</f>
        <v>0</v>
      </c>
      <c r="CF1715" s="27">
        <f t="shared" ref="CF1715:CF1718" si="7885">G1715+N1715+U1715+AB1715+AI1715+AP1715+AW1715+BD1715+BK1715+BR1715+BY1715</f>
        <v>0</v>
      </c>
      <c r="CG1715" s="27">
        <f t="shared" ref="CG1715:CG1718" si="7886">H1715+O1715+V1715+AC1715+AJ1715+AQ1715+AX1715+BE1715+BL1715+BS1715+BZ1715</f>
        <v>0</v>
      </c>
      <c r="CH1715" s="27">
        <f t="shared" ref="CH1715:CH1718" si="7887">I1715+P1715+W1715+AD1715+AK1715+AR1715+AY1715+BF1715+BM1715+BT1715+CA1715</f>
        <v>0</v>
      </c>
      <c r="CI1715" s="27">
        <f t="shared" ref="CI1715:CI1718" si="7888">J1715+Q1715+X1715+AE1715+AL1715+AS1715+AZ1715+BG1715+BN1715+BU1715+CB1715</f>
        <v>0</v>
      </c>
      <c r="CJ1715" s="4">
        <f>SUM(CE1715:CI1715)</f>
        <v>0</v>
      </c>
      <c r="CL1715" s="2"/>
      <c r="CM1715" s="3"/>
      <c r="CN1715" s="3"/>
      <c r="CO1715" s="3"/>
      <c r="CP1715" s="3"/>
      <c r="CQ1715" s="4">
        <f>SUM(CL1715:CP1715)</f>
        <v>0</v>
      </c>
      <c r="CS1715" s="2"/>
      <c r="CT1715" s="3"/>
      <c r="CU1715" s="3"/>
      <c r="CV1715" s="3"/>
      <c r="CW1715" s="3"/>
      <c r="CX1715" s="4">
        <f>SUM(CS1715:CW1715)</f>
        <v>0</v>
      </c>
      <c r="CZ1715" s="2"/>
      <c r="DA1715" s="3"/>
      <c r="DB1715" s="3"/>
      <c r="DC1715" s="3"/>
      <c r="DD1715" s="3"/>
      <c r="DE1715" s="4">
        <f>SUM(CZ1715:DD1715)</f>
        <v>0</v>
      </c>
    </row>
    <row r="1716" spans="3:109">
      <c r="C1716" s="567"/>
      <c r="E1716" s="5" t="s">
        <v>60</v>
      </c>
      <c r="F1716" s="23">
        <f t="shared" ref="F1716:F1718" si="7889">CE1710</f>
        <v>0</v>
      </c>
      <c r="G1716" s="24">
        <f t="shared" si="7880"/>
        <v>0</v>
      </c>
      <c r="H1716" s="24">
        <f t="shared" si="7881"/>
        <v>0</v>
      </c>
      <c r="I1716" s="24">
        <f t="shared" si="7882"/>
        <v>0</v>
      </c>
      <c r="J1716" s="24">
        <f t="shared" si="7883"/>
        <v>0</v>
      </c>
      <c r="K1716" s="8">
        <f t="shared" ref="K1716:K1718" si="7890">SUM(F1716:J1716)</f>
        <v>0</v>
      </c>
      <c r="M1716" s="6"/>
      <c r="N1716" s="7"/>
      <c r="O1716" s="7"/>
      <c r="P1716" s="7"/>
      <c r="Q1716" s="7"/>
      <c r="R1716" s="8">
        <f t="shared" ref="R1716:R1718" si="7891">SUM(M1716:Q1716)</f>
        <v>0</v>
      </c>
      <c r="T1716" s="6"/>
      <c r="U1716" s="7"/>
      <c r="V1716" s="7"/>
      <c r="W1716" s="7"/>
      <c r="X1716" s="7"/>
      <c r="Y1716" s="8">
        <f t="shared" ref="Y1716:Y1718" si="7892">SUM(T1716:X1716)</f>
        <v>0</v>
      </c>
      <c r="AA1716" s="6"/>
      <c r="AB1716" s="7"/>
      <c r="AC1716" s="7"/>
      <c r="AD1716" s="7"/>
      <c r="AE1716" s="7"/>
      <c r="AF1716" s="8">
        <f>SUM(AA1716:AE1716)</f>
        <v>0</v>
      </c>
      <c r="AH1716" s="6"/>
      <c r="AI1716" s="7"/>
      <c r="AJ1716" s="7"/>
      <c r="AK1716" s="7"/>
      <c r="AL1716" s="7"/>
      <c r="AM1716" s="8">
        <f>SUM(AH1716:AL1716)</f>
        <v>0</v>
      </c>
      <c r="AO1716" s="6"/>
      <c r="AP1716" s="7"/>
      <c r="AQ1716" s="7"/>
      <c r="AR1716" s="7"/>
      <c r="AS1716" s="7"/>
      <c r="AT1716" s="8">
        <f>SUM(AO1716:AS1716)</f>
        <v>0</v>
      </c>
      <c r="AV1716" s="6"/>
      <c r="AW1716" s="7"/>
      <c r="AX1716" s="7"/>
      <c r="AY1716" s="7"/>
      <c r="AZ1716" s="7"/>
      <c r="BA1716" s="8">
        <f>SUM(AV1716:AZ1716)</f>
        <v>0</v>
      </c>
      <c r="BC1716" s="6"/>
      <c r="BD1716" s="7"/>
      <c r="BE1716" s="7"/>
      <c r="BF1716" s="7"/>
      <c r="BG1716" s="7"/>
      <c r="BH1716" s="8">
        <f>SUM(BC1716:BG1716)</f>
        <v>0</v>
      </c>
      <c r="BJ1716" s="6"/>
      <c r="BK1716" s="7"/>
      <c r="BL1716" s="7"/>
      <c r="BM1716" s="7"/>
      <c r="BN1716" s="7"/>
      <c r="BO1716" s="8">
        <f>SUM(BJ1716:BN1716)</f>
        <v>0</v>
      </c>
      <c r="BQ1716" s="6"/>
      <c r="BR1716" s="7"/>
      <c r="BS1716" s="7"/>
      <c r="BT1716" s="7"/>
      <c r="BU1716" s="7"/>
      <c r="BV1716" s="8">
        <f>SUM(BQ1716:BU1716)</f>
        <v>0</v>
      </c>
      <c r="BX1716" s="6"/>
      <c r="BY1716" s="7"/>
      <c r="BZ1716" s="7"/>
      <c r="CA1716" s="7"/>
      <c r="CB1716" s="7"/>
      <c r="CC1716" s="8">
        <f>SUM(BX1716:CB1716)</f>
        <v>0</v>
      </c>
      <c r="CE1716" s="28">
        <f t="shared" si="7884"/>
        <v>0</v>
      </c>
      <c r="CF1716" s="29">
        <f t="shared" si="7885"/>
        <v>0</v>
      </c>
      <c r="CG1716" s="29">
        <f t="shared" si="7886"/>
        <v>0</v>
      </c>
      <c r="CH1716" s="29">
        <f t="shared" si="7887"/>
        <v>0</v>
      </c>
      <c r="CI1716" s="29">
        <f t="shared" si="7888"/>
        <v>0</v>
      </c>
      <c r="CJ1716" s="8">
        <f>SUM(CE1716:CI1716)</f>
        <v>0</v>
      </c>
      <c r="CL1716" s="6"/>
      <c r="CM1716" s="7"/>
      <c r="CN1716" s="7"/>
      <c r="CO1716" s="7"/>
      <c r="CP1716" s="7"/>
      <c r="CQ1716" s="8">
        <f>SUM(CL1716:CP1716)</f>
        <v>0</v>
      </c>
      <c r="CS1716" s="6"/>
      <c r="CT1716" s="7"/>
      <c r="CU1716" s="7"/>
      <c r="CV1716" s="7"/>
      <c r="CW1716" s="7"/>
      <c r="CX1716" s="8">
        <f t="shared" ref="CX1716:CX1718" si="7893">SUM(CS1716:CW1716)</f>
        <v>0</v>
      </c>
      <c r="CZ1716" s="6"/>
      <c r="DA1716" s="7"/>
      <c r="DB1716" s="7"/>
      <c r="DC1716" s="7"/>
      <c r="DD1716" s="7"/>
      <c r="DE1716" s="8">
        <f t="shared" ref="DE1716:DE1718" si="7894">SUM(CZ1716:DD1716)</f>
        <v>0</v>
      </c>
    </row>
    <row r="1717" spans="3:109">
      <c r="C1717" s="567"/>
      <c r="E1717" s="5" t="s">
        <v>61</v>
      </c>
      <c r="F1717" s="23">
        <f t="shared" si="7889"/>
        <v>0</v>
      </c>
      <c r="G1717" s="24">
        <f t="shared" si="7880"/>
        <v>0</v>
      </c>
      <c r="H1717" s="24">
        <f t="shared" si="7881"/>
        <v>0</v>
      </c>
      <c r="I1717" s="24">
        <f t="shared" si="7882"/>
        <v>0</v>
      </c>
      <c r="J1717" s="24">
        <f t="shared" si="7883"/>
        <v>0</v>
      </c>
      <c r="K1717" s="8">
        <f t="shared" si="7890"/>
        <v>0</v>
      </c>
      <c r="M1717" s="6"/>
      <c r="N1717" s="7"/>
      <c r="O1717" s="7"/>
      <c r="P1717" s="7"/>
      <c r="Q1717" s="7"/>
      <c r="R1717" s="8">
        <f t="shared" si="7891"/>
        <v>0</v>
      </c>
      <c r="T1717" s="6"/>
      <c r="U1717" s="7"/>
      <c r="V1717" s="7"/>
      <c r="W1717" s="7"/>
      <c r="X1717" s="7"/>
      <c r="Y1717" s="8">
        <f t="shared" si="7892"/>
        <v>0</v>
      </c>
      <c r="AA1717" s="6"/>
      <c r="AB1717" s="7"/>
      <c r="AC1717" s="7"/>
      <c r="AD1717" s="7"/>
      <c r="AE1717" s="7"/>
      <c r="AF1717" s="8">
        <f>SUM(AA1717:AE1717)</f>
        <v>0</v>
      </c>
      <c r="AH1717" s="6"/>
      <c r="AI1717" s="7"/>
      <c r="AJ1717" s="7"/>
      <c r="AK1717" s="7"/>
      <c r="AL1717" s="7"/>
      <c r="AM1717" s="8">
        <f>SUM(AH1717:AL1717)</f>
        <v>0</v>
      </c>
      <c r="AO1717" s="6"/>
      <c r="AP1717" s="7"/>
      <c r="AQ1717" s="7"/>
      <c r="AR1717" s="7"/>
      <c r="AS1717" s="7"/>
      <c r="AT1717" s="8">
        <f>SUM(AO1717:AS1717)</f>
        <v>0</v>
      </c>
      <c r="AV1717" s="6"/>
      <c r="AW1717" s="7"/>
      <c r="AX1717" s="7"/>
      <c r="AY1717" s="7"/>
      <c r="AZ1717" s="7"/>
      <c r="BA1717" s="8">
        <f>SUM(AV1717:AZ1717)</f>
        <v>0</v>
      </c>
      <c r="BC1717" s="6"/>
      <c r="BD1717" s="7"/>
      <c r="BE1717" s="7"/>
      <c r="BF1717" s="7"/>
      <c r="BG1717" s="7"/>
      <c r="BH1717" s="8">
        <f>SUM(BC1717:BG1717)</f>
        <v>0</v>
      </c>
      <c r="BJ1717" s="6"/>
      <c r="BK1717" s="7"/>
      <c r="BL1717" s="7"/>
      <c r="BM1717" s="7"/>
      <c r="BN1717" s="7"/>
      <c r="BO1717" s="8">
        <f>SUM(BJ1717:BN1717)</f>
        <v>0</v>
      </c>
      <c r="BQ1717" s="6"/>
      <c r="BR1717" s="7"/>
      <c r="BS1717" s="7"/>
      <c r="BT1717" s="7"/>
      <c r="BU1717" s="7"/>
      <c r="BV1717" s="8">
        <f>SUM(BQ1717:BU1717)</f>
        <v>0</v>
      </c>
      <c r="BX1717" s="6"/>
      <c r="BY1717" s="7"/>
      <c r="BZ1717" s="7"/>
      <c r="CA1717" s="7"/>
      <c r="CB1717" s="7"/>
      <c r="CC1717" s="8">
        <f>SUM(BX1717:CB1717)</f>
        <v>0</v>
      </c>
      <c r="CE1717" s="28">
        <f t="shared" si="7884"/>
        <v>0</v>
      </c>
      <c r="CF1717" s="29">
        <f t="shared" si="7885"/>
        <v>0</v>
      </c>
      <c r="CG1717" s="29">
        <f t="shared" si="7886"/>
        <v>0</v>
      </c>
      <c r="CH1717" s="29">
        <f t="shared" si="7887"/>
        <v>0</v>
      </c>
      <c r="CI1717" s="29">
        <f t="shared" si="7888"/>
        <v>0</v>
      </c>
      <c r="CJ1717" s="8">
        <f>SUM(CE1717:CI1717)</f>
        <v>0</v>
      </c>
      <c r="CL1717" s="6"/>
      <c r="CM1717" s="7"/>
      <c r="CN1717" s="7"/>
      <c r="CO1717" s="7"/>
      <c r="CP1717" s="7"/>
      <c r="CQ1717" s="8">
        <f>SUM(CL1717:CP1717)</f>
        <v>0</v>
      </c>
      <c r="CS1717" s="6"/>
      <c r="CT1717" s="7"/>
      <c r="CU1717" s="7"/>
      <c r="CV1717" s="7"/>
      <c r="CW1717" s="7"/>
      <c r="CX1717" s="8">
        <f t="shared" si="7893"/>
        <v>0</v>
      </c>
      <c r="CZ1717" s="6"/>
      <c r="DA1717" s="7"/>
      <c r="DB1717" s="7"/>
      <c r="DC1717" s="7"/>
      <c r="DD1717" s="7"/>
      <c r="DE1717" s="8">
        <f t="shared" si="7894"/>
        <v>0</v>
      </c>
    </row>
    <row r="1718" spans="3:109" ht="14" thickBot="1">
      <c r="C1718" s="567"/>
      <c r="E1718" s="5" t="s">
        <v>62</v>
      </c>
      <c r="F1718" s="23">
        <f t="shared" si="7889"/>
        <v>0</v>
      </c>
      <c r="G1718" s="24">
        <f t="shared" si="7880"/>
        <v>0</v>
      </c>
      <c r="H1718" s="24">
        <f t="shared" si="7881"/>
        <v>0</v>
      </c>
      <c r="I1718" s="24">
        <f t="shared" si="7882"/>
        <v>0</v>
      </c>
      <c r="J1718" s="24">
        <f t="shared" si="7883"/>
        <v>0</v>
      </c>
      <c r="K1718" s="8">
        <f t="shared" si="7890"/>
        <v>0</v>
      </c>
      <c r="M1718" s="6"/>
      <c r="N1718" s="7"/>
      <c r="O1718" s="7"/>
      <c r="P1718" s="7"/>
      <c r="Q1718" s="7"/>
      <c r="R1718" s="8">
        <f t="shared" si="7891"/>
        <v>0</v>
      </c>
      <c r="T1718" s="6"/>
      <c r="U1718" s="7"/>
      <c r="V1718" s="7"/>
      <c r="W1718" s="7"/>
      <c r="X1718" s="7"/>
      <c r="Y1718" s="8">
        <f t="shared" si="7892"/>
        <v>0</v>
      </c>
      <c r="AA1718" s="6"/>
      <c r="AB1718" s="7"/>
      <c r="AC1718" s="7"/>
      <c r="AD1718" s="7"/>
      <c r="AE1718" s="7"/>
      <c r="AF1718" s="8">
        <f>SUM(AA1718:AE1718)</f>
        <v>0</v>
      </c>
      <c r="AH1718" s="6"/>
      <c r="AI1718" s="7"/>
      <c r="AJ1718" s="7"/>
      <c r="AK1718" s="7"/>
      <c r="AL1718" s="7"/>
      <c r="AM1718" s="8">
        <f>SUM(AH1718:AL1718)</f>
        <v>0</v>
      </c>
      <c r="AO1718" s="6"/>
      <c r="AP1718" s="7"/>
      <c r="AQ1718" s="7"/>
      <c r="AR1718" s="7"/>
      <c r="AS1718" s="7"/>
      <c r="AT1718" s="8">
        <f>SUM(AO1718:AS1718)</f>
        <v>0</v>
      </c>
      <c r="AV1718" s="6"/>
      <c r="AW1718" s="7"/>
      <c r="AX1718" s="7"/>
      <c r="AY1718" s="7"/>
      <c r="AZ1718" s="7"/>
      <c r="BA1718" s="8">
        <f>SUM(AV1718:AZ1718)</f>
        <v>0</v>
      </c>
      <c r="BC1718" s="6"/>
      <c r="BD1718" s="7"/>
      <c r="BE1718" s="7"/>
      <c r="BF1718" s="7"/>
      <c r="BG1718" s="7"/>
      <c r="BH1718" s="8">
        <f>SUM(BC1718:BG1718)</f>
        <v>0</v>
      </c>
      <c r="BJ1718" s="6"/>
      <c r="BK1718" s="7"/>
      <c r="BL1718" s="7"/>
      <c r="BM1718" s="7"/>
      <c r="BN1718" s="7"/>
      <c r="BO1718" s="8">
        <f>SUM(BJ1718:BN1718)</f>
        <v>0</v>
      </c>
      <c r="BQ1718" s="6"/>
      <c r="BR1718" s="7"/>
      <c r="BS1718" s="7"/>
      <c r="BT1718" s="7"/>
      <c r="BU1718" s="7"/>
      <c r="BV1718" s="8">
        <f>SUM(BQ1718:BU1718)</f>
        <v>0</v>
      </c>
      <c r="BX1718" s="6"/>
      <c r="BY1718" s="7"/>
      <c r="BZ1718" s="7"/>
      <c r="CA1718" s="7"/>
      <c r="CB1718" s="7"/>
      <c r="CC1718" s="8">
        <f>SUM(BX1718:CB1718)</f>
        <v>0</v>
      </c>
      <c r="CE1718" s="493">
        <f t="shared" si="7884"/>
        <v>0</v>
      </c>
      <c r="CF1718" s="494">
        <f t="shared" si="7885"/>
        <v>0</v>
      </c>
      <c r="CG1718" s="494">
        <f t="shared" si="7886"/>
        <v>0</v>
      </c>
      <c r="CH1718" s="494">
        <f t="shared" si="7887"/>
        <v>0</v>
      </c>
      <c r="CI1718" s="494">
        <f t="shared" si="7888"/>
        <v>0</v>
      </c>
      <c r="CJ1718" s="495">
        <f>SUM(CE1718:CI1718)</f>
        <v>0</v>
      </c>
      <c r="CL1718" s="6"/>
      <c r="CM1718" s="7"/>
      <c r="CN1718" s="7"/>
      <c r="CO1718" s="7"/>
      <c r="CP1718" s="7"/>
      <c r="CQ1718" s="8">
        <f>SUM(CL1718:CP1718)</f>
        <v>0</v>
      </c>
      <c r="CS1718" s="6"/>
      <c r="CT1718" s="7"/>
      <c r="CU1718" s="7"/>
      <c r="CV1718" s="7"/>
      <c r="CW1718" s="7"/>
      <c r="CX1718" s="8">
        <f t="shared" si="7893"/>
        <v>0</v>
      </c>
      <c r="CZ1718" s="6"/>
      <c r="DA1718" s="7"/>
      <c r="DB1718" s="7"/>
      <c r="DC1718" s="7"/>
      <c r="DD1718" s="7"/>
      <c r="DE1718" s="8">
        <f t="shared" si="7894"/>
        <v>0</v>
      </c>
    </row>
    <row r="1719" spans="3:109" ht="14" thickBot="1">
      <c r="C1719" s="554"/>
      <c r="E1719" s="9"/>
      <c r="F1719" s="10">
        <f>SUM(F1715:F1718)</f>
        <v>0</v>
      </c>
      <c r="G1719" s="11">
        <f t="shared" ref="G1719:J1719" si="7895">SUM(G1715:G1718)</f>
        <v>0</v>
      </c>
      <c r="H1719" s="11">
        <f t="shared" si="7895"/>
        <v>0</v>
      </c>
      <c r="I1719" s="11">
        <f t="shared" si="7895"/>
        <v>0</v>
      </c>
      <c r="J1719" s="11">
        <f t="shared" si="7895"/>
        <v>0</v>
      </c>
      <c r="K1719" s="25">
        <f>SUM(K1715:K1718)</f>
        <v>0</v>
      </c>
      <c r="M1719" s="10">
        <f>SUM(M1715:M1718)</f>
        <v>0</v>
      </c>
      <c r="N1719" s="11">
        <f t="shared" ref="N1719:Q1719" si="7896">SUM(N1715:N1718)</f>
        <v>0</v>
      </c>
      <c r="O1719" s="11">
        <f t="shared" si="7896"/>
        <v>0</v>
      </c>
      <c r="P1719" s="11">
        <f t="shared" si="7896"/>
        <v>0</v>
      </c>
      <c r="Q1719" s="11">
        <f t="shared" si="7896"/>
        <v>0</v>
      </c>
      <c r="R1719" s="25">
        <f>SUM(R1715:R1718)</f>
        <v>0</v>
      </c>
      <c r="T1719" s="10">
        <f>SUM(T1715:T1718)</f>
        <v>0</v>
      </c>
      <c r="U1719" s="11">
        <f t="shared" ref="U1719:X1719" si="7897">SUM(U1715:U1718)</f>
        <v>0</v>
      </c>
      <c r="V1719" s="11">
        <f t="shared" si="7897"/>
        <v>0</v>
      </c>
      <c r="W1719" s="11">
        <f t="shared" si="7897"/>
        <v>0</v>
      </c>
      <c r="X1719" s="11">
        <f t="shared" si="7897"/>
        <v>0</v>
      </c>
      <c r="Y1719" s="25">
        <f>SUM(Y1715:Y1718)</f>
        <v>0</v>
      </c>
      <c r="AA1719" s="10">
        <f>SUM(AA1715:AA1718)</f>
        <v>0</v>
      </c>
      <c r="AB1719" s="11">
        <f t="shared" ref="AB1719:AE1719" si="7898">SUM(AB1715:AB1718)</f>
        <v>0</v>
      </c>
      <c r="AC1719" s="11">
        <f t="shared" si="7898"/>
        <v>0</v>
      </c>
      <c r="AD1719" s="11">
        <f t="shared" si="7898"/>
        <v>0</v>
      </c>
      <c r="AE1719" s="11">
        <f t="shared" si="7898"/>
        <v>0</v>
      </c>
      <c r="AF1719" s="25">
        <f>SUM(AF1715:AF1718)</f>
        <v>0</v>
      </c>
      <c r="AH1719" s="10">
        <f>SUM(AH1715:AH1718)</f>
        <v>0</v>
      </c>
      <c r="AI1719" s="11">
        <f t="shared" ref="AI1719:AL1719" si="7899">SUM(AI1715:AI1718)</f>
        <v>0</v>
      </c>
      <c r="AJ1719" s="11">
        <f t="shared" si="7899"/>
        <v>0</v>
      </c>
      <c r="AK1719" s="11">
        <f t="shared" si="7899"/>
        <v>0</v>
      </c>
      <c r="AL1719" s="11">
        <f t="shared" si="7899"/>
        <v>0</v>
      </c>
      <c r="AM1719" s="25">
        <f>SUM(AM1715:AM1718)</f>
        <v>0</v>
      </c>
      <c r="AO1719" s="10">
        <f>SUM(AO1715:AO1718)</f>
        <v>0</v>
      </c>
      <c r="AP1719" s="11">
        <f t="shared" ref="AP1719:AS1719" si="7900">SUM(AP1715:AP1718)</f>
        <v>0</v>
      </c>
      <c r="AQ1719" s="11">
        <f t="shared" si="7900"/>
        <v>0</v>
      </c>
      <c r="AR1719" s="11">
        <f t="shared" si="7900"/>
        <v>0</v>
      </c>
      <c r="AS1719" s="11">
        <f t="shared" si="7900"/>
        <v>0</v>
      </c>
      <c r="AT1719" s="25">
        <f>SUM(AT1715:AT1718)</f>
        <v>0</v>
      </c>
      <c r="AV1719" s="10">
        <f>SUM(AV1715:AV1718)</f>
        <v>0</v>
      </c>
      <c r="AW1719" s="11">
        <f t="shared" ref="AW1719:AZ1719" si="7901">SUM(AW1715:AW1718)</f>
        <v>0</v>
      </c>
      <c r="AX1719" s="11">
        <f t="shared" si="7901"/>
        <v>0</v>
      </c>
      <c r="AY1719" s="11">
        <f t="shared" si="7901"/>
        <v>0</v>
      </c>
      <c r="AZ1719" s="11">
        <f t="shared" si="7901"/>
        <v>0</v>
      </c>
      <c r="BA1719" s="25">
        <f>SUM(BA1715:BA1718)</f>
        <v>0</v>
      </c>
      <c r="BC1719" s="10">
        <f>SUM(BC1715:BC1718)</f>
        <v>0</v>
      </c>
      <c r="BD1719" s="11">
        <f t="shared" ref="BD1719:BG1719" si="7902">SUM(BD1715:BD1718)</f>
        <v>0</v>
      </c>
      <c r="BE1719" s="11">
        <f t="shared" si="7902"/>
        <v>0</v>
      </c>
      <c r="BF1719" s="11">
        <f t="shared" si="7902"/>
        <v>0</v>
      </c>
      <c r="BG1719" s="11">
        <f t="shared" si="7902"/>
        <v>0</v>
      </c>
      <c r="BH1719" s="25">
        <f>SUM(BH1715:BH1718)</f>
        <v>0</v>
      </c>
      <c r="BJ1719" s="10">
        <f>SUM(BJ1715:BJ1718)</f>
        <v>0</v>
      </c>
      <c r="BK1719" s="11">
        <f t="shared" ref="BK1719:BN1719" si="7903">SUM(BK1715:BK1718)</f>
        <v>0</v>
      </c>
      <c r="BL1719" s="11">
        <f t="shared" si="7903"/>
        <v>0</v>
      </c>
      <c r="BM1719" s="11">
        <f t="shared" si="7903"/>
        <v>0</v>
      </c>
      <c r="BN1719" s="11">
        <f t="shared" si="7903"/>
        <v>0</v>
      </c>
      <c r="BO1719" s="25">
        <f>SUM(BO1715:BO1718)</f>
        <v>0</v>
      </c>
      <c r="BQ1719" s="10">
        <f>SUM(BQ1715:BQ1718)</f>
        <v>0</v>
      </c>
      <c r="BR1719" s="11">
        <f t="shared" ref="BR1719:BU1719" si="7904">SUM(BR1715:BR1718)</f>
        <v>0</v>
      </c>
      <c r="BS1719" s="11">
        <f t="shared" si="7904"/>
        <v>0</v>
      </c>
      <c r="BT1719" s="11">
        <f t="shared" si="7904"/>
        <v>0</v>
      </c>
      <c r="BU1719" s="11">
        <f t="shared" si="7904"/>
        <v>0</v>
      </c>
      <c r="BV1719" s="25">
        <f>SUM(BV1715:BV1718)</f>
        <v>0</v>
      </c>
      <c r="BX1719" s="10">
        <f>SUM(BX1715:BX1718)</f>
        <v>0</v>
      </c>
      <c r="BY1719" s="11">
        <f t="shared" ref="BY1719:CB1719" si="7905">SUM(BY1715:BY1718)</f>
        <v>0</v>
      </c>
      <c r="BZ1719" s="11">
        <f t="shared" si="7905"/>
        <v>0</v>
      </c>
      <c r="CA1719" s="11">
        <f t="shared" si="7905"/>
        <v>0</v>
      </c>
      <c r="CB1719" s="11">
        <f t="shared" si="7905"/>
        <v>0</v>
      </c>
      <c r="CC1719" s="25">
        <f>SUM(CC1715:CC1718)</f>
        <v>0</v>
      </c>
      <c r="CE1719" s="62">
        <f t="shared" ref="CE1719:CJ1719" si="7906">SUM(CE1715:CE1718)</f>
        <v>0</v>
      </c>
      <c r="CF1719" s="63">
        <f t="shared" si="7906"/>
        <v>0</v>
      </c>
      <c r="CG1719" s="63">
        <f t="shared" si="7906"/>
        <v>0</v>
      </c>
      <c r="CH1719" s="63">
        <f t="shared" si="7906"/>
        <v>0</v>
      </c>
      <c r="CI1719" s="63">
        <f t="shared" si="7906"/>
        <v>0</v>
      </c>
      <c r="CJ1719" s="25">
        <f t="shared" si="7906"/>
        <v>0</v>
      </c>
      <c r="CL1719" s="10">
        <f>SUM(CL1715:CL1718)</f>
        <v>0</v>
      </c>
      <c r="CM1719" s="11">
        <f t="shared" ref="CM1719:CP1719" si="7907">SUM(CM1715:CM1718)</f>
        <v>0</v>
      </c>
      <c r="CN1719" s="11">
        <f t="shared" si="7907"/>
        <v>0</v>
      </c>
      <c r="CO1719" s="11">
        <f t="shared" si="7907"/>
        <v>0</v>
      </c>
      <c r="CP1719" s="11">
        <f t="shared" si="7907"/>
        <v>0</v>
      </c>
      <c r="CQ1719" s="25">
        <f>SUM(CQ1715:CQ1718)</f>
        <v>0</v>
      </c>
      <c r="CS1719" s="10">
        <f>SUM(CS1715:CS1718)</f>
        <v>0</v>
      </c>
      <c r="CT1719" s="11">
        <f t="shared" ref="CT1719:CW1719" si="7908">SUM(CT1715:CT1718)</f>
        <v>0</v>
      </c>
      <c r="CU1719" s="11">
        <f t="shared" si="7908"/>
        <v>0</v>
      </c>
      <c r="CV1719" s="11">
        <f t="shared" si="7908"/>
        <v>0</v>
      </c>
      <c r="CW1719" s="11">
        <f t="shared" si="7908"/>
        <v>0</v>
      </c>
      <c r="CX1719" s="25">
        <f>SUM(CX1715:CX1718)</f>
        <v>0</v>
      </c>
      <c r="CZ1719" s="10">
        <f>SUM(CZ1715:CZ1718)</f>
        <v>0</v>
      </c>
      <c r="DA1719" s="11">
        <f t="shared" ref="DA1719:DD1719" si="7909">SUM(DA1715:DA1718)</f>
        <v>0</v>
      </c>
      <c r="DB1719" s="11">
        <f t="shared" si="7909"/>
        <v>0</v>
      </c>
      <c r="DC1719" s="11">
        <f t="shared" si="7909"/>
        <v>0</v>
      </c>
      <c r="DD1719" s="11">
        <f t="shared" si="7909"/>
        <v>0</v>
      </c>
      <c r="DE1719" s="25">
        <f>SUM(DE1715:DE1718)</f>
        <v>0</v>
      </c>
    </row>
    <row r="1720" spans="3:109" ht="10.4" customHeight="1" thickBot="1"/>
    <row r="1721" spans="3:109">
      <c r="C1721" s="553">
        <v>2027</v>
      </c>
      <c r="E1721" s="1" t="s">
        <v>59</v>
      </c>
      <c r="F1721" s="21">
        <f>CE1715</f>
        <v>0</v>
      </c>
      <c r="G1721" s="22">
        <f t="shared" ref="G1721:G1724" si="7910">CF1715</f>
        <v>0</v>
      </c>
      <c r="H1721" s="22">
        <f t="shared" ref="H1721:H1724" si="7911">CG1715</f>
        <v>0</v>
      </c>
      <c r="I1721" s="22">
        <f t="shared" ref="I1721:I1724" si="7912">CH1715</f>
        <v>0</v>
      </c>
      <c r="J1721" s="22">
        <f t="shared" ref="J1721:J1724" si="7913">CI1715</f>
        <v>0</v>
      </c>
      <c r="K1721" s="4">
        <f>SUM(F1721:J1721)</f>
        <v>0</v>
      </c>
      <c r="M1721" s="2"/>
      <c r="N1721" s="3"/>
      <c r="O1721" s="3"/>
      <c r="P1721" s="3"/>
      <c r="Q1721" s="3"/>
      <c r="R1721" s="4">
        <f>SUM(M1721:Q1721)</f>
        <v>0</v>
      </c>
      <c r="T1721" s="2"/>
      <c r="U1721" s="3"/>
      <c r="V1721" s="3"/>
      <c r="W1721" s="3"/>
      <c r="X1721" s="3"/>
      <c r="Y1721" s="4">
        <f>SUM(T1721:X1721)</f>
        <v>0</v>
      </c>
      <c r="AA1721" s="2"/>
      <c r="AB1721" s="3"/>
      <c r="AC1721" s="3"/>
      <c r="AD1721" s="3"/>
      <c r="AE1721" s="3"/>
      <c r="AF1721" s="4">
        <f>SUM(AA1721:AE1721)</f>
        <v>0</v>
      </c>
      <c r="AH1721" s="2"/>
      <c r="AI1721" s="3"/>
      <c r="AJ1721" s="3"/>
      <c r="AK1721" s="3"/>
      <c r="AL1721" s="3"/>
      <c r="AM1721" s="4">
        <f>SUM(AH1721:AL1721)</f>
        <v>0</v>
      </c>
      <c r="AO1721" s="2"/>
      <c r="AP1721" s="3"/>
      <c r="AQ1721" s="3"/>
      <c r="AR1721" s="3"/>
      <c r="AS1721" s="3"/>
      <c r="AT1721" s="4">
        <f>SUM(AO1721:AS1721)</f>
        <v>0</v>
      </c>
      <c r="AV1721" s="2"/>
      <c r="AW1721" s="3"/>
      <c r="AX1721" s="3"/>
      <c r="AY1721" s="3"/>
      <c r="AZ1721" s="3"/>
      <c r="BA1721" s="4">
        <f>SUM(AV1721:AZ1721)</f>
        <v>0</v>
      </c>
      <c r="BC1721" s="2"/>
      <c r="BD1721" s="3"/>
      <c r="BE1721" s="3"/>
      <c r="BF1721" s="3"/>
      <c r="BG1721" s="3"/>
      <c r="BH1721" s="4">
        <f>SUM(BC1721:BG1721)</f>
        <v>0</v>
      </c>
      <c r="BJ1721" s="2"/>
      <c r="BK1721" s="3"/>
      <c r="BL1721" s="3"/>
      <c r="BM1721" s="3"/>
      <c r="BN1721" s="3"/>
      <c r="BO1721" s="4">
        <f>SUM(BJ1721:BN1721)</f>
        <v>0</v>
      </c>
      <c r="BQ1721" s="2"/>
      <c r="BR1721" s="3"/>
      <c r="BS1721" s="3"/>
      <c r="BT1721" s="3"/>
      <c r="BU1721" s="3"/>
      <c r="BV1721" s="4">
        <f>SUM(BQ1721:BU1721)</f>
        <v>0</v>
      </c>
      <c r="BX1721" s="2"/>
      <c r="BY1721" s="3"/>
      <c r="BZ1721" s="3"/>
      <c r="CA1721" s="3"/>
      <c r="CB1721" s="3"/>
      <c r="CC1721" s="4">
        <f>SUM(BX1721:CB1721)</f>
        <v>0</v>
      </c>
      <c r="CE1721" s="26">
        <f t="shared" ref="CE1721:CE1724" si="7914">F1721+M1721+T1721+AA1721+AH1721+AO1721+AV1721+BC1721+BJ1721+BQ1721+BX1721</f>
        <v>0</v>
      </c>
      <c r="CF1721" s="27">
        <f t="shared" ref="CF1721:CF1724" si="7915">G1721+N1721+U1721+AB1721+AI1721+AP1721+AW1721+BD1721+BK1721+BR1721+BY1721</f>
        <v>0</v>
      </c>
      <c r="CG1721" s="27">
        <f t="shared" ref="CG1721:CG1724" si="7916">H1721+O1721+V1721+AC1721+AJ1721+AQ1721+AX1721+BE1721+BL1721+BS1721+BZ1721</f>
        <v>0</v>
      </c>
      <c r="CH1721" s="27">
        <f t="shared" ref="CH1721:CH1724" si="7917">I1721+P1721+W1721+AD1721+AK1721+AR1721+AY1721+BF1721+BM1721+BT1721+CA1721</f>
        <v>0</v>
      </c>
      <c r="CI1721" s="27">
        <f t="shared" ref="CI1721:CI1724" si="7918">J1721+Q1721+X1721+AE1721+AL1721+AS1721+AZ1721+BG1721+BN1721+BU1721+CB1721</f>
        <v>0</v>
      </c>
      <c r="CJ1721" s="4">
        <f>SUM(CE1721:CI1721)</f>
        <v>0</v>
      </c>
      <c r="CL1721" s="2"/>
      <c r="CM1721" s="3"/>
      <c r="CN1721" s="3"/>
      <c r="CO1721" s="3"/>
      <c r="CP1721" s="3"/>
      <c r="CQ1721" s="4">
        <f>SUM(CL1721:CP1721)</f>
        <v>0</v>
      </c>
      <c r="CS1721" s="2"/>
      <c r="CT1721" s="3"/>
      <c r="CU1721" s="3"/>
      <c r="CV1721" s="3"/>
      <c r="CW1721" s="3"/>
      <c r="CX1721" s="4">
        <f>SUM(CS1721:CW1721)</f>
        <v>0</v>
      </c>
      <c r="CZ1721" s="2"/>
      <c r="DA1721" s="3"/>
      <c r="DB1721" s="3"/>
      <c r="DC1721" s="3"/>
      <c r="DD1721" s="3"/>
      <c r="DE1721" s="4">
        <f>SUM(CZ1721:DD1721)</f>
        <v>0</v>
      </c>
    </row>
    <row r="1722" spans="3:109">
      <c r="C1722" s="567"/>
      <c r="E1722" s="5" t="s">
        <v>60</v>
      </c>
      <c r="F1722" s="23">
        <f t="shared" ref="F1722:F1724" si="7919">CE1716</f>
        <v>0</v>
      </c>
      <c r="G1722" s="24">
        <f t="shared" si="7910"/>
        <v>0</v>
      </c>
      <c r="H1722" s="24">
        <f t="shared" si="7911"/>
        <v>0</v>
      </c>
      <c r="I1722" s="24">
        <f t="shared" si="7912"/>
        <v>0</v>
      </c>
      <c r="J1722" s="24">
        <f t="shared" si="7913"/>
        <v>0</v>
      </c>
      <c r="K1722" s="8">
        <f t="shared" ref="K1722:K1724" si="7920">SUM(F1722:J1722)</f>
        <v>0</v>
      </c>
      <c r="M1722" s="6"/>
      <c r="N1722" s="7"/>
      <c r="O1722" s="7"/>
      <c r="P1722" s="7"/>
      <c r="Q1722" s="7"/>
      <c r="R1722" s="8">
        <f t="shared" ref="R1722:R1724" si="7921">SUM(M1722:Q1722)</f>
        <v>0</v>
      </c>
      <c r="T1722" s="6"/>
      <c r="U1722" s="7"/>
      <c r="V1722" s="7"/>
      <c r="W1722" s="7"/>
      <c r="X1722" s="7"/>
      <c r="Y1722" s="8">
        <f t="shared" ref="Y1722:Y1724" si="7922">SUM(T1722:X1722)</f>
        <v>0</v>
      </c>
      <c r="AA1722" s="6"/>
      <c r="AB1722" s="7"/>
      <c r="AC1722" s="7"/>
      <c r="AD1722" s="7"/>
      <c r="AE1722" s="7"/>
      <c r="AF1722" s="8">
        <f>SUM(AA1722:AE1722)</f>
        <v>0</v>
      </c>
      <c r="AH1722" s="6"/>
      <c r="AI1722" s="7"/>
      <c r="AJ1722" s="7"/>
      <c r="AK1722" s="7"/>
      <c r="AL1722" s="7"/>
      <c r="AM1722" s="8">
        <f>SUM(AH1722:AL1722)</f>
        <v>0</v>
      </c>
      <c r="AO1722" s="6"/>
      <c r="AP1722" s="7"/>
      <c r="AQ1722" s="7"/>
      <c r="AR1722" s="7"/>
      <c r="AS1722" s="7"/>
      <c r="AT1722" s="8">
        <f>SUM(AO1722:AS1722)</f>
        <v>0</v>
      </c>
      <c r="AV1722" s="6"/>
      <c r="AW1722" s="7"/>
      <c r="AX1722" s="7"/>
      <c r="AY1722" s="7"/>
      <c r="AZ1722" s="7"/>
      <c r="BA1722" s="8">
        <f>SUM(AV1722:AZ1722)</f>
        <v>0</v>
      </c>
      <c r="BC1722" s="6"/>
      <c r="BD1722" s="7"/>
      <c r="BE1722" s="7"/>
      <c r="BF1722" s="7"/>
      <c r="BG1722" s="7"/>
      <c r="BH1722" s="8">
        <f>SUM(BC1722:BG1722)</f>
        <v>0</v>
      </c>
      <c r="BJ1722" s="6"/>
      <c r="BK1722" s="7"/>
      <c r="BL1722" s="7"/>
      <c r="BM1722" s="7"/>
      <c r="BN1722" s="7"/>
      <c r="BO1722" s="8">
        <f>SUM(BJ1722:BN1722)</f>
        <v>0</v>
      </c>
      <c r="BQ1722" s="6"/>
      <c r="BR1722" s="7"/>
      <c r="BS1722" s="7"/>
      <c r="BT1722" s="7"/>
      <c r="BU1722" s="7"/>
      <c r="BV1722" s="8">
        <f>SUM(BQ1722:BU1722)</f>
        <v>0</v>
      </c>
      <c r="BX1722" s="6"/>
      <c r="BY1722" s="7"/>
      <c r="BZ1722" s="7"/>
      <c r="CA1722" s="7"/>
      <c r="CB1722" s="7"/>
      <c r="CC1722" s="8">
        <f>SUM(BX1722:CB1722)</f>
        <v>0</v>
      </c>
      <c r="CE1722" s="28">
        <f t="shared" si="7914"/>
        <v>0</v>
      </c>
      <c r="CF1722" s="29">
        <f t="shared" si="7915"/>
        <v>0</v>
      </c>
      <c r="CG1722" s="29">
        <f t="shared" si="7916"/>
        <v>0</v>
      </c>
      <c r="CH1722" s="29">
        <f t="shared" si="7917"/>
        <v>0</v>
      </c>
      <c r="CI1722" s="29">
        <f t="shared" si="7918"/>
        <v>0</v>
      </c>
      <c r="CJ1722" s="8">
        <f>SUM(CE1722:CI1722)</f>
        <v>0</v>
      </c>
      <c r="CL1722" s="6"/>
      <c r="CM1722" s="7"/>
      <c r="CN1722" s="7"/>
      <c r="CO1722" s="7"/>
      <c r="CP1722" s="7"/>
      <c r="CQ1722" s="8">
        <f>SUM(CL1722:CP1722)</f>
        <v>0</v>
      </c>
      <c r="CS1722" s="6"/>
      <c r="CT1722" s="7"/>
      <c r="CU1722" s="7"/>
      <c r="CV1722" s="7"/>
      <c r="CW1722" s="7"/>
      <c r="CX1722" s="8">
        <f t="shared" ref="CX1722:CX1724" si="7923">SUM(CS1722:CW1722)</f>
        <v>0</v>
      </c>
      <c r="CZ1722" s="6"/>
      <c r="DA1722" s="7"/>
      <c r="DB1722" s="7"/>
      <c r="DC1722" s="7"/>
      <c r="DD1722" s="7"/>
      <c r="DE1722" s="8">
        <f t="shared" ref="DE1722:DE1724" si="7924">SUM(CZ1722:DD1722)</f>
        <v>0</v>
      </c>
    </row>
    <row r="1723" spans="3:109">
      <c r="C1723" s="567"/>
      <c r="E1723" s="5" t="s">
        <v>61</v>
      </c>
      <c r="F1723" s="23">
        <f t="shared" si="7919"/>
        <v>0</v>
      </c>
      <c r="G1723" s="24">
        <f t="shared" si="7910"/>
        <v>0</v>
      </c>
      <c r="H1723" s="24">
        <f t="shared" si="7911"/>
        <v>0</v>
      </c>
      <c r="I1723" s="24">
        <f t="shared" si="7912"/>
        <v>0</v>
      </c>
      <c r="J1723" s="24">
        <f t="shared" si="7913"/>
        <v>0</v>
      </c>
      <c r="K1723" s="8">
        <f t="shared" si="7920"/>
        <v>0</v>
      </c>
      <c r="M1723" s="6"/>
      <c r="N1723" s="7"/>
      <c r="O1723" s="7"/>
      <c r="P1723" s="7"/>
      <c r="Q1723" s="7"/>
      <c r="R1723" s="8">
        <f t="shared" si="7921"/>
        <v>0</v>
      </c>
      <c r="T1723" s="6"/>
      <c r="U1723" s="7"/>
      <c r="V1723" s="7"/>
      <c r="W1723" s="7"/>
      <c r="X1723" s="7"/>
      <c r="Y1723" s="8">
        <f t="shared" si="7922"/>
        <v>0</v>
      </c>
      <c r="AA1723" s="6"/>
      <c r="AB1723" s="7"/>
      <c r="AC1723" s="7"/>
      <c r="AD1723" s="7"/>
      <c r="AE1723" s="7"/>
      <c r="AF1723" s="8">
        <f>SUM(AA1723:AE1723)</f>
        <v>0</v>
      </c>
      <c r="AH1723" s="6"/>
      <c r="AI1723" s="7"/>
      <c r="AJ1723" s="7"/>
      <c r="AK1723" s="7"/>
      <c r="AL1723" s="7"/>
      <c r="AM1723" s="8">
        <f>SUM(AH1723:AL1723)</f>
        <v>0</v>
      </c>
      <c r="AO1723" s="6"/>
      <c r="AP1723" s="7"/>
      <c r="AQ1723" s="7"/>
      <c r="AR1723" s="7"/>
      <c r="AS1723" s="7"/>
      <c r="AT1723" s="8">
        <f>SUM(AO1723:AS1723)</f>
        <v>0</v>
      </c>
      <c r="AV1723" s="6"/>
      <c r="AW1723" s="7"/>
      <c r="AX1723" s="7"/>
      <c r="AY1723" s="7"/>
      <c r="AZ1723" s="7"/>
      <c r="BA1723" s="8">
        <f>SUM(AV1723:AZ1723)</f>
        <v>0</v>
      </c>
      <c r="BC1723" s="6"/>
      <c r="BD1723" s="7"/>
      <c r="BE1723" s="7"/>
      <c r="BF1723" s="7"/>
      <c r="BG1723" s="7"/>
      <c r="BH1723" s="8">
        <f>SUM(BC1723:BG1723)</f>
        <v>0</v>
      </c>
      <c r="BJ1723" s="6"/>
      <c r="BK1723" s="7"/>
      <c r="BL1723" s="7"/>
      <c r="BM1723" s="7"/>
      <c r="BN1723" s="7"/>
      <c r="BO1723" s="8">
        <f>SUM(BJ1723:BN1723)</f>
        <v>0</v>
      </c>
      <c r="BQ1723" s="6"/>
      <c r="BR1723" s="7"/>
      <c r="BS1723" s="7"/>
      <c r="BT1723" s="7"/>
      <c r="BU1723" s="7"/>
      <c r="BV1723" s="8">
        <f>SUM(BQ1723:BU1723)</f>
        <v>0</v>
      </c>
      <c r="BX1723" s="6"/>
      <c r="BY1723" s="7"/>
      <c r="BZ1723" s="7"/>
      <c r="CA1723" s="7"/>
      <c r="CB1723" s="7"/>
      <c r="CC1723" s="8">
        <f>SUM(BX1723:CB1723)</f>
        <v>0</v>
      </c>
      <c r="CE1723" s="28">
        <f t="shared" si="7914"/>
        <v>0</v>
      </c>
      <c r="CF1723" s="29">
        <f t="shared" si="7915"/>
        <v>0</v>
      </c>
      <c r="CG1723" s="29">
        <f t="shared" si="7916"/>
        <v>0</v>
      </c>
      <c r="CH1723" s="29">
        <f t="shared" si="7917"/>
        <v>0</v>
      </c>
      <c r="CI1723" s="29">
        <f t="shared" si="7918"/>
        <v>0</v>
      </c>
      <c r="CJ1723" s="8">
        <f>SUM(CE1723:CI1723)</f>
        <v>0</v>
      </c>
      <c r="CL1723" s="6"/>
      <c r="CM1723" s="7"/>
      <c r="CN1723" s="7"/>
      <c r="CO1723" s="7"/>
      <c r="CP1723" s="7"/>
      <c r="CQ1723" s="8">
        <f>SUM(CL1723:CP1723)</f>
        <v>0</v>
      </c>
      <c r="CS1723" s="6"/>
      <c r="CT1723" s="7"/>
      <c r="CU1723" s="7"/>
      <c r="CV1723" s="7"/>
      <c r="CW1723" s="7"/>
      <c r="CX1723" s="8">
        <f t="shared" si="7923"/>
        <v>0</v>
      </c>
      <c r="CZ1723" s="6"/>
      <c r="DA1723" s="7"/>
      <c r="DB1723" s="7"/>
      <c r="DC1723" s="7"/>
      <c r="DD1723" s="7"/>
      <c r="DE1723" s="8">
        <f t="shared" si="7924"/>
        <v>0</v>
      </c>
    </row>
    <row r="1724" spans="3:109" ht="14" thickBot="1">
      <c r="C1724" s="567"/>
      <c r="E1724" s="5" t="s">
        <v>62</v>
      </c>
      <c r="F1724" s="23">
        <f t="shared" si="7919"/>
        <v>0</v>
      </c>
      <c r="G1724" s="24">
        <f t="shared" si="7910"/>
        <v>0</v>
      </c>
      <c r="H1724" s="24">
        <f t="shared" si="7911"/>
        <v>0</v>
      </c>
      <c r="I1724" s="24">
        <f t="shared" si="7912"/>
        <v>0</v>
      </c>
      <c r="J1724" s="24">
        <f t="shared" si="7913"/>
        <v>0</v>
      </c>
      <c r="K1724" s="8">
        <f t="shared" si="7920"/>
        <v>0</v>
      </c>
      <c r="M1724" s="6"/>
      <c r="N1724" s="7"/>
      <c r="O1724" s="7"/>
      <c r="P1724" s="7"/>
      <c r="Q1724" s="7"/>
      <c r="R1724" s="8">
        <f t="shared" si="7921"/>
        <v>0</v>
      </c>
      <c r="T1724" s="6"/>
      <c r="U1724" s="7"/>
      <c r="V1724" s="7"/>
      <c r="W1724" s="7"/>
      <c r="X1724" s="7"/>
      <c r="Y1724" s="8">
        <f t="shared" si="7922"/>
        <v>0</v>
      </c>
      <c r="AA1724" s="6"/>
      <c r="AB1724" s="7"/>
      <c r="AC1724" s="7"/>
      <c r="AD1724" s="7"/>
      <c r="AE1724" s="7"/>
      <c r="AF1724" s="8">
        <f>SUM(AA1724:AE1724)</f>
        <v>0</v>
      </c>
      <c r="AH1724" s="6"/>
      <c r="AI1724" s="7"/>
      <c r="AJ1724" s="7"/>
      <c r="AK1724" s="7"/>
      <c r="AL1724" s="7"/>
      <c r="AM1724" s="8">
        <f>SUM(AH1724:AL1724)</f>
        <v>0</v>
      </c>
      <c r="AO1724" s="6"/>
      <c r="AP1724" s="7"/>
      <c r="AQ1724" s="7"/>
      <c r="AR1724" s="7"/>
      <c r="AS1724" s="7"/>
      <c r="AT1724" s="8">
        <f>SUM(AO1724:AS1724)</f>
        <v>0</v>
      </c>
      <c r="AV1724" s="6"/>
      <c r="AW1724" s="7"/>
      <c r="AX1724" s="7"/>
      <c r="AY1724" s="7"/>
      <c r="AZ1724" s="7"/>
      <c r="BA1724" s="8">
        <f>SUM(AV1724:AZ1724)</f>
        <v>0</v>
      </c>
      <c r="BC1724" s="6"/>
      <c r="BD1724" s="7"/>
      <c r="BE1724" s="7"/>
      <c r="BF1724" s="7"/>
      <c r="BG1724" s="7"/>
      <c r="BH1724" s="8">
        <f>SUM(BC1724:BG1724)</f>
        <v>0</v>
      </c>
      <c r="BJ1724" s="6"/>
      <c r="BK1724" s="7"/>
      <c r="BL1724" s="7"/>
      <c r="BM1724" s="7"/>
      <c r="BN1724" s="7"/>
      <c r="BO1724" s="8">
        <f>SUM(BJ1724:BN1724)</f>
        <v>0</v>
      </c>
      <c r="BQ1724" s="6"/>
      <c r="BR1724" s="7"/>
      <c r="BS1724" s="7"/>
      <c r="BT1724" s="7"/>
      <c r="BU1724" s="7"/>
      <c r="BV1724" s="8">
        <f>SUM(BQ1724:BU1724)</f>
        <v>0</v>
      </c>
      <c r="BX1724" s="6"/>
      <c r="BY1724" s="7"/>
      <c r="BZ1724" s="7"/>
      <c r="CA1724" s="7"/>
      <c r="CB1724" s="7"/>
      <c r="CC1724" s="8">
        <f>SUM(BX1724:CB1724)</f>
        <v>0</v>
      </c>
      <c r="CE1724" s="493">
        <f t="shared" si="7914"/>
        <v>0</v>
      </c>
      <c r="CF1724" s="494">
        <f t="shared" si="7915"/>
        <v>0</v>
      </c>
      <c r="CG1724" s="494">
        <f t="shared" si="7916"/>
        <v>0</v>
      </c>
      <c r="CH1724" s="494">
        <f t="shared" si="7917"/>
        <v>0</v>
      </c>
      <c r="CI1724" s="494">
        <f t="shared" si="7918"/>
        <v>0</v>
      </c>
      <c r="CJ1724" s="495">
        <f>SUM(CE1724:CI1724)</f>
        <v>0</v>
      </c>
      <c r="CL1724" s="6"/>
      <c r="CM1724" s="7"/>
      <c r="CN1724" s="7"/>
      <c r="CO1724" s="7"/>
      <c r="CP1724" s="7"/>
      <c r="CQ1724" s="8">
        <f>SUM(CL1724:CP1724)</f>
        <v>0</v>
      </c>
      <c r="CS1724" s="6"/>
      <c r="CT1724" s="7"/>
      <c r="CU1724" s="7"/>
      <c r="CV1724" s="7"/>
      <c r="CW1724" s="7"/>
      <c r="CX1724" s="8">
        <f t="shared" si="7923"/>
        <v>0</v>
      </c>
      <c r="CZ1724" s="6"/>
      <c r="DA1724" s="7"/>
      <c r="DB1724" s="7"/>
      <c r="DC1724" s="7"/>
      <c r="DD1724" s="7"/>
      <c r="DE1724" s="8">
        <f t="shared" si="7924"/>
        <v>0</v>
      </c>
    </row>
    <row r="1725" spans="3:109" ht="14" thickBot="1">
      <c r="C1725" s="554"/>
      <c r="E1725" s="9"/>
      <c r="F1725" s="10">
        <f>SUM(F1721:F1724)</f>
        <v>0</v>
      </c>
      <c r="G1725" s="11">
        <f t="shared" ref="G1725:J1725" si="7925">SUM(G1721:G1724)</f>
        <v>0</v>
      </c>
      <c r="H1725" s="11">
        <f t="shared" si="7925"/>
        <v>0</v>
      </c>
      <c r="I1725" s="11">
        <f t="shared" si="7925"/>
        <v>0</v>
      </c>
      <c r="J1725" s="11">
        <f t="shared" si="7925"/>
        <v>0</v>
      </c>
      <c r="K1725" s="25">
        <f>SUM(K1721:K1724)</f>
        <v>0</v>
      </c>
      <c r="M1725" s="10">
        <f>SUM(M1721:M1724)</f>
        <v>0</v>
      </c>
      <c r="N1725" s="11">
        <f t="shared" ref="N1725:Q1725" si="7926">SUM(N1721:N1724)</f>
        <v>0</v>
      </c>
      <c r="O1725" s="11">
        <f t="shared" si="7926"/>
        <v>0</v>
      </c>
      <c r="P1725" s="11">
        <f t="shared" si="7926"/>
        <v>0</v>
      </c>
      <c r="Q1725" s="11">
        <f t="shared" si="7926"/>
        <v>0</v>
      </c>
      <c r="R1725" s="25">
        <f>SUM(R1721:R1724)</f>
        <v>0</v>
      </c>
      <c r="T1725" s="10">
        <f>SUM(T1721:T1724)</f>
        <v>0</v>
      </c>
      <c r="U1725" s="11">
        <f t="shared" ref="U1725:X1725" si="7927">SUM(U1721:U1724)</f>
        <v>0</v>
      </c>
      <c r="V1725" s="11">
        <f t="shared" si="7927"/>
        <v>0</v>
      </c>
      <c r="W1725" s="11">
        <f t="shared" si="7927"/>
        <v>0</v>
      </c>
      <c r="X1725" s="11">
        <f t="shared" si="7927"/>
        <v>0</v>
      </c>
      <c r="Y1725" s="25">
        <f>SUM(Y1721:Y1724)</f>
        <v>0</v>
      </c>
      <c r="AA1725" s="10">
        <f>SUM(AA1721:AA1724)</f>
        <v>0</v>
      </c>
      <c r="AB1725" s="11">
        <f t="shared" ref="AB1725:AE1725" si="7928">SUM(AB1721:AB1724)</f>
        <v>0</v>
      </c>
      <c r="AC1725" s="11">
        <f t="shared" si="7928"/>
        <v>0</v>
      </c>
      <c r="AD1725" s="11">
        <f t="shared" si="7928"/>
        <v>0</v>
      </c>
      <c r="AE1725" s="11">
        <f t="shared" si="7928"/>
        <v>0</v>
      </c>
      <c r="AF1725" s="25">
        <f>SUM(AF1721:AF1724)</f>
        <v>0</v>
      </c>
      <c r="AH1725" s="10">
        <f>SUM(AH1721:AH1724)</f>
        <v>0</v>
      </c>
      <c r="AI1725" s="11">
        <f t="shared" ref="AI1725:AL1725" si="7929">SUM(AI1721:AI1724)</f>
        <v>0</v>
      </c>
      <c r="AJ1725" s="11">
        <f t="shared" si="7929"/>
        <v>0</v>
      </c>
      <c r="AK1725" s="11">
        <f t="shared" si="7929"/>
        <v>0</v>
      </c>
      <c r="AL1725" s="11">
        <f t="shared" si="7929"/>
        <v>0</v>
      </c>
      <c r="AM1725" s="25">
        <f>SUM(AM1721:AM1724)</f>
        <v>0</v>
      </c>
      <c r="AO1725" s="10">
        <f>SUM(AO1721:AO1724)</f>
        <v>0</v>
      </c>
      <c r="AP1725" s="11">
        <f t="shared" ref="AP1725:AS1725" si="7930">SUM(AP1721:AP1724)</f>
        <v>0</v>
      </c>
      <c r="AQ1725" s="11">
        <f t="shared" si="7930"/>
        <v>0</v>
      </c>
      <c r="AR1725" s="11">
        <f t="shared" si="7930"/>
        <v>0</v>
      </c>
      <c r="AS1725" s="11">
        <f t="shared" si="7930"/>
        <v>0</v>
      </c>
      <c r="AT1725" s="25">
        <f>SUM(AT1721:AT1724)</f>
        <v>0</v>
      </c>
      <c r="AV1725" s="10">
        <f>SUM(AV1721:AV1724)</f>
        <v>0</v>
      </c>
      <c r="AW1725" s="11">
        <f t="shared" ref="AW1725:AZ1725" si="7931">SUM(AW1721:AW1724)</f>
        <v>0</v>
      </c>
      <c r="AX1725" s="11">
        <f t="shared" si="7931"/>
        <v>0</v>
      </c>
      <c r="AY1725" s="11">
        <f t="shared" si="7931"/>
        <v>0</v>
      </c>
      <c r="AZ1725" s="11">
        <f t="shared" si="7931"/>
        <v>0</v>
      </c>
      <c r="BA1725" s="25">
        <f>SUM(BA1721:BA1724)</f>
        <v>0</v>
      </c>
      <c r="BC1725" s="10">
        <f>SUM(BC1721:BC1724)</f>
        <v>0</v>
      </c>
      <c r="BD1725" s="11">
        <f t="shared" ref="BD1725:BG1725" si="7932">SUM(BD1721:BD1724)</f>
        <v>0</v>
      </c>
      <c r="BE1725" s="11">
        <f t="shared" si="7932"/>
        <v>0</v>
      </c>
      <c r="BF1725" s="11">
        <f t="shared" si="7932"/>
        <v>0</v>
      </c>
      <c r="BG1725" s="11">
        <f t="shared" si="7932"/>
        <v>0</v>
      </c>
      <c r="BH1725" s="25">
        <f>SUM(BH1721:BH1724)</f>
        <v>0</v>
      </c>
      <c r="BJ1725" s="10">
        <f>SUM(BJ1721:BJ1724)</f>
        <v>0</v>
      </c>
      <c r="BK1725" s="11">
        <f t="shared" ref="BK1725:BN1725" si="7933">SUM(BK1721:BK1724)</f>
        <v>0</v>
      </c>
      <c r="BL1725" s="11">
        <f t="shared" si="7933"/>
        <v>0</v>
      </c>
      <c r="BM1725" s="11">
        <f t="shared" si="7933"/>
        <v>0</v>
      </c>
      <c r="BN1725" s="11">
        <f t="shared" si="7933"/>
        <v>0</v>
      </c>
      <c r="BO1725" s="25">
        <f>SUM(BO1721:BO1724)</f>
        <v>0</v>
      </c>
      <c r="BQ1725" s="10">
        <f>SUM(BQ1721:BQ1724)</f>
        <v>0</v>
      </c>
      <c r="BR1725" s="11">
        <f t="shared" ref="BR1725:BU1725" si="7934">SUM(BR1721:BR1724)</f>
        <v>0</v>
      </c>
      <c r="BS1725" s="11">
        <f t="shared" si="7934"/>
        <v>0</v>
      </c>
      <c r="BT1725" s="11">
        <f t="shared" si="7934"/>
        <v>0</v>
      </c>
      <c r="BU1725" s="11">
        <f t="shared" si="7934"/>
        <v>0</v>
      </c>
      <c r="BV1725" s="25">
        <f>SUM(BV1721:BV1724)</f>
        <v>0</v>
      </c>
      <c r="BX1725" s="10">
        <f>SUM(BX1721:BX1724)</f>
        <v>0</v>
      </c>
      <c r="BY1725" s="11">
        <f t="shared" ref="BY1725:CB1725" si="7935">SUM(BY1721:BY1724)</f>
        <v>0</v>
      </c>
      <c r="BZ1725" s="11">
        <f t="shared" si="7935"/>
        <v>0</v>
      </c>
      <c r="CA1725" s="11">
        <f t="shared" si="7935"/>
        <v>0</v>
      </c>
      <c r="CB1725" s="11">
        <f t="shared" si="7935"/>
        <v>0</v>
      </c>
      <c r="CC1725" s="25">
        <f>SUM(CC1721:CC1724)</f>
        <v>0</v>
      </c>
      <c r="CE1725" s="62">
        <f t="shared" ref="CE1725:CJ1725" si="7936">SUM(CE1721:CE1724)</f>
        <v>0</v>
      </c>
      <c r="CF1725" s="63">
        <f t="shared" si="7936"/>
        <v>0</v>
      </c>
      <c r="CG1725" s="63">
        <f t="shared" si="7936"/>
        <v>0</v>
      </c>
      <c r="CH1725" s="63">
        <f t="shared" si="7936"/>
        <v>0</v>
      </c>
      <c r="CI1725" s="63">
        <f t="shared" si="7936"/>
        <v>0</v>
      </c>
      <c r="CJ1725" s="25">
        <f t="shared" si="7936"/>
        <v>0</v>
      </c>
      <c r="CL1725" s="10">
        <f>SUM(CL1721:CL1724)</f>
        <v>0</v>
      </c>
      <c r="CM1725" s="11">
        <f t="shared" ref="CM1725:CP1725" si="7937">SUM(CM1721:CM1724)</f>
        <v>0</v>
      </c>
      <c r="CN1725" s="11">
        <f t="shared" si="7937"/>
        <v>0</v>
      </c>
      <c r="CO1725" s="11">
        <f t="shared" si="7937"/>
        <v>0</v>
      </c>
      <c r="CP1725" s="11">
        <f t="shared" si="7937"/>
        <v>0</v>
      </c>
      <c r="CQ1725" s="25">
        <f>SUM(CQ1721:CQ1724)</f>
        <v>0</v>
      </c>
      <c r="CS1725" s="10">
        <f>SUM(CS1721:CS1724)</f>
        <v>0</v>
      </c>
      <c r="CT1725" s="11">
        <f t="shared" ref="CT1725:CW1725" si="7938">SUM(CT1721:CT1724)</f>
        <v>0</v>
      </c>
      <c r="CU1725" s="11">
        <f t="shared" si="7938"/>
        <v>0</v>
      </c>
      <c r="CV1725" s="11">
        <f t="shared" si="7938"/>
        <v>0</v>
      </c>
      <c r="CW1725" s="11">
        <f t="shared" si="7938"/>
        <v>0</v>
      </c>
      <c r="CX1725" s="25">
        <f>SUM(CX1721:CX1724)</f>
        <v>0</v>
      </c>
      <c r="CZ1725" s="10">
        <f>SUM(CZ1721:CZ1724)</f>
        <v>0</v>
      </c>
      <c r="DA1725" s="11">
        <f t="shared" ref="DA1725:DD1725" si="7939">SUM(DA1721:DA1724)</f>
        <v>0</v>
      </c>
      <c r="DB1725" s="11">
        <f t="shared" si="7939"/>
        <v>0</v>
      </c>
      <c r="DC1725" s="11">
        <f t="shared" si="7939"/>
        <v>0</v>
      </c>
      <c r="DD1725" s="11">
        <f t="shared" si="7939"/>
        <v>0</v>
      </c>
      <c r="DE1725" s="25">
        <f>SUM(DE1721:DE1724)</f>
        <v>0</v>
      </c>
    </row>
    <row r="1726" spans="3:109" ht="10.4" customHeight="1" thickBot="1"/>
    <row r="1727" spans="3:109">
      <c r="C1727" s="553">
        <v>2028</v>
      </c>
      <c r="E1727" s="1" t="s">
        <v>59</v>
      </c>
      <c r="F1727" s="21">
        <f>CE1721</f>
        <v>0</v>
      </c>
      <c r="G1727" s="22">
        <f t="shared" ref="G1727:G1730" si="7940">CF1721</f>
        <v>0</v>
      </c>
      <c r="H1727" s="22">
        <f t="shared" ref="H1727:H1730" si="7941">CG1721</f>
        <v>0</v>
      </c>
      <c r="I1727" s="22">
        <f t="shared" ref="I1727:I1730" si="7942">CH1721</f>
        <v>0</v>
      </c>
      <c r="J1727" s="22">
        <f t="shared" ref="J1727:J1730" si="7943">CI1721</f>
        <v>0</v>
      </c>
      <c r="K1727" s="4">
        <f>SUM(F1727:J1727)</f>
        <v>0</v>
      </c>
      <c r="M1727" s="2"/>
      <c r="N1727" s="3"/>
      <c r="O1727" s="3"/>
      <c r="P1727" s="3"/>
      <c r="Q1727" s="3"/>
      <c r="R1727" s="4">
        <f>SUM(M1727:Q1727)</f>
        <v>0</v>
      </c>
      <c r="T1727" s="2"/>
      <c r="U1727" s="3"/>
      <c r="V1727" s="3"/>
      <c r="W1727" s="3"/>
      <c r="X1727" s="3"/>
      <c r="Y1727" s="4">
        <f>SUM(T1727:X1727)</f>
        <v>0</v>
      </c>
      <c r="AA1727" s="2"/>
      <c r="AB1727" s="3"/>
      <c r="AC1727" s="3"/>
      <c r="AD1727" s="3"/>
      <c r="AE1727" s="3"/>
      <c r="AF1727" s="4">
        <f>SUM(AA1727:AE1727)</f>
        <v>0</v>
      </c>
      <c r="AH1727" s="2"/>
      <c r="AI1727" s="3"/>
      <c r="AJ1727" s="3"/>
      <c r="AK1727" s="3"/>
      <c r="AL1727" s="3"/>
      <c r="AM1727" s="4">
        <f>SUM(AH1727:AL1727)</f>
        <v>0</v>
      </c>
      <c r="AO1727" s="2"/>
      <c r="AP1727" s="3"/>
      <c r="AQ1727" s="3"/>
      <c r="AR1727" s="3"/>
      <c r="AS1727" s="3"/>
      <c r="AT1727" s="4">
        <f>SUM(AO1727:AS1727)</f>
        <v>0</v>
      </c>
      <c r="AV1727" s="2"/>
      <c r="AW1727" s="3"/>
      <c r="AX1727" s="3"/>
      <c r="AY1727" s="3"/>
      <c r="AZ1727" s="3"/>
      <c r="BA1727" s="4">
        <f>SUM(AV1727:AZ1727)</f>
        <v>0</v>
      </c>
      <c r="BC1727" s="2"/>
      <c r="BD1727" s="3"/>
      <c r="BE1727" s="3"/>
      <c r="BF1727" s="3"/>
      <c r="BG1727" s="3"/>
      <c r="BH1727" s="4">
        <f>SUM(BC1727:BG1727)</f>
        <v>0</v>
      </c>
      <c r="BJ1727" s="2"/>
      <c r="BK1727" s="3"/>
      <c r="BL1727" s="3"/>
      <c r="BM1727" s="3"/>
      <c r="BN1727" s="3"/>
      <c r="BO1727" s="4">
        <f>SUM(BJ1727:BN1727)</f>
        <v>0</v>
      </c>
      <c r="BQ1727" s="2"/>
      <c r="BR1727" s="3"/>
      <c r="BS1727" s="3"/>
      <c r="BT1727" s="3"/>
      <c r="BU1727" s="3"/>
      <c r="BV1727" s="4">
        <f>SUM(BQ1727:BU1727)</f>
        <v>0</v>
      </c>
      <c r="BX1727" s="2"/>
      <c r="BY1727" s="3"/>
      <c r="BZ1727" s="3"/>
      <c r="CA1727" s="3"/>
      <c r="CB1727" s="3"/>
      <c r="CC1727" s="4">
        <f>SUM(BX1727:CB1727)</f>
        <v>0</v>
      </c>
      <c r="CE1727" s="26">
        <f t="shared" ref="CE1727:CE1730" si="7944">F1727+M1727+T1727+AA1727+AH1727+AO1727+AV1727+BC1727+BJ1727+BQ1727+BX1727</f>
        <v>0</v>
      </c>
      <c r="CF1727" s="27">
        <f t="shared" ref="CF1727:CF1730" si="7945">G1727+N1727+U1727+AB1727+AI1727+AP1727+AW1727+BD1727+BK1727+BR1727+BY1727</f>
        <v>0</v>
      </c>
      <c r="CG1727" s="27">
        <f t="shared" ref="CG1727:CG1730" si="7946">H1727+O1727+V1727+AC1727+AJ1727+AQ1727+AX1727+BE1727+BL1727+BS1727+BZ1727</f>
        <v>0</v>
      </c>
      <c r="CH1727" s="27">
        <f t="shared" ref="CH1727:CH1730" si="7947">I1727+P1727+W1727+AD1727+AK1727+AR1727+AY1727+BF1727+BM1727+BT1727+CA1727</f>
        <v>0</v>
      </c>
      <c r="CI1727" s="27">
        <f t="shared" ref="CI1727:CI1730" si="7948">J1727+Q1727+X1727+AE1727+AL1727+AS1727+AZ1727+BG1727+BN1727+BU1727+CB1727</f>
        <v>0</v>
      </c>
      <c r="CJ1727" s="4">
        <f>SUM(CE1727:CI1727)</f>
        <v>0</v>
      </c>
      <c r="CL1727" s="2"/>
      <c r="CM1727" s="3"/>
      <c r="CN1727" s="3"/>
      <c r="CO1727" s="3"/>
      <c r="CP1727" s="3"/>
      <c r="CQ1727" s="4">
        <f>SUM(CL1727:CP1727)</f>
        <v>0</v>
      </c>
      <c r="CS1727" s="2"/>
      <c r="CT1727" s="3"/>
      <c r="CU1727" s="3"/>
      <c r="CV1727" s="3"/>
      <c r="CW1727" s="3"/>
      <c r="CX1727" s="4">
        <f>SUM(CS1727:CW1727)</f>
        <v>0</v>
      </c>
      <c r="CZ1727" s="2"/>
      <c r="DA1727" s="3"/>
      <c r="DB1727" s="3"/>
      <c r="DC1727" s="3"/>
      <c r="DD1727" s="3"/>
      <c r="DE1727" s="4">
        <f>SUM(CZ1727:DD1727)</f>
        <v>0</v>
      </c>
    </row>
    <row r="1728" spans="3:109">
      <c r="C1728" s="567"/>
      <c r="E1728" s="5" t="s">
        <v>60</v>
      </c>
      <c r="F1728" s="23">
        <f t="shared" ref="F1728:F1730" si="7949">CE1722</f>
        <v>0</v>
      </c>
      <c r="G1728" s="24">
        <f t="shared" si="7940"/>
        <v>0</v>
      </c>
      <c r="H1728" s="24">
        <f t="shared" si="7941"/>
        <v>0</v>
      </c>
      <c r="I1728" s="24">
        <f t="shared" si="7942"/>
        <v>0</v>
      </c>
      <c r="J1728" s="24">
        <f t="shared" si="7943"/>
        <v>0</v>
      </c>
      <c r="K1728" s="8">
        <f t="shared" ref="K1728:K1730" si="7950">SUM(F1728:J1728)</f>
        <v>0</v>
      </c>
      <c r="M1728" s="6"/>
      <c r="N1728" s="7"/>
      <c r="O1728" s="7"/>
      <c r="P1728" s="7"/>
      <c r="Q1728" s="7"/>
      <c r="R1728" s="8">
        <f t="shared" ref="R1728:R1730" si="7951">SUM(M1728:Q1728)</f>
        <v>0</v>
      </c>
      <c r="T1728" s="6"/>
      <c r="U1728" s="7"/>
      <c r="V1728" s="7"/>
      <c r="W1728" s="7"/>
      <c r="X1728" s="7"/>
      <c r="Y1728" s="8">
        <f t="shared" ref="Y1728:Y1730" si="7952">SUM(T1728:X1728)</f>
        <v>0</v>
      </c>
      <c r="AA1728" s="6"/>
      <c r="AB1728" s="7"/>
      <c r="AC1728" s="7"/>
      <c r="AD1728" s="7"/>
      <c r="AE1728" s="7"/>
      <c r="AF1728" s="8">
        <f>SUM(AA1728:AE1728)</f>
        <v>0</v>
      </c>
      <c r="AH1728" s="6"/>
      <c r="AI1728" s="7"/>
      <c r="AJ1728" s="7"/>
      <c r="AK1728" s="7"/>
      <c r="AL1728" s="7"/>
      <c r="AM1728" s="8">
        <f>SUM(AH1728:AL1728)</f>
        <v>0</v>
      </c>
      <c r="AO1728" s="6"/>
      <c r="AP1728" s="7"/>
      <c r="AQ1728" s="7"/>
      <c r="AR1728" s="7"/>
      <c r="AS1728" s="7"/>
      <c r="AT1728" s="8">
        <f>SUM(AO1728:AS1728)</f>
        <v>0</v>
      </c>
      <c r="AV1728" s="6"/>
      <c r="AW1728" s="7"/>
      <c r="AX1728" s="7"/>
      <c r="AY1728" s="7"/>
      <c r="AZ1728" s="7"/>
      <c r="BA1728" s="8">
        <f>SUM(AV1728:AZ1728)</f>
        <v>0</v>
      </c>
      <c r="BC1728" s="6"/>
      <c r="BD1728" s="7"/>
      <c r="BE1728" s="7"/>
      <c r="BF1728" s="7"/>
      <c r="BG1728" s="7"/>
      <c r="BH1728" s="8">
        <f>SUM(BC1728:BG1728)</f>
        <v>0</v>
      </c>
      <c r="BJ1728" s="6"/>
      <c r="BK1728" s="7"/>
      <c r="BL1728" s="7"/>
      <c r="BM1728" s="7"/>
      <c r="BN1728" s="7"/>
      <c r="BO1728" s="8">
        <f>SUM(BJ1728:BN1728)</f>
        <v>0</v>
      </c>
      <c r="BQ1728" s="6"/>
      <c r="BR1728" s="7"/>
      <c r="BS1728" s="7"/>
      <c r="BT1728" s="7"/>
      <c r="BU1728" s="7"/>
      <c r="BV1728" s="8">
        <f>SUM(BQ1728:BU1728)</f>
        <v>0</v>
      </c>
      <c r="BX1728" s="6"/>
      <c r="BY1728" s="7"/>
      <c r="BZ1728" s="7"/>
      <c r="CA1728" s="7"/>
      <c r="CB1728" s="7"/>
      <c r="CC1728" s="8">
        <f>SUM(BX1728:CB1728)</f>
        <v>0</v>
      </c>
      <c r="CE1728" s="28">
        <f t="shared" si="7944"/>
        <v>0</v>
      </c>
      <c r="CF1728" s="29">
        <f t="shared" si="7945"/>
        <v>0</v>
      </c>
      <c r="CG1728" s="29">
        <f t="shared" si="7946"/>
        <v>0</v>
      </c>
      <c r="CH1728" s="29">
        <f t="shared" si="7947"/>
        <v>0</v>
      </c>
      <c r="CI1728" s="29">
        <f t="shared" si="7948"/>
        <v>0</v>
      </c>
      <c r="CJ1728" s="8">
        <f>SUM(CE1728:CI1728)</f>
        <v>0</v>
      </c>
      <c r="CL1728" s="6"/>
      <c r="CM1728" s="7"/>
      <c r="CN1728" s="7"/>
      <c r="CO1728" s="7"/>
      <c r="CP1728" s="7"/>
      <c r="CQ1728" s="8">
        <f>SUM(CL1728:CP1728)</f>
        <v>0</v>
      </c>
      <c r="CS1728" s="6"/>
      <c r="CT1728" s="7"/>
      <c r="CU1728" s="7"/>
      <c r="CV1728" s="7"/>
      <c r="CW1728" s="7"/>
      <c r="CX1728" s="8">
        <f t="shared" ref="CX1728:CX1730" si="7953">SUM(CS1728:CW1728)</f>
        <v>0</v>
      </c>
      <c r="CZ1728" s="6"/>
      <c r="DA1728" s="7"/>
      <c r="DB1728" s="7"/>
      <c r="DC1728" s="7"/>
      <c r="DD1728" s="7"/>
      <c r="DE1728" s="8">
        <f t="shared" ref="DE1728:DE1730" si="7954">SUM(CZ1728:DD1728)</f>
        <v>0</v>
      </c>
    </row>
    <row r="1729" spans="2:109">
      <c r="C1729" s="567"/>
      <c r="E1729" s="5" t="s">
        <v>61</v>
      </c>
      <c r="F1729" s="23">
        <f t="shared" si="7949"/>
        <v>0</v>
      </c>
      <c r="G1729" s="24">
        <f t="shared" si="7940"/>
        <v>0</v>
      </c>
      <c r="H1729" s="24">
        <f t="shared" si="7941"/>
        <v>0</v>
      </c>
      <c r="I1729" s="24">
        <f t="shared" si="7942"/>
        <v>0</v>
      </c>
      <c r="J1729" s="24">
        <f t="shared" si="7943"/>
        <v>0</v>
      </c>
      <c r="K1729" s="8">
        <f t="shared" si="7950"/>
        <v>0</v>
      </c>
      <c r="M1729" s="6"/>
      <c r="N1729" s="7"/>
      <c r="O1729" s="7"/>
      <c r="P1729" s="7"/>
      <c r="Q1729" s="7"/>
      <c r="R1729" s="8">
        <f t="shared" si="7951"/>
        <v>0</v>
      </c>
      <c r="T1729" s="6"/>
      <c r="U1729" s="7"/>
      <c r="V1729" s="7"/>
      <c r="W1729" s="7"/>
      <c r="X1729" s="7"/>
      <c r="Y1729" s="8">
        <f t="shared" si="7952"/>
        <v>0</v>
      </c>
      <c r="AA1729" s="6"/>
      <c r="AB1729" s="7"/>
      <c r="AC1729" s="7"/>
      <c r="AD1729" s="7"/>
      <c r="AE1729" s="7"/>
      <c r="AF1729" s="8">
        <f>SUM(AA1729:AE1729)</f>
        <v>0</v>
      </c>
      <c r="AH1729" s="6"/>
      <c r="AI1729" s="7"/>
      <c r="AJ1729" s="7"/>
      <c r="AK1729" s="7"/>
      <c r="AL1729" s="7"/>
      <c r="AM1729" s="8">
        <f>SUM(AH1729:AL1729)</f>
        <v>0</v>
      </c>
      <c r="AO1729" s="6"/>
      <c r="AP1729" s="7"/>
      <c r="AQ1729" s="7"/>
      <c r="AR1729" s="7"/>
      <c r="AS1729" s="7"/>
      <c r="AT1729" s="8">
        <f>SUM(AO1729:AS1729)</f>
        <v>0</v>
      </c>
      <c r="AV1729" s="6"/>
      <c r="AW1729" s="7"/>
      <c r="AX1729" s="7"/>
      <c r="AY1729" s="7"/>
      <c r="AZ1729" s="7"/>
      <c r="BA1729" s="8">
        <f>SUM(AV1729:AZ1729)</f>
        <v>0</v>
      </c>
      <c r="BC1729" s="6"/>
      <c r="BD1729" s="7"/>
      <c r="BE1729" s="7"/>
      <c r="BF1729" s="7"/>
      <c r="BG1729" s="7"/>
      <c r="BH1729" s="8">
        <f>SUM(BC1729:BG1729)</f>
        <v>0</v>
      </c>
      <c r="BJ1729" s="6"/>
      <c r="BK1729" s="7"/>
      <c r="BL1729" s="7"/>
      <c r="BM1729" s="7"/>
      <c r="BN1729" s="7"/>
      <c r="BO1729" s="8">
        <f>SUM(BJ1729:BN1729)</f>
        <v>0</v>
      </c>
      <c r="BQ1729" s="6"/>
      <c r="BR1729" s="7"/>
      <c r="BS1729" s="7"/>
      <c r="BT1729" s="7"/>
      <c r="BU1729" s="7"/>
      <c r="BV1729" s="8">
        <f>SUM(BQ1729:BU1729)</f>
        <v>0</v>
      </c>
      <c r="BX1729" s="6"/>
      <c r="BY1729" s="7"/>
      <c r="BZ1729" s="7"/>
      <c r="CA1729" s="7"/>
      <c r="CB1729" s="7"/>
      <c r="CC1729" s="8">
        <f>SUM(BX1729:CB1729)</f>
        <v>0</v>
      </c>
      <c r="CE1729" s="28">
        <f t="shared" si="7944"/>
        <v>0</v>
      </c>
      <c r="CF1729" s="29">
        <f t="shared" si="7945"/>
        <v>0</v>
      </c>
      <c r="CG1729" s="29">
        <f t="shared" si="7946"/>
        <v>0</v>
      </c>
      <c r="CH1729" s="29">
        <f t="shared" si="7947"/>
        <v>0</v>
      </c>
      <c r="CI1729" s="29">
        <f t="shared" si="7948"/>
        <v>0</v>
      </c>
      <c r="CJ1729" s="8">
        <f>SUM(CE1729:CI1729)</f>
        <v>0</v>
      </c>
      <c r="CL1729" s="6"/>
      <c r="CM1729" s="7"/>
      <c r="CN1729" s="7"/>
      <c r="CO1729" s="7"/>
      <c r="CP1729" s="7"/>
      <c r="CQ1729" s="8">
        <f>SUM(CL1729:CP1729)</f>
        <v>0</v>
      </c>
      <c r="CS1729" s="6"/>
      <c r="CT1729" s="7"/>
      <c r="CU1729" s="7"/>
      <c r="CV1729" s="7"/>
      <c r="CW1729" s="7"/>
      <c r="CX1729" s="8">
        <f t="shared" si="7953"/>
        <v>0</v>
      </c>
      <c r="CZ1729" s="6"/>
      <c r="DA1729" s="7"/>
      <c r="DB1729" s="7"/>
      <c r="DC1729" s="7"/>
      <c r="DD1729" s="7"/>
      <c r="DE1729" s="8">
        <f t="shared" si="7954"/>
        <v>0</v>
      </c>
    </row>
    <row r="1730" spans="2:109" ht="14" thickBot="1">
      <c r="C1730" s="567"/>
      <c r="E1730" s="5" t="s">
        <v>62</v>
      </c>
      <c r="F1730" s="23">
        <f t="shared" si="7949"/>
        <v>0</v>
      </c>
      <c r="G1730" s="24">
        <f t="shared" si="7940"/>
        <v>0</v>
      </c>
      <c r="H1730" s="24">
        <f t="shared" si="7941"/>
        <v>0</v>
      </c>
      <c r="I1730" s="24">
        <f t="shared" si="7942"/>
        <v>0</v>
      </c>
      <c r="J1730" s="24">
        <f t="shared" si="7943"/>
        <v>0</v>
      </c>
      <c r="K1730" s="8">
        <f t="shared" si="7950"/>
        <v>0</v>
      </c>
      <c r="M1730" s="6"/>
      <c r="N1730" s="7"/>
      <c r="O1730" s="7"/>
      <c r="P1730" s="7"/>
      <c r="Q1730" s="7"/>
      <c r="R1730" s="8">
        <f t="shared" si="7951"/>
        <v>0</v>
      </c>
      <c r="T1730" s="6"/>
      <c r="U1730" s="7"/>
      <c r="V1730" s="7"/>
      <c r="W1730" s="7"/>
      <c r="X1730" s="7"/>
      <c r="Y1730" s="8">
        <f t="shared" si="7952"/>
        <v>0</v>
      </c>
      <c r="AA1730" s="6"/>
      <c r="AB1730" s="7"/>
      <c r="AC1730" s="7"/>
      <c r="AD1730" s="7"/>
      <c r="AE1730" s="7"/>
      <c r="AF1730" s="8">
        <f>SUM(AA1730:AE1730)</f>
        <v>0</v>
      </c>
      <c r="AH1730" s="6"/>
      <c r="AI1730" s="7"/>
      <c r="AJ1730" s="7"/>
      <c r="AK1730" s="7"/>
      <c r="AL1730" s="7"/>
      <c r="AM1730" s="8">
        <f>SUM(AH1730:AL1730)</f>
        <v>0</v>
      </c>
      <c r="AO1730" s="6"/>
      <c r="AP1730" s="7"/>
      <c r="AQ1730" s="7"/>
      <c r="AR1730" s="7"/>
      <c r="AS1730" s="7"/>
      <c r="AT1730" s="8">
        <f>SUM(AO1730:AS1730)</f>
        <v>0</v>
      </c>
      <c r="AV1730" s="6"/>
      <c r="AW1730" s="7"/>
      <c r="AX1730" s="7"/>
      <c r="AY1730" s="7"/>
      <c r="AZ1730" s="7"/>
      <c r="BA1730" s="8">
        <f>SUM(AV1730:AZ1730)</f>
        <v>0</v>
      </c>
      <c r="BC1730" s="6"/>
      <c r="BD1730" s="7"/>
      <c r="BE1730" s="7"/>
      <c r="BF1730" s="7"/>
      <c r="BG1730" s="7"/>
      <c r="BH1730" s="8">
        <f>SUM(BC1730:BG1730)</f>
        <v>0</v>
      </c>
      <c r="BJ1730" s="6"/>
      <c r="BK1730" s="7"/>
      <c r="BL1730" s="7"/>
      <c r="BM1730" s="7"/>
      <c r="BN1730" s="7"/>
      <c r="BO1730" s="8">
        <f>SUM(BJ1730:BN1730)</f>
        <v>0</v>
      </c>
      <c r="BQ1730" s="6"/>
      <c r="BR1730" s="7"/>
      <c r="BS1730" s="7"/>
      <c r="BT1730" s="7"/>
      <c r="BU1730" s="7"/>
      <c r="BV1730" s="8">
        <f>SUM(BQ1730:BU1730)</f>
        <v>0</v>
      </c>
      <c r="BX1730" s="6"/>
      <c r="BY1730" s="7"/>
      <c r="BZ1730" s="7"/>
      <c r="CA1730" s="7"/>
      <c r="CB1730" s="7"/>
      <c r="CC1730" s="8">
        <f>SUM(BX1730:CB1730)</f>
        <v>0</v>
      </c>
      <c r="CE1730" s="493">
        <f t="shared" si="7944"/>
        <v>0</v>
      </c>
      <c r="CF1730" s="494">
        <f t="shared" si="7945"/>
        <v>0</v>
      </c>
      <c r="CG1730" s="494">
        <f t="shared" si="7946"/>
        <v>0</v>
      </c>
      <c r="CH1730" s="494">
        <f t="shared" si="7947"/>
        <v>0</v>
      </c>
      <c r="CI1730" s="494">
        <f t="shared" si="7948"/>
        <v>0</v>
      </c>
      <c r="CJ1730" s="495">
        <f>SUM(CE1730:CI1730)</f>
        <v>0</v>
      </c>
      <c r="CL1730" s="6"/>
      <c r="CM1730" s="7"/>
      <c r="CN1730" s="7"/>
      <c r="CO1730" s="7"/>
      <c r="CP1730" s="7"/>
      <c r="CQ1730" s="8">
        <f>SUM(CL1730:CP1730)</f>
        <v>0</v>
      </c>
      <c r="CS1730" s="6"/>
      <c r="CT1730" s="7"/>
      <c r="CU1730" s="7"/>
      <c r="CV1730" s="7"/>
      <c r="CW1730" s="7"/>
      <c r="CX1730" s="8">
        <f t="shared" si="7953"/>
        <v>0</v>
      </c>
      <c r="CZ1730" s="6"/>
      <c r="DA1730" s="7"/>
      <c r="DB1730" s="7"/>
      <c r="DC1730" s="7"/>
      <c r="DD1730" s="7"/>
      <c r="DE1730" s="8">
        <f t="shared" si="7954"/>
        <v>0</v>
      </c>
    </row>
    <row r="1731" spans="2:109" ht="14" thickBot="1">
      <c r="C1731" s="554"/>
      <c r="E1731" s="9"/>
      <c r="F1731" s="10">
        <f>SUM(F1727:F1730)</f>
        <v>0</v>
      </c>
      <c r="G1731" s="11">
        <f t="shared" ref="G1731:J1731" si="7955">SUM(G1727:G1730)</f>
        <v>0</v>
      </c>
      <c r="H1731" s="11">
        <f t="shared" si="7955"/>
        <v>0</v>
      </c>
      <c r="I1731" s="11">
        <f t="shared" si="7955"/>
        <v>0</v>
      </c>
      <c r="J1731" s="11">
        <f t="shared" si="7955"/>
        <v>0</v>
      </c>
      <c r="K1731" s="25">
        <f>SUM(K1727:K1730)</f>
        <v>0</v>
      </c>
      <c r="M1731" s="10">
        <f>SUM(M1727:M1730)</f>
        <v>0</v>
      </c>
      <c r="N1731" s="11">
        <f t="shared" ref="N1731:Q1731" si="7956">SUM(N1727:N1730)</f>
        <v>0</v>
      </c>
      <c r="O1731" s="11">
        <f t="shared" si="7956"/>
        <v>0</v>
      </c>
      <c r="P1731" s="11">
        <f t="shared" si="7956"/>
        <v>0</v>
      </c>
      <c r="Q1731" s="11">
        <f t="shared" si="7956"/>
        <v>0</v>
      </c>
      <c r="R1731" s="25">
        <f>SUM(R1727:R1730)</f>
        <v>0</v>
      </c>
      <c r="T1731" s="10">
        <f>SUM(T1727:T1730)</f>
        <v>0</v>
      </c>
      <c r="U1731" s="11">
        <f t="shared" ref="U1731:X1731" si="7957">SUM(U1727:U1730)</f>
        <v>0</v>
      </c>
      <c r="V1731" s="11">
        <f t="shared" si="7957"/>
        <v>0</v>
      </c>
      <c r="W1731" s="11">
        <f t="shared" si="7957"/>
        <v>0</v>
      </c>
      <c r="X1731" s="11">
        <f t="shared" si="7957"/>
        <v>0</v>
      </c>
      <c r="Y1731" s="25">
        <f>SUM(Y1727:Y1730)</f>
        <v>0</v>
      </c>
      <c r="AA1731" s="10">
        <f>SUM(AA1727:AA1730)</f>
        <v>0</v>
      </c>
      <c r="AB1731" s="11">
        <f t="shared" ref="AB1731:AE1731" si="7958">SUM(AB1727:AB1730)</f>
        <v>0</v>
      </c>
      <c r="AC1731" s="11">
        <f t="shared" si="7958"/>
        <v>0</v>
      </c>
      <c r="AD1731" s="11">
        <f t="shared" si="7958"/>
        <v>0</v>
      </c>
      <c r="AE1731" s="11">
        <f t="shared" si="7958"/>
        <v>0</v>
      </c>
      <c r="AF1731" s="25">
        <f>SUM(AF1727:AF1730)</f>
        <v>0</v>
      </c>
      <c r="AH1731" s="10">
        <f>SUM(AH1727:AH1730)</f>
        <v>0</v>
      </c>
      <c r="AI1731" s="11">
        <f t="shared" ref="AI1731:AL1731" si="7959">SUM(AI1727:AI1730)</f>
        <v>0</v>
      </c>
      <c r="AJ1731" s="11">
        <f t="shared" si="7959"/>
        <v>0</v>
      </c>
      <c r="AK1731" s="11">
        <f t="shared" si="7959"/>
        <v>0</v>
      </c>
      <c r="AL1731" s="11">
        <f t="shared" si="7959"/>
        <v>0</v>
      </c>
      <c r="AM1731" s="25">
        <f>SUM(AM1727:AM1730)</f>
        <v>0</v>
      </c>
      <c r="AO1731" s="10">
        <f>SUM(AO1727:AO1730)</f>
        <v>0</v>
      </c>
      <c r="AP1731" s="11">
        <f t="shared" ref="AP1731:AS1731" si="7960">SUM(AP1727:AP1730)</f>
        <v>0</v>
      </c>
      <c r="AQ1731" s="11">
        <f t="shared" si="7960"/>
        <v>0</v>
      </c>
      <c r="AR1731" s="11">
        <f t="shared" si="7960"/>
        <v>0</v>
      </c>
      <c r="AS1731" s="11">
        <f t="shared" si="7960"/>
        <v>0</v>
      </c>
      <c r="AT1731" s="25">
        <f>SUM(AT1727:AT1730)</f>
        <v>0</v>
      </c>
      <c r="AV1731" s="10">
        <f>SUM(AV1727:AV1730)</f>
        <v>0</v>
      </c>
      <c r="AW1731" s="11">
        <f t="shared" ref="AW1731:AZ1731" si="7961">SUM(AW1727:AW1730)</f>
        <v>0</v>
      </c>
      <c r="AX1731" s="11">
        <f t="shared" si="7961"/>
        <v>0</v>
      </c>
      <c r="AY1731" s="11">
        <f t="shared" si="7961"/>
        <v>0</v>
      </c>
      <c r="AZ1731" s="11">
        <f t="shared" si="7961"/>
        <v>0</v>
      </c>
      <c r="BA1731" s="25">
        <f>SUM(BA1727:BA1730)</f>
        <v>0</v>
      </c>
      <c r="BC1731" s="10">
        <f>SUM(BC1727:BC1730)</f>
        <v>0</v>
      </c>
      <c r="BD1731" s="11">
        <f t="shared" ref="BD1731:BG1731" si="7962">SUM(BD1727:BD1730)</f>
        <v>0</v>
      </c>
      <c r="BE1731" s="11">
        <f t="shared" si="7962"/>
        <v>0</v>
      </c>
      <c r="BF1731" s="11">
        <f t="shared" si="7962"/>
        <v>0</v>
      </c>
      <c r="BG1731" s="11">
        <f t="shared" si="7962"/>
        <v>0</v>
      </c>
      <c r="BH1731" s="25">
        <f>SUM(BH1727:BH1730)</f>
        <v>0</v>
      </c>
      <c r="BJ1731" s="10">
        <f>SUM(BJ1727:BJ1730)</f>
        <v>0</v>
      </c>
      <c r="BK1731" s="11">
        <f t="shared" ref="BK1731:BN1731" si="7963">SUM(BK1727:BK1730)</f>
        <v>0</v>
      </c>
      <c r="BL1731" s="11">
        <f t="shared" si="7963"/>
        <v>0</v>
      </c>
      <c r="BM1731" s="11">
        <f t="shared" si="7963"/>
        <v>0</v>
      </c>
      <c r="BN1731" s="11">
        <f t="shared" si="7963"/>
        <v>0</v>
      </c>
      <c r="BO1731" s="25">
        <f>SUM(BO1727:BO1730)</f>
        <v>0</v>
      </c>
      <c r="BQ1731" s="10">
        <f>SUM(BQ1727:BQ1730)</f>
        <v>0</v>
      </c>
      <c r="BR1731" s="11">
        <f t="shared" ref="BR1731:BU1731" si="7964">SUM(BR1727:BR1730)</f>
        <v>0</v>
      </c>
      <c r="BS1731" s="11">
        <f t="shared" si="7964"/>
        <v>0</v>
      </c>
      <c r="BT1731" s="11">
        <f t="shared" si="7964"/>
        <v>0</v>
      </c>
      <c r="BU1731" s="11">
        <f t="shared" si="7964"/>
        <v>0</v>
      </c>
      <c r="BV1731" s="25">
        <f>SUM(BV1727:BV1730)</f>
        <v>0</v>
      </c>
      <c r="BX1731" s="10">
        <f>SUM(BX1727:BX1730)</f>
        <v>0</v>
      </c>
      <c r="BY1731" s="11">
        <f t="shared" ref="BY1731:CB1731" si="7965">SUM(BY1727:BY1730)</f>
        <v>0</v>
      </c>
      <c r="BZ1731" s="11">
        <f t="shared" si="7965"/>
        <v>0</v>
      </c>
      <c r="CA1731" s="11">
        <f t="shared" si="7965"/>
        <v>0</v>
      </c>
      <c r="CB1731" s="11">
        <f t="shared" si="7965"/>
        <v>0</v>
      </c>
      <c r="CC1731" s="25">
        <f>SUM(CC1727:CC1730)</f>
        <v>0</v>
      </c>
      <c r="CE1731" s="62">
        <f t="shared" ref="CE1731:CJ1731" si="7966">SUM(CE1727:CE1730)</f>
        <v>0</v>
      </c>
      <c r="CF1731" s="63">
        <f t="shared" si="7966"/>
        <v>0</v>
      </c>
      <c r="CG1731" s="63">
        <f t="shared" si="7966"/>
        <v>0</v>
      </c>
      <c r="CH1731" s="63">
        <f t="shared" si="7966"/>
        <v>0</v>
      </c>
      <c r="CI1731" s="63">
        <f t="shared" si="7966"/>
        <v>0</v>
      </c>
      <c r="CJ1731" s="25">
        <f t="shared" si="7966"/>
        <v>0</v>
      </c>
      <c r="CL1731" s="10">
        <f>SUM(CL1727:CL1730)</f>
        <v>0</v>
      </c>
      <c r="CM1731" s="11">
        <f t="shared" ref="CM1731:CP1731" si="7967">SUM(CM1727:CM1730)</f>
        <v>0</v>
      </c>
      <c r="CN1731" s="11">
        <f t="shared" si="7967"/>
        <v>0</v>
      </c>
      <c r="CO1731" s="11">
        <f t="shared" si="7967"/>
        <v>0</v>
      </c>
      <c r="CP1731" s="11">
        <f t="shared" si="7967"/>
        <v>0</v>
      </c>
      <c r="CQ1731" s="25">
        <f>SUM(CQ1727:CQ1730)</f>
        <v>0</v>
      </c>
      <c r="CS1731" s="10">
        <f>SUM(CS1727:CS1730)</f>
        <v>0</v>
      </c>
      <c r="CT1731" s="11">
        <f t="shared" ref="CT1731:CW1731" si="7968">SUM(CT1727:CT1730)</f>
        <v>0</v>
      </c>
      <c r="CU1731" s="11">
        <f t="shared" si="7968"/>
        <v>0</v>
      </c>
      <c r="CV1731" s="11">
        <f t="shared" si="7968"/>
        <v>0</v>
      </c>
      <c r="CW1731" s="11">
        <f t="shared" si="7968"/>
        <v>0</v>
      </c>
      <c r="CX1731" s="25">
        <f>SUM(CX1727:CX1730)</f>
        <v>0</v>
      </c>
      <c r="CZ1731" s="10">
        <f>SUM(CZ1727:CZ1730)</f>
        <v>0</v>
      </c>
      <c r="DA1731" s="11">
        <f t="shared" ref="DA1731:DD1731" si="7969">SUM(DA1727:DA1730)</f>
        <v>0</v>
      </c>
      <c r="DB1731" s="11">
        <f t="shared" si="7969"/>
        <v>0</v>
      </c>
      <c r="DC1731" s="11">
        <f t="shared" si="7969"/>
        <v>0</v>
      </c>
      <c r="DD1731" s="11">
        <f t="shared" si="7969"/>
        <v>0</v>
      </c>
      <c r="DE1731" s="25">
        <f>SUM(DE1727:DE1730)</f>
        <v>0</v>
      </c>
    </row>
    <row r="1733" spans="2:109">
      <c r="B1733" s="123"/>
      <c r="C1733" s="20"/>
      <c r="D1733" s="20"/>
      <c r="E1733" s="20"/>
      <c r="F1733" s="20"/>
      <c r="G1733" s="20"/>
      <c r="H1733" s="20"/>
      <c r="I1733" s="20"/>
      <c r="J1733" s="20"/>
      <c r="K1733" s="20"/>
      <c r="L1733" s="20"/>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c r="BU1733" s="20"/>
      <c r="BV1733" s="20"/>
      <c r="BW1733" s="20"/>
      <c r="BX1733" s="20"/>
      <c r="BY1733" s="20"/>
      <c r="BZ1733" s="20"/>
      <c r="CA1733" s="20"/>
      <c r="CB1733" s="20"/>
      <c r="CC1733" s="20"/>
      <c r="CD1733" s="20"/>
      <c r="CE1733" s="20"/>
      <c r="CF1733" s="20"/>
      <c r="CG1733" s="20"/>
      <c r="CH1733" s="20"/>
      <c r="CI1733" s="20"/>
      <c r="CJ1733" s="20"/>
      <c r="CL1733" s="20"/>
      <c r="CM1733" s="20"/>
      <c r="CN1733" s="20"/>
      <c r="CO1733" s="20"/>
      <c r="CP1733" s="20"/>
      <c r="CQ1733" s="20"/>
      <c r="CR1733" s="20"/>
      <c r="CS1733" s="20"/>
      <c r="CT1733" s="20"/>
      <c r="CU1733" s="20"/>
      <c r="CV1733" s="20"/>
      <c r="CW1733" s="20"/>
      <c r="CX1733" s="20"/>
      <c r="CY1733" s="20"/>
      <c r="CZ1733" s="20"/>
      <c r="DA1733" s="20"/>
      <c r="DB1733" s="20"/>
      <c r="DC1733" s="20"/>
      <c r="DD1733" s="20"/>
      <c r="DE1733" s="20"/>
    </row>
    <row r="1734" spans="2:109" ht="14" thickBot="1">
      <c r="B1734" s="94">
        <v>55</v>
      </c>
      <c r="C1734" s="12" t="s">
        <v>116</v>
      </c>
    </row>
    <row r="1735" spans="2:109">
      <c r="C1735" s="553">
        <v>2024</v>
      </c>
      <c r="E1735" s="1" t="s">
        <v>59</v>
      </c>
      <c r="F1735" s="2"/>
      <c r="G1735" s="3"/>
      <c r="H1735" s="3"/>
      <c r="I1735" s="3"/>
      <c r="J1735" s="3"/>
      <c r="K1735" s="4">
        <f>SUM(F1735:J1735)</f>
        <v>0</v>
      </c>
      <c r="M1735" s="2"/>
      <c r="N1735" s="3"/>
      <c r="O1735" s="3"/>
      <c r="P1735" s="3"/>
      <c r="Q1735" s="3"/>
      <c r="R1735" s="4">
        <f>SUM(M1735:Q1735)</f>
        <v>0</v>
      </c>
      <c r="T1735" s="2"/>
      <c r="U1735" s="3"/>
      <c r="V1735" s="3"/>
      <c r="W1735" s="3"/>
      <c r="X1735" s="3"/>
      <c r="Y1735" s="4">
        <f>SUM(T1735:X1735)</f>
        <v>0</v>
      </c>
      <c r="AA1735" s="2"/>
      <c r="AB1735" s="3"/>
      <c r="AC1735" s="3"/>
      <c r="AD1735" s="3"/>
      <c r="AE1735" s="3"/>
      <c r="AF1735" s="4">
        <f>SUM(AA1735:AE1735)</f>
        <v>0</v>
      </c>
      <c r="AH1735" s="2"/>
      <c r="AI1735" s="3"/>
      <c r="AJ1735" s="3"/>
      <c r="AK1735" s="3"/>
      <c r="AL1735" s="3"/>
      <c r="AM1735" s="4">
        <f>SUM(AH1735:AL1735)</f>
        <v>0</v>
      </c>
      <c r="AO1735" s="2"/>
      <c r="AP1735" s="3"/>
      <c r="AQ1735" s="3"/>
      <c r="AR1735" s="3"/>
      <c r="AS1735" s="3"/>
      <c r="AT1735" s="4">
        <f>SUM(AO1735:AS1735)</f>
        <v>0</v>
      </c>
      <c r="AV1735" s="2"/>
      <c r="AW1735" s="3"/>
      <c r="AX1735" s="3"/>
      <c r="AY1735" s="3"/>
      <c r="AZ1735" s="3"/>
      <c r="BA1735" s="4">
        <f>SUM(AV1735:AZ1735)</f>
        <v>0</v>
      </c>
      <c r="BC1735" s="2"/>
      <c r="BD1735" s="3"/>
      <c r="BE1735" s="3"/>
      <c r="BF1735" s="3"/>
      <c r="BG1735" s="3"/>
      <c r="BH1735" s="4">
        <f>SUM(BC1735:BG1735)</f>
        <v>0</v>
      </c>
      <c r="BJ1735" s="2"/>
      <c r="BK1735" s="3"/>
      <c r="BL1735" s="3"/>
      <c r="BM1735" s="3"/>
      <c r="BN1735" s="3"/>
      <c r="BO1735" s="4">
        <f>SUM(BJ1735:BN1735)</f>
        <v>0</v>
      </c>
      <c r="BQ1735" s="2"/>
      <c r="BR1735" s="3"/>
      <c r="BS1735" s="3"/>
      <c r="BT1735" s="3"/>
      <c r="BU1735" s="3"/>
      <c r="BV1735" s="4">
        <f>SUM(BQ1735:BU1735)</f>
        <v>0</v>
      </c>
      <c r="BX1735" s="2"/>
      <c r="BY1735" s="3"/>
      <c r="BZ1735" s="3"/>
      <c r="CA1735" s="3"/>
      <c r="CB1735" s="3"/>
      <c r="CC1735" s="4">
        <f>SUM(BX1735:CB1735)</f>
        <v>0</v>
      </c>
      <c r="CE1735" s="26">
        <f t="shared" ref="CE1735:CE1738" si="7970">F1735+M1735+T1735+AA1735+AH1735+AO1735+AV1735+BC1735+BJ1735+BQ1735+BX1735</f>
        <v>0</v>
      </c>
      <c r="CF1735" s="27">
        <f t="shared" ref="CF1735:CF1738" si="7971">G1735+N1735+U1735+AB1735+AI1735+AP1735+AW1735+BD1735+BK1735+BR1735+BY1735</f>
        <v>0</v>
      </c>
      <c r="CG1735" s="27">
        <f t="shared" ref="CG1735:CG1738" si="7972">H1735+O1735+V1735+AC1735+AJ1735+AQ1735+AX1735+BE1735+BL1735+BS1735+BZ1735</f>
        <v>0</v>
      </c>
      <c r="CH1735" s="27">
        <f t="shared" ref="CH1735:CH1738" si="7973">I1735+P1735+W1735+AD1735+AK1735+AR1735+AY1735+BF1735+BM1735+BT1735+CA1735</f>
        <v>0</v>
      </c>
      <c r="CI1735" s="27">
        <f t="shared" ref="CI1735:CI1738" si="7974">J1735+Q1735+X1735+AE1735+AL1735+AS1735+AZ1735+BG1735+BN1735+BU1735+CB1735</f>
        <v>0</v>
      </c>
      <c r="CJ1735" s="4">
        <f>SUM(CE1735:CI1735)</f>
        <v>0</v>
      </c>
      <c r="CL1735" s="2"/>
      <c r="CM1735" s="3"/>
      <c r="CN1735" s="3"/>
      <c r="CO1735" s="3"/>
      <c r="CP1735" s="3"/>
      <c r="CQ1735" s="4">
        <f>SUM(CL1735:CP1735)</f>
        <v>0</v>
      </c>
      <c r="CS1735" s="2"/>
      <c r="CT1735" s="3"/>
      <c r="CU1735" s="3"/>
      <c r="CV1735" s="3"/>
      <c r="CW1735" s="3"/>
      <c r="CX1735" s="4">
        <f>SUM(CS1735:CW1735)</f>
        <v>0</v>
      </c>
      <c r="CZ1735" s="2"/>
      <c r="DA1735" s="3"/>
      <c r="DB1735" s="3"/>
      <c r="DC1735" s="3"/>
      <c r="DD1735" s="3"/>
      <c r="DE1735" s="4">
        <f>SUM(CZ1735:DD1735)</f>
        <v>0</v>
      </c>
    </row>
    <row r="1736" spans="2:109">
      <c r="C1736" s="567"/>
      <c r="E1736" s="5" t="s">
        <v>60</v>
      </c>
      <c r="F1736" s="6"/>
      <c r="G1736" s="7"/>
      <c r="H1736" s="7"/>
      <c r="I1736" s="7"/>
      <c r="J1736" s="7"/>
      <c r="K1736" s="8">
        <f t="shared" ref="K1736:K1738" si="7975">SUM(F1736:J1736)</f>
        <v>0</v>
      </c>
      <c r="M1736" s="6"/>
      <c r="N1736" s="7"/>
      <c r="O1736" s="7"/>
      <c r="P1736" s="7"/>
      <c r="Q1736" s="7"/>
      <c r="R1736" s="8">
        <f t="shared" ref="R1736:R1738" si="7976">SUM(M1736:Q1736)</f>
        <v>0</v>
      </c>
      <c r="T1736" s="6"/>
      <c r="U1736" s="7"/>
      <c r="V1736" s="7"/>
      <c r="W1736" s="7"/>
      <c r="X1736" s="7"/>
      <c r="Y1736" s="8">
        <f t="shared" ref="Y1736:Y1738" si="7977">SUM(T1736:X1736)</f>
        <v>0</v>
      </c>
      <c r="AA1736" s="6"/>
      <c r="AB1736" s="7"/>
      <c r="AC1736" s="7"/>
      <c r="AD1736" s="7"/>
      <c r="AE1736" s="7"/>
      <c r="AF1736" s="8">
        <f>SUM(AA1736:AE1736)</f>
        <v>0</v>
      </c>
      <c r="AH1736" s="6"/>
      <c r="AI1736" s="7"/>
      <c r="AJ1736" s="7"/>
      <c r="AK1736" s="7"/>
      <c r="AL1736" s="7"/>
      <c r="AM1736" s="8">
        <f>SUM(AH1736:AL1736)</f>
        <v>0</v>
      </c>
      <c r="AO1736" s="6"/>
      <c r="AP1736" s="7"/>
      <c r="AQ1736" s="7"/>
      <c r="AR1736" s="7"/>
      <c r="AS1736" s="7"/>
      <c r="AT1736" s="8">
        <f>SUM(AO1736:AS1736)</f>
        <v>0</v>
      </c>
      <c r="AV1736" s="6"/>
      <c r="AW1736" s="7"/>
      <c r="AX1736" s="7"/>
      <c r="AY1736" s="7"/>
      <c r="AZ1736" s="7"/>
      <c r="BA1736" s="8">
        <f>SUM(AV1736:AZ1736)</f>
        <v>0</v>
      </c>
      <c r="BC1736" s="6"/>
      <c r="BD1736" s="7"/>
      <c r="BE1736" s="7"/>
      <c r="BF1736" s="7"/>
      <c r="BG1736" s="7"/>
      <c r="BH1736" s="8">
        <f>SUM(BC1736:BG1736)</f>
        <v>0</v>
      </c>
      <c r="BJ1736" s="6"/>
      <c r="BK1736" s="7"/>
      <c r="BL1736" s="7"/>
      <c r="BM1736" s="7"/>
      <c r="BN1736" s="7"/>
      <c r="BO1736" s="8">
        <f>SUM(BJ1736:BN1736)</f>
        <v>0</v>
      </c>
      <c r="BQ1736" s="6"/>
      <c r="BR1736" s="7"/>
      <c r="BS1736" s="7"/>
      <c r="BT1736" s="7"/>
      <c r="BU1736" s="7"/>
      <c r="BV1736" s="8">
        <f>SUM(BQ1736:BU1736)</f>
        <v>0</v>
      </c>
      <c r="BX1736" s="6"/>
      <c r="BY1736" s="7"/>
      <c r="BZ1736" s="7"/>
      <c r="CA1736" s="7"/>
      <c r="CB1736" s="7"/>
      <c r="CC1736" s="8">
        <f>SUM(BX1736:CB1736)</f>
        <v>0</v>
      </c>
      <c r="CE1736" s="28">
        <f t="shared" si="7970"/>
        <v>0</v>
      </c>
      <c r="CF1736" s="29">
        <f t="shared" si="7971"/>
        <v>0</v>
      </c>
      <c r="CG1736" s="29">
        <f t="shared" si="7972"/>
        <v>0</v>
      </c>
      <c r="CH1736" s="29">
        <f t="shared" si="7973"/>
        <v>0</v>
      </c>
      <c r="CI1736" s="29">
        <f t="shared" si="7974"/>
        <v>0</v>
      </c>
      <c r="CJ1736" s="8">
        <f>SUM(CE1736:CI1736)</f>
        <v>0</v>
      </c>
      <c r="CL1736" s="6"/>
      <c r="CM1736" s="7"/>
      <c r="CN1736" s="7"/>
      <c r="CO1736" s="7"/>
      <c r="CP1736" s="7"/>
      <c r="CQ1736" s="8">
        <f>SUM(CL1736:CP1736)</f>
        <v>0</v>
      </c>
      <c r="CS1736" s="6"/>
      <c r="CT1736" s="7"/>
      <c r="CU1736" s="7"/>
      <c r="CV1736" s="7"/>
      <c r="CW1736" s="7"/>
      <c r="CX1736" s="8">
        <f t="shared" ref="CX1736:CX1738" si="7978">SUM(CS1736:CW1736)</f>
        <v>0</v>
      </c>
      <c r="CZ1736" s="6"/>
      <c r="DA1736" s="7"/>
      <c r="DB1736" s="7"/>
      <c r="DC1736" s="7"/>
      <c r="DD1736" s="7"/>
      <c r="DE1736" s="8">
        <f t="shared" ref="DE1736:DE1738" si="7979">SUM(CZ1736:DD1736)</f>
        <v>0</v>
      </c>
    </row>
    <row r="1737" spans="2:109">
      <c r="C1737" s="567"/>
      <c r="E1737" s="5" t="s">
        <v>61</v>
      </c>
      <c r="F1737" s="6"/>
      <c r="G1737" s="7"/>
      <c r="H1737" s="7"/>
      <c r="I1737" s="7"/>
      <c r="J1737" s="7"/>
      <c r="K1737" s="8">
        <f t="shared" si="7975"/>
        <v>0</v>
      </c>
      <c r="M1737" s="6"/>
      <c r="N1737" s="7"/>
      <c r="O1737" s="7"/>
      <c r="P1737" s="7"/>
      <c r="Q1737" s="7"/>
      <c r="R1737" s="8">
        <f t="shared" si="7976"/>
        <v>0</v>
      </c>
      <c r="T1737" s="6"/>
      <c r="U1737" s="7"/>
      <c r="V1737" s="7"/>
      <c r="W1737" s="7"/>
      <c r="X1737" s="7"/>
      <c r="Y1737" s="8">
        <f t="shared" si="7977"/>
        <v>0</v>
      </c>
      <c r="AA1737" s="6"/>
      <c r="AB1737" s="7"/>
      <c r="AC1737" s="7"/>
      <c r="AD1737" s="7"/>
      <c r="AE1737" s="7"/>
      <c r="AF1737" s="8">
        <f>SUM(AA1737:AE1737)</f>
        <v>0</v>
      </c>
      <c r="AH1737" s="6"/>
      <c r="AI1737" s="7"/>
      <c r="AJ1737" s="7"/>
      <c r="AK1737" s="7"/>
      <c r="AL1737" s="7"/>
      <c r="AM1737" s="8">
        <f>SUM(AH1737:AL1737)</f>
        <v>0</v>
      </c>
      <c r="AO1737" s="6"/>
      <c r="AP1737" s="7"/>
      <c r="AQ1737" s="7"/>
      <c r="AR1737" s="7"/>
      <c r="AS1737" s="7"/>
      <c r="AT1737" s="8">
        <f>SUM(AO1737:AS1737)</f>
        <v>0</v>
      </c>
      <c r="AV1737" s="6"/>
      <c r="AW1737" s="7"/>
      <c r="AX1737" s="7"/>
      <c r="AY1737" s="7"/>
      <c r="AZ1737" s="7"/>
      <c r="BA1737" s="8">
        <f>SUM(AV1737:AZ1737)</f>
        <v>0</v>
      </c>
      <c r="BC1737" s="6"/>
      <c r="BD1737" s="7"/>
      <c r="BE1737" s="7"/>
      <c r="BF1737" s="7"/>
      <c r="BG1737" s="7"/>
      <c r="BH1737" s="8">
        <f>SUM(BC1737:BG1737)</f>
        <v>0</v>
      </c>
      <c r="BJ1737" s="6"/>
      <c r="BK1737" s="7"/>
      <c r="BL1737" s="7"/>
      <c r="BM1737" s="7"/>
      <c r="BN1737" s="7"/>
      <c r="BO1737" s="8">
        <f>SUM(BJ1737:BN1737)</f>
        <v>0</v>
      </c>
      <c r="BQ1737" s="6"/>
      <c r="BR1737" s="7"/>
      <c r="BS1737" s="7"/>
      <c r="BT1737" s="7"/>
      <c r="BU1737" s="7"/>
      <c r="BV1737" s="8">
        <f>SUM(BQ1737:BU1737)</f>
        <v>0</v>
      </c>
      <c r="BX1737" s="6"/>
      <c r="BY1737" s="7"/>
      <c r="BZ1737" s="7"/>
      <c r="CA1737" s="7"/>
      <c r="CB1737" s="7"/>
      <c r="CC1737" s="8">
        <f>SUM(BX1737:CB1737)</f>
        <v>0</v>
      </c>
      <c r="CE1737" s="28">
        <f t="shared" si="7970"/>
        <v>0</v>
      </c>
      <c r="CF1737" s="29">
        <f t="shared" si="7971"/>
        <v>0</v>
      </c>
      <c r="CG1737" s="29">
        <f t="shared" si="7972"/>
        <v>0</v>
      </c>
      <c r="CH1737" s="29">
        <f t="shared" si="7973"/>
        <v>0</v>
      </c>
      <c r="CI1737" s="29">
        <f t="shared" si="7974"/>
        <v>0</v>
      </c>
      <c r="CJ1737" s="8">
        <f>SUM(CE1737:CI1737)</f>
        <v>0</v>
      </c>
      <c r="CL1737" s="6"/>
      <c r="CM1737" s="7"/>
      <c r="CN1737" s="7"/>
      <c r="CO1737" s="7"/>
      <c r="CP1737" s="7"/>
      <c r="CQ1737" s="8">
        <f>SUM(CL1737:CP1737)</f>
        <v>0</v>
      </c>
      <c r="CS1737" s="6"/>
      <c r="CT1737" s="7"/>
      <c r="CU1737" s="7"/>
      <c r="CV1737" s="7"/>
      <c r="CW1737" s="7"/>
      <c r="CX1737" s="8">
        <f t="shared" si="7978"/>
        <v>0</v>
      </c>
      <c r="CZ1737" s="6"/>
      <c r="DA1737" s="7"/>
      <c r="DB1737" s="7"/>
      <c r="DC1737" s="7"/>
      <c r="DD1737" s="7"/>
      <c r="DE1737" s="8">
        <f t="shared" si="7979"/>
        <v>0</v>
      </c>
    </row>
    <row r="1738" spans="2:109" ht="14" thickBot="1">
      <c r="C1738" s="567"/>
      <c r="E1738" s="5" t="s">
        <v>62</v>
      </c>
      <c r="F1738" s="6"/>
      <c r="G1738" s="7"/>
      <c r="H1738" s="7"/>
      <c r="I1738" s="7"/>
      <c r="J1738" s="7"/>
      <c r="K1738" s="8">
        <f t="shared" si="7975"/>
        <v>0</v>
      </c>
      <c r="M1738" s="6"/>
      <c r="N1738" s="7"/>
      <c r="O1738" s="7"/>
      <c r="P1738" s="7"/>
      <c r="Q1738" s="7"/>
      <c r="R1738" s="8">
        <f t="shared" si="7976"/>
        <v>0</v>
      </c>
      <c r="T1738" s="6"/>
      <c r="U1738" s="7"/>
      <c r="V1738" s="7"/>
      <c r="W1738" s="7"/>
      <c r="X1738" s="7"/>
      <c r="Y1738" s="8">
        <f t="shared" si="7977"/>
        <v>0</v>
      </c>
      <c r="AA1738" s="6"/>
      <c r="AB1738" s="7"/>
      <c r="AC1738" s="7"/>
      <c r="AD1738" s="7"/>
      <c r="AE1738" s="7"/>
      <c r="AF1738" s="8">
        <f>SUM(AA1738:AE1738)</f>
        <v>0</v>
      </c>
      <c r="AH1738" s="6"/>
      <c r="AI1738" s="7"/>
      <c r="AJ1738" s="7"/>
      <c r="AK1738" s="7"/>
      <c r="AL1738" s="7"/>
      <c r="AM1738" s="8">
        <f>SUM(AH1738:AL1738)</f>
        <v>0</v>
      </c>
      <c r="AO1738" s="6"/>
      <c r="AP1738" s="7"/>
      <c r="AQ1738" s="7"/>
      <c r="AR1738" s="7"/>
      <c r="AS1738" s="7"/>
      <c r="AT1738" s="8">
        <f>SUM(AO1738:AS1738)</f>
        <v>0</v>
      </c>
      <c r="AV1738" s="6"/>
      <c r="AW1738" s="7"/>
      <c r="AX1738" s="7"/>
      <c r="AY1738" s="7"/>
      <c r="AZ1738" s="7"/>
      <c r="BA1738" s="8">
        <f>SUM(AV1738:AZ1738)</f>
        <v>0</v>
      </c>
      <c r="BC1738" s="6"/>
      <c r="BD1738" s="7"/>
      <c r="BE1738" s="7"/>
      <c r="BF1738" s="7"/>
      <c r="BG1738" s="7"/>
      <c r="BH1738" s="8">
        <f>SUM(BC1738:BG1738)</f>
        <v>0</v>
      </c>
      <c r="BJ1738" s="6"/>
      <c r="BK1738" s="7"/>
      <c r="BL1738" s="7"/>
      <c r="BM1738" s="7"/>
      <c r="BN1738" s="7"/>
      <c r="BO1738" s="8">
        <f>SUM(BJ1738:BN1738)</f>
        <v>0</v>
      </c>
      <c r="BQ1738" s="6"/>
      <c r="BR1738" s="7"/>
      <c r="BS1738" s="7"/>
      <c r="BT1738" s="7"/>
      <c r="BU1738" s="7"/>
      <c r="BV1738" s="8">
        <f>SUM(BQ1738:BU1738)</f>
        <v>0</v>
      </c>
      <c r="BX1738" s="6"/>
      <c r="BY1738" s="7"/>
      <c r="BZ1738" s="7"/>
      <c r="CA1738" s="7"/>
      <c r="CB1738" s="7"/>
      <c r="CC1738" s="8">
        <f>SUM(BX1738:CB1738)</f>
        <v>0</v>
      </c>
      <c r="CE1738" s="493">
        <f t="shared" si="7970"/>
        <v>0</v>
      </c>
      <c r="CF1738" s="494">
        <f t="shared" si="7971"/>
        <v>0</v>
      </c>
      <c r="CG1738" s="494">
        <f t="shared" si="7972"/>
        <v>0</v>
      </c>
      <c r="CH1738" s="494">
        <f t="shared" si="7973"/>
        <v>0</v>
      </c>
      <c r="CI1738" s="494">
        <f t="shared" si="7974"/>
        <v>0</v>
      </c>
      <c r="CJ1738" s="495">
        <f>SUM(CE1738:CI1738)</f>
        <v>0</v>
      </c>
      <c r="CL1738" s="6"/>
      <c r="CM1738" s="7"/>
      <c r="CN1738" s="7"/>
      <c r="CO1738" s="7"/>
      <c r="CP1738" s="7"/>
      <c r="CQ1738" s="8">
        <f>SUM(CL1738:CP1738)</f>
        <v>0</v>
      </c>
      <c r="CS1738" s="6"/>
      <c r="CT1738" s="7"/>
      <c r="CU1738" s="7"/>
      <c r="CV1738" s="7"/>
      <c r="CW1738" s="7"/>
      <c r="CX1738" s="8">
        <f t="shared" si="7978"/>
        <v>0</v>
      </c>
      <c r="CZ1738" s="6"/>
      <c r="DA1738" s="7"/>
      <c r="DB1738" s="7"/>
      <c r="DC1738" s="7"/>
      <c r="DD1738" s="7"/>
      <c r="DE1738" s="8">
        <f t="shared" si="7979"/>
        <v>0</v>
      </c>
    </row>
    <row r="1739" spans="2:109" ht="14" thickBot="1">
      <c r="C1739" s="554"/>
      <c r="E1739" s="9"/>
      <c r="F1739" s="10">
        <f>SUM(F1735:F1738)</f>
        <v>0</v>
      </c>
      <c r="G1739" s="11">
        <f t="shared" ref="G1739:J1739" si="7980">SUM(G1735:G1738)</f>
        <v>0</v>
      </c>
      <c r="H1739" s="11">
        <f t="shared" si="7980"/>
        <v>0</v>
      </c>
      <c r="I1739" s="11">
        <f t="shared" si="7980"/>
        <v>0</v>
      </c>
      <c r="J1739" s="61">
        <f t="shared" si="7980"/>
        <v>0</v>
      </c>
      <c r="K1739" s="25">
        <f>SUM(K1735:K1738)</f>
        <v>0</v>
      </c>
      <c r="M1739" s="10">
        <f>SUM(M1735:M1738)</f>
        <v>0</v>
      </c>
      <c r="N1739" s="11">
        <f t="shared" ref="N1739:Q1739" si="7981">SUM(N1735:N1738)</f>
        <v>0</v>
      </c>
      <c r="O1739" s="11">
        <f t="shared" si="7981"/>
        <v>0</v>
      </c>
      <c r="P1739" s="11">
        <f t="shared" si="7981"/>
        <v>0</v>
      </c>
      <c r="Q1739" s="11">
        <f t="shared" si="7981"/>
        <v>0</v>
      </c>
      <c r="R1739" s="25">
        <f>SUM(R1735:R1738)</f>
        <v>0</v>
      </c>
      <c r="T1739" s="10">
        <f>SUM(T1735:T1738)</f>
        <v>0</v>
      </c>
      <c r="U1739" s="11">
        <f t="shared" ref="U1739:X1739" si="7982">SUM(U1735:U1738)</f>
        <v>0</v>
      </c>
      <c r="V1739" s="11">
        <f t="shared" si="7982"/>
        <v>0</v>
      </c>
      <c r="W1739" s="11">
        <f t="shared" si="7982"/>
        <v>0</v>
      </c>
      <c r="X1739" s="11">
        <f t="shared" si="7982"/>
        <v>0</v>
      </c>
      <c r="Y1739" s="25">
        <f>SUM(Y1735:Y1738)</f>
        <v>0</v>
      </c>
      <c r="AA1739" s="10">
        <f>SUM(AA1735:AA1738)</f>
        <v>0</v>
      </c>
      <c r="AB1739" s="11">
        <f t="shared" ref="AB1739:AE1739" si="7983">SUM(AB1735:AB1738)</f>
        <v>0</v>
      </c>
      <c r="AC1739" s="11">
        <f t="shared" si="7983"/>
        <v>0</v>
      </c>
      <c r="AD1739" s="11">
        <f t="shared" si="7983"/>
        <v>0</v>
      </c>
      <c r="AE1739" s="11">
        <f t="shared" si="7983"/>
        <v>0</v>
      </c>
      <c r="AF1739" s="25">
        <f>SUM(AF1735:AF1738)</f>
        <v>0</v>
      </c>
      <c r="AH1739" s="10">
        <f>SUM(AH1735:AH1738)</f>
        <v>0</v>
      </c>
      <c r="AI1739" s="11">
        <f t="shared" ref="AI1739:AL1739" si="7984">SUM(AI1735:AI1738)</f>
        <v>0</v>
      </c>
      <c r="AJ1739" s="11">
        <f t="shared" si="7984"/>
        <v>0</v>
      </c>
      <c r="AK1739" s="11">
        <f t="shared" si="7984"/>
        <v>0</v>
      </c>
      <c r="AL1739" s="11">
        <f t="shared" si="7984"/>
        <v>0</v>
      </c>
      <c r="AM1739" s="25">
        <f>SUM(AM1735:AM1738)</f>
        <v>0</v>
      </c>
      <c r="AO1739" s="10">
        <f>SUM(AO1735:AO1738)</f>
        <v>0</v>
      </c>
      <c r="AP1739" s="11">
        <f t="shared" ref="AP1739:AS1739" si="7985">SUM(AP1735:AP1738)</f>
        <v>0</v>
      </c>
      <c r="AQ1739" s="11">
        <f t="shared" si="7985"/>
        <v>0</v>
      </c>
      <c r="AR1739" s="11">
        <f t="shared" si="7985"/>
        <v>0</v>
      </c>
      <c r="AS1739" s="11">
        <f t="shared" si="7985"/>
        <v>0</v>
      </c>
      <c r="AT1739" s="25">
        <f>SUM(AT1735:AT1738)</f>
        <v>0</v>
      </c>
      <c r="AV1739" s="10">
        <f>SUM(AV1735:AV1738)</f>
        <v>0</v>
      </c>
      <c r="AW1739" s="11">
        <f t="shared" ref="AW1739:AZ1739" si="7986">SUM(AW1735:AW1738)</f>
        <v>0</v>
      </c>
      <c r="AX1739" s="11">
        <f t="shared" si="7986"/>
        <v>0</v>
      </c>
      <c r="AY1739" s="11">
        <f t="shared" si="7986"/>
        <v>0</v>
      </c>
      <c r="AZ1739" s="11">
        <f t="shared" si="7986"/>
        <v>0</v>
      </c>
      <c r="BA1739" s="25">
        <f>SUM(BA1735:BA1738)</f>
        <v>0</v>
      </c>
      <c r="BC1739" s="10">
        <f>SUM(BC1735:BC1738)</f>
        <v>0</v>
      </c>
      <c r="BD1739" s="11">
        <f t="shared" ref="BD1739:BG1739" si="7987">SUM(BD1735:BD1738)</f>
        <v>0</v>
      </c>
      <c r="BE1739" s="11">
        <f t="shared" si="7987"/>
        <v>0</v>
      </c>
      <c r="BF1739" s="11">
        <f t="shared" si="7987"/>
        <v>0</v>
      </c>
      <c r="BG1739" s="11">
        <f t="shared" si="7987"/>
        <v>0</v>
      </c>
      <c r="BH1739" s="25">
        <f>SUM(BH1735:BH1738)</f>
        <v>0</v>
      </c>
      <c r="BJ1739" s="10">
        <f>SUM(BJ1735:BJ1738)</f>
        <v>0</v>
      </c>
      <c r="BK1739" s="11">
        <f t="shared" ref="BK1739:BN1739" si="7988">SUM(BK1735:BK1738)</f>
        <v>0</v>
      </c>
      <c r="BL1739" s="11">
        <f t="shared" si="7988"/>
        <v>0</v>
      </c>
      <c r="BM1739" s="11">
        <f t="shared" si="7988"/>
        <v>0</v>
      </c>
      <c r="BN1739" s="11">
        <f t="shared" si="7988"/>
        <v>0</v>
      </c>
      <c r="BO1739" s="25">
        <f>SUM(BO1735:BO1738)</f>
        <v>0</v>
      </c>
      <c r="BQ1739" s="10">
        <f>SUM(BQ1735:BQ1738)</f>
        <v>0</v>
      </c>
      <c r="BR1739" s="11">
        <f t="shared" ref="BR1739:BU1739" si="7989">SUM(BR1735:BR1738)</f>
        <v>0</v>
      </c>
      <c r="BS1739" s="11">
        <f t="shared" si="7989"/>
        <v>0</v>
      </c>
      <c r="BT1739" s="11">
        <f t="shared" si="7989"/>
        <v>0</v>
      </c>
      <c r="BU1739" s="11">
        <f t="shared" si="7989"/>
        <v>0</v>
      </c>
      <c r="BV1739" s="25">
        <f>SUM(BV1735:BV1738)</f>
        <v>0</v>
      </c>
      <c r="BX1739" s="10">
        <f>SUM(BX1735:BX1738)</f>
        <v>0</v>
      </c>
      <c r="BY1739" s="11">
        <f t="shared" ref="BY1739:CB1739" si="7990">SUM(BY1735:BY1738)</f>
        <v>0</v>
      </c>
      <c r="BZ1739" s="11">
        <f t="shared" si="7990"/>
        <v>0</v>
      </c>
      <c r="CA1739" s="11">
        <f t="shared" si="7990"/>
        <v>0</v>
      </c>
      <c r="CB1739" s="11">
        <f t="shared" si="7990"/>
        <v>0</v>
      </c>
      <c r="CC1739" s="25">
        <f>SUM(CC1735:CC1738)</f>
        <v>0</v>
      </c>
      <c r="CE1739" s="62">
        <f t="shared" ref="CE1739:CJ1739" si="7991">SUM(CE1735:CE1738)</f>
        <v>0</v>
      </c>
      <c r="CF1739" s="63">
        <f t="shared" si="7991"/>
        <v>0</v>
      </c>
      <c r="CG1739" s="63">
        <f t="shared" si="7991"/>
        <v>0</v>
      </c>
      <c r="CH1739" s="63">
        <f t="shared" si="7991"/>
        <v>0</v>
      </c>
      <c r="CI1739" s="63">
        <f t="shared" si="7991"/>
        <v>0</v>
      </c>
      <c r="CJ1739" s="25">
        <f t="shared" si="7991"/>
        <v>0</v>
      </c>
      <c r="CL1739" s="10">
        <f>SUM(CL1735:CL1738)</f>
        <v>0</v>
      </c>
      <c r="CM1739" s="11">
        <f t="shared" ref="CM1739:CP1739" si="7992">SUM(CM1735:CM1738)</f>
        <v>0</v>
      </c>
      <c r="CN1739" s="11">
        <f t="shared" si="7992"/>
        <v>0</v>
      </c>
      <c r="CO1739" s="11">
        <f t="shared" si="7992"/>
        <v>0</v>
      </c>
      <c r="CP1739" s="11">
        <f t="shared" si="7992"/>
        <v>0</v>
      </c>
      <c r="CQ1739" s="25">
        <f>SUM(CQ1735:CQ1738)</f>
        <v>0</v>
      </c>
      <c r="CS1739" s="10">
        <f>SUM(CS1735:CS1738)</f>
        <v>0</v>
      </c>
      <c r="CT1739" s="11">
        <f t="shared" ref="CT1739:CW1739" si="7993">SUM(CT1735:CT1738)</f>
        <v>0</v>
      </c>
      <c r="CU1739" s="11">
        <f t="shared" si="7993"/>
        <v>0</v>
      </c>
      <c r="CV1739" s="11">
        <f t="shared" si="7993"/>
        <v>0</v>
      </c>
      <c r="CW1739" s="11">
        <f t="shared" si="7993"/>
        <v>0</v>
      </c>
      <c r="CX1739" s="25">
        <f>SUM(CX1735:CX1738)</f>
        <v>0</v>
      </c>
      <c r="CZ1739" s="10">
        <f>SUM(CZ1735:CZ1738)</f>
        <v>0</v>
      </c>
      <c r="DA1739" s="11">
        <f t="shared" ref="DA1739:DD1739" si="7994">SUM(DA1735:DA1738)</f>
        <v>0</v>
      </c>
      <c r="DB1739" s="11">
        <f t="shared" si="7994"/>
        <v>0</v>
      </c>
      <c r="DC1739" s="11">
        <f t="shared" si="7994"/>
        <v>0</v>
      </c>
      <c r="DD1739" s="11">
        <f t="shared" si="7994"/>
        <v>0</v>
      </c>
      <c r="DE1739" s="25">
        <f>SUM(DE1735:DE1738)</f>
        <v>0</v>
      </c>
    </row>
    <row r="1740" spans="2:109" ht="10.4" customHeight="1" thickBot="1"/>
    <row r="1741" spans="2:109">
      <c r="C1741" s="553">
        <v>2025</v>
      </c>
      <c r="E1741" s="13" t="s">
        <v>59</v>
      </c>
      <c r="F1741" s="21">
        <f>CE1735</f>
        <v>0</v>
      </c>
      <c r="G1741" s="22">
        <f t="shared" ref="G1741:G1744" si="7995">CF1735</f>
        <v>0</v>
      </c>
      <c r="H1741" s="22">
        <f t="shared" ref="H1741:H1744" si="7996">CG1735</f>
        <v>0</v>
      </c>
      <c r="I1741" s="22">
        <f t="shared" ref="I1741:I1744" si="7997">CH1735</f>
        <v>0</v>
      </c>
      <c r="J1741" s="22">
        <f t="shared" ref="J1741:J1744" si="7998">CI1735</f>
        <v>0</v>
      </c>
      <c r="K1741" s="15">
        <f>SUM(F1741:J1741)</f>
        <v>0</v>
      </c>
      <c r="M1741" s="2"/>
      <c r="N1741" s="3"/>
      <c r="O1741" s="3"/>
      <c r="P1741" s="3"/>
      <c r="Q1741" s="3"/>
      <c r="R1741" s="15">
        <f>SUM(M1741:Q1741)</f>
        <v>0</v>
      </c>
      <c r="T1741" s="2"/>
      <c r="U1741" s="3"/>
      <c r="V1741" s="3"/>
      <c r="W1741" s="3"/>
      <c r="X1741" s="3"/>
      <c r="Y1741" s="15">
        <f>SUM(T1741:X1741)</f>
        <v>0</v>
      </c>
      <c r="AA1741" s="2"/>
      <c r="AB1741" s="3"/>
      <c r="AC1741" s="3"/>
      <c r="AD1741" s="3"/>
      <c r="AE1741" s="3"/>
      <c r="AF1741" s="15">
        <f>SUM(AA1741:AE1741)</f>
        <v>0</v>
      </c>
      <c r="AH1741" s="2"/>
      <c r="AI1741" s="3"/>
      <c r="AJ1741" s="3"/>
      <c r="AK1741" s="3"/>
      <c r="AL1741" s="3"/>
      <c r="AM1741" s="15">
        <f>SUM(AH1741:AL1741)</f>
        <v>0</v>
      </c>
      <c r="AO1741" s="2"/>
      <c r="AP1741" s="3"/>
      <c r="AQ1741" s="3"/>
      <c r="AR1741" s="3"/>
      <c r="AS1741" s="3"/>
      <c r="AT1741" s="15">
        <f>SUM(AO1741:AS1741)</f>
        <v>0</v>
      </c>
      <c r="AV1741" s="2"/>
      <c r="AW1741" s="3"/>
      <c r="AX1741" s="3"/>
      <c r="AY1741" s="3"/>
      <c r="AZ1741" s="3"/>
      <c r="BA1741" s="15">
        <f>SUM(AV1741:AZ1741)</f>
        <v>0</v>
      </c>
      <c r="BC1741" s="2"/>
      <c r="BD1741" s="3"/>
      <c r="BE1741" s="3"/>
      <c r="BF1741" s="3"/>
      <c r="BG1741" s="3"/>
      <c r="BH1741" s="15">
        <f>SUM(BC1741:BG1741)</f>
        <v>0</v>
      </c>
      <c r="BJ1741" s="2"/>
      <c r="BK1741" s="3"/>
      <c r="BL1741" s="3"/>
      <c r="BM1741" s="3"/>
      <c r="BN1741" s="3"/>
      <c r="BO1741" s="15">
        <f>SUM(BJ1741:BN1741)</f>
        <v>0</v>
      </c>
      <c r="BQ1741" s="2"/>
      <c r="BR1741" s="3"/>
      <c r="BS1741" s="3"/>
      <c r="BT1741" s="3"/>
      <c r="BU1741" s="3"/>
      <c r="BV1741" s="15">
        <f>SUM(BQ1741:BU1741)</f>
        <v>0</v>
      </c>
      <c r="BX1741" s="2"/>
      <c r="BY1741" s="3"/>
      <c r="BZ1741" s="3"/>
      <c r="CA1741" s="3"/>
      <c r="CB1741" s="3"/>
      <c r="CC1741" s="15">
        <f>SUM(BX1741:CB1741)</f>
        <v>0</v>
      </c>
      <c r="CE1741" s="26">
        <f t="shared" ref="CE1741:CE1744" si="7999">F1741+M1741+T1741+AA1741+AH1741+AO1741+AV1741+BC1741+BJ1741+BQ1741+BX1741</f>
        <v>0</v>
      </c>
      <c r="CF1741" s="27">
        <f t="shared" ref="CF1741:CF1744" si="8000">G1741+N1741+U1741+AB1741+AI1741+AP1741+AW1741+BD1741+BK1741+BR1741+BY1741</f>
        <v>0</v>
      </c>
      <c r="CG1741" s="27">
        <f t="shared" ref="CG1741:CG1744" si="8001">H1741+O1741+V1741+AC1741+AJ1741+AQ1741+AX1741+BE1741+BL1741+BS1741+BZ1741</f>
        <v>0</v>
      </c>
      <c r="CH1741" s="27">
        <f t="shared" ref="CH1741:CH1744" si="8002">I1741+P1741+W1741+AD1741+AK1741+AR1741+AY1741+BF1741+BM1741+BT1741+CA1741</f>
        <v>0</v>
      </c>
      <c r="CI1741" s="27">
        <f t="shared" ref="CI1741:CI1744" si="8003">J1741+Q1741+X1741+AE1741+AL1741+AS1741+AZ1741+BG1741+BN1741+BU1741+CB1741</f>
        <v>0</v>
      </c>
      <c r="CJ1741" s="4">
        <f>SUM(CE1741:CI1741)</f>
        <v>0</v>
      </c>
      <c r="CL1741" s="2"/>
      <c r="CM1741" s="3"/>
      <c r="CN1741" s="3"/>
      <c r="CO1741" s="3"/>
      <c r="CP1741" s="3"/>
      <c r="CQ1741" s="15">
        <f>SUM(CL1741:CP1741)</f>
        <v>0</v>
      </c>
      <c r="CS1741" s="2"/>
      <c r="CT1741" s="3"/>
      <c r="CU1741" s="3"/>
      <c r="CV1741" s="3"/>
      <c r="CW1741" s="3"/>
      <c r="CX1741" s="4">
        <f>SUM(CS1741:CW1741)</f>
        <v>0</v>
      </c>
      <c r="CZ1741" s="2"/>
      <c r="DA1741" s="3"/>
      <c r="DB1741" s="3"/>
      <c r="DC1741" s="3"/>
      <c r="DD1741" s="3"/>
      <c r="DE1741" s="15">
        <f>SUM(CZ1741:DD1741)</f>
        <v>0</v>
      </c>
    </row>
    <row r="1742" spans="2:109">
      <c r="C1742" s="567"/>
      <c r="E1742" s="14" t="s">
        <v>60</v>
      </c>
      <c r="F1742" s="23">
        <f t="shared" ref="F1742:F1744" si="8004">CE1736</f>
        <v>0</v>
      </c>
      <c r="G1742" s="24">
        <f t="shared" si="7995"/>
        <v>0</v>
      </c>
      <c r="H1742" s="24">
        <f t="shared" si="7996"/>
        <v>0</v>
      </c>
      <c r="I1742" s="24">
        <f t="shared" si="7997"/>
        <v>0</v>
      </c>
      <c r="J1742" s="24">
        <f t="shared" si="7998"/>
        <v>0</v>
      </c>
      <c r="K1742" s="16">
        <f t="shared" ref="K1742:K1744" si="8005">SUM(F1742:J1742)</f>
        <v>0</v>
      </c>
      <c r="M1742" s="6"/>
      <c r="N1742" s="7"/>
      <c r="O1742" s="7"/>
      <c r="P1742" s="7"/>
      <c r="Q1742" s="7"/>
      <c r="R1742" s="16">
        <f t="shared" ref="R1742:R1744" si="8006">SUM(M1742:Q1742)</f>
        <v>0</v>
      </c>
      <c r="T1742" s="6"/>
      <c r="U1742" s="7"/>
      <c r="V1742" s="7"/>
      <c r="W1742" s="7"/>
      <c r="X1742" s="7"/>
      <c r="Y1742" s="16">
        <f t="shared" ref="Y1742:Y1744" si="8007">SUM(T1742:X1742)</f>
        <v>0</v>
      </c>
      <c r="AA1742" s="6"/>
      <c r="AB1742" s="7"/>
      <c r="AC1742" s="7"/>
      <c r="AD1742" s="7"/>
      <c r="AE1742" s="7"/>
      <c r="AF1742" s="16">
        <f>SUM(AA1742:AE1742)</f>
        <v>0</v>
      </c>
      <c r="AH1742" s="6"/>
      <c r="AI1742" s="7"/>
      <c r="AJ1742" s="7"/>
      <c r="AK1742" s="7"/>
      <c r="AL1742" s="7"/>
      <c r="AM1742" s="16">
        <f>SUM(AH1742:AL1742)</f>
        <v>0</v>
      </c>
      <c r="AO1742" s="6"/>
      <c r="AP1742" s="7"/>
      <c r="AQ1742" s="7"/>
      <c r="AR1742" s="7"/>
      <c r="AS1742" s="7"/>
      <c r="AT1742" s="16">
        <f>SUM(AO1742:AS1742)</f>
        <v>0</v>
      </c>
      <c r="AV1742" s="6"/>
      <c r="AW1742" s="7"/>
      <c r="AX1742" s="7"/>
      <c r="AY1742" s="7"/>
      <c r="AZ1742" s="7"/>
      <c r="BA1742" s="16">
        <f>SUM(AV1742:AZ1742)</f>
        <v>0</v>
      </c>
      <c r="BC1742" s="6"/>
      <c r="BD1742" s="7"/>
      <c r="BE1742" s="7"/>
      <c r="BF1742" s="7"/>
      <c r="BG1742" s="7"/>
      <c r="BH1742" s="16">
        <f>SUM(BC1742:BG1742)</f>
        <v>0</v>
      </c>
      <c r="BJ1742" s="6"/>
      <c r="BK1742" s="7"/>
      <c r="BL1742" s="7"/>
      <c r="BM1742" s="7"/>
      <c r="BN1742" s="7"/>
      <c r="BO1742" s="16">
        <f>SUM(BJ1742:BN1742)</f>
        <v>0</v>
      </c>
      <c r="BQ1742" s="6"/>
      <c r="BR1742" s="7"/>
      <c r="BS1742" s="7"/>
      <c r="BT1742" s="7"/>
      <c r="BU1742" s="7"/>
      <c r="BV1742" s="16">
        <f>SUM(BQ1742:BU1742)</f>
        <v>0</v>
      </c>
      <c r="BX1742" s="6"/>
      <c r="BY1742" s="7"/>
      <c r="BZ1742" s="7"/>
      <c r="CA1742" s="7"/>
      <c r="CB1742" s="7"/>
      <c r="CC1742" s="16">
        <f>SUM(BX1742:CB1742)</f>
        <v>0</v>
      </c>
      <c r="CE1742" s="28">
        <f t="shared" si="7999"/>
        <v>0</v>
      </c>
      <c r="CF1742" s="29">
        <f t="shared" si="8000"/>
        <v>0</v>
      </c>
      <c r="CG1742" s="29">
        <f t="shared" si="8001"/>
        <v>0</v>
      </c>
      <c r="CH1742" s="29">
        <f t="shared" si="8002"/>
        <v>0</v>
      </c>
      <c r="CI1742" s="29">
        <f t="shared" si="8003"/>
        <v>0</v>
      </c>
      <c r="CJ1742" s="8">
        <f>SUM(CE1742:CI1742)</f>
        <v>0</v>
      </c>
      <c r="CL1742" s="6"/>
      <c r="CM1742" s="7"/>
      <c r="CN1742" s="7"/>
      <c r="CO1742" s="7"/>
      <c r="CP1742" s="7"/>
      <c r="CQ1742" s="16">
        <f>SUM(CL1742:CP1742)</f>
        <v>0</v>
      </c>
      <c r="CS1742" s="6"/>
      <c r="CT1742" s="7"/>
      <c r="CU1742" s="7"/>
      <c r="CV1742" s="7"/>
      <c r="CW1742" s="7"/>
      <c r="CX1742" s="8">
        <f t="shared" ref="CX1742:CX1744" si="8008">SUM(CS1742:CW1742)</f>
        <v>0</v>
      </c>
      <c r="CZ1742" s="6"/>
      <c r="DA1742" s="7"/>
      <c r="DB1742" s="7"/>
      <c r="DC1742" s="7"/>
      <c r="DD1742" s="7"/>
      <c r="DE1742" s="16">
        <f t="shared" ref="DE1742:DE1744" si="8009">SUM(CZ1742:DD1742)</f>
        <v>0</v>
      </c>
    </row>
    <row r="1743" spans="2:109">
      <c r="C1743" s="567"/>
      <c r="E1743" s="14" t="s">
        <v>61</v>
      </c>
      <c r="F1743" s="23">
        <f t="shared" si="8004"/>
        <v>0</v>
      </c>
      <c r="G1743" s="24">
        <f t="shared" si="7995"/>
        <v>0</v>
      </c>
      <c r="H1743" s="24">
        <f t="shared" si="7996"/>
        <v>0</v>
      </c>
      <c r="I1743" s="24">
        <f t="shared" si="7997"/>
        <v>0</v>
      </c>
      <c r="J1743" s="24">
        <f t="shared" si="7998"/>
        <v>0</v>
      </c>
      <c r="K1743" s="16">
        <f t="shared" si="8005"/>
        <v>0</v>
      </c>
      <c r="M1743" s="6"/>
      <c r="N1743" s="7"/>
      <c r="O1743" s="7"/>
      <c r="P1743" s="7"/>
      <c r="Q1743" s="7"/>
      <c r="R1743" s="16">
        <f t="shared" si="8006"/>
        <v>0</v>
      </c>
      <c r="T1743" s="6"/>
      <c r="U1743" s="7"/>
      <c r="V1743" s="7"/>
      <c r="W1743" s="7"/>
      <c r="X1743" s="7"/>
      <c r="Y1743" s="16">
        <f t="shared" si="8007"/>
        <v>0</v>
      </c>
      <c r="AA1743" s="6"/>
      <c r="AB1743" s="7"/>
      <c r="AC1743" s="7"/>
      <c r="AD1743" s="7"/>
      <c r="AE1743" s="7"/>
      <c r="AF1743" s="16">
        <f>SUM(AA1743:AE1743)</f>
        <v>0</v>
      </c>
      <c r="AH1743" s="6"/>
      <c r="AI1743" s="7"/>
      <c r="AJ1743" s="7"/>
      <c r="AK1743" s="7"/>
      <c r="AL1743" s="7"/>
      <c r="AM1743" s="16">
        <f>SUM(AH1743:AL1743)</f>
        <v>0</v>
      </c>
      <c r="AO1743" s="6"/>
      <c r="AP1743" s="7"/>
      <c r="AQ1743" s="7"/>
      <c r="AR1743" s="7"/>
      <c r="AS1743" s="7"/>
      <c r="AT1743" s="16">
        <f>SUM(AO1743:AS1743)</f>
        <v>0</v>
      </c>
      <c r="AV1743" s="6"/>
      <c r="AW1743" s="7"/>
      <c r="AX1743" s="7"/>
      <c r="AY1743" s="7"/>
      <c r="AZ1743" s="7"/>
      <c r="BA1743" s="16">
        <f>SUM(AV1743:AZ1743)</f>
        <v>0</v>
      </c>
      <c r="BC1743" s="6"/>
      <c r="BD1743" s="7"/>
      <c r="BE1743" s="7"/>
      <c r="BF1743" s="7"/>
      <c r="BG1743" s="7"/>
      <c r="BH1743" s="16">
        <f>SUM(BC1743:BG1743)</f>
        <v>0</v>
      </c>
      <c r="BJ1743" s="6"/>
      <c r="BK1743" s="7"/>
      <c r="BL1743" s="7"/>
      <c r="BM1743" s="7"/>
      <c r="BN1743" s="7"/>
      <c r="BO1743" s="16">
        <f>SUM(BJ1743:BN1743)</f>
        <v>0</v>
      </c>
      <c r="BQ1743" s="6"/>
      <c r="BR1743" s="7"/>
      <c r="BS1743" s="7"/>
      <c r="BT1743" s="7"/>
      <c r="BU1743" s="7"/>
      <c r="BV1743" s="16">
        <f>SUM(BQ1743:BU1743)</f>
        <v>0</v>
      </c>
      <c r="BX1743" s="6"/>
      <c r="BY1743" s="7"/>
      <c r="BZ1743" s="7"/>
      <c r="CA1743" s="7"/>
      <c r="CB1743" s="7"/>
      <c r="CC1743" s="16">
        <f>SUM(BX1743:CB1743)</f>
        <v>0</v>
      </c>
      <c r="CE1743" s="28">
        <f t="shared" si="7999"/>
        <v>0</v>
      </c>
      <c r="CF1743" s="29">
        <f t="shared" si="8000"/>
        <v>0</v>
      </c>
      <c r="CG1743" s="29">
        <f t="shared" si="8001"/>
        <v>0</v>
      </c>
      <c r="CH1743" s="29">
        <f t="shared" si="8002"/>
        <v>0</v>
      </c>
      <c r="CI1743" s="29">
        <f t="shared" si="8003"/>
        <v>0</v>
      </c>
      <c r="CJ1743" s="8">
        <f>SUM(CE1743:CI1743)</f>
        <v>0</v>
      </c>
      <c r="CL1743" s="6"/>
      <c r="CM1743" s="7"/>
      <c r="CN1743" s="7"/>
      <c r="CO1743" s="7"/>
      <c r="CP1743" s="7"/>
      <c r="CQ1743" s="16">
        <f>SUM(CL1743:CP1743)</f>
        <v>0</v>
      </c>
      <c r="CS1743" s="6"/>
      <c r="CT1743" s="7"/>
      <c r="CU1743" s="7"/>
      <c r="CV1743" s="7"/>
      <c r="CW1743" s="7"/>
      <c r="CX1743" s="8">
        <f t="shared" si="8008"/>
        <v>0</v>
      </c>
      <c r="CZ1743" s="6"/>
      <c r="DA1743" s="7"/>
      <c r="DB1743" s="7"/>
      <c r="DC1743" s="7"/>
      <c r="DD1743" s="7"/>
      <c r="DE1743" s="16">
        <f t="shared" si="8009"/>
        <v>0</v>
      </c>
    </row>
    <row r="1744" spans="2:109" ht="14" thickBot="1">
      <c r="C1744" s="567"/>
      <c r="E1744" s="14" t="s">
        <v>62</v>
      </c>
      <c r="F1744" s="23">
        <f t="shared" si="8004"/>
        <v>0</v>
      </c>
      <c r="G1744" s="24">
        <f t="shared" si="7995"/>
        <v>0</v>
      </c>
      <c r="H1744" s="24">
        <f t="shared" si="7996"/>
        <v>0</v>
      </c>
      <c r="I1744" s="24">
        <f t="shared" si="7997"/>
        <v>0</v>
      </c>
      <c r="J1744" s="24">
        <f t="shared" si="7998"/>
        <v>0</v>
      </c>
      <c r="K1744" s="16">
        <f t="shared" si="8005"/>
        <v>0</v>
      </c>
      <c r="M1744" s="6"/>
      <c r="N1744" s="7"/>
      <c r="O1744" s="7"/>
      <c r="P1744" s="7"/>
      <c r="Q1744" s="7"/>
      <c r="R1744" s="16">
        <f t="shared" si="8006"/>
        <v>0</v>
      </c>
      <c r="T1744" s="6"/>
      <c r="U1744" s="7"/>
      <c r="V1744" s="7"/>
      <c r="W1744" s="7"/>
      <c r="X1744" s="7"/>
      <c r="Y1744" s="16">
        <f t="shared" si="8007"/>
        <v>0</v>
      </c>
      <c r="AA1744" s="6"/>
      <c r="AB1744" s="7"/>
      <c r="AC1744" s="7"/>
      <c r="AD1744" s="7"/>
      <c r="AE1744" s="7"/>
      <c r="AF1744" s="16">
        <f>SUM(AA1744:AE1744)</f>
        <v>0</v>
      </c>
      <c r="AH1744" s="6"/>
      <c r="AI1744" s="7"/>
      <c r="AJ1744" s="7"/>
      <c r="AK1744" s="7"/>
      <c r="AL1744" s="7"/>
      <c r="AM1744" s="16">
        <f>SUM(AH1744:AL1744)</f>
        <v>0</v>
      </c>
      <c r="AO1744" s="6"/>
      <c r="AP1744" s="7"/>
      <c r="AQ1744" s="7"/>
      <c r="AR1744" s="7"/>
      <c r="AS1744" s="7"/>
      <c r="AT1744" s="16">
        <f>SUM(AO1744:AS1744)</f>
        <v>0</v>
      </c>
      <c r="AV1744" s="6"/>
      <c r="AW1744" s="7"/>
      <c r="AX1744" s="7"/>
      <c r="AY1744" s="7"/>
      <c r="AZ1744" s="7"/>
      <c r="BA1744" s="16">
        <f>SUM(AV1744:AZ1744)</f>
        <v>0</v>
      </c>
      <c r="BC1744" s="6"/>
      <c r="BD1744" s="7"/>
      <c r="BE1744" s="7"/>
      <c r="BF1744" s="7"/>
      <c r="BG1744" s="7"/>
      <c r="BH1744" s="16">
        <f>SUM(BC1744:BG1744)</f>
        <v>0</v>
      </c>
      <c r="BJ1744" s="6"/>
      <c r="BK1744" s="7"/>
      <c r="BL1744" s="7"/>
      <c r="BM1744" s="7"/>
      <c r="BN1744" s="7"/>
      <c r="BO1744" s="16">
        <f>SUM(BJ1744:BN1744)</f>
        <v>0</v>
      </c>
      <c r="BQ1744" s="6"/>
      <c r="BR1744" s="7"/>
      <c r="BS1744" s="7"/>
      <c r="BT1744" s="7"/>
      <c r="BU1744" s="7"/>
      <c r="BV1744" s="16">
        <f>SUM(BQ1744:BU1744)</f>
        <v>0</v>
      </c>
      <c r="BX1744" s="6"/>
      <c r="BY1744" s="7"/>
      <c r="BZ1744" s="7"/>
      <c r="CA1744" s="7"/>
      <c r="CB1744" s="7"/>
      <c r="CC1744" s="16">
        <f>SUM(BX1744:CB1744)</f>
        <v>0</v>
      </c>
      <c r="CE1744" s="493">
        <f t="shared" si="7999"/>
        <v>0</v>
      </c>
      <c r="CF1744" s="494">
        <f t="shared" si="8000"/>
        <v>0</v>
      </c>
      <c r="CG1744" s="494">
        <f t="shared" si="8001"/>
        <v>0</v>
      </c>
      <c r="CH1744" s="494">
        <f t="shared" si="8002"/>
        <v>0</v>
      </c>
      <c r="CI1744" s="494">
        <f t="shared" si="8003"/>
        <v>0</v>
      </c>
      <c r="CJ1744" s="495">
        <f>SUM(CE1744:CI1744)</f>
        <v>0</v>
      </c>
      <c r="CL1744" s="6"/>
      <c r="CM1744" s="7"/>
      <c r="CN1744" s="7"/>
      <c r="CO1744" s="7"/>
      <c r="CP1744" s="7"/>
      <c r="CQ1744" s="16">
        <f>SUM(CL1744:CP1744)</f>
        <v>0</v>
      </c>
      <c r="CS1744" s="6"/>
      <c r="CT1744" s="7"/>
      <c r="CU1744" s="7"/>
      <c r="CV1744" s="7"/>
      <c r="CW1744" s="7"/>
      <c r="CX1744" s="8">
        <f t="shared" si="8008"/>
        <v>0</v>
      </c>
      <c r="CZ1744" s="6"/>
      <c r="DA1744" s="7"/>
      <c r="DB1744" s="7"/>
      <c r="DC1744" s="7"/>
      <c r="DD1744" s="7"/>
      <c r="DE1744" s="16">
        <f t="shared" si="8009"/>
        <v>0</v>
      </c>
    </row>
    <row r="1745" spans="3:109" ht="14" thickBot="1">
      <c r="C1745" s="554"/>
      <c r="E1745" s="17"/>
      <c r="F1745" s="10">
        <f>SUM(F1741:F1744)</f>
        <v>0</v>
      </c>
      <c r="G1745" s="11">
        <f t="shared" ref="G1745:J1745" si="8010">SUM(G1741:G1744)</f>
        <v>0</v>
      </c>
      <c r="H1745" s="11">
        <f t="shared" si="8010"/>
        <v>0</v>
      </c>
      <c r="I1745" s="11">
        <f t="shared" si="8010"/>
        <v>0</v>
      </c>
      <c r="J1745" s="11">
        <f t="shared" si="8010"/>
        <v>0</v>
      </c>
      <c r="K1745" s="25">
        <f>SUM(K1741:K1744)</f>
        <v>0</v>
      </c>
      <c r="M1745" s="10">
        <f>SUM(M1741:M1744)</f>
        <v>0</v>
      </c>
      <c r="N1745" s="11">
        <f t="shared" ref="N1745:Q1745" si="8011">SUM(N1741:N1744)</f>
        <v>0</v>
      </c>
      <c r="O1745" s="11">
        <f t="shared" si="8011"/>
        <v>0</v>
      </c>
      <c r="P1745" s="11">
        <f t="shared" si="8011"/>
        <v>0</v>
      </c>
      <c r="Q1745" s="11">
        <f t="shared" si="8011"/>
        <v>0</v>
      </c>
      <c r="R1745" s="25">
        <f>SUM(R1741:R1744)</f>
        <v>0</v>
      </c>
      <c r="T1745" s="10">
        <f>SUM(T1741:T1744)</f>
        <v>0</v>
      </c>
      <c r="U1745" s="11">
        <f t="shared" ref="U1745:X1745" si="8012">SUM(U1741:U1744)</f>
        <v>0</v>
      </c>
      <c r="V1745" s="11">
        <f t="shared" si="8012"/>
        <v>0</v>
      </c>
      <c r="W1745" s="11">
        <f t="shared" si="8012"/>
        <v>0</v>
      </c>
      <c r="X1745" s="11">
        <f t="shared" si="8012"/>
        <v>0</v>
      </c>
      <c r="Y1745" s="25">
        <f>SUM(Y1741:Y1744)</f>
        <v>0</v>
      </c>
      <c r="AA1745" s="10">
        <f>SUM(AA1741:AA1744)</f>
        <v>0</v>
      </c>
      <c r="AB1745" s="11">
        <f t="shared" ref="AB1745:AE1745" si="8013">SUM(AB1741:AB1744)</f>
        <v>0</v>
      </c>
      <c r="AC1745" s="11">
        <f t="shared" si="8013"/>
        <v>0</v>
      </c>
      <c r="AD1745" s="11">
        <f t="shared" si="8013"/>
        <v>0</v>
      </c>
      <c r="AE1745" s="11">
        <f t="shared" si="8013"/>
        <v>0</v>
      </c>
      <c r="AF1745" s="25">
        <f>SUM(AF1741:AF1744)</f>
        <v>0</v>
      </c>
      <c r="AH1745" s="10">
        <f>SUM(AH1741:AH1744)</f>
        <v>0</v>
      </c>
      <c r="AI1745" s="11">
        <f t="shared" ref="AI1745:AL1745" si="8014">SUM(AI1741:AI1744)</f>
        <v>0</v>
      </c>
      <c r="AJ1745" s="11">
        <f t="shared" si="8014"/>
        <v>0</v>
      </c>
      <c r="AK1745" s="11">
        <f t="shared" si="8014"/>
        <v>0</v>
      </c>
      <c r="AL1745" s="11">
        <f t="shared" si="8014"/>
        <v>0</v>
      </c>
      <c r="AM1745" s="25">
        <f>SUM(AM1741:AM1744)</f>
        <v>0</v>
      </c>
      <c r="AO1745" s="10">
        <f>SUM(AO1741:AO1744)</f>
        <v>0</v>
      </c>
      <c r="AP1745" s="11">
        <f t="shared" ref="AP1745:AS1745" si="8015">SUM(AP1741:AP1744)</f>
        <v>0</v>
      </c>
      <c r="AQ1745" s="11">
        <f t="shared" si="8015"/>
        <v>0</v>
      </c>
      <c r="AR1745" s="11">
        <f t="shared" si="8015"/>
        <v>0</v>
      </c>
      <c r="AS1745" s="11">
        <f t="shared" si="8015"/>
        <v>0</v>
      </c>
      <c r="AT1745" s="25">
        <f>SUM(AT1741:AT1744)</f>
        <v>0</v>
      </c>
      <c r="AV1745" s="10">
        <f>SUM(AV1741:AV1744)</f>
        <v>0</v>
      </c>
      <c r="AW1745" s="11">
        <f t="shared" ref="AW1745:AZ1745" si="8016">SUM(AW1741:AW1744)</f>
        <v>0</v>
      </c>
      <c r="AX1745" s="11">
        <f t="shared" si="8016"/>
        <v>0</v>
      </c>
      <c r="AY1745" s="11">
        <f t="shared" si="8016"/>
        <v>0</v>
      </c>
      <c r="AZ1745" s="11">
        <f t="shared" si="8016"/>
        <v>0</v>
      </c>
      <c r="BA1745" s="25">
        <f>SUM(BA1741:BA1744)</f>
        <v>0</v>
      </c>
      <c r="BC1745" s="10">
        <f>SUM(BC1741:BC1744)</f>
        <v>0</v>
      </c>
      <c r="BD1745" s="11">
        <f t="shared" ref="BD1745:BG1745" si="8017">SUM(BD1741:BD1744)</f>
        <v>0</v>
      </c>
      <c r="BE1745" s="11">
        <f t="shared" si="8017"/>
        <v>0</v>
      </c>
      <c r="BF1745" s="11">
        <f t="shared" si="8017"/>
        <v>0</v>
      </c>
      <c r="BG1745" s="11">
        <f t="shared" si="8017"/>
        <v>0</v>
      </c>
      <c r="BH1745" s="25">
        <f>SUM(BH1741:BH1744)</f>
        <v>0</v>
      </c>
      <c r="BJ1745" s="10">
        <f>SUM(BJ1741:BJ1744)</f>
        <v>0</v>
      </c>
      <c r="BK1745" s="11">
        <f t="shared" ref="BK1745:BN1745" si="8018">SUM(BK1741:BK1744)</f>
        <v>0</v>
      </c>
      <c r="BL1745" s="11">
        <f t="shared" si="8018"/>
        <v>0</v>
      </c>
      <c r="BM1745" s="11">
        <f t="shared" si="8018"/>
        <v>0</v>
      </c>
      <c r="BN1745" s="11">
        <f t="shared" si="8018"/>
        <v>0</v>
      </c>
      <c r="BO1745" s="25">
        <f>SUM(BO1741:BO1744)</f>
        <v>0</v>
      </c>
      <c r="BQ1745" s="10">
        <f>SUM(BQ1741:BQ1744)</f>
        <v>0</v>
      </c>
      <c r="BR1745" s="11">
        <f t="shared" ref="BR1745:BU1745" si="8019">SUM(BR1741:BR1744)</f>
        <v>0</v>
      </c>
      <c r="BS1745" s="11">
        <f t="shared" si="8019"/>
        <v>0</v>
      </c>
      <c r="BT1745" s="11">
        <f t="shared" si="8019"/>
        <v>0</v>
      </c>
      <c r="BU1745" s="11">
        <f t="shared" si="8019"/>
        <v>0</v>
      </c>
      <c r="BV1745" s="25">
        <f>SUM(BV1741:BV1744)</f>
        <v>0</v>
      </c>
      <c r="BX1745" s="10">
        <f>SUM(BX1741:BX1744)</f>
        <v>0</v>
      </c>
      <c r="BY1745" s="11">
        <f t="shared" ref="BY1745:CB1745" si="8020">SUM(BY1741:BY1744)</f>
        <v>0</v>
      </c>
      <c r="BZ1745" s="11">
        <f t="shared" si="8020"/>
        <v>0</v>
      </c>
      <c r="CA1745" s="11">
        <f t="shared" si="8020"/>
        <v>0</v>
      </c>
      <c r="CB1745" s="11">
        <f t="shared" si="8020"/>
        <v>0</v>
      </c>
      <c r="CC1745" s="25">
        <f>SUM(CC1741:CC1744)</f>
        <v>0</v>
      </c>
      <c r="CE1745" s="62">
        <f t="shared" ref="CE1745:CJ1745" si="8021">SUM(CE1741:CE1744)</f>
        <v>0</v>
      </c>
      <c r="CF1745" s="63">
        <f t="shared" si="8021"/>
        <v>0</v>
      </c>
      <c r="CG1745" s="63">
        <f t="shared" si="8021"/>
        <v>0</v>
      </c>
      <c r="CH1745" s="63">
        <f t="shared" si="8021"/>
        <v>0</v>
      </c>
      <c r="CI1745" s="63">
        <f t="shared" si="8021"/>
        <v>0</v>
      </c>
      <c r="CJ1745" s="25">
        <f t="shared" si="8021"/>
        <v>0</v>
      </c>
      <c r="CL1745" s="10">
        <f>SUM(CL1741:CL1744)</f>
        <v>0</v>
      </c>
      <c r="CM1745" s="11">
        <f t="shared" ref="CM1745:CP1745" si="8022">SUM(CM1741:CM1744)</f>
        <v>0</v>
      </c>
      <c r="CN1745" s="11">
        <f t="shared" si="8022"/>
        <v>0</v>
      </c>
      <c r="CO1745" s="11">
        <f t="shared" si="8022"/>
        <v>0</v>
      </c>
      <c r="CP1745" s="11">
        <f t="shared" si="8022"/>
        <v>0</v>
      </c>
      <c r="CQ1745" s="25">
        <f>SUM(CQ1741:CQ1744)</f>
        <v>0</v>
      </c>
      <c r="CS1745" s="10">
        <f>SUM(CS1741:CS1744)</f>
        <v>0</v>
      </c>
      <c r="CT1745" s="11">
        <f t="shared" ref="CT1745:CW1745" si="8023">SUM(CT1741:CT1744)</f>
        <v>0</v>
      </c>
      <c r="CU1745" s="11">
        <f t="shared" si="8023"/>
        <v>0</v>
      </c>
      <c r="CV1745" s="11">
        <f t="shared" si="8023"/>
        <v>0</v>
      </c>
      <c r="CW1745" s="11">
        <f t="shared" si="8023"/>
        <v>0</v>
      </c>
      <c r="CX1745" s="25">
        <f>SUM(CX1741:CX1744)</f>
        <v>0</v>
      </c>
      <c r="CZ1745" s="10">
        <f>SUM(CZ1741:CZ1744)</f>
        <v>0</v>
      </c>
      <c r="DA1745" s="11">
        <f t="shared" ref="DA1745:DD1745" si="8024">SUM(DA1741:DA1744)</f>
        <v>0</v>
      </c>
      <c r="DB1745" s="11">
        <f t="shared" si="8024"/>
        <v>0</v>
      </c>
      <c r="DC1745" s="11">
        <f t="shared" si="8024"/>
        <v>0</v>
      </c>
      <c r="DD1745" s="11">
        <f t="shared" si="8024"/>
        <v>0</v>
      </c>
      <c r="DE1745" s="25">
        <f>SUM(DE1741:DE1744)</f>
        <v>0</v>
      </c>
    </row>
    <row r="1746" spans="3:109" ht="10.4" customHeight="1" thickBot="1"/>
    <row r="1747" spans="3:109">
      <c r="C1747" s="553">
        <v>2026</v>
      </c>
      <c r="E1747" s="1" t="s">
        <v>59</v>
      </c>
      <c r="F1747" s="21">
        <f>CE1741</f>
        <v>0</v>
      </c>
      <c r="G1747" s="22">
        <f t="shared" ref="G1747:G1750" si="8025">CF1741</f>
        <v>0</v>
      </c>
      <c r="H1747" s="22">
        <f t="shared" ref="H1747:H1750" si="8026">CG1741</f>
        <v>0</v>
      </c>
      <c r="I1747" s="22">
        <f t="shared" ref="I1747:I1750" si="8027">CH1741</f>
        <v>0</v>
      </c>
      <c r="J1747" s="22">
        <f t="shared" ref="J1747:J1750" si="8028">CI1741</f>
        <v>0</v>
      </c>
      <c r="K1747" s="4">
        <f>SUM(F1747:J1747)</f>
        <v>0</v>
      </c>
      <c r="M1747" s="2"/>
      <c r="N1747" s="3"/>
      <c r="O1747" s="3"/>
      <c r="P1747" s="3"/>
      <c r="Q1747" s="3"/>
      <c r="R1747" s="4">
        <f>SUM(M1747:Q1747)</f>
        <v>0</v>
      </c>
      <c r="T1747" s="2"/>
      <c r="U1747" s="3"/>
      <c r="V1747" s="3"/>
      <c r="W1747" s="3"/>
      <c r="X1747" s="3"/>
      <c r="Y1747" s="4">
        <f>SUM(T1747:X1747)</f>
        <v>0</v>
      </c>
      <c r="AA1747" s="2"/>
      <c r="AB1747" s="3"/>
      <c r="AC1747" s="3"/>
      <c r="AD1747" s="3"/>
      <c r="AE1747" s="3"/>
      <c r="AF1747" s="4">
        <f>SUM(AA1747:AE1747)</f>
        <v>0</v>
      </c>
      <c r="AH1747" s="2"/>
      <c r="AI1747" s="3"/>
      <c r="AJ1747" s="3"/>
      <c r="AK1747" s="3"/>
      <c r="AL1747" s="3"/>
      <c r="AM1747" s="4">
        <f>SUM(AH1747:AL1747)</f>
        <v>0</v>
      </c>
      <c r="AO1747" s="2"/>
      <c r="AP1747" s="3"/>
      <c r="AQ1747" s="3"/>
      <c r="AR1747" s="3"/>
      <c r="AS1747" s="3"/>
      <c r="AT1747" s="4">
        <f>SUM(AO1747:AS1747)</f>
        <v>0</v>
      </c>
      <c r="AV1747" s="2"/>
      <c r="AW1747" s="3"/>
      <c r="AX1747" s="3"/>
      <c r="AY1747" s="3"/>
      <c r="AZ1747" s="3"/>
      <c r="BA1747" s="4">
        <f>SUM(AV1747:AZ1747)</f>
        <v>0</v>
      </c>
      <c r="BC1747" s="2"/>
      <c r="BD1747" s="3"/>
      <c r="BE1747" s="3"/>
      <c r="BF1747" s="3"/>
      <c r="BG1747" s="3"/>
      <c r="BH1747" s="4">
        <f>SUM(BC1747:BG1747)</f>
        <v>0</v>
      </c>
      <c r="BJ1747" s="2"/>
      <c r="BK1747" s="3"/>
      <c r="BL1747" s="3"/>
      <c r="BM1747" s="3"/>
      <c r="BN1747" s="3"/>
      <c r="BO1747" s="4">
        <f>SUM(BJ1747:BN1747)</f>
        <v>0</v>
      </c>
      <c r="BQ1747" s="2"/>
      <c r="BR1747" s="3"/>
      <c r="BS1747" s="3"/>
      <c r="BT1747" s="3"/>
      <c r="BU1747" s="3"/>
      <c r="BV1747" s="4">
        <f>SUM(BQ1747:BU1747)</f>
        <v>0</v>
      </c>
      <c r="BX1747" s="2"/>
      <c r="BY1747" s="3"/>
      <c r="BZ1747" s="3"/>
      <c r="CA1747" s="3"/>
      <c r="CB1747" s="3"/>
      <c r="CC1747" s="4">
        <f>SUM(BX1747:CB1747)</f>
        <v>0</v>
      </c>
      <c r="CE1747" s="26">
        <f t="shared" ref="CE1747:CE1750" si="8029">F1747+M1747+T1747+AA1747+AH1747+AO1747+AV1747+BC1747+BJ1747+BQ1747+BX1747</f>
        <v>0</v>
      </c>
      <c r="CF1747" s="27">
        <f t="shared" ref="CF1747:CF1750" si="8030">G1747+N1747+U1747+AB1747+AI1747+AP1747+AW1747+BD1747+BK1747+BR1747+BY1747</f>
        <v>0</v>
      </c>
      <c r="CG1747" s="27">
        <f t="shared" ref="CG1747:CG1750" si="8031">H1747+O1747+V1747+AC1747+AJ1747+AQ1747+AX1747+BE1747+BL1747+BS1747+BZ1747</f>
        <v>0</v>
      </c>
      <c r="CH1747" s="27">
        <f t="shared" ref="CH1747:CH1750" si="8032">I1747+P1747+W1747+AD1747+AK1747+AR1747+AY1747+BF1747+BM1747+BT1747+CA1747</f>
        <v>0</v>
      </c>
      <c r="CI1747" s="27">
        <f t="shared" ref="CI1747:CI1750" si="8033">J1747+Q1747+X1747+AE1747+AL1747+AS1747+AZ1747+BG1747+BN1747+BU1747+CB1747</f>
        <v>0</v>
      </c>
      <c r="CJ1747" s="4">
        <f>SUM(CE1747:CI1747)</f>
        <v>0</v>
      </c>
      <c r="CL1747" s="2"/>
      <c r="CM1747" s="3"/>
      <c r="CN1747" s="3"/>
      <c r="CO1747" s="3"/>
      <c r="CP1747" s="3"/>
      <c r="CQ1747" s="4">
        <f>SUM(CL1747:CP1747)</f>
        <v>0</v>
      </c>
      <c r="CS1747" s="2"/>
      <c r="CT1747" s="3"/>
      <c r="CU1747" s="3"/>
      <c r="CV1747" s="3"/>
      <c r="CW1747" s="3"/>
      <c r="CX1747" s="4">
        <f>SUM(CS1747:CW1747)</f>
        <v>0</v>
      </c>
      <c r="CZ1747" s="2"/>
      <c r="DA1747" s="3"/>
      <c r="DB1747" s="3"/>
      <c r="DC1747" s="3"/>
      <c r="DD1747" s="3"/>
      <c r="DE1747" s="4">
        <f>SUM(CZ1747:DD1747)</f>
        <v>0</v>
      </c>
    </row>
    <row r="1748" spans="3:109">
      <c r="C1748" s="567"/>
      <c r="E1748" s="5" t="s">
        <v>60</v>
      </c>
      <c r="F1748" s="23">
        <f t="shared" ref="F1748:F1750" si="8034">CE1742</f>
        <v>0</v>
      </c>
      <c r="G1748" s="24">
        <f t="shared" si="8025"/>
        <v>0</v>
      </c>
      <c r="H1748" s="24">
        <f t="shared" si="8026"/>
        <v>0</v>
      </c>
      <c r="I1748" s="24">
        <f t="shared" si="8027"/>
        <v>0</v>
      </c>
      <c r="J1748" s="24">
        <f t="shared" si="8028"/>
        <v>0</v>
      </c>
      <c r="K1748" s="8">
        <f t="shared" ref="K1748:K1750" si="8035">SUM(F1748:J1748)</f>
        <v>0</v>
      </c>
      <c r="M1748" s="6"/>
      <c r="N1748" s="7"/>
      <c r="O1748" s="7"/>
      <c r="P1748" s="7"/>
      <c r="Q1748" s="7"/>
      <c r="R1748" s="8">
        <f t="shared" ref="R1748:R1750" si="8036">SUM(M1748:Q1748)</f>
        <v>0</v>
      </c>
      <c r="T1748" s="6"/>
      <c r="U1748" s="7"/>
      <c r="V1748" s="7"/>
      <c r="W1748" s="7"/>
      <c r="X1748" s="7"/>
      <c r="Y1748" s="8">
        <f t="shared" ref="Y1748:Y1750" si="8037">SUM(T1748:X1748)</f>
        <v>0</v>
      </c>
      <c r="AA1748" s="6"/>
      <c r="AB1748" s="7"/>
      <c r="AC1748" s="7"/>
      <c r="AD1748" s="7"/>
      <c r="AE1748" s="7"/>
      <c r="AF1748" s="8">
        <f>SUM(AA1748:AE1748)</f>
        <v>0</v>
      </c>
      <c r="AH1748" s="6"/>
      <c r="AI1748" s="7"/>
      <c r="AJ1748" s="7"/>
      <c r="AK1748" s="7"/>
      <c r="AL1748" s="7"/>
      <c r="AM1748" s="8">
        <f>SUM(AH1748:AL1748)</f>
        <v>0</v>
      </c>
      <c r="AO1748" s="6"/>
      <c r="AP1748" s="7"/>
      <c r="AQ1748" s="7"/>
      <c r="AR1748" s="7"/>
      <c r="AS1748" s="7"/>
      <c r="AT1748" s="8">
        <f>SUM(AO1748:AS1748)</f>
        <v>0</v>
      </c>
      <c r="AV1748" s="6"/>
      <c r="AW1748" s="7"/>
      <c r="AX1748" s="7"/>
      <c r="AY1748" s="7"/>
      <c r="AZ1748" s="7"/>
      <c r="BA1748" s="8">
        <f>SUM(AV1748:AZ1748)</f>
        <v>0</v>
      </c>
      <c r="BC1748" s="6"/>
      <c r="BD1748" s="7"/>
      <c r="BE1748" s="7"/>
      <c r="BF1748" s="7"/>
      <c r="BG1748" s="7"/>
      <c r="BH1748" s="8">
        <f>SUM(BC1748:BG1748)</f>
        <v>0</v>
      </c>
      <c r="BJ1748" s="6"/>
      <c r="BK1748" s="7"/>
      <c r="BL1748" s="7"/>
      <c r="BM1748" s="7"/>
      <c r="BN1748" s="7"/>
      <c r="BO1748" s="8">
        <f>SUM(BJ1748:BN1748)</f>
        <v>0</v>
      </c>
      <c r="BQ1748" s="6"/>
      <c r="BR1748" s="7"/>
      <c r="BS1748" s="7"/>
      <c r="BT1748" s="7"/>
      <c r="BU1748" s="7"/>
      <c r="BV1748" s="8">
        <f>SUM(BQ1748:BU1748)</f>
        <v>0</v>
      </c>
      <c r="BX1748" s="6"/>
      <c r="BY1748" s="7"/>
      <c r="BZ1748" s="7"/>
      <c r="CA1748" s="7"/>
      <c r="CB1748" s="7"/>
      <c r="CC1748" s="8">
        <f>SUM(BX1748:CB1748)</f>
        <v>0</v>
      </c>
      <c r="CE1748" s="28">
        <f t="shared" si="8029"/>
        <v>0</v>
      </c>
      <c r="CF1748" s="29">
        <f t="shared" si="8030"/>
        <v>0</v>
      </c>
      <c r="CG1748" s="29">
        <f t="shared" si="8031"/>
        <v>0</v>
      </c>
      <c r="CH1748" s="29">
        <f t="shared" si="8032"/>
        <v>0</v>
      </c>
      <c r="CI1748" s="29">
        <f t="shared" si="8033"/>
        <v>0</v>
      </c>
      <c r="CJ1748" s="8">
        <f>SUM(CE1748:CI1748)</f>
        <v>0</v>
      </c>
      <c r="CL1748" s="6"/>
      <c r="CM1748" s="7"/>
      <c r="CN1748" s="7"/>
      <c r="CO1748" s="7"/>
      <c r="CP1748" s="7"/>
      <c r="CQ1748" s="8">
        <f>SUM(CL1748:CP1748)</f>
        <v>0</v>
      </c>
      <c r="CS1748" s="6"/>
      <c r="CT1748" s="7"/>
      <c r="CU1748" s="7"/>
      <c r="CV1748" s="7"/>
      <c r="CW1748" s="7"/>
      <c r="CX1748" s="8">
        <f t="shared" ref="CX1748:CX1750" si="8038">SUM(CS1748:CW1748)</f>
        <v>0</v>
      </c>
      <c r="CZ1748" s="6"/>
      <c r="DA1748" s="7"/>
      <c r="DB1748" s="7"/>
      <c r="DC1748" s="7"/>
      <c r="DD1748" s="7"/>
      <c r="DE1748" s="8">
        <f t="shared" ref="DE1748:DE1750" si="8039">SUM(CZ1748:DD1748)</f>
        <v>0</v>
      </c>
    </row>
    <row r="1749" spans="3:109">
      <c r="C1749" s="567"/>
      <c r="E1749" s="5" t="s">
        <v>61</v>
      </c>
      <c r="F1749" s="23">
        <f t="shared" si="8034"/>
        <v>0</v>
      </c>
      <c r="G1749" s="24">
        <f t="shared" si="8025"/>
        <v>0</v>
      </c>
      <c r="H1749" s="24">
        <f t="shared" si="8026"/>
        <v>0</v>
      </c>
      <c r="I1749" s="24">
        <f t="shared" si="8027"/>
        <v>0</v>
      </c>
      <c r="J1749" s="24">
        <f t="shared" si="8028"/>
        <v>0</v>
      </c>
      <c r="K1749" s="8">
        <f t="shared" si="8035"/>
        <v>0</v>
      </c>
      <c r="M1749" s="6"/>
      <c r="N1749" s="7"/>
      <c r="O1749" s="7"/>
      <c r="P1749" s="7"/>
      <c r="Q1749" s="7"/>
      <c r="R1749" s="8">
        <f t="shared" si="8036"/>
        <v>0</v>
      </c>
      <c r="T1749" s="6"/>
      <c r="U1749" s="7"/>
      <c r="V1749" s="7"/>
      <c r="W1749" s="7"/>
      <c r="X1749" s="7"/>
      <c r="Y1749" s="8">
        <f t="shared" si="8037"/>
        <v>0</v>
      </c>
      <c r="AA1749" s="6"/>
      <c r="AB1749" s="7"/>
      <c r="AC1749" s="7"/>
      <c r="AD1749" s="7"/>
      <c r="AE1749" s="7"/>
      <c r="AF1749" s="8">
        <f>SUM(AA1749:AE1749)</f>
        <v>0</v>
      </c>
      <c r="AH1749" s="6"/>
      <c r="AI1749" s="7"/>
      <c r="AJ1749" s="7"/>
      <c r="AK1749" s="7"/>
      <c r="AL1749" s="7"/>
      <c r="AM1749" s="8">
        <f>SUM(AH1749:AL1749)</f>
        <v>0</v>
      </c>
      <c r="AO1749" s="6"/>
      <c r="AP1749" s="7"/>
      <c r="AQ1749" s="7"/>
      <c r="AR1749" s="7"/>
      <c r="AS1749" s="7"/>
      <c r="AT1749" s="8">
        <f>SUM(AO1749:AS1749)</f>
        <v>0</v>
      </c>
      <c r="AV1749" s="6"/>
      <c r="AW1749" s="7"/>
      <c r="AX1749" s="7"/>
      <c r="AY1749" s="7"/>
      <c r="AZ1749" s="7"/>
      <c r="BA1749" s="8">
        <f>SUM(AV1749:AZ1749)</f>
        <v>0</v>
      </c>
      <c r="BC1749" s="6"/>
      <c r="BD1749" s="7"/>
      <c r="BE1749" s="7"/>
      <c r="BF1749" s="7"/>
      <c r="BG1749" s="7"/>
      <c r="BH1749" s="8">
        <f>SUM(BC1749:BG1749)</f>
        <v>0</v>
      </c>
      <c r="BJ1749" s="6"/>
      <c r="BK1749" s="7"/>
      <c r="BL1749" s="7"/>
      <c r="BM1749" s="7"/>
      <c r="BN1749" s="7"/>
      <c r="BO1749" s="8">
        <f>SUM(BJ1749:BN1749)</f>
        <v>0</v>
      </c>
      <c r="BQ1749" s="6"/>
      <c r="BR1749" s="7"/>
      <c r="BS1749" s="7"/>
      <c r="BT1749" s="7"/>
      <c r="BU1749" s="7"/>
      <c r="BV1749" s="8">
        <f>SUM(BQ1749:BU1749)</f>
        <v>0</v>
      </c>
      <c r="BX1749" s="6"/>
      <c r="BY1749" s="7"/>
      <c r="BZ1749" s="7"/>
      <c r="CA1749" s="7"/>
      <c r="CB1749" s="7"/>
      <c r="CC1749" s="8">
        <f>SUM(BX1749:CB1749)</f>
        <v>0</v>
      </c>
      <c r="CE1749" s="28">
        <f t="shared" si="8029"/>
        <v>0</v>
      </c>
      <c r="CF1749" s="29">
        <f t="shared" si="8030"/>
        <v>0</v>
      </c>
      <c r="CG1749" s="29">
        <f t="shared" si="8031"/>
        <v>0</v>
      </c>
      <c r="CH1749" s="29">
        <f t="shared" si="8032"/>
        <v>0</v>
      </c>
      <c r="CI1749" s="29">
        <f t="shared" si="8033"/>
        <v>0</v>
      </c>
      <c r="CJ1749" s="8">
        <f>SUM(CE1749:CI1749)</f>
        <v>0</v>
      </c>
      <c r="CL1749" s="6"/>
      <c r="CM1749" s="7"/>
      <c r="CN1749" s="7"/>
      <c r="CO1749" s="7"/>
      <c r="CP1749" s="7"/>
      <c r="CQ1749" s="8">
        <f>SUM(CL1749:CP1749)</f>
        <v>0</v>
      </c>
      <c r="CS1749" s="6"/>
      <c r="CT1749" s="7"/>
      <c r="CU1749" s="7"/>
      <c r="CV1749" s="7"/>
      <c r="CW1749" s="7"/>
      <c r="CX1749" s="8">
        <f t="shared" si="8038"/>
        <v>0</v>
      </c>
      <c r="CZ1749" s="6"/>
      <c r="DA1749" s="7"/>
      <c r="DB1749" s="7"/>
      <c r="DC1749" s="7"/>
      <c r="DD1749" s="7"/>
      <c r="DE1749" s="8">
        <f t="shared" si="8039"/>
        <v>0</v>
      </c>
    </row>
    <row r="1750" spans="3:109" ht="14" thickBot="1">
      <c r="C1750" s="567"/>
      <c r="E1750" s="5" t="s">
        <v>62</v>
      </c>
      <c r="F1750" s="23">
        <f t="shared" si="8034"/>
        <v>0</v>
      </c>
      <c r="G1750" s="24">
        <f t="shared" si="8025"/>
        <v>0</v>
      </c>
      <c r="H1750" s="24">
        <f t="shared" si="8026"/>
        <v>0</v>
      </c>
      <c r="I1750" s="24">
        <f t="shared" si="8027"/>
        <v>0</v>
      </c>
      <c r="J1750" s="24">
        <f t="shared" si="8028"/>
        <v>0</v>
      </c>
      <c r="K1750" s="8">
        <f t="shared" si="8035"/>
        <v>0</v>
      </c>
      <c r="M1750" s="6"/>
      <c r="N1750" s="7"/>
      <c r="O1750" s="7"/>
      <c r="P1750" s="7"/>
      <c r="Q1750" s="7"/>
      <c r="R1750" s="8">
        <f t="shared" si="8036"/>
        <v>0</v>
      </c>
      <c r="T1750" s="6"/>
      <c r="U1750" s="7"/>
      <c r="V1750" s="7"/>
      <c r="W1750" s="7"/>
      <c r="X1750" s="7"/>
      <c r="Y1750" s="8">
        <f t="shared" si="8037"/>
        <v>0</v>
      </c>
      <c r="AA1750" s="6"/>
      <c r="AB1750" s="7"/>
      <c r="AC1750" s="7"/>
      <c r="AD1750" s="7"/>
      <c r="AE1750" s="7"/>
      <c r="AF1750" s="8">
        <f>SUM(AA1750:AE1750)</f>
        <v>0</v>
      </c>
      <c r="AH1750" s="6"/>
      <c r="AI1750" s="7"/>
      <c r="AJ1750" s="7"/>
      <c r="AK1750" s="7"/>
      <c r="AL1750" s="7"/>
      <c r="AM1750" s="8">
        <f>SUM(AH1750:AL1750)</f>
        <v>0</v>
      </c>
      <c r="AO1750" s="6"/>
      <c r="AP1750" s="7"/>
      <c r="AQ1750" s="7"/>
      <c r="AR1750" s="7"/>
      <c r="AS1750" s="7"/>
      <c r="AT1750" s="8">
        <f>SUM(AO1750:AS1750)</f>
        <v>0</v>
      </c>
      <c r="AV1750" s="6"/>
      <c r="AW1750" s="7"/>
      <c r="AX1750" s="7"/>
      <c r="AY1750" s="7"/>
      <c r="AZ1750" s="7"/>
      <c r="BA1750" s="8">
        <f>SUM(AV1750:AZ1750)</f>
        <v>0</v>
      </c>
      <c r="BC1750" s="6"/>
      <c r="BD1750" s="7"/>
      <c r="BE1750" s="7"/>
      <c r="BF1750" s="7"/>
      <c r="BG1750" s="7"/>
      <c r="BH1750" s="8">
        <f>SUM(BC1750:BG1750)</f>
        <v>0</v>
      </c>
      <c r="BJ1750" s="6"/>
      <c r="BK1750" s="7"/>
      <c r="BL1750" s="7"/>
      <c r="BM1750" s="7"/>
      <c r="BN1750" s="7"/>
      <c r="BO1750" s="8">
        <f>SUM(BJ1750:BN1750)</f>
        <v>0</v>
      </c>
      <c r="BQ1750" s="6"/>
      <c r="BR1750" s="7"/>
      <c r="BS1750" s="7"/>
      <c r="BT1750" s="7"/>
      <c r="BU1750" s="7"/>
      <c r="BV1750" s="8">
        <f>SUM(BQ1750:BU1750)</f>
        <v>0</v>
      </c>
      <c r="BX1750" s="6"/>
      <c r="BY1750" s="7"/>
      <c r="BZ1750" s="7"/>
      <c r="CA1750" s="7"/>
      <c r="CB1750" s="7"/>
      <c r="CC1750" s="8">
        <f>SUM(BX1750:CB1750)</f>
        <v>0</v>
      </c>
      <c r="CE1750" s="493">
        <f t="shared" si="8029"/>
        <v>0</v>
      </c>
      <c r="CF1750" s="494">
        <f t="shared" si="8030"/>
        <v>0</v>
      </c>
      <c r="CG1750" s="494">
        <f t="shared" si="8031"/>
        <v>0</v>
      </c>
      <c r="CH1750" s="494">
        <f t="shared" si="8032"/>
        <v>0</v>
      </c>
      <c r="CI1750" s="494">
        <f t="shared" si="8033"/>
        <v>0</v>
      </c>
      <c r="CJ1750" s="495">
        <f>SUM(CE1750:CI1750)</f>
        <v>0</v>
      </c>
      <c r="CL1750" s="6"/>
      <c r="CM1750" s="7"/>
      <c r="CN1750" s="7"/>
      <c r="CO1750" s="7"/>
      <c r="CP1750" s="7"/>
      <c r="CQ1750" s="8">
        <f>SUM(CL1750:CP1750)</f>
        <v>0</v>
      </c>
      <c r="CS1750" s="6"/>
      <c r="CT1750" s="7"/>
      <c r="CU1750" s="7"/>
      <c r="CV1750" s="7"/>
      <c r="CW1750" s="7"/>
      <c r="CX1750" s="8">
        <f t="shared" si="8038"/>
        <v>0</v>
      </c>
      <c r="CZ1750" s="6"/>
      <c r="DA1750" s="7"/>
      <c r="DB1750" s="7"/>
      <c r="DC1750" s="7"/>
      <c r="DD1750" s="7"/>
      <c r="DE1750" s="8">
        <f t="shared" si="8039"/>
        <v>0</v>
      </c>
    </row>
    <row r="1751" spans="3:109" ht="14" thickBot="1">
      <c r="C1751" s="554"/>
      <c r="E1751" s="9"/>
      <c r="F1751" s="10">
        <f>SUM(F1747:F1750)</f>
        <v>0</v>
      </c>
      <c r="G1751" s="11">
        <f t="shared" ref="G1751:J1751" si="8040">SUM(G1747:G1750)</f>
        <v>0</v>
      </c>
      <c r="H1751" s="11">
        <f t="shared" si="8040"/>
        <v>0</v>
      </c>
      <c r="I1751" s="11">
        <f t="shared" si="8040"/>
        <v>0</v>
      </c>
      <c r="J1751" s="11">
        <f t="shared" si="8040"/>
        <v>0</v>
      </c>
      <c r="K1751" s="25">
        <f>SUM(K1747:K1750)</f>
        <v>0</v>
      </c>
      <c r="M1751" s="10">
        <f>SUM(M1747:M1750)</f>
        <v>0</v>
      </c>
      <c r="N1751" s="11">
        <f t="shared" ref="N1751:Q1751" si="8041">SUM(N1747:N1750)</f>
        <v>0</v>
      </c>
      <c r="O1751" s="11">
        <f t="shared" si="8041"/>
        <v>0</v>
      </c>
      <c r="P1751" s="11">
        <f t="shared" si="8041"/>
        <v>0</v>
      </c>
      <c r="Q1751" s="11">
        <f t="shared" si="8041"/>
        <v>0</v>
      </c>
      <c r="R1751" s="25">
        <f>SUM(R1747:R1750)</f>
        <v>0</v>
      </c>
      <c r="T1751" s="10">
        <f>SUM(T1747:T1750)</f>
        <v>0</v>
      </c>
      <c r="U1751" s="11">
        <f t="shared" ref="U1751:X1751" si="8042">SUM(U1747:U1750)</f>
        <v>0</v>
      </c>
      <c r="V1751" s="11">
        <f t="shared" si="8042"/>
        <v>0</v>
      </c>
      <c r="W1751" s="11">
        <f t="shared" si="8042"/>
        <v>0</v>
      </c>
      <c r="X1751" s="11">
        <f t="shared" si="8042"/>
        <v>0</v>
      </c>
      <c r="Y1751" s="25">
        <f>SUM(Y1747:Y1750)</f>
        <v>0</v>
      </c>
      <c r="AA1751" s="10">
        <f>SUM(AA1747:AA1750)</f>
        <v>0</v>
      </c>
      <c r="AB1751" s="11">
        <f t="shared" ref="AB1751:AE1751" si="8043">SUM(AB1747:AB1750)</f>
        <v>0</v>
      </c>
      <c r="AC1751" s="11">
        <f t="shared" si="8043"/>
        <v>0</v>
      </c>
      <c r="AD1751" s="11">
        <f t="shared" si="8043"/>
        <v>0</v>
      </c>
      <c r="AE1751" s="11">
        <f t="shared" si="8043"/>
        <v>0</v>
      </c>
      <c r="AF1751" s="25">
        <f>SUM(AF1747:AF1750)</f>
        <v>0</v>
      </c>
      <c r="AH1751" s="10">
        <f>SUM(AH1747:AH1750)</f>
        <v>0</v>
      </c>
      <c r="AI1751" s="11">
        <f t="shared" ref="AI1751:AL1751" si="8044">SUM(AI1747:AI1750)</f>
        <v>0</v>
      </c>
      <c r="AJ1751" s="11">
        <f t="shared" si="8044"/>
        <v>0</v>
      </c>
      <c r="AK1751" s="11">
        <f t="shared" si="8044"/>
        <v>0</v>
      </c>
      <c r="AL1751" s="11">
        <f t="shared" si="8044"/>
        <v>0</v>
      </c>
      <c r="AM1751" s="25">
        <f>SUM(AM1747:AM1750)</f>
        <v>0</v>
      </c>
      <c r="AO1751" s="10">
        <f>SUM(AO1747:AO1750)</f>
        <v>0</v>
      </c>
      <c r="AP1751" s="11">
        <f t="shared" ref="AP1751:AS1751" si="8045">SUM(AP1747:AP1750)</f>
        <v>0</v>
      </c>
      <c r="AQ1751" s="11">
        <f t="shared" si="8045"/>
        <v>0</v>
      </c>
      <c r="AR1751" s="11">
        <f t="shared" si="8045"/>
        <v>0</v>
      </c>
      <c r="AS1751" s="11">
        <f t="shared" si="8045"/>
        <v>0</v>
      </c>
      <c r="AT1751" s="25">
        <f>SUM(AT1747:AT1750)</f>
        <v>0</v>
      </c>
      <c r="AV1751" s="10">
        <f>SUM(AV1747:AV1750)</f>
        <v>0</v>
      </c>
      <c r="AW1751" s="11">
        <f t="shared" ref="AW1751:AZ1751" si="8046">SUM(AW1747:AW1750)</f>
        <v>0</v>
      </c>
      <c r="AX1751" s="11">
        <f t="shared" si="8046"/>
        <v>0</v>
      </c>
      <c r="AY1751" s="11">
        <f t="shared" si="8046"/>
        <v>0</v>
      </c>
      <c r="AZ1751" s="11">
        <f t="shared" si="8046"/>
        <v>0</v>
      </c>
      <c r="BA1751" s="25">
        <f>SUM(BA1747:BA1750)</f>
        <v>0</v>
      </c>
      <c r="BC1751" s="10">
        <f>SUM(BC1747:BC1750)</f>
        <v>0</v>
      </c>
      <c r="BD1751" s="11">
        <f t="shared" ref="BD1751:BG1751" si="8047">SUM(BD1747:BD1750)</f>
        <v>0</v>
      </c>
      <c r="BE1751" s="11">
        <f t="shared" si="8047"/>
        <v>0</v>
      </c>
      <c r="BF1751" s="11">
        <f t="shared" si="8047"/>
        <v>0</v>
      </c>
      <c r="BG1751" s="11">
        <f t="shared" si="8047"/>
        <v>0</v>
      </c>
      <c r="BH1751" s="25">
        <f>SUM(BH1747:BH1750)</f>
        <v>0</v>
      </c>
      <c r="BJ1751" s="10">
        <f>SUM(BJ1747:BJ1750)</f>
        <v>0</v>
      </c>
      <c r="BK1751" s="11">
        <f t="shared" ref="BK1751:BN1751" si="8048">SUM(BK1747:BK1750)</f>
        <v>0</v>
      </c>
      <c r="BL1751" s="11">
        <f t="shared" si="8048"/>
        <v>0</v>
      </c>
      <c r="BM1751" s="11">
        <f t="shared" si="8048"/>
        <v>0</v>
      </c>
      <c r="BN1751" s="11">
        <f t="shared" si="8048"/>
        <v>0</v>
      </c>
      <c r="BO1751" s="25">
        <f>SUM(BO1747:BO1750)</f>
        <v>0</v>
      </c>
      <c r="BQ1751" s="10">
        <f>SUM(BQ1747:BQ1750)</f>
        <v>0</v>
      </c>
      <c r="BR1751" s="11">
        <f t="shared" ref="BR1751:BU1751" si="8049">SUM(BR1747:BR1750)</f>
        <v>0</v>
      </c>
      <c r="BS1751" s="11">
        <f t="shared" si="8049"/>
        <v>0</v>
      </c>
      <c r="BT1751" s="11">
        <f t="shared" si="8049"/>
        <v>0</v>
      </c>
      <c r="BU1751" s="11">
        <f t="shared" si="8049"/>
        <v>0</v>
      </c>
      <c r="BV1751" s="25">
        <f>SUM(BV1747:BV1750)</f>
        <v>0</v>
      </c>
      <c r="BX1751" s="10">
        <f>SUM(BX1747:BX1750)</f>
        <v>0</v>
      </c>
      <c r="BY1751" s="11">
        <f t="shared" ref="BY1751:CB1751" si="8050">SUM(BY1747:BY1750)</f>
        <v>0</v>
      </c>
      <c r="BZ1751" s="11">
        <f t="shared" si="8050"/>
        <v>0</v>
      </c>
      <c r="CA1751" s="11">
        <f t="shared" si="8050"/>
        <v>0</v>
      </c>
      <c r="CB1751" s="11">
        <f t="shared" si="8050"/>
        <v>0</v>
      </c>
      <c r="CC1751" s="25">
        <f>SUM(CC1747:CC1750)</f>
        <v>0</v>
      </c>
      <c r="CE1751" s="62">
        <f t="shared" ref="CE1751:CJ1751" si="8051">SUM(CE1747:CE1750)</f>
        <v>0</v>
      </c>
      <c r="CF1751" s="63">
        <f t="shared" si="8051"/>
        <v>0</v>
      </c>
      <c r="CG1751" s="63">
        <f t="shared" si="8051"/>
        <v>0</v>
      </c>
      <c r="CH1751" s="63">
        <f t="shared" si="8051"/>
        <v>0</v>
      </c>
      <c r="CI1751" s="63">
        <f t="shared" si="8051"/>
        <v>0</v>
      </c>
      <c r="CJ1751" s="25">
        <f t="shared" si="8051"/>
        <v>0</v>
      </c>
      <c r="CL1751" s="10">
        <f>SUM(CL1747:CL1750)</f>
        <v>0</v>
      </c>
      <c r="CM1751" s="11">
        <f t="shared" ref="CM1751:CP1751" si="8052">SUM(CM1747:CM1750)</f>
        <v>0</v>
      </c>
      <c r="CN1751" s="11">
        <f t="shared" si="8052"/>
        <v>0</v>
      </c>
      <c r="CO1751" s="11">
        <f t="shared" si="8052"/>
        <v>0</v>
      </c>
      <c r="CP1751" s="11">
        <f t="shared" si="8052"/>
        <v>0</v>
      </c>
      <c r="CQ1751" s="25">
        <f>SUM(CQ1747:CQ1750)</f>
        <v>0</v>
      </c>
      <c r="CS1751" s="10">
        <f>SUM(CS1747:CS1750)</f>
        <v>0</v>
      </c>
      <c r="CT1751" s="11">
        <f t="shared" ref="CT1751:CW1751" si="8053">SUM(CT1747:CT1750)</f>
        <v>0</v>
      </c>
      <c r="CU1751" s="11">
        <f t="shared" si="8053"/>
        <v>0</v>
      </c>
      <c r="CV1751" s="11">
        <f t="shared" si="8053"/>
        <v>0</v>
      </c>
      <c r="CW1751" s="11">
        <f t="shared" si="8053"/>
        <v>0</v>
      </c>
      <c r="CX1751" s="25">
        <f>SUM(CX1747:CX1750)</f>
        <v>0</v>
      </c>
      <c r="CZ1751" s="10">
        <f>SUM(CZ1747:CZ1750)</f>
        <v>0</v>
      </c>
      <c r="DA1751" s="11">
        <f t="shared" ref="DA1751:DD1751" si="8054">SUM(DA1747:DA1750)</f>
        <v>0</v>
      </c>
      <c r="DB1751" s="11">
        <f t="shared" si="8054"/>
        <v>0</v>
      </c>
      <c r="DC1751" s="11">
        <f t="shared" si="8054"/>
        <v>0</v>
      </c>
      <c r="DD1751" s="11">
        <f t="shared" si="8054"/>
        <v>0</v>
      </c>
      <c r="DE1751" s="25">
        <f>SUM(DE1747:DE1750)</f>
        <v>0</v>
      </c>
    </row>
    <row r="1752" spans="3:109" ht="10.4" customHeight="1" thickBot="1"/>
    <row r="1753" spans="3:109">
      <c r="C1753" s="553">
        <v>2027</v>
      </c>
      <c r="E1753" s="1" t="s">
        <v>59</v>
      </c>
      <c r="F1753" s="21">
        <f>CE1747</f>
        <v>0</v>
      </c>
      <c r="G1753" s="22">
        <f t="shared" ref="G1753:G1756" si="8055">CF1747</f>
        <v>0</v>
      </c>
      <c r="H1753" s="22">
        <f t="shared" ref="H1753:H1756" si="8056">CG1747</f>
        <v>0</v>
      </c>
      <c r="I1753" s="22">
        <f t="shared" ref="I1753:I1756" si="8057">CH1747</f>
        <v>0</v>
      </c>
      <c r="J1753" s="22">
        <f t="shared" ref="J1753:J1756" si="8058">CI1747</f>
        <v>0</v>
      </c>
      <c r="K1753" s="4">
        <f>SUM(F1753:J1753)</f>
        <v>0</v>
      </c>
      <c r="M1753" s="2"/>
      <c r="N1753" s="3"/>
      <c r="O1753" s="3"/>
      <c r="P1753" s="3"/>
      <c r="Q1753" s="3"/>
      <c r="R1753" s="4">
        <f>SUM(M1753:Q1753)</f>
        <v>0</v>
      </c>
      <c r="T1753" s="2"/>
      <c r="U1753" s="3"/>
      <c r="V1753" s="3"/>
      <c r="W1753" s="3"/>
      <c r="X1753" s="3"/>
      <c r="Y1753" s="4">
        <f>SUM(T1753:X1753)</f>
        <v>0</v>
      </c>
      <c r="AA1753" s="2"/>
      <c r="AB1753" s="3"/>
      <c r="AC1753" s="3"/>
      <c r="AD1753" s="3"/>
      <c r="AE1753" s="3"/>
      <c r="AF1753" s="4">
        <f>SUM(AA1753:AE1753)</f>
        <v>0</v>
      </c>
      <c r="AH1753" s="2"/>
      <c r="AI1753" s="3"/>
      <c r="AJ1753" s="3"/>
      <c r="AK1753" s="3"/>
      <c r="AL1753" s="3"/>
      <c r="AM1753" s="4">
        <f>SUM(AH1753:AL1753)</f>
        <v>0</v>
      </c>
      <c r="AO1753" s="2"/>
      <c r="AP1753" s="3"/>
      <c r="AQ1753" s="3"/>
      <c r="AR1753" s="3"/>
      <c r="AS1753" s="3"/>
      <c r="AT1753" s="4">
        <f>SUM(AO1753:AS1753)</f>
        <v>0</v>
      </c>
      <c r="AV1753" s="2"/>
      <c r="AW1753" s="3"/>
      <c r="AX1753" s="3"/>
      <c r="AY1753" s="3"/>
      <c r="AZ1753" s="3"/>
      <c r="BA1753" s="4">
        <f>SUM(AV1753:AZ1753)</f>
        <v>0</v>
      </c>
      <c r="BC1753" s="2"/>
      <c r="BD1753" s="3"/>
      <c r="BE1753" s="3"/>
      <c r="BF1753" s="3"/>
      <c r="BG1753" s="3"/>
      <c r="BH1753" s="4">
        <f>SUM(BC1753:BG1753)</f>
        <v>0</v>
      </c>
      <c r="BJ1753" s="2"/>
      <c r="BK1753" s="3"/>
      <c r="BL1753" s="3"/>
      <c r="BM1753" s="3"/>
      <c r="BN1753" s="3"/>
      <c r="BO1753" s="4">
        <f>SUM(BJ1753:BN1753)</f>
        <v>0</v>
      </c>
      <c r="BQ1753" s="2"/>
      <c r="BR1753" s="3"/>
      <c r="BS1753" s="3"/>
      <c r="BT1753" s="3"/>
      <c r="BU1753" s="3"/>
      <c r="BV1753" s="4">
        <f>SUM(BQ1753:BU1753)</f>
        <v>0</v>
      </c>
      <c r="BX1753" s="2"/>
      <c r="BY1753" s="3"/>
      <c r="BZ1753" s="3"/>
      <c r="CA1753" s="3"/>
      <c r="CB1753" s="3"/>
      <c r="CC1753" s="4">
        <f>SUM(BX1753:CB1753)</f>
        <v>0</v>
      </c>
      <c r="CE1753" s="26">
        <f t="shared" ref="CE1753:CE1756" si="8059">F1753+M1753+T1753+AA1753+AH1753+AO1753+AV1753+BC1753+BJ1753+BQ1753+BX1753</f>
        <v>0</v>
      </c>
      <c r="CF1753" s="27">
        <f t="shared" ref="CF1753:CF1756" si="8060">G1753+N1753+U1753+AB1753+AI1753+AP1753+AW1753+BD1753+BK1753+BR1753+BY1753</f>
        <v>0</v>
      </c>
      <c r="CG1753" s="27">
        <f t="shared" ref="CG1753:CG1756" si="8061">H1753+O1753+V1753+AC1753+AJ1753+AQ1753+AX1753+BE1753+BL1753+BS1753+BZ1753</f>
        <v>0</v>
      </c>
      <c r="CH1753" s="27">
        <f t="shared" ref="CH1753:CH1756" si="8062">I1753+P1753+W1753+AD1753+AK1753+AR1753+AY1753+BF1753+BM1753+BT1753+CA1753</f>
        <v>0</v>
      </c>
      <c r="CI1753" s="27">
        <f t="shared" ref="CI1753:CI1756" si="8063">J1753+Q1753+X1753+AE1753+AL1753+AS1753+AZ1753+BG1753+BN1753+BU1753+CB1753</f>
        <v>0</v>
      </c>
      <c r="CJ1753" s="4">
        <f>SUM(CE1753:CI1753)</f>
        <v>0</v>
      </c>
      <c r="CL1753" s="2"/>
      <c r="CM1753" s="3"/>
      <c r="CN1753" s="3"/>
      <c r="CO1753" s="3"/>
      <c r="CP1753" s="3"/>
      <c r="CQ1753" s="4">
        <f>SUM(CL1753:CP1753)</f>
        <v>0</v>
      </c>
      <c r="CS1753" s="2"/>
      <c r="CT1753" s="3"/>
      <c r="CU1753" s="3"/>
      <c r="CV1753" s="3"/>
      <c r="CW1753" s="3"/>
      <c r="CX1753" s="4">
        <f>SUM(CS1753:CW1753)</f>
        <v>0</v>
      </c>
      <c r="CZ1753" s="2"/>
      <c r="DA1753" s="3"/>
      <c r="DB1753" s="3"/>
      <c r="DC1753" s="3"/>
      <c r="DD1753" s="3"/>
      <c r="DE1753" s="4">
        <f>SUM(CZ1753:DD1753)</f>
        <v>0</v>
      </c>
    </row>
    <row r="1754" spans="3:109">
      <c r="C1754" s="567"/>
      <c r="E1754" s="5" t="s">
        <v>60</v>
      </c>
      <c r="F1754" s="23">
        <f t="shared" ref="F1754:F1756" si="8064">CE1748</f>
        <v>0</v>
      </c>
      <c r="G1754" s="24">
        <f t="shared" si="8055"/>
        <v>0</v>
      </c>
      <c r="H1754" s="24">
        <f t="shared" si="8056"/>
        <v>0</v>
      </c>
      <c r="I1754" s="24">
        <f t="shared" si="8057"/>
        <v>0</v>
      </c>
      <c r="J1754" s="24">
        <f t="shared" si="8058"/>
        <v>0</v>
      </c>
      <c r="K1754" s="8">
        <f t="shared" ref="K1754:K1756" si="8065">SUM(F1754:J1754)</f>
        <v>0</v>
      </c>
      <c r="M1754" s="6"/>
      <c r="N1754" s="7"/>
      <c r="O1754" s="7"/>
      <c r="P1754" s="7"/>
      <c r="Q1754" s="7"/>
      <c r="R1754" s="8">
        <f t="shared" ref="R1754:R1756" si="8066">SUM(M1754:Q1754)</f>
        <v>0</v>
      </c>
      <c r="T1754" s="6"/>
      <c r="U1754" s="7"/>
      <c r="V1754" s="7"/>
      <c r="W1754" s="7"/>
      <c r="X1754" s="7"/>
      <c r="Y1754" s="8">
        <f t="shared" ref="Y1754:Y1756" si="8067">SUM(T1754:X1754)</f>
        <v>0</v>
      </c>
      <c r="AA1754" s="6"/>
      <c r="AB1754" s="7"/>
      <c r="AC1754" s="7"/>
      <c r="AD1754" s="7"/>
      <c r="AE1754" s="7"/>
      <c r="AF1754" s="8">
        <f>SUM(AA1754:AE1754)</f>
        <v>0</v>
      </c>
      <c r="AH1754" s="6"/>
      <c r="AI1754" s="7"/>
      <c r="AJ1754" s="7"/>
      <c r="AK1754" s="7"/>
      <c r="AL1754" s="7"/>
      <c r="AM1754" s="8">
        <f>SUM(AH1754:AL1754)</f>
        <v>0</v>
      </c>
      <c r="AO1754" s="6"/>
      <c r="AP1754" s="7"/>
      <c r="AQ1754" s="7"/>
      <c r="AR1754" s="7"/>
      <c r="AS1754" s="7"/>
      <c r="AT1754" s="8">
        <f>SUM(AO1754:AS1754)</f>
        <v>0</v>
      </c>
      <c r="AV1754" s="6"/>
      <c r="AW1754" s="7"/>
      <c r="AX1754" s="7"/>
      <c r="AY1754" s="7"/>
      <c r="AZ1754" s="7"/>
      <c r="BA1754" s="8">
        <f>SUM(AV1754:AZ1754)</f>
        <v>0</v>
      </c>
      <c r="BC1754" s="6"/>
      <c r="BD1754" s="7"/>
      <c r="BE1754" s="7"/>
      <c r="BF1754" s="7"/>
      <c r="BG1754" s="7"/>
      <c r="BH1754" s="8">
        <f>SUM(BC1754:BG1754)</f>
        <v>0</v>
      </c>
      <c r="BJ1754" s="6"/>
      <c r="BK1754" s="7"/>
      <c r="BL1754" s="7"/>
      <c r="BM1754" s="7"/>
      <c r="BN1754" s="7"/>
      <c r="BO1754" s="8">
        <f>SUM(BJ1754:BN1754)</f>
        <v>0</v>
      </c>
      <c r="BQ1754" s="6"/>
      <c r="BR1754" s="7"/>
      <c r="BS1754" s="7"/>
      <c r="BT1754" s="7"/>
      <c r="BU1754" s="7"/>
      <c r="BV1754" s="8">
        <f>SUM(BQ1754:BU1754)</f>
        <v>0</v>
      </c>
      <c r="BX1754" s="6"/>
      <c r="BY1754" s="7"/>
      <c r="BZ1754" s="7"/>
      <c r="CA1754" s="7"/>
      <c r="CB1754" s="7"/>
      <c r="CC1754" s="8">
        <f>SUM(BX1754:CB1754)</f>
        <v>0</v>
      </c>
      <c r="CE1754" s="28">
        <f t="shared" si="8059"/>
        <v>0</v>
      </c>
      <c r="CF1754" s="29">
        <f t="shared" si="8060"/>
        <v>0</v>
      </c>
      <c r="CG1754" s="29">
        <f t="shared" si="8061"/>
        <v>0</v>
      </c>
      <c r="CH1754" s="29">
        <f t="shared" si="8062"/>
        <v>0</v>
      </c>
      <c r="CI1754" s="29">
        <f t="shared" si="8063"/>
        <v>0</v>
      </c>
      <c r="CJ1754" s="8">
        <f>SUM(CE1754:CI1754)</f>
        <v>0</v>
      </c>
      <c r="CL1754" s="6"/>
      <c r="CM1754" s="7"/>
      <c r="CN1754" s="7"/>
      <c r="CO1754" s="7"/>
      <c r="CP1754" s="7"/>
      <c r="CQ1754" s="8">
        <f>SUM(CL1754:CP1754)</f>
        <v>0</v>
      </c>
      <c r="CS1754" s="6"/>
      <c r="CT1754" s="7"/>
      <c r="CU1754" s="7"/>
      <c r="CV1754" s="7"/>
      <c r="CW1754" s="7"/>
      <c r="CX1754" s="8">
        <f t="shared" ref="CX1754:CX1756" si="8068">SUM(CS1754:CW1754)</f>
        <v>0</v>
      </c>
      <c r="CZ1754" s="6"/>
      <c r="DA1754" s="7"/>
      <c r="DB1754" s="7"/>
      <c r="DC1754" s="7"/>
      <c r="DD1754" s="7"/>
      <c r="DE1754" s="8">
        <f t="shared" ref="DE1754:DE1756" si="8069">SUM(CZ1754:DD1754)</f>
        <v>0</v>
      </c>
    </row>
    <row r="1755" spans="3:109">
      <c r="C1755" s="567"/>
      <c r="E1755" s="5" t="s">
        <v>61</v>
      </c>
      <c r="F1755" s="23">
        <f t="shared" si="8064"/>
        <v>0</v>
      </c>
      <c r="G1755" s="24">
        <f t="shared" si="8055"/>
        <v>0</v>
      </c>
      <c r="H1755" s="24">
        <f t="shared" si="8056"/>
        <v>0</v>
      </c>
      <c r="I1755" s="24">
        <f t="shared" si="8057"/>
        <v>0</v>
      </c>
      <c r="J1755" s="24">
        <f t="shared" si="8058"/>
        <v>0</v>
      </c>
      <c r="K1755" s="8">
        <f t="shared" si="8065"/>
        <v>0</v>
      </c>
      <c r="M1755" s="6"/>
      <c r="N1755" s="7"/>
      <c r="O1755" s="7"/>
      <c r="P1755" s="7"/>
      <c r="Q1755" s="7"/>
      <c r="R1755" s="8">
        <f t="shared" si="8066"/>
        <v>0</v>
      </c>
      <c r="T1755" s="6"/>
      <c r="U1755" s="7"/>
      <c r="V1755" s="7"/>
      <c r="W1755" s="7"/>
      <c r="X1755" s="7"/>
      <c r="Y1755" s="8">
        <f t="shared" si="8067"/>
        <v>0</v>
      </c>
      <c r="AA1755" s="6"/>
      <c r="AB1755" s="7"/>
      <c r="AC1755" s="7"/>
      <c r="AD1755" s="7"/>
      <c r="AE1755" s="7"/>
      <c r="AF1755" s="8">
        <f>SUM(AA1755:AE1755)</f>
        <v>0</v>
      </c>
      <c r="AH1755" s="6"/>
      <c r="AI1755" s="7"/>
      <c r="AJ1755" s="7"/>
      <c r="AK1755" s="7"/>
      <c r="AL1755" s="7"/>
      <c r="AM1755" s="8">
        <f>SUM(AH1755:AL1755)</f>
        <v>0</v>
      </c>
      <c r="AO1755" s="6"/>
      <c r="AP1755" s="7"/>
      <c r="AQ1755" s="7"/>
      <c r="AR1755" s="7"/>
      <c r="AS1755" s="7"/>
      <c r="AT1755" s="8">
        <f>SUM(AO1755:AS1755)</f>
        <v>0</v>
      </c>
      <c r="AV1755" s="6"/>
      <c r="AW1755" s="7"/>
      <c r="AX1755" s="7"/>
      <c r="AY1755" s="7"/>
      <c r="AZ1755" s="7"/>
      <c r="BA1755" s="8">
        <f>SUM(AV1755:AZ1755)</f>
        <v>0</v>
      </c>
      <c r="BC1755" s="6"/>
      <c r="BD1755" s="7"/>
      <c r="BE1755" s="7"/>
      <c r="BF1755" s="7"/>
      <c r="BG1755" s="7"/>
      <c r="BH1755" s="8">
        <f>SUM(BC1755:BG1755)</f>
        <v>0</v>
      </c>
      <c r="BJ1755" s="6"/>
      <c r="BK1755" s="7"/>
      <c r="BL1755" s="7"/>
      <c r="BM1755" s="7"/>
      <c r="BN1755" s="7"/>
      <c r="BO1755" s="8">
        <f>SUM(BJ1755:BN1755)</f>
        <v>0</v>
      </c>
      <c r="BQ1755" s="6"/>
      <c r="BR1755" s="7"/>
      <c r="BS1755" s="7"/>
      <c r="BT1755" s="7"/>
      <c r="BU1755" s="7"/>
      <c r="BV1755" s="8">
        <f>SUM(BQ1755:BU1755)</f>
        <v>0</v>
      </c>
      <c r="BX1755" s="6"/>
      <c r="BY1755" s="7"/>
      <c r="BZ1755" s="7"/>
      <c r="CA1755" s="7"/>
      <c r="CB1755" s="7"/>
      <c r="CC1755" s="8">
        <f>SUM(BX1755:CB1755)</f>
        <v>0</v>
      </c>
      <c r="CE1755" s="28">
        <f t="shared" si="8059"/>
        <v>0</v>
      </c>
      <c r="CF1755" s="29">
        <f t="shared" si="8060"/>
        <v>0</v>
      </c>
      <c r="CG1755" s="29">
        <f t="shared" si="8061"/>
        <v>0</v>
      </c>
      <c r="CH1755" s="29">
        <f t="shared" si="8062"/>
        <v>0</v>
      </c>
      <c r="CI1755" s="29">
        <f t="shared" si="8063"/>
        <v>0</v>
      </c>
      <c r="CJ1755" s="8">
        <f>SUM(CE1755:CI1755)</f>
        <v>0</v>
      </c>
      <c r="CL1755" s="6"/>
      <c r="CM1755" s="7"/>
      <c r="CN1755" s="7"/>
      <c r="CO1755" s="7"/>
      <c r="CP1755" s="7"/>
      <c r="CQ1755" s="8">
        <f>SUM(CL1755:CP1755)</f>
        <v>0</v>
      </c>
      <c r="CS1755" s="6"/>
      <c r="CT1755" s="7"/>
      <c r="CU1755" s="7"/>
      <c r="CV1755" s="7"/>
      <c r="CW1755" s="7"/>
      <c r="CX1755" s="8">
        <f t="shared" si="8068"/>
        <v>0</v>
      </c>
      <c r="CZ1755" s="6"/>
      <c r="DA1755" s="7"/>
      <c r="DB1755" s="7"/>
      <c r="DC1755" s="7"/>
      <c r="DD1755" s="7"/>
      <c r="DE1755" s="8">
        <f t="shared" si="8069"/>
        <v>0</v>
      </c>
    </row>
    <row r="1756" spans="3:109" ht="14" thickBot="1">
      <c r="C1756" s="567"/>
      <c r="E1756" s="5" t="s">
        <v>62</v>
      </c>
      <c r="F1756" s="23">
        <f t="shared" si="8064"/>
        <v>0</v>
      </c>
      <c r="G1756" s="24">
        <f t="shared" si="8055"/>
        <v>0</v>
      </c>
      <c r="H1756" s="24">
        <f t="shared" si="8056"/>
        <v>0</v>
      </c>
      <c r="I1756" s="24">
        <f t="shared" si="8057"/>
        <v>0</v>
      </c>
      <c r="J1756" s="24">
        <f t="shared" si="8058"/>
        <v>0</v>
      </c>
      <c r="K1756" s="8">
        <f t="shared" si="8065"/>
        <v>0</v>
      </c>
      <c r="M1756" s="6"/>
      <c r="N1756" s="7"/>
      <c r="O1756" s="7"/>
      <c r="P1756" s="7"/>
      <c r="Q1756" s="7"/>
      <c r="R1756" s="8">
        <f t="shared" si="8066"/>
        <v>0</v>
      </c>
      <c r="T1756" s="6"/>
      <c r="U1756" s="7"/>
      <c r="V1756" s="7"/>
      <c r="W1756" s="7"/>
      <c r="X1756" s="7"/>
      <c r="Y1756" s="8">
        <f t="shared" si="8067"/>
        <v>0</v>
      </c>
      <c r="AA1756" s="6"/>
      <c r="AB1756" s="7"/>
      <c r="AC1756" s="7"/>
      <c r="AD1756" s="7"/>
      <c r="AE1756" s="7"/>
      <c r="AF1756" s="8">
        <f>SUM(AA1756:AE1756)</f>
        <v>0</v>
      </c>
      <c r="AH1756" s="6"/>
      <c r="AI1756" s="7"/>
      <c r="AJ1756" s="7"/>
      <c r="AK1756" s="7"/>
      <c r="AL1756" s="7"/>
      <c r="AM1756" s="8">
        <f>SUM(AH1756:AL1756)</f>
        <v>0</v>
      </c>
      <c r="AO1756" s="6"/>
      <c r="AP1756" s="7"/>
      <c r="AQ1756" s="7"/>
      <c r="AR1756" s="7"/>
      <c r="AS1756" s="7"/>
      <c r="AT1756" s="8">
        <f>SUM(AO1756:AS1756)</f>
        <v>0</v>
      </c>
      <c r="AV1756" s="6"/>
      <c r="AW1756" s="7"/>
      <c r="AX1756" s="7"/>
      <c r="AY1756" s="7"/>
      <c r="AZ1756" s="7"/>
      <c r="BA1756" s="8">
        <f>SUM(AV1756:AZ1756)</f>
        <v>0</v>
      </c>
      <c r="BC1756" s="6"/>
      <c r="BD1756" s="7"/>
      <c r="BE1756" s="7"/>
      <c r="BF1756" s="7"/>
      <c r="BG1756" s="7"/>
      <c r="BH1756" s="8">
        <f>SUM(BC1756:BG1756)</f>
        <v>0</v>
      </c>
      <c r="BJ1756" s="6"/>
      <c r="BK1756" s="7"/>
      <c r="BL1756" s="7"/>
      <c r="BM1756" s="7"/>
      <c r="BN1756" s="7"/>
      <c r="BO1756" s="8">
        <f>SUM(BJ1756:BN1756)</f>
        <v>0</v>
      </c>
      <c r="BQ1756" s="6"/>
      <c r="BR1756" s="7"/>
      <c r="BS1756" s="7"/>
      <c r="BT1756" s="7"/>
      <c r="BU1756" s="7"/>
      <c r="BV1756" s="8">
        <f>SUM(BQ1756:BU1756)</f>
        <v>0</v>
      </c>
      <c r="BX1756" s="6"/>
      <c r="BY1756" s="7"/>
      <c r="BZ1756" s="7"/>
      <c r="CA1756" s="7"/>
      <c r="CB1756" s="7"/>
      <c r="CC1756" s="8">
        <f>SUM(BX1756:CB1756)</f>
        <v>0</v>
      </c>
      <c r="CE1756" s="493">
        <f t="shared" si="8059"/>
        <v>0</v>
      </c>
      <c r="CF1756" s="494">
        <f t="shared" si="8060"/>
        <v>0</v>
      </c>
      <c r="CG1756" s="494">
        <f t="shared" si="8061"/>
        <v>0</v>
      </c>
      <c r="CH1756" s="494">
        <f t="shared" si="8062"/>
        <v>0</v>
      </c>
      <c r="CI1756" s="494">
        <f t="shared" si="8063"/>
        <v>0</v>
      </c>
      <c r="CJ1756" s="495">
        <f>SUM(CE1756:CI1756)</f>
        <v>0</v>
      </c>
      <c r="CL1756" s="6"/>
      <c r="CM1756" s="7"/>
      <c r="CN1756" s="7"/>
      <c r="CO1756" s="7"/>
      <c r="CP1756" s="7"/>
      <c r="CQ1756" s="8">
        <f>SUM(CL1756:CP1756)</f>
        <v>0</v>
      </c>
      <c r="CS1756" s="6"/>
      <c r="CT1756" s="7"/>
      <c r="CU1756" s="7"/>
      <c r="CV1756" s="7"/>
      <c r="CW1756" s="7"/>
      <c r="CX1756" s="8">
        <f t="shared" si="8068"/>
        <v>0</v>
      </c>
      <c r="CZ1756" s="6"/>
      <c r="DA1756" s="7"/>
      <c r="DB1756" s="7"/>
      <c r="DC1756" s="7"/>
      <c r="DD1756" s="7"/>
      <c r="DE1756" s="8">
        <f t="shared" si="8069"/>
        <v>0</v>
      </c>
    </row>
    <row r="1757" spans="3:109" ht="14" thickBot="1">
      <c r="C1757" s="554"/>
      <c r="E1757" s="9"/>
      <c r="F1757" s="10">
        <f>SUM(F1753:F1756)</f>
        <v>0</v>
      </c>
      <c r="G1757" s="11">
        <f t="shared" ref="G1757:J1757" si="8070">SUM(G1753:G1756)</f>
        <v>0</v>
      </c>
      <c r="H1757" s="11">
        <f t="shared" si="8070"/>
        <v>0</v>
      </c>
      <c r="I1757" s="11">
        <f t="shared" si="8070"/>
        <v>0</v>
      </c>
      <c r="J1757" s="11">
        <f t="shared" si="8070"/>
        <v>0</v>
      </c>
      <c r="K1757" s="25">
        <f>SUM(K1753:K1756)</f>
        <v>0</v>
      </c>
      <c r="M1757" s="10">
        <f>SUM(M1753:M1756)</f>
        <v>0</v>
      </c>
      <c r="N1757" s="11">
        <f t="shared" ref="N1757:Q1757" si="8071">SUM(N1753:N1756)</f>
        <v>0</v>
      </c>
      <c r="O1757" s="11">
        <f t="shared" si="8071"/>
        <v>0</v>
      </c>
      <c r="P1757" s="11">
        <f t="shared" si="8071"/>
        <v>0</v>
      </c>
      <c r="Q1757" s="11">
        <f t="shared" si="8071"/>
        <v>0</v>
      </c>
      <c r="R1757" s="25">
        <f>SUM(R1753:R1756)</f>
        <v>0</v>
      </c>
      <c r="T1757" s="10">
        <f>SUM(T1753:T1756)</f>
        <v>0</v>
      </c>
      <c r="U1757" s="11">
        <f t="shared" ref="U1757:X1757" si="8072">SUM(U1753:U1756)</f>
        <v>0</v>
      </c>
      <c r="V1757" s="11">
        <f t="shared" si="8072"/>
        <v>0</v>
      </c>
      <c r="W1757" s="11">
        <f t="shared" si="8072"/>
        <v>0</v>
      </c>
      <c r="X1757" s="11">
        <f t="shared" si="8072"/>
        <v>0</v>
      </c>
      <c r="Y1757" s="25">
        <f>SUM(Y1753:Y1756)</f>
        <v>0</v>
      </c>
      <c r="AA1757" s="10">
        <f>SUM(AA1753:AA1756)</f>
        <v>0</v>
      </c>
      <c r="AB1757" s="11">
        <f t="shared" ref="AB1757:AE1757" si="8073">SUM(AB1753:AB1756)</f>
        <v>0</v>
      </c>
      <c r="AC1757" s="11">
        <f t="shared" si="8073"/>
        <v>0</v>
      </c>
      <c r="AD1757" s="11">
        <f t="shared" si="8073"/>
        <v>0</v>
      </c>
      <c r="AE1757" s="11">
        <f t="shared" si="8073"/>
        <v>0</v>
      </c>
      <c r="AF1757" s="25">
        <f>SUM(AF1753:AF1756)</f>
        <v>0</v>
      </c>
      <c r="AH1757" s="10">
        <f>SUM(AH1753:AH1756)</f>
        <v>0</v>
      </c>
      <c r="AI1757" s="11">
        <f t="shared" ref="AI1757:AL1757" si="8074">SUM(AI1753:AI1756)</f>
        <v>0</v>
      </c>
      <c r="AJ1757" s="11">
        <f t="shared" si="8074"/>
        <v>0</v>
      </c>
      <c r="AK1757" s="11">
        <f t="shared" si="8074"/>
        <v>0</v>
      </c>
      <c r="AL1757" s="11">
        <f t="shared" si="8074"/>
        <v>0</v>
      </c>
      <c r="AM1757" s="25">
        <f>SUM(AM1753:AM1756)</f>
        <v>0</v>
      </c>
      <c r="AO1757" s="10">
        <f>SUM(AO1753:AO1756)</f>
        <v>0</v>
      </c>
      <c r="AP1757" s="11">
        <f t="shared" ref="AP1757:AS1757" si="8075">SUM(AP1753:AP1756)</f>
        <v>0</v>
      </c>
      <c r="AQ1757" s="11">
        <f t="shared" si="8075"/>
        <v>0</v>
      </c>
      <c r="AR1757" s="11">
        <f t="shared" si="8075"/>
        <v>0</v>
      </c>
      <c r="AS1757" s="11">
        <f t="shared" si="8075"/>
        <v>0</v>
      </c>
      <c r="AT1757" s="25">
        <f>SUM(AT1753:AT1756)</f>
        <v>0</v>
      </c>
      <c r="AV1757" s="10">
        <f>SUM(AV1753:AV1756)</f>
        <v>0</v>
      </c>
      <c r="AW1757" s="11">
        <f t="shared" ref="AW1757:AZ1757" si="8076">SUM(AW1753:AW1756)</f>
        <v>0</v>
      </c>
      <c r="AX1757" s="11">
        <f t="shared" si="8076"/>
        <v>0</v>
      </c>
      <c r="AY1757" s="11">
        <f t="shared" si="8076"/>
        <v>0</v>
      </c>
      <c r="AZ1757" s="11">
        <f t="shared" si="8076"/>
        <v>0</v>
      </c>
      <c r="BA1757" s="25">
        <f>SUM(BA1753:BA1756)</f>
        <v>0</v>
      </c>
      <c r="BC1757" s="10">
        <f>SUM(BC1753:BC1756)</f>
        <v>0</v>
      </c>
      <c r="BD1757" s="11">
        <f t="shared" ref="BD1757:BG1757" si="8077">SUM(BD1753:BD1756)</f>
        <v>0</v>
      </c>
      <c r="BE1757" s="11">
        <f t="shared" si="8077"/>
        <v>0</v>
      </c>
      <c r="BF1757" s="11">
        <f t="shared" si="8077"/>
        <v>0</v>
      </c>
      <c r="BG1757" s="11">
        <f t="shared" si="8077"/>
        <v>0</v>
      </c>
      <c r="BH1757" s="25">
        <f>SUM(BH1753:BH1756)</f>
        <v>0</v>
      </c>
      <c r="BJ1757" s="10">
        <f>SUM(BJ1753:BJ1756)</f>
        <v>0</v>
      </c>
      <c r="BK1757" s="11">
        <f t="shared" ref="BK1757:BN1757" si="8078">SUM(BK1753:BK1756)</f>
        <v>0</v>
      </c>
      <c r="BL1757" s="11">
        <f t="shared" si="8078"/>
        <v>0</v>
      </c>
      <c r="BM1757" s="11">
        <f t="shared" si="8078"/>
        <v>0</v>
      </c>
      <c r="BN1757" s="11">
        <f t="shared" si="8078"/>
        <v>0</v>
      </c>
      <c r="BO1757" s="25">
        <f>SUM(BO1753:BO1756)</f>
        <v>0</v>
      </c>
      <c r="BQ1757" s="10">
        <f>SUM(BQ1753:BQ1756)</f>
        <v>0</v>
      </c>
      <c r="BR1757" s="11">
        <f t="shared" ref="BR1757:BU1757" si="8079">SUM(BR1753:BR1756)</f>
        <v>0</v>
      </c>
      <c r="BS1757" s="11">
        <f t="shared" si="8079"/>
        <v>0</v>
      </c>
      <c r="BT1757" s="11">
        <f t="shared" si="8079"/>
        <v>0</v>
      </c>
      <c r="BU1757" s="11">
        <f t="shared" si="8079"/>
        <v>0</v>
      </c>
      <c r="BV1757" s="25">
        <f>SUM(BV1753:BV1756)</f>
        <v>0</v>
      </c>
      <c r="BX1757" s="10">
        <f>SUM(BX1753:BX1756)</f>
        <v>0</v>
      </c>
      <c r="BY1757" s="11">
        <f t="shared" ref="BY1757:CB1757" si="8080">SUM(BY1753:BY1756)</f>
        <v>0</v>
      </c>
      <c r="BZ1757" s="11">
        <f t="shared" si="8080"/>
        <v>0</v>
      </c>
      <c r="CA1757" s="11">
        <f t="shared" si="8080"/>
        <v>0</v>
      </c>
      <c r="CB1757" s="11">
        <f t="shared" si="8080"/>
        <v>0</v>
      </c>
      <c r="CC1757" s="25">
        <f>SUM(CC1753:CC1756)</f>
        <v>0</v>
      </c>
      <c r="CE1757" s="62">
        <f t="shared" ref="CE1757:CJ1757" si="8081">SUM(CE1753:CE1756)</f>
        <v>0</v>
      </c>
      <c r="CF1757" s="63">
        <f t="shared" si="8081"/>
        <v>0</v>
      </c>
      <c r="CG1757" s="63">
        <f t="shared" si="8081"/>
        <v>0</v>
      </c>
      <c r="CH1757" s="63">
        <f t="shared" si="8081"/>
        <v>0</v>
      </c>
      <c r="CI1757" s="63">
        <f t="shared" si="8081"/>
        <v>0</v>
      </c>
      <c r="CJ1757" s="25">
        <f t="shared" si="8081"/>
        <v>0</v>
      </c>
      <c r="CL1757" s="10">
        <f>SUM(CL1753:CL1756)</f>
        <v>0</v>
      </c>
      <c r="CM1757" s="11">
        <f t="shared" ref="CM1757:CP1757" si="8082">SUM(CM1753:CM1756)</f>
        <v>0</v>
      </c>
      <c r="CN1757" s="11">
        <f t="shared" si="8082"/>
        <v>0</v>
      </c>
      <c r="CO1757" s="11">
        <f t="shared" si="8082"/>
        <v>0</v>
      </c>
      <c r="CP1757" s="11">
        <f t="shared" si="8082"/>
        <v>0</v>
      </c>
      <c r="CQ1757" s="25">
        <f>SUM(CQ1753:CQ1756)</f>
        <v>0</v>
      </c>
      <c r="CS1757" s="10">
        <f>SUM(CS1753:CS1756)</f>
        <v>0</v>
      </c>
      <c r="CT1757" s="11">
        <f t="shared" ref="CT1757:CW1757" si="8083">SUM(CT1753:CT1756)</f>
        <v>0</v>
      </c>
      <c r="CU1757" s="11">
        <f t="shared" si="8083"/>
        <v>0</v>
      </c>
      <c r="CV1757" s="11">
        <f t="shared" si="8083"/>
        <v>0</v>
      </c>
      <c r="CW1757" s="11">
        <f t="shared" si="8083"/>
        <v>0</v>
      </c>
      <c r="CX1757" s="25">
        <f>SUM(CX1753:CX1756)</f>
        <v>0</v>
      </c>
      <c r="CZ1757" s="10">
        <f>SUM(CZ1753:CZ1756)</f>
        <v>0</v>
      </c>
      <c r="DA1757" s="11">
        <f t="shared" ref="DA1757:DD1757" si="8084">SUM(DA1753:DA1756)</f>
        <v>0</v>
      </c>
      <c r="DB1757" s="11">
        <f t="shared" si="8084"/>
        <v>0</v>
      </c>
      <c r="DC1757" s="11">
        <f t="shared" si="8084"/>
        <v>0</v>
      </c>
      <c r="DD1757" s="11">
        <f t="shared" si="8084"/>
        <v>0</v>
      </c>
      <c r="DE1757" s="25">
        <f>SUM(DE1753:DE1756)</f>
        <v>0</v>
      </c>
    </row>
    <row r="1758" spans="3:109" ht="10.4" customHeight="1" thickBot="1"/>
    <row r="1759" spans="3:109">
      <c r="C1759" s="553">
        <v>2028</v>
      </c>
      <c r="E1759" s="1" t="s">
        <v>59</v>
      </c>
      <c r="F1759" s="21">
        <f>CE1753</f>
        <v>0</v>
      </c>
      <c r="G1759" s="22">
        <f t="shared" ref="G1759:G1762" si="8085">CF1753</f>
        <v>0</v>
      </c>
      <c r="H1759" s="22">
        <f t="shared" ref="H1759:H1762" si="8086">CG1753</f>
        <v>0</v>
      </c>
      <c r="I1759" s="22">
        <f t="shared" ref="I1759:I1762" si="8087">CH1753</f>
        <v>0</v>
      </c>
      <c r="J1759" s="22">
        <f t="shared" ref="J1759:J1762" si="8088">CI1753</f>
        <v>0</v>
      </c>
      <c r="K1759" s="4">
        <f>SUM(F1759:J1759)</f>
        <v>0</v>
      </c>
      <c r="M1759" s="2"/>
      <c r="N1759" s="3"/>
      <c r="O1759" s="3"/>
      <c r="P1759" s="3"/>
      <c r="Q1759" s="3"/>
      <c r="R1759" s="4">
        <f>SUM(M1759:Q1759)</f>
        <v>0</v>
      </c>
      <c r="T1759" s="2"/>
      <c r="U1759" s="3"/>
      <c r="V1759" s="3"/>
      <c r="W1759" s="3"/>
      <c r="X1759" s="3"/>
      <c r="Y1759" s="4">
        <f>SUM(T1759:X1759)</f>
        <v>0</v>
      </c>
      <c r="AA1759" s="2"/>
      <c r="AB1759" s="3"/>
      <c r="AC1759" s="3"/>
      <c r="AD1759" s="3"/>
      <c r="AE1759" s="3"/>
      <c r="AF1759" s="4">
        <f>SUM(AA1759:AE1759)</f>
        <v>0</v>
      </c>
      <c r="AH1759" s="2"/>
      <c r="AI1759" s="3"/>
      <c r="AJ1759" s="3"/>
      <c r="AK1759" s="3"/>
      <c r="AL1759" s="3"/>
      <c r="AM1759" s="4">
        <f>SUM(AH1759:AL1759)</f>
        <v>0</v>
      </c>
      <c r="AO1759" s="2"/>
      <c r="AP1759" s="3"/>
      <c r="AQ1759" s="3"/>
      <c r="AR1759" s="3"/>
      <c r="AS1759" s="3"/>
      <c r="AT1759" s="4">
        <f>SUM(AO1759:AS1759)</f>
        <v>0</v>
      </c>
      <c r="AV1759" s="2"/>
      <c r="AW1759" s="3"/>
      <c r="AX1759" s="3"/>
      <c r="AY1759" s="3"/>
      <c r="AZ1759" s="3"/>
      <c r="BA1759" s="4">
        <f>SUM(AV1759:AZ1759)</f>
        <v>0</v>
      </c>
      <c r="BC1759" s="2"/>
      <c r="BD1759" s="3"/>
      <c r="BE1759" s="3"/>
      <c r="BF1759" s="3"/>
      <c r="BG1759" s="3"/>
      <c r="BH1759" s="4">
        <f>SUM(BC1759:BG1759)</f>
        <v>0</v>
      </c>
      <c r="BJ1759" s="2"/>
      <c r="BK1759" s="3"/>
      <c r="BL1759" s="3"/>
      <c r="BM1759" s="3"/>
      <c r="BN1759" s="3"/>
      <c r="BO1759" s="4">
        <f>SUM(BJ1759:BN1759)</f>
        <v>0</v>
      </c>
      <c r="BQ1759" s="2"/>
      <c r="BR1759" s="3"/>
      <c r="BS1759" s="3"/>
      <c r="BT1759" s="3"/>
      <c r="BU1759" s="3"/>
      <c r="BV1759" s="4">
        <f>SUM(BQ1759:BU1759)</f>
        <v>0</v>
      </c>
      <c r="BX1759" s="2"/>
      <c r="BY1759" s="3"/>
      <c r="BZ1759" s="3"/>
      <c r="CA1759" s="3"/>
      <c r="CB1759" s="3"/>
      <c r="CC1759" s="4">
        <f>SUM(BX1759:CB1759)</f>
        <v>0</v>
      </c>
      <c r="CE1759" s="26">
        <f t="shared" ref="CE1759:CE1762" si="8089">F1759+M1759+T1759+AA1759+AH1759+AO1759+AV1759+BC1759+BJ1759+BQ1759+BX1759</f>
        <v>0</v>
      </c>
      <c r="CF1759" s="27">
        <f t="shared" ref="CF1759:CF1762" si="8090">G1759+N1759+U1759+AB1759+AI1759+AP1759+AW1759+BD1759+BK1759+BR1759+BY1759</f>
        <v>0</v>
      </c>
      <c r="CG1759" s="27">
        <f t="shared" ref="CG1759:CG1762" si="8091">H1759+O1759+V1759+AC1759+AJ1759+AQ1759+AX1759+BE1759+BL1759+BS1759+BZ1759</f>
        <v>0</v>
      </c>
      <c r="CH1759" s="27">
        <f t="shared" ref="CH1759:CH1762" si="8092">I1759+P1759+W1759+AD1759+AK1759+AR1759+AY1759+BF1759+BM1759+BT1759+CA1759</f>
        <v>0</v>
      </c>
      <c r="CI1759" s="27">
        <f t="shared" ref="CI1759:CI1762" si="8093">J1759+Q1759+X1759+AE1759+AL1759+AS1759+AZ1759+BG1759+BN1759+BU1759+CB1759</f>
        <v>0</v>
      </c>
      <c r="CJ1759" s="4">
        <f>SUM(CE1759:CI1759)</f>
        <v>0</v>
      </c>
      <c r="CL1759" s="2"/>
      <c r="CM1759" s="3"/>
      <c r="CN1759" s="3"/>
      <c r="CO1759" s="3"/>
      <c r="CP1759" s="3"/>
      <c r="CQ1759" s="4">
        <f>SUM(CL1759:CP1759)</f>
        <v>0</v>
      </c>
      <c r="CS1759" s="2"/>
      <c r="CT1759" s="3"/>
      <c r="CU1759" s="3"/>
      <c r="CV1759" s="3"/>
      <c r="CW1759" s="3"/>
      <c r="CX1759" s="4">
        <f>SUM(CS1759:CW1759)</f>
        <v>0</v>
      </c>
      <c r="CZ1759" s="2"/>
      <c r="DA1759" s="3"/>
      <c r="DB1759" s="3"/>
      <c r="DC1759" s="3"/>
      <c r="DD1759" s="3"/>
      <c r="DE1759" s="4">
        <f>SUM(CZ1759:DD1759)</f>
        <v>0</v>
      </c>
    </row>
    <row r="1760" spans="3:109">
      <c r="C1760" s="567"/>
      <c r="E1760" s="5" t="s">
        <v>60</v>
      </c>
      <c r="F1760" s="23">
        <f t="shared" ref="F1760:F1762" si="8094">CE1754</f>
        <v>0</v>
      </c>
      <c r="G1760" s="24">
        <f t="shared" si="8085"/>
        <v>0</v>
      </c>
      <c r="H1760" s="24">
        <f t="shared" si="8086"/>
        <v>0</v>
      </c>
      <c r="I1760" s="24">
        <f t="shared" si="8087"/>
        <v>0</v>
      </c>
      <c r="J1760" s="24">
        <f t="shared" si="8088"/>
        <v>0</v>
      </c>
      <c r="K1760" s="8">
        <f t="shared" ref="K1760:K1762" si="8095">SUM(F1760:J1760)</f>
        <v>0</v>
      </c>
      <c r="M1760" s="6"/>
      <c r="N1760" s="7"/>
      <c r="O1760" s="7"/>
      <c r="P1760" s="7"/>
      <c r="Q1760" s="7"/>
      <c r="R1760" s="8">
        <f t="shared" ref="R1760:R1762" si="8096">SUM(M1760:Q1760)</f>
        <v>0</v>
      </c>
      <c r="T1760" s="6"/>
      <c r="U1760" s="7"/>
      <c r="V1760" s="7"/>
      <c r="W1760" s="7"/>
      <c r="X1760" s="7"/>
      <c r="Y1760" s="8">
        <f t="shared" ref="Y1760:Y1762" si="8097">SUM(T1760:X1760)</f>
        <v>0</v>
      </c>
      <c r="AA1760" s="6"/>
      <c r="AB1760" s="7"/>
      <c r="AC1760" s="7"/>
      <c r="AD1760" s="7"/>
      <c r="AE1760" s="7"/>
      <c r="AF1760" s="8">
        <f>SUM(AA1760:AE1760)</f>
        <v>0</v>
      </c>
      <c r="AH1760" s="6"/>
      <c r="AI1760" s="7"/>
      <c r="AJ1760" s="7"/>
      <c r="AK1760" s="7"/>
      <c r="AL1760" s="7"/>
      <c r="AM1760" s="8">
        <f>SUM(AH1760:AL1760)</f>
        <v>0</v>
      </c>
      <c r="AO1760" s="6"/>
      <c r="AP1760" s="7"/>
      <c r="AQ1760" s="7"/>
      <c r="AR1760" s="7"/>
      <c r="AS1760" s="7"/>
      <c r="AT1760" s="8">
        <f>SUM(AO1760:AS1760)</f>
        <v>0</v>
      </c>
      <c r="AV1760" s="6"/>
      <c r="AW1760" s="7"/>
      <c r="AX1760" s="7"/>
      <c r="AY1760" s="7"/>
      <c r="AZ1760" s="7"/>
      <c r="BA1760" s="8">
        <f>SUM(AV1760:AZ1760)</f>
        <v>0</v>
      </c>
      <c r="BC1760" s="6"/>
      <c r="BD1760" s="7"/>
      <c r="BE1760" s="7"/>
      <c r="BF1760" s="7"/>
      <c r="BG1760" s="7"/>
      <c r="BH1760" s="8">
        <f>SUM(BC1760:BG1760)</f>
        <v>0</v>
      </c>
      <c r="BJ1760" s="6"/>
      <c r="BK1760" s="7"/>
      <c r="BL1760" s="7"/>
      <c r="BM1760" s="7"/>
      <c r="BN1760" s="7"/>
      <c r="BO1760" s="8">
        <f>SUM(BJ1760:BN1760)</f>
        <v>0</v>
      </c>
      <c r="BQ1760" s="6"/>
      <c r="BR1760" s="7"/>
      <c r="BS1760" s="7"/>
      <c r="BT1760" s="7"/>
      <c r="BU1760" s="7"/>
      <c r="BV1760" s="8">
        <f>SUM(BQ1760:BU1760)</f>
        <v>0</v>
      </c>
      <c r="BX1760" s="6"/>
      <c r="BY1760" s="7"/>
      <c r="BZ1760" s="7"/>
      <c r="CA1760" s="7"/>
      <c r="CB1760" s="7"/>
      <c r="CC1760" s="8">
        <f>SUM(BX1760:CB1760)</f>
        <v>0</v>
      </c>
      <c r="CE1760" s="28">
        <f t="shared" si="8089"/>
        <v>0</v>
      </c>
      <c r="CF1760" s="29">
        <f t="shared" si="8090"/>
        <v>0</v>
      </c>
      <c r="CG1760" s="29">
        <f t="shared" si="8091"/>
        <v>0</v>
      </c>
      <c r="CH1760" s="29">
        <f t="shared" si="8092"/>
        <v>0</v>
      </c>
      <c r="CI1760" s="29">
        <f t="shared" si="8093"/>
        <v>0</v>
      </c>
      <c r="CJ1760" s="8">
        <f>SUM(CE1760:CI1760)</f>
        <v>0</v>
      </c>
      <c r="CL1760" s="6"/>
      <c r="CM1760" s="7"/>
      <c r="CN1760" s="7"/>
      <c r="CO1760" s="7"/>
      <c r="CP1760" s="7"/>
      <c r="CQ1760" s="8">
        <f>SUM(CL1760:CP1760)</f>
        <v>0</v>
      </c>
      <c r="CS1760" s="6"/>
      <c r="CT1760" s="7"/>
      <c r="CU1760" s="7"/>
      <c r="CV1760" s="7"/>
      <c r="CW1760" s="7"/>
      <c r="CX1760" s="8">
        <f t="shared" ref="CX1760:CX1762" si="8098">SUM(CS1760:CW1760)</f>
        <v>0</v>
      </c>
      <c r="CZ1760" s="6"/>
      <c r="DA1760" s="7"/>
      <c r="DB1760" s="7"/>
      <c r="DC1760" s="7"/>
      <c r="DD1760" s="7"/>
      <c r="DE1760" s="8">
        <f t="shared" ref="DE1760:DE1762" si="8099">SUM(CZ1760:DD1760)</f>
        <v>0</v>
      </c>
    </row>
    <row r="1761" spans="2:109">
      <c r="C1761" s="567"/>
      <c r="E1761" s="5" t="s">
        <v>61</v>
      </c>
      <c r="F1761" s="23">
        <f t="shared" si="8094"/>
        <v>0</v>
      </c>
      <c r="G1761" s="24">
        <f t="shared" si="8085"/>
        <v>0</v>
      </c>
      <c r="H1761" s="24">
        <f t="shared" si="8086"/>
        <v>0</v>
      </c>
      <c r="I1761" s="24">
        <f t="shared" si="8087"/>
        <v>0</v>
      </c>
      <c r="J1761" s="24">
        <f t="shared" si="8088"/>
        <v>0</v>
      </c>
      <c r="K1761" s="8">
        <f t="shared" si="8095"/>
        <v>0</v>
      </c>
      <c r="M1761" s="6"/>
      <c r="N1761" s="7"/>
      <c r="O1761" s="7"/>
      <c r="P1761" s="7"/>
      <c r="Q1761" s="7"/>
      <c r="R1761" s="8">
        <f t="shared" si="8096"/>
        <v>0</v>
      </c>
      <c r="T1761" s="6"/>
      <c r="U1761" s="7"/>
      <c r="V1761" s="7"/>
      <c r="W1761" s="7"/>
      <c r="X1761" s="7"/>
      <c r="Y1761" s="8">
        <f t="shared" si="8097"/>
        <v>0</v>
      </c>
      <c r="AA1761" s="6"/>
      <c r="AB1761" s="7"/>
      <c r="AC1761" s="7"/>
      <c r="AD1761" s="7"/>
      <c r="AE1761" s="7"/>
      <c r="AF1761" s="8">
        <f>SUM(AA1761:AE1761)</f>
        <v>0</v>
      </c>
      <c r="AH1761" s="6"/>
      <c r="AI1761" s="7"/>
      <c r="AJ1761" s="7"/>
      <c r="AK1761" s="7"/>
      <c r="AL1761" s="7"/>
      <c r="AM1761" s="8">
        <f>SUM(AH1761:AL1761)</f>
        <v>0</v>
      </c>
      <c r="AO1761" s="6"/>
      <c r="AP1761" s="7"/>
      <c r="AQ1761" s="7"/>
      <c r="AR1761" s="7"/>
      <c r="AS1761" s="7"/>
      <c r="AT1761" s="8">
        <f>SUM(AO1761:AS1761)</f>
        <v>0</v>
      </c>
      <c r="AV1761" s="6"/>
      <c r="AW1761" s="7"/>
      <c r="AX1761" s="7"/>
      <c r="AY1761" s="7"/>
      <c r="AZ1761" s="7"/>
      <c r="BA1761" s="8">
        <f>SUM(AV1761:AZ1761)</f>
        <v>0</v>
      </c>
      <c r="BC1761" s="6"/>
      <c r="BD1761" s="7"/>
      <c r="BE1761" s="7"/>
      <c r="BF1761" s="7"/>
      <c r="BG1761" s="7"/>
      <c r="BH1761" s="8">
        <f>SUM(BC1761:BG1761)</f>
        <v>0</v>
      </c>
      <c r="BJ1761" s="6"/>
      <c r="BK1761" s="7"/>
      <c r="BL1761" s="7"/>
      <c r="BM1761" s="7"/>
      <c r="BN1761" s="7"/>
      <c r="BO1761" s="8">
        <f>SUM(BJ1761:BN1761)</f>
        <v>0</v>
      </c>
      <c r="BQ1761" s="6"/>
      <c r="BR1761" s="7"/>
      <c r="BS1761" s="7"/>
      <c r="BT1761" s="7"/>
      <c r="BU1761" s="7"/>
      <c r="BV1761" s="8">
        <f>SUM(BQ1761:BU1761)</f>
        <v>0</v>
      </c>
      <c r="BX1761" s="6"/>
      <c r="BY1761" s="7"/>
      <c r="BZ1761" s="7"/>
      <c r="CA1761" s="7"/>
      <c r="CB1761" s="7"/>
      <c r="CC1761" s="8">
        <f>SUM(BX1761:CB1761)</f>
        <v>0</v>
      </c>
      <c r="CE1761" s="28">
        <f t="shared" si="8089"/>
        <v>0</v>
      </c>
      <c r="CF1761" s="29">
        <f t="shared" si="8090"/>
        <v>0</v>
      </c>
      <c r="CG1761" s="29">
        <f t="shared" si="8091"/>
        <v>0</v>
      </c>
      <c r="CH1761" s="29">
        <f t="shared" si="8092"/>
        <v>0</v>
      </c>
      <c r="CI1761" s="29">
        <f t="shared" si="8093"/>
        <v>0</v>
      </c>
      <c r="CJ1761" s="8">
        <f>SUM(CE1761:CI1761)</f>
        <v>0</v>
      </c>
      <c r="CL1761" s="6"/>
      <c r="CM1761" s="7"/>
      <c r="CN1761" s="7"/>
      <c r="CO1761" s="7"/>
      <c r="CP1761" s="7"/>
      <c r="CQ1761" s="8">
        <f>SUM(CL1761:CP1761)</f>
        <v>0</v>
      </c>
      <c r="CS1761" s="6"/>
      <c r="CT1761" s="7"/>
      <c r="CU1761" s="7"/>
      <c r="CV1761" s="7"/>
      <c r="CW1761" s="7"/>
      <c r="CX1761" s="8">
        <f t="shared" si="8098"/>
        <v>0</v>
      </c>
      <c r="CZ1761" s="6"/>
      <c r="DA1761" s="7"/>
      <c r="DB1761" s="7"/>
      <c r="DC1761" s="7"/>
      <c r="DD1761" s="7"/>
      <c r="DE1761" s="8">
        <f t="shared" si="8099"/>
        <v>0</v>
      </c>
    </row>
    <row r="1762" spans="2:109" ht="14" thickBot="1">
      <c r="C1762" s="567"/>
      <c r="E1762" s="5" t="s">
        <v>62</v>
      </c>
      <c r="F1762" s="23">
        <f t="shared" si="8094"/>
        <v>0</v>
      </c>
      <c r="G1762" s="24">
        <f t="shared" si="8085"/>
        <v>0</v>
      </c>
      <c r="H1762" s="24">
        <f t="shared" si="8086"/>
        <v>0</v>
      </c>
      <c r="I1762" s="24">
        <f t="shared" si="8087"/>
        <v>0</v>
      </c>
      <c r="J1762" s="24">
        <f t="shared" si="8088"/>
        <v>0</v>
      </c>
      <c r="K1762" s="8">
        <f t="shared" si="8095"/>
        <v>0</v>
      </c>
      <c r="M1762" s="6"/>
      <c r="N1762" s="7"/>
      <c r="O1762" s="7"/>
      <c r="P1762" s="7"/>
      <c r="Q1762" s="7"/>
      <c r="R1762" s="8">
        <f t="shared" si="8096"/>
        <v>0</v>
      </c>
      <c r="T1762" s="6"/>
      <c r="U1762" s="7"/>
      <c r="V1762" s="7"/>
      <c r="W1762" s="7"/>
      <c r="X1762" s="7"/>
      <c r="Y1762" s="8">
        <f t="shared" si="8097"/>
        <v>0</v>
      </c>
      <c r="AA1762" s="6"/>
      <c r="AB1762" s="7"/>
      <c r="AC1762" s="7"/>
      <c r="AD1762" s="7"/>
      <c r="AE1762" s="7"/>
      <c r="AF1762" s="8">
        <f>SUM(AA1762:AE1762)</f>
        <v>0</v>
      </c>
      <c r="AH1762" s="6"/>
      <c r="AI1762" s="7"/>
      <c r="AJ1762" s="7"/>
      <c r="AK1762" s="7"/>
      <c r="AL1762" s="7"/>
      <c r="AM1762" s="8">
        <f>SUM(AH1762:AL1762)</f>
        <v>0</v>
      </c>
      <c r="AO1762" s="6"/>
      <c r="AP1762" s="7"/>
      <c r="AQ1762" s="7"/>
      <c r="AR1762" s="7"/>
      <c r="AS1762" s="7"/>
      <c r="AT1762" s="8">
        <f>SUM(AO1762:AS1762)</f>
        <v>0</v>
      </c>
      <c r="AV1762" s="6"/>
      <c r="AW1762" s="7"/>
      <c r="AX1762" s="7"/>
      <c r="AY1762" s="7"/>
      <c r="AZ1762" s="7"/>
      <c r="BA1762" s="8">
        <f>SUM(AV1762:AZ1762)</f>
        <v>0</v>
      </c>
      <c r="BC1762" s="6"/>
      <c r="BD1762" s="7"/>
      <c r="BE1762" s="7"/>
      <c r="BF1762" s="7"/>
      <c r="BG1762" s="7"/>
      <c r="BH1762" s="8">
        <f>SUM(BC1762:BG1762)</f>
        <v>0</v>
      </c>
      <c r="BJ1762" s="6"/>
      <c r="BK1762" s="7"/>
      <c r="BL1762" s="7"/>
      <c r="BM1762" s="7"/>
      <c r="BN1762" s="7"/>
      <c r="BO1762" s="8">
        <f>SUM(BJ1762:BN1762)</f>
        <v>0</v>
      </c>
      <c r="BQ1762" s="6"/>
      <c r="BR1762" s="7"/>
      <c r="BS1762" s="7"/>
      <c r="BT1762" s="7"/>
      <c r="BU1762" s="7"/>
      <c r="BV1762" s="8">
        <f>SUM(BQ1762:BU1762)</f>
        <v>0</v>
      </c>
      <c r="BX1762" s="6"/>
      <c r="BY1762" s="7"/>
      <c r="BZ1762" s="7"/>
      <c r="CA1762" s="7"/>
      <c r="CB1762" s="7"/>
      <c r="CC1762" s="8">
        <f>SUM(BX1762:CB1762)</f>
        <v>0</v>
      </c>
      <c r="CE1762" s="493">
        <f t="shared" si="8089"/>
        <v>0</v>
      </c>
      <c r="CF1762" s="494">
        <f t="shared" si="8090"/>
        <v>0</v>
      </c>
      <c r="CG1762" s="494">
        <f t="shared" si="8091"/>
        <v>0</v>
      </c>
      <c r="CH1762" s="494">
        <f t="shared" si="8092"/>
        <v>0</v>
      </c>
      <c r="CI1762" s="494">
        <f t="shared" si="8093"/>
        <v>0</v>
      </c>
      <c r="CJ1762" s="495">
        <f>SUM(CE1762:CI1762)</f>
        <v>0</v>
      </c>
      <c r="CL1762" s="6"/>
      <c r="CM1762" s="7"/>
      <c r="CN1762" s="7"/>
      <c r="CO1762" s="7"/>
      <c r="CP1762" s="7"/>
      <c r="CQ1762" s="8">
        <f>SUM(CL1762:CP1762)</f>
        <v>0</v>
      </c>
      <c r="CS1762" s="6"/>
      <c r="CT1762" s="7"/>
      <c r="CU1762" s="7"/>
      <c r="CV1762" s="7"/>
      <c r="CW1762" s="7"/>
      <c r="CX1762" s="8">
        <f t="shared" si="8098"/>
        <v>0</v>
      </c>
      <c r="CZ1762" s="6"/>
      <c r="DA1762" s="7"/>
      <c r="DB1762" s="7"/>
      <c r="DC1762" s="7"/>
      <c r="DD1762" s="7"/>
      <c r="DE1762" s="8">
        <f t="shared" si="8099"/>
        <v>0</v>
      </c>
    </row>
    <row r="1763" spans="2:109" ht="14" thickBot="1">
      <c r="C1763" s="554"/>
      <c r="E1763" s="9"/>
      <c r="F1763" s="10">
        <f>SUM(F1759:F1762)</f>
        <v>0</v>
      </c>
      <c r="G1763" s="11">
        <f t="shared" ref="G1763:J1763" si="8100">SUM(G1759:G1762)</f>
        <v>0</v>
      </c>
      <c r="H1763" s="11">
        <f t="shared" si="8100"/>
        <v>0</v>
      </c>
      <c r="I1763" s="11">
        <f t="shared" si="8100"/>
        <v>0</v>
      </c>
      <c r="J1763" s="11">
        <f t="shared" si="8100"/>
        <v>0</v>
      </c>
      <c r="K1763" s="25">
        <f>SUM(K1759:K1762)</f>
        <v>0</v>
      </c>
      <c r="M1763" s="10">
        <f>SUM(M1759:M1762)</f>
        <v>0</v>
      </c>
      <c r="N1763" s="11">
        <f t="shared" ref="N1763:Q1763" si="8101">SUM(N1759:N1762)</f>
        <v>0</v>
      </c>
      <c r="O1763" s="11">
        <f t="shared" si="8101"/>
        <v>0</v>
      </c>
      <c r="P1763" s="11">
        <f t="shared" si="8101"/>
        <v>0</v>
      </c>
      <c r="Q1763" s="11">
        <f t="shared" si="8101"/>
        <v>0</v>
      </c>
      <c r="R1763" s="25">
        <f>SUM(R1759:R1762)</f>
        <v>0</v>
      </c>
      <c r="T1763" s="10">
        <f>SUM(T1759:T1762)</f>
        <v>0</v>
      </c>
      <c r="U1763" s="11">
        <f t="shared" ref="U1763:X1763" si="8102">SUM(U1759:U1762)</f>
        <v>0</v>
      </c>
      <c r="V1763" s="11">
        <f t="shared" si="8102"/>
        <v>0</v>
      </c>
      <c r="W1763" s="11">
        <f t="shared" si="8102"/>
        <v>0</v>
      </c>
      <c r="X1763" s="11">
        <f t="shared" si="8102"/>
        <v>0</v>
      </c>
      <c r="Y1763" s="25">
        <f>SUM(Y1759:Y1762)</f>
        <v>0</v>
      </c>
      <c r="AA1763" s="10">
        <f>SUM(AA1759:AA1762)</f>
        <v>0</v>
      </c>
      <c r="AB1763" s="11">
        <f t="shared" ref="AB1763:AE1763" si="8103">SUM(AB1759:AB1762)</f>
        <v>0</v>
      </c>
      <c r="AC1763" s="11">
        <f t="shared" si="8103"/>
        <v>0</v>
      </c>
      <c r="AD1763" s="11">
        <f t="shared" si="8103"/>
        <v>0</v>
      </c>
      <c r="AE1763" s="11">
        <f t="shared" si="8103"/>
        <v>0</v>
      </c>
      <c r="AF1763" s="25">
        <f>SUM(AF1759:AF1762)</f>
        <v>0</v>
      </c>
      <c r="AH1763" s="10">
        <f>SUM(AH1759:AH1762)</f>
        <v>0</v>
      </c>
      <c r="AI1763" s="11">
        <f t="shared" ref="AI1763:AL1763" si="8104">SUM(AI1759:AI1762)</f>
        <v>0</v>
      </c>
      <c r="AJ1763" s="11">
        <f t="shared" si="8104"/>
        <v>0</v>
      </c>
      <c r="AK1763" s="11">
        <f t="shared" si="8104"/>
        <v>0</v>
      </c>
      <c r="AL1763" s="11">
        <f t="shared" si="8104"/>
        <v>0</v>
      </c>
      <c r="AM1763" s="25">
        <f>SUM(AM1759:AM1762)</f>
        <v>0</v>
      </c>
      <c r="AO1763" s="10">
        <f>SUM(AO1759:AO1762)</f>
        <v>0</v>
      </c>
      <c r="AP1763" s="11">
        <f t="shared" ref="AP1763:AS1763" si="8105">SUM(AP1759:AP1762)</f>
        <v>0</v>
      </c>
      <c r="AQ1763" s="11">
        <f t="shared" si="8105"/>
        <v>0</v>
      </c>
      <c r="AR1763" s="11">
        <f t="shared" si="8105"/>
        <v>0</v>
      </c>
      <c r="AS1763" s="11">
        <f t="shared" si="8105"/>
        <v>0</v>
      </c>
      <c r="AT1763" s="25">
        <f>SUM(AT1759:AT1762)</f>
        <v>0</v>
      </c>
      <c r="AV1763" s="10">
        <f>SUM(AV1759:AV1762)</f>
        <v>0</v>
      </c>
      <c r="AW1763" s="11">
        <f t="shared" ref="AW1763:AZ1763" si="8106">SUM(AW1759:AW1762)</f>
        <v>0</v>
      </c>
      <c r="AX1763" s="11">
        <f t="shared" si="8106"/>
        <v>0</v>
      </c>
      <c r="AY1763" s="11">
        <f t="shared" si="8106"/>
        <v>0</v>
      </c>
      <c r="AZ1763" s="11">
        <f t="shared" si="8106"/>
        <v>0</v>
      </c>
      <c r="BA1763" s="25">
        <f>SUM(BA1759:BA1762)</f>
        <v>0</v>
      </c>
      <c r="BC1763" s="10">
        <f>SUM(BC1759:BC1762)</f>
        <v>0</v>
      </c>
      <c r="BD1763" s="11">
        <f t="shared" ref="BD1763:BG1763" si="8107">SUM(BD1759:BD1762)</f>
        <v>0</v>
      </c>
      <c r="BE1763" s="11">
        <f t="shared" si="8107"/>
        <v>0</v>
      </c>
      <c r="BF1763" s="11">
        <f t="shared" si="8107"/>
        <v>0</v>
      </c>
      <c r="BG1763" s="11">
        <f t="shared" si="8107"/>
        <v>0</v>
      </c>
      <c r="BH1763" s="25">
        <f>SUM(BH1759:BH1762)</f>
        <v>0</v>
      </c>
      <c r="BJ1763" s="10">
        <f>SUM(BJ1759:BJ1762)</f>
        <v>0</v>
      </c>
      <c r="BK1763" s="11">
        <f t="shared" ref="BK1763:BN1763" si="8108">SUM(BK1759:BK1762)</f>
        <v>0</v>
      </c>
      <c r="BL1763" s="11">
        <f t="shared" si="8108"/>
        <v>0</v>
      </c>
      <c r="BM1763" s="11">
        <f t="shared" si="8108"/>
        <v>0</v>
      </c>
      <c r="BN1763" s="11">
        <f t="shared" si="8108"/>
        <v>0</v>
      </c>
      <c r="BO1763" s="25">
        <f>SUM(BO1759:BO1762)</f>
        <v>0</v>
      </c>
      <c r="BQ1763" s="10">
        <f>SUM(BQ1759:BQ1762)</f>
        <v>0</v>
      </c>
      <c r="BR1763" s="11">
        <f t="shared" ref="BR1763:BU1763" si="8109">SUM(BR1759:BR1762)</f>
        <v>0</v>
      </c>
      <c r="BS1763" s="11">
        <f t="shared" si="8109"/>
        <v>0</v>
      </c>
      <c r="BT1763" s="11">
        <f t="shared" si="8109"/>
        <v>0</v>
      </c>
      <c r="BU1763" s="11">
        <f t="shared" si="8109"/>
        <v>0</v>
      </c>
      <c r="BV1763" s="25">
        <f>SUM(BV1759:BV1762)</f>
        <v>0</v>
      </c>
      <c r="BX1763" s="10">
        <f>SUM(BX1759:BX1762)</f>
        <v>0</v>
      </c>
      <c r="BY1763" s="11">
        <f t="shared" ref="BY1763:CB1763" si="8110">SUM(BY1759:BY1762)</f>
        <v>0</v>
      </c>
      <c r="BZ1763" s="11">
        <f t="shared" si="8110"/>
        <v>0</v>
      </c>
      <c r="CA1763" s="11">
        <f t="shared" si="8110"/>
        <v>0</v>
      </c>
      <c r="CB1763" s="11">
        <f t="shared" si="8110"/>
        <v>0</v>
      </c>
      <c r="CC1763" s="25">
        <f>SUM(CC1759:CC1762)</f>
        <v>0</v>
      </c>
      <c r="CE1763" s="62">
        <f t="shared" ref="CE1763:CJ1763" si="8111">SUM(CE1759:CE1762)</f>
        <v>0</v>
      </c>
      <c r="CF1763" s="63">
        <f t="shared" si="8111"/>
        <v>0</v>
      </c>
      <c r="CG1763" s="63">
        <f t="shared" si="8111"/>
        <v>0</v>
      </c>
      <c r="CH1763" s="63">
        <f t="shared" si="8111"/>
        <v>0</v>
      </c>
      <c r="CI1763" s="63">
        <f t="shared" si="8111"/>
        <v>0</v>
      </c>
      <c r="CJ1763" s="25">
        <f t="shared" si="8111"/>
        <v>0</v>
      </c>
      <c r="CL1763" s="10">
        <f>SUM(CL1759:CL1762)</f>
        <v>0</v>
      </c>
      <c r="CM1763" s="11">
        <f t="shared" ref="CM1763:CP1763" si="8112">SUM(CM1759:CM1762)</f>
        <v>0</v>
      </c>
      <c r="CN1763" s="11">
        <f t="shared" si="8112"/>
        <v>0</v>
      </c>
      <c r="CO1763" s="11">
        <f t="shared" si="8112"/>
        <v>0</v>
      </c>
      <c r="CP1763" s="11">
        <f t="shared" si="8112"/>
        <v>0</v>
      </c>
      <c r="CQ1763" s="25">
        <f>SUM(CQ1759:CQ1762)</f>
        <v>0</v>
      </c>
      <c r="CS1763" s="10">
        <f>SUM(CS1759:CS1762)</f>
        <v>0</v>
      </c>
      <c r="CT1763" s="11">
        <f t="shared" ref="CT1763:CW1763" si="8113">SUM(CT1759:CT1762)</f>
        <v>0</v>
      </c>
      <c r="CU1763" s="11">
        <f t="shared" si="8113"/>
        <v>0</v>
      </c>
      <c r="CV1763" s="11">
        <f t="shared" si="8113"/>
        <v>0</v>
      </c>
      <c r="CW1763" s="11">
        <f t="shared" si="8113"/>
        <v>0</v>
      </c>
      <c r="CX1763" s="25">
        <f>SUM(CX1759:CX1762)</f>
        <v>0</v>
      </c>
      <c r="CZ1763" s="10">
        <f>SUM(CZ1759:CZ1762)</f>
        <v>0</v>
      </c>
      <c r="DA1763" s="11">
        <f t="shared" ref="DA1763:DD1763" si="8114">SUM(DA1759:DA1762)</f>
        <v>0</v>
      </c>
      <c r="DB1763" s="11">
        <f t="shared" si="8114"/>
        <v>0</v>
      </c>
      <c r="DC1763" s="11">
        <f t="shared" si="8114"/>
        <v>0</v>
      </c>
      <c r="DD1763" s="11">
        <f t="shared" si="8114"/>
        <v>0</v>
      </c>
      <c r="DE1763" s="25">
        <f>SUM(DE1759:DE1762)</f>
        <v>0</v>
      </c>
    </row>
    <row r="1765" spans="2:109">
      <c r="B1765" s="123"/>
      <c r="C1765" s="20"/>
      <c r="D1765" s="20"/>
      <c r="E1765" s="20"/>
      <c r="F1765" s="20"/>
      <c r="G1765" s="20"/>
      <c r="H1765" s="20"/>
      <c r="I1765" s="20"/>
      <c r="J1765" s="20"/>
      <c r="K1765" s="20"/>
      <c r="L1765" s="20"/>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c r="BU1765" s="20"/>
      <c r="BV1765" s="20"/>
      <c r="BW1765" s="20"/>
      <c r="BX1765" s="20"/>
      <c r="BY1765" s="20"/>
      <c r="BZ1765" s="20"/>
      <c r="CA1765" s="20"/>
      <c r="CB1765" s="20"/>
      <c r="CC1765" s="20"/>
      <c r="CD1765" s="20"/>
      <c r="CE1765" s="20"/>
      <c r="CF1765" s="20"/>
      <c r="CG1765" s="20"/>
      <c r="CH1765" s="20"/>
      <c r="CI1765" s="20"/>
      <c r="CJ1765" s="20"/>
      <c r="CL1765" s="20"/>
      <c r="CM1765" s="20"/>
      <c r="CN1765" s="20"/>
      <c r="CO1765" s="20"/>
      <c r="CP1765" s="20"/>
      <c r="CQ1765" s="20"/>
      <c r="CR1765" s="20"/>
      <c r="CS1765" s="20"/>
      <c r="CT1765" s="20"/>
      <c r="CU1765" s="20"/>
      <c r="CV1765" s="20"/>
      <c r="CW1765" s="20"/>
      <c r="CX1765" s="20"/>
      <c r="CY1765" s="20"/>
      <c r="CZ1765" s="20"/>
      <c r="DA1765" s="20"/>
      <c r="DB1765" s="20"/>
      <c r="DC1765" s="20"/>
      <c r="DD1765" s="20"/>
      <c r="DE1765" s="20"/>
    </row>
    <row r="1766" spans="2:109" ht="14" thickBot="1">
      <c r="B1766" s="94">
        <v>56</v>
      </c>
      <c r="C1766" s="12" t="s">
        <v>117</v>
      </c>
    </row>
    <row r="1767" spans="2:109">
      <c r="C1767" s="553">
        <v>2024</v>
      </c>
      <c r="E1767" s="1" t="s">
        <v>59</v>
      </c>
      <c r="F1767" s="2"/>
      <c r="G1767" s="3"/>
      <c r="H1767" s="3"/>
      <c r="I1767" s="3"/>
      <c r="J1767" s="3"/>
      <c r="K1767" s="4">
        <f>SUM(F1767:J1767)</f>
        <v>0</v>
      </c>
      <c r="M1767" s="2"/>
      <c r="N1767" s="3"/>
      <c r="O1767" s="3"/>
      <c r="P1767" s="3"/>
      <c r="Q1767" s="3"/>
      <c r="R1767" s="4">
        <f>SUM(M1767:Q1767)</f>
        <v>0</v>
      </c>
      <c r="T1767" s="2"/>
      <c r="U1767" s="3"/>
      <c r="V1767" s="3"/>
      <c r="W1767" s="3"/>
      <c r="X1767" s="3"/>
      <c r="Y1767" s="4">
        <f>SUM(T1767:X1767)</f>
        <v>0</v>
      </c>
      <c r="AA1767" s="2"/>
      <c r="AB1767" s="3"/>
      <c r="AC1767" s="3"/>
      <c r="AD1767" s="3"/>
      <c r="AE1767" s="3"/>
      <c r="AF1767" s="4">
        <f>SUM(AA1767:AE1767)</f>
        <v>0</v>
      </c>
      <c r="AH1767" s="2"/>
      <c r="AI1767" s="3"/>
      <c r="AJ1767" s="3"/>
      <c r="AK1767" s="3"/>
      <c r="AL1767" s="3"/>
      <c r="AM1767" s="4">
        <f>SUM(AH1767:AL1767)</f>
        <v>0</v>
      </c>
      <c r="AO1767" s="2"/>
      <c r="AP1767" s="3"/>
      <c r="AQ1767" s="3"/>
      <c r="AR1767" s="3"/>
      <c r="AS1767" s="3"/>
      <c r="AT1767" s="4">
        <f>SUM(AO1767:AS1767)</f>
        <v>0</v>
      </c>
      <c r="AV1767" s="2"/>
      <c r="AW1767" s="3"/>
      <c r="AX1767" s="3"/>
      <c r="AY1767" s="3"/>
      <c r="AZ1767" s="3"/>
      <c r="BA1767" s="4">
        <f>SUM(AV1767:AZ1767)</f>
        <v>0</v>
      </c>
      <c r="BC1767" s="2"/>
      <c r="BD1767" s="3"/>
      <c r="BE1767" s="3"/>
      <c r="BF1767" s="3"/>
      <c r="BG1767" s="3"/>
      <c r="BH1767" s="4">
        <f>SUM(BC1767:BG1767)</f>
        <v>0</v>
      </c>
      <c r="BJ1767" s="2"/>
      <c r="BK1767" s="3"/>
      <c r="BL1767" s="3"/>
      <c r="BM1767" s="3"/>
      <c r="BN1767" s="3"/>
      <c r="BO1767" s="4">
        <f>SUM(BJ1767:BN1767)</f>
        <v>0</v>
      </c>
      <c r="BQ1767" s="2"/>
      <c r="BR1767" s="3"/>
      <c r="BS1767" s="3"/>
      <c r="BT1767" s="3"/>
      <c r="BU1767" s="3"/>
      <c r="BV1767" s="4">
        <f>SUM(BQ1767:BU1767)</f>
        <v>0</v>
      </c>
      <c r="BX1767" s="2"/>
      <c r="BY1767" s="3"/>
      <c r="BZ1767" s="3"/>
      <c r="CA1767" s="3"/>
      <c r="CB1767" s="3"/>
      <c r="CC1767" s="4">
        <f>SUM(BX1767:CB1767)</f>
        <v>0</v>
      </c>
      <c r="CE1767" s="26">
        <f t="shared" ref="CE1767:CE1770" si="8115">F1767+M1767+T1767+AA1767+AH1767+AO1767+AV1767+BC1767+BJ1767+BQ1767+BX1767</f>
        <v>0</v>
      </c>
      <c r="CF1767" s="27">
        <f t="shared" ref="CF1767:CF1770" si="8116">G1767+N1767+U1767+AB1767+AI1767+AP1767+AW1767+BD1767+BK1767+BR1767+BY1767</f>
        <v>0</v>
      </c>
      <c r="CG1767" s="27">
        <f t="shared" ref="CG1767:CG1770" si="8117">H1767+O1767+V1767+AC1767+AJ1767+AQ1767+AX1767+BE1767+BL1767+BS1767+BZ1767</f>
        <v>0</v>
      </c>
      <c r="CH1767" s="27">
        <f t="shared" ref="CH1767:CH1770" si="8118">I1767+P1767+W1767+AD1767+AK1767+AR1767+AY1767+BF1767+BM1767+BT1767+CA1767</f>
        <v>0</v>
      </c>
      <c r="CI1767" s="27">
        <f t="shared" ref="CI1767:CI1770" si="8119">J1767+Q1767+X1767+AE1767+AL1767+AS1767+AZ1767+BG1767+BN1767+BU1767+CB1767</f>
        <v>0</v>
      </c>
      <c r="CJ1767" s="4">
        <f>SUM(CE1767:CI1767)</f>
        <v>0</v>
      </c>
      <c r="CL1767" s="2"/>
      <c r="CM1767" s="3"/>
      <c r="CN1767" s="3"/>
      <c r="CO1767" s="3"/>
      <c r="CP1767" s="3"/>
      <c r="CQ1767" s="4">
        <f>SUM(CL1767:CP1767)</f>
        <v>0</v>
      </c>
      <c r="CS1767" s="2"/>
      <c r="CT1767" s="3"/>
      <c r="CU1767" s="3"/>
      <c r="CV1767" s="3"/>
      <c r="CW1767" s="3"/>
      <c r="CX1767" s="4">
        <f>SUM(CS1767:CW1767)</f>
        <v>0</v>
      </c>
      <c r="CZ1767" s="2"/>
      <c r="DA1767" s="3"/>
      <c r="DB1767" s="3"/>
      <c r="DC1767" s="3"/>
      <c r="DD1767" s="3"/>
      <c r="DE1767" s="4">
        <f>SUM(CZ1767:DD1767)</f>
        <v>0</v>
      </c>
    </row>
    <row r="1768" spans="2:109">
      <c r="C1768" s="567"/>
      <c r="E1768" s="5" t="s">
        <v>60</v>
      </c>
      <c r="F1768" s="6"/>
      <c r="G1768" s="7"/>
      <c r="H1768" s="7"/>
      <c r="I1768" s="7"/>
      <c r="J1768" s="7"/>
      <c r="K1768" s="8">
        <f t="shared" ref="K1768:K1770" si="8120">SUM(F1768:J1768)</f>
        <v>0</v>
      </c>
      <c r="M1768" s="6"/>
      <c r="N1768" s="7"/>
      <c r="O1768" s="7"/>
      <c r="P1768" s="7"/>
      <c r="Q1768" s="7"/>
      <c r="R1768" s="8">
        <f t="shared" ref="R1768:R1770" si="8121">SUM(M1768:Q1768)</f>
        <v>0</v>
      </c>
      <c r="T1768" s="6"/>
      <c r="U1768" s="7"/>
      <c r="V1768" s="7"/>
      <c r="W1768" s="7"/>
      <c r="X1768" s="7"/>
      <c r="Y1768" s="8">
        <f t="shared" ref="Y1768:Y1770" si="8122">SUM(T1768:X1768)</f>
        <v>0</v>
      </c>
      <c r="AA1768" s="6"/>
      <c r="AB1768" s="7"/>
      <c r="AC1768" s="7"/>
      <c r="AD1768" s="7"/>
      <c r="AE1768" s="7"/>
      <c r="AF1768" s="8">
        <f>SUM(AA1768:AE1768)</f>
        <v>0</v>
      </c>
      <c r="AH1768" s="6"/>
      <c r="AI1768" s="7"/>
      <c r="AJ1768" s="7"/>
      <c r="AK1768" s="7"/>
      <c r="AL1768" s="7"/>
      <c r="AM1768" s="8">
        <f>SUM(AH1768:AL1768)</f>
        <v>0</v>
      </c>
      <c r="AO1768" s="6"/>
      <c r="AP1768" s="7"/>
      <c r="AQ1768" s="7"/>
      <c r="AR1768" s="7"/>
      <c r="AS1768" s="7"/>
      <c r="AT1768" s="8">
        <f>SUM(AO1768:AS1768)</f>
        <v>0</v>
      </c>
      <c r="AV1768" s="6"/>
      <c r="AW1768" s="7"/>
      <c r="AX1768" s="7"/>
      <c r="AY1768" s="7"/>
      <c r="AZ1768" s="7"/>
      <c r="BA1768" s="8">
        <f>SUM(AV1768:AZ1768)</f>
        <v>0</v>
      </c>
      <c r="BC1768" s="6"/>
      <c r="BD1768" s="7"/>
      <c r="BE1768" s="7"/>
      <c r="BF1768" s="7"/>
      <c r="BG1768" s="7"/>
      <c r="BH1768" s="8">
        <f>SUM(BC1768:BG1768)</f>
        <v>0</v>
      </c>
      <c r="BJ1768" s="6"/>
      <c r="BK1768" s="7"/>
      <c r="BL1768" s="7"/>
      <c r="BM1768" s="7"/>
      <c r="BN1768" s="7"/>
      <c r="BO1768" s="8">
        <f>SUM(BJ1768:BN1768)</f>
        <v>0</v>
      </c>
      <c r="BQ1768" s="6"/>
      <c r="BR1768" s="7"/>
      <c r="BS1768" s="7"/>
      <c r="BT1768" s="7"/>
      <c r="BU1768" s="7"/>
      <c r="BV1768" s="8">
        <f>SUM(BQ1768:BU1768)</f>
        <v>0</v>
      </c>
      <c r="BX1768" s="6"/>
      <c r="BY1768" s="7"/>
      <c r="BZ1768" s="7"/>
      <c r="CA1768" s="7"/>
      <c r="CB1768" s="7"/>
      <c r="CC1768" s="8">
        <f>SUM(BX1768:CB1768)</f>
        <v>0</v>
      </c>
      <c r="CE1768" s="28">
        <f t="shared" si="8115"/>
        <v>0</v>
      </c>
      <c r="CF1768" s="29">
        <f t="shared" si="8116"/>
        <v>0</v>
      </c>
      <c r="CG1768" s="29">
        <f t="shared" si="8117"/>
        <v>0</v>
      </c>
      <c r="CH1768" s="29">
        <f t="shared" si="8118"/>
        <v>0</v>
      </c>
      <c r="CI1768" s="29">
        <f t="shared" si="8119"/>
        <v>0</v>
      </c>
      <c r="CJ1768" s="8">
        <f>SUM(CE1768:CI1768)</f>
        <v>0</v>
      </c>
      <c r="CL1768" s="6"/>
      <c r="CM1768" s="7"/>
      <c r="CN1768" s="7"/>
      <c r="CO1768" s="7"/>
      <c r="CP1768" s="7"/>
      <c r="CQ1768" s="8">
        <f>SUM(CL1768:CP1768)</f>
        <v>0</v>
      </c>
      <c r="CS1768" s="6"/>
      <c r="CT1768" s="7"/>
      <c r="CU1768" s="7"/>
      <c r="CV1768" s="7"/>
      <c r="CW1768" s="7"/>
      <c r="CX1768" s="8">
        <f t="shared" ref="CX1768:CX1770" si="8123">SUM(CS1768:CW1768)</f>
        <v>0</v>
      </c>
      <c r="CZ1768" s="6"/>
      <c r="DA1768" s="7"/>
      <c r="DB1768" s="7"/>
      <c r="DC1768" s="7"/>
      <c r="DD1768" s="7"/>
      <c r="DE1768" s="8">
        <f t="shared" ref="DE1768:DE1770" si="8124">SUM(CZ1768:DD1768)</f>
        <v>0</v>
      </c>
    </row>
    <row r="1769" spans="2:109">
      <c r="C1769" s="567"/>
      <c r="E1769" s="5" t="s">
        <v>61</v>
      </c>
      <c r="F1769" s="6"/>
      <c r="G1769" s="7"/>
      <c r="H1769" s="7"/>
      <c r="I1769" s="7"/>
      <c r="J1769" s="7"/>
      <c r="K1769" s="8">
        <f t="shared" si="8120"/>
        <v>0</v>
      </c>
      <c r="M1769" s="6"/>
      <c r="N1769" s="7"/>
      <c r="O1769" s="7"/>
      <c r="P1769" s="7"/>
      <c r="Q1769" s="7"/>
      <c r="R1769" s="8">
        <f t="shared" si="8121"/>
        <v>0</v>
      </c>
      <c r="T1769" s="6"/>
      <c r="U1769" s="7"/>
      <c r="V1769" s="7"/>
      <c r="W1769" s="7"/>
      <c r="X1769" s="7"/>
      <c r="Y1769" s="8">
        <f t="shared" si="8122"/>
        <v>0</v>
      </c>
      <c r="AA1769" s="6"/>
      <c r="AB1769" s="7"/>
      <c r="AC1769" s="7"/>
      <c r="AD1769" s="7"/>
      <c r="AE1769" s="7"/>
      <c r="AF1769" s="8">
        <f>SUM(AA1769:AE1769)</f>
        <v>0</v>
      </c>
      <c r="AH1769" s="6"/>
      <c r="AI1769" s="7"/>
      <c r="AJ1769" s="7"/>
      <c r="AK1769" s="7"/>
      <c r="AL1769" s="7"/>
      <c r="AM1769" s="8">
        <f>SUM(AH1769:AL1769)</f>
        <v>0</v>
      </c>
      <c r="AO1769" s="6"/>
      <c r="AP1769" s="7"/>
      <c r="AQ1769" s="7"/>
      <c r="AR1769" s="7"/>
      <c r="AS1769" s="7"/>
      <c r="AT1769" s="8">
        <f>SUM(AO1769:AS1769)</f>
        <v>0</v>
      </c>
      <c r="AV1769" s="6"/>
      <c r="AW1769" s="7"/>
      <c r="AX1769" s="7"/>
      <c r="AY1769" s="7"/>
      <c r="AZ1769" s="7"/>
      <c r="BA1769" s="8">
        <f>SUM(AV1769:AZ1769)</f>
        <v>0</v>
      </c>
      <c r="BC1769" s="6"/>
      <c r="BD1769" s="7"/>
      <c r="BE1769" s="7"/>
      <c r="BF1769" s="7"/>
      <c r="BG1769" s="7"/>
      <c r="BH1769" s="8">
        <f>SUM(BC1769:BG1769)</f>
        <v>0</v>
      </c>
      <c r="BJ1769" s="6"/>
      <c r="BK1769" s="7"/>
      <c r="BL1769" s="7"/>
      <c r="BM1769" s="7"/>
      <c r="BN1769" s="7"/>
      <c r="BO1769" s="8">
        <f>SUM(BJ1769:BN1769)</f>
        <v>0</v>
      </c>
      <c r="BQ1769" s="6"/>
      <c r="BR1769" s="7"/>
      <c r="BS1769" s="7"/>
      <c r="BT1769" s="7"/>
      <c r="BU1769" s="7"/>
      <c r="BV1769" s="8">
        <f>SUM(BQ1769:BU1769)</f>
        <v>0</v>
      </c>
      <c r="BX1769" s="6"/>
      <c r="BY1769" s="7"/>
      <c r="BZ1769" s="7"/>
      <c r="CA1769" s="7"/>
      <c r="CB1769" s="7"/>
      <c r="CC1769" s="8">
        <f>SUM(BX1769:CB1769)</f>
        <v>0</v>
      </c>
      <c r="CE1769" s="28">
        <f t="shared" si="8115"/>
        <v>0</v>
      </c>
      <c r="CF1769" s="29">
        <f t="shared" si="8116"/>
        <v>0</v>
      </c>
      <c r="CG1769" s="29">
        <f t="shared" si="8117"/>
        <v>0</v>
      </c>
      <c r="CH1769" s="29">
        <f t="shared" si="8118"/>
        <v>0</v>
      </c>
      <c r="CI1769" s="29">
        <f t="shared" si="8119"/>
        <v>0</v>
      </c>
      <c r="CJ1769" s="8">
        <f>SUM(CE1769:CI1769)</f>
        <v>0</v>
      </c>
      <c r="CL1769" s="6"/>
      <c r="CM1769" s="7"/>
      <c r="CN1769" s="7"/>
      <c r="CO1769" s="7"/>
      <c r="CP1769" s="7"/>
      <c r="CQ1769" s="8">
        <f>SUM(CL1769:CP1769)</f>
        <v>0</v>
      </c>
      <c r="CS1769" s="6"/>
      <c r="CT1769" s="7"/>
      <c r="CU1769" s="7"/>
      <c r="CV1769" s="7"/>
      <c r="CW1769" s="7"/>
      <c r="CX1769" s="8">
        <f t="shared" si="8123"/>
        <v>0</v>
      </c>
      <c r="CZ1769" s="6"/>
      <c r="DA1769" s="7"/>
      <c r="DB1769" s="7"/>
      <c r="DC1769" s="7"/>
      <c r="DD1769" s="7"/>
      <c r="DE1769" s="8">
        <f t="shared" si="8124"/>
        <v>0</v>
      </c>
    </row>
    <row r="1770" spans="2:109" ht="14" thickBot="1">
      <c r="C1770" s="567"/>
      <c r="E1770" s="5" t="s">
        <v>62</v>
      </c>
      <c r="F1770" s="6"/>
      <c r="G1770" s="7"/>
      <c r="H1770" s="7"/>
      <c r="I1770" s="7"/>
      <c r="J1770" s="7"/>
      <c r="K1770" s="8">
        <f t="shared" si="8120"/>
        <v>0</v>
      </c>
      <c r="M1770" s="6"/>
      <c r="N1770" s="7"/>
      <c r="O1770" s="7"/>
      <c r="P1770" s="7"/>
      <c r="Q1770" s="7"/>
      <c r="R1770" s="8">
        <f t="shared" si="8121"/>
        <v>0</v>
      </c>
      <c r="T1770" s="6"/>
      <c r="U1770" s="7"/>
      <c r="V1770" s="7"/>
      <c r="W1770" s="7"/>
      <c r="X1770" s="7"/>
      <c r="Y1770" s="8">
        <f t="shared" si="8122"/>
        <v>0</v>
      </c>
      <c r="AA1770" s="6"/>
      <c r="AB1770" s="7"/>
      <c r="AC1770" s="7"/>
      <c r="AD1770" s="7"/>
      <c r="AE1770" s="7"/>
      <c r="AF1770" s="8">
        <f>SUM(AA1770:AE1770)</f>
        <v>0</v>
      </c>
      <c r="AH1770" s="6"/>
      <c r="AI1770" s="7"/>
      <c r="AJ1770" s="7"/>
      <c r="AK1770" s="7"/>
      <c r="AL1770" s="7"/>
      <c r="AM1770" s="8">
        <f>SUM(AH1770:AL1770)</f>
        <v>0</v>
      </c>
      <c r="AO1770" s="6"/>
      <c r="AP1770" s="7"/>
      <c r="AQ1770" s="7"/>
      <c r="AR1770" s="7"/>
      <c r="AS1770" s="7"/>
      <c r="AT1770" s="8">
        <f>SUM(AO1770:AS1770)</f>
        <v>0</v>
      </c>
      <c r="AV1770" s="6"/>
      <c r="AW1770" s="7"/>
      <c r="AX1770" s="7"/>
      <c r="AY1770" s="7"/>
      <c r="AZ1770" s="7"/>
      <c r="BA1770" s="8">
        <f>SUM(AV1770:AZ1770)</f>
        <v>0</v>
      </c>
      <c r="BC1770" s="6"/>
      <c r="BD1770" s="7"/>
      <c r="BE1770" s="7"/>
      <c r="BF1770" s="7"/>
      <c r="BG1770" s="7"/>
      <c r="BH1770" s="8">
        <f>SUM(BC1770:BG1770)</f>
        <v>0</v>
      </c>
      <c r="BJ1770" s="6"/>
      <c r="BK1770" s="7"/>
      <c r="BL1770" s="7"/>
      <c r="BM1770" s="7"/>
      <c r="BN1770" s="7"/>
      <c r="BO1770" s="8">
        <f>SUM(BJ1770:BN1770)</f>
        <v>0</v>
      </c>
      <c r="BQ1770" s="6"/>
      <c r="BR1770" s="7"/>
      <c r="BS1770" s="7"/>
      <c r="BT1770" s="7"/>
      <c r="BU1770" s="7"/>
      <c r="BV1770" s="8">
        <f>SUM(BQ1770:BU1770)</f>
        <v>0</v>
      </c>
      <c r="BX1770" s="6"/>
      <c r="BY1770" s="7"/>
      <c r="BZ1770" s="7"/>
      <c r="CA1770" s="7"/>
      <c r="CB1770" s="7"/>
      <c r="CC1770" s="8">
        <f>SUM(BX1770:CB1770)</f>
        <v>0</v>
      </c>
      <c r="CE1770" s="493">
        <f t="shared" si="8115"/>
        <v>0</v>
      </c>
      <c r="CF1770" s="494">
        <f t="shared" si="8116"/>
        <v>0</v>
      </c>
      <c r="CG1770" s="494">
        <f t="shared" si="8117"/>
        <v>0</v>
      </c>
      <c r="CH1770" s="494">
        <f t="shared" si="8118"/>
        <v>0</v>
      </c>
      <c r="CI1770" s="494">
        <f t="shared" si="8119"/>
        <v>0</v>
      </c>
      <c r="CJ1770" s="495">
        <f>SUM(CE1770:CI1770)</f>
        <v>0</v>
      </c>
      <c r="CL1770" s="6"/>
      <c r="CM1770" s="7"/>
      <c r="CN1770" s="7"/>
      <c r="CO1770" s="7"/>
      <c r="CP1770" s="7"/>
      <c r="CQ1770" s="8">
        <f>SUM(CL1770:CP1770)</f>
        <v>0</v>
      </c>
      <c r="CS1770" s="6"/>
      <c r="CT1770" s="7"/>
      <c r="CU1770" s="7"/>
      <c r="CV1770" s="7"/>
      <c r="CW1770" s="7"/>
      <c r="CX1770" s="8">
        <f t="shared" si="8123"/>
        <v>0</v>
      </c>
      <c r="CZ1770" s="6"/>
      <c r="DA1770" s="7"/>
      <c r="DB1770" s="7"/>
      <c r="DC1770" s="7"/>
      <c r="DD1770" s="7"/>
      <c r="DE1770" s="8">
        <f t="shared" si="8124"/>
        <v>0</v>
      </c>
    </row>
    <row r="1771" spans="2:109" ht="14" thickBot="1">
      <c r="C1771" s="554"/>
      <c r="E1771" s="9"/>
      <c r="F1771" s="10">
        <f>SUM(F1767:F1770)</f>
        <v>0</v>
      </c>
      <c r="G1771" s="11">
        <f t="shared" ref="G1771:J1771" si="8125">SUM(G1767:G1770)</f>
        <v>0</v>
      </c>
      <c r="H1771" s="11">
        <f t="shared" si="8125"/>
        <v>0</v>
      </c>
      <c r="I1771" s="11">
        <f t="shared" si="8125"/>
        <v>0</v>
      </c>
      <c r="J1771" s="61">
        <f t="shared" si="8125"/>
        <v>0</v>
      </c>
      <c r="K1771" s="25">
        <f>SUM(K1767:K1770)</f>
        <v>0</v>
      </c>
      <c r="M1771" s="10">
        <f>SUM(M1767:M1770)</f>
        <v>0</v>
      </c>
      <c r="N1771" s="11">
        <f t="shared" ref="N1771:Q1771" si="8126">SUM(N1767:N1770)</f>
        <v>0</v>
      </c>
      <c r="O1771" s="11">
        <f t="shared" si="8126"/>
        <v>0</v>
      </c>
      <c r="P1771" s="11">
        <f t="shared" si="8126"/>
        <v>0</v>
      </c>
      <c r="Q1771" s="11">
        <f t="shared" si="8126"/>
        <v>0</v>
      </c>
      <c r="R1771" s="25">
        <f>SUM(R1767:R1770)</f>
        <v>0</v>
      </c>
      <c r="T1771" s="10">
        <f>SUM(T1767:T1770)</f>
        <v>0</v>
      </c>
      <c r="U1771" s="11">
        <f t="shared" ref="U1771:X1771" si="8127">SUM(U1767:U1770)</f>
        <v>0</v>
      </c>
      <c r="V1771" s="11">
        <f t="shared" si="8127"/>
        <v>0</v>
      </c>
      <c r="W1771" s="11">
        <f t="shared" si="8127"/>
        <v>0</v>
      </c>
      <c r="X1771" s="11">
        <f t="shared" si="8127"/>
        <v>0</v>
      </c>
      <c r="Y1771" s="25">
        <f>SUM(Y1767:Y1770)</f>
        <v>0</v>
      </c>
      <c r="AA1771" s="10">
        <f>SUM(AA1767:AA1770)</f>
        <v>0</v>
      </c>
      <c r="AB1771" s="11">
        <f t="shared" ref="AB1771:AE1771" si="8128">SUM(AB1767:AB1770)</f>
        <v>0</v>
      </c>
      <c r="AC1771" s="11">
        <f t="shared" si="8128"/>
        <v>0</v>
      </c>
      <c r="AD1771" s="11">
        <f t="shared" si="8128"/>
        <v>0</v>
      </c>
      <c r="AE1771" s="11">
        <f t="shared" si="8128"/>
        <v>0</v>
      </c>
      <c r="AF1771" s="25">
        <f>SUM(AF1767:AF1770)</f>
        <v>0</v>
      </c>
      <c r="AH1771" s="10">
        <f>SUM(AH1767:AH1770)</f>
        <v>0</v>
      </c>
      <c r="AI1771" s="11">
        <f t="shared" ref="AI1771:AL1771" si="8129">SUM(AI1767:AI1770)</f>
        <v>0</v>
      </c>
      <c r="AJ1771" s="11">
        <f t="shared" si="8129"/>
        <v>0</v>
      </c>
      <c r="AK1771" s="11">
        <f t="shared" si="8129"/>
        <v>0</v>
      </c>
      <c r="AL1771" s="11">
        <f t="shared" si="8129"/>
        <v>0</v>
      </c>
      <c r="AM1771" s="25">
        <f>SUM(AM1767:AM1770)</f>
        <v>0</v>
      </c>
      <c r="AO1771" s="10">
        <f>SUM(AO1767:AO1770)</f>
        <v>0</v>
      </c>
      <c r="AP1771" s="11">
        <f t="shared" ref="AP1771:AS1771" si="8130">SUM(AP1767:AP1770)</f>
        <v>0</v>
      </c>
      <c r="AQ1771" s="11">
        <f t="shared" si="8130"/>
        <v>0</v>
      </c>
      <c r="AR1771" s="11">
        <f t="shared" si="8130"/>
        <v>0</v>
      </c>
      <c r="AS1771" s="11">
        <f t="shared" si="8130"/>
        <v>0</v>
      </c>
      <c r="AT1771" s="25">
        <f>SUM(AT1767:AT1770)</f>
        <v>0</v>
      </c>
      <c r="AV1771" s="10">
        <f>SUM(AV1767:AV1770)</f>
        <v>0</v>
      </c>
      <c r="AW1771" s="11">
        <f t="shared" ref="AW1771:AZ1771" si="8131">SUM(AW1767:AW1770)</f>
        <v>0</v>
      </c>
      <c r="AX1771" s="11">
        <f t="shared" si="8131"/>
        <v>0</v>
      </c>
      <c r="AY1771" s="11">
        <f t="shared" si="8131"/>
        <v>0</v>
      </c>
      <c r="AZ1771" s="11">
        <f t="shared" si="8131"/>
        <v>0</v>
      </c>
      <c r="BA1771" s="25">
        <f>SUM(BA1767:BA1770)</f>
        <v>0</v>
      </c>
      <c r="BC1771" s="10">
        <f>SUM(BC1767:BC1770)</f>
        <v>0</v>
      </c>
      <c r="BD1771" s="11">
        <f t="shared" ref="BD1771:BG1771" si="8132">SUM(BD1767:BD1770)</f>
        <v>0</v>
      </c>
      <c r="BE1771" s="11">
        <f t="shared" si="8132"/>
        <v>0</v>
      </c>
      <c r="BF1771" s="11">
        <f t="shared" si="8132"/>
        <v>0</v>
      </c>
      <c r="BG1771" s="11">
        <f t="shared" si="8132"/>
        <v>0</v>
      </c>
      <c r="BH1771" s="25">
        <f>SUM(BH1767:BH1770)</f>
        <v>0</v>
      </c>
      <c r="BJ1771" s="10">
        <f>SUM(BJ1767:BJ1770)</f>
        <v>0</v>
      </c>
      <c r="BK1771" s="11">
        <f t="shared" ref="BK1771:BN1771" si="8133">SUM(BK1767:BK1770)</f>
        <v>0</v>
      </c>
      <c r="BL1771" s="11">
        <f t="shared" si="8133"/>
        <v>0</v>
      </c>
      <c r="BM1771" s="11">
        <f t="shared" si="8133"/>
        <v>0</v>
      </c>
      <c r="BN1771" s="11">
        <f t="shared" si="8133"/>
        <v>0</v>
      </c>
      <c r="BO1771" s="25">
        <f>SUM(BO1767:BO1770)</f>
        <v>0</v>
      </c>
      <c r="BQ1771" s="10">
        <f>SUM(BQ1767:BQ1770)</f>
        <v>0</v>
      </c>
      <c r="BR1771" s="11">
        <f t="shared" ref="BR1771:BU1771" si="8134">SUM(BR1767:BR1770)</f>
        <v>0</v>
      </c>
      <c r="BS1771" s="11">
        <f t="shared" si="8134"/>
        <v>0</v>
      </c>
      <c r="BT1771" s="11">
        <f t="shared" si="8134"/>
        <v>0</v>
      </c>
      <c r="BU1771" s="11">
        <f t="shared" si="8134"/>
        <v>0</v>
      </c>
      <c r="BV1771" s="25">
        <f>SUM(BV1767:BV1770)</f>
        <v>0</v>
      </c>
      <c r="BX1771" s="10">
        <f>SUM(BX1767:BX1770)</f>
        <v>0</v>
      </c>
      <c r="BY1771" s="11">
        <f t="shared" ref="BY1771:CB1771" si="8135">SUM(BY1767:BY1770)</f>
        <v>0</v>
      </c>
      <c r="BZ1771" s="11">
        <f t="shared" si="8135"/>
        <v>0</v>
      </c>
      <c r="CA1771" s="11">
        <f t="shared" si="8135"/>
        <v>0</v>
      </c>
      <c r="CB1771" s="11">
        <f t="shared" si="8135"/>
        <v>0</v>
      </c>
      <c r="CC1771" s="25">
        <f>SUM(CC1767:CC1770)</f>
        <v>0</v>
      </c>
      <c r="CE1771" s="62">
        <f t="shared" ref="CE1771:CJ1771" si="8136">SUM(CE1767:CE1770)</f>
        <v>0</v>
      </c>
      <c r="CF1771" s="63">
        <f t="shared" si="8136"/>
        <v>0</v>
      </c>
      <c r="CG1771" s="63">
        <f t="shared" si="8136"/>
        <v>0</v>
      </c>
      <c r="CH1771" s="63">
        <f t="shared" si="8136"/>
        <v>0</v>
      </c>
      <c r="CI1771" s="63">
        <f t="shared" si="8136"/>
        <v>0</v>
      </c>
      <c r="CJ1771" s="25">
        <f t="shared" si="8136"/>
        <v>0</v>
      </c>
      <c r="CL1771" s="10">
        <f>SUM(CL1767:CL1770)</f>
        <v>0</v>
      </c>
      <c r="CM1771" s="11">
        <f t="shared" ref="CM1771:CP1771" si="8137">SUM(CM1767:CM1770)</f>
        <v>0</v>
      </c>
      <c r="CN1771" s="11">
        <f t="shared" si="8137"/>
        <v>0</v>
      </c>
      <c r="CO1771" s="11">
        <f t="shared" si="8137"/>
        <v>0</v>
      </c>
      <c r="CP1771" s="11">
        <f t="shared" si="8137"/>
        <v>0</v>
      </c>
      <c r="CQ1771" s="25">
        <f>SUM(CQ1767:CQ1770)</f>
        <v>0</v>
      </c>
      <c r="CS1771" s="10">
        <f>SUM(CS1767:CS1770)</f>
        <v>0</v>
      </c>
      <c r="CT1771" s="11">
        <f t="shared" ref="CT1771:CW1771" si="8138">SUM(CT1767:CT1770)</f>
        <v>0</v>
      </c>
      <c r="CU1771" s="11">
        <f t="shared" si="8138"/>
        <v>0</v>
      </c>
      <c r="CV1771" s="11">
        <f t="shared" si="8138"/>
        <v>0</v>
      </c>
      <c r="CW1771" s="11">
        <f t="shared" si="8138"/>
        <v>0</v>
      </c>
      <c r="CX1771" s="25">
        <f>SUM(CX1767:CX1770)</f>
        <v>0</v>
      </c>
      <c r="CZ1771" s="10">
        <f>SUM(CZ1767:CZ1770)</f>
        <v>0</v>
      </c>
      <c r="DA1771" s="11">
        <f t="shared" ref="DA1771:DD1771" si="8139">SUM(DA1767:DA1770)</f>
        <v>0</v>
      </c>
      <c r="DB1771" s="11">
        <f t="shared" si="8139"/>
        <v>0</v>
      </c>
      <c r="DC1771" s="11">
        <f t="shared" si="8139"/>
        <v>0</v>
      </c>
      <c r="DD1771" s="11">
        <f t="shared" si="8139"/>
        <v>0</v>
      </c>
      <c r="DE1771" s="25">
        <f>SUM(DE1767:DE1770)</f>
        <v>0</v>
      </c>
    </row>
    <row r="1772" spans="2:109" ht="10.4" customHeight="1" thickBot="1"/>
    <row r="1773" spans="2:109">
      <c r="C1773" s="553">
        <v>2025</v>
      </c>
      <c r="E1773" s="13" t="s">
        <v>59</v>
      </c>
      <c r="F1773" s="21">
        <f>CE1767</f>
        <v>0</v>
      </c>
      <c r="G1773" s="22">
        <f t="shared" ref="G1773:G1776" si="8140">CF1767</f>
        <v>0</v>
      </c>
      <c r="H1773" s="22">
        <f t="shared" ref="H1773:H1776" si="8141">CG1767</f>
        <v>0</v>
      </c>
      <c r="I1773" s="22">
        <f t="shared" ref="I1773:I1776" si="8142">CH1767</f>
        <v>0</v>
      </c>
      <c r="J1773" s="22">
        <f t="shared" ref="J1773:J1776" si="8143">CI1767</f>
        <v>0</v>
      </c>
      <c r="K1773" s="15">
        <f>SUM(F1773:J1773)</f>
        <v>0</v>
      </c>
      <c r="M1773" s="2"/>
      <c r="N1773" s="3"/>
      <c r="O1773" s="3"/>
      <c r="P1773" s="3"/>
      <c r="Q1773" s="3"/>
      <c r="R1773" s="15">
        <f>SUM(M1773:Q1773)</f>
        <v>0</v>
      </c>
      <c r="T1773" s="2"/>
      <c r="U1773" s="3"/>
      <c r="V1773" s="3"/>
      <c r="W1773" s="3"/>
      <c r="X1773" s="3"/>
      <c r="Y1773" s="15">
        <f>SUM(T1773:X1773)</f>
        <v>0</v>
      </c>
      <c r="AA1773" s="2"/>
      <c r="AB1773" s="3"/>
      <c r="AC1773" s="3"/>
      <c r="AD1773" s="3"/>
      <c r="AE1773" s="3"/>
      <c r="AF1773" s="15">
        <f>SUM(AA1773:AE1773)</f>
        <v>0</v>
      </c>
      <c r="AH1773" s="2"/>
      <c r="AI1773" s="3"/>
      <c r="AJ1773" s="3"/>
      <c r="AK1773" s="3"/>
      <c r="AL1773" s="3"/>
      <c r="AM1773" s="15">
        <f>SUM(AH1773:AL1773)</f>
        <v>0</v>
      </c>
      <c r="AO1773" s="2"/>
      <c r="AP1773" s="3"/>
      <c r="AQ1773" s="3"/>
      <c r="AR1773" s="3"/>
      <c r="AS1773" s="3"/>
      <c r="AT1773" s="15">
        <f>SUM(AO1773:AS1773)</f>
        <v>0</v>
      </c>
      <c r="AV1773" s="2"/>
      <c r="AW1773" s="3"/>
      <c r="AX1773" s="3"/>
      <c r="AY1773" s="3"/>
      <c r="AZ1773" s="3"/>
      <c r="BA1773" s="15">
        <f>SUM(AV1773:AZ1773)</f>
        <v>0</v>
      </c>
      <c r="BC1773" s="2"/>
      <c r="BD1773" s="3"/>
      <c r="BE1773" s="3"/>
      <c r="BF1773" s="3"/>
      <c r="BG1773" s="3"/>
      <c r="BH1773" s="15">
        <f>SUM(BC1773:BG1773)</f>
        <v>0</v>
      </c>
      <c r="BJ1773" s="2"/>
      <c r="BK1773" s="3"/>
      <c r="BL1773" s="3"/>
      <c r="BM1773" s="3"/>
      <c r="BN1773" s="3"/>
      <c r="BO1773" s="15">
        <f>SUM(BJ1773:BN1773)</f>
        <v>0</v>
      </c>
      <c r="BQ1773" s="2"/>
      <c r="BR1773" s="3"/>
      <c r="BS1773" s="3"/>
      <c r="BT1773" s="3"/>
      <c r="BU1773" s="3"/>
      <c r="BV1773" s="15">
        <f>SUM(BQ1773:BU1773)</f>
        <v>0</v>
      </c>
      <c r="BX1773" s="2"/>
      <c r="BY1773" s="3"/>
      <c r="BZ1773" s="3"/>
      <c r="CA1773" s="3"/>
      <c r="CB1773" s="3"/>
      <c r="CC1773" s="15">
        <f>SUM(BX1773:CB1773)</f>
        <v>0</v>
      </c>
      <c r="CE1773" s="26">
        <f t="shared" ref="CE1773:CE1776" si="8144">F1773+M1773+T1773+AA1773+AH1773+AO1773+AV1773+BC1773+BJ1773+BQ1773+BX1773</f>
        <v>0</v>
      </c>
      <c r="CF1773" s="27">
        <f t="shared" ref="CF1773:CF1776" si="8145">G1773+N1773+U1773+AB1773+AI1773+AP1773+AW1773+BD1773+BK1773+BR1773+BY1773</f>
        <v>0</v>
      </c>
      <c r="CG1773" s="27">
        <f t="shared" ref="CG1773:CG1776" si="8146">H1773+O1773+V1773+AC1773+AJ1773+AQ1773+AX1773+BE1773+BL1773+BS1773+BZ1773</f>
        <v>0</v>
      </c>
      <c r="CH1773" s="27">
        <f t="shared" ref="CH1773:CH1776" si="8147">I1773+P1773+W1773+AD1773+AK1773+AR1773+AY1773+BF1773+BM1773+BT1773+CA1773</f>
        <v>0</v>
      </c>
      <c r="CI1773" s="27">
        <f t="shared" ref="CI1773:CI1776" si="8148">J1773+Q1773+X1773+AE1773+AL1773+AS1773+AZ1773+BG1773+BN1773+BU1773+CB1773</f>
        <v>0</v>
      </c>
      <c r="CJ1773" s="4">
        <f>SUM(CE1773:CI1773)</f>
        <v>0</v>
      </c>
      <c r="CL1773" s="2"/>
      <c r="CM1773" s="3"/>
      <c r="CN1773" s="3"/>
      <c r="CO1773" s="3"/>
      <c r="CP1773" s="3"/>
      <c r="CQ1773" s="15">
        <f>SUM(CL1773:CP1773)</f>
        <v>0</v>
      </c>
      <c r="CS1773" s="2"/>
      <c r="CT1773" s="3"/>
      <c r="CU1773" s="3"/>
      <c r="CV1773" s="3"/>
      <c r="CW1773" s="3"/>
      <c r="CX1773" s="4">
        <f>SUM(CS1773:CW1773)</f>
        <v>0</v>
      </c>
      <c r="CZ1773" s="2"/>
      <c r="DA1773" s="3"/>
      <c r="DB1773" s="3"/>
      <c r="DC1773" s="3"/>
      <c r="DD1773" s="3"/>
      <c r="DE1773" s="15">
        <f>SUM(CZ1773:DD1773)</f>
        <v>0</v>
      </c>
    </row>
    <row r="1774" spans="2:109">
      <c r="C1774" s="567"/>
      <c r="E1774" s="14" t="s">
        <v>60</v>
      </c>
      <c r="F1774" s="23">
        <f t="shared" ref="F1774:F1776" si="8149">CE1768</f>
        <v>0</v>
      </c>
      <c r="G1774" s="24">
        <f t="shared" si="8140"/>
        <v>0</v>
      </c>
      <c r="H1774" s="24">
        <f t="shared" si="8141"/>
        <v>0</v>
      </c>
      <c r="I1774" s="24">
        <f t="shared" si="8142"/>
        <v>0</v>
      </c>
      <c r="J1774" s="24">
        <f t="shared" si="8143"/>
        <v>0</v>
      </c>
      <c r="K1774" s="16">
        <f t="shared" ref="K1774:K1776" si="8150">SUM(F1774:J1774)</f>
        <v>0</v>
      </c>
      <c r="M1774" s="6"/>
      <c r="N1774" s="7"/>
      <c r="O1774" s="7"/>
      <c r="P1774" s="7"/>
      <c r="Q1774" s="7"/>
      <c r="R1774" s="16">
        <f t="shared" ref="R1774:R1776" si="8151">SUM(M1774:Q1774)</f>
        <v>0</v>
      </c>
      <c r="T1774" s="6"/>
      <c r="U1774" s="7"/>
      <c r="V1774" s="7"/>
      <c r="W1774" s="7"/>
      <c r="X1774" s="7"/>
      <c r="Y1774" s="16">
        <f t="shared" ref="Y1774:Y1776" si="8152">SUM(T1774:X1774)</f>
        <v>0</v>
      </c>
      <c r="AA1774" s="6"/>
      <c r="AB1774" s="7"/>
      <c r="AC1774" s="7"/>
      <c r="AD1774" s="7"/>
      <c r="AE1774" s="7"/>
      <c r="AF1774" s="16">
        <f>SUM(AA1774:AE1774)</f>
        <v>0</v>
      </c>
      <c r="AH1774" s="6"/>
      <c r="AI1774" s="7"/>
      <c r="AJ1774" s="7"/>
      <c r="AK1774" s="7"/>
      <c r="AL1774" s="7"/>
      <c r="AM1774" s="16">
        <f>SUM(AH1774:AL1774)</f>
        <v>0</v>
      </c>
      <c r="AO1774" s="6"/>
      <c r="AP1774" s="7"/>
      <c r="AQ1774" s="7"/>
      <c r="AR1774" s="7"/>
      <c r="AS1774" s="7"/>
      <c r="AT1774" s="16">
        <f>SUM(AO1774:AS1774)</f>
        <v>0</v>
      </c>
      <c r="AV1774" s="6"/>
      <c r="AW1774" s="7"/>
      <c r="AX1774" s="7"/>
      <c r="AY1774" s="7"/>
      <c r="AZ1774" s="7"/>
      <c r="BA1774" s="16">
        <f>SUM(AV1774:AZ1774)</f>
        <v>0</v>
      </c>
      <c r="BC1774" s="6"/>
      <c r="BD1774" s="7"/>
      <c r="BE1774" s="7"/>
      <c r="BF1774" s="7"/>
      <c r="BG1774" s="7"/>
      <c r="BH1774" s="16">
        <f>SUM(BC1774:BG1774)</f>
        <v>0</v>
      </c>
      <c r="BJ1774" s="6"/>
      <c r="BK1774" s="7"/>
      <c r="BL1774" s="7"/>
      <c r="BM1774" s="7"/>
      <c r="BN1774" s="7"/>
      <c r="BO1774" s="16">
        <f>SUM(BJ1774:BN1774)</f>
        <v>0</v>
      </c>
      <c r="BQ1774" s="6"/>
      <c r="BR1774" s="7"/>
      <c r="BS1774" s="7"/>
      <c r="BT1774" s="7"/>
      <c r="BU1774" s="7"/>
      <c r="BV1774" s="16">
        <f>SUM(BQ1774:BU1774)</f>
        <v>0</v>
      </c>
      <c r="BX1774" s="6"/>
      <c r="BY1774" s="7"/>
      <c r="BZ1774" s="7"/>
      <c r="CA1774" s="7"/>
      <c r="CB1774" s="7"/>
      <c r="CC1774" s="16">
        <f>SUM(BX1774:CB1774)</f>
        <v>0</v>
      </c>
      <c r="CE1774" s="28">
        <f t="shared" si="8144"/>
        <v>0</v>
      </c>
      <c r="CF1774" s="29">
        <f t="shared" si="8145"/>
        <v>0</v>
      </c>
      <c r="CG1774" s="29">
        <f t="shared" si="8146"/>
        <v>0</v>
      </c>
      <c r="CH1774" s="29">
        <f t="shared" si="8147"/>
        <v>0</v>
      </c>
      <c r="CI1774" s="29">
        <f t="shared" si="8148"/>
        <v>0</v>
      </c>
      <c r="CJ1774" s="8">
        <f>SUM(CE1774:CI1774)</f>
        <v>0</v>
      </c>
      <c r="CL1774" s="6"/>
      <c r="CM1774" s="7"/>
      <c r="CN1774" s="7"/>
      <c r="CO1774" s="7"/>
      <c r="CP1774" s="7"/>
      <c r="CQ1774" s="16">
        <f>SUM(CL1774:CP1774)</f>
        <v>0</v>
      </c>
      <c r="CS1774" s="6"/>
      <c r="CT1774" s="7"/>
      <c r="CU1774" s="7"/>
      <c r="CV1774" s="7"/>
      <c r="CW1774" s="7"/>
      <c r="CX1774" s="8">
        <f t="shared" ref="CX1774:CX1776" si="8153">SUM(CS1774:CW1774)</f>
        <v>0</v>
      </c>
      <c r="CZ1774" s="6"/>
      <c r="DA1774" s="7"/>
      <c r="DB1774" s="7"/>
      <c r="DC1774" s="7"/>
      <c r="DD1774" s="7"/>
      <c r="DE1774" s="16">
        <f t="shared" ref="DE1774:DE1776" si="8154">SUM(CZ1774:DD1774)</f>
        <v>0</v>
      </c>
    </row>
    <row r="1775" spans="2:109">
      <c r="C1775" s="567"/>
      <c r="E1775" s="14" t="s">
        <v>61</v>
      </c>
      <c r="F1775" s="23">
        <f t="shared" si="8149"/>
        <v>0</v>
      </c>
      <c r="G1775" s="24">
        <f t="shared" si="8140"/>
        <v>0</v>
      </c>
      <c r="H1775" s="24">
        <f t="shared" si="8141"/>
        <v>0</v>
      </c>
      <c r="I1775" s="24">
        <f t="shared" si="8142"/>
        <v>0</v>
      </c>
      <c r="J1775" s="24">
        <f t="shared" si="8143"/>
        <v>0</v>
      </c>
      <c r="K1775" s="16">
        <f t="shared" si="8150"/>
        <v>0</v>
      </c>
      <c r="M1775" s="6"/>
      <c r="N1775" s="7"/>
      <c r="O1775" s="7"/>
      <c r="P1775" s="7"/>
      <c r="Q1775" s="7"/>
      <c r="R1775" s="16">
        <f t="shared" si="8151"/>
        <v>0</v>
      </c>
      <c r="T1775" s="6"/>
      <c r="U1775" s="7"/>
      <c r="V1775" s="7"/>
      <c r="W1775" s="7"/>
      <c r="X1775" s="7"/>
      <c r="Y1775" s="16">
        <f t="shared" si="8152"/>
        <v>0</v>
      </c>
      <c r="AA1775" s="6"/>
      <c r="AB1775" s="7"/>
      <c r="AC1775" s="7"/>
      <c r="AD1775" s="7"/>
      <c r="AE1775" s="7"/>
      <c r="AF1775" s="16">
        <f>SUM(AA1775:AE1775)</f>
        <v>0</v>
      </c>
      <c r="AH1775" s="6"/>
      <c r="AI1775" s="7"/>
      <c r="AJ1775" s="7"/>
      <c r="AK1775" s="7"/>
      <c r="AL1775" s="7"/>
      <c r="AM1775" s="16">
        <f>SUM(AH1775:AL1775)</f>
        <v>0</v>
      </c>
      <c r="AO1775" s="6"/>
      <c r="AP1775" s="7"/>
      <c r="AQ1775" s="7"/>
      <c r="AR1775" s="7"/>
      <c r="AS1775" s="7"/>
      <c r="AT1775" s="16">
        <f>SUM(AO1775:AS1775)</f>
        <v>0</v>
      </c>
      <c r="AV1775" s="6"/>
      <c r="AW1775" s="7"/>
      <c r="AX1775" s="7"/>
      <c r="AY1775" s="7"/>
      <c r="AZ1775" s="7"/>
      <c r="BA1775" s="16">
        <f>SUM(AV1775:AZ1775)</f>
        <v>0</v>
      </c>
      <c r="BC1775" s="6"/>
      <c r="BD1775" s="7"/>
      <c r="BE1775" s="7"/>
      <c r="BF1775" s="7"/>
      <c r="BG1775" s="7"/>
      <c r="BH1775" s="16">
        <f>SUM(BC1775:BG1775)</f>
        <v>0</v>
      </c>
      <c r="BJ1775" s="6"/>
      <c r="BK1775" s="7"/>
      <c r="BL1775" s="7"/>
      <c r="BM1775" s="7"/>
      <c r="BN1775" s="7"/>
      <c r="BO1775" s="16">
        <f>SUM(BJ1775:BN1775)</f>
        <v>0</v>
      </c>
      <c r="BQ1775" s="6"/>
      <c r="BR1775" s="7"/>
      <c r="BS1775" s="7"/>
      <c r="BT1775" s="7"/>
      <c r="BU1775" s="7"/>
      <c r="BV1775" s="16">
        <f>SUM(BQ1775:BU1775)</f>
        <v>0</v>
      </c>
      <c r="BX1775" s="6"/>
      <c r="BY1775" s="7"/>
      <c r="BZ1775" s="7"/>
      <c r="CA1775" s="7"/>
      <c r="CB1775" s="7"/>
      <c r="CC1775" s="16">
        <f>SUM(BX1775:CB1775)</f>
        <v>0</v>
      </c>
      <c r="CE1775" s="28">
        <f t="shared" si="8144"/>
        <v>0</v>
      </c>
      <c r="CF1775" s="29">
        <f t="shared" si="8145"/>
        <v>0</v>
      </c>
      <c r="CG1775" s="29">
        <f t="shared" si="8146"/>
        <v>0</v>
      </c>
      <c r="CH1775" s="29">
        <f t="shared" si="8147"/>
        <v>0</v>
      </c>
      <c r="CI1775" s="29">
        <f t="shared" si="8148"/>
        <v>0</v>
      </c>
      <c r="CJ1775" s="8">
        <f>SUM(CE1775:CI1775)</f>
        <v>0</v>
      </c>
      <c r="CL1775" s="6"/>
      <c r="CM1775" s="7"/>
      <c r="CN1775" s="7"/>
      <c r="CO1775" s="7"/>
      <c r="CP1775" s="7"/>
      <c r="CQ1775" s="16">
        <f>SUM(CL1775:CP1775)</f>
        <v>0</v>
      </c>
      <c r="CS1775" s="6"/>
      <c r="CT1775" s="7"/>
      <c r="CU1775" s="7"/>
      <c r="CV1775" s="7"/>
      <c r="CW1775" s="7"/>
      <c r="CX1775" s="8">
        <f t="shared" si="8153"/>
        <v>0</v>
      </c>
      <c r="CZ1775" s="6"/>
      <c r="DA1775" s="7"/>
      <c r="DB1775" s="7"/>
      <c r="DC1775" s="7"/>
      <c r="DD1775" s="7"/>
      <c r="DE1775" s="16">
        <f t="shared" si="8154"/>
        <v>0</v>
      </c>
    </row>
    <row r="1776" spans="2:109" ht="14" thickBot="1">
      <c r="C1776" s="567"/>
      <c r="E1776" s="14" t="s">
        <v>62</v>
      </c>
      <c r="F1776" s="23">
        <f t="shared" si="8149"/>
        <v>0</v>
      </c>
      <c r="G1776" s="24">
        <f t="shared" si="8140"/>
        <v>0</v>
      </c>
      <c r="H1776" s="24">
        <f t="shared" si="8141"/>
        <v>0</v>
      </c>
      <c r="I1776" s="24">
        <f t="shared" si="8142"/>
        <v>0</v>
      </c>
      <c r="J1776" s="24">
        <f t="shared" si="8143"/>
        <v>0</v>
      </c>
      <c r="K1776" s="16">
        <f t="shared" si="8150"/>
        <v>0</v>
      </c>
      <c r="M1776" s="6"/>
      <c r="N1776" s="7"/>
      <c r="O1776" s="7"/>
      <c r="P1776" s="7"/>
      <c r="Q1776" s="7"/>
      <c r="R1776" s="16">
        <f t="shared" si="8151"/>
        <v>0</v>
      </c>
      <c r="T1776" s="6"/>
      <c r="U1776" s="7"/>
      <c r="V1776" s="7"/>
      <c r="W1776" s="7"/>
      <c r="X1776" s="7"/>
      <c r="Y1776" s="16">
        <f t="shared" si="8152"/>
        <v>0</v>
      </c>
      <c r="AA1776" s="6"/>
      <c r="AB1776" s="7"/>
      <c r="AC1776" s="7"/>
      <c r="AD1776" s="7"/>
      <c r="AE1776" s="7"/>
      <c r="AF1776" s="16">
        <f>SUM(AA1776:AE1776)</f>
        <v>0</v>
      </c>
      <c r="AH1776" s="6"/>
      <c r="AI1776" s="7"/>
      <c r="AJ1776" s="7"/>
      <c r="AK1776" s="7"/>
      <c r="AL1776" s="7"/>
      <c r="AM1776" s="16">
        <f>SUM(AH1776:AL1776)</f>
        <v>0</v>
      </c>
      <c r="AO1776" s="6"/>
      <c r="AP1776" s="7"/>
      <c r="AQ1776" s="7"/>
      <c r="AR1776" s="7"/>
      <c r="AS1776" s="7"/>
      <c r="AT1776" s="16">
        <f>SUM(AO1776:AS1776)</f>
        <v>0</v>
      </c>
      <c r="AV1776" s="6"/>
      <c r="AW1776" s="7"/>
      <c r="AX1776" s="7"/>
      <c r="AY1776" s="7"/>
      <c r="AZ1776" s="7"/>
      <c r="BA1776" s="16">
        <f>SUM(AV1776:AZ1776)</f>
        <v>0</v>
      </c>
      <c r="BC1776" s="6"/>
      <c r="BD1776" s="7"/>
      <c r="BE1776" s="7"/>
      <c r="BF1776" s="7"/>
      <c r="BG1776" s="7"/>
      <c r="BH1776" s="16">
        <f>SUM(BC1776:BG1776)</f>
        <v>0</v>
      </c>
      <c r="BJ1776" s="6"/>
      <c r="BK1776" s="7"/>
      <c r="BL1776" s="7"/>
      <c r="BM1776" s="7"/>
      <c r="BN1776" s="7"/>
      <c r="BO1776" s="16">
        <f>SUM(BJ1776:BN1776)</f>
        <v>0</v>
      </c>
      <c r="BQ1776" s="6"/>
      <c r="BR1776" s="7"/>
      <c r="BS1776" s="7"/>
      <c r="BT1776" s="7"/>
      <c r="BU1776" s="7"/>
      <c r="BV1776" s="16">
        <f>SUM(BQ1776:BU1776)</f>
        <v>0</v>
      </c>
      <c r="BX1776" s="6"/>
      <c r="BY1776" s="7"/>
      <c r="BZ1776" s="7"/>
      <c r="CA1776" s="7"/>
      <c r="CB1776" s="7"/>
      <c r="CC1776" s="16">
        <f>SUM(BX1776:CB1776)</f>
        <v>0</v>
      </c>
      <c r="CE1776" s="493">
        <f t="shared" si="8144"/>
        <v>0</v>
      </c>
      <c r="CF1776" s="494">
        <f t="shared" si="8145"/>
        <v>0</v>
      </c>
      <c r="CG1776" s="494">
        <f t="shared" si="8146"/>
        <v>0</v>
      </c>
      <c r="CH1776" s="494">
        <f t="shared" si="8147"/>
        <v>0</v>
      </c>
      <c r="CI1776" s="494">
        <f t="shared" si="8148"/>
        <v>0</v>
      </c>
      <c r="CJ1776" s="495">
        <f>SUM(CE1776:CI1776)</f>
        <v>0</v>
      </c>
      <c r="CL1776" s="6"/>
      <c r="CM1776" s="7"/>
      <c r="CN1776" s="7"/>
      <c r="CO1776" s="7"/>
      <c r="CP1776" s="7"/>
      <c r="CQ1776" s="16">
        <f>SUM(CL1776:CP1776)</f>
        <v>0</v>
      </c>
      <c r="CS1776" s="6"/>
      <c r="CT1776" s="7"/>
      <c r="CU1776" s="7"/>
      <c r="CV1776" s="7"/>
      <c r="CW1776" s="7"/>
      <c r="CX1776" s="8">
        <f t="shared" si="8153"/>
        <v>0</v>
      </c>
      <c r="CZ1776" s="6"/>
      <c r="DA1776" s="7"/>
      <c r="DB1776" s="7"/>
      <c r="DC1776" s="7"/>
      <c r="DD1776" s="7"/>
      <c r="DE1776" s="16">
        <f t="shared" si="8154"/>
        <v>0</v>
      </c>
    </row>
    <row r="1777" spans="3:109" ht="14" thickBot="1">
      <c r="C1777" s="554"/>
      <c r="E1777" s="17"/>
      <c r="F1777" s="10">
        <f>SUM(F1773:F1776)</f>
        <v>0</v>
      </c>
      <c r="G1777" s="11">
        <f t="shared" ref="G1777:J1777" si="8155">SUM(G1773:G1776)</f>
        <v>0</v>
      </c>
      <c r="H1777" s="11">
        <f t="shared" si="8155"/>
        <v>0</v>
      </c>
      <c r="I1777" s="11">
        <f t="shared" si="8155"/>
        <v>0</v>
      </c>
      <c r="J1777" s="11">
        <f t="shared" si="8155"/>
        <v>0</v>
      </c>
      <c r="K1777" s="25">
        <f>SUM(K1773:K1776)</f>
        <v>0</v>
      </c>
      <c r="M1777" s="10">
        <f>SUM(M1773:M1776)</f>
        <v>0</v>
      </c>
      <c r="N1777" s="11">
        <f t="shared" ref="N1777:Q1777" si="8156">SUM(N1773:N1776)</f>
        <v>0</v>
      </c>
      <c r="O1777" s="11">
        <f t="shared" si="8156"/>
        <v>0</v>
      </c>
      <c r="P1777" s="11">
        <f t="shared" si="8156"/>
        <v>0</v>
      </c>
      <c r="Q1777" s="11">
        <f t="shared" si="8156"/>
        <v>0</v>
      </c>
      <c r="R1777" s="25">
        <f>SUM(R1773:R1776)</f>
        <v>0</v>
      </c>
      <c r="T1777" s="10">
        <f>SUM(T1773:T1776)</f>
        <v>0</v>
      </c>
      <c r="U1777" s="11">
        <f t="shared" ref="U1777:X1777" si="8157">SUM(U1773:U1776)</f>
        <v>0</v>
      </c>
      <c r="V1777" s="11">
        <f t="shared" si="8157"/>
        <v>0</v>
      </c>
      <c r="W1777" s="11">
        <f t="shared" si="8157"/>
        <v>0</v>
      </c>
      <c r="X1777" s="11">
        <f t="shared" si="8157"/>
        <v>0</v>
      </c>
      <c r="Y1777" s="25">
        <f>SUM(Y1773:Y1776)</f>
        <v>0</v>
      </c>
      <c r="AA1777" s="10">
        <f>SUM(AA1773:AA1776)</f>
        <v>0</v>
      </c>
      <c r="AB1777" s="11">
        <f t="shared" ref="AB1777:AE1777" si="8158">SUM(AB1773:AB1776)</f>
        <v>0</v>
      </c>
      <c r="AC1777" s="11">
        <f t="shared" si="8158"/>
        <v>0</v>
      </c>
      <c r="AD1777" s="11">
        <f t="shared" si="8158"/>
        <v>0</v>
      </c>
      <c r="AE1777" s="11">
        <f t="shared" si="8158"/>
        <v>0</v>
      </c>
      <c r="AF1777" s="25">
        <f>SUM(AF1773:AF1776)</f>
        <v>0</v>
      </c>
      <c r="AH1777" s="10">
        <f>SUM(AH1773:AH1776)</f>
        <v>0</v>
      </c>
      <c r="AI1777" s="11">
        <f t="shared" ref="AI1777:AL1777" si="8159">SUM(AI1773:AI1776)</f>
        <v>0</v>
      </c>
      <c r="AJ1777" s="11">
        <f t="shared" si="8159"/>
        <v>0</v>
      </c>
      <c r="AK1777" s="11">
        <f t="shared" si="8159"/>
        <v>0</v>
      </c>
      <c r="AL1777" s="11">
        <f t="shared" si="8159"/>
        <v>0</v>
      </c>
      <c r="AM1777" s="25">
        <f>SUM(AM1773:AM1776)</f>
        <v>0</v>
      </c>
      <c r="AO1777" s="10">
        <f>SUM(AO1773:AO1776)</f>
        <v>0</v>
      </c>
      <c r="AP1777" s="11">
        <f t="shared" ref="AP1777:AS1777" si="8160">SUM(AP1773:AP1776)</f>
        <v>0</v>
      </c>
      <c r="AQ1777" s="11">
        <f t="shared" si="8160"/>
        <v>0</v>
      </c>
      <c r="AR1777" s="11">
        <f t="shared" si="8160"/>
        <v>0</v>
      </c>
      <c r="AS1777" s="11">
        <f t="shared" si="8160"/>
        <v>0</v>
      </c>
      <c r="AT1777" s="25">
        <f>SUM(AT1773:AT1776)</f>
        <v>0</v>
      </c>
      <c r="AV1777" s="10">
        <f>SUM(AV1773:AV1776)</f>
        <v>0</v>
      </c>
      <c r="AW1777" s="11">
        <f t="shared" ref="AW1777:AZ1777" si="8161">SUM(AW1773:AW1776)</f>
        <v>0</v>
      </c>
      <c r="AX1777" s="11">
        <f t="shared" si="8161"/>
        <v>0</v>
      </c>
      <c r="AY1777" s="11">
        <f t="shared" si="8161"/>
        <v>0</v>
      </c>
      <c r="AZ1777" s="11">
        <f t="shared" si="8161"/>
        <v>0</v>
      </c>
      <c r="BA1777" s="25">
        <f>SUM(BA1773:BA1776)</f>
        <v>0</v>
      </c>
      <c r="BC1777" s="10">
        <f>SUM(BC1773:BC1776)</f>
        <v>0</v>
      </c>
      <c r="BD1777" s="11">
        <f t="shared" ref="BD1777:BG1777" si="8162">SUM(BD1773:BD1776)</f>
        <v>0</v>
      </c>
      <c r="BE1777" s="11">
        <f t="shared" si="8162"/>
        <v>0</v>
      </c>
      <c r="BF1777" s="11">
        <f t="shared" si="8162"/>
        <v>0</v>
      </c>
      <c r="BG1777" s="11">
        <f t="shared" si="8162"/>
        <v>0</v>
      </c>
      <c r="BH1777" s="25">
        <f>SUM(BH1773:BH1776)</f>
        <v>0</v>
      </c>
      <c r="BJ1777" s="10">
        <f>SUM(BJ1773:BJ1776)</f>
        <v>0</v>
      </c>
      <c r="BK1777" s="11">
        <f t="shared" ref="BK1777:BN1777" si="8163">SUM(BK1773:BK1776)</f>
        <v>0</v>
      </c>
      <c r="BL1777" s="11">
        <f t="shared" si="8163"/>
        <v>0</v>
      </c>
      <c r="BM1777" s="11">
        <f t="shared" si="8163"/>
        <v>0</v>
      </c>
      <c r="BN1777" s="11">
        <f t="shared" si="8163"/>
        <v>0</v>
      </c>
      <c r="BO1777" s="25">
        <f>SUM(BO1773:BO1776)</f>
        <v>0</v>
      </c>
      <c r="BQ1777" s="10">
        <f>SUM(BQ1773:BQ1776)</f>
        <v>0</v>
      </c>
      <c r="BR1777" s="11">
        <f t="shared" ref="BR1777:BU1777" si="8164">SUM(BR1773:BR1776)</f>
        <v>0</v>
      </c>
      <c r="BS1777" s="11">
        <f t="shared" si="8164"/>
        <v>0</v>
      </c>
      <c r="BT1777" s="11">
        <f t="shared" si="8164"/>
        <v>0</v>
      </c>
      <c r="BU1777" s="11">
        <f t="shared" si="8164"/>
        <v>0</v>
      </c>
      <c r="BV1777" s="25">
        <f>SUM(BV1773:BV1776)</f>
        <v>0</v>
      </c>
      <c r="BX1777" s="10">
        <f>SUM(BX1773:BX1776)</f>
        <v>0</v>
      </c>
      <c r="BY1777" s="11">
        <f t="shared" ref="BY1777:CB1777" si="8165">SUM(BY1773:BY1776)</f>
        <v>0</v>
      </c>
      <c r="BZ1777" s="11">
        <f t="shared" si="8165"/>
        <v>0</v>
      </c>
      <c r="CA1777" s="11">
        <f t="shared" si="8165"/>
        <v>0</v>
      </c>
      <c r="CB1777" s="11">
        <f t="shared" si="8165"/>
        <v>0</v>
      </c>
      <c r="CC1777" s="25">
        <f>SUM(CC1773:CC1776)</f>
        <v>0</v>
      </c>
      <c r="CE1777" s="62">
        <f t="shared" ref="CE1777:CJ1777" si="8166">SUM(CE1773:CE1776)</f>
        <v>0</v>
      </c>
      <c r="CF1777" s="63">
        <f t="shared" si="8166"/>
        <v>0</v>
      </c>
      <c r="CG1777" s="63">
        <f t="shared" si="8166"/>
        <v>0</v>
      </c>
      <c r="CH1777" s="63">
        <f t="shared" si="8166"/>
        <v>0</v>
      </c>
      <c r="CI1777" s="63">
        <f t="shared" si="8166"/>
        <v>0</v>
      </c>
      <c r="CJ1777" s="25">
        <f t="shared" si="8166"/>
        <v>0</v>
      </c>
      <c r="CL1777" s="10">
        <f>SUM(CL1773:CL1776)</f>
        <v>0</v>
      </c>
      <c r="CM1777" s="11">
        <f t="shared" ref="CM1777:CP1777" si="8167">SUM(CM1773:CM1776)</f>
        <v>0</v>
      </c>
      <c r="CN1777" s="11">
        <f t="shared" si="8167"/>
        <v>0</v>
      </c>
      <c r="CO1777" s="11">
        <f t="shared" si="8167"/>
        <v>0</v>
      </c>
      <c r="CP1777" s="11">
        <f t="shared" si="8167"/>
        <v>0</v>
      </c>
      <c r="CQ1777" s="25">
        <f>SUM(CQ1773:CQ1776)</f>
        <v>0</v>
      </c>
      <c r="CS1777" s="10">
        <f>SUM(CS1773:CS1776)</f>
        <v>0</v>
      </c>
      <c r="CT1777" s="11">
        <f t="shared" ref="CT1777:CW1777" si="8168">SUM(CT1773:CT1776)</f>
        <v>0</v>
      </c>
      <c r="CU1777" s="11">
        <f t="shared" si="8168"/>
        <v>0</v>
      </c>
      <c r="CV1777" s="11">
        <f t="shared" si="8168"/>
        <v>0</v>
      </c>
      <c r="CW1777" s="11">
        <f t="shared" si="8168"/>
        <v>0</v>
      </c>
      <c r="CX1777" s="25">
        <f>SUM(CX1773:CX1776)</f>
        <v>0</v>
      </c>
      <c r="CZ1777" s="10">
        <f>SUM(CZ1773:CZ1776)</f>
        <v>0</v>
      </c>
      <c r="DA1777" s="11">
        <f t="shared" ref="DA1777:DD1777" si="8169">SUM(DA1773:DA1776)</f>
        <v>0</v>
      </c>
      <c r="DB1777" s="11">
        <f t="shared" si="8169"/>
        <v>0</v>
      </c>
      <c r="DC1777" s="11">
        <f t="shared" si="8169"/>
        <v>0</v>
      </c>
      <c r="DD1777" s="11">
        <f t="shared" si="8169"/>
        <v>0</v>
      </c>
      <c r="DE1777" s="25">
        <f>SUM(DE1773:DE1776)</f>
        <v>0</v>
      </c>
    </row>
    <row r="1778" spans="3:109" ht="10.4" customHeight="1" thickBot="1"/>
    <row r="1779" spans="3:109">
      <c r="C1779" s="553">
        <v>2026</v>
      </c>
      <c r="E1779" s="1" t="s">
        <v>59</v>
      </c>
      <c r="F1779" s="21">
        <f>CE1773</f>
        <v>0</v>
      </c>
      <c r="G1779" s="22">
        <f t="shared" ref="G1779:G1782" si="8170">CF1773</f>
        <v>0</v>
      </c>
      <c r="H1779" s="22">
        <f t="shared" ref="H1779:H1782" si="8171">CG1773</f>
        <v>0</v>
      </c>
      <c r="I1779" s="22">
        <f t="shared" ref="I1779:I1782" si="8172">CH1773</f>
        <v>0</v>
      </c>
      <c r="J1779" s="22">
        <f t="shared" ref="J1779:J1782" si="8173">CI1773</f>
        <v>0</v>
      </c>
      <c r="K1779" s="4">
        <f>SUM(F1779:J1779)</f>
        <v>0</v>
      </c>
      <c r="M1779" s="2"/>
      <c r="N1779" s="3"/>
      <c r="O1779" s="3"/>
      <c r="P1779" s="3"/>
      <c r="Q1779" s="3"/>
      <c r="R1779" s="4">
        <f>SUM(M1779:Q1779)</f>
        <v>0</v>
      </c>
      <c r="T1779" s="2"/>
      <c r="U1779" s="3"/>
      <c r="V1779" s="3"/>
      <c r="W1779" s="3"/>
      <c r="X1779" s="3"/>
      <c r="Y1779" s="4">
        <f>SUM(T1779:X1779)</f>
        <v>0</v>
      </c>
      <c r="AA1779" s="2"/>
      <c r="AB1779" s="3"/>
      <c r="AC1779" s="3"/>
      <c r="AD1779" s="3"/>
      <c r="AE1779" s="3"/>
      <c r="AF1779" s="4">
        <f>SUM(AA1779:AE1779)</f>
        <v>0</v>
      </c>
      <c r="AH1779" s="2"/>
      <c r="AI1779" s="3"/>
      <c r="AJ1779" s="3"/>
      <c r="AK1779" s="3"/>
      <c r="AL1779" s="3"/>
      <c r="AM1779" s="4">
        <f>SUM(AH1779:AL1779)</f>
        <v>0</v>
      </c>
      <c r="AO1779" s="2"/>
      <c r="AP1779" s="3"/>
      <c r="AQ1779" s="3"/>
      <c r="AR1779" s="3"/>
      <c r="AS1779" s="3"/>
      <c r="AT1779" s="4">
        <f>SUM(AO1779:AS1779)</f>
        <v>0</v>
      </c>
      <c r="AV1779" s="2"/>
      <c r="AW1779" s="3"/>
      <c r="AX1779" s="3"/>
      <c r="AY1779" s="3"/>
      <c r="AZ1779" s="3"/>
      <c r="BA1779" s="4">
        <f>SUM(AV1779:AZ1779)</f>
        <v>0</v>
      </c>
      <c r="BC1779" s="2"/>
      <c r="BD1779" s="3"/>
      <c r="BE1779" s="3"/>
      <c r="BF1779" s="3"/>
      <c r="BG1779" s="3"/>
      <c r="BH1779" s="4">
        <f>SUM(BC1779:BG1779)</f>
        <v>0</v>
      </c>
      <c r="BJ1779" s="2"/>
      <c r="BK1779" s="3"/>
      <c r="BL1779" s="3"/>
      <c r="BM1779" s="3"/>
      <c r="BN1779" s="3"/>
      <c r="BO1779" s="4">
        <f>SUM(BJ1779:BN1779)</f>
        <v>0</v>
      </c>
      <c r="BQ1779" s="2"/>
      <c r="BR1779" s="3"/>
      <c r="BS1779" s="3"/>
      <c r="BT1779" s="3"/>
      <c r="BU1779" s="3"/>
      <c r="BV1779" s="4">
        <f>SUM(BQ1779:BU1779)</f>
        <v>0</v>
      </c>
      <c r="BX1779" s="2"/>
      <c r="BY1779" s="3"/>
      <c r="BZ1779" s="3"/>
      <c r="CA1779" s="3"/>
      <c r="CB1779" s="3"/>
      <c r="CC1779" s="4">
        <f>SUM(BX1779:CB1779)</f>
        <v>0</v>
      </c>
      <c r="CE1779" s="26">
        <f t="shared" ref="CE1779:CE1782" si="8174">F1779+M1779+T1779+AA1779+AH1779+AO1779+AV1779+BC1779+BJ1779+BQ1779+BX1779</f>
        <v>0</v>
      </c>
      <c r="CF1779" s="27">
        <f t="shared" ref="CF1779:CF1782" si="8175">G1779+N1779+U1779+AB1779+AI1779+AP1779+AW1779+BD1779+BK1779+BR1779+BY1779</f>
        <v>0</v>
      </c>
      <c r="CG1779" s="27">
        <f t="shared" ref="CG1779:CG1782" si="8176">H1779+O1779+V1779+AC1779+AJ1779+AQ1779+AX1779+BE1779+BL1779+BS1779+BZ1779</f>
        <v>0</v>
      </c>
      <c r="CH1779" s="27">
        <f t="shared" ref="CH1779:CH1782" si="8177">I1779+P1779+W1779+AD1779+AK1779+AR1779+AY1779+BF1779+BM1779+BT1779+CA1779</f>
        <v>0</v>
      </c>
      <c r="CI1779" s="27">
        <f t="shared" ref="CI1779:CI1782" si="8178">J1779+Q1779+X1779+AE1779+AL1779+AS1779+AZ1779+BG1779+BN1779+BU1779+CB1779</f>
        <v>0</v>
      </c>
      <c r="CJ1779" s="4">
        <f>SUM(CE1779:CI1779)</f>
        <v>0</v>
      </c>
      <c r="CL1779" s="2"/>
      <c r="CM1779" s="3"/>
      <c r="CN1779" s="3"/>
      <c r="CO1779" s="3"/>
      <c r="CP1779" s="3"/>
      <c r="CQ1779" s="4">
        <f>SUM(CL1779:CP1779)</f>
        <v>0</v>
      </c>
      <c r="CS1779" s="2"/>
      <c r="CT1779" s="3"/>
      <c r="CU1779" s="3"/>
      <c r="CV1779" s="3"/>
      <c r="CW1779" s="3"/>
      <c r="CX1779" s="4">
        <f>SUM(CS1779:CW1779)</f>
        <v>0</v>
      </c>
      <c r="CZ1779" s="2"/>
      <c r="DA1779" s="3"/>
      <c r="DB1779" s="3"/>
      <c r="DC1779" s="3"/>
      <c r="DD1779" s="3"/>
      <c r="DE1779" s="4">
        <f>SUM(CZ1779:DD1779)</f>
        <v>0</v>
      </c>
    </row>
    <row r="1780" spans="3:109">
      <c r="C1780" s="567"/>
      <c r="E1780" s="5" t="s">
        <v>60</v>
      </c>
      <c r="F1780" s="23">
        <f t="shared" ref="F1780:F1782" si="8179">CE1774</f>
        <v>0</v>
      </c>
      <c r="G1780" s="24">
        <f t="shared" si="8170"/>
        <v>0</v>
      </c>
      <c r="H1780" s="24">
        <f t="shared" si="8171"/>
        <v>0</v>
      </c>
      <c r="I1780" s="24">
        <f t="shared" si="8172"/>
        <v>0</v>
      </c>
      <c r="J1780" s="24">
        <f t="shared" si="8173"/>
        <v>0</v>
      </c>
      <c r="K1780" s="8">
        <f t="shared" ref="K1780:K1782" si="8180">SUM(F1780:J1780)</f>
        <v>0</v>
      </c>
      <c r="M1780" s="6"/>
      <c r="N1780" s="7"/>
      <c r="O1780" s="7"/>
      <c r="P1780" s="7"/>
      <c r="Q1780" s="7"/>
      <c r="R1780" s="8">
        <f t="shared" ref="R1780:R1782" si="8181">SUM(M1780:Q1780)</f>
        <v>0</v>
      </c>
      <c r="T1780" s="6"/>
      <c r="U1780" s="7"/>
      <c r="V1780" s="7"/>
      <c r="W1780" s="7"/>
      <c r="X1780" s="7"/>
      <c r="Y1780" s="8">
        <f t="shared" ref="Y1780:Y1782" si="8182">SUM(T1780:X1780)</f>
        <v>0</v>
      </c>
      <c r="AA1780" s="6"/>
      <c r="AB1780" s="7"/>
      <c r="AC1780" s="7"/>
      <c r="AD1780" s="7"/>
      <c r="AE1780" s="7"/>
      <c r="AF1780" s="8">
        <f>SUM(AA1780:AE1780)</f>
        <v>0</v>
      </c>
      <c r="AH1780" s="6"/>
      <c r="AI1780" s="7"/>
      <c r="AJ1780" s="7"/>
      <c r="AK1780" s="7"/>
      <c r="AL1780" s="7"/>
      <c r="AM1780" s="8">
        <f>SUM(AH1780:AL1780)</f>
        <v>0</v>
      </c>
      <c r="AO1780" s="6"/>
      <c r="AP1780" s="7"/>
      <c r="AQ1780" s="7"/>
      <c r="AR1780" s="7"/>
      <c r="AS1780" s="7"/>
      <c r="AT1780" s="8">
        <f>SUM(AO1780:AS1780)</f>
        <v>0</v>
      </c>
      <c r="AV1780" s="6"/>
      <c r="AW1780" s="7"/>
      <c r="AX1780" s="7"/>
      <c r="AY1780" s="7"/>
      <c r="AZ1780" s="7"/>
      <c r="BA1780" s="8">
        <f>SUM(AV1780:AZ1780)</f>
        <v>0</v>
      </c>
      <c r="BC1780" s="6"/>
      <c r="BD1780" s="7"/>
      <c r="BE1780" s="7"/>
      <c r="BF1780" s="7"/>
      <c r="BG1780" s="7"/>
      <c r="BH1780" s="8">
        <f>SUM(BC1780:BG1780)</f>
        <v>0</v>
      </c>
      <c r="BJ1780" s="6"/>
      <c r="BK1780" s="7"/>
      <c r="BL1780" s="7"/>
      <c r="BM1780" s="7"/>
      <c r="BN1780" s="7"/>
      <c r="BO1780" s="8">
        <f>SUM(BJ1780:BN1780)</f>
        <v>0</v>
      </c>
      <c r="BQ1780" s="6"/>
      <c r="BR1780" s="7"/>
      <c r="BS1780" s="7"/>
      <c r="BT1780" s="7"/>
      <c r="BU1780" s="7"/>
      <c r="BV1780" s="8">
        <f>SUM(BQ1780:BU1780)</f>
        <v>0</v>
      </c>
      <c r="BX1780" s="6"/>
      <c r="BY1780" s="7"/>
      <c r="BZ1780" s="7"/>
      <c r="CA1780" s="7"/>
      <c r="CB1780" s="7"/>
      <c r="CC1780" s="8">
        <f>SUM(BX1780:CB1780)</f>
        <v>0</v>
      </c>
      <c r="CE1780" s="28">
        <f t="shared" si="8174"/>
        <v>0</v>
      </c>
      <c r="CF1780" s="29">
        <f t="shared" si="8175"/>
        <v>0</v>
      </c>
      <c r="CG1780" s="29">
        <f t="shared" si="8176"/>
        <v>0</v>
      </c>
      <c r="CH1780" s="29">
        <f t="shared" si="8177"/>
        <v>0</v>
      </c>
      <c r="CI1780" s="29">
        <f t="shared" si="8178"/>
        <v>0</v>
      </c>
      <c r="CJ1780" s="8">
        <f>SUM(CE1780:CI1780)</f>
        <v>0</v>
      </c>
      <c r="CL1780" s="6"/>
      <c r="CM1780" s="7"/>
      <c r="CN1780" s="7"/>
      <c r="CO1780" s="7"/>
      <c r="CP1780" s="7"/>
      <c r="CQ1780" s="8">
        <f>SUM(CL1780:CP1780)</f>
        <v>0</v>
      </c>
      <c r="CS1780" s="6"/>
      <c r="CT1780" s="7"/>
      <c r="CU1780" s="7"/>
      <c r="CV1780" s="7"/>
      <c r="CW1780" s="7"/>
      <c r="CX1780" s="8">
        <f t="shared" ref="CX1780:CX1782" si="8183">SUM(CS1780:CW1780)</f>
        <v>0</v>
      </c>
      <c r="CZ1780" s="6"/>
      <c r="DA1780" s="7"/>
      <c r="DB1780" s="7"/>
      <c r="DC1780" s="7"/>
      <c r="DD1780" s="7"/>
      <c r="DE1780" s="8">
        <f t="shared" ref="DE1780:DE1782" si="8184">SUM(CZ1780:DD1780)</f>
        <v>0</v>
      </c>
    </row>
    <row r="1781" spans="3:109">
      <c r="C1781" s="567"/>
      <c r="E1781" s="5" t="s">
        <v>61</v>
      </c>
      <c r="F1781" s="23">
        <f t="shared" si="8179"/>
        <v>0</v>
      </c>
      <c r="G1781" s="24">
        <f t="shared" si="8170"/>
        <v>0</v>
      </c>
      <c r="H1781" s="24">
        <f t="shared" si="8171"/>
        <v>0</v>
      </c>
      <c r="I1781" s="24">
        <f t="shared" si="8172"/>
        <v>0</v>
      </c>
      <c r="J1781" s="24">
        <f t="shared" si="8173"/>
        <v>0</v>
      </c>
      <c r="K1781" s="8">
        <f t="shared" si="8180"/>
        <v>0</v>
      </c>
      <c r="M1781" s="6"/>
      <c r="N1781" s="7"/>
      <c r="O1781" s="7"/>
      <c r="P1781" s="7"/>
      <c r="Q1781" s="7"/>
      <c r="R1781" s="8">
        <f t="shared" si="8181"/>
        <v>0</v>
      </c>
      <c r="T1781" s="6"/>
      <c r="U1781" s="7"/>
      <c r="V1781" s="7"/>
      <c r="W1781" s="7"/>
      <c r="X1781" s="7"/>
      <c r="Y1781" s="8">
        <f t="shared" si="8182"/>
        <v>0</v>
      </c>
      <c r="AA1781" s="6"/>
      <c r="AB1781" s="7"/>
      <c r="AC1781" s="7"/>
      <c r="AD1781" s="7"/>
      <c r="AE1781" s="7"/>
      <c r="AF1781" s="8">
        <f>SUM(AA1781:AE1781)</f>
        <v>0</v>
      </c>
      <c r="AH1781" s="6"/>
      <c r="AI1781" s="7"/>
      <c r="AJ1781" s="7"/>
      <c r="AK1781" s="7"/>
      <c r="AL1781" s="7"/>
      <c r="AM1781" s="8">
        <f>SUM(AH1781:AL1781)</f>
        <v>0</v>
      </c>
      <c r="AO1781" s="6"/>
      <c r="AP1781" s="7"/>
      <c r="AQ1781" s="7"/>
      <c r="AR1781" s="7"/>
      <c r="AS1781" s="7"/>
      <c r="AT1781" s="8">
        <f>SUM(AO1781:AS1781)</f>
        <v>0</v>
      </c>
      <c r="AV1781" s="6"/>
      <c r="AW1781" s="7"/>
      <c r="AX1781" s="7"/>
      <c r="AY1781" s="7"/>
      <c r="AZ1781" s="7"/>
      <c r="BA1781" s="8">
        <f>SUM(AV1781:AZ1781)</f>
        <v>0</v>
      </c>
      <c r="BC1781" s="6"/>
      <c r="BD1781" s="7"/>
      <c r="BE1781" s="7"/>
      <c r="BF1781" s="7"/>
      <c r="BG1781" s="7"/>
      <c r="BH1781" s="8">
        <f>SUM(BC1781:BG1781)</f>
        <v>0</v>
      </c>
      <c r="BJ1781" s="6"/>
      <c r="BK1781" s="7"/>
      <c r="BL1781" s="7"/>
      <c r="BM1781" s="7"/>
      <c r="BN1781" s="7"/>
      <c r="BO1781" s="8">
        <f>SUM(BJ1781:BN1781)</f>
        <v>0</v>
      </c>
      <c r="BQ1781" s="6"/>
      <c r="BR1781" s="7"/>
      <c r="BS1781" s="7"/>
      <c r="BT1781" s="7"/>
      <c r="BU1781" s="7"/>
      <c r="BV1781" s="8">
        <f>SUM(BQ1781:BU1781)</f>
        <v>0</v>
      </c>
      <c r="BX1781" s="6"/>
      <c r="BY1781" s="7"/>
      <c r="BZ1781" s="7"/>
      <c r="CA1781" s="7"/>
      <c r="CB1781" s="7"/>
      <c r="CC1781" s="8">
        <f>SUM(BX1781:CB1781)</f>
        <v>0</v>
      </c>
      <c r="CE1781" s="28">
        <f t="shared" si="8174"/>
        <v>0</v>
      </c>
      <c r="CF1781" s="29">
        <f t="shared" si="8175"/>
        <v>0</v>
      </c>
      <c r="CG1781" s="29">
        <f t="shared" si="8176"/>
        <v>0</v>
      </c>
      <c r="CH1781" s="29">
        <f t="shared" si="8177"/>
        <v>0</v>
      </c>
      <c r="CI1781" s="29">
        <f t="shared" si="8178"/>
        <v>0</v>
      </c>
      <c r="CJ1781" s="8">
        <f>SUM(CE1781:CI1781)</f>
        <v>0</v>
      </c>
      <c r="CL1781" s="6"/>
      <c r="CM1781" s="7"/>
      <c r="CN1781" s="7"/>
      <c r="CO1781" s="7"/>
      <c r="CP1781" s="7"/>
      <c r="CQ1781" s="8">
        <f>SUM(CL1781:CP1781)</f>
        <v>0</v>
      </c>
      <c r="CS1781" s="6"/>
      <c r="CT1781" s="7"/>
      <c r="CU1781" s="7"/>
      <c r="CV1781" s="7"/>
      <c r="CW1781" s="7"/>
      <c r="CX1781" s="8">
        <f t="shared" si="8183"/>
        <v>0</v>
      </c>
      <c r="CZ1781" s="6"/>
      <c r="DA1781" s="7"/>
      <c r="DB1781" s="7"/>
      <c r="DC1781" s="7"/>
      <c r="DD1781" s="7"/>
      <c r="DE1781" s="8">
        <f t="shared" si="8184"/>
        <v>0</v>
      </c>
    </row>
    <row r="1782" spans="3:109" ht="14" thickBot="1">
      <c r="C1782" s="567"/>
      <c r="E1782" s="5" t="s">
        <v>62</v>
      </c>
      <c r="F1782" s="23">
        <f t="shared" si="8179"/>
        <v>0</v>
      </c>
      <c r="G1782" s="24">
        <f t="shared" si="8170"/>
        <v>0</v>
      </c>
      <c r="H1782" s="24">
        <f t="shared" si="8171"/>
        <v>0</v>
      </c>
      <c r="I1782" s="24">
        <f t="shared" si="8172"/>
        <v>0</v>
      </c>
      <c r="J1782" s="24">
        <f t="shared" si="8173"/>
        <v>0</v>
      </c>
      <c r="K1782" s="8">
        <f t="shared" si="8180"/>
        <v>0</v>
      </c>
      <c r="M1782" s="6"/>
      <c r="N1782" s="7"/>
      <c r="O1782" s="7"/>
      <c r="P1782" s="7"/>
      <c r="Q1782" s="7"/>
      <c r="R1782" s="8">
        <f t="shared" si="8181"/>
        <v>0</v>
      </c>
      <c r="T1782" s="6"/>
      <c r="U1782" s="7"/>
      <c r="V1782" s="7"/>
      <c r="W1782" s="7"/>
      <c r="X1782" s="7"/>
      <c r="Y1782" s="8">
        <f t="shared" si="8182"/>
        <v>0</v>
      </c>
      <c r="AA1782" s="6"/>
      <c r="AB1782" s="7"/>
      <c r="AC1782" s="7"/>
      <c r="AD1782" s="7"/>
      <c r="AE1782" s="7"/>
      <c r="AF1782" s="8">
        <f>SUM(AA1782:AE1782)</f>
        <v>0</v>
      </c>
      <c r="AH1782" s="6"/>
      <c r="AI1782" s="7"/>
      <c r="AJ1782" s="7"/>
      <c r="AK1782" s="7"/>
      <c r="AL1782" s="7"/>
      <c r="AM1782" s="8">
        <f>SUM(AH1782:AL1782)</f>
        <v>0</v>
      </c>
      <c r="AO1782" s="6"/>
      <c r="AP1782" s="7"/>
      <c r="AQ1782" s="7"/>
      <c r="AR1782" s="7"/>
      <c r="AS1782" s="7"/>
      <c r="AT1782" s="8">
        <f>SUM(AO1782:AS1782)</f>
        <v>0</v>
      </c>
      <c r="AV1782" s="6"/>
      <c r="AW1782" s="7"/>
      <c r="AX1782" s="7"/>
      <c r="AY1782" s="7"/>
      <c r="AZ1782" s="7"/>
      <c r="BA1782" s="8">
        <f>SUM(AV1782:AZ1782)</f>
        <v>0</v>
      </c>
      <c r="BC1782" s="6"/>
      <c r="BD1782" s="7"/>
      <c r="BE1782" s="7"/>
      <c r="BF1782" s="7"/>
      <c r="BG1782" s="7"/>
      <c r="BH1782" s="8">
        <f>SUM(BC1782:BG1782)</f>
        <v>0</v>
      </c>
      <c r="BJ1782" s="6"/>
      <c r="BK1782" s="7"/>
      <c r="BL1782" s="7"/>
      <c r="BM1782" s="7"/>
      <c r="BN1782" s="7"/>
      <c r="BO1782" s="8">
        <f>SUM(BJ1782:BN1782)</f>
        <v>0</v>
      </c>
      <c r="BQ1782" s="6"/>
      <c r="BR1782" s="7"/>
      <c r="BS1782" s="7"/>
      <c r="BT1782" s="7"/>
      <c r="BU1782" s="7"/>
      <c r="BV1782" s="8">
        <f>SUM(BQ1782:BU1782)</f>
        <v>0</v>
      </c>
      <c r="BX1782" s="6"/>
      <c r="BY1782" s="7"/>
      <c r="BZ1782" s="7"/>
      <c r="CA1782" s="7"/>
      <c r="CB1782" s="7"/>
      <c r="CC1782" s="8">
        <f>SUM(BX1782:CB1782)</f>
        <v>0</v>
      </c>
      <c r="CE1782" s="493">
        <f t="shared" si="8174"/>
        <v>0</v>
      </c>
      <c r="CF1782" s="494">
        <f t="shared" si="8175"/>
        <v>0</v>
      </c>
      <c r="CG1782" s="494">
        <f t="shared" si="8176"/>
        <v>0</v>
      </c>
      <c r="CH1782" s="494">
        <f t="shared" si="8177"/>
        <v>0</v>
      </c>
      <c r="CI1782" s="494">
        <f t="shared" si="8178"/>
        <v>0</v>
      </c>
      <c r="CJ1782" s="495">
        <f>SUM(CE1782:CI1782)</f>
        <v>0</v>
      </c>
      <c r="CL1782" s="6"/>
      <c r="CM1782" s="7"/>
      <c r="CN1782" s="7"/>
      <c r="CO1782" s="7"/>
      <c r="CP1782" s="7"/>
      <c r="CQ1782" s="8">
        <f>SUM(CL1782:CP1782)</f>
        <v>0</v>
      </c>
      <c r="CS1782" s="6"/>
      <c r="CT1782" s="7"/>
      <c r="CU1782" s="7"/>
      <c r="CV1782" s="7"/>
      <c r="CW1782" s="7"/>
      <c r="CX1782" s="8">
        <f t="shared" si="8183"/>
        <v>0</v>
      </c>
      <c r="CZ1782" s="6"/>
      <c r="DA1782" s="7"/>
      <c r="DB1782" s="7"/>
      <c r="DC1782" s="7"/>
      <c r="DD1782" s="7"/>
      <c r="DE1782" s="8">
        <f t="shared" si="8184"/>
        <v>0</v>
      </c>
    </row>
    <row r="1783" spans="3:109" ht="14" thickBot="1">
      <c r="C1783" s="554"/>
      <c r="E1783" s="9"/>
      <c r="F1783" s="10">
        <f>SUM(F1779:F1782)</f>
        <v>0</v>
      </c>
      <c r="G1783" s="11">
        <f t="shared" ref="G1783:J1783" si="8185">SUM(G1779:G1782)</f>
        <v>0</v>
      </c>
      <c r="H1783" s="11">
        <f t="shared" si="8185"/>
        <v>0</v>
      </c>
      <c r="I1783" s="11">
        <f t="shared" si="8185"/>
        <v>0</v>
      </c>
      <c r="J1783" s="11">
        <f t="shared" si="8185"/>
        <v>0</v>
      </c>
      <c r="K1783" s="25">
        <f>SUM(K1779:K1782)</f>
        <v>0</v>
      </c>
      <c r="M1783" s="10">
        <f>SUM(M1779:M1782)</f>
        <v>0</v>
      </c>
      <c r="N1783" s="11">
        <f t="shared" ref="N1783:Q1783" si="8186">SUM(N1779:N1782)</f>
        <v>0</v>
      </c>
      <c r="O1783" s="11">
        <f t="shared" si="8186"/>
        <v>0</v>
      </c>
      <c r="P1783" s="11">
        <f t="shared" si="8186"/>
        <v>0</v>
      </c>
      <c r="Q1783" s="11">
        <f t="shared" si="8186"/>
        <v>0</v>
      </c>
      <c r="R1783" s="25">
        <f>SUM(R1779:R1782)</f>
        <v>0</v>
      </c>
      <c r="T1783" s="10">
        <f>SUM(T1779:T1782)</f>
        <v>0</v>
      </c>
      <c r="U1783" s="11">
        <f t="shared" ref="U1783:X1783" si="8187">SUM(U1779:U1782)</f>
        <v>0</v>
      </c>
      <c r="V1783" s="11">
        <f t="shared" si="8187"/>
        <v>0</v>
      </c>
      <c r="W1783" s="11">
        <f t="shared" si="8187"/>
        <v>0</v>
      </c>
      <c r="X1783" s="11">
        <f t="shared" si="8187"/>
        <v>0</v>
      </c>
      <c r="Y1783" s="25">
        <f>SUM(Y1779:Y1782)</f>
        <v>0</v>
      </c>
      <c r="AA1783" s="10">
        <f>SUM(AA1779:AA1782)</f>
        <v>0</v>
      </c>
      <c r="AB1783" s="11">
        <f t="shared" ref="AB1783:AE1783" si="8188">SUM(AB1779:AB1782)</f>
        <v>0</v>
      </c>
      <c r="AC1783" s="11">
        <f t="shared" si="8188"/>
        <v>0</v>
      </c>
      <c r="AD1783" s="11">
        <f t="shared" si="8188"/>
        <v>0</v>
      </c>
      <c r="AE1783" s="11">
        <f t="shared" si="8188"/>
        <v>0</v>
      </c>
      <c r="AF1783" s="25">
        <f>SUM(AF1779:AF1782)</f>
        <v>0</v>
      </c>
      <c r="AH1783" s="10">
        <f>SUM(AH1779:AH1782)</f>
        <v>0</v>
      </c>
      <c r="AI1783" s="11">
        <f t="shared" ref="AI1783:AL1783" si="8189">SUM(AI1779:AI1782)</f>
        <v>0</v>
      </c>
      <c r="AJ1783" s="11">
        <f t="shared" si="8189"/>
        <v>0</v>
      </c>
      <c r="AK1783" s="11">
        <f t="shared" si="8189"/>
        <v>0</v>
      </c>
      <c r="AL1783" s="11">
        <f t="shared" si="8189"/>
        <v>0</v>
      </c>
      <c r="AM1783" s="25">
        <f>SUM(AM1779:AM1782)</f>
        <v>0</v>
      </c>
      <c r="AO1783" s="10">
        <f>SUM(AO1779:AO1782)</f>
        <v>0</v>
      </c>
      <c r="AP1783" s="11">
        <f t="shared" ref="AP1783:AS1783" si="8190">SUM(AP1779:AP1782)</f>
        <v>0</v>
      </c>
      <c r="AQ1783" s="11">
        <f t="shared" si="8190"/>
        <v>0</v>
      </c>
      <c r="AR1783" s="11">
        <f t="shared" si="8190"/>
        <v>0</v>
      </c>
      <c r="AS1783" s="11">
        <f t="shared" si="8190"/>
        <v>0</v>
      </c>
      <c r="AT1783" s="25">
        <f>SUM(AT1779:AT1782)</f>
        <v>0</v>
      </c>
      <c r="AV1783" s="10">
        <f>SUM(AV1779:AV1782)</f>
        <v>0</v>
      </c>
      <c r="AW1783" s="11">
        <f t="shared" ref="AW1783:AZ1783" si="8191">SUM(AW1779:AW1782)</f>
        <v>0</v>
      </c>
      <c r="AX1783" s="11">
        <f t="shared" si="8191"/>
        <v>0</v>
      </c>
      <c r="AY1783" s="11">
        <f t="shared" si="8191"/>
        <v>0</v>
      </c>
      <c r="AZ1783" s="11">
        <f t="shared" si="8191"/>
        <v>0</v>
      </c>
      <c r="BA1783" s="25">
        <f>SUM(BA1779:BA1782)</f>
        <v>0</v>
      </c>
      <c r="BC1783" s="10">
        <f>SUM(BC1779:BC1782)</f>
        <v>0</v>
      </c>
      <c r="BD1783" s="11">
        <f t="shared" ref="BD1783:BG1783" si="8192">SUM(BD1779:BD1782)</f>
        <v>0</v>
      </c>
      <c r="BE1783" s="11">
        <f t="shared" si="8192"/>
        <v>0</v>
      </c>
      <c r="BF1783" s="11">
        <f t="shared" si="8192"/>
        <v>0</v>
      </c>
      <c r="BG1783" s="11">
        <f t="shared" si="8192"/>
        <v>0</v>
      </c>
      <c r="BH1783" s="25">
        <f>SUM(BH1779:BH1782)</f>
        <v>0</v>
      </c>
      <c r="BJ1783" s="10">
        <f>SUM(BJ1779:BJ1782)</f>
        <v>0</v>
      </c>
      <c r="BK1783" s="11">
        <f t="shared" ref="BK1783:BN1783" si="8193">SUM(BK1779:BK1782)</f>
        <v>0</v>
      </c>
      <c r="BL1783" s="11">
        <f t="shared" si="8193"/>
        <v>0</v>
      </c>
      <c r="BM1783" s="11">
        <f t="shared" si="8193"/>
        <v>0</v>
      </c>
      <c r="BN1783" s="11">
        <f t="shared" si="8193"/>
        <v>0</v>
      </c>
      <c r="BO1783" s="25">
        <f>SUM(BO1779:BO1782)</f>
        <v>0</v>
      </c>
      <c r="BQ1783" s="10">
        <f>SUM(BQ1779:BQ1782)</f>
        <v>0</v>
      </c>
      <c r="BR1783" s="11">
        <f t="shared" ref="BR1783:BU1783" si="8194">SUM(BR1779:BR1782)</f>
        <v>0</v>
      </c>
      <c r="BS1783" s="11">
        <f t="shared" si="8194"/>
        <v>0</v>
      </c>
      <c r="BT1783" s="11">
        <f t="shared" si="8194"/>
        <v>0</v>
      </c>
      <c r="BU1783" s="11">
        <f t="shared" si="8194"/>
        <v>0</v>
      </c>
      <c r="BV1783" s="25">
        <f>SUM(BV1779:BV1782)</f>
        <v>0</v>
      </c>
      <c r="BX1783" s="10">
        <f>SUM(BX1779:BX1782)</f>
        <v>0</v>
      </c>
      <c r="BY1783" s="11">
        <f t="shared" ref="BY1783:CB1783" si="8195">SUM(BY1779:BY1782)</f>
        <v>0</v>
      </c>
      <c r="BZ1783" s="11">
        <f t="shared" si="8195"/>
        <v>0</v>
      </c>
      <c r="CA1783" s="11">
        <f t="shared" si="8195"/>
        <v>0</v>
      </c>
      <c r="CB1783" s="11">
        <f t="shared" si="8195"/>
        <v>0</v>
      </c>
      <c r="CC1783" s="25">
        <f>SUM(CC1779:CC1782)</f>
        <v>0</v>
      </c>
      <c r="CE1783" s="62">
        <f t="shared" ref="CE1783:CJ1783" si="8196">SUM(CE1779:CE1782)</f>
        <v>0</v>
      </c>
      <c r="CF1783" s="63">
        <f t="shared" si="8196"/>
        <v>0</v>
      </c>
      <c r="CG1783" s="63">
        <f t="shared" si="8196"/>
        <v>0</v>
      </c>
      <c r="CH1783" s="63">
        <f t="shared" si="8196"/>
        <v>0</v>
      </c>
      <c r="CI1783" s="63">
        <f t="shared" si="8196"/>
        <v>0</v>
      </c>
      <c r="CJ1783" s="25">
        <f t="shared" si="8196"/>
        <v>0</v>
      </c>
      <c r="CL1783" s="10">
        <f>SUM(CL1779:CL1782)</f>
        <v>0</v>
      </c>
      <c r="CM1783" s="11">
        <f t="shared" ref="CM1783:CP1783" si="8197">SUM(CM1779:CM1782)</f>
        <v>0</v>
      </c>
      <c r="CN1783" s="11">
        <f t="shared" si="8197"/>
        <v>0</v>
      </c>
      <c r="CO1783" s="11">
        <f t="shared" si="8197"/>
        <v>0</v>
      </c>
      <c r="CP1783" s="11">
        <f t="shared" si="8197"/>
        <v>0</v>
      </c>
      <c r="CQ1783" s="25">
        <f>SUM(CQ1779:CQ1782)</f>
        <v>0</v>
      </c>
      <c r="CS1783" s="10">
        <f>SUM(CS1779:CS1782)</f>
        <v>0</v>
      </c>
      <c r="CT1783" s="11">
        <f t="shared" ref="CT1783:CW1783" si="8198">SUM(CT1779:CT1782)</f>
        <v>0</v>
      </c>
      <c r="CU1783" s="11">
        <f t="shared" si="8198"/>
        <v>0</v>
      </c>
      <c r="CV1783" s="11">
        <f t="shared" si="8198"/>
        <v>0</v>
      </c>
      <c r="CW1783" s="11">
        <f t="shared" si="8198"/>
        <v>0</v>
      </c>
      <c r="CX1783" s="25">
        <f>SUM(CX1779:CX1782)</f>
        <v>0</v>
      </c>
      <c r="CZ1783" s="10">
        <f>SUM(CZ1779:CZ1782)</f>
        <v>0</v>
      </c>
      <c r="DA1783" s="11">
        <f t="shared" ref="DA1783:DD1783" si="8199">SUM(DA1779:DA1782)</f>
        <v>0</v>
      </c>
      <c r="DB1783" s="11">
        <f t="shared" si="8199"/>
        <v>0</v>
      </c>
      <c r="DC1783" s="11">
        <f t="shared" si="8199"/>
        <v>0</v>
      </c>
      <c r="DD1783" s="11">
        <f t="shared" si="8199"/>
        <v>0</v>
      </c>
      <c r="DE1783" s="25">
        <f>SUM(DE1779:DE1782)</f>
        <v>0</v>
      </c>
    </row>
    <row r="1784" spans="3:109" ht="10.4" customHeight="1" thickBot="1"/>
    <row r="1785" spans="3:109">
      <c r="C1785" s="553">
        <v>2027</v>
      </c>
      <c r="E1785" s="1" t="s">
        <v>59</v>
      </c>
      <c r="F1785" s="21">
        <f>CE1779</f>
        <v>0</v>
      </c>
      <c r="G1785" s="22">
        <f t="shared" ref="G1785:G1788" si="8200">CF1779</f>
        <v>0</v>
      </c>
      <c r="H1785" s="22">
        <f t="shared" ref="H1785:H1788" si="8201">CG1779</f>
        <v>0</v>
      </c>
      <c r="I1785" s="22">
        <f t="shared" ref="I1785:I1788" si="8202">CH1779</f>
        <v>0</v>
      </c>
      <c r="J1785" s="22">
        <f t="shared" ref="J1785:J1788" si="8203">CI1779</f>
        <v>0</v>
      </c>
      <c r="K1785" s="4">
        <f>SUM(F1785:J1785)</f>
        <v>0</v>
      </c>
      <c r="M1785" s="2"/>
      <c r="N1785" s="3"/>
      <c r="O1785" s="3"/>
      <c r="P1785" s="3"/>
      <c r="Q1785" s="3"/>
      <c r="R1785" s="4">
        <f>SUM(M1785:Q1785)</f>
        <v>0</v>
      </c>
      <c r="T1785" s="2"/>
      <c r="U1785" s="3"/>
      <c r="V1785" s="3"/>
      <c r="W1785" s="3"/>
      <c r="X1785" s="3"/>
      <c r="Y1785" s="4">
        <f>SUM(T1785:X1785)</f>
        <v>0</v>
      </c>
      <c r="AA1785" s="2"/>
      <c r="AB1785" s="3"/>
      <c r="AC1785" s="3"/>
      <c r="AD1785" s="3"/>
      <c r="AE1785" s="3"/>
      <c r="AF1785" s="4">
        <f>SUM(AA1785:AE1785)</f>
        <v>0</v>
      </c>
      <c r="AH1785" s="2"/>
      <c r="AI1785" s="3"/>
      <c r="AJ1785" s="3"/>
      <c r="AK1785" s="3"/>
      <c r="AL1785" s="3"/>
      <c r="AM1785" s="4">
        <f>SUM(AH1785:AL1785)</f>
        <v>0</v>
      </c>
      <c r="AO1785" s="2"/>
      <c r="AP1785" s="3"/>
      <c r="AQ1785" s="3"/>
      <c r="AR1785" s="3"/>
      <c r="AS1785" s="3"/>
      <c r="AT1785" s="4">
        <f>SUM(AO1785:AS1785)</f>
        <v>0</v>
      </c>
      <c r="AV1785" s="2"/>
      <c r="AW1785" s="3"/>
      <c r="AX1785" s="3"/>
      <c r="AY1785" s="3"/>
      <c r="AZ1785" s="3"/>
      <c r="BA1785" s="4">
        <f>SUM(AV1785:AZ1785)</f>
        <v>0</v>
      </c>
      <c r="BC1785" s="2"/>
      <c r="BD1785" s="3"/>
      <c r="BE1785" s="3"/>
      <c r="BF1785" s="3"/>
      <c r="BG1785" s="3"/>
      <c r="BH1785" s="4">
        <f>SUM(BC1785:BG1785)</f>
        <v>0</v>
      </c>
      <c r="BJ1785" s="2"/>
      <c r="BK1785" s="3"/>
      <c r="BL1785" s="3"/>
      <c r="BM1785" s="3"/>
      <c r="BN1785" s="3"/>
      <c r="BO1785" s="4">
        <f>SUM(BJ1785:BN1785)</f>
        <v>0</v>
      </c>
      <c r="BQ1785" s="2"/>
      <c r="BR1785" s="3"/>
      <c r="BS1785" s="3"/>
      <c r="BT1785" s="3"/>
      <c r="BU1785" s="3"/>
      <c r="BV1785" s="4">
        <f>SUM(BQ1785:BU1785)</f>
        <v>0</v>
      </c>
      <c r="BX1785" s="2"/>
      <c r="BY1785" s="3"/>
      <c r="BZ1785" s="3"/>
      <c r="CA1785" s="3"/>
      <c r="CB1785" s="3"/>
      <c r="CC1785" s="4">
        <f>SUM(BX1785:CB1785)</f>
        <v>0</v>
      </c>
      <c r="CE1785" s="26">
        <f t="shared" ref="CE1785:CE1788" si="8204">F1785+M1785+T1785+AA1785+AH1785+AO1785+AV1785+BC1785+BJ1785+BQ1785+BX1785</f>
        <v>0</v>
      </c>
      <c r="CF1785" s="27">
        <f t="shared" ref="CF1785:CF1788" si="8205">G1785+N1785+U1785+AB1785+AI1785+AP1785+AW1785+BD1785+BK1785+BR1785+BY1785</f>
        <v>0</v>
      </c>
      <c r="CG1785" s="27">
        <f t="shared" ref="CG1785:CG1788" si="8206">H1785+O1785+V1785+AC1785+AJ1785+AQ1785+AX1785+BE1785+BL1785+BS1785+BZ1785</f>
        <v>0</v>
      </c>
      <c r="CH1785" s="27">
        <f t="shared" ref="CH1785:CH1788" si="8207">I1785+P1785+W1785+AD1785+AK1785+AR1785+AY1785+BF1785+BM1785+BT1785+CA1785</f>
        <v>0</v>
      </c>
      <c r="CI1785" s="27">
        <f t="shared" ref="CI1785:CI1788" si="8208">J1785+Q1785+X1785+AE1785+AL1785+AS1785+AZ1785+BG1785+BN1785+BU1785+CB1785</f>
        <v>0</v>
      </c>
      <c r="CJ1785" s="4">
        <f>SUM(CE1785:CI1785)</f>
        <v>0</v>
      </c>
      <c r="CL1785" s="2"/>
      <c r="CM1785" s="3"/>
      <c r="CN1785" s="3"/>
      <c r="CO1785" s="3"/>
      <c r="CP1785" s="3"/>
      <c r="CQ1785" s="4">
        <f>SUM(CL1785:CP1785)</f>
        <v>0</v>
      </c>
      <c r="CS1785" s="2"/>
      <c r="CT1785" s="3"/>
      <c r="CU1785" s="3"/>
      <c r="CV1785" s="3"/>
      <c r="CW1785" s="3"/>
      <c r="CX1785" s="4">
        <f>SUM(CS1785:CW1785)</f>
        <v>0</v>
      </c>
      <c r="CZ1785" s="2"/>
      <c r="DA1785" s="3"/>
      <c r="DB1785" s="3"/>
      <c r="DC1785" s="3"/>
      <c r="DD1785" s="3"/>
      <c r="DE1785" s="4">
        <f>SUM(CZ1785:DD1785)</f>
        <v>0</v>
      </c>
    </row>
    <row r="1786" spans="3:109">
      <c r="C1786" s="567"/>
      <c r="E1786" s="5" t="s">
        <v>60</v>
      </c>
      <c r="F1786" s="23">
        <f t="shared" ref="F1786:F1788" si="8209">CE1780</f>
        <v>0</v>
      </c>
      <c r="G1786" s="24">
        <f t="shared" si="8200"/>
        <v>0</v>
      </c>
      <c r="H1786" s="24">
        <f t="shared" si="8201"/>
        <v>0</v>
      </c>
      <c r="I1786" s="24">
        <f t="shared" si="8202"/>
        <v>0</v>
      </c>
      <c r="J1786" s="24">
        <f t="shared" si="8203"/>
        <v>0</v>
      </c>
      <c r="K1786" s="8">
        <f t="shared" ref="K1786:K1788" si="8210">SUM(F1786:J1786)</f>
        <v>0</v>
      </c>
      <c r="M1786" s="6"/>
      <c r="N1786" s="7"/>
      <c r="O1786" s="7"/>
      <c r="P1786" s="7"/>
      <c r="Q1786" s="7"/>
      <c r="R1786" s="8">
        <f t="shared" ref="R1786:R1788" si="8211">SUM(M1786:Q1786)</f>
        <v>0</v>
      </c>
      <c r="T1786" s="6"/>
      <c r="U1786" s="7"/>
      <c r="V1786" s="7"/>
      <c r="W1786" s="7"/>
      <c r="X1786" s="7"/>
      <c r="Y1786" s="8">
        <f t="shared" ref="Y1786:Y1788" si="8212">SUM(T1786:X1786)</f>
        <v>0</v>
      </c>
      <c r="AA1786" s="6"/>
      <c r="AB1786" s="7"/>
      <c r="AC1786" s="7"/>
      <c r="AD1786" s="7"/>
      <c r="AE1786" s="7"/>
      <c r="AF1786" s="8">
        <f>SUM(AA1786:AE1786)</f>
        <v>0</v>
      </c>
      <c r="AH1786" s="6"/>
      <c r="AI1786" s="7"/>
      <c r="AJ1786" s="7"/>
      <c r="AK1786" s="7"/>
      <c r="AL1786" s="7"/>
      <c r="AM1786" s="8">
        <f>SUM(AH1786:AL1786)</f>
        <v>0</v>
      </c>
      <c r="AO1786" s="6"/>
      <c r="AP1786" s="7"/>
      <c r="AQ1786" s="7"/>
      <c r="AR1786" s="7"/>
      <c r="AS1786" s="7"/>
      <c r="AT1786" s="8">
        <f>SUM(AO1786:AS1786)</f>
        <v>0</v>
      </c>
      <c r="AV1786" s="6"/>
      <c r="AW1786" s="7"/>
      <c r="AX1786" s="7"/>
      <c r="AY1786" s="7"/>
      <c r="AZ1786" s="7"/>
      <c r="BA1786" s="8">
        <f>SUM(AV1786:AZ1786)</f>
        <v>0</v>
      </c>
      <c r="BC1786" s="6"/>
      <c r="BD1786" s="7"/>
      <c r="BE1786" s="7"/>
      <c r="BF1786" s="7"/>
      <c r="BG1786" s="7"/>
      <c r="BH1786" s="8">
        <f>SUM(BC1786:BG1786)</f>
        <v>0</v>
      </c>
      <c r="BJ1786" s="6"/>
      <c r="BK1786" s="7"/>
      <c r="BL1786" s="7"/>
      <c r="BM1786" s="7"/>
      <c r="BN1786" s="7"/>
      <c r="BO1786" s="8">
        <f>SUM(BJ1786:BN1786)</f>
        <v>0</v>
      </c>
      <c r="BQ1786" s="6"/>
      <c r="BR1786" s="7"/>
      <c r="BS1786" s="7"/>
      <c r="BT1786" s="7"/>
      <c r="BU1786" s="7"/>
      <c r="BV1786" s="8">
        <f>SUM(BQ1786:BU1786)</f>
        <v>0</v>
      </c>
      <c r="BX1786" s="6"/>
      <c r="BY1786" s="7"/>
      <c r="BZ1786" s="7"/>
      <c r="CA1786" s="7"/>
      <c r="CB1786" s="7"/>
      <c r="CC1786" s="8">
        <f>SUM(BX1786:CB1786)</f>
        <v>0</v>
      </c>
      <c r="CE1786" s="28">
        <f t="shared" si="8204"/>
        <v>0</v>
      </c>
      <c r="CF1786" s="29">
        <f t="shared" si="8205"/>
        <v>0</v>
      </c>
      <c r="CG1786" s="29">
        <f t="shared" si="8206"/>
        <v>0</v>
      </c>
      <c r="CH1786" s="29">
        <f t="shared" si="8207"/>
        <v>0</v>
      </c>
      <c r="CI1786" s="29">
        <f t="shared" si="8208"/>
        <v>0</v>
      </c>
      <c r="CJ1786" s="8">
        <f>SUM(CE1786:CI1786)</f>
        <v>0</v>
      </c>
      <c r="CL1786" s="6"/>
      <c r="CM1786" s="7"/>
      <c r="CN1786" s="7"/>
      <c r="CO1786" s="7"/>
      <c r="CP1786" s="7"/>
      <c r="CQ1786" s="8">
        <f>SUM(CL1786:CP1786)</f>
        <v>0</v>
      </c>
      <c r="CS1786" s="6"/>
      <c r="CT1786" s="7"/>
      <c r="CU1786" s="7"/>
      <c r="CV1786" s="7"/>
      <c r="CW1786" s="7"/>
      <c r="CX1786" s="8">
        <f t="shared" ref="CX1786:CX1788" si="8213">SUM(CS1786:CW1786)</f>
        <v>0</v>
      </c>
      <c r="CZ1786" s="6"/>
      <c r="DA1786" s="7"/>
      <c r="DB1786" s="7"/>
      <c r="DC1786" s="7"/>
      <c r="DD1786" s="7"/>
      <c r="DE1786" s="8">
        <f t="shared" ref="DE1786:DE1788" si="8214">SUM(CZ1786:DD1786)</f>
        <v>0</v>
      </c>
    </row>
    <row r="1787" spans="3:109">
      <c r="C1787" s="567"/>
      <c r="E1787" s="5" t="s">
        <v>61</v>
      </c>
      <c r="F1787" s="23">
        <f t="shared" si="8209"/>
        <v>0</v>
      </c>
      <c r="G1787" s="24">
        <f t="shared" si="8200"/>
        <v>0</v>
      </c>
      <c r="H1787" s="24">
        <f t="shared" si="8201"/>
        <v>0</v>
      </c>
      <c r="I1787" s="24">
        <f t="shared" si="8202"/>
        <v>0</v>
      </c>
      <c r="J1787" s="24">
        <f t="shared" si="8203"/>
        <v>0</v>
      </c>
      <c r="K1787" s="8">
        <f t="shared" si="8210"/>
        <v>0</v>
      </c>
      <c r="M1787" s="6"/>
      <c r="N1787" s="7"/>
      <c r="O1787" s="7"/>
      <c r="P1787" s="7"/>
      <c r="Q1787" s="7"/>
      <c r="R1787" s="8">
        <f t="shared" si="8211"/>
        <v>0</v>
      </c>
      <c r="T1787" s="6"/>
      <c r="U1787" s="7"/>
      <c r="V1787" s="7"/>
      <c r="W1787" s="7"/>
      <c r="X1787" s="7"/>
      <c r="Y1787" s="8">
        <f t="shared" si="8212"/>
        <v>0</v>
      </c>
      <c r="AA1787" s="6"/>
      <c r="AB1787" s="7"/>
      <c r="AC1787" s="7"/>
      <c r="AD1787" s="7"/>
      <c r="AE1787" s="7"/>
      <c r="AF1787" s="8">
        <f>SUM(AA1787:AE1787)</f>
        <v>0</v>
      </c>
      <c r="AH1787" s="6"/>
      <c r="AI1787" s="7"/>
      <c r="AJ1787" s="7"/>
      <c r="AK1787" s="7"/>
      <c r="AL1787" s="7"/>
      <c r="AM1787" s="8">
        <f>SUM(AH1787:AL1787)</f>
        <v>0</v>
      </c>
      <c r="AO1787" s="6"/>
      <c r="AP1787" s="7"/>
      <c r="AQ1787" s="7"/>
      <c r="AR1787" s="7"/>
      <c r="AS1787" s="7"/>
      <c r="AT1787" s="8">
        <f>SUM(AO1787:AS1787)</f>
        <v>0</v>
      </c>
      <c r="AV1787" s="6"/>
      <c r="AW1787" s="7"/>
      <c r="AX1787" s="7"/>
      <c r="AY1787" s="7"/>
      <c r="AZ1787" s="7"/>
      <c r="BA1787" s="8">
        <f>SUM(AV1787:AZ1787)</f>
        <v>0</v>
      </c>
      <c r="BC1787" s="6"/>
      <c r="BD1787" s="7"/>
      <c r="BE1787" s="7"/>
      <c r="BF1787" s="7"/>
      <c r="BG1787" s="7"/>
      <c r="BH1787" s="8">
        <f>SUM(BC1787:BG1787)</f>
        <v>0</v>
      </c>
      <c r="BJ1787" s="6"/>
      <c r="BK1787" s="7"/>
      <c r="BL1787" s="7"/>
      <c r="BM1787" s="7"/>
      <c r="BN1787" s="7"/>
      <c r="BO1787" s="8">
        <f>SUM(BJ1787:BN1787)</f>
        <v>0</v>
      </c>
      <c r="BQ1787" s="6"/>
      <c r="BR1787" s="7"/>
      <c r="BS1787" s="7"/>
      <c r="BT1787" s="7"/>
      <c r="BU1787" s="7"/>
      <c r="BV1787" s="8">
        <f>SUM(BQ1787:BU1787)</f>
        <v>0</v>
      </c>
      <c r="BX1787" s="6"/>
      <c r="BY1787" s="7"/>
      <c r="BZ1787" s="7"/>
      <c r="CA1787" s="7"/>
      <c r="CB1787" s="7"/>
      <c r="CC1787" s="8">
        <f>SUM(BX1787:CB1787)</f>
        <v>0</v>
      </c>
      <c r="CE1787" s="28">
        <f t="shared" si="8204"/>
        <v>0</v>
      </c>
      <c r="CF1787" s="29">
        <f t="shared" si="8205"/>
        <v>0</v>
      </c>
      <c r="CG1787" s="29">
        <f t="shared" si="8206"/>
        <v>0</v>
      </c>
      <c r="CH1787" s="29">
        <f t="shared" si="8207"/>
        <v>0</v>
      </c>
      <c r="CI1787" s="29">
        <f t="shared" si="8208"/>
        <v>0</v>
      </c>
      <c r="CJ1787" s="8">
        <f>SUM(CE1787:CI1787)</f>
        <v>0</v>
      </c>
      <c r="CL1787" s="6"/>
      <c r="CM1787" s="7"/>
      <c r="CN1787" s="7"/>
      <c r="CO1787" s="7"/>
      <c r="CP1787" s="7"/>
      <c r="CQ1787" s="8">
        <f>SUM(CL1787:CP1787)</f>
        <v>0</v>
      </c>
      <c r="CS1787" s="6"/>
      <c r="CT1787" s="7"/>
      <c r="CU1787" s="7"/>
      <c r="CV1787" s="7"/>
      <c r="CW1787" s="7"/>
      <c r="CX1787" s="8">
        <f t="shared" si="8213"/>
        <v>0</v>
      </c>
      <c r="CZ1787" s="6"/>
      <c r="DA1787" s="7"/>
      <c r="DB1787" s="7"/>
      <c r="DC1787" s="7"/>
      <c r="DD1787" s="7"/>
      <c r="DE1787" s="8">
        <f t="shared" si="8214"/>
        <v>0</v>
      </c>
    </row>
    <row r="1788" spans="3:109" ht="14" thickBot="1">
      <c r="C1788" s="567"/>
      <c r="E1788" s="5" t="s">
        <v>62</v>
      </c>
      <c r="F1788" s="23">
        <f t="shared" si="8209"/>
        <v>0</v>
      </c>
      <c r="G1788" s="24">
        <f t="shared" si="8200"/>
        <v>0</v>
      </c>
      <c r="H1788" s="24">
        <f t="shared" si="8201"/>
        <v>0</v>
      </c>
      <c r="I1788" s="24">
        <f t="shared" si="8202"/>
        <v>0</v>
      </c>
      <c r="J1788" s="24">
        <f t="shared" si="8203"/>
        <v>0</v>
      </c>
      <c r="K1788" s="8">
        <f t="shared" si="8210"/>
        <v>0</v>
      </c>
      <c r="M1788" s="6"/>
      <c r="N1788" s="7"/>
      <c r="O1788" s="7"/>
      <c r="P1788" s="7"/>
      <c r="Q1788" s="7"/>
      <c r="R1788" s="8">
        <f t="shared" si="8211"/>
        <v>0</v>
      </c>
      <c r="T1788" s="6"/>
      <c r="U1788" s="7"/>
      <c r="V1788" s="7"/>
      <c r="W1788" s="7"/>
      <c r="X1788" s="7"/>
      <c r="Y1788" s="8">
        <f t="shared" si="8212"/>
        <v>0</v>
      </c>
      <c r="AA1788" s="6"/>
      <c r="AB1788" s="7"/>
      <c r="AC1788" s="7"/>
      <c r="AD1788" s="7"/>
      <c r="AE1788" s="7"/>
      <c r="AF1788" s="8">
        <f>SUM(AA1788:AE1788)</f>
        <v>0</v>
      </c>
      <c r="AH1788" s="6"/>
      <c r="AI1788" s="7"/>
      <c r="AJ1788" s="7"/>
      <c r="AK1788" s="7"/>
      <c r="AL1788" s="7"/>
      <c r="AM1788" s="8">
        <f>SUM(AH1788:AL1788)</f>
        <v>0</v>
      </c>
      <c r="AO1788" s="6"/>
      <c r="AP1788" s="7"/>
      <c r="AQ1788" s="7"/>
      <c r="AR1788" s="7"/>
      <c r="AS1788" s="7"/>
      <c r="AT1788" s="8">
        <f>SUM(AO1788:AS1788)</f>
        <v>0</v>
      </c>
      <c r="AV1788" s="6"/>
      <c r="AW1788" s="7"/>
      <c r="AX1788" s="7"/>
      <c r="AY1788" s="7"/>
      <c r="AZ1788" s="7"/>
      <c r="BA1788" s="8">
        <f>SUM(AV1788:AZ1788)</f>
        <v>0</v>
      </c>
      <c r="BC1788" s="6"/>
      <c r="BD1788" s="7"/>
      <c r="BE1788" s="7"/>
      <c r="BF1788" s="7"/>
      <c r="BG1788" s="7"/>
      <c r="BH1788" s="8">
        <f>SUM(BC1788:BG1788)</f>
        <v>0</v>
      </c>
      <c r="BJ1788" s="6"/>
      <c r="BK1788" s="7"/>
      <c r="BL1788" s="7"/>
      <c r="BM1788" s="7"/>
      <c r="BN1788" s="7"/>
      <c r="BO1788" s="8">
        <f>SUM(BJ1788:BN1788)</f>
        <v>0</v>
      </c>
      <c r="BQ1788" s="6"/>
      <c r="BR1788" s="7"/>
      <c r="BS1788" s="7"/>
      <c r="BT1788" s="7"/>
      <c r="BU1788" s="7"/>
      <c r="BV1788" s="8">
        <f>SUM(BQ1788:BU1788)</f>
        <v>0</v>
      </c>
      <c r="BX1788" s="6"/>
      <c r="BY1788" s="7"/>
      <c r="BZ1788" s="7"/>
      <c r="CA1788" s="7"/>
      <c r="CB1788" s="7"/>
      <c r="CC1788" s="8">
        <f>SUM(BX1788:CB1788)</f>
        <v>0</v>
      </c>
      <c r="CE1788" s="493">
        <f t="shared" si="8204"/>
        <v>0</v>
      </c>
      <c r="CF1788" s="494">
        <f t="shared" si="8205"/>
        <v>0</v>
      </c>
      <c r="CG1788" s="494">
        <f t="shared" si="8206"/>
        <v>0</v>
      </c>
      <c r="CH1788" s="494">
        <f t="shared" si="8207"/>
        <v>0</v>
      </c>
      <c r="CI1788" s="494">
        <f t="shared" si="8208"/>
        <v>0</v>
      </c>
      <c r="CJ1788" s="495">
        <f>SUM(CE1788:CI1788)</f>
        <v>0</v>
      </c>
      <c r="CL1788" s="6"/>
      <c r="CM1788" s="7"/>
      <c r="CN1788" s="7"/>
      <c r="CO1788" s="7"/>
      <c r="CP1788" s="7"/>
      <c r="CQ1788" s="8">
        <f>SUM(CL1788:CP1788)</f>
        <v>0</v>
      </c>
      <c r="CS1788" s="6"/>
      <c r="CT1788" s="7"/>
      <c r="CU1788" s="7"/>
      <c r="CV1788" s="7"/>
      <c r="CW1788" s="7"/>
      <c r="CX1788" s="8">
        <f t="shared" si="8213"/>
        <v>0</v>
      </c>
      <c r="CZ1788" s="6"/>
      <c r="DA1788" s="7"/>
      <c r="DB1788" s="7"/>
      <c r="DC1788" s="7"/>
      <c r="DD1788" s="7"/>
      <c r="DE1788" s="8">
        <f t="shared" si="8214"/>
        <v>0</v>
      </c>
    </row>
    <row r="1789" spans="3:109" ht="14" thickBot="1">
      <c r="C1789" s="554"/>
      <c r="E1789" s="9"/>
      <c r="F1789" s="10">
        <f>SUM(F1785:F1788)</f>
        <v>0</v>
      </c>
      <c r="G1789" s="11">
        <f t="shared" ref="G1789:J1789" si="8215">SUM(G1785:G1788)</f>
        <v>0</v>
      </c>
      <c r="H1789" s="11">
        <f t="shared" si="8215"/>
        <v>0</v>
      </c>
      <c r="I1789" s="11">
        <f t="shared" si="8215"/>
        <v>0</v>
      </c>
      <c r="J1789" s="11">
        <f t="shared" si="8215"/>
        <v>0</v>
      </c>
      <c r="K1789" s="25">
        <f>SUM(K1785:K1788)</f>
        <v>0</v>
      </c>
      <c r="M1789" s="10">
        <f>SUM(M1785:M1788)</f>
        <v>0</v>
      </c>
      <c r="N1789" s="11">
        <f t="shared" ref="N1789:Q1789" si="8216">SUM(N1785:N1788)</f>
        <v>0</v>
      </c>
      <c r="O1789" s="11">
        <f t="shared" si="8216"/>
        <v>0</v>
      </c>
      <c r="P1789" s="11">
        <f t="shared" si="8216"/>
        <v>0</v>
      </c>
      <c r="Q1789" s="11">
        <f t="shared" si="8216"/>
        <v>0</v>
      </c>
      <c r="R1789" s="25">
        <f>SUM(R1785:R1788)</f>
        <v>0</v>
      </c>
      <c r="T1789" s="10">
        <f>SUM(T1785:T1788)</f>
        <v>0</v>
      </c>
      <c r="U1789" s="11">
        <f t="shared" ref="U1789:X1789" si="8217">SUM(U1785:U1788)</f>
        <v>0</v>
      </c>
      <c r="V1789" s="11">
        <f t="shared" si="8217"/>
        <v>0</v>
      </c>
      <c r="W1789" s="11">
        <f t="shared" si="8217"/>
        <v>0</v>
      </c>
      <c r="X1789" s="11">
        <f t="shared" si="8217"/>
        <v>0</v>
      </c>
      <c r="Y1789" s="25">
        <f>SUM(Y1785:Y1788)</f>
        <v>0</v>
      </c>
      <c r="AA1789" s="10">
        <f>SUM(AA1785:AA1788)</f>
        <v>0</v>
      </c>
      <c r="AB1789" s="11">
        <f t="shared" ref="AB1789:AE1789" si="8218">SUM(AB1785:AB1788)</f>
        <v>0</v>
      </c>
      <c r="AC1789" s="11">
        <f t="shared" si="8218"/>
        <v>0</v>
      </c>
      <c r="AD1789" s="11">
        <f t="shared" si="8218"/>
        <v>0</v>
      </c>
      <c r="AE1789" s="11">
        <f t="shared" si="8218"/>
        <v>0</v>
      </c>
      <c r="AF1789" s="25">
        <f>SUM(AF1785:AF1788)</f>
        <v>0</v>
      </c>
      <c r="AH1789" s="10">
        <f>SUM(AH1785:AH1788)</f>
        <v>0</v>
      </c>
      <c r="AI1789" s="11">
        <f t="shared" ref="AI1789:AL1789" si="8219">SUM(AI1785:AI1788)</f>
        <v>0</v>
      </c>
      <c r="AJ1789" s="11">
        <f t="shared" si="8219"/>
        <v>0</v>
      </c>
      <c r="AK1789" s="11">
        <f t="shared" si="8219"/>
        <v>0</v>
      </c>
      <c r="AL1789" s="11">
        <f t="shared" si="8219"/>
        <v>0</v>
      </c>
      <c r="AM1789" s="25">
        <f>SUM(AM1785:AM1788)</f>
        <v>0</v>
      </c>
      <c r="AO1789" s="10">
        <f>SUM(AO1785:AO1788)</f>
        <v>0</v>
      </c>
      <c r="AP1789" s="11">
        <f t="shared" ref="AP1789:AS1789" si="8220">SUM(AP1785:AP1788)</f>
        <v>0</v>
      </c>
      <c r="AQ1789" s="11">
        <f t="shared" si="8220"/>
        <v>0</v>
      </c>
      <c r="AR1789" s="11">
        <f t="shared" si="8220"/>
        <v>0</v>
      </c>
      <c r="AS1789" s="11">
        <f t="shared" si="8220"/>
        <v>0</v>
      </c>
      <c r="AT1789" s="25">
        <f>SUM(AT1785:AT1788)</f>
        <v>0</v>
      </c>
      <c r="AV1789" s="10">
        <f>SUM(AV1785:AV1788)</f>
        <v>0</v>
      </c>
      <c r="AW1789" s="11">
        <f t="shared" ref="AW1789:AZ1789" si="8221">SUM(AW1785:AW1788)</f>
        <v>0</v>
      </c>
      <c r="AX1789" s="11">
        <f t="shared" si="8221"/>
        <v>0</v>
      </c>
      <c r="AY1789" s="11">
        <f t="shared" si="8221"/>
        <v>0</v>
      </c>
      <c r="AZ1789" s="11">
        <f t="shared" si="8221"/>
        <v>0</v>
      </c>
      <c r="BA1789" s="25">
        <f>SUM(BA1785:BA1788)</f>
        <v>0</v>
      </c>
      <c r="BC1789" s="10">
        <f>SUM(BC1785:BC1788)</f>
        <v>0</v>
      </c>
      <c r="BD1789" s="11">
        <f t="shared" ref="BD1789:BG1789" si="8222">SUM(BD1785:BD1788)</f>
        <v>0</v>
      </c>
      <c r="BE1789" s="11">
        <f t="shared" si="8222"/>
        <v>0</v>
      </c>
      <c r="BF1789" s="11">
        <f t="shared" si="8222"/>
        <v>0</v>
      </c>
      <c r="BG1789" s="11">
        <f t="shared" si="8222"/>
        <v>0</v>
      </c>
      <c r="BH1789" s="25">
        <f>SUM(BH1785:BH1788)</f>
        <v>0</v>
      </c>
      <c r="BJ1789" s="10">
        <f>SUM(BJ1785:BJ1788)</f>
        <v>0</v>
      </c>
      <c r="BK1789" s="11">
        <f t="shared" ref="BK1789:BN1789" si="8223">SUM(BK1785:BK1788)</f>
        <v>0</v>
      </c>
      <c r="BL1789" s="11">
        <f t="shared" si="8223"/>
        <v>0</v>
      </c>
      <c r="BM1789" s="11">
        <f t="shared" si="8223"/>
        <v>0</v>
      </c>
      <c r="BN1789" s="11">
        <f t="shared" si="8223"/>
        <v>0</v>
      </c>
      <c r="BO1789" s="25">
        <f>SUM(BO1785:BO1788)</f>
        <v>0</v>
      </c>
      <c r="BQ1789" s="10">
        <f>SUM(BQ1785:BQ1788)</f>
        <v>0</v>
      </c>
      <c r="BR1789" s="11">
        <f t="shared" ref="BR1789:BU1789" si="8224">SUM(BR1785:BR1788)</f>
        <v>0</v>
      </c>
      <c r="BS1789" s="11">
        <f t="shared" si="8224"/>
        <v>0</v>
      </c>
      <c r="BT1789" s="11">
        <f t="shared" si="8224"/>
        <v>0</v>
      </c>
      <c r="BU1789" s="11">
        <f t="shared" si="8224"/>
        <v>0</v>
      </c>
      <c r="BV1789" s="25">
        <f>SUM(BV1785:BV1788)</f>
        <v>0</v>
      </c>
      <c r="BX1789" s="10">
        <f>SUM(BX1785:BX1788)</f>
        <v>0</v>
      </c>
      <c r="BY1789" s="11">
        <f t="shared" ref="BY1789:CB1789" si="8225">SUM(BY1785:BY1788)</f>
        <v>0</v>
      </c>
      <c r="BZ1789" s="11">
        <f t="shared" si="8225"/>
        <v>0</v>
      </c>
      <c r="CA1789" s="11">
        <f t="shared" si="8225"/>
        <v>0</v>
      </c>
      <c r="CB1789" s="11">
        <f t="shared" si="8225"/>
        <v>0</v>
      </c>
      <c r="CC1789" s="25">
        <f>SUM(CC1785:CC1788)</f>
        <v>0</v>
      </c>
      <c r="CE1789" s="62">
        <f t="shared" ref="CE1789:CJ1789" si="8226">SUM(CE1785:CE1788)</f>
        <v>0</v>
      </c>
      <c r="CF1789" s="63">
        <f t="shared" si="8226"/>
        <v>0</v>
      </c>
      <c r="CG1789" s="63">
        <f t="shared" si="8226"/>
        <v>0</v>
      </c>
      <c r="CH1789" s="63">
        <f t="shared" si="8226"/>
        <v>0</v>
      </c>
      <c r="CI1789" s="63">
        <f t="shared" si="8226"/>
        <v>0</v>
      </c>
      <c r="CJ1789" s="25">
        <f t="shared" si="8226"/>
        <v>0</v>
      </c>
      <c r="CL1789" s="10">
        <f>SUM(CL1785:CL1788)</f>
        <v>0</v>
      </c>
      <c r="CM1789" s="11">
        <f t="shared" ref="CM1789:CP1789" si="8227">SUM(CM1785:CM1788)</f>
        <v>0</v>
      </c>
      <c r="CN1789" s="11">
        <f t="shared" si="8227"/>
        <v>0</v>
      </c>
      <c r="CO1789" s="11">
        <f t="shared" si="8227"/>
        <v>0</v>
      </c>
      <c r="CP1789" s="11">
        <f t="shared" si="8227"/>
        <v>0</v>
      </c>
      <c r="CQ1789" s="25">
        <f>SUM(CQ1785:CQ1788)</f>
        <v>0</v>
      </c>
      <c r="CS1789" s="10">
        <f>SUM(CS1785:CS1788)</f>
        <v>0</v>
      </c>
      <c r="CT1789" s="11">
        <f t="shared" ref="CT1789:CW1789" si="8228">SUM(CT1785:CT1788)</f>
        <v>0</v>
      </c>
      <c r="CU1789" s="11">
        <f t="shared" si="8228"/>
        <v>0</v>
      </c>
      <c r="CV1789" s="11">
        <f t="shared" si="8228"/>
        <v>0</v>
      </c>
      <c r="CW1789" s="11">
        <f t="shared" si="8228"/>
        <v>0</v>
      </c>
      <c r="CX1789" s="25">
        <f>SUM(CX1785:CX1788)</f>
        <v>0</v>
      </c>
      <c r="CZ1789" s="10">
        <f>SUM(CZ1785:CZ1788)</f>
        <v>0</v>
      </c>
      <c r="DA1789" s="11">
        <f t="shared" ref="DA1789:DD1789" si="8229">SUM(DA1785:DA1788)</f>
        <v>0</v>
      </c>
      <c r="DB1789" s="11">
        <f t="shared" si="8229"/>
        <v>0</v>
      </c>
      <c r="DC1789" s="11">
        <f t="shared" si="8229"/>
        <v>0</v>
      </c>
      <c r="DD1789" s="11">
        <f t="shared" si="8229"/>
        <v>0</v>
      </c>
      <c r="DE1789" s="25">
        <f>SUM(DE1785:DE1788)</f>
        <v>0</v>
      </c>
    </row>
    <row r="1790" spans="3:109" ht="10.4" customHeight="1" thickBot="1"/>
    <row r="1791" spans="3:109">
      <c r="C1791" s="553">
        <v>2028</v>
      </c>
      <c r="E1791" s="1" t="s">
        <v>59</v>
      </c>
      <c r="F1791" s="21">
        <f>CE1785</f>
        <v>0</v>
      </c>
      <c r="G1791" s="22">
        <f t="shared" ref="G1791:G1794" si="8230">CF1785</f>
        <v>0</v>
      </c>
      <c r="H1791" s="22">
        <f t="shared" ref="H1791:H1794" si="8231">CG1785</f>
        <v>0</v>
      </c>
      <c r="I1791" s="22">
        <f t="shared" ref="I1791:I1794" si="8232">CH1785</f>
        <v>0</v>
      </c>
      <c r="J1791" s="22">
        <f t="shared" ref="J1791:J1794" si="8233">CI1785</f>
        <v>0</v>
      </c>
      <c r="K1791" s="4">
        <f>SUM(F1791:J1791)</f>
        <v>0</v>
      </c>
      <c r="M1791" s="2"/>
      <c r="N1791" s="3"/>
      <c r="O1791" s="3"/>
      <c r="P1791" s="3"/>
      <c r="Q1791" s="3"/>
      <c r="R1791" s="4">
        <f>SUM(M1791:Q1791)</f>
        <v>0</v>
      </c>
      <c r="T1791" s="2"/>
      <c r="U1791" s="3"/>
      <c r="V1791" s="3"/>
      <c r="W1791" s="3"/>
      <c r="X1791" s="3"/>
      <c r="Y1791" s="4">
        <f>SUM(T1791:X1791)</f>
        <v>0</v>
      </c>
      <c r="AA1791" s="2"/>
      <c r="AB1791" s="3"/>
      <c r="AC1791" s="3"/>
      <c r="AD1791" s="3"/>
      <c r="AE1791" s="3"/>
      <c r="AF1791" s="4">
        <f>SUM(AA1791:AE1791)</f>
        <v>0</v>
      </c>
      <c r="AH1791" s="2"/>
      <c r="AI1791" s="3"/>
      <c r="AJ1791" s="3"/>
      <c r="AK1791" s="3"/>
      <c r="AL1791" s="3"/>
      <c r="AM1791" s="4">
        <f>SUM(AH1791:AL1791)</f>
        <v>0</v>
      </c>
      <c r="AO1791" s="2"/>
      <c r="AP1791" s="3"/>
      <c r="AQ1791" s="3"/>
      <c r="AR1791" s="3"/>
      <c r="AS1791" s="3"/>
      <c r="AT1791" s="4">
        <f>SUM(AO1791:AS1791)</f>
        <v>0</v>
      </c>
      <c r="AV1791" s="2"/>
      <c r="AW1791" s="3"/>
      <c r="AX1791" s="3"/>
      <c r="AY1791" s="3"/>
      <c r="AZ1791" s="3"/>
      <c r="BA1791" s="4">
        <f>SUM(AV1791:AZ1791)</f>
        <v>0</v>
      </c>
      <c r="BC1791" s="2"/>
      <c r="BD1791" s="3"/>
      <c r="BE1791" s="3"/>
      <c r="BF1791" s="3"/>
      <c r="BG1791" s="3"/>
      <c r="BH1791" s="4">
        <f>SUM(BC1791:BG1791)</f>
        <v>0</v>
      </c>
      <c r="BJ1791" s="2"/>
      <c r="BK1791" s="3"/>
      <c r="BL1791" s="3"/>
      <c r="BM1791" s="3"/>
      <c r="BN1791" s="3"/>
      <c r="BO1791" s="4">
        <f>SUM(BJ1791:BN1791)</f>
        <v>0</v>
      </c>
      <c r="BQ1791" s="2"/>
      <c r="BR1791" s="3"/>
      <c r="BS1791" s="3"/>
      <c r="BT1791" s="3"/>
      <c r="BU1791" s="3"/>
      <c r="BV1791" s="4">
        <f>SUM(BQ1791:BU1791)</f>
        <v>0</v>
      </c>
      <c r="BX1791" s="2"/>
      <c r="BY1791" s="3"/>
      <c r="BZ1791" s="3"/>
      <c r="CA1791" s="3"/>
      <c r="CB1791" s="3"/>
      <c r="CC1791" s="4">
        <f>SUM(BX1791:CB1791)</f>
        <v>0</v>
      </c>
      <c r="CE1791" s="26">
        <f t="shared" ref="CE1791:CE1794" si="8234">F1791+M1791+T1791+AA1791+AH1791+AO1791+AV1791+BC1791+BJ1791+BQ1791+BX1791</f>
        <v>0</v>
      </c>
      <c r="CF1791" s="27">
        <f t="shared" ref="CF1791:CF1794" si="8235">G1791+N1791+U1791+AB1791+AI1791+AP1791+AW1791+BD1791+BK1791+BR1791+BY1791</f>
        <v>0</v>
      </c>
      <c r="CG1791" s="27">
        <f t="shared" ref="CG1791:CG1794" si="8236">H1791+O1791+V1791+AC1791+AJ1791+AQ1791+AX1791+BE1791+BL1791+BS1791+BZ1791</f>
        <v>0</v>
      </c>
      <c r="CH1791" s="27">
        <f t="shared" ref="CH1791:CH1794" si="8237">I1791+P1791+W1791+AD1791+AK1791+AR1791+AY1791+BF1791+BM1791+BT1791+CA1791</f>
        <v>0</v>
      </c>
      <c r="CI1791" s="27">
        <f t="shared" ref="CI1791:CI1794" si="8238">J1791+Q1791+X1791+AE1791+AL1791+AS1791+AZ1791+BG1791+BN1791+BU1791+CB1791</f>
        <v>0</v>
      </c>
      <c r="CJ1791" s="4">
        <f>SUM(CE1791:CI1791)</f>
        <v>0</v>
      </c>
      <c r="CL1791" s="2"/>
      <c r="CM1791" s="3"/>
      <c r="CN1791" s="3"/>
      <c r="CO1791" s="3"/>
      <c r="CP1791" s="3"/>
      <c r="CQ1791" s="4">
        <f>SUM(CL1791:CP1791)</f>
        <v>0</v>
      </c>
      <c r="CS1791" s="2"/>
      <c r="CT1791" s="3"/>
      <c r="CU1791" s="3"/>
      <c r="CV1791" s="3"/>
      <c r="CW1791" s="3"/>
      <c r="CX1791" s="4">
        <f>SUM(CS1791:CW1791)</f>
        <v>0</v>
      </c>
      <c r="CZ1791" s="2"/>
      <c r="DA1791" s="3"/>
      <c r="DB1791" s="3"/>
      <c r="DC1791" s="3"/>
      <c r="DD1791" s="3"/>
      <c r="DE1791" s="4">
        <f>SUM(CZ1791:DD1791)</f>
        <v>0</v>
      </c>
    </row>
    <row r="1792" spans="3:109">
      <c r="C1792" s="567"/>
      <c r="E1792" s="5" t="s">
        <v>60</v>
      </c>
      <c r="F1792" s="23">
        <f t="shared" ref="F1792:F1794" si="8239">CE1786</f>
        <v>0</v>
      </c>
      <c r="G1792" s="24">
        <f t="shared" si="8230"/>
        <v>0</v>
      </c>
      <c r="H1792" s="24">
        <f t="shared" si="8231"/>
        <v>0</v>
      </c>
      <c r="I1792" s="24">
        <f t="shared" si="8232"/>
        <v>0</v>
      </c>
      <c r="J1792" s="24">
        <f t="shared" si="8233"/>
        <v>0</v>
      </c>
      <c r="K1792" s="8">
        <f t="shared" ref="K1792:K1794" si="8240">SUM(F1792:J1792)</f>
        <v>0</v>
      </c>
      <c r="M1792" s="6"/>
      <c r="N1792" s="7"/>
      <c r="O1792" s="7"/>
      <c r="P1792" s="7"/>
      <c r="Q1792" s="7"/>
      <c r="R1792" s="8">
        <f t="shared" ref="R1792:R1794" si="8241">SUM(M1792:Q1792)</f>
        <v>0</v>
      </c>
      <c r="T1792" s="6"/>
      <c r="U1792" s="7"/>
      <c r="V1792" s="7"/>
      <c r="W1792" s="7"/>
      <c r="X1792" s="7"/>
      <c r="Y1792" s="8">
        <f t="shared" ref="Y1792:Y1794" si="8242">SUM(T1792:X1792)</f>
        <v>0</v>
      </c>
      <c r="AA1792" s="6"/>
      <c r="AB1792" s="7"/>
      <c r="AC1792" s="7"/>
      <c r="AD1792" s="7"/>
      <c r="AE1792" s="7"/>
      <c r="AF1792" s="8">
        <f>SUM(AA1792:AE1792)</f>
        <v>0</v>
      </c>
      <c r="AH1792" s="6"/>
      <c r="AI1792" s="7"/>
      <c r="AJ1792" s="7"/>
      <c r="AK1792" s="7"/>
      <c r="AL1792" s="7"/>
      <c r="AM1792" s="8">
        <f>SUM(AH1792:AL1792)</f>
        <v>0</v>
      </c>
      <c r="AO1792" s="6"/>
      <c r="AP1792" s="7"/>
      <c r="AQ1792" s="7"/>
      <c r="AR1792" s="7"/>
      <c r="AS1792" s="7"/>
      <c r="AT1792" s="8">
        <f>SUM(AO1792:AS1792)</f>
        <v>0</v>
      </c>
      <c r="AV1792" s="6"/>
      <c r="AW1792" s="7"/>
      <c r="AX1792" s="7"/>
      <c r="AY1792" s="7"/>
      <c r="AZ1792" s="7"/>
      <c r="BA1792" s="8">
        <f>SUM(AV1792:AZ1792)</f>
        <v>0</v>
      </c>
      <c r="BC1792" s="6"/>
      <c r="BD1792" s="7"/>
      <c r="BE1792" s="7"/>
      <c r="BF1792" s="7"/>
      <c r="BG1792" s="7"/>
      <c r="BH1792" s="8">
        <f>SUM(BC1792:BG1792)</f>
        <v>0</v>
      </c>
      <c r="BJ1792" s="6"/>
      <c r="BK1792" s="7"/>
      <c r="BL1792" s="7"/>
      <c r="BM1792" s="7"/>
      <c r="BN1792" s="7"/>
      <c r="BO1792" s="8">
        <f>SUM(BJ1792:BN1792)</f>
        <v>0</v>
      </c>
      <c r="BQ1792" s="6"/>
      <c r="BR1792" s="7"/>
      <c r="BS1792" s="7"/>
      <c r="BT1792" s="7"/>
      <c r="BU1792" s="7"/>
      <c r="BV1792" s="8">
        <f>SUM(BQ1792:BU1792)</f>
        <v>0</v>
      </c>
      <c r="BX1792" s="6"/>
      <c r="BY1792" s="7"/>
      <c r="BZ1792" s="7"/>
      <c r="CA1792" s="7"/>
      <c r="CB1792" s="7"/>
      <c r="CC1792" s="8">
        <f>SUM(BX1792:CB1792)</f>
        <v>0</v>
      </c>
      <c r="CE1792" s="28">
        <f t="shared" si="8234"/>
        <v>0</v>
      </c>
      <c r="CF1792" s="29">
        <f t="shared" si="8235"/>
        <v>0</v>
      </c>
      <c r="CG1792" s="29">
        <f t="shared" si="8236"/>
        <v>0</v>
      </c>
      <c r="CH1792" s="29">
        <f t="shared" si="8237"/>
        <v>0</v>
      </c>
      <c r="CI1792" s="29">
        <f t="shared" si="8238"/>
        <v>0</v>
      </c>
      <c r="CJ1792" s="8">
        <f>SUM(CE1792:CI1792)</f>
        <v>0</v>
      </c>
      <c r="CL1792" s="6"/>
      <c r="CM1792" s="7"/>
      <c r="CN1792" s="7"/>
      <c r="CO1792" s="7"/>
      <c r="CP1792" s="7"/>
      <c r="CQ1792" s="8">
        <f>SUM(CL1792:CP1792)</f>
        <v>0</v>
      </c>
      <c r="CS1792" s="6"/>
      <c r="CT1792" s="7"/>
      <c r="CU1792" s="7"/>
      <c r="CV1792" s="7"/>
      <c r="CW1792" s="7"/>
      <c r="CX1792" s="8">
        <f t="shared" ref="CX1792:CX1794" si="8243">SUM(CS1792:CW1792)</f>
        <v>0</v>
      </c>
      <c r="CZ1792" s="6"/>
      <c r="DA1792" s="7"/>
      <c r="DB1792" s="7"/>
      <c r="DC1792" s="7"/>
      <c r="DD1792" s="7"/>
      <c r="DE1792" s="8">
        <f t="shared" ref="DE1792:DE1794" si="8244">SUM(CZ1792:DD1792)</f>
        <v>0</v>
      </c>
    </row>
    <row r="1793" spans="2:109">
      <c r="C1793" s="567"/>
      <c r="E1793" s="5" t="s">
        <v>61</v>
      </c>
      <c r="F1793" s="23">
        <f t="shared" si="8239"/>
        <v>0</v>
      </c>
      <c r="G1793" s="24">
        <f t="shared" si="8230"/>
        <v>0</v>
      </c>
      <c r="H1793" s="24">
        <f t="shared" si="8231"/>
        <v>0</v>
      </c>
      <c r="I1793" s="24">
        <f t="shared" si="8232"/>
        <v>0</v>
      </c>
      <c r="J1793" s="24">
        <f t="shared" si="8233"/>
        <v>0</v>
      </c>
      <c r="K1793" s="8">
        <f t="shared" si="8240"/>
        <v>0</v>
      </c>
      <c r="M1793" s="6"/>
      <c r="N1793" s="7"/>
      <c r="O1793" s="7"/>
      <c r="P1793" s="7"/>
      <c r="Q1793" s="7"/>
      <c r="R1793" s="8">
        <f t="shared" si="8241"/>
        <v>0</v>
      </c>
      <c r="T1793" s="6"/>
      <c r="U1793" s="7"/>
      <c r="V1793" s="7"/>
      <c r="W1793" s="7"/>
      <c r="X1793" s="7"/>
      <c r="Y1793" s="8">
        <f t="shared" si="8242"/>
        <v>0</v>
      </c>
      <c r="AA1793" s="6"/>
      <c r="AB1793" s="7"/>
      <c r="AC1793" s="7"/>
      <c r="AD1793" s="7"/>
      <c r="AE1793" s="7"/>
      <c r="AF1793" s="8">
        <f>SUM(AA1793:AE1793)</f>
        <v>0</v>
      </c>
      <c r="AH1793" s="6"/>
      <c r="AI1793" s="7"/>
      <c r="AJ1793" s="7"/>
      <c r="AK1793" s="7"/>
      <c r="AL1793" s="7"/>
      <c r="AM1793" s="8">
        <f>SUM(AH1793:AL1793)</f>
        <v>0</v>
      </c>
      <c r="AO1793" s="6"/>
      <c r="AP1793" s="7"/>
      <c r="AQ1793" s="7"/>
      <c r="AR1793" s="7"/>
      <c r="AS1793" s="7"/>
      <c r="AT1793" s="8">
        <f>SUM(AO1793:AS1793)</f>
        <v>0</v>
      </c>
      <c r="AV1793" s="6"/>
      <c r="AW1793" s="7"/>
      <c r="AX1793" s="7"/>
      <c r="AY1793" s="7"/>
      <c r="AZ1793" s="7"/>
      <c r="BA1793" s="8">
        <f>SUM(AV1793:AZ1793)</f>
        <v>0</v>
      </c>
      <c r="BC1793" s="6"/>
      <c r="BD1793" s="7"/>
      <c r="BE1793" s="7"/>
      <c r="BF1793" s="7"/>
      <c r="BG1793" s="7"/>
      <c r="BH1793" s="8">
        <f>SUM(BC1793:BG1793)</f>
        <v>0</v>
      </c>
      <c r="BJ1793" s="6"/>
      <c r="BK1793" s="7"/>
      <c r="BL1793" s="7"/>
      <c r="BM1793" s="7"/>
      <c r="BN1793" s="7"/>
      <c r="BO1793" s="8">
        <f>SUM(BJ1793:BN1793)</f>
        <v>0</v>
      </c>
      <c r="BQ1793" s="6"/>
      <c r="BR1793" s="7"/>
      <c r="BS1793" s="7"/>
      <c r="BT1793" s="7"/>
      <c r="BU1793" s="7"/>
      <c r="BV1793" s="8">
        <f>SUM(BQ1793:BU1793)</f>
        <v>0</v>
      </c>
      <c r="BX1793" s="6"/>
      <c r="BY1793" s="7"/>
      <c r="BZ1793" s="7"/>
      <c r="CA1793" s="7"/>
      <c r="CB1793" s="7"/>
      <c r="CC1793" s="8">
        <f>SUM(BX1793:CB1793)</f>
        <v>0</v>
      </c>
      <c r="CE1793" s="28">
        <f t="shared" si="8234"/>
        <v>0</v>
      </c>
      <c r="CF1793" s="29">
        <f t="shared" si="8235"/>
        <v>0</v>
      </c>
      <c r="CG1793" s="29">
        <f t="shared" si="8236"/>
        <v>0</v>
      </c>
      <c r="CH1793" s="29">
        <f t="shared" si="8237"/>
        <v>0</v>
      </c>
      <c r="CI1793" s="29">
        <f t="shared" si="8238"/>
        <v>0</v>
      </c>
      <c r="CJ1793" s="8">
        <f>SUM(CE1793:CI1793)</f>
        <v>0</v>
      </c>
      <c r="CL1793" s="6"/>
      <c r="CM1793" s="7"/>
      <c r="CN1793" s="7"/>
      <c r="CO1793" s="7"/>
      <c r="CP1793" s="7"/>
      <c r="CQ1793" s="8">
        <f>SUM(CL1793:CP1793)</f>
        <v>0</v>
      </c>
      <c r="CS1793" s="6"/>
      <c r="CT1793" s="7"/>
      <c r="CU1793" s="7"/>
      <c r="CV1793" s="7"/>
      <c r="CW1793" s="7"/>
      <c r="CX1793" s="8">
        <f t="shared" si="8243"/>
        <v>0</v>
      </c>
      <c r="CZ1793" s="6"/>
      <c r="DA1793" s="7"/>
      <c r="DB1793" s="7"/>
      <c r="DC1793" s="7"/>
      <c r="DD1793" s="7"/>
      <c r="DE1793" s="8">
        <f t="shared" si="8244"/>
        <v>0</v>
      </c>
    </row>
    <row r="1794" spans="2:109" ht="14" thickBot="1">
      <c r="C1794" s="567"/>
      <c r="E1794" s="5" t="s">
        <v>62</v>
      </c>
      <c r="F1794" s="23">
        <f t="shared" si="8239"/>
        <v>0</v>
      </c>
      <c r="G1794" s="24">
        <f t="shared" si="8230"/>
        <v>0</v>
      </c>
      <c r="H1794" s="24">
        <f t="shared" si="8231"/>
        <v>0</v>
      </c>
      <c r="I1794" s="24">
        <f t="shared" si="8232"/>
        <v>0</v>
      </c>
      <c r="J1794" s="24">
        <f t="shared" si="8233"/>
        <v>0</v>
      </c>
      <c r="K1794" s="8">
        <f t="shared" si="8240"/>
        <v>0</v>
      </c>
      <c r="M1794" s="6"/>
      <c r="N1794" s="7"/>
      <c r="O1794" s="7"/>
      <c r="P1794" s="7"/>
      <c r="Q1794" s="7"/>
      <c r="R1794" s="8">
        <f t="shared" si="8241"/>
        <v>0</v>
      </c>
      <c r="T1794" s="6"/>
      <c r="U1794" s="7"/>
      <c r="V1794" s="7"/>
      <c r="W1794" s="7"/>
      <c r="X1794" s="7"/>
      <c r="Y1794" s="8">
        <f t="shared" si="8242"/>
        <v>0</v>
      </c>
      <c r="AA1794" s="6"/>
      <c r="AB1794" s="7"/>
      <c r="AC1794" s="7"/>
      <c r="AD1794" s="7"/>
      <c r="AE1794" s="7"/>
      <c r="AF1794" s="8">
        <f>SUM(AA1794:AE1794)</f>
        <v>0</v>
      </c>
      <c r="AH1794" s="6"/>
      <c r="AI1794" s="7"/>
      <c r="AJ1794" s="7"/>
      <c r="AK1794" s="7"/>
      <c r="AL1794" s="7"/>
      <c r="AM1794" s="8">
        <f>SUM(AH1794:AL1794)</f>
        <v>0</v>
      </c>
      <c r="AO1794" s="6"/>
      <c r="AP1794" s="7"/>
      <c r="AQ1794" s="7"/>
      <c r="AR1794" s="7"/>
      <c r="AS1794" s="7"/>
      <c r="AT1794" s="8">
        <f>SUM(AO1794:AS1794)</f>
        <v>0</v>
      </c>
      <c r="AV1794" s="6"/>
      <c r="AW1794" s="7"/>
      <c r="AX1794" s="7"/>
      <c r="AY1794" s="7"/>
      <c r="AZ1794" s="7"/>
      <c r="BA1794" s="8">
        <f>SUM(AV1794:AZ1794)</f>
        <v>0</v>
      </c>
      <c r="BC1794" s="6"/>
      <c r="BD1794" s="7"/>
      <c r="BE1794" s="7"/>
      <c r="BF1794" s="7"/>
      <c r="BG1794" s="7"/>
      <c r="BH1794" s="8">
        <f>SUM(BC1794:BG1794)</f>
        <v>0</v>
      </c>
      <c r="BJ1794" s="6"/>
      <c r="BK1794" s="7"/>
      <c r="BL1794" s="7"/>
      <c r="BM1794" s="7"/>
      <c r="BN1794" s="7"/>
      <c r="BO1794" s="8">
        <f>SUM(BJ1794:BN1794)</f>
        <v>0</v>
      </c>
      <c r="BQ1794" s="6"/>
      <c r="BR1794" s="7"/>
      <c r="BS1794" s="7"/>
      <c r="BT1794" s="7"/>
      <c r="BU1794" s="7"/>
      <c r="BV1794" s="8">
        <f>SUM(BQ1794:BU1794)</f>
        <v>0</v>
      </c>
      <c r="BX1794" s="6"/>
      <c r="BY1794" s="7"/>
      <c r="BZ1794" s="7"/>
      <c r="CA1794" s="7"/>
      <c r="CB1794" s="7"/>
      <c r="CC1794" s="8">
        <f>SUM(BX1794:CB1794)</f>
        <v>0</v>
      </c>
      <c r="CE1794" s="493">
        <f t="shared" si="8234"/>
        <v>0</v>
      </c>
      <c r="CF1794" s="494">
        <f t="shared" si="8235"/>
        <v>0</v>
      </c>
      <c r="CG1794" s="494">
        <f t="shared" si="8236"/>
        <v>0</v>
      </c>
      <c r="CH1794" s="494">
        <f t="shared" si="8237"/>
        <v>0</v>
      </c>
      <c r="CI1794" s="494">
        <f t="shared" si="8238"/>
        <v>0</v>
      </c>
      <c r="CJ1794" s="495">
        <f>SUM(CE1794:CI1794)</f>
        <v>0</v>
      </c>
      <c r="CL1794" s="6"/>
      <c r="CM1794" s="7"/>
      <c r="CN1794" s="7"/>
      <c r="CO1794" s="7"/>
      <c r="CP1794" s="7"/>
      <c r="CQ1794" s="8">
        <f>SUM(CL1794:CP1794)</f>
        <v>0</v>
      </c>
      <c r="CS1794" s="6"/>
      <c r="CT1794" s="7"/>
      <c r="CU1794" s="7"/>
      <c r="CV1794" s="7"/>
      <c r="CW1794" s="7"/>
      <c r="CX1794" s="8">
        <f t="shared" si="8243"/>
        <v>0</v>
      </c>
      <c r="CZ1794" s="6"/>
      <c r="DA1794" s="7"/>
      <c r="DB1794" s="7"/>
      <c r="DC1794" s="7"/>
      <c r="DD1794" s="7"/>
      <c r="DE1794" s="8">
        <f t="shared" si="8244"/>
        <v>0</v>
      </c>
    </row>
    <row r="1795" spans="2:109" ht="14" thickBot="1">
      <c r="C1795" s="554"/>
      <c r="E1795" s="9"/>
      <c r="F1795" s="10">
        <f>SUM(F1791:F1794)</f>
        <v>0</v>
      </c>
      <c r="G1795" s="11">
        <f t="shared" ref="G1795:J1795" si="8245">SUM(G1791:G1794)</f>
        <v>0</v>
      </c>
      <c r="H1795" s="11">
        <f t="shared" si="8245"/>
        <v>0</v>
      </c>
      <c r="I1795" s="11">
        <f t="shared" si="8245"/>
        <v>0</v>
      </c>
      <c r="J1795" s="11">
        <f t="shared" si="8245"/>
        <v>0</v>
      </c>
      <c r="K1795" s="25">
        <f>SUM(K1791:K1794)</f>
        <v>0</v>
      </c>
      <c r="M1795" s="10">
        <f>SUM(M1791:M1794)</f>
        <v>0</v>
      </c>
      <c r="N1795" s="11">
        <f t="shared" ref="N1795:Q1795" si="8246">SUM(N1791:N1794)</f>
        <v>0</v>
      </c>
      <c r="O1795" s="11">
        <f t="shared" si="8246"/>
        <v>0</v>
      </c>
      <c r="P1795" s="11">
        <f t="shared" si="8246"/>
        <v>0</v>
      </c>
      <c r="Q1795" s="11">
        <f t="shared" si="8246"/>
        <v>0</v>
      </c>
      <c r="R1795" s="25">
        <f>SUM(R1791:R1794)</f>
        <v>0</v>
      </c>
      <c r="T1795" s="10">
        <f>SUM(T1791:T1794)</f>
        <v>0</v>
      </c>
      <c r="U1795" s="11">
        <f t="shared" ref="U1795:X1795" si="8247">SUM(U1791:U1794)</f>
        <v>0</v>
      </c>
      <c r="V1795" s="11">
        <f t="shared" si="8247"/>
        <v>0</v>
      </c>
      <c r="W1795" s="11">
        <f t="shared" si="8247"/>
        <v>0</v>
      </c>
      <c r="X1795" s="11">
        <f t="shared" si="8247"/>
        <v>0</v>
      </c>
      <c r="Y1795" s="25">
        <f>SUM(Y1791:Y1794)</f>
        <v>0</v>
      </c>
      <c r="AA1795" s="10">
        <f>SUM(AA1791:AA1794)</f>
        <v>0</v>
      </c>
      <c r="AB1795" s="11">
        <f t="shared" ref="AB1795:AE1795" si="8248">SUM(AB1791:AB1794)</f>
        <v>0</v>
      </c>
      <c r="AC1795" s="11">
        <f t="shared" si="8248"/>
        <v>0</v>
      </c>
      <c r="AD1795" s="11">
        <f t="shared" si="8248"/>
        <v>0</v>
      </c>
      <c r="AE1795" s="11">
        <f t="shared" si="8248"/>
        <v>0</v>
      </c>
      <c r="AF1795" s="25">
        <f>SUM(AF1791:AF1794)</f>
        <v>0</v>
      </c>
      <c r="AH1795" s="10">
        <f>SUM(AH1791:AH1794)</f>
        <v>0</v>
      </c>
      <c r="AI1795" s="11">
        <f t="shared" ref="AI1795:AL1795" si="8249">SUM(AI1791:AI1794)</f>
        <v>0</v>
      </c>
      <c r="AJ1795" s="11">
        <f t="shared" si="8249"/>
        <v>0</v>
      </c>
      <c r="AK1795" s="11">
        <f t="shared" si="8249"/>
        <v>0</v>
      </c>
      <c r="AL1795" s="11">
        <f t="shared" si="8249"/>
        <v>0</v>
      </c>
      <c r="AM1795" s="25">
        <f>SUM(AM1791:AM1794)</f>
        <v>0</v>
      </c>
      <c r="AO1795" s="10">
        <f>SUM(AO1791:AO1794)</f>
        <v>0</v>
      </c>
      <c r="AP1795" s="11">
        <f t="shared" ref="AP1795:AS1795" si="8250">SUM(AP1791:AP1794)</f>
        <v>0</v>
      </c>
      <c r="AQ1795" s="11">
        <f t="shared" si="8250"/>
        <v>0</v>
      </c>
      <c r="AR1795" s="11">
        <f t="shared" si="8250"/>
        <v>0</v>
      </c>
      <c r="AS1795" s="11">
        <f t="shared" si="8250"/>
        <v>0</v>
      </c>
      <c r="AT1795" s="25">
        <f>SUM(AT1791:AT1794)</f>
        <v>0</v>
      </c>
      <c r="AV1795" s="10">
        <f>SUM(AV1791:AV1794)</f>
        <v>0</v>
      </c>
      <c r="AW1795" s="11">
        <f t="shared" ref="AW1795:AZ1795" si="8251">SUM(AW1791:AW1794)</f>
        <v>0</v>
      </c>
      <c r="AX1795" s="11">
        <f t="shared" si="8251"/>
        <v>0</v>
      </c>
      <c r="AY1795" s="11">
        <f t="shared" si="8251"/>
        <v>0</v>
      </c>
      <c r="AZ1795" s="11">
        <f t="shared" si="8251"/>
        <v>0</v>
      </c>
      <c r="BA1795" s="25">
        <f>SUM(BA1791:BA1794)</f>
        <v>0</v>
      </c>
      <c r="BC1795" s="10">
        <f>SUM(BC1791:BC1794)</f>
        <v>0</v>
      </c>
      <c r="BD1795" s="11">
        <f t="shared" ref="BD1795:BG1795" si="8252">SUM(BD1791:BD1794)</f>
        <v>0</v>
      </c>
      <c r="BE1795" s="11">
        <f t="shared" si="8252"/>
        <v>0</v>
      </c>
      <c r="BF1795" s="11">
        <f t="shared" si="8252"/>
        <v>0</v>
      </c>
      <c r="BG1795" s="11">
        <f t="shared" si="8252"/>
        <v>0</v>
      </c>
      <c r="BH1795" s="25">
        <f>SUM(BH1791:BH1794)</f>
        <v>0</v>
      </c>
      <c r="BJ1795" s="10">
        <f>SUM(BJ1791:BJ1794)</f>
        <v>0</v>
      </c>
      <c r="BK1795" s="11">
        <f t="shared" ref="BK1795:BN1795" si="8253">SUM(BK1791:BK1794)</f>
        <v>0</v>
      </c>
      <c r="BL1795" s="11">
        <f t="shared" si="8253"/>
        <v>0</v>
      </c>
      <c r="BM1795" s="11">
        <f t="shared" si="8253"/>
        <v>0</v>
      </c>
      <c r="BN1795" s="11">
        <f t="shared" si="8253"/>
        <v>0</v>
      </c>
      <c r="BO1795" s="25">
        <f>SUM(BO1791:BO1794)</f>
        <v>0</v>
      </c>
      <c r="BQ1795" s="10">
        <f>SUM(BQ1791:BQ1794)</f>
        <v>0</v>
      </c>
      <c r="BR1795" s="11">
        <f t="shared" ref="BR1795:BU1795" si="8254">SUM(BR1791:BR1794)</f>
        <v>0</v>
      </c>
      <c r="BS1795" s="11">
        <f t="shared" si="8254"/>
        <v>0</v>
      </c>
      <c r="BT1795" s="11">
        <f t="shared" si="8254"/>
        <v>0</v>
      </c>
      <c r="BU1795" s="11">
        <f t="shared" si="8254"/>
        <v>0</v>
      </c>
      <c r="BV1795" s="25">
        <f>SUM(BV1791:BV1794)</f>
        <v>0</v>
      </c>
      <c r="BX1795" s="10">
        <f>SUM(BX1791:BX1794)</f>
        <v>0</v>
      </c>
      <c r="BY1795" s="11">
        <f t="shared" ref="BY1795:CB1795" si="8255">SUM(BY1791:BY1794)</f>
        <v>0</v>
      </c>
      <c r="BZ1795" s="11">
        <f t="shared" si="8255"/>
        <v>0</v>
      </c>
      <c r="CA1795" s="11">
        <f t="shared" si="8255"/>
        <v>0</v>
      </c>
      <c r="CB1795" s="11">
        <f t="shared" si="8255"/>
        <v>0</v>
      </c>
      <c r="CC1795" s="25">
        <f>SUM(CC1791:CC1794)</f>
        <v>0</v>
      </c>
      <c r="CE1795" s="62">
        <f t="shared" ref="CE1795:CJ1795" si="8256">SUM(CE1791:CE1794)</f>
        <v>0</v>
      </c>
      <c r="CF1795" s="63">
        <f t="shared" si="8256"/>
        <v>0</v>
      </c>
      <c r="CG1795" s="63">
        <f t="shared" si="8256"/>
        <v>0</v>
      </c>
      <c r="CH1795" s="63">
        <f t="shared" si="8256"/>
        <v>0</v>
      </c>
      <c r="CI1795" s="63">
        <f t="shared" si="8256"/>
        <v>0</v>
      </c>
      <c r="CJ1795" s="25">
        <f t="shared" si="8256"/>
        <v>0</v>
      </c>
      <c r="CL1795" s="10">
        <f>SUM(CL1791:CL1794)</f>
        <v>0</v>
      </c>
      <c r="CM1795" s="11">
        <f t="shared" ref="CM1795:CP1795" si="8257">SUM(CM1791:CM1794)</f>
        <v>0</v>
      </c>
      <c r="CN1795" s="11">
        <f t="shared" si="8257"/>
        <v>0</v>
      </c>
      <c r="CO1795" s="11">
        <f t="shared" si="8257"/>
        <v>0</v>
      </c>
      <c r="CP1795" s="11">
        <f t="shared" si="8257"/>
        <v>0</v>
      </c>
      <c r="CQ1795" s="25">
        <f>SUM(CQ1791:CQ1794)</f>
        <v>0</v>
      </c>
      <c r="CS1795" s="10">
        <f>SUM(CS1791:CS1794)</f>
        <v>0</v>
      </c>
      <c r="CT1795" s="11">
        <f t="shared" ref="CT1795:CW1795" si="8258">SUM(CT1791:CT1794)</f>
        <v>0</v>
      </c>
      <c r="CU1795" s="11">
        <f t="shared" si="8258"/>
        <v>0</v>
      </c>
      <c r="CV1795" s="11">
        <f t="shared" si="8258"/>
        <v>0</v>
      </c>
      <c r="CW1795" s="11">
        <f t="shared" si="8258"/>
        <v>0</v>
      </c>
      <c r="CX1795" s="25">
        <f>SUM(CX1791:CX1794)</f>
        <v>0</v>
      </c>
      <c r="CZ1795" s="10">
        <f>SUM(CZ1791:CZ1794)</f>
        <v>0</v>
      </c>
      <c r="DA1795" s="11">
        <f t="shared" ref="DA1795:DD1795" si="8259">SUM(DA1791:DA1794)</f>
        <v>0</v>
      </c>
      <c r="DB1795" s="11">
        <f t="shared" si="8259"/>
        <v>0</v>
      </c>
      <c r="DC1795" s="11">
        <f t="shared" si="8259"/>
        <v>0</v>
      </c>
      <c r="DD1795" s="11">
        <f t="shared" si="8259"/>
        <v>0</v>
      </c>
      <c r="DE1795" s="25">
        <f>SUM(DE1791:DE1794)</f>
        <v>0</v>
      </c>
    </row>
    <row r="1797" spans="2:109">
      <c r="B1797" s="123"/>
      <c r="C1797" s="20"/>
      <c r="D1797" s="20"/>
      <c r="E1797" s="20"/>
      <c r="F1797" s="20"/>
      <c r="G1797" s="20"/>
      <c r="H1797" s="20"/>
      <c r="I1797" s="20"/>
      <c r="J1797" s="20"/>
      <c r="K1797" s="20"/>
      <c r="L1797" s="20"/>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c r="BU1797" s="20"/>
      <c r="BV1797" s="20"/>
      <c r="BW1797" s="20"/>
      <c r="BX1797" s="20"/>
      <c r="BY1797" s="20"/>
      <c r="BZ1797" s="20"/>
      <c r="CA1797" s="20"/>
      <c r="CB1797" s="20"/>
      <c r="CC1797" s="20"/>
      <c r="CD1797" s="20"/>
      <c r="CE1797" s="20"/>
      <c r="CF1797" s="20"/>
      <c r="CG1797" s="20"/>
      <c r="CH1797" s="20"/>
      <c r="CI1797" s="20"/>
      <c r="CJ1797" s="20"/>
      <c r="CL1797" s="20"/>
      <c r="CM1797" s="20"/>
      <c r="CN1797" s="20"/>
      <c r="CO1797" s="20"/>
      <c r="CP1797" s="20"/>
      <c r="CQ1797" s="20"/>
      <c r="CR1797" s="20"/>
      <c r="CS1797" s="20"/>
      <c r="CT1797" s="20"/>
      <c r="CU1797" s="20"/>
      <c r="CV1797" s="20"/>
      <c r="CW1797" s="20"/>
      <c r="CX1797" s="20"/>
      <c r="CY1797" s="20"/>
      <c r="CZ1797" s="20"/>
      <c r="DA1797" s="20"/>
      <c r="DB1797" s="20"/>
      <c r="DC1797" s="20"/>
      <c r="DD1797" s="20"/>
      <c r="DE1797" s="20"/>
    </row>
    <row r="1798" spans="2:109" ht="14" thickBot="1">
      <c r="B1798" s="94">
        <v>57</v>
      </c>
      <c r="C1798" s="12" t="s">
        <v>118</v>
      </c>
    </row>
    <row r="1799" spans="2:109">
      <c r="C1799" s="553">
        <v>2024</v>
      </c>
      <c r="E1799" s="1" t="s">
        <v>59</v>
      </c>
      <c r="F1799" s="2"/>
      <c r="G1799" s="3"/>
      <c r="H1799" s="3"/>
      <c r="I1799" s="3"/>
      <c r="J1799" s="3"/>
      <c r="K1799" s="4">
        <f>SUM(F1799:J1799)</f>
        <v>0</v>
      </c>
      <c r="M1799" s="2"/>
      <c r="N1799" s="3"/>
      <c r="O1799" s="3"/>
      <c r="P1799" s="3"/>
      <c r="Q1799" s="3"/>
      <c r="R1799" s="4">
        <f>SUM(M1799:Q1799)</f>
        <v>0</v>
      </c>
      <c r="T1799" s="2"/>
      <c r="U1799" s="3"/>
      <c r="V1799" s="3"/>
      <c r="W1799" s="3"/>
      <c r="X1799" s="3"/>
      <c r="Y1799" s="4">
        <f>SUM(T1799:X1799)</f>
        <v>0</v>
      </c>
      <c r="AA1799" s="2"/>
      <c r="AB1799" s="3"/>
      <c r="AC1799" s="3"/>
      <c r="AD1799" s="3"/>
      <c r="AE1799" s="3"/>
      <c r="AF1799" s="4">
        <f>SUM(AA1799:AE1799)</f>
        <v>0</v>
      </c>
      <c r="AH1799" s="2"/>
      <c r="AI1799" s="3"/>
      <c r="AJ1799" s="3"/>
      <c r="AK1799" s="3"/>
      <c r="AL1799" s="3"/>
      <c r="AM1799" s="4">
        <f>SUM(AH1799:AL1799)</f>
        <v>0</v>
      </c>
      <c r="AO1799" s="2"/>
      <c r="AP1799" s="3"/>
      <c r="AQ1799" s="3"/>
      <c r="AR1799" s="3"/>
      <c r="AS1799" s="3"/>
      <c r="AT1799" s="4">
        <f>SUM(AO1799:AS1799)</f>
        <v>0</v>
      </c>
      <c r="AV1799" s="2"/>
      <c r="AW1799" s="3"/>
      <c r="AX1799" s="3"/>
      <c r="AY1799" s="3"/>
      <c r="AZ1799" s="3"/>
      <c r="BA1799" s="4">
        <f>SUM(AV1799:AZ1799)</f>
        <v>0</v>
      </c>
      <c r="BC1799" s="2"/>
      <c r="BD1799" s="3"/>
      <c r="BE1799" s="3"/>
      <c r="BF1799" s="3"/>
      <c r="BG1799" s="3"/>
      <c r="BH1799" s="4">
        <f>SUM(BC1799:BG1799)</f>
        <v>0</v>
      </c>
      <c r="BJ1799" s="2"/>
      <c r="BK1799" s="3"/>
      <c r="BL1799" s="3"/>
      <c r="BM1799" s="3"/>
      <c r="BN1799" s="3"/>
      <c r="BO1799" s="4">
        <f>SUM(BJ1799:BN1799)</f>
        <v>0</v>
      </c>
      <c r="BQ1799" s="2"/>
      <c r="BR1799" s="3"/>
      <c r="BS1799" s="3"/>
      <c r="BT1799" s="3"/>
      <c r="BU1799" s="3"/>
      <c r="BV1799" s="4">
        <f>SUM(BQ1799:BU1799)</f>
        <v>0</v>
      </c>
      <c r="BX1799" s="2"/>
      <c r="BY1799" s="3"/>
      <c r="BZ1799" s="3"/>
      <c r="CA1799" s="3"/>
      <c r="CB1799" s="3"/>
      <c r="CC1799" s="4">
        <f>SUM(BX1799:CB1799)</f>
        <v>0</v>
      </c>
      <c r="CE1799" s="26">
        <f t="shared" ref="CE1799:CE1802" si="8260">F1799+M1799+T1799+AA1799+AH1799+AO1799+AV1799+BC1799+BJ1799+BQ1799+BX1799</f>
        <v>0</v>
      </c>
      <c r="CF1799" s="27">
        <f t="shared" ref="CF1799:CF1802" si="8261">G1799+N1799+U1799+AB1799+AI1799+AP1799+AW1799+BD1799+BK1799+BR1799+BY1799</f>
        <v>0</v>
      </c>
      <c r="CG1799" s="27">
        <f t="shared" ref="CG1799:CG1802" si="8262">H1799+O1799+V1799+AC1799+AJ1799+AQ1799+AX1799+BE1799+BL1799+BS1799+BZ1799</f>
        <v>0</v>
      </c>
      <c r="CH1799" s="27">
        <f t="shared" ref="CH1799:CH1802" si="8263">I1799+P1799+W1799+AD1799+AK1799+AR1799+AY1799+BF1799+BM1799+BT1799+CA1799</f>
        <v>0</v>
      </c>
      <c r="CI1799" s="27">
        <f t="shared" ref="CI1799:CI1802" si="8264">J1799+Q1799+X1799+AE1799+AL1799+AS1799+AZ1799+BG1799+BN1799+BU1799+CB1799</f>
        <v>0</v>
      </c>
      <c r="CJ1799" s="4">
        <f>SUM(CE1799:CI1799)</f>
        <v>0</v>
      </c>
      <c r="CL1799" s="2"/>
      <c r="CM1799" s="3"/>
      <c r="CN1799" s="3"/>
      <c r="CO1799" s="3"/>
      <c r="CP1799" s="3"/>
      <c r="CQ1799" s="4">
        <f>SUM(CL1799:CP1799)</f>
        <v>0</v>
      </c>
      <c r="CS1799" s="2"/>
      <c r="CT1799" s="3"/>
      <c r="CU1799" s="3"/>
      <c r="CV1799" s="3"/>
      <c r="CW1799" s="3"/>
      <c r="CX1799" s="4">
        <f>SUM(CS1799:CW1799)</f>
        <v>0</v>
      </c>
      <c r="CZ1799" s="2"/>
      <c r="DA1799" s="3"/>
      <c r="DB1799" s="3"/>
      <c r="DC1799" s="3"/>
      <c r="DD1799" s="3"/>
      <c r="DE1799" s="4">
        <f>SUM(CZ1799:DD1799)</f>
        <v>0</v>
      </c>
    </row>
    <row r="1800" spans="2:109">
      <c r="C1800" s="567"/>
      <c r="E1800" s="5" t="s">
        <v>60</v>
      </c>
      <c r="F1800" s="6"/>
      <c r="G1800" s="7"/>
      <c r="H1800" s="7"/>
      <c r="I1800" s="7"/>
      <c r="J1800" s="7"/>
      <c r="K1800" s="8">
        <f t="shared" ref="K1800:K1802" si="8265">SUM(F1800:J1800)</f>
        <v>0</v>
      </c>
      <c r="M1800" s="6"/>
      <c r="N1800" s="7"/>
      <c r="O1800" s="7"/>
      <c r="P1800" s="7"/>
      <c r="Q1800" s="7"/>
      <c r="R1800" s="8">
        <f t="shared" ref="R1800:R1802" si="8266">SUM(M1800:Q1800)</f>
        <v>0</v>
      </c>
      <c r="T1800" s="6"/>
      <c r="U1800" s="7"/>
      <c r="V1800" s="7"/>
      <c r="W1800" s="7"/>
      <c r="X1800" s="7"/>
      <c r="Y1800" s="8">
        <f t="shared" ref="Y1800:Y1802" si="8267">SUM(T1800:X1800)</f>
        <v>0</v>
      </c>
      <c r="AA1800" s="6"/>
      <c r="AB1800" s="7"/>
      <c r="AC1800" s="7"/>
      <c r="AD1800" s="7"/>
      <c r="AE1800" s="7"/>
      <c r="AF1800" s="8">
        <f>SUM(AA1800:AE1800)</f>
        <v>0</v>
      </c>
      <c r="AH1800" s="6"/>
      <c r="AI1800" s="7"/>
      <c r="AJ1800" s="7"/>
      <c r="AK1800" s="7"/>
      <c r="AL1800" s="7"/>
      <c r="AM1800" s="8">
        <f>SUM(AH1800:AL1800)</f>
        <v>0</v>
      </c>
      <c r="AO1800" s="6"/>
      <c r="AP1800" s="7"/>
      <c r="AQ1800" s="7"/>
      <c r="AR1800" s="7"/>
      <c r="AS1800" s="7"/>
      <c r="AT1800" s="8">
        <f>SUM(AO1800:AS1800)</f>
        <v>0</v>
      </c>
      <c r="AV1800" s="6"/>
      <c r="AW1800" s="7"/>
      <c r="AX1800" s="7"/>
      <c r="AY1800" s="7"/>
      <c r="AZ1800" s="7"/>
      <c r="BA1800" s="8">
        <f>SUM(AV1800:AZ1800)</f>
        <v>0</v>
      </c>
      <c r="BC1800" s="6"/>
      <c r="BD1800" s="7"/>
      <c r="BE1800" s="7"/>
      <c r="BF1800" s="7"/>
      <c r="BG1800" s="7"/>
      <c r="BH1800" s="8">
        <f>SUM(BC1800:BG1800)</f>
        <v>0</v>
      </c>
      <c r="BJ1800" s="6"/>
      <c r="BK1800" s="7"/>
      <c r="BL1800" s="7"/>
      <c r="BM1800" s="7"/>
      <c r="BN1800" s="7"/>
      <c r="BO1800" s="8">
        <f>SUM(BJ1800:BN1800)</f>
        <v>0</v>
      </c>
      <c r="BQ1800" s="6"/>
      <c r="BR1800" s="7"/>
      <c r="BS1800" s="7"/>
      <c r="BT1800" s="7"/>
      <c r="BU1800" s="7"/>
      <c r="BV1800" s="8">
        <f>SUM(BQ1800:BU1800)</f>
        <v>0</v>
      </c>
      <c r="BX1800" s="6"/>
      <c r="BY1800" s="7"/>
      <c r="BZ1800" s="7"/>
      <c r="CA1800" s="7"/>
      <c r="CB1800" s="7"/>
      <c r="CC1800" s="8">
        <f>SUM(BX1800:CB1800)</f>
        <v>0</v>
      </c>
      <c r="CE1800" s="28">
        <f t="shared" si="8260"/>
        <v>0</v>
      </c>
      <c r="CF1800" s="29">
        <f t="shared" si="8261"/>
        <v>0</v>
      </c>
      <c r="CG1800" s="29">
        <f t="shared" si="8262"/>
        <v>0</v>
      </c>
      <c r="CH1800" s="29">
        <f t="shared" si="8263"/>
        <v>0</v>
      </c>
      <c r="CI1800" s="29">
        <f t="shared" si="8264"/>
        <v>0</v>
      </c>
      <c r="CJ1800" s="8">
        <f>SUM(CE1800:CI1800)</f>
        <v>0</v>
      </c>
      <c r="CL1800" s="6"/>
      <c r="CM1800" s="7"/>
      <c r="CN1800" s="7"/>
      <c r="CO1800" s="7"/>
      <c r="CP1800" s="7"/>
      <c r="CQ1800" s="8">
        <f>SUM(CL1800:CP1800)</f>
        <v>0</v>
      </c>
      <c r="CS1800" s="6"/>
      <c r="CT1800" s="7"/>
      <c r="CU1800" s="7"/>
      <c r="CV1800" s="7"/>
      <c r="CW1800" s="7"/>
      <c r="CX1800" s="8">
        <f t="shared" ref="CX1800:CX1802" si="8268">SUM(CS1800:CW1800)</f>
        <v>0</v>
      </c>
      <c r="CZ1800" s="6"/>
      <c r="DA1800" s="7"/>
      <c r="DB1800" s="7"/>
      <c r="DC1800" s="7"/>
      <c r="DD1800" s="7"/>
      <c r="DE1800" s="8">
        <f t="shared" ref="DE1800:DE1802" si="8269">SUM(CZ1800:DD1800)</f>
        <v>0</v>
      </c>
    </row>
    <row r="1801" spans="2:109">
      <c r="C1801" s="567"/>
      <c r="E1801" s="5" t="s">
        <v>61</v>
      </c>
      <c r="F1801" s="6"/>
      <c r="G1801" s="7"/>
      <c r="H1801" s="7"/>
      <c r="I1801" s="7"/>
      <c r="J1801" s="7"/>
      <c r="K1801" s="8">
        <f t="shared" si="8265"/>
        <v>0</v>
      </c>
      <c r="M1801" s="6"/>
      <c r="N1801" s="7"/>
      <c r="O1801" s="7"/>
      <c r="P1801" s="7"/>
      <c r="Q1801" s="7"/>
      <c r="R1801" s="8">
        <f t="shared" si="8266"/>
        <v>0</v>
      </c>
      <c r="T1801" s="6"/>
      <c r="U1801" s="7"/>
      <c r="V1801" s="7"/>
      <c r="W1801" s="7"/>
      <c r="X1801" s="7"/>
      <c r="Y1801" s="8">
        <f t="shared" si="8267"/>
        <v>0</v>
      </c>
      <c r="AA1801" s="6"/>
      <c r="AB1801" s="7"/>
      <c r="AC1801" s="7"/>
      <c r="AD1801" s="7"/>
      <c r="AE1801" s="7"/>
      <c r="AF1801" s="8">
        <f>SUM(AA1801:AE1801)</f>
        <v>0</v>
      </c>
      <c r="AH1801" s="6"/>
      <c r="AI1801" s="7"/>
      <c r="AJ1801" s="7"/>
      <c r="AK1801" s="7"/>
      <c r="AL1801" s="7"/>
      <c r="AM1801" s="8">
        <f>SUM(AH1801:AL1801)</f>
        <v>0</v>
      </c>
      <c r="AO1801" s="6"/>
      <c r="AP1801" s="7"/>
      <c r="AQ1801" s="7"/>
      <c r="AR1801" s="7"/>
      <c r="AS1801" s="7"/>
      <c r="AT1801" s="8">
        <f>SUM(AO1801:AS1801)</f>
        <v>0</v>
      </c>
      <c r="AV1801" s="6"/>
      <c r="AW1801" s="7"/>
      <c r="AX1801" s="7"/>
      <c r="AY1801" s="7"/>
      <c r="AZ1801" s="7"/>
      <c r="BA1801" s="8">
        <f>SUM(AV1801:AZ1801)</f>
        <v>0</v>
      </c>
      <c r="BC1801" s="6"/>
      <c r="BD1801" s="7"/>
      <c r="BE1801" s="7"/>
      <c r="BF1801" s="7"/>
      <c r="BG1801" s="7"/>
      <c r="BH1801" s="8">
        <f>SUM(BC1801:BG1801)</f>
        <v>0</v>
      </c>
      <c r="BJ1801" s="6"/>
      <c r="BK1801" s="7"/>
      <c r="BL1801" s="7"/>
      <c r="BM1801" s="7"/>
      <c r="BN1801" s="7"/>
      <c r="BO1801" s="8">
        <f>SUM(BJ1801:BN1801)</f>
        <v>0</v>
      </c>
      <c r="BQ1801" s="6"/>
      <c r="BR1801" s="7"/>
      <c r="BS1801" s="7"/>
      <c r="BT1801" s="7"/>
      <c r="BU1801" s="7"/>
      <c r="BV1801" s="8">
        <f>SUM(BQ1801:BU1801)</f>
        <v>0</v>
      </c>
      <c r="BX1801" s="6"/>
      <c r="BY1801" s="7"/>
      <c r="BZ1801" s="7"/>
      <c r="CA1801" s="7"/>
      <c r="CB1801" s="7"/>
      <c r="CC1801" s="8">
        <f>SUM(BX1801:CB1801)</f>
        <v>0</v>
      </c>
      <c r="CE1801" s="28">
        <f t="shared" si="8260"/>
        <v>0</v>
      </c>
      <c r="CF1801" s="29">
        <f t="shared" si="8261"/>
        <v>0</v>
      </c>
      <c r="CG1801" s="29">
        <f t="shared" si="8262"/>
        <v>0</v>
      </c>
      <c r="CH1801" s="29">
        <f t="shared" si="8263"/>
        <v>0</v>
      </c>
      <c r="CI1801" s="29">
        <f t="shared" si="8264"/>
        <v>0</v>
      </c>
      <c r="CJ1801" s="8">
        <f>SUM(CE1801:CI1801)</f>
        <v>0</v>
      </c>
      <c r="CL1801" s="6"/>
      <c r="CM1801" s="7"/>
      <c r="CN1801" s="7"/>
      <c r="CO1801" s="7"/>
      <c r="CP1801" s="7"/>
      <c r="CQ1801" s="8">
        <f>SUM(CL1801:CP1801)</f>
        <v>0</v>
      </c>
      <c r="CS1801" s="6"/>
      <c r="CT1801" s="7"/>
      <c r="CU1801" s="7"/>
      <c r="CV1801" s="7"/>
      <c r="CW1801" s="7"/>
      <c r="CX1801" s="8">
        <f t="shared" si="8268"/>
        <v>0</v>
      </c>
      <c r="CZ1801" s="6"/>
      <c r="DA1801" s="7"/>
      <c r="DB1801" s="7"/>
      <c r="DC1801" s="7"/>
      <c r="DD1801" s="7"/>
      <c r="DE1801" s="8">
        <f t="shared" si="8269"/>
        <v>0</v>
      </c>
    </row>
    <row r="1802" spans="2:109" ht="14" thickBot="1">
      <c r="C1802" s="567"/>
      <c r="E1802" s="5" t="s">
        <v>62</v>
      </c>
      <c r="F1802" s="6"/>
      <c r="G1802" s="7"/>
      <c r="H1802" s="7"/>
      <c r="I1802" s="7"/>
      <c r="J1802" s="7"/>
      <c r="K1802" s="8">
        <f t="shared" si="8265"/>
        <v>0</v>
      </c>
      <c r="M1802" s="6"/>
      <c r="N1802" s="7"/>
      <c r="O1802" s="7"/>
      <c r="P1802" s="7"/>
      <c r="Q1802" s="7"/>
      <c r="R1802" s="8">
        <f t="shared" si="8266"/>
        <v>0</v>
      </c>
      <c r="T1802" s="6"/>
      <c r="U1802" s="7"/>
      <c r="V1802" s="7"/>
      <c r="W1802" s="7"/>
      <c r="X1802" s="7"/>
      <c r="Y1802" s="8">
        <f t="shared" si="8267"/>
        <v>0</v>
      </c>
      <c r="AA1802" s="6"/>
      <c r="AB1802" s="7"/>
      <c r="AC1802" s="7"/>
      <c r="AD1802" s="7"/>
      <c r="AE1802" s="7"/>
      <c r="AF1802" s="8">
        <f>SUM(AA1802:AE1802)</f>
        <v>0</v>
      </c>
      <c r="AH1802" s="6"/>
      <c r="AI1802" s="7"/>
      <c r="AJ1802" s="7"/>
      <c r="AK1802" s="7"/>
      <c r="AL1802" s="7"/>
      <c r="AM1802" s="8">
        <f>SUM(AH1802:AL1802)</f>
        <v>0</v>
      </c>
      <c r="AO1802" s="6"/>
      <c r="AP1802" s="7"/>
      <c r="AQ1802" s="7"/>
      <c r="AR1802" s="7"/>
      <c r="AS1802" s="7"/>
      <c r="AT1802" s="8">
        <f>SUM(AO1802:AS1802)</f>
        <v>0</v>
      </c>
      <c r="AV1802" s="6"/>
      <c r="AW1802" s="7"/>
      <c r="AX1802" s="7"/>
      <c r="AY1802" s="7"/>
      <c r="AZ1802" s="7"/>
      <c r="BA1802" s="8">
        <f>SUM(AV1802:AZ1802)</f>
        <v>0</v>
      </c>
      <c r="BC1802" s="6"/>
      <c r="BD1802" s="7"/>
      <c r="BE1802" s="7"/>
      <c r="BF1802" s="7"/>
      <c r="BG1802" s="7"/>
      <c r="BH1802" s="8">
        <f>SUM(BC1802:BG1802)</f>
        <v>0</v>
      </c>
      <c r="BJ1802" s="6"/>
      <c r="BK1802" s="7"/>
      <c r="BL1802" s="7"/>
      <c r="BM1802" s="7"/>
      <c r="BN1802" s="7"/>
      <c r="BO1802" s="8">
        <f>SUM(BJ1802:BN1802)</f>
        <v>0</v>
      </c>
      <c r="BQ1802" s="6"/>
      <c r="BR1802" s="7"/>
      <c r="BS1802" s="7"/>
      <c r="BT1802" s="7"/>
      <c r="BU1802" s="7"/>
      <c r="BV1802" s="8">
        <f>SUM(BQ1802:BU1802)</f>
        <v>0</v>
      </c>
      <c r="BX1802" s="6"/>
      <c r="BY1802" s="7"/>
      <c r="BZ1802" s="7"/>
      <c r="CA1802" s="7"/>
      <c r="CB1802" s="7"/>
      <c r="CC1802" s="8">
        <f>SUM(BX1802:CB1802)</f>
        <v>0</v>
      </c>
      <c r="CE1802" s="493">
        <f t="shared" si="8260"/>
        <v>0</v>
      </c>
      <c r="CF1802" s="494">
        <f t="shared" si="8261"/>
        <v>0</v>
      </c>
      <c r="CG1802" s="494">
        <f t="shared" si="8262"/>
        <v>0</v>
      </c>
      <c r="CH1802" s="494">
        <f t="shared" si="8263"/>
        <v>0</v>
      </c>
      <c r="CI1802" s="494">
        <f t="shared" si="8264"/>
        <v>0</v>
      </c>
      <c r="CJ1802" s="495">
        <f>SUM(CE1802:CI1802)</f>
        <v>0</v>
      </c>
      <c r="CL1802" s="6"/>
      <c r="CM1802" s="7"/>
      <c r="CN1802" s="7"/>
      <c r="CO1802" s="7"/>
      <c r="CP1802" s="7"/>
      <c r="CQ1802" s="8">
        <f>SUM(CL1802:CP1802)</f>
        <v>0</v>
      </c>
      <c r="CS1802" s="6"/>
      <c r="CT1802" s="7"/>
      <c r="CU1802" s="7"/>
      <c r="CV1802" s="7"/>
      <c r="CW1802" s="7"/>
      <c r="CX1802" s="8">
        <f t="shared" si="8268"/>
        <v>0</v>
      </c>
      <c r="CZ1802" s="6"/>
      <c r="DA1802" s="7"/>
      <c r="DB1802" s="7"/>
      <c r="DC1802" s="7"/>
      <c r="DD1802" s="7"/>
      <c r="DE1802" s="8">
        <f t="shared" si="8269"/>
        <v>0</v>
      </c>
    </row>
    <row r="1803" spans="2:109" ht="14" thickBot="1">
      <c r="C1803" s="554"/>
      <c r="E1803" s="9"/>
      <c r="F1803" s="10">
        <f>SUM(F1799:F1802)</f>
        <v>0</v>
      </c>
      <c r="G1803" s="11">
        <f t="shared" ref="G1803:J1803" si="8270">SUM(G1799:G1802)</f>
        <v>0</v>
      </c>
      <c r="H1803" s="11">
        <f t="shared" si="8270"/>
        <v>0</v>
      </c>
      <c r="I1803" s="11">
        <f t="shared" si="8270"/>
        <v>0</v>
      </c>
      <c r="J1803" s="61">
        <f t="shared" si="8270"/>
        <v>0</v>
      </c>
      <c r="K1803" s="25">
        <f>SUM(K1799:K1802)</f>
        <v>0</v>
      </c>
      <c r="M1803" s="10">
        <f>SUM(M1799:M1802)</f>
        <v>0</v>
      </c>
      <c r="N1803" s="11">
        <f t="shared" ref="N1803:Q1803" si="8271">SUM(N1799:N1802)</f>
        <v>0</v>
      </c>
      <c r="O1803" s="11">
        <f t="shared" si="8271"/>
        <v>0</v>
      </c>
      <c r="P1803" s="11">
        <f t="shared" si="8271"/>
        <v>0</v>
      </c>
      <c r="Q1803" s="11">
        <f t="shared" si="8271"/>
        <v>0</v>
      </c>
      <c r="R1803" s="25">
        <f>SUM(R1799:R1802)</f>
        <v>0</v>
      </c>
      <c r="T1803" s="10">
        <f>SUM(T1799:T1802)</f>
        <v>0</v>
      </c>
      <c r="U1803" s="11">
        <f t="shared" ref="U1803:X1803" si="8272">SUM(U1799:U1802)</f>
        <v>0</v>
      </c>
      <c r="V1803" s="11">
        <f t="shared" si="8272"/>
        <v>0</v>
      </c>
      <c r="W1803" s="11">
        <f t="shared" si="8272"/>
        <v>0</v>
      </c>
      <c r="X1803" s="11">
        <f t="shared" si="8272"/>
        <v>0</v>
      </c>
      <c r="Y1803" s="25">
        <f>SUM(Y1799:Y1802)</f>
        <v>0</v>
      </c>
      <c r="AA1803" s="10">
        <f>SUM(AA1799:AA1802)</f>
        <v>0</v>
      </c>
      <c r="AB1803" s="11">
        <f t="shared" ref="AB1803:AE1803" si="8273">SUM(AB1799:AB1802)</f>
        <v>0</v>
      </c>
      <c r="AC1803" s="11">
        <f t="shared" si="8273"/>
        <v>0</v>
      </c>
      <c r="AD1803" s="11">
        <f t="shared" si="8273"/>
        <v>0</v>
      </c>
      <c r="AE1803" s="11">
        <f t="shared" si="8273"/>
        <v>0</v>
      </c>
      <c r="AF1803" s="25">
        <f>SUM(AF1799:AF1802)</f>
        <v>0</v>
      </c>
      <c r="AH1803" s="10">
        <f>SUM(AH1799:AH1802)</f>
        <v>0</v>
      </c>
      <c r="AI1803" s="11">
        <f t="shared" ref="AI1803:AL1803" si="8274">SUM(AI1799:AI1802)</f>
        <v>0</v>
      </c>
      <c r="AJ1803" s="11">
        <f t="shared" si="8274"/>
        <v>0</v>
      </c>
      <c r="AK1803" s="11">
        <f t="shared" si="8274"/>
        <v>0</v>
      </c>
      <c r="AL1803" s="11">
        <f t="shared" si="8274"/>
        <v>0</v>
      </c>
      <c r="AM1803" s="25">
        <f>SUM(AM1799:AM1802)</f>
        <v>0</v>
      </c>
      <c r="AO1803" s="10">
        <f>SUM(AO1799:AO1802)</f>
        <v>0</v>
      </c>
      <c r="AP1803" s="11">
        <f t="shared" ref="AP1803:AS1803" si="8275">SUM(AP1799:AP1802)</f>
        <v>0</v>
      </c>
      <c r="AQ1803" s="11">
        <f t="shared" si="8275"/>
        <v>0</v>
      </c>
      <c r="AR1803" s="11">
        <f t="shared" si="8275"/>
        <v>0</v>
      </c>
      <c r="AS1803" s="11">
        <f t="shared" si="8275"/>
        <v>0</v>
      </c>
      <c r="AT1803" s="25">
        <f>SUM(AT1799:AT1802)</f>
        <v>0</v>
      </c>
      <c r="AV1803" s="10">
        <f>SUM(AV1799:AV1802)</f>
        <v>0</v>
      </c>
      <c r="AW1803" s="11">
        <f t="shared" ref="AW1803:AZ1803" si="8276">SUM(AW1799:AW1802)</f>
        <v>0</v>
      </c>
      <c r="AX1803" s="11">
        <f t="shared" si="8276"/>
        <v>0</v>
      </c>
      <c r="AY1803" s="11">
        <f t="shared" si="8276"/>
        <v>0</v>
      </c>
      <c r="AZ1803" s="11">
        <f t="shared" si="8276"/>
        <v>0</v>
      </c>
      <c r="BA1803" s="25">
        <f>SUM(BA1799:BA1802)</f>
        <v>0</v>
      </c>
      <c r="BC1803" s="10">
        <f>SUM(BC1799:BC1802)</f>
        <v>0</v>
      </c>
      <c r="BD1803" s="11">
        <f t="shared" ref="BD1803:BG1803" si="8277">SUM(BD1799:BD1802)</f>
        <v>0</v>
      </c>
      <c r="BE1803" s="11">
        <f t="shared" si="8277"/>
        <v>0</v>
      </c>
      <c r="BF1803" s="11">
        <f t="shared" si="8277"/>
        <v>0</v>
      </c>
      <c r="BG1803" s="11">
        <f t="shared" si="8277"/>
        <v>0</v>
      </c>
      <c r="BH1803" s="25">
        <f>SUM(BH1799:BH1802)</f>
        <v>0</v>
      </c>
      <c r="BJ1803" s="10">
        <f>SUM(BJ1799:BJ1802)</f>
        <v>0</v>
      </c>
      <c r="BK1803" s="11">
        <f t="shared" ref="BK1803:BN1803" si="8278">SUM(BK1799:BK1802)</f>
        <v>0</v>
      </c>
      <c r="BL1803" s="11">
        <f t="shared" si="8278"/>
        <v>0</v>
      </c>
      <c r="BM1803" s="11">
        <f t="shared" si="8278"/>
        <v>0</v>
      </c>
      <c r="BN1803" s="11">
        <f t="shared" si="8278"/>
        <v>0</v>
      </c>
      <c r="BO1803" s="25">
        <f>SUM(BO1799:BO1802)</f>
        <v>0</v>
      </c>
      <c r="BQ1803" s="10">
        <f>SUM(BQ1799:BQ1802)</f>
        <v>0</v>
      </c>
      <c r="BR1803" s="11">
        <f t="shared" ref="BR1803:BU1803" si="8279">SUM(BR1799:BR1802)</f>
        <v>0</v>
      </c>
      <c r="BS1803" s="11">
        <f t="shared" si="8279"/>
        <v>0</v>
      </c>
      <c r="BT1803" s="11">
        <f t="shared" si="8279"/>
        <v>0</v>
      </c>
      <c r="BU1803" s="11">
        <f t="shared" si="8279"/>
        <v>0</v>
      </c>
      <c r="BV1803" s="25">
        <f>SUM(BV1799:BV1802)</f>
        <v>0</v>
      </c>
      <c r="BX1803" s="10">
        <f>SUM(BX1799:BX1802)</f>
        <v>0</v>
      </c>
      <c r="BY1803" s="11">
        <f t="shared" ref="BY1803:CB1803" si="8280">SUM(BY1799:BY1802)</f>
        <v>0</v>
      </c>
      <c r="BZ1803" s="11">
        <f t="shared" si="8280"/>
        <v>0</v>
      </c>
      <c r="CA1803" s="11">
        <f t="shared" si="8280"/>
        <v>0</v>
      </c>
      <c r="CB1803" s="11">
        <f t="shared" si="8280"/>
        <v>0</v>
      </c>
      <c r="CC1803" s="25">
        <f>SUM(CC1799:CC1802)</f>
        <v>0</v>
      </c>
      <c r="CE1803" s="62">
        <f t="shared" ref="CE1803:CJ1803" si="8281">SUM(CE1799:CE1802)</f>
        <v>0</v>
      </c>
      <c r="CF1803" s="63">
        <f t="shared" si="8281"/>
        <v>0</v>
      </c>
      <c r="CG1803" s="63">
        <f t="shared" si="8281"/>
        <v>0</v>
      </c>
      <c r="CH1803" s="63">
        <f t="shared" si="8281"/>
        <v>0</v>
      </c>
      <c r="CI1803" s="63">
        <f t="shared" si="8281"/>
        <v>0</v>
      </c>
      <c r="CJ1803" s="25">
        <f t="shared" si="8281"/>
        <v>0</v>
      </c>
      <c r="CL1803" s="10">
        <f>SUM(CL1799:CL1802)</f>
        <v>0</v>
      </c>
      <c r="CM1803" s="11">
        <f t="shared" ref="CM1803:CP1803" si="8282">SUM(CM1799:CM1802)</f>
        <v>0</v>
      </c>
      <c r="CN1803" s="11">
        <f t="shared" si="8282"/>
        <v>0</v>
      </c>
      <c r="CO1803" s="11">
        <f t="shared" si="8282"/>
        <v>0</v>
      </c>
      <c r="CP1803" s="11">
        <f t="shared" si="8282"/>
        <v>0</v>
      </c>
      <c r="CQ1803" s="25">
        <f>SUM(CQ1799:CQ1802)</f>
        <v>0</v>
      </c>
      <c r="CS1803" s="10">
        <f>SUM(CS1799:CS1802)</f>
        <v>0</v>
      </c>
      <c r="CT1803" s="11">
        <f t="shared" ref="CT1803:CW1803" si="8283">SUM(CT1799:CT1802)</f>
        <v>0</v>
      </c>
      <c r="CU1803" s="11">
        <f t="shared" si="8283"/>
        <v>0</v>
      </c>
      <c r="CV1803" s="11">
        <f t="shared" si="8283"/>
        <v>0</v>
      </c>
      <c r="CW1803" s="11">
        <f t="shared" si="8283"/>
        <v>0</v>
      </c>
      <c r="CX1803" s="25">
        <f>SUM(CX1799:CX1802)</f>
        <v>0</v>
      </c>
      <c r="CZ1803" s="10">
        <f>SUM(CZ1799:CZ1802)</f>
        <v>0</v>
      </c>
      <c r="DA1803" s="11">
        <f t="shared" ref="DA1803:DD1803" si="8284">SUM(DA1799:DA1802)</f>
        <v>0</v>
      </c>
      <c r="DB1803" s="11">
        <f t="shared" si="8284"/>
        <v>0</v>
      </c>
      <c r="DC1803" s="11">
        <f t="shared" si="8284"/>
        <v>0</v>
      </c>
      <c r="DD1803" s="11">
        <f t="shared" si="8284"/>
        <v>0</v>
      </c>
      <c r="DE1803" s="25">
        <f>SUM(DE1799:DE1802)</f>
        <v>0</v>
      </c>
    </row>
    <row r="1804" spans="2:109" ht="10.4" customHeight="1" thickBot="1"/>
    <row r="1805" spans="2:109">
      <c r="C1805" s="553">
        <v>2025</v>
      </c>
      <c r="E1805" s="13" t="s">
        <v>59</v>
      </c>
      <c r="F1805" s="21">
        <f>CE1799</f>
        <v>0</v>
      </c>
      <c r="G1805" s="22">
        <f t="shared" ref="G1805:G1808" si="8285">CF1799</f>
        <v>0</v>
      </c>
      <c r="H1805" s="22">
        <f t="shared" ref="H1805:H1808" si="8286">CG1799</f>
        <v>0</v>
      </c>
      <c r="I1805" s="22">
        <f t="shared" ref="I1805:I1808" si="8287">CH1799</f>
        <v>0</v>
      </c>
      <c r="J1805" s="22">
        <f t="shared" ref="J1805:J1808" si="8288">CI1799</f>
        <v>0</v>
      </c>
      <c r="K1805" s="15">
        <f>SUM(F1805:J1805)</f>
        <v>0</v>
      </c>
      <c r="M1805" s="2"/>
      <c r="N1805" s="3"/>
      <c r="O1805" s="3"/>
      <c r="P1805" s="3"/>
      <c r="Q1805" s="3"/>
      <c r="R1805" s="15">
        <f>SUM(M1805:Q1805)</f>
        <v>0</v>
      </c>
      <c r="T1805" s="2"/>
      <c r="U1805" s="3"/>
      <c r="V1805" s="3"/>
      <c r="W1805" s="3"/>
      <c r="X1805" s="3"/>
      <c r="Y1805" s="15">
        <f>SUM(T1805:X1805)</f>
        <v>0</v>
      </c>
      <c r="AA1805" s="2"/>
      <c r="AB1805" s="3"/>
      <c r="AC1805" s="3"/>
      <c r="AD1805" s="3"/>
      <c r="AE1805" s="3"/>
      <c r="AF1805" s="15">
        <f>SUM(AA1805:AE1805)</f>
        <v>0</v>
      </c>
      <c r="AH1805" s="2"/>
      <c r="AI1805" s="3"/>
      <c r="AJ1805" s="3"/>
      <c r="AK1805" s="3"/>
      <c r="AL1805" s="3"/>
      <c r="AM1805" s="15">
        <f>SUM(AH1805:AL1805)</f>
        <v>0</v>
      </c>
      <c r="AO1805" s="2"/>
      <c r="AP1805" s="3"/>
      <c r="AQ1805" s="3"/>
      <c r="AR1805" s="3"/>
      <c r="AS1805" s="3"/>
      <c r="AT1805" s="15">
        <f>SUM(AO1805:AS1805)</f>
        <v>0</v>
      </c>
      <c r="AV1805" s="2"/>
      <c r="AW1805" s="3"/>
      <c r="AX1805" s="3"/>
      <c r="AY1805" s="3"/>
      <c r="AZ1805" s="3"/>
      <c r="BA1805" s="15">
        <f>SUM(AV1805:AZ1805)</f>
        <v>0</v>
      </c>
      <c r="BC1805" s="2"/>
      <c r="BD1805" s="3"/>
      <c r="BE1805" s="3"/>
      <c r="BF1805" s="3"/>
      <c r="BG1805" s="3"/>
      <c r="BH1805" s="15">
        <f>SUM(BC1805:BG1805)</f>
        <v>0</v>
      </c>
      <c r="BJ1805" s="2"/>
      <c r="BK1805" s="3"/>
      <c r="BL1805" s="3"/>
      <c r="BM1805" s="3"/>
      <c r="BN1805" s="3"/>
      <c r="BO1805" s="15">
        <f>SUM(BJ1805:BN1805)</f>
        <v>0</v>
      </c>
      <c r="BQ1805" s="2"/>
      <c r="BR1805" s="3"/>
      <c r="BS1805" s="3"/>
      <c r="BT1805" s="3"/>
      <c r="BU1805" s="3"/>
      <c r="BV1805" s="15">
        <f>SUM(BQ1805:BU1805)</f>
        <v>0</v>
      </c>
      <c r="BX1805" s="2"/>
      <c r="BY1805" s="3"/>
      <c r="BZ1805" s="3"/>
      <c r="CA1805" s="3"/>
      <c r="CB1805" s="3"/>
      <c r="CC1805" s="15">
        <f>SUM(BX1805:CB1805)</f>
        <v>0</v>
      </c>
      <c r="CE1805" s="26">
        <f t="shared" ref="CE1805:CE1808" si="8289">F1805+M1805+T1805+AA1805+AH1805+AO1805+AV1805+BC1805+BJ1805+BQ1805+BX1805</f>
        <v>0</v>
      </c>
      <c r="CF1805" s="27">
        <f t="shared" ref="CF1805:CF1808" si="8290">G1805+N1805+U1805+AB1805+AI1805+AP1805+AW1805+BD1805+BK1805+BR1805+BY1805</f>
        <v>0</v>
      </c>
      <c r="CG1805" s="27">
        <f t="shared" ref="CG1805:CG1808" si="8291">H1805+O1805+V1805+AC1805+AJ1805+AQ1805+AX1805+BE1805+BL1805+BS1805+BZ1805</f>
        <v>0</v>
      </c>
      <c r="CH1805" s="27">
        <f t="shared" ref="CH1805:CH1808" si="8292">I1805+P1805+W1805+AD1805+AK1805+AR1805+AY1805+BF1805+BM1805+BT1805+CA1805</f>
        <v>0</v>
      </c>
      <c r="CI1805" s="27">
        <f t="shared" ref="CI1805:CI1808" si="8293">J1805+Q1805+X1805+AE1805+AL1805+AS1805+AZ1805+BG1805+BN1805+BU1805+CB1805</f>
        <v>0</v>
      </c>
      <c r="CJ1805" s="4">
        <f>SUM(CE1805:CI1805)</f>
        <v>0</v>
      </c>
      <c r="CL1805" s="2"/>
      <c r="CM1805" s="3"/>
      <c r="CN1805" s="3"/>
      <c r="CO1805" s="3"/>
      <c r="CP1805" s="3"/>
      <c r="CQ1805" s="15">
        <f>SUM(CL1805:CP1805)</f>
        <v>0</v>
      </c>
      <c r="CS1805" s="2"/>
      <c r="CT1805" s="3"/>
      <c r="CU1805" s="3"/>
      <c r="CV1805" s="3"/>
      <c r="CW1805" s="3"/>
      <c r="CX1805" s="4">
        <f>SUM(CS1805:CW1805)</f>
        <v>0</v>
      </c>
      <c r="CZ1805" s="2"/>
      <c r="DA1805" s="3"/>
      <c r="DB1805" s="3"/>
      <c r="DC1805" s="3"/>
      <c r="DD1805" s="3"/>
      <c r="DE1805" s="15">
        <f>SUM(CZ1805:DD1805)</f>
        <v>0</v>
      </c>
    </row>
    <row r="1806" spans="2:109">
      <c r="C1806" s="567"/>
      <c r="E1806" s="14" t="s">
        <v>60</v>
      </c>
      <c r="F1806" s="23">
        <f t="shared" ref="F1806:F1808" si="8294">CE1800</f>
        <v>0</v>
      </c>
      <c r="G1806" s="24">
        <f t="shared" si="8285"/>
        <v>0</v>
      </c>
      <c r="H1806" s="24">
        <f t="shared" si="8286"/>
        <v>0</v>
      </c>
      <c r="I1806" s="24">
        <f t="shared" si="8287"/>
        <v>0</v>
      </c>
      <c r="J1806" s="24">
        <f t="shared" si="8288"/>
        <v>0</v>
      </c>
      <c r="K1806" s="16">
        <f t="shared" ref="K1806:K1808" si="8295">SUM(F1806:J1806)</f>
        <v>0</v>
      </c>
      <c r="M1806" s="6"/>
      <c r="N1806" s="7"/>
      <c r="O1806" s="7"/>
      <c r="P1806" s="7"/>
      <c r="Q1806" s="7"/>
      <c r="R1806" s="16">
        <f t="shared" ref="R1806:R1808" si="8296">SUM(M1806:Q1806)</f>
        <v>0</v>
      </c>
      <c r="T1806" s="6"/>
      <c r="U1806" s="7"/>
      <c r="V1806" s="7"/>
      <c r="W1806" s="7"/>
      <c r="X1806" s="7"/>
      <c r="Y1806" s="16">
        <f t="shared" ref="Y1806:Y1808" si="8297">SUM(T1806:X1806)</f>
        <v>0</v>
      </c>
      <c r="AA1806" s="6"/>
      <c r="AB1806" s="7"/>
      <c r="AC1806" s="7"/>
      <c r="AD1806" s="7"/>
      <c r="AE1806" s="7"/>
      <c r="AF1806" s="16">
        <f>SUM(AA1806:AE1806)</f>
        <v>0</v>
      </c>
      <c r="AH1806" s="6"/>
      <c r="AI1806" s="7"/>
      <c r="AJ1806" s="7"/>
      <c r="AK1806" s="7"/>
      <c r="AL1806" s="7"/>
      <c r="AM1806" s="16">
        <f>SUM(AH1806:AL1806)</f>
        <v>0</v>
      </c>
      <c r="AO1806" s="6"/>
      <c r="AP1806" s="7"/>
      <c r="AQ1806" s="7"/>
      <c r="AR1806" s="7"/>
      <c r="AS1806" s="7"/>
      <c r="AT1806" s="16">
        <f>SUM(AO1806:AS1806)</f>
        <v>0</v>
      </c>
      <c r="AV1806" s="6"/>
      <c r="AW1806" s="7"/>
      <c r="AX1806" s="7"/>
      <c r="AY1806" s="7"/>
      <c r="AZ1806" s="7"/>
      <c r="BA1806" s="16">
        <f>SUM(AV1806:AZ1806)</f>
        <v>0</v>
      </c>
      <c r="BC1806" s="6"/>
      <c r="BD1806" s="7"/>
      <c r="BE1806" s="7"/>
      <c r="BF1806" s="7"/>
      <c r="BG1806" s="7"/>
      <c r="BH1806" s="16">
        <f>SUM(BC1806:BG1806)</f>
        <v>0</v>
      </c>
      <c r="BJ1806" s="6"/>
      <c r="BK1806" s="7"/>
      <c r="BL1806" s="7"/>
      <c r="BM1806" s="7"/>
      <c r="BN1806" s="7"/>
      <c r="BO1806" s="16">
        <f>SUM(BJ1806:BN1806)</f>
        <v>0</v>
      </c>
      <c r="BQ1806" s="6"/>
      <c r="BR1806" s="7"/>
      <c r="BS1806" s="7"/>
      <c r="BT1806" s="7"/>
      <c r="BU1806" s="7"/>
      <c r="BV1806" s="16">
        <f>SUM(BQ1806:BU1806)</f>
        <v>0</v>
      </c>
      <c r="BX1806" s="6"/>
      <c r="BY1806" s="7"/>
      <c r="BZ1806" s="7"/>
      <c r="CA1806" s="7"/>
      <c r="CB1806" s="7"/>
      <c r="CC1806" s="16">
        <f>SUM(BX1806:CB1806)</f>
        <v>0</v>
      </c>
      <c r="CE1806" s="28">
        <f t="shared" si="8289"/>
        <v>0</v>
      </c>
      <c r="CF1806" s="29">
        <f t="shared" si="8290"/>
        <v>0</v>
      </c>
      <c r="CG1806" s="29">
        <f t="shared" si="8291"/>
        <v>0</v>
      </c>
      <c r="CH1806" s="29">
        <f t="shared" si="8292"/>
        <v>0</v>
      </c>
      <c r="CI1806" s="29">
        <f t="shared" si="8293"/>
        <v>0</v>
      </c>
      <c r="CJ1806" s="8">
        <f>SUM(CE1806:CI1806)</f>
        <v>0</v>
      </c>
      <c r="CL1806" s="6"/>
      <c r="CM1806" s="7"/>
      <c r="CN1806" s="7"/>
      <c r="CO1806" s="7"/>
      <c r="CP1806" s="7"/>
      <c r="CQ1806" s="16">
        <f>SUM(CL1806:CP1806)</f>
        <v>0</v>
      </c>
      <c r="CS1806" s="6"/>
      <c r="CT1806" s="7"/>
      <c r="CU1806" s="7"/>
      <c r="CV1806" s="7"/>
      <c r="CW1806" s="7"/>
      <c r="CX1806" s="8">
        <f t="shared" ref="CX1806:CX1808" si="8298">SUM(CS1806:CW1806)</f>
        <v>0</v>
      </c>
      <c r="CZ1806" s="6"/>
      <c r="DA1806" s="7"/>
      <c r="DB1806" s="7"/>
      <c r="DC1806" s="7"/>
      <c r="DD1806" s="7"/>
      <c r="DE1806" s="16">
        <f t="shared" ref="DE1806:DE1808" si="8299">SUM(CZ1806:DD1806)</f>
        <v>0</v>
      </c>
    </row>
    <row r="1807" spans="2:109">
      <c r="C1807" s="567"/>
      <c r="E1807" s="14" t="s">
        <v>61</v>
      </c>
      <c r="F1807" s="23">
        <f t="shared" si="8294"/>
        <v>0</v>
      </c>
      <c r="G1807" s="24">
        <f t="shared" si="8285"/>
        <v>0</v>
      </c>
      <c r="H1807" s="24">
        <f t="shared" si="8286"/>
        <v>0</v>
      </c>
      <c r="I1807" s="24">
        <f t="shared" si="8287"/>
        <v>0</v>
      </c>
      <c r="J1807" s="24">
        <f t="shared" si="8288"/>
        <v>0</v>
      </c>
      <c r="K1807" s="16">
        <f t="shared" si="8295"/>
        <v>0</v>
      </c>
      <c r="M1807" s="6"/>
      <c r="N1807" s="7"/>
      <c r="O1807" s="7"/>
      <c r="P1807" s="7"/>
      <c r="Q1807" s="7"/>
      <c r="R1807" s="16">
        <f t="shared" si="8296"/>
        <v>0</v>
      </c>
      <c r="T1807" s="6"/>
      <c r="U1807" s="7"/>
      <c r="V1807" s="7"/>
      <c r="W1807" s="7"/>
      <c r="X1807" s="7"/>
      <c r="Y1807" s="16">
        <f t="shared" si="8297"/>
        <v>0</v>
      </c>
      <c r="AA1807" s="6"/>
      <c r="AB1807" s="7"/>
      <c r="AC1807" s="7"/>
      <c r="AD1807" s="7"/>
      <c r="AE1807" s="7"/>
      <c r="AF1807" s="16">
        <f>SUM(AA1807:AE1807)</f>
        <v>0</v>
      </c>
      <c r="AH1807" s="6"/>
      <c r="AI1807" s="7"/>
      <c r="AJ1807" s="7"/>
      <c r="AK1807" s="7"/>
      <c r="AL1807" s="7"/>
      <c r="AM1807" s="16">
        <f>SUM(AH1807:AL1807)</f>
        <v>0</v>
      </c>
      <c r="AO1807" s="6"/>
      <c r="AP1807" s="7"/>
      <c r="AQ1807" s="7"/>
      <c r="AR1807" s="7"/>
      <c r="AS1807" s="7"/>
      <c r="AT1807" s="16">
        <f>SUM(AO1807:AS1807)</f>
        <v>0</v>
      </c>
      <c r="AV1807" s="6"/>
      <c r="AW1807" s="7"/>
      <c r="AX1807" s="7"/>
      <c r="AY1807" s="7"/>
      <c r="AZ1807" s="7"/>
      <c r="BA1807" s="16">
        <f>SUM(AV1807:AZ1807)</f>
        <v>0</v>
      </c>
      <c r="BC1807" s="6"/>
      <c r="BD1807" s="7"/>
      <c r="BE1807" s="7"/>
      <c r="BF1807" s="7"/>
      <c r="BG1807" s="7"/>
      <c r="BH1807" s="16">
        <f>SUM(BC1807:BG1807)</f>
        <v>0</v>
      </c>
      <c r="BJ1807" s="6"/>
      <c r="BK1807" s="7"/>
      <c r="BL1807" s="7"/>
      <c r="BM1807" s="7"/>
      <c r="BN1807" s="7"/>
      <c r="BO1807" s="16">
        <f>SUM(BJ1807:BN1807)</f>
        <v>0</v>
      </c>
      <c r="BQ1807" s="6"/>
      <c r="BR1807" s="7"/>
      <c r="BS1807" s="7"/>
      <c r="BT1807" s="7"/>
      <c r="BU1807" s="7"/>
      <c r="BV1807" s="16">
        <f>SUM(BQ1807:BU1807)</f>
        <v>0</v>
      </c>
      <c r="BX1807" s="6"/>
      <c r="BY1807" s="7"/>
      <c r="BZ1807" s="7"/>
      <c r="CA1807" s="7"/>
      <c r="CB1807" s="7"/>
      <c r="CC1807" s="16">
        <f>SUM(BX1807:CB1807)</f>
        <v>0</v>
      </c>
      <c r="CE1807" s="28">
        <f t="shared" si="8289"/>
        <v>0</v>
      </c>
      <c r="CF1807" s="29">
        <f t="shared" si="8290"/>
        <v>0</v>
      </c>
      <c r="CG1807" s="29">
        <f t="shared" si="8291"/>
        <v>0</v>
      </c>
      <c r="CH1807" s="29">
        <f t="shared" si="8292"/>
        <v>0</v>
      </c>
      <c r="CI1807" s="29">
        <f t="shared" si="8293"/>
        <v>0</v>
      </c>
      <c r="CJ1807" s="8">
        <f>SUM(CE1807:CI1807)</f>
        <v>0</v>
      </c>
      <c r="CL1807" s="6"/>
      <c r="CM1807" s="7"/>
      <c r="CN1807" s="7"/>
      <c r="CO1807" s="7"/>
      <c r="CP1807" s="7"/>
      <c r="CQ1807" s="16">
        <f>SUM(CL1807:CP1807)</f>
        <v>0</v>
      </c>
      <c r="CS1807" s="6"/>
      <c r="CT1807" s="7"/>
      <c r="CU1807" s="7"/>
      <c r="CV1807" s="7"/>
      <c r="CW1807" s="7"/>
      <c r="CX1807" s="8">
        <f t="shared" si="8298"/>
        <v>0</v>
      </c>
      <c r="CZ1807" s="6"/>
      <c r="DA1807" s="7"/>
      <c r="DB1807" s="7"/>
      <c r="DC1807" s="7"/>
      <c r="DD1807" s="7"/>
      <c r="DE1807" s="16">
        <f t="shared" si="8299"/>
        <v>0</v>
      </c>
    </row>
    <row r="1808" spans="2:109" ht="14" thickBot="1">
      <c r="C1808" s="567"/>
      <c r="E1808" s="14" t="s">
        <v>62</v>
      </c>
      <c r="F1808" s="23">
        <f t="shared" si="8294"/>
        <v>0</v>
      </c>
      <c r="G1808" s="24">
        <f t="shared" si="8285"/>
        <v>0</v>
      </c>
      <c r="H1808" s="24">
        <f t="shared" si="8286"/>
        <v>0</v>
      </c>
      <c r="I1808" s="24">
        <f t="shared" si="8287"/>
        <v>0</v>
      </c>
      <c r="J1808" s="24">
        <f t="shared" si="8288"/>
        <v>0</v>
      </c>
      <c r="K1808" s="16">
        <f t="shared" si="8295"/>
        <v>0</v>
      </c>
      <c r="M1808" s="6"/>
      <c r="N1808" s="7"/>
      <c r="O1808" s="7"/>
      <c r="P1808" s="7"/>
      <c r="Q1808" s="7"/>
      <c r="R1808" s="16">
        <f t="shared" si="8296"/>
        <v>0</v>
      </c>
      <c r="T1808" s="6"/>
      <c r="U1808" s="7"/>
      <c r="V1808" s="7"/>
      <c r="W1808" s="7"/>
      <c r="X1808" s="7"/>
      <c r="Y1808" s="16">
        <f t="shared" si="8297"/>
        <v>0</v>
      </c>
      <c r="AA1808" s="6"/>
      <c r="AB1808" s="7"/>
      <c r="AC1808" s="7"/>
      <c r="AD1808" s="7"/>
      <c r="AE1808" s="7"/>
      <c r="AF1808" s="16">
        <f>SUM(AA1808:AE1808)</f>
        <v>0</v>
      </c>
      <c r="AH1808" s="6"/>
      <c r="AI1808" s="7"/>
      <c r="AJ1808" s="7"/>
      <c r="AK1808" s="7"/>
      <c r="AL1808" s="7"/>
      <c r="AM1808" s="16">
        <f>SUM(AH1808:AL1808)</f>
        <v>0</v>
      </c>
      <c r="AO1808" s="6"/>
      <c r="AP1808" s="7"/>
      <c r="AQ1808" s="7"/>
      <c r="AR1808" s="7"/>
      <c r="AS1808" s="7"/>
      <c r="AT1808" s="16">
        <f>SUM(AO1808:AS1808)</f>
        <v>0</v>
      </c>
      <c r="AV1808" s="6"/>
      <c r="AW1808" s="7"/>
      <c r="AX1808" s="7"/>
      <c r="AY1808" s="7"/>
      <c r="AZ1808" s="7"/>
      <c r="BA1808" s="16">
        <f>SUM(AV1808:AZ1808)</f>
        <v>0</v>
      </c>
      <c r="BC1808" s="6"/>
      <c r="BD1808" s="7"/>
      <c r="BE1808" s="7"/>
      <c r="BF1808" s="7"/>
      <c r="BG1808" s="7"/>
      <c r="BH1808" s="16">
        <f>SUM(BC1808:BG1808)</f>
        <v>0</v>
      </c>
      <c r="BJ1808" s="6"/>
      <c r="BK1808" s="7"/>
      <c r="BL1808" s="7"/>
      <c r="BM1808" s="7"/>
      <c r="BN1808" s="7"/>
      <c r="BO1808" s="16">
        <f>SUM(BJ1808:BN1808)</f>
        <v>0</v>
      </c>
      <c r="BQ1808" s="6"/>
      <c r="BR1808" s="7"/>
      <c r="BS1808" s="7"/>
      <c r="BT1808" s="7"/>
      <c r="BU1808" s="7"/>
      <c r="BV1808" s="16">
        <f>SUM(BQ1808:BU1808)</f>
        <v>0</v>
      </c>
      <c r="BX1808" s="6"/>
      <c r="BY1808" s="7"/>
      <c r="BZ1808" s="7"/>
      <c r="CA1808" s="7"/>
      <c r="CB1808" s="7"/>
      <c r="CC1808" s="16">
        <f>SUM(BX1808:CB1808)</f>
        <v>0</v>
      </c>
      <c r="CE1808" s="493">
        <f t="shared" si="8289"/>
        <v>0</v>
      </c>
      <c r="CF1808" s="494">
        <f t="shared" si="8290"/>
        <v>0</v>
      </c>
      <c r="CG1808" s="494">
        <f t="shared" si="8291"/>
        <v>0</v>
      </c>
      <c r="CH1808" s="494">
        <f t="shared" si="8292"/>
        <v>0</v>
      </c>
      <c r="CI1808" s="494">
        <f t="shared" si="8293"/>
        <v>0</v>
      </c>
      <c r="CJ1808" s="495">
        <f>SUM(CE1808:CI1808)</f>
        <v>0</v>
      </c>
      <c r="CL1808" s="6"/>
      <c r="CM1808" s="7"/>
      <c r="CN1808" s="7"/>
      <c r="CO1808" s="7"/>
      <c r="CP1808" s="7"/>
      <c r="CQ1808" s="16">
        <f>SUM(CL1808:CP1808)</f>
        <v>0</v>
      </c>
      <c r="CS1808" s="6"/>
      <c r="CT1808" s="7"/>
      <c r="CU1808" s="7"/>
      <c r="CV1808" s="7"/>
      <c r="CW1808" s="7"/>
      <c r="CX1808" s="8">
        <f t="shared" si="8298"/>
        <v>0</v>
      </c>
      <c r="CZ1808" s="6"/>
      <c r="DA1808" s="7"/>
      <c r="DB1808" s="7"/>
      <c r="DC1808" s="7"/>
      <c r="DD1808" s="7"/>
      <c r="DE1808" s="16">
        <f t="shared" si="8299"/>
        <v>0</v>
      </c>
    </row>
    <row r="1809" spans="3:109" ht="14" thickBot="1">
      <c r="C1809" s="554"/>
      <c r="E1809" s="17"/>
      <c r="F1809" s="10">
        <f>SUM(F1805:F1808)</f>
        <v>0</v>
      </c>
      <c r="G1809" s="11">
        <f t="shared" ref="G1809:J1809" si="8300">SUM(G1805:G1808)</f>
        <v>0</v>
      </c>
      <c r="H1809" s="11">
        <f t="shared" si="8300"/>
        <v>0</v>
      </c>
      <c r="I1809" s="11">
        <f t="shared" si="8300"/>
        <v>0</v>
      </c>
      <c r="J1809" s="11">
        <f t="shared" si="8300"/>
        <v>0</v>
      </c>
      <c r="K1809" s="25">
        <f>SUM(K1805:K1808)</f>
        <v>0</v>
      </c>
      <c r="M1809" s="10">
        <f>SUM(M1805:M1808)</f>
        <v>0</v>
      </c>
      <c r="N1809" s="11">
        <f t="shared" ref="N1809:Q1809" si="8301">SUM(N1805:N1808)</f>
        <v>0</v>
      </c>
      <c r="O1809" s="11">
        <f t="shared" si="8301"/>
        <v>0</v>
      </c>
      <c r="P1809" s="11">
        <f t="shared" si="8301"/>
        <v>0</v>
      </c>
      <c r="Q1809" s="11">
        <f t="shared" si="8301"/>
        <v>0</v>
      </c>
      <c r="R1809" s="25">
        <f>SUM(R1805:R1808)</f>
        <v>0</v>
      </c>
      <c r="T1809" s="10">
        <f>SUM(T1805:T1808)</f>
        <v>0</v>
      </c>
      <c r="U1809" s="11">
        <f t="shared" ref="U1809:X1809" si="8302">SUM(U1805:U1808)</f>
        <v>0</v>
      </c>
      <c r="V1809" s="11">
        <f t="shared" si="8302"/>
        <v>0</v>
      </c>
      <c r="W1809" s="11">
        <f t="shared" si="8302"/>
        <v>0</v>
      </c>
      <c r="X1809" s="11">
        <f t="shared" si="8302"/>
        <v>0</v>
      </c>
      <c r="Y1809" s="25">
        <f>SUM(Y1805:Y1808)</f>
        <v>0</v>
      </c>
      <c r="AA1809" s="10">
        <f>SUM(AA1805:AA1808)</f>
        <v>0</v>
      </c>
      <c r="AB1809" s="11">
        <f t="shared" ref="AB1809:AE1809" si="8303">SUM(AB1805:AB1808)</f>
        <v>0</v>
      </c>
      <c r="AC1809" s="11">
        <f t="shared" si="8303"/>
        <v>0</v>
      </c>
      <c r="AD1809" s="11">
        <f t="shared" si="8303"/>
        <v>0</v>
      </c>
      <c r="AE1809" s="11">
        <f t="shared" si="8303"/>
        <v>0</v>
      </c>
      <c r="AF1809" s="25">
        <f>SUM(AF1805:AF1808)</f>
        <v>0</v>
      </c>
      <c r="AH1809" s="10">
        <f>SUM(AH1805:AH1808)</f>
        <v>0</v>
      </c>
      <c r="AI1809" s="11">
        <f t="shared" ref="AI1809:AL1809" si="8304">SUM(AI1805:AI1808)</f>
        <v>0</v>
      </c>
      <c r="AJ1809" s="11">
        <f t="shared" si="8304"/>
        <v>0</v>
      </c>
      <c r="AK1809" s="11">
        <f t="shared" si="8304"/>
        <v>0</v>
      </c>
      <c r="AL1809" s="11">
        <f t="shared" si="8304"/>
        <v>0</v>
      </c>
      <c r="AM1809" s="25">
        <f>SUM(AM1805:AM1808)</f>
        <v>0</v>
      </c>
      <c r="AO1809" s="10">
        <f>SUM(AO1805:AO1808)</f>
        <v>0</v>
      </c>
      <c r="AP1809" s="11">
        <f t="shared" ref="AP1809:AS1809" si="8305">SUM(AP1805:AP1808)</f>
        <v>0</v>
      </c>
      <c r="AQ1809" s="11">
        <f t="shared" si="8305"/>
        <v>0</v>
      </c>
      <c r="AR1809" s="11">
        <f t="shared" si="8305"/>
        <v>0</v>
      </c>
      <c r="AS1809" s="11">
        <f t="shared" si="8305"/>
        <v>0</v>
      </c>
      <c r="AT1809" s="25">
        <f>SUM(AT1805:AT1808)</f>
        <v>0</v>
      </c>
      <c r="AV1809" s="10">
        <f>SUM(AV1805:AV1808)</f>
        <v>0</v>
      </c>
      <c r="AW1809" s="11">
        <f t="shared" ref="AW1809:AZ1809" si="8306">SUM(AW1805:AW1808)</f>
        <v>0</v>
      </c>
      <c r="AX1809" s="11">
        <f t="shared" si="8306"/>
        <v>0</v>
      </c>
      <c r="AY1809" s="11">
        <f t="shared" si="8306"/>
        <v>0</v>
      </c>
      <c r="AZ1809" s="11">
        <f t="shared" si="8306"/>
        <v>0</v>
      </c>
      <c r="BA1809" s="25">
        <f>SUM(BA1805:BA1808)</f>
        <v>0</v>
      </c>
      <c r="BC1809" s="10">
        <f>SUM(BC1805:BC1808)</f>
        <v>0</v>
      </c>
      <c r="BD1809" s="11">
        <f t="shared" ref="BD1809:BG1809" si="8307">SUM(BD1805:BD1808)</f>
        <v>0</v>
      </c>
      <c r="BE1809" s="11">
        <f t="shared" si="8307"/>
        <v>0</v>
      </c>
      <c r="BF1809" s="11">
        <f t="shared" si="8307"/>
        <v>0</v>
      </c>
      <c r="BG1809" s="11">
        <f t="shared" si="8307"/>
        <v>0</v>
      </c>
      <c r="BH1809" s="25">
        <f>SUM(BH1805:BH1808)</f>
        <v>0</v>
      </c>
      <c r="BJ1809" s="10">
        <f>SUM(BJ1805:BJ1808)</f>
        <v>0</v>
      </c>
      <c r="BK1809" s="11">
        <f t="shared" ref="BK1809:BN1809" si="8308">SUM(BK1805:BK1808)</f>
        <v>0</v>
      </c>
      <c r="BL1809" s="11">
        <f t="shared" si="8308"/>
        <v>0</v>
      </c>
      <c r="BM1809" s="11">
        <f t="shared" si="8308"/>
        <v>0</v>
      </c>
      <c r="BN1809" s="11">
        <f t="shared" si="8308"/>
        <v>0</v>
      </c>
      <c r="BO1809" s="25">
        <f>SUM(BO1805:BO1808)</f>
        <v>0</v>
      </c>
      <c r="BQ1809" s="10">
        <f>SUM(BQ1805:BQ1808)</f>
        <v>0</v>
      </c>
      <c r="BR1809" s="11">
        <f t="shared" ref="BR1809:BU1809" si="8309">SUM(BR1805:BR1808)</f>
        <v>0</v>
      </c>
      <c r="BS1809" s="11">
        <f t="shared" si="8309"/>
        <v>0</v>
      </c>
      <c r="BT1809" s="11">
        <f t="shared" si="8309"/>
        <v>0</v>
      </c>
      <c r="BU1809" s="11">
        <f t="shared" si="8309"/>
        <v>0</v>
      </c>
      <c r="BV1809" s="25">
        <f>SUM(BV1805:BV1808)</f>
        <v>0</v>
      </c>
      <c r="BX1809" s="10">
        <f>SUM(BX1805:BX1808)</f>
        <v>0</v>
      </c>
      <c r="BY1809" s="11">
        <f t="shared" ref="BY1809:CB1809" si="8310">SUM(BY1805:BY1808)</f>
        <v>0</v>
      </c>
      <c r="BZ1809" s="11">
        <f t="shared" si="8310"/>
        <v>0</v>
      </c>
      <c r="CA1809" s="11">
        <f t="shared" si="8310"/>
        <v>0</v>
      </c>
      <c r="CB1809" s="11">
        <f t="shared" si="8310"/>
        <v>0</v>
      </c>
      <c r="CC1809" s="25">
        <f>SUM(CC1805:CC1808)</f>
        <v>0</v>
      </c>
      <c r="CE1809" s="62">
        <f t="shared" ref="CE1809:CJ1809" si="8311">SUM(CE1805:CE1808)</f>
        <v>0</v>
      </c>
      <c r="CF1809" s="63">
        <f t="shared" si="8311"/>
        <v>0</v>
      </c>
      <c r="CG1809" s="63">
        <f t="shared" si="8311"/>
        <v>0</v>
      </c>
      <c r="CH1809" s="63">
        <f t="shared" si="8311"/>
        <v>0</v>
      </c>
      <c r="CI1809" s="63">
        <f t="shared" si="8311"/>
        <v>0</v>
      </c>
      <c r="CJ1809" s="25">
        <f t="shared" si="8311"/>
        <v>0</v>
      </c>
      <c r="CL1809" s="10">
        <f>SUM(CL1805:CL1808)</f>
        <v>0</v>
      </c>
      <c r="CM1809" s="11">
        <f t="shared" ref="CM1809:CP1809" si="8312">SUM(CM1805:CM1808)</f>
        <v>0</v>
      </c>
      <c r="CN1809" s="11">
        <f t="shared" si="8312"/>
        <v>0</v>
      </c>
      <c r="CO1809" s="11">
        <f t="shared" si="8312"/>
        <v>0</v>
      </c>
      <c r="CP1809" s="11">
        <f t="shared" si="8312"/>
        <v>0</v>
      </c>
      <c r="CQ1809" s="25">
        <f>SUM(CQ1805:CQ1808)</f>
        <v>0</v>
      </c>
      <c r="CS1809" s="10">
        <f>SUM(CS1805:CS1808)</f>
        <v>0</v>
      </c>
      <c r="CT1809" s="11">
        <f t="shared" ref="CT1809:CW1809" si="8313">SUM(CT1805:CT1808)</f>
        <v>0</v>
      </c>
      <c r="CU1809" s="11">
        <f t="shared" si="8313"/>
        <v>0</v>
      </c>
      <c r="CV1809" s="11">
        <f t="shared" si="8313"/>
        <v>0</v>
      </c>
      <c r="CW1809" s="11">
        <f t="shared" si="8313"/>
        <v>0</v>
      </c>
      <c r="CX1809" s="25">
        <f>SUM(CX1805:CX1808)</f>
        <v>0</v>
      </c>
      <c r="CZ1809" s="10">
        <f>SUM(CZ1805:CZ1808)</f>
        <v>0</v>
      </c>
      <c r="DA1809" s="11">
        <f t="shared" ref="DA1809:DD1809" si="8314">SUM(DA1805:DA1808)</f>
        <v>0</v>
      </c>
      <c r="DB1809" s="11">
        <f t="shared" si="8314"/>
        <v>0</v>
      </c>
      <c r="DC1809" s="11">
        <f t="shared" si="8314"/>
        <v>0</v>
      </c>
      <c r="DD1809" s="11">
        <f t="shared" si="8314"/>
        <v>0</v>
      </c>
      <c r="DE1809" s="25">
        <f>SUM(DE1805:DE1808)</f>
        <v>0</v>
      </c>
    </row>
    <row r="1810" spans="3:109" ht="10.4" customHeight="1" thickBot="1"/>
    <row r="1811" spans="3:109">
      <c r="C1811" s="553">
        <v>2026</v>
      </c>
      <c r="E1811" s="1" t="s">
        <v>59</v>
      </c>
      <c r="F1811" s="21">
        <f>CE1805</f>
        <v>0</v>
      </c>
      <c r="G1811" s="22">
        <f t="shared" ref="G1811:G1814" si="8315">CF1805</f>
        <v>0</v>
      </c>
      <c r="H1811" s="22">
        <f t="shared" ref="H1811:H1814" si="8316">CG1805</f>
        <v>0</v>
      </c>
      <c r="I1811" s="22">
        <f t="shared" ref="I1811:I1814" si="8317">CH1805</f>
        <v>0</v>
      </c>
      <c r="J1811" s="22">
        <f t="shared" ref="J1811:J1814" si="8318">CI1805</f>
        <v>0</v>
      </c>
      <c r="K1811" s="4">
        <f>SUM(F1811:J1811)</f>
        <v>0</v>
      </c>
      <c r="M1811" s="2"/>
      <c r="N1811" s="3"/>
      <c r="O1811" s="3"/>
      <c r="P1811" s="3"/>
      <c r="Q1811" s="3"/>
      <c r="R1811" s="4">
        <f>SUM(M1811:Q1811)</f>
        <v>0</v>
      </c>
      <c r="T1811" s="2"/>
      <c r="U1811" s="3"/>
      <c r="V1811" s="3"/>
      <c r="W1811" s="3"/>
      <c r="X1811" s="3"/>
      <c r="Y1811" s="4">
        <f>SUM(T1811:X1811)</f>
        <v>0</v>
      </c>
      <c r="AA1811" s="2"/>
      <c r="AB1811" s="3"/>
      <c r="AC1811" s="3"/>
      <c r="AD1811" s="3"/>
      <c r="AE1811" s="3"/>
      <c r="AF1811" s="4">
        <f>SUM(AA1811:AE1811)</f>
        <v>0</v>
      </c>
      <c r="AH1811" s="2"/>
      <c r="AI1811" s="3"/>
      <c r="AJ1811" s="3"/>
      <c r="AK1811" s="3"/>
      <c r="AL1811" s="3"/>
      <c r="AM1811" s="4">
        <f>SUM(AH1811:AL1811)</f>
        <v>0</v>
      </c>
      <c r="AO1811" s="2"/>
      <c r="AP1811" s="3"/>
      <c r="AQ1811" s="3"/>
      <c r="AR1811" s="3"/>
      <c r="AS1811" s="3"/>
      <c r="AT1811" s="4">
        <f>SUM(AO1811:AS1811)</f>
        <v>0</v>
      </c>
      <c r="AV1811" s="2"/>
      <c r="AW1811" s="3"/>
      <c r="AX1811" s="3"/>
      <c r="AY1811" s="3"/>
      <c r="AZ1811" s="3"/>
      <c r="BA1811" s="4">
        <f>SUM(AV1811:AZ1811)</f>
        <v>0</v>
      </c>
      <c r="BC1811" s="2"/>
      <c r="BD1811" s="3"/>
      <c r="BE1811" s="3"/>
      <c r="BF1811" s="3"/>
      <c r="BG1811" s="3"/>
      <c r="BH1811" s="4">
        <f>SUM(BC1811:BG1811)</f>
        <v>0</v>
      </c>
      <c r="BJ1811" s="2"/>
      <c r="BK1811" s="3"/>
      <c r="BL1811" s="3"/>
      <c r="BM1811" s="3"/>
      <c r="BN1811" s="3"/>
      <c r="BO1811" s="4">
        <f>SUM(BJ1811:BN1811)</f>
        <v>0</v>
      </c>
      <c r="BQ1811" s="2"/>
      <c r="BR1811" s="3"/>
      <c r="BS1811" s="3"/>
      <c r="BT1811" s="3"/>
      <c r="BU1811" s="3"/>
      <c r="BV1811" s="4">
        <f>SUM(BQ1811:BU1811)</f>
        <v>0</v>
      </c>
      <c r="BX1811" s="2"/>
      <c r="BY1811" s="3"/>
      <c r="BZ1811" s="3"/>
      <c r="CA1811" s="3"/>
      <c r="CB1811" s="3"/>
      <c r="CC1811" s="4">
        <f>SUM(BX1811:CB1811)</f>
        <v>0</v>
      </c>
      <c r="CE1811" s="26">
        <f t="shared" ref="CE1811:CE1814" si="8319">F1811+M1811+T1811+AA1811+AH1811+AO1811+AV1811+BC1811+BJ1811+BQ1811+BX1811</f>
        <v>0</v>
      </c>
      <c r="CF1811" s="27">
        <f t="shared" ref="CF1811:CF1814" si="8320">G1811+N1811+U1811+AB1811+AI1811+AP1811+AW1811+BD1811+BK1811+BR1811+BY1811</f>
        <v>0</v>
      </c>
      <c r="CG1811" s="27">
        <f t="shared" ref="CG1811:CG1814" si="8321">H1811+O1811+V1811+AC1811+AJ1811+AQ1811+AX1811+BE1811+BL1811+BS1811+BZ1811</f>
        <v>0</v>
      </c>
      <c r="CH1811" s="27">
        <f t="shared" ref="CH1811:CH1814" si="8322">I1811+P1811+W1811+AD1811+AK1811+AR1811+AY1811+BF1811+BM1811+BT1811+CA1811</f>
        <v>0</v>
      </c>
      <c r="CI1811" s="27">
        <f t="shared" ref="CI1811:CI1814" si="8323">J1811+Q1811+X1811+AE1811+AL1811+AS1811+AZ1811+BG1811+BN1811+BU1811+CB1811</f>
        <v>0</v>
      </c>
      <c r="CJ1811" s="4">
        <f>SUM(CE1811:CI1811)</f>
        <v>0</v>
      </c>
      <c r="CL1811" s="2"/>
      <c r="CM1811" s="3"/>
      <c r="CN1811" s="3"/>
      <c r="CO1811" s="3"/>
      <c r="CP1811" s="3"/>
      <c r="CQ1811" s="4">
        <f>SUM(CL1811:CP1811)</f>
        <v>0</v>
      </c>
      <c r="CS1811" s="2"/>
      <c r="CT1811" s="3"/>
      <c r="CU1811" s="3"/>
      <c r="CV1811" s="3"/>
      <c r="CW1811" s="3"/>
      <c r="CX1811" s="4">
        <f>SUM(CS1811:CW1811)</f>
        <v>0</v>
      </c>
      <c r="CZ1811" s="2"/>
      <c r="DA1811" s="3"/>
      <c r="DB1811" s="3"/>
      <c r="DC1811" s="3"/>
      <c r="DD1811" s="3"/>
      <c r="DE1811" s="4">
        <f>SUM(CZ1811:DD1811)</f>
        <v>0</v>
      </c>
    </row>
    <row r="1812" spans="3:109">
      <c r="C1812" s="567"/>
      <c r="E1812" s="5" t="s">
        <v>60</v>
      </c>
      <c r="F1812" s="23">
        <f t="shared" ref="F1812:F1814" si="8324">CE1806</f>
        <v>0</v>
      </c>
      <c r="G1812" s="24">
        <f t="shared" si="8315"/>
        <v>0</v>
      </c>
      <c r="H1812" s="24">
        <f t="shared" si="8316"/>
        <v>0</v>
      </c>
      <c r="I1812" s="24">
        <f t="shared" si="8317"/>
        <v>0</v>
      </c>
      <c r="J1812" s="24">
        <f t="shared" si="8318"/>
        <v>0</v>
      </c>
      <c r="K1812" s="8">
        <f t="shared" ref="K1812:K1814" si="8325">SUM(F1812:J1812)</f>
        <v>0</v>
      </c>
      <c r="M1812" s="6"/>
      <c r="N1812" s="7"/>
      <c r="O1812" s="7"/>
      <c r="P1812" s="7"/>
      <c r="Q1812" s="7"/>
      <c r="R1812" s="8">
        <f t="shared" ref="R1812:R1814" si="8326">SUM(M1812:Q1812)</f>
        <v>0</v>
      </c>
      <c r="T1812" s="6"/>
      <c r="U1812" s="7"/>
      <c r="V1812" s="7"/>
      <c r="W1812" s="7"/>
      <c r="X1812" s="7"/>
      <c r="Y1812" s="8">
        <f t="shared" ref="Y1812:Y1814" si="8327">SUM(T1812:X1812)</f>
        <v>0</v>
      </c>
      <c r="AA1812" s="6"/>
      <c r="AB1812" s="7"/>
      <c r="AC1812" s="7"/>
      <c r="AD1812" s="7"/>
      <c r="AE1812" s="7"/>
      <c r="AF1812" s="8">
        <f>SUM(AA1812:AE1812)</f>
        <v>0</v>
      </c>
      <c r="AH1812" s="6"/>
      <c r="AI1812" s="7"/>
      <c r="AJ1812" s="7"/>
      <c r="AK1812" s="7"/>
      <c r="AL1812" s="7"/>
      <c r="AM1812" s="8">
        <f>SUM(AH1812:AL1812)</f>
        <v>0</v>
      </c>
      <c r="AO1812" s="6"/>
      <c r="AP1812" s="7"/>
      <c r="AQ1812" s="7"/>
      <c r="AR1812" s="7"/>
      <c r="AS1812" s="7"/>
      <c r="AT1812" s="8">
        <f>SUM(AO1812:AS1812)</f>
        <v>0</v>
      </c>
      <c r="AV1812" s="6"/>
      <c r="AW1812" s="7"/>
      <c r="AX1812" s="7"/>
      <c r="AY1812" s="7"/>
      <c r="AZ1812" s="7"/>
      <c r="BA1812" s="8">
        <f>SUM(AV1812:AZ1812)</f>
        <v>0</v>
      </c>
      <c r="BC1812" s="6"/>
      <c r="BD1812" s="7"/>
      <c r="BE1812" s="7"/>
      <c r="BF1812" s="7"/>
      <c r="BG1812" s="7"/>
      <c r="BH1812" s="8">
        <f>SUM(BC1812:BG1812)</f>
        <v>0</v>
      </c>
      <c r="BJ1812" s="6"/>
      <c r="BK1812" s="7"/>
      <c r="BL1812" s="7"/>
      <c r="BM1812" s="7"/>
      <c r="BN1812" s="7"/>
      <c r="BO1812" s="8">
        <f>SUM(BJ1812:BN1812)</f>
        <v>0</v>
      </c>
      <c r="BQ1812" s="6"/>
      <c r="BR1812" s="7"/>
      <c r="BS1812" s="7"/>
      <c r="BT1812" s="7"/>
      <c r="BU1812" s="7"/>
      <c r="BV1812" s="8">
        <f>SUM(BQ1812:BU1812)</f>
        <v>0</v>
      </c>
      <c r="BX1812" s="6"/>
      <c r="BY1812" s="7"/>
      <c r="BZ1812" s="7"/>
      <c r="CA1812" s="7"/>
      <c r="CB1812" s="7"/>
      <c r="CC1812" s="8">
        <f>SUM(BX1812:CB1812)</f>
        <v>0</v>
      </c>
      <c r="CE1812" s="28">
        <f t="shared" si="8319"/>
        <v>0</v>
      </c>
      <c r="CF1812" s="29">
        <f t="shared" si="8320"/>
        <v>0</v>
      </c>
      <c r="CG1812" s="29">
        <f t="shared" si="8321"/>
        <v>0</v>
      </c>
      <c r="CH1812" s="29">
        <f t="shared" si="8322"/>
        <v>0</v>
      </c>
      <c r="CI1812" s="29">
        <f t="shared" si="8323"/>
        <v>0</v>
      </c>
      <c r="CJ1812" s="8">
        <f>SUM(CE1812:CI1812)</f>
        <v>0</v>
      </c>
      <c r="CL1812" s="6"/>
      <c r="CM1812" s="7"/>
      <c r="CN1812" s="7"/>
      <c r="CO1812" s="7"/>
      <c r="CP1812" s="7"/>
      <c r="CQ1812" s="8">
        <f>SUM(CL1812:CP1812)</f>
        <v>0</v>
      </c>
      <c r="CS1812" s="6"/>
      <c r="CT1812" s="7"/>
      <c r="CU1812" s="7"/>
      <c r="CV1812" s="7"/>
      <c r="CW1812" s="7"/>
      <c r="CX1812" s="8">
        <f t="shared" ref="CX1812:CX1814" si="8328">SUM(CS1812:CW1812)</f>
        <v>0</v>
      </c>
      <c r="CZ1812" s="6"/>
      <c r="DA1812" s="7"/>
      <c r="DB1812" s="7"/>
      <c r="DC1812" s="7"/>
      <c r="DD1812" s="7"/>
      <c r="DE1812" s="8">
        <f t="shared" ref="DE1812:DE1814" si="8329">SUM(CZ1812:DD1812)</f>
        <v>0</v>
      </c>
    </row>
    <row r="1813" spans="3:109">
      <c r="C1813" s="567"/>
      <c r="E1813" s="5" t="s">
        <v>61</v>
      </c>
      <c r="F1813" s="23">
        <f t="shared" si="8324"/>
        <v>0</v>
      </c>
      <c r="G1813" s="24">
        <f t="shared" si="8315"/>
        <v>0</v>
      </c>
      <c r="H1813" s="24">
        <f t="shared" si="8316"/>
        <v>0</v>
      </c>
      <c r="I1813" s="24">
        <f t="shared" si="8317"/>
        <v>0</v>
      </c>
      <c r="J1813" s="24">
        <f t="shared" si="8318"/>
        <v>0</v>
      </c>
      <c r="K1813" s="8">
        <f t="shared" si="8325"/>
        <v>0</v>
      </c>
      <c r="M1813" s="6"/>
      <c r="N1813" s="7"/>
      <c r="O1813" s="7"/>
      <c r="P1813" s="7"/>
      <c r="Q1813" s="7"/>
      <c r="R1813" s="8">
        <f t="shared" si="8326"/>
        <v>0</v>
      </c>
      <c r="T1813" s="6"/>
      <c r="U1813" s="7"/>
      <c r="V1813" s="7"/>
      <c r="W1813" s="7"/>
      <c r="X1813" s="7"/>
      <c r="Y1813" s="8">
        <f t="shared" si="8327"/>
        <v>0</v>
      </c>
      <c r="AA1813" s="6"/>
      <c r="AB1813" s="7"/>
      <c r="AC1813" s="7"/>
      <c r="AD1813" s="7"/>
      <c r="AE1813" s="7"/>
      <c r="AF1813" s="8">
        <f>SUM(AA1813:AE1813)</f>
        <v>0</v>
      </c>
      <c r="AH1813" s="6"/>
      <c r="AI1813" s="7"/>
      <c r="AJ1813" s="7"/>
      <c r="AK1813" s="7"/>
      <c r="AL1813" s="7"/>
      <c r="AM1813" s="8">
        <f>SUM(AH1813:AL1813)</f>
        <v>0</v>
      </c>
      <c r="AO1813" s="6"/>
      <c r="AP1813" s="7"/>
      <c r="AQ1813" s="7"/>
      <c r="AR1813" s="7"/>
      <c r="AS1813" s="7"/>
      <c r="AT1813" s="8">
        <f>SUM(AO1813:AS1813)</f>
        <v>0</v>
      </c>
      <c r="AV1813" s="6"/>
      <c r="AW1813" s="7"/>
      <c r="AX1813" s="7"/>
      <c r="AY1813" s="7"/>
      <c r="AZ1813" s="7"/>
      <c r="BA1813" s="8">
        <f>SUM(AV1813:AZ1813)</f>
        <v>0</v>
      </c>
      <c r="BC1813" s="6"/>
      <c r="BD1813" s="7"/>
      <c r="BE1813" s="7"/>
      <c r="BF1813" s="7"/>
      <c r="BG1813" s="7"/>
      <c r="BH1813" s="8">
        <f>SUM(BC1813:BG1813)</f>
        <v>0</v>
      </c>
      <c r="BJ1813" s="6"/>
      <c r="BK1813" s="7"/>
      <c r="BL1813" s="7"/>
      <c r="BM1813" s="7"/>
      <c r="BN1813" s="7"/>
      <c r="BO1813" s="8">
        <f>SUM(BJ1813:BN1813)</f>
        <v>0</v>
      </c>
      <c r="BQ1813" s="6"/>
      <c r="BR1813" s="7"/>
      <c r="BS1813" s="7"/>
      <c r="BT1813" s="7"/>
      <c r="BU1813" s="7"/>
      <c r="BV1813" s="8">
        <f>SUM(BQ1813:BU1813)</f>
        <v>0</v>
      </c>
      <c r="BX1813" s="6"/>
      <c r="BY1813" s="7"/>
      <c r="BZ1813" s="7"/>
      <c r="CA1813" s="7"/>
      <c r="CB1813" s="7"/>
      <c r="CC1813" s="8">
        <f>SUM(BX1813:CB1813)</f>
        <v>0</v>
      </c>
      <c r="CE1813" s="28">
        <f t="shared" si="8319"/>
        <v>0</v>
      </c>
      <c r="CF1813" s="29">
        <f t="shared" si="8320"/>
        <v>0</v>
      </c>
      <c r="CG1813" s="29">
        <f t="shared" si="8321"/>
        <v>0</v>
      </c>
      <c r="CH1813" s="29">
        <f t="shared" si="8322"/>
        <v>0</v>
      </c>
      <c r="CI1813" s="29">
        <f t="shared" si="8323"/>
        <v>0</v>
      </c>
      <c r="CJ1813" s="8">
        <f>SUM(CE1813:CI1813)</f>
        <v>0</v>
      </c>
      <c r="CL1813" s="6"/>
      <c r="CM1813" s="7"/>
      <c r="CN1813" s="7"/>
      <c r="CO1813" s="7"/>
      <c r="CP1813" s="7"/>
      <c r="CQ1813" s="8">
        <f>SUM(CL1813:CP1813)</f>
        <v>0</v>
      </c>
      <c r="CS1813" s="6"/>
      <c r="CT1813" s="7"/>
      <c r="CU1813" s="7"/>
      <c r="CV1813" s="7"/>
      <c r="CW1813" s="7"/>
      <c r="CX1813" s="8">
        <f t="shared" si="8328"/>
        <v>0</v>
      </c>
      <c r="CZ1813" s="6"/>
      <c r="DA1813" s="7"/>
      <c r="DB1813" s="7"/>
      <c r="DC1813" s="7"/>
      <c r="DD1813" s="7"/>
      <c r="DE1813" s="8">
        <f t="shared" si="8329"/>
        <v>0</v>
      </c>
    </row>
    <row r="1814" spans="3:109" ht="14" thickBot="1">
      <c r="C1814" s="567"/>
      <c r="E1814" s="5" t="s">
        <v>62</v>
      </c>
      <c r="F1814" s="23">
        <f t="shared" si="8324"/>
        <v>0</v>
      </c>
      <c r="G1814" s="24">
        <f t="shared" si="8315"/>
        <v>0</v>
      </c>
      <c r="H1814" s="24">
        <f t="shared" si="8316"/>
        <v>0</v>
      </c>
      <c r="I1814" s="24">
        <f t="shared" si="8317"/>
        <v>0</v>
      </c>
      <c r="J1814" s="24">
        <f t="shared" si="8318"/>
        <v>0</v>
      </c>
      <c r="K1814" s="8">
        <f t="shared" si="8325"/>
        <v>0</v>
      </c>
      <c r="M1814" s="6"/>
      <c r="N1814" s="7"/>
      <c r="O1814" s="7"/>
      <c r="P1814" s="7"/>
      <c r="Q1814" s="7"/>
      <c r="R1814" s="8">
        <f t="shared" si="8326"/>
        <v>0</v>
      </c>
      <c r="T1814" s="6"/>
      <c r="U1814" s="7"/>
      <c r="V1814" s="7"/>
      <c r="W1814" s="7"/>
      <c r="X1814" s="7"/>
      <c r="Y1814" s="8">
        <f t="shared" si="8327"/>
        <v>0</v>
      </c>
      <c r="AA1814" s="6"/>
      <c r="AB1814" s="7"/>
      <c r="AC1814" s="7"/>
      <c r="AD1814" s="7"/>
      <c r="AE1814" s="7"/>
      <c r="AF1814" s="8">
        <f>SUM(AA1814:AE1814)</f>
        <v>0</v>
      </c>
      <c r="AH1814" s="6"/>
      <c r="AI1814" s="7"/>
      <c r="AJ1814" s="7"/>
      <c r="AK1814" s="7"/>
      <c r="AL1814" s="7"/>
      <c r="AM1814" s="8">
        <f>SUM(AH1814:AL1814)</f>
        <v>0</v>
      </c>
      <c r="AO1814" s="6"/>
      <c r="AP1814" s="7"/>
      <c r="AQ1814" s="7"/>
      <c r="AR1814" s="7"/>
      <c r="AS1814" s="7"/>
      <c r="AT1814" s="8">
        <f>SUM(AO1814:AS1814)</f>
        <v>0</v>
      </c>
      <c r="AV1814" s="6"/>
      <c r="AW1814" s="7"/>
      <c r="AX1814" s="7"/>
      <c r="AY1814" s="7"/>
      <c r="AZ1814" s="7"/>
      <c r="BA1814" s="8">
        <f>SUM(AV1814:AZ1814)</f>
        <v>0</v>
      </c>
      <c r="BC1814" s="6"/>
      <c r="BD1814" s="7"/>
      <c r="BE1814" s="7"/>
      <c r="BF1814" s="7"/>
      <c r="BG1814" s="7"/>
      <c r="BH1814" s="8">
        <f>SUM(BC1814:BG1814)</f>
        <v>0</v>
      </c>
      <c r="BJ1814" s="6"/>
      <c r="BK1814" s="7"/>
      <c r="BL1814" s="7"/>
      <c r="BM1814" s="7"/>
      <c r="BN1814" s="7"/>
      <c r="BO1814" s="8">
        <f>SUM(BJ1814:BN1814)</f>
        <v>0</v>
      </c>
      <c r="BQ1814" s="6"/>
      <c r="BR1814" s="7"/>
      <c r="BS1814" s="7"/>
      <c r="BT1814" s="7"/>
      <c r="BU1814" s="7"/>
      <c r="BV1814" s="8">
        <f>SUM(BQ1814:BU1814)</f>
        <v>0</v>
      </c>
      <c r="BX1814" s="6"/>
      <c r="BY1814" s="7"/>
      <c r="BZ1814" s="7"/>
      <c r="CA1814" s="7"/>
      <c r="CB1814" s="7"/>
      <c r="CC1814" s="8">
        <f>SUM(BX1814:CB1814)</f>
        <v>0</v>
      </c>
      <c r="CE1814" s="493">
        <f t="shared" si="8319"/>
        <v>0</v>
      </c>
      <c r="CF1814" s="494">
        <f t="shared" si="8320"/>
        <v>0</v>
      </c>
      <c r="CG1814" s="494">
        <f t="shared" si="8321"/>
        <v>0</v>
      </c>
      <c r="CH1814" s="494">
        <f t="shared" si="8322"/>
        <v>0</v>
      </c>
      <c r="CI1814" s="494">
        <f t="shared" si="8323"/>
        <v>0</v>
      </c>
      <c r="CJ1814" s="495">
        <f>SUM(CE1814:CI1814)</f>
        <v>0</v>
      </c>
      <c r="CL1814" s="6"/>
      <c r="CM1814" s="7"/>
      <c r="CN1814" s="7"/>
      <c r="CO1814" s="7"/>
      <c r="CP1814" s="7"/>
      <c r="CQ1814" s="8">
        <f>SUM(CL1814:CP1814)</f>
        <v>0</v>
      </c>
      <c r="CS1814" s="6"/>
      <c r="CT1814" s="7"/>
      <c r="CU1814" s="7"/>
      <c r="CV1814" s="7"/>
      <c r="CW1814" s="7"/>
      <c r="CX1814" s="8">
        <f t="shared" si="8328"/>
        <v>0</v>
      </c>
      <c r="CZ1814" s="6"/>
      <c r="DA1814" s="7"/>
      <c r="DB1814" s="7"/>
      <c r="DC1814" s="7"/>
      <c r="DD1814" s="7"/>
      <c r="DE1814" s="8">
        <f t="shared" si="8329"/>
        <v>0</v>
      </c>
    </row>
    <row r="1815" spans="3:109" ht="14" thickBot="1">
      <c r="C1815" s="554"/>
      <c r="E1815" s="9"/>
      <c r="F1815" s="10">
        <f>SUM(F1811:F1814)</f>
        <v>0</v>
      </c>
      <c r="G1815" s="11">
        <f t="shared" ref="G1815:J1815" si="8330">SUM(G1811:G1814)</f>
        <v>0</v>
      </c>
      <c r="H1815" s="11">
        <f t="shared" si="8330"/>
        <v>0</v>
      </c>
      <c r="I1815" s="11">
        <f t="shared" si="8330"/>
        <v>0</v>
      </c>
      <c r="J1815" s="11">
        <f t="shared" si="8330"/>
        <v>0</v>
      </c>
      <c r="K1815" s="25">
        <f>SUM(K1811:K1814)</f>
        <v>0</v>
      </c>
      <c r="M1815" s="10">
        <f>SUM(M1811:M1814)</f>
        <v>0</v>
      </c>
      <c r="N1815" s="11">
        <f t="shared" ref="N1815:Q1815" si="8331">SUM(N1811:N1814)</f>
        <v>0</v>
      </c>
      <c r="O1815" s="11">
        <f t="shared" si="8331"/>
        <v>0</v>
      </c>
      <c r="P1815" s="11">
        <f t="shared" si="8331"/>
        <v>0</v>
      </c>
      <c r="Q1815" s="11">
        <f t="shared" si="8331"/>
        <v>0</v>
      </c>
      <c r="R1815" s="25">
        <f>SUM(R1811:R1814)</f>
        <v>0</v>
      </c>
      <c r="T1815" s="10">
        <f>SUM(T1811:T1814)</f>
        <v>0</v>
      </c>
      <c r="U1815" s="11">
        <f t="shared" ref="U1815:X1815" si="8332">SUM(U1811:U1814)</f>
        <v>0</v>
      </c>
      <c r="V1815" s="11">
        <f t="shared" si="8332"/>
        <v>0</v>
      </c>
      <c r="W1815" s="11">
        <f t="shared" si="8332"/>
        <v>0</v>
      </c>
      <c r="X1815" s="11">
        <f t="shared" si="8332"/>
        <v>0</v>
      </c>
      <c r="Y1815" s="25">
        <f>SUM(Y1811:Y1814)</f>
        <v>0</v>
      </c>
      <c r="AA1815" s="10">
        <f>SUM(AA1811:AA1814)</f>
        <v>0</v>
      </c>
      <c r="AB1815" s="11">
        <f t="shared" ref="AB1815:AE1815" si="8333">SUM(AB1811:AB1814)</f>
        <v>0</v>
      </c>
      <c r="AC1815" s="11">
        <f t="shared" si="8333"/>
        <v>0</v>
      </c>
      <c r="AD1815" s="11">
        <f t="shared" si="8333"/>
        <v>0</v>
      </c>
      <c r="AE1815" s="11">
        <f t="shared" si="8333"/>
        <v>0</v>
      </c>
      <c r="AF1815" s="25">
        <f>SUM(AF1811:AF1814)</f>
        <v>0</v>
      </c>
      <c r="AH1815" s="10">
        <f>SUM(AH1811:AH1814)</f>
        <v>0</v>
      </c>
      <c r="AI1815" s="11">
        <f t="shared" ref="AI1815:AL1815" si="8334">SUM(AI1811:AI1814)</f>
        <v>0</v>
      </c>
      <c r="AJ1815" s="11">
        <f t="shared" si="8334"/>
        <v>0</v>
      </c>
      <c r="AK1815" s="11">
        <f t="shared" si="8334"/>
        <v>0</v>
      </c>
      <c r="AL1815" s="11">
        <f t="shared" si="8334"/>
        <v>0</v>
      </c>
      <c r="AM1815" s="25">
        <f>SUM(AM1811:AM1814)</f>
        <v>0</v>
      </c>
      <c r="AO1815" s="10">
        <f>SUM(AO1811:AO1814)</f>
        <v>0</v>
      </c>
      <c r="AP1815" s="11">
        <f t="shared" ref="AP1815:AS1815" si="8335">SUM(AP1811:AP1814)</f>
        <v>0</v>
      </c>
      <c r="AQ1815" s="11">
        <f t="shared" si="8335"/>
        <v>0</v>
      </c>
      <c r="AR1815" s="11">
        <f t="shared" si="8335"/>
        <v>0</v>
      </c>
      <c r="AS1815" s="11">
        <f t="shared" si="8335"/>
        <v>0</v>
      </c>
      <c r="AT1815" s="25">
        <f>SUM(AT1811:AT1814)</f>
        <v>0</v>
      </c>
      <c r="AV1815" s="10">
        <f>SUM(AV1811:AV1814)</f>
        <v>0</v>
      </c>
      <c r="AW1815" s="11">
        <f t="shared" ref="AW1815:AZ1815" si="8336">SUM(AW1811:AW1814)</f>
        <v>0</v>
      </c>
      <c r="AX1815" s="11">
        <f t="shared" si="8336"/>
        <v>0</v>
      </c>
      <c r="AY1815" s="11">
        <f t="shared" si="8336"/>
        <v>0</v>
      </c>
      <c r="AZ1815" s="11">
        <f t="shared" si="8336"/>
        <v>0</v>
      </c>
      <c r="BA1815" s="25">
        <f>SUM(BA1811:BA1814)</f>
        <v>0</v>
      </c>
      <c r="BC1815" s="10">
        <f>SUM(BC1811:BC1814)</f>
        <v>0</v>
      </c>
      <c r="BD1815" s="11">
        <f t="shared" ref="BD1815:BG1815" si="8337">SUM(BD1811:BD1814)</f>
        <v>0</v>
      </c>
      <c r="BE1815" s="11">
        <f t="shared" si="8337"/>
        <v>0</v>
      </c>
      <c r="BF1815" s="11">
        <f t="shared" si="8337"/>
        <v>0</v>
      </c>
      <c r="BG1815" s="11">
        <f t="shared" si="8337"/>
        <v>0</v>
      </c>
      <c r="BH1815" s="25">
        <f>SUM(BH1811:BH1814)</f>
        <v>0</v>
      </c>
      <c r="BJ1815" s="10">
        <f>SUM(BJ1811:BJ1814)</f>
        <v>0</v>
      </c>
      <c r="BK1815" s="11">
        <f t="shared" ref="BK1815:BN1815" si="8338">SUM(BK1811:BK1814)</f>
        <v>0</v>
      </c>
      <c r="BL1815" s="11">
        <f t="shared" si="8338"/>
        <v>0</v>
      </c>
      <c r="BM1815" s="11">
        <f t="shared" si="8338"/>
        <v>0</v>
      </c>
      <c r="BN1815" s="11">
        <f t="shared" si="8338"/>
        <v>0</v>
      </c>
      <c r="BO1815" s="25">
        <f>SUM(BO1811:BO1814)</f>
        <v>0</v>
      </c>
      <c r="BQ1815" s="10">
        <f>SUM(BQ1811:BQ1814)</f>
        <v>0</v>
      </c>
      <c r="BR1815" s="11">
        <f t="shared" ref="BR1815:BU1815" si="8339">SUM(BR1811:BR1814)</f>
        <v>0</v>
      </c>
      <c r="BS1815" s="11">
        <f t="shared" si="8339"/>
        <v>0</v>
      </c>
      <c r="BT1815" s="11">
        <f t="shared" si="8339"/>
        <v>0</v>
      </c>
      <c r="BU1815" s="11">
        <f t="shared" si="8339"/>
        <v>0</v>
      </c>
      <c r="BV1815" s="25">
        <f>SUM(BV1811:BV1814)</f>
        <v>0</v>
      </c>
      <c r="BX1815" s="10">
        <f>SUM(BX1811:BX1814)</f>
        <v>0</v>
      </c>
      <c r="BY1815" s="11">
        <f t="shared" ref="BY1815:CB1815" si="8340">SUM(BY1811:BY1814)</f>
        <v>0</v>
      </c>
      <c r="BZ1815" s="11">
        <f t="shared" si="8340"/>
        <v>0</v>
      </c>
      <c r="CA1815" s="11">
        <f t="shared" si="8340"/>
        <v>0</v>
      </c>
      <c r="CB1815" s="11">
        <f t="shared" si="8340"/>
        <v>0</v>
      </c>
      <c r="CC1815" s="25">
        <f>SUM(CC1811:CC1814)</f>
        <v>0</v>
      </c>
      <c r="CE1815" s="62">
        <f t="shared" ref="CE1815:CJ1815" si="8341">SUM(CE1811:CE1814)</f>
        <v>0</v>
      </c>
      <c r="CF1815" s="63">
        <f t="shared" si="8341"/>
        <v>0</v>
      </c>
      <c r="CG1815" s="63">
        <f t="shared" si="8341"/>
        <v>0</v>
      </c>
      <c r="CH1815" s="63">
        <f t="shared" si="8341"/>
        <v>0</v>
      </c>
      <c r="CI1815" s="63">
        <f t="shared" si="8341"/>
        <v>0</v>
      </c>
      <c r="CJ1815" s="25">
        <f t="shared" si="8341"/>
        <v>0</v>
      </c>
      <c r="CL1815" s="10">
        <f>SUM(CL1811:CL1814)</f>
        <v>0</v>
      </c>
      <c r="CM1815" s="11">
        <f t="shared" ref="CM1815:CP1815" si="8342">SUM(CM1811:CM1814)</f>
        <v>0</v>
      </c>
      <c r="CN1815" s="11">
        <f t="shared" si="8342"/>
        <v>0</v>
      </c>
      <c r="CO1815" s="11">
        <f t="shared" si="8342"/>
        <v>0</v>
      </c>
      <c r="CP1815" s="11">
        <f t="shared" si="8342"/>
        <v>0</v>
      </c>
      <c r="CQ1815" s="25">
        <f>SUM(CQ1811:CQ1814)</f>
        <v>0</v>
      </c>
      <c r="CS1815" s="10">
        <f>SUM(CS1811:CS1814)</f>
        <v>0</v>
      </c>
      <c r="CT1815" s="11">
        <f t="shared" ref="CT1815:CW1815" si="8343">SUM(CT1811:CT1814)</f>
        <v>0</v>
      </c>
      <c r="CU1815" s="11">
        <f t="shared" si="8343"/>
        <v>0</v>
      </c>
      <c r="CV1815" s="11">
        <f t="shared" si="8343"/>
        <v>0</v>
      </c>
      <c r="CW1815" s="11">
        <f t="shared" si="8343"/>
        <v>0</v>
      </c>
      <c r="CX1815" s="25">
        <f>SUM(CX1811:CX1814)</f>
        <v>0</v>
      </c>
      <c r="CZ1815" s="10">
        <f>SUM(CZ1811:CZ1814)</f>
        <v>0</v>
      </c>
      <c r="DA1815" s="11">
        <f t="shared" ref="DA1815:DD1815" si="8344">SUM(DA1811:DA1814)</f>
        <v>0</v>
      </c>
      <c r="DB1815" s="11">
        <f t="shared" si="8344"/>
        <v>0</v>
      </c>
      <c r="DC1815" s="11">
        <f t="shared" si="8344"/>
        <v>0</v>
      </c>
      <c r="DD1815" s="11">
        <f t="shared" si="8344"/>
        <v>0</v>
      </c>
      <c r="DE1815" s="25">
        <f>SUM(DE1811:DE1814)</f>
        <v>0</v>
      </c>
    </row>
    <row r="1816" spans="3:109" ht="10.4" customHeight="1" thickBot="1"/>
    <row r="1817" spans="3:109">
      <c r="C1817" s="553">
        <v>2027</v>
      </c>
      <c r="E1817" s="1" t="s">
        <v>59</v>
      </c>
      <c r="F1817" s="21">
        <f>CE1811</f>
        <v>0</v>
      </c>
      <c r="G1817" s="22">
        <f t="shared" ref="G1817:G1820" si="8345">CF1811</f>
        <v>0</v>
      </c>
      <c r="H1817" s="22">
        <f t="shared" ref="H1817:H1820" si="8346">CG1811</f>
        <v>0</v>
      </c>
      <c r="I1817" s="22">
        <f t="shared" ref="I1817:I1820" si="8347">CH1811</f>
        <v>0</v>
      </c>
      <c r="J1817" s="22">
        <f t="shared" ref="J1817:J1820" si="8348">CI1811</f>
        <v>0</v>
      </c>
      <c r="K1817" s="4">
        <f>SUM(F1817:J1817)</f>
        <v>0</v>
      </c>
      <c r="M1817" s="2"/>
      <c r="N1817" s="3"/>
      <c r="O1817" s="3"/>
      <c r="P1817" s="3"/>
      <c r="Q1817" s="3"/>
      <c r="R1817" s="4">
        <f>SUM(M1817:Q1817)</f>
        <v>0</v>
      </c>
      <c r="T1817" s="2"/>
      <c r="U1817" s="3"/>
      <c r="V1817" s="3"/>
      <c r="W1817" s="3"/>
      <c r="X1817" s="3"/>
      <c r="Y1817" s="4">
        <f>SUM(T1817:X1817)</f>
        <v>0</v>
      </c>
      <c r="AA1817" s="2"/>
      <c r="AB1817" s="3"/>
      <c r="AC1817" s="3"/>
      <c r="AD1817" s="3"/>
      <c r="AE1817" s="3"/>
      <c r="AF1817" s="4">
        <f>SUM(AA1817:AE1817)</f>
        <v>0</v>
      </c>
      <c r="AH1817" s="2"/>
      <c r="AI1817" s="3"/>
      <c r="AJ1817" s="3"/>
      <c r="AK1817" s="3"/>
      <c r="AL1817" s="3"/>
      <c r="AM1817" s="4">
        <f>SUM(AH1817:AL1817)</f>
        <v>0</v>
      </c>
      <c r="AO1817" s="2"/>
      <c r="AP1817" s="3"/>
      <c r="AQ1817" s="3"/>
      <c r="AR1817" s="3"/>
      <c r="AS1817" s="3"/>
      <c r="AT1817" s="4">
        <f>SUM(AO1817:AS1817)</f>
        <v>0</v>
      </c>
      <c r="AV1817" s="2"/>
      <c r="AW1817" s="3"/>
      <c r="AX1817" s="3"/>
      <c r="AY1817" s="3"/>
      <c r="AZ1817" s="3"/>
      <c r="BA1817" s="4">
        <f>SUM(AV1817:AZ1817)</f>
        <v>0</v>
      </c>
      <c r="BC1817" s="2"/>
      <c r="BD1817" s="3"/>
      <c r="BE1817" s="3"/>
      <c r="BF1817" s="3"/>
      <c r="BG1817" s="3"/>
      <c r="BH1817" s="4">
        <f>SUM(BC1817:BG1817)</f>
        <v>0</v>
      </c>
      <c r="BJ1817" s="2"/>
      <c r="BK1817" s="3"/>
      <c r="BL1817" s="3"/>
      <c r="BM1817" s="3"/>
      <c r="BN1817" s="3"/>
      <c r="BO1817" s="4">
        <f>SUM(BJ1817:BN1817)</f>
        <v>0</v>
      </c>
      <c r="BQ1817" s="2"/>
      <c r="BR1817" s="3"/>
      <c r="BS1817" s="3"/>
      <c r="BT1817" s="3"/>
      <c r="BU1817" s="3"/>
      <c r="BV1817" s="4">
        <f>SUM(BQ1817:BU1817)</f>
        <v>0</v>
      </c>
      <c r="BX1817" s="2"/>
      <c r="BY1817" s="3"/>
      <c r="BZ1817" s="3"/>
      <c r="CA1817" s="3"/>
      <c r="CB1817" s="3"/>
      <c r="CC1817" s="4">
        <f>SUM(BX1817:CB1817)</f>
        <v>0</v>
      </c>
      <c r="CE1817" s="26">
        <f t="shared" ref="CE1817:CE1820" si="8349">F1817+M1817+T1817+AA1817+AH1817+AO1817+AV1817+BC1817+BJ1817+BQ1817+BX1817</f>
        <v>0</v>
      </c>
      <c r="CF1817" s="27">
        <f t="shared" ref="CF1817:CF1820" si="8350">G1817+N1817+U1817+AB1817+AI1817+AP1817+AW1817+BD1817+BK1817+BR1817+BY1817</f>
        <v>0</v>
      </c>
      <c r="CG1817" s="27">
        <f t="shared" ref="CG1817:CG1820" si="8351">H1817+O1817+V1817+AC1817+AJ1817+AQ1817+AX1817+BE1817+BL1817+BS1817+BZ1817</f>
        <v>0</v>
      </c>
      <c r="CH1817" s="27">
        <f t="shared" ref="CH1817:CH1820" si="8352">I1817+P1817+W1817+AD1817+AK1817+AR1817+AY1817+BF1817+BM1817+BT1817+CA1817</f>
        <v>0</v>
      </c>
      <c r="CI1817" s="27">
        <f t="shared" ref="CI1817:CI1820" si="8353">J1817+Q1817+X1817+AE1817+AL1817+AS1817+AZ1817+BG1817+BN1817+BU1817+CB1817</f>
        <v>0</v>
      </c>
      <c r="CJ1817" s="4">
        <f>SUM(CE1817:CI1817)</f>
        <v>0</v>
      </c>
      <c r="CL1817" s="2"/>
      <c r="CM1817" s="3"/>
      <c r="CN1817" s="3"/>
      <c r="CO1817" s="3"/>
      <c r="CP1817" s="3"/>
      <c r="CQ1817" s="4">
        <f>SUM(CL1817:CP1817)</f>
        <v>0</v>
      </c>
      <c r="CS1817" s="2"/>
      <c r="CT1817" s="3"/>
      <c r="CU1817" s="3"/>
      <c r="CV1817" s="3"/>
      <c r="CW1817" s="3"/>
      <c r="CX1817" s="4">
        <f>SUM(CS1817:CW1817)</f>
        <v>0</v>
      </c>
      <c r="CZ1817" s="2"/>
      <c r="DA1817" s="3"/>
      <c r="DB1817" s="3"/>
      <c r="DC1817" s="3"/>
      <c r="DD1817" s="3"/>
      <c r="DE1817" s="4">
        <f>SUM(CZ1817:DD1817)</f>
        <v>0</v>
      </c>
    </row>
    <row r="1818" spans="3:109">
      <c r="C1818" s="567"/>
      <c r="E1818" s="5" t="s">
        <v>60</v>
      </c>
      <c r="F1818" s="23">
        <f t="shared" ref="F1818:F1820" si="8354">CE1812</f>
        <v>0</v>
      </c>
      <c r="G1818" s="24">
        <f t="shared" si="8345"/>
        <v>0</v>
      </c>
      <c r="H1818" s="24">
        <f t="shared" si="8346"/>
        <v>0</v>
      </c>
      <c r="I1818" s="24">
        <f t="shared" si="8347"/>
        <v>0</v>
      </c>
      <c r="J1818" s="24">
        <f t="shared" si="8348"/>
        <v>0</v>
      </c>
      <c r="K1818" s="8">
        <f t="shared" ref="K1818:K1820" si="8355">SUM(F1818:J1818)</f>
        <v>0</v>
      </c>
      <c r="M1818" s="6"/>
      <c r="N1818" s="7"/>
      <c r="O1818" s="7"/>
      <c r="P1818" s="7"/>
      <c r="Q1818" s="7"/>
      <c r="R1818" s="8">
        <f t="shared" ref="R1818:R1820" si="8356">SUM(M1818:Q1818)</f>
        <v>0</v>
      </c>
      <c r="T1818" s="6"/>
      <c r="U1818" s="7"/>
      <c r="V1818" s="7"/>
      <c r="W1818" s="7"/>
      <c r="X1818" s="7"/>
      <c r="Y1818" s="8">
        <f t="shared" ref="Y1818:Y1820" si="8357">SUM(T1818:X1818)</f>
        <v>0</v>
      </c>
      <c r="AA1818" s="6"/>
      <c r="AB1818" s="7"/>
      <c r="AC1818" s="7"/>
      <c r="AD1818" s="7"/>
      <c r="AE1818" s="7"/>
      <c r="AF1818" s="8">
        <f>SUM(AA1818:AE1818)</f>
        <v>0</v>
      </c>
      <c r="AH1818" s="6"/>
      <c r="AI1818" s="7"/>
      <c r="AJ1818" s="7"/>
      <c r="AK1818" s="7"/>
      <c r="AL1818" s="7"/>
      <c r="AM1818" s="8">
        <f>SUM(AH1818:AL1818)</f>
        <v>0</v>
      </c>
      <c r="AO1818" s="6"/>
      <c r="AP1818" s="7"/>
      <c r="AQ1818" s="7"/>
      <c r="AR1818" s="7"/>
      <c r="AS1818" s="7"/>
      <c r="AT1818" s="8">
        <f>SUM(AO1818:AS1818)</f>
        <v>0</v>
      </c>
      <c r="AV1818" s="6"/>
      <c r="AW1818" s="7"/>
      <c r="AX1818" s="7"/>
      <c r="AY1818" s="7"/>
      <c r="AZ1818" s="7"/>
      <c r="BA1818" s="8">
        <f>SUM(AV1818:AZ1818)</f>
        <v>0</v>
      </c>
      <c r="BC1818" s="6"/>
      <c r="BD1818" s="7"/>
      <c r="BE1818" s="7"/>
      <c r="BF1818" s="7"/>
      <c r="BG1818" s="7"/>
      <c r="BH1818" s="8">
        <f>SUM(BC1818:BG1818)</f>
        <v>0</v>
      </c>
      <c r="BJ1818" s="6"/>
      <c r="BK1818" s="7"/>
      <c r="BL1818" s="7"/>
      <c r="BM1818" s="7"/>
      <c r="BN1818" s="7"/>
      <c r="BO1818" s="8">
        <f>SUM(BJ1818:BN1818)</f>
        <v>0</v>
      </c>
      <c r="BQ1818" s="6"/>
      <c r="BR1818" s="7"/>
      <c r="BS1818" s="7"/>
      <c r="BT1818" s="7"/>
      <c r="BU1818" s="7"/>
      <c r="BV1818" s="8">
        <f>SUM(BQ1818:BU1818)</f>
        <v>0</v>
      </c>
      <c r="BX1818" s="6"/>
      <c r="BY1818" s="7"/>
      <c r="BZ1818" s="7"/>
      <c r="CA1818" s="7"/>
      <c r="CB1818" s="7"/>
      <c r="CC1818" s="8">
        <f>SUM(BX1818:CB1818)</f>
        <v>0</v>
      </c>
      <c r="CE1818" s="28">
        <f t="shared" si="8349"/>
        <v>0</v>
      </c>
      <c r="CF1818" s="29">
        <f t="shared" si="8350"/>
        <v>0</v>
      </c>
      <c r="CG1818" s="29">
        <f t="shared" si="8351"/>
        <v>0</v>
      </c>
      <c r="CH1818" s="29">
        <f t="shared" si="8352"/>
        <v>0</v>
      </c>
      <c r="CI1818" s="29">
        <f t="shared" si="8353"/>
        <v>0</v>
      </c>
      <c r="CJ1818" s="8">
        <f>SUM(CE1818:CI1818)</f>
        <v>0</v>
      </c>
      <c r="CL1818" s="6"/>
      <c r="CM1818" s="7"/>
      <c r="CN1818" s="7"/>
      <c r="CO1818" s="7"/>
      <c r="CP1818" s="7"/>
      <c r="CQ1818" s="8">
        <f>SUM(CL1818:CP1818)</f>
        <v>0</v>
      </c>
      <c r="CS1818" s="6"/>
      <c r="CT1818" s="7"/>
      <c r="CU1818" s="7"/>
      <c r="CV1818" s="7"/>
      <c r="CW1818" s="7"/>
      <c r="CX1818" s="8">
        <f t="shared" ref="CX1818:CX1820" si="8358">SUM(CS1818:CW1818)</f>
        <v>0</v>
      </c>
      <c r="CZ1818" s="6"/>
      <c r="DA1818" s="7"/>
      <c r="DB1818" s="7"/>
      <c r="DC1818" s="7"/>
      <c r="DD1818" s="7"/>
      <c r="DE1818" s="8">
        <f t="shared" ref="DE1818:DE1820" si="8359">SUM(CZ1818:DD1818)</f>
        <v>0</v>
      </c>
    </row>
    <row r="1819" spans="3:109">
      <c r="C1819" s="567"/>
      <c r="E1819" s="5" t="s">
        <v>61</v>
      </c>
      <c r="F1819" s="23">
        <f t="shared" si="8354"/>
        <v>0</v>
      </c>
      <c r="G1819" s="24">
        <f t="shared" si="8345"/>
        <v>0</v>
      </c>
      <c r="H1819" s="24">
        <f t="shared" si="8346"/>
        <v>0</v>
      </c>
      <c r="I1819" s="24">
        <f t="shared" si="8347"/>
        <v>0</v>
      </c>
      <c r="J1819" s="24">
        <f t="shared" si="8348"/>
        <v>0</v>
      </c>
      <c r="K1819" s="8">
        <f t="shared" si="8355"/>
        <v>0</v>
      </c>
      <c r="M1819" s="6"/>
      <c r="N1819" s="7"/>
      <c r="O1819" s="7"/>
      <c r="P1819" s="7"/>
      <c r="Q1819" s="7"/>
      <c r="R1819" s="8">
        <f t="shared" si="8356"/>
        <v>0</v>
      </c>
      <c r="T1819" s="6"/>
      <c r="U1819" s="7"/>
      <c r="V1819" s="7"/>
      <c r="W1819" s="7"/>
      <c r="X1819" s="7"/>
      <c r="Y1819" s="8">
        <f t="shared" si="8357"/>
        <v>0</v>
      </c>
      <c r="AA1819" s="6"/>
      <c r="AB1819" s="7"/>
      <c r="AC1819" s="7"/>
      <c r="AD1819" s="7"/>
      <c r="AE1819" s="7"/>
      <c r="AF1819" s="8">
        <f>SUM(AA1819:AE1819)</f>
        <v>0</v>
      </c>
      <c r="AH1819" s="6"/>
      <c r="AI1819" s="7"/>
      <c r="AJ1819" s="7"/>
      <c r="AK1819" s="7"/>
      <c r="AL1819" s="7"/>
      <c r="AM1819" s="8">
        <f>SUM(AH1819:AL1819)</f>
        <v>0</v>
      </c>
      <c r="AO1819" s="6"/>
      <c r="AP1819" s="7"/>
      <c r="AQ1819" s="7"/>
      <c r="AR1819" s="7"/>
      <c r="AS1819" s="7"/>
      <c r="AT1819" s="8">
        <f>SUM(AO1819:AS1819)</f>
        <v>0</v>
      </c>
      <c r="AV1819" s="6"/>
      <c r="AW1819" s="7"/>
      <c r="AX1819" s="7"/>
      <c r="AY1819" s="7"/>
      <c r="AZ1819" s="7"/>
      <c r="BA1819" s="8">
        <f>SUM(AV1819:AZ1819)</f>
        <v>0</v>
      </c>
      <c r="BC1819" s="6"/>
      <c r="BD1819" s="7"/>
      <c r="BE1819" s="7"/>
      <c r="BF1819" s="7"/>
      <c r="BG1819" s="7"/>
      <c r="BH1819" s="8">
        <f>SUM(BC1819:BG1819)</f>
        <v>0</v>
      </c>
      <c r="BJ1819" s="6"/>
      <c r="BK1819" s="7"/>
      <c r="BL1819" s="7"/>
      <c r="BM1819" s="7"/>
      <c r="BN1819" s="7"/>
      <c r="BO1819" s="8">
        <f>SUM(BJ1819:BN1819)</f>
        <v>0</v>
      </c>
      <c r="BQ1819" s="6"/>
      <c r="BR1819" s="7"/>
      <c r="BS1819" s="7"/>
      <c r="BT1819" s="7"/>
      <c r="BU1819" s="7"/>
      <c r="BV1819" s="8">
        <f>SUM(BQ1819:BU1819)</f>
        <v>0</v>
      </c>
      <c r="BX1819" s="6"/>
      <c r="BY1819" s="7"/>
      <c r="BZ1819" s="7"/>
      <c r="CA1819" s="7"/>
      <c r="CB1819" s="7"/>
      <c r="CC1819" s="8">
        <f>SUM(BX1819:CB1819)</f>
        <v>0</v>
      </c>
      <c r="CE1819" s="28">
        <f t="shared" si="8349"/>
        <v>0</v>
      </c>
      <c r="CF1819" s="29">
        <f t="shared" si="8350"/>
        <v>0</v>
      </c>
      <c r="CG1819" s="29">
        <f t="shared" si="8351"/>
        <v>0</v>
      </c>
      <c r="CH1819" s="29">
        <f t="shared" si="8352"/>
        <v>0</v>
      </c>
      <c r="CI1819" s="29">
        <f t="shared" si="8353"/>
        <v>0</v>
      </c>
      <c r="CJ1819" s="8">
        <f>SUM(CE1819:CI1819)</f>
        <v>0</v>
      </c>
      <c r="CL1819" s="6"/>
      <c r="CM1819" s="7"/>
      <c r="CN1819" s="7"/>
      <c r="CO1819" s="7"/>
      <c r="CP1819" s="7"/>
      <c r="CQ1819" s="8">
        <f>SUM(CL1819:CP1819)</f>
        <v>0</v>
      </c>
      <c r="CS1819" s="6"/>
      <c r="CT1819" s="7"/>
      <c r="CU1819" s="7"/>
      <c r="CV1819" s="7"/>
      <c r="CW1819" s="7"/>
      <c r="CX1819" s="8">
        <f t="shared" si="8358"/>
        <v>0</v>
      </c>
      <c r="CZ1819" s="6"/>
      <c r="DA1819" s="7"/>
      <c r="DB1819" s="7"/>
      <c r="DC1819" s="7"/>
      <c r="DD1819" s="7"/>
      <c r="DE1819" s="8">
        <f t="shared" si="8359"/>
        <v>0</v>
      </c>
    </row>
    <row r="1820" spans="3:109" ht="14" thickBot="1">
      <c r="C1820" s="567"/>
      <c r="E1820" s="5" t="s">
        <v>62</v>
      </c>
      <c r="F1820" s="23">
        <f t="shared" si="8354"/>
        <v>0</v>
      </c>
      <c r="G1820" s="24">
        <f t="shared" si="8345"/>
        <v>0</v>
      </c>
      <c r="H1820" s="24">
        <f t="shared" si="8346"/>
        <v>0</v>
      </c>
      <c r="I1820" s="24">
        <f t="shared" si="8347"/>
        <v>0</v>
      </c>
      <c r="J1820" s="24">
        <f t="shared" si="8348"/>
        <v>0</v>
      </c>
      <c r="K1820" s="8">
        <f t="shared" si="8355"/>
        <v>0</v>
      </c>
      <c r="M1820" s="6"/>
      <c r="N1820" s="7"/>
      <c r="O1820" s="7"/>
      <c r="P1820" s="7"/>
      <c r="Q1820" s="7"/>
      <c r="R1820" s="8">
        <f t="shared" si="8356"/>
        <v>0</v>
      </c>
      <c r="T1820" s="6"/>
      <c r="U1820" s="7"/>
      <c r="V1820" s="7"/>
      <c r="W1820" s="7"/>
      <c r="X1820" s="7"/>
      <c r="Y1820" s="8">
        <f t="shared" si="8357"/>
        <v>0</v>
      </c>
      <c r="AA1820" s="6"/>
      <c r="AB1820" s="7"/>
      <c r="AC1820" s="7"/>
      <c r="AD1820" s="7"/>
      <c r="AE1820" s="7"/>
      <c r="AF1820" s="8">
        <f>SUM(AA1820:AE1820)</f>
        <v>0</v>
      </c>
      <c r="AH1820" s="6"/>
      <c r="AI1820" s="7"/>
      <c r="AJ1820" s="7"/>
      <c r="AK1820" s="7"/>
      <c r="AL1820" s="7"/>
      <c r="AM1820" s="8">
        <f>SUM(AH1820:AL1820)</f>
        <v>0</v>
      </c>
      <c r="AO1820" s="6"/>
      <c r="AP1820" s="7"/>
      <c r="AQ1820" s="7"/>
      <c r="AR1820" s="7"/>
      <c r="AS1820" s="7"/>
      <c r="AT1820" s="8">
        <f>SUM(AO1820:AS1820)</f>
        <v>0</v>
      </c>
      <c r="AV1820" s="6"/>
      <c r="AW1820" s="7"/>
      <c r="AX1820" s="7"/>
      <c r="AY1820" s="7"/>
      <c r="AZ1820" s="7"/>
      <c r="BA1820" s="8">
        <f>SUM(AV1820:AZ1820)</f>
        <v>0</v>
      </c>
      <c r="BC1820" s="6"/>
      <c r="BD1820" s="7"/>
      <c r="BE1820" s="7"/>
      <c r="BF1820" s="7"/>
      <c r="BG1820" s="7"/>
      <c r="BH1820" s="8">
        <f>SUM(BC1820:BG1820)</f>
        <v>0</v>
      </c>
      <c r="BJ1820" s="6"/>
      <c r="BK1820" s="7"/>
      <c r="BL1820" s="7"/>
      <c r="BM1820" s="7"/>
      <c r="BN1820" s="7"/>
      <c r="BO1820" s="8">
        <f>SUM(BJ1820:BN1820)</f>
        <v>0</v>
      </c>
      <c r="BQ1820" s="6"/>
      <c r="BR1820" s="7"/>
      <c r="BS1820" s="7"/>
      <c r="BT1820" s="7"/>
      <c r="BU1820" s="7"/>
      <c r="BV1820" s="8">
        <f>SUM(BQ1820:BU1820)</f>
        <v>0</v>
      </c>
      <c r="BX1820" s="6"/>
      <c r="BY1820" s="7"/>
      <c r="BZ1820" s="7"/>
      <c r="CA1820" s="7"/>
      <c r="CB1820" s="7"/>
      <c r="CC1820" s="8">
        <f>SUM(BX1820:CB1820)</f>
        <v>0</v>
      </c>
      <c r="CE1820" s="493">
        <f t="shared" si="8349"/>
        <v>0</v>
      </c>
      <c r="CF1820" s="494">
        <f t="shared" si="8350"/>
        <v>0</v>
      </c>
      <c r="CG1820" s="494">
        <f t="shared" si="8351"/>
        <v>0</v>
      </c>
      <c r="CH1820" s="494">
        <f t="shared" si="8352"/>
        <v>0</v>
      </c>
      <c r="CI1820" s="494">
        <f t="shared" si="8353"/>
        <v>0</v>
      </c>
      <c r="CJ1820" s="495">
        <f>SUM(CE1820:CI1820)</f>
        <v>0</v>
      </c>
      <c r="CL1820" s="6"/>
      <c r="CM1820" s="7"/>
      <c r="CN1820" s="7"/>
      <c r="CO1820" s="7"/>
      <c r="CP1820" s="7"/>
      <c r="CQ1820" s="8">
        <f>SUM(CL1820:CP1820)</f>
        <v>0</v>
      </c>
      <c r="CS1820" s="6"/>
      <c r="CT1820" s="7"/>
      <c r="CU1820" s="7"/>
      <c r="CV1820" s="7"/>
      <c r="CW1820" s="7"/>
      <c r="CX1820" s="8">
        <f t="shared" si="8358"/>
        <v>0</v>
      </c>
      <c r="CZ1820" s="6"/>
      <c r="DA1820" s="7"/>
      <c r="DB1820" s="7"/>
      <c r="DC1820" s="7"/>
      <c r="DD1820" s="7"/>
      <c r="DE1820" s="8">
        <f t="shared" si="8359"/>
        <v>0</v>
      </c>
    </row>
    <row r="1821" spans="3:109" ht="14" thickBot="1">
      <c r="C1821" s="554"/>
      <c r="E1821" s="9"/>
      <c r="F1821" s="10">
        <f>SUM(F1817:F1820)</f>
        <v>0</v>
      </c>
      <c r="G1821" s="11">
        <f t="shared" ref="G1821:J1821" si="8360">SUM(G1817:G1820)</f>
        <v>0</v>
      </c>
      <c r="H1821" s="11">
        <f t="shared" si="8360"/>
        <v>0</v>
      </c>
      <c r="I1821" s="11">
        <f t="shared" si="8360"/>
        <v>0</v>
      </c>
      <c r="J1821" s="11">
        <f t="shared" si="8360"/>
        <v>0</v>
      </c>
      <c r="K1821" s="25">
        <f>SUM(K1817:K1820)</f>
        <v>0</v>
      </c>
      <c r="M1821" s="10">
        <f>SUM(M1817:M1820)</f>
        <v>0</v>
      </c>
      <c r="N1821" s="11">
        <f t="shared" ref="N1821:Q1821" si="8361">SUM(N1817:N1820)</f>
        <v>0</v>
      </c>
      <c r="O1821" s="11">
        <f t="shared" si="8361"/>
        <v>0</v>
      </c>
      <c r="P1821" s="11">
        <f t="shared" si="8361"/>
        <v>0</v>
      </c>
      <c r="Q1821" s="11">
        <f t="shared" si="8361"/>
        <v>0</v>
      </c>
      <c r="R1821" s="25">
        <f>SUM(R1817:R1820)</f>
        <v>0</v>
      </c>
      <c r="T1821" s="10">
        <f>SUM(T1817:T1820)</f>
        <v>0</v>
      </c>
      <c r="U1821" s="11">
        <f t="shared" ref="U1821:X1821" si="8362">SUM(U1817:U1820)</f>
        <v>0</v>
      </c>
      <c r="V1821" s="11">
        <f t="shared" si="8362"/>
        <v>0</v>
      </c>
      <c r="W1821" s="11">
        <f t="shared" si="8362"/>
        <v>0</v>
      </c>
      <c r="X1821" s="11">
        <f t="shared" si="8362"/>
        <v>0</v>
      </c>
      <c r="Y1821" s="25">
        <f>SUM(Y1817:Y1820)</f>
        <v>0</v>
      </c>
      <c r="AA1821" s="10">
        <f>SUM(AA1817:AA1820)</f>
        <v>0</v>
      </c>
      <c r="AB1821" s="11">
        <f t="shared" ref="AB1821:AE1821" si="8363">SUM(AB1817:AB1820)</f>
        <v>0</v>
      </c>
      <c r="AC1821" s="11">
        <f t="shared" si="8363"/>
        <v>0</v>
      </c>
      <c r="AD1821" s="11">
        <f t="shared" si="8363"/>
        <v>0</v>
      </c>
      <c r="AE1821" s="11">
        <f t="shared" si="8363"/>
        <v>0</v>
      </c>
      <c r="AF1821" s="25">
        <f>SUM(AF1817:AF1820)</f>
        <v>0</v>
      </c>
      <c r="AH1821" s="10">
        <f>SUM(AH1817:AH1820)</f>
        <v>0</v>
      </c>
      <c r="AI1821" s="11">
        <f t="shared" ref="AI1821:AL1821" si="8364">SUM(AI1817:AI1820)</f>
        <v>0</v>
      </c>
      <c r="AJ1821" s="11">
        <f t="shared" si="8364"/>
        <v>0</v>
      </c>
      <c r="AK1821" s="11">
        <f t="shared" si="8364"/>
        <v>0</v>
      </c>
      <c r="AL1821" s="11">
        <f t="shared" si="8364"/>
        <v>0</v>
      </c>
      <c r="AM1821" s="25">
        <f>SUM(AM1817:AM1820)</f>
        <v>0</v>
      </c>
      <c r="AO1821" s="10">
        <f>SUM(AO1817:AO1820)</f>
        <v>0</v>
      </c>
      <c r="AP1821" s="11">
        <f t="shared" ref="AP1821:AS1821" si="8365">SUM(AP1817:AP1820)</f>
        <v>0</v>
      </c>
      <c r="AQ1821" s="11">
        <f t="shared" si="8365"/>
        <v>0</v>
      </c>
      <c r="AR1821" s="11">
        <f t="shared" si="8365"/>
        <v>0</v>
      </c>
      <c r="AS1821" s="11">
        <f t="shared" si="8365"/>
        <v>0</v>
      </c>
      <c r="AT1821" s="25">
        <f>SUM(AT1817:AT1820)</f>
        <v>0</v>
      </c>
      <c r="AV1821" s="10">
        <f>SUM(AV1817:AV1820)</f>
        <v>0</v>
      </c>
      <c r="AW1821" s="11">
        <f t="shared" ref="AW1821:AZ1821" si="8366">SUM(AW1817:AW1820)</f>
        <v>0</v>
      </c>
      <c r="AX1821" s="11">
        <f t="shared" si="8366"/>
        <v>0</v>
      </c>
      <c r="AY1821" s="11">
        <f t="shared" si="8366"/>
        <v>0</v>
      </c>
      <c r="AZ1821" s="11">
        <f t="shared" si="8366"/>
        <v>0</v>
      </c>
      <c r="BA1821" s="25">
        <f>SUM(BA1817:BA1820)</f>
        <v>0</v>
      </c>
      <c r="BC1821" s="10">
        <f>SUM(BC1817:BC1820)</f>
        <v>0</v>
      </c>
      <c r="BD1821" s="11">
        <f t="shared" ref="BD1821:BG1821" si="8367">SUM(BD1817:BD1820)</f>
        <v>0</v>
      </c>
      <c r="BE1821" s="11">
        <f t="shared" si="8367"/>
        <v>0</v>
      </c>
      <c r="BF1821" s="11">
        <f t="shared" si="8367"/>
        <v>0</v>
      </c>
      <c r="BG1821" s="11">
        <f t="shared" si="8367"/>
        <v>0</v>
      </c>
      <c r="BH1821" s="25">
        <f>SUM(BH1817:BH1820)</f>
        <v>0</v>
      </c>
      <c r="BJ1821" s="10">
        <f>SUM(BJ1817:BJ1820)</f>
        <v>0</v>
      </c>
      <c r="BK1821" s="11">
        <f t="shared" ref="BK1821:BN1821" si="8368">SUM(BK1817:BK1820)</f>
        <v>0</v>
      </c>
      <c r="BL1821" s="11">
        <f t="shared" si="8368"/>
        <v>0</v>
      </c>
      <c r="BM1821" s="11">
        <f t="shared" si="8368"/>
        <v>0</v>
      </c>
      <c r="BN1821" s="11">
        <f t="shared" si="8368"/>
        <v>0</v>
      </c>
      <c r="BO1821" s="25">
        <f>SUM(BO1817:BO1820)</f>
        <v>0</v>
      </c>
      <c r="BQ1821" s="10">
        <f>SUM(BQ1817:BQ1820)</f>
        <v>0</v>
      </c>
      <c r="BR1821" s="11">
        <f t="shared" ref="BR1821:BU1821" si="8369">SUM(BR1817:BR1820)</f>
        <v>0</v>
      </c>
      <c r="BS1821" s="11">
        <f t="shared" si="8369"/>
        <v>0</v>
      </c>
      <c r="BT1821" s="11">
        <f t="shared" si="8369"/>
        <v>0</v>
      </c>
      <c r="BU1821" s="11">
        <f t="shared" si="8369"/>
        <v>0</v>
      </c>
      <c r="BV1821" s="25">
        <f>SUM(BV1817:BV1820)</f>
        <v>0</v>
      </c>
      <c r="BX1821" s="10">
        <f>SUM(BX1817:BX1820)</f>
        <v>0</v>
      </c>
      <c r="BY1821" s="11">
        <f t="shared" ref="BY1821:CB1821" si="8370">SUM(BY1817:BY1820)</f>
        <v>0</v>
      </c>
      <c r="BZ1821" s="11">
        <f t="shared" si="8370"/>
        <v>0</v>
      </c>
      <c r="CA1821" s="11">
        <f t="shared" si="8370"/>
        <v>0</v>
      </c>
      <c r="CB1821" s="11">
        <f t="shared" si="8370"/>
        <v>0</v>
      </c>
      <c r="CC1821" s="25">
        <f>SUM(CC1817:CC1820)</f>
        <v>0</v>
      </c>
      <c r="CE1821" s="62">
        <f t="shared" ref="CE1821:CJ1821" si="8371">SUM(CE1817:CE1820)</f>
        <v>0</v>
      </c>
      <c r="CF1821" s="63">
        <f t="shared" si="8371"/>
        <v>0</v>
      </c>
      <c r="CG1821" s="63">
        <f t="shared" si="8371"/>
        <v>0</v>
      </c>
      <c r="CH1821" s="63">
        <f t="shared" si="8371"/>
        <v>0</v>
      </c>
      <c r="CI1821" s="63">
        <f t="shared" si="8371"/>
        <v>0</v>
      </c>
      <c r="CJ1821" s="25">
        <f t="shared" si="8371"/>
        <v>0</v>
      </c>
      <c r="CL1821" s="10">
        <f>SUM(CL1817:CL1820)</f>
        <v>0</v>
      </c>
      <c r="CM1821" s="11">
        <f t="shared" ref="CM1821:CP1821" si="8372">SUM(CM1817:CM1820)</f>
        <v>0</v>
      </c>
      <c r="CN1821" s="11">
        <f t="shared" si="8372"/>
        <v>0</v>
      </c>
      <c r="CO1821" s="11">
        <f t="shared" si="8372"/>
        <v>0</v>
      </c>
      <c r="CP1821" s="11">
        <f t="shared" si="8372"/>
        <v>0</v>
      </c>
      <c r="CQ1821" s="25">
        <f>SUM(CQ1817:CQ1820)</f>
        <v>0</v>
      </c>
      <c r="CS1821" s="10">
        <f>SUM(CS1817:CS1820)</f>
        <v>0</v>
      </c>
      <c r="CT1821" s="11">
        <f t="shared" ref="CT1821:CW1821" si="8373">SUM(CT1817:CT1820)</f>
        <v>0</v>
      </c>
      <c r="CU1821" s="11">
        <f t="shared" si="8373"/>
        <v>0</v>
      </c>
      <c r="CV1821" s="11">
        <f t="shared" si="8373"/>
        <v>0</v>
      </c>
      <c r="CW1821" s="11">
        <f t="shared" si="8373"/>
        <v>0</v>
      </c>
      <c r="CX1821" s="25">
        <f>SUM(CX1817:CX1820)</f>
        <v>0</v>
      </c>
      <c r="CZ1821" s="10">
        <f>SUM(CZ1817:CZ1820)</f>
        <v>0</v>
      </c>
      <c r="DA1821" s="11">
        <f t="shared" ref="DA1821:DD1821" si="8374">SUM(DA1817:DA1820)</f>
        <v>0</v>
      </c>
      <c r="DB1821" s="11">
        <f t="shared" si="8374"/>
        <v>0</v>
      </c>
      <c r="DC1821" s="11">
        <f t="shared" si="8374"/>
        <v>0</v>
      </c>
      <c r="DD1821" s="11">
        <f t="shared" si="8374"/>
        <v>0</v>
      </c>
      <c r="DE1821" s="25">
        <f>SUM(DE1817:DE1820)</f>
        <v>0</v>
      </c>
    </row>
    <row r="1822" spans="3:109" ht="10.4" customHeight="1" thickBot="1"/>
    <row r="1823" spans="3:109">
      <c r="C1823" s="553">
        <v>2028</v>
      </c>
      <c r="E1823" s="1" t="s">
        <v>59</v>
      </c>
      <c r="F1823" s="21">
        <f>CE1817</f>
        <v>0</v>
      </c>
      <c r="G1823" s="22">
        <f t="shared" ref="G1823:G1826" si="8375">CF1817</f>
        <v>0</v>
      </c>
      <c r="H1823" s="22">
        <f t="shared" ref="H1823:H1826" si="8376">CG1817</f>
        <v>0</v>
      </c>
      <c r="I1823" s="22">
        <f t="shared" ref="I1823:I1826" si="8377">CH1817</f>
        <v>0</v>
      </c>
      <c r="J1823" s="22">
        <f t="shared" ref="J1823:J1826" si="8378">CI1817</f>
        <v>0</v>
      </c>
      <c r="K1823" s="4">
        <f>SUM(F1823:J1823)</f>
        <v>0</v>
      </c>
      <c r="M1823" s="2"/>
      <c r="N1823" s="3"/>
      <c r="O1823" s="3"/>
      <c r="P1823" s="3"/>
      <c r="Q1823" s="3"/>
      <c r="R1823" s="4">
        <f>SUM(M1823:Q1823)</f>
        <v>0</v>
      </c>
      <c r="T1823" s="2"/>
      <c r="U1823" s="3"/>
      <c r="V1823" s="3"/>
      <c r="W1823" s="3"/>
      <c r="X1823" s="3"/>
      <c r="Y1823" s="4">
        <f>SUM(T1823:X1823)</f>
        <v>0</v>
      </c>
      <c r="AA1823" s="2"/>
      <c r="AB1823" s="3"/>
      <c r="AC1823" s="3"/>
      <c r="AD1823" s="3"/>
      <c r="AE1823" s="3"/>
      <c r="AF1823" s="4">
        <f>SUM(AA1823:AE1823)</f>
        <v>0</v>
      </c>
      <c r="AH1823" s="2"/>
      <c r="AI1823" s="3"/>
      <c r="AJ1823" s="3"/>
      <c r="AK1823" s="3"/>
      <c r="AL1823" s="3"/>
      <c r="AM1823" s="4">
        <f>SUM(AH1823:AL1823)</f>
        <v>0</v>
      </c>
      <c r="AO1823" s="2"/>
      <c r="AP1823" s="3"/>
      <c r="AQ1823" s="3"/>
      <c r="AR1823" s="3"/>
      <c r="AS1823" s="3"/>
      <c r="AT1823" s="4">
        <f>SUM(AO1823:AS1823)</f>
        <v>0</v>
      </c>
      <c r="AV1823" s="2"/>
      <c r="AW1823" s="3"/>
      <c r="AX1823" s="3"/>
      <c r="AY1823" s="3"/>
      <c r="AZ1823" s="3"/>
      <c r="BA1823" s="4">
        <f>SUM(AV1823:AZ1823)</f>
        <v>0</v>
      </c>
      <c r="BC1823" s="2"/>
      <c r="BD1823" s="3"/>
      <c r="BE1823" s="3"/>
      <c r="BF1823" s="3"/>
      <c r="BG1823" s="3"/>
      <c r="BH1823" s="4">
        <f>SUM(BC1823:BG1823)</f>
        <v>0</v>
      </c>
      <c r="BJ1823" s="2"/>
      <c r="BK1823" s="3"/>
      <c r="BL1823" s="3"/>
      <c r="BM1823" s="3"/>
      <c r="BN1823" s="3"/>
      <c r="BO1823" s="4">
        <f>SUM(BJ1823:BN1823)</f>
        <v>0</v>
      </c>
      <c r="BQ1823" s="2"/>
      <c r="BR1823" s="3"/>
      <c r="BS1823" s="3"/>
      <c r="BT1823" s="3"/>
      <c r="BU1823" s="3"/>
      <c r="BV1823" s="4">
        <f>SUM(BQ1823:BU1823)</f>
        <v>0</v>
      </c>
      <c r="BX1823" s="2"/>
      <c r="BY1823" s="3"/>
      <c r="BZ1823" s="3"/>
      <c r="CA1823" s="3"/>
      <c r="CB1823" s="3"/>
      <c r="CC1823" s="4">
        <f>SUM(BX1823:CB1823)</f>
        <v>0</v>
      </c>
      <c r="CE1823" s="26">
        <f t="shared" ref="CE1823:CE1826" si="8379">F1823+M1823+T1823+AA1823+AH1823+AO1823+AV1823+BC1823+BJ1823+BQ1823+BX1823</f>
        <v>0</v>
      </c>
      <c r="CF1823" s="27">
        <f t="shared" ref="CF1823:CF1826" si="8380">G1823+N1823+U1823+AB1823+AI1823+AP1823+AW1823+BD1823+BK1823+BR1823+BY1823</f>
        <v>0</v>
      </c>
      <c r="CG1823" s="27">
        <f t="shared" ref="CG1823:CG1826" si="8381">H1823+O1823+V1823+AC1823+AJ1823+AQ1823+AX1823+BE1823+BL1823+BS1823+BZ1823</f>
        <v>0</v>
      </c>
      <c r="CH1823" s="27">
        <f t="shared" ref="CH1823:CH1826" si="8382">I1823+P1823+W1823+AD1823+AK1823+AR1823+AY1823+BF1823+BM1823+BT1823+CA1823</f>
        <v>0</v>
      </c>
      <c r="CI1823" s="27">
        <f t="shared" ref="CI1823:CI1826" si="8383">J1823+Q1823+X1823+AE1823+AL1823+AS1823+AZ1823+BG1823+BN1823+BU1823+CB1823</f>
        <v>0</v>
      </c>
      <c r="CJ1823" s="4">
        <f>SUM(CE1823:CI1823)</f>
        <v>0</v>
      </c>
      <c r="CL1823" s="2"/>
      <c r="CM1823" s="3"/>
      <c r="CN1823" s="3"/>
      <c r="CO1823" s="3"/>
      <c r="CP1823" s="3"/>
      <c r="CQ1823" s="4">
        <f>SUM(CL1823:CP1823)</f>
        <v>0</v>
      </c>
      <c r="CS1823" s="2"/>
      <c r="CT1823" s="3"/>
      <c r="CU1823" s="3"/>
      <c r="CV1823" s="3"/>
      <c r="CW1823" s="3"/>
      <c r="CX1823" s="4">
        <f>SUM(CS1823:CW1823)</f>
        <v>0</v>
      </c>
      <c r="CZ1823" s="2"/>
      <c r="DA1823" s="3"/>
      <c r="DB1823" s="3"/>
      <c r="DC1823" s="3"/>
      <c r="DD1823" s="3"/>
      <c r="DE1823" s="4">
        <f>SUM(CZ1823:DD1823)</f>
        <v>0</v>
      </c>
    </row>
    <row r="1824" spans="3:109">
      <c r="C1824" s="567"/>
      <c r="E1824" s="5" t="s">
        <v>60</v>
      </c>
      <c r="F1824" s="23">
        <f t="shared" ref="F1824:F1826" si="8384">CE1818</f>
        <v>0</v>
      </c>
      <c r="G1824" s="24">
        <f t="shared" si="8375"/>
        <v>0</v>
      </c>
      <c r="H1824" s="24">
        <f t="shared" si="8376"/>
        <v>0</v>
      </c>
      <c r="I1824" s="24">
        <f t="shared" si="8377"/>
        <v>0</v>
      </c>
      <c r="J1824" s="24">
        <f t="shared" si="8378"/>
        <v>0</v>
      </c>
      <c r="K1824" s="8">
        <f t="shared" ref="K1824:K1826" si="8385">SUM(F1824:J1824)</f>
        <v>0</v>
      </c>
      <c r="M1824" s="6"/>
      <c r="N1824" s="7"/>
      <c r="O1824" s="7"/>
      <c r="P1824" s="7"/>
      <c r="Q1824" s="7"/>
      <c r="R1824" s="8">
        <f t="shared" ref="R1824:R1826" si="8386">SUM(M1824:Q1824)</f>
        <v>0</v>
      </c>
      <c r="T1824" s="6"/>
      <c r="U1824" s="7"/>
      <c r="V1824" s="7"/>
      <c r="W1824" s="7"/>
      <c r="X1824" s="7"/>
      <c r="Y1824" s="8">
        <f t="shared" ref="Y1824:Y1826" si="8387">SUM(T1824:X1824)</f>
        <v>0</v>
      </c>
      <c r="AA1824" s="6"/>
      <c r="AB1824" s="7"/>
      <c r="AC1824" s="7"/>
      <c r="AD1824" s="7"/>
      <c r="AE1824" s="7"/>
      <c r="AF1824" s="8">
        <f>SUM(AA1824:AE1824)</f>
        <v>0</v>
      </c>
      <c r="AH1824" s="6"/>
      <c r="AI1824" s="7"/>
      <c r="AJ1824" s="7"/>
      <c r="AK1824" s="7"/>
      <c r="AL1824" s="7"/>
      <c r="AM1824" s="8">
        <f>SUM(AH1824:AL1824)</f>
        <v>0</v>
      </c>
      <c r="AO1824" s="6"/>
      <c r="AP1824" s="7"/>
      <c r="AQ1824" s="7"/>
      <c r="AR1824" s="7"/>
      <c r="AS1824" s="7"/>
      <c r="AT1824" s="8">
        <f>SUM(AO1824:AS1824)</f>
        <v>0</v>
      </c>
      <c r="AV1824" s="6"/>
      <c r="AW1824" s="7"/>
      <c r="AX1824" s="7"/>
      <c r="AY1824" s="7"/>
      <c r="AZ1824" s="7"/>
      <c r="BA1824" s="8">
        <f>SUM(AV1824:AZ1824)</f>
        <v>0</v>
      </c>
      <c r="BC1824" s="6"/>
      <c r="BD1824" s="7"/>
      <c r="BE1824" s="7"/>
      <c r="BF1824" s="7"/>
      <c r="BG1824" s="7"/>
      <c r="BH1824" s="8">
        <f>SUM(BC1824:BG1824)</f>
        <v>0</v>
      </c>
      <c r="BJ1824" s="6"/>
      <c r="BK1824" s="7"/>
      <c r="BL1824" s="7"/>
      <c r="BM1824" s="7"/>
      <c r="BN1824" s="7"/>
      <c r="BO1824" s="8">
        <f>SUM(BJ1824:BN1824)</f>
        <v>0</v>
      </c>
      <c r="BQ1824" s="6"/>
      <c r="BR1824" s="7"/>
      <c r="BS1824" s="7"/>
      <c r="BT1824" s="7"/>
      <c r="BU1824" s="7"/>
      <c r="BV1824" s="8">
        <f>SUM(BQ1824:BU1824)</f>
        <v>0</v>
      </c>
      <c r="BX1824" s="6"/>
      <c r="BY1824" s="7"/>
      <c r="BZ1824" s="7"/>
      <c r="CA1824" s="7"/>
      <c r="CB1824" s="7"/>
      <c r="CC1824" s="8">
        <f>SUM(BX1824:CB1824)</f>
        <v>0</v>
      </c>
      <c r="CE1824" s="28">
        <f t="shared" si="8379"/>
        <v>0</v>
      </c>
      <c r="CF1824" s="29">
        <f t="shared" si="8380"/>
        <v>0</v>
      </c>
      <c r="CG1824" s="29">
        <f t="shared" si="8381"/>
        <v>0</v>
      </c>
      <c r="CH1824" s="29">
        <f t="shared" si="8382"/>
        <v>0</v>
      </c>
      <c r="CI1824" s="29">
        <f t="shared" si="8383"/>
        <v>0</v>
      </c>
      <c r="CJ1824" s="8">
        <f>SUM(CE1824:CI1824)</f>
        <v>0</v>
      </c>
      <c r="CL1824" s="6"/>
      <c r="CM1824" s="7"/>
      <c r="CN1824" s="7"/>
      <c r="CO1824" s="7"/>
      <c r="CP1824" s="7"/>
      <c r="CQ1824" s="8">
        <f>SUM(CL1824:CP1824)</f>
        <v>0</v>
      </c>
      <c r="CS1824" s="6"/>
      <c r="CT1824" s="7"/>
      <c r="CU1824" s="7"/>
      <c r="CV1824" s="7"/>
      <c r="CW1824" s="7"/>
      <c r="CX1824" s="8">
        <f t="shared" ref="CX1824:CX1826" si="8388">SUM(CS1824:CW1824)</f>
        <v>0</v>
      </c>
      <c r="CZ1824" s="6"/>
      <c r="DA1824" s="7"/>
      <c r="DB1824" s="7"/>
      <c r="DC1824" s="7"/>
      <c r="DD1824" s="7"/>
      <c r="DE1824" s="8">
        <f t="shared" ref="DE1824:DE1826" si="8389">SUM(CZ1824:DD1824)</f>
        <v>0</v>
      </c>
    </row>
    <row r="1825" spans="2:109">
      <c r="C1825" s="567"/>
      <c r="E1825" s="5" t="s">
        <v>61</v>
      </c>
      <c r="F1825" s="23">
        <f t="shared" si="8384"/>
        <v>0</v>
      </c>
      <c r="G1825" s="24">
        <f t="shared" si="8375"/>
        <v>0</v>
      </c>
      <c r="H1825" s="24">
        <f t="shared" si="8376"/>
        <v>0</v>
      </c>
      <c r="I1825" s="24">
        <f t="shared" si="8377"/>
        <v>0</v>
      </c>
      <c r="J1825" s="24">
        <f t="shared" si="8378"/>
        <v>0</v>
      </c>
      <c r="K1825" s="8">
        <f t="shared" si="8385"/>
        <v>0</v>
      </c>
      <c r="M1825" s="6"/>
      <c r="N1825" s="7"/>
      <c r="O1825" s="7"/>
      <c r="P1825" s="7"/>
      <c r="Q1825" s="7"/>
      <c r="R1825" s="8">
        <f t="shared" si="8386"/>
        <v>0</v>
      </c>
      <c r="T1825" s="6"/>
      <c r="U1825" s="7"/>
      <c r="V1825" s="7"/>
      <c r="W1825" s="7"/>
      <c r="X1825" s="7"/>
      <c r="Y1825" s="8">
        <f t="shared" si="8387"/>
        <v>0</v>
      </c>
      <c r="AA1825" s="6"/>
      <c r="AB1825" s="7"/>
      <c r="AC1825" s="7"/>
      <c r="AD1825" s="7"/>
      <c r="AE1825" s="7"/>
      <c r="AF1825" s="8">
        <f>SUM(AA1825:AE1825)</f>
        <v>0</v>
      </c>
      <c r="AH1825" s="6"/>
      <c r="AI1825" s="7"/>
      <c r="AJ1825" s="7"/>
      <c r="AK1825" s="7"/>
      <c r="AL1825" s="7"/>
      <c r="AM1825" s="8">
        <f>SUM(AH1825:AL1825)</f>
        <v>0</v>
      </c>
      <c r="AO1825" s="6"/>
      <c r="AP1825" s="7"/>
      <c r="AQ1825" s="7"/>
      <c r="AR1825" s="7"/>
      <c r="AS1825" s="7"/>
      <c r="AT1825" s="8">
        <f>SUM(AO1825:AS1825)</f>
        <v>0</v>
      </c>
      <c r="AV1825" s="6"/>
      <c r="AW1825" s="7"/>
      <c r="AX1825" s="7"/>
      <c r="AY1825" s="7"/>
      <c r="AZ1825" s="7"/>
      <c r="BA1825" s="8">
        <f>SUM(AV1825:AZ1825)</f>
        <v>0</v>
      </c>
      <c r="BC1825" s="6"/>
      <c r="BD1825" s="7"/>
      <c r="BE1825" s="7"/>
      <c r="BF1825" s="7"/>
      <c r="BG1825" s="7"/>
      <c r="BH1825" s="8">
        <f>SUM(BC1825:BG1825)</f>
        <v>0</v>
      </c>
      <c r="BJ1825" s="6"/>
      <c r="BK1825" s="7"/>
      <c r="BL1825" s="7"/>
      <c r="BM1825" s="7"/>
      <c r="BN1825" s="7"/>
      <c r="BO1825" s="8">
        <f>SUM(BJ1825:BN1825)</f>
        <v>0</v>
      </c>
      <c r="BQ1825" s="6"/>
      <c r="BR1825" s="7"/>
      <c r="BS1825" s="7"/>
      <c r="BT1825" s="7"/>
      <c r="BU1825" s="7"/>
      <c r="BV1825" s="8">
        <f>SUM(BQ1825:BU1825)</f>
        <v>0</v>
      </c>
      <c r="BX1825" s="6"/>
      <c r="BY1825" s="7"/>
      <c r="BZ1825" s="7"/>
      <c r="CA1825" s="7"/>
      <c r="CB1825" s="7"/>
      <c r="CC1825" s="8">
        <f>SUM(BX1825:CB1825)</f>
        <v>0</v>
      </c>
      <c r="CE1825" s="28">
        <f t="shared" si="8379"/>
        <v>0</v>
      </c>
      <c r="CF1825" s="29">
        <f t="shared" si="8380"/>
        <v>0</v>
      </c>
      <c r="CG1825" s="29">
        <f t="shared" si="8381"/>
        <v>0</v>
      </c>
      <c r="CH1825" s="29">
        <f t="shared" si="8382"/>
        <v>0</v>
      </c>
      <c r="CI1825" s="29">
        <f t="shared" si="8383"/>
        <v>0</v>
      </c>
      <c r="CJ1825" s="8">
        <f>SUM(CE1825:CI1825)</f>
        <v>0</v>
      </c>
      <c r="CL1825" s="6"/>
      <c r="CM1825" s="7"/>
      <c r="CN1825" s="7"/>
      <c r="CO1825" s="7"/>
      <c r="CP1825" s="7"/>
      <c r="CQ1825" s="8">
        <f>SUM(CL1825:CP1825)</f>
        <v>0</v>
      </c>
      <c r="CS1825" s="6"/>
      <c r="CT1825" s="7"/>
      <c r="CU1825" s="7"/>
      <c r="CV1825" s="7"/>
      <c r="CW1825" s="7"/>
      <c r="CX1825" s="8">
        <f t="shared" si="8388"/>
        <v>0</v>
      </c>
      <c r="CZ1825" s="6"/>
      <c r="DA1825" s="7"/>
      <c r="DB1825" s="7"/>
      <c r="DC1825" s="7"/>
      <c r="DD1825" s="7"/>
      <c r="DE1825" s="8">
        <f t="shared" si="8389"/>
        <v>0</v>
      </c>
    </row>
    <row r="1826" spans="2:109" ht="14" thickBot="1">
      <c r="C1826" s="567"/>
      <c r="E1826" s="5" t="s">
        <v>62</v>
      </c>
      <c r="F1826" s="23">
        <f t="shared" si="8384"/>
        <v>0</v>
      </c>
      <c r="G1826" s="24">
        <f t="shared" si="8375"/>
        <v>0</v>
      </c>
      <c r="H1826" s="24">
        <f t="shared" si="8376"/>
        <v>0</v>
      </c>
      <c r="I1826" s="24">
        <f t="shared" si="8377"/>
        <v>0</v>
      </c>
      <c r="J1826" s="24">
        <f t="shared" si="8378"/>
        <v>0</v>
      </c>
      <c r="K1826" s="8">
        <f t="shared" si="8385"/>
        <v>0</v>
      </c>
      <c r="M1826" s="6"/>
      <c r="N1826" s="7"/>
      <c r="O1826" s="7"/>
      <c r="P1826" s="7"/>
      <c r="Q1826" s="7"/>
      <c r="R1826" s="8">
        <f t="shared" si="8386"/>
        <v>0</v>
      </c>
      <c r="T1826" s="6"/>
      <c r="U1826" s="7"/>
      <c r="V1826" s="7"/>
      <c r="W1826" s="7"/>
      <c r="X1826" s="7"/>
      <c r="Y1826" s="8">
        <f t="shared" si="8387"/>
        <v>0</v>
      </c>
      <c r="AA1826" s="6"/>
      <c r="AB1826" s="7"/>
      <c r="AC1826" s="7"/>
      <c r="AD1826" s="7"/>
      <c r="AE1826" s="7"/>
      <c r="AF1826" s="8">
        <f>SUM(AA1826:AE1826)</f>
        <v>0</v>
      </c>
      <c r="AH1826" s="6"/>
      <c r="AI1826" s="7"/>
      <c r="AJ1826" s="7"/>
      <c r="AK1826" s="7"/>
      <c r="AL1826" s="7"/>
      <c r="AM1826" s="8">
        <f>SUM(AH1826:AL1826)</f>
        <v>0</v>
      </c>
      <c r="AO1826" s="6"/>
      <c r="AP1826" s="7"/>
      <c r="AQ1826" s="7"/>
      <c r="AR1826" s="7"/>
      <c r="AS1826" s="7"/>
      <c r="AT1826" s="8">
        <f>SUM(AO1826:AS1826)</f>
        <v>0</v>
      </c>
      <c r="AV1826" s="6"/>
      <c r="AW1826" s="7"/>
      <c r="AX1826" s="7"/>
      <c r="AY1826" s="7"/>
      <c r="AZ1826" s="7"/>
      <c r="BA1826" s="8">
        <f>SUM(AV1826:AZ1826)</f>
        <v>0</v>
      </c>
      <c r="BC1826" s="6"/>
      <c r="BD1826" s="7"/>
      <c r="BE1826" s="7"/>
      <c r="BF1826" s="7"/>
      <c r="BG1826" s="7"/>
      <c r="BH1826" s="8">
        <f>SUM(BC1826:BG1826)</f>
        <v>0</v>
      </c>
      <c r="BJ1826" s="6"/>
      <c r="BK1826" s="7"/>
      <c r="BL1826" s="7"/>
      <c r="BM1826" s="7"/>
      <c r="BN1826" s="7"/>
      <c r="BO1826" s="8">
        <f>SUM(BJ1826:BN1826)</f>
        <v>0</v>
      </c>
      <c r="BQ1826" s="6"/>
      <c r="BR1826" s="7"/>
      <c r="BS1826" s="7"/>
      <c r="BT1826" s="7"/>
      <c r="BU1826" s="7"/>
      <c r="BV1826" s="8">
        <f>SUM(BQ1826:BU1826)</f>
        <v>0</v>
      </c>
      <c r="BX1826" s="6"/>
      <c r="BY1826" s="7"/>
      <c r="BZ1826" s="7"/>
      <c r="CA1826" s="7"/>
      <c r="CB1826" s="7"/>
      <c r="CC1826" s="8">
        <f>SUM(BX1826:CB1826)</f>
        <v>0</v>
      </c>
      <c r="CE1826" s="493">
        <f t="shared" si="8379"/>
        <v>0</v>
      </c>
      <c r="CF1826" s="494">
        <f t="shared" si="8380"/>
        <v>0</v>
      </c>
      <c r="CG1826" s="494">
        <f t="shared" si="8381"/>
        <v>0</v>
      </c>
      <c r="CH1826" s="494">
        <f t="shared" si="8382"/>
        <v>0</v>
      </c>
      <c r="CI1826" s="494">
        <f t="shared" si="8383"/>
        <v>0</v>
      </c>
      <c r="CJ1826" s="495">
        <f>SUM(CE1826:CI1826)</f>
        <v>0</v>
      </c>
      <c r="CL1826" s="6"/>
      <c r="CM1826" s="7"/>
      <c r="CN1826" s="7"/>
      <c r="CO1826" s="7"/>
      <c r="CP1826" s="7"/>
      <c r="CQ1826" s="8">
        <f>SUM(CL1826:CP1826)</f>
        <v>0</v>
      </c>
      <c r="CS1826" s="6"/>
      <c r="CT1826" s="7"/>
      <c r="CU1826" s="7"/>
      <c r="CV1826" s="7"/>
      <c r="CW1826" s="7"/>
      <c r="CX1826" s="8">
        <f t="shared" si="8388"/>
        <v>0</v>
      </c>
      <c r="CZ1826" s="6"/>
      <c r="DA1826" s="7"/>
      <c r="DB1826" s="7"/>
      <c r="DC1826" s="7"/>
      <c r="DD1826" s="7"/>
      <c r="DE1826" s="8">
        <f t="shared" si="8389"/>
        <v>0</v>
      </c>
    </row>
    <row r="1827" spans="2:109" ht="14" thickBot="1">
      <c r="C1827" s="554"/>
      <c r="E1827" s="9"/>
      <c r="F1827" s="10">
        <f>SUM(F1823:F1826)</f>
        <v>0</v>
      </c>
      <c r="G1827" s="11">
        <f t="shared" ref="G1827:J1827" si="8390">SUM(G1823:G1826)</f>
        <v>0</v>
      </c>
      <c r="H1827" s="11">
        <f t="shared" si="8390"/>
        <v>0</v>
      </c>
      <c r="I1827" s="11">
        <f t="shared" si="8390"/>
        <v>0</v>
      </c>
      <c r="J1827" s="11">
        <f t="shared" si="8390"/>
        <v>0</v>
      </c>
      <c r="K1827" s="25">
        <f>SUM(K1823:K1826)</f>
        <v>0</v>
      </c>
      <c r="M1827" s="10">
        <f>SUM(M1823:M1826)</f>
        <v>0</v>
      </c>
      <c r="N1827" s="11">
        <f t="shared" ref="N1827:Q1827" si="8391">SUM(N1823:N1826)</f>
        <v>0</v>
      </c>
      <c r="O1827" s="11">
        <f t="shared" si="8391"/>
        <v>0</v>
      </c>
      <c r="P1827" s="11">
        <f t="shared" si="8391"/>
        <v>0</v>
      </c>
      <c r="Q1827" s="11">
        <f t="shared" si="8391"/>
        <v>0</v>
      </c>
      <c r="R1827" s="25">
        <f>SUM(R1823:R1826)</f>
        <v>0</v>
      </c>
      <c r="T1827" s="10">
        <f>SUM(T1823:T1826)</f>
        <v>0</v>
      </c>
      <c r="U1827" s="11">
        <f t="shared" ref="U1827:X1827" si="8392">SUM(U1823:U1826)</f>
        <v>0</v>
      </c>
      <c r="V1827" s="11">
        <f t="shared" si="8392"/>
        <v>0</v>
      </c>
      <c r="W1827" s="11">
        <f t="shared" si="8392"/>
        <v>0</v>
      </c>
      <c r="X1827" s="11">
        <f t="shared" si="8392"/>
        <v>0</v>
      </c>
      <c r="Y1827" s="25">
        <f>SUM(Y1823:Y1826)</f>
        <v>0</v>
      </c>
      <c r="AA1827" s="10">
        <f>SUM(AA1823:AA1826)</f>
        <v>0</v>
      </c>
      <c r="AB1827" s="11">
        <f t="shared" ref="AB1827:AE1827" si="8393">SUM(AB1823:AB1826)</f>
        <v>0</v>
      </c>
      <c r="AC1827" s="11">
        <f t="shared" si="8393"/>
        <v>0</v>
      </c>
      <c r="AD1827" s="11">
        <f t="shared" si="8393"/>
        <v>0</v>
      </c>
      <c r="AE1827" s="11">
        <f t="shared" si="8393"/>
        <v>0</v>
      </c>
      <c r="AF1827" s="25">
        <f>SUM(AF1823:AF1826)</f>
        <v>0</v>
      </c>
      <c r="AH1827" s="10">
        <f>SUM(AH1823:AH1826)</f>
        <v>0</v>
      </c>
      <c r="AI1827" s="11">
        <f t="shared" ref="AI1827:AL1827" si="8394">SUM(AI1823:AI1826)</f>
        <v>0</v>
      </c>
      <c r="AJ1827" s="11">
        <f t="shared" si="8394"/>
        <v>0</v>
      </c>
      <c r="AK1827" s="11">
        <f t="shared" si="8394"/>
        <v>0</v>
      </c>
      <c r="AL1827" s="11">
        <f t="shared" si="8394"/>
        <v>0</v>
      </c>
      <c r="AM1827" s="25">
        <f>SUM(AM1823:AM1826)</f>
        <v>0</v>
      </c>
      <c r="AO1827" s="10">
        <f>SUM(AO1823:AO1826)</f>
        <v>0</v>
      </c>
      <c r="AP1827" s="11">
        <f t="shared" ref="AP1827:AS1827" si="8395">SUM(AP1823:AP1826)</f>
        <v>0</v>
      </c>
      <c r="AQ1827" s="11">
        <f t="shared" si="8395"/>
        <v>0</v>
      </c>
      <c r="AR1827" s="11">
        <f t="shared" si="8395"/>
        <v>0</v>
      </c>
      <c r="AS1827" s="11">
        <f t="shared" si="8395"/>
        <v>0</v>
      </c>
      <c r="AT1827" s="25">
        <f>SUM(AT1823:AT1826)</f>
        <v>0</v>
      </c>
      <c r="AV1827" s="10">
        <f>SUM(AV1823:AV1826)</f>
        <v>0</v>
      </c>
      <c r="AW1827" s="11">
        <f t="shared" ref="AW1827:AZ1827" si="8396">SUM(AW1823:AW1826)</f>
        <v>0</v>
      </c>
      <c r="AX1827" s="11">
        <f t="shared" si="8396"/>
        <v>0</v>
      </c>
      <c r="AY1827" s="11">
        <f t="shared" si="8396"/>
        <v>0</v>
      </c>
      <c r="AZ1827" s="11">
        <f t="shared" si="8396"/>
        <v>0</v>
      </c>
      <c r="BA1827" s="25">
        <f>SUM(BA1823:BA1826)</f>
        <v>0</v>
      </c>
      <c r="BC1827" s="10">
        <f>SUM(BC1823:BC1826)</f>
        <v>0</v>
      </c>
      <c r="BD1827" s="11">
        <f t="shared" ref="BD1827:BG1827" si="8397">SUM(BD1823:BD1826)</f>
        <v>0</v>
      </c>
      <c r="BE1827" s="11">
        <f t="shared" si="8397"/>
        <v>0</v>
      </c>
      <c r="BF1827" s="11">
        <f t="shared" si="8397"/>
        <v>0</v>
      </c>
      <c r="BG1827" s="11">
        <f t="shared" si="8397"/>
        <v>0</v>
      </c>
      <c r="BH1827" s="25">
        <f>SUM(BH1823:BH1826)</f>
        <v>0</v>
      </c>
      <c r="BJ1827" s="10">
        <f>SUM(BJ1823:BJ1826)</f>
        <v>0</v>
      </c>
      <c r="BK1827" s="11">
        <f t="shared" ref="BK1827:BN1827" si="8398">SUM(BK1823:BK1826)</f>
        <v>0</v>
      </c>
      <c r="BL1827" s="11">
        <f t="shared" si="8398"/>
        <v>0</v>
      </c>
      <c r="BM1827" s="11">
        <f t="shared" si="8398"/>
        <v>0</v>
      </c>
      <c r="BN1827" s="11">
        <f t="shared" si="8398"/>
        <v>0</v>
      </c>
      <c r="BO1827" s="25">
        <f>SUM(BO1823:BO1826)</f>
        <v>0</v>
      </c>
      <c r="BQ1827" s="10">
        <f>SUM(BQ1823:BQ1826)</f>
        <v>0</v>
      </c>
      <c r="BR1827" s="11">
        <f t="shared" ref="BR1827:BU1827" si="8399">SUM(BR1823:BR1826)</f>
        <v>0</v>
      </c>
      <c r="BS1827" s="11">
        <f t="shared" si="8399"/>
        <v>0</v>
      </c>
      <c r="BT1827" s="11">
        <f t="shared" si="8399"/>
        <v>0</v>
      </c>
      <c r="BU1827" s="11">
        <f t="shared" si="8399"/>
        <v>0</v>
      </c>
      <c r="BV1827" s="25">
        <f>SUM(BV1823:BV1826)</f>
        <v>0</v>
      </c>
      <c r="BX1827" s="10">
        <f>SUM(BX1823:BX1826)</f>
        <v>0</v>
      </c>
      <c r="BY1827" s="11">
        <f t="shared" ref="BY1827:CB1827" si="8400">SUM(BY1823:BY1826)</f>
        <v>0</v>
      </c>
      <c r="BZ1827" s="11">
        <f t="shared" si="8400"/>
        <v>0</v>
      </c>
      <c r="CA1827" s="11">
        <f t="shared" si="8400"/>
        <v>0</v>
      </c>
      <c r="CB1827" s="11">
        <f t="shared" si="8400"/>
        <v>0</v>
      </c>
      <c r="CC1827" s="25">
        <f>SUM(CC1823:CC1826)</f>
        <v>0</v>
      </c>
      <c r="CE1827" s="62">
        <f t="shared" ref="CE1827:CJ1827" si="8401">SUM(CE1823:CE1826)</f>
        <v>0</v>
      </c>
      <c r="CF1827" s="63">
        <f t="shared" si="8401"/>
        <v>0</v>
      </c>
      <c r="CG1827" s="63">
        <f t="shared" si="8401"/>
        <v>0</v>
      </c>
      <c r="CH1827" s="63">
        <f t="shared" si="8401"/>
        <v>0</v>
      </c>
      <c r="CI1827" s="63">
        <f t="shared" si="8401"/>
        <v>0</v>
      </c>
      <c r="CJ1827" s="25">
        <f t="shared" si="8401"/>
        <v>0</v>
      </c>
      <c r="CL1827" s="10">
        <f>SUM(CL1823:CL1826)</f>
        <v>0</v>
      </c>
      <c r="CM1827" s="11">
        <f t="shared" ref="CM1827:CP1827" si="8402">SUM(CM1823:CM1826)</f>
        <v>0</v>
      </c>
      <c r="CN1827" s="11">
        <f t="shared" si="8402"/>
        <v>0</v>
      </c>
      <c r="CO1827" s="11">
        <f t="shared" si="8402"/>
        <v>0</v>
      </c>
      <c r="CP1827" s="11">
        <f t="shared" si="8402"/>
        <v>0</v>
      </c>
      <c r="CQ1827" s="25">
        <f>SUM(CQ1823:CQ1826)</f>
        <v>0</v>
      </c>
      <c r="CS1827" s="10">
        <f>SUM(CS1823:CS1826)</f>
        <v>0</v>
      </c>
      <c r="CT1827" s="11">
        <f t="shared" ref="CT1827:CW1827" si="8403">SUM(CT1823:CT1826)</f>
        <v>0</v>
      </c>
      <c r="CU1827" s="11">
        <f t="shared" si="8403"/>
        <v>0</v>
      </c>
      <c r="CV1827" s="11">
        <f t="shared" si="8403"/>
        <v>0</v>
      </c>
      <c r="CW1827" s="11">
        <f t="shared" si="8403"/>
        <v>0</v>
      </c>
      <c r="CX1827" s="25">
        <f>SUM(CX1823:CX1826)</f>
        <v>0</v>
      </c>
      <c r="CZ1827" s="10">
        <f>SUM(CZ1823:CZ1826)</f>
        <v>0</v>
      </c>
      <c r="DA1827" s="11">
        <f t="shared" ref="DA1827:DD1827" si="8404">SUM(DA1823:DA1826)</f>
        <v>0</v>
      </c>
      <c r="DB1827" s="11">
        <f t="shared" si="8404"/>
        <v>0</v>
      </c>
      <c r="DC1827" s="11">
        <f t="shared" si="8404"/>
        <v>0</v>
      </c>
      <c r="DD1827" s="11">
        <f t="shared" si="8404"/>
        <v>0</v>
      </c>
      <c r="DE1827" s="25">
        <f>SUM(DE1823:DE1826)</f>
        <v>0</v>
      </c>
    </row>
    <row r="1829" spans="2:109">
      <c r="B1829" s="123"/>
      <c r="C1829" s="20"/>
      <c r="D1829" s="20"/>
      <c r="E1829" s="20"/>
      <c r="F1829" s="20"/>
      <c r="G1829" s="20"/>
      <c r="H1829" s="20"/>
      <c r="I1829" s="20"/>
      <c r="J1829" s="20"/>
      <c r="K1829" s="20"/>
      <c r="L1829" s="20"/>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c r="BU1829" s="20"/>
      <c r="BV1829" s="20"/>
      <c r="BW1829" s="20"/>
      <c r="BX1829" s="20"/>
      <c r="BY1829" s="20"/>
      <c r="BZ1829" s="20"/>
      <c r="CA1829" s="20"/>
      <c r="CB1829" s="20"/>
      <c r="CC1829" s="20"/>
      <c r="CD1829" s="20"/>
      <c r="CE1829" s="20"/>
      <c r="CF1829" s="20"/>
      <c r="CG1829" s="20"/>
      <c r="CH1829" s="20"/>
      <c r="CI1829" s="20"/>
      <c r="CJ1829" s="20"/>
      <c r="CL1829" s="20"/>
      <c r="CM1829" s="20"/>
      <c r="CN1829" s="20"/>
      <c r="CO1829" s="20"/>
      <c r="CP1829" s="20"/>
      <c r="CQ1829" s="20"/>
      <c r="CR1829" s="20"/>
      <c r="CS1829" s="20"/>
      <c r="CT1829" s="20"/>
      <c r="CU1829" s="20"/>
      <c r="CV1829" s="20"/>
      <c r="CW1829" s="20"/>
      <c r="CX1829" s="20"/>
      <c r="CY1829" s="20"/>
      <c r="CZ1829" s="20"/>
      <c r="DA1829" s="20"/>
      <c r="DB1829" s="20"/>
      <c r="DC1829" s="20"/>
      <c r="DD1829" s="20"/>
      <c r="DE1829" s="20"/>
    </row>
    <row r="1830" spans="2:109" ht="14" thickBot="1">
      <c r="B1830" s="94">
        <v>58</v>
      </c>
      <c r="C1830" s="12" t="s">
        <v>119</v>
      </c>
    </row>
    <row r="1831" spans="2:109">
      <c r="C1831" s="553">
        <v>2024</v>
      </c>
      <c r="E1831" s="1" t="s">
        <v>59</v>
      </c>
      <c r="F1831" s="2"/>
      <c r="G1831" s="3"/>
      <c r="H1831" s="3"/>
      <c r="I1831" s="3"/>
      <c r="J1831" s="3"/>
      <c r="K1831" s="4">
        <f>SUM(F1831:J1831)</f>
        <v>0</v>
      </c>
      <c r="M1831" s="2"/>
      <c r="N1831" s="3"/>
      <c r="O1831" s="3"/>
      <c r="P1831" s="3"/>
      <c r="Q1831" s="3"/>
      <c r="R1831" s="4">
        <f>SUM(M1831:Q1831)</f>
        <v>0</v>
      </c>
      <c r="T1831" s="2"/>
      <c r="U1831" s="3"/>
      <c r="V1831" s="3"/>
      <c r="W1831" s="3"/>
      <c r="X1831" s="3"/>
      <c r="Y1831" s="4">
        <f>SUM(T1831:X1831)</f>
        <v>0</v>
      </c>
      <c r="AA1831" s="2"/>
      <c r="AB1831" s="3"/>
      <c r="AC1831" s="3"/>
      <c r="AD1831" s="3"/>
      <c r="AE1831" s="3"/>
      <c r="AF1831" s="4">
        <f>SUM(AA1831:AE1831)</f>
        <v>0</v>
      </c>
      <c r="AH1831" s="2"/>
      <c r="AI1831" s="3"/>
      <c r="AJ1831" s="3"/>
      <c r="AK1831" s="3"/>
      <c r="AL1831" s="3"/>
      <c r="AM1831" s="4">
        <f>SUM(AH1831:AL1831)</f>
        <v>0</v>
      </c>
      <c r="AO1831" s="2"/>
      <c r="AP1831" s="3"/>
      <c r="AQ1831" s="3"/>
      <c r="AR1831" s="3"/>
      <c r="AS1831" s="3"/>
      <c r="AT1831" s="4">
        <f>SUM(AO1831:AS1831)</f>
        <v>0</v>
      </c>
      <c r="AV1831" s="2"/>
      <c r="AW1831" s="3"/>
      <c r="AX1831" s="3"/>
      <c r="AY1831" s="3"/>
      <c r="AZ1831" s="3"/>
      <c r="BA1831" s="4">
        <f>SUM(AV1831:AZ1831)</f>
        <v>0</v>
      </c>
      <c r="BC1831" s="2"/>
      <c r="BD1831" s="3"/>
      <c r="BE1831" s="3"/>
      <c r="BF1831" s="3"/>
      <c r="BG1831" s="3"/>
      <c r="BH1831" s="4">
        <f>SUM(BC1831:BG1831)</f>
        <v>0</v>
      </c>
      <c r="BJ1831" s="2"/>
      <c r="BK1831" s="3"/>
      <c r="BL1831" s="3"/>
      <c r="BM1831" s="3"/>
      <c r="BN1831" s="3"/>
      <c r="BO1831" s="4">
        <f>SUM(BJ1831:BN1831)</f>
        <v>0</v>
      </c>
      <c r="BQ1831" s="2"/>
      <c r="BR1831" s="3"/>
      <c r="BS1831" s="3"/>
      <c r="BT1831" s="3"/>
      <c r="BU1831" s="3"/>
      <c r="BV1831" s="4">
        <f>SUM(BQ1831:BU1831)</f>
        <v>0</v>
      </c>
      <c r="BX1831" s="2"/>
      <c r="BY1831" s="3"/>
      <c r="BZ1831" s="3"/>
      <c r="CA1831" s="3"/>
      <c r="CB1831" s="3"/>
      <c r="CC1831" s="4">
        <f>SUM(BX1831:CB1831)</f>
        <v>0</v>
      </c>
      <c r="CE1831" s="26">
        <f t="shared" ref="CE1831:CE1834" si="8405">F1831+M1831+T1831+AA1831+AH1831+AO1831+AV1831+BC1831+BJ1831+BQ1831+BX1831</f>
        <v>0</v>
      </c>
      <c r="CF1831" s="27">
        <f t="shared" ref="CF1831:CF1834" si="8406">G1831+N1831+U1831+AB1831+AI1831+AP1831+AW1831+BD1831+BK1831+BR1831+BY1831</f>
        <v>0</v>
      </c>
      <c r="CG1831" s="27">
        <f t="shared" ref="CG1831:CG1834" si="8407">H1831+O1831+V1831+AC1831+AJ1831+AQ1831+AX1831+BE1831+BL1831+BS1831+BZ1831</f>
        <v>0</v>
      </c>
      <c r="CH1831" s="27">
        <f t="shared" ref="CH1831:CH1834" si="8408">I1831+P1831+W1831+AD1831+AK1831+AR1831+AY1831+BF1831+BM1831+BT1831+CA1831</f>
        <v>0</v>
      </c>
      <c r="CI1831" s="27">
        <f t="shared" ref="CI1831:CI1834" si="8409">J1831+Q1831+X1831+AE1831+AL1831+AS1831+AZ1831+BG1831+BN1831+BU1831+CB1831</f>
        <v>0</v>
      </c>
      <c r="CJ1831" s="4">
        <f>SUM(CE1831:CI1831)</f>
        <v>0</v>
      </c>
      <c r="CL1831" s="2"/>
      <c r="CM1831" s="3"/>
      <c r="CN1831" s="3"/>
      <c r="CO1831" s="3"/>
      <c r="CP1831" s="3"/>
      <c r="CQ1831" s="4">
        <f>SUM(CL1831:CP1831)</f>
        <v>0</v>
      </c>
      <c r="CS1831" s="2"/>
      <c r="CT1831" s="3"/>
      <c r="CU1831" s="3"/>
      <c r="CV1831" s="3"/>
      <c r="CW1831" s="3"/>
      <c r="CX1831" s="4">
        <f>SUM(CS1831:CW1831)</f>
        <v>0</v>
      </c>
      <c r="CZ1831" s="2"/>
      <c r="DA1831" s="3"/>
      <c r="DB1831" s="3"/>
      <c r="DC1831" s="3"/>
      <c r="DD1831" s="3"/>
      <c r="DE1831" s="4">
        <f>SUM(CZ1831:DD1831)</f>
        <v>0</v>
      </c>
    </row>
    <row r="1832" spans="2:109">
      <c r="C1832" s="567"/>
      <c r="E1832" s="5" t="s">
        <v>60</v>
      </c>
      <c r="F1832" s="6"/>
      <c r="G1832" s="7"/>
      <c r="H1832" s="7"/>
      <c r="I1832" s="7"/>
      <c r="J1832" s="7"/>
      <c r="K1832" s="8">
        <f t="shared" ref="K1832:K1834" si="8410">SUM(F1832:J1832)</f>
        <v>0</v>
      </c>
      <c r="M1832" s="6"/>
      <c r="N1832" s="7"/>
      <c r="O1832" s="7"/>
      <c r="P1832" s="7"/>
      <c r="Q1832" s="7"/>
      <c r="R1832" s="8">
        <f t="shared" ref="R1832:R1834" si="8411">SUM(M1832:Q1832)</f>
        <v>0</v>
      </c>
      <c r="T1832" s="6"/>
      <c r="U1832" s="7"/>
      <c r="V1832" s="7"/>
      <c r="W1832" s="7"/>
      <c r="X1832" s="7"/>
      <c r="Y1832" s="8">
        <f t="shared" ref="Y1832:Y1834" si="8412">SUM(T1832:X1832)</f>
        <v>0</v>
      </c>
      <c r="AA1832" s="6"/>
      <c r="AB1832" s="7"/>
      <c r="AC1832" s="7"/>
      <c r="AD1832" s="7"/>
      <c r="AE1832" s="7"/>
      <c r="AF1832" s="8">
        <f>SUM(AA1832:AE1832)</f>
        <v>0</v>
      </c>
      <c r="AH1832" s="6"/>
      <c r="AI1832" s="7"/>
      <c r="AJ1832" s="7"/>
      <c r="AK1832" s="7"/>
      <c r="AL1832" s="7"/>
      <c r="AM1832" s="8">
        <f>SUM(AH1832:AL1832)</f>
        <v>0</v>
      </c>
      <c r="AO1832" s="6"/>
      <c r="AP1832" s="7"/>
      <c r="AQ1832" s="7"/>
      <c r="AR1832" s="7"/>
      <c r="AS1832" s="7"/>
      <c r="AT1832" s="8">
        <f>SUM(AO1832:AS1832)</f>
        <v>0</v>
      </c>
      <c r="AV1832" s="6"/>
      <c r="AW1832" s="7"/>
      <c r="AX1832" s="7"/>
      <c r="AY1832" s="7"/>
      <c r="AZ1832" s="7"/>
      <c r="BA1832" s="8">
        <f>SUM(AV1832:AZ1832)</f>
        <v>0</v>
      </c>
      <c r="BC1832" s="6"/>
      <c r="BD1832" s="7"/>
      <c r="BE1832" s="7"/>
      <c r="BF1832" s="7"/>
      <c r="BG1832" s="7"/>
      <c r="BH1832" s="8">
        <f>SUM(BC1832:BG1832)</f>
        <v>0</v>
      </c>
      <c r="BJ1832" s="6"/>
      <c r="BK1832" s="7"/>
      <c r="BL1832" s="7"/>
      <c r="BM1832" s="7"/>
      <c r="BN1832" s="7"/>
      <c r="BO1832" s="8">
        <f>SUM(BJ1832:BN1832)</f>
        <v>0</v>
      </c>
      <c r="BQ1832" s="6"/>
      <c r="BR1832" s="7"/>
      <c r="BS1832" s="7"/>
      <c r="BT1832" s="7"/>
      <c r="BU1832" s="7"/>
      <c r="BV1832" s="8">
        <f>SUM(BQ1832:BU1832)</f>
        <v>0</v>
      </c>
      <c r="BX1832" s="6"/>
      <c r="BY1832" s="7"/>
      <c r="BZ1832" s="7"/>
      <c r="CA1832" s="7"/>
      <c r="CB1832" s="7"/>
      <c r="CC1832" s="8">
        <f>SUM(BX1832:CB1832)</f>
        <v>0</v>
      </c>
      <c r="CE1832" s="28">
        <f t="shared" si="8405"/>
        <v>0</v>
      </c>
      <c r="CF1832" s="29">
        <f t="shared" si="8406"/>
        <v>0</v>
      </c>
      <c r="CG1832" s="29">
        <f t="shared" si="8407"/>
        <v>0</v>
      </c>
      <c r="CH1832" s="29">
        <f t="shared" si="8408"/>
        <v>0</v>
      </c>
      <c r="CI1832" s="29">
        <f t="shared" si="8409"/>
        <v>0</v>
      </c>
      <c r="CJ1832" s="8">
        <f>SUM(CE1832:CI1832)</f>
        <v>0</v>
      </c>
      <c r="CL1832" s="6"/>
      <c r="CM1832" s="7"/>
      <c r="CN1832" s="7"/>
      <c r="CO1832" s="7"/>
      <c r="CP1832" s="7"/>
      <c r="CQ1832" s="8">
        <f>SUM(CL1832:CP1832)</f>
        <v>0</v>
      </c>
      <c r="CS1832" s="6"/>
      <c r="CT1832" s="7"/>
      <c r="CU1832" s="7"/>
      <c r="CV1832" s="7"/>
      <c r="CW1832" s="7"/>
      <c r="CX1832" s="8">
        <f t="shared" ref="CX1832:CX1834" si="8413">SUM(CS1832:CW1832)</f>
        <v>0</v>
      </c>
      <c r="CZ1832" s="6"/>
      <c r="DA1832" s="7"/>
      <c r="DB1832" s="7"/>
      <c r="DC1832" s="7"/>
      <c r="DD1832" s="7"/>
      <c r="DE1832" s="8">
        <f t="shared" ref="DE1832:DE1834" si="8414">SUM(CZ1832:DD1832)</f>
        <v>0</v>
      </c>
    </row>
    <row r="1833" spans="2:109">
      <c r="C1833" s="567"/>
      <c r="E1833" s="5" t="s">
        <v>61</v>
      </c>
      <c r="F1833" s="6"/>
      <c r="G1833" s="7"/>
      <c r="H1833" s="7"/>
      <c r="I1833" s="7"/>
      <c r="J1833" s="7"/>
      <c r="K1833" s="8">
        <f t="shared" si="8410"/>
        <v>0</v>
      </c>
      <c r="M1833" s="6"/>
      <c r="N1833" s="7"/>
      <c r="O1833" s="7"/>
      <c r="P1833" s="7"/>
      <c r="Q1833" s="7"/>
      <c r="R1833" s="8">
        <f t="shared" si="8411"/>
        <v>0</v>
      </c>
      <c r="T1833" s="6"/>
      <c r="U1833" s="7"/>
      <c r="V1833" s="7"/>
      <c r="W1833" s="7"/>
      <c r="X1833" s="7"/>
      <c r="Y1833" s="8">
        <f t="shared" si="8412"/>
        <v>0</v>
      </c>
      <c r="AA1833" s="6"/>
      <c r="AB1833" s="7"/>
      <c r="AC1833" s="7"/>
      <c r="AD1833" s="7"/>
      <c r="AE1833" s="7"/>
      <c r="AF1833" s="8">
        <f>SUM(AA1833:AE1833)</f>
        <v>0</v>
      </c>
      <c r="AH1833" s="6"/>
      <c r="AI1833" s="7"/>
      <c r="AJ1833" s="7"/>
      <c r="AK1833" s="7"/>
      <c r="AL1833" s="7"/>
      <c r="AM1833" s="8">
        <f>SUM(AH1833:AL1833)</f>
        <v>0</v>
      </c>
      <c r="AO1833" s="6"/>
      <c r="AP1833" s="7"/>
      <c r="AQ1833" s="7"/>
      <c r="AR1833" s="7"/>
      <c r="AS1833" s="7"/>
      <c r="AT1833" s="8">
        <f>SUM(AO1833:AS1833)</f>
        <v>0</v>
      </c>
      <c r="AV1833" s="6"/>
      <c r="AW1833" s="7"/>
      <c r="AX1833" s="7"/>
      <c r="AY1833" s="7"/>
      <c r="AZ1833" s="7"/>
      <c r="BA1833" s="8">
        <f>SUM(AV1833:AZ1833)</f>
        <v>0</v>
      </c>
      <c r="BC1833" s="6"/>
      <c r="BD1833" s="7"/>
      <c r="BE1833" s="7"/>
      <c r="BF1833" s="7"/>
      <c r="BG1833" s="7"/>
      <c r="BH1833" s="8">
        <f>SUM(BC1833:BG1833)</f>
        <v>0</v>
      </c>
      <c r="BJ1833" s="6"/>
      <c r="BK1833" s="7"/>
      <c r="BL1833" s="7"/>
      <c r="BM1833" s="7"/>
      <c r="BN1833" s="7"/>
      <c r="BO1833" s="8">
        <f>SUM(BJ1833:BN1833)</f>
        <v>0</v>
      </c>
      <c r="BQ1833" s="6"/>
      <c r="BR1833" s="7"/>
      <c r="BS1833" s="7"/>
      <c r="BT1833" s="7"/>
      <c r="BU1833" s="7"/>
      <c r="BV1833" s="8">
        <f>SUM(BQ1833:BU1833)</f>
        <v>0</v>
      </c>
      <c r="BX1833" s="6"/>
      <c r="BY1833" s="7"/>
      <c r="BZ1833" s="7"/>
      <c r="CA1833" s="7"/>
      <c r="CB1833" s="7"/>
      <c r="CC1833" s="8">
        <f>SUM(BX1833:CB1833)</f>
        <v>0</v>
      </c>
      <c r="CE1833" s="28">
        <f t="shared" si="8405"/>
        <v>0</v>
      </c>
      <c r="CF1833" s="29">
        <f t="shared" si="8406"/>
        <v>0</v>
      </c>
      <c r="CG1833" s="29">
        <f t="shared" si="8407"/>
        <v>0</v>
      </c>
      <c r="CH1833" s="29">
        <f t="shared" si="8408"/>
        <v>0</v>
      </c>
      <c r="CI1833" s="29">
        <f t="shared" si="8409"/>
        <v>0</v>
      </c>
      <c r="CJ1833" s="8">
        <f>SUM(CE1833:CI1833)</f>
        <v>0</v>
      </c>
      <c r="CL1833" s="6"/>
      <c r="CM1833" s="7"/>
      <c r="CN1833" s="7"/>
      <c r="CO1833" s="7"/>
      <c r="CP1833" s="7"/>
      <c r="CQ1833" s="8">
        <f>SUM(CL1833:CP1833)</f>
        <v>0</v>
      </c>
      <c r="CS1833" s="6"/>
      <c r="CT1833" s="7"/>
      <c r="CU1833" s="7"/>
      <c r="CV1833" s="7"/>
      <c r="CW1833" s="7"/>
      <c r="CX1833" s="8">
        <f t="shared" si="8413"/>
        <v>0</v>
      </c>
      <c r="CZ1833" s="6"/>
      <c r="DA1833" s="7"/>
      <c r="DB1833" s="7"/>
      <c r="DC1833" s="7"/>
      <c r="DD1833" s="7"/>
      <c r="DE1833" s="8">
        <f t="shared" si="8414"/>
        <v>0</v>
      </c>
    </row>
    <row r="1834" spans="2:109" ht="14" thickBot="1">
      <c r="C1834" s="567"/>
      <c r="E1834" s="5" t="s">
        <v>62</v>
      </c>
      <c r="F1834" s="6"/>
      <c r="G1834" s="7"/>
      <c r="H1834" s="7"/>
      <c r="I1834" s="7"/>
      <c r="J1834" s="7"/>
      <c r="K1834" s="8">
        <f t="shared" si="8410"/>
        <v>0</v>
      </c>
      <c r="M1834" s="6"/>
      <c r="N1834" s="7"/>
      <c r="O1834" s="7"/>
      <c r="P1834" s="7"/>
      <c r="Q1834" s="7"/>
      <c r="R1834" s="8">
        <f t="shared" si="8411"/>
        <v>0</v>
      </c>
      <c r="T1834" s="6"/>
      <c r="U1834" s="7"/>
      <c r="V1834" s="7"/>
      <c r="W1834" s="7"/>
      <c r="X1834" s="7"/>
      <c r="Y1834" s="8">
        <f t="shared" si="8412"/>
        <v>0</v>
      </c>
      <c r="AA1834" s="6"/>
      <c r="AB1834" s="7"/>
      <c r="AC1834" s="7"/>
      <c r="AD1834" s="7"/>
      <c r="AE1834" s="7"/>
      <c r="AF1834" s="8">
        <f>SUM(AA1834:AE1834)</f>
        <v>0</v>
      </c>
      <c r="AH1834" s="6"/>
      <c r="AI1834" s="7"/>
      <c r="AJ1834" s="7"/>
      <c r="AK1834" s="7"/>
      <c r="AL1834" s="7"/>
      <c r="AM1834" s="8">
        <f>SUM(AH1834:AL1834)</f>
        <v>0</v>
      </c>
      <c r="AO1834" s="6"/>
      <c r="AP1834" s="7"/>
      <c r="AQ1834" s="7"/>
      <c r="AR1834" s="7"/>
      <c r="AS1834" s="7"/>
      <c r="AT1834" s="8">
        <f>SUM(AO1834:AS1834)</f>
        <v>0</v>
      </c>
      <c r="AV1834" s="6"/>
      <c r="AW1834" s="7"/>
      <c r="AX1834" s="7"/>
      <c r="AY1834" s="7"/>
      <c r="AZ1834" s="7"/>
      <c r="BA1834" s="8">
        <f>SUM(AV1834:AZ1834)</f>
        <v>0</v>
      </c>
      <c r="BC1834" s="6"/>
      <c r="BD1834" s="7"/>
      <c r="BE1834" s="7"/>
      <c r="BF1834" s="7"/>
      <c r="BG1834" s="7"/>
      <c r="BH1834" s="8">
        <f>SUM(BC1834:BG1834)</f>
        <v>0</v>
      </c>
      <c r="BJ1834" s="6"/>
      <c r="BK1834" s="7"/>
      <c r="BL1834" s="7"/>
      <c r="BM1834" s="7"/>
      <c r="BN1834" s="7"/>
      <c r="BO1834" s="8">
        <f>SUM(BJ1834:BN1834)</f>
        <v>0</v>
      </c>
      <c r="BQ1834" s="6"/>
      <c r="BR1834" s="7"/>
      <c r="BS1834" s="7"/>
      <c r="BT1834" s="7"/>
      <c r="BU1834" s="7"/>
      <c r="BV1834" s="8">
        <f>SUM(BQ1834:BU1834)</f>
        <v>0</v>
      </c>
      <c r="BX1834" s="6"/>
      <c r="BY1834" s="7"/>
      <c r="BZ1834" s="7"/>
      <c r="CA1834" s="7"/>
      <c r="CB1834" s="7"/>
      <c r="CC1834" s="8">
        <f>SUM(BX1834:CB1834)</f>
        <v>0</v>
      </c>
      <c r="CE1834" s="493">
        <f t="shared" si="8405"/>
        <v>0</v>
      </c>
      <c r="CF1834" s="494">
        <f t="shared" si="8406"/>
        <v>0</v>
      </c>
      <c r="CG1834" s="494">
        <f t="shared" si="8407"/>
        <v>0</v>
      </c>
      <c r="CH1834" s="494">
        <f t="shared" si="8408"/>
        <v>0</v>
      </c>
      <c r="CI1834" s="494">
        <f t="shared" si="8409"/>
        <v>0</v>
      </c>
      <c r="CJ1834" s="495">
        <f>SUM(CE1834:CI1834)</f>
        <v>0</v>
      </c>
      <c r="CL1834" s="6"/>
      <c r="CM1834" s="7"/>
      <c r="CN1834" s="7"/>
      <c r="CO1834" s="7"/>
      <c r="CP1834" s="7"/>
      <c r="CQ1834" s="8">
        <f>SUM(CL1834:CP1834)</f>
        <v>0</v>
      </c>
      <c r="CS1834" s="6"/>
      <c r="CT1834" s="7"/>
      <c r="CU1834" s="7"/>
      <c r="CV1834" s="7"/>
      <c r="CW1834" s="7"/>
      <c r="CX1834" s="8">
        <f t="shared" si="8413"/>
        <v>0</v>
      </c>
      <c r="CZ1834" s="6"/>
      <c r="DA1834" s="7"/>
      <c r="DB1834" s="7"/>
      <c r="DC1834" s="7"/>
      <c r="DD1834" s="7"/>
      <c r="DE1834" s="8">
        <f t="shared" si="8414"/>
        <v>0</v>
      </c>
    </row>
    <row r="1835" spans="2:109" ht="14" thickBot="1">
      <c r="C1835" s="554"/>
      <c r="E1835" s="9"/>
      <c r="F1835" s="10">
        <f>SUM(F1831:F1834)</f>
        <v>0</v>
      </c>
      <c r="G1835" s="11">
        <f t="shared" ref="G1835:J1835" si="8415">SUM(G1831:G1834)</f>
        <v>0</v>
      </c>
      <c r="H1835" s="11">
        <f t="shared" si="8415"/>
        <v>0</v>
      </c>
      <c r="I1835" s="11">
        <f t="shared" si="8415"/>
        <v>0</v>
      </c>
      <c r="J1835" s="61">
        <f t="shared" si="8415"/>
        <v>0</v>
      </c>
      <c r="K1835" s="25">
        <f>SUM(K1831:K1834)</f>
        <v>0</v>
      </c>
      <c r="M1835" s="10">
        <f>SUM(M1831:M1834)</f>
        <v>0</v>
      </c>
      <c r="N1835" s="11">
        <f t="shared" ref="N1835:Q1835" si="8416">SUM(N1831:N1834)</f>
        <v>0</v>
      </c>
      <c r="O1835" s="11">
        <f t="shared" si="8416"/>
        <v>0</v>
      </c>
      <c r="P1835" s="11">
        <f t="shared" si="8416"/>
        <v>0</v>
      </c>
      <c r="Q1835" s="11">
        <f t="shared" si="8416"/>
        <v>0</v>
      </c>
      <c r="R1835" s="25">
        <f>SUM(R1831:R1834)</f>
        <v>0</v>
      </c>
      <c r="T1835" s="10">
        <f>SUM(T1831:T1834)</f>
        <v>0</v>
      </c>
      <c r="U1835" s="11">
        <f t="shared" ref="U1835:X1835" si="8417">SUM(U1831:U1834)</f>
        <v>0</v>
      </c>
      <c r="V1835" s="11">
        <f t="shared" si="8417"/>
        <v>0</v>
      </c>
      <c r="W1835" s="11">
        <f t="shared" si="8417"/>
        <v>0</v>
      </c>
      <c r="X1835" s="11">
        <f t="shared" si="8417"/>
        <v>0</v>
      </c>
      <c r="Y1835" s="25">
        <f>SUM(Y1831:Y1834)</f>
        <v>0</v>
      </c>
      <c r="AA1835" s="10">
        <f>SUM(AA1831:AA1834)</f>
        <v>0</v>
      </c>
      <c r="AB1835" s="11">
        <f t="shared" ref="AB1835:AE1835" si="8418">SUM(AB1831:AB1834)</f>
        <v>0</v>
      </c>
      <c r="AC1835" s="11">
        <f t="shared" si="8418"/>
        <v>0</v>
      </c>
      <c r="AD1835" s="11">
        <f t="shared" si="8418"/>
        <v>0</v>
      </c>
      <c r="AE1835" s="11">
        <f t="shared" si="8418"/>
        <v>0</v>
      </c>
      <c r="AF1835" s="25">
        <f>SUM(AF1831:AF1834)</f>
        <v>0</v>
      </c>
      <c r="AH1835" s="10">
        <f>SUM(AH1831:AH1834)</f>
        <v>0</v>
      </c>
      <c r="AI1835" s="11">
        <f t="shared" ref="AI1835:AL1835" si="8419">SUM(AI1831:AI1834)</f>
        <v>0</v>
      </c>
      <c r="AJ1835" s="11">
        <f t="shared" si="8419"/>
        <v>0</v>
      </c>
      <c r="AK1835" s="11">
        <f t="shared" si="8419"/>
        <v>0</v>
      </c>
      <c r="AL1835" s="11">
        <f t="shared" si="8419"/>
        <v>0</v>
      </c>
      <c r="AM1835" s="25">
        <f>SUM(AM1831:AM1834)</f>
        <v>0</v>
      </c>
      <c r="AO1835" s="10">
        <f>SUM(AO1831:AO1834)</f>
        <v>0</v>
      </c>
      <c r="AP1835" s="11">
        <f t="shared" ref="AP1835:AS1835" si="8420">SUM(AP1831:AP1834)</f>
        <v>0</v>
      </c>
      <c r="AQ1835" s="11">
        <f t="shared" si="8420"/>
        <v>0</v>
      </c>
      <c r="AR1835" s="11">
        <f t="shared" si="8420"/>
        <v>0</v>
      </c>
      <c r="AS1835" s="11">
        <f t="shared" si="8420"/>
        <v>0</v>
      </c>
      <c r="AT1835" s="25">
        <f>SUM(AT1831:AT1834)</f>
        <v>0</v>
      </c>
      <c r="AV1835" s="10">
        <f>SUM(AV1831:AV1834)</f>
        <v>0</v>
      </c>
      <c r="AW1835" s="11">
        <f t="shared" ref="AW1835:AZ1835" si="8421">SUM(AW1831:AW1834)</f>
        <v>0</v>
      </c>
      <c r="AX1835" s="11">
        <f t="shared" si="8421"/>
        <v>0</v>
      </c>
      <c r="AY1835" s="11">
        <f t="shared" si="8421"/>
        <v>0</v>
      </c>
      <c r="AZ1835" s="11">
        <f t="shared" si="8421"/>
        <v>0</v>
      </c>
      <c r="BA1835" s="25">
        <f>SUM(BA1831:BA1834)</f>
        <v>0</v>
      </c>
      <c r="BC1835" s="10">
        <f>SUM(BC1831:BC1834)</f>
        <v>0</v>
      </c>
      <c r="BD1835" s="11">
        <f t="shared" ref="BD1835:BG1835" si="8422">SUM(BD1831:BD1834)</f>
        <v>0</v>
      </c>
      <c r="BE1835" s="11">
        <f t="shared" si="8422"/>
        <v>0</v>
      </c>
      <c r="BF1835" s="11">
        <f t="shared" si="8422"/>
        <v>0</v>
      </c>
      <c r="BG1835" s="11">
        <f t="shared" si="8422"/>
        <v>0</v>
      </c>
      <c r="BH1835" s="25">
        <f>SUM(BH1831:BH1834)</f>
        <v>0</v>
      </c>
      <c r="BJ1835" s="10">
        <f>SUM(BJ1831:BJ1834)</f>
        <v>0</v>
      </c>
      <c r="BK1835" s="11">
        <f t="shared" ref="BK1835:BN1835" si="8423">SUM(BK1831:BK1834)</f>
        <v>0</v>
      </c>
      <c r="BL1835" s="11">
        <f t="shared" si="8423"/>
        <v>0</v>
      </c>
      <c r="BM1835" s="11">
        <f t="shared" si="8423"/>
        <v>0</v>
      </c>
      <c r="BN1835" s="11">
        <f t="shared" si="8423"/>
        <v>0</v>
      </c>
      <c r="BO1835" s="25">
        <f>SUM(BO1831:BO1834)</f>
        <v>0</v>
      </c>
      <c r="BQ1835" s="10">
        <f>SUM(BQ1831:BQ1834)</f>
        <v>0</v>
      </c>
      <c r="BR1835" s="11">
        <f t="shared" ref="BR1835:BU1835" si="8424">SUM(BR1831:BR1834)</f>
        <v>0</v>
      </c>
      <c r="BS1835" s="11">
        <f t="shared" si="8424"/>
        <v>0</v>
      </c>
      <c r="BT1835" s="11">
        <f t="shared" si="8424"/>
        <v>0</v>
      </c>
      <c r="BU1835" s="11">
        <f t="shared" si="8424"/>
        <v>0</v>
      </c>
      <c r="BV1835" s="25">
        <f>SUM(BV1831:BV1834)</f>
        <v>0</v>
      </c>
      <c r="BX1835" s="10">
        <f>SUM(BX1831:BX1834)</f>
        <v>0</v>
      </c>
      <c r="BY1835" s="11">
        <f t="shared" ref="BY1835:CB1835" si="8425">SUM(BY1831:BY1834)</f>
        <v>0</v>
      </c>
      <c r="BZ1835" s="11">
        <f t="shared" si="8425"/>
        <v>0</v>
      </c>
      <c r="CA1835" s="11">
        <f t="shared" si="8425"/>
        <v>0</v>
      </c>
      <c r="CB1835" s="11">
        <f t="shared" si="8425"/>
        <v>0</v>
      </c>
      <c r="CC1835" s="25">
        <f>SUM(CC1831:CC1834)</f>
        <v>0</v>
      </c>
      <c r="CE1835" s="62">
        <f t="shared" ref="CE1835:CJ1835" si="8426">SUM(CE1831:CE1834)</f>
        <v>0</v>
      </c>
      <c r="CF1835" s="63">
        <f t="shared" si="8426"/>
        <v>0</v>
      </c>
      <c r="CG1835" s="63">
        <f t="shared" si="8426"/>
        <v>0</v>
      </c>
      <c r="CH1835" s="63">
        <f t="shared" si="8426"/>
        <v>0</v>
      </c>
      <c r="CI1835" s="63">
        <f t="shared" si="8426"/>
        <v>0</v>
      </c>
      <c r="CJ1835" s="25">
        <f t="shared" si="8426"/>
        <v>0</v>
      </c>
      <c r="CL1835" s="10">
        <f>SUM(CL1831:CL1834)</f>
        <v>0</v>
      </c>
      <c r="CM1835" s="11">
        <f t="shared" ref="CM1835:CP1835" si="8427">SUM(CM1831:CM1834)</f>
        <v>0</v>
      </c>
      <c r="CN1835" s="11">
        <f t="shared" si="8427"/>
        <v>0</v>
      </c>
      <c r="CO1835" s="11">
        <f t="shared" si="8427"/>
        <v>0</v>
      </c>
      <c r="CP1835" s="11">
        <f t="shared" si="8427"/>
        <v>0</v>
      </c>
      <c r="CQ1835" s="25">
        <f>SUM(CQ1831:CQ1834)</f>
        <v>0</v>
      </c>
      <c r="CS1835" s="10">
        <f>SUM(CS1831:CS1834)</f>
        <v>0</v>
      </c>
      <c r="CT1835" s="11">
        <f t="shared" ref="CT1835:CW1835" si="8428">SUM(CT1831:CT1834)</f>
        <v>0</v>
      </c>
      <c r="CU1835" s="11">
        <f t="shared" si="8428"/>
        <v>0</v>
      </c>
      <c r="CV1835" s="11">
        <f t="shared" si="8428"/>
        <v>0</v>
      </c>
      <c r="CW1835" s="11">
        <f t="shared" si="8428"/>
        <v>0</v>
      </c>
      <c r="CX1835" s="25">
        <f>SUM(CX1831:CX1834)</f>
        <v>0</v>
      </c>
      <c r="CZ1835" s="10">
        <f>SUM(CZ1831:CZ1834)</f>
        <v>0</v>
      </c>
      <c r="DA1835" s="11">
        <f t="shared" ref="DA1835:DD1835" si="8429">SUM(DA1831:DA1834)</f>
        <v>0</v>
      </c>
      <c r="DB1835" s="11">
        <f t="shared" si="8429"/>
        <v>0</v>
      </c>
      <c r="DC1835" s="11">
        <f t="shared" si="8429"/>
        <v>0</v>
      </c>
      <c r="DD1835" s="11">
        <f t="shared" si="8429"/>
        <v>0</v>
      </c>
      <c r="DE1835" s="25">
        <f>SUM(DE1831:DE1834)</f>
        <v>0</v>
      </c>
    </row>
    <row r="1836" spans="2:109" ht="10.4" customHeight="1" thickBot="1"/>
    <row r="1837" spans="2:109">
      <c r="C1837" s="553">
        <v>2025</v>
      </c>
      <c r="E1837" s="13" t="s">
        <v>59</v>
      </c>
      <c r="F1837" s="21">
        <f>CE1831</f>
        <v>0</v>
      </c>
      <c r="G1837" s="22">
        <f t="shared" ref="G1837:G1840" si="8430">CF1831</f>
        <v>0</v>
      </c>
      <c r="H1837" s="22">
        <f t="shared" ref="H1837:H1840" si="8431">CG1831</f>
        <v>0</v>
      </c>
      <c r="I1837" s="22">
        <f t="shared" ref="I1837:I1840" si="8432">CH1831</f>
        <v>0</v>
      </c>
      <c r="J1837" s="22">
        <f t="shared" ref="J1837:J1840" si="8433">CI1831</f>
        <v>0</v>
      </c>
      <c r="K1837" s="15">
        <f>SUM(F1837:J1837)</f>
        <v>0</v>
      </c>
      <c r="M1837" s="2"/>
      <c r="N1837" s="3"/>
      <c r="O1837" s="3"/>
      <c r="P1837" s="3"/>
      <c r="Q1837" s="3"/>
      <c r="R1837" s="15">
        <f>SUM(M1837:Q1837)</f>
        <v>0</v>
      </c>
      <c r="T1837" s="2"/>
      <c r="U1837" s="3"/>
      <c r="V1837" s="3"/>
      <c r="W1837" s="3"/>
      <c r="X1837" s="3"/>
      <c r="Y1837" s="15">
        <f>SUM(T1837:X1837)</f>
        <v>0</v>
      </c>
      <c r="AA1837" s="2"/>
      <c r="AB1837" s="3"/>
      <c r="AC1837" s="3"/>
      <c r="AD1837" s="3"/>
      <c r="AE1837" s="3"/>
      <c r="AF1837" s="15">
        <f>SUM(AA1837:AE1837)</f>
        <v>0</v>
      </c>
      <c r="AH1837" s="2"/>
      <c r="AI1837" s="3"/>
      <c r="AJ1837" s="3"/>
      <c r="AK1837" s="3"/>
      <c r="AL1837" s="3"/>
      <c r="AM1837" s="15">
        <f>SUM(AH1837:AL1837)</f>
        <v>0</v>
      </c>
      <c r="AO1837" s="2"/>
      <c r="AP1837" s="3"/>
      <c r="AQ1837" s="3"/>
      <c r="AR1837" s="3"/>
      <c r="AS1837" s="3"/>
      <c r="AT1837" s="15">
        <f>SUM(AO1837:AS1837)</f>
        <v>0</v>
      </c>
      <c r="AV1837" s="2"/>
      <c r="AW1837" s="3"/>
      <c r="AX1837" s="3"/>
      <c r="AY1837" s="3"/>
      <c r="AZ1837" s="3"/>
      <c r="BA1837" s="15">
        <f>SUM(AV1837:AZ1837)</f>
        <v>0</v>
      </c>
      <c r="BC1837" s="2"/>
      <c r="BD1837" s="3"/>
      <c r="BE1837" s="3"/>
      <c r="BF1837" s="3"/>
      <c r="BG1837" s="3"/>
      <c r="BH1837" s="15">
        <f>SUM(BC1837:BG1837)</f>
        <v>0</v>
      </c>
      <c r="BJ1837" s="2"/>
      <c r="BK1837" s="3"/>
      <c r="BL1837" s="3"/>
      <c r="BM1837" s="3"/>
      <c r="BN1837" s="3"/>
      <c r="BO1837" s="15">
        <f>SUM(BJ1837:BN1837)</f>
        <v>0</v>
      </c>
      <c r="BQ1837" s="2"/>
      <c r="BR1837" s="3"/>
      <c r="BS1837" s="3"/>
      <c r="BT1837" s="3"/>
      <c r="BU1837" s="3"/>
      <c r="BV1837" s="15">
        <f>SUM(BQ1837:BU1837)</f>
        <v>0</v>
      </c>
      <c r="BX1837" s="2"/>
      <c r="BY1837" s="3"/>
      <c r="BZ1837" s="3"/>
      <c r="CA1837" s="3"/>
      <c r="CB1837" s="3"/>
      <c r="CC1837" s="15">
        <f>SUM(BX1837:CB1837)</f>
        <v>0</v>
      </c>
      <c r="CE1837" s="26">
        <f t="shared" ref="CE1837:CE1840" si="8434">F1837+M1837+T1837+AA1837+AH1837+AO1837+AV1837+BC1837+BJ1837+BQ1837+BX1837</f>
        <v>0</v>
      </c>
      <c r="CF1837" s="27">
        <f t="shared" ref="CF1837:CF1840" si="8435">G1837+N1837+U1837+AB1837+AI1837+AP1837+AW1837+BD1837+BK1837+BR1837+BY1837</f>
        <v>0</v>
      </c>
      <c r="CG1837" s="27">
        <f t="shared" ref="CG1837:CG1840" si="8436">H1837+O1837+V1837+AC1837+AJ1837+AQ1837+AX1837+BE1837+BL1837+BS1837+BZ1837</f>
        <v>0</v>
      </c>
      <c r="CH1837" s="27">
        <f t="shared" ref="CH1837:CH1840" si="8437">I1837+P1837+W1837+AD1837+AK1837+AR1837+AY1837+BF1837+BM1837+BT1837+CA1837</f>
        <v>0</v>
      </c>
      <c r="CI1837" s="27">
        <f t="shared" ref="CI1837:CI1840" si="8438">J1837+Q1837+X1837+AE1837+AL1837+AS1837+AZ1837+BG1837+BN1837+BU1837+CB1837</f>
        <v>0</v>
      </c>
      <c r="CJ1837" s="4">
        <f>SUM(CE1837:CI1837)</f>
        <v>0</v>
      </c>
      <c r="CL1837" s="2"/>
      <c r="CM1837" s="3"/>
      <c r="CN1837" s="3"/>
      <c r="CO1837" s="3"/>
      <c r="CP1837" s="3"/>
      <c r="CQ1837" s="15">
        <f>SUM(CL1837:CP1837)</f>
        <v>0</v>
      </c>
      <c r="CS1837" s="2"/>
      <c r="CT1837" s="3"/>
      <c r="CU1837" s="3"/>
      <c r="CV1837" s="3"/>
      <c r="CW1837" s="3"/>
      <c r="CX1837" s="4">
        <f>SUM(CS1837:CW1837)</f>
        <v>0</v>
      </c>
      <c r="CZ1837" s="2"/>
      <c r="DA1837" s="3"/>
      <c r="DB1837" s="3"/>
      <c r="DC1837" s="3"/>
      <c r="DD1837" s="3"/>
      <c r="DE1837" s="15">
        <f>SUM(CZ1837:DD1837)</f>
        <v>0</v>
      </c>
    </row>
    <row r="1838" spans="2:109">
      <c r="C1838" s="567"/>
      <c r="E1838" s="14" t="s">
        <v>60</v>
      </c>
      <c r="F1838" s="23">
        <f t="shared" ref="F1838:F1840" si="8439">CE1832</f>
        <v>0</v>
      </c>
      <c r="G1838" s="24">
        <f t="shared" si="8430"/>
        <v>0</v>
      </c>
      <c r="H1838" s="24">
        <f t="shared" si="8431"/>
        <v>0</v>
      </c>
      <c r="I1838" s="24">
        <f t="shared" si="8432"/>
        <v>0</v>
      </c>
      <c r="J1838" s="24">
        <f t="shared" si="8433"/>
        <v>0</v>
      </c>
      <c r="K1838" s="16">
        <f t="shared" ref="K1838:K1840" si="8440">SUM(F1838:J1838)</f>
        <v>0</v>
      </c>
      <c r="M1838" s="6"/>
      <c r="N1838" s="7"/>
      <c r="O1838" s="7"/>
      <c r="P1838" s="7"/>
      <c r="Q1838" s="7"/>
      <c r="R1838" s="16">
        <f t="shared" ref="R1838:R1840" si="8441">SUM(M1838:Q1838)</f>
        <v>0</v>
      </c>
      <c r="T1838" s="6"/>
      <c r="U1838" s="7"/>
      <c r="V1838" s="7"/>
      <c r="W1838" s="7"/>
      <c r="X1838" s="7"/>
      <c r="Y1838" s="16">
        <f t="shared" ref="Y1838:Y1840" si="8442">SUM(T1838:X1838)</f>
        <v>0</v>
      </c>
      <c r="AA1838" s="6"/>
      <c r="AB1838" s="7"/>
      <c r="AC1838" s="7"/>
      <c r="AD1838" s="7"/>
      <c r="AE1838" s="7"/>
      <c r="AF1838" s="16">
        <f>SUM(AA1838:AE1838)</f>
        <v>0</v>
      </c>
      <c r="AH1838" s="6"/>
      <c r="AI1838" s="7"/>
      <c r="AJ1838" s="7"/>
      <c r="AK1838" s="7"/>
      <c r="AL1838" s="7"/>
      <c r="AM1838" s="16">
        <f>SUM(AH1838:AL1838)</f>
        <v>0</v>
      </c>
      <c r="AO1838" s="6"/>
      <c r="AP1838" s="7"/>
      <c r="AQ1838" s="7"/>
      <c r="AR1838" s="7"/>
      <c r="AS1838" s="7"/>
      <c r="AT1838" s="16">
        <f>SUM(AO1838:AS1838)</f>
        <v>0</v>
      </c>
      <c r="AV1838" s="6"/>
      <c r="AW1838" s="7"/>
      <c r="AX1838" s="7"/>
      <c r="AY1838" s="7"/>
      <c r="AZ1838" s="7"/>
      <c r="BA1838" s="16">
        <f>SUM(AV1838:AZ1838)</f>
        <v>0</v>
      </c>
      <c r="BC1838" s="6"/>
      <c r="BD1838" s="7"/>
      <c r="BE1838" s="7"/>
      <c r="BF1838" s="7"/>
      <c r="BG1838" s="7"/>
      <c r="BH1838" s="16">
        <f>SUM(BC1838:BG1838)</f>
        <v>0</v>
      </c>
      <c r="BJ1838" s="6"/>
      <c r="BK1838" s="7"/>
      <c r="BL1838" s="7"/>
      <c r="BM1838" s="7"/>
      <c r="BN1838" s="7"/>
      <c r="BO1838" s="16">
        <f>SUM(BJ1838:BN1838)</f>
        <v>0</v>
      </c>
      <c r="BQ1838" s="6"/>
      <c r="BR1838" s="7"/>
      <c r="BS1838" s="7"/>
      <c r="BT1838" s="7"/>
      <c r="BU1838" s="7"/>
      <c r="BV1838" s="16">
        <f>SUM(BQ1838:BU1838)</f>
        <v>0</v>
      </c>
      <c r="BX1838" s="6"/>
      <c r="BY1838" s="7"/>
      <c r="BZ1838" s="7"/>
      <c r="CA1838" s="7"/>
      <c r="CB1838" s="7"/>
      <c r="CC1838" s="16">
        <f>SUM(BX1838:CB1838)</f>
        <v>0</v>
      </c>
      <c r="CE1838" s="28">
        <f t="shared" si="8434"/>
        <v>0</v>
      </c>
      <c r="CF1838" s="29">
        <f t="shared" si="8435"/>
        <v>0</v>
      </c>
      <c r="CG1838" s="29">
        <f t="shared" si="8436"/>
        <v>0</v>
      </c>
      <c r="CH1838" s="29">
        <f t="shared" si="8437"/>
        <v>0</v>
      </c>
      <c r="CI1838" s="29">
        <f t="shared" si="8438"/>
        <v>0</v>
      </c>
      <c r="CJ1838" s="8">
        <f>SUM(CE1838:CI1838)</f>
        <v>0</v>
      </c>
      <c r="CL1838" s="6"/>
      <c r="CM1838" s="7"/>
      <c r="CN1838" s="7"/>
      <c r="CO1838" s="7"/>
      <c r="CP1838" s="7"/>
      <c r="CQ1838" s="16">
        <f>SUM(CL1838:CP1838)</f>
        <v>0</v>
      </c>
      <c r="CS1838" s="6"/>
      <c r="CT1838" s="7"/>
      <c r="CU1838" s="7"/>
      <c r="CV1838" s="7"/>
      <c r="CW1838" s="7"/>
      <c r="CX1838" s="8">
        <f t="shared" ref="CX1838:CX1840" si="8443">SUM(CS1838:CW1838)</f>
        <v>0</v>
      </c>
      <c r="CZ1838" s="6"/>
      <c r="DA1838" s="7"/>
      <c r="DB1838" s="7"/>
      <c r="DC1838" s="7"/>
      <c r="DD1838" s="7"/>
      <c r="DE1838" s="16">
        <f t="shared" ref="DE1838:DE1840" si="8444">SUM(CZ1838:DD1838)</f>
        <v>0</v>
      </c>
    </row>
    <row r="1839" spans="2:109">
      <c r="C1839" s="567"/>
      <c r="E1839" s="14" t="s">
        <v>61</v>
      </c>
      <c r="F1839" s="23">
        <f t="shared" si="8439"/>
        <v>0</v>
      </c>
      <c r="G1839" s="24">
        <f t="shared" si="8430"/>
        <v>0</v>
      </c>
      <c r="H1839" s="24">
        <f t="shared" si="8431"/>
        <v>0</v>
      </c>
      <c r="I1839" s="24">
        <f t="shared" si="8432"/>
        <v>0</v>
      </c>
      <c r="J1839" s="24">
        <f t="shared" si="8433"/>
        <v>0</v>
      </c>
      <c r="K1839" s="16">
        <f t="shared" si="8440"/>
        <v>0</v>
      </c>
      <c r="M1839" s="6"/>
      <c r="N1839" s="7"/>
      <c r="O1839" s="7"/>
      <c r="P1839" s="7"/>
      <c r="Q1839" s="7"/>
      <c r="R1839" s="16">
        <f t="shared" si="8441"/>
        <v>0</v>
      </c>
      <c r="T1839" s="6"/>
      <c r="U1839" s="7"/>
      <c r="V1839" s="7"/>
      <c r="W1839" s="7"/>
      <c r="X1839" s="7"/>
      <c r="Y1839" s="16">
        <f t="shared" si="8442"/>
        <v>0</v>
      </c>
      <c r="AA1839" s="6"/>
      <c r="AB1839" s="7"/>
      <c r="AC1839" s="7"/>
      <c r="AD1839" s="7"/>
      <c r="AE1839" s="7"/>
      <c r="AF1839" s="16">
        <f>SUM(AA1839:AE1839)</f>
        <v>0</v>
      </c>
      <c r="AH1839" s="6"/>
      <c r="AI1839" s="7"/>
      <c r="AJ1839" s="7"/>
      <c r="AK1839" s="7"/>
      <c r="AL1839" s="7"/>
      <c r="AM1839" s="16">
        <f>SUM(AH1839:AL1839)</f>
        <v>0</v>
      </c>
      <c r="AO1839" s="6"/>
      <c r="AP1839" s="7"/>
      <c r="AQ1839" s="7"/>
      <c r="AR1839" s="7"/>
      <c r="AS1839" s="7"/>
      <c r="AT1839" s="16">
        <f>SUM(AO1839:AS1839)</f>
        <v>0</v>
      </c>
      <c r="AV1839" s="6"/>
      <c r="AW1839" s="7"/>
      <c r="AX1839" s="7"/>
      <c r="AY1839" s="7"/>
      <c r="AZ1839" s="7"/>
      <c r="BA1839" s="16">
        <f>SUM(AV1839:AZ1839)</f>
        <v>0</v>
      </c>
      <c r="BC1839" s="6"/>
      <c r="BD1839" s="7"/>
      <c r="BE1839" s="7"/>
      <c r="BF1839" s="7"/>
      <c r="BG1839" s="7"/>
      <c r="BH1839" s="16">
        <f>SUM(BC1839:BG1839)</f>
        <v>0</v>
      </c>
      <c r="BJ1839" s="6"/>
      <c r="BK1839" s="7"/>
      <c r="BL1839" s="7"/>
      <c r="BM1839" s="7"/>
      <c r="BN1839" s="7"/>
      <c r="BO1839" s="16">
        <f>SUM(BJ1839:BN1839)</f>
        <v>0</v>
      </c>
      <c r="BQ1839" s="6"/>
      <c r="BR1839" s="7"/>
      <c r="BS1839" s="7"/>
      <c r="BT1839" s="7"/>
      <c r="BU1839" s="7"/>
      <c r="BV1839" s="16">
        <f>SUM(BQ1839:BU1839)</f>
        <v>0</v>
      </c>
      <c r="BX1839" s="6"/>
      <c r="BY1839" s="7"/>
      <c r="BZ1839" s="7"/>
      <c r="CA1839" s="7"/>
      <c r="CB1839" s="7"/>
      <c r="CC1839" s="16">
        <f>SUM(BX1839:CB1839)</f>
        <v>0</v>
      </c>
      <c r="CE1839" s="28">
        <f t="shared" si="8434"/>
        <v>0</v>
      </c>
      <c r="CF1839" s="29">
        <f t="shared" si="8435"/>
        <v>0</v>
      </c>
      <c r="CG1839" s="29">
        <f t="shared" si="8436"/>
        <v>0</v>
      </c>
      <c r="CH1839" s="29">
        <f t="shared" si="8437"/>
        <v>0</v>
      </c>
      <c r="CI1839" s="29">
        <f t="shared" si="8438"/>
        <v>0</v>
      </c>
      <c r="CJ1839" s="8">
        <f>SUM(CE1839:CI1839)</f>
        <v>0</v>
      </c>
      <c r="CL1839" s="6"/>
      <c r="CM1839" s="7"/>
      <c r="CN1839" s="7"/>
      <c r="CO1839" s="7"/>
      <c r="CP1839" s="7"/>
      <c r="CQ1839" s="16">
        <f>SUM(CL1839:CP1839)</f>
        <v>0</v>
      </c>
      <c r="CS1839" s="6"/>
      <c r="CT1839" s="7"/>
      <c r="CU1839" s="7"/>
      <c r="CV1839" s="7"/>
      <c r="CW1839" s="7"/>
      <c r="CX1839" s="8">
        <f t="shared" si="8443"/>
        <v>0</v>
      </c>
      <c r="CZ1839" s="6"/>
      <c r="DA1839" s="7"/>
      <c r="DB1839" s="7"/>
      <c r="DC1839" s="7"/>
      <c r="DD1839" s="7"/>
      <c r="DE1839" s="16">
        <f t="shared" si="8444"/>
        <v>0</v>
      </c>
    </row>
    <row r="1840" spans="2:109" ht="14" thickBot="1">
      <c r="C1840" s="567"/>
      <c r="E1840" s="14" t="s">
        <v>62</v>
      </c>
      <c r="F1840" s="23">
        <f t="shared" si="8439"/>
        <v>0</v>
      </c>
      <c r="G1840" s="24">
        <f t="shared" si="8430"/>
        <v>0</v>
      </c>
      <c r="H1840" s="24">
        <f t="shared" si="8431"/>
        <v>0</v>
      </c>
      <c r="I1840" s="24">
        <f t="shared" si="8432"/>
        <v>0</v>
      </c>
      <c r="J1840" s="24">
        <f t="shared" si="8433"/>
        <v>0</v>
      </c>
      <c r="K1840" s="16">
        <f t="shared" si="8440"/>
        <v>0</v>
      </c>
      <c r="M1840" s="6"/>
      <c r="N1840" s="7"/>
      <c r="O1840" s="7"/>
      <c r="P1840" s="7"/>
      <c r="Q1840" s="7"/>
      <c r="R1840" s="16">
        <f t="shared" si="8441"/>
        <v>0</v>
      </c>
      <c r="T1840" s="6"/>
      <c r="U1840" s="7"/>
      <c r="V1840" s="7"/>
      <c r="W1840" s="7"/>
      <c r="X1840" s="7"/>
      <c r="Y1840" s="16">
        <f t="shared" si="8442"/>
        <v>0</v>
      </c>
      <c r="AA1840" s="6"/>
      <c r="AB1840" s="7"/>
      <c r="AC1840" s="7"/>
      <c r="AD1840" s="7"/>
      <c r="AE1840" s="7"/>
      <c r="AF1840" s="16">
        <f>SUM(AA1840:AE1840)</f>
        <v>0</v>
      </c>
      <c r="AH1840" s="6"/>
      <c r="AI1840" s="7"/>
      <c r="AJ1840" s="7"/>
      <c r="AK1840" s="7"/>
      <c r="AL1840" s="7"/>
      <c r="AM1840" s="16">
        <f>SUM(AH1840:AL1840)</f>
        <v>0</v>
      </c>
      <c r="AO1840" s="6"/>
      <c r="AP1840" s="7"/>
      <c r="AQ1840" s="7"/>
      <c r="AR1840" s="7"/>
      <c r="AS1840" s="7"/>
      <c r="AT1840" s="16">
        <f>SUM(AO1840:AS1840)</f>
        <v>0</v>
      </c>
      <c r="AV1840" s="6"/>
      <c r="AW1840" s="7"/>
      <c r="AX1840" s="7"/>
      <c r="AY1840" s="7"/>
      <c r="AZ1840" s="7"/>
      <c r="BA1840" s="16">
        <f>SUM(AV1840:AZ1840)</f>
        <v>0</v>
      </c>
      <c r="BC1840" s="6"/>
      <c r="BD1840" s="7"/>
      <c r="BE1840" s="7"/>
      <c r="BF1840" s="7"/>
      <c r="BG1840" s="7"/>
      <c r="BH1840" s="16">
        <f>SUM(BC1840:BG1840)</f>
        <v>0</v>
      </c>
      <c r="BJ1840" s="6"/>
      <c r="BK1840" s="7"/>
      <c r="BL1840" s="7"/>
      <c r="BM1840" s="7"/>
      <c r="BN1840" s="7"/>
      <c r="BO1840" s="16">
        <f>SUM(BJ1840:BN1840)</f>
        <v>0</v>
      </c>
      <c r="BQ1840" s="6"/>
      <c r="BR1840" s="7"/>
      <c r="BS1840" s="7"/>
      <c r="BT1840" s="7"/>
      <c r="BU1840" s="7"/>
      <c r="BV1840" s="16">
        <f>SUM(BQ1840:BU1840)</f>
        <v>0</v>
      </c>
      <c r="BX1840" s="6"/>
      <c r="BY1840" s="7"/>
      <c r="BZ1840" s="7"/>
      <c r="CA1840" s="7"/>
      <c r="CB1840" s="7"/>
      <c r="CC1840" s="16">
        <f>SUM(BX1840:CB1840)</f>
        <v>0</v>
      </c>
      <c r="CE1840" s="493">
        <f t="shared" si="8434"/>
        <v>0</v>
      </c>
      <c r="CF1840" s="494">
        <f t="shared" si="8435"/>
        <v>0</v>
      </c>
      <c r="CG1840" s="494">
        <f t="shared" si="8436"/>
        <v>0</v>
      </c>
      <c r="CH1840" s="494">
        <f t="shared" si="8437"/>
        <v>0</v>
      </c>
      <c r="CI1840" s="494">
        <f t="shared" si="8438"/>
        <v>0</v>
      </c>
      <c r="CJ1840" s="495">
        <f>SUM(CE1840:CI1840)</f>
        <v>0</v>
      </c>
      <c r="CL1840" s="6"/>
      <c r="CM1840" s="7"/>
      <c r="CN1840" s="7"/>
      <c r="CO1840" s="7"/>
      <c r="CP1840" s="7"/>
      <c r="CQ1840" s="16">
        <f>SUM(CL1840:CP1840)</f>
        <v>0</v>
      </c>
      <c r="CS1840" s="6"/>
      <c r="CT1840" s="7"/>
      <c r="CU1840" s="7"/>
      <c r="CV1840" s="7"/>
      <c r="CW1840" s="7"/>
      <c r="CX1840" s="8">
        <f t="shared" si="8443"/>
        <v>0</v>
      </c>
      <c r="CZ1840" s="6"/>
      <c r="DA1840" s="7"/>
      <c r="DB1840" s="7"/>
      <c r="DC1840" s="7"/>
      <c r="DD1840" s="7"/>
      <c r="DE1840" s="16">
        <f t="shared" si="8444"/>
        <v>0</v>
      </c>
    </row>
    <row r="1841" spans="3:109" ht="14" thickBot="1">
      <c r="C1841" s="554"/>
      <c r="E1841" s="17"/>
      <c r="F1841" s="10">
        <f>SUM(F1837:F1840)</f>
        <v>0</v>
      </c>
      <c r="G1841" s="11">
        <f t="shared" ref="G1841:J1841" si="8445">SUM(G1837:G1840)</f>
        <v>0</v>
      </c>
      <c r="H1841" s="11">
        <f t="shared" si="8445"/>
        <v>0</v>
      </c>
      <c r="I1841" s="11">
        <f t="shared" si="8445"/>
        <v>0</v>
      </c>
      <c r="J1841" s="11">
        <f t="shared" si="8445"/>
        <v>0</v>
      </c>
      <c r="K1841" s="25">
        <f>SUM(K1837:K1840)</f>
        <v>0</v>
      </c>
      <c r="M1841" s="10">
        <f>SUM(M1837:M1840)</f>
        <v>0</v>
      </c>
      <c r="N1841" s="11">
        <f t="shared" ref="N1841:Q1841" si="8446">SUM(N1837:N1840)</f>
        <v>0</v>
      </c>
      <c r="O1841" s="11">
        <f t="shared" si="8446"/>
        <v>0</v>
      </c>
      <c r="P1841" s="11">
        <f t="shared" si="8446"/>
        <v>0</v>
      </c>
      <c r="Q1841" s="11">
        <f t="shared" si="8446"/>
        <v>0</v>
      </c>
      <c r="R1841" s="25">
        <f>SUM(R1837:R1840)</f>
        <v>0</v>
      </c>
      <c r="T1841" s="10">
        <f>SUM(T1837:T1840)</f>
        <v>0</v>
      </c>
      <c r="U1841" s="11">
        <f t="shared" ref="U1841:X1841" si="8447">SUM(U1837:U1840)</f>
        <v>0</v>
      </c>
      <c r="V1841" s="11">
        <f t="shared" si="8447"/>
        <v>0</v>
      </c>
      <c r="W1841" s="11">
        <f t="shared" si="8447"/>
        <v>0</v>
      </c>
      <c r="X1841" s="11">
        <f t="shared" si="8447"/>
        <v>0</v>
      </c>
      <c r="Y1841" s="25">
        <f>SUM(Y1837:Y1840)</f>
        <v>0</v>
      </c>
      <c r="AA1841" s="10">
        <f>SUM(AA1837:AA1840)</f>
        <v>0</v>
      </c>
      <c r="AB1841" s="11">
        <f t="shared" ref="AB1841:AE1841" si="8448">SUM(AB1837:AB1840)</f>
        <v>0</v>
      </c>
      <c r="AC1841" s="11">
        <f t="shared" si="8448"/>
        <v>0</v>
      </c>
      <c r="AD1841" s="11">
        <f t="shared" si="8448"/>
        <v>0</v>
      </c>
      <c r="AE1841" s="11">
        <f t="shared" si="8448"/>
        <v>0</v>
      </c>
      <c r="AF1841" s="25">
        <f>SUM(AF1837:AF1840)</f>
        <v>0</v>
      </c>
      <c r="AH1841" s="10">
        <f>SUM(AH1837:AH1840)</f>
        <v>0</v>
      </c>
      <c r="AI1841" s="11">
        <f t="shared" ref="AI1841:AL1841" si="8449">SUM(AI1837:AI1840)</f>
        <v>0</v>
      </c>
      <c r="AJ1841" s="11">
        <f t="shared" si="8449"/>
        <v>0</v>
      </c>
      <c r="AK1841" s="11">
        <f t="shared" si="8449"/>
        <v>0</v>
      </c>
      <c r="AL1841" s="11">
        <f t="shared" si="8449"/>
        <v>0</v>
      </c>
      <c r="AM1841" s="25">
        <f>SUM(AM1837:AM1840)</f>
        <v>0</v>
      </c>
      <c r="AO1841" s="10">
        <f>SUM(AO1837:AO1840)</f>
        <v>0</v>
      </c>
      <c r="AP1841" s="11">
        <f t="shared" ref="AP1841:AS1841" si="8450">SUM(AP1837:AP1840)</f>
        <v>0</v>
      </c>
      <c r="AQ1841" s="11">
        <f t="shared" si="8450"/>
        <v>0</v>
      </c>
      <c r="AR1841" s="11">
        <f t="shared" si="8450"/>
        <v>0</v>
      </c>
      <c r="AS1841" s="11">
        <f t="shared" si="8450"/>
        <v>0</v>
      </c>
      <c r="AT1841" s="25">
        <f>SUM(AT1837:AT1840)</f>
        <v>0</v>
      </c>
      <c r="AV1841" s="10">
        <f>SUM(AV1837:AV1840)</f>
        <v>0</v>
      </c>
      <c r="AW1841" s="11">
        <f t="shared" ref="AW1841:AZ1841" si="8451">SUM(AW1837:AW1840)</f>
        <v>0</v>
      </c>
      <c r="AX1841" s="11">
        <f t="shared" si="8451"/>
        <v>0</v>
      </c>
      <c r="AY1841" s="11">
        <f t="shared" si="8451"/>
        <v>0</v>
      </c>
      <c r="AZ1841" s="11">
        <f t="shared" si="8451"/>
        <v>0</v>
      </c>
      <c r="BA1841" s="25">
        <f>SUM(BA1837:BA1840)</f>
        <v>0</v>
      </c>
      <c r="BC1841" s="10">
        <f>SUM(BC1837:BC1840)</f>
        <v>0</v>
      </c>
      <c r="BD1841" s="11">
        <f t="shared" ref="BD1841:BG1841" si="8452">SUM(BD1837:BD1840)</f>
        <v>0</v>
      </c>
      <c r="BE1841" s="11">
        <f t="shared" si="8452"/>
        <v>0</v>
      </c>
      <c r="BF1841" s="11">
        <f t="shared" si="8452"/>
        <v>0</v>
      </c>
      <c r="BG1841" s="11">
        <f t="shared" si="8452"/>
        <v>0</v>
      </c>
      <c r="BH1841" s="25">
        <f>SUM(BH1837:BH1840)</f>
        <v>0</v>
      </c>
      <c r="BJ1841" s="10">
        <f>SUM(BJ1837:BJ1840)</f>
        <v>0</v>
      </c>
      <c r="BK1841" s="11">
        <f t="shared" ref="BK1841:BN1841" si="8453">SUM(BK1837:BK1840)</f>
        <v>0</v>
      </c>
      <c r="BL1841" s="11">
        <f t="shared" si="8453"/>
        <v>0</v>
      </c>
      <c r="BM1841" s="11">
        <f t="shared" si="8453"/>
        <v>0</v>
      </c>
      <c r="BN1841" s="11">
        <f t="shared" si="8453"/>
        <v>0</v>
      </c>
      <c r="BO1841" s="25">
        <f>SUM(BO1837:BO1840)</f>
        <v>0</v>
      </c>
      <c r="BQ1841" s="10">
        <f>SUM(BQ1837:BQ1840)</f>
        <v>0</v>
      </c>
      <c r="BR1841" s="11">
        <f t="shared" ref="BR1841:BU1841" si="8454">SUM(BR1837:BR1840)</f>
        <v>0</v>
      </c>
      <c r="BS1841" s="11">
        <f t="shared" si="8454"/>
        <v>0</v>
      </c>
      <c r="BT1841" s="11">
        <f t="shared" si="8454"/>
        <v>0</v>
      </c>
      <c r="BU1841" s="11">
        <f t="shared" si="8454"/>
        <v>0</v>
      </c>
      <c r="BV1841" s="25">
        <f>SUM(BV1837:BV1840)</f>
        <v>0</v>
      </c>
      <c r="BX1841" s="10">
        <f>SUM(BX1837:BX1840)</f>
        <v>0</v>
      </c>
      <c r="BY1841" s="11">
        <f t="shared" ref="BY1841:CB1841" si="8455">SUM(BY1837:BY1840)</f>
        <v>0</v>
      </c>
      <c r="BZ1841" s="11">
        <f t="shared" si="8455"/>
        <v>0</v>
      </c>
      <c r="CA1841" s="11">
        <f t="shared" si="8455"/>
        <v>0</v>
      </c>
      <c r="CB1841" s="11">
        <f t="shared" si="8455"/>
        <v>0</v>
      </c>
      <c r="CC1841" s="25">
        <f>SUM(CC1837:CC1840)</f>
        <v>0</v>
      </c>
      <c r="CE1841" s="62">
        <f t="shared" ref="CE1841:CJ1841" si="8456">SUM(CE1837:CE1840)</f>
        <v>0</v>
      </c>
      <c r="CF1841" s="63">
        <f t="shared" si="8456"/>
        <v>0</v>
      </c>
      <c r="CG1841" s="63">
        <f t="shared" si="8456"/>
        <v>0</v>
      </c>
      <c r="CH1841" s="63">
        <f t="shared" si="8456"/>
        <v>0</v>
      </c>
      <c r="CI1841" s="63">
        <f t="shared" si="8456"/>
        <v>0</v>
      </c>
      <c r="CJ1841" s="25">
        <f t="shared" si="8456"/>
        <v>0</v>
      </c>
      <c r="CL1841" s="10">
        <f>SUM(CL1837:CL1840)</f>
        <v>0</v>
      </c>
      <c r="CM1841" s="11">
        <f t="shared" ref="CM1841:CP1841" si="8457">SUM(CM1837:CM1840)</f>
        <v>0</v>
      </c>
      <c r="CN1841" s="11">
        <f t="shared" si="8457"/>
        <v>0</v>
      </c>
      <c r="CO1841" s="11">
        <f t="shared" si="8457"/>
        <v>0</v>
      </c>
      <c r="CP1841" s="11">
        <f t="shared" si="8457"/>
        <v>0</v>
      </c>
      <c r="CQ1841" s="25">
        <f>SUM(CQ1837:CQ1840)</f>
        <v>0</v>
      </c>
      <c r="CS1841" s="10">
        <f>SUM(CS1837:CS1840)</f>
        <v>0</v>
      </c>
      <c r="CT1841" s="11">
        <f t="shared" ref="CT1841:CW1841" si="8458">SUM(CT1837:CT1840)</f>
        <v>0</v>
      </c>
      <c r="CU1841" s="11">
        <f t="shared" si="8458"/>
        <v>0</v>
      </c>
      <c r="CV1841" s="11">
        <f t="shared" si="8458"/>
        <v>0</v>
      </c>
      <c r="CW1841" s="11">
        <f t="shared" si="8458"/>
        <v>0</v>
      </c>
      <c r="CX1841" s="25">
        <f>SUM(CX1837:CX1840)</f>
        <v>0</v>
      </c>
      <c r="CZ1841" s="10">
        <f>SUM(CZ1837:CZ1840)</f>
        <v>0</v>
      </c>
      <c r="DA1841" s="11">
        <f t="shared" ref="DA1841:DD1841" si="8459">SUM(DA1837:DA1840)</f>
        <v>0</v>
      </c>
      <c r="DB1841" s="11">
        <f t="shared" si="8459"/>
        <v>0</v>
      </c>
      <c r="DC1841" s="11">
        <f t="shared" si="8459"/>
        <v>0</v>
      </c>
      <c r="DD1841" s="11">
        <f t="shared" si="8459"/>
        <v>0</v>
      </c>
      <c r="DE1841" s="25">
        <f>SUM(DE1837:DE1840)</f>
        <v>0</v>
      </c>
    </row>
    <row r="1842" spans="3:109" ht="10.4" customHeight="1" thickBot="1"/>
    <row r="1843" spans="3:109">
      <c r="C1843" s="553">
        <v>2026</v>
      </c>
      <c r="E1843" s="1" t="s">
        <v>59</v>
      </c>
      <c r="F1843" s="21">
        <f>CE1837</f>
        <v>0</v>
      </c>
      <c r="G1843" s="22">
        <f t="shared" ref="G1843:G1846" si="8460">CF1837</f>
        <v>0</v>
      </c>
      <c r="H1843" s="22">
        <f t="shared" ref="H1843:H1846" si="8461">CG1837</f>
        <v>0</v>
      </c>
      <c r="I1843" s="22">
        <f t="shared" ref="I1843:I1846" si="8462">CH1837</f>
        <v>0</v>
      </c>
      <c r="J1843" s="22">
        <f t="shared" ref="J1843:J1846" si="8463">CI1837</f>
        <v>0</v>
      </c>
      <c r="K1843" s="4">
        <f>SUM(F1843:J1843)</f>
        <v>0</v>
      </c>
      <c r="M1843" s="2"/>
      <c r="N1843" s="3"/>
      <c r="O1843" s="3"/>
      <c r="P1843" s="3"/>
      <c r="Q1843" s="3"/>
      <c r="R1843" s="4">
        <f>SUM(M1843:Q1843)</f>
        <v>0</v>
      </c>
      <c r="T1843" s="2"/>
      <c r="U1843" s="3"/>
      <c r="V1843" s="3"/>
      <c r="W1843" s="3"/>
      <c r="X1843" s="3"/>
      <c r="Y1843" s="4">
        <f>SUM(T1843:X1843)</f>
        <v>0</v>
      </c>
      <c r="AA1843" s="2"/>
      <c r="AB1843" s="3"/>
      <c r="AC1843" s="3"/>
      <c r="AD1843" s="3"/>
      <c r="AE1843" s="3"/>
      <c r="AF1843" s="4">
        <f>SUM(AA1843:AE1843)</f>
        <v>0</v>
      </c>
      <c r="AH1843" s="2"/>
      <c r="AI1843" s="3"/>
      <c r="AJ1843" s="3"/>
      <c r="AK1843" s="3"/>
      <c r="AL1843" s="3"/>
      <c r="AM1843" s="4">
        <f>SUM(AH1843:AL1843)</f>
        <v>0</v>
      </c>
      <c r="AO1843" s="2"/>
      <c r="AP1843" s="3"/>
      <c r="AQ1843" s="3"/>
      <c r="AR1843" s="3"/>
      <c r="AS1843" s="3"/>
      <c r="AT1843" s="4">
        <f>SUM(AO1843:AS1843)</f>
        <v>0</v>
      </c>
      <c r="AV1843" s="2"/>
      <c r="AW1843" s="3"/>
      <c r="AX1843" s="3"/>
      <c r="AY1843" s="3"/>
      <c r="AZ1843" s="3"/>
      <c r="BA1843" s="4">
        <f>SUM(AV1843:AZ1843)</f>
        <v>0</v>
      </c>
      <c r="BC1843" s="2"/>
      <c r="BD1843" s="3"/>
      <c r="BE1843" s="3"/>
      <c r="BF1843" s="3"/>
      <c r="BG1843" s="3"/>
      <c r="BH1843" s="4">
        <f>SUM(BC1843:BG1843)</f>
        <v>0</v>
      </c>
      <c r="BJ1843" s="2"/>
      <c r="BK1843" s="3"/>
      <c r="BL1843" s="3"/>
      <c r="BM1843" s="3"/>
      <c r="BN1843" s="3"/>
      <c r="BO1843" s="4">
        <f>SUM(BJ1843:BN1843)</f>
        <v>0</v>
      </c>
      <c r="BQ1843" s="2"/>
      <c r="BR1843" s="3"/>
      <c r="BS1843" s="3"/>
      <c r="BT1843" s="3"/>
      <c r="BU1843" s="3"/>
      <c r="BV1843" s="4">
        <f>SUM(BQ1843:BU1843)</f>
        <v>0</v>
      </c>
      <c r="BX1843" s="2"/>
      <c r="BY1843" s="3"/>
      <c r="BZ1843" s="3"/>
      <c r="CA1843" s="3"/>
      <c r="CB1843" s="3"/>
      <c r="CC1843" s="4">
        <f>SUM(BX1843:CB1843)</f>
        <v>0</v>
      </c>
      <c r="CE1843" s="26">
        <f t="shared" ref="CE1843:CE1846" si="8464">F1843+M1843+T1843+AA1843+AH1843+AO1843+AV1843+BC1843+BJ1843+BQ1843+BX1843</f>
        <v>0</v>
      </c>
      <c r="CF1843" s="27">
        <f t="shared" ref="CF1843:CF1846" si="8465">G1843+N1843+U1843+AB1843+AI1843+AP1843+AW1843+BD1843+BK1843+BR1843+BY1843</f>
        <v>0</v>
      </c>
      <c r="CG1843" s="27">
        <f t="shared" ref="CG1843:CG1846" si="8466">H1843+O1843+V1843+AC1843+AJ1843+AQ1843+AX1843+BE1843+BL1843+BS1843+BZ1843</f>
        <v>0</v>
      </c>
      <c r="CH1843" s="27">
        <f t="shared" ref="CH1843:CH1846" si="8467">I1843+P1843+W1843+AD1843+AK1843+AR1843+AY1843+BF1843+BM1843+BT1843+CA1843</f>
        <v>0</v>
      </c>
      <c r="CI1843" s="27">
        <f t="shared" ref="CI1843:CI1846" si="8468">J1843+Q1843+X1843+AE1843+AL1843+AS1843+AZ1843+BG1843+BN1843+BU1843+CB1843</f>
        <v>0</v>
      </c>
      <c r="CJ1843" s="4">
        <f>SUM(CE1843:CI1843)</f>
        <v>0</v>
      </c>
      <c r="CL1843" s="2"/>
      <c r="CM1843" s="3"/>
      <c r="CN1843" s="3"/>
      <c r="CO1843" s="3"/>
      <c r="CP1843" s="3"/>
      <c r="CQ1843" s="4">
        <f>SUM(CL1843:CP1843)</f>
        <v>0</v>
      </c>
      <c r="CS1843" s="2"/>
      <c r="CT1843" s="3"/>
      <c r="CU1843" s="3"/>
      <c r="CV1843" s="3"/>
      <c r="CW1843" s="3"/>
      <c r="CX1843" s="4">
        <f>SUM(CS1843:CW1843)</f>
        <v>0</v>
      </c>
      <c r="CZ1843" s="2"/>
      <c r="DA1843" s="3"/>
      <c r="DB1843" s="3"/>
      <c r="DC1843" s="3"/>
      <c r="DD1843" s="3"/>
      <c r="DE1843" s="4">
        <f>SUM(CZ1843:DD1843)</f>
        <v>0</v>
      </c>
    </row>
    <row r="1844" spans="3:109">
      <c r="C1844" s="567"/>
      <c r="E1844" s="5" t="s">
        <v>60</v>
      </c>
      <c r="F1844" s="23">
        <f t="shared" ref="F1844:F1846" si="8469">CE1838</f>
        <v>0</v>
      </c>
      <c r="G1844" s="24">
        <f t="shared" si="8460"/>
        <v>0</v>
      </c>
      <c r="H1844" s="24">
        <f t="shared" si="8461"/>
        <v>0</v>
      </c>
      <c r="I1844" s="24">
        <f t="shared" si="8462"/>
        <v>0</v>
      </c>
      <c r="J1844" s="24">
        <f t="shared" si="8463"/>
        <v>0</v>
      </c>
      <c r="K1844" s="8">
        <f t="shared" ref="K1844:K1846" si="8470">SUM(F1844:J1844)</f>
        <v>0</v>
      </c>
      <c r="M1844" s="6"/>
      <c r="N1844" s="7"/>
      <c r="O1844" s="7"/>
      <c r="P1844" s="7"/>
      <c r="Q1844" s="7"/>
      <c r="R1844" s="8">
        <f t="shared" ref="R1844:R1846" si="8471">SUM(M1844:Q1844)</f>
        <v>0</v>
      </c>
      <c r="T1844" s="6"/>
      <c r="U1844" s="7"/>
      <c r="V1844" s="7"/>
      <c r="W1844" s="7"/>
      <c r="X1844" s="7"/>
      <c r="Y1844" s="8">
        <f t="shared" ref="Y1844:Y1846" si="8472">SUM(T1844:X1844)</f>
        <v>0</v>
      </c>
      <c r="AA1844" s="6"/>
      <c r="AB1844" s="7"/>
      <c r="AC1844" s="7"/>
      <c r="AD1844" s="7"/>
      <c r="AE1844" s="7"/>
      <c r="AF1844" s="8">
        <f>SUM(AA1844:AE1844)</f>
        <v>0</v>
      </c>
      <c r="AH1844" s="6"/>
      <c r="AI1844" s="7"/>
      <c r="AJ1844" s="7"/>
      <c r="AK1844" s="7"/>
      <c r="AL1844" s="7"/>
      <c r="AM1844" s="8">
        <f>SUM(AH1844:AL1844)</f>
        <v>0</v>
      </c>
      <c r="AO1844" s="6"/>
      <c r="AP1844" s="7"/>
      <c r="AQ1844" s="7"/>
      <c r="AR1844" s="7"/>
      <c r="AS1844" s="7"/>
      <c r="AT1844" s="8">
        <f>SUM(AO1844:AS1844)</f>
        <v>0</v>
      </c>
      <c r="AV1844" s="6"/>
      <c r="AW1844" s="7"/>
      <c r="AX1844" s="7"/>
      <c r="AY1844" s="7"/>
      <c r="AZ1844" s="7"/>
      <c r="BA1844" s="8">
        <f>SUM(AV1844:AZ1844)</f>
        <v>0</v>
      </c>
      <c r="BC1844" s="6"/>
      <c r="BD1844" s="7"/>
      <c r="BE1844" s="7"/>
      <c r="BF1844" s="7"/>
      <c r="BG1844" s="7"/>
      <c r="BH1844" s="8">
        <f>SUM(BC1844:BG1844)</f>
        <v>0</v>
      </c>
      <c r="BJ1844" s="6"/>
      <c r="BK1844" s="7"/>
      <c r="BL1844" s="7"/>
      <c r="BM1844" s="7"/>
      <c r="BN1844" s="7"/>
      <c r="BO1844" s="8">
        <f>SUM(BJ1844:BN1844)</f>
        <v>0</v>
      </c>
      <c r="BQ1844" s="6"/>
      <c r="BR1844" s="7"/>
      <c r="BS1844" s="7"/>
      <c r="BT1844" s="7"/>
      <c r="BU1844" s="7"/>
      <c r="BV1844" s="8">
        <f>SUM(BQ1844:BU1844)</f>
        <v>0</v>
      </c>
      <c r="BX1844" s="6"/>
      <c r="BY1844" s="7"/>
      <c r="BZ1844" s="7"/>
      <c r="CA1844" s="7"/>
      <c r="CB1844" s="7"/>
      <c r="CC1844" s="8">
        <f>SUM(BX1844:CB1844)</f>
        <v>0</v>
      </c>
      <c r="CE1844" s="28">
        <f t="shared" si="8464"/>
        <v>0</v>
      </c>
      <c r="CF1844" s="29">
        <f t="shared" si="8465"/>
        <v>0</v>
      </c>
      <c r="CG1844" s="29">
        <f t="shared" si="8466"/>
        <v>0</v>
      </c>
      <c r="CH1844" s="29">
        <f t="shared" si="8467"/>
        <v>0</v>
      </c>
      <c r="CI1844" s="29">
        <f t="shared" si="8468"/>
        <v>0</v>
      </c>
      <c r="CJ1844" s="8">
        <f>SUM(CE1844:CI1844)</f>
        <v>0</v>
      </c>
      <c r="CL1844" s="6"/>
      <c r="CM1844" s="7"/>
      <c r="CN1844" s="7"/>
      <c r="CO1844" s="7"/>
      <c r="CP1844" s="7"/>
      <c r="CQ1844" s="8">
        <f>SUM(CL1844:CP1844)</f>
        <v>0</v>
      </c>
      <c r="CS1844" s="6"/>
      <c r="CT1844" s="7"/>
      <c r="CU1844" s="7"/>
      <c r="CV1844" s="7"/>
      <c r="CW1844" s="7"/>
      <c r="CX1844" s="8">
        <f t="shared" ref="CX1844:CX1846" si="8473">SUM(CS1844:CW1844)</f>
        <v>0</v>
      </c>
      <c r="CZ1844" s="6"/>
      <c r="DA1844" s="7"/>
      <c r="DB1844" s="7"/>
      <c r="DC1844" s="7"/>
      <c r="DD1844" s="7"/>
      <c r="DE1844" s="8">
        <f t="shared" ref="DE1844:DE1846" si="8474">SUM(CZ1844:DD1844)</f>
        <v>0</v>
      </c>
    </row>
    <row r="1845" spans="3:109">
      <c r="C1845" s="567"/>
      <c r="E1845" s="5" t="s">
        <v>61</v>
      </c>
      <c r="F1845" s="23">
        <f t="shared" si="8469"/>
        <v>0</v>
      </c>
      <c r="G1845" s="24">
        <f t="shared" si="8460"/>
        <v>0</v>
      </c>
      <c r="H1845" s="24">
        <f t="shared" si="8461"/>
        <v>0</v>
      </c>
      <c r="I1845" s="24">
        <f t="shared" si="8462"/>
        <v>0</v>
      </c>
      <c r="J1845" s="24">
        <f t="shared" si="8463"/>
        <v>0</v>
      </c>
      <c r="K1845" s="8">
        <f t="shared" si="8470"/>
        <v>0</v>
      </c>
      <c r="M1845" s="6"/>
      <c r="N1845" s="7"/>
      <c r="O1845" s="7"/>
      <c r="P1845" s="7"/>
      <c r="Q1845" s="7"/>
      <c r="R1845" s="8">
        <f t="shared" si="8471"/>
        <v>0</v>
      </c>
      <c r="T1845" s="6"/>
      <c r="U1845" s="7"/>
      <c r="V1845" s="7"/>
      <c r="W1845" s="7"/>
      <c r="X1845" s="7"/>
      <c r="Y1845" s="8">
        <f t="shared" si="8472"/>
        <v>0</v>
      </c>
      <c r="AA1845" s="6"/>
      <c r="AB1845" s="7"/>
      <c r="AC1845" s="7"/>
      <c r="AD1845" s="7"/>
      <c r="AE1845" s="7"/>
      <c r="AF1845" s="8">
        <f>SUM(AA1845:AE1845)</f>
        <v>0</v>
      </c>
      <c r="AH1845" s="6"/>
      <c r="AI1845" s="7"/>
      <c r="AJ1845" s="7"/>
      <c r="AK1845" s="7"/>
      <c r="AL1845" s="7"/>
      <c r="AM1845" s="8">
        <f>SUM(AH1845:AL1845)</f>
        <v>0</v>
      </c>
      <c r="AO1845" s="6"/>
      <c r="AP1845" s="7"/>
      <c r="AQ1845" s="7"/>
      <c r="AR1845" s="7"/>
      <c r="AS1845" s="7"/>
      <c r="AT1845" s="8">
        <f>SUM(AO1845:AS1845)</f>
        <v>0</v>
      </c>
      <c r="AV1845" s="6"/>
      <c r="AW1845" s="7"/>
      <c r="AX1845" s="7"/>
      <c r="AY1845" s="7"/>
      <c r="AZ1845" s="7"/>
      <c r="BA1845" s="8">
        <f>SUM(AV1845:AZ1845)</f>
        <v>0</v>
      </c>
      <c r="BC1845" s="6"/>
      <c r="BD1845" s="7"/>
      <c r="BE1845" s="7"/>
      <c r="BF1845" s="7"/>
      <c r="BG1845" s="7"/>
      <c r="BH1845" s="8">
        <f>SUM(BC1845:BG1845)</f>
        <v>0</v>
      </c>
      <c r="BJ1845" s="6"/>
      <c r="BK1845" s="7"/>
      <c r="BL1845" s="7"/>
      <c r="BM1845" s="7"/>
      <c r="BN1845" s="7"/>
      <c r="BO1845" s="8">
        <f>SUM(BJ1845:BN1845)</f>
        <v>0</v>
      </c>
      <c r="BQ1845" s="6"/>
      <c r="BR1845" s="7"/>
      <c r="BS1845" s="7"/>
      <c r="BT1845" s="7"/>
      <c r="BU1845" s="7"/>
      <c r="BV1845" s="8">
        <f>SUM(BQ1845:BU1845)</f>
        <v>0</v>
      </c>
      <c r="BX1845" s="6"/>
      <c r="BY1845" s="7"/>
      <c r="BZ1845" s="7"/>
      <c r="CA1845" s="7"/>
      <c r="CB1845" s="7"/>
      <c r="CC1845" s="8">
        <f>SUM(BX1845:CB1845)</f>
        <v>0</v>
      </c>
      <c r="CE1845" s="28">
        <f t="shared" si="8464"/>
        <v>0</v>
      </c>
      <c r="CF1845" s="29">
        <f t="shared" si="8465"/>
        <v>0</v>
      </c>
      <c r="CG1845" s="29">
        <f t="shared" si="8466"/>
        <v>0</v>
      </c>
      <c r="CH1845" s="29">
        <f t="shared" si="8467"/>
        <v>0</v>
      </c>
      <c r="CI1845" s="29">
        <f t="shared" si="8468"/>
        <v>0</v>
      </c>
      <c r="CJ1845" s="8">
        <f>SUM(CE1845:CI1845)</f>
        <v>0</v>
      </c>
      <c r="CL1845" s="6"/>
      <c r="CM1845" s="7"/>
      <c r="CN1845" s="7"/>
      <c r="CO1845" s="7"/>
      <c r="CP1845" s="7"/>
      <c r="CQ1845" s="8">
        <f>SUM(CL1845:CP1845)</f>
        <v>0</v>
      </c>
      <c r="CS1845" s="6"/>
      <c r="CT1845" s="7"/>
      <c r="CU1845" s="7"/>
      <c r="CV1845" s="7"/>
      <c r="CW1845" s="7"/>
      <c r="CX1845" s="8">
        <f t="shared" si="8473"/>
        <v>0</v>
      </c>
      <c r="CZ1845" s="6"/>
      <c r="DA1845" s="7"/>
      <c r="DB1845" s="7"/>
      <c r="DC1845" s="7"/>
      <c r="DD1845" s="7"/>
      <c r="DE1845" s="8">
        <f t="shared" si="8474"/>
        <v>0</v>
      </c>
    </row>
    <row r="1846" spans="3:109" ht="14" thickBot="1">
      <c r="C1846" s="567"/>
      <c r="E1846" s="5" t="s">
        <v>62</v>
      </c>
      <c r="F1846" s="23">
        <f t="shared" si="8469"/>
        <v>0</v>
      </c>
      <c r="G1846" s="24">
        <f t="shared" si="8460"/>
        <v>0</v>
      </c>
      <c r="H1846" s="24">
        <f t="shared" si="8461"/>
        <v>0</v>
      </c>
      <c r="I1846" s="24">
        <f t="shared" si="8462"/>
        <v>0</v>
      </c>
      <c r="J1846" s="24">
        <f t="shared" si="8463"/>
        <v>0</v>
      </c>
      <c r="K1846" s="8">
        <f t="shared" si="8470"/>
        <v>0</v>
      </c>
      <c r="M1846" s="6"/>
      <c r="N1846" s="7"/>
      <c r="O1846" s="7"/>
      <c r="P1846" s="7"/>
      <c r="Q1846" s="7"/>
      <c r="R1846" s="8">
        <f t="shared" si="8471"/>
        <v>0</v>
      </c>
      <c r="T1846" s="6"/>
      <c r="U1846" s="7"/>
      <c r="V1846" s="7"/>
      <c r="W1846" s="7"/>
      <c r="X1846" s="7"/>
      <c r="Y1846" s="8">
        <f t="shared" si="8472"/>
        <v>0</v>
      </c>
      <c r="AA1846" s="6"/>
      <c r="AB1846" s="7"/>
      <c r="AC1846" s="7"/>
      <c r="AD1846" s="7"/>
      <c r="AE1846" s="7"/>
      <c r="AF1846" s="8">
        <f>SUM(AA1846:AE1846)</f>
        <v>0</v>
      </c>
      <c r="AH1846" s="6"/>
      <c r="AI1846" s="7"/>
      <c r="AJ1846" s="7"/>
      <c r="AK1846" s="7"/>
      <c r="AL1846" s="7"/>
      <c r="AM1846" s="8">
        <f>SUM(AH1846:AL1846)</f>
        <v>0</v>
      </c>
      <c r="AO1846" s="6"/>
      <c r="AP1846" s="7"/>
      <c r="AQ1846" s="7"/>
      <c r="AR1846" s="7"/>
      <c r="AS1846" s="7"/>
      <c r="AT1846" s="8">
        <f>SUM(AO1846:AS1846)</f>
        <v>0</v>
      </c>
      <c r="AV1846" s="6"/>
      <c r="AW1846" s="7"/>
      <c r="AX1846" s="7"/>
      <c r="AY1846" s="7"/>
      <c r="AZ1846" s="7"/>
      <c r="BA1846" s="8">
        <f>SUM(AV1846:AZ1846)</f>
        <v>0</v>
      </c>
      <c r="BC1846" s="6"/>
      <c r="BD1846" s="7"/>
      <c r="BE1846" s="7"/>
      <c r="BF1846" s="7"/>
      <c r="BG1846" s="7"/>
      <c r="BH1846" s="8">
        <f>SUM(BC1846:BG1846)</f>
        <v>0</v>
      </c>
      <c r="BJ1846" s="6"/>
      <c r="BK1846" s="7"/>
      <c r="BL1846" s="7"/>
      <c r="BM1846" s="7"/>
      <c r="BN1846" s="7"/>
      <c r="BO1846" s="8">
        <f>SUM(BJ1846:BN1846)</f>
        <v>0</v>
      </c>
      <c r="BQ1846" s="6"/>
      <c r="BR1846" s="7"/>
      <c r="BS1846" s="7"/>
      <c r="BT1846" s="7"/>
      <c r="BU1846" s="7"/>
      <c r="BV1846" s="8">
        <f>SUM(BQ1846:BU1846)</f>
        <v>0</v>
      </c>
      <c r="BX1846" s="6"/>
      <c r="BY1846" s="7"/>
      <c r="BZ1846" s="7"/>
      <c r="CA1846" s="7"/>
      <c r="CB1846" s="7"/>
      <c r="CC1846" s="8">
        <f>SUM(BX1846:CB1846)</f>
        <v>0</v>
      </c>
      <c r="CE1846" s="493">
        <f t="shared" si="8464"/>
        <v>0</v>
      </c>
      <c r="CF1846" s="494">
        <f t="shared" si="8465"/>
        <v>0</v>
      </c>
      <c r="CG1846" s="494">
        <f t="shared" si="8466"/>
        <v>0</v>
      </c>
      <c r="CH1846" s="494">
        <f t="shared" si="8467"/>
        <v>0</v>
      </c>
      <c r="CI1846" s="494">
        <f t="shared" si="8468"/>
        <v>0</v>
      </c>
      <c r="CJ1846" s="495">
        <f>SUM(CE1846:CI1846)</f>
        <v>0</v>
      </c>
      <c r="CL1846" s="6"/>
      <c r="CM1846" s="7"/>
      <c r="CN1846" s="7"/>
      <c r="CO1846" s="7"/>
      <c r="CP1846" s="7"/>
      <c r="CQ1846" s="8">
        <f>SUM(CL1846:CP1846)</f>
        <v>0</v>
      </c>
      <c r="CS1846" s="6"/>
      <c r="CT1846" s="7"/>
      <c r="CU1846" s="7"/>
      <c r="CV1846" s="7"/>
      <c r="CW1846" s="7"/>
      <c r="CX1846" s="8">
        <f t="shared" si="8473"/>
        <v>0</v>
      </c>
      <c r="CZ1846" s="6"/>
      <c r="DA1846" s="7"/>
      <c r="DB1846" s="7"/>
      <c r="DC1846" s="7"/>
      <c r="DD1846" s="7"/>
      <c r="DE1846" s="8">
        <f t="shared" si="8474"/>
        <v>0</v>
      </c>
    </row>
    <row r="1847" spans="3:109" ht="14" thickBot="1">
      <c r="C1847" s="554"/>
      <c r="E1847" s="9"/>
      <c r="F1847" s="10">
        <f>SUM(F1843:F1846)</f>
        <v>0</v>
      </c>
      <c r="G1847" s="11">
        <f t="shared" ref="G1847:J1847" si="8475">SUM(G1843:G1846)</f>
        <v>0</v>
      </c>
      <c r="H1847" s="11">
        <f t="shared" si="8475"/>
        <v>0</v>
      </c>
      <c r="I1847" s="11">
        <f t="shared" si="8475"/>
        <v>0</v>
      </c>
      <c r="J1847" s="11">
        <f t="shared" si="8475"/>
        <v>0</v>
      </c>
      <c r="K1847" s="25">
        <f>SUM(K1843:K1846)</f>
        <v>0</v>
      </c>
      <c r="M1847" s="10">
        <f>SUM(M1843:M1846)</f>
        <v>0</v>
      </c>
      <c r="N1847" s="11">
        <f t="shared" ref="N1847:Q1847" si="8476">SUM(N1843:N1846)</f>
        <v>0</v>
      </c>
      <c r="O1847" s="11">
        <f t="shared" si="8476"/>
        <v>0</v>
      </c>
      <c r="P1847" s="11">
        <f t="shared" si="8476"/>
        <v>0</v>
      </c>
      <c r="Q1847" s="11">
        <f t="shared" si="8476"/>
        <v>0</v>
      </c>
      <c r="R1847" s="25">
        <f>SUM(R1843:R1846)</f>
        <v>0</v>
      </c>
      <c r="T1847" s="10">
        <f>SUM(T1843:T1846)</f>
        <v>0</v>
      </c>
      <c r="U1847" s="11">
        <f t="shared" ref="U1847:X1847" si="8477">SUM(U1843:U1846)</f>
        <v>0</v>
      </c>
      <c r="V1847" s="11">
        <f t="shared" si="8477"/>
        <v>0</v>
      </c>
      <c r="W1847" s="11">
        <f t="shared" si="8477"/>
        <v>0</v>
      </c>
      <c r="X1847" s="11">
        <f t="shared" si="8477"/>
        <v>0</v>
      </c>
      <c r="Y1847" s="25">
        <f>SUM(Y1843:Y1846)</f>
        <v>0</v>
      </c>
      <c r="AA1847" s="10">
        <f>SUM(AA1843:AA1846)</f>
        <v>0</v>
      </c>
      <c r="AB1847" s="11">
        <f t="shared" ref="AB1847:AE1847" si="8478">SUM(AB1843:AB1846)</f>
        <v>0</v>
      </c>
      <c r="AC1847" s="11">
        <f t="shared" si="8478"/>
        <v>0</v>
      </c>
      <c r="AD1847" s="11">
        <f t="shared" si="8478"/>
        <v>0</v>
      </c>
      <c r="AE1847" s="11">
        <f t="shared" si="8478"/>
        <v>0</v>
      </c>
      <c r="AF1847" s="25">
        <f>SUM(AF1843:AF1846)</f>
        <v>0</v>
      </c>
      <c r="AH1847" s="10">
        <f>SUM(AH1843:AH1846)</f>
        <v>0</v>
      </c>
      <c r="AI1847" s="11">
        <f t="shared" ref="AI1847:AL1847" si="8479">SUM(AI1843:AI1846)</f>
        <v>0</v>
      </c>
      <c r="AJ1847" s="11">
        <f t="shared" si="8479"/>
        <v>0</v>
      </c>
      <c r="AK1847" s="11">
        <f t="shared" si="8479"/>
        <v>0</v>
      </c>
      <c r="AL1847" s="11">
        <f t="shared" si="8479"/>
        <v>0</v>
      </c>
      <c r="AM1847" s="25">
        <f>SUM(AM1843:AM1846)</f>
        <v>0</v>
      </c>
      <c r="AO1847" s="10">
        <f>SUM(AO1843:AO1846)</f>
        <v>0</v>
      </c>
      <c r="AP1847" s="11">
        <f t="shared" ref="AP1847:AS1847" si="8480">SUM(AP1843:AP1846)</f>
        <v>0</v>
      </c>
      <c r="AQ1847" s="11">
        <f t="shared" si="8480"/>
        <v>0</v>
      </c>
      <c r="AR1847" s="11">
        <f t="shared" si="8480"/>
        <v>0</v>
      </c>
      <c r="AS1847" s="11">
        <f t="shared" si="8480"/>
        <v>0</v>
      </c>
      <c r="AT1847" s="25">
        <f>SUM(AT1843:AT1846)</f>
        <v>0</v>
      </c>
      <c r="AV1847" s="10">
        <f>SUM(AV1843:AV1846)</f>
        <v>0</v>
      </c>
      <c r="AW1847" s="11">
        <f t="shared" ref="AW1847:AZ1847" si="8481">SUM(AW1843:AW1846)</f>
        <v>0</v>
      </c>
      <c r="AX1847" s="11">
        <f t="shared" si="8481"/>
        <v>0</v>
      </c>
      <c r="AY1847" s="11">
        <f t="shared" si="8481"/>
        <v>0</v>
      </c>
      <c r="AZ1847" s="11">
        <f t="shared" si="8481"/>
        <v>0</v>
      </c>
      <c r="BA1847" s="25">
        <f>SUM(BA1843:BA1846)</f>
        <v>0</v>
      </c>
      <c r="BC1847" s="10">
        <f>SUM(BC1843:BC1846)</f>
        <v>0</v>
      </c>
      <c r="BD1847" s="11">
        <f t="shared" ref="BD1847:BG1847" si="8482">SUM(BD1843:BD1846)</f>
        <v>0</v>
      </c>
      <c r="BE1847" s="11">
        <f t="shared" si="8482"/>
        <v>0</v>
      </c>
      <c r="BF1847" s="11">
        <f t="shared" si="8482"/>
        <v>0</v>
      </c>
      <c r="BG1847" s="11">
        <f t="shared" si="8482"/>
        <v>0</v>
      </c>
      <c r="BH1847" s="25">
        <f>SUM(BH1843:BH1846)</f>
        <v>0</v>
      </c>
      <c r="BJ1847" s="10">
        <f>SUM(BJ1843:BJ1846)</f>
        <v>0</v>
      </c>
      <c r="BK1847" s="11">
        <f t="shared" ref="BK1847:BN1847" si="8483">SUM(BK1843:BK1846)</f>
        <v>0</v>
      </c>
      <c r="BL1847" s="11">
        <f t="shared" si="8483"/>
        <v>0</v>
      </c>
      <c r="BM1847" s="11">
        <f t="shared" si="8483"/>
        <v>0</v>
      </c>
      <c r="BN1847" s="11">
        <f t="shared" si="8483"/>
        <v>0</v>
      </c>
      <c r="BO1847" s="25">
        <f>SUM(BO1843:BO1846)</f>
        <v>0</v>
      </c>
      <c r="BQ1847" s="10">
        <f>SUM(BQ1843:BQ1846)</f>
        <v>0</v>
      </c>
      <c r="BR1847" s="11">
        <f t="shared" ref="BR1847:BU1847" si="8484">SUM(BR1843:BR1846)</f>
        <v>0</v>
      </c>
      <c r="BS1847" s="11">
        <f t="shared" si="8484"/>
        <v>0</v>
      </c>
      <c r="BT1847" s="11">
        <f t="shared" si="8484"/>
        <v>0</v>
      </c>
      <c r="BU1847" s="11">
        <f t="shared" si="8484"/>
        <v>0</v>
      </c>
      <c r="BV1847" s="25">
        <f>SUM(BV1843:BV1846)</f>
        <v>0</v>
      </c>
      <c r="BX1847" s="10">
        <f>SUM(BX1843:BX1846)</f>
        <v>0</v>
      </c>
      <c r="BY1847" s="11">
        <f t="shared" ref="BY1847:CB1847" si="8485">SUM(BY1843:BY1846)</f>
        <v>0</v>
      </c>
      <c r="BZ1847" s="11">
        <f t="shared" si="8485"/>
        <v>0</v>
      </c>
      <c r="CA1847" s="11">
        <f t="shared" si="8485"/>
        <v>0</v>
      </c>
      <c r="CB1847" s="11">
        <f t="shared" si="8485"/>
        <v>0</v>
      </c>
      <c r="CC1847" s="25">
        <f>SUM(CC1843:CC1846)</f>
        <v>0</v>
      </c>
      <c r="CE1847" s="62">
        <f t="shared" ref="CE1847:CJ1847" si="8486">SUM(CE1843:CE1846)</f>
        <v>0</v>
      </c>
      <c r="CF1847" s="63">
        <f t="shared" si="8486"/>
        <v>0</v>
      </c>
      <c r="CG1847" s="63">
        <f t="shared" si="8486"/>
        <v>0</v>
      </c>
      <c r="CH1847" s="63">
        <f t="shared" si="8486"/>
        <v>0</v>
      </c>
      <c r="CI1847" s="63">
        <f t="shared" si="8486"/>
        <v>0</v>
      </c>
      <c r="CJ1847" s="25">
        <f t="shared" si="8486"/>
        <v>0</v>
      </c>
      <c r="CL1847" s="10">
        <f>SUM(CL1843:CL1846)</f>
        <v>0</v>
      </c>
      <c r="CM1847" s="11">
        <f t="shared" ref="CM1847:CP1847" si="8487">SUM(CM1843:CM1846)</f>
        <v>0</v>
      </c>
      <c r="CN1847" s="11">
        <f t="shared" si="8487"/>
        <v>0</v>
      </c>
      <c r="CO1847" s="11">
        <f t="shared" si="8487"/>
        <v>0</v>
      </c>
      <c r="CP1847" s="11">
        <f t="shared" si="8487"/>
        <v>0</v>
      </c>
      <c r="CQ1847" s="25">
        <f>SUM(CQ1843:CQ1846)</f>
        <v>0</v>
      </c>
      <c r="CS1847" s="10">
        <f>SUM(CS1843:CS1846)</f>
        <v>0</v>
      </c>
      <c r="CT1847" s="11">
        <f t="shared" ref="CT1847:CW1847" si="8488">SUM(CT1843:CT1846)</f>
        <v>0</v>
      </c>
      <c r="CU1847" s="11">
        <f t="shared" si="8488"/>
        <v>0</v>
      </c>
      <c r="CV1847" s="11">
        <f t="shared" si="8488"/>
        <v>0</v>
      </c>
      <c r="CW1847" s="11">
        <f t="shared" si="8488"/>
        <v>0</v>
      </c>
      <c r="CX1847" s="25">
        <f>SUM(CX1843:CX1846)</f>
        <v>0</v>
      </c>
      <c r="CZ1847" s="10">
        <f>SUM(CZ1843:CZ1846)</f>
        <v>0</v>
      </c>
      <c r="DA1847" s="11">
        <f t="shared" ref="DA1847:DD1847" si="8489">SUM(DA1843:DA1846)</f>
        <v>0</v>
      </c>
      <c r="DB1847" s="11">
        <f t="shared" si="8489"/>
        <v>0</v>
      </c>
      <c r="DC1847" s="11">
        <f t="shared" si="8489"/>
        <v>0</v>
      </c>
      <c r="DD1847" s="11">
        <f t="shared" si="8489"/>
        <v>0</v>
      </c>
      <c r="DE1847" s="25">
        <f>SUM(DE1843:DE1846)</f>
        <v>0</v>
      </c>
    </row>
    <row r="1848" spans="3:109" ht="10.4" customHeight="1" thickBot="1"/>
    <row r="1849" spans="3:109">
      <c r="C1849" s="553">
        <v>2027</v>
      </c>
      <c r="E1849" s="1" t="s">
        <v>59</v>
      </c>
      <c r="F1849" s="21">
        <f>CE1843</f>
        <v>0</v>
      </c>
      <c r="G1849" s="22">
        <f t="shared" ref="G1849:G1852" si="8490">CF1843</f>
        <v>0</v>
      </c>
      <c r="H1849" s="22">
        <f t="shared" ref="H1849:H1852" si="8491">CG1843</f>
        <v>0</v>
      </c>
      <c r="I1849" s="22">
        <f t="shared" ref="I1849:I1852" si="8492">CH1843</f>
        <v>0</v>
      </c>
      <c r="J1849" s="22">
        <f t="shared" ref="J1849:J1852" si="8493">CI1843</f>
        <v>0</v>
      </c>
      <c r="K1849" s="4">
        <f>SUM(F1849:J1849)</f>
        <v>0</v>
      </c>
      <c r="M1849" s="2"/>
      <c r="N1849" s="3"/>
      <c r="O1849" s="3"/>
      <c r="P1849" s="3"/>
      <c r="Q1849" s="3"/>
      <c r="R1849" s="4">
        <f>SUM(M1849:Q1849)</f>
        <v>0</v>
      </c>
      <c r="T1849" s="2"/>
      <c r="U1849" s="3"/>
      <c r="V1849" s="3"/>
      <c r="W1849" s="3"/>
      <c r="X1849" s="3"/>
      <c r="Y1849" s="4">
        <f>SUM(T1849:X1849)</f>
        <v>0</v>
      </c>
      <c r="AA1849" s="2"/>
      <c r="AB1849" s="3"/>
      <c r="AC1849" s="3"/>
      <c r="AD1849" s="3"/>
      <c r="AE1849" s="3"/>
      <c r="AF1849" s="4">
        <f>SUM(AA1849:AE1849)</f>
        <v>0</v>
      </c>
      <c r="AH1849" s="2"/>
      <c r="AI1849" s="3"/>
      <c r="AJ1849" s="3"/>
      <c r="AK1849" s="3"/>
      <c r="AL1849" s="3"/>
      <c r="AM1849" s="4">
        <f>SUM(AH1849:AL1849)</f>
        <v>0</v>
      </c>
      <c r="AO1849" s="2"/>
      <c r="AP1849" s="3"/>
      <c r="AQ1849" s="3"/>
      <c r="AR1849" s="3"/>
      <c r="AS1849" s="3"/>
      <c r="AT1849" s="4">
        <f>SUM(AO1849:AS1849)</f>
        <v>0</v>
      </c>
      <c r="AV1849" s="2"/>
      <c r="AW1849" s="3"/>
      <c r="AX1849" s="3"/>
      <c r="AY1849" s="3"/>
      <c r="AZ1849" s="3"/>
      <c r="BA1849" s="4">
        <f>SUM(AV1849:AZ1849)</f>
        <v>0</v>
      </c>
      <c r="BC1849" s="2"/>
      <c r="BD1849" s="3"/>
      <c r="BE1849" s="3"/>
      <c r="BF1849" s="3"/>
      <c r="BG1849" s="3"/>
      <c r="BH1849" s="4">
        <f>SUM(BC1849:BG1849)</f>
        <v>0</v>
      </c>
      <c r="BJ1849" s="2"/>
      <c r="BK1849" s="3"/>
      <c r="BL1849" s="3"/>
      <c r="BM1849" s="3"/>
      <c r="BN1849" s="3"/>
      <c r="BO1849" s="4">
        <f>SUM(BJ1849:BN1849)</f>
        <v>0</v>
      </c>
      <c r="BQ1849" s="2"/>
      <c r="BR1849" s="3"/>
      <c r="BS1849" s="3"/>
      <c r="BT1849" s="3"/>
      <c r="BU1849" s="3"/>
      <c r="BV1849" s="4">
        <f>SUM(BQ1849:BU1849)</f>
        <v>0</v>
      </c>
      <c r="BX1849" s="2"/>
      <c r="BY1849" s="3"/>
      <c r="BZ1849" s="3"/>
      <c r="CA1849" s="3"/>
      <c r="CB1849" s="3"/>
      <c r="CC1849" s="4">
        <f>SUM(BX1849:CB1849)</f>
        <v>0</v>
      </c>
      <c r="CE1849" s="26">
        <f t="shared" ref="CE1849:CE1852" si="8494">F1849+M1849+T1849+AA1849+AH1849+AO1849+AV1849+BC1849+BJ1849+BQ1849+BX1849</f>
        <v>0</v>
      </c>
      <c r="CF1849" s="27">
        <f t="shared" ref="CF1849:CF1852" si="8495">G1849+N1849+U1849+AB1849+AI1849+AP1849+AW1849+BD1849+BK1849+BR1849+BY1849</f>
        <v>0</v>
      </c>
      <c r="CG1849" s="27">
        <f t="shared" ref="CG1849:CG1852" si="8496">H1849+O1849+V1849+AC1849+AJ1849+AQ1849+AX1849+BE1849+BL1849+BS1849+BZ1849</f>
        <v>0</v>
      </c>
      <c r="CH1849" s="27">
        <f t="shared" ref="CH1849:CH1852" si="8497">I1849+P1849+W1849+AD1849+AK1849+AR1849+AY1849+BF1849+BM1849+BT1849+CA1849</f>
        <v>0</v>
      </c>
      <c r="CI1849" s="27">
        <f t="shared" ref="CI1849:CI1852" si="8498">J1849+Q1849+X1849+AE1849+AL1849+AS1849+AZ1849+BG1849+BN1849+BU1849+CB1849</f>
        <v>0</v>
      </c>
      <c r="CJ1849" s="4">
        <f>SUM(CE1849:CI1849)</f>
        <v>0</v>
      </c>
      <c r="CL1849" s="2"/>
      <c r="CM1849" s="3"/>
      <c r="CN1849" s="3"/>
      <c r="CO1849" s="3"/>
      <c r="CP1849" s="3"/>
      <c r="CQ1849" s="4">
        <f>SUM(CL1849:CP1849)</f>
        <v>0</v>
      </c>
      <c r="CS1849" s="2"/>
      <c r="CT1849" s="3"/>
      <c r="CU1849" s="3"/>
      <c r="CV1849" s="3"/>
      <c r="CW1849" s="3"/>
      <c r="CX1849" s="4">
        <f>SUM(CS1849:CW1849)</f>
        <v>0</v>
      </c>
      <c r="CZ1849" s="2"/>
      <c r="DA1849" s="3"/>
      <c r="DB1849" s="3"/>
      <c r="DC1849" s="3"/>
      <c r="DD1849" s="3"/>
      <c r="DE1849" s="4">
        <f>SUM(CZ1849:DD1849)</f>
        <v>0</v>
      </c>
    </row>
    <row r="1850" spans="3:109">
      <c r="C1850" s="567"/>
      <c r="E1850" s="5" t="s">
        <v>60</v>
      </c>
      <c r="F1850" s="23">
        <f t="shared" ref="F1850:F1852" si="8499">CE1844</f>
        <v>0</v>
      </c>
      <c r="G1850" s="24">
        <f t="shared" si="8490"/>
        <v>0</v>
      </c>
      <c r="H1850" s="24">
        <f t="shared" si="8491"/>
        <v>0</v>
      </c>
      <c r="I1850" s="24">
        <f t="shared" si="8492"/>
        <v>0</v>
      </c>
      <c r="J1850" s="24">
        <f t="shared" si="8493"/>
        <v>0</v>
      </c>
      <c r="K1850" s="8">
        <f t="shared" ref="K1850:K1852" si="8500">SUM(F1850:J1850)</f>
        <v>0</v>
      </c>
      <c r="M1850" s="6"/>
      <c r="N1850" s="7"/>
      <c r="O1850" s="7"/>
      <c r="P1850" s="7"/>
      <c r="Q1850" s="7"/>
      <c r="R1850" s="8">
        <f t="shared" ref="R1850:R1852" si="8501">SUM(M1850:Q1850)</f>
        <v>0</v>
      </c>
      <c r="T1850" s="6"/>
      <c r="U1850" s="7"/>
      <c r="V1850" s="7"/>
      <c r="W1850" s="7"/>
      <c r="X1850" s="7"/>
      <c r="Y1850" s="8">
        <f t="shared" ref="Y1850:Y1852" si="8502">SUM(T1850:X1850)</f>
        <v>0</v>
      </c>
      <c r="AA1850" s="6"/>
      <c r="AB1850" s="7"/>
      <c r="AC1850" s="7"/>
      <c r="AD1850" s="7"/>
      <c r="AE1850" s="7"/>
      <c r="AF1850" s="8">
        <f>SUM(AA1850:AE1850)</f>
        <v>0</v>
      </c>
      <c r="AH1850" s="6"/>
      <c r="AI1850" s="7"/>
      <c r="AJ1850" s="7"/>
      <c r="AK1850" s="7"/>
      <c r="AL1850" s="7"/>
      <c r="AM1850" s="8">
        <f>SUM(AH1850:AL1850)</f>
        <v>0</v>
      </c>
      <c r="AO1850" s="6"/>
      <c r="AP1850" s="7"/>
      <c r="AQ1850" s="7"/>
      <c r="AR1850" s="7"/>
      <c r="AS1850" s="7"/>
      <c r="AT1850" s="8">
        <f>SUM(AO1850:AS1850)</f>
        <v>0</v>
      </c>
      <c r="AV1850" s="6"/>
      <c r="AW1850" s="7"/>
      <c r="AX1850" s="7"/>
      <c r="AY1850" s="7"/>
      <c r="AZ1850" s="7"/>
      <c r="BA1850" s="8">
        <f>SUM(AV1850:AZ1850)</f>
        <v>0</v>
      </c>
      <c r="BC1850" s="6"/>
      <c r="BD1850" s="7"/>
      <c r="BE1850" s="7"/>
      <c r="BF1850" s="7"/>
      <c r="BG1850" s="7"/>
      <c r="BH1850" s="8">
        <f>SUM(BC1850:BG1850)</f>
        <v>0</v>
      </c>
      <c r="BJ1850" s="6"/>
      <c r="BK1850" s="7"/>
      <c r="BL1850" s="7"/>
      <c r="BM1850" s="7"/>
      <c r="BN1850" s="7"/>
      <c r="BO1850" s="8">
        <f>SUM(BJ1850:BN1850)</f>
        <v>0</v>
      </c>
      <c r="BQ1850" s="6"/>
      <c r="BR1850" s="7"/>
      <c r="BS1850" s="7"/>
      <c r="BT1850" s="7"/>
      <c r="BU1850" s="7"/>
      <c r="BV1850" s="8">
        <f>SUM(BQ1850:BU1850)</f>
        <v>0</v>
      </c>
      <c r="BX1850" s="6"/>
      <c r="BY1850" s="7"/>
      <c r="BZ1850" s="7"/>
      <c r="CA1850" s="7"/>
      <c r="CB1850" s="7"/>
      <c r="CC1850" s="8">
        <f>SUM(BX1850:CB1850)</f>
        <v>0</v>
      </c>
      <c r="CE1850" s="28">
        <f t="shared" si="8494"/>
        <v>0</v>
      </c>
      <c r="CF1850" s="29">
        <f t="shared" si="8495"/>
        <v>0</v>
      </c>
      <c r="CG1850" s="29">
        <f t="shared" si="8496"/>
        <v>0</v>
      </c>
      <c r="CH1850" s="29">
        <f t="shared" si="8497"/>
        <v>0</v>
      </c>
      <c r="CI1850" s="29">
        <f t="shared" si="8498"/>
        <v>0</v>
      </c>
      <c r="CJ1850" s="8">
        <f>SUM(CE1850:CI1850)</f>
        <v>0</v>
      </c>
      <c r="CL1850" s="6"/>
      <c r="CM1850" s="7"/>
      <c r="CN1850" s="7"/>
      <c r="CO1850" s="7"/>
      <c r="CP1850" s="7"/>
      <c r="CQ1850" s="8">
        <f>SUM(CL1850:CP1850)</f>
        <v>0</v>
      </c>
      <c r="CS1850" s="6"/>
      <c r="CT1850" s="7"/>
      <c r="CU1850" s="7"/>
      <c r="CV1850" s="7"/>
      <c r="CW1850" s="7"/>
      <c r="CX1850" s="8">
        <f t="shared" ref="CX1850:CX1852" si="8503">SUM(CS1850:CW1850)</f>
        <v>0</v>
      </c>
      <c r="CZ1850" s="6"/>
      <c r="DA1850" s="7"/>
      <c r="DB1850" s="7"/>
      <c r="DC1850" s="7"/>
      <c r="DD1850" s="7"/>
      <c r="DE1850" s="8">
        <f t="shared" ref="DE1850:DE1852" si="8504">SUM(CZ1850:DD1850)</f>
        <v>0</v>
      </c>
    </row>
    <row r="1851" spans="3:109">
      <c r="C1851" s="567"/>
      <c r="E1851" s="5" t="s">
        <v>61</v>
      </c>
      <c r="F1851" s="23">
        <f t="shared" si="8499"/>
        <v>0</v>
      </c>
      <c r="G1851" s="24">
        <f t="shared" si="8490"/>
        <v>0</v>
      </c>
      <c r="H1851" s="24">
        <f t="shared" si="8491"/>
        <v>0</v>
      </c>
      <c r="I1851" s="24">
        <f t="shared" si="8492"/>
        <v>0</v>
      </c>
      <c r="J1851" s="24">
        <f t="shared" si="8493"/>
        <v>0</v>
      </c>
      <c r="K1851" s="8">
        <f t="shared" si="8500"/>
        <v>0</v>
      </c>
      <c r="M1851" s="6"/>
      <c r="N1851" s="7"/>
      <c r="O1851" s="7"/>
      <c r="P1851" s="7"/>
      <c r="Q1851" s="7"/>
      <c r="R1851" s="8">
        <f t="shared" si="8501"/>
        <v>0</v>
      </c>
      <c r="T1851" s="6"/>
      <c r="U1851" s="7"/>
      <c r="V1851" s="7"/>
      <c r="W1851" s="7"/>
      <c r="X1851" s="7"/>
      <c r="Y1851" s="8">
        <f t="shared" si="8502"/>
        <v>0</v>
      </c>
      <c r="AA1851" s="6"/>
      <c r="AB1851" s="7"/>
      <c r="AC1851" s="7"/>
      <c r="AD1851" s="7"/>
      <c r="AE1851" s="7"/>
      <c r="AF1851" s="8">
        <f>SUM(AA1851:AE1851)</f>
        <v>0</v>
      </c>
      <c r="AH1851" s="6"/>
      <c r="AI1851" s="7"/>
      <c r="AJ1851" s="7"/>
      <c r="AK1851" s="7"/>
      <c r="AL1851" s="7"/>
      <c r="AM1851" s="8">
        <f>SUM(AH1851:AL1851)</f>
        <v>0</v>
      </c>
      <c r="AO1851" s="6"/>
      <c r="AP1851" s="7"/>
      <c r="AQ1851" s="7"/>
      <c r="AR1851" s="7"/>
      <c r="AS1851" s="7"/>
      <c r="AT1851" s="8">
        <f>SUM(AO1851:AS1851)</f>
        <v>0</v>
      </c>
      <c r="AV1851" s="6"/>
      <c r="AW1851" s="7"/>
      <c r="AX1851" s="7"/>
      <c r="AY1851" s="7"/>
      <c r="AZ1851" s="7"/>
      <c r="BA1851" s="8">
        <f>SUM(AV1851:AZ1851)</f>
        <v>0</v>
      </c>
      <c r="BC1851" s="6"/>
      <c r="BD1851" s="7"/>
      <c r="BE1851" s="7"/>
      <c r="BF1851" s="7"/>
      <c r="BG1851" s="7"/>
      <c r="BH1851" s="8">
        <f>SUM(BC1851:BG1851)</f>
        <v>0</v>
      </c>
      <c r="BJ1851" s="6"/>
      <c r="BK1851" s="7"/>
      <c r="BL1851" s="7"/>
      <c r="BM1851" s="7"/>
      <c r="BN1851" s="7"/>
      <c r="BO1851" s="8">
        <f>SUM(BJ1851:BN1851)</f>
        <v>0</v>
      </c>
      <c r="BQ1851" s="6"/>
      <c r="BR1851" s="7"/>
      <c r="BS1851" s="7"/>
      <c r="BT1851" s="7"/>
      <c r="BU1851" s="7"/>
      <c r="BV1851" s="8">
        <f>SUM(BQ1851:BU1851)</f>
        <v>0</v>
      </c>
      <c r="BX1851" s="6"/>
      <c r="BY1851" s="7"/>
      <c r="BZ1851" s="7"/>
      <c r="CA1851" s="7"/>
      <c r="CB1851" s="7"/>
      <c r="CC1851" s="8">
        <f>SUM(BX1851:CB1851)</f>
        <v>0</v>
      </c>
      <c r="CE1851" s="28">
        <f t="shared" si="8494"/>
        <v>0</v>
      </c>
      <c r="CF1851" s="29">
        <f t="shared" si="8495"/>
        <v>0</v>
      </c>
      <c r="CG1851" s="29">
        <f t="shared" si="8496"/>
        <v>0</v>
      </c>
      <c r="CH1851" s="29">
        <f t="shared" si="8497"/>
        <v>0</v>
      </c>
      <c r="CI1851" s="29">
        <f t="shared" si="8498"/>
        <v>0</v>
      </c>
      <c r="CJ1851" s="8">
        <f>SUM(CE1851:CI1851)</f>
        <v>0</v>
      </c>
      <c r="CL1851" s="6"/>
      <c r="CM1851" s="7"/>
      <c r="CN1851" s="7"/>
      <c r="CO1851" s="7"/>
      <c r="CP1851" s="7"/>
      <c r="CQ1851" s="8">
        <f>SUM(CL1851:CP1851)</f>
        <v>0</v>
      </c>
      <c r="CS1851" s="6"/>
      <c r="CT1851" s="7"/>
      <c r="CU1851" s="7"/>
      <c r="CV1851" s="7"/>
      <c r="CW1851" s="7"/>
      <c r="CX1851" s="8">
        <f t="shared" si="8503"/>
        <v>0</v>
      </c>
      <c r="CZ1851" s="6"/>
      <c r="DA1851" s="7"/>
      <c r="DB1851" s="7"/>
      <c r="DC1851" s="7"/>
      <c r="DD1851" s="7"/>
      <c r="DE1851" s="8">
        <f t="shared" si="8504"/>
        <v>0</v>
      </c>
    </row>
    <row r="1852" spans="3:109" ht="14" thickBot="1">
      <c r="C1852" s="567"/>
      <c r="E1852" s="5" t="s">
        <v>62</v>
      </c>
      <c r="F1852" s="23">
        <f t="shared" si="8499"/>
        <v>0</v>
      </c>
      <c r="G1852" s="24">
        <f t="shared" si="8490"/>
        <v>0</v>
      </c>
      <c r="H1852" s="24">
        <f t="shared" si="8491"/>
        <v>0</v>
      </c>
      <c r="I1852" s="24">
        <f t="shared" si="8492"/>
        <v>0</v>
      </c>
      <c r="J1852" s="24">
        <f t="shared" si="8493"/>
        <v>0</v>
      </c>
      <c r="K1852" s="8">
        <f t="shared" si="8500"/>
        <v>0</v>
      </c>
      <c r="M1852" s="6"/>
      <c r="N1852" s="7"/>
      <c r="O1852" s="7"/>
      <c r="P1852" s="7"/>
      <c r="Q1852" s="7"/>
      <c r="R1852" s="8">
        <f t="shared" si="8501"/>
        <v>0</v>
      </c>
      <c r="T1852" s="6"/>
      <c r="U1852" s="7"/>
      <c r="V1852" s="7"/>
      <c r="W1852" s="7"/>
      <c r="X1852" s="7"/>
      <c r="Y1852" s="8">
        <f t="shared" si="8502"/>
        <v>0</v>
      </c>
      <c r="AA1852" s="6"/>
      <c r="AB1852" s="7"/>
      <c r="AC1852" s="7"/>
      <c r="AD1852" s="7"/>
      <c r="AE1852" s="7"/>
      <c r="AF1852" s="8">
        <f>SUM(AA1852:AE1852)</f>
        <v>0</v>
      </c>
      <c r="AH1852" s="6"/>
      <c r="AI1852" s="7"/>
      <c r="AJ1852" s="7"/>
      <c r="AK1852" s="7"/>
      <c r="AL1852" s="7"/>
      <c r="AM1852" s="8">
        <f>SUM(AH1852:AL1852)</f>
        <v>0</v>
      </c>
      <c r="AO1852" s="6"/>
      <c r="AP1852" s="7"/>
      <c r="AQ1852" s="7"/>
      <c r="AR1852" s="7"/>
      <c r="AS1852" s="7"/>
      <c r="AT1852" s="8">
        <f>SUM(AO1852:AS1852)</f>
        <v>0</v>
      </c>
      <c r="AV1852" s="6"/>
      <c r="AW1852" s="7"/>
      <c r="AX1852" s="7"/>
      <c r="AY1852" s="7"/>
      <c r="AZ1852" s="7"/>
      <c r="BA1852" s="8">
        <f>SUM(AV1852:AZ1852)</f>
        <v>0</v>
      </c>
      <c r="BC1852" s="6"/>
      <c r="BD1852" s="7"/>
      <c r="BE1852" s="7"/>
      <c r="BF1852" s="7"/>
      <c r="BG1852" s="7"/>
      <c r="BH1852" s="8">
        <f>SUM(BC1852:BG1852)</f>
        <v>0</v>
      </c>
      <c r="BJ1852" s="6"/>
      <c r="BK1852" s="7"/>
      <c r="BL1852" s="7"/>
      <c r="BM1852" s="7"/>
      <c r="BN1852" s="7"/>
      <c r="BO1852" s="8">
        <f>SUM(BJ1852:BN1852)</f>
        <v>0</v>
      </c>
      <c r="BQ1852" s="6"/>
      <c r="BR1852" s="7"/>
      <c r="BS1852" s="7"/>
      <c r="BT1852" s="7"/>
      <c r="BU1852" s="7"/>
      <c r="BV1852" s="8">
        <f>SUM(BQ1852:BU1852)</f>
        <v>0</v>
      </c>
      <c r="BX1852" s="6"/>
      <c r="BY1852" s="7"/>
      <c r="BZ1852" s="7"/>
      <c r="CA1852" s="7"/>
      <c r="CB1852" s="7"/>
      <c r="CC1852" s="8">
        <f>SUM(BX1852:CB1852)</f>
        <v>0</v>
      </c>
      <c r="CE1852" s="493">
        <f t="shared" si="8494"/>
        <v>0</v>
      </c>
      <c r="CF1852" s="494">
        <f t="shared" si="8495"/>
        <v>0</v>
      </c>
      <c r="CG1852" s="494">
        <f t="shared" si="8496"/>
        <v>0</v>
      </c>
      <c r="CH1852" s="494">
        <f t="shared" si="8497"/>
        <v>0</v>
      </c>
      <c r="CI1852" s="494">
        <f t="shared" si="8498"/>
        <v>0</v>
      </c>
      <c r="CJ1852" s="495">
        <f>SUM(CE1852:CI1852)</f>
        <v>0</v>
      </c>
      <c r="CL1852" s="6"/>
      <c r="CM1852" s="7"/>
      <c r="CN1852" s="7"/>
      <c r="CO1852" s="7"/>
      <c r="CP1852" s="7"/>
      <c r="CQ1852" s="8">
        <f>SUM(CL1852:CP1852)</f>
        <v>0</v>
      </c>
      <c r="CS1852" s="6"/>
      <c r="CT1852" s="7"/>
      <c r="CU1852" s="7"/>
      <c r="CV1852" s="7"/>
      <c r="CW1852" s="7"/>
      <c r="CX1852" s="8">
        <f t="shared" si="8503"/>
        <v>0</v>
      </c>
      <c r="CZ1852" s="6"/>
      <c r="DA1852" s="7"/>
      <c r="DB1852" s="7"/>
      <c r="DC1852" s="7"/>
      <c r="DD1852" s="7"/>
      <c r="DE1852" s="8">
        <f t="shared" si="8504"/>
        <v>0</v>
      </c>
    </row>
    <row r="1853" spans="3:109" ht="14" thickBot="1">
      <c r="C1853" s="554"/>
      <c r="E1853" s="9"/>
      <c r="F1853" s="10">
        <f>SUM(F1849:F1852)</f>
        <v>0</v>
      </c>
      <c r="G1853" s="11">
        <f t="shared" ref="G1853:J1853" si="8505">SUM(G1849:G1852)</f>
        <v>0</v>
      </c>
      <c r="H1853" s="11">
        <f t="shared" si="8505"/>
        <v>0</v>
      </c>
      <c r="I1853" s="11">
        <f t="shared" si="8505"/>
        <v>0</v>
      </c>
      <c r="J1853" s="11">
        <f t="shared" si="8505"/>
        <v>0</v>
      </c>
      <c r="K1853" s="25">
        <f>SUM(K1849:K1852)</f>
        <v>0</v>
      </c>
      <c r="M1853" s="10">
        <f>SUM(M1849:M1852)</f>
        <v>0</v>
      </c>
      <c r="N1853" s="11">
        <f t="shared" ref="N1853:Q1853" si="8506">SUM(N1849:N1852)</f>
        <v>0</v>
      </c>
      <c r="O1853" s="11">
        <f t="shared" si="8506"/>
        <v>0</v>
      </c>
      <c r="P1853" s="11">
        <f t="shared" si="8506"/>
        <v>0</v>
      </c>
      <c r="Q1853" s="11">
        <f t="shared" si="8506"/>
        <v>0</v>
      </c>
      <c r="R1853" s="25">
        <f>SUM(R1849:R1852)</f>
        <v>0</v>
      </c>
      <c r="T1853" s="10">
        <f>SUM(T1849:T1852)</f>
        <v>0</v>
      </c>
      <c r="U1853" s="11">
        <f t="shared" ref="U1853:X1853" si="8507">SUM(U1849:U1852)</f>
        <v>0</v>
      </c>
      <c r="V1853" s="11">
        <f t="shared" si="8507"/>
        <v>0</v>
      </c>
      <c r="W1853" s="11">
        <f t="shared" si="8507"/>
        <v>0</v>
      </c>
      <c r="X1853" s="11">
        <f t="shared" si="8507"/>
        <v>0</v>
      </c>
      <c r="Y1853" s="25">
        <f>SUM(Y1849:Y1852)</f>
        <v>0</v>
      </c>
      <c r="AA1853" s="10">
        <f>SUM(AA1849:AA1852)</f>
        <v>0</v>
      </c>
      <c r="AB1853" s="11">
        <f t="shared" ref="AB1853:AE1853" si="8508">SUM(AB1849:AB1852)</f>
        <v>0</v>
      </c>
      <c r="AC1853" s="11">
        <f t="shared" si="8508"/>
        <v>0</v>
      </c>
      <c r="AD1853" s="11">
        <f t="shared" si="8508"/>
        <v>0</v>
      </c>
      <c r="AE1853" s="11">
        <f t="shared" si="8508"/>
        <v>0</v>
      </c>
      <c r="AF1853" s="25">
        <f>SUM(AF1849:AF1852)</f>
        <v>0</v>
      </c>
      <c r="AH1853" s="10">
        <f>SUM(AH1849:AH1852)</f>
        <v>0</v>
      </c>
      <c r="AI1853" s="11">
        <f t="shared" ref="AI1853:AL1853" si="8509">SUM(AI1849:AI1852)</f>
        <v>0</v>
      </c>
      <c r="AJ1853" s="11">
        <f t="shared" si="8509"/>
        <v>0</v>
      </c>
      <c r="AK1853" s="11">
        <f t="shared" si="8509"/>
        <v>0</v>
      </c>
      <c r="AL1853" s="11">
        <f t="shared" si="8509"/>
        <v>0</v>
      </c>
      <c r="AM1853" s="25">
        <f>SUM(AM1849:AM1852)</f>
        <v>0</v>
      </c>
      <c r="AO1853" s="10">
        <f>SUM(AO1849:AO1852)</f>
        <v>0</v>
      </c>
      <c r="AP1853" s="11">
        <f t="shared" ref="AP1853:AS1853" si="8510">SUM(AP1849:AP1852)</f>
        <v>0</v>
      </c>
      <c r="AQ1853" s="11">
        <f t="shared" si="8510"/>
        <v>0</v>
      </c>
      <c r="AR1853" s="11">
        <f t="shared" si="8510"/>
        <v>0</v>
      </c>
      <c r="AS1853" s="11">
        <f t="shared" si="8510"/>
        <v>0</v>
      </c>
      <c r="AT1853" s="25">
        <f>SUM(AT1849:AT1852)</f>
        <v>0</v>
      </c>
      <c r="AV1853" s="10">
        <f>SUM(AV1849:AV1852)</f>
        <v>0</v>
      </c>
      <c r="AW1853" s="11">
        <f t="shared" ref="AW1853:AZ1853" si="8511">SUM(AW1849:AW1852)</f>
        <v>0</v>
      </c>
      <c r="AX1853" s="11">
        <f t="shared" si="8511"/>
        <v>0</v>
      </c>
      <c r="AY1853" s="11">
        <f t="shared" si="8511"/>
        <v>0</v>
      </c>
      <c r="AZ1853" s="11">
        <f t="shared" si="8511"/>
        <v>0</v>
      </c>
      <c r="BA1853" s="25">
        <f>SUM(BA1849:BA1852)</f>
        <v>0</v>
      </c>
      <c r="BC1853" s="10">
        <f>SUM(BC1849:BC1852)</f>
        <v>0</v>
      </c>
      <c r="BD1853" s="11">
        <f t="shared" ref="BD1853:BG1853" si="8512">SUM(BD1849:BD1852)</f>
        <v>0</v>
      </c>
      <c r="BE1853" s="11">
        <f t="shared" si="8512"/>
        <v>0</v>
      </c>
      <c r="BF1853" s="11">
        <f t="shared" si="8512"/>
        <v>0</v>
      </c>
      <c r="BG1853" s="11">
        <f t="shared" si="8512"/>
        <v>0</v>
      </c>
      <c r="BH1853" s="25">
        <f>SUM(BH1849:BH1852)</f>
        <v>0</v>
      </c>
      <c r="BJ1853" s="10">
        <f>SUM(BJ1849:BJ1852)</f>
        <v>0</v>
      </c>
      <c r="BK1853" s="11">
        <f t="shared" ref="BK1853:BN1853" si="8513">SUM(BK1849:BK1852)</f>
        <v>0</v>
      </c>
      <c r="BL1853" s="11">
        <f t="shared" si="8513"/>
        <v>0</v>
      </c>
      <c r="BM1853" s="11">
        <f t="shared" si="8513"/>
        <v>0</v>
      </c>
      <c r="BN1853" s="11">
        <f t="shared" si="8513"/>
        <v>0</v>
      </c>
      <c r="BO1853" s="25">
        <f>SUM(BO1849:BO1852)</f>
        <v>0</v>
      </c>
      <c r="BQ1853" s="10">
        <f>SUM(BQ1849:BQ1852)</f>
        <v>0</v>
      </c>
      <c r="BR1853" s="11">
        <f t="shared" ref="BR1853:BU1853" si="8514">SUM(BR1849:BR1852)</f>
        <v>0</v>
      </c>
      <c r="BS1853" s="11">
        <f t="shared" si="8514"/>
        <v>0</v>
      </c>
      <c r="BT1853" s="11">
        <f t="shared" si="8514"/>
        <v>0</v>
      </c>
      <c r="BU1853" s="11">
        <f t="shared" si="8514"/>
        <v>0</v>
      </c>
      <c r="BV1853" s="25">
        <f>SUM(BV1849:BV1852)</f>
        <v>0</v>
      </c>
      <c r="BX1853" s="10">
        <f>SUM(BX1849:BX1852)</f>
        <v>0</v>
      </c>
      <c r="BY1853" s="11">
        <f t="shared" ref="BY1853:CB1853" si="8515">SUM(BY1849:BY1852)</f>
        <v>0</v>
      </c>
      <c r="BZ1853" s="11">
        <f t="shared" si="8515"/>
        <v>0</v>
      </c>
      <c r="CA1853" s="11">
        <f t="shared" si="8515"/>
        <v>0</v>
      </c>
      <c r="CB1853" s="11">
        <f t="shared" si="8515"/>
        <v>0</v>
      </c>
      <c r="CC1853" s="25">
        <f>SUM(CC1849:CC1852)</f>
        <v>0</v>
      </c>
      <c r="CE1853" s="62">
        <f t="shared" ref="CE1853:CJ1853" si="8516">SUM(CE1849:CE1852)</f>
        <v>0</v>
      </c>
      <c r="CF1853" s="63">
        <f t="shared" si="8516"/>
        <v>0</v>
      </c>
      <c r="CG1853" s="63">
        <f t="shared" si="8516"/>
        <v>0</v>
      </c>
      <c r="CH1853" s="63">
        <f t="shared" si="8516"/>
        <v>0</v>
      </c>
      <c r="CI1853" s="63">
        <f t="shared" si="8516"/>
        <v>0</v>
      </c>
      <c r="CJ1853" s="25">
        <f t="shared" si="8516"/>
        <v>0</v>
      </c>
      <c r="CL1853" s="10">
        <f>SUM(CL1849:CL1852)</f>
        <v>0</v>
      </c>
      <c r="CM1853" s="11">
        <f t="shared" ref="CM1853:CP1853" si="8517">SUM(CM1849:CM1852)</f>
        <v>0</v>
      </c>
      <c r="CN1853" s="11">
        <f t="shared" si="8517"/>
        <v>0</v>
      </c>
      <c r="CO1853" s="11">
        <f t="shared" si="8517"/>
        <v>0</v>
      </c>
      <c r="CP1853" s="11">
        <f t="shared" si="8517"/>
        <v>0</v>
      </c>
      <c r="CQ1853" s="25">
        <f>SUM(CQ1849:CQ1852)</f>
        <v>0</v>
      </c>
      <c r="CS1853" s="10">
        <f>SUM(CS1849:CS1852)</f>
        <v>0</v>
      </c>
      <c r="CT1853" s="11">
        <f t="shared" ref="CT1853:CW1853" si="8518">SUM(CT1849:CT1852)</f>
        <v>0</v>
      </c>
      <c r="CU1853" s="11">
        <f t="shared" si="8518"/>
        <v>0</v>
      </c>
      <c r="CV1853" s="11">
        <f t="shared" si="8518"/>
        <v>0</v>
      </c>
      <c r="CW1853" s="11">
        <f t="shared" si="8518"/>
        <v>0</v>
      </c>
      <c r="CX1853" s="25">
        <f>SUM(CX1849:CX1852)</f>
        <v>0</v>
      </c>
      <c r="CZ1853" s="10">
        <f>SUM(CZ1849:CZ1852)</f>
        <v>0</v>
      </c>
      <c r="DA1853" s="11">
        <f t="shared" ref="DA1853:DD1853" si="8519">SUM(DA1849:DA1852)</f>
        <v>0</v>
      </c>
      <c r="DB1853" s="11">
        <f t="shared" si="8519"/>
        <v>0</v>
      </c>
      <c r="DC1853" s="11">
        <f t="shared" si="8519"/>
        <v>0</v>
      </c>
      <c r="DD1853" s="11">
        <f t="shared" si="8519"/>
        <v>0</v>
      </c>
      <c r="DE1853" s="25">
        <f>SUM(DE1849:DE1852)</f>
        <v>0</v>
      </c>
    </row>
    <row r="1854" spans="3:109" ht="10.4" customHeight="1" thickBot="1"/>
    <row r="1855" spans="3:109">
      <c r="C1855" s="553">
        <v>2028</v>
      </c>
      <c r="E1855" s="1" t="s">
        <v>59</v>
      </c>
      <c r="F1855" s="21">
        <f>CE1849</f>
        <v>0</v>
      </c>
      <c r="G1855" s="22">
        <f t="shared" ref="G1855:G1858" si="8520">CF1849</f>
        <v>0</v>
      </c>
      <c r="H1855" s="22">
        <f t="shared" ref="H1855:H1858" si="8521">CG1849</f>
        <v>0</v>
      </c>
      <c r="I1855" s="22">
        <f t="shared" ref="I1855:I1858" si="8522">CH1849</f>
        <v>0</v>
      </c>
      <c r="J1855" s="22">
        <f t="shared" ref="J1855:J1858" si="8523">CI1849</f>
        <v>0</v>
      </c>
      <c r="K1855" s="4">
        <f>SUM(F1855:J1855)</f>
        <v>0</v>
      </c>
      <c r="M1855" s="2"/>
      <c r="N1855" s="3"/>
      <c r="O1855" s="3"/>
      <c r="P1855" s="3"/>
      <c r="Q1855" s="3"/>
      <c r="R1855" s="4">
        <f>SUM(M1855:Q1855)</f>
        <v>0</v>
      </c>
      <c r="T1855" s="2"/>
      <c r="U1855" s="3"/>
      <c r="V1855" s="3"/>
      <c r="W1855" s="3"/>
      <c r="X1855" s="3"/>
      <c r="Y1855" s="4">
        <f>SUM(T1855:X1855)</f>
        <v>0</v>
      </c>
      <c r="AA1855" s="2"/>
      <c r="AB1855" s="3"/>
      <c r="AC1855" s="3"/>
      <c r="AD1855" s="3"/>
      <c r="AE1855" s="3"/>
      <c r="AF1855" s="4">
        <f>SUM(AA1855:AE1855)</f>
        <v>0</v>
      </c>
      <c r="AH1855" s="2"/>
      <c r="AI1855" s="3"/>
      <c r="AJ1855" s="3"/>
      <c r="AK1855" s="3"/>
      <c r="AL1855" s="3"/>
      <c r="AM1855" s="4">
        <f>SUM(AH1855:AL1855)</f>
        <v>0</v>
      </c>
      <c r="AO1855" s="2"/>
      <c r="AP1855" s="3"/>
      <c r="AQ1855" s="3"/>
      <c r="AR1855" s="3"/>
      <c r="AS1855" s="3"/>
      <c r="AT1855" s="4">
        <f>SUM(AO1855:AS1855)</f>
        <v>0</v>
      </c>
      <c r="AV1855" s="2"/>
      <c r="AW1855" s="3"/>
      <c r="AX1855" s="3"/>
      <c r="AY1855" s="3"/>
      <c r="AZ1855" s="3"/>
      <c r="BA1855" s="4">
        <f>SUM(AV1855:AZ1855)</f>
        <v>0</v>
      </c>
      <c r="BC1855" s="2"/>
      <c r="BD1855" s="3"/>
      <c r="BE1855" s="3"/>
      <c r="BF1855" s="3"/>
      <c r="BG1855" s="3"/>
      <c r="BH1855" s="4">
        <f>SUM(BC1855:BG1855)</f>
        <v>0</v>
      </c>
      <c r="BJ1855" s="2"/>
      <c r="BK1855" s="3"/>
      <c r="BL1855" s="3"/>
      <c r="BM1855" s="3"/>
      <c r="BN1855" s="3"/>
      <c r="BO1855" s="4">
        <f>SUM(BJ1855:BN1855)</f>
        <v>0</v>
      </c>
      <c r="BQ1855" s="2"/>
      <c r="BR1855" s="3"/>
      <c r="BS1855" s="3"/>
      <c r="BT1855" s="3"/>
      <c r="BU1855" s="3"/>
      <c r="BV1855" s="4">
        <f>SUM(BQ1855:BU1855)</f>
        <v>0</v>
      </c>
      <c r="BX1855" s="2"/>
      <c r="BY1855" s="3"/>
      <c r="BZ1855" s="3"/>
      <c r="CA1855" s="3"/>
      <c r="CB1855" s="3"/>
      <c r="CC1855" s="4">
        <f>SUM(BX1855:CB1855)</f>
        <v>0</v>
      </c>
      <c r="CE1855" s="26">
        <f t="shared" ref="CE1855:CE1858" si="8524">F1855+M1855+T1855+AA1855+AH1855+AO1855+AV1855+BC1855+BJ1855+BQ1855+BX1855</f>
        <v>0</v>
      </c>
      <c r="CF1855" s="27">
        <f t="shared" ref="CF1855:CF1858" si="8525">G1855+N1855+U1855+AB1855+AI1855+AP1855+AW1855+BD1855+BK1855+BR1855+BY1855</f>
        <v>0</v>
      </c>
      <c r="CG1855" s="27">
        <f t="shared" ref="CG1855:CG1858" si="8526">H1855+O1855+V1855+AC1855+AJ1855+AQ1855+AX1855+BE1855+BL1855+BS1855+BZ1855</f>
        <v>0</v>
      </c>
      <c r="CH1855" s="27">
        <f t="shared" ref="CH1855:CH1858" si="8527">I1855+P1855+W1855+AD1855+AK1855+AR1855+AY1855+BF1855+BM1855+BT1855+CA1855</f>
        <v>0</v>
      </c>
      <c r="CI1855" s="27">
        <f t="shared" ref="CI1855:CI1858" si="8528">J1855+Q1855+X1855+AE1855+AL1855+AS1855+AZ1855+BG1855+BN1855+BU1855+CB1855</f>
        <v>0</v>
      </c>
      <c r="CJ1855" s="4">
        <f>SUM(CE1855:CI1855)</f>
        <v>0</v>
      </c>
      <c r="CL1855" s="2"/>
      <c r="CM1855" s="3"/>
      <c r="CN1855" s="3"/>
      <c r="CO1855" s="3"/>
      <c r="CP1855" s="3"/>
      <c r="CQ1855" s="4">
        <f>SUM(CL1855:CP1855)</f>
        <v>0</v>
      </c>
      <c r="CS1855" s="2"/>
      <c r="CT1855" s="3"/>
      <c r="CU1855" s="3"/>
      <c r="CV1855" s="3"/>
      <c r="CW1855" s="3"/>
      <c r="CX1855" s="4">
        <f>SUM(CS1855:CW1855)</f>
        <v>0</v>
      </c>
      <c r="CZ1855" s="2"/>
      <c r="DA1855" s="3"/>
      <c r="DB1855" s="3"/>
      <c r="DC1855" s="3"/>
      <c r="DD1855" s="3"/>
      <c r="DE1855" s="4">
        <f>SUM(CZ1855:DD1855)</f>
        <v>0</v>
      </c>
    </row>
    <row r="1856" spans="3:109">
      <c r="C1856" s="567"/>
      <c r="E1856" s="5" t="s">
        <v>60</v>
      </c>
      <c r="F1856" s="23">
        <f t="shared" ref="F1856:F1858" si="8529">CE1850</f>
        <v>0</v>
      </c>
      <c r="G1856" s="24">
        <f t="shared" si="8520"/>
        <v>0</v>
      </c>
      <c r="H1856" s="24">
        <f t="shared" si="8521"/>
        <v>0</v>
      </c>
      <c r="I1856" s="24">
        <f t="shared" si="8522"/>
        <v>0</v>
      </c>
      <c r="J1856" s="24">
        <f t="shared" si="8523"/>
        <v>0</v>
      </c>
      <c r="K1856" s="8">
        <f t="shared" ref="K1856:K1858" si="8530">SUM(F1856:J1856)</f>
        <v>0</v>
      </c>
      <c r="M1856" s="6"/>
      <c r="N1856" s="7"/>
      <c r="O1856" s="7"/>
      <c r="P1856" s="7"/>
      <c r="Q1856" s="7"/>
      <c r="R1856" s="8">
        <f t="shared" ref="R1856:R1858" si="8531">SUM(M1856:Q1856)</f>
        <v>0</v>
      </c>
      <c r="T1856" s="6"/>
      <c r="U1856" s="7"/>
      <c r="V1856" s="7"/>
      <c r="W1856" s="7"/>
      <c r="X1856" s="7"/>
      <c r="Y1856" s="8">
        <f t="shared" ref="Y1856:Y1858" si="8532">SUM(T1856:X1856)</f>
        <v>0</v>
      </c>
      <c r="AA1856" s="6"/>
      <c r="AB1856" s="7"/>
      <c r="AC1856" s="7"/>
      <c r="AD1856" s="7"/>
      <c r="AE1856" s="7"/>
      <c r="AF1856" s="8">
        <f>SUM(AA1856:AE1856)</f>
        <v>0</v>
      </c>
      <c r="AH1856" s="6"/>
      <c r="AI1856" s="7"/>
      <c r="AJ1856" s="7"/>
      <c r="AK1856" s="7"/>
      <c r="AL1856" s="7"/>
      <c r="AM1856" s="8">
        <f>SUM(AH1856:AL1856)</f>
        <v>0</v>
      </c>
      <c r="AO1856" s="6"/>
      <c r="AP1856" s="7"/>
      <c r="AQ1856" s="7"/>
      <c r="AR1856" s="7"/>
      <c r="AS1856" s="7"/>
      <c r="AT1856" s="8">
        <f>SUM(AO1856:AS1856)</f>
        <v>0</v>
      </c>
      <c r="AV1856" s="6"/>
      <c r="AW1856" s="7"/>
      <c r="AX1856" s="7"/>
      <c r="AY1856" s="7"/>
      <c r="AZ1856" s="7"/>
      <c r="BA1856" s="8">
        <f>SUM(AV1856:AZ1856)</f>
        <v>0</v>
      </c>
      <c r="BC1856" s="6"/>
      <c r="BD1856" s="7"/>
      <c r="BE1856" s="7"/>
      <c r="BF1856" s="7"/>
      <c r="BG1856" s="7"/>
      <c r="BH1856" s="8">
        <f>SUM(BC1856:BG1856)</f>
        <v>0</v>
      </c>
      <c r="BJ1856" s="6"/>
      <c r="BK1856" s="7"/>
      <c r="BL1856" s="7"/>
      <c r="BM1856" s="7"/>
      <c r="BN1856" s="7"/>
      <c r="BO1856" s="8">
        <f>SUM(BJ1856:BN1856)</f>
        <v>0</v>
      </c>
      <c r="BQ1856" s="6"/>
      <c r="BR1856" s="7"/>
      <c r="BS1856" s="7"/>
      <c r="BT1856" s="7"/>
      <c r="BU1856" s="7"/>
      <c r="BV1856" s="8">
        <f>SUM(BQ1856:BU1856)</f>
        <v>0</v>
      </c>
      <c r="BX1856" s="6"/>
      <c r="BY1856" s="7"/>
      <c r="BZ1856" s="7"/>
      <c r="CA1856" s="7"/>
      <c r="CB1856" s="7"/>
      <c r="CC1856" s="8">
        <f>SUM(BX1856:CB1856)</f>
        <v>0</v>
      </c>
      <c r="CE1856" s="28">
        <f t="shared" si="8524"/>
        <v>0</v>
      </c>
      <c r="CF1856" s="29">
        <f t="shared" si="8525"/>
        <v>0</v>
      </c>
      <c r="CG1856" s="29">
        <f t="shared" si="8526"/>
        <v>0</v>
      </c>
      <c r="CH1856" s="29">
        <f t="shared" si="8527"/>
        <v>0</v>
      </c>
      <c r="CI1856" s="29">
        <f t="shared" si="8528"/>
        <v>0</v>
      </c>
      <c r="CJ1856" s="8">
        <f>SUM(CE1856:CI1856)</f>
        <v>0</v>
      </c>
      <c r="CL1856" s="6"/>
      <c r="CM1856" s="7"/>
      <c r="CN1856" s="7"/>
      <c r="CO1856" s="7"/>
      <c r="CP1856" s="7"/>
      <c r="CQ1856" s="8">
        <f>SUM(CL1856:CP1856)</f>
        <v>0</v>
      </c>
      <c r="CS1856" s="6"/>
      <c r="CT1856" s="7"/>
      <c r="CU1856" s="7"/>
      <c r="CV1856" s="7"/>
      <c r="CW1856" s="7"/>
      <c r="CX1856" s="8">
        <f t="shared" ref="CX1856:CX1858" si="8533">SUM(CS1856:CW1856)</f>
        <v>0</v>
      </c>
      <c r="CZ1856" s="6"/>
      <c r="DA1856" s="7"/>
      <c r="DB1856" s="7"/>
      <c r="DC1856" s="7"/>
      <c r="DD1856" s="7"/>
      <c r="DE1856" s="8">
        <f t="shared" ref="DE1856:DE1858" si="8534">SUM(CZ1856:DD1856)</f>
        <v>0</v>
      </c>
    </row>
    <row r="1857" spans="2:109">
      <c r="C1857" s="567"/>
      <c r="E1857" s="5" t="s">
        <v>61</v>
      </c>
      <c r="F1857" s="23">
        <f t="shared" si="8529"/>
        <v>0</v>
      </c>
      <c r="G1857" s="24">
        <f t="shared" si="8520"/>
        <v>0</v>
      </c>
      <c r="H1857" s="24">
        <f t="shared" si="8521"/>
        <v>0</v>
      </c>
      <c r="I1857" s="24">
        <f t="shared" si="8522"/>
        <v>0</v>
      </c>
      <c r="J1857" s="24">
        <f t="shared" si="8523"/>
        <v>0</v>
      </c>
      <c r="K1857" s="8">
        <f t="shared" si="8530"/>
        <v>0</v>
      </c>
      <c r="M1857" s="6"/>
      <c r="N1857" s="7"/>
      <c r="O1857" s="7"/>
      <c r="P1857" s="7"/>
      <c r="Q1857" s="7"/>
      <c r="R1857" s="8">
        <f t="shared" si="8531"/>
        <v>0</v>
      </c>
      <c r="T1857" s="6"/>
      <c r="U1857" s="7"/>
      <c r="V1857" s="7"/>
      <c r="W1857" s="7"/>
      <c r="X1857" s="7"/>
      <c r="Y1857" s="8">
        <f t="shared" si="8532"/>
        <v>0</v>
      </c>
      <c r="AA1857" s="6"/>
      <c r="AB1857" s="7"/>
      <c r="AC1857" s="7"/>
      <c r="AD1857" s="7"/>
      <c r="AE1857" s="7"/>
      <c r="AF1857" s="8">
        <f>SUM(AA1857:AE1857)</f>
        <v>0</v>
      </c>
      <c r="AH1857" s="6"/>
      <c r="AI1857" s="7"/>
      <c r="AJ1857" s="7"/>
      <c r="AK1857" s="7"/>
      <c r="AL1857" s="7"/>
      <c r="AM1857" s="8">
        <f>SUM(AH1857:AL1857)</f>
        <v>0</v>
      </c>
      <c r="AO1857" s="6"/>
      <c r="AP1857" s="7"/>
      <c r="AQ1857" s="7"/>
      <c r="AR1857" s="7"/>
      <c r="AS1857" s="7"/>
      <c r="AT1857" s="8">
        <f>SUM(AO1857:AS1857)</f>
        <v>0</v>
      </c>
      <c r="AV1857" s="6"/>
      <c r="AW1857" s="7"/>
      <c r="AX1857" s="7"/>
      <c r="AY1857" s="7"/>
      <c r="AZ1857" s="7"/>
      <c r="BA1857" s="8">
        <f>SUM(AV1857:AZ1857)</f>
        <v>0</v>
      </c>
      <c r="BC1857" s="6"/>
      <c r="BD1857" s="7"/>
      <c r="BE1857" s="7"/>
      <c r="BF1857" s="7"/>
      <c r="BG1857" s="7"/>
      <c r="BH1857" s="8">
        <f>SUM(BC1857:BG1857)</f>
        <v>0</v>
      </c>
      <c r="BJ1857" s="6"/>
      <c r="BK1857" s="7"/>
      <c r="BL1857" s="7"/>
      <c r="BM1857" s="7"/>
      <c r="BN1857" s="7"/>
      <c r="BO1857" s="8">
        <f>SUM(BJ1857:BN1857)</f>
        <v>0</v>
      </c>
      <c r="BQ1857" s="6"/>
      <c r="BR1857" s="7"/>
      <c r="BS1857" s="7"/>
      <c r="BT1857" s="7"/>
      <c r="BU1857" s="7"/>
      <c r="BV1857" s="8">
        <f>SUM(BQ1857:BU1857)</f>
        <v>0</v>
      </c>
      <c r="BX1857" s="6"/>
      <c r="BY1857" s="7"/>
      <c r="BZ1857" s="7"/>
      <c r="CA1857" s="7"/>
      <c r="CB1857" s="7"/>
      <c r="CC1857" s="8">
        <f>SUM(BX1857:CB1857)</f>
        <v>0</v>
      </c>
      <c r="CE1857" s="28">
        <f t="shared" si="8524"/>
        <v>0</v>
      </c>
      <c r="CF1857" s="29">
        <f t="shared" si="8525"/>
        <v>0</v>
      </c>
      <c r="CG1857" s="29">
        <f t="shared" si="8526"/>
        <v>0</v>
      </c>
      <c r="CH1857" s="29">
        <f t="shared" si="8527"/>
        <v>0</v>
      </c>
      <c r="CI1857" s="29">
        <f t="shared" si="8528"/>
        <v>0</v>
      </c>
      <c r="CJ1857" s="8">
        <f>SUM(CE1857:CI1857)</f>
        <v>0</v>
      </c>
      <c r="CL1857" s="6"/>
      <c r="CM1857" s="7"/>
      <c r="CN1857" s="7"/>
      <c r="CO1857" s="7"/>
      <c r="CP1857" s="7"/>
      <c r="CQ1857" s="8">
        <f>SUM(CL1857:CP1857)</f>
        <v>0</v>
      </c>
      <c r="CS1857" s="6"/>
      <c r="CT1857" s="7"/>
      <c r="CU1857" s="7"/>
      <c r="CV1857" s="7"/>
      <c r="CW1857" s="7"/>
      <c r="CX1857" s="8">
        <f t="shared" si="8533"/>
        <v>0</v>
      </c>
      <c r="CZ1857" s="6"/>
      <c r="DA1857" s="7"/>
      <c r="DB1857" s="7"/>
      <c r="DC1857" s="7"/>
      <c r="DD1857" s="7"/>
      <c r="DE1857" s="8">
        <f t="shared" si="8534"/>
        <v>0</v>
      </c>
    </row>
    <row r="1858" spans="2:109" ht="14" thickBot="1">
      <c r="C1858" s="567"/>
      <c r="E1858" s="5" t="s">
        <v>62</v>
      </c>
      <c r="F1858" s="23">
        <f t="shared" si="8529"/>
        <v>0</v>
      </c>
      <c r="G1858" s="24">
        <f t="shared" si="8520"/>
        <v>0</v>
      </c>
      <c r="H1858" s="24">
        <f t="shared" si="8521"/>
        <v>0</v>
      </c>
      <c r="I1858" s="24">
        <f t="shared" si="8522"/>
        <v>0</v>
      </c>
      <c r="J1858" s="24">
        <f t="shared" si="8523"/>
        <v>0</v>
      </c>
      <c r="K1858" s="8">
        <f t="shared" si="8530"/>
        <v>0</v>
      </c>
      <c r="M1858" s="6"/>
      <c r="N1858" s="7"/>
      <c r="O1858" s="7"/>
      <c r="P1858" s="7"/>
      <c r="Q1858" s="7"/>
      <c r="R1858" s="8">
        <f t="shared" si="8531"/>
        <v>0</v>
      </c>
      <c r="T1858" s="6"/>
      <c r="U1858" s="7"/>
      <c r="V1858" s="7"/>
      <c r="W1858" s="7"/>
      <c r="X1858" s="7"/>
      <c r="Y1858" s="8">
        <f t="shared" si="8532"/>
        <v>0</v>
      </c>
      <c r="AA1858" s="6"/>
      <c r="AB1858" s="7"/>
      <c r="AC1858" s="7"/>
      <c r="AD1858" s="7"/>
      <c r="AE1858" s="7"/>
      <c r="AF1858" s="8">
        <f>SUM(AA1858:AE1858)</f>
        <v>0</v>
      </c>
      <c r="AH1858" s="6"/>
      <c r="AI1858" s="7"/>
      <c r="AJ1858" s="7"/>
      <c r="AK1858" s="7"/>
      <c r="AL1858" s="7"/>
      <c r="AM1858" s="8">
        <f>SUM(AH1858:AL1858)</f>
        <v>0</v>
      </c>
      <c r="AO1858" s="6"/>
      <c r="AP1858" s="7"/>
      <c r="AQ1858" s="7"/>
      <c r="AR1858" s="7"/>
      <c r="AS1858" s="7"/>
      <c r="AT1858" s="8">
        <f>SUM(AO1858:AS1858)</f>
        <v>0</v>
      </c>
      <c r="AV1858" s="6"/>
      <c r="AW1858" s="7"/>
      <c r="AX1858" s="7"/>
      <c r="AY1858" s="7"/>
      <c r="AZ1858" s="7"/>
      <c r="BA1858" s="8">
        <f>SUM(AV1858:AZ1858)</f>
        <v>0</v>
      </c>
      <c r="BC1858" s="6"/>
      <c r="BD1858" s="7"/>
      <c r="BE1858" s="7"/>
      <c r="BF1858" s="7"/>
      <c r="BG1858" s="7"/>
      <c r="BH1858" s="8">
        <f>SUM(BC1858:BG1858)</f>
        <v>0</v>
      </c>
      <c r="BJ1858" s="6"/>
      <c r="BK1858" s="7"/>
      <c r="BL1858" s="7"/>
      <c r="BM1858" s="7"/>
      <c r="BN1858" s="7"/>
      <c r="BO1858" s="8">
        <f>SUM(BJ1858:BN1858)</f>
        <v>0</v>
      </c>
      <c r="BQ1858" s="6"/>
      <c r="BR1858" s="7"/>
      <c r="BS1858" s="7"/>
      <c r="BT1858" s="7"/>
      <c r="BU1858" s="7"/>
      <c r="BV1858" s="8">
        <f>SUM(BQ1858:BU1858)</f>
        <v>0</v>
      </c>
      <c r="BX1858" s="6"/>
      <c r="BY1858" s="7"/>
      <c r="BZ1858" s="7"/>
      <c r="CA1858" s="7"/>
      <c r="CB1858" s="7"/>
      <c r="CC1858" s="8">
        <f>SUM(BX1858:CB1858)</f>
        <v>0</v>
      </c>
      <c r="CE1858" s="493">
        <f t="shared" si="8524"/>
        <v>0</v>
      </c>
      <c r="CF1858" s="494">
        <f t="shared" si="8525"/>
        <v>0</v>
      </c>
      <c r="CG1858" s="494">
        <f t="shared" si="8526"/>
        <v>0</v>
      </c>
      <c r="CH1858" s="494">
        <f t="shared" si="8527"/>
        <v>0</v>
      </c>
      <c r="CI1858" s="494">
        <f t="shared" si="8528"/>
        <v>0</v>
      </c>
      <c r="CJ1858" s="495">
        <f>SUM(CE1858:CI1858)</f>
        <v>0</v>
      </c>
      <c r="CL1858" s="6"/>
      <c r="CM1858" s="7"/>
      <c r="CN1858" s="7"/>
      <c r="CO1858" s="7"/>
      <c r="CP1858" s="7"/>
      <c r="CQ1858" s="8">
        <f>SUM(CL1858:CP1858)</f>
        <v>0</v>
      </c>
      <c r="CS1858" s="6"/>
      <c r="CT1858" s="7"/>
      <c r="CU1858" s="7"/>
      <c r="CV1858" s="7"/>
      <c r="CW1858" s="7"/>
      <c r="CX1858" s="8">
        <f t="shared" si="8533"/>
        <v>0</v>
      </c>
      <c r="CZ1858" s="6"/>
      <c r="DA1858" s="7"/>
      <c r="DB1858" s="7"/>
      <c r="DC1858" s="7"/>
      <c r="DD1858" s="7"/>
      <c r="DE1858" s="8">
        <f t="shared" si="8534"/>
        <v>0</v>
      </c>
    </row>
    <row r="1859" spans="2:109" ht="14" thickBot="1">
      <c r="C1859" s="554"/>
      <c r="E1859" s="9"/>
      <c r="F1859" s="10">
        <f>SUM(F1855:F1858)</f>
        <v>0</v>
      </c>
      <c r="G1859" s="11">
        <f t="shared" ref="G1859:J1859" si="8535">SUM(G1855:G1858)</f>
        <v>0</v>
      </c>
      <c r="H1859" s="11">
        <f t="shared" si="8535"/>
        <v>0</v>
      </c>
      <c r="I1859" s="11">
        <f t="shared" si="8535"/>
        <v>0</v>
      </c>
      <c r="J1859" s="11">
        <f t="shared" si="8535"/>
        <v>0</v>
      </c>
      <c r="K1859" s="25">
        <f>SUM(K1855:K1858)</f>
        <v>0</v>
      </c>
      <c r="M1859" s="10">
        <f>SUM(M1855:M1858)</f>
        <v>0</v>
      </c>
      <c r="N1859" s="11">
        <f t="shared" ref="N1859:Q1859" si="8536">SUM(N1855:N1858)</f>
        <v>0</v>
      </c>
      <c r="O1859" s="11">
        <f t="shared" si="8536"/>
        <v>0</v>
      </c>
      <c r="P1859" s="11">
        <f t="shared" si="8536"/>
        <v>0</v>
      </c>
      <c r="Q1859" s="11">
        <f t="shared" si="8536"/>
        <v>0</v>
      </c>
      <c r="R1859" s="25">
        <f>SUM(R1855:R1858)</f>
        <v>0</v>
      </c>
      <c r="T1859" s="10">
        <f>SUM(T1855:T1858)</f>
        <v>0</v>
      </c>
      <c r="U1859" s="11">
        <f t="shared" ref="U1859:X1859" si="8537">SUM(U1855:U1858)</f>
        <v>0</v>
      </c>
      <c r="V1859" s="11">
        <f t="shared" si="8537"/>
        <v>0</v>
      </c>
      <c r="W1859" s="11">
        <f t="shared" si="8537"/>
        <v>0</v>
      </c>
      <c r="X1859" s="11">
        <f t="shared" si="8537"/>
        <v>0</v>
      </c>
      <c r="Y1859" s="25">
        <f>SUM(Y1855:Y1858)</f>
        <v>0</v>
      </c>
      <c r="AA1859" s="10">
        <f>SUM(AA1855:AA1858)</f>
        <v>0</v>
      </c>
      <c r="AB1859" s="11">
        <f t="shared" ref="AB1859:AE1859" si="8538">SUM(AB1855:AB1858)</f>
        <v>0</v>
      </c>
      <c r="AC1859" s="11">
        <f t="shared" si="8538"/>
        <v>0</v>
      </c>
      <c r="AD1859" s="11">
        <f t="shared" si="8538"/>
        <v>0</v>
      </c>
      <c r="AE1859" s="11">
        <f t="shared" si="8538"/>
        <v>0</v>
      </c>
      <c r="AF1859" s="25">
        <f>SUM(AF1855:AF1858)</f>
        <v>0</v>
      </c>
      <c r="AH1859" s="10">
        <f>SUM(AH1855:AH1858)</f>
        <v>0</v>
      </c>
      <c r="AI1859" s="11">
        <f t="shared" ref="AI1859:AL1859" si="8539">SUM(AI1855:AI1858)</f>
        <v>0</v>
      </c>
      <c r="AJ1859" s="11">
        <f t="shared" si="8539"/>
        <v>0</v>
      </c>
      <c r="AK1859" s="11">
        <f t="shared" si="8539"/>
        <v>0</v>
      </c>
      <c r="AL1859" s="11">
        <f t="shared" si="8539"/>
        <v>0</v>
      </c>
      <c r="AM1859" s="25">
        <f>SUM(AM1855:AM1858)</f>
        <v>0</v>
      </c>
      <c r="AO1859" s="10">
        <f>SUM(AO1855:AO1858)</f>
        <v>0</v>
      </c>
      <c r="AP1859" s="11">
        <f t="shared" ref="AP1859:AS1859" si="8540">SUM(AP1855:AP1858)</f>
        <v>0</v>
      </c>
      <c r="AQ1859" s="11">
        <f t="shared" si="8540"/>
        <v>0</v>
      </c>
      <c r="AR1859" s="11">
        <f t="shared" si="8540"/>
        <v>0</v>
      </c>
      <c r="AS1859" s="11">
        <f t="shared" si="8540"/>
        <v>0</v>
      </c>
      <c r="AT1859" s="25">
        <f>SUM(AT1855:AT1858)</f>
        <v>0</v>
      </c>
      <c r="AV1859" s="10">
        <f>SUM(AV1855:AV1858)</f>
        <v>0</v>
      </c>
      <c r="AW1859" s="11">
        <f t="shared" ref="AW1859:AZ1859" si="8541">SUM(AW1855:AW1858)</f>
        <v>0</v>
      </c>
      <c r="AX1859" s="11">
        <f t="shared" si="8541"/>
        <v>0</v>
      </c>
      <c r="AY1859" s="11">
        <f t="shared" si="8541"/>
        <v>0</v>
      </c>
      <c r="AZ1859" s="11">
        <f t="shared" si="8541"/>
        <v>0</v>
      </c>
      <c r="BA1859" s="25">
        <f>SUM(BA1855:BA1858)</f>
        <v>0</v>
      </c>
      <c r="BC1859" s="10">
        <f>SUM(BC1855:BC1858)</f>
        <v>0</v>
      </c>
      <c r="BD1859" s="11">
        <f t="shared" ref="BD1859:BG1859" si="8542">SUM(BD1855:BD1858)</f>
        <v>0</v>
      </c>
      <c r="BE1859" s="11">
        <f t="shared" si="8542"/>
        <v>0</v>
      </c>
      <c r="BF1859" s="11">
        <f t="shared" si="8542"/>
        <v>0</v>
      </c>
      <c r="BG1859" s="11">
        <f t="shared" si="8542"/>
        <v>0</v>
      </c>
      <c r="BH1859" s="25">
        <f>SUM(BH1855:BH1858)</f>
        <v>0</v>
      </c>
      <c r="BJ1859" s="10">
        <f>SUM(BJ1855:BJ1858)</f>
        <v>0</v>
      </c>
      <c r="BK1859" s="11">
        <f t="shared" ref="BK1859:BN1859" si="8543">SUM(BK1855:BK1858)</f>
        <v>0</v>
      </c>
      <c r="BL1859" s="11">
        <f t="shared" si="8543"/>
        <v>0</v>
      </c>
      <c r="BM1859" s="11">
        <f t="shared" si="8543"/>
        <v>0</v>
      </c>
      <c r="BN1859" s="11">
        <f t="shared" si="8543"/>
        <v>0</v>
      </c>
      <c r="BO1859" s="25">
        <f>SUM(BO1855:BO1858)</f>
        <v>0</v>
      </c>
      <c r="BQ1859" s="10">
        <f>SUM(BQ1855:BQ1858)</f>
        <v>0</v>
      </c>
      <c r="BR1859" s="11">
        <f t="shared" ref="BR1859:BU1859" si="8544">SUM(BR1855:BR1858)</f>
        <v>0</v>
      </c>
      <c r="BS1859" s="11">
        <f t="shared" si="8544"/>
        <v>0</v>
      </c>
      <c r="BT1859" s="11">
        <f t="shared" si="8544"/>
        <v>0</v>
      </c>
      <c r="BU1859" s="11">
        <f t="shared" si="8544"/>
        <v>0</v>
      </c>
      <c r="BV1859" s="25">
        <f>SUM(BV1855:BV1858)</f>
        <v>0</v>
      </c>
      <c r="BX1859" s="10">
        <f>SUM(BX1855:BX1858)</f>
        <v>0</v>
      </c>
      <c r="BY1859" s="11">
        <f t="shared" ref="BY1859:CB1859" si="8545">SUM(BY1855:BY1858)</f>
        <v>0</v>
      </c>
      <c r="BZ1859" s="11">
        <f t="shared" si="8545"/>
        <v>0</v>
      </c>
      <c r="CA1859" s="11">
        <f t="shared" si="8545"/>
        <v>0</v>
      </c>
      <c r="CB1859" s="11">
        <f t="shared" si="8545"/>
        <v>0</v>
      </c>
      <c r="CC1859" s="25">
        <f>SUM(CC1855:CC1858)</f>
        <v>0</v>
      </c>
      <c r="CE1859" s="62">
        <f t="shared" ref="CE1859:CJ1859" si="8546">SUM(CE1855:CE1858)</f>
        <v>0</v>
      </c>
      <c r="CF1859" s="63">
        <f t="shared" si="8546"/>
        <v>0</v>
      </c>
      <c r="CG1859" s="63">
        <f t="shared" si="8546"/>
        <v>0</v>
      </c>
      <c r="CH1859" s="63">
        <f t="shared" si="8546"/>
        <v>0</v>
      </c>
      <c r="CI1859" s="63">
        <f t="shared" si="8546"/>
        <v>0</v>
      </c>
      <c r="CJ1859" s="25">
        <f t="shared" si="8546"/>
        <v>0</v>
      </c>
      <c r="CL1859" s="10">
        <f>SUM(CL1855:CL1858)</f>
        <v>0</v>
      </c>
      <c r="CM1859" s="11">
        <f t="shared" ref="CM1859:CP1859" si="8547">SUM(CM1855:CM1858)</f>
        <v>0</v>
      </c>
      <c r="CN1859" s="11">
        <f t="shared" si="8547"/>
        <v>0</v>
      </c>
      <c r="CO1859" s="11">
        <f t="shared" si="8547"/>
        <v>0</v>
      </c>
      <c r="CP1859" s="11">
        <f t="shared" si="8547"/>
        <v>0</v>
      </c>
      <c r="CQ1859" s="25">
        <f>SUM(CQ1855:CQ1858)</f>
        <v>0</v>
      </c>
      <c r="CS1859" s="10">
        <f>SUM(CS1855:CS1858)</f>
        <v>0</v>
      </c>
      <c r="CT1859" s="11">
        <f t="shared" ref="CT1859:CW1859" si="8548">SUM(CT1855:CT1858)</f>
        <v>0</v>
      </c>
      <c r="CU1859" s="11">
        <f t="shared" si="8548"/>
        <v>0</v>
      </c>
      <c r="CV1859" s="11">
        <f t="shared" si="8548"/>
        <v>0</v>
      </c>
      <c r="CW1859" s="11">
        <f t="shared" si="8548"/>
        <v>0</v>
      </c>
      <c r="CX1859" s="25">
        <f>SUM(CX1855:CX1858)</f>
        <v>0</v>
      </c>
      <c r="CZ1859" s="10">
        <f>SUM(CZ1855:CZ1858)</f>
        <v>0</v>
      </c>
      <c r="DA1859" s="11">
        <f t="shared" ref="DA1859:DD1859" si="8549">SUM(DA1855:DA1858)</f>
        <v>0</v>
      </c>
      <c r="DB1859" s="11">
        <f t="shared" si="8549"/>
        <v>0</v>
      </c>
      <c r="DC1859" s="11">
        <f t="shared" si="8549"/>
        <v>0</v>
      </c>
      <c r="DD1859" s="11">
        <f t="shared" si="8549"/>
        <v>0</v>
      </c>
      <c r="DE1859" s="25">
        <f>SUM(DE1855:DE1858)</f>
        <v>0</v>
      </c>
    </row>
    <row r="1861" spans="2:109">
      <c r="B1861" s="123"/>
      <c r="C1861" s="20"/>
      <c r="D1861" s="20"/>
      <c r="E1861" s="20"/>
      <c r="F1861" s="20"/>
      <c r="G1861" s="20"/>
      <c r="H1861" s="20"/>
      <c r="I1861" s="20"/>
      <c r="J1861" s="20"/>
      <c r="K1861" s="20"/>
      <c r="L1861" s="20"/>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c r="BU1861" s="20"/>
      <c r="BV1861" s="20"/>
      <c r="BW1861" s="20"/>
      <c r="BX1861" s="20"/>
      <c r="BY1861" s="20"/>
      <c r="BZ1861" s="20"/>
      <c r="CA1861" s="20"/>
      <c r="CB1861" s="20"/>
      <c r="CC1861" s="20"/>
      <c r="CD1861" s="20"/>
      <c r="CE1861" s="20"/>
      <c r="CF1861" s="20"/>
      <c r="CG1861" s="20"/>
      <c r="CH1861" s="20"/>
      <c r="CI1861" s="20"/>
      <c r="CJ1861" s="20"/>
      <c r="CL1861" s="20"/>
      <c r="CM1861" s="20"/>
      <c r="CN1861" s="20"/>
      <c r="CO1861" s="20"/>
      <c r="CP1861" s="20"/>
      <c r="CQ1861" s="20"/>
      <c r="CR1861" s="20"/>
      <c r="CS1861" s="20"/>
      <c r="CT1861" s="20"/>
      <c r="CU1861" s="20"/>
      <c r="CV1861" s="20"/>
      <c r="CW1861" s="20"/>
      <c r="CX1861" s="20"/>
      <c r="CY1861" s="20"/>
      <c r="CZ1861" s="20"/>
      <c r="DA1861" s="20"/>
      <c r="DB1861" s="20"/>
      <c r="DC1861" s="20"/>
      <c r="DD1861" s="20"/>
      <c r="DE1861" s="20"/>
    </row>
    <row r="1862" spans="2:109" ht="14" thickBot="1">
      <c r="B1862" s="94">
        <v>59</v>
      </c>
      <c r="C1862" s="12" t="s">
        <v>120</v>
      </c>
    </row>
    <row r="1863" spans="2:109">
      <c r="C1863" s="553">
        <v>2024</v>
      </c>
      <c r="E1863" s="1" t="s">
        <v>59</v>
      </c>
      <c r="F1863" s="2"/>
      <c r="G1863" s="3"/>
      <c r="H1863" s="3"/>
      <c r="I1863" s="3"/>
      <c r="J1863" s="3"/>
      <c r="K1863" s="4">
        <f>SUM(F1863:J1863)</f>
        <v>0</v>
      </c>
      <c r="M1863" s="2"/>
      <c r="N1863" s="3"/>
      <c r="O1863" s="3"/>
      <c r="P1863" s="3"/>
      <c r="Q1863" s="3"/>
      <c r="R1863" s="4">
        <f>SUM(M1863:Q1863)</f>
        <v>0</v>
      </c>
      <c r="T1863" s="2"/>
      <c r="U1863" s="3"/>
      <c r="V1863" s="3"/>
      <c r="W1863" s="3"/>
      <c r="X1863" s="3"/>
      <c r="Y1863" s="4">
        <f>SUM(T1863:X1863)</f>
        <v>0</v>
      </c>
      <c r="AA1863" s="2"/>
      <c r="AB1863" s="3"/>
      <c r="AC1863" s="3"/>
      <c r="AD1863" s="3"/>
      <c r="AE1863" s="3"/>
      <c r="AF1863" s="4">
        <f>SUM(AA1863:AE1863)</f>
        <v>0</v>
      </c>
      <c r="AH1863" s="2"/>
      <c r="AI1863" s="3"/>
      <c r="AJ1863" s="3"/>
      <c r="AK1863" s="3"/>
      <c r="AL1863" s="3"/>
      <c r="AM1863" s="4">
        <f>SUM(AH1863:AL1863)</f>
        <v>0</v>
      </c>
      <c r="AO1863" s="2"/>
      <c r="AP1863" s="3"/>
      <c r="AQ1863" s="3"/>
      <c r="AR1863" s="3"/>
      <c r="AS1863" s="3"/>
      <c r="AT1863" s="4">
        <f>SUM(AO1863:AS1863)</f>
        <v>0</v>
      </c>
      <c r="AV1863" s="2"/>
      <c r="AW1863" s="3"/>
      <c r="AX1863" s="3"/>
      <c r="AY1863" s="3"/>
      <c r="AZ1863" s="3"/>
      <c r="BA1863" s="4">
        <f>SUM(AV1863:AZ1863)</f>
        <v>0</v>
      </c>
      <c r="BC1863" s="2"/>
      <c r="BD1863" s="3"/>
      <c r="BE1863" s="3"/>
      <c r="BF1863" s="3"/>
      <c r="BG1863" s="3"/>
      <c r="BH1863" s="4">
        <f>SUM(BC1863:BG1863)</f>
        <v>0</v>
      </c>
      <c r="BJ1863" s="2"/>
      <c r="BK1863" s="3"/>
      <c r="BL1863" s="3"/>
      <c r="BM1863" s="3"/>
      <c r="BN1863" s="3"/>
      <c r="BO1863" s="4">
        <f>SUM(BJ1863:BN1863)</f>
        <v>0</v>
      </c>
      <c r="BQ1863" s="2"/>
      <c r="BR1863" s="3"/>
      <c r="BS1863" s="3"/>
      <c r="BT1863" s="3"/>
      <c r="BU1863" s="3"/>
      <c r="BV1863" s="4">
        <f>SUM(BQ1863:BU1863)</f>
        <v>0</v>
      </c>
      <c r="BX1863" s="2"/>
      <c r="BY1863" s="3"/>
      <c r="BZ1863" s="3"/>
      <c r="CA1863" s="3"/>
      <c r="CB1863" s="3"/>
      <c r="CC1863" s="4">
        <f>SUM(BX1863:CB1863)</f>
        <v>0</v>
      </c>
      <c r="CE1863" s="26">
        <f t="shared" ref="CE1863:CE1866" si="8550">F1863+M1863+T1863+AA1863+AH1863+AO1863+AV1863+BC1863+BJ1863+BQ1863+BX1863</f>
        <v>0</v>
      </c>
      <c r="CF1863" s="27">
        <f t="shared" ref="CF1863:CF1866" si="8551">G1863+N1863+U1863+AB1863+AI1863+AP1863+AW1863+BD1863+BK1863+BR1863+BY1863</f>
        <v>0</v>
      </c>
      <c r="CG1863" s="27">
        <f t="shared" ref="CG1863:CG1866" si="8552">H1863+O1863+V1863+AC1863+AJ1863+AQ1863+AX1863+BE1863+BL1863+BS1863+BZ1863</f>
        <v>0</v>
      </c>
      <c r="CH1863" s="27">
        <f t="shared" ref="CH1863:CH1866" si="8553">I1863+P1863+W1863+AD1863+AK1863+AR1863+AY1863+BF1863+BM1863+BT1863+CA1863</f>
        <v>0</v>
      </c>
      <c r="CI1863" s="27">
        <f t="shared" ref="CI1863:CI1866" si="8554">J1863+Q1863+X1863+AE1863+AL1863+AS1863+AZ1863+BG1863+BN1863+BU1863+CB1863</f>
        <v>0</v>
      </c>
      <c r="CJ1863" s="4">
        <f>SUM(CE1863:CI1863)</f>
        <v>0</v>
      </c>
      <c r="CL1863" s="2"/>
      <c r="CM1863" s="3"/>
      <c r="CN1863" s="3"/>
      <c r="CO1863" s="3"/>
      <c r="CP1863" s="3"/>
      <c r="CQ1863" s="4">
        <f>SUM(CL1863:CP1863)</f>
        <v>0</v>
      </c>
      <c r="CS1863" s="2"/>
      <c r="CT1863" s="3"/>
      <c r="CU1863" s="3"/>
      <c r="CV1863" s="3"/>
      <c r="CW1863" s="3"/>
      <c r="CX1863" s="4">
        <f>SUM(CS1863:CW1863)</f>
        <v>0</v>
      </c>
      <c r="CZ1863" s="2"/>
      <c r="DA1863" s="3"/>
      <c r="DB1863" s="3"/>
      <c r="DC1863" s="3"/>
      <c r="DD1863" s="3"/>
      <c r="DE1863" s="4">
        <f>SUM(CZ1863:DD1863)</f>
        <v>0</v>
      </c>
    </row>
    <row r="1864" spans="2:109">
      <c r="C1864" s="567"/>
      <c r="E1864" s="5" t="s">
        <v>60</v>
      </c>
      <c r="F1864" s="6"/>
      <c r="G1864" s="7"/>
      <c r="H1864" s="7"/>
      <c r="I1864" s="7"/>
      <c r="J1864" s="7"/>
      <c r="K1864" s="8">
        <f t="shared" ref="K1864:K1866" si="8555">SUM(F1864:J1864)</f>
        <v>0</v>
      </c>
      <c r="M1864" s="6"/>
      <c r="N1864" s="7"/>
      <c r="O1864" s="7"/>
      <c r="P1864" s="7"/>
      <c r="Q1864" s="7"/>
      <c r="R1864" s="8">
        <f t="shared" ref="R1864:R1866" si="8556">SUM(M1864:Q1864)</f>
        <v>0</v>
      </c>
      <c r="T1864" s="6"/>
      <c r="U1864" s="7"/>
      <c r="V1864" s="7"/>
      <c r="W1864" s="7"/>
      <c r="X1864" s="7"/>
      <c r="Y1864" s="8">
        <f t="shared" ref="Y1864:Y1866" si="8557">SUM(T1864:X1864)</f>
        <v>0</v>
      </c>
      <c r="AA1864" s="6"/>
      <c r="AB1864" s="7"/>
      <c r="AC1864" s="7"/>
      <c r="AD1864" s="7"/>
      <c r="AE1864" s="7"/>
      <c r="AF1864" s="8">
        <f>SUM(AA1864:AE1864)</f>
        <v>0</v>
      </c>
      <c r="AH1864" s="6"/>
      <c r="AI1864" s="7"/>
      <c r="AJ1864" s="7"/>
      <c r="AK1864" s="7"/>
      <c r="AL1864" s="7"/>
      <c r="AM1864" s="8">
        <f>SUM(AH1864:AL1864)</f>
        <v>0</v>
      </c>
      <c r="AO1864" s="6"/>
      <c r="AP1864" s="7"/>
      <c r="AQ1864" s="7"/>
      <c r="AR1864" s="7"/>
      <c r="AS1864" s="7"/>
      <c r="AT1864" s="8">
        <f>SUM(AO1864:AS1864)</f>
        <v>0</v>
      </c>
      <c r="AV1864" s="6"/>
      <c r="AW1864" s="7"/>
      <c r="AX1864" s="7"/>
      <c r="AY1864" s="7"/>
      <c r="AZ1864" s="7"/>
      <c r="BA1864" s="8">
        <f>SUM(AV1864:AZ1864)</f>
        <v>0</v>
      </c>
      <c r="BC1864" s="6"/>
      <c r="BD1864" s="7"/>
      <c r="BE1864" s="7"/>
      <c r="BF1864" s="7"/>
      <c r="BG1864" s="7"/>
      <c r="BH1864" s="8">
        <f>SUM(BC1864:BG1864)</f>
        <v>0</v>
      </c>
      <c r="BJ1864" s="6"/>
      <c r="BK1864" s="7"/>
      <c r="BL1864" s="7"/>
      <c r="BM1864" s="7"/>
      <c r="BN1864" s="7"/>
      <c r="BO1864" s="8">
        <f>SUM(BJ1864:BN1864)</f>
        <v>0</v>
      </c>
      <c r="BQ1864" s="6"/>
      <c r="BR1864" s="7"/>
      <c r="BS1864" s="7"/>
      <c r="BT1864" s="7"/>
      <c r="BU1864" s="7"/>
      <c r="BV1864" s="8">
        <f>SUM(BQ1864:BU1864)</f>
        <v>0</v>
      </c>
      <c r="BX1864" s="6"/>
      <c r="BY1864" s="7"/>
      <c r="BZ1864" s="7"/>
      <c r="CA1864" s="7"/>
      <c r="CB1864" s="7"/>
      <c r="CC1864" s="8">
        <f>SUM(BX1864:CB1864)</f>
        <v>0</v>
      </c>
      <c r="CE1864" s="28">
        <f t="shared" si="8550"/>
        <v>0</v>
      </c>
      <c r="CF1864" s="29">
        <f t="shared" si="8551"/>
        <v>0</v>
      </c>
      <c r="CG1864" s="29">
        <f t="shared" si="8552"/>
        <v>0</v>
      </c>
      <c r="CH1864" s="29">
        <f t="shared" si="8553"/>
        <v>0</v>
      </c>
      <c r="CI1864" s="29">
        <f t="shared" si="8554"/>
        <v>0</v>
      </c>
      <c r="CJ1864" s="8">
        <f>SUM(CE1864:CI1864)</f>
        <v>0</v>
      </c>
      <c r="CL1864" s="6"/>
      <c r="CM1864" s="7"/>
      <c r="CN1864" s="7"/>
      <c r="CO1864" s="7"/>
      <c r="CP1864" s="7"/>
      <c r="CQ1864" s="8">
        <f>SUM(CL1864:CP1864)</f>
        <v>0</v>
      </c>
      <c r="CS1864" s="6"/>
      <c r="CT1864" s="7"/>
      <c r="CU1864" s="7"/>
      <c r="CV1864" s="7"/>
      <c r="CW1864" s="7"/>
      <c r="CX1864" s="8">
        <f t="shared" ref="CX1864:CX1866" si="8558">SUM(CS1864:CW1864)</f>
        <v>0</v>
      </c>
      <c r="CZ1864" s="6"/>
      <c r="DA1864" s="7"/>
      <c r="DB1864" s="7"/>
      <c r="DC1864" s="7"/>
      <c r="DD1864" s="7"/>
      <c r="DE1864" s="8">
        <f t="shared" ref="DE1864:DE1866" si="8559">SUM(CZ1864:DD1864)</f>
        <v>0</v>
      </c>
    </row>
    <row r="1865" spans="2:109">
      <c r="C1865" s="567"/>
      <c r="E1865" s="5" t="s">
        <v>61</v>
      </c>
      <c r="F1865" s="6"/>
      <c r="G1865" s="7"/>
      <c r="H1865" s="7"/>
      <c r="I1865" s="7"/>
      <c r="J1865" s="7"/>
      <c r="K1865" s="8">
        <f t="shared" si="8555"/>
        <v>0</v>
      </c>
      <c r="M1865" s="6"/>
      <c r="N1865" s="7"/>
      <c r="O1865" s="7"/>
      <c r="P1865" s="7"/>
      <c r="Q1865" s="7"/>
      <c r="R1865" s="8">
        <f t="shared" si="8556"/>
        <v>0</v>
      </c>
      <c r="T1865" s="6"/>
      <c r="U1865" s="7"/>
      <c r="V1865" s="7"/>
      <c r="W1865" s="7"/>
      <c r="X1865" s="7"/>
      <c r="Y1865" s="8">
        <f t="shared" si="8557"/>
        <v>0</v>
      </c>
      <c r="AA1865" s="6"/>
      <c r="AB1865" s="7"/>
      <c r="AC1865" s="7"/>
      <c r="AD1865" s="7"/>
      <c r="AE1865" s="7"/>
      <c r="AF1865" s="8">
        <f>SUM(AA1865:AE1865)</f>
        <v>0</v>
      </c>
      <c r="AH1865" s="6"/>
      <c r="AI1865" s="7"/>
      <c r="AJ1865" s="7"/>
      <c r="AK1865" s="7"/>
      <c r="AL1865" s="7"/>
      <c r="AM1865" s="8">
        <f>SUM(AH1865:AL1865)</f>
        <v>0</v>
      </c>
      <c r="AO1865" s="6"/>
      <c r="AP1865" s="7"/>
      <c r="AQ1865" s="7"/>
      <c r="AR1865" s="7"/>
      <c r="AS1865" s="7"/>
      <c r="AT1865" s="8">
        <f>SUM(AO1865:AS1865)</f>
        <v>0</v>
      </c>
      <c r="AV1865" s="6"/>
      <c r="AW1865" s="7"/>
      <c r="AX1865" s="7"/>
      <c r="AY1865" s="7"/>
      <c r="AZ1865" s="7"/>
      <c r="BA1865" s="8">
        <f>SUM(AV1865:AZ1865)</f>
        <v>0</v>
      </c>
      <c r="BC1865" s="6"/>
      <c r="BD1865" s="7"/>
      <c r="BE1865" s="7"/>
      <c r="BF1865" s="7"/>
      <c r="BG1865" s="7"/>
      <c r="BH1865" s="8">
        <f>SUM(BC1865:BG1865)</f>
        <v>0</v>
      </c>
      <c r="BJ1865" s="6"/>
      <c r="BK1865" s="7"/>
      <c r="BL1865" s="7"/>
      <c r="BM1865" s="7"/>
      <c r="BN1865" s="7"/>
      <c r="BO1865" s="8">
        <f>SUM(BJ1865:BN1865)</f>
        <v>0</v>
      </c>
      <c r="BQ1865" s="6"/>
      <c r="BR1865" s="7"/>
      <c r="BS1865" s="7"/>
      <c r="BT1865" s="7"/>
      <c r="BU1865" s="7"/>
      <c r="BV1865" s="8">
        <f>SUM(BQ1865:BU1865)</f>
        <v>0</v>
      </c>
      <c r="BX1865" s="6"/>
      <c r="BY1865" s="7"/>
      <c r="BZ1865" s="7"/>
      <c r="CA1865" s="7"/>
      <c r="CB1865" s="7"/>
      <c r="CC1865" s="8">
        <f>SUM(BX1865:CB1865)</f>
        <v>0</v>
      </c>
      <c r="CE1865" s="28">
        <f t="shared" si="8550"/>
        <v>0</v>
      </c>
      <c r="CF1865" s="29">
        <f t="shared" si="8551"/>
        <v>0</v>
      </c>
      <c r="CG1865" s="29">
        <f t="shared" si="8552"/>
        <v>0</v>
      </c>
      <c r="CH1865" s="29">
        <f t="shared" si="8553"/>
        <v>0</v>
      </c>
      <c r="CI1865" s="29">
        <f t="shared" si="8554"/>
        <v>0</v>
      </c>
      <c r="CJ1865" s="8">
        <f>SUM(CE1865:CI1865)</f>
        <v>0</v>
      </c>
      <c r="CL1865" s="6"/>
      <c r="CM1865" s="7"/>
      <c r="CN1865" s="7"/>
      <c r="CO1865" s="7"/>
      <c r="CP1865" s="7"/>
      <c r="CQ1865" s="8">
        <f>SUM(CL1865:CP1865)</f>
        <v>0</v>
      </c>
      <c r="CS1865" s="6"/>
      <c r="CT1865" s="7"/>
      <c r="CU1865" s="7"/>
      <c r="CV1865" s="7"/>
      <c r="CW1865" s="7"/>
      <c r="CX1865" s="8">
        <f t="shared" si="8558"/>
        <v>0</v>
      </c>
      <c r="CZ1865" s="6"/>
      <c r="DA1865" s="7"/>
      <c r="DB1865" s="7"/>
      <c r="DC1865" s="7"/>
      <c r="DD1865" s="7"/>
      <c r="DE1865" s="8">
        <f t="shared" si="8559"/>
        <v>0</v>
      </c>
    </row>
    <row r="1866" spans="2:109" ht="14" thickBot="1">
      <c r="C1866" s="567"/>
      <c r="E1866" s="5" t="s">
        <v>62</v>
      </c>
      <c r="F1866" s="6"/>
      <c r="G1866" s="7"/>
      <c r="H1866" s="7"/>
      <c r="I1866" s="7"/>
      <c r="J1866" s="7"/>
      <c r="K1866" s="8">
        <f t="shared" si="8555"/>
        <v>0</v>
      </c>
      <c r="M1866" s="6"/>
      <c r="N1866" s="7"/>
      <c r="O1866" s="7"/>
      <c r="P1866" s="7"/>
      <c r="Q1866" s="7"/>
      <c r="R1866" s="8">
        <f t="shared" si="8556"/>
        <v>0</v>
      </c>
      <c r="T1866" s="6"/>
      <c r="U1866" s="7"/>
      <c r="V1866" s="7"/>
      <c r="W1866" s="7"/>
      <c r="X1866" s="7"/>
      <c r="Y1866" s="8">
        <f t="shared" si="8557"/>
        <v>0</v>
      </c>
      <c r="AA1866" s="6"/>
      <c r="AB1866" s="7"/>
      <c r="AC1866" s="7"/>
      <c r="AD1866" s="7"/>
      <c r="AE1866" s="7"/>
      <c r="AF1866" s="8">
        <f>SUM(AA1866:AE1866)</f>
        <v>0</v>
      </c>
      <c r="AH1866" s="6"/>
      <c r="AI1866" s="7"/>
      <c r="AJ1866" s="7"/>
      <c r="AK1866" s="7"/>
      <c r="AL1866" s="7"/>
      <c r="AM1866" s="8">
        <f>SUM(AH1866:AL1866)</f>
        <v>0</v>
      </c>
      <c r="AO1866" s="6"/>
      <c r="AP1866" s="7"/>
      <c r="AQ1866" s="7"/>
      <c r="AR1866" s="7"/>
      <c r="AS1866" s="7"/>
      <c r="AT1866" s="8">
        <f>SUM(AO1866:AS1866)</f>
        <v>0</v>
      </c>
      <c r="AV1866" s="6"/>
      <c r="AW1866" s="7"/>
      <c r="AX1866" s="7"/>
      <c r="AY1866" s="7"/>
      <c r="AZ1866" s="7"/>
      <c r="BA1866" s="8">
        <f>SUM(AV1866:AZ1866)</f>
        <v>0</v>
      </c>
      <c r="BC1866" s="6"/>
      <c r="BD1866" s="7"/>
      <c r="BE1866" s="7"/>
      <c r="BF1866" s="7"/>
      <c r="BG1866" s="7"/>
      <c r="BH1866" s="8">
        <f>SUM(BC1866:BG1866)</f>
        <v>0</v>
      </c>
      <c r="BJ1866" s="6"/>
      <c r="BK1866" s="7"/>
      <c r="BL1866" s="7"/>
      <c r="BM1866" s="7"/>
      <c r="BN1866" s="7"/>
      <c r="BO1866" s="8">
        <f>SUM(BJ1866:BN1866)</f>
        <v>0</v>
      </c>
      <c r="BQ1866" s="6"/>
      <c r="BR1866" s="7"/>
      <c r="BS1866" s="7"/>
      <c r="BT1866" s="7"/>
      <c r="BU1866" s="7"/>
      <c r="BV1866" s="8">
        <f>SUM(BQ1866:BU1866)</f>
        <v>0</v>
      </c>
      <c r="BX1866" s="6"/>
      <c r="BY1866" s="7"/>
      <c r="BZ1866" s="7"/>
      <c r="CA1866" s="7"/>
      <c r="CB1866" s="7"/>
      <c r="CC1866" s="8">
        <f>SUM(BX1866:CB1866)</f>
        <v>0</v>
      </c>
      <c r="CE1866" s="493">
        <f t="shared" si="8550"/>
        <v>0</v>
      </c>
      <c r="CF1866" s="494">
        <f t="shared" si="8551"/>
        <v>0</v>
      </c>
      <c r="CG1866" s="494">
        <f t="shared" si="8552"/>
        <v>0</v>
      </c>
      <c r="CH1866" s="494">
        <f t="shared" si="8553"/>
        <v>0</v>
      </c>
      <c r="CI1866" s="494">
        <f t="shared" si="8554"/>
        <v>0</v>
      </c>
      <c r="CJ1866" s="495">
        <f>SUM(CE1866:CI1866)</f>
        <v>0</v>
      </c>
      <c r="CL1866" s="6"/>
      <c r="CM1866" s="7"/>
      <c r="CN1866" s="7"/>
      <c r="CO1866" s="7"/>
      <c r="CP1866" s="7"/>
      <c r="CQ1866" s="8">
        <f>SUM(CL1866:CP1866)</f>
        <v>0</v>
      </c>
      <c r="CS1866" s="6"/>
      <c r="CT1866" s="7"/>
      <c r="CU1866" s="7"/>
      <c r="CV1866" s="7"/>
      <c r="CW1866" s="7"/>
      <c r="CX1866" s="8">
        <f t="shared" si="8558"/>
        <v>0</v>
      </c>
      <c r="CZ1866" s="6"/>
      <c r="DA1866" s="7"/>
      <c r="DB1866" s="7"/>
      <c r="DC1866" s="7"/>
      <c r="DD1866" s="7"/>
      <c r="DE1866" s="8">
        <f t="shared" si="8559"/>
        <v>0</v>
      </c>
    </row>
    <row r="1867" spans="2:109" ht="14" thickBot="1">
      <c r="C1867" s="554"/>
      <c r="E1867" s="9"/>
      <c r="F1867" s="10">
        <f>SUM(F1863:F1866)</f>
        <v>0</v>
      </c>
      <c r="G1867" s="11">
        <f t="shared" ref="G1867:J1867" si="8560">SUM(G1863:G1866)</f>
        <v>0</v>
      </c>
      <c r="H1867" s="11">
        <f t="shared" si="8560"/>
        <v>0</v>
      </c>
      <c r="I1867" s="11">
        <f t="shared" si="8560"/>
        <v>0</v>
      </c>
      <c r="J1867" s="61">
        <f t="shared" si="8560"/>
        <v>0</v>
      </c>
      <c r="K1867" s="25">
        <f>SUM(K1863:K1866)</f>
        <v>0</v>
      </c>
      <c r="M1867" s="10">
        <f>SUM(M1863:M1866)</f>
        <v>0</v>
      </c>
      <c r="N1867" s="11">
        <f t="shared" ref="N1867:Q1867" si="8561">SUM(N1863:N1866)</f>
        <v>0</v>
      </c>
      <c r="O1867" s="11">
        <f t="shared" si="8561"/>
        <v>0</v>
      </c>
      <c r="P1867" s="11">
        <f t="shared" si="8561"/>
        <v>0</v>
      </c>
      <c r="Q1867" s="11">
        <f t="shared" si="8561"/>
        <v>0</v>
      </c>
      <c r="R1867" s="25">
        <f>SUM(R1863:R1866)</f>
        <v>0</v>
      </c>
      <c r="T1867" s="10">
        <f>SUM(T1863:T1866)</f>
        <v>0</v>
      </c>
      <c r="U1867" s="11">
        <f t="shared" ref="U1867:X1867" si="8562">SUM(U1863:U1866)</f>
        <v>0</v>
      </c>
      <c r="V1867" s="11">
        <f t="shared" si="8562"/>
        <v>0</v>
      </c>
      <c r="W1867" s="11">
        <f t="shared" si="8562"/>
        <v>0</v>
      </c>
      <c r="X1867" s="11">
        <f t="shared" si="8562"/>
        <v>0</v>
      </c>
      <c r="Y1867" s="25">
        <f>SUM(Y1863:Y1866)</f>
        <v>0</v>
      </c>
      <c r="AA1867" s="10">
        <f>SUM(AA1863:AA1866)</f>
        <v>0</v>
      </c>
      <c r="AB1867" s="11">
        <f t="shared" ref="AB1867:AE1867" si="8563">SUM(AB1863:AB1866)</f>
        <v>0</v>
      </c>
      <c r="AC1867" s="11">
        <f t="shared" si="8563"/>
        <v>0</v>
      </c>
      <c r="AD1867" s="11">
        <f t="shared" si="8563"/>
        <v>0</v>
      </c>
      <c r="AE1867" s="11">
        <f t="shared" si="8563"/>
        <v>0</v>
      </c>
      <c r="AF1867" s="25">
        <f>SUM(AF1863:AF1866)</f>
        <v>0</v>
      </c>
      <c r="AH1867" s="10">
        <f>SUM(AH1863:AH1866)</f>
        <v>0</v>
      </c>
      <c r="AI1867" s="11">
        <f t="shared" ref="AI1867:AL1867" si="8564">SUM(AI1863:AI1866)</f>
        <v>0</v>
      </c>
      <c r="AJ1867" s="11">
        <f t="shared" si="8564"/>
        <v>0</v>
      </c>
      <c r="AK1867" s="11">
        <f t="shared" si="8564"/>
        <v>0</v>
      </c>
      <c r="AL1867" s="11">
        <f t="shared" si="8564"/>
        <v>0</v>
      </c>
      <c r="AM1867" s="25">
        <f>SUM(AM1863:AM1866)</f>
        <v>0</v>
      </c>
      <c r="AO1867" s="10">
        <f>SUM(AO1863:AO1866)</f>
        <v>0</v>
      </c>
      <c r="AP1867" s="11">
        <f t="shared" ref="AP1867:AS1867" si="8565">SUM(AP1863:AP1866)</f>
        <v>0</v>
      </c>
      <c r="AQ1867" s="11">
        <f t="shared" si="8565"/>
        <v>0</v>
      </c>
      <c r="AR1867" s="11">
        <f t="shared" si="8565"/>
        <v>0</v>
      </c>
      <c r="AS1867" s="11">
        <f t="shared" si="8565"/>
        <v>0</v>
      </c>
      <c r="AT1867" s="25">
        <f>SUM(AT1863:AT1866)</f>
        <v>0</v>
      </c>
      <c r="AV1867" s="10">
        <f>SUM(AV1863:AV1866)</f>
        <v>0</v>
      </c>
      <c r="AW1867" s="11">
        <f t="shared" ref="AW1867:AZ1867" si="8566">SUM(AW1863:AW1866)</f>
        <v>0</v>
      </c>
      <c r="AX1867" s="11">
        <f t="shared" si="8566"/>
        <v>0</v>
      </c>
      <c r="AY1867" s="11">
        <f t="shared" si="8566"/>
        <v>0</v>
      </c>
      <c r="AZ1867" s="11">
        <f t="shared" si="8566"/>
        <v>0</v>
      </c>
      <c r="BA1867" s="25">
        <f>SUM(BA1863:BA1866)</f>
        <v>0</v>
      </c>
      <c r="BC1867" s="10">
        <f>SUM(BC1863:BC1866)</f>
        <v>0</v>
      </c>
      <c r="BD1867" s="11">
        <f t="shared" ref="BD1867:BG1867" si="8567">SUM(BD1863:BD1866)</f>
        <v>0</v>
      </c>
      <c r="BE1867" s="11">
        <f t="shared" si="8567"/>
        <v>0</v>
      </c>
      <c r="BF1867" s="11">
        <f t="shared" si="8567"/>
        <v>0</v>
      </c>
      <c r="BG1867" s="11">
        <f t="shared" si="8567"/>
        <v>0</v>
      </c>
      <c r="BH1867" s="25">
        <f>SUM(BH1863:BH1866)</f>
        <v>0</v>
      </c>
      <c r="BJ1867" s="10">
        <f>SUM(BJ1863:BJ1866)</f>
        <v>0</v>
      </c>
      <c r="BK1867" s="11">
        <f t="shared" ref="BK1867:BN1867" si="8568">SUM(BK1863:BK1866)</f>
        <v>0</v>
      </c>
      <c r="BL1867" s="11">
        <f t="shared" si="8568"/>
        <v>0</v>
      </c>
      <c r="BM1867" s="11">
        <f t="shared" si="8568"/>
        <v>0</v>
      </c>
      <c r="BN1867" s="11">
        <f t="shared" si="8568"/>
        <v>0</v>
      </c>
      <c r="BO1867" s="25">
        <f>SUM(BO1863:BO1866)</f>
        <v>0</v>
      </c>
      <c r="BQ1867" s="10">
        <f>SUM(BQ1863:BQ1866)</f>
        <v>0</v>
      </c>
      <c r="BR1867" s="11">
        <f t="shared" ref="BR1867:BU1867" si="8569">SUM(BR1863:BR1866)</f>
        <v>0</v>
      </c>
      <c r="BS1867" s="11">
        <f t="shared" si="8569"/>
        <v>0</v>
      </c>
      <c r="BT1867" s="11">
        <f t="shared" si="8569"/>
        <v>0</v>
      </c>
      <c r="BU1867" s="11">
        <f t="shared" si="8569"/>
        <v>0</v>
      </c>
      <c r="BV1867" s="25">
        <f>SUM(BV1863:BV1866)</f>
        <v>0</v>
      </c>
      <c r="BX1867" s="10">
        <f>SUM(BX1863:BX1866)</f>
        <v>0</v>
      </c>
      <c r="BY1867" s="11">
        <f t="shared" ref="BY1867:CB1867" si="8570">SUM(BY1863:BY1866)</f>
        <v>0</v>
      </c>
      <c r="BZ1867" s="11">
        <f t="shared" si="8570"/>
        <v>0</v>
      </c>
      <c r="CA1867" s="11">
        <f t="shared" si="8570"/>
        <v>0</v>
      </c>
      <c r="CB1867" s="11">
        <f t="shared" si="8570"/>
        <v>0</v>
      </c>
      <c r="CC1867" s="25">
        <f>SUM(CC1863:CC1866)</f>
        <v>0</v>
      </c>
      <c r="CE1867" s="62">
        <f t="shared" ref="CE1867:CJ1867" si="8571">SUM(CE1863:CE1866)</f>
        <v>0</v>
      </c>
      <c r="CF1867" s="63">
        <f t="shared" si="8571"/>
        <v>0</v>
      </c>
      <c r="CG1867" s="63">
        <f t="shared" si="8571"/>
        <v>0</v>
      </c>
      <c r="CH1867" s="63">
        <f t="shared" si="8571"/>
        <v>0</v>
      </c>
      <c r="CI1867" s="63">
        <f t="shared" si="8571"/>
        <v>0</v>
      </c>
      <c r="CJ1867" s="25">
        <f t="shared" si="8571"/>
        <v>0</v>
      </c>
      <c r="CL1867" s="10">
        <f>SUM(CL1863:CL1866)</f>
        <v>0</v>
      </c>
      <c r="CM1867" s="11">
        <f t="shared" ref="CM1867:CP1867" si="8572">SUM(CM1863:CM1866)</f>
        <v>0</v>
      </c>
      <c r="CN1867" s="11">
        <f t="shared" si="8572"/>
        <v>0</v>
      </c>
      <c r="CO1867" s="11">
        <f t="shared" si="8572"/>
        <v>0</v>
      </c>
      <c r="CP1867" s="11">
        <f t="shared" si="8572"/>
        <v>0</v>
      </c>
      <c r="CQ1867" s="25">
        <f>SUM(CQ1863:CQ1866)</f>
        <v>0</v>
      </c>
      <c r="CS1867" s="10">
        <f>SUM(CS1863:CS1866)</f>
        <v>0</v>
      </c>
      <c r="CT1867" s="11">
        <f t="shared" ref="CT1867:CW1867" si="8573">SUM(CT1863:CT1866)</f>
        <v>0</v>
      </c>
      <c r="CU1867" s="11">
        <f t="shared" si="8573"/>
        <v>0</v>
      </c>
      <c r="CV1867" s="11">
        <f t="shared" si="8573"/>
        <v>0</v>
      </c>
      <c r="CW1867" s="11">
        <f t="shared" si="8573"/>
        <v>0</v>
      </c>
      <c r="CX1867" s="25">
        <f>SUM(CX1863:CX1866)</f>
        <v>0</v>
      </c>
      <c r="CZ1867" s="10">
        <f>SUM(CZ1863:CZ1866)</f>
        <v>0</v>
      </c>
      <c r="DA1867" s="11">
        <f t="shared" ref="DA1867:DD1867" si="8574">SUM(DA1863:DA1866)</f>
        <v>0</v>
      </c>
      <c r="DB1867" s="11">
        <f t="shared" si="8574"/>
        <v>0</v>
      </c>
      <c r="DC1867" s="11">
        <f t="shared" si="8574"/>
        <v>0</v>
      </c>
      <c r="DD1867" s="11">
        <f t="shared" si="8574"/>
        <v>0</v>
      </c>
      <c r="DE1867" s="25">
        <f>SUM(DE1863:DE1866)</f>
        <v>0</v>
      </c>
    </row>
    <row r="1868" spans="2:109" ht="10.4" customHeight="1" thickBot="1"/>
    <row r="1869" spans="2:109">
      <c r="C1869" s="553">
        <v>2025</v>
      </c>
      <c r="E1869" s="13" t="s">
        <v>59</v>
      </c>
      <c r="F1869" s="21">
        <f>CE1863</f>
        <v>0</v>
      </c>
      <c r="G1869" s="22">
        <f t="shared" ref="G1869:G1872" si="8575">CF1863</f>
        <v>0</v>
      </c>
      <c r="H1869" s="22">
        <f t="shared" ref="H1869:H1872" si="8576">CG1863</f>
        <v>0</v>
      </c>
      <c r="I1869" s="22">
        <f t="shared" ref="I1869:I1872" si="8577">CH1863</f>
        <v>0</v>
      </c>
      <c r="J1869" s="22">
        <f t="shared" ref="J1869:J1872" si="8578">CI1863</f>
        <v>0</v>
      </c>
      <c r="K1869" s="15">
        <f>SUM(F1869:J1869)</f>
        <v>0</v>
      </c>
      <c r="M1869" s="2"/>
      <c r="N1869" s="3"/>
      <c r="O1869" s="3"/>
      <c r="P1869" s="3"/>
      <c r="Q1869" s="3"/>
      <c r="R1869" s="15">
        <f>SUM(M1869:Q1869)</f>
        <v>0</v>
      </c>
      <c r="T1869" s="2"/>
      <c r="U1869" s="3"/>
      <c r="V1869" s="3"/>
      <c r="W1869" s="3"/>
      <c r="X1869" s="3"/>
      <c r="Y1869" s="15">
        <f>SUM(T1869:X1869)</f>
        <v>0</v>
      </c>
      <c r="AA1869" s="2"/>
      <c r="AB1869" s="3"/>
      <c r="AC1869" s="3"/>
      <c r="AD1869" s="3"/>
      <c r="AE1869" s="3"/>
      <c r="AF1869" s="15">
        <f>SUM(AA1869:AE1869)</f>
        <v>0</v>
      </c>
      <c r="AH1869" s="2"/>
      <c r="AI1869" s="3"/>
      <c r="AJ1869" s="3"/>
      <c r="AK1869" s="3"/>
      <c r="AL1869" s="3"/>
      <c r="AM1869" s="15">
        <f>SUM(AH1869:AL1869)</f>
        <v>0</v>
      </c>
      <c r="AO1869" s="2"/>
      <c r="AP1869" s="3"/>
      <c r="AQ1869" s="3"/>
      <c r="AR1869" s="3"/>
      <c r="AS1869" s="3"/>
      <c r="AT1869" s="15">
        <f>SUM(AO1869:AS1869)</f>
        <v>0</v>
      </c>
      <c r="AV1869" s="2"/>
      <c r="AW1869" s="3"/>
      <c r="AX1869" s="3"/>
      <c r="AY1869" s="3"/>
      <c r="AZ1869" s="3"/>
      <c r="BA1869" s="15">
        <f>SUM(AV1869:AZ1869)</f>
        <v>0</v>
      </c>
      <c r="BC1869" s="2"/>
      <c r="BD1869" s="3"/>
      <c r="BE1869" s="3"/>
      <c r="BF1869" s="3"/>
      <c r="BG1869" s="3"/>
      <c r="BH1869" s="15">
        <f>SUM(BC1869:BG1869)</f>
        <v>0</v>
      </c>
      <c r="BJ1869" s="2"/>
      <c r="BK1869" s="3"/>
      <c r="BL1869" s="3"/>
      <c r="BM1869" s="3"/>
      <c r="BN1869" s="3"/>
      <c r="BO1869" s="15">
        <f>SUM(BJ1869:BN1869)</f>
        <v>0</v>
      </c>
      <c r="BQ1869" s="2"/>
      <c r="BR1869" s="3"/>
      <c r="BS1869" s="3"/>
      <c r="BT1869" s="3"/>
      <c r="BU1869" s="3"/>
      <c r="BV1869" s="15">
        <f>SUM(BQ1869:BU1869)</f>
        <v>0</v>
      </c>
      <c r="BX1869" s="2"/>
      <c r="BY1869" s="3"/>
      <c r="BZ1869" s="3"/>
      <c r="CA1869" s="3"/>
      <c r="CB1869" s="3"/>
      <c r="CC1869" s="15">
        <f>SUM(BX1869:CB1869)</f>
        <v>0</v>
      </c>
      <c r="CE1869" s="26">
        <f t="shared" ref="CE1869:CE1872" si="8579">F1869+M1869+T1869+AA1869+AH1869+AO1869+AV1869+BC1869+BJ1869+BQ1869+BX1869</f>
        <v>0</v>
      </c>
      <c r="CF1869" s="27">
        <f t="shared" ref="CF1869:CF1872" si="8580">G1869+N1869+U1869+AB1869+AI1869+AP1869+AW1869+BD1869+BK1869+BR1869+BY1869</f>
        <v>0</v>
      </c>
      <c r="CG1869" s="27">
        <f t="shared" ref="CG1869:CG1872" si="8581">H1869+O1869+V1869+AC1869+AJ1869+AQ1869+AX1869+BE1869+BL1869+BS1869+BZ1869</f>
        <v>0</v>
      </c>
      <c r="CH1869" s="27">
        <f t="shared" ref="CH1869:CH1872" si="8582">I1869+P1869+W1869+AD1869+AK1869+AR1869+AY1869+BF1869+BM1869+BT1869+CA1869</f>
        <v>0</v>
      </c>
      <c r="CI1869" s="27">
        <f t="shared" ref="CI1869:CI1872" si="8583">J1869+Q1869+X1869+AE1869+AL1869+AS1869+AZ1869+BG1869+BN1869+BU1869+CB1869</f>
        <v>0</v>
      </c>
      <c r="CJ1869" s="4">
        <f>SUM(CE1869:CI1869)</f>
        <v>0</v>
      </c>
      <c r="CL1869" s="2"/>
      <c r="CM1869" s="3"/>
      <c r="CN1869" s="3"/>
      <c r="CO1869" s="3"/>
      <c r="CP1869" s="3"/>
      <c r="CQ1869" s="15">
        <f>SUM(CL1869:CP1869)</f>
        <v>0</v>
      </c>
      <c r="CS1869" s="2"/>
      <c r="CT1869" s="3"/>
      <c r="CU1869" s="3"/>
      <c r="CV1869" s="3"/>
      <c r="CW1869" s="3"/>
      <c r="CX1869" s="4">
        <f>SUM(CS1869:CW1869)</f>
        <v>0</v>
      </c>
      <c r="CZ1869" s="2"/>
      <c r="DA1869" s="3"/>
      <c r="DB1869" s="3"/>
      <c r="DC1869" s="3"/>
      <c r="DD1869" s="3"/>
      <c r="DE1869" s="15">
        <f>SUM(CZ1869:DD1869)</f>
        <v>0</v>
      </c>
    </row>
    <row r="1870" spans="2:109">
      <c r="C1870" s="567"/>
      <c r="E1870" s="14" t="s">
        <v>60</v>
      </c>
      <c r="F1870" s="23">
        <f t="shared" ref="F1870:F1872" si="8584">CE1864</f>
        <v>0</v>
      </c>
      <c r="G1870" s="24">
        <f t="shared" si="8575"/>
        <v>0</v>
      </c>
      <c r="H1870" s="24">
        <f t="shared" si="8576"/>
        <v>0</v>
      </c>
      <c r="I1870" s="24">
        <f t="shared" si="8577"/>
        <v>0</v>
      </c>
      <c r="J1870" s="24">
        <f t="shared" si="8578"/>
        <v>0</v>
      </c>
      <c r="K1870" s="16">
        <f t="shared" ref="K1870:K1872" si="8585">SUM(F1870:J1870)</f>
        <v>0</v>
      </c>
      <c r="M1870" s="6"/>
      <c r="N1870" s="7"/>
      <c r="O1870" s="7"/>
      <c r="P1870" s="7"/>
      <c r="Q1870" s="7"/>
      <c r="R1870" s="16">
        <f t="shared" ref="R1870:R1872" si="8586">SUM(M1870:Q1870)</f>
        <v>0</v>
      </c>
      <c r="T1870" s="6"/>
      <c r="U1870" s="7"/>
      <c r="V1870" s="7"/>
      <c r="W1870" s="7"/>
      <c r="X1870" s="7"/>
      <c r="Y1870" s="16">
        <f t="shared" ref="Y1870:Y1872" si="8587">SUM(T1870:X1870)</f>
        <v>0</v>
      </c>
      <c r="AA1870" s="6"/>
      <c r="AB1870" s="7"/>
      <c r="AC1870" s="7"/>
      <c r="AD1870" s="7"/>
      <c r="AE1870" s="7"/>
      <c r="AF1870" s="16">
        <f>SUM(AA1870:AE1870)</f>
        <v>0</v>
      </c>
      <c r="AH1870" s="6"/>
      <c r="AI1870" s="7"/>
      <c r="AJ1870" s="7"/>
      <c r="AK1870" s="7"/>
      <c r="AL1870" s="7"/>
      <c r="AM1870" s="16">
        <f>SUM(AH1870:AL1870)</f>
        <v>0</v>
      </c>
      <c r="AO1870" s="6"/>
      <c r="AP1870" s="7"/>
      <c r="AQ1870" s="7"/>
      <c r="AR1870" s="7"/>
      <c r="AS1870" s="7"/>
      <c r="AT1870" s="16">
        <f>SUM(AO1870:AS1870)</f>
        <v>0</v>
      </c>
      <c r="AV1870" s="6"/>
      <c r="AW1870" s="7"/>
      <c r="AX1870" s="7"/>
      <c r="AY1870" s="7"/>
      <c r="AZ1870" s="7"/>
      <c r="BA1870" s="16">
        <f>SUM(AV1870:AZ1870)</f>
        <v>0</v>
      </c>
      <c r="BC1870" s="6"/>
      <c r="BD1870" s="7"/>
      <c r="BE1870" s="7"/>
      <c r="BF1870" s="7"/>
      <c r="BG1870" s="7"/>
      <c r="BH1870" s="16">
        <f>SUM(BC1870:BG1870)</f>
        <v>0</v>
      </c>
      <c r="BJ1870" s="6"/>
      <c r="BK1870" s="7"/>
      <c r="BL1870" s="7"/>
      <c r="BM1870" s="7"/>
      <c r="BN1870" s="7"/>
      <c r="BO1870" s="16">
        <f>SUM(BJ1870:BN1870)</f>
        <v>0</v>
      </c>
      <c r="BQ1870" s="6"/>
      <c r="BR1870" s="7"/>
      <c r="BS1870" s="7"/>
      <c r="BT1870" s="7"/>
      <c r="BU1870" s="7"/>
      <c r="BV1870" s="16">
        <f>SUM(BQ1870:BU1870)</f>
        <v>0</v>
      </c>
      <c r="BX1870" s="6"/>
      <c r="BY1870" s="7"/>
      <c r="BZ1870" s="7"/>
      <c r="CA1870" s="7"/>
      <c r="CB1870" s="7"/>
      <c r="CC1870" s="16">
        <f>SUM(BX1870:CB1870)</f>
        <v>0</v>
      </c>
      <c r="CE1870" s="28">
        <f t="shared" si="8579"/>
        <v>0</v>
      </c>
      <c r="CF1870" s="29">
        <f t="shared" si="8580"/>
        <v>0</v>
      </c>
      <c r="CG1870" s="29">
        <f t="shared" si="8581"/>
        <v>0</v>
      </c>
      <c r="CH1870" s="29">
        <f t="shared" si="8582"/>
        <v>0</v>
      </c>
      <c r="CI1870" s="29">
        <f t="shared" si="8583"/>
        <v>0</v>
      </c>
      <c r="CJ1870" s="8">
        <f>SUM(CE1870:CI1870)</f>
        <v>0</v>
      </c>
      <c r="CL1870" s="6"/>
      <c r="CM1870" s="7"/>
      <c r="CN1870" s="7"/>
      <c r="CO1870" s="7"/>
      <c r="CP1870" s="7"/>
      <c r="CQ1870" s="16">
        <f>SUM(CL1870:CP1870)</f>
        <v>0</v>
      </c>
      <c r="CS1870" s="6"/>
      <c r="CT1870" s="7"/>
      <c r="CU1870" s="7"/>
      <c r="CV1870" s="7"/>
      <c r="CW1870" s="7"/>
      <c r="CX1870" s="8">
        <f t="shared" ref="CX1870:CX1872" si="8588">SUM(CS1870:CW1870)</f>
        <v>0</v>
      </c>
      <c r="CZ1870" s="6"/>
      <c r="DA1870" s="7"/>
      <c r="DB1870" s="7"/>
      <c r="DC1870" s="7"/>
      <c r="DD1870" s="7"/>
      <c r="DE1870" s="16">
        <f t="shared" ref="DE1870:DE1872" si="8589">SUM(CZ1870:DD1870)</f>
        <v>0</v>
      </c>
    </row>
    <row r="1871" spans="2:109">
      <c r="C1871" s="567"/>
      <c r="E1871" s="14" t="s">
        <v>61</v>
      </c>
      <c r="F1871" s="23">
        <f t="shared" si="8584"/>
        <v>0</v>
      </c>
      <c r="G1871" s="24">
        <f t="shared" si="8575"/>
        <v>0</v>
      </c>
      <c r="H1871" s="24">
        <f t="shared" si="8576"/>
        <v>0</v>
      </c>
      <c r="I1871" s="24">
        <f t="shared" si="8577"/>
        <v>0</v>
      </c>
      <c r="J1871" s="24">
        <f t="shared" si="8578"/>
        <v>0</v>
      </c>
      <c r="K1871" s="16">
        <f t="shared" si="8585"/>
        <v>0</v>
      </c>
      <c r="M1871" s="6"/>
      <c r="N1871" s="7"/>
      <c r="O1871" s="7"/>
      <c r="P1871" s="7"/>
      <c r="Q1871" s="7"/>
      <c r="R1871" s="16">
        <f t="shared" si="8586"/>
        <v>0</v>
      </c>
      <c r="T1871" s="6"/>
      <c r="U1871" s="7"/>
      <c r="V1871" s="7"/>
      <c r="W1871" s="7"/>
      <c r="X1871" s="7"/>
      <c r="Y1871" s="16">
        <f t="shared" si="8587"/>
        <v>0</v>
      </c>
      <c r="AA1871" s="6"/>
      <c r="AB1871" s="7"/>
      <c r="AC1871" s="7"/>
      <c r="AD1871" s="7"/>
      <c r="AE1871" s="7"/>
      <c r="AF1871" s="16">
        <f>SUM(AA1871:AE1871)</f>
        <v>0</v>
      </c>
      <c r="AH1871" s="6"/>
      <c r="AI1871" s="7"/>
      <c r="AJ1871" s="7"/>
      <c r="AK1871" s="7"/>
      <c r="AL1871" s="7"/>
      <c r="AM1871" s="16">
        <f>SUM(AH1871:AL1871)</f>
        <v>0</v>
      </c>
      <c r="AO1871" s="6"/>
      <c r="AP1871" s="7"/>
      <c r="AQ1871" s="7"/>
      <c r="AR1871" s="7"/>
      <c r="AS1871" s="7"/>
      <c r="AT1871" s="16">
        <f>SUM(AO1871:AS1871)</f>
        <v>0</v>
      </c>
      <c r="AV1871" s="6"/>
      <c r="AW1871" s="7"/>
      <c r="AX1871" s="7"/>
      <c r="AY1871" s="7"/>
      <c r="AZ1871" s="7"/>
      <c r="BA1871" s="16">
        <f>SUM(AV1871:AZ1871)</f>
        <v>0</v>
      </c>
      <c r="BC1871" s="6"/>
      <c r="BD1871" s="7"/>
      <c r="BE1871" s="7"/>
      <c r="BF1871" s="7"/>
      <c r="BG1871" s="7"/>
      <c r="BH1871" s="16">
        <f>SUM(BC1871:BG1871)</f>
        <v>0</v>
      </c>
      <c r="BJ1871" s="6"/>
      <c r="BK1871" s="7"/>
      <c r="BL1871" s="7"/>
      <c r="BM1871" s="7"/>
      <c r="BN1871" s="7"/>
      <c r="BO1871" s="16">
        <f>SUM(BJ1871:BN1871)</f>
        <v>0</v>
      </c>
      <c r="BQ1871" s="6"/>
      <c r="BR1871" s="7"/>
      <c r="BS1871" s="7"/>
      <c r="BT1871" s="7"/>
      <c r="BU1871" s="7"/>
      <c r="BV1871" s="16">
        <f>SUM(BQ1871:BU1871)</f>
        <v>0</v>
      </c>
      <c r="BX1871" s="6"/>
      <c r="BY1871" s="7"/>
      <c r="BZ1871" s="7"/>
      <c r="CA1871" s="7"/>
      <c r="CB1871" s="7"/>
      <c r="CC1871" s="16">
        <f>SUM(BX1871:CB1871)</f>
        <v>0</v>
      </c>
      <c r="CE1871" s="28">
        <f t="shared" si="8579"/>
        <v>0</v>
      </c>
      <c r="CF1871" s="29">
        <f t="shared" si="8580"/>
        <v>0</v>
      </c>
      <c r="CG1871" s="29">
        <f t="shared" si="8581"/>
        <v>0</v>
      </c>
      <c r="CH1871" s="29">
        <f t="shared" si="8582"/>
        <v>0</v>
      </c>
      <c r="CI1871" s="29">
        <f t="shared" si="8583"/>
        <v>0</v>
      </c>
      <c r="CJ1871" s="8">
        <f>SUM(CE1871:CI1871)</f>
        <v>0</v>
      </c>
      <c r="CL1871" s="6"/>
      <c r="CM1871" s="7"/>
      <c r="CN1871" s="7"/>
      <c r="CO1871" s="7"/>
      <c r="CP1871" s="7"/>
      <c r="CQ1871" s="16">
        <f>SUM(CL1871:CP1871)</f>
        <v>0</v>
      </c>
      <c r="CS1871" s="6"/>
      <c r="CT1871" s="7"/>
      <c r="CU1871" s="7"/>
      <c r="CV1871" s="7"/>
      <c r="CW1871" s="7"/>
      <c r="CX1871" s="8">
        <f t="shared" si="8588"/>
        <v>0</v>
      </c>
      <c r="CZ1871" s="6"/>
      <c r="DA1871" s="7"/>
      <c r="DB1871" s="7"/>
      <c r="DC1871" s="7"/>
      <c r="DD1871" s="7"/>
      <c r="DE1871" s="16">
        <f t="shared" si="8589"/>
        <v>0</v>
      </c>
    </row>
    <row r="1872" spans="2:109" ht="14" thickBot="1">
      <c r="C1872" s="567"/>
      <c r="E1872" s="14" t="s">
        <v>62</v>
      </c>
      <c r="F1872" s="23">
        <f t="shared" si="8584"/>
        <v>0</v>
      </c>
      <c r="G1872" s="24">
        <f t="shared" si="8575"/>
        <v>0</v>
      </c>
      <c r="H1872" s="24">
        <f t="shared" si="8576"/>
        <v>0</v>
      </c>
      <c r="I1872" s="24">
        <f t="shared" si="8577"/>
        <v>0</v>
      </c>
      <c r="J1872" s="24">
        <f t="shared" si="8578"/>
        <v>0</v>
      </c>
      <c r="K1872" s="16">
        <f t="shared" si="8585"/>
        <v>0</v>
      </c>
      <c r="M1872" s="6"/>
      <c r="N1872" s="7"/>
      <c r="O1872" s="7"/>
      <c r="P1872" s="7"/>
      <c r="Q1872" s="7"/>
      <c r="R1872" s="16">
        <f t="shared" si="8586"/>
        <v>0</v>
      </c>
      <c r="T1872" s="6"/>
      <c r="U1872" s="7"/>
      <c r="V1872" s="7"/>
      <c r="W1872" s="7"/>
      <c r="X1872" s="7"/>
      <c r="Y1872" s="16">
        <f t="shared" si="8587"/>
        <v>0</v>
      </c>
      <c r="AA1872" s="6"/>
      <c r="AB1872" s="7"/>
      <c r="AC1872" s="7"/>
      <c r="AD1872" s="7"/>
      <c r="AE1872" s="7"/>
      <c r="AF1872" s="16">
        <f>SUM(AA1872:AE1872)</f>
        <v>0</v>
      </c>
      <c r="AH1872" s="6"/>
      <c r="AI1872" s="7"/>
      <c r="AJ1872" s="7"/>
      <c r="AK1872" s="7"/>
      <c r="AL1872" s="7"/>
      <c r="AM1872" s="16">
        <f>SUM(AH1872:AL1872)</f>
        <v>0</v>
      </c>
      <c r="AO1872" s="6"/>
      <c r="AP1872" s="7"/>
      <c r="AQ1872" s="7"/>
      <c r="AR1872" s="7"/>
      <c r="AS1872" s="7"/>
      <c r="AT1872" s="16">
        <f>SUM(AO1872:AS1872)</f>
        <v>0</v>
      </c>
      <c r="AV1872" s="6"/>
      <c r="AW1872" s="7"/>
      <c r="AX1872" s="7"/>
      <c r="AY1872" s="7"/>
      <c r="AZ1872" s="7"/>
      <c r="BA1872" s="16">
        <f>SUM(AV1872:AZ1872)</f>
        <v>0</v>
      </c>
      <c r="BC1872" s="6"/>
      <c r="BD1872" s="7"/>
      <c r="BE1872" s="7"/>
      <c r="BF1872" s="7"/>
      <c r="BG1872" s="7"/>
      <c r="BH1872" s="16">
        <f>SUM(BC1872:BG1872)</f>
        <v>0</v>
      </c>
      <c r="BJ1872" s="6"/>
      <c r="BK1872" s="7"/>
      <c r="BL1872" s="7"/>
      <c r="BM1872" s="7"/>
      <c r="BN1872" s="7"/>
      <c r="BO1872" s="16">
        <f>SUM(BJ1872:BN1872)</f>
        <v>0</v>
      </c>
      <c r="BQ1872" s="6"/>
      <c r="BR1872" s="7"/>
      <c r="BS1872" s="7"/>
      <c r="BT1872" s="7"/>
      <c r="BU1872" s="7"/>
      <c r="BV1872" s="16">
        <f>SUM(BQ1872:BU1872)</f>
        <v>0</v>
      </c>
      <c r="BX1872" s="6"/>
      <c r="BY1872" s="7"/>
      <c r="BZ1872" s="7"/>
      <c r="CA1872" s="7"/>
      <c r="CB1872" s="7"/>
      <c r="CC1872" s="16">
        <f>SUM(BX1872:CB1872)</f>
        <v>0</v>
      </c>
      <c r="CE1872" s="493">
        <f t="shared" si="8579"/>
        <v>0</v>
      </c>
      <c r="CF1872" s="494">
        <f t="shared" si="8580"/>
        <v>0</v>
      </c>
      <c r="CG1872" s="494">
        <f t="shared" si="8581"/>
        <v>0</v>
      </c>
      <c r="CH1872" s="494">
        <f t="shared" si="8582"/>
        <v>0</v>
      </c>
      <c r="CI1872" s="494">
        <f t="shared" si="8583"/>
        <v>0</v>
      </c>
      <c r="CJ1872" s="495">
        <f>SUM(CE1872:CI1872)</f>
        <v>0</v>
      </c>
      <c r="CL1872" s="6"/>
      <c r="CM1872" s="7"/>
      <c r="CN1872" s="7"/>
      <c r="CO1872" s="7"/>
      <c r="CP1872" s="7"/>
      <c r="CQ1872" s="16">
        <f>SUM(CL1872:CP1872)</f>
        <v>0</v>
      </c>
      <c r="CS1872" s="6"/>
      <c r="CT1872" s="7"/>
      <c r="CU1872" s="7"/>
      <c r="CV1872" s="7"/>
      <c r="CW1872" s="7"/>
      <c r="CX1872" s="8">
        <f t="shared" si="8588"/>
        <v>0</v>
      </c>
      <c r="CZ1872" s="6"/>
      <c r="DA1872" s="7"/>
      <c r="DB1872" s="7"/>
      <c r="DC1872" s="7"/>
      <c r="DD1872" s="7"/>
      <c r="DE1872" s="16">
        <f t="shared" si="8589"/>
        <v>0</v>
      </c>
    </row>
    <row r="1873" spans="3:109" ht="14" thickBot="1">
      <c r="C1873" s="554"/>
      <c r="E1873" s="17"/>
      <c r="F1873" s="10">
        <f>SUM(F1869:F1872)</f>
        <v>0</v>
      </c>
      <c r="G1873" s="11">
        <f t="shared" ref="G1873:J1873" si="8590">SUM(G1869:G1872)</f>
        <v>0</v>
      </c>
      <c r="H1873" s="11">
        <f t="shared" si="8590"/>
        <v>0</v>
      </c>
      <c r="I1873" s="11">
        <f t="shared" si="8590"/>
        <v>0</v>
      </c>
      <c r="J1873" s="11">
        <f t="shared" si="8590"/>
        <v>0</v>
      </c>
      <c r="K1873" s="25">
        <f>SUM(K1869:K1872)</f>
        <v>0</v>
      </c>
      <c r="M1873" s="10">
        <f>SUM(M1869:M1872)</f>
        <v>0</v>
      </c>
      <c r="N1873" s="11">
        <f t="shared" ref="N1873:Q1873" si="8591">SUM(N1869:N1872)</f>
        <v>0</v>
      </c>
      <c r="O1873" s="11">
        <f t="shared" si="8591"/>
        <v>0</v>
      </c>
      <c r="P1873" s="11">
        <f t="shared" si="8591"/>
        <v>0</v>
      </c>
      <c r="Q1873" s="11">
        <f t="shared" si="8591"/>
        <v>0</v>
      </c>
      <c r="R1873" s="25">
        <f>SUM(R1869:R1872)</f>
        <v>0</v>
      </c>
      <c r="T1873" s="10">
        <f>SUM(T1869:T1872)</f>
        <v>0</v>
      </c>
      <c r="U1873" s="11">
        <f t="shared" ref="U1873:X1873" si="8592">SUM(U1869:U1872)</f>
        <v>0</v>
      </c>
      <c r="V1873" s="11">
        <f t="shared" si="8592"/>
        <v>0</v>
      </c>
      <c r="W1873" s="11">
        <f t="shared" si="8592"/>
        <v>0</v>
      </c>
      <c r="X1873" s="11">
        <f t="shared" si="8592"/>
        <v>0</v>
      </c>
      <c r="Y1873" s="25">
        <f>SUM(Y1869:Y1872)</f>
        <v>0</v>
      </c>
      <c r="AA1873" s="10">
        <f>SUM(AA1869:AA1872)</f>
        <v>0</v>
      </c>
      <c r="AB1873" s="11">
        <f t="shared" ref="AB1873:AE1873" si="8593">SUM(AB1869:AB1872)</f>
        <v>0</v>
      </c>
      <c r="AC1873" s="11">
        <f t="shared" si="8593"/>
        <v>0</v>
      </c>
      <c r="AD1873" s="11">
        <f t="shared" si="8593"/>
        <v>0</v>
      </c>
      <c r="AE1873" s="11">
        <f t="shared" si="8593"/>
        <v>0</v>
      </c>
      <c r="AF1873" s="25">
        <f>SUM(AF1869:AF1872)</f>
        <v>0</v>
      </c>
      <c r="AH1873" s="10">
        <f>SUM(AH1869:AH1872)</f>
        <v>0</v>
      </c>
      <c r="AI1873" s="11">
        <f t="shared" ref="AI1873:AL1873" si="8594">SUM(AI1869:AI1872)</f>
        <v>0</v>
      </c>
      <c r="AJ1873" s="11">
        <f t="shared" si="8594"/>
        <v>0</v>
      </c>
      <c r="AK1873" s="11">
        <f t="shared" si="8594"/>
        <v>0</v>
      </c>
      <c r="AL1873" s="11">
        <f t="shared" si="8594"/>
        <v>0</v>
      </c>
      <c r="AM1873" s="25">
        <f>SUM(AM1869:AM1872)</f>
        <v>0</v>
      </c>
      <c r="AO1873" s="10">
        <f>SUM(AO1869:AO1872)</f>
        <v>0</v>
      </c>
      <c r="AP1873" s="11">
        <f t="shared" ref="AP1873:AS1873" si="8595">SUM(AP1869:AP1872)</f>
        <v>0</v>
      </c>
      <c r="AQ1873" s="11">
        <f t="shared" si="8595"/>
        <v>0</v>
      </c>
      <c r="AR1873" s="11">
        <f t="shared" si="8595"/>
        <v>0</v>
      </c>
      <c r="AS1873" s="11">
        <f t="shared" si="8595"/>
        <v>0</v>
      </c>
      <c r="AT1873" s="25">
        <f>SUM(AT1869:AT1872)</f>
        <v>0</v>
      </c>
      <c r="AV1873" s="10">
        <f>SUM(AV1869:AV1872)</f>
        <v>0</v>
      </c>
      <c r="AW1873" s="11">
        <f t="shared" ref="AW1873:AZ1873" si="8596">SUM(AW1869:AW1872)</f>
        <v>0</v>
      </c>
      <c r="AX1873" s="11">
        <f t="shared" si="8596"/>
        <v>0</v>
      </c>
      <c r="AY1873" s="11">
        <f t="shared" si="8596"/>
        <v>0</v>
      </c>
      <c r="AZ1873" s="11">
        <f t="shared" si="8596"/>
        <v>0</v>
      </c>
      <c r="BA1873" s="25">
        <f>SUM(BA1869:BA1872)</f>
        <v>0</v>
      </c>
      <c r="BC1873" s="10">
        <f>SUM(BC1869:BC1872)</f>
        <v>0</v>
      </c>
      <c r="BD1873" s="11">
        <f t="shared" ref="BD1873:BG1873" si="8597">SUM(BD1869:BD1872)</f>
        <v>0</v>
      </c>
      <c r="BE1873" s="11">
        <f t="shared" si="8597"/>
        <v>0</v>
      </c>
      <c r="BF1873" s="11">
        <f t="shared" si="8597"/>
        <v>0</v>
      </c>
      <c r="BG1873" s="11">
        <f t="shared" si="8597"/>
        <v>0</v>
      </c>
      <c r="BH1873" s="25">
        <f>SUM(BH1869:BH1872)</f>
        <v>0</v>
      </c>
      <c r="BJ1873" s="10">
        <f>SUM(BJ1869:BJ1872)</f>
        <v>0</v>
      </c>
      <c r="BK1873" s="11">
        <f t="shared" ref="BK1873:BN1873" si="8598">SUM(BK1869:BK1872)</f>
        <v>0</v>
      </c>
      <c r="BL1873" s="11">
        <f t="shared" si="8598"/>
        <v>0</v>
      </c>
      <c r="BM1873" s="11">
        <f t="shared" si="8598"/>
        <v>0</v>
      </c>
      <c r="BN1873" s="11">
        <f t="shared" si="8598"/>
        <v>0</v>
      </c>
      <c r="BO1873" s="25">
        <f>SUM(BO1869:BO1872)</f>
        <v>0</v>
      </c>
      <c r="BQ1873" s="10">
        <f>SUM(BQ1869:BQ1872)</f>
        <v>0</v>
      </c>
      <c r="BR1873" s="11">
        <f t="shared" ref="BR1873:BU1873" si="8599">SUM(BR1869:BR1872)</f>
        <v>0</v>
      </c>
      <c r="BS1873" s="11">
        <f t="shared" si="8599"/>
        <v>0</v>
      </c>
      <c r="BT1873" s="11">
        <f t="shared" si="8599"/>
        <v>0</v>
      </c>
      <c r="BU1873" s="11">
        <f t="shared" si="8599"/>
        <v>0</v>
      </c>
      <c r="BV1873" s="25">
        <f>SUM(BV1869:BV1872)</f>
        <v>0</v>
      </c>
      <c r="BX1873" s="10">
        <f>SUM(BX1869:BX1872)</f>
        <v>0</v>
      </c>
      <c r="BY1873" s="11">
        <f t="shared" ref="BY1873:CB1873" si="8600">SUM(BY1869:BY1872)</f>
        <v>0</v>
      </c>
      <c r="BZ1873" s="11">
        <f t="shared" si="8600"/>
        <v>0</v>
      </c>
      <c r="CA1873" s="11">
        <f t="shared" si="8600"/>
        <v>0</v>
      </c>
      <c r="CB1873" s="11">
        <f t="shared" si="8600"/>
        <v>0</v>
      </c>
      <c r="CC1873" s="25">
        <f>SUM(CC1869:CC1872)</f>
        <v>0</v>
      </c>
      <c r="CE1873" s="62">
        <f t="shared" ref="CE1873:CJ1873" si="8601">SUM(CE1869:CE1872)</f>
        <v>0</v>
      </c>
      <c r="CF1873" s="63">
        <f t="shared" si="8601"/>
        <v>0</v>
      </c>
      <c r="CG1873" s="63">
        <f t="shared" si="8601"/>
        <v>0</v>
      </c>
      <c r="CH1873" s="63">
        <f t="shared" si="8601"/>
        <v>0</v>
      </c>
      <c r="CI1873" s="63">
        <f t="shared" si="8601"/>
        <v>0</v>
      </c>
      <c r="CJ1873" s="25">
        <f t="shared" si="8601"/>
        <v>0</v>
      </c>
      <c r="CL1873" s="10">
        <f>SUM(CL1869:CL1872)</f>
        <v>0</v>
      </c>
      <c r="CM1873" s="11">
        <f t="shared" ref="CM1873:CP1873" si="8602">SUM(CM1869:CM1872)</f>
        <v>0</v>
      </c>
      <c r="CN1873" s="11">
        <f t="shared" si="8602"/>
        <v>0</v>
      </c>
      <c r="CO1873" s="11">
        <f t="shared" si="8602"/>
        <v>0</v>
      </c>
      <c r="CP1873" s="11">
        <f t="shared" si="8602"/>
        <v>0</v>
      </c>
      <c r="CQ1873" s="25">
        <f>SUM(CQ1869:CQ1872)</f>
        <v>0</v>
      </c>
      <c r="CS1873" s="10">
        <f>SUM(CS1869:CS1872)</f>
        <v>0</v>
      </c>
      <c r="CT1873" s="11">
        <f t="shared" ref="CT1873:CW1873" si="8603">SUM(CT1869:CT1872)</f>
        <v>0</v>
      </c>
      <c r="CU1873" s="11">
        <f t="shared" si="8603"/>
        <v>0</v>
      </c>
      <c r="CV1873" s="11">
        <f t="shared" si="8603"/>
        <v>0</v>
      </c>
      <c r="CW1873" s="11">
        <f t="shared" si="8603"/>
        <v>0</v>
      </c>
      <c r="CX1873" s="25">
        <f>SUM(CX1869:CX1872)</f>
        <v>0</v>
      </c>
      <c r="CZ1873" s="10">
        <f>SUM(CZ1869:CZ1872)</f>
        <v>0</v>
      </c>
      <c r="DA1873" s="11">
        <f t="shared" ref="DA1873:DD1873" si="8604">SUM(DA1869:DA1872)</f>
        <v>0</v>
      </c>
      <c r="DB1873" s="11">
        <f t="shared" si="8604"/>
        <v>0</v>
      </c>
      <c r="DC1873" s="11">
        <f t="shared" si="8604"/>
        <v>0</v>
      </c>
      <c r="DD1873" s="11">
        <f t="shared" si="8604"/>
        <v>0</v>
      </c>
      <c r="DE1873" s="25">
        <f>SUM(DE1869:DE1872)</f>
        <v>0</v>
      </c>
    </row>
    <row r="1874" spans="3:109" ht="10.4" customHeight="1" thickBot="1"/>
    <row r="1875" spans="3:109">
      <c r="C1875" s="553">
        <v>2026</v>
      </c>
      <c r="E1875" s="1" t="s">
        <v>59</v>
      </c>
      <c r="F1875" s="21">
        <f>CE1869</f>
        <v>0</v>
      </c>
      <c r="G1875" s="22">
        <f t="shared" ref="G1875:G1878" si="8605">CF1869</f>
        <v>0</v>
      </c>
      <c r="H1875" s="22">
        <f t="shared" ref="H1875:H1878" si="8606">CG1869</f>
        <v>0</v>
      </c>
      <c r="I1875" s="22">
        <f t="shared" ref="I1875:I1878" si="8607">CH1869</f>
        <v>0</v>
      </c>
      <c r="J1875" s="22">
        <f t="shared" ref="J1875:J1878" si="8608">CI1869</f>
        <v>0</v>
      </c>
      <c r="K1875" s="4">
        <f>SUM(F1875:J1875)</f>
        <v>0</v>
      </c>
      <c r="M1875" s="2"/>
      <c r="N1875" s="3"/>
      <c r="O1875" s="3"/>
      <c r="P1875" s="3"/>
      <c r="Q1875" s="3"/>
      <c r="R1875" s="4">
        <f>SUM(M1875:Q1875)</f>
        <v>0</v>
      </c>
      <c r="T1875" s="2"/>
      <c r="U1875" s="3"/>
      <c r="V1875" s="3"/>
      <c r="W1875" s="3"/>
      <c r="X1875" s="3"/>
      <c r="Y1875" s="4">
        <f>SUM(T1875:X1875)</f>
        <v>0</v>
      </c>
      <c r="AA1875" s="2"/>
      <c r="AB1875" s="3"/>
      <c r="AC1875" s="3"/>
      <c r="AD1875" s="3"/>
      <c r="AE1875" s="3"/>
      <c r="AF1875" s="4">
        <f>SUM(AA1875:AE1875)</f>
        <v>0</v>
      </c>
      <c r="AH1875" s="2"/>
      <c r="AI1875" s="3"/>
      <c r="AJ1875" s="3"/>
      <c r="AK1875" s="3"/>
      <c r="AL1875" s="3"/>
      <c r="AM1875" s="4">
        <f>SUM(AH1875:AL1875)</f>
        <v>0</v>
      </c>
      <c r="AO1875" s="2"/>
      <c r="AP1875" s="3"/>
      <c r="AQ1875" s="3"/>
      <c r="AR1875" s="3"/>
      <c r="AS1875" s="3"/>
      <c r="AT1875" s="4">
        <f>SUM(AO1875:AS1875)</f>
        <v>0</v>
      </c>
      <c r="AV1875" s="2"/>
      <c r="AW1875" s="3"/>
      <c r="AX1875" s="3"/>
      <c r="AY1875" s="3"/>
      <c r="AZ1875" s="3"/>
      <c r="BA1875" s="4">
        <f>SUM(AV1875:AZ1875)</f>
        <v>0</v>
      </c>
      <c r="BC1875" s="2"/>
      <c r="BD1875" s="3"/>
      <c r="BE1875" s="3"/>
      <c r="BF1875" s="3"/>
      <c r="BG1875" s="3"/>
      <c r="BH1875" s="4">
        <f>SUM(BC1875:BG1875)</f>
        <v>0</v>
      </c>
      <c r="BJ1875" s="2"/>
      <c r="BK1875" s="3"/>
      <c r="BL1875" s="3"/>
      <c r="BM1875" s="3"/>
      <c r="BN1875" s="3"/>
      <c r="BO1875" s="4">
        <f>SUM(BJ1875:BN1875)</f>
        <v>0</v>
      </c>
      <c r="BQ1875" s="2"/>
      <c r="BR1875" s="3"/>
      <c r="BS1875" s="3"/>
      <c r="BT1875" s="3"/>
      <c r="BU1875" s="3"/>
      <c r="BV1875" s="4">
        <f>SUM(BQ1875:BU1875)</f>
        <v>0</v>
      </c>
      <c r="BX1875" s="2"/>
      <c r="BY1875" s="3"/>
      <c r="BZ1875" s="3"/>
      <c r="CA1875" s="3"/>
      <c r="CB1875" s="3"/>
      <c r="CC1875" s="4">
        <f>SUM(BX1875:CB1875)</f>
        <v>0</v>
      </c>
      <c r="CE1875" s="26">
        <f t="shared" ref="CE1875:CE1878" si="8609">F1875+M1875+T1875+AA1875+AH1875+AO1875+AV1875+BC1875+BJ1875+BQ1875+BX1875</f>
        <v>0</v>
      </c>
      <c r="CF1875" s="27">
        <f t="shared" ref="CF1875:CF1878" si="8610">G1875+N1875+U1875+AB1875+AI1875+AP1875+AW1875+BD1875+BK1875+BR1875+BY1875</f>
        <v>0</v>
      </c>
      <c r="CG1875" s="27">
        <f t="shared" ref="CG1875:CG1878" si="8611">H1875+O1875+V1875+AC1875+AJ1875+AQ1875+AX1875+BE1875+BL1875+BS1875+BZ1875</f>
        <v>0</v>
      </c>
      <c r="CH1875" s="27">
        <f t="shared" ref="CH1875:CH1878" si="8612">I1875+P1875+W1875+AD1875+AK1875+AR1875+AY1875+BF1875+BM1875+BT1875+CA1875</f>
        <v>0</v>
      </c>
      <c r="CI1875" s="27">
        <f t="shared" ref="CI1875:CI1878" si="8613">J1875+Q1875+X1875+AE1875+AL1875+AS1875+AZ1875+BG1875+BN1875+BU1875+CB1875</f>
        <v>0</v>
      </c>
      <c r="CJ1875" s="4">
        <f>SUM(CE1875:CI1875)</f>
        <v>0</v>
      </c>
      <c r="CL1875" s="2"/>
      <c r="CM1875" s="3"/>
      <c r="CN1875" s="3"/>
      <c r="CO1875" s="3"/>
      <c r="CP1875" s="3"/>
      <c r="CQ1875" s="4">
        <f>SUM(CL1875:CP1875)</f>
        <v>0</v>
      </c>
      <c r="CS1875" s="2"/>
      <c r="CT1875" s="3"/>
      <c r="CU1875" s="3"/>
      <c r="CV1875" s="3"/>
      <c r="CW1875" s="3"/>
      <c r="CX1875" s="4">
        <f>SUM(CS1875:CW1875)</f>
        <v>0</v>
      </c>
      <c r="CZ1875" s="2"/>
      <c r="DA1875" s="3"/>
      <c r="DB1875" s="3"/>
      <c r="DC1875" s="3"/>
      <c r="DD1875" s="3"/>
      <c r="DE1875" s="4">
        <f>SUM(CZ1875:DD1875)</f>
        <v>0</v>
      </c>
    </row>
    <row r="1876" spans="3:109">
      <c r="C1876" s="567"/>
      <c r="E1876" s="5" t="s">
        <v>60</v>
      </c>
      <c r="F1876" s="23">
        <f t="shared" ref="F1876:F1878" si="8614">CE1870</f>
        <v>0</v>
      </c>
      <c r="G1876" s="24">
        <f t="shared" si="8605"/>
        <v>0</v>
      </c>
      <c r="H1876" s="24">
        <f t="shared" si="8606"/>
        <v>0</v>
      </c>
      <c r="I1876" s="24">
        <f t="shared" si="8607"/>
        <v>0</v>
      </c>
      <c r="J1876" s="24">
        <f t="shared" si="8608"/>
        <v>0</v>
      </c>
      <c r="K1876" s="8">
        <f t="shared" ref="K1876:K1878" si="8615">SUM(F1876:J1876)</f>
        <v>0</v>
      </c>
      <c r="M1876" s="6"/>
      <c r="N1876" s="7"/>
      <c r="O1876" s="7"/>
      <c r="P1876" s="7"/>
      <c r="Q1876" s="7"/>
      <c r="R1876" s="8">
        <f t="shared" ref="R1876:R1878" si="8616">SUM(M1876:Q1876)</f>
        <v>0</v>
      </c>
      <c r="T1876" s="6"/>
      <c r="U1876" s="7"/>
      <c r="V1876" s="7"/>
      <c r="W1876" s="7"/>
      <c r="X1876" s="7"/>
      <c r="Y1876" s="8">
        <f t="shared" ref="Y1876:Y1878" si="8617">SUM(T1876:X1876)</f>
        <v>0</v>
      </c>
      <c r="AA1876" s="6"/>
      <c r="AB1876" s="7"/>
      <c r="AC1876" s="7"/>
      <c r="AD1876" s="7"/>
      <c r="AE1876" s="7"/>
      <c r="AF1876" s="8">
        <f>SUM(AA1876:AE1876)</f>
        <v>0</v>
      </c>
      <c r="AH1876" s="6"/>
      <c r="AI1876" s="7"/>
      <c r="AJ1876" s="7"/>
      <c r="AK1876" s="7"/>
      <c r="AL1876" s="7"/>
      <c r="AM1876" s="8">
        <f>SUM(AH1876:AL1876)</f>
        <v>0</v>
      </c>
      <c r="AO1876" s="6"/>
      <c r="AP1876" s="7"/>
      <c r="AQ1876" s="7"/>
      <c r="AR1876" s="7"/>
      <c r="AS1876" s="7"/>
      <c r="AT1876" s="8">
        <f>SUM(AO1876:AS1876)</f>
        <v>0</v>
      </c>
      <c r="AV1876" s="6"/>
      <c r="AW1876" s="7"/>
      <c r="AX1876" s="7"/>
      <c r="AY1876" s="7"/>
      <c r="AZ1876" s="7"/>
      <c r="BA1876" s="8">
        <f>SUM(AV1876:AZ1876)</f>
        <v>0</v>
      </c>
      <c r="BC1876" s="6"/>
      <c r="BD1876" s="7"/>
      <c r="BE1876" s="7"/>
      <c r="BF1876" s="7"/>
      <c r="BG1876" s="7"/>
      <c r="BH1876" s="8">
        <f>SUM(BC1876:BG1876)</f>
        <v>0</v>
      </c>
      <c r="BJ1876" s="6"/>
      <c r="BK1876" s="7"/>
      <c r="BL1876" s="7"/>
      <c r="BM1876" s="7"/>
      <c r="BN1876" s="7"/>
      <c r="BO1876" s="8">
        <f>SUM(BJ1876:BN1876)</f>
        <v>0</v>
      </c>
      <c r="BQ1876" s="6"/>
      <c r="BR1876" s="7"/>
      <c r="BS1876" s="7"/>
      <c r="BT1876" s="7"/>
      <c r="BU1876" s="7"/>
      <c r="BV1876" s="8">
        <f>SUM(BQ1876:BU1876)</f>
        <v>0</v>
      </c>
      <c r="BX1876" s="6"/>
      <c r="BY1876" s="7"/>
      <c r="BZ1876" s="7"/>
      <c r="CA1876" s="7"/>
      <c r="CB1876" s="7"/>
      <c r="CC1876" s="8">
        <f>SUM(BX1876:CB1876)</f>
        <v>0</v>
      </c>
      <c r="CE1876" s="28">
        <f t="shared" si="8609"/>
        <v>0</v>
      </c>
      <c r="CF1876" s="29">
        <f t="shared" si="8610"/>
        <v>0</v>
      </c>
      <c r="CG1876" s="29">
        <f t="shared" si="8611"/>
        <v>0</v>
      </c>
      <c r="CH1876" s="29">
        <f t="shared" si="8612"/>
        <v>0</v>
      </c>
      <c r="CI1876" s="29">
        <f t="shared" si="8613"/>
        <v>0</v>
      </c>
      <c r="CJ1876" s="8">
        <f>SUM(CE1876:CI1876)</f>
        <v>0</v>
      </c>
      <c r="CL1876" s="6"/>
      <c r="CM1876" s="7"/>
      <c r="CN1876" s="7"/>
      <c r="CO1876" s="7"/>
      <c r="CP1876" s="7"/>
      <c r="CQ1876" s="8">
        <f>SUM(CL1876:CP1876)</f>
        <v>0</v>
      </c>
      <c r="CS1876" s="6"/>
      <c r="CT1876" s="7"/>
      <c r="CU1876" s="7"/>
      <c r="CV1876" s="7"/>
      <c r="CW1876" s="7"/>
      <c r="CX1876" s="8">
        <f t="shared" ref="CX1876:CX1878" si="8618">SUM(CS1876:CW1876)</f>
        <v>0</v>
      </c>
      <c r="CZ1876" s="6"/>
      <c r="DA1876" s="7"/>
      <c r="DB1876" s="7"/>
      <c r="DC1876" s="7"/>
      <c r="DD1876" s="7"/>
      <c r="DE1876" s="8">
        <f t="shared" ref="DE1876:DE1878" si="8619">SUM(CZ1876:DD1876)</f>
        <v>0</v>
      </c>
    </row>
    <row r="1877" spans="3:109">
      <c r="C1877" s="567"/>
      <c r="E1877" s="5" t="s">
        <v>61</v>
      </c>
      <c r="F1877" s="23">
        <f t="shared" si="8614"/>
        <v>0</v>
      </c>
      <c r="G1877" s="24">
        <f t="shared" si="8605"/>
        <v>0</v>
      </c>
      <c r="H1877" s="24">
        <f t="shared" si="8606"/>
        <v>0</v>
      </c>
      <c r="I1877" s="24">
        <f t="shared" si="8607"/>
        <v>0</v>
      </c>
      <c r="J1877" s="24">
        <f t="shared" si="8608"/>
        <v>0</v>
      </c>
      <c r="K1877" s="8">
        <f t="shared" si="8615"/>
        <v>0</v>
      </c>
      <c r="M1877" s="6"/>
      <c r="N1877" s="7"/>
      <c r="O1877" s="7"/>
      <c r="P1877" s="7"/>
      <c r="Q1877" s="7"/>
      <c r="R1877" s="8">
        <f t="shared" si="8616"/>
        <v>0</v>
      </c>
      <c r="T1877" s="6"/>
      <c r="U1877" s="7"/>
      <c r="V1877" s="7"/>
      <c r="W1877" s="7"/>
      <c r="X1877" s="7"/>
      <c r="Y1877" s="8">
        <f t="shared" si="8617"/>
        <v>0</v>
      </c>
      <c r="AA1877" s="6"/>
      <c r="AB1877" s="7"/>
      <c r="AC1877" s="7"/>
      <c r="AD1877" s="7"/>
      <c r="AE1877" s="7"/>
      <c r="AF1877" s="8">
        <f>SUM(AA1877:AE1877)</f>
        <v>0</v>
      </c>
      <c r="AH1877" s="6"/>
      <c r="AI1877" s="7"/>
      <c r="AJ1877" s="7"/>
      <c r="AK1877" s="7"/>
      <c r="AL1877" s="7"/>
      <c r="AM1877" s="8">
        <f>SUM(AH1877:AL1877)</f>
        <v>0</v>
      </c>
      <c r="AO1877" s="6"/>
      <c r="AP1877" s="7"/>
      <c r="AQ1877" s="7"/>
      <c r="AR1877" s="7"/>
      <c r="AS1877" s="7"/>
      <c r="AT1877" s="8">
        <f>SUM(AO1877:AS1877)</f>
        <v>0</v>
      </c>
      <c r="AV1877" s="6"/>
      <c r="AW1877" s="7"/>
      <c r="AX1877" s="7"/>
      <c r="AY1877" s="7"/>
      <c r="AZ1877" s="7"/>
      <c r="BA1877" s="8">
        <f>SUM(AV1877:AZ1877)</f>
        <v>0</v>
      </c>
      <c r="BC1877" s="6"/>
      <c r="BD1877" s="7"/>
      <c r="BE1877" s="7"/>
      <c r="BF1877" s="7"/>
      <c r="BG1877" s="7"/>
      <c r="BH1877" s="8">
        <f>SUM(BC1877:BG1877)</f>
        <v>0</v>
      </c>
      <c r="BJ1877" s="6"/>
      <c r="BK1877" s="7"/>
      <c r="BL1877" s="7"/>
      <c r="BM1877" s="7"/>
      <c r="BN1877" s="7"/>
      <c r="BO1877" s="8">
        <f>SUM(BJ1877:BN1877)</f>
        <v>0</v>
      </c>
      <c r="BQ1877" s="6"/>
      <c r="BR1877" s="7"/>
      <c r="BS1877" s="7"/>
      <c r="BT1877" s="7"/>
      <c r="BU1877" s="7"/>
      <c r="BV1877" s="8">
        <f>SUM(BQ1877:BU1877)</f>
        <v>0</v>
      </c>
      <c r="BX1877" s="6"/>
      <c r="BY1877" s="7"/>
      <c r="BZ1877" s="7"/>
      <c r="CA1877" s="7"/>
      <c r="CB1877" s="7"/>
      <c r="CC1877" s="8">
        <f>SUM(BX1877:CB1877)</f>
        <v>0</v>
      </c>
      <c r="CE1877" s="28">
        <f t="shared" si="8609"/>
        <v>0</v>
      </c>
      <c r="CF1877" s="29">
        <f t="shared" si="8610"/>
        <v>0</v>
      </c>
      <c r="CG1877" s="29">
        <f t="shared" si="8611"/>
        <v>0</v>
      </c>
      <c r="CH1877" s="29">
        <f t="shared" si="8612"/>
        <v>0</v>
      </c>
      <c r="CI1877" s="29">
        <f t="shared" si="8613"/>
        <v>0</v>
      </c>
      <c r="CJ1877" s="8">
        <f>SUM(CE1877:CI1877)</f>
        <v>0</v>
      </c>
      <c r="CL1877" s="6"/>
      <c r="CM1877" s="7"/>
      <c r="CN1877" s="7"/>
      <c r="CO1877" s="7"/>
      <c r="CP1877" s="7"/>
      <c r="CQ1877" s="8">
        <f>SUM(CL1877:CP1877)</f>
        <v>0</v>
      </c>
      <c r="CS1877" s="6"/>
      <c r="CT1877" s="7"/>
      <c r="CU1877" s="7"/>
      <c r="CV1877" s="7"/>
      <c r="CW1877" s="7"/>
      <c r="CX1877" s="8">
        <f t="shared" si="8618"/>
        <v>0</v>
      </c>
      <c r="CZ1877" s="6"/>
      <c r="DA1877" s="7"/>
      <c r="DB1877" s="7"/>
      <c r="DC1877" s="7"/>
      <c r="DD1877" s="7"/>
      <c r="DE1877" s="8">
        <f t="shared" si="8619"/>
        <v>0</v>
      </c>
    </row>
    <row r="1878" spans="3:109" ht="14" thickBot="1">
      <c r="C1878" s="567"/>
      <c r="E1878" s="5" t="s">
        <v>62</v>
      </c>
      <c r="F1878" s="23">
        <f t="shared" si="8614"/>
        <v>0</v>
      </c>
      <c r="G1878" s="24">
        <f t="shared" si="8605"/>
        <v>0</v>
      </c>
      <c r="H1878" s="24">
        <f t="shared" si="8606"/>
        <v>0</v>
      </c>
      <c r="I1878" s="24">
        <f t="shared" si="8607"/>
        <v>0</v>
      </c>
      <c r="J1878" s="24">
        <f t="shared" si="8608"/>
        <v>0</v>
      </c>
      <c r="K1878" s="8">
        <f t="shared" si="8615"/>
        <v>0</v>
      </c>
      <c r="M1878" s="6"/>
      <c r="N1878" s="7"/>
      <c r="O1878" s="7"/>
      <c r="P1878" s="7"/>
      <c r="Q1878" s="7"/>
      <c r="R1878" s="8">
        <f t="shared" si="8616"/>
        <v>0</v>
      </c>
      <c r="T1878" s="6"/>
      <c r="U1878" s="7"/>
      <c r="V1878" s="7"/>
      <c r="W1878" s="7"/>
      <c r="X1878" s="7"/>
      <c r="Y1878" s="8">
        <f t="shared" si="8617"/>
        <v>0</v>
      </c>
      <c r="AA1878" s="6"/>
      <c r="AB1878" s="7"/>
      <c r="AC1878" s="7"/>
      <c r="AD1878" s="7"/>
      <c r="AE1878" s="7"/>
      <c r="AF1878" s="8">
        <f>SUM(AA1878:AE1878)</f>
        <v>0</v>
      </c>
      <c r="AH1878" s="6"/>
      <c r="AI1878" s="7"/>
      <c r="AJ1878" s="7"/>
      <c r="AK1878" s="7"/>
      <c r="AL1878" s="7"/>
      <c r="AM1878" s="8">
        <f>SUM(AH1878:AL1878)</f>
        <v>0</v>
      </c>
      <c r="AO1878" s="6"/>
      <c r="AP1878" s="7"/>
      <c r="AQ1878" s="7"/>
      <c r="AR1878" s="7"/>
      <c r="AS1878" s="7"/>
      <c r="AT1878" s="8">
        <f>SUM(AO1878:AS1878)</f>
        <v>0</v>
      </c>
      <c r="AV1878" s="6"/>
      <c r="AW1878" s="7"/>
      <c r="AX1878" s="7"/>
      <c r="AY1878" s="7"/>
      <c r="AZ1878" s="7"/>
      <c r="BA1878" s="8">
        <f>SUM(AV1878:AZ1878)</f>
        <v>0</v>
      </c>
      <c r="BC1878" s="6"/>
      <c r="BD1878" s="7"/>
      <c r="BE1878" s="7"/>
      <c r="BF1878" s="7"/>
      <c r="BG1878" s="7"/>
      <c r="BH1878" s="8">
        <f>SUM(BC1878:BG1878)</f>
        <v>0</v>
      </c>
      <c r="BJ1878" s="6"/>
      <c r="BK1878" s="7"/>
      <c r="BL1878" s="7"/>
      <c r="BM1878" s="7"/>
      <c r="BN1878" s="7"/>
      <c r="BO1878" s="8">
        <f>SUM(BJ1878:BN1878)</f>
        <v>0</v>
      </c>
      <c r="BQ1878" s="6"/>
      <c r="BR1878" s="7"/>
      <c r="BS1878" s="7"/>
      <c r="BT1878" s="7"/>
      <c r="BU1878" s="7"/>
      <c r="BV1878" s="8">
        <f>SUM(BQ1878:BU1878)</f>
        <v>0</v>
      </c>
      <c r="BX1878" s="6"/>
      <c r="BY1878" s="7"/>
      <c r="BZ1878" s="7"/>
      <c r="CA1878" s="7"/>
      <c r="CB1878" s="7"/>
      <c r="CC1878" s="8">
        <f>SUM(BX1878:CB1878)</f>
        <v>0</v>
      </c>
      <c r="CE1878" s="493">
        <f t="shared" si="8609"/>
        <v>0</v>
      </c>
      <c r="CF1878" s="494">
        <f t="shared" si="8610"/>
        <v>0</v>
      </c>
      <c r="CG1878" s="494">
        <f t="shared" si="8611"/>
        <v>0</v>
      </c>
      <c r="CH1878" s="494">
        <f t="shared" si="8612"/>
        <v>0</v>
      </c>
      <c r="CI1878" s="494">
        <f t="shared" si="8613"/>
        <v>0</v>
      </c>
      <c r="CJ1878" s="495">
        <f>SUM(CE1878:CI1878)</f>
        <v>0</v>
      </c>
      <c r="CL1878" s="6"/>
      <c r="CM1878" s="7"/>
      <c r="CN1878" s="7"/>
      <c r="CO1878" s="7"/>
      <c r="CP1878" s="7"/>
      <c r="CQ1878" s="8">
        <f>SUM(CL1878:CP1878)</f>
        <v>0</v>
      </c>
      <c r="CS1878" s="6"/>
      <c r="CT1878" s="7"/>
      <c r="CU1878" s="7"/>
      <c r="CV1878" s="7"/>
      <c r="CW1878" s="7"/>
      <c r="CX1878" s="8">
        <f t="shared" si="8618"/>
        <v>0</v>
      </c>
      <c r="CZ1878" s="6"/>
      <c r="DA1878" s="7"/>
      <c r="DB1878" s="7"/>
      <c r="DC1878" s="7"/>
      <c r="DD1878" s="7"/>
      <c r="DE1878" s="8">
        <f t="shared" si="8619"/>
        <v>0</v>
      </c>
    </row>
    <row r="1879" spans="3:109" ht="14" thickBot="1">
      <c r="C1879" s="554"/>
      <c r="E1879" s="9"/>
      <c r="F1879" s="10">
        <f>SUM(F1875:F1878)</f>
        <v>0</v>
      </c>
      <c r="G1879" s="11">
        <f t="shared" ref="G1879:J1879" si="8620">SUM(G1875:G1878)</f>
        <v>0</v>
      </c>
      <c r="H1879" s="11">
        <f t="shared" si="8620"/>
        <v>0</v>
      </c>
      <c r="I1879" s="11">
        <f t="shared" si="8620"/>
        <v>0</v>
      </c>
      <c r="J1879" s="11">
        <f t="shared" si="8620"/>
        <v>0</v>
      </c>
      <c r="K1879" s="25">
        <f>SUM(K1875:K1878)</f>
        <v>0</v>
      </c>
      <c r="M1879" s="10">
        <f>SUM(M1875:M1878)</f>
        <v>0</v>
      </c>
      <c r="N1879" s="11">
        <f t="shared" ref="N1879:Q1879" si="8621">SUM(N1875:N1878)</f>
        <v>0</v>
      </c>
      <c r="O1879" s="11">
        <f t="shared" si="8621"/>
        <v>0</v>
      </c>
      <c r="P1879" s="11">
        <f t="shared" si="8621"/>
        <v>0</v>
      </c>
      <c r="Q1879" s="11">
        <f t="shared" si="8621"/>
        <v>0</v>
      </c>
      <c r="R1879" s="25">
        <f>SUM(R1875:R1878)</f>
        <v>0</v>
      </c>
      <c r="T1879" s="10">
        <f>SUM(T1875:T1878)</f>
        <v>0</v>
      </c>
      <c r="U1879" s="11">
        <f t="shared" ref="U1879:X1879" si="8622">SUM(U1875:U1878)</f>
        <v>0</v>
      </c>
      <c r="V1879" s="11">
        <f t="shared" si="8622"/>
        <v>0</v>
      </c>
      <c r="W1879" s="11">
        <f t="shared" si="8622"/>
        <v>0</v>
      </c>
      <c r="X1879" s="11">
        <f t="shared" si="8622"/>
        <v>0</v>
      </c>
      <c r="Y1879" s="25">
        <f>SUM(Y1875:Y1878)</f>
        <v>0</v>
      </c>
      <c r="AA1879" s="10">
        <f>SUM(AA1875:AA1878)</f>
        <v>0</v>
      </c>
      <c r="AB1879" s="11">
        <f t="shared" ref="AB1879:AE1879" si="8623">SUM(AB1875:AB1878)</f>
        <v>0</v>
      </c>
      <c r="AC1879" s="11">
        <f t="shared" si="8623"/>
        <v>0</v>
      </c>
      <c r="AD1879" s="11">
        <f t="shared" si="8623"/>
        <v>0</v>
      </c>
      <c r="AE1879" s="11">
        <f t="shared" si="8623"/>
        <v>0</v>
      </c>
      <c r="AF1879" s="25">
        <f>SUM(AF1875:AF1878)</f>
        <v>0</v>
      </c>
      <c r="AH1879" s="10">
        <f>SUM(AH1875:AH1878)</f>
        <v>0</v>
      </c>
      <c r="AI1879" s="11">
        <f t="shared" ref="AI1879:AL1879" si="8624">SUM(AI1875:AI1878)</f>
        <v>0</v>
      </c>
      <c r="AJ1879" s="11">
        <f t="shared" si="8624"/>
        <v>0</v>
      </c>
      <c r="AK1879" s="11">
        <f t="shared" si="8624"/>
        <v>0</v>
      </c>
      <c r="AL1879" s="11">
        <f t="shared" si="8624"/>
        <v>0</v>
      </c>
      <c r="AM1879" s="25">
        <f>SUM(AM1875:AM1878)</f>
        <v>0</v>
      </c>
      <c r="AO1879" s="10">
        <f>SUM(AO1875:AO1878)</f>
        <v>0</v>
      </c>
      <c r="AP1879" s="11">
        <f t="shared" ref="AP1879:AS1879" si="8625">SUM(AP1875:AP1878)</f>
        <v>0</v>
      </c>
      <c r="AQ1879" s="11">
        <f t="shared" si="8625"/>
        <v>0</v>
      </c>
      <c r="AR1879" s="11">
        <f t="shared" si="8625"/>
        <v>0</v>
      </c>
      <c r="AS1879" s="11">
        <f t="shared" si="8625"/>
        <v>0</v>
      </c>
      <c r="AT1879" s="25">
        <f>SUM(AT1875:AT1878)</f>
        <v>0</v>
      </c>
      <c r="AV1879" s="10">
        <f>SUM(AV1875:AV1878)</f>
        <v>0</v>
      </c>
      <c r="AW1879" s="11">
        <f t="shared" ref="AW1879:AZ1879" si="8626">SUM(AW1875:AW1878)</f>
        <v>0</v>
      </c>
      <c r="AX1879" s="11">
        <f t="shared" si="8626"/>
        <v>0</v>
      </c>
      <c r="AY1879" s="11">
        <f t="shared" si="8626"/>
        <v>0</v>
      </c>
      <c r="AZ1879" s="11">
        <f t="shared" si="8626"/>
        <v>0</v>
      </c>
      <c r="BA1879" s="25">
        <f>SUM(BA1875:BA1878)</f>
        <v>0</v>
      </c>
      <c r="BC1879" s="10">
        <f>SUM(BC1875:BC1878)</f>
        <v>0</v>
      </c>
      <c r="BD1879" s="11">
        <f t="shared" ref="BD1879:BG1879" si="8627">SUM(BD1875:BD1878)</f>
        <v>0</v>
      </c>
      <c r="BE1879" s="11">
        <f t="shared" si="8627"/>
        <v>0</v>
      </c>
      <c r="BF1879" s="11">
        <f t="shared" si="8627"/>
        <v>0</v>
      </c>
      <c r="BG1879" s="11">
        <f t="shared" si="8627"/>
        <v>0</v>
      </c>
      <c r="BH1879" s="25">
        <f>SUM(BH1875:BH1878)</f>
        <v>0</v>
      </c>
      <c r="BJ1879" s="10">
        <f>SUM(BJ1875:BJ1878)</f>
        <v>0</v>
      </c>
      <c r="BK1879" s="11">
        <f t="shared" ref="BK1879:BN1879" si="8628">SUM(BK1875:BK1878)</f>
        <v>0</v>
      </c>
      <c r="BL1879" s="11">
        <f t="shared" si="8628"/>
        <v>0</v>
      </c>
      <c r="BM1879" s="11">
        <f t="shared" si="8628"/>
        <v>0</v>
      </c>
      <c r="BN1879" s="11">
        <f t="shared" si="8628"/>
        <v>0</v>
      </c>
      <c r="BO1879" s="25">
        <f>SUM(BO1875:BO1878)</f>
        <v>0</v>
      </c>
      <c r="BQ1879" s="10">
        <f>SUM(BQ1875:BQ1878)</f>
        <v>0</v>
      </c>
      <c r="BR1879" s="11">
        <f t="shared" ref="BR1879:BU1879" si="8629">SUM(BR1875:BR1878)</f>
        <v>0</v>
      </c>
      <c r="BS1879" s="11">
        <f t="shared" si="8629"/>
        <v>0</v>
      </c>
      <c r="BT1879" s="11">
        <f t="shared" si="8629"/>
        <v>0</v>
      </c>
      <c r="BU1879" s="11">
        <f t="shared" si="8629"/>
        <v>0</v>
      </c>
      <c r="BV1879" s="25">
        <f>SUM(BV1875:BV1878)</f>
        <v>0</v>
      </c>
      <c r="BX1879" s="10">
        <f>SUM(BX1875:BX1878)</f>
        <v>0</v>
      </c>
      <c r="BY1879" s="11">
        <f t="shared" ref="BY1879:CB1879" si="8630">SUM(BY1875:BY1878)</f>
        <v>0</v>
      </c>
      <c r="BZ1879" s="11">
        <f t="shared" si="8630"/>
        <v>0</v>
      </c>
      <c r="CA1879" s="11">
        <f t="shared" si="8630"/>
        <v>0</v>
      </c>
      <c r="CB1879" s="11">
        <f t="shared" si="8630"/>
        <v>0</v>
      </c>
      <c r="CC1879" s="25">
        <f>SUM(CC1875:CC1878)</f>
        <v>0</v>
      </c>
      <c r="CE1879" s="62">
        <f t="shared" ref="CE1879:CJ1879" si="8631">SUM(CE1875:CE1878)</f>
        <v>0</v>
      </c>
      <c r="CF1879" s="63">
        <f t="shared" si="8631"/>
        <v>0</v>
      </c>
      <c r="CG1879" s="63">
        <f t="shared" si="8631"/>
        <v>0</v>
      </c>
      <c r="CH1879" s="63">
        <f t="shared" si="8631"/>
        <v>0</v>
      </c>
      <c r="CI1879" s="63">
        <f t="shared" si="8631"/>
        <v>0</v>
      </c>
      <c r="CJ1879" s="25">
        <f t="shared" si="8631"/>
        <v>0</v>
      </c>
      <c r="CL1879" s="10">
        <f>SUM(CL1875:CL1878)</f>
        <v>0</v>
      </c>
      <c r="CM1879" s="11">
        <f t="shared" ref="CM1879:CP1879" si="8632">SUM(CM1875:CM1878)</f>
        <v>0</v>
      </c>
      <c r="CN1879" s="11">
        <f t="shared" si="8632"/>
        <v>0</v>
      </c>
      <c r="CO1879" s="11">
        <f t="shared" si="8632"/>
        <v>0</v>
      </c>
      <c r="CP1879" s="11">
        <f t="shared" si="8632"/>
        <v>0</v>
      </c>
      <c r="CQ1879" s="25">
        <f>SUM(CQ1875:CQ1878)</f>
        <v>0</v>
      </c>
      <c r="CS1879" s="10">
        <f>SUM(CS1875:CS1878)</f>
        <v>0</v>
      </c>
      <c r="CT1879" s="11">
        <f t="shared" ref="CT1879:CW1879" si="8633">SUM(CT1875:CT1878)</f>
        <v>0</v>
      </c>
      <c r="CU1879" s="11">
        <f t="shared" si="8633"/>
        <v>0</v>
      </c>
      <c r="CV1879" s="11">
        <f t="shared" si="8633"/>
        <v>0</v>
      </c>
      <c r="CW1879" s="11">
        <f t="shared" si="8633"/>
        <v>0</v>
      </c>
      <c r="CX1879" s="25">
        <f>SUM(CX1875:CX1878)</f>
        <v>0</v>
      </c>
      <c r="CZ1879" s="10">
        <f>SUM(CZ1875:CZ1878)</f>
        <v>0</v>
      </c>
      <c r="DA1879" s="11">
        <f t="shared" ref="DA1879:DD1879" si="8634">SUM(DA1875:DA1878)</f>
        <v>0</v>
      </c>
      <c r="DB1879" s="11">
        <f t="shared" si="8634"/>
        <v>0</v>
      </c>
      <c r="DC1879" s="11">
        <f t="shared" si="8634"/>
        <v>0</v>
      </c>
      <c r="DD1879" s="11">
        <f t="shared" si="8634"/>
        <v>0</v>
      </c>
      <c r="DE1879" s="25">
        <f>SUM(DE1875:DE1878)</f>
        <v>0</v>
      </c>
    </row>
    <row r="1880" spans="3:109" ht="10.4" customHeight="1" thickBot="1"/>
    <row r="1881" spans="3:109">
      <c r="C1881" s="553">
        <v>2027</v>
      </c>
      <c r="E1881" s="1" t="s">
        <v>59</v>
      </c>
      <c r="F1881" s="21">
        <f>CE1875</f>
        <v>0</v>
      </c>
      <c r="G1881" s="22">
        <f t="shared" ref="G1881:G1884" si="8635">CF1875</f>
        <v>0</v>
      </c>
      <c r="H1881" s="22">
        <f t="shared" ref="H1881:H1884" si="8636">CG1875</f>
        <v>0</v>
      </c>
      <c r="I1881" s="22">
        <f t="shared" ref="I1881:I1884" si="8637">CH1875</f>
        <v>0</v>
      </c>
      <c r="J1881" s="22">
        <f t="shared" ref="J1881:J1884" si="8638">CI1875</f>
        <v>0</v>
      </c>
      <c r="K1881" s="4">
        <f>SUM(F1881:J1881)</f>
        <v>0</v>
      </c>
      <c r="M1881" s="2"/>
      <c r="N1881" s="3"/>
      <c r="O1881" s="3"/>
      <c r="P1881" s="3"/>
      <c r="Q1881" s="3"/>
      <c r="R1881" s="4">
        <f>SUM(M1881:Q1881)</f>
        <v>0</v>
      </c>
      <c r="T1881" s="2"/>
      <c r="U1881" s="3"/>
      <c r="V1881" s="3"/>
      <c r="W1881" s="3"/>
      <c r="X1881" s="3"/>
      <c r="Y1881" s="4">
        <f>SUM(T1881:X1881)</f>
        <v>0</v>
      </c>
      <c r="AA1881" s="2"/>
      <c r="AB1881" s="3"/>
      <c r="AC1881" s="3"/>
      <c r="AD1881" s="3"/>
      <c r="AE1881" s="3"/>
      <c r="AF1881" s="4">
        <f>SUM(AA1881:AE1881)</f>
        <v>0</v>
      </c>
      <c r="AH1881" s="2"/>
      <c r="AI1881" s="3"/>
      <c r="AJ1881" s="3"/>
      <c r="AK1881" s="3"/>
      <c r="AL1881" s="3"/>
      <c r="AM1881" s="4">
        <f>SUM(AH1881:AL1881)</f>
        <v>0</v>
      </c>
      <c r="AO1881" s="2"/>
      <c r="AP1881" s="3"/>
      <c r="AQ1881" s="3"/>
      <c r="AR1881" s="3"/>
      <c r="AS1881" s="3"/>
      <c r="AT1881" s="4">
        <f>SUM(AO1881:AS1881)</f>
        <v>0</v>
      </c>
      <c r="AV1881" s="2"/>
      <c r="AW1881" s="3"/>
      <c r="AX1881" s="3"/>
      <c r="AY1881" s="3"/>
      <c r="AZ1881" s="3"/>
      <c r="BA1881" s="4">
        <f>SUM(AV1881:AZ1881)</f>
        <v>0</v>
      </c>
      <c r="BC1881" s="2"/>
      <c r="BD1881" s="3"/>
      <c r="BE1881" s="3"/>
      <c r="BF1881" s="3"/>
      <c r="BG1881" s="3"/>
      <c r="BH1881" s="4">
        <f>SUM(BC1881:BG1881)</f>
        <v>0</v>
      </c>
      <c r="BJ1881" s="2"/>
      <c r="BK1881" s="3"/>
      <c r="BL1881" s="3"/>
      <c r="BM1881" s="3"/>
      <c r="BN1881" s="3"/>
      <c r="BO1881" s="4">
        <f>SUM(BJ1881:BN1881)</f>
        <v>0</v>
      </c>
      <c r="BQ1881" s="2"/>
      <c r="BR1881" s="3"/>
      <c r="BS1881" s="3"/>
      <c r="BT1881" s="3"/>
      <c r="BU1881" s="3"/>
      <c r="BV1881" s="4">
        <f>SUM(BQ1881:BU1881)</f>
        <v>0</v>
      </c>
      <c r="BX1881" s="2"/>
      <c r="BY1881" s="3"/>
      <c r="BZ1881" s="3"/>
      <c r="CA1881" s="3"/>
      <c r="CB1881" s="3"/>
      <c r="CC1881" s="4">
        <f>SUM(BX1881:CB1881)</f>
        <v>0</v>
      </c>
      <c r="CE1881" s="26">
        <f t="shared" ref="CE1881:CE1884" si="8639">F1881+M1881+T1881+AA1881+AH1881+AO1881+AV1881+BC1881+BJ1881+BQ1881+BX1881</f>
        <v>0</v>
      </c>
      <c r="CF1881" s="27">
        <f t="shared" ref="CF1881:CF1884" si="8640">G1881+N1881+U1881+AB1881+AI1881+AP1881+AW1881+BD1881+BK1881+BR1881+BY1881</f>
        <v>0</v>
      </c>
      <c r="CG1881" s="27">
        <f t="shared" ref="CG1881:CG1884" si="8641">H1881+O1881+V1881+AC1881+AJ1881+AQ1881+AX1881+BE1881+BL1881+BS1881+BZ1881</f>
        <v>0</v>
      </c>
      <c r="CH1881" s="27">
        <f t="shared" ref="CH1881:CH1884" si="8642">I1881+P1881+W1881+AD1881+AK1881+AR1881+AY1881+BF1881+BM1881+BT1881+CA1881</f>
        <v>0</v>
      </c>
      <c r="CI1881" s="27">
        <f t="shared" ref="CI1881:CI1884" si="8643">J1881+Q1881+X1881+AE1881+AL1881+AS1881+AZ1881+BG1881+BN1881+BU1881+CB1881</f>
        <v>0</v>
      </c>
      <c r="CJ1881" s="4">
        <f>SUM(CE1881:CI1881)</f>
        <v>0</v>
      </c>
      <c r="CL1881" s="2"/>
      <c r="CM1881" s="3"/>
      <c r="CN1881" s="3"/>
      <c r="CO1881" s="3"/>
      <c r="CP1881" s="3"/>
      <c r="CQ1881" s="4">
        <f>SUM(CL1881:CP1881)</f>
        <v>0</v>
      </c>
      <c r="CS1881" s="2"/>
      <c r="CT1881" s="3"/>
      <c r="CU1881" s="3"/>
      <c r="CV1881" s="3"/>
      <c r="CW1881" s="3"/>
      <c r="CX1881" s="4">
        <f>SUM(CS1881:CW1881)</f>
        <v>0</v>
      </c>
      <c r="CZ1881" s="2"/>
      <c r="DA1881" s="3"/>
      <c r="DB1881" s="3"/>
      <c r="DC1881" s="3"/>
      <c r="DD1881" s="3"/>
      <c r="DE1881" s="4">
        <f>SUM(CZ1881:DD1881)</f>
        <v>0</v>
      </c>
    </row>
    <row r="1882" spans="3:109">
      <c r="C1882" s="567"/>
      <c r="E1882" s="5" t="s">
        <v>60</v>
      </c>
      <c r="F1882" s="23">
        <f t="shared" ref="F1882:F1884" si="8644">CE1876</f>
        <v>0</v>
      </c>
      <c r="G1882" s="24">
        <f t="shared" si="8635"/>
        <v>0</v>
      </c>
      <c r="H1882" s="24">
        <f t="shared" si="8636"/>
        <v>0</v>
      </c>
      <c r="I1882" s="24">
        <f t="shared" si="8637"/>
        <v>0</v>
      </c>
      <c r="J1882" s="24">
        <f t="shared" si="8638"/>
        <v>0</v>
      </c>
      <c r="K1882" s="8">
        <f t="shared" ref="K1882:K1884" si="8645">SUM(F1882:J1882)</f>
        <v>0</v>
      </c>
      <c r="M1882" s="6"/>
      <c r="N1882" s="7"/>
      <c r="O1882" s="7"/>
      <c r="P1882" s="7"/>
      <c r="Q1882" s="7"/>
      <c r="R1882" s="8">
        <f t="shared" ref="R1882:R1884" si="8646">SUM(M1882:Q1882)</f>
        <v>0</v>
      </c>
      <c r="T1882" s="6"/>
      <c r="U1882" s="7"/>
      <c r="V1882" s="7"/>
      <c r="W1882" s="7"/>
      <c r="X1882" s="7"/>
      <c r="Y1882" s="8">
        <f t="shared" ref="Y1882:Y1884" si="8647">SUM(T1882:X1882)</f>
        <v>0</v>
      </c>
      <c r="AA1882" s="6"/>
      <c r="AB1882" s="7"/>
      <c r="AC1882" s="7"/>
      <c r="AD1882" s="7"/>
      <c r="AE1882" s="7"/>
      <c r="AF1882" s="8">
        <f>SUM(AA1882:AE1882)</f>
        <v>0</v>
      </c>
      <c r="AH1882" s="6"/>
      <c r="AI1882" s="7"/>
      <c r="AJ1882" s="7"/>
      <c r="AK1882" s="7"/>
      <c r="AL1882" s="7"/>
      <c r="AM1882" s="8">
        <f>SUM(AH1882:AL1882)</f>
        <v>0</v>
      </c>
      <c r="AO1882" s="6"/>
      <c r="AP1882" s="7"/>
      <c r="AQ1882" s="7"/>
      <c r="AR1882" s="7"/>
      <c r="AS1882" s="7"/>
      <c r="AT1882" s="8">
        <f>SUM(AO1882:AS1882)</f>
        <v>0</v>
      </c>
      <c r="AV1882" s="6"/>
      <c r="AW1882" s="7"/>
      <c r="AX1882" s="7"/>
      <c r="AY1882" s="7"/>
      <c r="AZ1882" s="7"/>
      <c r="BA1882" s="8">
        <f>SUM(AV1882:AZ1882)</f>
        <v>0</v>
      </c>
      <c r="BC1882" s="6"/>
      <c r="BD1882" s="7"/>
      <c r="BE1882" s="7"/>
      <c r="BF1882" s="7"/>
      <c r="BG1882" s="7"/>
      <c r="BH1882" s="8">
        <f>SUM(BC1882:BG1882)</f>
        <v>0</v>
      </c>
      <c r="BJ1882" s="6"/>
      <c r="BK1882" s="7"/>
      <c r="BL1882" s="7"/>
      <c r="BM1882" s="7"/>
      <c r="BN1882" s="7"/>
      <c r="BO1882" s="8">
        <f>SUM(BJ1882:BN1882)</f>
        <v>0</v>
      </c>
      <c r="BQ1882" s="6"/>
      <c r="BR1882" s="7"/>
      <c r="BS1882" s="7"/>
      <c r="BT1882" s="7"/>
      <c r="BU1882" s="7"/>
      <c r="BV1882" s="8">
        <f>SUM(BQ1882:BU1882)</f>
        <v>0</v>
      </c>
      <c r="BX1882" s="6"/>
      <c r="BY1882" s="7"/>
      <c r="BZ1882" s="7"/>
      <c r="CA1882" s="7"/>
      <c r="CB1882" s="7"/>
      <c r="CC1882" s="8">
        <f>SUM(BX1882:CB1882)</f>
        <v>0</v>
      </c>
      <c r="CE1882" s="28">
        <f t="shared" si="8639"/>
        <v>0</v>
      </c>
      <c r="CF1882" s="29">
        <f t="shared" si="8640"/>
        <v>0</v>
      </c>
      <c r="CG1882" s="29">
        <f t="shared" si="8641"/>
        <v>0</v>
      </c>
      <c r="CH1882" s="29">
        <f t="shared" si="8642"/>
        <v>0</v>
      </c>
      <c r="CI1882" s="29">
        <f t="shared" si="8643"/>
        <v>0</v>
      </c>
      <c r="CJ1882" s="8">
        <f>SUM(CE1882:CI1882)</f>
        <v>0</v>
      </c>
      <c r="CL1882" s="6"/>
      <c r="CM1882" s="7"/>
      <c r="CN1882" s="7"/>
      <c r="CO1882" s="7"/>
      <c r="CP1882" s="7"/>
      <c r="CQ1882" s="8">
        <f>SUM(CL1882:CP1882)</f>
        <v>0</v>
      </c>
      <c r="CS1882" s="6"/>
      <c r="CT1882" s="7"/>
      <c r="CU1882" s="7"/>
      <c r="CV1882" s="7"/>
      <c r="CW1882" s="7"/>
      <c r="CX1882" s="8">
        <f t="shared" ref="CX1882:CX1884" si="8648">SUM(CS1882:CW1882)</f>
        <v>0</v>
      </c>
      <c r="CZ1882" s="6"/>
      <c r="DA1882" s="7"/>
      <c r="DB1882" s="7"/>
      <c r="DC1882" s="7"/>
      <c r="DD1882" s="7"/>
      <c r="DE1882" s="8">
        <f t="shared" ref="DE1882:DE1884" si="8649">SUM(CZ1882:DD1882)</f>
        <v>0</v>
      </c>
    </row>
    <row r="1883" spans="3:109">
      <c r="C1883" s="567"/>
      <c r="E1883" s="5" t="s">
        <v>61</v>
      </c>
      <c r="F1883" s="23">
        <f t="shared" si="8644"/>
        <v>0</v>
      </c>
      <c r="G1883" s="24">
        <f t="shared" si="8635"/>
        <v>0</v>
      </c>
      <c r="H1883" s="24">
        <f t="shared" si="8636"/>
        <v>0</v>
      </c>
      <c r="I1883" s="24">
        <f t="shared" si="8637"/>
        <v>0</v>
      </c>
      <c r="J1883" s="24">
        <f t="shared" si="8638"/>
        <v>0</v>
      </c>
      <c r="K1883" s="8">
        <f t="shared" si="8645"/>
        <v>0</v>
      </c>
      <c r="M1883" s="6"/>
      <c r="N1883" s="7"/>
      <c r="O1883" s="7"/>
      <c r="P1883" s="7"/>
      <c r="Q1883" s="7"/>
      <c r="R1883" s="8">
        <f t="shared" si="8646"/>
        <v>0</v>
      </c>
      <c r="T1883" s="6"/>
      <c r="U1883" s="7"/>
      <c r="V1883" s="7"/>
      <c r="W1883" s="7"/>
      <c r="X1883" s="7"/>
      <c r="Y1883" s="8">
        <f t="shared" si="8647"/>
        <v>0</v>
      </c>
      <c r="AA1883" s="6"/>
      <c r="AB1883" s="7"/>
      <c r="AC1883" s="7"/>
      <c r="AD1883" s="7"/>
      <c r="AE1883" s="7"/>
      <c r="AF1883" s="8">
        <f>SUM(AA1883:AE1883)</f>
        <v>0</v>
      </c>
      <c r="AH1883" s="6"/>
      <c r="AI1883" s="7"/>
      <c r="AJ1883" s="7"/>
      <c r="AK1883" s="7"/>
      <c r="AL1883" s="7"/>
      <c r="AM1883" s="8">
        <f>SUM(AH1883:AL1883)</f>
        <v>0</v>
      </c>
      <c r="AO1883" s="6"/>
      <c r="AP1883" s="7"/>
      <c r="AQ1883" s="7"/>
      <c r="AR1883" s="7"/>
      <c r="AS1883" s="7"/>
      <c r="AT1883" s="8">
        <f>SUM(AO1883:AS1883)</f>
        <v>0</v>
      </c>
      <c r="AV1883" s="6"/>
      <c r="AW1883" s="7"/>
      <c r="AX1883" s="7"/>
      <c r="AY1883" s="7"/>
      <c r="AZ1883" s="7"/>
      <c r="BA1883" s="8">
        <f>SUM(AV1883:AZ1883)</f>
        <v>0</v>
      </c>
      <c r="BC1883" s="6"/>
      <c r="BD1883" s="7"/>
      <c r="BE1883" s="7"/>
      <c r="BF1883" s="7"/>
      <c r="BG1883" s="7"/>
      <c r="BH1883" s="8">
        <f>SUM(BC1883:BG1883)</f>
        <v>0</v>
      </c>
      <c r="BJ1883" s="6"/>
      <c r="BK1883" s="7"/>
      <c r="BL1883" s="7"/>
      <c r="BM1883" s="7"/>
      <c r="BN1883" s="7"/>
      <c r="BO1883" s="8">
        <f>SUM(BJ1883:BN1883)</f>
        <v>0</v>
      </c>
      <c r="BQ1883" s="6"/>
      <c r="BR1883" s="7"/>
      <c r="BS1883" s="7"/>
      <c r="BT1883" s="7"/>
      <c r="BU1883" s="7"/>
      <c r="BV1883" s="8">
        <f>SUM(BQ1883:BU1883)</f>
        <v>0</v>
      </c>
      <c r="BX1883" s="6"/>
      <c r="BY1883" s="7"/>
      <c r="BZ1883" s="7"/>
      <c r="CA1883" s="7"/>
      <c r="CB1883" s="7"/>
      <c r="CC1883" s="8">
        <f>SUM(BX1883:CB1883)</f>
        <v>0</v>
      </c>
      <c r="CE1883" s="28">
        <f t="shared" si="8639"/>
        <v>0</v>
      </c>
      <c r="CF1883" s="29">
        <f t="shared" si="8640"/>
        <v>0</v>
      </c>
      <c r="CG1883" s="29">
        <f t="shared" si="8641"/>
        <v>0</v>
      </c>
      <c r="CH1883" s="29">
        <f t="shared" si="8642"/>
        <v>0</v>
      </c>
      <c r="CI1883" s="29">
        <f t="shared" si="8643"/>
        <v>0</v>
      </c>
      <c r="CJ1883" s="8">
        <f>SUM(CE1883:CI1883)</f>
        <v>0</v>
      </c>
      <c r="CL1883" s="6"/>
      <c r="CM1883" s="7"/>
      <c r="CN1883" s="7"/>
      <c r="CO1883" s="7"/>
      <c r="CP1883" s="7"/>
      <c r="CQ1883" s="8">
        <f>SUM(CL1883:CP1883)</f>
        <v>0</v>
      </c>
      <c r="CS1883" s="6"/>
      <c r="CT1883" s="7"/>
      <c r="CU1883" s="7"/>
      <c r="CV1883" s="7"/>
      <c r="CW1883" s="7"/>
      <c r="CX1883" s="8">
        <f t="shared" si="8648"/>
        <v>0</v>
      </c>
      <c r="CZ1883" s="6"/>
      <c r="DA1883" s="7"/>
      <c r="DB1883" s="7"/>
      <c r="DC1883" s="7"/>
      <c r="DD1883" s="7"/>
      <c r="DE1883" s="8">
        <f t="shared" si="8649"/>
        <v>0</v>
      </c>
    </row>
    <row r="1884" spans="3:109" ht="14" thickBot="1">
      <c r="C1884" s="567"/>
      <c r="E1884" s="5" t="s">
        <v>62</v>
      </c>
      <c r="F1884" s="23">
        <f t="shared" si="8644"/>
        <v>0</v>
      </c>
      <c r="G1884" s="24">
        <f t="shared" si="8635"/>
        <v>0</v>
      </c>
      <c r="H1884" s="24">
        <f t="shared" si="8636"/>
        <v>0</v>
      </c>
      <c r="I1884" s="24">
        <f t="shared" si="8637"/>
        <v>0</v>
      </c>
      <c r="J1884" s="24">
        <f t="shared" si="8638"/>
        <v>0</v>
      </c>
      <c r="K1884" s="8">
        <f t="shared" si="8645"/>
        <v>0</v>
      </c>
      <c r="M1884" s="6"/>
      <c r="N1884" s="7"/>
      <c r="O1884" s="7"/>
      <c r="P1884" s="7"/>
      <c r="Q1884" s="7"/>
      <c r="R1884" s="8">
        <f t="shared" si="8646"/>
        <v>0</v>
      </c>
      <c r="T1884" s="6"/>
      <c r="U1884" s="7"/>
      <c r="V1884" s="7"/>
      <c r="W1884" s="7"/>
      <c r="X1884" s="7"/>
      <c r="Y1884" s="8">
        <f t="shared" si="8647"/>
        <v>0</v>
      </c>
      <c r="AA1884" s="6"/>
      <c r="AB1884" s="7"/>
      <c r="AC1884" s="7"/>
      <c r="AD1884" s="7"/>
      <c r="AE1884" s="7"/>
      <c r="AF1884" s="8">
        <f>SUM(AA1884:AE1884)</f>
        <v>0</v>
      </c>
      <c r="AH1884" s="6"/>
      <c r="AI1884" s="7"/>
      <c r="AJ1884" s="7"/>
      <c r="AK1884" s="7"/>
      <c r="AL1884" s="7"/>
      <c r="AM1884" s="8">
        <f>SUM(AH1884:AL1884)</f>
        <v>0</v>
      </c>
      <c r="AO1884" s="6"/>
      <c r="AP1884" s="7"/>
      <c r="AQ1884" s="7"/>
      <c r="AR1884" s="7"/>
      <c r="AS1884" s="7"/>
      <c r="AT1884" s="8">
        <f>SUM(AO1884:AS1884)</f>
        <v>0</v>
      </c>
      <c r="AV1884" s="6"/>
      <c r="AW1884" s="7"/>
      <c r="AX1884" s="7"/>
      <c r="AY1884" s="7"/>
      <c r="AZ1884" s="7"/>
      <c r="BA1884" s="8">
        <f>SUM(AV1884:AZ1884)</f>
        <v>0</v>
      </c>
      <c r="BC1884" s="6"/>
      <c r="BD1884" s="7"/>
      <c r="BE1884" s="7"/>
      <c r="BF1884" s="7"/>
      <c r="BG1884" s="7"/>
      <c r="BH1884" s="8">
        <f>SUM(BC1884:BG1884)</f>
        <v>0</v>
      </c>
      <c r="BJ1884" s="6"/>
      <c r="BK1884" s="7"/>
      <c r="BL1884" s="7"/>
      <c r="BM1884" s="7"/>
      <c r="BN1884" s="7"/>
      <c r="BO1884" s="8">
        <f>SUM(BJ1884:BN1884)</f>
        <v>0</v>
      </c>
      <c r="BQ1884" s="6"/>
      <c r="BR1884" s="7"/>
      <c r="BS1884" s="7"/>
      <c r="BT1884" s="7"/>
      <c r="BU1884" s="7"/>
      <c r="BV1884" s="8">
        <f>SUM(BQ1884:BU1884)</f>
        <v>0</v>
      </c>
      <c r="BX1884" s="6"/>
      <c r="BY1884" s="7"/>
      <c r="BZ1884" s="7"/>
      <c r="CA1884" s="7"/>
      <c r="CB1884" s="7"/>
      <c r="CC1884" s="8">
        <f>SUM(BX1884:CB1884)</f>
        <v>0</v>
      </c>
      <c r="CE1884" s="493">
        <f t="shared" si="8639"/>
        <v>0</v>
      </c>
      <c r="CF1884" s="494">
        <f t="shared" si="8640"/>
        <v>0</v>
      </c>
      <c r="CG1884" s="494">
        <f t="shared" si="8641"/>
        <v>0</v>
      </c>
      <c r="CH1884" s="494">
        <f t="shared" si="8642"/>
        <v>0</v>
      </c>
      <c r="CI1884" s="494">
        <f t="shared" si="8643"/>
        <v>0</v>
      </c>
      <c r="CJ1884" s="495">
        <f>SUM(CE1884:CI1884)</f>
        <v>0</v>
      </c>
      <c r="CL1884" s="6"/>
      <c r="CM1884" s="7"/>
      <c r="CN1884" s="7"/>
      <c r="CO1884" s="7"/>
      <c r="CP1884" s="7"/>
      <c r="CQ1884" s="8">
        <f>SUM(CL1884:CP1884)</f>
        <v>0</v>
      </c>
      <c r="CS1884" s="6"/>
      <c r="CT1884" s="7"/>
      <c r="CU1884" s="7"/>
      <c r="CV1884" s="7"/>
      <c r="CW1884" s="7"/>
      <c r="CX1884" s="8">
        <f t="shared" si="8648"/>
        <v>0</v>
      </c>
      <c r="CZ1884" s="6"/>
      <c r="DA1884" s="7"/>
      <c r="DB1884" s="7"/>
      <c r="DC1884" s="7"/>
      <c r="DD1884" s="7"/>
      <c r="DE1884" s="8">
        <f t="shared" si="8649"/>
        <v>0</v>
      </c>
    </row>
    <row r="1885" spans="3:109" ht="14" thickBot="1">
      <c r="C1885" s="554"/>
      <c r="E1885" s="9"/>
      <c r="F1885" s="10">
        <f>SUM(F1881:F1884)</f>
        <v>0</v>
      </c>
      <c r="G1885" s="11">
        <f t="shared" ref="G1885:J1885" si="8650">SUM(G1881:G1884)</f>
        <v>0</v>
      </c>
      <c r="H1885" s="11">
        <f t="shared" si="8650"/>
        <v>0</v>
      </c>
      <c r="I1885" s="11">
        <f t="shared" si="8650"/>
        <v>0</v>
      </c>
      <c r="J1885" s="11">
        <f t="shared" si="8650"/>
        <v>0</v>
      </c>
      <c r="K1885" s="25">
        <f>SUM(K1881:K1884)</f>
        <v>0</v>
      </c>
      <c r="M1885" s="10">
        <f>SUM(M1881:M1884)</f>
        <v>0</v>
      </c>
      <c r="N1885" s="11">
        <f t="shared" ref="N1885:Q1885" si="8651">SUM(N1881:N1884)</f>
        <v>0</v>
      </c>
      <c r="O1885" s="11">
        <f t="shared" si="8651"/>
        <v>0</v>
      </c>
      <c r="P1885" s="11">
        <f t="shared" si="8651"/>
        <v>0</v>
      </c>
      <c r="Q1885" s="11">
        <f t="shared" si="8651"/>
        <v>0</v>
      </c>
      <c r="R1885" s="25">
        <f>SUM(R1881:R1884)</f>
        <v>0</v>
      </c>
      <c r="T1885" s="10">
        <f>SUM(T1881:T1884)</f>
        <v>0</v>
      </c>
      <c r="U1885" s="11">
        <f t="shared" ref="U1885:X1885" si="8652">SUM(U1881:U1884)</f>
        <v>0</v>
      </c>
      <c r="V1885" s="11">
        <f t="shared" si="8652"/>
        <v>0</v>
      </c>
      <c r="W1885" s="11">
        <f t="shared" si="8652"/>
        <v>0</v>
      </c>
      <c r="X1885" s="11">
        <f t="shared" si="8652"/>
        <v>0</v>
      </c>
      <c r="Y1885" s="25">
        <f>SUM(Y1881:Y1884)</f>
        <v>0</v>
      </c>
      <c r="AA1885" s="10">
        <f>SUM(AA1881:AA1884)</f>
        <v>0</v>
      </c>
      <c r="AB1885" s="11">
        <f t="shared" ref="AB1885:AE1885" si="8653">SUM(AB1881:AB1884)</f>
        <v>0</v>
      </c>
      <c r="AC1885" s="11">
        <f t="shared" si="8653"/>
        <v>0</v>
      </c>
      <c r="AD1885" s="11">
        <f t="shared" si="8653"/>
        <v>0</v>
      </c>
      <c r="AE1885" s="11">
        <f t="shared" si="8653"/>
        <v>0</v>
      </c>
      <c r="AF1885" s="25">
        <f>SUM(AF1881:AF1884)</f>
        <v>0</v>
      </c>
      <c r="AH1885" s="10">
        <f>SUM(AH1881:AH1884)</f>
        <v>0</v>
      </c>
      <c r="AI1885" s="11">
        <f t="shared" ref="AI1885:AL1885" si="8654">SUM(AI1881:AI1884)</f>
        <v>0</v>
      </c>
      <c r="AJ1885" s="11">
        <f t="shared" si="8654"/>
        <v>0</v>
      </c>
      <c r="AK1885" s="11">
        <f t="shared" si="8654"/>
        <v>0</v>
      </c>
      <c r="AL1885" s="11">
        <f t="shared" si="8654"/>
        <v>0</v>
      </c>
      <c r="AM1885" s="25">
        <f>SUM(AM1881:AM1884)</f>
        <v>0</v>
      </c>
      <c r="AO1885" s="10">
        <f>SUM(AO1881:AO1884)</f>
        <v>0</v>
      </c>
      <c r="AP1885" s="11">
        <f t="shared" ref="AP1885:AS1885" si="8655">SUM(AP1881:AP1884)</f>
        <v>0</v>
      </c>
      <c r="AQ1885" s="11">
        <f t="shared" si="8655"/>
        <v>0</v>
      </c>
      <c r="AR1885" s="11">
        <f t="shared" si="8655"/>
        <v>0</v>
      </c>
      <c r="AS1885" s="11">
        <f t="shared" si="8655"/>
        <v>0</v>
      </c>
      <c r="AT1885" s="25">
        <f>SUM(AT1881:AT1884)</f>
        <v>0</v>
      </c>
      <c r="AV1885" s="10">
        <f>SUM(AV1881:AV1884)</f>
        <v>0</v>
      </c>
      <c r="AW1885" s="11">
        <f t="shared" ref="AW1885:AZ1885" si="8656">SUM(AW1881:AW1884)</f>
        <v>0</v>
      </c>
      <c r="AX1885" s="11">
        <f t="shared" si="8656"/>
        <v>0</v>
      </c>
      <c r="AY1885" s="11">
        <f t="shared" si="8656"/>
        <v>0</v>
      </c>
      <c r="AZ1885" s="11">
        <f t="shared" si="8656"/>
        <v>0</v>
      </c>
      <c r="BA1885" s="25">
        <f>SUM(BA1881:BA1884)</f>
        <v>0</v>
      </c>
      <c r="BC1885" s="10">
        <f>SUM(BC1881:BC1884)</f>
        <v>0</v>
      </c>
      <c r="BD1885" s="11">
        <f t="shared" ref="BD1885:BG1885" si="8657">SUM(BD1881:BD1884)</f>
        <v>0</v>
      </c>
      <c r="BE1885" s="11">
        <f t="shared" si="8657"/>
        <v>0</v>
      </c>
      <c r="BF1885" s="11">
        <f t="shared" si="8657"/>
        <v>0</v>
      </c>
      <c r="BG1885" s="11">
        <f t="shared" si="8657"/>
        <v>0</v>
      </c>
      <c r="BH1885" s="25">
        <f>SUM(BH1881:BH1884)</f>
        <v>0</v>
      </c>
      <c r="BJ1885" s="10">
        <f>SUM(BJ1881:BJ1884)</f>
        <v>0</v>
      </c>
      <c r="BK1885" s="11">
        <f t="shared" ref="BK1885:BN1885" si="8658">SUM(BK1881:BK1884)</f>
        <v>0</v>
      </c>
      <c r="BL1885" s="11">
        <f t="shared" si="8658"/>
        <v>0</v>
      </c>
      <c r="BM1885" s="11">
        <f t="shared" si="8658"/>
        <v>0</v>
      </c>
      <c r="BN1885" s="11">
        <f t="shared" si="8658"/>
        <v>0</v>
      </c>
      <c r="BO1885" s="25">
        <f>SUM(BO1881:BO1884)</f>
        <v>0</v>
      </c>
      <c r="BQ1885" s="10">
        <f>SUM(BQ1881:BQ1884)</f>
        <v>0</v>
      </c>
      <c r="BR1885" s="11">
        <f t="shared" ref="BR1885:BU1885" si="8659">SUM(BR1881:BR1884)</f>
        <v>0</v>
      </c>
      <c r="BS1885" s="11">
        <f t="shared" si="8659"/>
        <v>0</v>
      </c>
      <c r="BT1885" s="11">
        <f t="shared" si="8659"/>
        <v>0</v>
      </c>
      <c r="BU1885" s="11">
        <f t="shared" si="8659"/>
        <v>0</v>
      </c>
      <c r="BV1885" s="25">
        <f>SUM(BV1881:BV1884)</f>
        <v>0</v>
      </c>
      <c r="BX1885" s="10">
        <f>SUM(BX1881:BX1884)</f>
        <v>0</v>
      </c>
      <c r="BY1885" s="11">
        <f t="shared" ref="BY1885:CB1885" si="8660">SUM(BY1881:BY1884)</f>
        <v>0</v>
      </c>
      <c r="BZ1885" s="11">
        <f t="shared" si="8660"/>
        <v>0</v>
      </c>
      <c r="CA1885" s="11">
        <f t="shared" si="8660"/>
        <v>0</v>
      </c>
      <c r="CB1885" s="11">
        <f t="shared" si="8660"/>
        <v>0</v>
      </c>
      <c r="CC1885" s="25">
        <f>SUM(CC1881:CC1884)</f>
        <v>0</v>
      </c>
      <c r="CE1885" s="62">
        <f t="shared" ref="CE1885:CJ1885" si="8661">SUM(CE1881:CE1884)</f>
        <v>0</v>
      </c>
      <c r="CF1885" s="63">
        <f t="shared" si="8661"/>
        <v>0</v>
      </c>
      <c r="CG1885" s="63">
        <f t="shared" si="8661"/>
        <v>0</v>
      </c>
      <c r="CH1885" s="63">
        <f t="shared" si="8661"/>
        <v>0</v>
      </c>
      <c r="CI1885" s="63">
        <f t="shared" si="8661"/>
        <v>0</v>
      </c>
      <c r="CJ1885" s="25">
        <f t="shared" si="8661"/>
        <v>0</v>
      </c>
      <c r="CL1885" s="10">
        <f>SUM(CL1881:CL1884)</f>
        <v>0</v>
      </c>
      <c r="CM1885" s="11">
        <f t="shared" ref="CM1885:CP1885" si="8662">SUM(CM1881:CM1884)</f>
        <v>0</v>
      </c>
      <c r="CN1885" s="11">
        <f t="shared" si="8662"/>
        <v>0</v>
      </c>
      <c r="CO1885" s="11">
        <f t="shared" si="8662"/>
        <v>0</v>
      </c>
      <c r="CP1885" s="11">
        <f t="shared" si="8662"/>
        <v>0</v>
      </c>
      <c r="CQ1885" s="25">
        <f>SUM(CQ1881:CQ1884)</f>
        <v>0</v>
      </c>
      <c r="CS1885" s="10">
        <f>SUM(CS1881:CS1884)</f>
        <v>0</v>
      </c>
      <c r="CT1885" s="11">
        <f t="shared" ref="CT1885:CW1885" si="8663">SUM(CT1881:CT1884)</f>
        <v>0</v>
      </c>
      <c r="CU1885" s="11">
        <f t="shared" si="8663"/>
        <v>0</v>
      </c>
      <c r="CV1885" s="11">
        <f t="shared" si="8663"/>
        <v>0</v>
      </c>
      <c r="CW1885" s="11">
        <f t="shared" si="8663"/>
        <v>0</v>
      </c>
      <c r="CX1885" s="25">
        <f>SUM(CX1881:CX1884)</f>
        <v>0</v>
      </c>
      <c r="CZ1885" s="10">
        <f>SUM(CZ1881:CZ1884)</f>
        <v>0</v>
      </c>
      <c r="DA1885" s="11">
        <f t="shared" ref="DA1885:DD1885" si="8664">SUM(DA1881:DA1884)</f>
        <v>0</v>
      </c>
      <c r="DB1885" s="11">
        <f t="shared" si="8664"/>
        <v>0</v>
      </c>
      <c r="DC1885" s="11">
        <f t="shared" si="8664"/>
        <v>0</v>
      </c>
      <c r="DD1885" s="11">
        <f t="shared" si="8664"/>
        <v>0</v>
      </c>
      <c r="DE1885" s="25">
        <f>SUM(DE1881:DE1884)</f>
        <v>0</v>
      </c>
    </row>
    <row r="1886" spans="3:109" ht="10.4" customHeight="1" thickBot="1"/>
    <row r="1887" spans="3:109">
      <c r="C1887" s="553">
        <v>2028</v>
      </c>
      <c r="E1887" s="1" t="s">
        <v>59</v>
      </c>
      <c r="F1887" s="21">
        <f>CE1881</f>
        <v>0</v>
      </c>
      <c r="G1887" s="22">
        <f t="shared" ref="G1887:G1890" si="8665">CF1881</f>
        <v>0</v>
      </c>
      <c r="H1887" s="22">
        <f t="shared" ref="H1887:H1890" si="8666">CG1881</f>
        <v>0</v>
      </c>
      <c r="I1887" s="22">
        <f t="shared" ref="I1887:I1890" si="8667">CH1881</f>
        <v>0</v>
      </c>
      <c r="J1887" s="22">
        <f t="shared" ref="J1887:J1890" si="8668">CI1881</f>
        <v>0</v>
      </c>
      <c r="K1887" s="4">
        <f>SUM(F1887:J1887)</f>
        <v>0</v>
      </c>
      <c r="M1887" s="2"/>
      <c r="N1887" s="3"/>
      <c r="O1887" s="3"/>
      <c r="P1887" s="3"/>
      <c r="Q1887" s="3"/>
      <c r="R1887" s="4">
        <f>SUM(M1887:Q1887)</f>
        <v>0</v>
      </c>
      <c r="T1887" s="2"/>
      <c r="U1887" s="3"/>
      <c r="V1887" s="3"/>
      <c r="W1887" s="3"/>
      <c r="X1887" s="3"/>
      <c r="Y1887" s="4">
        <f>SUM(T1887:X1887)</f>
        <v>0</v>
      </c>
      <c r="AA1887" s="2"/>
      <c r="AB1887" s="3"/>
      <c r="AC1887" s="3"/>
      <c r="AD1887" s="3"/>
      <c r="AE1887" s="3"/>
      <c r="AF1887" s="4">
        <f>SUM(AA1887:AE1887)</f>
        <v>0</v>
      </c>
      <c r="AH1887" s="2"/>
      <c r="AI1887" s="3"/>
      <c r="AJ1887" s="3"/>
      <c r="AK1887" s="3"/>
      <c r="AL1887" s="3"/>
      <c r="AM1887" s="4">
        <f>SUM(AH1887:AL1887)</f>
        <v>0</v>
      </c>
      <c r="AO1887" s="2"/>
      <c r="AP1887" s="3"/>
      <c r="AQ1887" s="3"/>
      <c r="AR1887" s="3"/>
      <c r="AS1887" s="3"/>
      <c r="AT1887" s="4">
        <f>SUM(AO1887:AS1887)</f>
        <v>0</v>
      </c>
      <c r="AV1887" s="2"/>
      <c r="AW1887" s="3"/>
      <c r="AX1887" s="3"/>
      <c r="AY1887" s="3"/>
      <c r="AZ1887" s="3"/>
      <c r="BA1887" s="4">
        <f>SUM(AV1887:AZ1887)</f>
        <v>0</v>
      </c>
      <c r="BC1887" s="2"/>
      <c r="BD1887" s="3"/>
      <c r="BE1887" s="3"/>
      <c r="BF1887" s="3"/>
      <c r="BG1887" s="3"/>
      <c r="BH1887" s="4">
        <f>SUM(BC1887:BG1887)</f>
        <v>0</v>
      </c>
      <c r="BJ1887" s="2"/>
      <c r="BK1887" s="3"/>
      <c r="BL1887" s="3"/>
      <c r="BM1887" s="3"/>
      <c r="BN1887" s="3"/>
      <c r="BO1887" s="4">
        <f>SUM(BJ1887:BN1887)</f>
        <v>0</v>
      </c>
      <c r="BQ1887" s="2"/>
      <c r="BR1887" s="3"/>
      <c r="BS1887" s="3"/>
      <c r="BT1887" s="3"/>
      <c r="BU1887" s="3"/>
      <c r="BV1887" s="4">
        <f>SUM(BQ1887:BU1887)</f>
        <v>0</v>
      </c>
      <c r="BX1887" s="2"/>
      <c r="BY1887" s="3"/>
      <c r="BZ1887" s="3"/>
      <c r="CA1887" s="3"/>
      <c r="CB1887" s="3"/>
      <c r="CC1887" s="4">
        <f>SUM(BX1887:CB1887)</f>
        <v>0</v>
      </c>
      <c r="CE1887" s="26">
        <f t="shared" ref="CE1887:CE1890" si="8669">F1887+M1887+T1887+AA1887+AH1887+AO1887+AV1887+BC1887+BJ1887+BQ1887+BX1887</f>
        <v>0</v>
      </c>
      <c r="CF1887" s="27">
        <f t="shared" ref="CF1887:CF1890" si="8670">G1887+N1887+U1887+AB1887+AI1887+AP1887+AW1887+BD1887+BK1887+BR1887+BY1887</f>
        <v>0</v>
      </c>
      <c r="CG1887" s="27">
        <f t="shared" ref="CG1887:CG1890" si="8671">H1887+O1887+V1887+AC1887+AJ1887+AQ1887+AX1887+BE1887+BL1887+BS1887+BZ1887</f>
        <v>0</v>
      </c>
      <c r="CH1887" s="27">
        <f t="shared" ref="CH1887:CH1890" si="8672">I1887+P1887+W1887+AD1887+AK1887+AR1887+AY1887+BF1887+BM1887+BT1887+CA1887</f>
        <v>0</v>
      </c>
      <c r="CI1887" s="27">
        <f t="shared" ref="CI1887:CI1890" si="8673">J1887+Q1887+X1887+AE1887+AL1887+AS1887+AZ1887+BG1887+BN1887+BU1887+CB1887</f>
        <v>0</v>
      </c>
      <c r="CJ1887" s="4">
        <f>SUM(CE1887:CI1887)</f>
        <v>0</v>
      </c>
      <c r="CL1887" s="2"/>
      <c r="CM1887" s="3"/>
      <c r="CN1887" s="3"/>
      <c r="CO1887" s="3"/>
      <c r="CP1887" s="3"/>
      <c r="CQ1887" s="4">
        <f>SUM(CL1887:CP1887)</f>
        <v>0</v>
      </c>
      <c r="CS1887" s="2"/>
      <c r="CT1887" s="3"/>
      <c r="CU1887" s="3"/>
      <c r="CV1887" s="3"/>
      <c r="CW1887" s="3"/>
      <c r="CX1887" s="4">
        <f>SUM(CS1887:CW1887)</f>
        <v>0</v>
      </c>
      <c r="CZ1887" s="2"/>
      <c r="DA1887" s="3"/>
      <c r="DB1887" s="3"/>
      <c r="DC1887" s="3"/>
      <c r="DD1887" s="3"/>
      <c r="DE1887" s="4">
        <f>SUM(CZ1887:DD1887)</f>
        <v>0</v>
      </c>
    </row>
    <row r="1888" spans="3:109">
      <c r="C1888" s="567"/>
      <c r="E1888" s="5" t="s">
        <v>60</v>
      </c>
      <c r="F1888" s="23">
        <f t="shared" ref="F1888:F1890" si="8674">CE1882</f>
        <v>0</v>
      </c>
      <c r="G1888" s="24">
        <f t="shared" si="8665"/>
        <v>0</v>
      </c>
      <c r="H1888" s="24">
        <f t="shared" si="8666"/>
        <v>0</v>
      </c>
      <c r="I1888" s="24">
        <f t="shared" si="8667"/>
        <v>0</v>
      </c>
      <c r="J1888" s="24">
        <f t="shared" si="8668"/>
        <v>0</v>
      </c>
      <c r="K1888" s="8">
        <f t="shared" ref="K1888:K1890" si="8675">SUM(F1888:J1888)</f>
        <v>0</v>
      </c>
      <c r="M1888" s="6"/>
      <c r="N1888" s="7"/>
      <c r="O1888" s="7"/>
      <c r="P1888" s="7"/>
      <c r="Q1888" s="7"/>
      <c r="R1888" s="8">
        <f t="shared" ref="R1888:R1890" si="8676">SUM(M1888:Q1888)</f>
        <v>0</v>
      </c>
      <c r="T1888" s="6"/>
      <c r="U1888" s="7"/>
      <c r="V1888" s="7"/>
      <c r="W1888" s="7"/>
      <c r="X1888" s="7"/>
      <c r="Y1888" s="8">
        <f t="shared" ref="Y1888:Y1890" si="8677">SUM(T1888:X1888)</f>
        <v>0</v>
      </c>
      <c r="AA1888" s="6"/>
      <c r="AB1888" s="7"/>
      <c r="AC1888" s="7"/>
      <c r="AD1888" s="7"/>
      <c r="AE1888" s="7"/>
      <c r="AF1888" s="8">
        <f>SUM(AA1888:AE1888)</f>
        <v>0</v>
      </c>
      <c r="AH1888" s="6"/>
      <c r="AI1888" s="7"/>
      <c r="AJ1888" s="7"/>
      <c r="AK1888" s="7"/>
      <c r="AL1888" s="7"/>
      <c r="AM1888" s="8">
        <f>SUM(AH1888:AL1888)</f>
        <v>0</v>
      </c>
      <c r="AO1888" s="6"/>
      <c r="AP1888" s="7"/>
      <c r="AQ1888" s="7"/>
      <c r="AR1888" s="7"/>
      <c r="AS1888" s="7"/>
      <c r="AT1888" s="8">
        <f>SUM(AO1888:AS1888)</f>
        <v>0</v>
      </c>
      <c r="AV1888" s="6"/>
      <c r="AW1888" s="7"/>
      <c r="AX1888" s="7"/>
      <c r="AY1888" s="7"/>
      <c r="AZ1888" s="7"/>
      <c r="BA1888" s="8">
        <f>SUM(AV1888:AZ1888)</f>
        <v>0</v>
      </c>
      <c r="BC1888" s="6"/>
      <c r="BD1888" s="7"/>
      <c r="BE1888" s="7"/>
      <c r="BF1888" s="7"/>
      <c r="BG1888" s="7"/>
      <c r="BH1888" s="8">
        <f>SUM(BC1888:BG1888)</f>
        <v>0</v>
      </c>
      <c r="BJ1888" s="6"/>
      <c r="BK1888" s="7"/>
      <c r="BL1888" s="7"/>
      <c r="BM1888" s="7"/>
      <c r="BN1888" s="7"/>
      <c r="BO1888" s="8">
        <f>SUM(BJ1888:BN1888)</f>
        <v>0</v>
      </c>
      <c r="BQ1888" s="6"/>
      <c r="BR1888" s="7"/>
      <c r="BS1888" s="7"/>
      <c r="BT1888" s="7"/>
      <c r="BU1888" s="7"/>
      <c r="BV1888" s="8">
        <f>SUM(BQ1888:BU1888)</f>
        <v>0</v>
      </c>
      <c r="BX1888" s="6"/>
      <c r="BY1888" s="7"/>
      <c r="BZ1888" s="7"/>
      <c r="CA1888" s="7"/>
      <c r="CB1888" s="7"/>
      <c r="CC1888" s="8">
        <f>SUM(BX1888:CB1888)</f>
        <v>0</v>
      </c>
      <c r="CE1888" s="28">
        <f t="shared" si="8669"/>
        <v>0</v>
      </c>
      <c r="CF1888" s="29">
        <f t="shared" si="8670"/>
        <v>0</v>
      </c>
      <c r="CG1888" s="29">
        <f t="shared" si="8671"/>
        <v>0</v>
      </c>
      <c r="CH1888" s="29">
        <f t="shared" si="8672"/>
        <v>0</v>
      </c>
      <c r="CI1888" s="29">
        <f t="shared" si="8673"/>
        <v>0</v>
      </c>
      <c r="CJ1888" s="8">
        <f>SUM(CE1888:CI1888)</f>
        <v>0</v>
      </c>
      <c r="CL1888" s="6"/>
      <c r="CM1888" s="7"/>
      <c r="CN1888" s="7"/>
      <c r="CO1888" s="7"/>
      <c r="CP1888" s="7"/>
      <c r="CQ1888" s="8">
        <f>SUM(CL1888:CP1888)</f>
        <v>0</v>
      </c>
      <c r="CS1888" s="6"/>
      <c r="CT1888" s="7"/>
      <c r="CU1888" s="7"/>
      <c r="CV1888" s="7"/>
      <c r="CW1888" s="7"/>
      <c r="CX1888" s="8">
        <f t="shared" ref="CX1888:CX1890" si="8678">SUM(CS1888:CW1888)</f>
        <v>0</v>
      </c>
      <c r="CZ1888" s="6"/>
      <c r="DA1888" s="7"/>
      <c r="DB1888" s="7"/>
      <c r="DC1888" s="7"/>
      <c r="DD1888" s="7"/>
      <c r="DE1888" s="8">
        <f t="shared" ref="DE1888:DE1890" si="8679">SUM(CZ1888:DD1888)</f>
        <v>0</v>
      </c>
    </row>
    <row r="1889" spans="2:110">
      <c r="C1889" s="567"/>
      <c r="E1889" s="5" t="s">
        <v>61</v>
      </c>
      <c r="F1889" s="23">
        <f t="shared" si="8674"/>
        <v>0</v>
      </c>
      <c r="G1889" s="24">
        <f t="shared" si="8665"/>
        <v>0</v>
      </c>
      <c r="H1889" s="24">
        <f t="shared" si="8666"/>
        <v>0</v>
      </c>
      <c r="I1889" s="24">
        <f t="shared" si="8667"/>
        <v>0</v>
      </c>
      <c r="J1889" s="24">
        <f t="shared" si="8668"/>
        <v>0</v>
      </c>
      <c r="K1889" s="8">
        <f t="shared" si="8675"/>
        <v>0</v>
      </c>
      <c r="M1889" s="6"/>
      <c r="N1889" s="7"/>
      <c r="O1889" s="7"/>
      <c r="P1889" s="7"/>
      <c r="Q1889" s="7"/>
      <c r="R1889" s="8">
        <f t="shared" si="8676"/>
        <v>0</v>
      </c>
      <c r="T1889" s="6"/>
      <c r="U1889" s="7"/>
      <c r="V1889" s="7"/>
      <c r="W1889" s="7"/>
      <c r="X1889" s="7"/>
      <c r="Y1889" s="8">
        <f t="shared" si="8677"/>
        <v>0</v>
      </c>
      <c r="AA1889" s="6"/>
      <c r="AB1889" s="7"/>
      <c r="AC1889" s="7"/>
      <c r="AD1889" s="7"/>
      <c r="AE1889" s="7"/>
      <c r="AF1889" s="8">
        <f>SUM(AA1889:AE1889)</f>
        <v>0</v>
      </c>
      <c r="AH1889" s="6"/>
      <c r="AI1889" s="7"/>
      <c r="AJ1889" s="7"/>
      <c r="AK1889" s="7"/>
      <c r="AL1889" s="7"/>
      <c r="AM1889" s="8">
        <f>SUM(AH1889:AL1889)</f>
        <v>0</v>
      </c>
      <c r="AO1889" s="6"/>
      <c r="AP1889" s="7"/>
      <c r="AQ1889" s="7"/>
      <c r="AR1889" s="7"/>
      <c r="AS1889" s="7"/>
      <c r="AT1889" s="8">
        <f>SUM(AO1889:AS1889)</f>
        <v>0</v>
      </c>
      <c r="AV1889" s="6"/>
      <c r="AW1889" s="7"/>
      <c r="AX1889" s="7"/>
      <c r="AY1889" s="7"/>
      <c r="AZ1889" s="7"/>
      <c r="BA1889" s="8">
        <f>SUM(AV1889:AZ1889)</f>
        <v>0</v>
      </c>
      <c r="BC1889" s="6"/>
      <c r="BD1889" s="7"/>
      <c r="BE1889" s="7"/>
      <c r="BF1889" s="7"/>
      <c r="BG1889" s="7"/>
      <c r="BH1889" s="8">
        <f>SUM(BC1889:BG1889)</f>
        <v>0</v>
      </c>
      <c r="BJ1889" s="6"/>
      <c r="BK1889" s="7"/>
      <c r="BL1889" s="7"/>
      <c r="BM1889" s="7"/>
      <c r="BN1889" s="7"/>
      <c r="BO1889" s="8">
        <f>SUM(BJ1889:BN1889)</f>
        <v>0</v>
      </c>
      <c r="BQ1889" s="6"/>
      <c r="BR1889" s="7"/>
      <c r="BS1889" s="7"/>
      <c r="BT1889" s="7"/>
      <c r="BU1889" s="7"/>
      <c r="BV1889" s="8">
        <f>SUM(BQ1889:BU1889)</f>
        <v>0</v>
      </c>
      <c r="BX1889" s="6"/>
      <c r="BY1889" s="7"/>
      <c r="BZ1889" s="7"/>
      <c r="CA1889" s="7"/>
      <c r="CB1889" s="7"/>
      <c r="CC1889" s="8">
        <f>SUM(BX1889:CB1889)</f>
        <v>0</v>
      </c>
      <c r="CE1889" s="28">
        <f t="shared" si="8669"/>
        <v>0</v>
      </c>
      <c r="CF1889" s="29">
        <f t="shared" si="8670"/>
        <v>0</v>
      </c>
      <c r="CG1889" s="29">
        <f t="shared" si="8671"/>
        <v>0</v>
      </c>
      <c r="CH1889" s="29">
        <f t="shared" si="8672"/>
        <v>0</v>
      </c>
      <c r="CI1889" s="29">
        <f t="shared" si="8673"/>
        <v>0</v>
      </c>
      <c r="CJ1889" s="8">
        <f>SUM(CE1889:CI1889)</f>
        <v>0</v>
      </c>
      <c r="CL1889" s="6"/>
      <c r="CM1889" s="7"/>
      <c r="CN1889" s="7"/>
      <c r="CO1889" s="7"/>
      <c r="CP1889" s="7"/>
      <c r="CQ1889" s="8">
        <f>SUM(CL1889:CP1889)</f>
        <v>0</v>
      </c>
      <c r="CS1889" s="6"/>
      <c r="CT1889" s="7"/>
      <c r="CU1889" s="7"/>
      <c r="CV1889" s="7"/>
      <c r="CW1889" s="7"/>
      <c r="CX1889" s="8">
        <f t="shared" si="8678"/>
        <v>0</v>
      </c>
      <c r="CZ1889" s="6"/>
      <c r="DA1889" s="7"/>
      <c r="DB1889" s="7"/>
      <c r="DC1889" s="7"/>
      <c r="DD1889" s="7"/>
      <c r="DE1889" s="8">
        <f t="shared" si="8679"/>
        <v>0</v>
      </c>
    </row>
    <row r="1890" spans="2:110" ht="14" thickBot="1">
      <c r="C1890" s="567"/>
      <c r="E1890" s="5" t="s">
        <v>62</v>
      </c>
      <c r="F1890" s="23">
        <f t="shared" si="8674"/>
        <v>0</v>
      </c>
      <c r="G1890" s="24">
        <f t="shared" si="8665"/>
        <v>0</v>
      </c>
      <c r="H1890" s="24">
        <f t="shared" si="8666"/>
        <v>0</v>
      </c>
      <c r="I1890" s="24">
        <f t="shared" si="8667"/>
        <v>0</v>
      </c>
      <c r="J1890" s="24">
        <f t="shared" si="8668"/>
        <v>0</v>
      </c>
      <c r="K1890" s="8">
        <f t="shared" si="8675"/>
        <v>0</v>
      </c>
      <c r="M1890" s="6"/>
      <c r="N1890" s="7"/>
      <c r="O1890" s="7"/>
      <c r="P1890" s="7"/>
      <c r="Q1890" s="7"/>
      <c r="R1890" s="8">
        <f t="shared" si="8676"/>
        <v>0</v>
      </c>
      <c r="T1890" s="6"/>
      <c r="U1890" s="7"/>
      <c r="V1890" s="7"/>
      <c r="W1890" s="7"/>
      <c r="X1890" s="7"/>
      <c r="Y1890" s="8">
        <f t="shared" si="8677"/>
        <v>0</v>
      </c>
      <c r="AA1890" s="6"/>
      <c r="AB1890" s="7"/>
      <c r="AC1890" s="7"/>
      <c r="AD1890" s="7"/>
      <c r="AE1890" s="7"/>
      <c r="AF1890" s="8">
        <f>SUM(AA1890:AE1890)</f>
        <v>0</v>
      </c>
      <c r="AH1890" s="6"/>
      <c r="AI1890" s="7"/>
      <c r="AJ1890" s="7"/>
      <c r="AK1890" s="7"/>
      <c r="AL1890" s="7"/>
      <c r="AM1890" s="8">
        <f>SUM(AH1890:AL1890)</f>
        <v>0</v>
      </c>
      <c r="AO1890" s="6"/>
      <c r="AP1890" s="7"/>
      <c r="AQ1890" s="7"/>
      <c r="AR1890" s="7"/>
      <c r="AS1890" s="7"/>
      <c r="AT1890" s="8">
        <f>SUM(AO1890:AS1890)</f>
        <v>0</v>
      </c>
      <c r="AV1890" s="6"/>
      <c r="AW1890" s="7"/>
      <c r="AX1890" s="7"/>
      <c r="AY1890" s="7"/>
      <c r="AZ1890" s="7"/>
      <c r="BA1890" s="8">
        <f>SUM(AV1890:AZ1890)</f>
        <v>0</v>
      </c>
      <c r="BC1890" s="6"/>
      <c r="BD1890" s="7"/>
      <c r="BE1890" s="7"/>
      <c r="BF1890" s="7"/>
      <c r="BG1890" s="7"/>
      <c r="BH1890" s="8">
        <f>SUM(BC1890:BG1890)</f>
        <v>0</v>
      </c>
      <c r="BJ1890" s="6"/>
      <c r="BK1890" s="7"/>
      <c r="BL1890" s="7"/>
      <c r="BM1890" s="7"/>
      <c r="BN1890" s="7"/>
      <c r="BO1890" s="8">
        <f>SUM(BJ1890:BN1890)</f>
        <v>0</v>
      </c>
      <c r="BQ1890" s="6"/>
      <c r="BR1890" s="7"/>
      <c r="BS1890" s="7"/>
      <c r="BT1890" s="7"/>
      <c r="BU1890" s="7"/>
      <c r="BV1890" s="8">
        <f>SUM(BQ1890:BU1890)</f>
        <v>0</v>
      </c>
      <c r="BX1890" s="6"/>
      <c r="BY1890" s="7"/>
      <c r="BZ1890" s="7"/>
      <c r="CA1890" s="7"/>
      <c r="CB1890" s="7"/>
      <c r="CC1890" s="8">
        <f>SUM(BX1890:CB1890)</f>
        <v>0</v>
      </c>
      <c r="CE1890" s="493">
        <f t="shared" si="8669"/>
        <v>0</v>
      </c>
      <c r="CF1890" s="494">
        <f t="shared" si="8670"/>
        <v>0</v>
      </c>
      <c r="CG1890" s="494">
        <f t="shared" si="8671"/>
        <v>0</v>
      </c>
      <c r="CH1890" s="494">
        <f t="shared" si="8672"/>
        <v>0</v>
      </c>
      <c r="CI1890" s="494">
        <f t="shared" si="8673"/>
        <v>0</v>
      </c>
      <c r="CJ1890" s="495">
        <f>SUM(CE1890:CI1890)</f>
        <v>0</v>
      </c>
      <c r="CL1890" s="6"/>
      <c r="CM1890" s="7"/>
      <c r="CN1890" s="7"/>
      <c r="CO1890" s="7"/>
      <c r="CP1890" s="7"/>
      <c r="CQ1890" s="8">
        <f>SUM(CL1890:CP1890)</f>
        <v>0</v>
      </c>
      <c r="CS1890" s="6"/>
      <c r="CT1890" s="7"/>
      <c r="CU1890" s="7"/>
      <c r="CV1890" s="7"/>
      <c r="CW1890" s="7"/>
      <c r="CX1890" s="8">
        <f t="shared" si="8678"/>
        <v>0</v>
      </c>
      <c r="CZ1890" s="6"/>
      <c r="DA1890" s="7"/>
      <c r="DB1890" s="7"/>
      <c r="DC1890" s="7"/>
      <c r="DD1890" s="7"/>
      <c r="DE1890" s="8">
        <f t="shared" si="8679"/>
        <v>0</v>
      </c>
    </row>
    <row r="1891" spans="2:110" ht="14" thickBot="1">
      <c r="C1891" s="554"/>
      <c r="E1891" s="9"/>
      <c r="F1891" s="10">
        <f>SUM(F1887:F1890)</f>
        <v>0</v>
      </c>
      <c r="G1891" s="11">
        <f t="shared" ref="G1891:J1891" si="8680">SUM(G1887:G1890)</f>
        <v>0</v>
      </c>
      <c r="H1891" s="11">
        <f t="shared" si="8680"/>
        <v>0</v>
      </c>
      <c r="I1891" s="11">
        <f t="shared" si="8680"/>
        <v>0</v>
      </c>
      <c r="J1891" s="11">
        <f t="shared" si="8680"/>
        <v>0</v>
      </c>
      <c r="K1891" s="25">
        <f>SUM(K1887:K1890)</f>
        <v>0</v>
      </c>
      <c r="M1891" s="10">
        <f>SUM(M1887:M1890)</f>
        <v>0</v>
      </c>
      <c r="N1891" s="11">
        <f t="shared" ref="N1891:Q1891" si="8681">SUM(N1887:N1890)</f>
        <v>0</v>
      </c>
      <c r="O1891" s="11">
        <f t="shared" si="8681"/>
        <v>0</v>
      </c>
      <c r="P1891" s="11">
        <f t="shared" si="8681"/>
        <v>0</v>
      </c>
      <c r="Q1891" s="11">
        <f t="shared" si="8681"/>
        <v>0</v>
      </c>
      <c r="R1891" s="25">
        <f>SUM(R1887:R1890)</f>
        <v>0</v>
      </c>
      <c r="T1891" s="10">
        <f>SUM(T1887:T1890)</f>
        <v>0</v>
      </c>
      <c r="U1891" s="11">
        <f t="shared" ref="U1891:X1891" si="8682">SUM(U1887:U1890)</f>
        <v>0</v>
      </c>
      <c r="V1891" s="11">
        <f t="shared" si="8682"/>
        <v>0</v>
      </c>
      <c r="W1891" s="11">
        <f t="shared" si="8682"/>
        <v>0</v>
      </c>
      <c r="X1891" s="11">
        <f t="shared" si="8682"/>
        <v>0</v>
      </c>
      <c r="Y1891" s="25">
        <f>SUM(Y1887:Y1890)</f>
        <v>0</v>
      </c>
      <c r="AA1891" s="10">
        <f>SUM(AA1887:AA1890)</f>
        <v>0</v>
      </c>
      <c r="AB1891" s="11">
        <f t="shared" ref="AB1891:AE1891" si="8683">SUM(AB1887:AB1890)</f>
        <v>0</v>
      </c>
      <c r="AC1891" s="11">
        <f t="shared" si="8683"/>
        <v>0</v>
      </c>
      <c r="AD1891" s="11">
        <f t="shared" si="8683"/>
        <v>0</v>
      </c>
      <c r="AE1891" s="11">
        <f t="shared" si="8683"/>
        <v>0</v>
      </c>
      <c r="AF1891" s="25">
        <f>SUM(AF1887:AF1890)</f>
        <v>0</v>
      </c>
      <c r="AH1891" s="10">
        <f>SUM(AH1887:AH1890)</f>
        <v>0</v>
      </c>
      <c r="AI1891" s="11">
        <f t="shared" ref="AI1891:AL1891" si="8684">SUM(AI1887:AI1890)</f>
        <v>0</v>
      </c>
      <c r="AJ1891" s="11">
        <f t="shared" si="8684"/>
        <v>0</v>
      </c>
      <c r="AK1891" s="11">
        <f t="shared" si="8684"/>
        <v>0</v>
      </c>
      <c r="AL1891" s="11">
        <f t="shared" si="8684"/>
        <v>0</v>
      </c>
      <c r="AM1891" s="25">
        <f>SUM(AM1887:AM1890)</f>
        <v>0</v>
      </c>
      <c r="AO1891" s="10">
        <f>SUM(AO1887:AO1890)</f>
        <v>0</v>
      </c>
      <c r="AP1891" s="11">
        <f t="shared" ref="AP1891:AS1891" si="8685">SUM(AP1887:AP1890)</f>
        <v>0</v>
      </c>
      <c r="AQ1891" s="11">
        <f t="shared" si="8685"/>
        <v>0</v>
      </c>
      <c r="AR1891" s="11">
        <f t="shared" si="8685"/>
        <v>0</v>
      </c>
      <c r="AS1891" s="11">
        <f t="shared" si="8685"/>
        <v>0</v>
      </c>
      <c r="AT1891" s="25">
        <f>SUM(AT1887:AT1890)</f>
        <v>0</v>
      </c>
      <c r="AV1891" s="10">
        <f>SUM(AV1887:AV1890)</f>
        <v>0</v>
      </c>
      <c r="AW1891" s="11">
        <f t="shared" ref="AW1891:AZ1891" si="8686">SUM(AW1887:AW1890)</f>
        <v>0</v>
      </c>
      <c r="AX1891" s="11">
        <f t="shared" si="8686"/>
        <v>0</v>
      </c>
      <c r="AY1891" s="11">
        <f t="shared" si="8686"/>
        <v>0</v>
      </c>
      <c r="AZ1891" s="11">
        <f t="shared" si="8686"/>
        <v>0</v>
      </c>
      <c r="BA1891" s="25">
        <f>SUM(BA1887:BA1890)</f>
        <v>0</v>
      </c>
      <c r="BC1891" s="10">
        <f>SUM(BC1887:BC1890)</f>
        <v>0</v>
      </c>
      <c r="BD1891" s="11">
        <f t="shared" ref="BD1891:BG1891" si="8687">SUM(BD1887:BD1890)</f>
        <v>0</v>
      </c>
      <c r="BE1891" s="11">
        <f t="shared" si="8687"/>
        <v>0</v>
      </c>
      <c r="BF1891" s="11">
        <f t="shared" si="8687"/>
        <v>0</v>
      </c>
      <c r="BG1891" s="11">
        <f t="shared" si="8687"/>
        <v>0</v>
      </c>
      <c r="BH1891" s="25">
        <f>SUM(BH1887:BH1890)</f>
        <v>0</v>
      </c>
      <c r="BJ1891" s="10">
        <f>SUM(BJ1887:BJ1890)</f>
        <v>0</v>
      </c>
      <c r="BK1891" s="11">
        <f t="shared" ref="BK1891:BN1891" si="8688">SUM(BK1887:BK1890)</f>
        <v>0</v>
      </c>
      <c r="BL1891" s="11">
        <f t="shared" si="8688"/>
        <v>0</v>
      </c>
      <c r="BM1891" s="11">
        <f t="shared" si="8688"/>
        <v>0</v>
      </c>
      <c r="BN1891" s="11">
        <f t="shared" si="8688"/>
        <v>0</v>
      </c>
      <c r="BO1891" s="25">
        <f>SUM(BO1887:BO1890)</f>
        <v>0</v>
      </c>
      <c r="BQ1891" s="10">
        <f>SUM(BQ1887:BQ1890)</f>
        <v>0</v>
      </c>
      <c r="BR1891" s="11">
        <f t="shared" ref="BR1891:BU1891" si="8689">SUM(BR1887:BR1890)</f>
        <v>0</v>
      </c>
      <c r="BS1891" s="11">
        <f t="shared" si="8689"/>
        <v>0</v>
      </c>
      <c r="BT1891" s="11">
        <f t="shared" si="8689"/>
        <v>0</v>
      </c>
      <c r="BU1891" s="11">
        <f t="shared" si="8689"/>
        <v>0</v>
      </c>
      <c r="BV1891" s="25">
        <f>SUM(BV1887:BV1890)</f>
        <v>0</v>
      </c>
      <c r="BX1891" s="10">
        <f>SUM(BX1887:BX1890)</f>
        <v>0</v>
      </c>
      <c r="BY1891" s="11">
        <f t="shared" ref="BY1891:CB1891" si="8690">SUM(BY1887:BY1890)</f>
        <v>0</v>
      </c>
      <c r="BZ1891" s="11">
        <f t="shared" si="8690"/>
        <v>0</v>
      </c>
      <c r="CA1891" s="11">
        <f t="shared" si="8690"/>
        <v>0</v>
      </c>
      <c r="CB1891" s="11">
        <f t="shared" si="8690"/>
        <v>0</v>
      </c>
      <c r="CC1891" s="25">
        <f>SUM(CC1887:CC1890)</f>
        <v>0</v>
      </c>
      <c r="CE1891" s="62">
        <f t="shared" ref="CE1891:CJ1891" si="8691">SUM(CE1887:CE1890)</f>
        <v>0</v>
      </c>
      <c r="CF1891" s="63">
        <f t="shared" si="8691"/>
        <v>0</v>
      </c>
      <c r="CG1891" s="63">
        <f t="shared" si="8691"/>
        <v>0</v>
      </c>
      <c r="CH1891" s="63">
        <f t="shared" si="8691"/>
        <v>0</v>
      </c>
      <c r="CI1891" s="63">
        <f t="shared" si="8691"/>
        <v>0</v>
      </c>
      <c r="CJ1891" s="25">
        <f t="shared" si="8691"/>
        <v>0</v>
      </c>
      <c r="CL1891" s="10">
        <f>SUM(CL1887:CL1890)</f>
        <v>0</v>
      </c>
      <c r="CM1891" s="11">
        <f t="shared" ref="CM1891:CP1891" si="8692">SUM(CM1887:CM1890)</f>
        <v>0</v>
      </c>
      <c r="CN1891" s="11">
        <f t="shared" si="8692"/>
        <v>0</v>
      </c>
      <c r="CO1891" s="11">
        <f t="shared" si="8692"/>
        <v>0</v>
      </c>
      <c r="CP1891" s="11">
        <f t="shared" si="8692"/>
        <v>0</v>
      </c>
      <c r="CQ1891" s="25">
        <f>SUM(CQ1887:CQ1890)</f>
        <v>0</v>
      </c>
      <c r="CS1891" s="10">
        <f>SUM(CS1887:CS1890)</f>
        <v>0</v>
      </c>
      <c r="CT1891" s="11">
        <f t="shared" ref="CT1891:CW1891" si="8693">SUM(CT1887:CT1890)</f>
        <v>0</v>
      </c>
      <c r="CU1891" s="11">
        <f t="shared" si="8693"/>
        <v>0</v>
      </c>
      <c r="CV1891" s="11">
        <f t="shared" si="8693"/>
        <v>0</v>
      </c>
      <c r="CW1891" s="11">
        <f t="shared" si="8693"/>
        <v>0</v>
      </c>
      <c r="CX1891" s="25">
        <f>SUM(CX1887:CX1890)</f>
        <v>0</v>
      </c>
      <c r="CZ1891" s="10">
        <f>SUM(CZ1887:CZ1890)</f>
        <v>0</v>
      </c>
      <c r="DA1891" s="11">
        <f t="shared" ref="DA1891:DD1891" si="8694">SUM(DA1887:DA1890)</f>
        <v>0</v>
      </c>
      <c r="DB1891" s="11">
        <f t="shared" si="8694"/>
        <v>0</v>
      </c>
      <c r="DC1891" s="11">
        <f t="shared" si="8694"/>
        <v>0</v>
      </c>
      <c r="DD1891" s="11">
        <f t="shared" si="8694"/>
        <v>0</v>
      </c>
      <c r="DE1891" s="25">
        <f>SUM(DE1887:DE1890)</f>
        <v>0</v>
      </c>
    </row>
    <row r="1893" spans="2:110">
      <c r="B1893" s="123"/>
      <c r="C1893" s="20"/>
      <c r="D1893" s="20"/>
      <c r="E1893" s="20"/>
      <c r="F1893" s="20"/>
      <c r="G1893" s="20"/>
      <c r="H1893" s="20"/>
      <c r="I1893" s="20"/>
      <c r="J1893" s="20"/>
      <c r="K1893" s="20"/>
      <c r="L1893" s="20"/>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c r="CA1893" s="20"/>
      <c r="CB1893" s="20"/>
      <c r="CC1893" s="20"/>
      <c r="CD1893" s="20"/>
      <c r="CE1893" s="20"/>
      <c r="CF1893" s="20"/>
      <c r="CG1893" s="20"/>
      <c r="CH1893" s="20"/>
      <c r="CI1893" s="20"/>
      <c r="CJ1893" s="20"/>
      <c r="CK1893" s="20"/>
      <c r="CL1893" s="20"/>
      <c r="CM1893" s="20"/>
      <c r="CN1893" s="20"/>
      <c r="CO1893" s="20"/>
      <c r="CP1893" s="20"/>
      <c r="CQ1893" s="20"/>
      <c r="CR1893" s="20"/>
      <c r="CS1893" s="20"/>
      <c r="CT1893" s="20"/>
      <c r="CU1893" s="20"/>
      <c r="CV1893" s="20"/>
      <c r="CW1893" s="20"/>
      <c r="CX1893" s="20"/>
      <c r="CY1893" s="20"/>
      <c r="CZ1893" s="20"/>
      <c r="DA1893" s="20"/>
      <c r="DB1893" s="20"/>
      <c r="DC1893" s="20"/>
      <c r="DD1893" s="20"/>
      <c r="DE1893" s="20"/>
      <c r="DF1893" s="20"/>
    </row>
    <row r="1894" spans="2:110" ht="14" thickBot="1">
      <c r="B1894" s="94">
        <v>60</v>
      </c>
      <c r="C1894" s="12" t="s">
        <v>121</v>
      </c>
    </row>
    <row r="1895" spans="2:110">
      <c r="C1895" s="553">
        <v>2024</v>
      </c>
      <c r="E1895" s="1" t="s">
        <v>59</v>
      </c>
      <c r="F1895" s="2"/>
      <c r="G1895" s="3"/>
      <c r="H1895" s="3"/>
      <c r="I1895" s="3"/>
      <c r="J1895" s="3"/>
      <c r="K1895" s="4">
        <f>SUM(F1895:J1895)</f>
        <v>0</v>
      </c>
      <c r="M1895" s="2"/>
      <c r="N1895" s="3"/>
      <c r="O1895" s="3"/>
      <c r="P1895" s="3"/>
      <c r="Q1895" s="3"/>
      <c r="R1895" s="4">
        <f>SUM(M1895:Q1895)</f>
        <v>0</v>
      </c>
      <c r="T1895" s="2"/>
      <c r="U1895" s="3"/>
      <c r="V1895" s="3"/>
      <c r="W1895" s="3"/>
      <c r="X1895" s="3"/>
      <c r="Y1895" s="4">
        <f>SUM(T1895:X1895)</f>
        <v>0</v>
      </c>
      <c r="AA1895" s="2"/>
      <c r="AB1895" s="3"/>
      <c r="AC1895" s="3"/>
      <c r="AD1895" s="3"/>
      <c r="AE1895" s="3"/>
      <c r="AF1895" s="4">
        <f>SUM(AA1895:AE1895)</f>
        <v>0</v>
      </c>
      <c r="AH1895" s="2"/>
      <c r="AI1895" s="3"/>
      <c r="AJ1895" s="3"/>
      <c r="AK1895" s="3"/>
      <c r="AL1895" s="3"/>
      <c r="AM1895" s="4">
        <f>SUM(AH1895:AL1895)</f>
        <v>0</v>
      </c>
      <c r="AO1895" s="2"/>
      <c r="AP1895" s="3"/>
      <c r="AQ1895" s="3"/>
      <c r="AR1895" s="3"/>
      <c r="AS1895" s="3"/>
      <c r="AT1895" s="4">
        <f>SUM(AO1895:AS1895)</f>
        <v>0</v>
      </c>
      <c r="AV1895" s="2"/>
      <c r="AW1895" s="3"/>
      <c r="AX1895" s="3"/>
      <c r="AY1895" s="3"/>
      <c r="AZ1895" s="3"/>
      <c r="BA1895" s="4">
        <f>SUM(AV1895:AZ1895)</f>
        <v>0</v>
      </c>
      <c r="BC1895" s="2"/>
      <c r="BD1895" s="3"/>
      <c r="BE1895" s="3"/>
      <c r="BF1895" s="3"/>
      <c r="BG1895" s="3"/>
      <c r="BH1895" s="4">
        <f>SUM(BC1895:BG1895)</f>
        <v>0</v>
      </c>
      <c r="BJ1895" s="2"/>
      <c r="BK1895" s="3"/>
      <c r="BL1895" s="3"/>
      <c r="BM1895" s="3"/>
      <c r="BN1895" s="3"/>
      <c r="BO1895" s="4">
        <f>SUM(BJ1895:BN1895)</f>
        <v>0</v>
      </c>
      <c r="BQ1895" s="2"/>
      <c r="BR1895" s="3"/>
      <c r="BS1895" s="3"/>
      <c r="BT1895" s="3"/>
      <c r="BU1895" s="3"/>
      <c r="BV1895" s="4">
        <f>SUM(BQ1895:BU1895)</f>
        <v>0</v>
      </c>
      <c r="BX1895" s="2"/>
      <c r="BY1895" s="3"/>
      <c r="BZ1895" s="3"/>
      <c r="CA1895" s="3"/>
      <c r="CB1895" s="3"/>
      <c r="CC1895" s="4">
        <f>SUM(BX1895:CB1895)</f>
        <v>0</v>
      </c>
      <c r="CE1895" s="26">
        <f t="shared" ref="CE1895:CE1898" si="8695">F1895+M1895+T1895+AA1895+AH1895+AO1895+AV1895+BC1895+BJ1895+BQ1895+BX1895</f>
        <v>0</v>
      </c>
      <c r="CF1895" s="27">
        <f t="shared" ref="CF1895:CF1898" si="8696">G1895+N1895+U1895+AB1895+AI1895+AP1895+AW1895+BD1895+BK1895+BR1895+BY1895</f>
        <v>0</v>
      </c>
      <c r="CG1895" s="27">
        <f t="shared" ref="CG1895:CG1898" si="8697">H1895+O1895+V1895+AC1895+AJ1895+AQ1895+AX1895+BE1895+BL1895+BS1895+BZ1895</f>
        <v>0</v>
      </c>
      <c r="CH1895" s="27">
        <f t="shared" ref="CH1895:CH1898" si="8698">I1895+P1895+W1895+AD1895+AK1895+AR1895+AY1895+BF1895+BM1895+BT1895+CA1895</f>
        <v>0</v>
      </c>
      <c r="CI1895" s="27">
        <f t="shared" ref="CI1895:CI1898" si="8699">J1895+Q1895+X1895+AE1895+AL1895+AS1895+AZ1895+BG1895+BN1895+BU1895+CB1895</f>
        <v>0</v>
      </c>
      <c r="CJ1895" s="4">
        <f>SUM(CE1895:CI1895)</f>
        <v>0</v>
      </c>
      <c r="CL1895" s="2"/>
      <c r="CM1895" s="3"/>
      <c r="CN1895" s="3"/>
      <c r="CO1895" s="3"/>
      <c r="CP1895" s="3"/>
      <c r="CQ1895" s="4">
        <f>SUM(CL1895:CP1895)</f>
        <v>0</v>
      </c>
      <c r="CS1895" s="2"/>
      <c r="CT1895" s="3"/>
      <c r="CU1895" s="3"/>
      <c r="CV1895" s="3"/>
      <c r="CW1895" s="3"/>
      <c r="CX1895" s="4">
        <f>SUM(CS1895:CW1895)</f>
        <v>0</v>
      </c>
      <c r="CZ1895" s="2"/>
      <c r="DA1895" s="3"/>
      <c r="DB1895" s="3"/>
      <c r="DC1895" s="3"/>
      <c r="DD1895" s="3"/>
      <c r="DE1895" s="4">
        <f>SUM(CZ1895:DD1895)</f>
        <v>0</v>
      </c>
    </row>
    <row r="1896" spans="2:110">
      <c r="C1896" s="567"/>
      <c r="E1896" s="5" t="s">
        <v>60</v>
      </c>
      <c r="F1896" s="6"/>
      <c r="G1896" s="7"/>
      <c r="H1896" s="7"/>
      <c r="I1896" s="7"/>
      <c r="J1896" s="7"/>
      <c r="K1896" s="8">
        <f t="shared" ref="K1896:K1898" si="8700">SUM(F1896:J1896)</f>
        <v>0</v>
      </c>
      <c r="M1896" s="6"/>
      <c r="N1896" s="7"/>
      <c r="O1896" s="7"/>
      <c r="P1896" s="7"/>
      <c r="Q1896" s="7"/>
      <c r="R1896" s="8">
        <f t="shared" ref="R1896:R1898" si="8701">SUM(M1896:Q1896)</f>
        <v>0</v>
      </c>
      <c r="T1896" s="6"/>
      <c r="U1896" s="7"/>
      <c r="V1896" s="7"/>
      <c r="W1896" s="7"/>
      <c r="X1896" s="7"/>
      <c r="Y1896" s="8">
        <f t="shared" ref="Y1896:Y1898" si="8702">SUM(T1896:X1896)</f>
        <v>0</v>
      </c>
      <c r="AA1896" s="6"/>
      <c r="AB1896" s="7"/>
      <c r="AC1896" s="7"/>
      <c r="AD1896" s="7"/>
      <c r="AE1896" s="7"/>
      <c r="AF1896" s="8">
        <f>SUM(AA1896:AE1896)</f>
        <v>0</v>
      </c>
      <c r="AH1896" s="6"/>
      <c r="AI1896" s="7"/>
      <c r="AJ1896" s="7"/>
      <c r="AK1896" s="7"/>
      <c r="AL1896" s="7"/>
      <c r="AM1896" s="8">
        <f>SUM(AH1896:AL1896)</f>
        <v>0</v>
      </c>
      <c r="AO1896" s="6"/>
      <c r="AP1896" s="7"/>
      <c r="AQ1896" s="7"/>
      <c r="AR1896" s="7"/>
      <c r="AS1896" s="7"/>
      <c r="AT1896" s="8">
        <f>SUM(AO1896:AS1896)</f>
        <v>0</v>
      </c>
      <c r="AV1896" s="6"/>
      <c r="AW1896" s="7"/>
      <c r="AX1896" s="7"/>
      <c r="AY1896" s="7"/>
      <c r="AZ1896" s="7"/>
      <c r="BA1896" s="8">
        <f>SUM(AV1896:AZ1896)</f>
        <v>0</v>
      </c>
      <c r="BC1896" s="6"/>
      <c r="BD1896" s="7"/>
      <c r="BE1896" s="7"/>
      <c r="BF1896" s="7"/>
      <c r="BG1896" s="7"/>
      <c r="BH1896" s="8">
        <f>SUM(BC1896:BG1896)</f>
        <v>0</v>
      </c>
      <c r="BJ1896" s="6"/>
      <c r="BK1896" s="7"/>
      <c r="BL1896" s="7"/>
      <c r="BM1896" s="7"/>
      <c r="BN1896" s="7"/>
      <c r="BO1896" s="8">
        <f>SUM(BJ1896:BN1896)</f>
        <v>0</v>
      </c>
      <c r="BQ1896" s="6"/>
      <c r="BR1896" s="7"/>
      <c r="BS1896" s="7"/>
      <c r="BT1896" s="7"/>
      <c r="BU1896" s="7"/>
      <c r="BV1896" s="8">
        <f>SUM(BQ1896:BU1896)</f>
        <v>0</v>
      </c>
      <c r="BX1896" s="6"/>
      <c r="BY1896" s="7"/>
      <c r="BZ1896" s="7"/>
      <c r="CA1896" s="7"/>
      <c r="CB1896" s="7"/>
      <c r="CC1896" s="8">
        <f>SUM(BX1896:CB1896)</f>
        <v>0</v>
      </c>
      <c r="CE1896" s="28">
        <f t="shared" si="8695"/>
        <v>0</v>
      </c>
      <c r="CF1896" s="29">
        <f t="shared" si="8696"/>
        <v>0</v>
      </c>
      <c r="CG1896" s="29">
        <f t="shared" si="8697"/>
        <v>0</v>
      </c>
      <c r="CH1896" s="29">
        <f t="shared" si="8698"/>
        <v>0</v>
      </c>
      <c r="CI1896" s="29">
        <f t="shared" si="8699"/>
        <v>0</v>
      </c>
      <c r="CJ1896" s="8">
        <f>SUM(CE1896:CI1896)</f>
        <v>0</v>
      </c>
      <c r="CL1896" s="6"/>
      <c r="CM1896" s="7"/>
      <c r="CN1896" s="7"/>
      <c r="CO1896" s="7"/>
      <c r="CP1896" s="7"/>
      <c r="CQ1896" s="8">
        <f>SUM(CL1896:CP1896)</f>
        <v>0</v>
      </c>
      <c r="CS1896" s="6"/>
      <c r="CT1896" s="7"/>
      <c r="CU1896" s="7"/>
      <c r="CV1896" s="7"/>
      <c r="CW1896" s="7"/>
      <c r="CX1896" s="8">
        <f t="shared" ref="CX1896:CX1898" si="8703">SUM(CS1896:CW1896)</f>
        <v>0</v>
      </c>
      <c r="CZ1896" s="6"/>
      <c r="DA1896" s="7"/>
      <c r="DB1896" s="7"/>
      <c r="DC1896" s="7"/>
      <c r="DD1896" s="7"/>
      <c r="DE1896" s="8">
        <f t="shared" ref="DE1896:DE1898" si="8704">SUM(CZ1896:DD1896)</f>
        <v>0</v>
      </c>
    </row>
    <row r="1897" spans="2:110">
      <c r="C1897" s="567"/>
      <c r="E1897" s="5" t="s">
        <v>61</v>
      </c>
      <c r="F1897" s="6"/>
      <c r="G1897" s="7"/>
      <c r="H1897" s="7"/>
      <c r="I1897" s="7"/>
      <c r="J1897" s="7"/>
      <c r="K1897" s="8">
        <f t="shared" si="8700"/>
        <v>0</v>
      </c>
      <c r="M1897" s="6"/>
      <c r="N1897" s="7"/>
      <c r="O1897" s="7"/>
      <c r="P1897" s="7"/>
      <c r="Q1897" s="7"/>
      <c r="R1897" s="8">
        <f t="shared" si="8701"/>
        <v>0</v>
      </c>
      <c r="T1897" s="6"/>
      <c r="U1897" s="7"/>
      <c r="V1897" s="7"/>
      <c r="W1897" s="7"/>
      <c r="X1897" s="7"/>
      <c r="Y1897" s="8">
        <f t="shared" si="8702"/>
        <v>0</v>
      </c>
      <c r="AA1897" s="6"/>
      <c r="AB1897" s="7"/>
      <c r="AC1897" s="7"/>
      <c r="AD1897" s="7"/>
      <c r="AE1897" s="7"/>
      <c r="AF1897" s="8">
        <f>SUM(AA1897:AE1897)</f>
        <v>0</v>
      </c>
      <c r="AH1897" s="6"/>
      <c r="AI1897" s="7"/>
      <c r="AJ1897" s="7"/>
      <c r="AK1897" s="7"/>
      <c r="AL1897" s="7"/>
      <c r="AM1897" s="8">
        <f>SUM(AH1897:AL1897)</f>
        <v>0</v>
      </c>
      <c r="AO1897" s="6"/>
      <c r="AP1897" s="7"/>
      <c r="AQ1897" s="7"/>
      <c r="AR1897" s="7"/>
      <c r="AS1897" s="7"/>
      <c r="AT1897" s="8">
        <f>SUM(AO1897:AS1897)</f>
        <v>0</v>
      </c>
      <c r="AV1897" s="6"/>
      <c r="AW1897" s="7"/>
      <c r="AX1897" s="7"/>
      <c r="AY1897" s="7"/>
      <c r="AZ1897" s="7"/>
      <c r="BA1897" s="8">
        <f>SUM(AV1897:AZ1897)</f>
        <v>0</v>
      </c>
      <c r="BC1897" s="6"/>
      <c r="BD1897" s="7"/>
      <c r="BE1897" s="7"/>
      <c r="BF1897" s="7"/>
      <c r="BG1897" s="7"/>
      <c r="BH1897" s="8">
        <f>SUM(BC1897:BG1897)</f>
        <v>0</v>
      </c>
      <c r="BJ1897" s="6"/>
      <c r="BK1897" s="7"/>
      <c r="BL1897" s="7"/>
      <c r="BM1897" s="7"/>
      <c r="BN1897" s="7"/>
      <c r="BO1897" s="8">
        <f>SUM(BJ1897:BN1897)</f>
        <v>0</v>
      </c>
      <c r="BQ1897" s="6"/>
      <c r="BR1897" s="7"/>
      <c r="BS1897" s="7"/>
      <c r="BT1897" s="7"/>
      <c r="BU1897" s="7"/>
      <c r="BV1897" s="8">
        <f>SUM(BQ1897:BU1897)</f>
        <v>0</v>
      </c>
      <c r="BX1897" s="6"/>
      <c r="BY1897" s="7"/>
      <c r="BZ1897" s="7"/>
      <c r="CA1897" s="7"/>
      <c r="CB1897" s="7"/>
      <c r="CC1897" s="8">
        <f>SUM(BX1897:CB1897)</f>
        <v>0</v>
      </c>
      <c r="CE1897" s="28">
        <f t="shared" si="8695"/>
        <v>0</v>
      </c>
      <c r="CF1897" s="29">
        <f t="shared" si="8696"/>
        <v>0</v>
      </c>
      <c r="CG1897" s="29">
        <f t="shared" si="8697"/>
        <v>0</v>
      </c>
      <c r="CH1897" s="29">
        <f t="shared" si="8698"/>
        <v>0</v>
      </c>
      <c r="CI1897" s="29">
        <f t="shared" si="8699"/>
        <v>0</v>
      </c>
      <c r="CJ1897" s="8">
        <f>SUM(CE1897:CI1897)</f>
        <v>0</v>
      </c>
      <c r="CL1897" s="6"/>
      <c r="CM1897" s="7"/>
      <c r="CN1897" s="7"/>
      <c r="CO1897" s="7"/>
      <c r="CP1897" s="7"/>
      <c r="CQ1897" s="8">
        <f>SUM(CL1897:CP1897)</f>
        <v>0</v>
      </c>
      <c r="CS1897" s="6"/>
      <c r="CT1897" s="7"/>
      <c r="CU1897" s="7"/>
      <c r="CV1897" s="7"/>
      <c r="CW1897" s="7"/>
      <c r="CX1897" s="8">
        <f t="shared" si="8703"/>
        <v>0</v>
      </c>
      <c r="CZ1897" s="6"/>
      <c r="DA1897" s="7"/>
      <c r="DB1897" s="7"/>
      <c r="DC1897" s="7"/>
      <c r="DD1897" s="7"/>
      <c r="DE1897" s="8">
        <f t="shared" si="8704"/>
        <v>0</v>
      </c>
    </row>
    <row r="1898" spans="2:110" ht="14" thickBot="1">
      <c r="C1898" s="567"/>
      <c r="E1898" s="5" t="s">
        <v>62</v>
      </c>
      <c r="F1898" s="6"/>
      <c r="G1898" s="7"/>
      <c r="H1898" s="7"/>
      <c r="I1898" s="7"/>
      <c r="J1898" s="7"/>
      <c r="K1898" s="8">
        <f t="shared" si="8700"/>
        <v>0</v>
      </c>
      <c r="M1898" s="6"/>
      <c r="N1898" s="7"/>
      <c r="O1898" s="7"/>
      <c r="P1898" s="7"/>
      <c r="Q1898" s="7"/>
      <c r="R1898" s="8">
        <f t="shared" si="8701"/>
        <v>0</v>
      </c>
      <c r="T1898" s="6"/>
      <c r="U1898" s="7"/>
      <c r="V1898" s="7"/>
      <c r="W1898" s="7"/>
      <c r="X1898" s="7"/>
      <c r="Y1898" s="8">
        <f t="shared" si="8702"/>
        <v>0</v>
      </c>
      <c r="AA1898" s="6"/>
      <c r="AB1898" s="7"/>
      <c r="AC1898" s="7"/>
      <c r="AD1898" s="7"/>
      <c r="AE1898" s="7"/>
      <c r="AF1898" s="8">
        <f>SUM(AA1898:AE1898)</f>
        <v>0</v>
      </c>
      <c r="AH1898" s="6"/>
      <c r="AI1898" s="7"/>
      <c r="AJ1898" s="7"/>
      <c r="AK1898" s="7"/>
      <c r="AL1898" s="7"/>
      <c r="AM1898" s="8">
        <f>SUM(AH1898:AL1898)</f>
        <v>0</v>
      </c>
      <c r="AO1898" s="6"/>
      <c r="AP1898" s="7"/>
      <c r="AQ1898" s="7"/>
      <c r="AR1898" s="7"/>
      <c r="AS1898" s="7"/>
      <c r="AT1898" s="8">
        <f>SUM(AO1898:AS1898)</f>
        <v>0</v>
      </c>
      <c r="AV1898" s="6"/>
      <c r="AW1898" s="7"/>
      <c r="AX1898" s="7"/>
      <c r="AY1898" s="7"/>
      <c r="AZ1898" s="7"/>
      <c r="BA1898" s="8">
        <f>SUM(AV1898:AZ1898)</f>
        <v>0</v>
      </c>
      <c r="BC1898" s="6"/>
      <c r="BD1898" s="7"/>
      <c r="BE1898" s="7"/>
      <c r="BF1898" s="7"/>
      <c r="BG1898" s="7"/>
      <c r="BH1898" s="8">
        <f>SUM(BC1898:BG1898)</f>
        <v>0</v>
      </c>
      <c r="BJ1898" s="6"/>
      <c r="BK1898" s="7"/>
      <c r="BL1898" s="7"/>
      <c r="BM1898" s="7"/>
      <c r="BN1898" s="7"/>
      <c r="BO1898" s="8">
        <f>SUM(BJ1898:BN1898)</f>
        <v>0</v>
      </c>
      <c r="BQ1898" s="6"/>
      <c r="BR1898" s="7"/>
      <c r="BS1898" s="7"/>
      <c r="BT1898" s="7"/>
      <c r="BU1898" s="7"/>
      <c r="BV1898" s="8">
        <f>SUM(BQ1898:BU1898)</f>
        <v>0</v>
      </c>
      <c r="BX1898" s="6"/>
      <c r="BY1898" s="7"/>
      <c r="BZ1898" s="7"/>
      <c r="CA1898" s="7"/>
      <c r="CB1898" s="7"/>
      <c r="CC1898" s="8">
        <f>SUM(BX1898:CB1898)</f>
        <v>0</v>
      </c>
      <c r="CE1898" s="493">
        <f t="shared" si="8695"/>
        <v>0</v>
      </c>
      <c r="CF1898" s="494">
        <f t="shared" si="8696"/>
        <v>0</v>
      </c>
      <c r="CG1898" s="494">
        <f t="shared" si="8697"/>
        <v>0</v>
      </c>
      <c r="CH1898" s="494">
        <f t="shared" si="8698"/>
        <v>0</v>
      </c>
      <c r="CI1898" s="494">
        <f t="shared" si="8699"/>
        <v>0</v>
      </c>
      <c r="CJ1898" s="495">
        <f>SUM(CE1898:CI1898)</f>
        <v>0</v>
      </c>
      <c r="CL1898" s="6"/>
      <c r="CM1898" s="7"/>
      <c r="CN1898" s="7"/>
      <c r="CO1898" s="7"/>
      <c r="CP1898" s="7"/>
      <c r="CQ1898" s="8">
        <f>SUM(CL1898:CP1898)</f>
        <v>0</v>
      </c>
      <c r="CS1898" s="6"/>
      <c r="CT1898" s="7"/>
      <c r="CU1898" s="7"/>
      <c r="CV1898" s="7"/>
      <c r="CW1898" s="7"/>
      <c r="CX1898" s="8">
        <f t="shared" si="8703"/>
        <v>0</v>
      </c>
      <c r="CZ1898" s="6"/>
      <c r="DA1898" s="7"/>
      <c r="DB1898" s="7"/>
      <c r="DC1898" s="7"/>
      <c r="DD1898" s="7"/>
      <c r="DE1898" s="8">
        <f t="shared" si="8704"/>
        <v>0</v>
      </c>
    </row>
    <row r="1899" spans="2:110" ht="14" thickBot="1">
      <c r="C1899" s="554"/>
      <c r="E1899" s="9"/>
      <c r="F1899" s="10">
        <f>SUM(F1895:F1898)</f>
        <v>0</v>
      </c>
      <c r="G1899" s="11">
        <f t="shared" ref="G1899:J1899" si="8705">SUM(G1895:G1898)</f>
        <v>0</v>
      </c>
      <c r="H1899" s="11">
        <f t="shared" si="8705"/>
        <v>0</v>
      </c>
      <c r="I1899" s="11">
        <f t="shared" si="8705"/>
        <v>0</v>
      </c>
      <c r="J1899" s="61">
        <f t="shared" si="8705"/>
        <v>0</v>
      </c>
      <c r="K1899" s="25">
        <f>SUM(K1895:K1898)</f>
        <v>0</v>
      </c>
      <c r="M1899" s="10">
        <f>SUM(M1895:M1898)</f>
        <v>0</v>
      </c>
      <c r="N1899" s="11">
        <f t="shared" ref="N1899:Q1899" si="8706">SUM(N1895:N1898)</f>
        <v>0</v>
      </c>
      <c r="O1899" s="11">
        <f t="shared" si="8706"/>
        <v>0</v>
      </c>
      <c r="P1899" s="11">
        <f t="shared" si="8706"/>
        <v>0</v>
      </c>
      <c r="Q1899" s="11">
        <f t="shared" si="8706"/>
        <v>0</v>
      </c>
      <c r="R1899" s="25">
        <f>SUM(R1895:R1898)</f>
        <v>0</v>
      </c>
      <c r="T1899" s="10">
        <f>SUM(T1895:T1898)</f>
        <v>0</v>
      </c>
      <c r="U1899" s="11">
        <f t="shared" ref="U1899:X1899" si="8707">SUM(U1895:U1898)</f>
        <v>0</v>
      </c>
      <c r="V1899" s="11">
        <f t="shared" si="8707"/>
        <v>0</v>
      </c>
      <c r="W1899" s="11">
        <f t="shared" si="8707"/>
        <v>0</v>
      </c>
      <c r="X1899" s="11">
        <f t="shared" si="8707"/>
        <v>0</v>
      </c>
      <c r="Y1899" s="25">
        <f>SUM(Y1895:Y1898)</f>
        <v>0</v>
      </c>
      <c r="AA1899" s="10">
        <f>SUM(AA1895:AA1898)</f>
        <v>0</v>
      </c>
      <c r="AB1899" s="11">
        <f t="shared" ref="AB1899:AE1899" si="8708">SUM(AB1895:AB1898)</f>
        <v>0</v>
      </c>
      <c r="AC1899" s="11">
        <f t="shared" si="8708"/>
        <v>0</v>
      </c>
      <c r="AD1899" s="11">
        <f t="shared" si="8708"/>
        <v>0</v>
      </c>
      <c r="AE1899" s="11">
        <f t="shared" si="8708"/>
        <v>0</v>
      </c>
      <c r="AF1899" s="25">
        <f>SUM(AF1895:AF1898)</f>
        <v>0</v>
      </c>
      <c r="AH1899" s="10">
        <f>SUM(AH1895:AH1898)</f>
        <v>0</v>
      </c>
      <c r="AI1899" s="11">
        <f t="shared" ref="AI1899:AL1899" si="8709">SUM(AI1895:AI1898)</f>
        <v>0</v>
      </c>
      <c r="AJ1899" s="11">
        <f t="shared" si="8709"/>
        <v>0</v>
      </c>
      <c r="AK1899" s="11">
        <f t="shared" si="8709"/>
        <v>0</v>
      </c>
      <c r="AL1899" s="11">
        <f t="shared" si="8709"/>
        <v>0</v>
      </c>
      <c r="AM1899" s="25">
        <f>SUM(AM1895:AM1898)</f>
        <v>0</v>
      </c>
      <c r="AO1899" s="10">
        <f>SUM(AO1895:AO1898)</f>
        <v>0</v>
      </c>
      <c r="AP1899" s="11">
        <f t="shared" ref="AP1899:AS1899" si="8710">SUM(AP1895:AP1898)</f>
        <v>0</v>
      </c>
      <c r="AQ1899" s="11">
        <f t="shared" si="8710"/>
        <v>0</v>
      </c>
      <c r="AR1899" s="11">
        <f t="shared" si="8710"/>
        <v>0</v>
      </c>
      <c r="AS1899" s="11">
        <f t="shared" si="8710"/>
        <v>0</v>
      </c>
      <c r="AT1899" s="25">
        <f>SUM(AT1895:AT1898)</f>
        <v>0</v>
      </c>
      <c r="AV1899" s="10">
        <f>SUM(AV1895:AV1898)</f>
        <v>0</v>
      </c>
      <c r="AW1899" s="11">
        <f t="shared" ref="AW1899:AZ1899" si="8711">SUM(AW1895:AW1898)</f>
        <v>0</v>
      </c>
      <c r="AX1899" s="11">
        <f t="shared" si="8711"/>
        <v>0</v>
      </c>
      <c r="AY1899" s="11">
        <f t="shared" si="8711"/>
        <v>0</v>
      </c>
      <c r="AZ1899" s="11">
        <f t="shared" si="8711"/>
        <v>0</v>
      </c>
      <c r="BA1899" s="25">
        <f>SUM(BA1895:BA1898)</f>
        <v>0</v>
      </c>
      <c r="BC1899" s="10">
        <f>SUM(BC1895:BC1898)</f>
        <v>0</v>
      </c>
      <c r="BD1899" s="11">
        <f t="shared" ref="BD1899:BG1899" si="8712">SUM(BD1895:BD1898)</f>
        <v>0</v>
      </c>
      <c r="BE1899" s="11">
        <f t="shared" si="8712"/>
        <v>0</v>
      </c>
      <c r="BF1899" s="11">
        <f t="shared" si="8712"/>
        <v>0</v>
      </c>
      <c r="BG1899" s="11">
        <f t="shared" si="8712"/>
        <v>0</v>
      </c>
      <c r="BH1899" s="25">
        <f>SUM(BH1895:BH1898)</f>
        <v>0</v>
      </c>
      <c r="BJ1899" s="10">
        <f>SUM(BJ1895:BJ1898)</f>
        <v>0</v>
      </c>
      <c r="BK1899" s="11">
        <f t="shared" ref="BK1899:BN1899" si="8713">SUM(BK1895:BK1898)</f>
        <v>0</v>
      </c>
      <c r="BL1899" s="11">
        <f t="shared" si="8713"/>
        <v>0</v>
      </c>
      <c r="BM1899" s="11">
        <f t="shared" si="8713"/>
        <v>0</v>
      </c>
      <c r="BN1899" s="11">
        <f t="shared" si="8713"/>
        <v>0</v>
      </c>
      <c r="BO1899" s="25">
        <f>SUM(BO1895:BO1898)</f>
        <v>0</v>
      </c>
      <c r="BQ1899" s="10">
        <f>SUM(BQ1895:BQ1898)</f>
        <v>0</v>
      </c>
      <c r="BR1899" s="11">
        <f t="shared" ref="BR1899:BU1899" si="8714">SUM(BR1895:BR1898)</f>
        <v>0</v>
      </c>
      <c r="BS1899" s="11">
        <f t="shared" si="8714"/>
        <v>0</v>
      </c>
      <c r="BT1899" s="11">
        <f t="shared" si="8714"/>
        <v>0</v>
      </c>
      <c r="BU1899" s="11">
        <f t="shared" si="8714"/>
        <v>0</v>
      </c>
      <c r="BV1899" s="25">
        <f>SUM(BV1895:BV1898)</f>
        <v>0</v>
      </c>
      <c r="BX1899" s="10">
        <f>SUM(BX1895:BX1898)</f>
        <v>0</v>
      </c>
      <c r="BY1899" s="11">
        <f t="shared" ref="BY1899:CB1899" si="8715">SUM(BY1895:BY1898)</f>
        <v>0</v>
      </c>
      <c r="BZ1899" s="11">
        <f t="shared" si="8715"/>
        <v>0</v>
      </c>
      <c r="CA1899" s="11">
        <f t="shared" si="8715"/>
        <v>0</v>
      </c>
      <c r="CB1899" s="11">
        <f t="shared" si="8715"/>
        <v>0</v>
      </c>
      <c r="CC1899" s="25">
        <f>SUM(CC1895:CC1898)</f>
        <v>0</v>
      </c>
      <c r="CE1899" s="62">
        <f t="shared" ref="CE1899:CJ1899" si="8716">SUM(CE1895:CE1898)</f>
        <v>0</v>
      </c>
      <c r="CF1899" s="63">
        <f t="shared" si="8716"/>
        <v>0</v>
      </c>
      <c r="CG1899" s="63">
        <f t="shared" si="8716"/>
        <v>0</v>
      </c>
      <c r="CH1899" s="63">
        <f t="shared" si="8716"/>
        <v>0</v>
      </c>
      <c r="CI1899" s="63">
        <f t="shared" si="8716"/>
        <v>0</v>
      </c>
      <c r="CJ1899" s="25">
        <f t="shared" si="8716"/>
        <v>0</v>
      </c>
      <c r="CL1899" s="10">
        <f>SUM(CL1895:CL1898)</f>
        <v>0</v>
      </c>
      <c r="CM1899" s="11">
        <f t="shared" ref="CM1899:CP1899" si="8717">SUM(CM1895:CM1898)</f>
        <v>0</v>
      </c>
      <c r="CN1899" s="11">
        <f t="shared" si="8717"/>
        <v>0</v>
      </c>
      <c r="CO1899" s="11">
        <f t="shared" si="8717"/>
        <v>0</v>
      </c>
      <c r="CP1899" s="11">
        <f t="shared" si="8717"/>
        <v>0</v>
      </c>
      <c r="CQ1899" s="25">
        <f>SUM(CQ1895:CQ1898)</f>
        <v>0</v>
      </c>
      <c r="CS1899" s="10">
        <f>SUM(CS1895:CS1898)</f>
        <v>0</v>
      </c>
      <c r="CT1899" s="11">
        <f t="shared" ref="CT1899:CW1899" si="8718">SUM(CT1895:CT1898)</f>
        <v>0</v>
      </c>
      <c r="CU1899" s="11">
        <f t="shared" si="8718"/>
        <v>0</v>
      </c>
      <c r="CV1899" s="11">
        <f t="shared" si="8718"/>
        <v>0</v>
      </c>
      <c r="CW1899" s="11">
        <f t="shared" si="8718"/>
        <v>0</v>
      </c>
      <c r="CX1899" s="25">
        <f>SUM(CX1895:CX1898)</f>
        <v>0</v>
      </c>
      <c r="CZ1899" s="10">
        <f>SUM(CZ1895:CZ1898)</f>
        <v>0</v>
      </c>
      <c r="DA1899" s="11">
        <f t="shared" ref="DA1899:DD1899" si="8719">SUM(DA1895:DA1898)</f>
        <v>0</v>
      </c>
      <c r="DB1899" s="11">
        <f t="shared" si="8719"/>
        <v>0</v>
      </c>
      <c r="DC1899" s="11">
        <f t="shared" si="8719"/>
        <v>0</v>
      </c>
      <c r="DD1899" s="11">
        <f t="shared" si="8719"/>
        <v>0</v>
      </c>
      <c r="DE1899" s="25">
        <f>SUM(DE1895:DE1898)</f>
        <v>0</v>
      </c>
    </row>
    <row r="1900" spans="2:110" ht="10.4" customHeight="1" thickBot="1"/>
    <row r="1901" spans="2:110">
      <c r="C1901" s="553">
        <v>2025</v>
      </c>
      <c r="E1901" s="13" t="s">
        <v>59</v>
      </c>
      <c r="F1901" s="21">
        <f>CE1895</f>
        <v>0</v>
      </c>
      <c r="G1901" s="22">
        <f t="shared" ref="G1901:G1904" si="8720">CF1895</f>
        <v>0</v>
      </c>
      <c r="H1901" s="22">
        <f t="shared" ref="H1901:H1904" si="8721">CG1895</f>
        <v>0</v>
      </c>
      <c r="I1901" s="22">
        <f t="shared" ref="I1901:I1904" si="8722">CH1895</f>
        <v>0</v>
      </c>
      <c r="J1901" s="22">
        <f t="shared" ref="J1901:J1904" si="8723">CI1895</f>
        <v>0</v>
      </c>
      <c r="K1901" s="15">
        <f>SUM(F1901:J1901)</f>
        <v>0</v>
      </c>
      <c r="M1901" s="2"/>
      <c r="N1901" s="3"/>
      <c r="O1901" s="3"/>
      <c r="P1901" s="3"/>
      <c r="Q1901" s="3"/>
      <c r="R1901" s="15">
        <f>SUM(M1901:Q1901)</f>
        <v>0</v>
      </c>
      <c r="T1901" s="2"/>
      <c r="U1901" s="3"/>
      <c r="V1901" s="3"/>
      <c r="W1901" s="3"/>
      <c r="X1901" s="3"/>
      <c r="Y1901" s="15">
        <f>SUM(T1901:X1901)</f>
        <v>0</v>
      </c>
      <c r="AA1901" s="2"/>
      <c r="AB1901" s="3"/>
      <c r="AC1901" s="3"/>
      <c r="AD1901" s="3"/>
      <c r="AE1901" s="3"/>
      <c r="AF1901" s="15">
        <f>SUM(AA1901:AE1901)</f>
        <v>0</v>
      </c>
      <c r="AH1901" s="2"/>
      <c r="AI1901" s="3"/>
      <c r="AJ1901" s="3"/>
      <c r="AK1901" s="3"/>
      <c r="AL1901" s="3"/>
      <c r="AM1901" s="15">
        <f>SUM(AH1901:AL1901)</f>
        <v>0</v>
      </c>
      <c r="AO1901" s="2"/>
      <c r="AP1901" s="3"/>
      <c r="AQ1901" s="3"/>
      <c r="AR1901" s="3"/>
      <c r="AS1901" s="3"/>
      <c r="AT1901" s="15">
        <f>SUM(AO1901:AS1901)</f>
        <v>0</v>
      </c>
      <c r="AV1901" s="2"/>
      <c r="AW1901" s="3"/>
      <c r="AX1901" s="3"/>
      <c r="AY1901" s="3"/>
      <c r="AZ1901" s="3"/>
      <c r="BA1901" s="15">
        <f>SUM(AV1901:AZ1901)</f>
        <v>0</v>
      </c>
      <c r="BC1901" s="2"/>
      <c r="BD1901" s="3"/>
      <c r="BE1901" s="3"/>
      <c r="BF1901" s="3"/>
      <c r="BG1901" s="3"/>
      <c r="BH1901" s="15">
        <f>SUM(BC1901:BG1901)</f>
        <v>0</v>
      </c>
      <c r="BJ1901" s="2"/>
      <c r="BK1901" s="3"/>
      <c r="BL1901" s="3"/>
      <c r="BM1901" s="3"/>
      <c r="BN1901" s="3"/>
      <c r="BO1901" s="15">
        <f>SUM(BJ1901:BN1901)</f>
        <v>0</v>
      </c>
      <c r="BQ1901" s="2"/>
      <c r="BR1901" s="3"/>
      <c r="BS1901" s="3"/>
      <c r="BT1901" s="3"/>
      <c r="BU1901" s="3"/>
      <c r="BV1901" s="15">
        <f>SUM(BQ1901:BU1901)</f>
        <v>0</v>
      </c>
      <c r="BX1901" s="2"/>
      <c r="BY1901" s="3"/>
      <c r="BZ1901" s="3"/>
      <c r="CA1901" s="3"/>
      <c r="CB1901" s="3"/>
      <c r="CC1901" s="15">
        <f>SUM(BX1901:CB1901)</f>
        <v>0</v>
      </c>
      <c r="CE1901" s="26">
        <f t="shared" ref="CE1901:CE1904" si="8724">F1901+M1901+T1901+AA1901+AH1901+AO1901+AV1901+BC1901+BJ1901+BQ1901+BX1901</f>
        <v>0</v>
      </c>
      <c r="CF1901" s="27">
        <f t="shared" ref="CF1901:CF1904" si="8725">G1901+N1901+U1901+AB1901+AI1901+AP1901+AW1901+BD1901+BK1901+BR1901+BY1901</f>
        <v>0</v>
      </c>
      <c r="CG1901" s="27">
        <f t="shared" ref="CG1901:CG1904" si="8726">H1901+O1901+V1901+AC1901+AJ1901+AQ1901+AX1901+BE1901+BL1901+BS1901+BZ1901</f>
        <v>0</v>
      </c>
      <c r="CH1901" s="27">
        <f t="shared" ref="CH1901:CH1904" si="8727">I1901+P1901+W1901+AD1901+AK1901+AR1901+AY1901+BF1901+BM1901+BT1901+CA1901</f>
        <v>0</v>
      </c>
      <c r="CI1901" s="27">
        <f t="shared" ref="CI1901:CI1904" si="8728">J1901+Q1901+X1901+AE1901+AL1901+AS1901+AZ1901+BG1901+BN1901+BU1901+CB1901</f>
        <v>0</v>
      </c>
      <c r="CJ1901" s="4">
        <f>SUM(CE1901:CI1901)</f>
        <v>0</v>
      </c>
      <c r="CL1901" s="2"/>
      <c r="CM1901" s="3"/>
      <c r="CN1901" s="3"/>
      <c r="CO1901" s="3"/>
      <c r="CP1901" s="3"/>
      <c r="CQ1901" s="15">
        <f>SUM(CL1901:CP1901)</f>
        <v>0</v>
      </c>
      <c r="CS1901" s="2"/>
      <c r="CT1901" s="3"/>
      <c r="CU1901" s="3"/>
      <c r="CV1901" s="3"/>
      <c r="CW1901" s="3"/>
      <c r="CX1901" s="4">
        <f>SUM(CS1901:CW1901)</f>
        <v>0</v>
      </c>
      <c r="CZ1901" s="2"/>
      <c r="DA1901" s="3"/>
      <c r="DB1901" s="3"/>
      <c r="DC1901" s="3"/>
      <c r="DD1901" s="3"/>
      <c r="DE1901" s="15">
        <f>SUM(CZ1901:DD1901)</f>
        <v>0</v>
      </c>
    </row>
    <row r="1902" spans="2:110">
      <c r="C1902" s="567"/>
      <c r="E1902" s="14" t="s">
        <v>60</v>
      </c>
      <c r="F1902" s="23">
        <f t="shared" ref="F1902:F1904" si="8729">CE1896</f>
        <v>0</v>
      </c>
      <c r="G1902" s="24">
        <f t="shared" si="8720"/>
        <v>0</v>
      </c>
      <c r="H1902" s="24">
        <f t="shared" si="8721"/>
        <v>0</v>
      </c>
      <c r="I1902" s="24">
        <f t="shared" si="8722"/>
        <v>0</v>
      </c>
      <c r="J1902" s="24">
        <f t="shared" si="8723"/>
        <v>0</v>
      </c>
      <c r="K1902" s="16">
        <f t="shared" ref="K1902:K1904" si="8730">SUM(F1902:J1902)</f>
        <v>0</v>
      </c>
      <c r="M1902" s="6"/>
      <c r="N1902" s="7"/>
      <c r="O1902" s="7"/>
      <c r="P1902" s="7"/>
      <c r="Q1902" s="7"/>
      <c r="R1902" s="16">
        <f t="shared" ref="R1902:R1904" si="8731">SUM(M1902:Q1902)</f>
        <v>0</v>
      </c>
      <c r="T1902" s="6"/>
      <c r="U1902" s="7"/>
      <c r="V1902" s="7"/>
      <c r="W1902" s="7"/>
      <c r="X1902" s="7"/>
      <c r="Y1902" s="16">
        <f t="shared" ref="Y1902:Y1904" si="8732">SUM(T1902:X1902)</f>
        <v>0</v>
      </c>
      <c r="AA1902" s="6"/>
      <c r="AB1902" s="7"/>
      <c r="AC1902" s="7"/>
      <c r="AD1902" s="7"/>
      <c r="AE1902" s="7"/>
      <c r="AF1902" s="16">
        <f>SUM(AA1902:AE1902)</f>
        <v>0</v>
      </c>
      <c r="AH1902" s="6"/>
      <c r="AI1902" s="7"/>
      <c r="AJ1902" s="7"/>
      <c r="AK1902" s="7"/>
      <c r="AL1902" s="7"/>
      <c r="AM1902" s="16">
        <f>SUM(AH1902:AL1902)</f>
        <v>0</v>
      </c>
      <c r="AO1902" s="6"/>
      <c r="AP1902" s="7"/>
      <c r="AQ1902" s="7"/>
      <c r="AR1902" s="7"/>
      <c r="AS1902" s="7"/>
      <c r="AT1902" s="16">
        <f>SUM(AO1902:AS1902)</f>
        <v>0</v>
      </c>
      <c r="AV1902" s="6"/>
      <c r="AW1902" s="7"/>
      <c r="AX1902" s="7"/>
      <c r="AY1902" s="7"/>
      <c r="AZ1902" s="7"/>
      <c r="BA1902" s="16">
        <f>SUM(AV1902:AZ1902)</f>
        <v>0</v>
      </c>
      <c r="BC1902" s="6"/>
      <c r="BD1902" s="7"/>
      <c r="BE1902" s="7"/>
      <c r="BF1902" s="7"/>
      <c r="BG1902" s="7"/>
      <c r="BH1902" s="16">
        <f>SUM(BC1902:BG1902)</f>
        <v>0</v>
      </c>
      <c r="BJ1902" s="6"/>
      <c r="BK1902" s="7"/>
      <c r="BL1902" s="7"/>
      <c r="BM1902" s="7"/>
      <c r="BN1902" s="7"/>
      <c r="BO1902" s="16">
        <f>SUM(BJ1902:BN1902)</f>
        <v>0</v>
      </c>
      <c r="BQ1902" s="6"/>
      <c r="BR1902" s="7"/>
      <c r="BS1902" s="7"/>
      <c r="BT1902" s="7"/>
      <c r="BU1902" s="7"/>
      <c r="BV1902" s="16">
        <f>SUM(BQ1902:BU1902)</f>
        <v>0</v>
      </c>
      <c r="BX1902" s="6"/>
      <c r="BY1902" s="7"/>
      <c r="BZ1902" s="7"/>
      <c r="CA1902" s="7"/>
      <c r="CB1902" s="7"/>
      <c r="CC1902" s="16">
        <f>SUM(BX1902:CB1902)</f>
        <v>0</v>
      </c>
      <c r="CE1902" s="28">
        <f t="shared" si="8724"/>
        <v>0</v>
      </c>
      <c r="CF1902" s="29">
        <f t="shared" si="8725"/>
        <v>0</v>
      </c>
      <c r="CG1902" s="29">
        <f t="shared" si="8726"/>
        <v>0</v>
      </c>
      <c r="CH1902" s="29">
        <f t="shared" si="8727"/>
        <v>0</v>
      </c>
      <c r="CI1902" s="29">
        <f t="shared" si="8728"/>
        <v>0</v>
      </c>
      <c r="CJ1902" s="8">
        <f>SUM(CE1902:CI1902)</f>
        <v>0</v>
      </c>
      <c r="CL1902" s="6"/>
      <c r="CM1902" s="7"/>
      <c r="CN1902" s="7"/>
      <c r="CO1902" s="7"/>
      <c r="CP1902" s="7"/>
      <c r="CQ1902" s="16">
        <f>SUM(CL1902:CP1902)</f>
        <v>0</v>
      </c>
      <c r="CS1902" s="6"/>
      <c r="CT1902" s="7"/>
      <c r="CU1902" s="7"/>
      <c r="CV1902" s="7"/>
      <c r="CW1902" s="7"/>
      <c r="CX1902" s="8">
        <f t="shared" ref="CX1902:CX1904" si="8733">SUM(CS1902:CW1902)</f>
        <v>0</v>
      </c>
      <c r="CZ1902" s="6"/>
      <c r="DA1902" s="7"/>
      <c r="DB1902" s="7"/>
      <c r="DC1902" s="7"/>
      <c r="DD1902" s="7"/>
      <c r="DE1902" s="16">
        <f t="shared" ref="DE1902:DE1904" si="8734">SUM(CZ1902:DD1902)</f>
        <v>0</v>
      </c>
    </row>
    <row r="1903" spans="2:110">
      <c r="C1903" s="567"/>
      <c r="E1903" s="14" t="s">
        <v>61</v>
      </c>
      <c r="F1903" s="23">
        <f t="shared" si="8729"/>
        <v>0</v>
      </c>
      <c r="G1903" s="24">
        <f t="shared" si="8720"/>
        <v>0</v>
      </c>
      <c r="H1903" s="24">
        <f t="shared" si="8721"/>
        <v>0</v>
      </c>
      <c r="I1903" s="24">
        <f t="shared" si="8722"/>
        <v>0</v>
      </c>
      <c r="J1903" s="24">
        <f t="shared" si="8723"/>
        <v>0</v>
      </c>
      <c r="K1903" s="16">
        <f t="shared" si="8730"/>
        <v>0</v>
      </c>
      <c r="M1903" s="6"/>
      <c r="N1903" s="7"/>
      <c r="O1903" s="7"/>
      <c r="P1903" s="7"/>
      <c r="Q1903" s="7"/>
      <c r="R1903" s="16">
        <f t="shared" si="8731"/>
        <v>0</v>
      </c>
      <c r="T1903" s="6"/>
      <c r="U1903" s="7"/>
      <c r="V1903" s="7"/>
      <c r="W1903" s="7"/>
      <c r="X1903" s="7"/>
      <c r="Y1903" s="16">
        <f t="shared" si="8732"/>
        <v>0</v>
      </c>
      <c r="AA1903" s="6"/>
      <c r="AB1903" s="7"/>
      <c r="AC1903" s="7"/>
      <c r="AD1903" s="7"/>
      <c r="AE1903" s="7"/>
      <c r="AF1903" s="16">
        <f>SUM(AA1903:AE1903)</f>
        <v>0</v>
      </c>
      <c r="AH1903" s="6"/>
      <c r="AI1903" s="7"/>
      <c r="AJ1903" s="7"/>
      <c r="AK1903" s="7"/>
      <c r="AL1903" s="7"/>
      <c r="AM1903" s="16">
        <f>SUM(AH1903:AL1903)</f>
        <v>0</v>
      </c>
      <c r="AO1903" s="6"/>
      <c r="AP1903" s="7"/>
      <c r="AQ1903" s="7"/>
      <c r="AR1903" s="7"/>
      <c r="AS1903" s="7"/>
      <c r="AT1903" s="16">
        <f>SUM(AO1903:AS1903)</f>
        <v>0</v>
      </c>
      <c r="AV1903" s="6"/>
      <c r="AW1903" s="7"/>
      <c r="AX1903" s="7"/>
      <c r="AY1903" s="7"/>
      <c r="AZ1903" s="7"/>
      <c r="BA1903" s="16">
        <f>SUM(AV1903:AZ1903)</f>
        <v>0</v>
      </c>
      <c r="BC1903" s="6"/>
      <c r="BD1903" s="7"/>
      <c r="BE1903" s="7"/>
      <c r="BF1903" s="7"/>
      <c r="BG1903" s="7"/>
      <c r="BH1903" s="16">
        <f>SUM(BC1903:BG1903)</f>
        <v>0</v>
      </c>
      <c r="BJ1903" s="6"/>
      <c r="BK1903" s="7"/>
      <c r="BL1903" s="7"/>
      <c r="BM1903" s="7"/>
      <c r="BN1903" s="7"/>
      <c r="BO1903" s="16">
        <f>SUM(BJ1903:BN1903)</f>
        <v>0</v>
      </c>
      <c r="BQ1903" s="6"/>
      <c r="BR1903" s="7"/>
      <c r="BS1903" s="7"/>
      <c r="BT1903" s="7"/>
      <c r="BU1903" s="7"/>
      <c r="BV1903" s="16">
        <f>SUM(BQ1903:BU1903)</f>
        <v>0</v>
      </c>
      <c r="BX1903" s="6"/>
      <c r="BY1903" s="7"/>
      <c r="BZ1903" s="7"/>
      <c r="CA1903" s="7"/>
      <c r="CB1903" s="7"/>
      <c r="CC1903" s="16">
        <f>SUM(BX1903:CB1903)</f>
        <v>0</v>
      </c>
      <c r="CE1903" s="28">
        <f t="shared" si="8724"/>
        <v>0</v>
      </c>
      <c r="CF1903" s="29">
        <f t="shared" si="8725"/>
        <v>0</v>
      </c>
      <c r="CG1903" s="29">
        <f t="shared" si="8726"/>
        <v>0</v>
      </c>
      <c r="CH1903" s="29">
        <f t="shared" si="8727"/>
        <v>0</v>
      </c>
      <c r="CI1903" s="29">
        <f t="shared" si="8728"/>
        <v>0</v>
      </c>
      <c r="CJ1903" s="8">
        <f>SUM(CE1903:CI1903)</f>
        <v>0</v>
      </c>
      <c r="CL1903" s="6"/>
      <c r="CM1903" s="7"/>
      <c r="CN1903" s="7"/>
      <c r="CO1903" s="7"/>
      <c r="CP1903" s="7"/>
      <c r="CQ1903" s="16">
        <f>SUM(CL1903:CP1903)</f>
        <v>0</v>
      </c>
      <c r="CS1903" s="6"/>
      <c r="CT1903" s="7"/>
      <c r="CU1903" s="7"/>
      <c r="CV1903" s="7"/>
      <c r="CW1903" s="7"/>
      <c r="CX1903" s="8">
        <f t="shared" si="8733"/>
        <v>0</v>
      </c>
      <c r="CZ1903" s="6"/>
      <c r="DA1903" s="7"/>
      <c r="DB1903" s="7"/>
      <c r="DC1903" s="7"/>
      <c r="DD1903" s="7"/>
      <c r="DE1903" s="16">
        <f t="shared" si="8734"/>
        <v>0</v>
      </c>
    </row>
    <row r="1904" spans="2:110" ht="14" thickBot="1">
      <c r="C1904" s="567"/>
      <c r="E1904" s="14" t="s">
        <v>62</v>
      </c>
      <c r="F1904" s="23">
        <f t="shared" si="8729"/>
        <v>0</v>
      </c>
      <c r="G1904" s="24">
        <f t="shared" si="8720"/>
        <v>0</v>
      </c>
      <c r="H1904" s="24">
        <f t="shared" si="8721"/>
        <v>0</v>
      </c>
      <c r="I1904" s="24">
        <f t="shared" si="8722"/>
        <v>0</v>
      </c>
      <c r="J1904" s="24">
        <f t="shared" si="8723"/>
        <v>0</v>
      </c>
      <c r="K1904" s="16">
        <f t="shared" si="8730"/>
        <v>0</v>
      </c>
      <c r="M1904" s="6"/>
      <c r="N1904" s="7"/>
      <c r="O1904" s="7"/>
      <c r="P1904" s="7"/>
      <c r="Q1904" s="7"/>
      <c r="R1904" s="16">
        <f t="shared" si="8731"/>
        <v>0</v>
      </c>
      <c r="T1904" s="6"/>
      <c r="U1904" s="7"/>
      <c r="V1904" s="7"/>
      <c r="W1904" s="7"/>
      <c r="X1904" s="7"/>
      <c r="Y1904" s="16">
        <f t="shared" si="8732"/>
        <v>0</v>
      </c>
      <c r="AA1904" s="6"/>
      <c r="AB1904" s="7"/>
      <c r="AC1904" s="7"/>
      <c r="AD1904" s="7"/>
      <c r="AE1904" s="7"/>
      <c r="AF1904" s="16">
        <f>SUM(AA1904:AE1904)</f>
        <v>0</v>
      </c>
      <c r="AH1904" s="6"/>
      <c r="AI1904" s="7"/>
      <c r="AJ1904" s="7"/>
      <c r="AK1904" s="7"/>
      <c r="AL1904" s="7"/>
      <c r="AM1904" s="16">
        <f>SUM(AH1904:AL1904)</f>
        <v>0</v>
      </c>
      <c r="AO1904" s="6"/>
      <c r="AP1904" s="7"/>
      <c r="AQ1904" s="7"/>
      <c r="AR1904" s="7"/>
      <c r="AS1904" s="7"/>
      <c r="AT1904" s="16">
        <f>SUM(AO1904:AS1904)</f>
        <v>0</v>
      </c>
      <c r="AV1904" s="6"/>
      <c r="AW1904" s="7"/>
      <c r="AX1904" s="7"/>
      <c r="AY1904" s="7"/>
      <c r="AZ1904" s="7"/>
      <c r="BA1904" s="16">
        <f>SUM(AV1904:AZ1904)</f>
        <v>0</v>
      </c>
      <c r="BC1904" s="6"/>
      <c r="BD1904" s="7"/>
      <c r="BE1904" s="7"/>
      <c r="BF1904" s="7"/>
      <c r="BG1904" s="7"/>
      <c r="BH1904" s="16">
        <f>SUM(BC1904:BG1904)</f>
        <v>0</v>
      </c>
      <c r="BJ1904" s="6"/>
      <c r="BK1904" s="7"/>
      <c r="BL1904" s="7"/>
      <c r="BM1904" s="7"/>
      <c r="BN1904" s="7"/>
      <c r="BO1904" s="16">
        <f>SUM(BJ1904:BN1904)</f>
        <v>0</v>
      </c>
      <c r="BQ1904" s="6"/>
      <c r="BR1904" s="7"/>
      <c r="BS1904" s="7"/>
      <c r="BT1904" s="7"/>
      <c r="BU1904" s="7"/>
      <c r="BV1904" s="16">
        <f>SUM(BQ1904:BU1904)</f>
        <v>0</v>
      </c>
      <c r="BX1904" s="6"/>
      <c r="BY1904" s="7"/>
      <c r="BZ1904" s="7"/>
      <c r="CA1904" s="7"/>
      <c r="CB1904" s="7"/>
      <c r="CC1904" s="16">
        <f>SUM(BX1904:CB1904)</f>
        <v>0</v>
      </c>
      <c r="CE1904" s="493">
        <f t="shared" si="8724"/>
        <v>0</v>
      </c>
      <c r="CF1904" s="494">
        <f t="shared" si="8725"/>
        <v>0</v>
      </c>
      <c r="CG1904" s="494">
        <f t="shared" si="8726"/>
        <v>0</v>
      </c>
      <c r="CH1904" s="494">
        <f t="shared" si="8727"/>
        <v>0</v>
      </c>
      <c r="CI1904" s="494">
        <f t="shared" si="8728"/>
        <v>0</v>
      </c>
      <c r="CJ1904" s="495">
        <f>SUM(CE1904:CI1904)</f>
        <v>0</v>
      </c>
      <c r="CL1904" s="6"/>
      <c r="CM1904" s="7"/>
      <c r="CN1904" s="7"/>
      <c r="CO1904" s="7"/>
      <c r="CP1904" s="7"/>
      <c r="CQ1904" s="16">
        <f>SUM(CL1904:CP1904)</f>
        <v>0</v>
      </c>
      <c r="CS1904" s="6"/>
      <c r="CT1904" s="7"/>
      <c r="CU1904" s="7"/>
      <c r="CV1904" s="7"/>
      <c r="CW1904" s="7"/>
      <c r="CX1904" s="8">
        <f t="shared" si="8733"/>
        <v>0</v>
      </c>
      <c r="CZ1904" s="6"/>
      <c r="DA1904" s="7"/>
      <c r="DB1904" s="7"/>
      <c r="DC1904" s="7"/>
      <c r="DD1904" s="7"/>
      <c r="DE1904" s="16">
        <f t="shared" si="8734"/>
        <v>0</v>
      </c>
    </row>
    <row r="1905" spans="3:109" ht="14" thickBot="1">
      <c r="C1905" s="554"/>
      <c r="E1905" s="17"/>
      <c r="F1905" s="10">
        <f>SUM(F1901:F1904)</f>
        <v>0</v>
      </c>
      <c r="G1905" s="11">
        <f t="shared" ref="G1905:J1905" si="8735">SUM(G1901:G1904)</f>
        <v>0</v>
      </c>
      <c r="H1905" s="11">
        <f t="shared" si="8735"/>
        <v>0</v>
      </c>
      <c r="I1905" s="11">
        <f t="shared" si="8735"/>
        <v>0</v>
      </c>
      <c r="J1905" s="11">
        <f t="shared" si="8735"/>
        <v>0</v>
      </c>
      <c r="K1905" s="25">
        <f>SUM(K1901:K1904)</f>
        <v>0</v>
      </c>
      <c r="M1905" s="10">
        <f>SUM(M1901:M1904)</f>
        <v>0</v>
      </c>
      <c r="N1905" s="11">
        <f t="shared" ref="N1905:Q1905" si="8736">SUM(N1901:N1904)</f>
        <v>0</v>
      </c>
      <c r="O1905" s="11">
        <f t="shared" si="8736"/>
        <v>0</v>
      </c>
      <c r="P1905" s="11">
        <f t="shared" si="8736"/>
        <v>0</v>
      </c>
      <c r="Q1905" s="11">
        <f t="shared" si="8736"/>
        <v>0</v>
      </c>
      <c r="R1905" s="25">
        <f>SUM(R1901:R1904)</f>
        <v>0</v>
      </c>
      <c r="T1905" s="10">
        <f>SUM(T1901:T1904)</f>
        <v>0</v>
      </c>
      <c r="U1905" s="11">
        <f t="shared" ref="U1905:X1905" si="8737">SUM(U1901:U1904)</f>
        <v>0</v>
      </c>
      <c r="V1905" s="11">
        <f t="shared" si="8737"/>
        <v>0</v>
      </c>
      <c r="W1905" s="11">
        <f t="shared" si="8737"/>
        <v>0</v>
      </c>
      <c r="X1905" s="11">
        <f t="shared" si="8737"/>
        <v>0</v>
      </c>
      <c r="Y1905" s="25">
        <f>SUM(Y1901:Y1904)</f>
        <v>0</v>
      </c>
      <c r="AA1905" s="10">
        <f>SUM(AA1901:AA1904)</f>
        <v>0</v>
      </c>
      <c r="AB1905" s="11">
        <f t="shared" ref="AB1905:AE1905" si="8738">SUM(AB1901:AB1904)</f>
        <v>0</v>
      </c>
      <c r="AC1905" s="11">
        <f t="shared" si="8738"/>
        <v>0</v>
      </c>
      <c r="AD1905" s="11">
        <f t="shared" si="8738"/>
        <v>0</v>
      </c>
      <c r="AE1905" s="11">
        <f t="shared" si="8738"/>
        <v>0</v>
      </c>
      <c r="AF1905" s="25">
        <f>SUM(AF1901:AF1904)</f>
        <v>0</v>
      </c>
      <c r="AH1905" s="10">
        <f>SUM(AH1901:AH1904)</f>
        <v>0</v>
      </c>
      <c r="AI1905" s="11">
        <f t="shared" ref="AI1905:AL1905" si="8739">SUM(AI1901:AI1904)</f>
        <v>0</v>
      </c>
      <c r="AJ1905" s="11">
        <f t="shared" si="8739"/>
        <v>0</v>
      </c>
      <c r="AK1905" s="11">
        <f t="shared" si="8739"/>
        <v>0</v>
      </c>
      <c r="AL1905" s="11">
        <f t="shared" si="8739"/>
        <v>0</v>
      </c>
      <c r="AM1905" s="25">
        <f>SUM(AM1901:AM1904)</f>
        <v>0</v>
      </c>
      <c r="AO1905" s="10">
        <f>SUM(AO1901:AO1904)</f>
        <v>0</v>
      </c>
      <c r="AP1905" s="11">
        <f t="shared" ref="AP1905:AS1905" si="8740">SUM(AP1901:AP1904)</f>
        <v>0</v>
      </c>
      <c r="AQ1905" s="11">
        <f t="shared" si="8740"/>
        <v>0</v>
      </c>
      <c r="AR1905" s="11">
        <f t="shared" si="8740"/>
        <v>0</v>
      </c>
      <c r="AS1905" s="11">
        <f t="shared" si="8740"/>
        <v>0</v>
      </c>
      <c r="AT1905" s="25">
        <f>SUM(AT1901:AT1904)</f>
        <v>0</v>
      </c>
      <c r="AV1905" s="10">
        <f>SUM(AV1901:AV1904)</f>
        <v>0</v>
      </c>
      <c r="AW1905" s="11">
        <f t="shared" ref="AW1905:AZ1905" si="8741">SUM(AW1901:AW1904)</f>
        <v>0</v>
      </c>
      <c r="AX1905" s="11">
        <f t="shared" si="8741"/>
        <v>0</v>
      </c>
      <c r="AY1905" s="11">
        <f t="shared" si="8741"/>
        <v>0</v>
      </c>
      <c r="AZ1905" s="11">
        <f t="shared" si="8741"/>
        <v>0</v>
      </c>
      <c r="BA1905" s="25">
        <f>SUM(BA1901:BA1904)</f>
        <v>0</v>
      </c>
      <c r="BC1905" s="10">
        <f>SUM(BC1901:BC1904)</f>
        <v>0</v>
      </c>
      <c r="BD1905" s="11">
        <f t="shared" ref="BD1905:BG1905" si="8742">SUM(BD1901:BD1904)</f>
        <v>0</v>
      </c>
      <c r="BE1905" s="11">
        <f t="shared" si="8742"/>
        <v>0</v>
      </c>
      <c r="BF1905" s="11">
        <f t="shared" si="8742"/>
        <v>0</v>
      </c>
      <c r="BG1905" s="11">
        <f t="shared" si="8742"/>
        <v>0</v>
      </c>
      <c r="BH1905" s="25">
        <f>SUM(BH1901:BH1904)</f>
        <v>0</v>
      </c>
      <c r="BJ1905" s="10">
        <f>SUM(BJ1901:BJ1904)</f>
        <v>0</v>
      </c>
      <c r="BK1905" s="11">
        <f t="shared" ref="BK1905:BN1905" si="8743">SUM(BK1901:BK1904)</f>
        <v>0</v>
      </c>
      <c r="BL1905" s="11">
        <f t="shared" si="8743"/>
        <v>0</v>
      </c>
      <c r="BM1905" s="11">
        <f t="shared" si="8743"/>
        <v>0</v>
      </c>
      <c r="BN1905" s="11">
        <f t="shared" si="8743"/>
        <v>0</v>
      </c>
      <c r="BO1905" s="25">
        <f>SUM(BO1901:BO1904)</f>
        <v>0</v>
      </c>
      <c r="BQ1905" s="10">
        <f>SUM(BQ1901:BQ1904)</f>
        <v>0</v>
      </c>
      <c r="BR1905" s="11">
        <f t="shared" ref="BR1905:BU1905" si="8744">SUM(BR1901:BR1904)</f>
        <v>0</v>
      </c>
      <c r="BS1905" s="11">
        <f t="shared" si="8744"/>
        <v>0</v>
      </c>
      <c r="BT1905" s="11">
        <f t="shared" si="8744"/>
        <v>0</v>
      </c>
      <c r="BU1905" s="11">
        <f t="shared" si="8744"/>
        <v>0</v>
      </c>
      <c r="BV1905" s="25">
        <f>SUM(BV1901:BV1904)</f>
        <v>0</v>
      </c>
      <c r="BX1905" s="10">
        <f>SUM(BX1901:BX1904)</f>
        <v>0</v>
      </c>
      <c r="BY1905" s="11">
        <f t="shared" ref="BY1905:CB1905" si="8745">SUM(BY1901:BY1904)</f>
        <v>0</v>
      </c>
      <c r="BZ1905" s="11">
        <f t="shared" si="8745"/>
        <v>0</v>
      </c>
      <c r="CA1905" s="11">
        <f t="shared" si="8745"/>
        <v>0</v>
      </c>
      <c r="CB1905" s="11">
        <f t="shared" si="8745"/>
        <v>0</v>
      </c>
      <c r="CC1905" s="25">
        <f>SUM(CC1901:CC1904)</f>
        <v>0</v>
      </c>
      <c r="CE1905" s="62">
        <f t="shared" ref="CE1905:CJ1905" si="8746">SUM(CE1901:CE1904)</f>
        <v>0</v>
      </c>
      <c r="CF1905" s="63">
        <f t="shared" si="8746"/>
        <v>0</v>
      </c>
      <c r="CG1905" s="63">
        <f t="shared" si="8746"/>
        <v>0</v>
      </c>
      <c r="CH1905" s="63">
        <f t="shared" si="8746"/>
        <v>0</v>
      </c>
      <c r="CI1905" s="63">
        <f t="shared" si="8746"/>
        <v>0</v>
      </c>
      <c r="CJ1905" s="25">
        <f t="shared" si="8746"/>
        <v>0</v>
      </c>
      <c r="CL1905" s="10">
        <f>SUM(CL1901:CL1904)</f>
        <v>0</v>
      </c>
      <c r="CM1905" s="11">
        <f t="shared" ref="CM1905:CP1905" si="8747">SUM(CM1901:CM1904)</f>
        <v>0</v>
      </c>
      <c r="CN1905" s="11">
        <f t="shared" si="8747"/>
        <v>0</v>
      </c>
      <c r="CO1905" s="11">
        <f t="shared" si="8747"/>
        <v>0</v>
      </c>
      <c r="CP1905" s="11">
        <f t="shared" si="8747"/>
        <v>0</v>
      </c>
      <c r="CQ1905" s="25">
        <f>SUM(CQ1901:CQ1904)</f>
        <v>0</v>
      </c>
      <c r="CS1905" s="10">
        <f>SUM(CS1901:CS1904)</f>
        <v>0</v>
      </c>
      <c r="CT1905" s="11">
        <f t="shared" ref="CT1905:CW1905" si="8748">SUM(CT1901:CT1904)</f>
        <v>0</v>
      </c>
      <c r="CU1905" s="11">
        <f t="shared" si="8748"/>
        <v>0</v>
      </c>
      <c r="CV1905" s="11">
        <f t="shared" si="8748"/>
        <v>0</v>
      </c>
      <c r="CW1905" s="11">
        <f t="shared" si="8748"/>
        <v>0</v>
      </c>
      <c r="CX1905" s="25">
        <f>SUM(CX1901:CX1904)</f>
        <v>0</v>
      </c>
      <c r="CZ1905" s="10">
        <f>SUM(CZ1901:CZ1904)</f>
        <v>0</v>
      </c>
      <c r="DA1905" s="11">
        <f t="shared" ref="DA1905:DD1905" si="8749">SUM(DA1901:DA1904)</f>
        <v>0</v>
      </c>
      <c r="DB1905" s="11">
        <f t="shared" si="8749"/>
        <v>0</v>
      </c>
      <c r="DC1905" s="11">
        <f t="shared" si="8749"/>
        <v>0</v>
      </c>
      <c r="DD1905" s="11">
        <f t="shared" si="8749"/>
        <v>0</v>
      </c>
      <c r="DE1905" s="25">
        <f>SUM(DE1901:DE1904)</f>
        <v>0</v>
      </c>
    </row>
    <row r="1906" spans="3:109" ht="10.4" customHeight="1" thickBot="1"/>
    <row r="1907" spans="3:109">
      <c r="C1907" s="553">
        <v>2026</v>
      </c>
      <c r="E1907" s="1" t="s">
        <v>59</v>
      </c>
      <c r="F1907" s="21">
        <f>CE1901</f>
        <v>0</v>
      </c>
      <c r="G1907" s="22">
        <f t="shared" ref="G1907:G1910" si="8750">CF1901</f>
        <v>0</v>
      </c>
      <c r="H1907" s="22">
        <f t="shared" ref="H1907:H1910" si="8751">CG1901</f>
        <v>0</v>
      </c>
      <c r="I1907" s="22">
        <f t="shared" ref="I1907:I1910" si="8752">CH1901</f>
        <v>0</v>
      </c>
      <c r="J1907" s="22">
        <f t="shared" ref="J1907:J1910" si="8753">CI1901</f>
        <v>0</v>
      </c>
      <c r="K1907" s="4">
        <f>SUM(F1907:J1907)</f>
        <v>0</v>
      </c>
      <c r="M1907" s="2"/>
      <c r="N1907" s="3"/>
      <c r="O1907" s="3"/>
      <c r="P1907" s="3"/>
      <c r="Q1907" s="3"/>
      <c r="R1907" s="4">
        <f>SUM(M1907:Q1907)</f>
        <v>0</v>
      </c>
      <c r="T1907" s="2"/>
      <c r="U1907" s="3"/>
      <c r="V1907" s="3"/>
      <c r="W1907" s="3"/>
      <c r="X1907" s="3"/>
      <c r="Y1907" s="4">
        <f>SUM(T1907:X1907)</f>
        <v>0</v>
      </c>
      <c r="AA1907" s="2"/>
      <c r="AB1907" s="3"/>
      <c r="AC1907" s="3"/>
      <c r="AD1907" s="3"/>
      <c r="AE1907" s="3"/>
      <c r="AF1907" s="4">
        <f>SUM(AA1907:AE1907)</f>
        <v>0</v>
      </c>
      <c r="AH1907" s="2"/>
      <c r="AI1907" s="3"/>
      <c r="AJ1907" s="3"/>
      <c r="AK1907" s="3"/>
      <c r="AL1907" s="3"/>
      <c r="AM1907" s="4">
        <f>SUM(AH1907:AL1907)</f>
        <v>0</v>
      </c>
      <c r="AO1907" s="2"/>
      <c r="AP1907" s="3"/>
      <c r="AQ1907" s="3"/>
      <c r="AR1907" s="3"/>
      <c r="AS1907" s="3"/>
      <c r="AT1907" s="4">
        <f>SUM(AO1907:AS1907)</f>
        <v>0</v>
      </c>
      <c r="AV1907" s="2"/>
      <c r="AW1907" s="3"/>
      <c r="AX1907" s="3"/>
      <c r="AY1907" s="3"/>
      <c r="AZ1907" s="3"/>
      <c r="BA1907" s="4">
        <f>SUM(AV1907:AZ1907)</f>
        <v>0</v>
      </c>
      <c r="BC1907" s="2"/>
      <c r="BD1907" s="3"/>
      <c r="BE1907" s="3"/>
      <c r="BF1907" s="3"/>
      <c r="BG1907" s="3"/>
      <c r="BH1907" s="4">
        <f>SUM(BC1907:BG1907)</f>
        <v>0</v>
      </c>
      <c r="BJ1907" s="2"/>
      <c r="BK1907" s="3"/>
      <c r="BL1907" s="3"/>
      <c r="BM1907" s="3"/>
      <c r="BN1907" s="3"/>
      <c r="BO1907" s="4">
        <f>SUM(BJ1907:BN1907)</f>
        <v>0</v>
      </c>
      <c r="BQ1907" s="2"/>
      <c r="BR1907" s="3"/>
      <c r="BS1907" s="3"/>
      <c r="BT1907" s="3"/>
      <c r="BU1907" s="3"/>
      <c r="BV1907" s="4">
        <f>SUM(BQ1907:BU1907)</f>
        <v>0</v>
      </c>
      <c r="BX1907" s="2"/>
      <c r="BY1907" s="3"/>
      <c r="BZ1907" s="3"/>
      <c r="CA1907" s="3"/>
      <c r="CB1907" s="3"/>
      <c r="CC1907" s="4">
        <f>SUM(BX1907:CB1907)</f>
        <v>0</v>
      </c>
      <c r="CE1907" s="26">
        <f t="shared" ref="CE1907:CE1910" si="8754">F1907+M1907+T1907+AA1907+AH1907+AO1907+AV1907+BC1907+BJ1907+BQ1907+BX1907</f>
        <v>0</v>
      </c>
      <c r="CF1907" s="27">
        <f t="shared" ref="CF1907:CF1910" si="8755">G1907+N1907+U1907+AB1907+AI1907+AP1907+AW1907+BD1907+BK1907+BR1907+BY1907</f>
        <v>0</v>
      </c>
      <c r="CG1907" s="27">
        <f t="shared" ref="CG1907:CG1910" si="8756">H1907+O1907+V1907+AC1907+AJ1907+AQ1907+AX1907+BE1907+BL1907+BS1907+BZ1907</f>
        <v>0</v>
      </c>
      <c r="CH1907" s="27">
        <f t="shared" ref="CH1907:CH1910" si="8757">I1907+P1907+W1907+AD1907+AK1907+AR1907+AY1907+BF1907+BM1907+BT1907+CA1907</f>
        <v>0</v>
      </c>
      <c r="CI1907" s="27">
        <f t="shared" ref="CI1907:CI1910" si="8758">J1907+Q1907+X1907+AE1907+AL1907+AS1907+AZ1907+BG1907+BN1907+BU1907+CB1907</f>
        <v>0</v>
      </c>
      <c r="CJ1907" s="4">
        <f>SUM(CE1907:CI1907)</f>
        <v>0</v>
      </c>
      <c r="CL1907" s="2"/>
      <c r="CM1907" s="3"/>
      <c r="CN1907" s="3"/>
      <c r="CO1907" s="3"/>
      <c r="CP1907" s="3"/>
      <c r="CQ1907" s="4">
        <f>SUM(CL1907:CP1907)</f>
        <v>0</v>
      </c>
      <c r="CS1907" s="2"/>
      <c r="CT1907" s="3"/>
      <c r="CU1907" s="3"/>
      <c r="CV1907" s="3"/>
      <c r="CW1907" s="3"/>
      <c r="CX1907" s="4">
        <f>SUM(CS1907:CW1907)</f>
        <v>0</v>
      </c>
      <c r="CZ1907" s="2"/>
      <c r="DA1907" s="3"/>
      <c r="DB1907" s="3"/>
      <c r="DC1907" s="3"/>
      <c r="DD1907" s="3"/>
      <c r="DE1907" s="4">
        <f>SUM(CZ1907:DD1907)</f>
        <v>0</v>
      </c>
    </row>
    <row r="1908" spans="3:109">
      <c r="C1908" s="567"/>
      <c r="E1908" s="5" t="s">
        <v>60</v>
      </c>
      <c r="F1908" s="23">
        <f t="shared" ref="F1908:F1910" si="8759">CE1902</f>
        <v>0</v>
      </c>
      <c r="G1908" s="24">
        <f t="shared" si="8750"/>
        <v>0</v>
      </c>
      <c r="H1908" s="24">
        <f t="shared" si="8751"/>
        <v>0</v>
      </c>
      <c r="I1908" s="24">
        <f t="shared" si="8752"/>
        <v>0</v>
      </c>
      <c r="J1908" s="24">
        <f t="shared" si="8753"/>
        <v>0</v>
      </c>
      <c r="K1908" s="8">
        <f t="shared" ref="K1908:K1910" si="8760">SUM(F1908:J1908)</f>
        <v>0</v>
      </c>
      <c r="M1908" s="6"/>
      <c r="N1908" s="7"/>
      <c r="O1908" s="7"/>
      <c r="P1908" s="7"/>
      <c r="Q1908" s="7"/>
      <c r="R1908" s="8">
        <f t="shared" ref="R1908:R1910" si="8761">SUM(M1908:Q1908)</f>
        <v>0</v>
      </c>
      <c r="T1908" s="6"/>
      <c r="U1908" s="7"/>
      <c r="V1908" s="7"/>
      <c r="W1908" s="7"/>
      <c r="X1908" s="7"/>
      <c r="Y1908" s="8">
        <f t="shared" ref="Y1908:Y1910" si="8762">SUM(T1908:X1908)</f>
        <v>0</v>
      </c>
      <c r="AA1908" s="6"/>
      <c r="AB1908" s="7"/>
      <c r="AC1908" s="7"/>
      <c r="AD1908" s="7"/>
      <c r="AE1908" s="7"/>
      <c r="AF1908" s="8">
        <f>SUM(AA1908:AE1908)</f>
        <v>0</v>
      </c>
      <c r="AH1908" s="6"/>
      <c r="AI1908" s="7"/>
      <c r="AJ1908" s="7"/>
      <c r="AK1908" s="7"/>
      <c r="AL1908" s="7"/>
      <c r="AM1908" s="8">
        <f>SUM(AH1908:AL1908)</f>
        <v>0</v>
      </c>
      <c r="AO1908" s="6"/>
      <c r="AP1908" s="7"/>
      <c r="AQ1908" s="7"/>
      <c r="AR1908" s="7"/>
      <c r="AS1908" s="7"/>
      <c r="AT1908" s="8">
        <f>SUM(AO1908:AS1908)</f>
        <v>0</v>
      </c>
      <c r="AV1908" s="6"/>
      <c r="AW1908" s="7"/>
      <c r="AX1908" s="7"/>
      <c r="AY1908" s="7"/>
      <c r="AZ1908" s="7"/>
      <c r="BA1908" s="8">
        <f>SUM(AV1908:AZ1908)</f>
        <v>0</v>
      </c>
      <c r="BC1908" s="6"/>
      <c r="BD1908" s="7"/>
      <c r="BE1908" s="7"/>
      <c r="BF1908" s="7"/>
      <c r="BG1908" s="7"/>
      <c r="BH1908" s="8">
        <f>SUM(BC1908:BG1908)</f>
        <v>0</v>
      </c>
      <c r="BJ1908" s="6"/>
      <c r="BK1908" s="7"/>
      <c r="BL1908" s="7"/>
      <c r="BM1908" s="7"/>
      <c r="BN1908" s="7"/>
      <c r="BO1908" s="8">
        <f>SUM(BJ1908:BN1908)</f>
        <v>0</v>
      </c>
      <c r="BQ1908" s="6"/>
      <c r="BR1908" s="7"/>
      <c r="BS1908" s="7"/>
      <c r="BT1908" s="7"/>
      <c r="BU1908" s="7"/>
      <c r="BV1908" s="8">
        <f>SUM(BQ1908:BU1908)</f>
        <v>0</v>
      </c>
      <c r="BX1908" s="6"/>
      <c r="BY1908" s="7"/>
      <c r="BZ1908" s="7"/>
      <c r="CA1908" s="7"/>
      <c r="CB1908" s="7"/>
      <c r="CC1908" s="8">
        <f>SUM(BX1908:CB1908)</f>
        <v>0</v>
      </c>
      <c r="CE1908" s="28">
        <f t="shared" si="8754"/>
        <v>0</v>
      </c>
      <c r="CF1908" s="29">
        <f t="shared" si="8755"/>
        <v>0</v>
      </c>
      <c r="CG1908" s="29">
        <f t="shared" si="8756"/>
        <v>0</v>
      </c>
      <c r="CH1908" s="29">
        <f t="shared" si="8757"/>
        <v>0</v>
      </c>
      <c r="CI1908" s="29">
        <f t="shared" si="8758"/>
        <v>0</v>
      </c>
      <c r="CJ1908" s="8">
        <f>SUM(CE1908:CI1908)</f>
        <v>0</v>
      </c>
      <c r="CL1908" s="6"/>
      <c r="CM1908" s="7"/>
      <c r="CN1908" s="7"/>
      <c r="CO1908" s="7"/>
      <c r="CP1908" s="7"/>
      <c r="CQ1908" s="8">
        <f>SUM(CL1908:CP1908)</f>
        <v>0</v>
      </c>
      <c r="CS1908" s="6"/>
      <c r="CT1908" s="7"/>
      <c r="CU1908" s="7"/>
      <c r="CV1908" s="7"/>
      <c r="CW1908" s="7"/>
      <c r="CX1908" s="8">
        <f t="shared" ref="CX1908:CX1910" si="8763">SUM(CS1908:CW1908)</f>
        <v>0</v>
      </c>
      <c r="CZ1908" s="6"/>
      <c r="DA1908" s="7"/>
      <c r="DB1908" s="7"/>
      <c r="DC1908" s="7"/>
      <c r="DD1908" s="7"/>
      <c r="DE1908" s="8">
        <f t="shared" ref="DE1908:DE1910" si="8764">SUM(CZ1908:DD1908)</f>
        <v>0</v>
      </c>
    </row>
    <row r="1909" spans="3:109">
      <c r="C1909" s="567"/>
      <c r="E1909" s="5" t="s">
        <v>61</v>
      </c>
      <c r="F1909" s="23">
        <f t="shared" si="8759"/>
        <v>0</v>
      </c>
      <c r="G1909" s="24">
        <f t="shared" si="8750"/>
        <v>0</v>
      </c>
      <c r="H1909" s="24">
        <f t="shared" si="8751"/>
        <v>0</v>
      </c>
      <c r="I1909" s="24">
        <f t="shared" si="8752"/>
        <v>0</v>
      </c>
      <c r="J1909" s="24">
        <f t="shared" si="8753"/>
        <v>0</v>
      </c>
      <c r="K1909" s="8">
        <f t="shared" si="8760"/>
        <v>0</v>
      </c>
      <c r="M1909" s="6"/>
      <c r="N1909" s="7"/>
      <c r="O1909" s="7"/>
      <c r="P1909" s="7"/>
      <c r="Q1909" s="7"/>
      <c r="R1909" s="8">
        <f t="shared" si="8761"/>
        <v>0</v>
      </c>
      <c r="T1909" s="6"/>
      <c r="U1909" s="7"/>
      <c r="V1909" s="7"/>
      <c r="W1909" s="7"/>
      <c r="X1909" s="7"/>
      <c r="Y1909" s="8">
        <f t="shared" si="8762"/>
        <v>0</v>
      </c>
      <c r="AA1909" s="6"/>
      <c r="AB1909" s="7"/>
      <c r="AC1909" s="7"/>
      <c r="AD1909" s="7"/>
      <c r="AE1909" s="7"/>
      <c r="AF1909" s="8">
        <f>SUM(AA1909:AE1909)</f>
        <v>0</v>
      </c>
      <c r="AH1909" s="6"/>
      <c r="AI1909" s="7"/>
      <c r="AJ1909" s="7"/>
      <c r="AK1909" s="7"/>
      <c r="AL1909" s="7"/>
      <c r="AM1909" s="8">
        <f>SUM(AH1909:AL1909)</f>
        <v>0</v>
      </c>
      <c r="AO1909" s="6"/>
      <c r="AP1909" s="7"/>
      <c r="AQ1909" s="7"/>
      <c r="AR1909" s="7"/>
      <c r="AS1909" s="7"/>
      <c r="AT1909" s="8">
        <f>SUM(AO1909:AS1909)</f>
        <v>0</v>
      </c>
      <c r="AV1909" s="6"/>
      <c r="AW1909" s="7"/>
      <c r="AX1909" s="7"/>
      <c r="AY1909" s="7"/>
      <c r="AZ1909" s="7"/>
      <c r="BA1909" s="8">
        <f>SUM(AV1909:AZ1909)</f>
        <v>0</v>
      </c>
      <c r="BC1909" s="6"/>
      <c r="BD1909" s="7"/>
      <c r="BE1909" s="7"/>
      <c r="BF1909" s="7"/>
      <c r="BG1909" s="7"/>
      <c r="BH1909" s="8">
        <f>SUM(BC1909:BG1909)</f>
        <v>0</v>
      </c>
      <c r="BJ1909" s="6"/>
      <c r="BK1909" s="7"/>
      <c r="BL1909" s="7"/>
      <c r="BM1909" s="7"/>
      <c r="BN1909" s="7"/>
      <c r="BO1909" s="8">
        <f>SUM(BJ1909:BN1909)</f>
        <v>0</v>
      </c>
      <c r="BQ1909" s="6"/>
      <c r="BR1909" s="7"/>
      <c r="BS1909" s="7"/>
      <c r="BT1909" s="7"/>
      <c r="BU1909" s="7"/>
      <c r="BV1909" s="8">
        <f>SUM(BQ1909:BU1909)</f>
        <v>0</v>
      </c>
      <c r="BX1909" s="6"/>
      <c r="BY1909" s="7"/>
      <c r="BZ1909" s="7"/>
      <c r="CA1909" s="7"/>
      <c r="CB1909" s="7"/>
      <c r="CC1909" s="8">
        <f>SUM(BX1909:CB1909)</f>
        <v>0</v>
      </c>
      <c r="CE1909" s="28">
        <f t="shared" si="8754"/>
        <v>0</v>
      </c>
      <c r="CF1909" s="29">
        <f t="shared" si="8755"/>
        <v>0</v>
      </c>
      <c r="CG1909" s="29">
        <f t="shared" si="8756"/>
        <v>0</v>
      </c>
      <c r="CH1909" s="29">
        <f t="shared" si="8757"/>
        <v>0</v>
      </c>
      <c r="CI1909" s="29">
        <f t="shared" si="8758"/>
        <v>0</v>
      </c>
      <c r="CJ1909" s="8">
        <f>SUM(CE1909:CI1909)</f>
        <v>0</v>
      </c>
      <c r="CL1909" s="6"/>
      <c r="CM1909" s="7"/>
      <c r="CN1909" s="7"/>
      <c r="CO1909" s="7"/>
      <c r="CP1909" s="7"/>
      <c r="CQ1909" s="8">
        <f>SUM(CL1909:CP1909)</f>
        <v>0</v>
      </c>
      <c r="CS1909" s="6"/>
      <c r="CT1909" s="7"/>
      <c r="CU1909" s="7"/>
      <c r="CV1909" s="7"/>
      <c r="CW1909" s="7"/>
      <c r="CX1909" s="8">
        <f t="shared" si="8763"/>
        <v>0</v>
      </c>
      <c r="CZ1909" s="6"/>
      <c r="DA1909" s="7"/>
      <c r="DB1909" s="7"/>
      <c r="DC1909" s="7"/>
      <c r="DD1909" s="7"/>
      <c r="DE1909" s="8">
        <f t="shared" si="8764"/>
        <v>0</v>
      </c>
    </row>
    <row r="1910" spans="3:109" ht="14" thickBot="1">
      <c r="C1910" s="567"/>
      <c r="E1910" s="5" t="s">
        <v>62</v>
      </c>
      <c r="F1910" s="23">
        <f t="shared" si="8759"/>
        <v>0</v>
      </c>
      <c r="G1910" s="24">
        <f t="shared" si="8750"/>
        <v>0</v>
      </c>
      <c r="H1910" s="24">
        <f t="shared" si="8751"/>
        <v>0</v>
      </c>
      <c r="I1910" s="24">
        <f t="shared" si="8752"/>
        <v>0</v>
      </c>
      <c r="J1910" s="24">
        <f t="shared" si="8753"/>
        <v>0</v>
      </c>
      <c r="K1910" s="8">
        <f t="shared" si="8760"/>
        <v>0</v>
      </c>
      <c r="M1910" s="6"/>
      <c r="N1910" s="7"/>
      <c r="O1910" s="7"/>
      <c r="P1910" s="7"/>
      <c r="Q1910" s="7"/>
      <c r="R1910" s="8">
        <f t="shared" si="8761"/>
        <v>0</v>
      </c>
      <c r="T1910" s="6"/>
      <c r="U1910" s="7"/>
      <c r="V1910" s="7"/>
      <c r="W1910" s="7"/>
      <c r="X1910" s="7"/>
      <c r="Y1910" s="8">
        <f t="shared" si="8762"/>
        <v>0</v>
      </c>
      <c r="AA1910" s="6"/>
      <c r="AB1910" s="7"/>
      <c r="AC1910" s="7"/>
      <c r="AD1910" s="7"/>
      <c r="AE1910" s="7"/>
      <c r="AF1910" s="8">
        <f>SUM(AA1910:AE1910)</f>
        <v>0</v>
      </c>
      <c r="AH1910" s="6"/>
      <c r="AI1910" s="7"/>
      <c r="AJ1910" s="7"/>
      <c r="AK1910" s="7"/>
      <c r="AL1910" s="7"/>
      <c r="AM1910" s="8">
        <f>SUM(AH1910:AL1910)</f>
        <v>0</v>
      </c>
      <c r="AO1910" s="6"/>
      <c r="AP1910" s="7"/>
      <c r="AQ1910" s="7"/>
      <c r="AR1910" s="7"/>
      <c r="AS1910" s="7"/>
      <c r="AT1910" s="8">
        <f>SUM(AO1910:AS1910)</f>
        <v>0</v>
      </c>
      <c r="AV1910" s="6"/>
      <c r="AW1910" s="7"/>
      <c r="AX1910" s="7"/>
      <c r="AY1910" s="7"/>
      <c r="AZ1910" s="7"/>
      <c r="BA1910" s="8">
        <f>SUM(AV1910:AZ1910)</f>
        <v>0</v>
      </c>
      <c r="BC1910" s="6"/>
      <c r="BD1910" s="7"/>
      <c r="BE1910" s="7"/>
      <c r="BF1910" s="7"/>
      <c r="BG1910" s="7"/>
      <c r="BH1910" s="8">
        <f>SUM(BC1910:BG1910)</f>
        <v>0</v>
      </c>
      <c r="BJ1910" s="6"/>
      <c r="BK1910" s="7"/>
      <c r="BL1910" s="7"/>
      <c r="BM1910" s="7"/>
      <c r="BN1910" s="7"/>
      <c r="BO1910" s="8">
        <f>SUM(BJ1910:BN1910)</f>
        <v>0</v>
      </c>
      <c r="BQ1910" s="6"/>
      <c r="BR1910" s="7"/>
      <c r="BS1910" s="7"/>
      <c r="BT1910" s="7"/>
      <c r="BU1910" s="7"/>
      <c r="BV1910" s="8">
        <f>SUM(BQ1910:BU1910)</f>
        <v>0</v>
      </c>
      <c r="BX1910" s="6"/>
      <c r="BY1910" s="7"/>
      <c r="BZ1910" s="7"/>
      <c r="CA1910" s="7"/>
      <c r="CB1910" s="7"/>
      <c r="CC1910" s="8">
        <f>SUM(BX1910:CB1910)</f>
        <v>0</v>
      </c>
      <c r="CE1910" s="493">
        <f t="shared" si="8754"/>
        <v>0</v>
      </c>
      <c r="CF1910" s="494">
        <f t="shared" si="8755"/>
        <v>0</v>
      </c>
      <c r="CG1910" s="494">
        <f t="shared" si="8756"/>
        <v>0</v>
      </c>
      <c r="CH1910" s="494">
        <f t="shared" si="8757"/>
        <v>0</v>
      </c>
      <c r="CI1910" s="494">
        <f t="shared" si="8758"/>
        <v>0</v>
      </c>
      <c r="CJ1910" s="495">
        <f>SUM(CE1910:CI1910)</f>
        <v>0</v>
      </c>
      <c r="CL1910" s="6"/>
      <c r="CM1910" s="7"/>
      <c r="CN1910" s="7"/>
      <c r="CO1910" s="7"/>
      <c r="CP1910" s="7"/>
      <c r="CQ1910" s="8">
        <f>SUM(CL1910:CP1910)</f>
        <v>0</v>
      </c>
      <c r="CS1910" s="6"/>
      <c r="CT1910" s="7"/>
      <c r="CU1910" s="7"/>
      <c r="CV1910" s="7"/>
      <c r="CW1910" s="7"/>
      <c r="CX1910" s="8">
        <f t="shared" si="8763"/>
        <v>0</v>
      </c>
      <c r="CZ1910" s="6"/>
      <c r="DA1910" s="7"/>
      <c r="DB1910" s="7"/>
      <c r="DC1910" s="7"/>
      <c r="DD1910" s="7"/>
      <c r="DE1910" s="8">
        <f t="shared" si="8764"/>
        <v>0</v>
      </c>
    </row>
    <row r="1911" spans="3:109" ht="14" thickBot="1">
      <c r="C1911" s="554"/>
      <c r="E1911" s="9"/>
      <c r="F1911" s="10">
        <f>SUM(F1907:F1910)</f>
        <v>0</v>
      </c>
      <c r="G1911" s="11">
        <f t="shared" ref="G1911:J1911" si="8765">SUM(G1907:G1910)</f>
        <v>0</v>
      </c>
      <c r="H1911" s="11">
        <f t="shared" si="8765"/>
        <v>0</v>
      </c>
      <c r="I1911" s="11">
        <f t="shared" si="8765"/>
        <v>0</v>
      </c>
      <c r="J1911" s="11">
        <f t="shared" si="8765"/>
        <v>0</v>
      </c>
      <c r="K1911" s="25">
        <f>SUM(K1907:K1910)</f>
        <v>0</v>
      </c>
      <c r="M1911" s="10">
        <f>SUM(M1907:M1910)</f>
        <v>0</v>
      </c>
      <c r="N1911" s="11">
        <f t="shared" ref="N1911:Q1911" si="8766">SUM(N1907:N1910)</f>
        <v>0</v>
      </c>
      <c r="O1911" s="11">
        <f t="shared" si="8766"/>
        <v>0</v>
      </c>
      <c r="P1911" s="11">
        <f t="shared" si="8766"/>
        <v>0</v>
      </c>
      <c r="Q1911" s="11">
        <f t="shared" si="8766"/>
        <v>0</v>
      </c>
      <c r="R1911" s="25">
        <f>SUM(R1907:R1910)</f>
        <v>0</v>
      </c>
      <c r="T1911" s="10">
        <f>SUM(T1907:T1910)</f>
        <v>0</v>
      </c>
      <c r="U1911" s="11">
        <f t="shared" ref="U1911:X1911" si="8767">SUM(U1907:U1910)</f>
        <v>0</v>
      </c>
      <c r="V1911" s="11">
        <f t="shared" si="8767"/>
        <v>0</v>
      </c>
      <c r="W1911" s="11">
        <f t="shared" si="8767"/>
        <v>0</v>
      </c>
      <c r="X1911" s="11">
        <f t="shared" si="8767"/>
        <v>0</v>
      </c>
      <c r="Y1911" s="25">
        <f>SUM(Y1907:Y1910)</f>
        <v>0</v>
      </c>
      <c r="AA1911" s="10">
        <f>SUM(AA1907:AA1910)</f>
        <v>0</v>
      </c>
      <c r="AB1911" s="11">
        <f t="shared" ref="AB1911:AE1911" si="8768">SUM(AB1907:AB1910)</f>
        <v>0</v>
      </c>
      <c r="AC1911" s="11">
        <f t="shared" si="8768"/>
        <v>0</v>
      </c>
      <c r="AD1911" s="11">
        <f t="shared" si="8768"/>
        <v>0</v>
      </c>
      <c r="AE1911" s="11">
        <f t="shared" si="8768"/>
        <v>0</v>
      </c>
      <c r="AF1911" s="25">
        <f>SUM(AF1907:AF1910)</f>
        <v>0</v>
      </c>
      <c r="AH1911" s="10">
        <f>SUM(AH1907:AH1910)</f>
        <v>0</v>
      </c>
      <c r="AI1911" s="11">
        <f t="shared" ref="AI1911:AL1911" si="8769">SUM(AI1907:AI1910)</f>
        <v>0</v>
      </c>
      <c r="AJ1911" s="11">
        <f t="shared" si="8769"/>
        <v>0</v>
      </c>
      <c r="AK1911" s="11">
        <f t="shared" si="8769"/>
        <v>0</v>
      </c>
      <c r="AL1911" s="11">
        <f t="shared" si="8769"/>
        <v>0</v>
      </c>
      <c r="AM1911" s="25">
        <f>SUM(AM1907:AM1910)</f>
        <v>0</v>
      </c>
      <c r="AO1911" s="10">
        <f>SUM(AO1907:AO1910)</f>
        <v>0</v>
      </c>
      <c r="AP1911" s="11">
        <f t="shared" ref="AP1911:AS1911" si="8770">SUM(AP1907:AP1910)</f>
        <v>0</v>
      </c>
      <c r="AQ1911" s="11">
        <f t="shared" si="8770"/>
        <v>0</v>
      </c>
      <c r="AR1911" s="11">
        <f t="shared" si="8770"/>
        <v>0</v>
      </c>
      <c r="AS1911" s="11">
        <f t="shared" si="8770"/>
        <v>0</v>
      </c>
      <c r="AT1911" s="25">
        <f>SUM(AT1907:AT1910)</f>
        <v>0</v>
      </c>
      <c r="AV1911" s="10">
        <f>SUM(AV1907:AV1910)</f>
        <v>0</v>
      </c>
      <c r="AW1911" s="11">
        <f t="shared" ref="AW1911:AZ1911" si="8771">SUM(AW1907:AW1910)</f>
        <v>0</v>
      </c>
      <c r="AX1911" s="11">
        <f t="shared" si="8771"/>
        <v>0</v>
      </c>
      <c r="AY1911" s="11">
        <f t="shared" si="8771"/>
        <v>0</v>
      </c>
      <c r="AZ1911" s="11">
        <f t="shared" si="8771"/>
        <v>0</v>
      </c>
      <c r="BA1911" s="25">
        <f>SUM(BA1907:BA1910)</f>
        <v>0</v>
      </c>
      <c r="BC1911" s="10">
        <f>SUM(BC1907:BC1910)</f>
        <v>0</v>
      </c>
      <c r="BD1911" s="11">
        <f t="shared" ref="BD1911:BG1911" si="8772">SUM(BD1907:BD1910)</f>
        <v>0</v>
      </c>
      <c r="BE1911" s="11">
        <f t="shared" si="8772"/>
        <v>0</v>
      </c>
      <c r="BF1911" s="11">
        <f t="shared" si="8772"/>
        <v>0</v>
      </c>
      <c r="BG1911" s="11">
        <f t="shared" si="8772"/>
        <v>0</v>
      </c>
      <c r="BH1911" s="25">
        <f>SUM(BH1907:BH1910)</f>
        <v>0</v>
      </c>
      <c r="BJ1911" s="10">
        <f>SUM(BJ1907:BJ1910)</f>
        <v>0</v>
      </c>
      <c r="BK1911" s="11">
        <f t="shared" ref="BK1911:BN1911" si="8773">SUM(BK1907:BK1910)</f>
        <v>0</v>
      </c>
      <c r="BL1911" s="11">
        <f t="shared" si="8773"/>
        <v>0</v>
      </c>
      <c r="BM1911" s="11">
        <f t="shared" si="8773"/>
        <v>0</v>
      </c>
      <c r="BN1911" s="11">
        <f t="shared" si="8773"/>
        <v>0</v>
      </c>
      <c r="BO1911" s="25">
        <f>SUM(BO1907:BO1910)</f>
        <v>0</v>
      </c>
      <c r="BQ1911" s="10">
        <f>SUM(BQ1907:BQ1910)</f>
        <v>0</v>
      </c>
      <c r="BR1911" s="11">
        <f t="shared" ref="BR1911:BU1911" si="8774">SUM(BR1907:BR1910)</f>
        <v>0</v>
      </c>
      <c r="BS1911" s="11">
        <f t="shared" si="8774"/>
        <v>0</v>
      </c>
      <c r="BT1911" s="11">
        <f t="shared" si="8774"/>
        <v>0</v>
      </c>
      <c r="BU1911" s="11">
        <f t="shared" si="8774"/>
        <v>0</v>
      </c>
      <c r="BV1911" s="25">
        <f>SUM(BV1907:BV1910)</f>
        <v>0</v>
      </c>
      <c r="BX1911" s="10">
        <f>SUM(BX1907:BX1910)</f>
        <v>0</v>
      </c>
      <c r="BY1911" s="11">
        <f t="shared" ref="BY1911:CB1911" si="8775">SUM(BY1907:BY1910)</f>
        <v>0</v>
      </c>
      <c r="BZ1911" s="11">
        <f t="shared" si="8775"/>
        <v>0</v>
      </c>
      <c r="CA1911" s="11">
        <f t="shared" si="8775"/>
        <v>0</v>
      </c>
      <c r="CB1911" s="11">
        <f t="shared" si="8775"/>
        <v>0</v>
      </c>
      <c r="CC1911" s="25">
        <f>SUM(CC1907:CC1910)</f>
        <v>0</v>
      </c>
      <c r="CE1911" s="62">
        <f t="shared" ref="CE1911:CJ1911" si="8776">SUM(CE1907:CE1910)</f>
        <v>0</v>
      </c>
      <c r="CF1911" s="63">
        <f t="shared" si="8776"/>
        <v>0</v>
      </c>
      <c r="CG1911" s="63">
        <f t="shared" si="8776"/>
        <v>0</v>
      </c>
      <c r="CH1911" s="63">
        <f t="shared" si="8776"/>
        <v>0</v>
      </c>
      <c r="CI1911" s="63">
        <f t="shared" si="8776"/>
        <v>0</v>
      </c>
      <c r="CJ1911" s="25">
        <f t="shared" si="8776"/>
        <v>0</v>
      </c>
      <c r="CL1911" s="10">
        <f>SUM(CL1907:CL1910)</f>
        <v>0</v>
      </c>
      <c r="CM1911" s="11">
        <f t="shared" ref="CM1911:CP1911" si="8777">SUM(CM1907:CM1910)</f>
        <v>0</v>
      </c>
      <c r="CN1911" s="11">
        <f t="shared" si="8777"/>
        <v>0</v>
      </c>
      <c r="CO1911" s="11">
        <f t="shared" si="8777"/>
        <v>0</v>
      </c>
      <c r="CP1911" s="11">
        <f t="shared" si="8777"/>
        <v>0</v>
      </c>
      <c r="CQ1911" s="25">
        <f>SUM(CQ1907:CQ1910)</f>
        <v>0</v>
      </c>
      <c r="CS1911" s="10">
        <f>SUM(CS1907:CS1910)</f>
        <v>0</v>
      </c>
      <c r="CT1911" s="11">
        <f t="shared" ref="CT1911:CW1911" si="8778">SUM(CT1907:CT1910)</f>
        <v>0</v>
      </c>
      <c r="CU1911" s="11">
        <f t="shared" si="8778"/>
        <v>0</v>
      </c>
      <c r="CV1911" s="11">
        <f t="shared" si="8778"/>
        <v>0</v>
      </c>
      <c r="CW1911" s="11">
        <f t="shared" si="8778"/>
        <v>0</v>
      </c>
      <c r="CX1911" s="25">
        <f>SUM(CX1907:CX1910)</f>
        <v>0</v>
      </c>
      <c r="CZ1911" s="10">
        <f>SUM(CZ1907:CZ1910)</f>
        <v>0</v>
      </c>
      <c r="DA1911" s="11">
        <f t="shared" ref="DA1911:DD1911" si="8779">SUM(DA1907:DA1910)</f>
        <v>0</v>
      </c>
      <c r="DB1911" s="11">
        <f t="shared" si="8779"/>
        <v>0</v>
      </c>
      <c r="DC1911" s="11">
        <f t="shared" si="8779"/>
        <v>0</v>
      </c>
      <c r="DD1911" s="11">
        <f t="shared" si="8779"/>
        <v>0</v>
      </c>
      <c r="DE1911" s="25">
        <f>SUM(DE1907:DE1910)</f>
        <v>0</v>
      </c>
    </row>
    <row r="1912" spans="3:109" ht="10.4" customHeight="1" thickBot="1"/>
    <row r="1913" spans="3:109">
      <c r="C1913" s="553">
        <v>2027</v>
      </c>
      <c r="E1913" s="1" t="s">
        <v>59</v>
      </c>
      <c r="F1913" s="21">
        <f>CE1907</f>
        <v>0</v>
      </c>
      <c r="G1913" s="22">
        <f t="shared" ref="G1913:G1916" si="8780">CF1907</f>
        <v>0</v>
      </c>
      <c r="H1913" s="22">
        <f t="shared" ref="H1913:H1916" si="8781">CG1907</f>
        <v>0</v>
      </c>
      <c r="I1913" s="22">
        <f t="shared" ref="I1913:I1916" si="8782">CH1907</f>
        <v>0</v>
      </c>
      <c r="J1913" s="22">
        <f t="shared" ref="J1913:J1916" si="8783">CI1907</f>
        <v>0</v>
      </c>
      <c r="K1913" s="4">
        <f>SUM(F1913:J1913)</f>
        <v>0</v>
      </c>
      <c r="M1913" s="2"/>
      <c r="N1913" s="3"/>
      <c r="O1913" s="3"/>
      <c r="P1913" s="3"/>
      <c r="Q1913" s="3"/>
      <c r="R1913" s="4">
        <f>SUM(M1913:Q1913)</f>
        <v>0</v>
      </c>
      <c r="T1913" s="2"/>
      <c r="U1913" s="3"/>
      <c r="V1913" s="3"/>
      <c r="W1913" s="3"/>
      <c r="X1913" s="3"/>
      <c r="Y1913" s="4">
        <f>SUM(T1913:X1913)</f>
        <v>0</v>
      </c>
      <c r="AA1913" s="2"/>
      <c r="AB1913" s="3"/>
      <c r="AC1913" s="3"/>
      <c r="AD1913" s="3"/>
      <c r="AE1913" s="3"/>
      <c r="AF1913" s="4">
        <f>SUM(AA1913:AE1913)</f>
        <v>0</v>
      </c>
      <c r="AH1913" s="2"/>
      <c r="AI1913" s="3"/>
      <c r="AJ1913" s="3"/>
      <c r="AK1913" s="3"/>
      <c r="AL1913" s="3"/>
      <c r="AM1913" s="4">
        <f>SUM(AH1913:AL1913)</f>
        <v>0</v>
      </c>
      <c r="AO1913" s="2"/>
      <c r="AP1913" s="3"/>
      <c r="AQ1913" s="3"/>
      <c r="AR1913" s="3"/>
      <c r="AS1913" s="3"/>
      <c r="AT1913" s="4">
        <f>SUM(AO1913:AS1913)</f>
        <v>0</v>
      </c>
      <c r="AV1913" s="2"/>
      <c r="AW1913" s="3"/>
      <c r="AX1913" s="3"/>
      <c r="AY1913" s="3"/>
      <c r="AZ1913" s="3"/>
      <c r="BA1913" s="4">
        <f>SUM(AV1913:AZ1913)</f>
        <v>0</v>
      </c>
      <c r="BC1913" s="2"/>
      <c r="BD1913" s="3"/>
      <c r="BE1913" s="3"/>
      <c r="BF1913" s="3"/>
      <c r="BG1913" s="3"/>
      <c r="BH1913" s="4">
        <f>SUM(BC1913:BG1913)</f>
        <v>0</v>
      </c>
      <c r="BJ1913" s="2"/>
      <c r="BK1913" s="3"/>
      <c r="BL1913" s="3"/>
      <c r="BM1913" s="3"/>
      <c r="BN1913" s="3"/>
      <c r="BO1913" s="4">
        <f>SUM(BJ1913:BN1913)</f>
        <v>0</v>
      </c>
      <c r="BQ1913" s="2"/>
      <c r="BR1913" s="3"/>
      <c r="BS1913" s="3"/>
      <c r="BT1913" s="3"/>
      <c r="BU1913" s="3"/>
      <c r="BV1913" s="4">
        <f>SUM(BQ1913:BU1913)</f>
        <v>0</v>
      </c>
      <c r="BX1913" s="2"/>
      <c r="BY1913" s="3"/>
      <c r="BZ1913" s="3"/>
      <c r="CA1913" s="3"/>
      <c r="CB1913" s="3"/>
      <c r="CC1913" s="4">
        <f>SUM(BX1913:CB1913)</f>
        <v>0</v>
      </c>
      <c r="CE1913" s="26">
        <f t="shared" ref="CE1913:CE1916" si="8784">F1913+M1913+T1913+AA1913+AH1913+AO1913+AV1913+BC1913+BJ1913+BQ1913+BX1913</f>
        <v>0</v>
      </c>
      <c r="CF1913" s="27">
        <f t="shared" ref="CF1913:CF1916" si="8785">G1913+N1913+U1913+AB1913+AI1913+AP1913+AW1913+BD1913+BK1913+BR1913+BY1913</f>
        <v>0</v>
      </c>
      <c r="CG1913" s="27">
        <f t="shared" ref="CG1913:CG1916" si="8786">H1913+O1913+V1913+AC1913+AJ1913+AQ1913+AX1913+BE1913+BL1913+BS1913+BZ1913</f>
        <v>0</v>
      </c>
      <c r="CH1913" s="27">
        <f t="shared" ref="CH1913:CH1916" si="8787">I1913+P1913+W1913+AD1913+AK1913+AR1913+AY1913+BF1913+BM1913+BT1913+CA1913</f>
        <v>0</v>
      </c>
      <c r="CI1913" s="27">
        <f t="shared" ref="CI1913:CI1916" si="8788">J1913+Q1913+X1913+AE1913+AL1913+AS1913+AZ1913+BG1913+BN1913+BU1913+CB1913</f>
        <v>0</v>
      </c>
      <c r="CJ1913" s="4">
        <f>SUM(CE1913:CI1913)</f>
        <v>0</v>
      </c>
      <c r="CL1913" s="2"/>
      <c r="CM1913" s="3"/>
      <c r="CN1913" s="3"/>
      <c r="CO1913" s="3"/>
      <c r="CP1913" s="3"/>
      <c r="CQ1913" s="4">
        <f>SUM(CL1913:CP1913)</f>
        <v>0</v>
      </c>
      <c r="CS1913" s="2"/>
      <c r="CT1913" s="3"/>
      <c r="CU1913" s="3"/>
      <c r="CV1913" s="3"/>
      <c r="CW1913" s="3"/>
      <c r="CX1913" s="4">
        <f>SUM(CS1913:CW1913)</f>
        <v>0</v>
      </c>
      <c r="CZ1913" s="2"/>
      <c r="DA1913" s="3"/>
      <c r="DB1913" s="3"/>
      <c r="DC1913" s="3"/>
      <c r="DD1913" s="3"/>
      <c r="DE1913" s="4">
        <f>SUM(CZ1913:DD1913)</f>
        <v>0</v>
      </c>
    </row>
    <row r="1914" spans="3:109">
      <c r="C1914" s="567"/>
      <c r="E1914" s="5" t="s">
        <v>60</v>
      </c>
      <c r="F1914" s="23">
        <f t="shared" ref="F1914:F1916" si="8789">CE1908</f>
        <v>0</v>
      </c>
      <c r="G1914" s="24">
        <f t="shared" si="8780"/>
        <v>0</v>
      </c>
      <c r="H1914" s="24">
        <f t="shared" si="8781"/>
        <v>0</v>
      </c>
      <c r="I1914" s="24">
        <f t="shared" si="8782"/>
        <v>0</v>
      </c>
      <c r="J1914" s="24">
        <f t="shared" si="8783"/>
        <v>0</v>
      </c>
      <c r="K1914" s="8">
        <f t="shared" ref="K1914:K1916" si="8790">SUM(F1914:J1914)</f>
        <v>0</v>
      </c>
      <c r="M1914" s="6"/>
      <c r="N1914" s="7"/>
      <c r="O1914" s="7"/>
      <c r="P1914" s="7"/>
      <c r="Q1914" s="7"/>
      <c r="R1914" s="8">
        <f t="shared" ref="R1914:R1916" si="8791">SUM(M1914:Q1914)</f>
        <v>0</v>
      </c>
      <c r="T1914" s="6"/>
      <c r="U1914" s="7"/>
      <c r="V1914" s="7"/>
      <c r="W1914" s="7"/>
      <c r="X1914" s="7"/>
      <c r="Y1914" s="8">
        <f t="shared" ref="Y1914:Y1916" si="8792">SUM(T1914:X1914)</f>
        <v>0</v>
      </c>
      <c r="AA1914" s="6"/>
      <c r="AB1914" s="7"/>
      <c r="AC1914" s="7"/>
      <c r="AD1914" s="7"/>
      <c r="AE1914" s="7"/>
      <c r="AF1914" s="8">
        <f>SUM(AA1914:AE1914)</f>
        <v>0</v>
      </c>
      <c r="AH1914" s="6"/>
      <c r="AI1914" s="7"/>
      <c r="AJ1914" s="7"/>
      <c r="AK1914" s="7"/>
      <c r="AL1914" s="7"/>
      <c r="AM1914" s="8">
        <f>SUM(AH1914:AL1914)</f>
        <v>0</v>
      </c>
      <c r="AO1914" s="6"/>
      <c r="AP1914" s="7"/>
      <c r="AQ1914" s="7"/>
      <c r="AR1914" s="7"/>
      <c r="AS1914" s="7"/>
      <c r="AT1914" s="8">
        <f>SUM(AO1914:AS1914)</f>
        <v>0</v>
      </c>
      <c r="AV1914" s="6"/>
      <c r="AW1914" s="7"/>
      <c r="AX1914" s="7"/>
      <c r="AY1914" s="7"/>
      <c r="AZ1914" s="7"/>
      <c r="BA1914" s="8">
        <f>SUM(AV1914:AZ1914)</f>
        <v>0</v>
      </c>
      <c r="BC1914" s="6"/>
      <c r="BD1914" s="7"/>
      <c r="BE1914" s="7"/>
      <c r="BF1914" s="7"/>
      <c r="BG1914" s="7"/>
      <c r="BH1914" s="8">
        <f>SUM(BC1914:BG1914)</f>
        <v>0</v>
      </c>
      <c r="BJ1914" s="6"/>
      <c r="BK1914" s="7"/>
      <c r="BL1914" s="7"/>
      <c r="BM1914" s="7"/>
      <c r="BN1914" s="7"/>
      <c r="BO1914" s="8">
        <f>SUM(BJ1914:BN1914)</f>
        <v>0</v>
      </c>
      <c r="BQ1914" s="6"/>
      <c r="BR1914" s="7"/>
      <c r="BS1914" s="7"/>
      <c r="BT1914" s="7"/>
      <c r="BU1914" s="7"/>
      <c r="BV1914" s="8">
        <f>SUM(BQ1914:BU1914)</f>
        <v>0</v>
      </c>
      <c r="BX1914" s="6"/>
      <c r="BY1914" s="7"/>
      <c r="BZ1914" s="7"/>
      <c r="CA1914" s="7"/>
      <c r="CB1914" s="7"/>
      <c r="CC1914" s="8">
        <f>SUM(BX1914:CB1914)</f>
        <v>0</v>
      </c>
      <c r="CE1914" s="28">
        <f t="shared" si="8784"/>
        <v>0</v>
      </c>
      <c r="CF1914" s="29">
        <f t="shared" si="8785"/>
        <v>0</v>
      </c>
      <c r="CG1914" s="29">
        <f t="shared" si="8786"/>
        <v>0</v>
      </c>
      <c r="CH1914" s="29">
        <f t="shared" si="8787"/>
        <v>0</v>
      </c>
      <c r="CI1914" s="29">
        <f t="shared" si="8788"/>
        <v>0</v>
      </c>
      <c r="CJ1914" s="8">
        <f>SUM(CE1914:CI1914)</f>
        <v>0</v>
      </c>
      <c r="CL1914" s="6"/>
      <c r="CM1914" s="7"/>
      <c r="CN1914" s="7"/>
      <c r="CO1914" s="7"/>
      <c r="CP1914" s="7"/>
      <c r="CQ1914" s="8">
        <f>SUM(CL1914:CP1914)</f>
        <v>0</v>
      </c>
      <c r="CS1914" s="6"/>
      <c r="CT1914" s="7"/>
      <c r="CU1914" s="7"/>
      <c r="CV1914" s="7"/>
      <c r="CW1914" s="7"/>
      <c r="CX1914" s="8">
        <f t="shared" ref="CX1914:CX1916" si="8793">SUM(CS1914:CW1914)</f>
        <v>0</v>
      </c>
      <c r="CZ1914" s="6"/>
      <c r="DA1914" s="7"/>
      <c r="DB1914" s="7"/>
      <c r="DC1914" s="7"/>
      <c r="DD1914" s="7"/>
      <c r="DE1914" s="8">
        <f t="shared" ref="DE1914:DE1916" si="8794">SUM(CZ1914:DD1914)</f>
        <v>0</v>
      </c>
    </row>
    <row r="1915" spans="3:109">
      <c r="C1915" s="567"/>
      <c r="E1915" s="5" t="s">
        <v>61</v>
      </c>
      <c r="F1915" s="23">
        <f t="shared" si="8789"/>
        <v>0</v>
      </c>
      <c r="G1915" s="24">
        <f t="shared" si="8780"/>
        <v>0</v>
      </c>
      <c r="H1915" s="24">
        <f t="shared" si="8781"/>
        <v>0</v>
      </c>
      <c r="I1915" s="24">
        <f t="shared" si="8782"/>
        <v>0</v>
      </c>
      <c r="J1915" s="24">
        <f t="shared" si="8783"/>
        <v>0</v>
      </c>
      <c r="K1915" s="8">
        <f t="shared" si="8790"/>
        <v>0</v>
      </c>
      <c r="M1915" s="6"/>
      <c r="N1915" s="7"/>
      <c r="O1915" s="7"/>
      <c r="P1915" s="7"/>
      <c r="Q1915" s="7"/>
      <c r="R1915" s="8">
        <f t="shared" si="8791"/>
        <v>0</v>
      </c>
      <c r="T1915" s="6"/>
      <c r="U1915" s="7"/>
      <c r="V1915" s="7"/>
      <c r="W1915" s="7"/>
      <c r="X1915" s="7"/>
      <c r="Y1915" s="8">
        <f t="shared" si="8792"/>
        <v>0</v>
      </c>
      <c r="AA1915" s="6"/>
      <c r="AB1915" s="7"/>
      <c r="AC1915" s="7"/>
      <c r="AD1915" s="7"/>
      <c r="AE1915" s="7"/>
      <c r="AF1915" s="8">
        <f>SUM(AA1915:AE1915)</f>
        <v>0</v>
      </c>
      <c r="AH1915" s="6"/>
      <c r="AI1915" s="7"/>
      <c r="AJ1915" s="7"/>
      <c r="AK1915" s="7"/>
      <c r="AL1915" s="7"/>
      <c r="AM1915" s="8">
        <f>SUM(AH1915:AL1915)</f>
        <v>0</v>
      </c>
      <c r="AO1915" s="6"/>
      <c r="AP1915" s="7"/>
      <c r="AQ1915" s="7"/>
      <c r="AR1915" s="7"/>
      <c r="AS1915" s="7"/>
      <c r="AT1915" s="8">
        <f>SUM(AO1915:AS1915)</f>
        <v>0</v>
      </c>
      <c r="AV1915" s="6"/>
      <c r="AW1915" s="7"/>
      <c r="AX1915" s="7"/>
      <c r="AY1915" s="7"/>
      <c r="AZ1915" s="7"/>
      <c r="BA1915" s="8">
        <f>SUM(AV1915:AZ1915)</f>
        <v>0</v>
      </c>
      <c r="BC1915" s="6"/>
      <c r="BD1915" s="7"/>
      <c r="BE1915" s="7"/>
      <c r="BF1915" s="7"/>
      <c r="BG1915" s="7"/>
      <c r="BH1915" s="8">
        <f>SUM(BC1915:BG1915)</f>
        <v>0</v>
      </c>
      <c r="BJ1915" s="6"/>
      <c r="BK1915" s="7"/>
      <c r="BL1915" s="7"/>
      <c r="BM1915" s="7"/>
      <c r="BN1915" s="7"/>
      <c r="BO1915" s="8">
        <f>SUM(BJ1915:BN1915)</f>
        <v>0</v>
      </c>
      <c r="BQ1915" s="6"/>
      <c r="BR1915" s="7"/>
      <c r="BS1915" s="7"/>
      <c r="BT1915" s="7"/>
      <c r="BU1915" s="7"/>
      <c r="BV1915" s="8">
        <f>SUM(BQ1915:BU1915)</f>
        <v>0</v>
      </c>
      <c r="BX1915" s="6"/>
      <c r="BY1915" s="7"/>
      <c r="BZ1915" s="7"/>
      <c r="CA1915" s="7"/>
      <c r="CB1915" s="7"/>
      <c r="CC1915" s="8">
        <f>SUM(BX1915:CB1915)</f>
        <v>0</v>
      </c>
      <c r="CE1915" s="28">
        <f t="shared" si="8784"/>
        <v>0</v>
      </c>
      <c r="CF1915" s="29">
        <f t="shared" si="8785"/>
        <v>0</v>
      </c>
      <c r="CG1915" s="29">
        <f t="shared" si="8786"/>
        <v>0</v>
      </c>
      <c r="CH1915" s="29">
        <f t="shared" si="8787"/>
        <v>0</v>
      </c>
      <c r="CI1915" s="29">
        <f t="shared" si="8788"/>
        <v>0</v>
      </c>
      <c r="CJ1915" s="8">
        <f>SUM(CE1915:CI1915)</f>
        <v>0</v>
      </c>
      <c r="CL1915" s="6"/>
      <c r="CM1915" s="7"/>
      <c r="CN1915" s="7"/>
      <c r="CO1915" s="7"/>
      <c r="CP1915" s="7"/>
      <c r="CQ1915" s="8">
        <f>SUM(CL1915:CP1915)</f>
        <v>0</v>
      </c>
      <c r="CS1915" s="6"/>
      <c r="CT1915" s="7"/>
      <c r="CU1915" s="7"/>
      <c r="CV1915" s="7"/>
      <c r="CW1915" s="7"/>
      <c r="CX1915" s="8">
        <f t="shared" si="8793"/>
        <v>0</v>
      </c>
      <c r="CZ1915" s="6"/>
      <c r="DA1915" s="7"/>
      <c r="DB1915" s="7"/>
      <c r="DC1915" s="7"/>
      <c r="DD1915" s="7"/>
      <c r="DE1915" s="8">
        <f t="shared" si="8794"/>
        <v>0</v>
      </c>
    </row>
    <row r="1916" spans="3:109" ht="14" thickBot="1">
      <c r="C1916" s="567"/>
      <c r="E1916" s="5" t="s">
        <v>62</v>
      </c>
      <c r="F1916" s="23">
        <f t="shared" si="8789"/>
        <v>0</v>
      </c>
      <c r="G1916" s="24">
        <f t="shared" si="8780"/>
        <v>0</v>
      </c>
      <c r="H1916" s="24">
        <f t="shared" si="8781"/>
        <v>0</v>
      </c>
      <c r="I1916" s="24">
        <f t="shared" si="8782"/>
        <v>0</v>
      </c>
      <c r="J1916" s="24">
        <f t="shared" si="8783"/>
        <v>0</v>
      </c>
      <c r="K1916" s="8">
        <f t="shared" si="8790"/>
        <v>0</v>
      </c>
      <c r="M1916" s="6"/>
      <c r="N1916" s="7"/>
      <c r="O1916" s="7"/>
      <c r="P1916" s="7"/>
      <c r="Q1916" s="7"/>
      <c r="R1916" s="8">
        <f t="shared" si="8791"/>
        <v>0</v>
      </c>
      <c r="T1916" s="6"/>
      <c r="U1916" s="7"/>
      <c r="V1916" s="7"/>
      <c r="W1916" s="7"/>
      <c r="X1916" s="7"/>
      <c r="Y1916" s="8">
        <f t="shared" si="8792"/>
        <v>0</v>
      </c>
      <c r="AA1916" s="6"/>
      <c r="AB1916" s="7"/>
      <c r="AC1916" s="7"/>
      <c r="AD1916" s="7"/>
      <c r="AE1916" s="7"/>
      <c r="AF1916" s="8">
        <f>SUM(AA1916:AE1916)</f>
        <v>0</v>
      </c>
      <c r="AH1916" s="6"/>
      <c r="AI1916" s="7"/>
      <c r="AJ1916" s="7"/>
      <c r="AK1916" s="7"/>
      <c r="AL1916" s="7"/>
      <c r="AM1916" s="8">
        <f>SUM(AH1916:AL1916)</f>
        <v>0</v>
      </c>
      <c r="AO1916" s="6"/>
      <c r="AP1916" s="7"/>
      <c r="AQ1916" s="7"/>
      <c r="AR1916" s="7"/>
      <c r="AS1916" s="7"/>
      <c r="AT1916" s="8">
        <f>SUM(AO1916:AS1916)</f>
        <v>0</v>
      </c>
      <c r="AV1916" s="6"/>
      <c r="AW1916" s="7"/>
      <c r="AX1916" s="7"/>
      <c r="AY1916" s="7"/>
      <c r="AZ1916" s="7"/>
      <c r="BA1916" s="8">
        <f>SUM(AV1916:AZ1916)</f>
        <v>0</v>
      </c>
      <c r="BC1916" s="6"/>
      <c r="BD1916" s="7"/>
      <c r="BE1916" s="7"/>
      <c r="BF1916" s="7"/>
      <c r="BG1916" s="7"/>
      <c r="BH1916" s="8">
        <f>SUM(BC1916:BG1916)</f>
        <v>0</v>
      </c>
      <c r="BJ1916" s="6"/>
      <c r="BK1916" s="7"/>
      <c r="BL1916" s="7"/>
      <c r="BM1916" s="7"/>
      <c r="BN1916" s="7"/>
      <c r="BO1916" s="8">
        <f>SUM(BJ1916:BN1916)</f>
        <v>0</v>
      </c>
      <c r="BQ1916" s="6"/>
      <c r="BR1916" s="7"/>
      <c r="BS1916" s="7"/>
      <c r="BT1916" s="7"/>
      <c r="BU1916" s="7"/>
      <c r="BV1916" s="8">
        <f>SUM(BQ1916:BU1916)</f>
        <v>0</v>
      </c>
      <c r="BX1916" s="6"/>
      <c r="BY1916" s="7"/>
      <c r="BZ1916" s="7"/>
      <c r="CA1916" s="7"/>
      <c r="CB1916" s="7"/>
      <c r="CC1916" s="8">
        <f>SUM(BX1916:CB1916)</f>
        <v>0</v>
      </c>
      <c r="CE1916" s="493">
        <f t="shared" si="8784"/>
        <v>0</v>
      </c>
      <c r="CF1916" s="494">
        <f t="shared" si="8785"/>
        <v>0</v>
      </c>
      <c r="CG1916" s="494">
        <f t="shared" si="8786"/>
        <v>0</v>
      </c>
      <c r="CH1916" s="494">
        <f t="shared" si="8787"/>
        <v>0</v>
      </c>
      <c r="CI1916" s="494">
        <f t="shared" si="8788"/>
        <v>0</v>
      </c>
      <c r="CJ1916" s="495">
        <f>SUM(CE1916:CI1916)</f>
        <v>0</v>
      </c>
      <c r="CL1916" s="6"/>
      <c r="CM1916" s="7"/>
      <c r="CN1916" s="7"/>
      <c r="CO1916" s="7"/>
      <c r="CP1916" s="7"/>
      <c r="CQ1916" s="8">
        <f>SUM(CL1916:CP1916)</f>
        <v>0</v>
      </c>
      <c r="CS1916" s="6"/>
      <c r="CT1916" s="7"/>
      <c r="CU1916" s="7"/>
      <c r="CV1916" s="7"/>
      <c r="CW1916" s="7"/>
      <c r="CX1916" s="8">
        <f t="shared" si="8793"/>
        <v>0</v>
      </c>
      <c r="CZ1916" s="6"/>
      <c r="DA1916" s="7"/>
      <c r="DB1916" s="7"/>
      <c r="DC1916" s="7"/>
      <c r="DD1916" s="7"/>
      <c r="DE1916" s="8">
        <f t="shared" si="8794"/>
        <v>0</v>
      </c>
    </row>
    <row r="1917" spans="3:109" ht="14" thickBot="1">
      <c r="C1917" s="554"/>
      <c r="E1917" s="9"/>
      <c r="F1917" s="10">
        <f>SUM(F1913:F1916)</f>
        <v>0</v>
      </c>
      <c r="G1917" s="11">
        <f t="shared" ref="G1917:J1917" si="8795">SUM(G1913:G1916)</f>
        <v>0</v>
      </c>
      <c r="H1917" s="11">
        <f t="shared" si="8795"/>
        <v>0</v>
      </c>
      <c r="I1917" s="11">
        <f t="shared" si="8795"/>
        <v>0</v>
      </c>
      <c r="J1917" s="11">
        <f t="shared" si="8795"/>
        <v>0</v>
      </c>
      <c r="K1917" s="25">
        <f>SUM(K1913:K1916)</f>
        <v>0</v>
      </c>
      <c r="M1917" s="10">
        <f>SUM(M1913:M1916)</f>
        <v>0</v>
      </c>
      <c r="N1917" s="11">
        <f t="shared" ref="N1917:Q1917" si="8796">SUM(N1913:N1916)</f>
        <v>0</v>
      </c>
      <c r="O1917" s="11">
        <f t="shared" si="8796"/>
        <v>0</v>
      </c>
      <c r="P1917" s="11">
        <f t="shared" si="8796"/>
        <v>0</v>
      </c>
      <c r="Q1917" s="11">
        <f t="shared" si="8796"/>
        <v>0</v>
      </c>
      <c r="R1917" s="25">
        <f>SUM(R1913:R1916)</f>
        <v>0</v>
      </c>
      <c r="T1917" s="10">
        <f>SUM(T1913:T1916)</f>
        <v>0</v>
      </c>
      <c r="U1917" s="11">
        <f t="shared" ref="U1917:X1917" si="8797">SUM(U1913:U1916)</f>
        <v>0</v>
      </c>
      <c r="V1917" s="11">
        <f t="shared" si="8797"/>
        <v>0</v>
      </c>
      <c r="W1917" s="11">
        <f t="shared" si="8797"/>
        <v>0</v>
      </c>
      <c r="X1917" s="11">
        <f t="shared" si="8797"/>
        <v>0</v>
      </c>
      <c r="Y1917" s="25">
        <f>SUM(Y1913:Y1916)</f>
        <v>0</v>
      </c>
      <c r="AA1917" s="10">
        <f>SUM(AA1913:AA1916)</f>
        <v>0</v>
      </c>
      <c r="AB1917" s="11">
        <f t="shared" ref="AB1917:AE1917" si="8798">SUM(AB1913:AB1916)</f>
        <v>0</v>
      </c>
      <c r="AC1917" s="11">
        <f t="shared" si="8798"/>
        <v>0</v>
      </c>
      <c r="AD1917" s="11">
        <f t="shared" si="8798"/>
        <v>0</v>
      </c>
      <c r="AE1917" s="11">
        <f t="shared" si="8798"/>
        <v>0</v>
      </c>
      <c r="AF1917" s="25">
        <f>SUM(AF1913:AF1916)</f>
        <v>0</v>
      </c>
      <c r="AH1917" s="10">
        <f>SUM(AH1913:AH1916)</f>
        <v>0</v>
      </c>
      <c r="AI1917" s="11">
        <f t="shared" ref="AI1917:AL1917" si="8799">SUM(AI1913:AI1916)</f>
        <v>0</v>
      </c>
      <c r="AJ1917" s="11">
        <f t="shared" si="8799"/>
        <v>0</v>
      </c>
      <c r="AK1917" s="11">
        <f t="shared" si="8799"/>
        <v>0</v>
      </c>
      <c r="AL1917" s="11">
        <f t="shared" si="8799"/>
        <v>0</v>
      </c>
      <c r="AM1917" s="25">
        <f>SUM(AM1913:AM1916)</f>
        <v>0</v>
      </c>
      <c r="AO1917" s="10">
        <f>SUM(AO1913:AO1916)</f>
        <v>0</v>
      </c>
      <c r="AP1917" s="11">
        <f t="shared" ref="AP1917:AS1917" si="8800">SUM(AP1913:AP1916)</f>
        <v>0</v>
      </c>
      <c r="AQ1917" s="11">
        <f t="shared" si="8800"/>
        <v>0</v>
      </c>
      <c r="AR1917" s="11">
        <f t="shared" si="8800"/>
        <v>0</v>
      </c>
      <c r="AS1917" s="11">
        <f t="shared" si="8800"/>
        <v>0</v>
      </c>
      <c r="AT1917" s="25">
        <f>SUM(AT1913:AT1916)</f>
        <v>0</v>
      </c>
      <c r="AV1917" s="10">
        <f>SUM(AV1913:AV1916)</f>
        <v>0</v>
      </c>
      <c r="AW1917" s="11">
        <f t="shared" ref="AW1917:AZ1917" si="8801">SUM(AW1913:AW1916)</f>
        <v>0</v>
      </c>
      <c r="AX1917" s="11">
        <f t="shared" si="8801"/>
        <v>0</v>
      </c>
      <c r="AY1917" s="11">
        <f t="shared" si="8801"/>
        <v>0</v>
      </c>
      <c r="AZ1917" s="11">
        <f t="shared" si="8801"/>
        <v>0</v>
      </c>
      <c r="BA1917" s="25">
        <f>SUM(BA1913:BA1916)</f>
        <v>0</v>
      </c>
      <c r="BC1917" s="10">
        <f>SUM(BC1913:BC1916)</f>
        <v>0</v>
      </c>
      <c r="BD1917" s="11">
        <f t="shared" ref="BD1917:BG1917" si="8802">SUM(BD1913:BD1916)</f>
        <v>0</v>
      </c>
      <c r="BE1917" s="11">
        <f t="shared" si="8802"/>
        <v>0</v>
      </c>
      <c r="BF1917" s="11">
        <f t="shared" si="8802"/>
        <v>0</v>
      </c>
      <c r="BG1917" s="11">
        <f t="shared" si="8802"/>
        <v>0</v>
      </c>
      <c r="BH1917" s="25">
        <f>SUM(BH1913:BH1916)</f>
        <v>0</v>
      </c>
      <c r="BJ1917" s="10">
        <f>SUM(BJ1913:BJ1916)</f>
        <v>0</v>
      </c>
      <c r="BK1917" s="11">
        <f t="shared" ref="BK1917:BN1917" si="8803">SUM(BK1913:BK1916)</f>
        <v>0</v>
      </c>
      <c r="BL1917" s="11">
        <f t="shared" si="8803"/>
        <v>0</v>
      </c>
      <c r="BM1917" s="11">
        <f t="shared" si="8803"/>
        <v>0</v>
      </c>
      <c r="BN1917" s="11">
        <f t="shared" si="8803"/>
        <v>0</v>
      </c>
      <c r="BO1917" s="25">
        <f>SUM(BO1913:BO1916)</f>
        <v>0</v>
      </c>
      <c r="BQ1917" s="10">
        <f>SUM(BQ1913:BQ1916)</f>
        <v>0</v>
      </c>
      <c r="BR1917" s="11">
        <f t="shared" ref="BR1917:BU1917" si="8804">SUM(BR1913:BR1916)</f>
        <v>0</v>
      </c>
      <c r="BS1917" s="11">
        <f t="shared" si="8804"/>
        <v>0</v>
      </c>
      <c r="BT1917" s="11">
        <f t="shared" si="8804"/>
        <v>0</v>
      </c>
      <c r="BU1917" s="11">
        <f t="shared" si="8804"/>
        <v>0</v>
      </c>
      <c r="BV1917" s="25">
        <f>SUM(BV1913:BV1916)</f>
        <v>0</v>
      </c>
      <c r="BX1917" s="10">
        <f>SUM(BX1913:BX1916)</f>
        <v>0</v>
      </c>
      <c r="BY1917" s="11">
        <f t="shared" ref="BY1917:CB1917" si="8805">SUM(BY1913:BY1916)</f>
        <v>0</v>
      </c>
      <c r="BZ1917" s="11">
        <f t="shared" si="8805"/>
        <v>0</v>
      </c>
      <c r="CA1917" s="11">
        <f t="shared" si="8805"/>
        <v>0</v>
      </c>
      <c r="CB1917" s="11">
        <f t="shared" si="8805"/>
        <v>0</v>
      </c>
      <c r="CC1917" s="25">
        <f>SUM(CC1913:CC1916)</f>
        <v>0</v>
      </c>
      <c r="CE1917" s="62">
        <f t="shared" ref="CE1917:CJ1917" si="8806">SUM(CE1913:CE1916)</f>
        <v>0</v>
      </c>
      <c r="CF1917" s="63">
        <f t="shared" si="8806"/>
        <v>0</v>
      </c>
      <c r="CG1917" s="63">
        <f t="shared" si="8806"/>
        <v>0</v>
      </c>
      <c r="CH1917" s="63">
        <f t="shared" si="8806"/>
        <v>0</v>
      </c>
      <c r="CI1917" s="63">
        <f t="shared" si="8806"/>
        <v>0</v>
      </c>
      <c r="CJ1917" s="25">
        <f t="shared" si="8806"/>
        <v>0</v>
      </c>
      <c r="CL1917" s="10">
        <f>SUM(CL1913:CL1916)</f>
        <v>0</v>
      </c>
      <c r="CM1917" s="11">
        <f t="shared" ref="CM1917:CP1917" si="8807">SUM(CM1913:CM1916)</f>
        <v>0</v>
      </c>
      <c r="CN1917" s="11">
        <f t="shared" si="8807"/>
        <v>0</v>
      </c>
      <c r="CO1917" s="11">
        <f t="shared" si="8807"/>
        <v>0</v>
      </c>
      <c r="CP1917" s="11">
        <f t="shared" si="8807"/>
        <v>0</v>
      </c>
      <c r="CQ1917" s="25">
        <f>SUM(CQ1913:CQ1916)</f>
        <v>0</v>
      </c>
      <c r="CS1917" s="10">
        <f>SUM(CS1913:CS1916)</f>
        <v>0</v>
      </c>
      <c r="CT1917" s="11">
        <f t="shared" ref="CT1917:CW1917" si="8808">SUM(CT1913:CT1916)</f>
        <v>0</v>
      </c>
      <c r="CU1917" s="11">
        <f t="shared" si="8808"/>
        <v>0</v>
      </c>
      <c r="CV1917" s="11">
        <f t="shared" si="8808"/>
        <v>0</v>
      </c>
      <c r="CW1917" s="11">
        <f t="shared" si="8808"/>
        <v>0</v>
      </c>
      <c r="CX1917" s="25">
        <f>SUM(CX1913:CX1916)</f>
        <v>0</v>
      </c>
      <c r="CZ1917" s="10">
        <f>SUM(CZ1913:CZ1916)</f>
        <v>0</v>
      </c>
      <c r="DA1917" s="11">
        <f t="shared" ref="DA1917:DD1917" si="8809">SUM(DA1913:DA1916)</f>
        <v>0</v>
      </c>
      <c r="DB1917" s="11">
        <f t="shared" si="8809"/>
        <v>0</v>
      </c>
      <c r="DC1917" s="11">
        <f t="shared" si="8809"/>
        <v>0</v>
      </c>
      <c r="DD1917" s="11">
        <f t="shared" si="8809"/>
        <v>0</v>
      </c>
      <c r="DE1917" s="25">
        <f>SUM(DE1913:DE1916)</f>
        <v>0</v>
      </c>
    </row>
    <row r="1918" spans="3:109" ht="10.4" customHeight="1" thickBot="1"/>
    <row r="1919" spans="3:109">
      <c r="C1919" s="553">
        <v>2028</v>
      </c>
      <c r="E1919" s="1" t="s">
        <v>59</v>
      </c>
      <c r="F1919" s="21">
        <f>CE1913</f>
        <v>0</v>
      </c>
      <c r="G1919" s="22">
        <f t="shared" ref="G1919:G1922" si="8810">CF1913</f>
        <v>0</v>
      </c>
      <c r="H1919" s="22">
        <f t="shared" ref="H1919:H1922" si="8811">CG1913</f>
        <v>0</v>
      </c>
      <c r="I1919" s="22">
        <f t="shared" ref="I1919:I1922" si="8812">CH1913</f>
        <v>0</v>
      </c>
      <c r="J1919" s="22">
        <f t="shared" ref="J1919:J1922" si="8813">CI1913</f>
        <v>0</v>
      </c>
      <c r="K1919" s="4">
        <f>SUM(F1919:J1919)</f>
        <v>0</v>
      </c>
      <c r="M1919" s="2"/>
      <c r="N1919" s="3"/>
      <c r="O1919" s="3"/>
      <c r="P1919" s="3"/>
      <c r="Q1919" s="3"/>
      <c r="R1919" s="4">
        <f>SUM(M1919:Q1919)</f>
        <v>0</v>
      </c>
      <c r="T1919" s="2"/>
      <c r="U1919" s="3"/>
      <c r="V1919" s="3"/>
      <c r="W1919" s="3"/>
      <c r="X1919" s="3"/>
      <c r="Y1919" s="4">
        <f>SUM(T1919:X1919)</f>
        <v>0</v>
      </c>
      <c r="AA1919" s="2"/>
      <c r="AB1919" s="3"/>
      <c r="AC1919" s="3"/>
      <c r="AD1919" s="3"/>
      <c r="AE1919" s="3"/>
      <c r="AF1919" s="4">
        <f>SUM(AA1919:AE1919)</f>
        <v>0</v>
      </c>
      <c r="AH1919" s="2"/>
      <c r="AI1919" s="3"/>
      <c r="AJ1919" s="3"/>
      <c r="AK1919" s="3"/>
      <c r="AL1919" s="3"/>
      <c r="AM1919" s="4">
        <f>SUM(AH1919:AL1919)</f>
        <v>0</v>
      </c>
      <c r="AO1919" s="2"/>
      <c r="AP1919" s="3"/>
      <c r="AQ1919" s="3"/>
      <c r="AR1919" s="3"/>
      <c r="AS1919" s="3"/>
      <c r="AT1919" s="4">
        <f>SUM(AO1919:AS1919)</f>
        <v>0</v>
      </c>
      <c r="AV1919" s="2"/>
      <c r="AW1919" s="3"/>
      <c r="AX1919" s="3"/>
      <c r="AY1919" s="3"/>
      <c r="AZ1919" s="3"/>
      <c r="BA1919" s="4">
        <f>SUM(AV1919:AZ1919)</f>
        <v>0</v>
      </c>
      <c r="BC1919" s="2"/>
      <c r="BD1919" s="3"/>
      <c r="BE1919" s="3"/>
      <c r="BF1919" s="3"/>
      <c r="BG1919" s="3"/>
      <c r="BH1919" s="4">
        <f>SUM(BC1919:BG1919)</f>
        <v>0</v>
      </c>
      <c r="BJ1919" s="2"/>
      <c r="BK1919" s="3"/>
      <c r="BL1919" s="3"/>
      <c r="BM1919" s="3"/>
      <c r="BN1919" s="3"/>
      <c r="BO1919" s="4">
        <f>SUM(BJ1919:BN1919)</f>
        <v>0</v>
      </c>
      <c r="BQ1919" s="2"/>
      <c r="BR1919" s="3"/>
      <c r="BS1919" s="3"/>
      <c r="BT1919" s="3"/>
      <c r="BU1919" s="3"/>
      <c r="BV1919" s="4">
        <f>SUM(BQ1919:BU1919)</f>
        <v>0</v>
      </c>
      <c r="BX1919" s="2"/>
      <c r="BY1919" s="3"/>
      <c r="BZ1919" s="3"/>
      <c r="CA1919" s="3"/>
      <c r="CB1919" s="3"/>
      <c r="CC1919" s="4">
        <f>SUM(BX1919:CB1919)</f>
        <v>0</v>
      </c>
      <c r="CE1919" s="26">
        <f t="shared" ref="CE1919:CE1922" si="8814">F1919+M1919+T1919+AA1919+AH1919+AO1919+AV1919+BC1919+BJ1919+BQ1919+BX1919</f>
        <v>0</v>
      </c>
      <c r="CF1919" s="27">
        <f t="shared" ref="CF1919:CF1922" si="8815">G1919+N1919+U1919+AB1919+AI1919+AP1919+AW1919+BD1919+BK1919+BR1919+BY1919</f>
        <v>0</v>
      </c>
      <c r="CG1919" s="27">
        <f t="shared" ref="CG1919:CG1922" si="8816">H1919+O1919+V1919+AC1919+AJ1919+AQ1919+AX1919+BE1919+BL1919+BS1919+BZ1919</f>
        <v>0</v>
      </c>
      <c r="CH1919" s="27">
        <f t="shared" ref="CH1919:CH1922" si="8817">I1919+P1919+W1919+AD1919+AK1919+AR1919+AY1919+BF1919+BM1919+BT1919+CA1919</f>
        <v>0</v>
      </c>
      <c r="CI1919" s="27">
        <f t="shared" ref="CI1919:CI1922" si="8818">J1919+Q1919+X1919+AE1919+AL1919+AS1919+AZ1919+BG1919+BN1919+BU1919+CB1919</f>
        <v>0</v>
      </c>
      <c r="CJ1919" s="4">
        <f>SUM(CE1919:CI1919)</f>
        <v>0</v>
      </c>
      <c r="CL1919" s="2"/>
      <c r="CM1919" s="3"/>
      <c r="CN1919" s="3"/>
      <c r="CO1919" s="3"/>
      <c r="CP1919" s="3"/>
      <c r="CQ1919" s="4">
        <f>SUM(CL1919:CP1919)</f>
        <v>0</v>
      </c>
      <c r="CS1919" s="2"/>
      <c r="CT1919" s="3"/>
      <c r="CU1919" s="3"/>
      <c r="CV1919" s="3"/>
      <c r="CW1919" s="3"/>
      <c r="CX1919" s="4">
        <f>SUM(CS1919:CW1919)</f>
        <v>0</v>
      </c>
      <c r="CZ1919" s="2"/>
      <c r="DA1919" s="3"/>
      <c r="DB1919" s="3"/>
      <c r="DC1919" s="3"/>
      <c r="DD1919" s="3"/>
      <c r="DE1919" s="4">
        <f>SUM(CZ1919:DD1919)</f>
        <v>0</v>
      </c>
    </row>
    <row r="1920" spans="3:109">
      <c r="C1920" s="567"/>
      <c r="E1920" s="5" t="s">
        <v>60</v>
      </c>
      <c r="F1920" s="23">
        <f t="shared" ref="F1920:F1922" si="8819">CE1914</f>
        <v>0</v>
      </c>
      <c r="G1920" s="24">
        <f t="shared" si="8810"/>
        <v>0</v>
      </c>
      <c r="H1920" s="24">
        <f t="shared" si="8811"/>
        <v>0</v>
      </c>
      <c r="I1920" s="24">
        <f t="shared" si="8812"/>
        <v>0</v>
      </c>
      <c r="J1920" s="24">
        <f t="shared" si="8813"/>
        <v>0</v>
      </c>
      <c r="K1920" s="8">
        <f t="shared" ref="K1920:K1922" si="8820">SUM(F1920:J1920)</f>
        <v>0</v>
      </c>
      <c r="M1920" s="6"/>
      <c r="N1920" s="7"/>
      <c r="O1920" s="7"/>
      <c r="P1920" s="7"/>
      <c r="Q1920" s="7"/>
      <c r="R1920" s="8">
        <f t="shared" ref="R1920:R1922" si="8821">SUM(M1920:Q1920)</f>
        <v>0</v>
      </c>
      <c r="T1920" s="6"/>
      <c r="U1920" s="7"/>
      <c r="V1920" s="7"/>
      <c r="W1920" s="7"/>
      <c r="X1920" s="7"/>
      <c r="Y1920" s="8">
        <f t="shared" ref="Y1920:Y1922" si="8822">SUM(T1920:X1920)</f>
        <v>0</v>
      </c>
      <c r="AA1920" s="6"/>
      <c r="AB1920" s="7"/>
      <c r="AC1920" s="7"/>
      <c r="AD1920" s="7"/>
      <c r="AE1920" s="7"/>
      <c r="AF1920" s="8">
        <f>SUM(AA1920:AE1920)</f>
        <v>0</v>
      </c>
      <c r="AH1920" s="6"/>
      <c r="AI1920" s="7"/>
      <c r="AJ1920" s="7"/>
      <c r="AK1920" s="7"/>
      <c r="AL1920" s="7"/>
      <c r="AM1920" s="8">
        <f>SUM(AH1920:AL1920)</f>
        <v>0</v>
      </c>
      <c r="AO1920" s="6"/>
      <c r="AP1920" s="7"/>
      <c r="AQ1920" s="7"/>
      <c r="AR1920" s="7"/>
      <c r="AS1920" s="7"/>
      <c r="AT1920" s="8">
        <f>SUM(AO1920:AS1920)</f>
        <v>0</v>
      </c>
      <c r="AV1920" s="6"/>
      <c r="AW1920" s="7"/>
      <c r="AX1920" s="7"/>
      <c r="AY1920" s="7"/>
      <c r="AZ1920" s="7"/>
      <c r="BA1920" s="8">
        <f>SUM(AV1920:AZ1920)</f>
        <v>0</v>
      </c>
      <c r="BC1920" s="6"/>
      <c r="BD1920" s="7"/>
      <c r="BE1920" s="7"/>
      <c r="BF1920" s="7"/>
      <c r="BG1920" s="7"/>
      <c r="BH1920" s="8">
        <f>SUM(BC1920:BG1920)</f>
        <v>0</v>
      </c>
      <c r="BJ1920" s="6"/>
      <c r="BK1920" s="7"/>
      <c r="BL1920" s="7"/>
      <c r="BM1920" s="7"/>
      <c r="BN1920" s="7"/>
      <c r="BO1920" s="8">
        <f>SUM(BJ1920:BN1920)</f>
        <v>0</v>
      </c>
      <c r="BQ1920" s="6"/>
      <c r="BR1920" s="7"/>
      <c r="BS1920" s="7"/>
      <c r="BT1920" s="7"/>
      <c r="BU1920" s="7"/>
      <c r="BV1920" s="8">
        <f>SUM(BQ1920:BU1920)</f>
        <v>0</v>
      </c>
      <c r="BX1920" s="6"/>
      <c r="BY1920" s="7"/>
      <c r="BZ1920" s="7"/>
      <c r="CA1920" s="7"/>
      <c r="CB1920" s="7"/>
      <c r="CC1920" s="8">
        <f>SUM(BX1920:CB1920)</f>
        <v>0</v>
      </c>
      <c r="CE1920" s="28">
        <f t="shared" si="8814"/>
        <v>0</v>
      </c>
      <c r="CF1920" s="29">
        <f t="shared" si="8815"/>
        <v>0</v>
      </c>
      <c r="CG1920" s="29">
        <f t="shared" si="8816"/>
        <v>0</v>
      </c>
      <c r="CH1920" s="29">
        <f t="shared" si="8817"/>
        <v>0</v>
      </c>
      <c r="CI1920" s="29">
        <f t="shared" si="8818"/>
        <v>0</v>
      </c>
      <c r="CJ1920" s="8">
        <f>SUM(CE1920:CI1920)</f>
        <v>0</v>
      </c>
      <c r="CL1920" s="6"/>
      <c r="CM1920" s="7"/>
      <c r="CN1920" s="7"/>
      <c r="CO1920" s="7"/>
      <c r="CP1920" s="7"/>
      <c r="CQ1920" s="8">
        <f>SUM(CL1920:CP1920)</f>
        <v>0</v>
      </c>
      <c r="CS1920" s="6"/>
      <c r="CT1920" s="7"/>
      <c r="CU1920" s="7"/>
      <c r="CV1920" s="7"/>
      <c r="CW1920" s="7"/>
      <c r="CX1920" s="8">
        <f t="shared" ref="CX1920:CX1922" si="8823">SUM(CS1920:CW1920)</f>
        <v>0</v>
      </c>
      <c r="CZ1920" s="6"/>
      <c r="DA1920" s="7"/>
      <c r="DB1920" s="7"/>
      <c r="DC1920" s="7"/>
      <c r="DD1920" s="7"/>
      <c r="DE1920" s="8">
        <f t="shared" ref="DE1920:DE1922" si="8824">SUM(CZ1920:DD1920)</f>
        <v>0</v>
      </c>
    </row>
    <row r="1921" spans="2:110">
      <c r="C1921" s="567"/>
      <c r="E1921" s="5" t="s">
        <v>61</v>
      </c>
      <c r="F1921" s="23">
        <f t="shared" si="8819"/>
        <v>0</v>
      </c>
      <c r="G1921" s="24">
        <f t="shared" si="8810"/>
        <v>0</v>
      </c>
      <c r="H1921" s="24">
        <f t="shared" si="8811"/>
        <v>0</v>
      </c>
      <c r="I1921" s="24">
        <f t="shared" si="8812"/>
        <v>0</v>
      </c>
      <c r="J1921" s="24">
        <f t="shared" si="8813"/>
        <v>0</v>
      </c>
      <c r="K1921" s="8">
        <f t="shared" si="8820"/>
        <v>0</v>
      </c>
      <c r="M1921" s="6"/>
      <c r="N1921" s="7"/>
      <c r="O1921" s="7"/>
      <c r="P1921" s="7"/>
      <c r="Q1921" s="7"/>
      <c r="R1921" s="8">
        <f t="shared" si="8821"/>
        <v>0</v>
      </c>
      <c r="T1921" s="6"/>
      <c r="U1921" s="7"/>
      <c r="V1921" s="7"/>
      <c r="W1921" s="7"/>
      <c r="X1921" s="7"/>
      <c r="Y1921" s="8">
        <f t="shared" si="8822"/>
        <v>0</v>
      </c>
      <c r="AA1921" s="6"/>
      <c r="AB1921" s="7"/>
      <c r="AC1921" s="7"/>
      <c r="AD1921" s="7"/>
      <c r="AE1921" s="7"/>
      <c r="AF1921" s="8">
        <f>SUM(AA1921:AE1921)</f>
        <v>0</v>
      </c>
      <c r="AH1921" s="6"/>
      <c r="AI1921" s="7"/>
      <c r="AJ1921" s="7"/>
      <c r="AK1921" s="7"/>
      <c r="AL1921" s="7"/>
      <c r="AM1921" s="8">
        <f>SUM(AH1921:AL1921)</f>
        <v>0</v>
      </c>
      <c r="AO1921" s="6"/>
      <c r="AP1921" s="7"/>
      <c r="AQ1921" s="7"/>
      <c r="AR1921" s="7"/>
      <c r="AS1921" s="7"/>
      <c r="AT1921" s="8">
        <f>SUM(AO1921:AS1921)</f>
        <v>0</v>
      </c>
      <c r="AV1921" s="6"/>
      <c r="AW1921" s="7"/>
      <c r="AX1921" s="7"/>
      <c r="AY1921" s="7"/>
      <c r="AZ1921" s="7"/>
      <c r="BA1921" s="8">
        <f>SUM(AV1921:AZ1921)</f>
        <v>0</v>
      </c>
      <c r="BC1921" s="6"/>
      <c r="BD1921" s="7"/>
      <c r="BE1921" s="7"/>
      <c r="BF1921" s="7"/>
      <c r="BG1921" s="7"/>
      <c r="BH1921" s="8">
        <f>SUM(BC1921:BG1921)</f>
        <v>0</v>
      </c>
      <c r="BJ1921" s="6"/>
      <c r="BK1921" s="7"/>
      <c r="BL1921" s="7"/>
      <c r="BM1921" s="7"/>
      <c r="BN1921" s="7"/>
      <c r="BO1921" s="8">
        <f>SUM(BJ1921:BN1921)</f>
        <v>0</v>
      </c>
      <c r="BQ1921" s="6"/>
      <c r="BR1921" s="7"/>
      <c r="BS1921" s="7"/>
      <c r="BT1921" s="7"/>
      <c r="BU1921" s="7"/>
      <c r="BV1921" s="8">
        <f>SUM(BQ1921:BU1921)</f>
        <v>0</v>
      </c>
      <c r="BX1921" s="6"/>
      <c r="BY1921" s="7"/>
      <c r="BZ1921" s="7"/>
      <c r="CA1921" s="7"/>
      <c r="CB1921" s="7"/>
      <c r="CC1921" s="8">
        <f>SUM(BX1921:CB1921)</f>
        <v>0</v>
      </c>
      <c r="CE1921" s="28">
        <f t="shared" si="8814"/>
        <v>0</v>
      </c>
      <c r="CF1921" s="29">
        <f t="shared" si="8815"/>
        <v>0</v>
      </c>
      <c r="CG1921" s="29">
        <f t="shared" si="8816"/>
        <v>0</v>
      </c>
      <c r="CH1921" s="29">
        <f t="shared" si="8817"/>
        <v>0</v>
      </c>
      <c r="CI1921" s="29">
        <f t="shared" si="8818"/>
        <v>0</v>
      </c>
      <c r="CJ1921" s="8">
        <f>SUM(CE1921:CI1921)</f>
        <v>0</v>
      </c>
      <c r="CL1921" s="6"/>
      <c r="CM1921" s="7"/>
      <c r="CN1921" s="7"/>
      <c r="CO1921" s="7"/>
      <c r="CP1921" s="7"/>
      <c r="CQ1921" s="8">
        <f>SUM(CL1921:CP1921)</f>
        <v>0</v>
      </c>
      <c r="CS1921" s="6"/>
      <c r="CT1921" s="7"/>
      <c r="CU1921" s="7"/>
      <c r="CV1921" s="7"/>
      <c r="CW1921" s="7"/>
      <c r="CX1921" s="8">
        <f t="shared" si="8823"/>
        <v>0</v>
      </c>
      <c r="CZ1921" s="6"/>
      <c r="DA1921" s="7"/>
      <c r="DB1921" s="7"/>
      <c r="DC1921" s="7"/>
      <c r="DD1921" s="7"/>
      <c r="DE1921" s="8">
        <f t="shared" si="8824"/>
        <v>0</v>
      </c>
    </row>
    <row r="1922" spans="2:110" ht="14" thickBot="1">
      <c r="C1922" s="567"/>
      <c r="E1922" s="5" t="s">
        <v>62</v>
      </c>
      <c r="F1922" s="23">
        <f t="shared" si="8819"/>
        <v>0</v>
      </c>
      <c r="G1922" s="24">
        <f t="shared" si="8810"/>
        <v>0</v>
      </c>
      <c r="H1922" s="24">
        <f t="shared" si="8811"/>
        <v>0</v>
      </c>
      <c r="I1922" s="24">
        <f t="shared" si="8812"/>
        <v>0</v>
      </c>
      <c r="J1922" s="24">
        <f t="shared" si="8813"/>
        <v>0</v>
      </c>
      <c r="K1922" s="8">
        <f t="shared" si="8820"/>
        <v>0</v>
      </c>
      <c r="M1922" s="6"/>
      <c r="N1922" s="7"/>
      <c r="O1922" s="7"/>
      <c r="P1922" s="7"/>
      <c r="Q1922" s="7"/>
      <c r="R1922" s="8">
        <f t="shared" si="8821"/>
        <v>0</v>
      </c>
      <c r="T1922" s="6"/>
      <c r="U1922" s="7"/>
      <c r="V1922" s="7"/>
      <c r="W1922" s="7"/>
      <c r="X1922" s="7"/>
      <c r="Y1922" s="8">
        <f t="shared" si="8822"/>
        <v>0</v>
      </c>
      <c r="AA1922" s="6"/>
      <c r="AB1922" s="7"/>
      <c r="AC1922" s="7"/>
      <c r="AD1922" s="7"/>
      <c r="AE1922" s="7"/>
      <c r="AF1922" s="8">
        <f>SUM(AA1922:AE1922)</f>
        <v>0</v>
      </c>
      <c r="AH1922" s="6"/>
      <c r="AI1922" s="7"/>
      <c r="AJ1922" s="7"/>
      <c r="AK1922" s="7"/>
      <c r="AL1922" s="7"/>
      <c r="AM1922" s="8">
        <f>SUM(AH1922:AL1922)</f>
        <v>0</v>
      </c>
      <c r="AO1922" s="6"/>
      <c r="AP1922" s="7"/>
      <c r="AQ1922" s="7"/>
      <c r="AR1922" s="7"/>
      <c r="AS1922" s="7"/>
      <c r="AT1922" s="8">
        <f>SUM(AO1922:AS1922)</f>
        <v>0</v>
      </c>
      <c r="AV1922" s="6"/>
      <c r="AW1922" s="7"/>
      <c r="AX1922" s="7"/>
      <c r="AY1922" s="7"/>
      <c r="AZ1922" s="7"/>
      <c r="BA1922" s="8">
        <f>SUM(AV1922:AZ1922)</f>
        <v>0</v>
      </c>
      <c r="BC1922" s="6"/>
      <c r="BD1922" s="7"/>
      <c r="BE1922" s="7"/>
      <c r="BF1922" s="7"/>
      <c r="BG1922" s="7"/>
      <c r="BH1922" s="8">
        <f>SUM(BC1922:BG1922)</f>
        <v>0</v>
      </c>
      <c r="BJ1922" s="6"/>
      <c r="BK1922" s="7"/>
      <c r="BL1922" s="7"/>
      <c r="BM1922" s="7"/>
      <c r="BN1922" s="7"/>
      <c r="BO1922" s="8">
        <f>SUM(BJ1922:BN1922)</f>
        <v>0</v>
      </c>
      <c r="BQ1922" s="6"/>
      <c r="BR1922" s="7"/>
      <c r="BS1922" s="7"/>
      <c r="BT1922" s="7"/>
      <c r="BU1922" s="7"/>
      <c r="BV1922" s="8">
        <f>SUM(BQ1922:BU1922)</f>
        <v>0</v>
      </c>
      <c r="BX1922" s="6"/>
      <c r="BY1922" s="7"/>
      <c r="BZ1922" s="7"/>
      <c r="CA1922" s="7"/>
      <c r="CB1922" s="7"/>
      <c r="CC1922" s="8">
        <f>SUM(BX1922:CB1922)</f>
        <v>0</v>
      </c>
      <c r="CE1922" s="493">
        <f t="shared" si="8814"/>
        <v>0</v>
      </c>
      <c r="CF1922" s="494">
        <f t="shared" si="8815"/>
        <v>0</v>
      </c>
      <c r="CG1922" s="494">
        <f t="shared" si="8816"/>
        <v>0</v>
      </c>
      <c r="CH1922" s="494">
        <f t="shared" si="8817"/>
        <v>0</v>
      </c>
      <c r="CI1922" s="494">
        <f t="shared" si="8818"/>
        <v>0</v>
      </c>
      <c r="CJ1922" s="495">
        <f>SUM(CE1922:CI1922)</f>
        <v>0</v>
      </c>
      <c r="CL1922" s="6"/>
      <c r="CM1922" s="7"/>
      <c r="CN1922" s="7"/>
      <c r="CO1922" s="7"/>
      <c r="CP1922" s="7"/>
      <c r="CQ1922" s="8">
        <f>SUM(CL1922:CP1922)</f>
        <v>0</v>
      </c>
      <c r="CS1922" s="6"/>
      <c r="CT1922" s="7"/>
      <c r="CU1922" s="7"/>
      <c r="CV1922" s="7"/>
      <c r="CW1922" s="7"/>
      <c r="CX1922" s="8">
        <f t="shared" si="8823"/>
        <v>0</v>
      </c>
      <c r="CZ1922" s="6"/>
      <c r="DA1922" s="7"/>
      <c r="DB1922" s="7"/>
      <c r="DC1922" s="7"/>
      <c r="DD1922" s="7"/>
      <c r="DE1922" s="8">
        <f t="shared" si="8824"/>
        <v>0</v>
      </c>
    </row>
    <row r="1923" spans="2:110" ht="14" thickBot="1">
      <c r="C1923" s="554"/>
      <c r="E1923" s="9"/>
      <c r="F1923" s="10">
        <f>SUM(F1919:F1922)</f>
        <v>0</v>
      </c>
      <c r="G1923" s="11">
        <f t="shared" ref="G1923:J1923" si="8825">SUM(G1919:G1922)</f>
        <v>0</v>
      </c>
      <c r="H1923" s="11">
        <f t="shared" si="8825"/>
        <v>0</v>
      </c>
      <c r="I1923" s="11">
        <f t="shared" si="8825"/>
        <v>0</v>
      </c>
      <c r="J1923" s="11">
        <f t="shared" si="8825"/>
        <v>0</v>
      </c>
      <c r="K1923" s="25">
        <f>SUM(K1919:K1922)</f>
        <v>0</v>
      </c>
      <c r="M1923" s="10">
        <f>SUM(M1919:M1922)</f>
        <v>0</v>
      </c>
      <c r="N1923" s="11">
        <f t="shared" ref="N1923:Q1923" si="8826">SUM(N1919:N1922)</f>
        <v>0</v>
      </c>
      <c r="O1923" s="11">
        <f t="shared" si="8826"/>
        <v>0</v>
      </c>
      <c r="P1923" s="11">
        <f t="shared" si="8826"/>
        <v>0</v>
      </c>
      <c r="Q1923" s="11">
        <f t="shared" si="8826"/>
        <v>0</v>
      </c>
      <c r="R1923" s="25">
        <f>SUM(R1919:R1922)</f>
        <v>0</v>
      </c>
      <c r="T1923" s="10">
        <f>SUM(T1919:T1922)</f>
        <v>0</v>
      </c>
      <c r="U1923" s="11">
        <f t="shared" ref="U1923:X1923" si="8827">SUM(U1919:U1922)</f>
        <v>0</v>
      </c>
      <c r="V1923" s="11">
        <f t="shared" si="8827"/>
        <v>0</v>
      </c>
      <c r="W1923" s="11">
        <f t="shared" si="8827"/>
        <v>0</v>
      </c>
      <c r="X1923" s="11">
        <f t="shared" si="8827"/>
        <v>0</v>
      </c>
      <c r="Y1923" s="25">
        <f>SUM(Y1919:Y1922)</f>
        <v>0</v>
      </c>
      <c r="AA1923" s="10">
        <f>SUM(AA1919:AA1922)</f>
        <v>0</v>
      </c>
      <c r="AB1923" s="11">
        <f t="shared" ref="AB1923:AE1923" si="8828">SUM(AB1919:AB1922)</f>
        <v>0</v>
      </c>
      <c r="AC1923" s="11">
        <f t="shared" si="8828"/>
        <v>0</v>
      </c>
      <c r="AD1923" s="11">
        <f t="shared" si="8828"/>
        <v>0</v>
      </c>
      <c r="AE1923" s="11">
        <f t="shared" si="8828"/>
        <v>0</v>
      </c>
      <c r="AF1923" s="25">
        <f>SUM(AF1919:AF1922)</f>
        <v>0</v>
      </c>
      <c r="AH1923" s="10">
        <f>SUM(AH1919:AH1922)</f>
        <v>0</v>
      </c>
      <c r="AI1923" s="11">
        <f t="shared" ref="AI1923:AL1923" si="8829">SUM(AI1919:AI1922)</f>
        <v>0</v>
      </c>
      <c r="AJ1923" s="11">
        <f t="shared" si="8829"/>
        <v>0</v>
      </c>
      <c r="AK1923" s="11">
        <f t="shared" si="8829"/>
        <v>0</v>
      </c>
      <c r="AL1923" s="11">
        <f t="shared" si="8829"/>
        <v>0</v>
      </c>
      <c r="AM1923" s="25">
        <f>SUM(AM1919:AM1922)</f>
        <v>0</v>
      </c>
      <c r="AO1923" s="10">
        <f>SUM(AO1919:AO1922)</f>
        <v>0</v>
      </c>
      <c r="AP1923" s="11">
        <f t="shared" ref="AP1923:AS1923" si="8830">SUM(AP1919:AP1922)</f>
        <v>0</v>
      </c>
      <c r="AQ1923" s="11">
        <f t="shared" si="8830"/>
        <v>0</v>
      </c>
      <c r="AR1923" s="11">
        <f t="shared" si="8830"/>
        <v>0</v>
      </c>
      <c r="AS1923" s="11">
        <f t="shared" si="8830"/>
        <v>0</v>
      </c>
      <c r="AT1923" s="25">
        <f>SUM(AT1919:AT1922)</f>
        <v>0</v>
      </c>
      <c r="AV1923" s="10">
        <f>SUM(AV1919:AV1922)</f>
        <v>0</v>
      </c>
      <c r="AW1923" s="11">
        <f t="shared" ref="AW1923:AZ1923" si="8831">SUM(AW1919:AW1922)</f>
        <v>0</v>
      </c>
      <c r="AX1923" s="11">
        <f t="shared" si="8831"/>
        <v>0</v>
      </c>
      <c r="AY1923" s="11">
        <f t="shared" si="8831"/>
        <v>0</v>
      </c>
      <c r="AZ1923" s="11">
        <f t="shared" si="8831"/>
        <v>0</v>
      </c>
      <c r="BA1923" s="25">
        <f>SUM(BA1919:BA1922)</f>
        <v>0</v>
      </c>
      <c r="BC1923" s="10">
        <f>SUM(BC1919:BC1922)</f>
        <v>0</v>
      </c>
      <c r="BD1923" s="11">
        <f t="shared" ref="BD1923:BG1923" si="8832">SUM(BD1919:BD1922)</f>
        <v>0</v>
      </c>
      <c r="BE1923" s="11">
        <f t="shared" si="8832"/>
        <v>0</v>
      </c>
      <c r="BF1923" s="11">
        <f t="shared" si="8832"/>
        <v>0</v>
      </c>
      <c r="BG1923" s="11">
        <f t="shared" si="8832"/>
        <v>0</v>
      </c>
      <c r="BH1923" s="25">
        <f>SUM(BH1919:BH1922)</f>
        <v>0</v>
      </c>
      <c r="BJ1923" s="10">
        <f>SUM(BJ1919:BJ1922)</f>
        <v>0</v>
      </c>
      <c r="BK1923" s="11">
        <f t="shared" ref="BK1923:BN1923" si="8833">SUM(BK1919:BK1922)</f>
        <v>0</v>
      </c>
      <c r="BL1923" s="11">
        <f t="shared" si="8833"/>
        <v>0</v>
      </c>
      <c r="BM1923" s="11">
        <f t="shared" si="8833"/>
        <v>0</v>
      </c>
      <c r="BN1923" s="11">
        <f t="shared" si="8833"/>
        <v>0</v>
      </c>
      <c r="BO1923" s="25">
        <f>SUM(BO1919:BO1922)</f>
        <v>0</v>
      </c>
      <c r="BQ1923" s="10">
        <f>SUM(BQ1919:BQ1922)</f>
        <v>0</v>
      </c>
      <c r="BR1923" s="11">
        <f t="shared" ref="BR1923:BU1923" si="8834">SUM(BR1919:BR1922)</f>
        <v>0</v>
      </c>
      <c r="BS1923" s="11">
        <f t="shared" si="8834"/>
        <v>0</v>
      </c>
      <c r="BT1923" s="11">
        <f t="shared" si="8834"/>
        <v>0</v>
      </c>
      <c r="BU1923" s="11">
        <f t="shared" si="8834"/>
        <v>0</v>
      </c>
      <c r="BV1923" s="25">
        <f>SUM(BV1919:BV1922)</f>
        <v>0</v>
      </c>
      <c r="BX1923" s="10">
        <f>SUM(BX1919:BX1922)</f>
        <v>0</v>
      </c>
      <c r="BY1923" s="11">
        <f t="shared" ref="BY1923:CB1923" si="8835">SUM(BY1919:BY1922)</f>
        <v>0</v>
      </c>
      <c r="BZ1923" s="11">
        <f t="shared" si="8835"/>
        <v>0</v>
      </c>
      <c r="CA1923" s="11">
        <f t="shared" si="8835"/>
        <v>0</v>
      </c>
      <c r="CB1923" s="11">
        <f t="shared" si="8835"/>
        <v>0</v>
      </c>
      <c r="CC1923" s="25">
        <f>SUM(CC1919:CC1922)</f>
        <v>0</v>
      </c>
      <c r="CE1923" s="62">
        <f t="shared" ref="CE1923:CJ1923" si="8836">SUM(CE1919:CE1922)</f>
        <v>0</v>
      </c>
      <c r="CF1923" s="63">
        <f t="shared" si="8836"/>
        <v>0</v>
      </c>
      <c r="CG1923" s="63">
        <f t="shared" si="8836"/>
        <v>0</v>
      </c>
      <c r="CH1923" s="63">
        <f t="shared" si="8836"/>
        <v>0</v>
      </c>
      <c r="CI1923" s="63">
        <f t="shared" si="8836"/>
        <v>0</v>
      </c>
      <c r="CJ1923" s="25">
        <f t="shared" si="8836"/>
        <v>0</v>
      </c>
      <c r="CL1923" s="10">
        <f>SUM(CL1919:CL1922)</f>
        <v>0</v>
      </c>
      <c r="CM1923" s="11">
        <f t="shared" ref="CM1923:CP1923" si="8837">SUM(CM1919:CM1922)</f>
        <v>0</v>
      </c>
      <c r="CN1923" s="11">
        <f t="shared" si="8837"/>
        <v>0</v>
      </c>
      <c r="CO1923" s="11">
        <f t="shared" si="8837"/>
        <v>0</v>
      </c>
      <c r="CP1923" s="11">
        <f t="shared" si="8837"/>
        <v>0</v>
      </c>
      <c r="CQ1923" s="25">
        <f>SUM(CQ1919:CQ1922)</f>
        <v>0</v>
      </c>
      <c r="CS1923" s="10">
        <f>SUM(CS1919:CS1922)</f>
        <v>0</v>
      </c>
      <c r="CT1923" s="11">
        <f t="shared" ref="CT1923:CW1923" si="8838">SUM(CT1919:CT1922)</f>
        <v>0</v>
      </c>
      <c r="CU1923" s="11">
        <f t="shared" si="8838"/>
        <v>0</v>
      </c>
      <c r="CV1923" s="11">
        <f t="shared" si="8838"/>
        <v>0</v>
      </c>
      <c r="CW1923" s="11">
        <f t="shared" si="8838"/>
        <v>0</v>
      </c>
      <c r="CX1923" s="25">
        <f>SUM(CX1919:CX1922)</f>
        <v>0</v>
      </c>
      <c r="CZ1923" s="10">
        <f>SUM(CZ1919:CZ1922)</f>
        <v>0</v>
      </c>
      <c r="DA1923" s="11">
        <f t="shared" ref="DA1923:DD1923" si="8839">SUM(DA1919:DA1922)</f>
        <v>0</v>
      </c>
      <c r="DB1923" s="11">
        <f t="shared" si="8839"/>
        <v>0</v>
      </c>
      <c r="DC1923" s="11">
        <f t="shared" si="8839"/>
        <v>0</v>
      </c>
      <c r="DD1923" s="11">
        <f t="shared" si="8839"/>
        <v>0</v>
      </c>
      <c r="DE1923" s="25">
        <f>SUM(DE1919:DE1922)</f>
        <v>0</v>
      </c>
    </row>
    <row r="1925" spans="2:110">
      <c r="B1925" s="123"/>
      <c r="C1925" s="20"/>
      <c r="D1925" s="20"/>
      <c r="E1925" s="20"/>
      <c r="F1925" s="20"/>
      <c r="G1925" s="20"/>
      <c r="H1925" s="20"/>
      <c r="I1925" s="20"/>
      <c r="J1925" s="20"/>
      <c r="K1925" s="20"/>
      <c r="L1925" s="20"/>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c r="CA1925" s="20"/>
      <c r="CB1925" s="20"/>
      <c r="CC1925" s="20"/>
      <c r="CD1925" s="20"/>
      <c r="CE1925" s="20"/>
      <c r="CF1925" s="20"/>
      <c r="CG1925" s="20"/>
      <c r="CH1925" s="20"/>
      <c r="CI1925" s="20"/>
      <c r="CJ1925" s="20"/>
      <c r="CK1925" s="20"/>
      <c r="CL1925" s="20"/>
      <c r="CM1925" s="20"/>
      <c r="CN1925" s="20"/>
      <c r="CO1925" s="20"/>
      <c r="CP1925" s="20"/>
      <c r="CQ1925" s="20"/>
      <c r="CR1925" s="20"/>
      <c r="CS1925" s="20"/>
      <c r="CT1925" s="20"/>
      <c r="CU1925" s="20"/>
      <c r="CV1925" s="20"/>
      <c r="CW1925" s="20"/>
      <c r="CX1925" s="20"/>
      <c r="CY1925" s="20"/>
      <c r="CZ1925" s="20"/>
      <c r="DA1925" s="20"/>
      <c r="DB1925" s="20"/>
      <c r="DC1925" s="20"/>
      <c r="DD1925" s="20"/>
      <c r="DE1925" s="20"/>
      <c r="DF1925" s="20"/>
    </row>
    <row r="1926" spans="2:110" ht="14" thickBot="1">
      <c r="B1926" s="94">
        <v>61</v>
      </c>
      <c r="C1926" s="12" t="s">
        <v>122</v>
      </c>
    </row>
    <row r="1927" spans="2:110">
      <c r="C1927" s="553">
        <v>2024</v>
      </c>
      <c r="E1927" s="1" t="s">
        <v>59</v>
      </c>
      <c r="F1927" s="2"/>
      <c r="G1927" s="3"/>
      <c r="H1927" s="3"/>
      <c r="I1927" s="3"/>
      <c r="J1927" s="3"/>
      <c r="K1927" s="4">
        <f>SUM(F1927:J1927)</f>
        <v>0</v>
      </c>
      <c r="M1927" s="2"/>
      <c r="N1927" s="3"/>
      <c r="O1927" s="3"/>
      <c r="P1927" s="3"/>
      <c r="Q1927" s="3"/>
      <c r="R1927" s="4">
        <f>SUM(M1927:Q1927)</f>
        <v>0</v>
      </c>
      <c r="T1927" s="2"/>
      <c r="U1927" s="3"/>
      <c r="V1927" s="3"/>
      <c r="W1927" s="3"/>
      <c r="X1927" s="3"/>
      <c r="Y1927" s="4">
        <f>SUM(T1927:X1927)</f>
        <v>0</v>
      </c>
      <c r="AA1927" s="2"/>
      <c r="AB1927" s="3"/>
      <c r="AC1927" s="3"/>
      <c r="AD1927" s="3"/>
      <c r="AE1927" s="3"/>
      <c r="AF1927" s="4">
        <f>SUM(AA1927:AE1927)</f>
        <v>0</v>
      </c>
      <c r="AH1927" s="2"/>
      <c r="AI1927" s="3"/>
      <c r="AJ1927" s="3"/>
      <c r="AK1927" s="3"/>
      <c r="AL1927" s="3"/>
      <c r="AM1927" s="4">
        <f>SUM(AH1927:AL1927)</f>
        <v>0</v>
      </c>
      <c r="AO1927" s="2"/>
      <c r="AP1927" s="3"/>
      <c r="AQ1927" s="3"/>
      <c r="AR1927" s="3"/>
      <c r="AS1927" s="3"/>
      <c r="AT1927" s="4">
        <f>SUM(AO1927:AS1927)</f>
        <v>0</v>
      </c>
      <c r="AV1927" s="2"/>
      <c r="AW1927" s="3"/>
      <c r="AX1927" s="3"/>
      <c r="AY1927" s="3"/>
      <c r="AZ1927" s="3"/>
      <c r="BA1927" s="4">
        <f>SUM(AV1927:AZ1927)</f>
        <v>0</v>
      </c>
      <c r="BC1927" s="2"/>
      <c r="BD1927" s="3"/>
      <c r="BE1927" s="3"/>
      <c r="BF1927" s="3"/>
      <c r="BG1927" s="3"/>
      <c r="BH1927" s="4">
        <f>SUM(BC1927:BG1927)</f>
        <v>0</v>
      </c>
      <c r="BJ1927" s="2"/>
      <c r="BK1927" s="3"/>
      <c r="BL1927" s="3"/>
      <c r="BM1927" s="3"/>
      <c r="BN1927" s="3"/>
      <c r="BO1927" s="4">
        <f>SUM(BJ1927:BN1927)</f>
        <v>0</v>
      </c>
      <c r="BQ1927" s="2"/>
      <c r="BR1927" s="3"/>
      <c r="BS1927" s="3"/>
      <c r="BT1927" s="3"/>
      <c r="BU1927" s="3"/>
      <c r="BV1927" s="4">
        <f>SUM(BQ1927:BU1927)</f>
        <v>0</v>
      </c>
      <c r="BX1927" s="2"/>
      <c r="BY1927" s="3"/>
      <c r="BZ1927" s="3"/>
      <c r="CA1927" s="3"/>
      <c r="CB1927" s="3"/>
      <c r="CC1927" s="4">
        <f>SUM(BX1927:CB1927)</f>
        <v>0</v>
      </c>
      <c r="CE1927" s="26">
        <f t="shared" ref="CE1927:CE1930" si="8840">F1927+M1927+T1927+AA1927+AH1927+AO1927+AV1927+BC1927+BJ1927+BQ1927+BX1927</f>
        <v>0</v>
      </c>
      <c r="CF1927" s="27">
        <f t="shared" ref="CF1927:CF1930" si="8841">G1927+N1927+U1927+AB1927+AI1927+AP1927+AW1927+BD1927+BK1927+BR1927+BY1927</f>
        <v>0</v>
      </c>
      <c r="CG1927" s="27">
        <f t="shared" ref="CG1927:CG1930" si="8842">H1927+O1927+V1927+AC1927+AJ1927+AQ1927+AX1927+BE1927+BL1927+BS1927+BZ1927</f>
        <v>0</v>
      </c>
      <c r="CH1927" s="27">
        <f t="shared" ref="CH1927:CH1930" si="8843">I1927+P1927+W1927+AD1927+AK1927+AR1927+AY1927+BF1927+BM1927+BT1927+CA1927</f>
        <v>0</v>
      </c>
      <c r="CI1927" s="27">
        <f t="shared" ref="CI1927:CI1930" si="8844">J1927+Q1927+X1927+AE1927+AL1927+AS1927+AZ1927+BG1927+BN1927+BU1927+CB1927</f>
        <v>0</v>
      </c>
      <c r="CJ1927" s="4">
        <f>SUM(CE1927:CI1927)</f>
        <v>0</v>
      </c>
      <c r="CL1927" s="2"/>
      <c r="CM1927" s="3"/>
      <c r="CN1927" s="3"/>
      <c r="CO1927" s="3"/>
      <c r="CP1927" s="3"/>
      <c r="CQ1927" s="4">
        <f>SUM(CL1927:CP1927)</f>
        <v>0</v>
      </c>
      <c r="CS1927" s="2"/>
      <c r="CT1927" s="3"/>
      <c r="CU1927" s="3"/>
      <c r="CV1927" s="3"/>
      <c r="CW1927" s="3"/>
      <c r="CX1927" s="4">
        <f>SUM(CS1927:CW1927)</f>
        <v>0</v>
      </c>
      <c r="CZ1927" s="2"/>
      <c r="DA1927" s="3"/>
      <c r="DB1927" s="3"/>
      <c r="DC1927" s="3"/>
      <c r="DD1927" s="3"/>
      <c r="DE1927" s="4">
        <f>SUM(CZ1927:DD1927)</f>
        <v>0</v>
      </c>
    </row>
    <row r="1928" spans="2:110">
      <c r="C1928" s="567"/>
      <c r="E1928" s="5" t="s">
        <v>60</v>
      </c>
      <c r="F1928" s="6"/>
      <c r="G1928" s="7"/>
      <c r="H1928" s="7"/>
      <c r="I1928" s="7"/>
      <c r="J1928" s="7"/>
      <c r="K1928" s="8">
        <f t="shared" ref="K1928:K1930" si="8845">SUM(F1928:J1928)</f>
        <v>0</v>
      </c>
      <c r="M1928" s="6"/>
      <c r="N1928" s="7"/>
      <c r="O1928" s="7"/>
      <c r="P1928" s="7"/>
      <c r="Q1928" s="7"/>
      <c r="R1928" s="8">
        <f t="shared" ref="R1928:R1930" si="8846">SUM(M1928:Q1928)</f>
        <v>0</v>
      </c>
      <c r="T1928" s="6"/>
      <c r="U1928" s="7"/>
      <c r="V1928" s="7"/>
      <c r="W1928" s="7"/>
      <c r="X1928" s="7"/>
      <c r="Y1928" s="8">
        <f t="shared" ref="Y1928:Y1930" si="8847">SUM(T1928:X1928)</f>
        <v>0</v>
      </c>
      <c r="AA1928" s="6"/>
      <c r="AB1928" s="7"/>
      <c r="AC1928" s="7"/>
      <c r="AD1928" s="7"/>
      <c r="AE1928" s="7"/>
      <c r="AF1928" s="8">
        <f>SUM(AA1928:AE1928)</f>
        <v>0</v>
      </c>
      <c r="AH1928" s="6"/>
      <c r="AI1928" s="7"/>
      <c r="AJ1928" s="7"/>
      <c r="AK1928" s="7"/>
      <c r="AL1928" s="7"/>
      <c r="AM1928" s="8">
        <f>SUM(AH1928:AL1928)</f>
        <v>0</v>
      </c>
      <c r="AO1928" s="6"/>
      <c r="AP1928" s="7"/>
      <c r="AQ1928" s="7"/>
      <c r="AR1928" s="7"/>
      <c r="AS1928" s="7"/>
      <c r="AT1928" s="8">
        <f>SUM(AO1928:AS1928)</f>
        <v>0</v>
      </c>
      <c r="AV1928" s="6"/>
      <c r="AW1928" s="7"/>
      <c r="AX1928" s="7"/>
      <c r="AY1928" s="7"/>
      <c r="AZ1928" s="7"/>
      <c r="BA1928" s="8">
        <f>SUM(AV1928:AZ1928)</f>
        <v>0</v>
      </c>
      <c r="BC1928" s="6"/>
      <c r="BD1928" s="7"/>
      <c r="BE1928" s="7"/>
      <c r="BF1928" s="7"/>
      <c r="BG1928" s="7"/>
      <c r="BH1928" s="8">
        <f>SUM(BC1928:BG1928)</f>
        <v>0</v>
      </c>
      <c r="BJ1928" s="6"/>
      <c r="BK1928" s="7"/>
      <c r="BL1928" s="7"/>
      <c r="BM1928" s="7"/>
      <c r="BN1928" s="7"/>
      <c r="BO1928" s="8">
        <f>SUM(BJ1928:BN1928)</f>
        <v>0</v>
      </c>
      <c r="BQ1928" s="6"/>
      <c r="BR1928" s="7"/>
      <c r="BS1928" s="7"/>
      <c r="BT1928" s="7"/>
      <c r="BU1928" s="7"/>
      <c r="BV1928" s="8">
        <f>SUM(BQ1928:BU1928)</f>
        <v>0</v>
      </c>
      <c r="BX1928" s="6"/>
      <c r="BY1928" s="7"/>
      <c r="BZ1928" s="7"/>
      <c r="CA1928" s="7"/>
      <c r="CB1928" s="7"/>
      <c r="CC1928" s="8">
        <f>SUM(BX1928:CB1928)</f>
        <v>0</v>
      </c>
      <c r="CE1928" s="28">
        <f t="shared" si="8840"/>
        <v>0</v>
      </c>
      <c r="CF1928" s="29">
        <f t="shared" si="8841"/>
        <v>0</v>
      </c>
      <c r="CG1928" s="29">
        <f t="shared" si="8842"/>
        <v>0</v>
      </c>
      <c r="CH1928" s="29">
        <f t="shared" si="8843"/>
        <v>0</v>
      </c>
      <c r="CI1928" s="29">
        <f t="shared" si="8844"/>
        <v>0</v>
      </c>
      <c r="CJ1928" s="8">
        <f>SUM(CE1928:CI1928)</f>
        <v>0</v>
      </c>
      <c r="CL1928" s="6"/>
      <c r="CM1928" s="7"/>
      <c r="CN1928" s="7"/>
      <c r="CO1928" s="7"/>
      <c r="CP1928" s="7"/>
      <c r="CQ1928" s="8">
        <f>SUM(CL1928:CP1928)</f>
        <v>0</v>
      </c>
      <c r="CS1928" s="6"/>
      <c r="CT1928" s="7"/>
      <c r="CU1928" s="7"/>
      <c r="CV1928" s="7"/>
      <c r="CW1928" s="7"/>
      <c r="CX1928" s="8">
        <f t="shared" ref="CX1928:CX1930" si="8848">SUM(CS1928:CW1928)</f>
        <v>0</v>
      </c>
      <c r="CZ1928" s="6"/>
      <c r="DA1928" s="7"/>
      <c r="DB1928" s="7"/>
      <c r="DC1928" s="7"/>
      <c r="DD1928" s="7"/>
      <c r="DE1928" s="8">
        <f t="shared" ref="DE1928:DE1930" si="8849">SUM(CZ1928:DD1928)</f>
        <v>0</v>
      </c>
    </row>
    <row r="1929" spans="2:110">
      <c r="C1929" s="567"/>
      <c r="E1929" s="5" t="s">
        <v>61</v>
      </c>
      <c r="F1929" s="6"/>
      <c r="G1929" s="7"/>
      <c r="H1929" s="7"/>
      <c r="I1929" s="7"/>
      <c r="J1929" s="7"/>
      <c r="K1929" s="8">
        <f t="shared" si="8845"/>
        <v>0</v>
      </c>
      <c r="M1929" s="6"/>
      <c r="N1929" s="7"/>
      <c r="O1929" s="7"/>
      <c r="P1929" s="7"/>
      <c r="Q1929" s="7"/>
      <c r="R1929" s="8">
        <f t="shared" si="8846"/>
        <v>0</v>
      </c>
      <c r="T1929" s="6"/>
      <c r="U1929" s="7"/>
      <c r="V1929" s="7"/>
      <c r="W1929" s="7"/>
      <c r="X1929" s="7"/>
      <c r="Y1929" s="8">
        <f t="shared" si="8847"/>
        <v>0</v>
      </c>
      <c r="AA1929" s="6"/>
      <c r="AB1929" s="7"/>
      <c r="AC1929" s="7"/>
      <c r="AD1929" s="7"/>
      <c r="AE1929" s="7"/>
      <c r="AF1929" s="8">
        <f>SUM(AA1929:AE1929)</f>
        <v>0</v>
      </c>
      <c r="AH1929" s="6"/>
      <c r="AI1929" s="7"/>
      <c r="AJ1929" s="7"/>
      <c r="AK1929" s="7"/>
      <c r="AL1929" s="7"/>
      <c r="AM1929" s="8">
        <f>SUM(AH1929:AL1929)</f>
        <v>0</v>
      </c>
      <c r="AO1929" s="6"/>
      <c r="AP1929" s="7"/>
      <c r="AQ1929" s="7"/>
      <c r="AR1929" s="7"/>
      <c r="AS1929" s="7"/>
      <c r="AT1929" s="8">
        <f>SUM(AO1929:AS1929)</f>
        <v>0</v>
      </c>
      <c r="AV1929" s="6"/>
      <c r="AW1929" s="7"/>
      <c r="AX1929" s="7"/>
      <c r="AY1929" s="7"/>
      <c r="AZ1929" s="7"/>
      <c r="BA1929" s="8">
        <f>SUM(AV1929:AZ1929)</f>
        <v>0</v>
      </c>
      <c r="BC1929" s="6"/>
      <c r="BD1929" s="7"/>
      <c r="BE1929" s="7"/>
      <c r="BF1929" s="7"/>
      <c r="BG1929" s="7"/>
      <c r="BH1929" s="8">
        <f>SUM(BC1929:BG1929)</f>
        <v>0</v>
      </c>
      <c r="BJ1929" s="6"/>
      <c r="BK1929" s="7"/>
      <c r="BL1929" s="7"/>
      <c r="BM1929" s="7"/>
      <c r="BN1929" s="7"/>
      <c r="BO1929" s="8">
        <f>SUM(BJ1929:BN1929)</f>
        <v>0</v>
      </c>
      <c r="BQ1929" s="6"/>
      <c r="BR1929" s="7"/>
      <c r="BS1929" s="7"/>
      <c r="BT1929" s="7"/>
      <c r="BU1929" s="7"/>
      <c r="BV1929" s="8">
        <f>SUM(BQ1929:BU1929)</f>
        <v>0</v>
      </c>
      <c r="BX1929" s="6"/>
      <c r="BY1929" s="7"/>
      <c r="BZ1929" s="7"/>
      <c r="CA1929" s="7"/>
      <c r="CB1929" s="7"/>
      <c r="CC1929" s="8">
        <f>SUM(BX1929:CB1929)</f>
        <v>0</v>
      </c>
      <c r="CE1929" s="28">
        <f t="shared" si="8840"/>
        <v>0</v>
      </c>
      <c r="CF1929" s="29">
        <f t="shared" si="8841"/>
        <v>0</v>
      </c>
      <c r="CG1929" s="29">
        <f t="shared" si="8842"/>
        <v>0</v>
      </c>
      <c r="CH1929" s="29">
        <f t="shared" si="8843"/>
        <v>0</v>
      </c>
      <c r="CI1929" s="29">
        <f t="shared" si="8844"/>
        <v>0</v>
      </c>
      <c r="CJ1929" s="8">
        <f>SUM(CE1929:CI1929)</f>
        <v>0</v>
      </c>
      <c r="CL1929" s="6"/>
      <c r="CM1929" s="7"/>
      <c r="CN1929" s="7"/>
      <c r="CO1929" s="7"/>
      <c r="CP1929" s="7"/>
      <c r="CQ1929" s="8">
        <f>SUM(CL1929:CP1929)</f>
        <v>0</v>
      </c>
      <c r="CS1929" s="6"/>
      <c r="CT1929" s="7"/>
      <c r="CU1929" s="7"/>
      <c r="CV1929" s="7"/>
      <c r="CW1929" s="7"/>
      <c r="CX1929" s="8">
        <f t="shared" si="8848"/>
        <v>0</v>
      </c>
      <c r="CZ1929" s="6"/>
      <c r="DA1929" s="7"/>
      <c r="DB1929" s="7"/>
      <c r="DC1929" s="7"/>
      <c r="DD1929" s="7"/>
      <c r="DE1929" s="8">
        <f t="shared" si="8849"/>
        <v>0</v>
      </c>
    </row>
    <row r="1930" spans="2:110" ht="14" thickBot="1">
      <c r="C1930" s="567"/>
      <c r="E1930" s="5" t="s">
        <v>62</v>
      </c>
      <c r="F1930" s="6"/>
      <c r="G1930" s="7"/>
      <c r="H1930" s="7"/>
      <c r="I1930" s="7"/>
      <c r="J1930" s="7"/>
      <c r="K1930" s="8">
        <f t="shared" si="8845"/>
        <v>0</v>
      </c>
      <c r="M1930" s="6"/>
      <c r="N1930" s="7"/>
      <c r="O1930" s="7"/>
      <c r="P1930" s="7"/>
      <c r="Q1930" s="7"/>
      <c r="R1930" s="8">
        <f t="shared" si="8846"/>
        <v>0</v>
      </c>
      <c r="T1930" s="6"/>
      <c r="U1930" s="7"/>
      <c r="V1930" s="7"/>
      <c r="W1930" s="7"/>
      <c r="X1930" s="7"/>
      <c r="Y1930" s="8">
        <f t="shared" si="8847"/>
        <v>0</v>
      </c>
      <c r="AA1930" s="6"/>
      <c r="AB1930" s="7"/>
      <c r="AC1930" s="7"/>
      <c r="AD1930" s="7"/>
      <c r="AE1930" s="7"/>
      <c r="AF1930" s="8">
        <f>SUM(AA1930:AE1930)</f>
        <v>0</v>
      </c>
      <c r="AH1930" s="6"/>
      <c r="AI1930" s="7"/>
      <c r="AJ1930" s="7"/>
      <c r="AK1930" s="7"/>
      <c r="AL1930" s="7"/>
      <c r="AM1930" s="8">
        <f>SUM(AH1930:AL1930)</f>
        <v>0</v>
      </c>
      <c r="AO1930" s="6"/>
      <c r="AP1930" s="7"/>
      <c r="AQ1930" s="7"/>
      <c r="AR1930" s="7"/>
      <c r="AS1930" s="7"/>
      <c r="AT1930" s="8">
        <f>SUM(AO1930:AS1930)</f>
        <v>0</v>
      </c>
      <c r="AV1930" s="6"/>
      <c r="AW1930" s="7"/>
      <c r="AX1930" s="7"/>
      <c r="AY1930" s="7"/>
      <c r="AZ1930" s="7"/>
      <c r="BA1930" s="8">
        <f>SUM(AV1930:AZ1930)</f>
        <v>0</v>
      </c>
      <c r="BC1930" s="6"/>
      <c r="BD1930" s="7"/>
      <c r="BE1930" s="7"/>
      <c r="BF1930" s="7"/>
      <c r="BG1930" s="7"/>
      <c r="BH1930" s="8">
        <f>SUM(BC1930:BG1930)</f>
        <v>0</v>
      </c>
      <c r="BJ1930" s="6"/>
      <c r="BK1930" s="7"/>
      <c r="BL1930" s="7"/>
      <c r="BM1930" s="7"/>
      <c r="BN1930" s="7"/>
      <c r="BO1930" s="8">
        <f>SUM(BJ1930:BN1930)</f>
        <v>0</v>
      </c>
      <c r="BQ1930" s="6"/>
      <c r="BR1930" s="7"/>
      <c r="BS1930" s="7"/>
      <c r="BT1930" s="7"/>
      <c r="BU1930" s="7"/>
      <c r="BV1930" s="8">
        <f>SUM(BQ1930:BU1930)</f>
        <v>0</v>
      </c>
      <c r="BX1930" s="6"/>
      <c r="BY1930" s="7"/>
      <c r="BZ1930" s="7"/>
      <c r="CA1930" s="7"/>
      <c r="CB1930" s="7"/>
      <c r="CC1930" s="8">
        <f>SUM(BX1930:CB1930)</f>
        <v>0</v>
      </c>
      <c r="CE1930" s="493">
        <f t="shared" si="8840"/>
        <v>0</v>
      </c>
      <c r="CF1930" s="494">
        <f t="shared" si="8841"/>
        <v>0</v>
      </c>
      <c r="CG1930" s="494">
        <f t="shared" si="8842"/>
        <v>0</v>
      </c>
      <c r="CH1930" s="494">
        <f t="shared" si="8843"/>
        <v>0</v>
      </c>
      <c r="CI1930" s="494">
        <f t="shared" si="8844"/>
        <v>0</v>
      </c>
      <c r="CJ1930" s="495">
        <f>SUM(CE1930:CI1930)</f>
        <v>0</v>
      </c>
      <c r="CL1930" s="6"/>
      <c r="CM1930" s="7"/>
      <c r="CN1930" s="7"/>
      <c r="CO1930" s="7"/>
      <c r="CP1930" s="7"/>
      <c r="CQ1930" s="8">
        <f>SUM(CL1930:CP1930)</f>
        <v>0</v>
      </c>
      <c r="CS1930" s="6"/>
      <c r="CT1930" s="7"/>
      <c r="CU1930" s="7"/>
      <c r="CV1930" s="7"/>
      <c r="CW1930" s="7"/>
      <c r="CX1930" s="8">
        <f t="shared" si="8848"/>
        <v>0</v>
      </c>
      <c r="CZ1930" s="6"/>
      <c r="DA1930" s="7"/>
      <c r="DB1930" s="7"/>
      <c r="DC1930" s="7"/>
      <c r="DD1930" s="7"/>
      <c r="DE1930" s="8">
        <f t="shared" si="8849"/>
        <v>0</v>
      </c>
    </row>
    <row r="1931" spans="2:110" ht="14" thickBot="1">
      <c r="C1931" s="554"/>
      <c r="E1931" s="9"/>
      <c r="F1931" s="10">
        <f>SUM(F1927:F1930)</f>
        <v>0</v>
      </c>
      <c r="G1931" s="11">
        <f t="shared" ref="G1931:J1931" si="8850">SUM(G1927:G1930)</f>
        <v>0</v>
      </c>
      <c r="H1931" s="11">
        <f t="shared" si="8850"/>
        <v>0</v>
      </c>
      <c r="I1931" s="11">
        <f t="shared" si="8850"/>
        <v>0</v>
      </c>
      <c r="J1931" s="61">
        <f t="shared" si="8850"/>
        <v>0</v>
      </c>
      <c r="K1931" s="25">
        <f>SUM(K1927:K1930)</f>
        <v>0</v>
      </c>
      <c r="M1931" s="10">
        <f>SUM(M1927:M1930)</f>
        <v>0</v>
      </c>
      <c r="N1931" s="11">
        <f t="shared" ref="N1931:Q1931" si="8851">SUM(N1927:N1930)</f>
        <v>0</v>
      </c>
      <c r="O1931" s="11">
        <f t="shared" si="8851"/>
        <v>0</v>
      </c>
      <c r="P1931" s="11">
        <f t="shared" si="8851"/>
        <v>0</v>
      </c>
      <c r="Q1931" s="11">
        <f t="shared" si="8851"/>
        <v>0</v>
      </c>
      <c r="R1931" s="25">
        <f>SUM(R1927:R1930)</f>
        <v>0</v>
      </c>
      <c r="T1931" s="10">
        <f>SUM(T1927:T1930)</f>
        <v>0</v>
      </c>
      <c r="U1931" s="11">
        <f t="shared" ref="U1931:X1931" si="8852">SUM(U1927:U1930)</f>
        <v>0</v>
      </c>
      <c r="V1931" s="11">
        <f t="shared" si="8852"/>
        <v>0</v>
      </c>
      <c r="W1931" s="11">
        <f t="shared" si="8852"/>
        <v>0</v>
      </c>
      <c r="X1931" s="11">
        <f t="shared" si="8852"/>
        <v>0</v>
      </c>
      <c r="Y1931" s="25">
        <f>SUM(Y1927:Y1930)</f>
        <v>0</v>
      </c>
      <c r="AA1931" s="10">
        <f>SUM(AA1927:AA1930)</f>
        <v>0</v>
      </c>
      <c r="AB1931" s="11">
        <f t="shared" ref="AB1931:AE1931" si="8853">SUM(AB1927:AB1930)</f>
        <v>0</v>
      </c>
      <c r="AC1931" s="11">
        <f t="shared" si="8853"/>
        <v>0</v>
      </c>
      <c r="AD1931" s="11">
        <f t="shared" si="8853"/>
        <v>0</v>
      </c>
      <c r="AE1931" s="11">
        <f t="shared" si="8853"/>
        <v>0</v>
      </c>
      <c r="AF1931" s="25">
        <f>SUM(AF1927:AF1930)</f>
        <v>0</v>
      </c>
      <c r="AH1931" s="10">
        <f>SUM(AH1927:AH1930)</f>
        <v>0</v>
      </c>
      <c r="AI1931" s="11">
        <f t="shared" ref="AI1931:AL1931" si="8854">SUM(AI1927:AI1930)</f>
        <v>0</v>
      </c>
      <c r="AJ1931" s="11">
        <f t="shared" si="8854"/>
        <v>0</v>
      </c>
      <c r="AK1931" s="11">
        <f t="shared" si="8854"/>
        <v>0</v>
      </c>
      <c r="AL1931" s="11">
        <f t="shared" si="8854"/>
        <v>0</v>
      </c>
      <c r="AM1931" s="25">
        <f>SUM(AM1927:AM1930)</f>
        <v>0</v>
      </c>
      <c r="AO1931" s="10">
        <f>SUM(AO1927:AO1930)</f>
        <v>0</v>
      </c>
      <c r="AP1931" s="11">
        <f t="shared" ref="AP1931:AS1931" si="8855">SUM(AP1927:AP1930)</f>
        <v>0</v>
      </c>
      <c r="AQ1931" s="11">
        <f t="shared" si="8855"/>
        <v>0</v>
      </c>
      <c r="AR1931" s="11">
        <f t="shared" si="8855"/>
        <v>0</v>
      </c>
      <c r="AS1931" s="11">
        <f t="shared" si="8855"/>
        <v>0</v>
      </c>
      <c r="AT1931" s="25">
        <f>SUM(AT1927:AT1930)</f>
        <v>0</v>
      </c>
      <c r="AV1931" s="10">
        <f>SUM(AV1927:AV1930)</f>
        <v>0</v>
      </c>
      <c r="AW1931" s="11">
        <f t="shared" ref="AW1931:AZ1931" si="8856">SUM(AW1927:AW1930)</f>
        <v>0</v>
      </c>
      <c r="AX1931" s="11">
        <f t="shared" si="8856"/>
        <v>0</v>
      </c>
      <c r="AY1931" s="11">
        <f t="shared" si="8856"/>
        <v>0</v>
      </c>
      <c r="AZ1931" s="11">
        <f t="shared" si="8856"/>
        <v>0</v>
      </c>
      <c r="BA1931" s="25">
        <f>SUM(BA1927:BA1930)</f>
        <v>0</v>
      </c>
      <c r="BC1931" s="10">
        <f>SUM(BC1927:BC1930)</f>
        <v>0</v>
      </c>
      <c r="BD1931" s="11">
        <f t="shared" ref="BD1931:BG1931" si="8857">SUM(BD1927:BD1930)</f>
        <v>0</v>
      </c>
      <c r="BE1931" s="11">
        <f t="shared" si="8857"/>
        <v>0</v>
      </c>
      <c r="BF1931" s="11">
        <f t="shared" si="8857"/>
        <v>0</v>
      </c>
      <c r="BG1931" s="11">
        <f t="shared" si="8857"/>
        <v>0</v>
      </c>
      <c r="BH1931" s="25">
        <f>SUM(BH1927:BH1930)</f>
        <v>0</v>
      </c>
      <c r="BJ1931" s="10">
        <f>SUM(BJ1927:BJ1930)</f>
        <v>0</v>
      </c>
      <c r="BK1931" s="11">
        <f t="shared" ref="BK1931:BN1931" si="8858">SUM(BK1927:BK1930)</f>
        <v>0</v>
      </c>
      <c r="BL1931" s="11">
        <f t="shared" si="8858"/>
        <v>0</v>
      </c>
      <c r="BM1931" s="11">
        <f t="shared" si="8858"/>
        <v>0</v>
      </c>
      <c r="BN1931" s="11">
        <f t="shared" si="8858"/>
        <v>0</v>
      </c>
      <c r="BO1931" s="25">
        <f>SUM(BO1927:BO1930)</f>
        <v>0</v>
      </c>
      <c r="BQ1931" s="10">
        <f>SUM(BQ1927:BQ1930)</f>
        <v>0</v>
      </c>
      <c r="BR1931" s="11">
        <f t="shared" ref="BR1931:BU1931" si="8859">SUM(BR1927:BR1930)</f>
        <v>0</v>
      </c>
      <c r="BS1931" s="11">
        <f t="shared" si="8859"/>
        <v>0</v>
      </c>
      <c r="BT1931" s="11">
        <f t="shared" si="8859"/>
        <v>0</v>
      </c>
      <c r="BU1931" s="11">
        <f t="shared" si="8859"/>
        <v>0</v>
      </c>
      <c r="BV1931" s="25">
        <f>SUM(BV1927:BV1930)</f>
        <v>0</v>
      </c>
      <c r="BX1931" s="10">
        <f>SUM(BX1927:BX1930)</f>
        <v>0</v>
      </c>
      <c r="BY1931" s="11">
        <f t="shared" ref="BY1931:CB1931" si="8860">SUM(BY1927:BY1930)</f>
        <v>0</v>
      </c>
      <c r="BZ1931" s="11">
        <f t="shared" si="8860"/>
        <v>0</v>
      </c>
      <c r="CA1931" s="11">
        <f t="shared" si="8860"/>
        <v>0</v>
      </c>
      <c r="CB1931" s="11">
        <f t="shared" si="8860"/>
        <v>0</v>
      </c>
      <c r="CC1931" s="25">
        <f>SUM(CC1927:CC1930)</f>
        <v>0</v>
      </c>
      <c r="CE1931" s="62">
        <f t="shared" ref="CE1931:CJ1931" si="8861">SUM(CE1927:CE1930)</f>
        <v>0</v>
      </c>
      <c r="CF1931" s="63">
        <f t="shared" si="8861"/>
        <v>0</v>
      </c>
      <c r="CG1931" s="63">
        <f t="shared" si="8861"/>
        <v>0</v>
      </c>
      <c r="CH1931" s="63">
        <f t="shared" si="8861"/>
        <v>0</v>
      </c>
      <c r="CI1931" s="63">
        <f t="shared" si="8861"/>
        <v>0</v>
      </c>
      <c r="CJ1931" s="25">
        <f t="shared" si="8861"/>
        <v>0</v>
      </c>
      <c r="CL1931" s="10">
        <f>SUM(CL1927:CL1930)</f>
        <v>0</v>
      </c>
      <c r="CM1931" s="11">
        <f t="shared" ref="CM1931:CP1931" si="8862">SUM(CM1927:CM1930)</f>
        <v>0</v>
      </c>
      <c r="CN1931" s="11">
        <f t="shared" si="8862"/>
        <v>0</v>
      </c>
      <c r="CO1931" s="11">
        <f t="shared" si="8862"/>
        <v>0</v>
      </c>
      <c r="CP1931" s="11">
        <f t="shared" si="8862"/>
        <v>0</v>
      </c>
      <c r="CQ1931" s="25">
        <f>SUM(CQ1927:CQ1930)</f>
        <v>0</v>
      </c>
      <c r="CS1931" s="10">
        <f>SUM(CS1927:CS1930)</f>
        <v>0</v>
      </c>
      <c r="CT1931" s="11">
        <f t="shared" ref="CT1931:CW1931" si="8863">SUM(CT1927:CT1930)</f>
        <v>0</v>
      </c>
      <c r="CU1931" s="11">
        <f t="shared" si="8863"/>
        <v>0</v>
      </c>
      <c r="CV1931" s="11">
        <f t="shared" si="8863"/>
        <v>0</v>
      </c>
      <c r="CW1931" s="11">
        <f t="shared" si="8863"/>
        <v>0</v>
      </c>
      <c r="CX1931" s="25">
        <f>SUM(CX1927:CX1930)</f>
        <v>0</v>
      </c>
      <c r="CZ1931" s="10">
        <f>SUM(CZ1927:CZ1930)</f>
        <v>0</v>
      </c>
      <c r="DA1931" s="11">
        <f t="shared" ref="DA1931:DD1931" si="8864">SUM(DA1927:DA1930)</f>
        <v>0</v>
      </c>
      <c r="DB1931" s="11">
        <f t="shared" si="8864"/>
        <v>0</v>
      </c>
      <c r="DC1931" s="11">
        <f t="shared" si="8864"/>
        <v>0</v>
      </c>
      <c r="DD1931" s="11">
        <f t="shared" si="8864"/>
        <v>0</v>
      </c>
      <c r="DE1931" s="25">
        <f>SUM(DE1927:DE1930)</f>
        <v>0</v>
      </c>
    </row>
    <row r="1932" spans="2:110" ht="10.4" customHeight="1" thickBot="1"/>
    <row r="1933" spans="2:110">
      <c r="C1933" s="553">
        <v>2025</v>
      </c>
      <c r="E1933" s="13" t="s">
        <v>59</v>
      </c>
      <c r="F1933" s="21">
        <f>CE1927</f>
        <v>0</v>
      </c>
      <c r="G1933" s="22">
        <f t="shared" ref="G1933:G1936" si="8865">CF1927</f>
        <v>0</v>
      </c>
      <c r="H1933" s="22">
        <f t="shared" ref="H1933:H1936" si="8866">CG1927</f>
        <v>0</v>
      </c>
      <c r="I1933" s="22">
        <f t="shared" ref="I1933:I1936" si="8867">CH1927</f>
        <v>0</v>
      </c>
      <c r="J1933" s="22">
        <f t="shared" ref="J1933:J1936" si="8868">CI1927</f>
        <v>0</v>
      </c>
      <c r="K1933" s="15">
        <f>SUM(F1933:J1933)</f>
        <v>0</v>
      </c>
      <c r="M1933" s="2"/>
      <c r="N1933" s="3"/>
      <c r="O1933" s="3"/>
      <c r="P1933" s="3"/>
      <c r="Q1933" s="3"/>
      <c r="R1933" s="15">
        <f>SUM(M1933:Q1933)</f>
        <v>0</v>
      </c>
      <c r="T1933" s="2"/>
      <c r="U1933" s="3"/>
      <c r="V1933" s="3"/>
      <c r="W1933" s="3"/>
      <c r="X1933" s="3"/>
      <c r="Y1933" s="15">
        <f>SUM(T1933:X1933)</f>
        <v>0</v>
      </c>
      <c r="AA1933" s="2"/>
      <c r="AB1933" s="3"/>
      <c r="AC1933" s="3"/>
      <c r="AD1933" s="3"/>
      <c r="AE1933" s="3"/>
      <c r="AF1933" s="15">
        <f>SUM(AA1933:AE1933)</f>
        <v>0</v>
      </c>
      <c r="AH1933" s="2"/>
      <c r="AI1933" s="3"/>
      <c r="AJ1933" s="3"/>
      <c r="AK1933" s="3"/>
      <c r="AL1933" s="3"/>
      <c r="AM1933" s="15">
        <f>SUM(AH1933:AL1933)</f>
        <v>0</v>
      </c>
      <c r="AO1933" s="2"/>
      <c r="AP1933" s="3"/>
      <c r="AQ1933" s="3"/>
      <c r="AR1933" s="3"/>
      <c r="AS1933" s="3"/>
      <c r="AT1933" s="15">
        <f>SUM(AO1933:AS1933)</f>
        <v>0</v>
      </c>
      <c r="AV1933" s="2"/>
      <c r="AW1933" s="3"/>
      <c r="AX1933" s="3"/>
      <c r="AY1933" s="3"/>
      <c r="AZ1933" s="3"/>
      <c r="BA1933" s="15">
        <f>SUM(AV1933:AZ1933)</f>
        <v>0</v>
      </c>
      <c r="BC1933" s="2"/>
      <c r="BD1933" s="3"/>
      <c r="BE1933" s="3"/>
      <c r="BF1933" s="3"/>
      <c r="BG1933" s="3"/>
      <c r="BH1933" s="15">
        <f>SUM(BC1933:BG1933)</f>
        <v>0</v>
      </c>
      <c r="BJ1933" s="2"/>
      <c r="BK1933" s="3"/>
      <c r="BL1933" s="3"/>
      <c r="BM1933" s="3"/>
      <c r="BN1933" s="3"/>
      <c r="BO1933" s="15">
        <f>SUM(BJ1933:BN1933)</f>
        <v>0</v>
      </c>
      <c r="BQ1933" s="2"/>
      <c r="BR1933" s="3"/>
      <c r="BS1933" s="3"/>
      <c r="BT1933" s="3"/>
      <c r="BU1933" s="3"/>
      <c r="BV1933" s="15">
        <f>SUM(BQ1933:BU1933)</f>
        <v>0</v>
      </c>
      <c r="BX1933" s="2"/>
      <c r="BY1933" s="3"/>
      <c r="BZ1933" s="3"/>
      <c r="CA1933" s="3"/>
      <c r="CB1933" s="3"/>
      <c r="CC1933" s="15">
        <f>SUM(BX1933:CB1933)</f>
        <v>0</v>
      </c>
      <c r="CE1933" s="26">
        <f t="shared" ref="CE1933:CE1936" si="8869">F1933+M1933+T1933+AA1933+AH1933+AO1933+AV1933+BC1933+BJ1933+BQ1933+BX1933</f>
        <v>0</v>
      </c>
      <c r="CF1933" s="27">
        <f t="shared" ref="CF1933:CF1936" si="8870">G1933+N1933+U1933+AB1933+AI1933+AP1933+AW1933+BD1933+BK1933+BR1933+BY1933</f>
        <v>0</v>
      </c>
      <c r="CG1933" s="27">
        <f t="shared" ref="CG1933:CG1936" si="8871">H1933+O1933+V1933+AC1933+AJ1933+AQ1933+AX1933+BE1933+BL1933+BS1933+BZ1933</f>
        <v>0</v>
      </c>
      <c r="CH1933" s="27">
        <f t="shared" ref="CH1933:CH1936" si="8872">I1933+P1933+W1933+AD1933+AK1933+AR1933+AY1933+BF1933+BM1933+BT1933+CA1933</f>
        <v>0</v>
      </c>
      <c r="CI1933" s="27">
        <f t="shared" ref="CI1933:CI1936" si="8873">J1933+Q1933+X1933+AE1933+AL1933+AS1933+AZ1933+BG1933+BN1933+BU1933+CB1933</f>
        <v>0</v>
      </c>
      <c r="CJ1933" s="4">
        <f>SUM(CE1933:CI1933)</f>
        <v>0</v>
      </c>
      <c r="CL1933" s="2"/>
      <c r="CM1933" s="3"/>
      <c r="CN1933" s="3"/>
      <c r="CO1933" s="3"/>
      <c r="CP1933" s="3"/>
      <c r="CQ1933" s="15">
        <f>SUM(CL1933:CP1933)</f>
        <v>0</v>
      </c>
      <c r="CS1933" s="2"/>
      <c r="CT1933" s="3"/>
      <c r="CU1933" s="3"/>
      <c r="CV1933" s="3"/>
      <c r="CW1933" s="3"/>
      <c r="CX1933" s="4">
        <f>SUM(CS1933:CW1933)</f>
        <v>0</v>
      </c>
      <c r="CZ1933" s="2"/>
      <c r="DA1933" s="3"/>
      <c r="DB1933" s="3"/>
      <c r="DC1933" s="3"/>
      <c r="DD1933" s="3"/>
      <c r="DE1933" s="15">
        <f>SUM(CZ1933:DD1933)</f>
        <v>0</v>
      </c>
    </row>
    <row r="1934" spans="2:110">
      <c r="C1934" s="567"/>
      <c r="E1934" s="14" t="s">
        <v>60</v>
      </c>
      <c r="F1934" s="23">
        <f t="shared" ref="F1934:F1936" si="8874">CE1928</f>
        <v>0</v>
      </c>
      <c r="G1934" s="24">
        <f t="shared" si="8865"/>
        <v>0</v>
      </c>
      <c r="H1934" s="24">
        <f t="shared" si="8866"/>
        <v>0</v>
      </c>
      <c r="I1934" s="24">
        <f t="shared" si="8867"/>
        <v>0</v>
      </c>
      <c r="J1934" s="24">
        <f t="shared" si="8868"/>
        <v>0</v>
      </c>
      <c r="K1934" s="16">
        <f t="shared" ref="K1934:K1936" si="8875">SUM(F1934:J1934)</f>
        <v>0</v>
      </c>
      <c r="M1934" s="6"/>
      <c r="N1934" s="7"/>
      <c r="O1934" s="7"/>
      <c r="P1934" s="7"/>
      <c r="Q1934" s="7"/>
      <c r="R1934" s="16">
        <f t="shared" ref="R1934:R1936" si="8876">SUM(M1934:Q1934)</f>
        <v>0</v>
      </c>
      <c r="T1934" s="6"/>
      <c r="U1934" s="7"/>
      <c r="V1934" s="7"/>
      <c r="W1934" s="7"/>
      <c r="X1934" s="7"/>
      <c r="Y1934" s="16">
        <f t="shared" ref="Y1934:Y1936" si="8877">SUM(T1934:X1934)</f>
        <v>0</v>
      </c>
      <c r="AA1934" s="6"/>
      <c r="AB1934" s="7"/>
      <c r="AC1934" s="7"/>
      <c r="AD1934" s="7"/>
      <c r="AE1934" s="7"/>
      <c r="AF1934" s="16">
        <f>SUM(AA1934:AE1934)</f>
        <v>0</v>
      </c>
      <c r="AH1934" s="6"/>
      <c r="AI1934" s="7"/>
      <c r="AJ1934" s="7"/>
      <c r="AK1934" s="7"/>
      <c r="AL1934" s="7"/>
      <c r="AM1934" s="16">
        <f>SUM(AH1934:AL1934)</f>
        <v>0</v>
      </c>
      <c r="AO1934" s="6"/>
      <c r="AP1934" s="7"/>
      <c r="AQ1934" s="7"/>
      <c r="AR1934" s="7"/>
      <c r="AS1934" s="7"/>
      <c r="AT1934" s="16">
        <f>SUM(AO1934:AS1934)</f>
        <v>0</v>
      </c>
      <c r="AV1934" s="6"/>
      <c r="AW1934" s="7"/>
      <c r="AX1934" s="7"/>
      <c r="AY1934" s="7"/>
      <c r="AZ1934" s="7"/>
      <c r="BA1934" s="16">
        <f>SUM(AV1934:AZ1934)</f>
        <v>0</v>
      </c>
      <c r="BC1934" s="6"/>
      <c r="BD1934" s="7"/>
      <c r="BE1934" s="7"/>
      <c r="BF1934" s="7"/>
      <c r="BG1934" s="7"/>
      <c r="BH1934" s="16">
        <f>SUM(BC1934:BG1934)</f>
        <v>0</v>
      </c>
      <c r="BJ1934" s="6"/>
      <c r="BK1934" s="7"/>
      <c r="BL1934" s="7"/>
      <c r="BM1934" s="7"/>
      <c r="BN1934" s="7"/>
      <c r="BO1934" s="16">
        <f>SUM(BJ1934:BN1934)</f>
        <v>0</v>
      </c>
      <c r="BQ1934" s="6"/>
      <c r="BR1934" s="7"/>
      <c r="BS1934" s="7"/>
      <c r="BT1934" s="7"/>
      <c r="BU1934" s="7"/>
      <c r="BV1934" s="16">
        <f>SUM(BQ1934:BU1934)</f>
        <v>0</v>
      </c>
      <c r="BX1934" s="6"/>
      <c r="BY1934" s="7"/>
      <c r="BZ1934" s="7"/>
      <c r="CA1934" s="7"/>
      <c r="CB1934" s="7"/>
      <c r="CC1934" s="16">
        <f>SUM(BX1934:CB1934)</f>
        <v>0</v>
      </c>
      <c r="CE1934" s="28">
        <f t="shared" si="8869"/>
        <v>0</v>
      </c>
      <c r="CF1934" s="29">
        <f t="shared" si="8870"/>
        <v>0</v>
      </c>
      <c r="CG1934" s="29">
        <f t="shared" si="8871"/>
        <v>0</v>
      </c>
      <c r="CH1934" s="29">
        <f t="shared" si="8872"/>
        <v>0</v>
      </c>
      <c r="CI1934" s="29">
        <f t="shared" si="8873"/>
        <v>0</v>
      </c>
      <c r="CJ1934" s="8">
        <f>SUM(CE1934:CI1934)</f>
        <v>0</v>
      </c>
      <c r="CL1934" s="6"/>
      <c r="CM1934" s="7"/>
      <c r="CN1934" s="7"/>
      <c r="CO1934" s="7"/>
      <c r="CP1934" s="7"/>
      <c r="CQ1934" s="16">
        <f>SUM(CL1934:CP1934)</f>
        <v>0</v>
      </c>
      <c r="CS1934" s="6"/>
      <c r="CT1934" s="7"/>
      <c r="CU1934" s="7"/>
      <c r="CV1934" s="7"/>
      <c r="CW1934" s="7"/>
      <c r="CX1934" s="8">
        <f t="shared" ref="CX1934:CX1936" si="8878">SUM(CS1934:CW1934)</f>
        <v>0</v>
      </c>
      <c r="CZ1934" s="6"/>
      <c r="DA1934" s="7"/>
      <c r="DB1934" s="7"/>
      <c r="DC1934" s="7"/>
      <c r="DD1934" s="7"/>
      <c r="DE1934" s="16">
        <f t="shared" ref="DE1934:DE1936" si="8879">SUM(CZ1934:DD1934)</f>
        <v>0</v>
      </c>
    </row>
    <row r="1935" spans="2:110">
      <c r="C1935" s="567"/>
      <c r="E1935" s="14" t="s">
        <v>61</v>
      </c>
      <c r="F1935" s="23">
        <f t="shared" si="8874"/>
        <v>0</v>
      </c>
      <c r="G1935" s="24">
        <f t="shared" si="8865"/>
        <v>0</v>
      </c>
      <c r="H1935" s="24">
        <f t="shared" si="8866"/>
        <v>0</v>
      </c>
      <c r="I1935" s="24">
        <f t="shared" si="8867"/>
        <v>0</v>
      </c>
      <c r="J1935" s="24">
        <f t="shared" si="8868"/>
        <v>0</v>
      </c>
      <c r="K1935" s="16">
        <f t="shared" si="8875"/>
        <v>0</v>
      </c>
      <c r="M1935" s="6"/>
      <c r="N1935" s="7"/>
      <c r="O1935" s="7"/>
      <c r="P1935" s="7"/>
      <c r="Q1935" s="7"/>
      <c r="R1935" s="16">
        <f t="shared" si="8876"/>
        <v>0</v>
      </c>
      <c r="T1935" s="6"/>
      <c r="U1935" s="7"/>
      <c r="V1935" s="7"/>
      <c r="W1935" s="7"/>
      <c r="X1935" s="7"/>
      <c r="Y1935" s="16">
        <f t="shared" si="8877"/>
        <v>0</v>
      </c>
      <c r="AA1935" s="6"/>
      <c r="AB1935" s="7"/>
      <c r="AC1935" s="7"/>
      <c r="AD1935" s="7"/>
      <c r="AE1935" s="7"/>
      <c r="AF1935" s="16">
        <f>SUM(AA1935:AE1935)</f>
        <v>0</v>
      </c>
      <c r="AH1935" s="6"/>
      <c r="AI1935" s="7"/>
      <c r="AJ1935" s="7"/>
      <c r="AK1935" s="7"/>
      <c r="AL1935" s="7"/>
      <c r="AM1935" s="16">
        <f>SUM(AH1935:AL1935)</f>
        <v>0</v>
      </c>
      <c r="AO1935" s="6"/>
      <c r="AP1935" s="7"/>
      <c r="AQ1935" s="7"/>
      <c r="AR1935" s="7"/>
      <c r="AS1935" s="7"/>
      <c r="AT1935" s="16">
        <f>SUM(AO1935:AS1935)</f>
        <v>0</v>
      </c>
      <c r="AV1935" s="6"/>
      <c r="AW1935" s="7"/>
      <c r="AX1935" s="7"/>
      <c r="AY1935" s="7"/>
      <c r="AZ1935" s="7"/>
      <c r="BA1935" s="16">
        <f>SUM(AV1935:AZ1935)</f>
        <v>0</v>
      </c>
      <c r="BC1935" s="6"/>
      <c r="BD1935" s="7"/>
      <c r="BE1935" s="7"/>
      <c r="BF1935" s="7"/>
      <c r="BG1935" s="7"/>
      <c r="BH1935" s="16">
        <f>SUM(BC1935:BG1935)</f>
        <v>0</v>
      </c>
      <c r="BJ1935" s="6"/>
      <c r="BK1935" s="7"/>
      <c r="BL1935" s="7"/>
      <c r="BM1935" s="7"/>
      <c r="BN1935" s="7"/>
      <c r="BO1935" s="16">
        <f>SUM(BJ1935:BN1935)</f>
        <v>0</v>
      </c>
      <c r="BQ1935" s="6"/>
      <c r="BR1935" s="7"/>
      <c r="BS1935" s="7"/>
      <c r="BT1935" s="7"/>
      <c r="BU1935" s="7"/>
      <c r="BV1935" s="16">
        <f>SUM(BQ1935:BU1935)</f>
        <v>0</v>
      </c>
      <c r="BX1935" s="6"/>
      <c r="BY1935" s="7"/>
      <c r="BZ1935" s="7"/>
      <c r="CA1935" s="7"/>
      <c r="CB1935" s="7"/>
      <c r="CC1935" s="16">
        <f>SUM(BX1935:CB1935)</f>
        <v>0</v>
      </c>
      <c r="CE1935" s="28">
        <f t="shared" si="8869"/>
        <v>0</v>
      </c>
      <c r="CF1935" s="29">
        <f t="shared" si="8870"/>
        <v>0</v>
      </c>
      <c r="CG1935" s="29">
        <f t="shared" si="8871"/>
        <v>0</v>
      </c>
      <c r="CH1935" s="29">
        <f t="shared" si="8872"/>
        <v>0</v>
      </c>
      <c r="CI1935" s="29">
        <f t="shared" si="8873"/>
        <v>0</v>
      </c>
      <c r="CJ1935" s="8">
        <f>SUM(CE1935:CI1935)</f>
        <v>0</v>
      </c>
      <c r="CL1935" s="6"/>
      <c r="CM1935" s="7"/>
      <c r="CN1935" s="7"/>
      <c r="CO1935" s="7"/>
      <c r="CP1935" s="7"/>
      <c r="CQ1935" s="16">
        <f>SUM(CL1935:CP1935)</f>
        <v>0</v>
      </c>
      <c r="CS1935" s="6"/>
      <c r="CT1935" s="7"/>
      <c r="CU1935" s="7"/>
      <c r="CV1935" s="7"/>
      <c r="CW1935" s="7"/>
      <c r="CX1935" s="8">
        <f t="shared" si="8878"/>
        <v>0</v>
      </c>
      <c r="CZ1935" s="6"/>
      <c r="DA1935" s="7"/>
      <c r="DB1935" s="7"/>
      <c r="DC1935" s="7"/>
      <c r="DD1935" s="7"/>
      <c r="DE1935" s="16">
        <f t="shared" si="8879"/>
        <v>0</v>
      </c>
    </row>
    <row r="1936" spans="2:110" ht="14" thickBot="1">
      <c r="C1936" s="567"/>
      <c r="E1936" s="14" t="s">
        <v>62</v>
      </c>
      <c r="F1936" s="23">
        <f t="shared" si="8874"/>
        <v>0</v>
      </c>
      <c r="G1936" s="24">
        <f t="shared" si="8865"/>
        <v>0</v>
      </c>
      <c r="H1936" s="24">
        <f t="shared" si="8866"/>
        <v>0</v>
      </c>
      <c r="I1936" s="24">
        <f t="shared" si="8867"/>
        <v>0</v>
      </c>
      <c r="J1936" s="24">
        <f t="shared" si="8868"/>
        <v>0</v>
      </c>
      <c r="K1936" s="16">
        <f t="shared" si="8875"/>
        <v>0</v>
      </c>
      <c r="M1936" s="6"/>
      <c r="N1936" s="7"/>
      <c r="O1936" s="7"/>
      <c r="P1936" s="7"/>
      <c r="Q1936" s="7"/>
      <c r="R1936" s="16">
        <f t="shared" si="8876"/>
        <v>0</v>
      </c>
      <c r="T1936" s="6"/>
      <c r="U1936" s="7"/>
      <c r="V1936" s="7"/>
      <c r="W1936" s="7"/>
      <c r="X1936" s="7"/>
      <c r="Y1936" s="16">
        <f t="shared" si="8877"/>
        <v>0</v>
      </c>
      <c r="AA1936" s="6"/>
      <c r="AB1936" s="7"/>
      <c r="AC1936" s="7"/>
      <c r="AD1936" s="7"/>
      <c r="AE1936" s="7"/>
      <c r="AF1936" s="16">
        <f>SUM(AA1936:AE1936)</f>
        <v>0</v>
      </c>
      <c r="AH1936" s="6"/>
      <c r="AI1936" s="7"/>
      <c r="AJ1936" s="7"/>
      <c r="AK1936" s="7"/>
      <c r="AL1936" s="7"/>
      <c r="AM1936" s="16">
        <f>SUM(AH1936:AL1936)</f>
        <v>0</v>
      </c>
      <c r="AO1936" s="6"/>
      <c r="AP1936" s="7"/>
      <c r="AQ1936" s="7"/>
      <c r="AR1936" s="7"/>
      <c r="AS1936" s="7"/>
      <c r="AT1936" s="16">
        <f>SUM(AO1936:AS1936)</f>
        <v>0</v>
      </c>
      <c r="AV1936" s="6"/>
      <c r="AW1936" s="7"/>
      <c r="AX1936" s="7"/>
      <c r="AY1936" s="7"/>
      <c r="AZ1936" s="7"/>
      <c r="BA1936" s="16">
        <f>SUM(AV1936:AZ1936)</f>
        <v>0</v>
      </c>
      <c r="BC1936" s="6"/>
      <c r="BD1936" s="7"/>
      <c r="BE1936" s="7"/>
      <c r="BF1936" s="7"/>
      <c r="BG1936" s="7"/>
      <c r="BH1936" s="16">
        <f>SUM(BC1936:BG1936)</f>
        <v>0</v>
      </c>
      <c r="BJ1936" s="6"/>
      <c r="BK1936" s="7"/>
      <c r="BL1936" s="7"/>
      <c r="BM1936" s="7"/>
      <c r="BN1936" s="7"/>
      <c r="BO1936" s="16">
        <f>SUM(BJ1936:BN1936)</f>
        <v>0</v>
      </c>
      <c r="BQ1936" s="6"/>
      <c r="BR1936" s="7"/>
      <c r="BS1936" s="7"/>
      <c r="BT1936" s="7"/>
      <c r="BU1936" s="7"/>
      <c r="BV1936" s="16">
        <f>SUM(BQ1936:BU1936)</f>
        <v>0</v>
      </c>
      <c r="BX1936" s="6"/>
      <c r="BY1936" s="7"/>
      <c r="BZ1936" s="7"/>
      <c r="CA1936" s="7"/>
      <c r="CB1936" s="7"/>
      <c r="CC1936" s="16">
        <f>SUM(BX1936:CB1936)</f>
        <v>0</v>
      </c>
      <c r="CE1936" s="493">
        <f t="shared" si="8869"/>
        <v>0</v>
      </c>
      <c r="CF1936" s="494">
        <f t="shared" si="8870"/>
        <v>0</v>
      </c>
      <c r="CG1936" s="494">
        <f t="shared" si="8871"/>
        <v>0</v>
      </c>
      <c r="CH1936" s="494">
        <f t="shared" si="8872"/>
        <v>0</v>
      </c>
      <c r="CI1936" s="494">
        <f t="shared" si="8873"/>
        <v>0</v>
      </c>
      <c r="CJ1936" s="495">
        <f>SUM(CE1936:CI1936)</f>
        <v>0</v>
      </c>
      <c r="CL1936" s="6"/>
      <c r="CM1936" s="7"/>
      <c r="CN1936" s="7"/>
      <c r="CO1936" s="7"/>
      <c r="CP1936" s="7"/>
      <c r="CQ1936" s="16">
        <f>SUM(CL1936:CP1936)</f>
        <v>0</v>
      </c>
      <c r="CS1936" s="6"/>
      <c r="CT1936" s="7"/>
      <c r="CU1936" s="7"/>
      <c r="CV1936" s="7"/>
      <c r="CW1936" s="7"/>
      <c r="CX1936" s="8">
        <f t="shared" si="8878"/>
        <v>0</v>
      </c>
      <c r="CZ1936" s="6"/>
      <c r="DA1936" s="7"/>
      <c r="DB1936" s="7"/>
      <c r="DC1936" s="7"/>
      <c r="DD1936" s="7"/>
      <c r="DE1936" s="16">
        <f t="shared" si="8879"/>
        <v>0</v>
      </c>
    </row>
    <row r="1937" spans="3:109" ht="14" thickBot="1">
      <c r="C1937" s="554"/>
      <c r="E1937" s="17"/>
      <c r="F1937" s="10">
        <f>SUM(F1933:F1936)</f>
        <v>0</v>
      </c>
      <c r="G1937" s="11">
        <f t="shared" ref="G1937:J1937" si="8880">SUM(G1933:G1936)</f>
        <v>0</v>
      </c>
      <c r="H1937" s="11">
        <f t="shared" si="8880"/>
        <v>0</v>
      </c>
      <c r="I1937" s="11">
        <f t="shared" si="8880"/>
        <v>0</v>
      </c>
      <c r="J1937" s="11">
        <f t="shared" si="8880"/>
        <v>0</v>
      </c>
      <c r="K1937" s="25">
        <f>SUM(K1933:K1936)</f>
        <v>0</v>
      </c>
      <c r="M1937" s="10">
        <f>SUM(M1933:M1936)</f>
        <v>0</v>
      </c>
      <c r="N1937" s="11">
        <f t="shared" ref="N1937:Q1937" si="8881">SUM(N1933:N1936)</f>
        <v>0</v>
      </c>
      <c r="O1937" s="11">
        <f t="shared" si="8881"/>
        <v>0</v>
      </c>
      <c r="P1937" s="11">
        <f t="shared" si="8881"/>
        <v>0</v>
      </c>
      <c r="Q1937" s="11">
        <f t="shared" si="8881"/>
        <v>0</v>
      </c>
      <c r="R1937" s="25">
        <f>SUM(R1933:R1936)</f>
        <v>0</v>
      </c>
      <c r="T1937" s="10">
        <f>SUM(T1933:T1936)</f>
        <v>0</v>
      </c>
      <c r="U1937" s="11">
        <f t="shared" ref="U1937:X1937" si="8882">SUM(U1933:U1936)</f>
        <v>0</v>
      </c>
      <c r="V1937" s="11">
        <f t="shared" si="8882"/>
        <v>0</v>
      </c>
      <c r="W1937" s="11">
        <f t="shared" si="8882"/>
        <v>0</v>
      </c>
      <c r="X1937" s="11">
        <f t="shared" si="8882"/>
        <v>0</v>
      </c>
      <c r="Y1937" s="25">
        <f>SUM(Y1933:Y1936)</f>
        <v>0</v>
      </c>
      <c r="AA1937" s="10">
        <f>SUM(AA1933:AA1936)</f>
        <v>0</v>
      </c>
      <c r="AB1937" s="11">
        <f t="shared" ref="AB1937:AE1937" si="8883">SUM(AB1933:AB1936)</f>
        <v>0</v>
      </c>
      <c r="AC1937" s="11">
        <f t="shared" si="8883"/>
        <v>0</v>
      </c>
      <c r="AD1937" s="11">
        <f t="shared" si="8883"/>
        <v>0</v>
      </c>
      <c r="AE1937" s="11">
        <f t="shared" si="8883"/>
        <v>0</v>
      </c>
      <c r="AF1937" s="25">
        <f>SUM(AF1933:AF1936)</f>
        <v>0</v>
      </c>
      <c r="AH1937" s="10">
        <f>SUM(AH1933:AH1936)</f>
        <v>0</v>
      </c>
      <c r="AI1937" s="11">
        <f t="shared" ref="AI1937:AL1937" si="8884">SUM(AI1933:AI1936)</f>
        <v>0</v>
      </c>
      <c r="AJ1937" s="11">
        <f t="shared" si="8884"/>
        <v>0</v>
      </c>
      <c r="AK1937" s="11">
        <f t="shared" si="8884"/>
        <v>0</v>
      </c>
      <c r="AL1937" s="11">
        <f t="shared" si="8884"/>
        <v>0</v>
      </c>
      <c r="AM1937" s="25">
        <f>SUM(AM1933:AM1936)</f>
        <v>0</v>
      </c>
      <c r="AO1937" s="10">
        <f>SUM(AO1933:AO1936)</f>
        <v>0</v>
      </c>
      <c r="AP1937" s="11">
        <f t="shared" ref="AP1937:AS1937" si="8885">SUM(AP1933:AP1936)</f>
        <v>0</v>
      </c>
      <c r="AQ1937" s="11">
        <f t="shared" si="8885"/>
        <v>0</v>
      </c>
      <c r="AR1937" s="11">
        <f t="shared" si="8885"/>
        <v>0</v>
      </c>
      <c r="AS1937" s="11">
        <f t="shared" si="8885"/>
        <v>0</v>
      </c>
      <c r="AT1937" s="25">
        <f>SUM(AT1933:AT1936)</f>
        <v>0</v>
      </c>
      <c r="AV1937" s="10">
        <f>SUM(AV1933:AV1936)</f>
        <v>0</v>
      </c>
      <c r="AW1937" s="11">
        <f t="shared" ref="AW1937:AZ1937" si="8886">SUM(AW1933:AW1936)</f>
        <v>0</v>
      </c>
      <c r="AX1937" s="11">
        <f t="shared" si="8886"/>
        <v>0</v>
      </c>
      <c r="AY1937" s="11">
        <f t="shared" si="8886"/>
        <v>0</v>
      </c>
      <c r="AZ1937" s="11">
        <f t="shared" si="8886"/>
        <v>0</v>
      </c>
      <c r="BA1937" s="25">
        <f>SUM(BA1933:BA1936)</f>
        <v>0</v>
      </c>
      <c r="BC1937" s="10">
        <f>SUM(BC1933:BC1936)</f>
        <v>0</v>
      </c>
      <c r="BD1937" s="11">
        <f t="shared" ref="BD1937:BG1937" si="8887">SUM(BD1933:BD1936)</f>
        <v>0</v>
      </c>
      <c r="BE1937" s="11">
        <f t="shared" si="8887"/>
        <v>0</v>
      </c>
      <c r="BF1937" s="11">
        <f t="shared" si="8887"/>
        <v>0</v>
      </c>
      <c r="BG1937" s="11">
        <f t="shared" si="8887"/>
        <v>0</v>
      </c>
      <c r="BH1937" s="25">
        <f>SUM(BH1933:BH1936)</f>
        <v>0</v>
      </c>
      <c r="BJ1937" s="10">
        <f>SUM(BJ1933:BJ1936)</f>
        <v>0</v>
      </c>
      <c r="BK1937" s="11">
        <f t="shared" ref="BK1937:BN1937" si="8888">SUM(BK1933:BK1936)</f>
        <v>0</v>
      </c>
      <c r="BL1937" s="11">
        <f t="shared" si="8888"/>
        <v>0</v>
      </c>
      <c r="BM1937" s="11">
        <f t="shared" si="8888"/>
        <v>0</v>
      </c>
      <c r="BN1937" s="11">
        <f t="shared" si="8888"/>
        <v>0</v>
      </c>
      <c r="BO1937" s="25">
        <f>SUM(BO1933:BO1936)</f>
        <v>0</v>
      </c>
      <c r="BQ1937" s="10">
        <f>SUM(BQ1933:BQ1936)</f>
        <v>0</v>
      </c>
      <c r="BR1937" s="11">
        <f t="shared" ref="BR1937:BU1937" si="8889">SUM(BR1933:BR1936)</f>
        <v>0</v>
      </c>
      <c r="BS1937" s="11">
        <f t="shared" si="8889"/>
        <v>0</v>
      </c>
      <c r="BT1937" s="11">
        <f t="shared" si="8889"/>
        <v>0</v>
      </c>
      <c r="BU1937" s="11">
        <f t="shared" si="8889"/>
        <v>0</v>
      </c>
      <c r="BV1937" s="25">
        <f>SUM(BV1933:BV1936)</f>
        <v>0</v>
      </c>
      <c r="BX1937" s="10">
        <f>SUM(BX1933:BX1936)</f>
        <v>0</v>
      </c>
      <c r="BY1937" s="11">
        <f t="shared" ref="BY1937:CB1937" si="8890">SUM(BY1933:BY1936)</f>
        <v>0</v>
      </c>
      <c r="BZ1937" s="11">
        <f t="shared" si="8890"/>
        <v>0</v>
      </c>
      <c r="CA1937" s="11">
        <f t="shared" si="8890"/>
        <v>0</v>
      </c>
      <c r="CB1937" s="11">
        <f t="shared" si="8890"/>
        <v>0</v>
      </c>
      <c r="CC1937" s="25">
        <f>SUM(CC1933:CC1936)</f>
        <v>0</v>
      </c>
      <c r="CE1937" s="62">
        <f t="shared" ref="CE1937:CJ1937" si="8891">SUM(CE1933:CE1936)</f>
        <v>0</v>
      </c>
      <c r="CF1937" s="63">
        <f t="shared" si="8891"/>
        <v>0</v>
      </c>
      <c r="CG1937" s="63">
        <f t="shared" si="8891"/>
        <v>0</v>
      </c>
      <c r="CH1937" s="63">
        <f t="shared" si="8891"/>
        <v>0</v>
      </c>
      <c r="CI1937" s="63">
        <f t="shared" si="8891"/>
        <v>0</v>
      </c>
      <c r="CJ1937" s="25">
        <f t="shared" si="8891"/>
        <v>0</v>
      </c>
      <c r="CL1937" s="10">
        <f>SUM(CL1933:CL1936)</f>
        <v>0</v>
      </c>
      <c r="CM1937" s="11">
        <f t="shared" ref="CM1937:CP1937" si="8892">SUM(CM1933:CM1936)</f>
        <v>0</v>
      </c>
      <c r="CN1937" s="11">
        <f t="shared" si="8892"/>
        <v>0</v>
      </c>
      <c r="CO1937" s="11">
        <f t="shared" si="8892"/>
        <v>0</v>
      </c>
      <c r="CP1937" s="11">
        <f t="shared" si="8892"/>
        <v>0</v>
      </c>
      <c r="CQ1937" s="25">
        <f>SUM(CQ1933:CQ1936)</f>
        <v>0</v>
      </c>
      <c r="CS1937" s="10">
        <f>SUM(CS1933:CS1936)</f>
        <v>0</v>
      </c>
      <c r="CT1937" s="11">
        <f t="shared" ref="CT1937:CW1937" si="8893">SUM(CT1933:CT1936)</f>
        <v>0</v>
      </c>
      <c r="CU1937" s="11">
        <f t="shared" si="8893"/>
        <v>0</v>
      </c>
      <c r="CV1937" s="11">
        <f t="shared" si="8893"/>
        <v>0</v>
      </c>
      <c r="CW1937" s="11">
        <f t="shared" si="8893"/>
        <v>0</v>
      </c>
      <c r="CX1937" s="25">
        <f>SUM(CX1933:CX1936)</f>
        <v>0</v>
      </c>
      <c r="CZ1937" s="10">
        <f>SUM(CZ1933:CZ1936)</f>
        <v>0</v>
      </c>
      <c r="DA1937" s="11">
        <f t="shared" ref="DA1937:DD1937" si="8894">SUM(DA1933:DA1936)</f>
        <v>0</v>
      </c>
      <c r="DB1937" s="11">
        <f t="shared" si="8894"/>
        <v>0</v>
      </c>
      <c r="DC1937" s="11">
        <f t="shared" si="8894"/>
        <v>0</v>
      </c>
      <c r="DD1937" s="11">
        <f t="shared" si="8894"/>
        <v>0</v>
      </c>
      <c r="DE1937" s="25">
        <f>SUM(DE1933:DE1936)</f>
        <v>0</v>
      </c>
    </row>
    <row r="1938" spans="3:109" ht="10.4" customHeight="1" thickBot="1"/>
    <row r="1939" spans="3:109">
      <c r="C1939" s="553">
        <v>2026</v>
      </c>
      <c r="E1939" s="1" t="s">
        <v>59</v>
      </c>
      <c r="F1939" s="21">
        <f>CE1933</f>
        <v>0</v>
      </c>
      <c r="G1939" s="22">
        <f t="shared" ref="G1939:G1942" si="8895">CF1933</f>
        <v>0</v>
      </c>
      <c r="H1939" s="22">
        <f t="shared" ref="H1939:H1942" si="8896">CG1933</f>
        <v>0</v>
      </c>
      <c r="I1939" s="22">
        <f t="shared" ref="I1939:I1942" si="8897">CH1933</f>
        <v>0</v>
      </c>
      <c r="J1939" s="22">
        <f t="shared" ref="J1939:J1942" si="8898">CI1933</f>
        <v>0</v>
      </c>
      <c r="K1939" s="4">
        <f>SUM(F1939:J1939)</f>
        <v>0</v>
      </c>
      <c r="M1939" s="2"/>
      <c r="N1939" s="3"/>
      <c r="O1939" s="3"/>
      <c r="P1939" s="3"/>
      <c r="Q1939" s="3"/>
      <c r="R1939" s="4">
        <f>SUM(M1939:Q1939)</f>
        <v>0</v>
      </c>
      <c r="T1939" s="2"/>
      <c r="U1939" s="3"/>
      <c r="V1939" s="3"/>
      <c r="W1939" s="3"/>
      <c r="X1939" s="3"/>
      <c r="Y1939" s="4">
        <f>SUM(T1939:X1939)</f>
        <v>0</v>
      </c>
      <c r="AA1939" s="2"/>
      <c r="AB1939" s="3"/>
      <c r="AC1939" s="3"/>
      <c r="AD1939" s="3"/>
      <c r="AE1939" s="3"/>
      <c r="AF1939" s="4">
        <f>SUM(AA1939:AE1939)</f>
        <v>0</v>
      </c>
      <c r="AH1939" s="2"/>
      <c r="AI1939" s="3"/>
      <c r="AJ1939" s="3"/>
      <c r="AK1939" s="3"/>
      <c r="AL1939" s="3"/>
      <c r="AM1939" s="4">
        <f>SUM(AH1939:AL1939)</f>
        <v>0</v>
      </c>
      <c r="AO1939" s="2"/>
      <c r="AP1939" s="3"/>
      <c r="AQ1939" s="3"/>
      <c r="AR1939" s="3"/>
      <c r="AS1939" s="3"/>
      <c r="AT1939" s="4">
        <f>SUM(AO1939:AS1939)</f>
        <v>0</v>
      </c>
      <c r="AV1939" s="2"/>
      <c r="AW1939" s="3"/>
      <c r="AX1939" s="3"/>
      <c r="AY1939" s="3"/>
      <c r="AZ1939" s="3"/>
      <c r="BA1939" s="4">
        <f>SUM(AV1939:AZ1939)</f>
        <v>0</v>
      </c>
      <c r="BC1939" s="2"/>
      <c r="BD1939" s="3"/>
      <c r="BE1939" s="3"/>
      <c r="BF1939" s="3"/>
      <c r="BG1939" s="3"/>
      <c r="BH1939" s="4">
        <f>SUM(BC1939:BG1939)</f>
        <v>0</v>
      </c>
      <c r="BJ1939" s="2"/>
      <c r="BK1939" s="3"/>
      <c r="BL1939" s="3"/>
      <c r="BM1939" s="3"/>
      <c r="BN1939" s="3"/>
      <c r="BO1939" s="4">
        <f>SUM(BJ1939:BN1939)</f>
        <v>0</v>
      </c>
      <c r="BQ1939" s="2"/>
      <c r="BR1939" s="3"/>
      <c r="BS1939" s="3"/>
      <c r="BT1939" s="3"/>
      <c r="BU1939" s="3"/>
      <c r="BV1939" s="4">
        <f>SUM(BQ1939:BU1939)</f>
        <v>0</v>
      </c>
      <c r="BX1939" s="2"/>
      <c r="BY1939" s="3"/>
      <c r="BZ1939" s="3"/>
      <c r="CA1939" s="3"/>
      <c r="CB1939" s="3"/>
      <c r="CC1939" s="4">
        <f>SUM(BX1939:CB1939)</f>
        <v>0</v>
      </c>
      <c r="CE1939" s="26">
        <f t="shared" ref="CE1939:CE1942" si="8899">F1939+M1939+T1939+AA1939+AH1939+AO1939+AV1939+BC1939+BJ1939+BQ1939+BX1939</f>
        <v>0</v>
      </c>
      <c r="CF1939" s="27">
        <f t="shared" ref="CF1939:CF1942" si="8900">G1939+N1939+U1939+AB1939+AI1939+AP1939+AW1939+BD1939+BK1939+BR1939+BY1939</f>
        <v>0</v>
      </c>
      <c r="CG1939" s="27">
        <f t="shared" ref="CG1939:CG1942" si="8901">H1939+O1939+V1939+AC1939+AJ1939+AQ1939+AX1939+BE1939+BL1939+BS1939+BZ1939</f>
        <v>0</v>
      </c>
      <c r="CH1939" s="27">
        <f t="shared" ref="CH1939:CH1942" si="8902">I1939+P1939+W1939+AD1939+AK1939+AR1939+AY1939+BF1939+BM1939+BT1939+CA1939</f>
        <v>0</v>
      </c>
      <c r="CI1939" s="27">
        <f t="shared" ref="CI1939:CI1942" si="8903">J1939+Q1939+X1939+AE1939+AL1939+AS1939+AZ1939+BG1939+BN1939+BU1939+CB1939</f>
        <v>0</v>
      </c>
      <c r="CJ1939" s="4">
        <f>SUM(CE1939:CI1939)</f>
        <v>0</v>
      </c>
      <c r="CL1939" s="2"/>
      <c r="CM1939" s="3"/>
      <c r="CN1939" s="3"/>
      <c r="CO1939" s="3"/>
      <c r="CP1939" s="3"/>
      <c r="CQ1939" s="4">
        <f>SUM(CL1939:CP1939)</f>
        <v>0</v>
      </c>
      <c r="CS1939" s="2"/>
      <c r="CT1939" s="3"/>
      <c r="CU1939" s="3"/>
      <c r="CV1939" s="3"/>
      <c r="CW1939" s="3"/>
      <c r="CX1939" s="4">
        <f>SUM(CS1939:CW1939)</f>
        <v>0</v>
      </c>
      <c r="CZ1939" s="2"/>
      <c r="DA1939" s="3"/>
      <c r="DB1939" s="3"/>
      <c r="DC1939" s="3"/>
      <c r="DD1939" s="3"/>
      <c r="DE1939" s="4">
        <f>SUM(CZ1939:DD1939)</f>
        <v>0</v>
      </c>
    </row>
    <row r="1940" spans="3:109">
      <c r="C1940" s="567"/>
      <c r="E1940" s="5" t="s">
        <v>60</v>
      </c>
      <c r="F1940" s="23">
        <f t="shared" ref="F1940:F1942" si="8904">CE1934</f>
        <v>0</v>
      </c>
      <c r="G1940" s="24">
        <f t="shared" si="8895"/>
        <v>0</v>
      </c>
      <c r="H1940" s="24">
        <f t="shared" si="8896"/>
        <v>0</v>
      </c>
      <c r="I1940" s="24">
        <f t="shared" si="8897"/>
        <v>0</v>
      </c>
      <c r="J1940" s="24">
        <f t="shared" si="8898"/>
        <v>0</v>
      </c>
      <c r="K1940" s="8">
        <f t="shared" ref="K1940:K1942" si="8905">SUM(F1940:J1940)</f>
        <v>0</v>
      </c>
      <c r="M1940" s="6"/>
      <c r="N1940" s="7"/>
      <c r="O1940" s="7"/>
      <c r="P1940" s="7"/>
      <c r="Q1940" s="7"/>
      <c r="R1940" s="8">
        <f t="shared" ref="R1940:R1942" si="8906">SUM(M1940:Q1940)</f>
        <v>0</v>
      </c>
      <c r="T1940" s="6"/>
      <c r="U1940" s="7"/>
      <c r="V1940" s="7"/>
      <c r="W1940" s="7"/>
      <c r="X1940" s="7"/>
      <c r="Y1940" s="8">
        <f t="shared" ref="Y1940:Y1942" si="8907">SUM(T1940:X1940)</f>
        <v>0</v>
      </c>
      <c r="AA1940" s="6"/>
      <c r="AB1940" s="7"/>
      <c r="AC1940" s="7"/>
      <c r="AD1940" s="7"/>
      <c r="AE1940" s="7"/>
      <c r="AF1940" s="8">
        <f>SUM(AA1940:AE1940)</f>
        <v>0</v>
      </c>
      <c r="AH1940" s="6"/>
      <c r="AI1940" s="7"/>
      <c r="AJ1940" s="7"/>
      <c r="AK1940" s="7"/>
      <c r="AL1940" s="7"/>
      <c r="AM1940" s="8">
        <f>SUM(AH1940:AL1940)</f>
        <v>0</v>
      </c>
      <c r="AO1940" s="6"/>
      <c r="AP1940" s="7"/>
      <c r="AQ1940" s="7"/>
      <c r="AR1940" s="7"/>
      <c r="AS1940" s="7"/>
      <c r="AT1940" s="8">
        <f>SUM(AO1940:AS1940)</f>
        <v>0</v>
      </c>
      <c r="AV1940" s="6"/>
      <c r="AW1940" s="7"/>
      <c r="AX1940" s="7"/>
      <c r="AY1940" s="7"/>
      <c r="AZ1940" s="7"/>
      <c r="BA1940" s="8">
        <f>SUM(AV1940:AZ1940)</f>
        <v>0</v>
      </c>
      <c r="BC1940" s="6"/>
      <c r="BD1940" s="7"/>
      <c r="BE1940" s="7"/>
      <c r="BF1940" s="7"/>
      <c r="BG1940" s="7"/>
      <c r="BH1940" s="8">
        <f>SUM(BC1940:BG1940)</f>
        <v>0</v>
      </c>
      <c r="BJ1940" s="6"/>
      <c r="BK1940" s="7"/>
      <c r="BL1940" s="7"/>
      <c r="BM1940" s="7"/>
      <c r="BN1940" s="7"/>
      <c r="BO1940" s="8">
        <f>SUM(BJ1940:BN1940)</f>
        <v>0</v>
      </c>
      <c r="BQ1940" s="6"/>
      <c r="BR1940" s="7"/>
      <c r="BS1940" s="7"/>
      <c r="BT1940" s="7"/>
      <c r="BU1940" s="7"/>
      <c r="BV1940" s="8">
        <f>SUM(BQ1940:BU1940)</f>
        <v>0</v>
      </c>
      <c r="BX1940" s="6"/>
      <c r="BY1940" s="7"/>
      <c r="BZ1940" s="7"/>
      <c r="CA1940" s="7"/>
      <c r="CB1940" s="7"/>
      <c r="CC1940" s="8">
        <f>SUM(BX1940:CB1940)</f>
        <v>0</v>
      </c>
      <c r="CE1940" s="28">
        <f t="shared" si="8899"/>
        <v>0</v>
      </c>
      <c r="CF1940" s="29">
        <f t="shared" si="8900"/>
        <v>0</v>
      </c>
      <c r="CG1940" s="29">
        <f t="shared" si="8901"/>
        <v>0</v>
      </c>
      <c r="CH1940" s="29">
        <f t="shared" si="8902"/>
        <v>0</v>
      </c>
      <c r="CI1940" s="29">
        <f t="shared" si="8903"/>
        <v>0</v>
      </c>
      <c r="CJ1940" s="8">
        <f>SUM(CE1940:CI1940)</f>
        <v>0</v>
      </c>
      <c r="CL1940" s="6"/>
      <c r="CM1940" s="7"/>
      <c r="CN1940" s="7"/>
      <c r="CO1940" s="7"/>
      <c r="CP1940" s="7"/>
      <c r="CQ1940" s="8">
        <f>SUM(CL1940:CP1940)</f>
        <v>0</v>
      </c>
      <c r="CS1940" s="6"/>
      <c r="CT1940" s="7"/>
      <c r="CU1940" s="7"/>
      <c r="CV1940" s="7"/>
      <c r="CW1940" s="7"/>
      <c r="CX1940" s="8">
        <f t="shared" ref="CX1940:CX1942" si="8908">SUM(CS1940:CW1940)</f>
        <v>0</v>
      </c>
      <c r="CZ1940" s="6"/>
      <c r="DA1940" s="7"/>
      <c r="DB1940" s="7"/>
      <c r="DC1940" s="7"/>
      <c r="DD1940" s="7"/>
      <c r="DE1940" s="8">
        <f t="shared" ref="DE1940:DE1942" si="8909">SUM(CZ1940:DD1940)</f>
        <v>0</v>
      </c>
    </row>
    <row r="1941" spans="3:109">
      <c r="C1941" s="567"/>
      <c r="E1941" s="5" t="s">
        <v>61</v>
      </c>
      <c r="F1941" s="23">
        <f t="shared" si="8904"/>
        <v>0</v>
      </c>
      <c r="G1941" s="24">
        <f t="shared" si="8895"/>
        <v>0</v>
      </c>
      <c r="H1941" s="24">
        <f t="shared" si="8896"/>
        <v>0</v>
      </c>
      <c r="I1941" s="24">
        <f t="shared" si="8897"/>
        <v>0</v>
      </c>
      <c r="J1941" s="24">
        <f t="shared" si="8898"/>
        <v>0</v>
      </c>
      <c r="K1941" s="8">
        <f t="shared" si="8905"/>
        <v>0</v>
      </c>
      <c r="M1941" s="6"/>
      <c r="N1941" s="7"/>
      <c r="O1941" s="7"/>
      <c r="P1941" s="7"/>
      <c r="Q1941" s="7"/>
      <c r="R1941" s="8">
        <f t="shared" si="8906"/>
        <v>0</v>
      </c>
      <c r="T1941" s="6"/>
      <c r="U1941" s="7"/>
      <c r="V1941" s="7"/>
      <c r="W1941" s="7"/>
      <c r="X1941" s="7"/>
      <c r="Y1941" s="8">
        <f t="shared" si="8907"/>
        <v>0</v>
      </c>
      <c r="AA1941" s="6"/>
      <c r="AB1941" s="7"/>
      <c r="AC1941" s="7"/>
      <c r="AD1941" s="7"/>
      <c r="AE1941" s="7"/>
      <c r="AF1941" s="8">
        <f>SUM(AA1941:AE1941)</f>
        <v>0</v>
      </c>
      <c r="AH1941" s="6"/>
      <c r="AI1941" s="7"/>
      <c r="AJ1941" s="7"/>
      <c r="AK1941" s="7"/>
      <c r="AL1941" s="7"/>
      <c r="AM1941" s="8">
        <f>SUM(AH1941:AL1941)</f>
        <v>0</v>
      </c>
      <c r="AO1941" s="6"/>
      <c r="AP1941" s="7"/>
      <c r="AQ1941" s="7"/>
      <c r="AR1941" s="7"/>
      <c r="AS1941" s="7"/>
      <c r="AT1941" s="8">
        <f>SUM(AO1941:AS1941)</f>
        <v>0</v>
      </c>
      <c r="AV1941" s="6"/>
      <c r="AW1941" s="7"/>
      <c r="AX1941" s="7"/>
      <c r="AY1941" s="7"/>
      <c r="AZ1941" s="7"/>
      <c r="BA1941" s="8">
        <f>SUM(AV1941:AZ1941)</f>
        <v>0</v>
      </c>
      <c r="BC1941" s="6"/>
      <c r="BD1941" s="7"/>
      <c r="BE1941" s="7"/>
      <c r="BF1941" s="7"/>
      <c r="BG1941" s="7"/>
      <c r="BH1941" s="8">
        <f>SUM(BC1941:BG1941)</f>
        <v>0</v>
      </c>
      <c r="BJ1941" s="6"/>
      <c r="BK1941" s="7"/>
      <c r="BL1941" s="7"/>
      <c r="BM1941" s="7"/>
      <c r="BN1941" s="7"/>
      <c r="BO1941" s="8">
        <f>SUM(BJ1941:BN1941)</f>
        <v>0</v>
      </c>
      <c r="BQ1941" s="6"/>
      <c r="BR1941" s="7"/>
      <c r="BS1941" s="7"/>
      <c r="BT1941" s="7"/>
      <c r="BU1941" s="7"/>
      <c r="BV1941" s="8">
        <f>SUM(BQ1941:BU1941)</f>
        <v>0</v>
      </c>
      <c r="BX1941" s="6"/>
      <c r="BY1941" s="7"/>
      <c r="BZ1941" s="7"/>
      <c r="CA1941" s="7"/>
      <c r="CB1941" s="7"/>
      <c r="CC1941" s="8">
        <f>SUM(BX1941:CB1941)</f>
        <v>0</v>
      </c>
      <c r="CE1941" s="28">
        <f t="shared" si="8899"/>
        <v>0</v>
      </c>
      <c r="CF1941" s="29">
        <f t="shared" si="8900"/>
        <v>0</v>
      </c>
      <c r="CG1941" s="29">
        <f t="shared" si="8901"/>
        <v>0</v>
      </c>
      <c r="CH1941" s="29">
        <f t="shared" si="8902"/>
        <v>0</v>
      </c>
      <c r="CI1941" s="29">
        <f t="shared" si="8903"/>
        <v>0</v>
      </c>
      <c r="CJ1941" s="8">
        <f>SUM(CE1941:CI1941)</f>
        <v>0</v>
      </c>
      <c r="CL1941" s="6"/>
      <c r="CM1941" s="7"/>
      <c r="CN1941" s="7"/>
      <c r="CO1941" s="7"/>
      <c r="CP1941" s="7"/>
      <c r="CQ1941" s="8">
        <f>SUM(CL1941:CP1941)</f>
        <v>0</v>
      </c>
      <c r="CS1941" s="6"/>
      <c r="CT1941" s="7"/>
      <c r="CU1941" s="7"/>
      <c r="CV1941" s="7"/>
      <c r="CW1941" s="7"/>
      <c r="CX1941" s="8">
        <f t="shared" si="8908"/>
        <v>0</v>
      </c>
      <c r="CZ1941" s="6"/>
      <c r="DA1941" s="7"/>
      <c r="DB1941" s="7"/>
      <c r="DC1941" s="7"/>
      <c r="DD1941" s="7"/>
      <c r="DE1941" s="8">
        <f t="shared" si="8909"/>
        <v>0</v>
      </c>
    </row>
    <row r="1942" spans="3:109" ht="14" thickBot="1">
      <c r="C1942" s="567"/>
      <c r="E1942" s="5" t="s">
        <v>62</v>
      </c>
      <c r="F1942" s="23">
        <f t="shared" si="8904"/>
        <v>0</v>
      </c>
      <c r="G1942" s="24">
        <f t="shared" si="8895"/>
        <v>0</v>
      </c>
      <c r="H1942" s="24">
        <f t="shared" si="8896"/>
        <v>0</v>
      </c>
      <c r="I1942" s="24">
        <f t="shared" si="8897"/>
        <v>0</v>
      </c>
      <c r="J1942" s="24">
        <f t="shared" si="8898"/>
        <v>0</v>
      </c>
      <c r="K1942" s="8">
        <f t="shared" si="8905"/>
        <v>0</v>
      </c>
      <c r="M1942" s="6"/>
      <c r="N1942" s="7"/>
      <c r="O1942" s="7"/>
      <c r="P1942" s="7"/>
      <c r="Q1942" s="7"/>
      <c r="R1942" s="8">
        <f t="shared" si="8906"/>
        <v>0</v>
      </c>
      <c r="T1942" s="6"/>
      <c r="U1942" s="7"/>
      <c r="V1942" s="7"/>
      <c r="W1942" s="7"/>
      <c r="X1942" s="7"/>
      <c r="Y1942" s="8">
        <f t="shared" si="8907"/>
        <v>0</v>
      </c>
      <c r="AA1942" s="6"/>
      <c r="AB1942" s="7"/>
      <c r="AC1942" s="7"/>
      <c r="AD1942" s="7"/>
      <c r="AE1942" s="7"/>
      <c r="AF1942" s="8">
        <f>SUM(AA1942:AE1942)</f>
        <v>0</v>
      </c>
      <c r="AH1942" s="6"/>
      <c r="AI1942" s="7"/>
      <c r="AJ1942" s="7"/>
      <c r="AK1942" s="7"/>
      <c r="AL1942" s="7"/>
      <c r="AM1942" s="8">
        <f>SUM(AH1942:AL1942)</f>
        <v>0</v>
      </c>
      <c r="AO1942" s="6"/>
      <c r="AP1942" s="7"/>
      <c r="AQ1942" s="7"/>
      <c r="AR1942" s="7"/>
      <c r="AS1942" s="7"/>
      <c r="AT1942" s="8">
        <f>SUM(AO1942:AS1942)</f>
        <v>0</v>
      </c>
      <c r="AV1942" s="6"/>
      <c r="AW1942" s="7"/>
      <c r="AX1942" s="7"/>
      <c r="AY1942" s="7"/>
      <c r="AZ1942" s="7"/>
      <c r="BA1942" s="8">
        <f>SUM(AV1942:AZ1942)</f>
        <v>0</v>
      </c>
      <c r="BC1942" s="6"/>
      <c r="BD1942" s="7"/>
      <c r="BE1942" s="7"/>
      <c r="BF1942" s="7"/>
      <c r="BG1942" s="7"/>
      <c r="BH1942" s="8">
        <f>SUM(BC1942:BG1942)</f>
        <v>0</v>
      </c>
      <c r="BJ1942" s="6"/>
      <c r="BK1942" s="7"/>
      <c r="BL1942" s="7"/>
      <c r="BM1942" s="7"/>
      <c r="BN1942" s="7"/>
      <c r="BO1942" s="8">
        <f>SUM(BJ1942:BN1942)</f>
        <v>0</v>
      </c>
      <c r="BQ1942" s="6"/>
      <c r="BR1942" s="7"/>
      <c r="BS1942" s="7"/>
      <c r="BT1942" s="7"/>
      <c r="BU1942" s="7"/>
      <c r="BV1942" s="8">
        <f>SUM(BQ1942:BU1942)</f>
        <v>0</v>
      </c>
      <c r="BX1942" s="6"/>
      <c r="BY1942" s="7"/>
      <c r="BZ1942" s="7"/>
      <c r="CA1942" s="7"/>
      <c r="CB1942" s="7"/>
      <c r="CC1942" s="8">
        <f>SUM(BX1942:CB1942)</f>
        <v>0</v>
      </c>
      <c r="CE1942" s="493">
        <f t="shared" si="8899"/>
        <v>0</v>
      </c>
      <c r="CF1942" s="494">
        <f t="shared" si="8900"/>
        <v>0</v>
      </c>
      <c r="CG1942" s="494">
        <f t="shared" si="8901"/>
        <v>0</v>
      </c>
      <c r="CH1942" s="494">
        <f t="shared" si="8902"/>
        <v>0</v>
      </c>
      <c r="CI1942" s="494">
        <f t="shared" si="8903"/>
        <v>0</v>
      </c>
      <c r="CJ1942" s="495">
        <f>SUM(CE1942:CI1942)</f>
        <v>0</v>
      </c>
      <c r="CL1942" s="6"/>
      <c r="CM1942" s="7"/>
      <c r="CN1942" s="7"/>
      <c r="CO1942" s="7"/>
      <c r="CP1942" s="7"/>
      <c r="CQ1942" s="8">
        <f>SUM(CL1942:CP1942)</f>
        <v>0</v>
      </c>
      <c r="CS1942" s="6"/>
      <c r="CT1942" s="7"/>
      <c r="CU1942" s="7"/>
      <c r="CV1942" s="7"/>
      <c r="CW1942" s="7"/>
      <c r="CX1942" s="8">
        <f t="shared" si="8908"/>
        <v>0</v>
      </c>
      <c r="CZ1942" s="6"/>
      <c r="DA1942" s="7"/>
      <c r="DB1942" s="7"/>
      <c r="DC1942" s="7"/>
      <c r="DD1942" s="7"/>
      <c r="DE1942" s="8">
        <f t="shared" si="8909"/>
        <v>0</v>
      </c>
    </row>
    <row r="1943" spans="3:109" ht="14" thickBot="1">
      <c r="C1943" s="554"/>
      <c r="E1943" s="9"/>
      <c r="F1943" s="10">
        <f>SUM(F1939:F1942)</f>
        <v>0</v>
      </c>
      <c r="G1943" s="11">
        <f t="shared" ref="G1943:J1943" si="8910">SUM(G1939:G1942)</f>
        <v>0</v>
      </c>
      <c r="H1943" s="11">
        <f t="shared" si="8910"/>
        <v>0</v>
      </c>
      <c r="I1943" s="11">
        <f t="shared" si="8910"/>
        <v>0</v>
      </c>
      <c r="J1943" s="11">
        <f t="shared" si="8910"/>
        <v>0</v>
      </c>
      <c r="K1943" s="25">
        <f>SUM(K1939:K1942)</f>
        <v>0</v>
      </c>
      <c r="M1943" s="10">
        <f>SUM(M1939:M1942)</f>
        <v>0</v>
      </c>
      <c r="N1943" s="11">
        <f t="shared" ref="N1943:Q1943" si="8911">SUM(N1939:N1942)</f>
        <v>0</v>
      </c>
      <c r="O1943" s="11">
        <f t="shared" si="8911"/>
        <v>0</v>
      </c>
      <c r="P1943" s="11">
        <f t="shared" si="8911"/>
        <v>0</v>
      </c>
      <c r="Q1943" s="11">
        <f t="shared" si="8911"/>
        <v>0</v>
      </c>
      <c r="R1943" s="25">
        <f>SUM(R1939:R1942)</f>
        <v>0</v>
      </c>
      <c r="T1943" s="10">
        <f>SUM(T1939:T1942)</f>
        <v>0</v>
      </c>
      <c r="U1943" s="11">
        <f t="shared" ref="U1943:X1943" si="8912">SUM(U1939:U1942)</f>
        <v>0</v>
      </c>
      <c r="V1943" s="11">
        <f t="shared" si="8912"/>
        <v>0</v>
      </c>
      <c r="W1943" s="11">
        <f t="shared" si="8912"/>
        <v>0</v>
      </c>
      <c r="X1943" s="11">
        <f t="shared" si="8912"/>
        <v>0</v>
      </c>
      <c r="Y1943" s="25">
        <f>SUM(Y1939:Y1942)</f>
        <v>0</v>
      </c>
      <c r="AA1943" s="10">
        <f>SUM(AA1939:AA1942)</f>
        <v>0</v>
      </c>
      <c r="AB1943" s="11">
        <f t="shared" ref="AB1943:AE1943" si="8913">SUM(AB1939:AB1942)</f>
        <v>0</v>
      </c>
      <c r="AC1943" s="11">
        <f t="shared" si="8913"/>
        <v>0</v>
      </c>
      <c r="AD1943" s="11">
        <f t="shared" si="8913"/>
        <v>0</v>
      </c>
      <c r="AE1943" s="11">
        <f t="shared" si="8913"/>
        <v>0</v>
      </c>
      <c r="AF1943" s="25">
        <f>SUM(AF1939:AF1942)</f>
        <v>0</v>
      </c>
      <c r="AH1943" s="10">
        <f>SUM(AH1939:AH1942)</f>
        <v>0</v>
      </c>
      <c r="AI1943" s="11">
        <f t="shared" ref="AI1943:AL1943" si="8914">SUM(AI1939:AI1942)</f>
        <v>0</v>
      </c>
      <c r="AJ1943" s="11">
        <f t="shared" si="8914"/>
        <v>0</v>
      </c>
      <c r="AK1943" s="11">
        <f t="shared" si="8914"/>
        <v>0</v>
      </c>
      <c r="AL1943" s="11">
        <f t="shared" si="8914"/>
        <v>0</v>
      </c>
      <c r="AM1943" s="25">
        <f>SUM(AM1939:AM1942)</f>
        <v>0</v>
      </c>
      <c r="AO1943" s="10">
        <f>SUM(AO1939:AO1942)</f>
        <v>0</v>
      </c>
      <c r="AP1943" s="11">
        <f t="shared" ref="AP1943:AS1943" si="8915">SUM(AP1939:AP1942)</f>
        <v>0</v>
      </c>
      <c r="AQ1943" s="11">
        <f t="shared" si="8915"/>
        <v>0</v>
      </c>
      <c r="AR1943" s="11">
        <f t="shared" si="8915"/>
        <v>0</v>
      </c>
      <c r="AS1943" s="11">
        <f t="shared" si="8915"/>
        <v>0</v>
      </c>
      <c r="AT1943" s="25">
        <f>SUM(AT1939:AT1942)</f>
        <v>0</v>
      </c>
      <c r="AV1943" s="10">
        <f>SUM(AV1939:AV1942)</f>
        <v>0</v>
      </c>
      <c r="AW1943" s="11">
        <f t="shared" ref="AW1943:AZ1943" si="8916">SUM(AW1939:AW1942)</f>
        <v>0</v>
      </c>
      <c r="AX1943" s="11">
        <f t="shared" si="8916"/>
        <v>0</v>
      </c>
      <c r="AY1943" s="11">
        <f t="shared" si="8916"/>
        <v>0</v>
      </c>
      <c r="AZ1943" s="11">
        <f t="shared" si="8916"/>
        <v>0</v>
      </c>
      <c r="BA1943" s="25">
        <f>SUM(BA1939:BA1942)</f>
        <v>0</v>
      </c>
      <c r="BC1943" s="10">
        <f>SUM(BC1939:BC1942)</f>
        <v>0</v>
      </c>
      <c r="BD1943" s="11">
        <f t="shared" ref="BD1943:BG1943" si="8917">SUM(BD1939:BD1942)</f>
        <v>0</v>
      </c>
      <c r="BE1943" s="11">
        <f t="shared" si="8917"/>
        <v>0</v>
      </c>
      <c r="BF1943" s="11">
        <f t="shared" si="8917"/>
        <v>0</v>
      </c>
      <c r="BG1943" s="11">
        <f t="shared" si="8917"/>
        <v>0</v>
      </c>
      <c r="BH1943" s="25">
        <f>SUM(BH1939:BH1942)</f>
        <v>0</v>
      </c>
      <c r="BJ1943" s="10">
        <f>SUM(BJ1939:BJ1942)</f>
        <v>0</v>
      </c>
      <c r="BK1943" s="11">
        <f t="shared" ref="BK1943:BN1943" si="8918">SUM(BK1939:BK1942)</f>
        <v>0</v>
      </c>
      <c r="BL1943" s="11">
        <f t="shared" si="8918"/>
        <v>0</v>
      </c>
      <c r="BM1943" s="11">
        <f t="shared" si="8918"/>
        <v>0</v>
      </c>
      <c r="BN1943" s="11">
        <f t="shared" si="8918"/>
        <v>0</v>
      </c>
      <c r="BO1943" s="25">
        <f>SUM(BO1939:BO1942)</f>
        <v>0</v>
      </c>
      <c r="BQ1943" s="10">
        <f>SUM(BQ1939:BQ1942)</f>
        <v>0</v>
      </c>
      <c r="BR1943" s="11">
        <f t="shared" ref="BR1943:BU1943" si="8919">SUM(BR1939:BR1942)</f>
        <v>0</v>
      </c>
      <c r="BS1943" s="11">
        <f t="shared" si="8919"/>
        <v>0</v>
      </c>
      <c r="BT1943" s="11">
        <f t="shared" si="8919"/>
        <v>0</v>
      </c>
      <c r="BU1943" s="11">
        <f t="shared" si="8919"/>
        <v>0</v>
      </c>
      <c r="BV1943" s="25">
        <f>SUM(BV1939:BV1942)</f>
        <v>0</v>
      </c>
      <c r="BX1943" s="10">
        <f>SUM(BX1939:BX1942)</f>
        <v>0</v>
      </c>
      <c r="BY1943" s="11">
        <f t="shared" ref="BY1943:CB1943" si="8920">SUM(BY1939:BY1942)</f>
        <v>0</v>
      </c>
      <c r="BZ1943" s="11">
        <f t="shared" si="8920"/>
        <v>0</v>
      </c>
      <c r="CA1943" s="11">
        <f t="shared" si="8920"/>
        <v>0</v>
      </c>
      <c r="CB1943" s="11">
        <f t="shared" si="8920"/>
        <v>0</v>
      </c>
      <c r="CC1943" s="25">
        <f>SUM(CC1939:CC1942)</f>
        <v>0</v>
      </c>
      <c r="CE1943" s="62">
        <f t="shared" ref="CE1943:CJ1943" si="8921">SUM(CE1939:CE1942)</f>
        <v>0</v>
      </c>
      <c r="CF1943" s="63">
        <f t="shared" si="8921"/>
        <v>0</v>
      </c>
      <c r="CG1943" s="63">
        <f t="shared" si="8921"/>
        <v>0</v>
      </c>
      <c r="CH1943" s="63">
        <f t="shared" si="8921"/>
        <v>0</v>
      </c>
      <c r="CI1943" s="63">
        <f t="shared" si="8921"/>
        <v>0</v>
      </c>
      <c r="CJ1943" s="25">
        <f t="shared" si="8921"/>
        <v>0</v>
      </c>
      <c r="CL1943" s="10">
        <f>SUM(CL1939:CL1942)</f>
        <v>0</v>
      </c>
      <c r="CM1943" s="11">
        <f t="shared" ref="CM1943:CP1943" si="8922">SUM(CM1939:CM1942)</f>
        <v>0</v>
      </c>
      <c r="CN1943" s="11">
        <f t="shared" si="8922"/>
        <v>0</v>
      </c>
      <c r="CO1943" s="11">
        <f t="shared" si="8922"/>
        <v>0</v>
      </c>
      <c r="CP1943" s="11">
        <f t="shared" si="8922"/>
        <v>0</v>
      </c>
      <c r="CQ1943" s="25">
        <f>SUM(CQ1939:CQ1942)</f>
        <v>0</v>
      </c>
      <c r="CS1943" s="10">
        <f>SUM(CS1939:CS1942)</f>
        <v>0</v>
      </c>
      <c r="CT1943" s="11">
        <f t="shared" ref="CT1943:CW1943" si="8923">SUM(CT1939:CT1942)</f>
        <v>0</v>
      </c>
      <c r="CU1943" s="11">
        <f t="shared" si="8923"/>
        <v>0</v>
      </c>
      <c r="CV1943" s="11">
        <f t="shared" si="8923"/>
        <v>0</v>
      </c>
      <c r="CW1943" s="11">
        <f t="shared" si="8923"/>
        <v>0</v>
      </c>
      <c r="CX1943" s="25">
        <f>SUM(CX1939:CX1942)</f>
        <v>0</v>
      </c>
      <c r="CZ1943" s="10">
        <f>SUM(CZ1939:CZ1942)</f>
        <v>0</v>
      </c>
      <c r="DA1943" s="11">
        <f t="shared" ref="DA1943:DD1943" si="8924">SUM(DA1939:DA1942)</f>
        <v>0</v>
      </c>
      <c r="DB1943" s="11">
        <f t="shared" si="8924"/>
        <v>0</v>
      </c>
      <c r="DC1943" s="11">
        <f t="shared" si="8924"/>
        <v>0</v>
      </c>
      <c r="DD1943" s="11">
        <f t="shared" si="8924"/>
        <v>0</v>
      </c>
      <c r="DE1943" s="25">
        <f>SUM(DE1939:DE1942)</f>
        <v>0</v>
      </c>
    </row>
    <row r="1944" spans="3:109" ht="10.4" customHeight="1" thickBot="1"/>
    <row r="1945" spans="3:109">
      <c r="C1945" s="553">
        <v>2027</v>
      </c>
      <c r="E1945" s="1" t="s">
        <v>59</v>
      </c>
      <c r="F1945" s="21">
        <f>CE1939</f>
        <v>0</v>
      </c>
      <c r="G1945" s="22">
        <f t="shared" ref="G1945:G1948" si="8925">CF1939</f>
        <v>0</v>
      </c>
      <c r="H1945" s="22">
        <f t="shared" ref="H1945:H1948" si="8926">CG1939</f>
        <v>0</v>
      </c>
      <c r="I1945" s="22">
        <f t="shared" ref="I1945:I1948" si="8927">CH1939</f>
        <v>0</v>
      </c>
      <c r="J1945" s="22">
        <f t="shared" ref="J1945:J1948" si="8928">CI1939</f>
        <v>0</v>
      </c>
      <c r="K1945" s="4">
        <f>SUM(F1945:J1945)</f>
        <v>0</v>
      </c>
      <c r="M1945" s="2"/>
      <c r="N1945" s="3"/>
      <c r="O1945" s="3"/>
      <c r="P1945" s="3"/>
      <c r="Q1945" s="3"/>
      <c r="R1945" s="4">
        <f>SUM(M1945:Q1945)</f>
        <v>0</v>
      </c>
      <c r="T1945" s="2"/>
      <c r="U1945" s="3"/>
      <c r="V1945" s="3"/>
      <c r="W1945" s="3"/>
      <c r="X1945" s="3"/>
      <c r="Y1945" s="4">
        <f>SUM(T1945:X1945)</f>
        <v>0</v>
      </c>
      <c r="AA1945" s="2"/>
      <c r="AB1945" s="3"/>
      <c r="AC1945" s="3"/>
      <c r="AD1945" s="3"/>
      <c r="AE1945" s="3"/>
      <c r="AF1945" s="4">
        <f>SUM(AA1945:AE1945)</f>
        <v>0</v>
      </c>
      <c r="AH1945" s="2"/>
      <c r="AI1945" s="3"/>
      <c r="AJ1945" s="3"/>
      <c r="AK1945" s="3"/>
      <c r="AL1945" s="3"/>
      <c r="AM1945" s="4">
        <f>SUM(AH1945:AL1945)</f>
        <v>0</v>
      </c>
      <c r="AO1945" s="2"/>
      <c r="AP1945" s="3"/>
      <c r="AQ1945" s="3"/>
      <c r="AR1945" s="3"/>
      <c r="AS1945" s="3"/>
      <c r="AT1945" s="4">
        <f>SUM(AO1945:AS1945)</f>
        <v>0</v>
      </c>
      <c r="AV1945" s="2"/>
      <c r="AW1945" s="3"/>
      <c r="AX1945" s="3"/>
      <c r="AY1945" s="3"/>
      <c r="AZ1945" s="3"/>
      <c r="BA1945" s="4">
        <f>SUM(AV1945:AZ1945)</f>
        <v>0</v>
      </c>
      <c r="BC1945" s="2"/>
      <c r="BD1945" s="3"/>
      <c r="BE1945" s="3"/>
      <c r="BF1945" s="3"/>
      <c r="BG1945" s="3"/>
      <c r="BH1945" s="4">
        <f>SUM(BC1945:BG1945)</f>
        <v>0</v>
      </c>
      <c r="BJ1945" s="2"/>
      <c r="BK1945" s="3"/>
      <c r="BL1945" s="3"/>
      <c r="BM1945" s="3"/>
      <c r="BN1945" s="3"/>
      <c r="BO1945" s="4">
        <f>SUM(BJ1945:BN1945)</f>
        <v>0</v>
      </c>
      <c r="BQ1945" s="2"/>
      <c r="BR1945" s="3"/>
      <c r="BS1945" s="3"/>
      <c r="BT1945" s="3"/>
      <c r="BU1945" s="3"/>
      <c r="BV1945" s="4">
        <f>SUM(BQ1945:BU1945)</f>
        <v>0</v>
      </c>
      <c r="BX1945" s="2"/>
      <c r="BY1945" s="3"/>
      <c r="BZ1945" s="3"/>
      <c r="CA1945" s="3"/>
      <c r="CB1945" s="3"/>
      <c r="CC1945" s="4">
        <f>SUM(BX1945:CB1945)</f>
        <v>0</v>
      </c>
      <c r="CE1945" s="26">
        <f t="shared" ref="CE1945:CE1948" si="8929">F1945+M1945+T1945+AA1945+AH1945+AO1945+AV1945+BC1945+BJ1945+BQ1945+BX1945</f>
        <v>0</v>
      </c>
      <c r="CF1945" s="27">
        <f t="shared" ref="CF1945:CF1948" si="8930">G1945+N1945+U1945+AB1945+AI1945+AP1945+AW1945+BD1945+BK1945+BR1945+BY1945</f>
        <v>0</v>
      </c>
      <c r="CG1945" s="27">
        <f t="shared" ref="CG1945:CG1948" si="8931">H1945+O1945+V1945+AC1945+AJ1945+AQ1945+AX1945+BE1945+BL1945+BS1945+BZ1945</f>
        <v>0</v>
      </c>
      <c r="CH1945" s="27">
        <f t="shared" ref="CH1945:CH1948" si="8932">I1945+P1945+W1945+AD1945+AK1945+AR1945+AY1945+BF1945+BM1945+BT1945+CA1945</f>
        <v>0</v>
      </c>
      <c r="CI1945" s="27">
        <f t="shared" ref="CI1945:CI1948" si="8933">J1945+Q1945+X1945+AE1945+AL1945+AS1945+AZ1945+BG1945+BN1945+BU1945+CB1945</f>
        <v>0</v>
      </c>
      <c r="CJ1945" s="4">
        <f>SUM(CE1945:CI1945)</f>
        <v>0</v>
      </c>
      <c r="CL1945" s="2"/>
      <c r="CM1945" s="3"/>
      <c r="CN1945" s="3"/>
      <c r="CO1945" s="3"/>
      <c r="CP1945" s="3"/>
      <c r="CQ1945" s="4">
        <f>SUM(CL1945:CP1945)</f>
        <v>0</v>
      </c>
      <c r="CS1945" s="2"/>
      <c r="CT1945" s="3"/>
      <c r="CU1945" s="3"/>
      <c r="CV1945" s="3"/>
      <c r="CW1945" s="3"/>
      <c r="CX1945" s="4">
        <f>SUM(CS1945:CW1945)</f>
        <v>0</v>
      </c>
      <c r="CZ1945" s="2"/>
      <c r="DA1945" s="3"/>
      <c r="DB1945" s="3"/>
      <c r="DC1945" s="3"/>
      <c r="DD1945" s="3"/>
      <c r="DE1945" s="4">
        <f>SUM(CZ1945:DD1945)</f>
        <v>0</v>
      </c>
    </row>
    <row r="1946" spans="3:109">
      <c r="C1946" s="567"/>
      <c r="E1946" s="5" t="s">
        <v>60</v>
      </c>
      <c r="F1946" s="23">
        <f t="shared" ref="F1946:F1948" si="8934">CE1940</f>
        <v>0</v>
      </c>
      <c r="G1946" s="24">
        <f t="shared" si="8925"/>
        <v>0</v>
      </c>
      <c r="H1946" s="24">
        <f t="shared" si="8926"/>
        <v>0</v>
      </c>
      <c r="I1946" s="24">
        <f t="shared" si="8927"/>
        <v>0</v>
      </c>
      <c r="J1946" s="24">
        <f t="shared" si="8928"/>
        <v>0</v>
      </c>
      <c r="K1946" s="8">
        <f t="shared" ref="K1946:K1948" si="8935">SUM(F1946:J1946)</f>
        <v>0</v>
      </c>
      <c r="M1946" s="6"/>
      <c r="N1946" s="7"/>
      <c r="O1946" s="7"/>
      <c r="P1946" s="7"/>
      <c r="Q1946" s="7"/>
      <c r="R1946" s="8">
        <f t="shared" ref="R1946:R1948" si="8936">SUM(M1946:Q1946)</f>
        <v>0</v>
      </c>
      <c r="T1946" s="6"/>
      <c r="U1946" s="7"/>
      <c r="V1946" s="7"/>
      <c r="W1946" s="7"/>
      <c r="X1946" s="7"/>
      <c r="Y1946" s="8">
        <f t="shared" ref="Y1946:Y1948" si="8937">SUM(T1946:X1946)</f>
        <v>0</v>
      </c>
      <c r="AA1946" s="6"/>
      <c r="AB1946" s="7"/>
      <c r="AC1946" s="7"/>
      <c r="AD1946" s="7"/>
      <c r="AE1946" s="7"/>
      <c r="AF1946" s="8">
        <f>SUM(AA1946:AE1946)</f>
        <v>0</v>
      </c>
      <c r="AH1946" s="6"/>
      <c r="AI1946" s="7"/>
      <c r="AJ1946" s="7"/>
      <c r="AK1946" s="7"/>
      <c r="AL1946" s="7"/>
      <c r="AM1946" s="8">
        <f>SUM(AH1946:AL1946)</f>
        <v>0</v>
      </c>
      <c r="AO1946" s="6"/>
      <c r="AP1946" s="7"/>
      <c r="AQ1946" s="7"/>
      <c r="AR1946" s="7"/>
      <c r="AS1946" s="7"/>
      <c r="AT1946" s="8">
        <f>SUM(AO1946:AS1946)</f>
        <v>0</v>
      </c>
      <c r="AV1946" s="6"/>
      <c r="AW1946" s="7"/>
      <c r="AX1946" s="7"/>
      <c r="AY1946" s="7"/>
      <c r="AZ1946" s="7"/>
      <c r="BA1946" s="8">
        <f>SUM(AV1946:AZ1946)</f>
        <v>0</v>
      </c>
      <c r="BC1946" s="6"/>
      <c r="BD1946" s="7"/>
      <c r="BE1946" s="7"/>
      <c r="BF1946" s="7"/>
      <c r="BG1946" s="7"/>
      <c r="BH1946" s="8">
        <f>SUM(BC1946:BG1946)</f>
        <v>0</v>
      </c>
      <c r="BJ1946" s="6"/>
      <c r="BK1946" s="7"/>
      <c r="BL1946" s="7"/>
      <c r="BM1946" s="7"/>
      <c r="BN1946" s="7"/>
      <c r="BO1946" s="8">
        <f>SUM(BJ1946:BN1946)</f>
        <v>0</v>
      </c>
      <c r="BQ1946" s="6"/>
      <c r="BR1946" s="7"/>
      <c r="BS1946" s="7"/>
      <c r="BT1946" s="7"/>
      <c r="BU1946" s="7"/>
      <c r="BV1946" s="8">
        <f>SUM(BQ1946:BU1946)</f>
        <v>0</v>
      </c>
      <c r="BX1946" s="6"/>
      <c r="BY1946" s="7"/>
      <c r="BZ1946" s="7"/>
      <c r="CA1946" s="7"/>
      <c r="CB1946" s="7"/>
      <c r="CC1946" s="8">
        <f>SUM(BX1946:CB1946)</f>
        <v>0</v>
      </c>
      <c r="CE1946" s="28">
        <f t="shared" si="8929"/>
        <v>0</v>
      </c>
      <c r="CF1946" s="29">
        <f t="shared" si="8930"/>
        <v>0</v>
      </c>
      <c r="CG1946" s="29">
        <f t="shared" si="8931"/>
        <v>0</v>
      </c>
      <c r="CH1946" s="29">
        <f t="shared" si="8932"/>
        <v>0</v>
      </c>
      <c r="CI1946" s="29">
        <f t="shared" si="8933"/>
        <v>0</v>
      </c>
      <c r="CJ1946" s="8">
        <f>SUM(CE1946:CI1946)</f>
        <v>0</v>
      </c>
      <c r="CL1946" s="6"/>
      <c r="CM1946" s="7"/>
      <c r="CN1946" s="7"/>
      <c r="CO1946" s="7"/>
      <c r="CP1946" s="7"/>
      <c r="CQ1946" s="8">
        <f>SUM(CL1946:CP1946)</f>
        <v>0</v>
      </c>
      <c r="CS1946" s="6"/>
      <c r="CT1946" s="7"/>
      <c r="CU1946" s="7"/>
      <c r="CV1946" s="7"/>
      <c r="CW1946" s="7"/>
      <c r="CX1946" s="8">
        <f t="shared" ref="CX1946:CX1948" si="8938">SUM(CS1946:CW1946)</f>
        <v>0</v>
      </c>
      <c r="CZ1946" s="6"/>
      <c r="DA1946" s="7"/>
      <c r="DB1946" s="7"/>
      <c r="DC1946" s="7"/>
      <c r="DD1946" s="7"/>
      <c r="DE1946" s="8">
        <f t="shared" ref="DE1946:DE1948" si="8939">SUM(CZ1946:DD1946)</f>
        <v>0</v>
      </c>
    </row>
    <row r="1947" spans="3:109">
      <c r="C1947" s="567"/>
      <c r="E1947" s="5" t="s">
        <v>61</v>
      </c>
      <c r="F1947" s="23">
        <f t="shared" si="8934"/>
        <v>0</v>
      </c>
      <c r="G1947" s="24">
        <f t="shared" si="8925"/>
        <v>0</v>
      </c>
      <c r="H1947" s="24">
        <f t="shared" si="8926"/>
        <v>0</v>
      </c>
      <c r="I1947" s="24">
        <f t="shared" si="8927"/>
        <v>0</v>
      </c>
      <c r="J1947" s="24">
        <f t="shared" si="8928"/>
        <v>0</v>
      </c>
      <c r="K1947" s="8">
        <f t="shared" si="8935"/>
        <v>0</v>
      </c>
      <c r="M1947" s="6"/>
      <c r="N1947" s="7"/>
      <c r="O1947" s="7"/>
      <c r="P1947" s="7"/>
      <c r="Q1947" s="7"/>
      <c r="R1947" s="8">
        <f t="shared" si="8936"/>
        <v>0</v>
      </c>
      <c r="T1947" s="6"/>
      <c r="U1947" s="7"/>
      <c r="V1947" s="7"/>
      <c r="W1947" s="7"/>
      <c r="X1947" s="7"/>
      <c r="Y1947" s="8">
        <f t="shared" si="8937"/>
        <v>0</v>
      </c>
      <c r="AA1947" s="6"/>
      <c r="AB1947" s="7"/>
      <c r="AC1947" s="7"/>
      <c r="AD1947" s="7"/>
      <c r="AE1947" s="7"/>
      <c r="AF1947" s="8">
        <f>SUM(AA1947:AE1947)</f>
        <v>0</v>
      </c>
      <c r="AH1947" s="6"/>
      <c r="AI1947" s="7"/>
      <c r="AJ1947" s="7"/>
      <c r="AK1947" s="7"/>
      <c r="AL1947" s="7"/>
      <c r="AM1947" s="8">
        <f>SUM(AH1947:AL1947)</f>
        <v>0</v>
      </c>
      <c r="AO1947" s="6"/>
      <c r="AP1947" s="7"/>
      <c r="AQ1947" s="7"/>
      <c r="AR1947" s="7"/>
      <c r="AS1947" s="7"/>
      <c r="AT1947" s="8">
        <f>SUM(AO1947:AS1947)</f>
        <v>0</v>
      </c>
      <c r="AV1947" s="6"/>
      <c r="AW1947" s="7"/>
      <c r="AX1947" s="7"/>
      <c r="AY1947" s="7"/>
      <c r="AZ1947" s="7"/>
      <c r="BA1947" s="8">
        <f>SUM(AV1947:AZ1947)</f>
        <v>0</v>
      </c>
      <c r="BC1947" s="6"/>
      <c r="BD1947" s="7"/>
      <c r="BE1947" s="7"/>
      <c r="BF1947" s="7"/>
      <c r="BG1947" s="7"/>
      <c r="BH1947" s="8">
        <f>SUM(BC1947:BG1947)</f>
        <v>0</v>
      </c>
      <c r="BJ1947" s="6"/>
      <c r="BK1947" s="7"/>
      <c r="BL1947" s="7"/>
      <c r="BM1947" s="7"/>
      <c r="BN1947" s="7"/>
      <c r="BO1947" s="8">
        <f>SUM(BJ1947:BN1947)</f>
        <v>0</v>
      </c>
      <c r="BQ1947" s="6"/>
      <c r="BR1947" s="7"/>
      <c r="BS1947" s="7"/>
      <c r="BT1947" s="7"/>
      <c r="BU1947" s="7"/>
      <c r="BV1947" s="8">
        <f>SUM(BQ1947:BU1947)</f>
        <v>0</v>
      </c>
      <c r="BX1947" s="6"/>
      <c r="BY1947" s="7"/>
      <c r="BZ1947" s="7"/>
      <c r="CA1947" s="7"/>
      <c r="CB1947" s="7"/>
      <c r="CC1947" s="8">
        <f>SUM(BX1947:CB1947)</f>
        <v>0</v>
      </c>
      <c r="CE1947" s="28">
        <f t="shared" si="8929"/>
        <v>0</v>
      </c>
      <c r="CF1947" s="29">
        <f t="shared" si="8930"/>
        <v>0</v>
      </c>
      <c r="CG1947" s="29">
        <f t="shared" si="8931"/>
        <v>0</v>
      </c>
      <c r="CH1947" s="29">
        <f t="shared" si="8932"/>
        <v>0</v>
      </c>
      <c r="CI1947" s="29">
        <f t="shared" si="8933"/>
        <v>0</v>
      </c>
      <c r="CJ1947" s="8">
        <f>SUM(CE1947:CI1947)</f>
        <v>0</v>
      </c>
      <c r="CL1947" s="6"/>
      <c r="CM1947" s="7"/>
      <c r="CN1947" s="7"/>
      <c r="CO1947" s="7"/>
      <c r="CP1947" s="7"/>
      <c r="CQ1947" s="8">
        <f>SUM(CL1947:CP1947)</f>
        <v>0</v>
      </c>
      <c r="CS1947" s="6"/>
      <c r="CT1947" s="7"/>
      <c r="CU1947" s="7"/>
      <c r="CV1947" s="7"/>
      <c r="CW1947" s="7"/>
      <c r="CX1947" s="8">
        <f t="shared" si="8938"/>
        <v>0</v>
      </c>
      <c r="CZ1947" s="6"/>
      <c r="DA1947" s="7"/>
      <c r="DB1947" s="7"/>
      <c r="DC1947" s="7"/>
      <c r="DD1947" s="7"/>
      <c r="DE1947" s="8">
        <f t="shared" si="8939"/>
        <v>0</v>
      </c>
    </row>
    <row r="1948" spans="3:109" ht="14" thickBot="1">
      <c r="C1948" s="567"/>
      <c r="E1948" s="5" t="s">
        <v>62</v>
      </c>
      <c r="F1948" s="23">
        <f t="shared" si="8934"/>
        <v>0</v>
      </c>
      <c r="G1948" s="24">
        <f t="shared" si="8925"/>
        <v>0</v>
      </c>
      <c r="H1948" s="24">
        <f t="shared" si="8926"/>
        <v>0</v>
      </c>
      <c r="I1948" s="24">
        <f t="shared" si="8927"/>
        <v>0</v>
      </c>
      <c r="J1948" s="24">
        <f t="shared" si="8928"/>
        <v>0</v>
      </c>
      <c r="K1948" s="8">
        <f t="shared" si="8935"/>
        <v>0</v>
      </c>
      <c r="M1948" s="6"/>
      <c r="N1948" s="7"/>
      <c r="O1948" s="7"/>
      <c r="P1948" s="7"/>
      <c r="Q1948" s="7"/>
      <c r="R1948" s="8">
        <f t="shared" si="8936"/>
        <v>0</v>
      </c>
      <c r="T1948" s="6"/>
      <c r="U1948" s="7"/>
      <c r="V1948" s="7"/>
      <c r="W1948" s="7"/>
      <c r="X1948" s="7"/>
      <c r="Y1948" s="8">
        <f t="shared" si="8937"/>
        <v>0</v>
      </c>
      <c r="AA1948" s="6"/>
      <c r="AB1948" s="7"/>
      <c r="AC1948" s="7"/>
      <c r="AD1948" s="7"/>
      <c r="AE1948" s="7"/>
      <c r="AF1948" s="8">
        <f>SUM(AA1948:AE1948)</f>
        <v>0</v>
      </c>
      <c r="AH1948" s="6"/>
      <c r="AI1948" s="7"/>
      <c r="AJ1948" s="7"/>
      <c r="AK1948" s="7"/>
      <c r="AL1948" s="7"/>
      <c r="AM1948" s="8">
        <f>SUM(AH1948:AL1948)</f>
        <v>0</v>
      </c>
      <c r="AO1948" s="6"/>
      <c r="AP1948" s="7"/>
      <c r="AQ1948" s="7"/>
      <c r="AR1948" s="7"/>
      <c r="AS1948" s="7"/>
      <c r="AT1948" s="8">
        <f>SUM(AO1948:AS1948)</f>
        <v>0</v>
      </c>
      <c r="AV1948" s="6"/>
      <c r="AW1948" s="7"/>
      <c r="AX1948" s="7"/>
      <c r="AY1948" s="7"/>
      <c r="AZ1948" s="7"/>
      <c r="BA1948" s="8">
        <f>SUM(AV1948:AZ1948)</f>
        <v>0</v>
      </c>
      <c r="BC1948" s="6"/>
      <c r="BD1948" s="7"/>
      <c r="BE1948" s="7"/>
      <c r="BF1948" s="7"/>
      <c r="BG1948" s="7"/>
      <c r="BH1948" s="8">
        <f>SUM(BC1948:BG1948)</f>
        <v>0</v>
      </c>
      <c r="BJ1948" s="6"/>
      <c r="BK1948" s="7"/>
      <c r="BL1948" s="7"/>
      <c r="BM1948" s="7"/>
      <c r="BN1948" s="7"/>
      <c r="BO1948" s="8">
        <f>SUM(BJ1948:BN1948)</f>
        <v>0</v>
      </c>
      <c r="BQ1948" s="6"/>
      <c r="BR1948" s="7"/>
      <c r="BS1948" s="7"/>
      <c r="BT1948" s="7"/>
      <c r="BU1948" s="7"/>
      <c r="BV1948" s="8">
        <f>SUM(BQ1948:BU1948)</f>
        <v>0</v>
      </c>
      <c r="BX1948" s="6"/>
      <c r="BY1948" s="7"/>
      <c r="BZ1948" s="7"/>
      <c r="CA1948" s="7"/>
      <c r="CB1948" s="7"/>
      <c r="CC1948" s="8">
        <f>SUM(BX1948:CB1948)</f>
        <v>0</v>
      </c>
      <c r="CE1948" s="493">
        <f t="shared" si="8929"/>
        <v>0</v>
      </c>
      <c r="CF1948" s="494">
        <f t="shared" si="8930"/>
        <v>0</v>
      </c>
      <c r="CG1948" s="494">
        <f t="shared" si="8931"/>
        <v>0</v>
      </c>
      <c r="CH1948" s="494">
        <f t="shared" si="8932"/>
        <v>0</v>
      </c>
      <c r="CI1948" s="494">
        <f t="shared" si="8933"/>
        <v>0</v>
      </c>
      <c r="CJ1948" s="495">
        <f>SUM(CE1948:CI1948)</f>
        <v>0</v>
      </c>
      <c r="CL1948" s="6"/>
      <c r="CM1948" s="7"/>
      <c r="CN1948" s="7"/>
      <c r="CO1948" s="7"/>
      <c r="CP1948" s="7"/>
      <c r="CQ1948" s="8">
        <f>SUM(CL1948:CP1948)</f>
        <v>0</v>
      </c>
      <c r="CS1948" s="6"/>
      <c r="CT1948" s="7"/>
      <c r="CU1948" s="7"/>
      <c r="CV1948" s="7"/>
      <c r="CW1948" s="7"/>
      <c r="CX1948" s="8">
        <f t="shared" si="8938"/>
        <v>0</v>
      </c>
      <c r="CZ1948" s="6"/>
      <c r="DA1948" s="7"/>
      <c r="DB1948" s="7"/>
      <c r="DC1948" s="7"/>
      <c r="DD1948" s="7"/>
      <c r="DE1948" s="8">
        <f t="shared" si="8939"/>
        <v>0</v>
      </c>
    </row>
    <row r="1949" spans="3:109" ht="14" thickBot="1">
      <c r="C1949" s="554"/>
      <c r="E1949" s="9"/>
      <c r="F1949" s="10">
        <f>SUM(F1945:F1948)</f>
        <v>0</v>
      </c>
      <c r="G1949" s="11">
        <f t="shared" ref="G1949:J1949" si="8940">SUM(G1945:G1948)</f>
        <v>0</v>
      </c>
      <c r="H1949" s="11">
        <f t="shared" si="8940"/>
        <v>0</v>
      </c>
      <c r="I1949" s="11">
        <f t="shared" si="8940"/>
        <v>0</v>
      </c>
      <c r="J1949" s="11">
        <f t="shared" si="8940"/>
        <v>0</v>
      </c>
      <c r="K1949" s="25">
        <f>SUM(K1945:K1948)</f>
        <v>0</v>
      </c>
      <c r="M1949" s="10">
        <f>SUM(M1945:M1948)</f>
        <v>0</v>
      </c>
      <c r="N1949" s="11">
        <f t="shared" ref="N1949:Q1949" si="8941">SUM(N1945:N1948)</f>
        <v>0</v>
      </c>
      <c r="O1949" s="11">
        <f t="shared" si="8941"/>
        <v>0</v>
      </c>
      <c r="P1949" s="11">
        <f t="shared" si="8941"/>
        <v>0</v>
      </c>
      <c r="Q1949" s="11">
        <f t="shared" si="8941"/>
        <v>0</v>
      </c>
      <c r="R1949" s="25">
        <f>SUM(R1945:R1948)</f>
        <v>0</v>
      </c>
      <c r="T1949" s="10">
        <f>SUM(T1945:T1948)</f>
        <v>0</v>
      </c>
      <c r="U1949" s="11">
        <f t="shared" ref="U1949:X1949" si="8942">SUM(U1945:U1948)</f>
        <v>0</v>
      </c>
      <c r="V1949" s="11">
        <f t="shared" si="8942"/>
        <v>0</v>
      </c>
      <c r="W1949" s="11">
        <f t="shared" si="8942"/>
        <v>0</v>
      </c>
      <c r="X1949" s="11">
        <f t="shared" si="8942"/>
        <v>0</v>
      </c>
      <c r="Y1949" s="25">
        <f>SUM(Y1945:Y1948)</f>
        <v>0</v>
      </c>
      <c r="AA1949" s="10">
        <f>SUM(AA1945:AA1948)</f>
        <v>0</v>
      </c>
      <c r="AB1949" s="11">
        <f t="shared" ref="AB1949:AE1949" si="8943">SUM(AB1945:AB1948)</f>
        <v>0</v>
      </c>
      <c r="AC1949" s="11">
        <f t="shared" si="8943"/>
        <v>0</v>
      </c>
      <c r="AD1949" s="11">
        <f t="shared" si="8943"/>
        <v>0</v>
      </c>
      <c r="AE1949" s="11">
        <f t="shared" si="8943"/>
        <v>0</v>
      </c>
      <c r="AF1949" s="25">
        <f>SUM(AF1945:AF1948)</f>
        <v>0</v>
      </c>
      <c r="AH1949" s="10">
        <f>SUM(AH1945:AH1948)</f>
        <v>0</v>
      </c>
      <c r="AI1949" s="11">
        <f t="shared" ref="AI1949:AL1949" si="8944">SUM(AI1945:AI1948)</f>
        <v>0</v>
      </c>
      <c r="AJ1949" s="11">
        <f t="shared" si="8944"/>
        <v>0</v>
      </c>
      <c r="AK1949" s="11">
        <f t="shared" si="8944"/>
        <v>0</v>
      </c>
      <c r="AL1949" s="11">
        <f t="shared" si="8944"/>
        <v>0</v>
      </c>
      <c r="AM1949" s="25">
        <f>SUM(AM1945:AM1948)</f>
        <v>0</v>
      </c>
      <c r="AO1949" s="10">
        <f>SUM(AO1945:AO1948)</f>
        <v>0</v>
      </c>
      <c r="AP1949" s="11">
        <f t="shared" ref="AP1949:AS1949" si="8945">SUM(AP1945:AP1948)</f>
        <v>0</v>
      </c>
      <c r="AQ1949" s="11">
        <f t="shared" si="8945"/>
        <v>0</v>
      </c>
      <c r="AR1949" s="11">
        <f t="shared" si="8945"/>
        <v>0</v>
      </c>
      <c r="AS1949" s="11">
        <f t="shared" si="8945"/>
        <v>0</v>
      </c>
      <c r="AT1949" s="25">
        <f>SUM(AT1945:AT1948)</f>
        <v>0</v>
      </c>
      <c r="AV1949" s="10">
        <f>SUM(AV1945:AV1948)</f>
        <v>0</v>
      </c>
      <c r="AW1949" s="11">
        <f t="shared" ref="AW1949:AZ1949" si="8946">SUM(AW1945:AW1948)</f>
        <v>0</v>
      </c>
      <c r="AX1949" s="11">
        <f t="shared" si="8946"/>
        <v>0</v>
      </c>
      <c r="AY1949" s="11">
        <f t="shared" si="8946"/>
        <v>0</v>
      </c>
      <c r="AZ1949" s="11">
        <f t="shared" si="8946"/>
        <v>0</v>
      </c>
      <c r="BA1949" s="25">
        <f>SUM(BA1945:BA1948)</f>
        <v>0</v>
      </c>
      <c r="BC1949" s="10">
        <f>SUM(BC1945:BC1948)</f>
        <v>0</v>
      </c>
      <c r="BD1949" s="11">
        <f t="shared" ref="BD1949:BG1949" si="8947">SUM(BD1945:BD1948)</f>
        <v>0</v>
      </c>
      <c r="BE1949" s="11">
        <f t="shared" si="8947"/>
        <v>0</v>
      </c>
      <c r="BF1949" s="11">
        <f t="shared" si="8947"/>
        <v>0</v>
      </c>
      <c r="BG1949" s="11">
        <f t="shared" si="8947"/>
        <v>0</v>
      </c>
      <c r="BH1949" s="25">
        <f>SUM(BH1945:BH1948)</f>
        <v>0</v>
      </c>
      <c r="BJ1949" s="10">
        <f>SUM(BJ1945:BJ1948)</f>
        <v>0</v>
      </c>
      <c r="BK1949" s="11">
        <f t="shared" ref="BK1949:BN1949" si="8948">SUM(BK1945:BK1948)</f>
        <v>0</v>
      </c>
      <c r="BL1949" s="11">
        <f t="shared" si="8948"/>
        <v>0</v>
      </c>
      <c r="BM1949" s="11">
        <f t="shared" si="8948"/>
        <v>0</v>
      </c>
      <c r="BN1949" s="11">
        <f t="shared" si="8948"/>
        <v>0</v>
      </c>
      <c r="BO1949" s="25">
        <f>SUM(BO1945:BO1948)</f>
        <v>0</v>
      </c>
      <c r="BQ1949" s="10">
        <f>SUM(BQ1945:BQ1948)</f>
        <v>0</v>
      </c>
      <c r="BR1949" s="11">
        <f t="shared" ref="BR1949:BU1949" si="8949">SUM(BR1945:BR1948)</f>
        <v>0</v>
      </c>
      <c r="BS1949" s="11">
        <f t="shared" si="8949"/>
        <v>0</v>
      </c>
      <c r="BT1949" s="11">
        <f t="shared" si="8949"/>
        <v>0</v>
      </c>
      <c r="BU1949" s="11">
        <f t="shared" si="8949"/>
        <v>0</v>
      </c>
      <c r="BV1949" s="25">
        <f>SUM(BV1945:BV1948)</f>
        <v>0</v>
      </c>
      <c r="BX1949" s="10">
        <f>SUM(BX1945:BX1948)</f>
        <v>0</v>
      </c>
      <c r="BY1949" s="11">
        <f t="shared" ref="BY1949:CB1949" si="8950">SUM(BY1945:BY1948)</f>
        <v>0</v>
      </c>
      <c r="BZ1949" s="11">
        <f t="shared" si="8950"/>
        <v>0</v>
      </c>
      <c r="CA1949" s="11">
        <f t="shared" si="8950"/>
        <v>0</v>
      </c>
      <c r="CB1949" s="11">
        <f t="shared" si="8950"/>
        <v>0</v>
      </c>
      <c r="CC1949" s="25">
        <f>SUM(CC1945:CC1948)</f>
        <v>0</v>
      </c>
      <c r="CE1949" s="62">
        <f t="shared" ref="CE1949:CJ1949" si="8951">SUM(CE1945:CE1948)</f>
        <v>0</v>
      </c>
      <c r="CF1949" s="63">
        <f t="shared" si="8951"/>
        <v>0</v>
      </c>
      <c r="CG1949" s="63">
        <f t="shared" si="8951"/>
        <v>0</v>
      </c>
      <c r="CH1949" s="63">
        <f t="shared" si="8951"/>
        <v>0</v>
      </c>
      <c r="CI1949" s="63">
        <f t="shared" si="8951"/>
        <v>0</v>
      </c>
      <c r="CJ1949" s="25">
        <f t="shared" si="8951"/>
        <v>0</v>
      </c>
      <c r="CL1949" s="10">
        <f>SUM(CL1945:CL1948)</f>
        <v>0</v>
      </c>
      <c r="CM1949" s="11">
        <f t="shared" ref="CM1949:CP1949" si="8952">SUM(CM1945:CM1948)</f>
        <v>0</v>
      </c>
      <c r="CN1949" s="11">
        <f t="shared" si="8952"/>
        <v>0</v>
      </c>
      <c r="CO1949" s="11">
        <f t="shared" si="8952"/>
        <v>0</v>
      </c>
      <c r="CP1949" s="11">
        <f t="shared" si="8952"/>
        <v>0</v>
      </c>
      <c r="CQ1949" s="25">
        <f>SUM(CQ1945:CQ1948)</f>
        <v>0</v>
      </c>
      <c r="CS1949" s="10">
        <f>SUM(CS1945:CS1948)</f>
        <v>0</v>
      </c>
      <c r="CT1949" s="11">
        <f t="shared" ref="CT1949:CW1949" si="8953">SUM(CT1945:CT1948)</f>
        <v>0</v>
      </c>
      <c r="CU1949" s="11">
        <f t="shared" si="8953"/>
        <v>0</v>
      </c>
      <c r="CV1949" s="11">
        <f t="shared" si="8953"/>
        <v>0</v>
      </c>
      <c r="CW1949" s="11">
        <f t="shared" si="8953"/>
        <v>0</v>
      </c>
      <c r="CX1949" s="25">
        <f>SUM(CX1945:CX1948)</f>
        <v>0</v>
      </c>
      <c r="CZ1949" s="10">
        <f>SUM(CZ1945:CZ1948)</f>
        <v>0</v>
      </c>
      <c r="DA1949" s="11">
        <f t="shared" ref="DA1949:DD1949" si="8954">SUM(DA1945:DA1948)</f>
        <v>0</v>
      </c>
      <c r="DB1949" s="11">
        <f t="shared" si="8954"/>
        <v>0</v>
      </c>
      <c r="DC1949" s="11">
        <f t="shared" si="8954"/>
        <v>0</v>
      </c>
      <c r="DD1949" s="11">
        <f t="shared" si="8954"/>
        <v>0</v>
      </c>
      <c r="DE1949" s="25">
        <f>SUM(DE1945:DE1948)</f>
        <v>0</v>
      </c>
    </row>
    <row r="1950" spans="3:109" ht="10.4" customHeight="1" thickBot="1"/>
    <row r="1951" spans="3:109">
      <c r="C1951" s="553">
        <v>2028</v>
      </c>
      <c r="E1951" s="1" t="s">
        <v>59</v>
      </c>
      <c r="F1951" s="21">
        <f>CE1945</f>
        <v>0</v>
      </c>
      <c r="G1951" s="22">
        <f t="shared" ref="G1951:G1954" si="8955">CF1945</f>
        <v>0</v>
      </c>
      <c r="H1951" s="22">
        <f t="shared" ref="H1951:H1954" si="8956">CG1945</f>
        <v>0</v>
      </c>
      <c r="I1951" s="22">
        <f t="shared" ref="I1951:I1954" si="8957">CH1945</f>
        <v>0</v>
      </c>
      <c r="J1951" s="22">
        <f t="shared" ref="J1951:J1954" si="8958">CI1945</f>
        <v>0</v>
      </c>
      <c r="K1951" s="4">
        <f>SUM(F1951:J1951)</f>
        <v>0</v>
      </c>
      <c r="M1951" s="2"/>
      <c r="N1951" s="3"/>
      <c r="O1951" s="3"/>
      <c r="P1951" s="3"/>
      <c r="Q1951" s="3"/>
      <c r="R1951" s="4">
        <f>SUM(M1951:Q1951)</f>
        <v>0</v>
      </c>
      <c r="T1951" s="2"/>
      <c r="U1951" s="3"/>
      <c r="V1951" s="3"/>
      <c r="W1951" s="3"/>
      <c r="X1951" s="3"/>
      <c r="Y1951" s="4">
        <f>SUM(T1951:X1951)</f>
        <v>0</v>
      </c>
      <c r="AA1951" s="2"/>
      <c r="AB1951" s="3"/>
      <c r="AC1951" s="3"/>
      <c r="AD1951" s="3"/>
      <c r="AE1951" s="3"/>
      <c r="AF1951" s="4">
        <f>SUM(AA1951:AE1951)</f>
        <v>0</v>
      </c>
      <c r="AH1951" s="2"/>
      <c r="AI1951" s="3"/>
      <c r="AJ1951" s="3"/>
      <c r="AK1951" s="3"/>
      <c r="AL1951" s="3"/>
      <c r="AM1951" s="4">
        <f>SUM(AH1951:AL1951)</f>
        <v>0</v>
      </c>
      <c r="AO1951" s="2"/>
      <c r="AP1951" s="3"/>
      <c r="AQ1951" s="3"/>
      <c r="AR1951" s="3"/>
      <c r="AS1951" s="3"/>
      <c r="AT1951" s="4">
        <f>SUM(AO1951:AS1951)</f>
        <v>0</v>
      </c>
      <c r="AV1951" s="2"/>
      <c r="AW1951" s="3"/>
      <c r="AX1951" s="3"/>
      <c r="AY1951" s="3"/>
      <c r="AZ1951" s="3"/>
      <c r="BA1951" s="4">
        <f>SUM(AV1951:AZ1951)</f>
        <v>0</v>
      </c>
      <c r="BC1951" s="2"/>
      <c r="BD1951" s="3"/>
      <c r="BE1951" s="3"/>
      <c r="BF1951" s="3"/>
      <c r="BG1951" s="3"/>
      <c r="BH1951" s="4">
        <f>SUM(BC1951:BG1951)</f>
        <v>0</v>
      </c>
      <c r="BJ1951" s="2"/>
      <c r="BK1951" s="3"/>
      <c r="BL1951" s="3"/>
      <c r="BM1951" s="3"/>
      <c r="BN1951" s="3"/>
      <c r="BO1951" s="4">
        <f>SUM(BJ1951:BN1951)</f>
        <v>0</v>
      </c>
      <c r="BQ1951" s="2"/>
      <c r="BR1951" s="3"/>
      <c r="BS1951" s="3"/>
      <c r="BT1951" s="3"/>
      <c r="BU1951" s="3"/>
      <c r="BV1951" s="4">
        <f>SUM(BQ1951:BU1951)</f>
        <v>0</v>
      </c>
      <c r="BX1951" s="2"/>
      <c r="BY1951" s="3"/>
      <c r="BZ1951" s="3"/>
      <c r="CA1951" s="3"/>
      <c r="CB1951" s="3"/>
      <c r="CC1951" s="4">
        <f>SUM(BX1951:CB1951)</f>
        <v>0</v>
      </c>
      <c r="CE1951" s="26">
        <f t="shared" ref="CE1951:CE1954" si="8959">F1951+M1951+T1951+AA1951+AH1951+AO1951+AV1951+BC1951+BJ1951+BQ1951+BX1951</f>
        <v>0</v>
      </c>
      <c r="CF1951" s="27">
        <f t="shared" ref="CF1951:CF1954" si="8960">G1951+N1951+U1951+AB1951+AI1951+AP1951+AW1951+BD1951+BK1951+BR1951+BY1951</f>
        <v>0</v>
      </c>
      <c r="CG1951" s="27">
        <f t="shared" ref="CG1951:CG1954" si="8961">H1951+O1951+V1951+AC1951+AJ1951+AQ1951+AX1951+BE1951+BL1951+BS1951+BZ1951</f>
        <v>0</v>
      </c>
      <c r="CH1951" s="27">
        <f t="shared" ref="CH1951:CH1954" si="8962">I1951+P1951+W1951+AD1951+AK1951+AR1951+AY1951+BF1951+BM1951+BT1951+CA1951</f>
        <v>0</v>
      </c>
      <c r="CI1951" s="27">
        <f t="shared" ref="CI1951:CI1954" si="8963">J1951+Q1951+X1951+AE1951+AL1951+AS1951+AZ1951+BG1951+BN1951+BU1951+CB1951</f>
        <v>0</v>
      </c>
      <c r="CJ1951" s="4">
        <f>SUM(CE1951:CI1951)</f>
        <v>0</v>
      </c>
      <c r="CL1951" s="2"/>
      <c r="CM1951" s="3"/>
      <c r="CN1951" s="3"/>
      <c r="CO1951" s="3"/>
      <c r="CP1951" s="3"/>
      <c r="CQ1951" s="4">
        <f>SUM(CL1951:CP1951)</f>
        <v>0</v>
      </c>
      <c r="CS1951" s="2"/>
      <c r="CT1951" s="3"/>
      <c r="CU1951" s="3"/>
      <c r="CV1951" s="3"/>
      <c r="CW1951" s="3"/>
      <c r="CX1951" s="4">
        <f>SUM(CS1951:CW1951)</f>
        <v>0</v>
      </c>
      <c r="CZ1951" s="2"/>
      <c r="DA1951" s="3"/>
      <c r="DB1951" s="3"/>
      <c r="DC1951" s="3"/>
      <c r="DD1951" s="3"/>
      <c r="DE1951" s="4">
        <f>SUM(CZ1951:DD1951)</f>
        <v>0</v>
      </c>
    </row>
    <row r="1952" spans="3:109">
      <c r="C1952" s="567"/>
      <c r="E1952" s="5" t="s">
        <v>60</v>
      </c>
      <c r="F1952" s="23">
        <f t="shared" ref="F1952:F1954" si="8964">CE1946</f>
        <v>0</v>
      </c>
      <c r="G1952" s="24">
        <f t="shared" si="8955"/>
        <v>0</v>
      </c>
      <c r="H1952" s="24">
        <f t="shared" si="8956"/>
        <v>0</v>
      </c>
      <c r="I1952" s="24">
        <f t="shared" si="8957"/>
        <v>0</v>
      </c>
      <c r="J1952" s="24">
        <f t="shared" si="8958"/>
        <v>0</v>
      </c>
      <c r="K1952" s="8">
        <f t="shared" ref="K1952:K1954" si="8965">SUM(F1952:J1952)</f>
        <v>0</v>
      </c>
      <c r="M1952" s="6"/>
      <c r="N1952" s="7"/>
      <c r="O1952" s="7"/>
      <c r="P1952" s="7"/>
      <c r="Q1952" s="7"/>
      <c r="R1952" s="8">
        <f t="shared" ref="R1952:R1954" si="8966">SUM(M1952:Q1952)</f>
        <v>0</v>
      </c>
      <c r="T1952" s="6"/>
      <c r="U1952" s="7"/>
      <c r="V1952" s="7"/>
      <c r="W1952" s="7"/>
      <c r="X1952" s="7"/>
      <c r="Y1952" s="8">
        <f t="shared" ref="Y1952:Y1954" si="8967">SUM(T1952:X1952)</f>
        <v>0</v>
      </c>
      <c r="AA1952" s="6"/>
      <c r="AB1952" s="7"/>
      <c r="AC1952" s="7"/>
      <c r="AD1952" s="7"/>
      <c r="AE1952" s="7"/>
      <c r="AF1952" s="8">
        <f>SUM(AA1952:AE1952)</f>
        <v>0</v>
      </c>
      <c r="AH1952" s="6"/>
      <c r="AI1952" s="7"/>
      <c r="AJ1952" s="7"/>
      <c r="AK1952" s="7"/>
      <c r="AL1952" s="7"/>
      <c r="AM1952" s="8">
        <f>SUM(AH1952:AL1952)</f>
        <v>0</v>
      </c>
      <c r="AO1952" s="6"/>
      <c r="AP1952" s="7"/>
      <c r="AQ1952" s="7"/>
      <c r="AR1952" s="7"/>
      <c r="AS1952" s="7"/>
      <c r="AT1952" s="8">
        <f>SUM(AO1952:AS1952)</f>
        <v>0</v>
      </c>
      <c r="AV1952" s="6"/>
      <c r="AW1952" s="7"/>
      <c r="AX1952" s="7"/>
      <c r="AY1952" s="7"/>
      <c r="AZ1952" s="7"/>
      <c r="BA1952" s="8">
        <f>SUM(AV1952:AZ1952)</f>
        <v>0</v>
      </c>
      <c r="BC1952" s="6"/>
      <c r="BD1952" s="7"/>
      <c r="BE1952" s="7"/>
      <c r="BF1952" s="7"/>
      <c r="BG1952" s="7"/>
      <c r="BH1952" s="8">
        <f>SUM(BC1952:BG1952)</f>
        <v>0</v>
      </c>
      <c r="BJ1952" s="6"/>
      <c r="BK1952" s="7"/>
      <c r="BL1952" s="7"/>
      <c r="BM1952" s="7"/>
      <c r="BN1952" s="7"/>
      <c r="BO1952" s="8">
        <f>SUM(BJ1952:BN1952)</f>
        <v>0</v>
      </c>
      <c r="BQ1952" s="6"/>
      <c r="BR1952" s="7"/>
      <c r="BS1952" s="7"/>
      <c r="BT1952" s="7"/>
      <c r="BU1952" s="7"/>
      <c r="BV1952" s="8">
        <f>SUM(BQ1952:BU1952)</f>
        <v>0</v>
      </c>
      <c r="BX1952" s="6"/>
      <c r="BY1952" s="7"/>
      <c r="BZ1952" s="7"/>
      <c r="CA1952" s="7"/>
      <c r="CB1952" s="7"/>
      <c r="CC1952" s="8">
        <f>SUM(BX1952:CB1952)</f>
        <v>0</v>
      </c>
      <c r="CE1952" s="28">
        <f t="shared" si="8959"/>
        <v>0</v>
      </c>
      <c r="CF1952" s="29">
        <f t="shared" si="8960"/>
        <v>0</v>
      </c>
      <c r="CG1952" s="29">
        <f t="shared" si="8961"/>
        <v>0</v>
      </c>
      <c r="CH1952" s="29">
        <f t="shared" si="8962"/>
        <v>0</v>
      </c>
      <c r="CI1952" s="29">
        <f t="shared" si="8963"/>
        <v>0</v>
      </c>
      <c r="CJ1952" s="8">
        <f>SUM(CE1952:CI1952)</f>
        <v>0</v>
      </c>
      <c r="CL1952" s="6"/>
      <c r="CM1952" s="7"/>
      <c r="CN1952" s="7"/>
      <c r="CO1952" s="7"/>
      <c r="CP1952" s="7"/>
      <c r="CQ1952" s="8">
        <f>SUM(CL1952:CP1952)</f>
        <v>0</v>
      </c>
      <c r="CS1952" s="6"/>
      <c r="CT1952" s="7"/>
      <c r="CU1952" s="7"/>
      <c r="CV1952" s="7"/>
      <c r="CW1952" s="7"/>
      <c r="CX1952" s="8">
        <f t="shared" ref="CX1952:CX1954" si="8968">SUM(CS1952:CW1952)</f>
        <v>0</v>
      </c>
      <c r="CZ1952" s="6"/>
      <c r="DA1952" s="7"/>
      <c r="DB1952" s="7"/>
      <c r="DC1952" s="7"/>
      <c r="DD1952" s="7"/>
      <c r="DE1952" s="8">
        <f t="shared" ref="DE1952:DE1954" si="8969">SUM(CZ1952:DD1952)</f>
        <v>0</v>
      </c>
    </row>
    <row r="1953" spans="2:110">
      <c r="C1953" s="567"/>
      <c r="E1953" s="5" t="s">
        <v>61</v>
      </c>
      <c r="F1953" s="23">
        <f t="shared" si="8964"/>
        <v>0</v>
      </c>
      <c r="G1953" s="24">
        <f t="shared" si="8955"/>
        <v>0</v>
      </c>
      <c r="H1953" s="24">
        <f t="shared" si="8956"/>
        <v>0</v>
      </c>
      <c r="I1953" s="24">
        <f t="shared" si="8957"/>
        <v>0</v>
      </c>
      <c r="J1953" s="24">
        <f t="shared" si="8958"/>
        <v>0</v>
      </c>
      <c r="K1953" s="8">
        <f t="shared" si="8965"/>
        <v>0</v>
      </c>
      <c r="M1953" s="6"/>
      <c r="N1953" s="7"/>
      <c r="O1953" s="7"/>
      <c r="P1953" s="7"/>
      <c r="Q1953" s="7"/>
      <c r="R1953" s="8">
        <f t="shared" si="8966"/>
        <v>0</v>
      </c>
      <c r="T1953" s="6"/>
      <c r="U1953" s="7"/>
      <c r="V1953" s="7"/>
      <c r="W1953" s="7"/>
      <c r="X1953" s="7"/>
      <c r="Y1953" s="8">
        <f t="shared" si="8967"/>
        <v>0</v>
      </c>
      <c r="AA1953" s="6"/>
      <c r="AB1953" s="7"/>
      <c r="AC1953" s="7"/>
      <c r="AD1953" s="7"/>
      <c r="AE1953" s="7"/>
      <c r="AF1953" s="8">
        <f>SUM(AA1953:AE1953)</f>
        <v>0</v>
      </c>
      <c r="AH1953" s="6"/>
      <c r="AI1953" s="7"/>
      <c r="AJ1953" s="7"/>
      <c r="AK1953" s="7"/>
      <c r="AL1953" s="7"/>
      <c r="AM1953" s="8">
        <f>SUM(AH1953:AL1953)</f>
        <v>0</v>
      </c>
      <c r="AO1953" s="6"/>
      <c r="AP1953" s="7"/>
      <c r="AQ1953" s="7"/>
      <c r="AR1953" s="7"/>
      <c r="AS1953" s="7"/>
      <c r="AT1953" s="8">
        <f>SUM(AO1953:AS1953)</f>
        <v>0</v>
      </c>
      <c r="AV1953" s="6"/>
      <c r="AW1953" s="7"/>
      <c r="AX1953" s="7"/>
      <c r="AY1953" s="7"/>
      <c r="AZ1953" s="7"/>
      <c r="BA1953" s="8">
        <f>SUM(AV1953:AZ1953)</f>
        <v>0</v>
      </c>
      <c r="BC1953" s="6"/>
      <c r="BD1953" s="7"/>
      <c r="BE1953" s="7"/>
      <c r="BF1953" s="7"/>
      <c r="BG1953" s="7"/>
      <c r="BH1953" s="8">
        <f>SUM(BC1953:BG1953)</f>
        <v>0</v>
      </c>
      <c r="BJ1953" s="6"/>
      <c r="BK1953" s="7"/>
      <c r="BL1953" s="7"/>
      <c r="BM1953" s="7"/>
      <c r="BN1953" s="7"/>
      <c r="BO1953" s="8">
        <f>SUM(BJ1953:BN1953)</f>
        <v>0</v>
      </c>
      <c r="BQ1953" s="6"/>
      <c r="BR1953" s="7"/>
      <c r="BS1953" s="7"/>
      <c r="BT1953" s="7"/>
      <c r="BU1953" s="7"/>
      <c r="BV1953" s="8">
        <f>SUM(BQ1953:BU1953)</f>
        <v>0</v>
      </c>
      <c r="BX1953" s="6"/>
      <c r="BY1953" s="7"/>
      <c r="BZ1953" s="7"/>
      <c r="CA1953" s="7"/>
      <c r="CB1953" s="7"/>
      <c r="CC1953" s="8">
        <f>SUM(BX1953:CB1953)</f>
        <v>0</v>
      </c>
      <c r="CE1953" s="28">
        <f t="shared" si="8959"/>
        <v>0</v>
      </c>
      <c r="CF1953" s="29">
        <f t="shared" si="8960"/>
        <v>0</v>
      </c>
      <c r="CG1953" s="29">
        <f t="shared" si="8961"/>
        <v>0</v>
      </c>
      <c r="CH1953" s="29">
        <f t="shared" si="8962"/>
        <v>0</v>
      </c>
      <c r="CI1953" s="29">
        <f t="shared" si="8963"/>
        <v>0</v>
      </c>
      <c r="CJ1953" s="8">
        <f>SUM(CE1953:CI1953)</f>
        <v>0</v>
      </c>
      <c r="CL1953" s="6"/>
      <c r="CM1953" s="7"/>
      <c r="CN1953" s="7"/>
      <c r="CO1953" s="7"/>
      <c r="CP1953" s="7"/>
      <c r="CQ1953" s="8">
        <f>SUM(CL1953:CP1953)</f>
        <v>0</v>
      </c>
      <c r="CS1953" s="6"/>
      <c r="CT1953" s="7"/>
      <c r="CU1953" s="7"/>
      <c r="CV1953" s="7"/>
      <c r="CW1953" s="7"/>
      <c r="CX1953" s="8">
        <f t="shared" si="8968"/>
        <v>0</v>
      </c>
      <c r="CZ1953" s="6"/>
      <c r="DA1953" s="7"/>
      <c r="DB1953" s="7"/>
      <c r="DC1953" s="7"/>
      <c r="DD1953" s="7"/>
      <c r="DE1953" s="8">
        <f t="shared" si="8969"/>
        <v>0</v>
      </c>
    </row>
    <row r="1954" spans="2:110" ht="14" thickBot="1">
      <c r="C1954" s="567"/>
      <c r="E1954" s="5" t="s">
        <v>62</v>
      </c>
      <c r="F1954" s="23">
        <f t="shared" si="8964"/>
        <v>0</v>
      </c>
      <c r="G1954" s="24">
        <f t="shared" si="8955"/>
        <v>0</v>
      </c>
      <c r="H1954" s="24">
        <f t="shared" si="8956"/>
        <v>0</v>
      </c>
      <c r="I1954" s="24">
        <f t="shared" si="8957"/>
        <v>0</v>
      </c>
      <c r="J1954" s="24">
        <f t="shared" si="8958"/>
        <v>0</v>
      </c>
      <c r="K1954" s="8">
        <f t="shared" si="8965"/>
        <v>0</v>
      </c>
      <c r="M1954" s="6"/>
      <c r="N1954" s="7"/>
      <c r="O1954" s="7"/>
      <c r="P1954" s="7"/>
      <c r="Q1954" s="7"/>
      <c r="R1954" s="8">
        <f t="shared" si="8966"/>
        <v>0</v>
      </c>
      <c r="T1954" s="6"/>
      <c r="U1954" s="7"/>
      <c r="V1954" s="7"/>
      <c r="W1954" s="7"/>
      <c r="X1954" s="7"/>
      <c r="Y1954" s="8">
        <f t="shared" si="8967"/>
        <v>0</v>
      </c>
      <c r="AA1954" s="6"/>
      <c r="AB1954" s="7"/>
      <c r="AC1954" s="7"/>
      <c r="AD1954" s="7"/>
      <c r="AE1954" s="7"/>
      <c r="AF1954" s="8">
        <f>SUM(AA1954:AE1954)</f>
        <v>0</v>
      </c>
      <c r="AH1954" s="6"/>
      <c r="AI1954" s="7"/>
      <c r="AJ1954" s="7"/>
      <c r="AK1954" s="7"/>
      <c r="AL1954" s="7"/>
      <c r="AM1954" s="8">
        <f>SUM(AH1954:AL1954)</f>
        <v>0</v>
      </c>
      <c r="AO1954" s="6"/>
      <c r="AP1954" s="7"/>
      <c r="AQ1954" s="7"/>
      <c r="AR1954" s="7"/>
      <c r="AS1954" s="7"/>
      <c r="AT1954" s="8">
        <f>SUM(AO1954:AS1954)</f>
        <v>0</v>
      </c>
      <c r="AV1954" s="6"/>
      <c r="AW1954" s="7"/>
      <c r="AX1954" s="7"/>
      <c r="AY1954" s="7"/>
      <c r="AZ1954" s="7"/>
      <c r="BA1954" s="8">
        <f>SUM(AV1954:AZ1954)</f>
        <v>0</v>
      </c>
      <c r="BC1954" s="6"/>
      <c r="BD1954" s="7"/>
      <c r="BE1954" s="7"/>
      <c r="BF1954" s="7"/>
      <c r="BG1954" s="7"/>
      <c r="BH1954" s="8">
        <f>SUM(BC1954:BG1954)</f>
        <v>0</v>
      </c>
      <c r="BJ1954" s="6"/>
      <c r="BK1954" s="7"/>
      <c r="BL1954" s="7"/>
      <c r="BM1954" s="7"/>
      <c r="BN1954" s="7"/>
      <c r="BO1954" s="8">
        <f>SUM(BJ1954:BN1954)</f>
        <v>0</v>
      </c>
      <c r="BQ1954" s="6"/>
      <c r="BR1954" s="7"/>
      <c r="BS1954" s="7"/>
      <c r="BT1954" s="7"/>
      <c r="BU1954" s="7"/>
      <c r="BV1954" s="8">
        <f>SUM(BQ1954:BU1954)</f>
        <v>0</v>
      </c>
      <c r="BX1954" s="6"/>
      <c r="BY1954" s="7"/>
      <c r="BZ1954" s="7"/>
      <c r="CA1954" s="7"/>
      <c r="CB1954" s="7"/>
      <c r="CC1954" s="8">
        <f>SUM(BX1954:CB1954)</f>
        <v>0</v>
      </c>
      <c r="CE1954" s="493">
        <f t="shared" si="8959"/>
        <v>0</v>
      </c>
      <c r="CF1954" s="494">
        <f t="shared" si="8960"/>
        <v>0</v>
      </c>
      <c r="CG1954" s="494">
        <f t="shared" si="8961"/>
        <v>0</v>
      </c>
      <c r="CH1954" s="494">
        <f t="shared" si="8962"/>
        <v>0</v>
      </c>
      <c r="CI1954" s="494">
        <f t="shared" si="8963"/>
        <v>0</v>
      </c>
      <c r="CJ1954" s="495">
        <f>SUM(CE1954:CI1954)</f>
        <v>0</v>
      </c>
      <c r="CL1954" s="6"/>
      <c r="CM1954" s="7"/>
      <c r="CN1954" s="7"/>
      <c r="CO1954" s="7"/>
      <c r="CP1954" s="7"/>
      <c r="CQ1954" s="8">
        <f>SUM(CL1954:CP1954)</f>
        <v>0</v>
      </c>
      <c r="CS1954" s="6"/>
      <c r="CT1954" s="7"/>
      <c r="CU1954" s="7"/>
      <c r="CV1954" s="7"/>
      <c r="CW1954" s="7"/>
      <c r="CX1954" s="8">
        <f t="shared" si="8968"/>
        <v>0</v>
      </c>
      <c r="CZ1954" s="6"/>
      <c r="DA1954" s="7"/>
      <c r="DB1954" s="7"/>
      <c r="DC1954" s="7"/>
      <c r="DD1954" s="7"/>
      <c r="DE1954" s="8">
        <f t="shared" si="8969"/>
        <v>0</v>
      </c>
    </row>
    <row r="1955" spans="2:110" ht="14" thickBot="1">
      <c r="C1955" s="554"/>
      <c r="E1955" s="9"/>
      <c r="F1955" s="10">
        <f>SUM(F1951:F1954)</f>
        <v>0</v>
      </c>
      <c r="G1955" s="11">
        <f t="shared" ref="G1955:J1955" si="8970">SUM(G1951:G1954)</f>
        <v>0</v>
      </c>
      <c r="H1955" s="11">
        <f t="shared" si="8970"/>
        <v>0</v>
      </c>
      <c r="I1955" s="11">
        <f t="shared" si="8970"/>
        <v>0</v>
      </c>
      <c r="J1955" s="11">
        <f t="shared" si="8970"/>
        <v>0</v>
      </c>
      <c r="K1955" s="25">
        <f>SUM(K1951:K1954)</f>
        <v>0</v>
      </c>
      <c r="M1955" s="10">
        <f>SUM(M1951:M1954)</f>
        <v>0</v>
      </c>
      <c r="N1955" s="11">
        <f t="shared" ref="N1955:Q1955" si="8971">SUM(N1951:N1954)</f>
        <v>0</v>
      </c>
      <c r="O1955" s="11">
        <f t="shared" si="8971"/>
        <v>0</v>
      </c>
      <c r="P1955" s="11">
        <f t="shared" si="8971"/>
        <v>0</v>
      </c>
      <c r="Q1955" s="11">
        <f t="shared" si="8971"/>
        <v>0</v>
      </c>
      <c r="R1955" s="25">
        <f>SUM(R1951:R1954)</f>
        <v>0</v>
      </c>
      <c r="T1955" s="10">
        <f>SUM(T1951:T1954)</f>
        <v>0</v>
      </c>
      <c r="U1955" s="11">
        <f t="shared" ref="U1955:X1955" si="8972">SUM(U1951:U1954)</f>
        <v>0</v>
      </c>
      <c r="V1955" s="11">
        <f t="shared" si="8972"/>
        <v>0</v>
      </c>
      <c r="W1955" s="11">
        <f t="shared" si="8972"/>
        <v>0</v>
      </c>
      <c r="X1955" s="11">
        <f t="shared" si="8972"/>
        <v>0</v>
      </c>
      <c r="Y1955" s="25">
        <f>SUM(Y1951:Y1954)</f>
        <v>0</v>
      </c>
      <c r="AA1955" s="10">
        <f>SUM(AA1951:AA1954)</f>
        <v>0</v>
      </c>
      <c r="AB1955" s="11">
        <f t="shared" ref="AB1955:AE1955" si="8973">SUM(AB1951:AB1954)</f>
        <v>0</v>
      </c>
      <c r="AC1955" s="11">
        <f t="shared" si="8973"/>
        <v>0</v>
      </c>
      <c r="AD1955" s="11">
        <f t="shared" si="8973"/>
        <v>0</v>
      </c>
      <c r="AE1955" s="11">
        <f t="shared" si="8973"/>
        <v>0</v>
      </c>
      <c r="AF1955" s="25">
        <f>SUM(AF1951:AF1954)</f>
        <v>0</v>
      </c>
      <c r="AH1955" s="10">
        <f>SUM(AH1951:AH1954)</f>
        <v>0</v>
      </c>
      <c r="AI1955" s="11">
        <f t="shared" ref="AI1955:AL1955" si="8974">SUM(AI1951:AI1954)</f>
        <v>0</v>
      </c>
      <c r="AJ1955" s="11">
        <f t="shared" si="8974"/>
        <v>0</v>
      </c>
      <c r="AK1955" s="11">
        <f t="shared" si="8974"/>
        <v>0</v>
      </c>
      <c r="AL1955" s="11">
        <f t="shared" si="8974"/>
        <v>0</v>
      </c>
      <c r="AM1955" s="25">
        <f>SUM(AM1951:AM1954)</f>
        <v>0</v>
      </c>
      <c r="AO1955" s="10">
        <f>SUM(AO1951:AO1954)</f>
        <v>0</v>
      </c>
      <c r="AP1955" s="11">
        <f t="shared" ref="AP1955:AS1955" si="8975">SUM(AP1951:AP1954)</f>
        <v>0</v>
      </c>
      <c r="AQ1955" s="11">
        <f t="shared" si="8975"/>
        <v>0</v>
      </c>
      <c r="AR1955" s="11">
        <f t="shared" si="8975"/>
        <v>0</v>
      </c>
      <c r="AS1955" s="11">
        <f t="shared" si="8975"/>
        <v>0</v>
      </c>
      <c r="AT1955" s="25">
        <f>SUM(AT1951:AT1954)</f>
        <v>0</v>
      </c>
      <c r="AV1955" s="10">
        <f>SUM(AV1951:AV1954)</f>
        <v>0</v>
      </c>
      <c r="AW1955" s="11">
        <f t="shared" ref="AW1955:AZ1955" si="8976">SUM(AW1951:AW1954)</f>
        <v>0</v>
      </c>
      <c r="AX1955" s="11">
        <f t="shared" si="8976"/>
        <v>0</v>
      </c>
      <c r="AY1955" s="11">
        <f t="shared" si="8976"/>
        <v>0</v>
      </c>
      <c r="AZ1955" s="11">
        <f t="shared" si="8976"/>
        <v>0</v>
      </c>
      <c r="BA1955" s="25">
        <f>SUM(BA1951:BA1954)</f>
        <v>0</v>
      </c>
      <c r="BC1955" s="10">
        <f>SUM(BC1951:BC1954)</f>
        <v>0</v>
      </c>
      <c r="BD1955" s="11">
        <f t="shared" ref="BD1955:BG1955" si="8977">SUM(BD1951:BD1954)</f>
        <v>0</v>
      </c>
      <c r="BE1955" s="11">
        <f t="shared" si="8977"/>
        <v>0</v>
      </c>
      <c r="BF1955" s="11">
        <f t="shared" si="8977"/>
        <v>0</v>
      </c>
      <c r="BG1955" s="11">
        <f t="shared" si="8977"/>
        <v>0</v>
      </c>
      <c r="BH1955" s="25">
        <f>SUM(BH1951:BH1954)</f>
        <v>0</v>
      </c>
      <c r="BJ1955" s="10">
        <f>SUM(BJ1951:BJ1954)</f>
        <v>0</v>
      </c>
      <c r="BK1955" s="11">
        <f t="shared" ref="BK1955:BN1955" si="8978">SUM(BK1951:BK1954)</f>
        <v>0</v>
      </c>
      <c r="BL1955" s="11">
        <f t="shared" si="8978"/>
        <v>0</v>
      </c>
      <c r="BM1955" s="11">
        <f t="shared" si="8978"/>
        <v>0</v>
      </c>
      <c r="BN1955" s="11">
        <f t="shared" si="8978"/>
        <v>0</v>
      </c>
      <c r="BO1955" s="25">
        <f>SUM(BO1951:BO1954)</f>
        <v>0</v>
      </c>
      <c r="BQ1955" s="10">
        <f>SUM(BQ1951:BQ1954)</f>
        <v>0</v>
      </c>
      <c r="BR1955" s="11">
        <f t="shared" ref="BR1955:BU1955" si="8979">SUM(BR1951:BR1954)</f>
        <v>0</v>
      </c>
      <c r="BS1955" s="11">
        <f t="shared" si="8979"/>
        <v>0</v>
      </c>
      <c r="BT1955" s="11">
        <f t="shared" si="8979"/>
        <v>0</v>
      </c>
      <c r="BU1955" s="11">
        <f t="shared" si="8979"/>
        <v>0</v>
      </c>
      <c r="BV1955" s="25">
        <f>SUM(BV1951:BV1954)</f>
        <v>0</v>
      </c>
      <c r="BX1955" s="10">
        <f>SUM(BX1951:BX1954)</f>
        <v>0</v>
      </c>
      <c r="BY1955" s="11">
        <f t="shared" ref="BY1955:CB1955" si="8980">SUM(BY1951:BY1954)</f>
        <v>0</v>
      </c>
      <c r="BZ1955" s="11">
        <f t="shared" si="8980"/>
        <v>0</v>
      </c>
      <c r="CA1955" s="11">
        <f t="shared" si="8980"/>
        <v>0</v>
      </c>
      <c r="CB1955" s="11">
        <f t="shared" si="8980"/>
        <v>0</v>
      </c>
      <c r="CC1955" s="25">
        <f>SUM(CC1951:CC1954)</f>
        <v>0</v>
      </c>
      <c r="CE1955" s="62">
        <f t="shared" ref="CE1955:CJ1955" si="8981">SUM(CE1951:CE1954)</f>
        <v>0</v>
      </c>
      <c r="CF1955" s="63">
        <f t="shared" si="8981"/>
        <v>0</v>
      </c>
      <c r="CG1955" s="63">
        <f t="shared" si="8981"/>
        <v>0</v>
      </c>
      <c r="CH1955" s="63">
        <f t="shared" si="8981"/>
        <v>0</v>
      </c>
      <c r="CI1955" s="63">
        <f t="shared" si="8981"/>
        <v>0</v>
      </c>
      <c r="CJ1955" s="25">
        <f t="shared" si="8981"/>
        <v>0</v>
      </c>
      <c r="CL1955" s="10">
        <f>SUM(CL1951:CL1954)</f>
        <v>0</v>
      </c>
      <c r="CM1955" s="11">
        <f t="shared" ref="CM1955:CP1955" si="8982">SUM(CM1951:CM1954)</f>
        <v>0</v>
      </c>
      <c r="CN1955" s="11">
        <f t="shared" si="8982"/>
        <v>0</v>
      </c>
      <c r="CO1955" s="11">
        <f t="shared" si="8982"/>
        <v>0</v>
      </c>
      <c r="CP1955" s="11">
        <f t="shared" si="8982"/>
        <v>0</v>
      </c>
      <c r="CQ1955" s="25">
        <f>SUM(CQ1951:CQ1954)</f>
        <v>0</v>
      </c>
      <c r="CS1955" s="10">
        <f>SUM(CS1951:CS1954)</f>
        <v>0</v>
      </c>
      <c r="CT1955" s="11">
        <f t="shared" ref="CT1955:CW1955" si="8983">SUM(CT1951:CT1954)</f>
        <v>0</v>
      </c>
      <c r="CU1955" s="11">
        <f t="shared" si="8983"/>
        <v>0</v>
      </c>
      <c r="CV1955" s="11">
        <f t="shared" si="8983"/>
        <v>0</v>
      </c>
      <c r="CW1955" s="11">
        <f t="shared" si="8983"/>
        <v>0</v>
      </c>
      <c r="CX1955" s="25">
        <f>SUM(CX1951:CX1954)</f>
        <v>0</v>
      </c>
      <c r="CZ1955" s="10">
        <f>SUM(CZ1951:CZ1954)</f>
        <v>0</v>
      </c>
      <c r="DA1955" s="11">
        <f t="shared" ref="DA1955:DD1955" si="8984">SUM(DA1951:DA1954)</f>
        <v>0</v>
      </c>
      <c r="DB1955" s="11">
        <f t="shared" si="8984"/>
        <v>0</v>
      </c>
      <c r="DC1955" s="11">
        <f t="shared" si="8984"/>
        <v>0</v>
      </c>
      <c r="DD1955" s="11">
        <f t="shared" si="8984"/>
        <v>0</v>
      </c>
      <c r="DE1955" s="25">
        <f>SUM(DE1951:DE1954)</f>
        <v>0</v>
      </c>
    </row>
    <row r="1957" spans="2:110">
      <c r="B1957" s="123"/>
      <c r="C1957" s="20"/>
      <c r="D1957" s="20"/>
      <c r="E1957" s="20"/>
      <c r="F1957" s="20"/>
      <c r="G1957" s="20"/>
      <c r="H1957" s="20"/>
      <c r="I1957" s="20"/>
      <c r="J1957" s="20"/>
      <c r="K1957" s="20"/>
      <c r="L1957" s="20"/>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c r="BU1957" s="20"/>
      <c r="BV1957" s="20"/>
      <c r="BW1957" s="20"/>
      <c r="BX1957" s="20"/>
      <c r="BY1957" s="20"/>
      <c r="BZ1957" s="20"/>
      <c r="CA1957" s="20"/>
      <c r="CB1957" s="20"/>
      <c r="CC1957" s="20"/>
      <c r="CD1957" s="20"/>
      <c r="CE1957" s="20"/>
      <c r="CF1957" s="20"/>
      <c r="CG1957" s="20"/>
      <c r="CH1957" s="20"/>
      <c r="CI1957" s="20"/>
      <c r="CJ1957" s="20"/>
      <c r="CK1957" s="20"/>
      <c r="CL1957" s="20"/>
      <c r="CM1957" s="20"/>
      <c r="CN1957" s="20"/>
      <c r="CO1957" s="20"/>
      <c r="CP1957" s="20"/>
      <c r="CQ1957" s="20"/>
      <c r="CR1957" s="20"/>
      <c r="CS1957" s="20"/>
      <c r="CT1957" s="20"/>
      <c r="CU1957" s="20"/>
      <c r="CV1957" s="20"/>
      <c r="CW1957" s="20"/>
      <c r="CX1957" s="20"/>
      <c r="CY1957" s="20"/>
      <c r="CZ1957" s="20"/>
      <c r="DA1957" s="20"/>
      <c r="DB1957" s="20"/>
      <c r="DC1957" s="20"/>
      <c r="DD1957" s="20"/>
      <c r="DE1957" s="20"/>
      <c r="DF1957" s="20"/>
    </row>
  </sheetData>
  <mergeCells count="320">
    <mergeCell ref="C1951:C1955"/>
    <mergeCell ref="C1913:C1917"/>
    <mergeCell ref="C1919:C1923"/>
    <mergeCell ref="C1927:C1931"/>
    <mergeCell ref="C1933:C1937"/>
    <mergeCell ref="C1939:C1943"/>
    <mergeCell ref="C1945:C1949"/>
    <mergeCell ref="C1875:C1879"/>
    <mergeCell ref="C1881:C1885"/>
    <mergeCell ref="C1887:C1891"/>
    <mergeCell ref="C1895:C1899"/>
    <mergeCell ref="C1901:C1905"/>
    <mergeCell ref="C1907:C1911"/>
    <mergeCell ref="C1837:C1841"/>
    <mergeCell ref="C1843:C1847"/>
    <mergeCell ref="C1849:C1853"/>
    <mergeCell ref="C1855:C1859"/>
    <mergeCell ref="C1863:C1867"/>
    <mergeCell ref="C1869:C1873"/>
    <mergeCell ref="C1799:C1803"/>
    <mergeCell ref="C1805:C1809"/>
    <mergeCell ref="C1811:C1815"/>
    <mergeCell ref="C1817:C1821"/>
    <mergeCell ref="C1823:C1827"/>
    <mergeCell ref="C1831:C1835"/>
    <mergeCell ref="C1759:C1763"/>
    <mergeCell ref="C1767:C1771"/>
    <mergeCell ref="C1773:C1777"/>
    <mergeCell ref="C1779:C1783"/>
    <mergeCell ref="C1785:C1789"/>
    <mergeCell ref="C1791:C1795"/>
    <mergeCell ref="C1721:C1725"/>
    <mergeCell ref="C1727:C1731"/>
    <mergeCell ref="C1735:C1739"/>
    <mergeCell ref="C1741:C1745"/>
    <mergeCell ref="C1747:C1751"/>
    <mergeCell ref="C1753:C1757"/>
    <mergeCell ref="C1683:C1687"/>
    <mergeCell ref="C1689:C1693"/>
    <mergeCell ref="C1695:C1699"/>
    <mergeCell ref="C1703:C1707"/>
    <mergeCell ref="C1709:C1713"/>
    <mergeCell ref="C1715:C1719"/>
    <mergeCell ref="C1645:C1649"/>
    <mergeCell ref="C1651:C1655"/>
    <mergeCell ref="C1657:C1661"/>
    <mergeCell ref="C1663:C1667"/>
    <mergeCell ref="C1671:C1675"/>
    <mergeCell ref="C1677:C1681"/>
    <mergeCell ref="C1607:C1611"/>
    <mergeCell ref="C1613:C1617"/>
    <mergeCell ref="C1619:C1623"/>
    <mergeCell ref="C1625:C1629"/>
    <mergeCell ref="C1631:C1635"/>
    <mergeCell ref="C1639:C1643"/>
    <mergeCell ref="C1567:C1571"/>
    <mergeCell ref="C1575:C1579"/>
    <mergeCell ref="C1581:C1585"/>
    <mergeCell ref="C1587:C1591"/>
    <mergeCell ref="C1593:C1597"/>
    <mergeCell ref="C1599:C1603"/>
    <mergeCell ref="C1529:C1533"/>
    <mergeCell ref="C1535:C1539"/>
    <mergeCell ref="C1543:C1547"/>
    <mergeCell ref="C1549:C1553"/>
    <mergeCell ref="C1555:C1559"/>
    <mergeCell ref="C1561:C1565"/>
    <mergeCell ref="C1491:C1495"/>
    <mergeCell ref="C1497:C1501"/>
    <mergeCell ref="C1503:C1507"/>
    <mergeCell ref="C1511:C1515"/>
    <mergeCell ref="C1517:C1521"/>
    <mergeCell ref="C1523:C1527"/>
    <mergeCell ref="C1453:C1457"/>
    <mergeCell ref="C1459:C1463"/>
    <mergeCell ref="C1465:C1469"/>
    <mergeCell ref="C1471:C1475"/>
    <mergeCell ref="C1479:C1483"/>
    <mergeCell ref="C1485:C1489"/>
    <mergeCell ref="C1415:C1419"/>
    <mergeCell ref="C1421:C1425"/>
    <mergeCell ref="C1427:C1431"/>
    <mergeCell ref="C1433:C1437"/>
    <mergeCell ref="C1439:C1443"/>
    <mergeCell ref="C1447:C1451"/>
    <mergeCell ref="C1375:C1379"/>
    <mergeCell ref="C1383:C1387"/>
    <mergeCell ref="C1389:C1393"/>
    <mergeCell ref="C1395:C1399"/>
    <mergeCell ref="C1401:C1405"/>
    <mergeCell ref="C1407:C1411"/>
    <mergeCell ref="C1337:C1341"/>
    <mergeCell ref="C1343:C1347"/>
    <mergeCell ref="C1351:C1355"/>
    <mergeCell ref="C1357:C1361"/>
    <mergeCell ref="C1363:C1367"/>
    <mergeCell ref="C1369:C1373"/>
    <mergeCell ref="C1299:C1303"/>
    <mergeCell ref="C1305:C1309"/>
    <mergeCell ref="C1311:C1315"/>
    <mergeCell ref="C1319:C1323"/>
    <mergeCell ref="C1325:C1329"/>
    <mergeCell ref="C1331:C1335"/>
    <mergeCell ref="C1261:C1265"/>
    <mergeCell ref="C1267:C1271"/>
    <mergeCell ref="C1273:C1277"/>
    <mergeCell ref="C1279:C1283"/>
    <mergeCell ref="C1287:C1291"/>
    <mergeCell ref="C1293:C1297"/>
    <mergeCell ref="C1223:C1227"/>
    <mergeCell ref="C1229:C1233"/>
    <mergeCell ref="C1235:C1239"/>
    <mergeCell ref="C1241:C1245"/>
    <mergeCell ref="C1247:C1251"/>
    <mergeCell ref="C1255:C1259"/>
    <mergeCell ref="C1183:C1187"/>
    <mergeCell ref="C1191:C1195"/>
    <mergeCell ref="C1197:C1201"/>
    <mergeCell ref="C1203:C1207"/>
    <mergeCell ref="C1209:C1213"/>
    <mergeCell ref="C1215:C1219"/>
    <mergeCell ref="C1145:C1149"/>
    <mergeCell ref="C1151:C1155"/>
    <mergeCell ref="C1159:C1163"/>
    <mergeCell ref="C1165:C1169"/>
    <mergeCell ref="C1171:C1175"/>
    <mergeCell ref="C1177:C1181"/>
    <mergeCell ref="C1107:C1111"/>
    <mergeCell ref="C1113:C1117"/>
    <mergeCell ref="C1119:C1123"/>
    <mergeCell ref="C1127:C1131"/>
    <mergeCell ref="C1133:C1137"/>
    <mergeCell ref="C1139:C1143"/>
    <mergeCell ref="C1069:C1073"/>
    <mergeCell ref="C1075:C1079"/>
    <mergeCell ref="C1081:C1085"/>
    <mergeCell ref="C1087:C1091"/>
    <mergeCell ref="C1095:C1099"/>
    <mergeCell ref="C1101:C1105"/>
    <mergeCell ref="C1031:C1035"/>
    <mergeCell ref="C1037:C1041"/>
    <mergeCell ref="C1043:C1047"/>
    <mergeCell ref="C1049:C1053"/>
    <mergeCell ref="C1055:C1059"/>
    <mergeCell ref="C1063:C1067"/>
    <mergeCell ref="C991:C995"/>
    <mergeCell ref="C999:C1003"/>
    <mergeCell ref="C1005:C1009"/>
    <mergeCell ref="C1011:C1015"/>
    <mergeCell ref="C1017:C1021"/>
    <mergeCell ref="C1023:C1027"/>
    <mergeCell ref="C953:C957"/>
    <mergeCell ref="C959:C963"/>
    <mergeCell ref="C967:C971"/>
    <mergeCell ref="C973:C977"/>
    <mergeCell ref="C979:C983"/>
    <mergeCell ref="C985:C989"/>
    <mergeCell ref="C915:C919"/>
    <mergeCell ref="C921:C925"/>
    <mergeCell ref="C927:C931"/>
    <mergeCell ref="C935:C939"/>
    <mergeCell ref="C941:C945"/>
    <mergeCell ref="C947:C951"/>
    <mergeCell ref="C877:C881"/>
    <mergeCell ref="C883:C887"/>
    <mergeCell ref="C889:C893"/>
    <mergeCell ref="C895:C899"/>
    <mergeCell ref="C903:C907"/>
    <mergeCell ref="C909:C913"/>
    <mergeCell ref="C839:C843"/>
    <mergeCell ref="C845:C849"/>
    <mergeCell ref="C851:C855"/>
    <mergeCell ref="C857:C861"/>
    <mergeCell ref="C863:C867"/>
    <mergeCell ref="C871:C875"/>
    <mergeCell ref="C799:C803"/>
    <mergeCell ref="C807:C811"/>
    <mergeCell ref="C813:C817"/>
    <mergeCell ref="C819:C823"/>
    <mergeCell ref="C825:C829"/>
    <mergeCell ref="C831:C835"/>
    <mergeCell ref="C761:C765"/>
    <mergeCell ref="C767:C771"/>
    <mergeCell ref="C775:C779"/>
    <mergeCell ref="C781:C785"/>
    <mergeCell ref="C787:C791"/>
    <mergeCell ref="C793:C797"/>
    <mergeCell ref="C723:C727"/>
    <mergeCell ref="C729:C733"/>
    <mergeCell ref="C735:C739"/>
    <mergeCell ref="C743:C747"/>
    <mergeCell ref="C749:C753"/>
    <mergeCell ref="C755:C759"/>
    <mergeCell ref="C685:C689"/>
    <mergeCell ref="C691:C695"/>
    <mergeCell ref="C697:C701"/>
    <mergeCell ref="C703:C707"/>
    <mergeCell ref="C711:C715"/>
    <mergeCell ref="C717:C721"/>
    <mergeCell ref="C647:C651"/>
    <mergeCell ref="C653:C657"/>
    <mergeCell ref="C659:C663"/>
    <mergeCell ref="C665:C669"/>
    <mergeCell ref="C671:C675"/>
    <mergeCell ref="C679:C683"/>
    <mergeCell ref="C607:C611"/>
    <mergeCell ref="C615:C619"/>
    <mergeCell ref="C621:C625"/>
    <mergeCell ref="C627:C631"/>
    <mergeCell ref="C633:C637"/>
    <mergeCell ref="C639:C643"/>
    <mergeCell ref="C569:C573"/>
    <mergeCell ref="C575:C579"/>
    <mergeCell ref="C583:C587"/>
    <mergeCell ref="C589:C593"/>
    <mergeCell ref="C595:C599"/>
    <mergeCell ref="C601:C605"/>
    <mergeCell ref="C531:C535"/>
    <mergeCell ref="C537:C541"/>
    <mergeCell ref="C543:C547"/>
    <mergeCell ref="C551:C555"/>
    <mergeCell ref="C557:C561"/>
    <mergeCell ref="C563:C567"/>
    <mergeCell ref="C493:C497"/>
    <mergeCell ref="C499:C503"/>
    <mergeCell ref="C505:C509"/>
    <mergeCell ref="C511:C515"/>
    <mergeCell ref="C519:C523"/>
    <mergeCell ref="C525:C529"/>
    <mergeCell ref="C455:C459"/>
    <mergeCell ref="C461:C465"/>
    <mergeCell ref="C467:C471"/>
    <mergeCell ref="C473:C477"/>
    <mergeCell ref="C479:C483"/>
    <mergeCell ref="C487:C491"/>
    <mergeCell ref="C415:C419"/>
    <mergeCell ref="C423:C427"/>
    <mergeCell ref="C429:C433"/>
    <mergeCell ref="C435:C439"/>
    <mergeCell ref="C441:C445"/>
    <mergeCell ref="C447:C451"/>
    <mergeCell ref="C377:C381"/>
    <mergeCell ref="C383:C387"/>
    <mergeCell ref="C391:C395"/>
    <mergeCell ref="C397:C401"/>
    <mergeCell ref="C403:C407"/>
    <mergeCell ref="C409:C413"/>
    <mergeCell ref="C339:C343"/>
    <mergeCell ref="C345:C349"/>
    <mergeCell ref="C351:C355"/>
    <mergeCell ref="C359:C363"/>
    <mergeCell ref="C365:C369"/>
    <mergeCell ref="C371:C375"/>
    <mergeCell ref="C301:C305"/>
    <mergeCell ref="C307:C311"/>
    <mergeCell ref="C313:C317"/>
    <mergeCell ref="C319:C323"/>
    <mergeCell ref="C327:C331"/>
    <mergeCell ref="C333:C337"/>
    <mergeCell ref="C263:C267"/>
    <mergeCell ref="C269:C273"/>
    <mergeCell ref="C275:C279"/>
    <mergeCell ref="C281:C285"/>
    <mergeCell ref="C287:C291"/>
    <mergeCell ref="C295:C299"/>
    <mergeCell ref="C223:C227"/>
    <mergeCell ref="C231:C235"/>
    <mergeCell ref="C237:C241"/>
    <mergeCell ref="C243:C247"/>
    <mergeCell ref="C249:C253"/>
    <mergeCell ref="C255:C259"/>
    <mergeCell ref="C185:C189"/>
    <mergeCell ref="C191:C195"/>
    <mergeCell ref="C199:C203"/>
    <mergeCell ref="C205:C209"/>
    <mergeCell ref="C211:C215"/>
    <mergeCell ref="C217:C221"/>
    <mergeCell ref="C147:C151"/>
    <mergeCell ref="C153:C157"/>
    <mergeCell ref="C159:C163"/>
    <mergeCell ref="C167:C171"/>
    <mergeCell ref="C173:C177"/>
    <mergeCell ref="C179:C183"/>
    <mergeCell ref="C109:C113"/>
    <mergeCell ref="C115:C119"/>
    <mergeCell ref="C121:C125"/>
    <mergeCell ref="C127:C131"/>
    <mergeCell ref="C135:C139"/>
    <mergeCell ref="C141:C145"/>
    <mergeCell ref="C71:C75"/>
    <mergeCell ref="C77:C81"/>
    <mergeCell ref="C83:C87"/>
    <mergeCell ref="C89:C93"/>
    <mergeCell ref="C95:C99"/>
    <mergeCell ref="C103:C107"/>
    <mergeCell ref="C31:C35"/>
    <mergeCell ref="C39:C43"/>
    <mergeCell ref="C45:C49"/>
    <mergeCell ref="C51:C55"/>
    <mergeCell ref="C57:C61"/>
    <mergeCell ref="C63:C67"/>
    <mergeCell ref="C7:C11"/>
    <mergeCell ref="C13:C17"/>
    <mergeCell ref="C19:C23"/>
    <mergeCell ref="C25:C29"/>
    <mergeCell ref="F2:K2"/>
    <mergeCell ref="M2:R2"/>
    <mergeCell ref="T2:Y2"/>
    <mergeCell ref="AA2:AF2"/>
    <mergeCell ref="AH2:AM2"/>
    <mergeCell ref="AO2:AT2"/>
    <mergeCell ref="CL2:CQ2"/>
    <mergeCell ref="CS2:CX2"/>
    <mergeCell ref="CZ2:DE2"/>
    <mergeCell ref="AV2:BA2"/>
    <mergeCell ref="BC2:BH2"/>
    <mergeCell ref="BJ2:BO2"/>
    <mergeCell ref="BQ2:BV2"/>
    <mergeCell ref="BX2:CC2"/>
    <mergeCell ref="CE2:CJ2"/>
  </mergeCell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495"/>
  <sheetViews>
    <sheetView tabSelected="1" zoomScale="70" zoomScaleNormal="70" workbookViewId="0">
      <pane xSplit="3" ySplit="15" topLeftCell="L16" activePane="bottomRight" state="frozen"/>
      <selection pane="topRight" activeCell="D14" sqref="D14"/>
      <selection pane="bottomLeft" activeCell="D14" sqref="D14"/>
      <selection pane="bottomRight" activeCell="O381" activeCellId="60" sqref="O21 O27 O33 O39 O45 O51 O57 O63 O69 O75 O81 O87 O93 O99 O105 O111 O117 O123 O129 O135 O141 O147 O153 O159 O165 O171 O177 O183 O189 O195 O201 O207 O213 O219 O225 O231 O237 O243 O249 O255 O261 O267 O273 O279 O285 O291 O297 O303 O309 O315 O321 O327 O333 O339 O345 O351 O357 O363 O369 O375 O381"/>
    </sheetView>
  </sheetViews>
  <sheetFormatPr defaultRowHeight="13.5"/>
  <cols>
    <col min="1" max="1" width="4.84375" style="143" customWidth="1"/>
    <col min="2" max="2" width="30.4609375" customWidth="1"/>
    <col min="3" max="3" width="11" style="89" customWidth="1"/>
    <col min="4" max="14" width="14.61328125" customWidth="1"/>
    <col min="15" max="15" width="13.15234375" customWidth="1"/>
    <col min="17" max="22" width="13.15234375" customWidth="1"/>
  </cols>
  <sheetData>
    <row r="1" spans="1:22" ht="14" thickBot="1"/>
    <row r="2" spans="1:22">
      <c r="Q2" s="344"/>
      <c r="R2" s="345"/>
      <c r="S2" s="346" t="s">
        <v>179</v>
      </c>
      <c r="T2" s="347" t="e">
        <f ca="1">SUM(Q6:S6)</f>
        <v>#VALUE!</v>
      </c>
    </row>
    <row r="3" spans="1:22">
      <c r="Q3" s="530" t="s">
        <v>180</v>
      </c>
      <c r="R3" s="531"/>
      <c r="S3" s="532"/>
      <c r="T3" s="348">
        <f>SUM(T6:V6)</f>
        <v>0</v>
      </c>
    </row>
    <row r="4" spans="1:22" ht="14" thickBot="1">
      <c r="Q4" s="533"/>
      <c r="R4" s="534"/>
      <c r="S4" s="535"/>
      <c r="T4" s="379" t="e">
        <f ca="1">T3/T2</f>
        <v>#VALUE!</v>
      </c>
    </row>
    <row r="5" spans="1:22" ht="14" thickBot="1">
      <c r="B5" s="12" t="s">
        <v>181</v>
      </c>
      <c r="C5"/>
    </row>
    <row r="6" spans="1:22">
      <c r="C6" s="356" t="s">
        <v>131</v>
      </c>
      <c r="E6" s="66">
        <f>SUM(E7:E10)</f>
        <v>0</v>
      </c>
      <c r="F6" s="66">
        <f t="shared" ref="F6:N6" si="0">SUM(F7:F10)</f>
        <v>0</v>
      </c>
      <c r="G6" s="66">
        <f t="shared" si="0"/>
        <v>0</v>
      </c>
      <c r="H6" s="66">
        <f t="shared" si="0"/>
        <v>0</v>
      </c>
      <c r="I6" s="66">
        <f t="shared" si="0"/>
        <v>0</v>
      </c>
      <c r="J6" s="66">
        <f t="shared" si="0"/>
        <v>0</v>
      </c>
      <c r="K6" s="66">
        <f t="shared" si="0"/>
        <v>0</v>
      </c>
      <c r="L6" s="66">
        <f t="shared" si="0"/>
        <v>0</v>
      </c>
      <c r="M6" s="79">
        <f t="shared" si="0"/>
        <v>0</v>
      </c>
      <c r="N6" s="66">
        <f t="shared" si="0"/>
        <v>0</v>
      </c>
      <c r="Q6" s="337" t="e">
        <f t="shared" ref="Q6:V6" ca="1" si="1">SUM(Q7:Q10)</f>
        <v>#VALUE!</v>
      </c>
      <c r="R6" s="338" t="e">
        <f t="shared" ca="1" si="1"/>
        <v>#VALUE!</v>
      </c>
      <c r="S6" s="339" t="e">
        <f t="shared" ca="1" si="1"/>
        <v>#VALUE!</v>
      </c>
      <c r="T6" s="340">
        <f t="shared" si="1"/>
        <v>0</v>
      </c>
      <c r="U6" s="338">
        <f t="shared" si="1"/>
        <v>0</v>
      </c>
      <c r="V6" s="341">
        <f t="shared" si="1"/>
        <v>0</v>
      </c>
    </row>
    <row r="7" spans="1:22">
      <c r="C7" s="356" t="s">
        <v>132</v>
      </c>
      <c r="E7" s="67">
        <f>E394</f>
        <v>0</v>
      </c>
      <c r="F7" s="67">
        <f t="shared" ref="F7:N7" si="2">F394</f>
        <v>0</v>
      </c>
      <c r="G7" s="67">
        <f t="shared" si="2"/>
        <v>0</v>
      </c>
      <c r="H7" s="67">
        <f t="shared" si="2"/>
        <v>0</v>
      </c>
      <c r="I7" s="67">
        <f t="shared" si="2"/>
        <v>0</v>
      </c>
      <c r="J7" s="67">
        <f t="shared" si="2"/>
        <v>0</v>
      </c>
      <c r="K7" s="67">
        <f t="shared" si="2"/>
        <v>0</v>
      </c>
      <c r="L7" s="67">
        <f t="shared" si="2"/>
        <v>0</v>
      </c>
      <c r="M7" s="80">
        <f t="shared" si="2"/>
        <v>0</v>
      </c>
      <c r="N7" s="67">
        <f t="shared" si="2"/>
        <v>0</v>
      </c>
      <c r="Q7" s="342" t="e">
        <f t="shared" ref="Q7:V7" ca="1" si="3">Q394</f>
        <v>#VALUE!</v>
      </c>
      <c r="R7" s="334" t="e">
        <f t="shared" ca="1" si="3"/>
        <v>#VALUE!</v>
      </c>
      <c r="S7" s="336" t="e">
        <f t="shared" ca="1" si="3"/>
        <v>#VALUE!</v>
      </c>
      <c r="T7" s="335">
        <f t="shared" si="3"/>
        <v>0</v>
      </c>
      <c r="U7" s="334">
        <f t="shared" si="3"/>
        <v>0</v>
      </c>
      <c r="V7" s="343">
        <f t="shared" si="3"/>
        <v>0</v>
      </c>
    </row>
    <row r="8" spans="1:22">
      <c r="C8" s="356" t="s">
        <v>133</v>
      </c>
      <c r="E8" s="67">
        <f>E400</f>
        <v>0</v>
      </c>
      <c r="F8" s="67">
        <f t="shared" ref="F8:N8" si="4">F400</f>
        <v>0</v>
      </c>
      <c r="G8" s="67">
        <f t="shared" si="4"/>
        <v>0</v>
      </c>
      <c r="H8" s="67">
        <f t="shared" si="4"/>
        <v>0</v>
      </c>
      <c r="I8" s="67">
        <f t="shared" si="4"/>
        <v>0</v>
      </c>
      <c r="J8" s="67">
        <f t="shared" si="4"/>
        <v>0</v>
      </c>
      <c r="K8" s="67">
        <f t="shared" si="4"/>
        <v>0</v>
      </c>
      <c r="L8" s="67">
        <f t="shared" si="4"/>
        <v>0</v>
      </c>
      <c r="M8" s="80">
        <f t="shared" si="4"/>
        <v>0</v>
      </c>
      <c r="N8" s="67">
        <f t="shared" si="4"/>
        <v>0</v>
      </c>
      <c r="Q8" s="82" t="e">
        <f t="shared" ref="Q8:V8" ca="1" si="5">Q400</f>
        <v>#VALUE!</v>
      </c>
      <c r="R8" s="67" t="e">
        <f t="shared" ca="1" si="5"/>
        <v>#VALUE!</v>
      </c>
      <c r="S8" s="122" t="e">
        <f t="shared" ca="1" si="5"/>
        <v>#VALUE!</v>
      </c>
      <c r="T8" s="80">
        <f t="shared" si="5"/>
        <v>0</v>
      </c>
      <c r="U8" s="67">
        <f t="shared" si="5"/>
        <v>0</v>
      </c>
      <c r="V8" s="81">
        <f t="shared" si="5"/>
        <v>0</v>
      </c>
    </row>
    <row r="9" spans="1:22">
      <c r="C9" s="356" t="s">
        <v>134</v>
      </c>
      <c r="E9" s="67">
        <f>E406</f>
        <v>0</v>
      </c>
      <c r="F9" s="67">
        <f t="shared" ref="F9:N9" si="6">F406</f>
        <v>0</v>
      </c>
      <c r="G9" s="67">
        <f t="shared" si="6"/>
        <v>0</v>
      </c>
      <c r="H9" s="67">
        <f t="shared" si="6"/>
        <v>0</v>
      </c>
      <c r="I9" s="67">
        <f t="shared" si="6"/>
        <v>0</v>
      </c>
      <c r="J9" s="67">
        <f t="shared" si="6"/>
        <v>0</v>
      </c>
      <c r="K9" s="67">
        <f t="shared" si="6"/>
        <v>0</v>
      </c>
      <c r="L9" s="67">
        <f t="shared" si="6"/>
        <v>0</v>
      </c>
      <c r="M9" s="80">
        <f t="shared" si="6"/>
        <v>0</v>
      </c>
      <c r="N9" s="67">
        <f t="shared" si="6"/>
        <v>0</v>
      </c>
      <c r="Q9" s="82" t="e">
        <f t="shared" ref="Q9:V9" ca="1" si="7">Q406</f>
        <v>#VALUE!</v>
      </c>
      <c r="R9" s="67" t="e">
        <f t="shared" ca="1" si="7"/>
        <v>#VALUE!</v>
      </c>
      <c r="S9" s="122" t="e">
        <f t="shared" ca="1" si="7"/>
        <v>#VALUE!</v>
      </c>
      <c r="T9" s="80">
        <f t="shared" si="7"/>
        <v>0</v>
      </c>
      <c r="U9" s="67">
        <f t="shared" si="7"/>
        <v>0</v>
      </c>
      <c r="V9" s="81">
        <f t="shared" si="7"/>
        <v>0</v>
      </c>
    </row>
    <row r="10" spans="1:22" ht="14" thickBot="1">
      <c r="C10" s="356" t="s">
        <v>135</v>
      </c>
      <c r="E10" s="67">
        <f>E412</f>
        <v>0</v>
      </c>
      <c r="F10" s="67">
        <f t="shared" ref="F10:N10" si="8">F412</f>
        <v>0</v>
      </c>
      <c r="G10" s="67">
        <f t="shared" si="8"/>
        <v>0</v>
      </c>
      <c r="H10" s="67">
        <f t="shared" si="8"/>
        <v>0</v>
      </c>
      <c r="I10" s="67">
        <f t="shared" si="8"/>
        <v>0</v>
      </c>
      <c r="J10" s="67">
        <f t="shared" si="8"/>
        <v>0</v>
      </c>
      <c r="K10" s="67">
        <f t="shared" si="8"/>
        <v>0</v>
      </c>
      <c r="L10" s="67">
        <f t="shared" si="8"/>
        <v>0</v>
      </c>
      <c r="M10" s="80">
        <f t="shared" si="8"/>
        <v>0</v>
      </c>
      <c r="N10" s="67">
        <f t="shared" si="8"/>
        <v>0</v>
      </c>
      <c r="Q10" s="138" t="e">
        <f t="shared" ref="Q10:V10" ca="1" si="9">Q412</f>
        <v>#VALUE!</v>
      </c>
      <c r="R10" s="139" t="e">
        <f t="shared" ca="1" si="9"/>
        <v>#VALUE!</v>
      </c>
      <c r="S10" s="140" t="e">
        <f t="shared" ca="1" si="9"/>
        <v>#VALUE!</v>
      </c>
      <c r="T10" s="141">
        <f t="shared" si="9"/>
        <v>0</v>
      </c>
      <c r="U10" s="139">
        <f t="shared" si="9"/>
        <v>0</v>
      </c>
      <c r="V10" s="142">
        <f t="shared" si="9"/>
        <v>0</v>
      </c>
    </row>
    <row r="11" spans="1:22" ht="14" thickBot="1">
      <c r="D11" s="144"/>
    </row>
    <row r="12" spans="1:22" ht="30.65" customHeight="1" thickBot="1">
      <c r="D12" s="570" t="s">
        <v>182</v>
      </c>
      <c r="E12" s="571"/>
      <c r="F12" s="571"/>
      <c r="G12" s="571"/>
      <c r="H12" s="571"/>
      <c r="I12" s="571"/>
      <c r="J12" s="571"/>
      <c r="K12" s="571"/>
      <c r="L12" s="571"/>
      <c r="M12" s="571"/>
      <c r="N12" s="571"/>
      <c r="O12" s="572"/>
      <c r="P12" s="380"/>
      <c r="Q12" s="575" t="s">
        <v>183</v>
      </c>
      <c r="R12" s="576"/>
      <c r="S12" s="576"/>
      <c r="T12" s="576"/>
      <c r="U12" s="576"/>
      <c r="V12" s="577"/>
    </row>
    <row r="13" spans="1:22" ht="12.75" customHeight="1">
      <c r="B13" s="592" t="s">
        <v>51</v>
      </c>
      <c r="C13" s="594" t="s">
        <v>184</v>
      </c>
      <c r="D13" s="597" t="s">
        <v>158</v>
      </c>
      <c r="E13" s="573" t="s">
        <v>185</v>
      </c>
      <c r="F13" s="573" t="s">
        <v>186</v>
      </c>
      <c r="G13" s="573" t="s">
        <v>161</v>
      </c>
      <c r="H13" s="573" t="s">
        <v>187</v>
      </c>
      <c r="I13" s="573" t="s">
        <v>188</v>
      </c>
      <c r="J13" s="573" t="s">
        <v>189</v>
      </c>
      <c r="K13" s="573" t="s">
        <v>190</v>
      </c>
      <c r="L13" s="573" t="s">
        <v>191</v>
      </c>
      <c r="M13" s="573" t="s">
        <v>192</v>
      </c>
      <c r="N13" s="573" t="s">
        <v>193</v>
      </c>
      <c r="O13" s="586" t="s">
        <v>169</v>
      </c>
      <c r="Q13" s="590" t="s">
        <v>194</v>
      </c>
      <c r="R13" s="580"/>
      <c r="S13" s="591"/>
      <c r="T13" s="580" t="s">
        <v>195</v>
      </c>
      <c r="U13" s="580"/>
      <c r="V13" s="581"/>
    </row>
    <row r="14" spans="1:22" ht="63.75" customHeight="1">
      <c r="B14" s="593"/>
      <c r="C14" s="595"/>
      <c r="D14" s="598"/>
      <c r="E14" s="574"/>
      <c r="F14" s="574"/>
      <c r="G14" s="574"/>
      <c r="H14" s="574"/>
      <c r="I14" s="574"/>
      <c r="J14" s="574"/>
      <c r="K14" s="574"/>
      <c r="L14" s="574"/>
      <c r="M14" s="574"/>
      <c r="N14" s="574"/>
      <c r="O14" s="587"/>
      <c r="Q14" s="588" t="s">
        <v>196</v>
      </c>
      <c r="R14" s="568" t="s">
        <v>197</v>
      </c>
      <c r="S14" s="584" t="s">
        <v>198</v>
      </c>
      <c r="T14" s="582" t="s">
        <v>196</v>
      </c>
      <c r="U14" s="568" t="s">
        <v>197</v>
      </c>
      <c r="V14" s="578" t="s">
        <v>198</v>
      </c>
    </row>
    <row r="15" spans="1:22" ht="27" customHeight="1">
      <c r="B15" s="593"/>
      <c r="C15" s="596"/>
      <c r="D15" s="598"/>
      <c r="E15" s="574"/>
      <c r="F15" s="574"/>
      <c r="G15" s="574"/>
      <c r="H15" s="574"/>
      <c r="I15" s="574"/>
      <c r="J15" s="574"/>
      <c r="K15" s="574"/>
      <c r="L15" s="574"/>
      <c r="M15" s="574"/>
      <c r="N15" s="574"/>
      <c r="O15" s="587"/>
      <c r="Q15" s="589"/>
      <c r="R15" s="569"/>
      <c r="S15" s="585"/>
      <c r="T15" s="583"/>
      <c r="U15" s="569"/>
      <c r="V15" s="579"/>
    </row>
    <row r="16" spans="1:22">
      <c r="A16" s="143">
        <v>1</v>
      </c>
      <c r="B16" s="99" t="s">
        <v>53</v>
      </c>
      <c r="C16" s="100">
        <v>2024</v>
      </c>
      <c r="D16" s="101" cm="1">
        <f t="array" ref="D16">SUMPRODUCT(Start_of_Year_Yr1_1*Long_Term_Monetised_Risk_1)</f>
        <v>0</v>
      </c>
      <c r="E16" s="101" cm="1">
        <f t="array" ref="E16">SUMPRODUCT(Data_Cleansing_Yr1_1*Long_Term_Monetised_Risk_1)</f>
        <v>0</v>
      </c>
      <c r="F16" s="101" cm="1">
        <f t="array" ref="F16">SUMPRODUCT(Deterioration_total_Yr1_1*Long_Term_Monetised_Risk_1)</f>
        <v>0</v>
      </c>
      <c r="G16" s="101" cm="1">
        <f t="array" ref="G16">SUMPRODUCT(Other_Risk_Movements_Yr1_1*Long_Term_Monetised_Risk_1)</f>
        <v>0</v>
      </c>
      <c r="H16" s="101" cm="1">
        <f t="array" ref="H16">SUMPRODUCT(Asset_Replacement_Yr1_1*Long_Term_Monetised_Risk_1)</f>
        <v>0</v>
      </c>
      <c r="I16" s="101" cm="1">
        <f t="array" ref="I16">SUMPRODUCT(Asset_Refurbishment_Yr1_1*Long_Term_Monetised_Risk_1)</f>
        <v>0</v>
      </c>
      <c r="J16" s="101" cm="1">
        <f t="array" ref="J16">SUMPRODUCT(Reinforcement_Yr1_1*Long_Term_Monetised_Risk_1)</f>
        <v>0</v>
      </c>
      <c r="K16" s="101" cm="1">
        <f t="array" ref="K16">SUMPRODUCT(Faults_Yr1_1*Long_Term_Monetised_Risk_1)</f>
        <v>0</v>
      </c>
      <c r="L16" s="101" cm="1">
        <f t="array" ref="L16">SUMPRODUCT(HVP_Asset_Replacement_Refurbishment_Yr1_1*Long_Term_Monetised_Risk_1)</f>
        <v>0</v>
      </c>
      <c r="M16" s="101" cm="1">
        <f t="array" ref="M16">SUMPRODUCT(HVP_Other_Yr1_1*Long_Term_Monetised_Risk_1)</f>
        <v>0</v>
      </c>
      <c r="N16" s="101" cm="1">
        <f t="array" ref="N16">SUMPRODUCT(All_Other_Yr1_1*Long_Term_Monetised_Risk_1)</f>
        <v>0</v>
      </c>
      <c r="O16" s="102" cm="1">
        <f t="array" ref="O16">SUMPRODUCT(End_Of_Year_Yr1_1*Long_Term_Monetised_Risk_1)</f>
        <v>0</v>
      </c>
      <c r="Q16" s="112"/>
      <c r="R16" s="113"/>
      <c r="S16" s="120"/>
      <c r="T16" s="115" cm="1">
        <f t="array" ref="T16">SUMPRODUCT(Asset_Replacement_2028_Yr1_1*Long_Term_Monetised_Risk_1)</f>
        <v>0</v>
      </c>
      <c r="U16" s="101" cm="1">
        <f t="array" ref="U16">SUMPRODUCT(Asset_Refurbishment_2028_Yr1_1*Long_Term_Monetised_Risk_1)</f>
        <v>0</v>
      </c>
      <c r="V16" s="102" cm="1">
        <f t="array" ref="V16">SUMPRODUCT(HVP_2028_Yr1_1*Long_Term_Monetised_Risk_1)</f>
        <v>0</v>
      </c>
    </row>
    <row r="17" spans="1:22">
      <c r="B17" s="93" t="s">
        <v>53</v>
      </c>
      <c r="C17" s="91">
        <v>2025</v>
      </c>
      <c r="D17" s="64" cm="1">
        <f t="array" ref="D17">SUMPRODUCT(Start_of_Year_Yr2_1*Long_Term_Monetised_Risk_1)</f>
        <v>0</v>
      </c>
      <c r="E17" s="64" cm="1">
        <f t="array" ref="E17">SUMPRODUCT(Data_Cleansing_Yr2_1*Long_Term_Monetised_Risk_1)</f>
        <v>0</v>
      </c>
      <c r="F17" s="64" cm="1">
        <f t="array" ref="F17">SUMPRODUCT(Deterioration_total_Yr2_1*Long_Term_Monetised_Risk_1)</f>
        <v>0</v>
      </c>
      <c r="G17" s="64" cm="1">
        <f t="array" ref="G17">SUMPRODUCT(Other_Risk_Movements_Yr2_1*Long_Term_Monetised_Risk_1)</f>
        <v>0</v>
      </c>
      <c r="H17" s="64" cm="1">
        <f t="array" ref="H17">SUMPRODUCT(Asset_Replacement_Yr2_1*Long_Term_Monetised_Risk_1)</f>
        <v>0</v>
      </c>
      <c r="I17" s="64" cm="1">
        <f t="array" ref="I17">SUMPRODUCT(Asset_Refurbishment_Yr2_1*Long_Term_Monetised_Risk_1)</f>
        <v>0</v>
      </c>
      <c r="J17" s="64" cm="1">
        <f t="array" ref="J17">SUMPRODUCT(Reinforcement_Yr2_1*Long_Term_Monetised_Risk_1)</f>
        <v>0</v>
      </c>
      <c r="K17" s="64" cm="1">
        <f t="array" ref="K17">SUMPRODUCT(Faults_Yr2_1*Long_Term_Monetised_Risk_1)</f>
        <v>0</v>
      </c>
      <c r="L17" s="64" cm="1">
        <f t="array" ref="L17">SUMPRODUCT(HVP_Asset_Replacement_Refurbishment_Yr2_1*Long_Term_Monetised_Risk_1)</f>
        <v>0</v>
      </c>
      <c r="M17" s="64" cm="1">
        <f t="array" ref="M17">SUMPRODUCT(HVP_Other_Yr2_1*Long_Term_Monetised_Risk_1)</f>
        <v>0</v>
      </c>
      <c r="N17" s="64" cm="1">
        <f t="array" ref="N17">SUMPRODUCT(All_Other_Yr2_1*Long_Term_Monetised_Risk_1)</f>
        <v>0</v>
      </c>
      <c r="O17" s="65" cm="1">
        <f t="array" ref="O17">SUMPRODUCT(End_Of_Year_Yr2_1*Long_Term_Monetised_Risk_1)</f>
        <v>0</v>
      </c>
      <c r="Q17" s="110"/>
      <c r="R17" s="111"/>
      <c r="S17" s="119"/>
      <c r="T17" s="114" cm="1">
        <f t="array" ref="T17">SUMPRODUCT(Asset_Replacement_2028_Yr2_1*Long_Term_Monetised_Risk_1)</f>
        <v>0</v>
      </c>
      <c r="U17" s="64" cm="1">
        <f t="array" ref="U17">SUMPRODUCT(Asset_Refurbishment_2028_Yr2_1*Long_Term_Monetised_Risk_1)</f>
        <v>0</v>
      </c>
      <c r="V17" s="65" cm="1">
        <f t="array" ref="V17">SUMPRODUCT(HVP_2028_Yr2_1*Long_Term_Monetised_Risk_1)</f>
        <v>0</v>
      </c>
    </row>
    <row r="18" spans="1:22">
      <c r="B18" s="93" t="s">
        <v>53</v>
      </c>
      <c r="C18" s="91">
        <v>2026</v>
      </c>
      <c r="D18" s="64" cm="1">
        <f t="array" ref="D18">SUMPRODUCT(Start_of_Year_Yr3_1*Long_Term_Monetised_Risk_1)</f>
        <v>0</v>
      </c>
      <c r="E18" s="64" cm="1">
        <f t="array" ref="E18">SUMPRODUCT(Data_Cleansing_Yr3_1*Long_Term_Monetised_Risk_1)</f>
        <v>0</v>
      </c>
      <c r="F18" s="64" cm="1">
        <f t="array" ref="F18">SUMPRODUCT(Deterioration_total_Yr3_1*Long_Term_Monetised_Risk_1)</f>
        <v>0</v>
      </c>
      <c r="G18" s="64" cm="1">
        <f t="array" ref="G18">SUMPRODUCT(Other_Risk_Movements_Yr3_1*Long_Term_Monetised_Risk_1)</f>
        <v>0</v>
      </c>
      <c r="H18" s="64" cm="1">
        <f t="array" ref="H18">SUMPRODUCT(Asset_Replacement_Yr3_1*Long_Term_Monetised_Risk_1)</f>
        <v>0</v>
      </c>
      <c r="I18" s="64" cm="1">
        <f t="array" ref="I18">SUMPRODUCT(Asset_Refurbishment_Yr3_1*Long_Term_Monetised_Risk_1)</f>
        <v>0</v>
      </c>
      <c r="J18" s="64" cm="1">
        <f t="array" ref="J18">SUMPRODUCT(Reinforcement_Yr3_1*Long_Term_Monetised_Risk_1)</f>
        <v>0</v>
      </c>
      <c r="K18" s="64" cm="1">
        <f t="array" ref="K18">SUMPRODUCT(Faults_Yr3_1*Long_Term_Monetised_Risk_1)</f>
        <v>0</v>
      </c>
      <c r="L18" s="64" cm="1">
        <f t="array" ref="L18">SUMPRODUCT(HVP_Asset_Replacement_Refurbishment_Yr3_1*Long_Term_Monetised_Risk_1)</f>
        <v>0</v>
      </c>
      <c r="M18" s="64" cm="1">
        <f t="array" ref="M18">SUMPRODUCT(HVP_Other_Yr3_1*Long_Term_Monetised_Risk_1)</f>
        <v>0</v>
      </c>
      <c r="N18" s="64" cm="1">
        <f t="array" ref="N18">SUMPRODUCT(All_Other_Yr3_1*Long_Term_Monetised_Risk_1)</f>
        <v>0</v>
      </c>
      <c r="O18" s="65" cm="1">
        <f t="array" ref="O18">SUMPRODUCT(End_Of_Year_Yr3_1*Long_Term_Monetised_Risk_1)</f>
        <v>0</v>
      </c>
      <c r="Q18" s="110"/>
      <c r="R18" s="111"/>
      <c r="S18" s="119"/>
      <c r="T18" s="114" cm="1">
        <f t="array" ref="T18">SUMPRODUCT(Asset_Replacement_2028_Yr3_1*Long_Term_Monetised_Risk_1)</f>
        <v>0</v>
      </c>
      <c r="U18" s="64" cm="1">
        <f t="array" ref="U18">SUMPRODUCT(Asset_Refurbishment_2028_Yr3_1*Long_Term_Monetised_Risk_1)</f>
        <v>0</v>
      </c>
      <c r="V18" s="65" cm="1">
        <f t="array" ref="V18">SUMPRODUCT(HVP_2028_Yr3_1*Long_Term_Monetised_Risk_1)</f>
        <v>0</v>
      </c>
    </row>
    <row r="19" spans="1:22">
      <c r="B19" s="93" t="s">
        <v>53</v>
      </c>
      <c r="C19" s="91">
        <v>2027</v>
      </c>
      <c r="D19" s="64" cm="1">
        <f t="array" ref="D19">SUMPRODUCT(Start_of_Year_Yr4_1*Long_Term_Monetised_Risk_1)</f>
        <v>0</v>
      </c>
      <c r="E19" s="64" cm="1">
        <f t="array" ref="E19">SUMPRODUCT(Data_Cleansing_Yr4_1*Long_Term_Monetised_Risk_1)</f>
        <v>0</v>
      </c>
      <c r="F19" s="64" cm="1">
        <f t="array" ref="F19">SUMPRODUCT(Deterioration_total_Yr4_1*Long_Term_Monetised_Risk_1)</f>
        <v>0</v>
      </c>
      <c r="G19" s="64" cm="1">
        <f t="array" ref="G19">SUMPRODUCT(Other_Risk_Movements_Yr4_1*Long_Term_Monetised_Risk_1)</f>
        <v>0</v>
      </c>
      <c r="H19" s="64" cm="1">
        <f t="array" ref="H19">SUMPRODUCT(Asset_Replacement_Yr4_1*Long_Term_Monetised_Risk_1)</f>
        <v>0</v>
      </c>
      <c r="I19" s="64" cm="1">
        <f t="array" ref="I19">SUMPRODUCT(Asset_Refurbishment_Yr4_1*Long_Term_Monetised_Risk_1)</f>
        <v>0</v>
      </c>
      <c r="J19" s="64" cm="1">
        <f t="array" ref="J19">SUMPRODUCT(Reinforcement_Yr4_1*Long_Term_Monetised_Risk_1)</f>
        <v>0</v>
      </c>
      <c r="K19" s="64" cm="1">
        <f t="array" ref="K19">SUMPRODUCT(Faults_Yr4_1*Long_Term_Monetised_Risk_1)</f>
        <v>0</v>
      </c>
      <c r="L19" s="64" cm="1">
        <f t="array" ref="L19">SUMPRODUCT(HVP_Asset_Replacement_Refurbishment_Yr4_1*Long_Term_Monetised_Risk_1)</f>
        <v>0</v>
      </c>
      <c r="M19" s="64" cm="1">
        <f t="array" ref="M19">SUMPRODUCT(HVP_Other_Yr4_1*Long_Term_Monetised_Risk_1)</f>
        <v>0</v>
      </c>
      <c r="N19" s="64" cm="1">
        <f t="array" ref="N19">SUMPRODUCT(All_Other_Yr4_1*Long_Term_Monetised_Risk_1)</f>
        <v>0</v>
      </c>
      <c r="O19" s="65" cm="1">
        <f t="array" ref="O19">SUMPRODUCT(End_Of_Year_Yr4_1*Long_Term_Monetised_Risk_1)</f>
        <v>0</v>
      </c>
      <c r="Q19" s="110"/>
      <c r="R19" s="111"/>
      <c r="S19" s="119"/>
      <c r="T19" s="114" cm="1">
        <f t="array" ref="T19">SUMPRODUCT(Asset_Replacement_2028_Yr4_1*Long_Term_Monetised_Risk_1)</f>
        <v>0</v>
      </c>
      <c r="U19" s="64" cm="1">
        <f t="array" ref="U19">SUMPRODUCT(Asset_Refurbishment_2028_Yr4_1*Long_Term_Monetised_Risk_1)</f>
        <v>0</v>
      </c>
      <c r="V19" s="65" cm="1">
        <f t="array" ref="V19">SUMPRODUCT(HVP_2028_Yr4_1*Long_Term_Monetised_Risk_1)</f>
        <v>0</v>
      </c>
    </row>
    <row r="20" spans="1:22">
      <c r="B20" s="93" t="s">
        <v>53</v>
      </c>
      <c r="C20" s="91">
        <v>2028</v>
      </c>
      <c r="D20" s="64" cm="1">
        <f t="array" ref="D20">SUMPRODUCT(Start_of_Year_Yr5_1*Long_Term_Monetised_Risk_1)</f>
        <v>0</v>
      </c>
      <c r="E20" s="64" cm="1">
        <f t="array" ref="E20">SUMPRODUCT(Data_Cleansing_Yr5_1*Long_Term_Monetised_Risk_1)</f>
        <v>0</v>
      </c>
      <c r="F20" s="64" cm="1">
        <f t="array" ref="F20">SUMPRODUCT(Deterioration_total_Yr5_1*Long_Term_Monetised_Risk_1)</f>
        <v>0</v>
      </c>
      <c r="G20" s="64" cm="1">
        <f t="array" ref="G20">SUMPRODUCT(Other_Risk_Movements_Yr5_1*Long_Term_Monetised_Risk_1)</f>
        <v>0</v>
      </c>
      <c r="H20" s="64" cm="1">
        <f t="array" ref="H20">SUMPRODUCT(Asset_Replacement_Yr5_1*Long_Term_Monetised_Risk_1)</f>
        <v>0</v>
      </c>
      <c r="I20" s="64" cm="1">
        <f t="array" ref="I20">SUMPRODUCT(Asset_Refurbishment_Yr5_1*Long_Term_Monetised_Risk_1)</f>
        <v>0</v>
      </c>
      <c r="J20" s="64" cm="1">
        <f t="array" ref="J20">SUMPRODUCT(Reinforcement_Yr5_1*Long_Term_Monetised_Risk_1)</f>
        <v>0</v>
      </c>
      <c r="K20" s="64" cm="1">
        <f t="array" ref="K20">SUMPRODUCT(Faults_Yr5_1*Long_Term_Monetised_Risk_1)</f>
        <v>0</v>
      </c>
      <c r="L20" s="64" cm="1">
        <f t="array" ref="L20">SUMPRODUCT(HVP_Asset_Replacement_Refurbishment_Yr5_1*Long_Term_Monetised_Risk_1)</f>
        <v>0</v>
      </c>
      <c r="M20" s="64" cm="1">
        <f t="array" ref="M20">SUMPRODUCT(HVP_Other_Yr5_1*Long_Term_Monetised_Risk_1)</f>
        <v>0</v>
      </c>
      <c r="N20" s="64" cm="1">
        <f t="array" ref="N20">SUMPRODUCT(All_Other_Yr5_1*Long_Term_Monetised_Risk_1)</f>
        <v>0</v>
      </c>
      <c r="O20" s="65" cm="1">
        <f t="array" ref="O20">SUMPRODUCT(End_Of_Year_Yr5_1*Long_Term_Monetised_Risk_1)</f>
        <v>0</v>
      </c>
      <c r="Q20" s="110"/>
      <c r="R20" s="111"/>
      <c r="S20" s="119"/>
      <c r="T20" s="114" cm="1">
        <f t="array" ref="T20">SUMPRODUCT(Asset_Replacement_2028_Yr5_1*Long_Term_Monetised_Risk_1)</f>
        <v>0</v>
      </c>
      <c r="U20" s="64" cm="1">
        <f t="array" ref="U20">SUMPRODUCT(Asset_Refurbishment_2028_Yr5_1*Long_Term_Monetised_Risk_1)</f>
        <v>0</v>
      </c>
      <c r="V20" s="65" cm="1">
        <f t="array" ref="V20">SUMPRODUCT(HVP_2028_Yr5_1*Long_Term_Monetised_Risk_1)</f>
        <v>0</v>
      </c>
    </row>
    <row r="21" spans="1:22" ht="14" thickBot="1">
      <c r="B21" s="103" t="s">
        <v>53</v>
      </c>
      <c r="C21" s="104" t="s">
        <v>131</v>
      </c>
      <c r="D21" s="105"/>
      <c r="E21" s="106">
        <f t="shared" ref="E21:O21" si="10">SUM(E16:E20)</f>
        <v>0</v>
      </c>
      <c r="F21" s="106">
        <f t="shared" si="10"/>
        <v>0</v>
      </c>
      <c r="G21" s="106">
        <f t="shared" si="10"/>
        <v>0</v>
      </c>
      <c r="H21" s="106">
        <f t="shared" si="10"/>
        <v>0</v>
      </c>
      <c r="I21" s="106">
        <f t="shared" si="10"/>
        <v>0</v>
      </c>
      <c r="J21" s="106">
        <f t="shared" si="10"/>
        <v>0</v>
      </c>
      <c r="K21" s="106">
        <f t="shared" si="10"/>
        <v>0</v>
      </c>
      <c r="L21" s="106">
        <f t="shared" si="10"/>
        <v>0</v>
      </c>
      <c r="M21" s="106">
        <f t="shared" si="10"/>
        <v>0</v>
      </c>
      <c r="N21" s="106">
        <f t="shared" si="10"/>
        <v>0</v>
      </c>
      <c r="O21" s="537">
        <f t="shared" si="10"/>
        <v>0</v>
      </c>
      <c r="Q21" s="107" t="str">
        <f ca="1">VLOOKUP($B21,'NARM4 - ED2 NARW Risk Movements'!$B$7:$G$67,4,FALSE)</f>
        <v/>
      </c>
      <c r="R21" s="109" t="str">
        <f ca="1">VLOOKUP($B21,'NARM4 - ED2 NARW Risk Movements'!$B$7:$G$67,5,FALSE)</f>
        <v/>
      </c>
      <c r="S21" s="121" t="str">
        <f ca="1">VLOOKUP($B21,'NARM4 - ED2 NARW Risk Movements'!$B$7:$G$67,6,FALSE)</f>
        <v/>
      </c>
      <c r="T21" s="117">
        <f>SUM(T16:T20)</f>
        <v>0</v>
      </c>
      <c r="U21" s="106">
        <f t="shared" ref="U21" si="11">SUM(U16:U20)</f>
        <v>0</v>
      </c>
      <c r="V21" s="108">
        <f>SUM(V16:V20)</f>
        <v>0</v>
      </c>
    </row>
    <row r="22" spans="1:22" ht="14" thickTop="1">
      <c r="A22" s="143">
        <v>2</v>
      </c>
      <c r="B22" s="99" t="s">
        <v>63</v>
      </c>
      <c r="C22" s="100">
        <v>2024</v>
      </c>
      <c r="D22" s="101" cm="1">
        <f t="array" ref="D22">SUMPRODUCT(Start_of_Year_Yr1_2*Long_Term_Monetised_Risk_2)</f>
        <v>0</v>
      </c>
      <c r="E22" s="101" cm="1">
        <f t="array" ref="E22">SUMPRODUCT(Data_Cleansing_Yr1_2*Long_Term_Monetised_Risk_2)</f>
        <v>0</v>
      </c>
      <c r="F22" s="101" cm="1">
        <f t="array" ref="F22">SUMPRODUCT(Deterioration_total_Yr1_2*Long_Term_Monetised_Risk_2)</f>
        <v>0</v>
      </c>
      <c r="G22" s="101" cm="1">
        <f t="array" ref="G22">SUMPRODUCT(Other_Risk_Movements_Yr1_2*Long_Term_Monetised_Risk_2)</f>
        <v>0</v>
      </c>
      <c r="H22" s="101" cm="1">
        <f t="array" ref="H22">SUMPRODUCT(Asset_Replacement_Yr1_2*Long_Term_Monetised_Risk_2)</f>
        <v>0</v>
      </c>
      <c r="I22" s="101" cm="1">
        <f t="array" ref="I22">SUMPRODUCT(Asset_Refurbishment_Yr1_2*Long_Term_Monetised_Risk_2)</f>
        <v>0</v>
      </c>
      <c r="J22" s="101" cm="1">
        <f t="array" ref="J22">SUMPRODUCT(Reinforcement_Yr1_2*Long_Term_Monetised_Risk_2)</f>
        <v>0</v>
      </c>
      <c r="K22" s="101" cm="1">
        <f t="array" ref="K22">SUMPRODUCT(Faults_Yr1_2*Long_Term_Monetised_Risk_2)</f>
        <v>0</v>
      </c>
      <c r="L22" s="101" cm="1">
        <f t="array" ref="L22">SUMPRODUCT(HVP_Asset_Replacement_Refurbishment_Yr1_2*Long_Term_Monetised_Risk_2)</f>
        <v>0</v>
      </c>
      <c r="M22" s="101" cm="1">
        <f t="array" ref="M22">SUMPRODUCT(HVP_Other_Yr1_2*Long_Term_Monetised_Risk_2)</f>
        <v>0</v>
      </c>
      <c r="N22" s="101" cm="1">
        <f t="array" ref="N22">SUMPRODUCT(All_Other_Yr1_2*Long_Term_Monetised_Risk_2)</f>
        <v>0</v>
      </c>
      <c r="O22" s="102" cm="1">
        <f t="array" ref="O22">SUMPRODUCT(End_Of_Year_Yr1_2*Long_Term_Monetised_Risk_2)</f>
        <v>0</v>
      </c>
      <c r="Q22" s="112"/>
      <c r="R22" s="113"/>
      <c r="S22" s="120"/>
      <c r="T22" s="115" cm="1">
        <f t="array" ref="T22">SUMPRODUCT(Asset_Replacement_2028_Yr1_2*Long_Term_Monetised_Risk_2)</f>
        <v>0</v>
      </c>
      <c r="U22" s="101" cm="1">
        <f t="array" ref="U22">SUMPRODUCT(Asset_Refurbishment_2028_Yr1_2*Long_Term_Monetised_Risk_2)</f>
        <v>0</v>
      </c>
      <c r="V22" s="102" cm="1">
        <f t="array" ref="V22">SUMPRODUCT(HVP_2028_Yr1_2*Long_Term_Monetised_Risk_2)</f>
        <v>0</v>
      </c>
    </row>
    <row r="23" spans="1:22">
      <c r="B23" s="93" t="s">
        <v>63</v>
      </c>
      <c r="C23" s="91">
        <v>2025</v>
      </c>
      <c r="D23" s="64" cm="1">
        <f t="array" ref="D23">SUMPRODUCT(Start_of_Year_Yr2_2*Long_Term_Monetised_Risk_2)</f>
        <v>0</v>
      </c>
      <c r="E23" s="64" cm="1">
        <f t="array" ref="E23">SUMPRODUCT(Data_Cleansing_Yr2_2*Long_Term_Monetised_Risk_2)</f>
        <v>0</v>
      </c>
      <c r="F23" s="64" cm="1">
        <f t="array" ref="F23">SUMPRODUCT(Deterioration_total_Yr2_2*Long_Term_Monetised_Risk_2)</f>
        <v>0</v>
      </c>
      <c r="G23" s="64" cm="1">
        <f t="array" ref="G23">SUMPRODUCT(Other_Risk_Movements_Yr2_2*Long_Term_Monetised_Risk_2)</f>
        <v>0</v>
      </c>
      <c r="H23" s="64" cm="1">
        <f t="array" ref="H23">SUMPRODUCT(Asset_Replacement_Yr2_2*Long_Term_Monetised_Risk_2)</f>
        <v>0</v>
      </c>
      <c r="I23" s="64" cm="1">
        <f t="array" ref="I23">SUMPRODUCT(Asset_Refurbishment_Yr2_2*Long_Term_Monetised_Risk_2)</f>
        <v>0</v>
      </c>
      <c r="J23" s="64" cm="1">
        <f t="array" ref="J23">SUMPRODUCT(Reinforcement_Yr2_2*Long_Term_Monetised_Risk_2)</f>
        <v>0</v>
      </c>
      <c r="K23" s="64" cm="1">
        <f t="array" ref="K23">SUMPRODUCT(Faults_Yr2_2*Long_Term_Monetised_Risk_2)</f>
        <v>0</v>
      </c>
      <c r="L23" s="64" cm="1">
        <f t="array" ref="L23">SUMPRODUCT(HVP_Asset_Replacement_Refurbishment_Yr2_2*Long_Term_Monetised_Risk_2)</f>
        <v>0</v>
      </c>
      <c r="M23" s="64" cm="1">
        <f t="array" ref="M23">SUMPRODUCT(HVP_Other_Yr2_2*Long_Term_Monetised_Risk_2)</f>
        <v>0</v>
      </c>
      <c r="N23" s="64" cm="1">
        <f t="array" ref="N23">SUMPRODUCT(All_Other_Yr2_2*Long_Term_Monetised_Risk_2)</f>
        <v>0</v>
      </c>
      <c r="O23" s="65" cm="1">
        <f t="array" ref="O23">SUMPRODUCT(End_Of_Year_Yr2_2*Long_Term_Monetised_Risk_2)</f>
        <v>0</v>
      </c>
      <c r="Q23" s="110"/>
      <c r="R23" s="111"/>
      <c r="S23" s="119"/>
      <c r="T23" s="114" cm="1">
        <f t="array" ref="T23">SUMPRODUCT(Asset_Replacement_2028_Yr2_2*Long_Term_Monetised_Risk_2)</f>
        <v>0</v>
      </c>
      <c r="U23" s="64" cm="1">
        <f t="array" ref="U23">SUMPRODUCT(Asset_Refurbishment_2028_Yr2_2*Long_Term_Monetised_Risk_2)</f>
        <v>0</v>
      </c>
      <c r="V23" s="65" cm="1">
        <f t="array" ref="V23">SUMPRODUCT(HVP_2028_Yr2_2*Long_Term_Monetised_Risk_2)</f>
        <v>0</v>
      </c>
    </row>
    <row r="24" spans="1:22">
      <c r="B24" s="93" t="s">
        <v>63</v>
      </c>
      <c r="C24" s="91">
        <v>2026</v>
      </c>
      <c r="D24" s="64" cm="1">
        <f t="array" ref="D24">SUMPRODUCT(Start_of_Year_Yr3_2*Long_Term_Monetised_Risk_2)</f>
        <v>0</v>
      </c>
      <c r="E24" s="64" cm="1">
        <f t="array" ref="E24">SUMPRODUCT(Data_Cleansing_Yr3_2*Long_Term_Monetised_Risk_2)</f>
        <v>0</v>
      </c>
      <c r="F24" s="64" cm="1">
        <f t="array" ref="F24">SUMPRODUCT(Deterioration_total_Yr3_2*Long_Term_Monetised_Risk_2)</f>
        <v>0</v>
      </c>
      <c r="G24" s="64" cm="1">
        <f t="array" ref="G24">SUMPRODUCT(Other_Risk_Movements_Yr3_2*Long_Term_Monetised_Risk_2)</f>
        <v>0</v>
      </c>
      <c r="H24" s="64" cm="1">
        <f t="array" ref="H24">SUMPRODUCT(Asset_Replacement_Yr3_2*Long_Term_Monetised_Risk_2)</f>
        <v>0</v>
      </c>
      <c r="I24" s="64" cm="1">
        <f t="array" ref="I24">SUMPRODUCT(Asset_Refurbishment_Yr3_2*Long_Term_Monetised_Risk_2)</f>
        <v>0</v>
      </c>
      <c r="J24" s="64" cm="1">
        <f t="array" ref="J24">SUMPRODUCT(Reinforcement_Yr3_2*Long_Term_Monetised_Risk_2)</f>
        <v>0</v>
      </c>
      <c r="K24" s="64" cm="1">
        <f t="array" ref="K24">SUMPRODUCT(Faults_Yr3_2*Long_Term_Monetised_Risk_2)</f>
        <v>0</v>
      </c>
      <c r="L24" s="64" cm="1">
        <f t="array" ref="L24">SUMPRODUCT(HVP_Asset_Replacement_Refurbishment_Yr3_2*Long_Term_Monetised_Risk_2)</f>
        <v>0</v>
      </c>
      <c r="M24" s="64" cm="1">
        <f t="array" ref="M24">SUMPRODUCT(HVP_Other_Yr3_2*Long_Term_Monetised_Risk_2)</f>
        <v>0</v>
      </c>
      <c r="N24" s="64" cm="1">
        <f t="array" ref="N24">SUMPRODUCT(All_Other_Yr3_2*Long_Term_Monetised_Risk_2)</f>
        <v>0</v>
      </c>
      <c r="O24" s="65" cm="1">
        <f t="array" ref="O24">SUMPRODUCT(End_Of_Year_Yr3_2*Long_Term_Monetised_Risk_2)</f>
        <v>0</v>
      </c>
      <c r="Q24" s="110"/>
      <c r="R24" s="111"/>
      <c r="S24" s="119"/>
      <c r="T24" s="114" cm="1">
        <f t="array" ref="T24">SUMPRODUCT(Asset_Replacement_2028_Yr3_2*Long_Term_Monetised_Risk_2)</f>
        <v>0</v>
      </c>
      <c r="U24" s="64" cm="1">
        <f t="array" ref="U24">SUMPRODUCT(Asset_Refurbishment_2028_Yr3_2*Long_Term_Monetised_Risk_2)</f>
        <v>0</v>
      </c>
      <c r="V24" s="65" cm="1">
        <f t="array" ref="V24">SUMPRODUCT(HVP_2028_Yr3_2*Long_Term_Monetised_Risk_2)</f>
        <v>0</v>
      </c>
    </row>
    <row r="25" spans="1:22">
      <c r="B25" s="93" t="s">
        <v>63</v>
      </c>
      <c r="C25" s="91">
        <v>2027</v>
      </c>
      <c r="D25" s="64" cm="1">
        <f t="array" ref="D25">SUMPRODUCT(Start_of_Year_Yr4_2*Long_Term_Monetised_Risk_2)</f>
        <v>0</v>
      </c>
      <c r="E25" s="64" cm="1">
        <f t="array" ref="E25">SUMPRODUCT(Data_Cleansing_Yr4_2*Long_Term_Monetised_Risk_2)</f>
        <v>0</v>
      </c>
      <c r="F25" s="64" cm="1">
        <f t="array" ref="F25">SUMPRODUCT(Deterioration_total_Yr4_2*Long_Term_Monetised_Risk_2)</f>
        <v>0</v>
      </c>
      <c r="G25" s="64" cm="1">
        <f t="array" ref="G25">SUMPRODUCT(Other_Risk_Movements_Yr4_2*Long_Term_Monetised_Risk_2)</f>
        <v>0</v>
      </c>
      <c r="H25" s="64" cm="1">
        <f t="array" ref="H25">SUMPRODUCT(Asset_Replacement_Yr4_2*Long_Term_Monetised_Risk_2)</f>
        <v>0</v>
      </c>
      <c r="I25" s="64" cm="1">
        <f t="array" ref="I25">SUMPRODUCT(Asset_Refurbishment_Yr4_2*Long_Term_Monetised_Risk_2)</f>
        <v>0</v>
      </c>
      <c r="J25" s="64" cm="1">
        <f t="array" ref="J25">SUMPRODUCT(Reinforcement_Yr4_2*Long_Term_Monetised_Risk_2)</f>
        <v>0</v>
      </c>
      <c r="K25" s="64" cm="1">
        <f t="array" ref="K25">SUMPRODUCT(Faults_Yr4_2*Long_Term_Monetised_Risk_2)</f>
        <v>0</v>
      </c>
      <c r="L25" s="64" cm="1">
        <f t="array" ref="L25">SUMPRODUCT(HVP_Asset_Replacement_Refurbishment_Yr4_2*Long_Term_Monetised_Risk_2)</f>
        <v>0</v>
      </c>
      <c r="M25" s="64" cm="1">
        <f t="array" ref="M25">SUMPRODUCT(HVP_Other_Yr4_2*Long_Term_Monetised_Risk_2)</f>
        <v>0</v>
      </c>
      <c r="N25" s="64" cm="1">
        <f t="array" ref="N25">SUMPRODUCT(All_Other_Yr4_2*Long_Term_Monetised_Risk_2)</f>
        <v>0</v>
      </c>
      <c r="O25" s="65" cm="1">
        <f t="array" ref="O25">SUMPRODUCT(End_Of_Year_Yr4_2*Long_Term_Monetised_Risk_2)</f>
        <v>0</v>
      </c>
      <c r="Q25" s="110"/>
      <c r="R25" s="111"/>
      <c r="S25" s="119"/>
      <c r="T25" s="114" cm="1">
        <f t="array" ref="T25">SUMPRODUCT(Asset_Replacement_2028_Yr4_2*Long_Term_Monetised_Risk_2)</f>
        <v>0</v>
      </c>
      <c r="U25" s="64" cm="1">
        <f t="array" ref="U25">SUMPRODUCT(Asset_Refurbishment_2028_Yr4_2*Long_Term_Monetised_Risk_2)</f>
        <v>0</v>
      </c>
      <c r="V25" s="65" cm="1">
        <f t="array" ref="V25">SUMPRODUCT(HVP_2028_Yr4_2*Long_Term_Monetised_Risk_2)</f>
        <v>0</v>
      </c>
    </row>
    <row r="26" spans="1:22">
      <c r="B26" s="93" t="s">
        <v>63</v>
      </c>
      <c r="C26" s="91">
        <v>2028</v>
      </c>
      <c r="D26" s="64" cm="1">
        <f t="array" ref="D26">SUMPRODUCT(Start_of_Year_Yr5_2*Long_Term_Monetised_Risk_2)</f>
        <v>0</v>
      </c>
      <c r="E26" s="64" cm="1">
        <f t="array" ref="E26">SUMPRODUCT(Data_Cleansing_Yr5_2*Long_Term_Monetised_Risk_2)</f>
        <v>0</v>
      </c>
      <c r="F26" s="64" cm="1">
        <f t="array" ref="F26">SUMPRODUCT(Deterioration_total_Yr5_2*Long_Term_Monetised_Risk_2)</f>
        <v>0</v>
      </c>
      <c r="G26" s="64" cm="1">
        <f t="array" ref="G26">SUMPRODUCT(Other_Risk_Movements_Yr5_2*Long_Term_Monetised_Risk_2)</f>
        <v>0</v>
      </c>
      <c r="H26" s="64" cm="1">
        <f t="array" ref="H26">SUMPRODUCT(Asset_Replacement_Yr5_2*Long_Term_Monetised_Risk_2)</f>
        <v>0</v>
      </c>
      <c r="I26" s="64" cm="1">
        <f t="array" ref="I26">SUMPRODUCT(Asset_Refurbishment_Yr5_2*Long_Term_Monetised_Risk_2)</f>
        <v>0</v>
      </c>
      <c r="J26" s="64" cm="1">
        <f t="array" ref="J26">SUMPRODUCT(Reinforcement_Yr5_2*Long_Term_Monetised_Risk_2)</f>
        <v>0</v>
      </c>
      <c r="K26" s="64" cm="1">
        <f t="array" ref="K26">SUMPRODUCT(Faults_Yr5_2*Long_Term_Monetised_Risk_2)</f>
        <v>0</v>
      </c>
      <c r="L26" s="64" cm="1">
        <f t="array" ref="L26">SUMPRODUCT(HVP_Asset_Replacement_Refurbishment_Yr5_2*Long_Term_Monetised_Risk_2)</f>
        <v>0</v>
      </c>
      <c r="M26" s="64" cm="1">
        <f t="array" ref="M26">SUMPRODUCT(HVP_Other_Yr5_2*Long_Term_Monetised_Risk_2)</f>
        <v>0</v>
      </c>
      <c r="N26" s="64" cm="1">
        <f t="array" ref="N26">SUMPRODUCT(All_Other_Yr5_2*Long_Term_Monetised_Risk_2)</f>
        <v>0</v>
      </c>
      <c r="O26" s="65" cm="1">
        <f t="array" ref="O26">SUMPRODUCT(End_Of_Year_Yr5_2*Long_Term_Monetised_Risk_2)</f>
        <v>0</v>
      </c>
      <c r="Q26" s="110"/>
      <c r="R26" s="111"/>
      <c r="S26" s="119"/>
      <c r="T26" s="114" cm="1">
        <f t="array" ref="T26">SUMPRODUCT(Asset_Replacement_2028_Yr5_2*Long_Term_Monetised_Risk_2)</f>
        <v>0</v>
      </c>
      <c r="U26" s="64" cm="1">
        <f t="array" ref="U26">SUMPRODUCT(Asset_Refurbishment_2028_Yr5_2*Long_Term_Monetised_Risk_2)</f>
        <v>0</v>
      </c>
      <c r="V26" s="65" cm="1">
        <f t="array" ref="V26">SUMPRODUCT(HVP_2028_Yr5_2*Long_Term_Monetised_Risk_2)</f>
        <v>0</v>
      </c>
    </row>
    <row r="27" spans="1:22" ht="14" thickBot="1">
      <c r="B27" s="103" t="s">
        <v>63</v>
      </c>
      <c r="C27" s="104" t="s">
        <v>131</v>
      </c>
      <c r="D27" s="105"/>
      <c r="E27" s="106">
        <f t="shared" ref="E27:O27" si="12">SUM(E22:E26)</f>
        <v>0</v>
      </c>
      <c r="F27" s="106">
        <f t="shared" si="12"/>
        <v>0</v>
      </c>
      <c r="G27" s="106">
        <f t="shared" si="12"/>
        <v>0</v>
      </c>
      <c r="H27" s="106">
        <f t="shared" si="12"/>
        <v>0</v>
      </c>
      <c r="I27" s="106">
        <f t="shared" si="12"/>
        <v>0</v>
      </c>
      <c r="J27" s="106">
        <f t="shared" si="12"/>
        <v>0</v>
      </c>
      <c r="K27" s="106">
        <f t="shared" si="12"/>
        <v>0</v>
      </c>
      <c r="L27" s="106">
        <f t="shared" si="12"/>
        <v>0</v>
      </c>
      <c r="M27" s="106">
        <f t="shared" si="12"/>
        <v>0</v>
      </c>
      <c r="N27" s="106">
        <f t="shared" si="12"/>
        <v>0</v>
      </c>
      <c r="O27" s="537">
        <f t="shared" si="12"/>
        <v>0</v>
      </c>
      <c r="Q27" s="107" t="str">
        <f ca="1">VLOOKUP($B27,'NARM4 - ED2 NARW Risk Movements'!$B$7:$G$67,4,FALSE)</f>
        <v/>
      </c>
      <c r="R27" s="109" t="str">
        <f ca="1">VLOOKUP($B27,'NARM4 - ED2 NARW Risk Movements'!$B$7:$G$67,5,FALSE)</f>
        <v/>
      </c>
      <c r="S27" s="121" t="str">
        <f ca="1">VLOOKUP($B27,'NARM4 - ED2 NARW Risk Movements'!$B$7:$G$67,6,FALSE)</f>
        <v/>
      </c>
      <c r="T27" s="117">
        <f>SUM(T22:T26)</f>
        <v>0</v>
      </c>
      <c r="U27" s="106">
        <f t="shared" ref="U27" si="13">SUM(U22:U26)</f>
        <v>0</v>
      </c>
      <c r="V27" s="108">
        <f>SUM(V22:V26)</f>
        <v>0</v>
      </c>
    </row>
    <row r="28" spans="1:22" ht="14" thickTop="1">
      <c r="A28" s="143">
        <v>3</v>
      </c>
      <c r="B28" s="99" t="s">
        <v>64</v>
      </c>
      <c r="C28" s="100">
        <v>2024</v>
      </c>
      <c r="D28" s="101" cm="1">
        <f t="array" ref="D28">SUMPRODUCT(Start_of_Year_Yr1_3*Long_Term_Monetised_Risk_3)</f>
        <v>0</v>
      </c>
      <c r="E28" s="101" cm="1">
        <f t="array" ref="E28">SUMPRODUCT(Data_Cleansing_Yr1_3*Long_Term_Monetised_Risk_3)</f>
        <v>0</v>
      </c>
      <c r="F28" s="101" cm="1">
        <f t="array" ref="F28">SUMPRODUCT(Deterioration_total_Yr1_3*Long_Term_Monetised_Risk_3)</f>
        <v>0</v>
      </c>
      <c r="G28" s="101" cm="1">
        <f t="array" ref="G28">SUMPRODUCT(Other_Risk_Movements_Yr1_3*Long_Term_Monetised_Risk_3)</f>
        <v>0</v>
      </c>
      <c r="H28" s="101" cm="1">
        <f t="array" ref="H28">SUMPRODUCT(Asset_Replacement_Yr1_3*Long_Term_Monetised_Risk_3)</f>
        <v>0</v>
      </c>
      <c r="I28" s="101" cm="1">
        <f t="array" ref="I28">SUMPRODUCT(Asset_Refurbishment_Yr1_3*Long_Term_Monetised_Risk_3)</f>
        <v>0</v>
      </c>
      <c r="J28" s="101" cm="1">
        <f t="array" ref="J28">SUMPRODUCT(Reinforcement_Yr1_3*Long_Term_Monetised_Risk_3)</f>
        <v>0</v>
      </c>
      <c r="K28" s="101" cm="1">
        <f t="array" ref="K28">SUMPRODUCT(Faults_Yr1_3*Long_Term_Monetised_Risk_3)</f>
        <v>0</v>
      </c>
      <c r="L28" s="101" cm="1">
        <f t="array" ref="L28">SUMPRODUCT(HVP_Asset_Replacement_Refurbishment_Yr1_3*Long_Term_Monetised_Risk_3)</f>
        <v>0</v>
      </c>
      <c r="M28" s="101" cm="1">
        <f t="array" ref="M28">SUMPRODUCT(HVP_Other_Yr1_3*Long_Term_Monetised_Risk_3)</f>
        <v>0</v>
      </c>
      <c r="N28" s="101" cm="1">
        <f t="array" ref="N28">SUMPRODUCT(All_Other_Yr1_3*Long_Term_Monetised_Risk_3)</f>
        <v>0</v>
      </c>
      <c r="O28" s="102" cm="1">
        <f t="array" ref="O28">SUMPRODUCT(End_Of_Year_Yr1_3*Long_Term_Monetised_Risk_3)</f>
        <v>0</v>
      </c>
      <c r="Q28" s="112"/>
      <c r="R28" s="113"/>
      <c r="S28" s="120"/>
      <c r="T28" s="115" cm="1">
        <f t="array" ref="T28">SUMPRODUCT(Asset_Replacement_2028_Yr1_3*Long_Term_Monetised_Risk_3)</f>
        <v>0</v>
      </c>
      <c r="U28" s="101" cm="1">
        <f t="array" ref="U28">SUMPRODUCT(Asset_Refurbishment_2028_Yr1_3*Long_Term_Monetised_Risk_3)</f>
        <v>0</v>
      </c>
      <c r="V28" s="102" cm="1">
        <f t="array" ref="V28">SUMPRODUCT(HVP_2028_Yr1_3*Long_Term_Monetised_Risk_3)</f>
        <v>0</v>
      </c>
    </row>
    <row r="29" spans="1:22">
      <c r="B29" s="93" t="s">
        <v>64</v>
      </c>
      <c r="C29" s="91">
        <v>2025</v>
      </c>
      <c r="D29" s="64" cm="1">
        <f t="array" ref="D29">SUMPRODUCT(Start_of_Year_Yr2_3*Long_Term_Monetised_Risk_3)</f>
        <v>0</v>
      </c>
      <c r="E29" s="64" cm="1">
        <f t="array" ref="E29">SUMPRODUCT(Data_Cleansing_Yr2_3*Long_Term_Monetised_Risk_3)</f>
        <v>0</v>
      </c>
      <c r="F29" s="64" cm="1">
        <f t="array" ref="F29">SUMPRODUCT(Deterioration_total_Yr2_3*Long_Term_Monetised_Risk_3)</f>
        <v>0</v>
      </c>
      <c r="G29" s="64" cm="1">
        <f t="array" ref="G29">SUMPRODUCT(Other_Risk_Movements_Yr2_3*Long_Term_Monetised_Risk_3)</f>
        <v>0</v>
      </c>
      <c r="H29" s="64" cm="1">
        <f t="array" ref="H29">SUMPRODUCT(Asset_Replacement_Yr2_3*Long_Term_Monetised_Risk_3)</f>
        <v>0</v>
      </c>
      <c r="I29" s="64" cm="1">
        <f t="array" ref="I29">SUMPRODUCT(Asset_Refurbishment_Yr2_3*Long_Term_Monetised_Risk_3)</f>
        <v>0</v>
      </c>
      <c r="J29" s="64" cm="1">
        <f t="array" ref="J29">SUMPRODUCT(Reinforcement_Yr2_3*Long_Term_Monetised_Risk_3)</f>
        <v>0</v>
      </c>
      <c r="K29" s="64" cm="1">
        <f t="array" ref="K29">SUMPRODUCT(Faults_Yr2_3*Long_Term_Monetised_Risk_3)</f>
        <v>0</v>
      </c>
      <c r="L29" s="64" cm="1">
        <f t="array" ref="L29">SUMPRODUCT(HVP_Asset_Replacement_Refurbishment_Yr2_3*Long_Term_Monetised_Risk_3)</f>
        <v>0</v>
      </c>
      <c r="M29" s="64" cm="1">
        <f t="array" ref="M29">SUMPRODUCT(HVP_Other_Yr2_3*Long_Term_Monetised_Risk_3)</f>
        <v>0</v>
      </c>
      <c r="N29" s="64" cm="1">
        <f t="array" ref="N29">SUMPRODUCT(All_Other_Yr2_3*Long_Term_Monetised_Risk_3)</f>
        <v>0</v>
      </c>
      <c r="O29" s="65" cm="1">
        <f t="array" ref="O29">SUMPRODUCT(End_Of_Year_Yr2_3*Long_Term_Monetised_Risk_3)</f>
        <v>0</v>
      </c>
      <c r="Q29" s="110"/>
      <c r="R29" s="111"/>
      <c r="S29" s="119"/>
      <c r="T29" s="114" cm="1">
        <f t="array" ref="T29">SUMPRODUCT(Asset_Replacement_2028_Yr2_3*Long_Term_Monetised_Risk_3)</f>
        <v>0</v>
      </c>
      <c r="U29" s="64" cm="1">
        <f t="array" ref="U29">SUMPRODUCT(Asset_Refurbishment_2028_Yr2_3*Long_Term_Monetised_Risk_3)</f>
        <v>0</v>
      </c>
      <c r="V29" s="65" cm="1">
        <f t="array" ref="V29">SUMPRODUCT(HVP_2028_Yr2_3*Long_Term_Monetised_Risk_3)</f>
        <v>0</v>
      </c>
    </row>
    <row r="30" spans="1:22">
      <c r="B30" s="93" t="s">
        <v>64</v>
      </c>
      <c r="C30" s="91">
        <v>2026</v>
      </c>
      <c r="D30" s="64" cm="1">
        <f t="array" ref="D30">SUMPRODUCT(Start_of_Year_Yr3_3*Long_Term_Monetised_Risk_3)</f>
        <v>0</v>
      </c>
      <c r="E30" s="64" cm="1">
        <f t="array" ref="E30">SUMPRODUCT(Data_Cleansing_Yr3_3*Long_Term_Monetised_Risk_3)</f>
        <v>0</v>
      </c>
      <c r="F30" s="64" cm="1">
        <f t="array" ref="F30">SUMPRODUCT(Deterioration_total_Yr3_3*Long_Term_Monetised_Risk_3)</f>
        <v>0</v>
      </c>
      <c r="G30" s="64" cm="1">
        <f t="array" ref="G30">SUMPRODUCT(Other_Risk_Movements_Yr3_3*Long_Term_Monetised_Risk_3)</f>
        <v>0</v>
      </c>
      <c r="H30" s="64" cm="1">
        <f t="array" ref="H30">SUMPRODUCT(Asset_Replacement_Yr3_3*Long_Term_Monetised_Risk_3)</f>
        <v>0</v>
      </c>
      <c r="I30" s="64" cm="1">
        <f t="array" ref="I30">SUMPRODUCT(Asset_Refurbishment_Yr3_3*Long_Term_Monetised_Risk_3)</f>
        <v>0</v>
      </c>
      <c r="J30" s="64" cm="1">
        <f t="array" ref="J30">SUMPRODUCT(Reinforcement_Yr3_3*Long_Term_Monetised_Risk_3)</f>
        <v>0</v>
      </c>
      <c r="K30" s="64" cm="1">
        <f t="array" ref="K30">SUMPRODUCT(Faults_Yr3_3*Long_Term_Monetised_Risk_3)</f>
        <v>0</v>
      </c>
      <c r="L30" s="64" cm="1">
        <f t="array" ref="L30">SUMPRODUCT(HVP_Asset_Replacement_Refurbishment_Yr3_3*Long_Term_Monetised_Risk_3)</f>
        <v>0</v>
      </c>
      <c r="M30" s="64" cm="1">
        <f t="array" ref="M30">SUMPRODUCT(HVP_Other_Yr3_3*Long_Term_Monetised_Risk_3)</f>
        <v>0</v>
      </c>
      <c r="N30" s="64" cm="1">
        <f t="array" ref="N30">SUMPRODUCT(All_Other_Yr3_3*Long_Term_Monetised_Risk_3)</f>
        <v>0</v>
      </c>
      <c r="O30" s="65" cm="1">
        <f t="array" ref="O30">SUMPRODUCT(End_Of_Year_Yr3_3*Long_Term_Monetised_Risk_3)</f>
        <v>0</v>
      </c>
      <c r="Q30" s="110"/>
      <c r="R30" s="111"/>
      <c r="S30" s="119"/>
      <c r="T30" s="114" cm="1">
        <f t="array" ref="T30">SUMPRODUCT(Asset_Replacement_2028_Yr3_3*Long_Term_Monetised_Risk_3)</f>
        <v>0</v>
      </c>
      <c r="U30" s="64" cm="1">
        <f t="array" ref="U30">SUMPRODUCT(Asset_Refurbishment_2028_Yr3_3*Long_Term_Monetised_Risk_3)</f>
        <v>0</v>
      </c>
      <c r="V30" s="65" cm="1">
        <f t="array" ref="V30">SUMPRODUCT(HVP_2028_Yr3_3*Long_Term_Monetised_Risk_3)</f>
        <v>0</v>
      </c>
    </row>
    <row r="31" spans="1:22">
      <c r="B31" s="93" t="s">
        <v>64</v>
      </c>
      <c r="C31" s="91">
        <v>2027</v>
      </c>
      <c r="D31" s="64" cm="1">
        <f t="array" ref="D31">SUMPRODUCT(Start_of_Year_Yr4_3*Long_Term_Monetised_Risk_3)</f>
        <v>0</v>
      </c>
      <c r="E31" s="64" cm="1">
        <f t="array" ref="E31">SUMPRODUCT(Data_Cleansing_Yr4_3*Long_Term_Monetised_Risk_3)</f>
        <v>0</v>
      </c>
      <c r="F31" s="64" cm="1">
        <f t="array" ref="F31">SUMPRODUCT(Deterioration_total_Yr4_3*Long_Term_Monetised_Risk_3)</f>
        <v>0</v>
      </c>
      <c r="G31" s="64" cm="1">
        <f t="array" ref="G31">SUMPRODUCT(Other_Risk_Movements_Yr4_3*Long_Term_Monetised_Risk_3)</f>
        <v>0</v>
      </c>
      <c r="H31" s="64" cm="1">
        <f t="array" ref="H31">SUMPRODUCT(Asset_Replacement_Yr4_3*Long_Term_Monetised_Risk_3)</f>
        <v>0</v>
      </c>
      <c r="I31" s="64" cm="1">
        <f t="array" ref="I31">SUMPRODUCT(Asset_Refurbishment_Yr4_3*Long_Term_Monetised_Risk_3)</f>
        <v>0</v>
      </c>
      <c r="J31" s="64" cm="1">
        <f t="array" ref="J31">SUMPRODUCT(Reinforcement_Yr4_3*Long_Term_Monetised_Risk_3)</f>
        <v>0</v>
      </c>
      <c r="K31" s="64" cm="1">
        <f t="array" ref="K31">SUMPRODUCT(Faults_Yr4_3*Long_Term_Monetised_Risk_3)</f>
        <v>0</v>
      </c>
      <c r="L31" s="64" cm="1">
        <f t="array" ref="L31">SUMPRODUCT(HVP_Asset_Replacement_Refurbishment_Yr4_3*Long_Term_Monetised_Risk_3)</f>
        <v>0</v>
      </c>
      <c r="M31" s="64" cm="1">
        <f t="array" ref="M31">SUMPRODUCT(HVP_Other_Yr4_3*Long_Term_Monetised_Risk_3)</f>
        <v>0</v>
      </c>
      <c r="N31" s="64" cm="1">
        <f t="array" ref="N31">SUMPRODUCT(All_Other_Yr4_3*Long_Term_Monetised_Risk_3)</f>
        <v>0</v>
      </c>
      <c r="O31" s="65" cm="1">
        <f t="array" ref="O31">SUMPRODUCT(End_Of_Year_Yr4_3*Long_Term_Monetised_Risk_3)</f>
        <v>0</v>
      </c>
      <c r="Q31" s="110"/>
      <c r="R31" s="111"/>
      <c r="S31" s="119"/>
      <c r="T31" s="114" cm="1">
        <f t="array" ref="T31">SUMPRODUCT(Asset_Replacement_2028_Yr4_3*Long_Term_Monetised_Risk_3)</f>
        <v>0</v>
      </c>
      <c r="U31" s="64" cm="1">
        <f t="array" ref="U31">SUMPRODUCT(Asset_Refurbishment_2028_Yr4_3*Long_Term_Monetised_Risk_3)</f>
        <v>0</v>
      </c>
      <c r="V31" s="65" cm="1">
        <f t="array" ref="V31">SUMPRODUCT(HVP_2028_Yr4_3*Long_Term_Monetised_Risk_3)</f>
        <v>0</v>
      </c>
    </row>
    <row r="32" spans="1:22">
      <c r="B32" s="93" t="s">
        <v>64</v>
      </c>
      <c r="C32" s="91">
        <v>2028</v>
      </c>
      <c r="D32" s="64" cm="1">
        <f t="array" ref="D32">SUMPRODUCT(Start_of_Year_Yr5_3*Long_Term_Monetised_Risk_3)</f>
        <v>0</v>
      </c>
      <c r="E32" s="64" cm="1">
        <f t="array" ref="E32">SUMPRODUCT(Data_Cleansing_Yr5_3*Long_Term_Monetised_Risk_3)</f>
        <v>0</v>
      </c>
      <c r="F32" s="64" cm="1">
        <f t="array" ref="F32">SUMPRODUCT(Deterioration_total_Yr5_3*Long_Term_Monetised_Risk_3)</f>
        <v>0</v>
      </c>
      <c r="G32" s="64" cm="1">
        <f t="array" ref="G32">SUMPRODUCT(Other_Risk_Movements_Yr5_3*Long_Term_Monetised_Risk_3)</f>
        <v>0</v>
      </c>
      <c r="H32" s="64" cm="1">
        <f t="array" ref="H32">SUMPRODUCT(Asset_Replacement_Yr5_3*Long_Term_Monetised_Risk_3)</f>
        <v>0</v>
      </c>
      <c r="I32" s="64" cm="1">
        <f t="array" ref="I32">SUMPRODUCT(Asset_Refurbishment_Yr5_3*Long_Term_Monetised_Risk_3)</f>
        <v>0</v>
      </c>
      <c r="J32" s="64" cm="1">
        <f t="array" ref="J32">SUMPRODUCT(Reinforcement_Yr5_3*Long_Term_Monetised_Risk_3)</f>
        <v>0</v>
      </c>
      <c r="K32" s="64" cm="1">
        <f t="array" ref="K32">SUMPRODUCT(Faults_Yr5_3*Long_Term_Monetised_Risk_3)</f>
        <v>0</v>
      </c>
      <c r="L32" s="64" cm="1">
        <f t="array" ref="L32">SUMPRODUCT(HVP_Asset_Replacement_Refurbishment_Yr5_3*Long_Term_Monetised_Risk_3)</f>
        <v>0</v>
      </c>
      <c r="M32" s="64" cm="1">
        <f t="array" ref="M32">SUMPRODUCT(HVP_Other_Yr5_3*Long_Term_Monetised_Risk_3)</f>
        <v>0</v>
      </c>
      <c r="N32" s="64" cm="1">
        <f t="array" ref="N32">SUMPRODUCT(All_Other_Yr5_3*Long_Term_Monetised_Risk_3)</f>
        <v>0</v>
      </c>
      <c r="O32" s="65" cm="1">
        <f t="array" ref="O32">SUMPRODUCT(End_Of_Year_Yr5_3*Long_Term_Monetised_Risk_3)</f>
        <v>0</v>
      </c>
      <c r="Q32" s="110"/>
      <c r="R32" s="111"/>
      <c r="S32" s="119"/>
      <c r="T32" s="114" cm="1">
        <f t="array" ref="T32">SUMPRODUCT(Asset_Replacement_2028_Yr5_3*Long_Term_Monetised_Risk_3)</f>
        <v>0</v>
      </c>
      <c r="U32" s="64" cm="1">
        <f t="array" ref="U32">SUMPRODUCT(Asset_Refurbishment_2028_Yr5_3*Long_Term_Monetised_Risk_3)</f>
        <v>0</v>
      </c>
      <c r="V32" s="65" cm="1">
        <f t="array" ref="V32">SUMPRODUCT(HVP_2028_Yr5_3*Long_Term_Monetised_Risk_3)</f>
        <v>0</v>
      </c>
    </row>
    <row r="33" spans="1:22" ht="14" thickBot="1">
      <c r="B33" s="103" t="s">
        <v>64</v>
      </c>
      <c r="C33" s="104" t="s">
        <v>131</v>
      </c>
      <c r="D33" s="105"/>
      <c r="E33" s="106">
        <f t="shared" ref="E33:O33" si="14">SUM(E28:E32)</f>
        <v>0</v>
      </c>
      <c r="F33" s="106">
        <f t="shared" si="14"/>
        <v>0</v>
      </c>
      <c r="G33" s="106">
        <f t="shared" si="14"/>
        <v>0</v>
      </c>
      <c r="H33" s="106">
        <f t="shared" si="14"/>
        <v>0</v>
      </c>
      <c r="I33" s="106">
        <f t="shared" si="14"/>
        <v>0</v>
      </c>
      <c r="J33" s="106">
        <f t="shared" si="14"/>
        <v>0</v>
      </c>
      <c r="K33" s="106">
        <f t="shared" si="14"/>
        <v>0</v>
      </c>
      <c r="L33" s="106">
        <f t="shared" si="14"/>
        <v>0</v>
      </c>
      <c r="M33" s="106">
        <f t="shared" si="14"/>
        <v>0</v>
      </c>
      <c r="N33" s="106">
        <f t="shared" si="14"/>
        <v>0</v>
      </c>
      <c r="O33" s="537">
        <f t="shared" si="14"/>
        <v>0</v>
      </c>
      <c r="Q33" s="107" t="str">
        <f ca="1">VLOOKUP($B33,'NARM4 - ED2 NARW Risk Movements'!$B$7:$G$67,4,FALSE)</f>
        <v/>
      </c>
      <c r="R33" s="109" t="str">
        <f ca="1">VLOOKUP($B33,'NARM4 - ED2 NARW Risk Movements'!$B$7:$G$67,5,FALSE)</f>
        <v/>
      </c>
      <c r="S33" s="121" t="str">
        <f ca="1">VLOOKUP($B33,'NARM4 - ED2 NARW Risk Movements'!$B$7:$G$67,6,FALSE)</f>
        <v/>
      </c>
      <c r="T33" s="117">
        <f>SUM(T28:T32)</f>
        <v>0</v>
      </c>
      <c r="U33" s="106">
        <f t="shared" ref="U33" si="15">SUM(U28:U32)</f>
        <v>0</v>
      </c>
      <c r="V33" s="108">
        <f>SUM(V28:V32)</f>
        <v>0</v>
      </c>
    </row>
    <row r="34" spans="1:22" ht="14" thickTop="1">
      <c r="A34" s="143">
        <v>4</v>
      </c>
      <c r="B34" s="99" t="s">
        <v>65</v>
      </c>
      <c r="C34" s="100">
        <v>2024</v>
      </c>
      <c r="D34" s="101" cm="1">
        <f t="array" ref="D34">SUMPRODUCT(Start_of_Year_Yr1_4*Long_Term_Monetised_Risk_4)</f>
        <v>0</v>
      </c>
      <c r="E34" s="101" cm="1">
        <f t="array" ref="E34">SUMPRODUCT(Data_Cleansing_Yr1_4*Long_Term_Monetised_Risk_4)</f>
        <v>0</v>
      </c>
      <c r="F34" s="101" cm="1">
        <f t="array" ref="F34">SUMPRODUCT(Deterioration_total_Yr1_4*Long_Term_Monetised_Risk_4)</f>
        <v>0</v>
      </c>
      <c r="G34" s="101" cm="1">
        <f t="array" ref="G34">SUMPRODUCT(Other_Risk_Movements_Yr1_4*Long_Term_Monetised_Risk_4)</f>
        <v>0</v>
      </c>
      <c r="H34" s="101" cm="1">
        <f t="array" ref="H34">SUMPRODUCT(Asset_Replacement_Yr1_4*Long_Term_Monetised_Risk_4)</f>
        <v>0</v>
      </c>
      <c r="I34" s="101" cm="1">
        <f t="array" ref="I34">SUMPRODUCT(Asset_Refurbishment_Yr1_4*Long_Term_Monetised_Risk_4)</f>
        <v>0</v>
      </c>
      <c r="J34" s="101" cm="1">
        <f t="array" ref="J34">SUMPRODUCT(Reinforcement_Yr1_4*Long_Term_Monetised_Risk_4)</f>
        <v>0</v>
      </c>
      <c r="K34" s="101" cm="1">
        <f t="array" ref="K34">SUMPRODUCT(Faults_Yr1_4*Long_Term_Monetised_Risk_4)</f>
        <v>0</v>
      </c>
      <c r="L34" s="101" cm="1">
        <f t="array" ref="L34">SUMPRODUCT(HVP_Asset_Replacement_Refurbishment_Yr1_4*Long_Term_Monetised_Risk_4)</f>
        <v>0</v>
      </c>
      <c r="M34" s="101" cm="1">
        <f t="array" ref="M34">SUMPRODUCT(HVP_Other_Yr1_4*Long_Term_Monetised_Risk_4)</f>
        <v>0</v>
      </c>
      <c r="N34" s="101" cm="1">
        <f t="array" ref="N34">SUMPRODUCT(All_Other_Yr1_4*Long_Term_Monetised_Risk_4)</f>
        <v>0</v>
      </c>
      <c r="O34" s="102" cm="1">
        <f t="array" ref="O34">SUMPRODUCT(End_Of_Year_Yr1_4*Long_Term_Monetised_Risk_4)</f>
        <v>0</v>
      </c>
      <c r="Q34" s="112"/>
      <c r="R34" s="113"/>
      <c r="S34" s="120"/>
      <c r="T34" s="115" cm="1">
        <f t="array" ref="T34">SUMPRODUCT(Asset_Replacement_2028_Yr1_4*Long_Term_Monetised_Risk_4)</f>
        <v>0</v>
      </c>
      <c r="U34" s="101" cm="1">
        <f t="array" ref="U34">SUMPRODUCT(Asset_Refurbishment_2028_Yr1_4*Long_Term_Monetised_Risk_4)</f>
        <v>0</v>
      </c>
      <c r="V34" s="102" cm="1">
        <f t="array" ref="V34">SUMPRODUCT(HVP_2028_Yr1_4*Long_Term_Monetised_Risk_4)</f>
        <v>0</v>
      </c>
    </row>
    <row r="35" spans="1:22">
      <c r="B35" s="93" t="s">
        <v>65</v>
      </c>
      <c r="C35" s="91">
        <v>2025</v>
      </c>
      <c r="D35" s="64" cm="1">
        <f t="array" ref="D35">SUMPRODUCT(Start_of_Year_Yr2_4*Long_Term_Monetised_Risk_4)</f>
        <v>0</v>
      </c>
      <c r="E35" s="64" cm="1">
        <f t="array" ref="E35">SUMPRODUCT(Data_Cleansing_Yr2_4*Long_Term_Monetised_Risk_4)</f>
        <v>0</v>
      </c>
      <c r="F35" s="64" cm="1">
        <f t="array" ref="F35">SUMPRODUCT(Deterioration_total_Yr2_4*Long_Term_Monetised_Risk_4)</f>
        <v>0</v>
      </c>
      <c r="G35" s="64" cm="1">
        <f t="array" ref="G35">SUMPRODUCT(Other_Risk_Movements_Yr2_4*Long_Term_Monetised_Risk_4)</f>
        <v>0</v>
      </c>
      <c r="H35" s="64" cm="1">
        <f t="array" ref="H35">SUMPRODUCT(Asset_Replacement_Yr2_4*Long_Term_Monetised_Risk_4)</f>
        <v>0</v>
      </c>
      <c r="I35" s="64" cm="1">
        <f t="array" ref="I35">SUMPRODUCT(Asset_Refurbishment_Yr2_4*Long_Term_Monetised_Risk_4)</f>
        <v>0</v>
      </c>
      <c r="J35" s="64" cm="1">
        <f t="array" ref="J35">SUMPRODUCT(Reinforcement_Yr2_4*Long_Term_Monetised_Risk_4)</f>
        <v>0</v>
      </c>
      <c r="K35" s="64" cm="1">
        <f t="array" ref="K35">SUMPRODUCT(Faults_Yr2_4*Long_Term_Monetised_Risk_4)</f>
        <v>0</v>
      </c>
      <c r="L35" s="64" cm="1">
        <f t="array" ref="L35">SUMPRODUCT(HVP_Asset_Replacement_Refurbishment_Yr2_4*Long_Term_Monetised_Risk_4)</f>
        <v>0</v>
      </c>
      <c r="M35" s="64" cm="1">
        <f t="array" ref="M35">SUMPRODUCT(HVP_Other_Yr2_4*Long_Term_Monetised_Risk_4)</f>
        <v>0</v>
      </c>
      <c r="N35" s="64" cm="1">
        <f t="array" ref="N35">SUMPRODUCT(All_Other_Yr2_4*Long_Term_Monetised_Risk_4)</f>
        <v>0</v>
      </c>
      <c r="O35" s="65" cm="1">
        <f t="array" ref="O35">SUMPRODUCT(End_Of_Year_Yr2_4*Long_Term_Monetised_Risk_4)</f>
        <v>0</v>
      </c>
      <c r="Q35" s="110"/>
      <c r="R35" s="111"/>
      <c r="S35" s="119"/>
      <c r="T35" s="114" cm="1">
        <f t="array" ref="T35">SUMPRODUCT(Asset_Replacement_2028_Yr2_4*Long_Term_Monetised_Risk_4)</f>
        <v>0</v>
      </c>
      <c r="U35" s="64" cm="1">
        <f t="array" ref="U35">SUMPRODUCT(Asset_Refurbishment_2028_Yr2_4*Long_Term_Monetised_Risk_4)</f>
        <v>0</v>
      </c>
      <c r="V35" s="65" cm="1">
        <f t="array" ref="V35">SUMPRODUCT(HVP_2028_Yr2_4*Long_Term_Monetised_Risk_4)</f>
        <v>0</v>
      </c>
    </row>
    <row r="36" spans="1:22">
      <c r="B36" s="93" t="s">
        <v>65</v>
      </c>
      <c r="C36" s="91">
        <v>2026</v>
      </c>
      <c r="D36" s="64" cm="1">
        <f t="array" ref="D36">SUMPRODUCT(Start_of_Year_Yr3_4*Long_Term_Monetised_Risk_4)</f>
        <v>0</v>
      </c>
      <c r="E36" s="64" cm="1">
        <f t="array" ref="E36">SUMPRODUCT(Data_Cleansing_Yr3_4*Long_Term_Monetised_Risk_4)</f>
        <v>0</v>
      </c>
      <c r="F36" s="64" cm="1">
        <f t="array" ref="F36">SUMPRODUCT(Deterioration_total_Yr3_4*Long_Term_Monetised_Risk_4)</f>
        <v>0</v>
      </c>
      <c r="G36" s="64" cm="1">
        <f t="array" ref="G36">SUMPRODUCT(Other_Risk_Movements_Yr3_4*Long_Term_Monetised_Risk_4)</f>
        <v>0</v>
      </c>
      <c r="H36" s="64" cm="1">
        <f t="array" ref="H36">SUMPRODUCT(Asset_Replacement_Yr3_4*Long_Term_Monetised_Risk_4)</f>
        <v>0</v>
      </c>
      <c r="I36" s="64" cm="1">
        <f t="array" ref="I36">SUMPRODUCT(Asset_Refurbishment_Yr3_4*Long_Term_Monetised_Risk_4)</f>
        <v>0</v>
      </c>
      <c r="J36" s="64" cm="1">
        <f t="array" ref="J36">SUMPRODUCT(Reinforcement_Yr3_4*Long_Term_Monetised_Risk_4)</f>
        <v>0</v>
      </c>
      <c r="K36" s="64" cm="1">
        <f t="array" ref="K36">SUMPRODUCT(Faults_Yr3_4*Long_Term_Monetised_Risk_4)</f>
        <v>0</v>
      </c>
      <c r="L36" s="64" cm="1">
        <f t="array" ref="L36">SUMPRODUCT(HVP_Asset_Replacement_Refurbishment_Yr3_4*Long_Term_Monetised_Risk_4)</f>
        <v>0</v>
      </c>
      <c r="M36" s="64" cm="1">
        <f t="array" ref="M36">SUMPRODUCT(HVP_Other_Yr3_4*Long_Term_Monetised_Risk_4)</f>
        <v>0</v>
      </c>
      <c r="N36" s="64" cm="1">
        <f t="array" ref="N36">SUMPRODUCT(All_Other_Yr3_4*Long_Term_Monetised_Risk_4)</f>
        <v>0</v>
      </c>
      <c r="O36" s="65" cm="1">
        <f t="array" ref="O36">SUMPRODUCT(End_Of_Year_Yr3_4*Long_Term_Monetised_Risk_4)</f>
        <v>0</v>
      </c>
      <c r="Q36" s="110"/>
      <c r="R36" s="111"/>
      <c r="S36" s="119"/>
      <c r="T36" s="114" cm="1">
        <f t="array" ref="T36">SUMPRODUCT(Asset_Replacement_2028_Yr3_4*Long_Term_Monetised_Risk_4)</f>
        <v>0</v>
      </c>
      <c r="U36" s="64" cm="1">
        <f t="array" ref="U36">SUMPRODUCT(Asset_Refurbishment_2028_Yr3_4*Long_Term_Monetised_Risk_4)</f>
        <v>0</v>
      </c>
      <c r="V36" s="65" cm="1">
        <f t="array" ref="V36">SUMPRODUCT(HVP_2028_Yr3_4*Long_Term_Monetised_Risk_4)</f>
        <v>0</v>
      </c>
    </row>
    <row r="37" spans="1:22">
      <c r="B37" s="93" t="s">
        <v>65</v>
      </c>
      <c r="C37" s="91">
        <v>2027</v>
      </c>
      <c r="D37" s="64" cm="1">
        <f t="array" ref="D37">SUMPRODUCT(Start_of_Year_Yr4_4*Long_Term_Monetised_Risk_4)</f>
        <v>0</v>
      </c>
      <c r="E37" s="64" cm="1">
        <f t="array" ref="E37">SUMPRODUCT(Data_Cleansing_Yr4_4*Long_Term_Monetised_Risk_4)</f>
        <v>0</v>
      </c>
      <c r="F37" s="64" cm="1">
        <f t="array" ref="F37">SUMPRODUCT(Deterioration_total_Yr4_4*Long_Term_Monetised_Risk_4)</f>
        <v>0</v>
      </c>
      <c r="G37" s="64" cm="1">
        <f t="array" ref="G37">SUMPRODUCT(Other_Risk_Movements_Yr4_4*Long_Term_Monetised_Risk_4)</f>
        <v>0</v>
      </c>
      <c r="H37" s="64" cm="1">
        <f t="array" ref="H37">SUMPRODUCT(Asset_Replacement_Yr4_4*Long_Term_Monetised_Risk_4)</f>
        <v>0</v>
      </c>
      <c r="I37" s="64" cm="1">
        <f t="array" ref="I37">SUMPRODUCT(Asset_Refurbishment_Yr4_4*Long_Term_Monetised_Risk_4)</f>
        <v>0</v>
      </c>
      <c r="J37" s="64" cm="1">
        <f t="array" ref="J37">SUMPRODUCT(Reinforcement_Yr4_4*Long_Term_Monetised_Risk_4)</f>
        <v>0</v>
      </c>
      <c r="K37" s="64" cm="1">
        <f t="array" ref="K37">SUMPRODUCT(Faults_Yr4_4*Long_Term_Monetised_Risk_4)</f>
        <v>0</v>
      </c>
      <c r="L37" s="64" cm="1">
        <f t="array" ref="L37">SUMPRODUCT(HVP_Asset_Replacement_Refurbishment_Yr4_4*Long_Term_Monetised_Risk_4)</f>
        <v>0</v>
      </c>
      <c r="M37" s="64" cm="1">
        <f t="array" ref="M37">SUMPRODUCT(HVP_Other_Yr4_4*Long_Term_Monetised_Risk_4)</f>
        <v>0</v>
      </c>
      <c r="N37" s="64" cm="1">
        <f t="array" ref="N37">SUMPRODUCT(All_Other_Yr4_4*Long_Term_Monetised_Risk_4)</f>
        <v>0</v>
      </c>
      <c r="O37" s="65" cm="1">
        <f t="array" ref="O37">SUMPRODUCT(End_Of_Year_Yr4_4*Long_Term_Monetised_Risk_4)</f>
        <v>0</v>
      </c>
      <c r="Q37" s="110"/>
      <c r="R37" s="111"/>
      <c r="S37" s="119"/>
      <c r="T37" s="114" cm="1">
        <f t="array" ref="T37">SUMPRODUCT(Asset_Replacement_2028_Yr4_4*Long_Term_Monetised_Risk_4)</f>
        <v>0</v>
      </c>
      <c r="U37" s="64" cm="1">
        <f t="array" ref="U37">SUMPRODUCT(Asset_Refurbishment_2028_Yr4_4*Long_Term_Monetised_Risk_4)</f>
        <v>0</v>
      </c>
      <c r="V37" s="65" cm="1">
        <f t="array" ref="V37">SUMPRODUCT(HVP_2028_Yr4_4*Long_Term_Monetised_Risk_4)</f>
        <v>0</v>
      </c>
    </row>
    <row r="38" spans="1:22">
      <c r="B38" s="93" t="s">
        <v>65</v>
      </c>
      <c r="C38" s="91">
        <v>2028</v>
      </c>
      <c r="D38" s="64" cm="1">
        <f t="array" ref="D38">SUMPRODUCT(Start_of_Year_Yr5_4*Long_Term_Monetised_Risk_4)</f>
        <v>0</v>
      </c>
      <c r="E38" s="64" cm="1">
        <f t="array" ref="E38">SUMPRODUCT(Data_Cleansing_Yr5_4*Long_Term_Monetised_Risk_4)</f>
        <v>0</v>
      </c>
      <c r="F38" s="64" cm="1">
        <f t="array" ref="F38">SUMPRODUCT(Deterioration_total_Yr5_4*Long_Term_Monetised_Risk_4)</f>
        <v>0</v>
      </c>
      <c r="G38" s="64" cm="1">
        <f t="array" ref="G38">SUMPRODUCT(Other_Risk_Movements_Yr5_4*Long_Term_Monetised_Risk_4)</f>
        <v>0</v>
      </c>
      <c r="H38" s="64" cm="1">
        <f t="array" ref="H38">SUMPRODUCT(Asset_Replacement_Yr5_4*Long_Term_Monetised_Risk_4)</f>
        <v>0</v>
      </c>
      <c r="I38" s="64" cm="1">
        <f t="array" ref="I38">SUMPRODUCT(Asset_Refurbishment_Yr5_4*Long_Term_Monetised_Risk_4)</f>
        <v>0</v>
      </c>
      <c r="J38" s="64" cm="1">
        <f t="array" ref="J38">SUMPRODUCT(Reinforcement_Yr5_4*Long_Term_Monetised_Risk_4)</f>
        <v>0</v>
      </c>
      <c r="K38" s="64" cm="1">
        <f t="array" ref="K38">SUMPRODUCT(Faults_Yr5_4*Long_Term_Monetised_Risk_4)</f>
        <v>0</v>
      </c>
      <c r="L38" s="64" cm="1">
        <f t="array" ref="L38">SUMPRODUCT(HVP_Asset_Replacement_Refurbishment_Yr5_4*Long_Term_Monetised_Risk_4)</f>
        <v>0</v>
      </c>
      <c r="M38" s="64" cm="1">
        <f t="array" ref="M38">SUMPRODUCT(HVP_Other_Yr5_4*Long_Term_Monetised_Risk_4)</f>
        <v>0</v>
      </c>
      <c r="N38" s="64" cm="1">
        <f t="array" ref="N38">SUMPRODUCT(All_Other_Yr5_4*Long_Term_Monetised_Risk_4)</f>
        <v>0</v>
      </c>
      <c r="O38" s="65" cm="1">
        <f t="array" ref="O38">SUMPRODUCT(End_Of_Year_Yr5_4*Long_Term_Monetised_Risk_4)</f>
        <v>0</v>
      </c>
      <c r="Q38" s="110"/>
      <c r="R38" s="111"/>
      <c r="S38" s="119"/>
      <c r="T38" s="114" cm="1">
        <f t="array" ref="T38">SUMPRODUCT(Asset_Replacement_2028_Yr5_4*Long_Term_Monetised_Risk_4)</f>
        <v>0</v>
      </c>
      <c r="U38" s="64" cm="1">
        <f t="array" ref="U38">SUMPRODUCT(Asset_Refurbishment_2028_Yr5_4*Long_Term_Monetised_Risk_4)</f>
        <v>0</v>
      </c>
      <c r="V38" s="65" cm="1">
        <f t="array" ref="V38">SUMPRODUCT(HVP_2028_Yr5_4*Long_Term_Monetised_Risk_4)</f>
        <v>0</v>
      </c>
    </row>
    <row r="39" spans="1:22" ht="14" thickBot="1">
      <c r="B39" s="103" t="s">
        <v>65</v>
      </c>
      <c r="C39" s="104" t="s">
        <v>131</v>
      </c>
      <c r="D39" s="105"/>
      <c r="E39" s="106">
        <f t="shared" ref="E39:O39" si="16">SUM(E34:E38)</f>
        <v>0</v>
      </c>
      <c r="F39" s="106">
        <f t="shared" si="16"/>
        <v>0</v>
      </c>
      <c r="G39" s="106">
        <f t="shared" si="16"/>
        <v>0</v>
      </c>
      <c r="H39" s="106">
        <f t="shared" si="16"/>
        <v>0</v>
      </c>
      <c r="I39" s="106">
        <f t="shared" si="16"/>
        <v>0</v>
      </c>
      <c r="J39" s="106">
        <f t="shared" si="16"/>
        <v>0</v>
      </c>
      <c r="K39" s="106">
        <f t="shared" si="16"/>
        <v>0</v>
      </c>
      <c r="L39" s="106">
        <f t="shared" si="16"/>
        <v>0</v>
      </c>
      <c r="M39" s="106">
        <f t="shared" si="16"/>
        <v>0</v>
      </c>
      <c r="N39" s="106">
        <f t="shared" si="16"/>
        <v>0</v>
      </c>
      <c r="O39" s="537">
        <f t="shared" si="16"/>
        <v>0</v>
      </c>
      <c r="Q39" s="107" t="str">
        <f ca="1">VLOOKUP($B39,'NARM4 - ED2 NARW Risk Movements'!$B$7:$G$67,4,FALSE)</f>
        <v/>
      </c>
      <c r="R39" s="109" t="str">
        <f ca="1">VLOOKUP($B39,'NARM4 - ED2 NARW Risk Movements'!$B$7:$G$67,5,FALSE)</f>
        <v/>
      </c>
      <c r="S39" s="121" t="str">
        <f ca="1">VLOOKUP($B39,'NARM4 - ED2 NARW Risk Movements'!$B$7:$G$67,6,FALSE)</f>
        <v/>
      </c>
      <c r="T39" s="117">
        <f>SUM(T34:T38)</f>
        <v>0</v>
      </c>
      <c r="U39" s="106">
        <f t="shared" ref="U39" si="17">SUM(U34:U38)</f>
        <v>0</v>
      </c>
      <c r="V39" s="108">
        <f>SUM(V34:V38)</f>
        <v>0</v>
      </c>
    </row>
    <row r="40" spans="1:22" ht="14" thickTop="1">
      <c r="A40" s="143">
        <v>5</v>
      </c>
      <c r="B40" s="99" t="s">
        <v>173</v>
      </c>
      <c r="C40" s="100">
        <v>2024</v>
      </c>
      <c r="D40" s="101" cm="1">
        <f t="array" ref="D40">SUMPRODUCT(Start_of_Year_Yr1_5*Long_Term_Monetised_Risk_5)</f>
        <v>0</v>
      </c>
      <c r="E40" s="101" cm="1">
        <f t="array" ref="E40">SUMPRODUCT(Data_Cleansing_Yr1_5*Long_Term_Monetised_Risk_5)</f>
        <v>0</v>
      </c>
      <c r="F40" s="101" cm="1">
        <f t="array" ref="F40">SUMPRODUCT(Deterioration_total_Yr1_5*Long_Term_Monetised_Risk_5)</f>
        <v>0</v>
      </c>
      <c r="G40" s="101" cm="1">
        <f t="array" ref="G40">SUMPRODUCT(Other_Risk_Movements_Yr1_5*Long_Term_Monetised_Risk_5)</f>
        <v>0</v>
      </c>
      <c r="H40" s="101" cm="1">
        <f t="array" ref="H40">SUMPRODUCT(Asset_Replacement_Yr1_5*Long_Term_Monetised_Risk_5)</f>
        <v>0</v>
      </c>
      <c r="I40" s="101" cm="1">
        <f t="array" ref="I40">SUMPRODUCT(Asset_Refurbishment_Yr1_5*Long_Term_Monetised_Risk_5)</f>
        <v>0</v>
      </c>
      <c r="J40" s="101" cm="1">
        <f t="array" ref="J40">SUMPRODUCT(Reinforcement_Yr1_5*Long_Term_Monetised_Risk_5)</f>
        <v>0</v>
      </c>
      <c r="K40" s="101" cm="1">
        <f t="array" ref="K40">SUMPRODUCT(Faults_Yr1_5*Long_Term_Monetised_Risk_5)</f>
        <v>0</v>
      </c>
      <c r="L40" s="101" cm="1">
        <f t="array" ref="L40">SUMPRODUCT(HVP_Asset_Replacement_Refurbishment_Yr1_5*Long_Term_Monetised_Risk_5)</f>
        <v>0</v>
      </c>
      <c r="M40" s="101" cm="1">
        <f t="array" ref="M40">SUMPRODUCT(HVP_Other_Yr1_5*Long_Term_Monetised_Risk_5)</f>
        <v>0</v>
      </c>
      <c r="N40" s="101" cm="1">
        <f t="array" ref="N40">SUMPRODUCT(All_Other_Yr1_5*Long_Term_Monetised_Risk_5)</f>
        <v>0</v>
      </c>
      <c r="O40" s="102" cm="1">
        <f t="array" ref="O40">SUMPRODUCT(End_Of_Year_Yr1_5*Long_Term_Monetised_Risk_5)</f>
        <v>0</v>
      </c>
      <c r="Q40" s="112"/>
      <c r="R40" s="113"/>
      <c r="S40" s="120"/>
      <c r="T40" s="115" cm="1">
        <f t="array" ref="T40">SUMPRODUCT(Asset_Replacement_2028_Yr1_5*Long_Term_Monetised_Risk_5)</f>
        <v>0</v>
      </c>
      <c r="U40" s="101" cm="1">
        <f t="array" ref="U40">SUMPRODUCT(Asset_Refurbishment_2028_Yr1_5*Long_Term_Monetised_Risk_5)</f>
        <v>0</v>
      </c>
      <c r="V40" s="102" cm="1">
        <f t="array" ref="V40">SUMPRODUCT(HVP_2028_Yr1_5*Long_Term_Monetised_Risk_5)</f>
        <v>0</v>
      </c>
    </row>
    <row r="41" spans="1:22">
      <c r="B41" s="93" t="s">
        <v>173</v>
      </c>
      <c r="C41" s="91">
        <v>2025</v>
      </c>
      <c r="D41" s="64" cm="1">
        <f t="array" ref="D41">SUMPRODUCT(Start_of_Year_Yr2_5*Long_Term_Monetised_Risk_5)</f>
        <v>0</v>
      </c>
      <c r="E41" s="64" cm="1">
        <f t="array" ref="E41">SUMPRODUCT(Data_Cleansing_Yr2_5*Long_Term_Monetised_Risk_5)</f>
        <v>0</v>
      </c>
      <c r="F41" s="64" cm="1">
        <f t="array" ref="F41">SUMPRODUCT(Deterioration_total_Yr2_5*Long_Term_Monetised_Risk_5)</f>
        <v>0</v>
      </c>
      <c r="G41" s="64" cm="1">
        <f t="array" ref="G41">SUMPRODUCT(Other_Risk_Movements_Yr2_5*Long_Term_Monetised_Risk_5)</f>
        <v>0</v>
      </c>
      <c r="H41" s="64" cm="1">
        <f t="array" ref="H41">SUMPRODUCT(Asset_Replacement_Yr2_5*Long_Term_Monetised_Risk_5)</f>
        <v>0</v>
      </c>
      <c r="I41" s="64" cm="1">
        <f t="array" ref="I41">SUMPRODUCT(Asset_Refurbishment_Yr2_5*Long_Term_Monetised_Risk_5)</f>
        <v>0</v>
      </c>
      <c r="J41" s="64" cm="1">
        <f t="array" ref="J41">SUMPRODUCT(Reinforcement_Yr2_5*Long_Term_Monetised_Risk_5)</f>
        <v>0</v>
      </c>
      <c r="K41" s="64" cm="1">
        <f t="array" ref="K41">SUMPRODUCT(Faults_Yr2_5*Long_Term_Monetised_Risk_5)</f>
        <v>0</v>
      </c>
      <c r="L41" s="64" cm="1">
        <f t="array" ref="L41">SUMPRODUCT(HVP_Asset_Replacement_Refurbishment_Yr2_5*Long_Term_Monetised_Risk_5)</f>
        <v>0</v>
      </c>
      <c r="M41" s="64" cm="1">
        <f t="array" ref="M41">SUMPRODUCT(HVP_Other_Yr2_5*Long_Term_Monetised_Risk_5)</f>
        <v>0</v>
      </c>
      <c r="N41" s="64" cm="1">
        <f t="array" ref="N41">SUMPRODUCT(All_Other_Yr2_5*Long_Term_Monetised_Risk_5)</f>
        <v>0</v>
      </c>
      <c r="O41" s="65" cm="1">
        <f t="array" ref="O41">SUMPRODUCT(End_Of_Year_Yr2_5*Long_Term_Monetised_Risk_5)</f>
        <v>0</v>
      </c>
      <c r="Q41" s="110"/>
      <c r="R41" s="111"/>
      <c r="S41" s="119"/>
      <c r="T41" s="114" cm="1">
        <f t="array" ref="T41">SUMPRODUCT(Asset_Replacement_2028_Yr2_5*Long_Term_Monetised_Risk_5)</f>
        <v>0</v>
      </c>
      <c r="U41" s="64" cm="1">
        <f t="array" ref="U41">SUMPRODUCT(Asset_Refurbishment_2028_Yr2_5*Long_Term_Monetised_Risk_5)</f>
        <v>0</v>
      </c>
      <c r="V41" s="65" cm="1">
        <f t="array" ref="V41">SUMPRODUCT(HVP_2028_Yr2_5*Long_Term_Monetised_Risk_5)</f>
        <v>0</v>
      </c>
    </row>
    <row r="42" spans="1:22">
      <c r="B42" s="93" t="s">
        <v>173</v>
      </c>
      <c r="C42" s="91">
        <v>2026</v>
      </c>
      <c r="D42" s="64" cm="1">
        <f t="array" ref="D42">SUMPRODUCT(Start_of_Year_Yr3_5*Long_Term_Monetised_Risk_5)</f>
        <v>0</v>
      </c>
      <c r="E42" s="64" cm="1">
        <f t="array" ref="E42">SUMPRODUCT(Data_Cleansing_Yr3_5*Long_Term_Monetised_Risk_5)</f>
        <v>0</v>
      </c>
      <c r="F42" s="64" cm="1">
        <f t="array" ref="F42">SUMPRODUCT(Deterioration_total_Yr3_5*Long_Term_Monetised_Risk_5)</f>
        <v>0</v>
      </c>
      <c r="G42" s="64" cm="1">
        <f t="array" ref="G42">SUMPRODUCT(Other_Risk_Movements_Yr3_5*Long_Term_Monetised_Risk_5)</f>
        <v>0</v>
      </c>
      <c r="H42" s="64" cm="1">
        <f t="array" ref="H42">SUMPRODUCT(Asset_Replacement_Yr3_5*Long_Term_Monetised_Risk_5)</f>
        <v>0</v>
      </c>
      <c r="I42" s="64" cm="1">
        <f t="array" ref="I42">SUMPRODUCT(Asset_Refurbishment_Yr3_5*Long_Term_Monetised_Risk_5)</f>
        <v>0</v>
      </c>
      <c r="J42" s="64" cm="1">
        <f t="array" ref="J42">SUMPRODUCT(Reinforcement_Yr3_5*Long_Term_Monetised_Risk_5)</f>
        <v>0</v>
      </c>
      <c r="K42" s="64" cm="1">
        <f t="array" ref="K42">SUMPRODUCT(Faults_Yr3_5*Long_Term_Monetised_Risk_5)</f>
        <v>0</v>
      </c>
      <c r="L42" s="64" cm="1">
        <f t="array" ref="L42">SUMPRODUCT(HVP_Asset_Replacement_Refurbishment_Yr3_5*Long_Term_Monetised_Risk_5)</f>
        <v>0</v>
      </c>
      <c r="M42" s="64" cm="1">
        <f t="array" ref="M42">SUMPRODUCT(HVP_Other_Yr3_5*Long_Term_Monetised_Risk_5)</f>
        <v>0</v>
      </c>
      <c r="N42" s="64" cm="1">
        <f t="array" ref="N42">SUMPRODUCT(All_Other_Yr3_5*Long_Term_Monetised_Risk_5)</f>
        <v>0</v>
      </c>
      <c r="O42" s="65" cm="1">
        <f t="array" ref="O42">SUMPRODUCT(End_Of_Year_Yr3_5*Long_Term_Monetised_Risk_5)</f>
        <v>0</v>
      </c>
      <c r="Q42" s="110"/>
      <c r="R42" s="111"/>
      <c r="S42" s="119"/>
      <c r="T42" s="114" cm="1">
        <f t="array" ref="T42">SUMPRODUCT(Asset_Replacement_2028_Yr3_5*Long_Term_Monetised_Risk_5)</f>
        <v>0</v>
      </c>
      <c r="U42" s="64" cm="1">
        <f t="array" ref="U42">SUMPRODUCT(Asset_Refurbishment_2028_Yr3_5*Long_Term_Monetised_Risk_5)</f>
        <v>0</v>
      </c>
      <c r="V42" s="65" cm="1">
        <f t="array" ref="V42">SUMPRODUCT(HVP_2028_Yr3_5*Long_Term_Monetised_Risk_5)</f>
        <v>0</v>
      </c>
    </row>
    <row r="43" spans="1:22">
      <c r="B43" s="93" t="s">
        <v>173</v>
      </c>
      <c r="C43" s="91">
        <v>2027</v>
      </c>
      <c r="D43" s="64" cm="1">
        <f t="array" ref="D43">SUMPRODUCT(Start_of_Year_Yr4_5*Long_Term_Monetised_Risk_5)</f>
        <v>0</v>
      </c>
      <c r="E43" s="64" cm="1">
        <f t="array" ref="E43">SUMPRODUCT(Data_Cleansing_Yr4_5*Long_Term_Monetised_Risk_5)</f>
        <v>0</v>
      </c>
      <c r="F43" s="64" cm="1">
        <f t="array" ref="F43">SUMPRODUCT(Deterioration_total_Yr4_5*Long_Term_Monetised_Risk_5)</f>
        <v>0</v>
      </c>
      <c r="G43" s="64" cm="1">
        <f t="array" ref="G43">SUMPRODUCT(Other_Risk_Movements_Yr4_5*Long_Term_Monetised_Risk_5)</f>
        <v>0</v>
      </c>
      <c r="H43" s="64" cm="1">
        <f t="array" ref="H43">SUMPRODUCT(Asset_Replacement_Yr4_5*Long_Term_Monetised_Risk_5)</f>
        <v>0</v>
      </c>
      <c r="I43" s="64" cm="1">
        <f t="array" ref="I43">SUMPRODUCT(Asset_Refurbishment_Yr4_5*Long_Term_Monetised_Risk_5)</f>
        <v>0</v>
      </c>
      <c r="J43" s="64" cm="1">
        <f t="array" ref="J43">SUMPRODUCT(Reinforcement_Yr4_5*Long_Term_Monetised_Risk_5)</f>
        <v>0</v>
      </c>
      <c r="K43" s="64" cm="1">
        <f t="array" ref="K43">SUMPRODUCT(Faults_Yr4_5*Long_Term_Monetised_Risk_5)</f>
        <v>0</v>
      </c>
      <c r="L43" s="64" cm="1">
        <f t="array" ref="L43">SUMPRODUCT(HVP_Asset_Replacement_Refurbishment_Yr4_5*Long_Term_Monetised_Risk_5)</f>
        <v>0</v>
      </c>
      <c r="M43" s="64" cm="1">
        <f t="array" ref="M43">SUMPRODUCT(HVP_Other_Yr4_5*Long_Term_Monetised_Risk_5)</f>
        <v>0</v>
      </c>
      <c r="N43" s="64" cm="1">
        <f t="array" ref="N43">SUMPRODUCT(All_Other_Yr4_5*Long_Term_Monetised_Risk_5)</f>
        <v>0</v>
      </c>
      <c r="O43" s="65" cm="1">
        <f t="array" ref="O43">SUMPRODUCT(End_Of_Year_Yr4_5*Long_Term_Monetised_Risk_5)</f>
        <v>0</v>
      </c>
      <c r="Q43" s="110"/>
      <c r="R43" s="111"/>
      <c r="S43" s="119"/>
      <c r="T43" s="114" cm="1">
        <f t="array" ref="T43">SUMPRODUCT(Asset_Replacement_2028_Yr4_5*Long_Term_Monetised_Risk_5)</f>
        <v>0</v>
      </c>
      <c r="U43" s="64" cm="1">
        <f t="array" ref="U43">SUMPRODUCT(Asset_Refurbishment_2028_Yr4_5*Long_Term_Monetised_Risk_5)</f>
        <v>0</v>
      </c>
      <c r="V43" s="65" cm="1">
        <f t="array" ref="V43">SUMPRODUCT(HVP_2028_Yr4_5*Long_Term_Monetised_Risk_5)</f>
        <v>0</v>
      </c>
    </row>
    <row r="44" spans="1:22">
      <c r="B44" s="93" t="s">
        <v>173</v>
      </c>
      <c r="C44" s="91">
        <v>2028</v>
      </c>
      <c r="D44" s="64" cm="1">
        <f t="array" ref="D44">SUMPRODUCT(Start_of_Year_Yr5_5*Long_Term_Monetised_Risk_5)</f>
        <v>0</v>
      </c>
      <c r="E44" s="64" cm="1">
        <f t="array" ref="E44">SUMPRODUCT(Data_Cleansing_Yr5_5*Long_Term_Monetised_Risk_5)</f>
        <v>0</v>
      </c>
      <c r="F44" s="64" cm="1">
        <f t="array" ref="F44">SUMPRODUCT(Deterioration_total_Yr5_5*Long_Term_Monetised_Risk_5)</f>
        <v>0</v>
      </c>
      <c r="G44" s="64" cm="1">
        <f t="array" ref="G44">SUMPRODUCT(Other_Risk_Movements_Yr5_5*Long_Term_Monetised_Risk_5)</f>
        <v>0</v>
      </c>
      <c r="H44" s="64" cm="1">
        <f t="array" ref="H44">SUMPRODUCT(Asset_Replacement_Yr5_5*Long_Term_Monetised_Risk_5)</f>
        <v>0</v>
      </c>
      <c r="I44" s="64" cm="1">
        <f t="array" ref="I44">SUMPRODUCT(Asset_Refurbishment_Yr5_5*Long_Term_Monetised_Risk_5)</f>
        <v>0</v>
      </c>
      <c r="J44" s="64" cm="1">
        <f t="array" ref="J44">SUMPRODUCT(Reinforcement_Yr5_5*Long_Term_Monetised_Risk_5)</f>
        <v>0</v>
      </c>
      <c r="K44" s="64" cm="1">
        <f t="array" ref="K44">SUMPRODUCT(Faults_Yr5_5*Long_Term_Monetised_Risk_5)</f>
        <v>0</v>
      </c>
      <c r="L44" s="64" cm="1">
        <f t="array" ref="L44">SUMPRODUCT(HVP_Asset_Replacement_Refurbishment_Yr5_5*Long_Term_Monetised_Risk_5)</f>
        <v>0</v>
      </c>
      <c r="M44" s="64" cm="1">
        <f t="array" ref="M44">SUMPRODUCT(HVP_Other_Yr5_5*Long_Term_Monetised_Risk_5)</f>
        <v>0</v>
      </c>
      <c r="N44" s="64" cm="1">
        <f t="array" ref="N44">SUMPRODUCT(All_Other_Yr5_5*Long_Term_Monetised_Risk_5)</f>
        <v>0</v>
      </c>
      <c r="O44" s="65" cm="1">
        <f t="array" ref="O44">SUMPRODUCT(End_Of_Year_Yr5_5*Long_Term_Monetised_Risk_5)</f>
        <v>0</v>
      </c>
      <c r="Q44" s="110"/>
      <c r="R44" s="111"/>
      <c r="S44" s="119"/>
      <c r="T44" s="114" cm="1">
        <f t="array" ref="T44">SUMPRODUCT(Asset_Replacement_2028_Yr5_5*Long_Term_Monetised_Risk_5)</f>
        <v>0</v>
      </c>
      <c r="U44" s="64" cm="1">
        <f t="array" ref="U44">SUMPRODUCT(Asset_Refurbishment_2028_Yr5_5*Long_Term_Monetised_Risk_5)</f>
        <v>0</v>
      </c>
      <c r="V44" s="65" cm="1">
        <f t="array" ref="V44">SUMPRODUCT(HVP_2028_Yr5_5*Long_Term_Monetised_Risk_5)</f>
        <v>0</v>
      </c>
    </row>
    <row r="45" spans="1:22" ht="14" thickBot="1">
      <c r="B45" s="103" t="s">
        <v>66</v>
      </c>
      <c r="C45" s="104" t="s">
        <v>131</v>
      </c>
      <c r="D45" s="105"/>
      <c r="E45" s="106">
        <f t="shared" ref="E45:O45" si="18">SUM(E40:E44)</f>
        <v>0</v>
      </c>
      <c r="F45" s="106">
        <f t="shared" si="18"/>
        <v>0</v>
      </c>
      <c r="G45" s="106">
        <f t="shared" si="18"/>
        <v>0</v>
      </c>
      <c r="H45" s="106">
        <f t="shared" si="18"/>
        <v>0</v>
      </c>
      <c r="I45" s="106">
        <f t="shared" si="18"/>
        <v>0</v>
      </c>
      <c r="J45" s="106">
        <f t="shared" si="18"/>
        <v>0</v>
      </c>
      <c r="K45" s="106">
        <f t="shared" si="18"/>
        <v>0</v>
      </c>
      <c r="L45" s="106">
        <f t="shared" si="18"/>
        <v>0</v>
      </c>
      <c r="M45" s="106">
        <f t="shared" si="18"/>
        <v>0</v>
      </c>
      <c r="N45" s="106">
        <f t="shared" si="18"/>
        <v>0</v>
      </c>
      <c r="O45" s="537">
        <f t="shared" si="18"/>
        <v>0</v>
      </c>
      <c r="Q45" s="107" t="str">
        <f ca="1">VLOOKUP($B45,'NARM4 - ED2 NARW Risk Movements'!$B$7:$G$67,4,FALSE)</f>
        <v/>
      </c>
      <c r="R45" s="109" t="str">
        <f ca="1">VLOOKUP($B45,'NARM4 - ED2 NARW Risk Movements'!$B$7:$G$67,5,FALSE)</f>
        <v/>
      </c>
      <c r="S45" s="121" t="str">
        <f ca="1">VLOOKUP($B45,'NARM4 - ED2 NARW Risk Movements'!$B$7:$G$67,6,FALSE)</f>
        <v/>
      </c>
      <c r="T45" s="117">
        <f>SUM(T40:T44)</f>
        <v>0</v>
      </c>
      <c r="U45" s="106">
        <f t="shared" ref="U45" si="19">SUM(U40:U44)</f>
        <v>0</v>
      </c>
      <c r="V45" s="108">
        <f>SUM(V40:V44)</f>
        <v>0</v>
      </c>
    </row>
    <row r="46" spans="1:22" ht="14" thickTop="1">
      <c r="A46" s="143">
        <v>6</v>
      </c>
      <c r="B46" s="99" t="s">
        <v>67</v>
      </c>
      <c r="C46" s="100">
        <v>2024</v>
      </c>
      <c r="D46" s="101" cm="1">
        <f t="array" ref="D46">SUMPRODUCT(Start_of_Year_Yr1_6*Long_Term_Monetised_Risk_6)</f>
        <v>0</v>
      </c>
      <c r="E46" s="101" cm="1">
        <f t="array" ref="E46">SUMPRODUCT(Data_Cleansing_Yr1_6*Long_Term_Monetised_Risk_6)</f>
        <v>0</v>
      </c>
      <c r="F46" s="101" cm="1">
        <f t="array" ref="F46">SUMPRODUCT(Deterioration_total_Yr1_6*Long_Term_Monetised_Risk_6)</f>
        <v>0</v>
      </c>
      <c r="G46" s="101" cm="1">
        <f t="array" ref="G46">SUMPRODUCT(Other_Risk_Movements_Yr1_6*Long_Term_Monetised_Risk_6)</f>
        <v>0</v>
      </c>
      <c r="H46" s="101" cm="1">
        <f t="array" ref="H46">SUMPRODUCT(Asset_Replacement_Yr1_6*Long_Term_Monetised_Risk_6)</f>
        <v>0</v>
      </c>
      <c r="I46" s="101" cm="1">
        <f t="array" ref="I46">SUMPRODUCT(Asset_Refurbishment_Yr1_6*Long_Term_Monetised_Risk_6)</f>
        <v>0</v>
      </c>
      <c r="J46" s="101" cm="1">
        <f t="array" ref="J46">SUMPRODUCT(Reinforcement_Yr1_6*Long_Term_Monetised_Risk_6)</f>
        <v>0</v>
      </c>
      <c r="K46" s="101" cm="1">
        <f t="array" ref="K46">SUMPRODUCT(Faults_Yr1_6*Long_Term_Monetised_Risk_6)</f>
        <v>0</v>
      </c>
      <c r="L46" s="101" cm="1">
        <f t="array" ref="L46">SUMPRODUCT(HVP_Asset_Replacement_Refurbishment_Yr1_6*Long_Term_Monetised_Risk_6)</f>
        <v>0</v>
      </c>
      <c r="M46" s="101" cm="1">
        <f t="array" ref="M46">SUMPRODUCT(HVP_Other_Yr1_6*Long_Term_Monetised_Risk_6)</f>
        <v>0</v>
      </c>
      <c r="N46" s="101" cm="1">
        <f t="array" ref="N46">SUMPRODUCT(All_Other_Yr1_6*Long_Term_Monetised_Risk_6)</f>
        <v>0</v>
      </c>
      <c r="O46" s="102" cm="1">
        <f t="array" ref="O46">SUMPRODUCT(End_Of_Year_Yr1_6*Long_Term_Monetised_Risk_6)</f>
        <v>0</v>
      </c>
      <c r="Q46" s="112"/>
      <c r="R46" s="113"/>
      <c r="S46" s="120"/>
      <c r="T46" s="115" cm="1">
        <f t="array" ref="T46">SUMPRODUCT(Asset_Replacement_2028_Yr1_6*Long_Term_Monetised_Risk_6)</f>
        <v>0</v>
      </c>
      <c r="U46" s="101" cm="1">
        <f t="array" ref="U46">SUMPRODUCT(Asset_Refurbishment_2028_Yr1_6*Long_Term_Monetised_Risk_6)</f>
        <v>0</v>
      </c>
      <c r="V46" s="102" cm="1">
        <f t="array" ref="V46">SUMPRODUCT(HVP_2028_Yr1_6*Long_Term_Monetised_Risk_6)</f>
        <v>0</v>
      </c>
    </row>
    <row r="47" spans="1:22">
      <c r="B47" s="93" t="s">
        <v>67</v>
      </c>
      <c r="C47" s="91">
        <v>2025</v>
      </c>
      <c r="D47" s="64" cm="1">
        <f t="array" ref="D47">SUMPRODUCT(Start_of_Year_Yr2_6*Long_Term_Monetised_Risk_6)</f>
        <v>0</v>
      </c>
      <c r="E47" s="64" cm="1">
        <f t="array" ref="E47">SUMPRODUCT(Data_Cleansing_Yr2_6*Long_Term_Monetised_Risk_6)</f>
        <v>0</v>
      </c>
      <c r="F47" s="64" cm="1">
        <f t="array" ref="F47">SUMPRODUCT(Deterioration_total_Yr2_6*Long_Term_Monetised_Risk_6)</f>
        <v>0</v>
      </c>
      <c r="G47" s="64" cm="1">
        <f t="array" ref="G47">SUMPRODUCT(Other_Risk_Movements_Yr2_6*Long_Term_Monetised_Risk_6)</f>
        <v>0</v>
      </c>
      <c r="H47" s="64" cm="1">
        <f t="array" ref="H47">SUMPRODUCT(Asset_Replacement_Yr2_6*Long_Term_Monetised_Risk_6)</f>
        <v>0</v>
      </c>
      <c r="I47" s="64" cm="1">
        <f t="array" ref="I47">SUMPRODUCT(Asset_Refurbishment_Yr2_6*Long_Term_Monetised_Risk_6)</f>
        <v>0</v>
      </c>
      <c r="J47" s="64" cm="1">
        <f t="array" ref="J47">SUMPRODUCT(Reinforcement_Yr2_6*Long_Term_Monetised_Risk_6)</f>
        <v>0</v>
      </c>
      <c r="K47" s="64" cm="1">
        <f t="array" ref="K47">SUMPRODUCT(Faults_Yr2_6*Long_Term_Monetised_Risk_6)</f>
        <v>0</v>
      </c>
      <c r="L47" s="64" cm="1">
        <f t="array" ref="L47">SUMPRODUCT(HVP_Asset_Replacement_Refurbishment_Yr2_6*Long_Term_Monetised_Risk_6)</f>
        <v>0</v>
      </c>
      <c r="M47" s="64" cm="1">
        <f t="array" ref="M47">SUMPRODUCT(HVP_Other_Yr2_6*Long_Term_Monetised_Risk_6)</f>
        <v>0</v>
      </c>
      <c r="N47" s="64" cm="1">
        <f t="array" ref="N47">SUMPRODUCT(All_Other_Yr2_6*Long_Term_Monetised_Risk_6)</f>
        <v>0</v>
      </c>
      <c r="O47" s="65" cm="1">
        <f t="array" ref="O47">SUMPRODUCT(End_Of_Year_Yr2_6*Long_Term_Monetised_Risk_6)</f>
        <v>0</v>
      </c>
      <c r="Q47" s="110"/>
      <c r="R47" s="111"/>
      <c r="S47" s="119"/>
      <c r="T47" s="114" cm="1">
        <f t="array" ref="T47">SUMPRODUCT(Asset_Replacement_2028_Yr2_6*Long_Term_Monetised_Risk_6)</f>
        <v>0</v>
      </c>
      <c r="U47" s="64" cm="1">
        <f t="array" ref="U47">SUMPRODUCT(Asset_Refurbishment_2028_Yr2_6*Long_Term_Monetised_Risk_6)</f>
        <v>0</v>
      </c>
      <c r="V47" s="65" cm="1">
        <f t="array" ref="V47">SUMPRODUCT(HVP_2028_Yr2_6*Long_Term_Monetised_Risk_6)</f>
        <v>0</v>
      </c>
    </row>
    <row r="48" spans="1:22">
      <c r="B48" s="93" t="s">
        <v>67</v>
      </c>
      <c r="C48" s="91">
        <v>2026</v>
      </c>
      <c r="D48" s="64" cm="1">
        <f t="array" ref="D48">SUMPRODUCT(Start_of_Year_Yr3_6*Long_Term_Monetised_Risk_6)</f>
        <v>0</v>
      </c>
      <c r="E48" s="64" cm="1">
        <f t="array" ref="E48">SUMPRODUCT(Data_Cleansing_Yr3_6*Long_Term_Monetised_Risk_6)</f>
        <v>0</v>
      </c>
      <c r="F48" s="64" cm="1">
        <f t="array" ref="F48">SUMPRODUCT(Deterioration_total_Yr3_6*Long_Term_Monetised_Risk_6)</f>
        <v>0</v>
      </c>
      <c r="G48" s="64" cm="1">
        <f t="array" ref="G48">SUMPRODUCT(Other_Risk_Movements_Yr3_6*Long_Term_Monetised_Risk_6)</f>
        <v>0</v>
      </c>
      <c r="H48" s="64" cm="1">
        <f t="array" ref="H48">SUMPRODUCT(Asset_Replacement_Yr3_6*Long_Term_Monetised_Risk_6)</f>
        <v>0</v>
      </c>
      <c r="I48" s="64" cm="1">
        <f t="array" ref="I48">SUMPRODUCT(Asset_Refurbishment_Yr3_6*Long_Term_Monetised_Risk_6)</f>
        <v>0</v>
      </c>
      <c r="J48" s="64" cm="1">
        <f t="array" ref="J48">SUMPRODUCT(Reinforcement_Yr3_6*Long_Term_Monetised_Risk_6)</f>
        <v>0</v>
      </c>
      <c r="K48" s="64" cm="1">
        <f t="array" ref="K48">SUMPRODUCT(Faults_Yr3_6*Long_Term_Monetised_Risk_6)</f>
        <v>0</v>
      </c>
      <c r="L48" s="64" cm="1">
        <f t="array" ref="L48">SUMPRODUCT(HVP_Asset_Replacement_Refurbishment_Yr3_6*Long_Term_Monetised_Risk_6)</f>
        <v>0</v>
      </c>
      <c r="M48" s="64" cm="1">
        <f t="array" ref="M48">SUMPRODUCT(HVP_Other_Yr3_6*Long_Term_Monetised_Risk_6)</f>
        <v>0</v>
      </c>
      <c r="N48" s="64" cm="1">
        <f t="array" ref="N48">SUMPRODUCT(All_Other_Yr3_6*Long_Term_Monetised_Risk_6)</f>
        <v>0</v>
      </c>
      <c r="O48" s="65" cm="1">
        <f t="array" ref="O48">SUMPRODUCT(End_Of_Year_Yr3_6*Long_Term_Monetised_Risk_6)</f>
        <v>0</v>
      </c>
      <c r="Q48" s="110"/>
      <c r="R48" s="111"/>
      <c r="S48" s="119"/>
      <c r="T48" s="114" cm="1">
        <f t="array" ref="T48">SUMPRODUCT(Asset_Replacement_2028_Yr3_6*Long_Term_Monetised_Risk_6)</f>
        <v>0</v>
      </c>
      <c r="U48" s="64" cm="1">
        <f t="array" ref="U48">SUMPRODUCT(Asset_Refurbishment_2028_Yr3_6*Long_Term_Monetised_Risk_6)</f>
        <v>0</v>
      </c>
      <c r="V48" s="65" cm="1">
        <f t="array" ref="V48">SUMPRODUCT(HVP_2028_Yr3_6*Long_Term_Monetised_Risk_6)</f>
        <v>0</v>
      </c>
    </row>
    <row r="49" spans="1:22">
      <c r="B49" s="93" t="s">
        <v>67</v>
      </c>
      <c r="C49" s="91">
        <v>2027</v>
      </c>
      <c r="D49" s="64" cm="1">
        <f t="array" ref="D49">SUMPRODUCT(Start_of_Year_Yr4_6*Long_Term_Monetised_Risk_6)</f>
        <v>0</v>
      </c>
      <c r="E49" s="64" cm="1">
        <f t="array" ref="E49">SUMPRODUCT(Data_Cleansing_Yr4_6*Long_Term_Monetised_Risk_6)</f>
        <v>0</v>
      </c>
      <c r="F49" s="64" cm="1">
        <f t="array" ref="F49">SUMPRODUCT(Deterioration_total_Yr4_6*Long_Term_Monetised_Risk_6)</f>
        <v>0</v>
      </c>
      <c r="G49" s="64" cm="1">
        <f t="array" ref="G49">SUMPRODUCT(Other_Risk_Movements_Yr4_6*Long_Term_Monetised_Risk_6)</f>
        <v>0</v>
      </c>
      <c r="H49" s="64" cm="1">
        <f t="array" ref="H49">SUMPRODUCT(Asset_Replacement_Yr4_6*Long_Term_Monetised_Risk_6)</f>
        <v>0</v>
      </c>
      <c r="I49" s="64" cm="1">
        <f t="array" ref="I49">SUMPRODUCT(Asset_Refurbishment_Yr4_6*Long_Term_Monetised_Risk_6)</f>
        <v>0</v>
      </c>
      <c r="J49" s="64" cm="1">
        <f t="array" ref="J49">SUMPRODUCT(Reinforcement_Yr4_6*Long_Term_Monetised_Risk_6)</f>
        <v>0</v>
      </c>
      <c r="K49" s="64" cm="1">
        <f t="array" ref="K49">SUMPRODUCT(Faults_Yr4_6*Long_Term_Monetised_Risk_6)</f>
        <v>0</v>
      </c>
      <c r="L49" s="64" cm="1">
        <f t="array" ref="L49">SUMPRODUCT(HVP_Asset_Replacement_Refurbishment_Yr4_6*Long_Term_Monetised_Risk_6)</f>
        <v>0</v>
      </c>
      <c r="M49" s="64" cm="1">
        <f t="array" ref="M49">SUMPRODUCT(HVP_Other_Yr4_6*Long_Term_Monetised_Risk_6)</f>
        <v>0</v>
      </c>
      <c r="N49" s="64" cm="1">
        <f t="array" ref="N49">SUMPRODUCT(All_Other_Yr4_6*Long_Term_Monetised_Risk_6)</f>
        <v>0</v>
      </c>
      <c r="O49" s="65" cm="1">
        <f t="array" ref="O49">SUMPRODUCT(End_Of_Year_Yr4_6*Long_Term_Monetised_Risk_6)</f>
        <v>0</v>
      </c>
      <c r="Q49" s="110"/>
      <c r="R49" s="111"/>
      <c r="S49" s="119"/>
      <c r="T49" s="114" cm="1">
        <f t="array" ref="T49">SUMPRODUCT(Asset_Replacement_2028_Yr4_6*Long_Term_Monetised_Risk_6)</f>
        <v>0</v>
      </c>
      <c r="U49" s="64" cm="1">
        <f t="array" ref="U49">SUMPRODUCT(Asset_Refurbishment_2028_Yr4_6*Long_Term_Monetised_Risk_6)</f>
        <v>0</v>
      </c>
      <c r="V49" s="65" cm="1">
        <f t="array" ref="V49">SUMPRODUCT(HVP_2028_Yr4_6*Long_Term_Monetised_Risk_6)</f>
        <v>0</v>
      </c>
    </row>
    <row r="50" spans="1:22">
      <c r="B50" s="93" t="s">
        <v>67</v>
      </c>
      <c r="C50" s="91">
        <v>2028</v>
      </c>
      <c r="D50" s="64" cm="1">
        <f t="array" ref="D50">SUMPRODUCT(Start_of_Year_Yr5_6*Long_Term_Monetised_Risk_6)</f>
        <v>0</v>
      </c>
      <c r="E50" s="64" cm="1">
        <f t="array" ref="E50">SUMPRODUCT(Data_Cleansing_Yr5_6*Long_Term_Monetised_Risk_6)</f>
        <v>0</v>
      </c>
      <c r="F50" s="64" cm="1">
        <f t="array" ref="F50">SUMPRODUCT(Deterioration_total_Yr5_6*Long_Term_Monetised_Risk_6)</f>
        <v>0</v>
      </c>
      <c r="G50" s="64" cm="1">
        <f t="array" ref="G50">SUMPRODUCT(Other_Risk_Movements_Yr5_6*Long_Term_Monetised_Risk_6)</f>
        <v>0</v>
      </c>
      <c r="H50" s="64" cm="1">
        <f t="array" ref="H50">SUMPRODUCT(Asset_Replacement_Yr5_6*Long_Term_Monetised_Risk_6)</f>
        <v>0</v>
      </c>
      <c r="I50" s="64" cm="1">
        <f t="array" ref="I50">SUMPRODUCT(Asset_Refurbishment_Yr5_6*Long_Term_Monetised_Risk_6)</f>
        <v>0</v>
      </c>
      <c r="J50" s="64" cm="1">
        <f t="array" ref="J50">SUMPRODUCT(Reinforcement_Yr5_6*Long_Term_Monetised_Risk_6)</f>
        <v>0</v>
      </c>
      <c r="K50" s="64" cm="1">
        <f t="array" ref="K50">SUMPRODUCT(Faults_Yr5_6*Long_Term_Monetised_Risk_6)</f>
        <v>0</v>
      </c>
      <c r="L50" s="64" cm="1">
        <f t="array" ref="L50">SUMPRODUCT(HVP_Asset_Replacement_Refurbishment_Yr5_6*Long_Term_Monetised_Risk_6)</f>
        <v>0</v>
      </c>
      <c r="M50" s="64" cm="1">
        <f t="array" ref="M50">SUMPRODUCT(HVP_Other_Yr5_6*Long_Term_Monetised_Risk_6)</f>
        <v>0</v>
      </c>
      <c r="N50" s="64" cm="1">
        <f t="array" ref="N50">SUMPRODUCT(All_Other_Yr5_6*Long_Term_Monetised_Risk_6)</f>
        <v>0</v>
      </c>
      <c r="O50" s="65" cm="1">
        <f t="array" ref="O50">SUMPRODUCT(End_Of_Year_Yr5_6*Long_Term_Monetised_Risk_6)</f>
        <v>0</v>
      </c>
      <c r="Q50" s="110"/>
      <c r="R50" s="111"/>
      <c r="S50" s="119"/>
      <c r="T50" s="114" cm="1">
        <f t="array" ref="T50">SUMPRODUCT(Asset_Replacement_2028_Yr5_6*Long_Term_Monetised_Risk_6)</f>
        <v>0</v>
      </c>
      <c r="U50" s="64" cm="1">
        <f t="array" ref="U50">SUMPRODUCT(Asset_Refurbishment_2028_Yr5_6*Long_Term_Monetised_Risk_6)</f>
        <v>0</v>
      </c>
      <c r="V50" s="65" cm="1">
        <f t="array" ref="V50">SUMPRODUCT(HVP_2028_Yr5_6*Long_Term_Monetised_Risk_6)</f>
        <v>0</v>
      </c>
    </row>
    <row r="51" spans="1:22" ht="14" thickBot="1">
      <c r="B51" s="103" t="s">
        <v>67</v>
      </c>
      <c r="C51" s="104" t="s">
        <v>131</v>
      </c>
      <c r="D51" s="105"/>
      <c r="E51" s="106">
        <f t="shared" ref="E51:O51" si="20">SUM(E46:E50)</f>
        <v>0</v>
      </c>
      <c r="F51" s="106">
        <f t="shared" si="20"/>
        <v>0</v>
      </c>
      <c r="G51" s="106">
        <f t="shared" si="20"/>
        <v>0</v>
      </c>
      <c r="H51" s="106">
        <f t="shared" si="20"/>
        <v>0</v>
      </c>
      <c r="I51" s="106">
        <f t="shared" si="20"/>
        <v>0</v>
      </c>
      <c r="J51" s="106">
        <f t="shared" si="20"/>
        <v>0</v>
      </c>
      <c r="K51" s="106">
        <f t="shared" si="20"/>
        <v>0</v>
      </c>
      <c r="L51" s="106">
        <f t="shared" si="20"/>
        <v>0</v>
      </c>
      <c r="M51" s="106">
        <f t="shared" si="20"/>
        <v>0</v>
      </c>
      <c r="N51" s="106">
        <f t="shared" si="20"/>
        <v>0</v>
      </c>
      <c r="O51" s="537">
        <f t="shared" si="20"/>
        <v>0</v>
      </c>
      <c r="Q51" s="107" t="str">
        <f ca="1">VLOOKUP($B51,'NARM4 - ED2 NARW Risk Movements'!$B$7:$G$67,4,FALSE)</f>
        <v/>
      </c>
      <c r="R51" s="109" t="str">
        <f ca="1">VLOOKUP($B51,'NARM4 - ED2 NARW Risk Movements'!$B$7:$G$67,5,FALSE)</f>
        <v/>
      </c>
      <c r="S51" s="121" t="str">
        <f ca="1">VLOOKUP($B51,'NARM4 - ED2 NARW Risk Movements'!$B$7:$G$67,6,FALSE)</f>
        <v/>
      </c>
      <c r="T51" s="117">
        <f>SUM(T46:T50)</f>
        <v>0</v>
      </c>
      <c r="U51" s="106">
        <f t="shared" ref="U51" si="21">SUM(U46:U50)</f>
        <v>0</v>
      </c>
      <c r="V51" s="108">
        <f>SUM(V46:V50)</f>
        <v>0</v>
      </c>
    </row>
    <row r="52" spans="1:22" ht="14" thickTop="1">
      <c r="A52" s="143">
        <v>7</v>
      </c>
      <c r="B52" s="99" t="s">
        <v>68</v>
      </c>
      <c r="C52" s="100">
        <v>2024</v>
      </c>
      <c r="D52" s="101" cm="1">
        <f t="array" ref="D52">SUMPRODUCT(Start_of_Year_Yr1_7*Long_Term_Monetised_Risk_7)</f>
        <v>0</v>
      </c>
      <c r="E52" s="101" cm="1">
        <f t="array" ref="E52">SUMPRODUCT(Data_Cleansing_Yr1_7*Long_Term_Monetised_Risk_7)</f>
        <v>0</v>
      </c>
      <c r="F52" s="101" cm="1">
        <f t="array" ref="F52">SUMPRODUCT(Deterioration_total_Yr1_7*Long_Term_Monetised_Risk_7)</f>
        <v>0</v>
      </c>
      <c r="G52" s="101" cm="1">
        <f t="array" ref="G52">SUMPRODUCT(Other_Risk_Movements_Yr1_7*Long_Term_Monetised_Risk_7)</f>
        <v>0</v>
      </c>
      <c r="H52" s="101" cm="1">
        <f t="array" ref="H52">SUMPRODUCT(Asset_Replacement_Yr1_7*Long_Term_Monetised_Risk_7)</f>
        <v>0</v>
      </c>
      <c r="I52" s="101" cm="1">
        <f t="array" ref="I52">SUMPRODUCT(Asset_Refurbishment_Yr1_7*Long_Term_Monetised_Risk_7)</f>
        <v>0</v>
      </c>
      <c r="J52" s="101" cm="1">
        <f t="array" ref="J52">SUMPRODUCT(Reinforcement_Yr1_7*Long_Term_Monetised_Risk_7)</f>
        <v>0</v>
      </c>
      <c r="K52" s="101" cm="1">
        <f t="array" ref="K52">SUMPRODUCT(Faults_Yr1_7*Long_Term_Monetised_Risk_7)</f>
        <v>0</v>
      </c>
      <c r="L52" s="101" cm="1">
        <f t="array" ref="L52">SUMPRODUCT(HVP_Asset_Replacement_Refurbishment_Yr1_7*Long_Term_Monetised_Risk_7)</f>
        <v>0</v>
      </c>
      <c r="M52" s="101" cm="1">
        <f t="array" ref="M52">SUMPRODUCT(HVP_Other_Yr1_7*Long_Term_Monetised_Risk_7)</f>
        <v>0</v>
      </c>
      <c r="N52" s="101" cm="1">
        <f t="array" ref="N52">SUMPRODUCT(All_Other_Yr1_7*Long_Term_Monetised_Risk_7)</f>
        <v>0</v>
      </c>
      <c r="O52" s="102" cm="1">
        <f t="array" ref="O52">SUMPRODUCT(End_Of_Year_Yr1_7*Long_Term_Monetised_Risk_7)</f>
        <v>0</v>
      </c>
      <c r="Q52" s="112"/>
      <c r="R52" s="113"/>
      <c r="S52" s="120"/>
      <c r="T52" s="115" cm="1">
        <f t="array" ref="T52">SUMPRODUCT(Asset_Replacement_2028_Yr1_7*Long_Term_Monetised_Risk_7)</f>
        <v>0</v>
      </c>
      <c r="U52" s="101" cm="1">
        <f t="array" ref="U52">SUMPRODUCT(Asset_Refurbishment_2028_Yr1_7*Long_Term_Monetised_Risk_7)</f>
        <v>0</v>
      </c>
      <c r="V52" s="102" cm="1">
        <f t="array" ref="V52">SUMPRODUCT(HVP_2028_Yr1_7*Long_Term_Monetised_Risk_7)</f>
        <v>0</v>
      </c>
    </row>
    <row r="53" spans="1:22">
      <c r="B53" s="93" t="s">
        <v>68</v>
      </c>
      <c r="C53" s="91">
        <v>2025</v>
      </c>
      <c r="D53" s="64" cm="1">
        <f t="array" ref="D53">SUMPRODUCT(Start_of_Year_Yr2_7*Long_Term_Monetised_Risk_7)</f>
        <v>0</v>
      </c>
      <c r="E53" s="64" cm="1">
        <f t="array" ref="E53">SUMPRODUCT(Data_Cleansing_Yr2_7*Long_Term_Monetised_Risk_7)</f>
        <v>0</v>
      </c>
      <c r="F53" s="64" cm="1">
        <f t="array" ref="F53">SUMPRODUCT(Deterioration_total_Yr2_7*Long_Term_Monetised_Risk_7)</f>
        <v>0</v>
      </c>
      <c r="G53" s="64" cm="1">
        <f t="array" ref="G53">SUMPRODUCT(Other_Risk_Movements_Yr2_7*Long_Term_Monetised_Risk_7)</f>
        <v>0</v>
      </c>
      <c r="H53" s="64" cm="1">
        <f t="array" ref="H53">SUMPRODUCT(Asset_Replacement_Yr2_7*Long_Term_Monetised_Risk_7)</f>
        <v>0</v>
      </c>
      <c r="I53" s="64" cm="1">
        <f t="array" ref="I53">SUMPRODUCT(Asset_Refurbishment_Yr2_7*Long_Term_Monetised_Risk_7)</f>
        <v>0</v>
      </c>
      <c r="J53" s="64" cm="1">
        <f t="array" ref="J53">SUMPRODUCT(Reinforcement_Yr2_7*Long_Term_Monetised_Risk_7)</f>
        <v>0</v>
      </c>
      <c r="K53" s="64" cm="1">
        <f t="array" ref="K53">SUMPRODUCT(Faults_Yr2_7*Long_Term_Monetised_Risk_7)</f>
        <v>0</v>
      </c>
      <c r="L53" s="64" cm="1">
        <f t="array" ref="L53">SUMPRODUCT(HVP_Asset_Replacement_Refurbishment_Yr2_7*Long_Term_Monetised_Risk_7)</f>
        <v>0</v>
      </c>
      <c r="M53" s="64" cm="1">
        <f t="array" ref="M53">SUMPRODUCT(HVP_Other_Yr2_7*Long_Term_Monetised_Risk_7)</f>
        <v>0</v>
      </c>
      <c r="N53" s="64" cm="1">
        <f t="array" ref="N53">SUMPRODUCT(All_Other_Yr2_7*Long_Term_Monetised_Risk_7)</f>
        <v>0</v>
      </c>
      <c r="O53" s="65" cm="1">
        <f t="array" ref="O53">SUMPRODUCT(End_Of_Year_Yr2_7*Long_Term_Monetised_Risk_7)</f>
        <v>0</v>
      </c>
      <c r="Q53" s="110"/>
      <c r="R53" s="111"/>
      <c r="S53" s="119"/>
      <c r="T53" s="114" cm="1">
        <f t="array" ref="T53">SUMPRODUCT(Asset_Replacement_2028_Yr2_7*Long_Term_Monetised_Risk_7)</f>
        <v>0</v>
      </c>
      <c r="U53" s="64" cm="1">
        <f t="array" ref="U53">SUMPRODUCT(Asset_Refurbishment_2028_Yr2_7*Long_Term_Monetised_Risk_7)</f>
        <v>0</v>
      </c>
      <c r="V53" s="65" cm="1">
        <f t="array" ref="V53">SUMPRODUCT(HVP_2028_Yr2_7*Long_Term_Monetised_Risk_7)</f>
        <v>0</v>
      </c>
    </row>
    <row r="54" spans="1:22">
      <c r="B54" s="93" t="s">
        <v>68</v>
      </c>
      <c r="C54" s="91">
        <v>2026</v>
      </c>
      <c r="D54" s="64" cm="1">
        <f t="array" ref="D54">SUMPRODUCT(Start_of_Year_Yr3_7*Long_Term_Monetised_Risk_7)</f>
        <v>0</v>
      </c>
      <c r="E54" s="64" cm="1">
        <f t="array" ref="E54">SUMPRODUCT(Data_Cleansing_Yr3_7*Long_Term_Monetised_Risk_7)</f>
        <v>0</v>
      </c>
      <c r="F54" s="64" cm="1">
        <f t="array" ref="F54">SUMPRODUCT(Deterioration_total_Yr3_7*Long_Term_Monetised_Risk_7)</f>
        <v>0</v>
      </c>
      <c r="G54" s="64" cm="1">
        <f t="array" ref="G54">SUMPRODUCT(Other_Risk_Movements_Yr3_7*Long_Term_Monetised_Risk_7)</f>
        <v>0</v>
      </c>
      <c r="H54" s="64" cm="1">
        <f t="array" ref="H54">SUMPRODUCT(Asset_Replacement_Yr3_7*Long_Term_Monetised_Risk_7)</f>
        <v>0</v>
      </c>
      <c r="I54" s="64" cm="1">
        <f t="array" ref="I54">SUMPRODUCT(Asset_Refurbishment_Yr3_7*Long_Term_Monetised_Risk_7)</f>
        <v>0</v>
      </c>
      <c r="J54" s="64" cm="1">
        <f t="array" ref="J54">SUMPRODUCT(Reinforcement_Yr3_7*Long_Term_Monetised_Risk_7)</f>
        <v>0</v>
      </c>
      <c r="K54" s="64" cm="1">
        <f t="array" ref="K54">SUMPRODUCT(Faults_Yr3_7*Long_Term_Monetised_Risk_7)</f>
        <v>0</v>
      </c>
      <c r="L54" s="64" cm="1">
        <f t="array" ref="L54">SUMPRODUCT(HVP_Asset_Replacement_Refurbishment_Yr3_7*Long_Term_Monetised_Risk_7)</f>
        <v>0</v>
      </c>
      <c r="M54" s="64" cm="1">
        <f t="array" ref="M54">SUMPRODUCT(HVP_Other_Yr3_7*Long_Term_Monetised_Risk_7)</f>
        <v>0</v>
      </c>
      <c r="N54" s="64" cm="1">
        <f t="array" ref="N54">SUMPRODUCT(All_Other_Yr3_7*Long_Term_Monetised_Risk_7)</f>
        <v>0</v>
      </c>
      <c r="O54" s="65" cm="1">
        <f t="array" ref="O54">SUMPRODUCT(End_Of_Year_Yr3_7*Long_Term_Monetised_Risk_7)</f>
        <v>0</v>
      </c>
      <c r="Q54" s="110"/>
      <c r="R54" s="111"/>
      <c r="S54" s="119"/>
      <c r="T54" s="114" cm="1">
        <f t="array" ref="T54">SUMPRODUCT(Asset_Replacement_2028_Yr3_7*Long_Term_Monetised_Risk_7)</f>
        <v>0</v>
      </c>
      <c r="U54" s="64" cm="1">
        <f t="array" ref="U54">SUMPRODUCT(Asset_Refurbishment_2028_Yr3_7*Long_Term_Monetised_Risk_7)</f>
        <v>0</v>
      </c>
      <c r="V54" s="65" cm="1">
        <f t="array" ref="V54">SUMPRODUCT(HVP_2028_Yr3_7*Long_Term_Monetised_Risk_7)</f>
        <v>0</v>
      </c>
    </row>
    <row r="55" spans="1:22">
      <c r="B55" s="93" t="s">
        <v>68</v>
      </c>
      <c r="C55" s="91">
        <v>2027</v>
      </c>
      <c r="D55" s="64" cm="1">
        <f t="array" ref="D55">SUMPRODUCT(Start_of_Year_Yr4_7*Long_Term_Monetised_Risk_7)</f>
        <v>0</v>
      </c>
      <c r="E55" s="64" cm="1">
        <f t="array" ref="E55">SUMPRODUCT(Data_Cleansing_Yr4_7*Long_Term_Monetised_Risk_7)</f>
        <v>0</v>
      </c>
      <c r="F55" s="64" cm="1">
        <f t="array" ref="F55">SUMPRODUCT(Deterioration_total_Yr4_7*Long_Term_Monetised_Risk_7)</f>
        <v>0</v>
      </c>
      <c r="G55" s="64" cm="1">
        <f t="array" ref="G55">SUMPRODUCT(Other_Risk_Movements_Yr4_7*Long_Term_Monetised_Risk_7)</f>
        <v>0</v>
      </c>
      <c r="H55" s="64" cm="1">
        <f t="array" ref="H55">SUMPRODUCT(Asset_Replacement_Yr4_7*Long_Term_Monetised_Risk_7)</f>
        <v>0</v>
      </c>
      <c r="I55" s="64" cm="1">
        <f t="array" ref="I55">SUMPRODUCT(Asset_Refurbishment_Yr4_7*Long_Term_Monetised_Risk_7)</f>
        <v>0</v>
      </c>
      <c r="J55" s="64" cm="1">
        <f t="array" ref="J55">SUMPRODUCT(Reinforcement_Yr4_7*Long_Term_Monetised_Risk_7)</f>
        <v>0</v>
      </c>
      <c r="K55" s="64" cm="1">
        <f t="array" ref="K55">SUMPRODUCT(Faults_Yr4_7*Long_Term_Monetised_Risk_7)</f>
        <v>0</v>
      </c>
      <c r="L55" s="64" cm="1">
        <f t="array" ref="L55">SUMPRODUCT(HVP_Asset_Replacement_Refurbishment_Yr4_7*Long_Term_Monetised_Risk_7)</f>
        <v>0</v>
      </c>
      <c r="M55" s="64" cm="1">
        <f t="array" ref="M55">SUMPRODUCT(HVP_Other_Yr4_7*Long_Term_Monetised_Risk_7)</f>
        <v>0</v>
      </c>
      <c r="N55" s="64" cm="1">
        <f t="array" ref="N55">SUMPRODUCT(All_Other_Yr4_7*Long_Term_Monetised_Risk_7)</f>
        <v>0</v>
      </c>
      <c r="O55" s="65" cm="1">
        <f t="array" ref="O55">SUMPRODUCT(End_Of_Year_Yr4_7*Long_Term_Monetised_Risk_7)</f>
        <v>0</v>
      </c>
      <c r="Q55" s="110"/>
      <c r="R55" s="111"/>
      <c r="S55" s="119"/>
      <c r="T55" s="114" cm="1">
        <f t="array" ref="T55">SUMPRODUCT(Asset_Replacement_2028_Yr4_7*Long_Term_Monetised_Risk_7)</f>
        <v>0</v>
      </c>
      <c r="U55" s="64" cm="1">
        <f t="array" ref="U55">SUMPRODUCT(Asset_Refurbishment_2028_Yr4_7*Long_Term_Monetised_Risk_7)</f>
        <v>0</v>
      </c>
      <c r="V55" s="65" cm="1">
        <f t="array" ref="V55">SUMPRODUCT(HVP_2028_Yr4_7*Long_Term_Monetised_Risk_7)</f>
        <v>0</v>
      </c>
    </row>
    <row r="56" spans="1:22">
      <c r="B56" s="93" t="s">
        <v>68</v>
      </c>
      <c r="C56" s="91">
        <v>2028</v>
      </c>
      <c r="D56" s="64" cm="1">
        <f t="array" ref="D56">SUMPRODUCT(Start_of_Year_Yr5_7*Long_Term_Monetised_Risk_7)</f>
        <v>0</v>
      </c>
      <c r="E56" s="64" cm="1">
        <f t="array" ref="E56">SUMPRODUCT(Data_Cleansing_Yr5_7*Long_Term_Monetised_Risk_7)</f>
        <v>0</v>
      </c>
      <c r="F56" s="64" cm="1">
        <f t="array" ref="F56">SUMPRODUCT(Deterioration_total_Yr5_7*Long_Term_Monetised_Risk_7)</f>
        <v>0</v>
      </c>
      <c r="G56" s="64" cm="1">
        <f t="array" ref="G56">SUMPRODUCT(Other_Risk_Movements_Yr5_7*Long_Term_Monetised_Risk_7)</f>
        <v>0</v>
      </c>
      <c r="H56" s="64" cm="1">
        <f t="array" ref="H56">SUMPRODUCT(Asset_Replacement_Yr5_7*Long_Term_Monetised_Risk_7)</f>
        <v>0</v>
      </c>
      <c r="I56" s="64" cm="1">
        <f t="array" ref="I56">SUMPRODUCT(Asset_Refurbishment_Yr5_7*Long_Term_Monetised_Risk_7)</f>
        <v>0</v>
      </c>
      <c r="J56" s="64" cm="1">
        <f t="array" ref="J56">SUMPRODUCT(Reinforcement_Yr5_7*Long_Term_Monetised_Risk_7)</f>
        <v>0</v>
      </c>
      <c r="K56" s="64" cm="1">
        <f t="array" ref="K56">SUMPRODUCT(Faults_Yr5_7*Long_Term_Monetised_Risk_7)</f>
        <v>0</v>
      </c>
      <c r="L56" s="64" cm="1">
        <f t="array" ref="L56">SUMPRODUCT(HVP_Asset_Replacement_Refurbishment_Yr5_7*Long_Term_Monetised_Risk_7)</f>
        <v>0</v>
      </c>
      <c r="M56" s="64" cm="1">
        <f t="array" ref="M56">SUMPRODUCT(HVP_Other_Yr5_7*Long_Term_Monetised_Risk_7)</f>
        <v>0</v>
      </c>
      <c r="N56" s="64" cm="1">
        <f t="array" ref="N56">SUMPRODUCT(All_Other_Yr5_7*Long_Term_Monetised_Risk_7)</f>
        <v>0</v>
      </c>
      <c r="O56" s="65" cm="1">
        <f t="array" ref="O56">SUMPRODUCT(End_Of_Year_Yr5_7*Long_Term_Monetised_Risk_7)</f>
        <v>0</v>
      </c>
      <c r="Q56" s="110"/>
      <c r="R56" s="111"/>
      <c r="S56" s="119"/>
      <c r="T56" s="114" cm="1">
        <f t="array" ref="T56">SUMPRODUCT(Asset_Replacement_2028_Yr5_7*Long_Term_Monetised_Risk_7)</f>
        <v>0</v>
      </c>
      <c r="U56" s="64" cm="1">
        <f t="array" ref="U56">SUMPRODUCT(Asset_Refurbishment_2028_Yr5_7*Long_Term_Monetised_Risk_7)</f>
        <v>0</v>
      </c>
      <c r="V56" s="65" cm="1">
        <f t="array" ref="V56">SUMPRODUCT(HVP_2028_Yr5_7*Long_Term_Monetised_Risk_7)</f>
        <v>0</v>
      </c>
    </row>
    <row r="57" spans="1:22" ht="14" thickBot="1">
      <c r="B57" s="103" t="s">
        <v>68</v>
      </c>
      <c r="C57" s="104" t="s">
        <v>131</v>
      </c>
      <c r="D57" s="105"/>
      <c r="E57" s="106">
        <f t="shared" ref="E57:O57" si="22">SUM(E52:E56)</f>
        <v>0</v>
      </c>
      <c r="F57" s="106">
        <f t="shared" si="22"/>
        <v>0</v>
      </c>
      <c r="G57" s="106">
        <f t="shared" si="22"/>
        <v>0</v>
      </c>
      <c r="H57" s="106">
        <f t="shared" si="22"/>
        <v>0</v>
      </c>
      <c r="I57" s="106">
        <f t="shared" si="22"/>
        <v>0</v>
      </c>
      <c r="J57" s="106">
        <f t="shared" si="22"/>
        <v>0</v>
      </c>
      <c r="K57" s="106">
        <f t="shared" si="22"/>
        <v>0</v>
      </c>
      <c r="L57" s="106">
        <f t="shared" si="22"/>
        <v>0</v>
      </c>
      <c r="M57" s="106">
        <f t="shared" si="22"/>
        <v>0</v>
      </c>
      <c r="N57" s="106">
        <f t="shared" si="22"/>
        <v>0</v>
      </c>
      <c r="O57" s="537">
        <f t="shared" si="22"/>
        <v>0</v>
      </c>
      <c r="Q57" s="107" t="str">
        <f ca="1">VLOOKUP($B57,'NARM4 - ED2 NARW Risk Movements'!$B$7:$G$67,4,FALSE)</f>
        <v/>
      </c>
      <c r="R57" s="109" t="str">
        <f ca="1">VLOOKUP($B57,'NARM4 - ED2 NARW Risk Movements'!$B$7:$G$67,5,FALSE)</f>
        <v/>
      </c>
      <c r="S57" s="121" t="str">
        <f ca="1">VLOOKUP($B57,'NARM4 - ED2 NARW Risk Movements'!$B$7:$G$67,6,FALSE)</f>
        <v/>
      </c>
      <c r="T57" s="117">
        <f>SUM(T52:T56)</f>
        <v>0</v>
      </c>
      <c r="U57" s="106">
        <f t="shared" ref="U57" si="23">SUM(U52:U56)</f>
        <v>0</v>
      </c>
      <c r="V57" s="108">
        <f>SUM(V52:V56)</f>
        <v>0</v>
      </c>
    </row>
    <row r="58" spans="1:22" ht="14" thickTop="1">
      <c r="A58" s="143">
        <v>8</v>
      </c>
      <c r="B58" s="99" t="s">
        <v>69</v>
      </c>
      <c r="C58" s="100">
        <v>2024</v>
      </c>
      <c r="D58" s="101" cm="1">
        <f t="array" ref="D58">SUMPRODUCT(Start_of_Year_Yr1_8*Long_Term_Monetised_Risk_8)</f>
        <v>0</v>
      </c>
      <c r="E58" s="101" cm="1">
        <f t="array" ref="E58">SUMPRODUCT(Data_Cleansing_Yr1_8*Long_Term_Monetised_Risk_8)</f>
        <v>0</v>
      </c>
      <c r="F58" s="101" cm="1">
        <f t="array" ref="F58">SUMPRODUCT(Deterioration_total_Yr1_8*Long_Term_Monetised_Risk_8)</f>
        <v>0</v>
      </c>
      <c r="G58" s="101" cm="1">
        <f t="array" ref="G58">SUMPRODUCT(Other_Risk_Movements_Yr1_8*Long_Term_Monetised_Risk_8)</f>
        <v>0</v>
      </c>
      <c r="H58" s="101" cm="1">
        <f t="array" ref="H58">SUMPRODUCT(Asset_Replacement_Yr1_8*Long_Term_Monetised_Risk_8)</f>
        <v>0</v>
      </c>
      <c r="I58" s="101" cm="1">
        <f t="array" ref="I58">SUMPRODUCT(Asset_Refurbishment_Yr1_8*Long_Term_Monetised_Risk_8)</f>
        <v>0</v>
      </c>
      <c r="J58" s="101" cm="1">
        <f t="array" ref="J58">SUMPRODUCT(Reinforcement_Yr1_8*Long_Term_Monetised_Risk_8)</f>
        <v>0</v>
      </c>
      <c r="K58" s="101" cm="1">
        <f t="array" ref="K58">SUMPRODUCT(Faults_Yr1_8*Long_Term_Monetised_Risk_8)</f>
        <v>0</v>
      </c>
      <c r="L58" s="101" cm="1">
        <f t="array" ref="L58">SUMPRODUCT(HVP_Asset_Replacement_Refurbishment_Yr1_8*Long_Term_Monetised_Risk_8)</f>
        <v>0</v>
      </c>
      <c r="M58" s="101" cm="1">
        <f t="array" ref="M58">SUMPRODUCT(HVP_Other_Yr1_8*Long_Term_Monetised_Risk_8)</f>
        <v>0</v>
      </c>
      <c r="N58" s="101" cm="1">
        <f t="array" ref="N58">SUMPRODUCT(All_Other_Yr1_8*Long_Term_Monetised_Risk_8)</f>
        <v>0</v>
      </c>
      <c r="O58" s="102" cm="1">
        <f t="array" ref="O58">SUMPRODUCT(End_Of_Year_Yr1_8*Long_Term_Monetised_Risk_8)</f>
        <v>0</v>
      </c>
      <c r="Q58" s="112"/>
      <c r="R58" s="113"/>
      <c r="S58" s="120"/>
      <c r="T58" s="115" cm="1">
        <f t="array" ref="T58">SUMPRODUCT(Asset_Replacement_2028_Yr1_8*Long_Term_Monetised_Risk_8)</f>
        <v>0</v>
      </c>
      <c r="U58" s="101" cm="1">
        <f t="array" ref="U58">SUMPRODUCT(Asset_Refurbishment_2028_Yr1_8*Long_Term_Monetised_Risk_8)</f>
        <v>0</v>
      </c>
      <c r="V58" s="102" cm="1">
        <f t="array" ref="V58">SUMPRODUCT(HVP_2028_Yr1_8*Long_Term_Monetised_Risk_8)</f>
        <v>0</v>
      </c>
    </row>
    <row r="59" spans="1:22">
      <c r="B59" s="93" t="s">
        <v>69</v>
      </c>
      <c r="C59" s="91">
        <v>2025</v>
      </c>
      <c r="D59" s="64" cm="1">
        <f t="array" ref="D59">SUMPRODUCT(Start_of_Year_Yr2_8*Long_Term_Monetised_Risk_8)</f>
        <v>0</v>
      </c>
      <c r="E59" s="64" cm="1">
        <f t="array" ref="E59">SUMPRODUCT(Data_Cleansing_Yr2_8*Long_Term_Monetised_Risk_8)</f>
        <v>0</v>
      </c>
      <c r="F59" s="64" cm="1">
        <f t="array" ref="F59">SUMPRODUCT(Deterioration_total_Yr2_8*Long_Term_Monetised_Risk_8)</f>
        <v>0</v>
      </c>
      <c r="G59" s="64" cm="1">
        <f t="array" ref="G59">SUMPRODUCT(Other_Risk_Movements_Yr2_8*Long_Term_Monetised_Risk_8)</f>
        <v>0</v>
      </c>
      <c r="H59" s="64" cm="1">
        <f t="array" ref="H59">SUMPRODUCT(Asset_Replacement_Yr2_8*Long_Term_Monetised_Risk_8)</f>
        <v>0</v>
      </c>
      <c r="I59" s="64" cm="1">
        <f t="array" ref="I59">SUMPRODUCT(Asset_Refurbishment_Yr2_8*Long_Term_Monetised_Risk_8)</f>
        <v>0</v>
      </c>
      <c r="J59" s="64" cm="1">
        <f t="array" ref="J59">SUMPRODUCT(Reinforcement_Yr2_8*Long_Term_Monetised_Risk_8)</f>
        <v>0</v>
      </c>
      <c r="K59" s="64" cm="1">
        <f t="array" ref="K59">SUMPRODUCT(Faults_Yr2_8*Long_Term_Monetised_Risk_8)</f>
        <v>0</v>
      </c>
      <c r="L59" s="64" cm="1">
        <f t="array" ref="L59">SUMPRODUCT(HVP_Asset_Replacement_Refurbishment_Yr2_8*Long_Term_Monetised_Risk_8)</f>
        <v>0</v>
      </c>
      <c r="M59" s="64" cm="1">
        <f t="array" ref="M59">SUMPRODUCT(HVP_Other_Yr2_8*Long_Term_Monetised_Risk_8)</f>
        <v>0</v>
      </c>
      <c r="N59" s="64" cm="1">
        <f t="array" ref="N59">SUMPRODUCT(All_Other_Yr2_8*Long_Term_Monetised_Risk_8)</f>
        <v>0</v>
      </c>
      <c r="O59" s="65" cm="1">
        <f t="array" ref="O59">SUMPRODUCT(End_Of_Year_Yr2_8*Long_Term_Monetised_Risk_8)</f>
        <v>0</v>
      </c>
      <c r="Q59" s="110"/>
      <c r="R59" s="111"/>
      <c r="S59" s="119"/>
      <c r="T59" s="114" cm="1">
        <f t="array" ref="T59">SUMPRODUCT(Asset_Replacement_2028_Yr2_8*Long_Term_Monetised_Risk_8)</f>
        <v>0</v>
      </c>
      <c r="U59" s="64" cm="1">
        <f t="array" ref="U59">SUMPRODUCT(Asset_Refurbishment_2028_Yr2_8*Long_Term_Monetised_Risk_8)</f>
        <v>0</v>
      </c>
      <c r="V59" s="65" cm="1">
        <f t="array" ref="V59">SUMPRODUCT(HVP_2028_Yr2_8*Long_Term_Monetised_Risk_8)</f>
        <v>0</v>
      </c>
    </row>
    <row r="60" spans="1:22">
      <c r="B60" s="93" t="s">
        <v>69</v>
      </c>
      <c r="C60" s="91">
        <v>2026</v>
      </c>
      <c r="D60" s="64" cm="1">
        <f t="array" ref="D60">SUMPRODUCT(Start_of_Year_Yr3_8*Long_Term_Monetised_Risk_8)</f>
        <v>0</v>
      </c>
      <c r="E60" s="64" cm="1">
        <f t="array" ref="E60">SUMPRODUCT(Data_Cleansing_Yr3_8*Long_Term_Monetised_Risk_8)</f>
        <v>0</v>
      </c>
      <c r="F60" s="64" cm="1">
        <f t="array" ref="F60">SUMPRODUCT(Deterioration_total_Yr3_8*Long_Term_Monetised_Risk_8)</f>
        <v>0</v>
      </c>
      <c r="G60" s="64" cm="1">
        <f t="array" ref="G60">SUMPRODUCT(Other_Risk_Movements_Yr3_8*Long_Term_Monetised_Risk_8)</f>
        <v>0</v>
      </c>
      <c r="H60" s="64" cm="1">
        <f t="array" ref="H60">SUMPRODUCT(Asset_Replacement_Yr3_8*Long_Term_Monetised_Risk_8)</f>
        <v>0</v>
      </c>
      <c r="I60" s="64" cm="1">
        <f t="array" ref="I60">SUMPRODUCT(Asset_Refurbishment_Yr3_8*Long_Term_Monetised_Risk_8)</f>
        <v>0</v>
      </c>
      <c r="J60" s="64" cm="1">
        <f t="array" ref="J60">SUMPRODUCT(Reinforcement_Yr3_8*Long_Term_Monetised_Risk_8)</f>
        <v>0</v>
      </c>
      <c r="K60" s="64" cm="1">
        <f t="array" ref="K60">SUMPRODUCT(Faults_Yr3_8*Long_Term_Monetised_Risk_8)</f>
        <v>0</v>
      </c>
      <c r="L60" s="64" cm="1">
        <f t="array" ref="L60">SUMPRODUCT(HVP_Asset_Replacement_Refurbishment_Yr3_8*Long_Term_Monetised_Risk_8)</f>
        <v>0</v>
      </c>
      <c r="M60" s="64" cm="1">
        <f t="array" ref="M60">SUMPRODUCT(HVP_Other_Yr3_8*Long_Term_Monetised_Risk_8)</f>
        <v>0</v>
      </c>
      <c r="N60" s="64" cm="1">
        <f t="array" ref="N60">SUMPRODUCT(All_Other_Yr3_8*Long_Term_Monetised_Risk_8)</f>
        <v>0</v>
      </c>
      <c r="O60" s="65" cm="1">
        <f t="array" ref="O60">SUMPRODUCT(End_Of_Year_Yr3_8*Long_Term_Monetised_Risk_8)</f>
        <v>0</v>
      </c>
      <c r="Q60" s="110"/>
      <c r="R60" s="111"/>
      <c r="S60" s="119"/>
      <c r="T60" s="114" cm="1">
        <f t="array" ref="T60">SUMPRODUCT(Asset_Replacement_2028_Yr3_8*Long_Term_Monetised_Risk_8)</f>
        <v>0</v>
      </c>
      <c r="U60" s="64" cm="1">
        <f t="array" ref="U60">SUMPRODUCT(Asset_Refurbishment_2028_Yr3_8*Long_Term_Monetised_Risk_8)</f>
        <v>0</v>
      </c>
      <c r="V60" s="65" cm="1">
        <f t="array" ref="V60">SUMPRODUCT(HVP_2028_Yr3_8*Long_Term_Monetised_Risk_8)</f>
        <v>0</v>
      </c>
    </row>
    <row r="61" spans="1:22">
      <c r="B61" s="93" t="s">
        <v>69</v>
      </c>
      <c r="C61" s="91">
        <v>2027</v>
      </c>
      <c r="D61" s="64" cm="1">
        <f t="array" ref="D61">SUMPRODUCT(Start_of_Year_Yr4_8*Long_Term_Monetised_Risk_8)</f>
        <v>0</v>
      </c>
      <c r="E61" s="64" cm="1">
        <f t="array" ref="E61">SUMPRODUCT(Data_Cleansing_Yr4_8*Long_Term_Monetised_Risk_8)</f>
        <v>0</v>
      </c>
      <c r="F61" s="64" cm="1">
        <f t="array" ref="F61">SUMPRODUCT(Deterioration_total_Yr4_8*Long_Term_Monetised_Risk_8)</f>
        <v>0</v>
      </c>
      <c r="G61" s="64" cm="1">
        <f t="array" ref="G61">SUMPRODUCT(Other_Risk_Movements_Yr4_8*Long_Term_Monetised_Risk_8)</f>
        <v>0</v>
      </c>
      <c r="H61" s="64" cm="1">
        <f t="array" ref="H61">SUMPRODUCT(Asset_Replacement_Yr4_8*Long_Term_Monetised_Risk_8)</f>
        <v>0</v>
      </c>
      <c r="I61" s="64" cm="1">
        <f t="array" ref="I61">SUMPRODUCT(Asset_Refurbishment_Yr4_8*Long_Term_Monetised_Risk_8)</f>
        <v>0</v>
      </c>
      <c r="J61" s="64" cm="1">
        <f t="array" ref="J61">SUMPRODUCT(Reinforcement_Yr4_8*Long_Term_Monetised_Risk_8)</f>
        <v>0</v>
      </c>
      <c r="K61" s="64" cm="1">
        <f t="array" ref="K61">SUMPRODUCT(Faults_Yr4_8*Long_Term_Monetised_Risk_8)</f>
        <v>0</v>
      </c>
      <c r="L61" s="64" cm="1">
        <f t="array" ref="L61">SUMPRODUCT(HVP_Asset_Replacement_Refurbishment_Yr4_8*Long_Term_Monetised_Risk_8)</f>
        <v>0</v>
      </c>
      <c r="M61" s="64" cm="1">
        <f t="array" ref="M61">SUMPRODUCT(HVP_Other_Yr4_8*Long_Term_Monetised_Risk_8)</f>
        <v>0</v>
      </c>
      <c r="N61" s="64" cm="1">
        <f t="array" ref="N61">SUMPRODUCT(All_Other_Yr4_8*Long_Term_Monetised_Risk_8)</f>
        <v>0</v>
      </c>
      <c r="O61" s="65" cm="1">
        <f t="array" ref="O61">SUMPRODUCT(End_Of_Year_Yr4_8*Long_Term_Monetised_Risk_8)</f>
        <v>0</v>
      </c>
      <c r="Q61" s="110"/>
      <c r="R61" s="111"/>
      <c r="S61" s="119"/>
      <c r="T61" s="114" cm="1">
        <f t="array" ref="T61">SUMPRODUCT(Asset_Replacement_2028_Yr4_8*Long_Term_Monetised_Risk_8)</f>
        <v>0</v>
      </c>
      <c r="U61" s="64" cm="1">
        <f t="array" ref="U61">SUMPRODUCT(Asset_Refurbishment_2028_Yr4_8*Long_Term_Monetised_Risk_8)</f>
        <v>0</v>
      </c>
      <c r="V61" s="65" cm="1">
        <f t="array" ref="V61">SUMPRODUCT(HVP_2028_Yr4_8*Long_Term_Monetised_Risk_8)</f>
        <v>0</v>
      </c>
    </row>
    <row r="62" spans="1:22">
      <c r="B62" s="93" t="s">
        <v>69</v>
      </c>
      <c r="C62" s="91">
        <v>2028</v>
      </c>
      <c r="D62" s="64" cm="1">
        <f t="array" ref="D62">SUMPRODUCT(Start_of_Year_Yr5_8*Long_Term_Monetised_Risk_8)</f>
        <v>0</v>
      </c>
      <c r="E62" s="64" cm="1">
        <f t="array" ref="E62">SUMPRODUCT(Data_Cleansing_Yr5_8*Long_Term_Monetised_Risk_8)</f>
        <v>0</v>
      </c>
      <c r="F62" s="64" cm="1">
        <f t="array" ref="F62">SUMPRODUCT(Deterioration_total_Yr5_8*Long_Term_Monetised_Risk_8)</f>
        <v>0</v>
      </c>
      <c r="G62" s="64" cm="1">
        <f t="array" ref="G62">SUMPRODUCT(Other_Risk_Movements_Yr5_8*Long_Term_Monetised_Risk_8)</f>
        <v>0</v>
      </c>
      <c r="H62" s="64" cm="1">
        <f t="array" ref="H62">SUMPRODUCT(Asset_Replacement_Yr5_8*Long_Term_Monetised_Risk_8)</f>
        <v>0</v>
      </c>
      <c r="I62" s="64" cm="1">
        <f t="array" ref="I62">SUMPRODUCT(Asset_Refurbishment_Yr5_8*Long_Term_Monetised_Risk_8)</f>
        <v>0</v>
      </c>
      <c r="J62" s="64" cm="1">
        <f t="array" ref="J62">SUMPRODUCT(Reinforcement_Yr5_8*Long_Term_Monetised_Risk_8)</f>
        <v>0</v>
      </c>
      <c r="K62" s="64" cm="1">
        <f t="array" ref="K62">SUMPRODUCT(Faults_Yr5_8*Long_Term_Monetised_Risk_8)</f>
        <v>0</v>
      </c>
      <c r="L62" s="64" cm="1">
        <f t="array" ref="L62">SUMPRODUCT(HVP_Asset_Replacement_Refurbishment_Yr5_8*Long_Term_Monetised_Risk_8)</f>
        <v>0</v>
      </c>
      <c r="M62" s="64" cm="1">
        <f t="array" ref="M62">SUMPRODUCT(HVP_Other_Yr5_8*Long_Term_Monetised_Risk_8)</f>
        <v>0</v>
      </c>
      <c r="N62" s="64" cm="1">
        <f t="array" ref="N62">SUMPRODUCT(All_Other_Yr5_8*Long_Term_Monetised_Risk_8)</f>
        <v>0</v>
      </c>
      <c r="O62" s="65" cm="1">
        <f t="array" ref="O62">SUMPRODUCT(End_Of_Year_Yr5_8*Long_Term_Monetised_Risk_8)</f>
        <v>0</v>
      </c>
      <c r="Q62" s="110"/>
      <c r="R62" s="111"/>
      <c r="S62" s="119"/>
      <c r="T62" s="114" cm="1">
        <f t="array" ref="T62">SUMPRODUCT(Asset_Replacement_2028_Yr5_8*Long_Term_Monetised_Risk_8)</f>
        <v>0</v>
      </c>
      <c r="U62" s="64" cm="1">
        <f t="array" ref="U62">SUMPRODUCT(Asset_Refurbishment_2028_Yr5_8*Long_Term_Monetised_Risk_8)</f>
        <v>0</v>
      </c>
      <c r="V62" s="65" cm="1">
        <f t="array" ref="V62">SUMPRODUCT(HVP_2028_Yr5_8*Long_Term_Monetised_Risk_8)</f>
        <v>0</v>
      </c>
    </row>
    <row r="63" spans="1:22" ht="14" thickBot="1">
      <c r="B63" s="103" t="s">
        <v>69</v>
      </c>
      <c r="C63" s="104" t="s">
        <v>131</v>
      </c>
      <c r="D63" s="105"/>
      <c r="E63" s="106">
        <f t="shared" ref="E63:O63" si="24">SUM(E58:E62)</f>
        <v>0</v>
      </c>
      <c r="F63" s="106">
        <f t="shared" si="24"/>
        <v>0</v>
      </c>
      <c r="G63" s="106">
        <f t="shared" si="24"/>
        <v>0</v>
      </c>
      <c r="H63" s="106">
        <f t="shared" si="24"/>
        <v>0</v>
      </c>
      <c r="I63" s="106">
        <f t="shared" si="24"/>
        <v>0</v>
      </c>
      <c r="J63" s="106">
        <f t="shared" si="24"/>
        <v>0</v>
      </c>
      <c r="K63" s="106">
        <f t="shared" si="24"/>
        <v>0</v>
      </c>
      <c r="L63" s="106">
        <f t="shared" si="24"/>
        <v>0</v>
      </c>
      <c r="M63" s="106">
        <f t="shared" si="24"/>
        <v>0</v>
      </c>
      <c r="N63" s="106">
        <f t="shared" si="24"/>
        <v>0</v>
      </c>
      <c r="O63" s="537">
        <f t="shared" si="24"/>
        <v>0</v>
      </c>
      <c r="Q63" s="107" t="str">
        <f ca="1">VLOOKUP($B63,'NARM4 - ED2 NARW Risk Movements'!$B$7:$G$67,4,FALSE)</f>
        <v/>
      </c>
      <c r="R63" s="109" t="str">
        <f ca="1">VLOOKUP($B63,'NARM4 - ED2 NARW Risk Movements'!$B$7:$G$67,5,FALSE)</f>
        <v/>
      </c>
      <c r="S63" s="121" t="str">
        <f ca="1">VLOOKUP($B63,'NARM4 - ED2 NARW Risk Movements'!$B$7:$G$67,6,FALSE)</f>
        <v/>
      </c>
      <c r="T63" s="117">
        <f>SUM(T58:T62)</f>
        <v>0</v>
      </c>
      <c r="U63" s="106">
        <f t="shared" ref="U63" si="25">SUM(U58:U62)</f>
        <v>0</v>
      </c>
      <c r="V63" s="108">
        <f>SUM(V58:V62)</f>
        <v>0</v>
      </c>
    </row>
    <row r="64" spans="1:22" ht="14" thickTop="1">
      <c r="A64" s="143">
        <v>9</v>
      </c>
      <c r="B64" s="99" t="s">
        <v>70</v>
      </c>
      <c r="C64" s="100">
        <v>2024</v>
      </c>
      <c r="D64" s="101" cm="1">
        <f t="array" ref="D64">SUMPRODUCT(Start_of_Year_Yr1_9*Long_Term_Monetised_Risk_9)</f>
        <v>0</v>
      </c>
      <c r="E64" s="101" cm="1">
        <f t="array" ref="E64">SUMPRODUCT(Data_Cleansing_Yr1_9*Long_Term_Monetised_Risk_9)</f>
        <v>0</v>
      </c>
      <c r="F64" s="101" cm="1">
        <f t="array" ref="F64">SUMPRODUCT(Deterioration_total_Yr1_9*Long_Term_Monetised_Risk_9)</f>
        <v>0</v>
      </c>
      <c r="G64" s="101" cm="1">
        <f t="array" ref="G64">SUMPRODUCT(Other_Risk_Movements_Yr1_9*Long_Term_Monetised_Risk_9)</f>
        <v>0</v>
      </c>
      <c r="H64" s="101" cm="1">
        <f t="array" ref="H64">SUMPRODUCT(Asset_Replacement_Yr1_9*Long_Term_Monetised_Risk_9)</f>
        <v>0</v>
      </c>
      <c r="I64" s="101" cm="1">
        <f t="array" ref="I64">SUMPRODUCT(Asset_Refurbishment_Yr1_9*Long_Term_Monetised_Risk_9)</f>
        <v>0</v>
      </c>
      <c r="J64" s="101" cm="1">
        <f t="array" ref="J64">SUMPRODUCT(Reinforcement_Yr1_9*Long_Term_Monetised_Risk_9)</f>
        <v>0</v>
      </c>
      <c r="K64" s="101" cm="1">
        <f t="array" ref="K64">SUMPRODUCT(Faults_Yr1_9*Long_Term_Monetised_Risk_9)</f>
        <v>0</v>
      </c>
      <c r="L64" s="101" cm="1">
        <f t="array" ref="L64">SUMPRODUCT(HVP_Asset_Replacement_Refurbishment_Yr1_9*Long_Term_Monetised_Risk_9)</f>
        <v>0</v>
      </c>
      <c r="M64" s="101" cm="1">
        <f t="array" ref="M64">SUMPRODUCT(HVP_Other_Yr1_9*Long_Term_Monetised_Risk_9)</f>
        <v>0</v>
      </c>
      <c r="N64" s="101" cm="1">
        <f t="array" ref="N64">SUMPRODUCT(All_Other_Yr1_9*Long_Term_Monetised_Risk_9)</f>
        <v>0</v>
      </c>
      <c r="O64" s="102" cm="1">
        <f t="array" ref="O64">SUMPRODUCT(End_Of_Year_Yr1_9*Long_Term_Monetised_Risk_9)</f>
        <v>0</v>
      </c>
      <c r="Q64" s="112"/>
      <c r="R64" s="113"/>
      <c r="S64" s="120"/>
      <c r="T64" s="115" cm="1">
        <f t="array" ref="T64">SUMPRODUCT(Asset_Replacement_2028_Yr1_9*Long_Term_Monetised_Risk_9)</f>
        <v>0</v>
      </c>
      <c r="U64" s="101" cm="1">
        <f t="array" ref="U64">SUMPRODUCT(Asset_Refurbishment_2028_Yr1_9*Long_Term_Monetised_Risk_9)</f>
        <v>0</v>
      </c>
      <c r="V64" s="102" cm="1">
        <f t="array" ref="V64">SUMPRODUCT(HVP_2028_Yr1_9*Long_Term_Monetised_Risk_9)</f>
        <v>0</v>
      </c>
    </row>
    <row r="65" spans="1:22">
      <c r="B65" s="93" t="s">
        <v>70</v>
      </c>
      <c r="C65" s="91">
        <v>2025</v>
      </c>
      <c r="D65" s="64" cm="1">
        <f t="array" ref="D65">SUMPRODUCT(Start_of_Year_Yr2_9*Long_Term_Monetised_Risk_9)</f>
        <v>0</v>
      </c>
      <c r="E65" s="64" cm="1">
        <f t="array" ref="E65">SUMPRODUCT(Data_Cleansing_Yr2_9*Long_Term_Monetised_Risk_9)</f>
        <v>0</v>
      </c>
      <c r="F65" s="64" cm="1">
        <f t="array" ref="F65">SUMPRODUCT(Deterioration_total_Yr2_9*Long_Term_Monetised_Risk_9)</f>
        <v>0</v>
      </c>
      <c r="G65" s="64" cm="1">
        <f t="array" ref="G65">SUMPRODUCT(Other_Risk_Movements_Yr2_9*Long_Term_Monetised_Risk_9)</f>
        <v>0</v>
      </c>
      <c r="H65" s="64" cm="1">
        <f t="array" ref="H65">SUMPRODUCT(Asset_Replacement_Yr2_9*Long_Term_Monetised_Risk_9)</f>
        <v>0</v>
      </c>
      <c r="I65" s="64" cm="1">
        <f t="array" ref="I65">SUMPRODUCT(Asset_Refurbishment_Yr2_9*Long_Term_Monetised_Risk_9)</f>
        <v>0</v>
      </c>
      <c r="J65" s="64" cm="1">
        <f t="array" ref="J65">SUMPRODUCT(Reinforcement_Yr2_9*Long_Term_Monetised_Risk_9)</f>
        <v>0</v>
      </c>
      <c r="K65" s="64" cm="1">
        <f t="array" ref="K65">SUMPRODUCT(Faults_Yr2_9*Long_Term_Monetised_Risk_9)</f>
        <v>0</v>
      </c>
      <c r="L65" s="64" cm="1">
        <f t="array" ref="L65">SUMPRODUCT(HVP_Asset_Replacement_Refurbishment_Yr2_9*Long_Term_Monetised_Risk_9)</f>
        <v>0</v>
      </c>
      <c r="M65" s="64" cm="1">
        <f t="array" ref="M65">SUMPRODUCT(HVP_Other_Yr2_9*Long_Term_Monetised_Risk_9)</f>
        <v>0</v>
      </c>
      <c r="N65" s="64" cm="1">
        <f t="array" ref="N65">SUMPRODUCT(All_Other_Yr2_9*Long_Term_Monetised_Risk_9)</f>
        <v>0</v>
      </c>
      <c r="O65" s="65" cm="1">
        <f t="array" ref="O65">SUMPRODUCT(End_Of_Year_Yr2_9*Long_Term_Monetised_Risk_9)</f>
        <v>0</v>
      </c>
      <c r="Q65" s="110"/>
      <c r="R65" s="111"/>
      <c r="S65" s="119"/>
      <c r="T65" s="114" cm="1">
        <f t="array" ref="T65">SUMPRODUCT(Asset_Replacement_2028_Yr2_9*Long_Term_Monetised_Risk_9)</f>
        <v>0</v>
      </c>
      <c r="U65" s="64" cm="1">
        <f t="array" ref="U65">SUMPRODUCT(Asset_Refurbishment_2028_Yr2_9*Long_Term_Monetised_Risk_9)</f>
        <v>0</v>
      </c>
      <c r="V65" s="65" cm="1">
        <f t="array" ref="V65">SUMPRODUCT(HVP_2028_Yr2_9*Long_Term_Monetised_Risk_9)</f>
        <v>0</v>
      </c>
    </row>
    <row r="66" spans="1:22">
      <c r="B66" s="93" t="s">
        <v>70</v>
      </c>
      <c r="C66" s="91">
        <v>2026</v>
      </c>
      <c r="D66" s="64" cm="1">
        <f t="array" ref="D66">SUMPRODUCT(Start_of_Year_Yr3_9*Long_Term_Monetised_Risk_9)</f>
        <v>0</v>
      </c>
      <c r="E66" s="64" cm="1">
        <f t="array" ref="E66">SUMPRODUCT(Data_Cleansing_Yr3_9*Long_Term_Monetised_Risk_9)</f>
        <v>0</v>
      </c>
      <c r="F66" s="64" cm="1">
        <f t="array" ref="F66">SUMPRODUCT(Deterioration_total_Yr3_9*Long_Term_Monetised_Risk_9)</f>
        <v>0</v>
      </c>
      <c r="G66" s="64" cm="1">
        <f t="array" ref="G66">SUMPRODUCT(Other_Risk_Movements_Yr3_9*Long_Term_Monetised_Risk_9)</f>
        <v>0</v>
      </c>
      <c r="H66" s="64" cm="1">
        <f t="array" ref="H66">SUMPRODUCT(Asset_Replacement_Yr3_9*Long_Term_Monetised_Risk_9)</f>
        <v>0</v>
      </c>
      <c r="I66" s="64" cm="1">
        <f t="array" ref="I66">SUMPRODUCT(Asset_Refurbishment_Yr3_9*Long_Term_Monetised_Risk_9)</f>
        <v>0</v>
      </c>
      <c r="J66" s="64" cm="1">
        <f t="array" ref="J66">SUMPRODUCT(Reinforcement_Yr3_9*Long_Term_Monetised_Risk_9)</f>
        <v>0</v>
      </c>
      <c r="K66" s="64" cm="1">
        <f t="array" ref="K66">SUMPRODUCT(Faults_Yr3_9*Long_Term_Monetised_Risk_9)</f>
        <v>0</v>
      </c>
      <c r="L66" s="64" cm="1">
        <f t="array" ref="L66">SUMPRODUCT(HVP_Asset_Replacement_Refurbishment_Yr3_9*Long_Term_Monetised_Risk_9)</f>
        <v>0</v>
      </c>
      <c r="M66" s="64" cm="1">
        <f t="array" ref="M66">SUMPRODUCT(HVP_Other_Yr3_9*Long_Term_Monetised_Risk_9)</f>
        <v>0</v>
      </c>
      <c r="N66" s="64" cm="1">
        <f t="array" ref="N66">SUMPRODUCT(All_Other_Yr3_9*Long_Term_Monetised_Risk_9)</f>
        <v>0</v>
      </c>
      <c r="O66" s="65" cm="1">
        <f t="array" ref="O66">SUMPRODUCT(End_Of_Year_Yr3_9*Long_Term_Monetised_Risk_9)</f>
        <v>0</v>
      </c>
      <c r="Q66" s="110"/>
      <c r="R66" s="111"/>
      <c r="S66" s="119"/>
      <c r="T66" s="114" cm="1">
        <f t="array" ref="T66">SUMPRODUCT(Asset_Replacement_2028_Yr3_9*Long_Term_Monetised_Risk_9)</f>
        <v>0</v>
      </c>
      <c r="U66" s="64" cm="1">
        <f t="array" ref="U66">SUMPRODUCT(Asset_Refurbishment_2028_Yr3_9*Long_Term_Monetised_Risk_9)</f>
        <v>0</v>
      </c>
      <c r="V66" s="65" cm="1">
        <f t="array" ref="V66">SUMPRODUCT(HVP_2028_Yr3_9*Long_Term_Monetised_Risk_9)</f>
        <v>0</v>
      </c>
    </row>
    <row r="67" spans="1:22">
      <c r="B67" s="93" t="s">
        <v>70</v>
      </c>
      <c r="C67" s="91">
        <v>2027</v>
      </c>
      <c r="D67" s="64" cm="1">
        <f t="array" ref="D67">SUMPRODUCT(Start_of_Year_Yr4_9*Long_Term_Monetised_Risk_9)</f>
        <v>0</v>
      </c>
      <c r="E67" s="64" cm="1">
        <f t="array" ref="E67">SUMPRODUCT(Data_Cleansing_Yr4_9*Long_Term_Monetised_Risk_9)</f>
        <v>0</v>
      </c>
      <c r="F67" s="64" cm="1">
        <f t="array" ref="F67">SUMPRODUCT(Deterioration_total_Yr4_9*Long_Term_Monetised_Risk_9)</f>
        <v>0</v>
      </c>
      <c r="G67" s="64" cm="1">
        <f t="array" ref="G67">SUMPRODUCT(Other_Risk_Movements_Yr4_9*Long_Term_Monetised_Risk_9)</f>
        <v>0</v>
      </c>
      <c r="H67" s="64" cm="1">
        <f t="array" ref="H67">SUMPRODUCT(Asset_Replacement_Yr4_9*Long_Term_Monetised_Risk_9)</f>
        <v>0</v>
      </c>
      <c r="I67" s="64" cm="1">
        <f t="array" ref="I67">SUMPRODUCT(Asset_Refurbishment_Yr4_9*Long_Term_Monetised_Risk_9)</f>
        <v>0</v>
      </c>
      <c r="J67" s="64" cm="1">
        <f t="array" ref="J67">SUMPRODUCT(Reinforcement_Yr4_9*Long_Term_Monetised_Risk_9)</f>
        <v>0</v>
      </c>
      <c r="K67" s="64" cm="1">
        <f t="array" ref="K67">SUMPRODUCT(Faults_Yr4_9*Long_Term_Monetised_Risk_9)</f>
        <v>0</v>
      </c>
      <c r="L67" s="64" cm="1">
        <f t="array" ref="L67">SUMPRODUCT(HVP_Asset_Replacement_Refurbishment_Yr4_9*Long_Term_Monetised_Risk_9)</f>
        <v>0</v>
      </c>
      <c r="M67" s="64" cm="1">
        <f t="array" ref="M67">SUMPRODUCT(HVP_Other_Yr4_9*Long_Term_Monetised_Risk_9)</f>
        <v>0</v>
      </c>
      <c r="N67" s="64" cm="1">
        <f t="array" ref="N67">SUMPRODUCT(All_Other_Yr4_9*Long_Term_Monetised_Risk_9)</f>
        <v>0</v>
      </c>
      <c r="O67" s="65" cm="1">
        <f t="array" ref="O67">SUMPRODUCT(End_Of_Year_Yr4_9*Long_Term_Monetised_Risk_9)</f>
        <v>0</v>
      </c>
      <c r="Q67" s="110"/>
      <c r="R67" s="111"/>
      <c r="S67" s="119"/>
      <c r="T67" s="114" cm="1">
        <f t="array" ref="T67">SUMPRODUCT(Asset_Replacement_2028_Yr4_9*Long_Term_Monetised_Risk_9)</f>
        <v>0</v>
      </c>
      <c r="U67" s="64" cm="1">
        <f t="array" ref="U67">SUMPRODUCT(Asset_Refurbishment_2028_Yr4_9*Long_Term_Monetised_Risk_9)</f>
        <v>0</v>
      </c>
      <c r="V67" s="65" cm="1">
        <f t="array" ref="V67">SUMPRODUCT(HVP_2028_Yr4_9*Long_Term_Monetised_Risk_9)</f>
        <v>0</v>
      </c>
    </row>
    <row r="68" spans="1:22">
      <c r="B68" s="93" t="s">
        <v>70</v>
      </c>
      <c r="C68" s="91">
        <v>2028</v>
      </c>
      <c r="D68" s="64" cm="1">
        <f t="array" ref="D68">SUMPRODUCT(Start_of_Year_Yr5_9*Long_Term_Monetised_Risk_9)</f>
        <v>0</v>
      </c>
      <c r="E68" s="64" cm="1">
        <f t="array" ref="E68">SUMPRODUCT(Data_Cleansing_Yr5_9*Long_Term_Monetised_Risk_9)</f>
        <v>0</v>
      </c>
      <c r="F68" s="64" cm="1">
        <f t="array" ref="F68">SUMPRODUCT(Deterioration_total_Yr5_9*Long_Term_Monetised_Risk_9)</f>
        <v>0</v>
      </c>
      <c r="G68" s="64" cm="1">
        <f t="array" ref="G68">SUMPRODUCT(Other_Risk_Movements_Yr5_9*Long_Term_Monetised_Risk_9)</f>
        <v>0</v>
      </c>
      <c r="H68" s="64" cm="1">
        <f t="array" ref="H68">SUMPRODUCT(Asset_Replacement_Yr5_9*Long_Term_Monetised_Risk_9)</f>
        <v>0</v>
      </c>
      <c r="I68" s="64" cm="1">
        <f t="array" ref="I68">SUMPRODUCT(Asset_Refurbishment_Yr5_9*Long_Term_Monetised_Risk_9)</f>
        <v>0</v>
      </c>
      <c r="J68" s="64" cm="1">
        <f t="array" ref="J68">SUMPRODUCT(Reinforcement_Yr5_9*Long_Term_Monetised_Risk_9)</f>
        <v>0</v>
      </c>
      <c r="K68" s="64" cm="1">
        <f t="array" ref="K68">SUMPRODUCT(Faults_Yr5_9*Long_Term_Monetised_Risk_9)</f>
        <v>0</v>
      </c>
      <c r="L68" s="64" cm="1">
        <f t="array" ref="L68">SUMPRODUCT(HVP_Asset_Replacement_Refurbishment_Yr5_9*Long_Term_Monetised_Risk_9)</f>
        <v>0</v>
      </c>
      <c r="M68" s="64" cm="1">
        <f t="array" ref="M68">SUMPRODUCT(HVP_Other_Yr5_9*Long_Term_Monetised_Risk_9)</f>
        <v>0</v>
      </c>
      <c r="N68" s="64" cm="1">
        <f t="array" ref="N68">SUMPRODUCT(All_Other_Yr5_9*Long_Term_Monetised_Risk_9)</f>
        <v>0</v>
      </c>
      <c r="O68" s="65" cm="1">
        <f t="array" ref="O68">SUMPRODUCT(End_Of_Year_Yr5_9*Long_Term_Monetised_Risk_9)</f>
        <v>0</v>
      </c>
      <c r="Q68" s="110"/>
      <c r="R68" s="111"/>
      <c r="S68" s="119"/>
      <c r="T68" s="114" cm="1">
        <f t="array" ref="T68">SUMPRODUCT(Asset_Replacement_2028_Yr5_9*Long_Term_Monetised_Risk_9)</f>
        <v>0</v>
      </c>
      <c r="U68" s="64" cm="1">
        <f t="array" ref="U68">SUMPRODUCT(Asset_Refurbishment_2028_Yr5_9*Long_Term_Monetised_Risk_9)</f>
        <v>0</v>
      </c>
      <c r="V68" s="65" cm="1">
        <f t="array" ref="V68">SUMPRODUCT(HVP_2028_Yr5_9*Long_Term_Monetised_Risk_9)</f>
        <v>0</v>
      </c>
    </row>
    <row r="69" spans="1:22" ht="14" thickBot="1">
      <c r="B69" s="103" t="s">
        <v>70</v>
      </c>
      <c r="C69" s="104" t="s">
        <v>131</v>
      </c>
      <c r="D69" s="105"/>
      <c r="E69" s="106">
        <f t="shared" ref="E69:O69" si="26">SUM(E64:E68)</f>
        <v>0</v>
      </c>
      <c r="F69" s="106">
        <f t="shared" si="26"/>
        <v>0</v>
      </c>
      <c r="G69" s="106">
        <f t="shared" si="26"/>
        <v>0</v>
      </c>
      <c r="H69" s="106">
        <f t="shared" si="26"/>
        <v>0</v>
      </c>
      <c r="I69" s="106">
        <f t="shared" si="26"/>
        <v>0</v>
      </c>
      <c r="J69" s="106">
        <f t="shared" si="26"/>
        <v>0</v>
      </c>
      <c r="K69" s="106">
        <f t="shared" si="26"/>
        <v>0</v>
      </c>
      <c r="L69" s="106">
        <f t="shared" si="26"/>
        <v>0</v>
      </c>
      <c r="M69" s="106">
        <f t="shared" si="26"/>
        <v>0</v>
      </c>
      <c r="N69" s="106">
        <f t="shared" si="26"/>
        <v>0</v>
      </c>
      <c r="O69" s="537">
        <f t="shared" si="26"/>
        <v>0</v>
      </c>
      <c r="Q69" s="107" t="str">
        <f ca="1">VLOOKUP($B69,'NARM4 - ED2 NARW Risk Movements'!$B$7:$G$67,4,FALSE)</f>
        <v/>
      </c>
      <c r="R69" s="109" t="str">
        <f ca="1">VLOOKUP($B69,'NARM4 - ED2 NARW Risk Movements'!$B$7:$G$67,5,FALSE)</f>
        <v/>
      </c>
      <c r="S69" s="121" t="str">
        <f ca="1">VLOOKUP($B69,'NARM4 - ED2 NARW Risk Movements'!$B$7:$G$67,6,FALSE)</f>
        <v/>
      </c>
      <c r="T69" s="117">
        <f>SUM(T64:T68)</f>
        <v>0</v>
      </c>
      <c r="U69" s="106">
        <f t="shared" ref="U69" si="27">SUM(U64:U68)</f>
        <v>0</v>
      </c>
      <c r="V69" s="108">
        <f>SUM(V64:V68)</f>
        <v>0</v>
      </c>
    </row>
    <row r="70" spans="1:22" ht="14" thickTop="1">
      <c r="A70" s="143">
        <v>10</v>
      </c>
      <c r="B70" s="99" t="s">
        <v>71</v>
      </c>
      <c r="C70" s="100">
        <v>2024</v>
      </c>
      <c r="D70" s="101" cm="1">
        <f t="array" ref="D70">SUMPRODUCT(Start_of_Year_Yr1_10*Long_Term_Monetised_Risk_10)</f>
        <v>0</v>
      </c>
      <c r="E70" s="101" cm="1">
        <f t="array" ref="E70">SUMPRODUCT(Data_Cleansing_Yr1_10*Long_Term_Monetised_Risk_10)</f>
        <v>0</v>
      </c>
      <c r="F70" s="101" cm="1">
        <f t="array" ref="F70">SUMPRODUCT(Deterioration_total_Yr1_10*Long_Term_Monetised_Risk_10)</f>
        <v>0</v>
      </c>
      <c r="G70" s="101" cm="1">
        <f t="array" ref="G70">SUMPRODUCT(Other_Risk_Movements_Yr1_10*Long_Term_Monetised_Risk_10)</f>
        <v>0</v>
      </c>
      <c r="H70" s="101" cm="1">
        <f t="array" ref="H70">SUMPRODUCT(Asset_Replacement_Yr1_10*Long_Term_Monetised_Risk_10)</f>
        <v>0</v>
      </c>
      <c r="I70" s="101" cm="1">
        <f t="array" ref="I70">SUMPRODUCT(Asset_Refurbishment_Yr1_10*Long_Term_Monetised_Risk_10)</f>
        <v>0</v>
      </c>
      <c r="J70" s="101" cm="1">
        <f t="array" ref="J70">SUMPRODUCT(Reinforcement_Yr1_10*Long_Term_Monetised_Risk_10)</f>
        <v>0</v>
      </c>
      <c r="K70" s="101" cm="1">
        <f t="array" ref="K70">SUMPRODUCT(Faults_Yr1_10*Long_Term_Monetised_Risk_10)</f>
        <v>0</v>
      </c>
      <c r="L70" s="101" cm="1">
        <f t="array" ref="L70">SUMPRODUCT(HVP_Asset_Replacement_Refurbishment_Yr1_10*Long_Term_Monetised_Risk_10)</f>
        <v>0</v>
      </c>
      <c r="M70" s="101" cm="1">
        <f t="array" ref="M70">SUMPRODUCT(HVP_Other_Yr1_10*Long_Term_Monetised_Risk_10)</f>
        <v>0</v>
      </c>
      <c r="N70" s="101" cm="1">
        <f t="array" ref="N70">SUMPRODUCT(All_Other_Yr1_10*Long_Term_Monetised_Risk_10)</f>
        <v>0</v>
      </c>
      <c r="O70" s="102" cm="1">
        <f t="array" ref="O70">SUMPRODUCT(End_Of_Year_Yr1_10*Long_Term_Monetised_Risk_10)</f>
        <v>0</v>
      </c>
      <c r="Q70" s="112"/>
      <c r="R70" s="113"/>
      <c r="S70" s="120"/>
      <c r="T70" s="115" cm="1">
        <f t="array" ref="T70">SUMPRODUCT(Asset_Replacement_2028_Yr1_10*Long_Term_Monetised_Risk_10)</f>
        <v>0</v>
      </c>
      <c r="U70" s="101" cm="1">
        <f t="array" ref="U70">SUMPRODUCT(Asset_Refurbishment_2028_Yr1_10*Long_Term_Monetised_Risk_10)</f>
        <v>0</v>
      </c>
      <c r="V70" s="102" cm="1">
        <f t="array" ref="V70">SUMPRODUCT(HVP_2028_Yr1_10*Long_Term_Monetised_Risk_10)</f>
        <v>0</v>
      </c>
    </row>
    <row r="71" spans="1:22">
      <c r="B71" s="93" t="s">
        <v>71</v>
      </c>
      <c r="C71" s="91">
        <v>2025</v>
      </c>
      <c r="D71" s="64" cm="1">
        <f t="array" ref="D71">SUMPRODUCT(Start_of_Year_Yr2_10*Long_Term_Monetised_Risk_10)</f>
        <v>0</v>
      </c>
      <c r="E71" s="64" cm="1">
        <f t="array" ref="E71">SUMPRODUCT(Data_Cleansing_Yr2_10*Long_Term_Monetised_Risk_10)</f>
        <v>0</v>
      </c>
      <c r="F71" s="64" cm="1">
        <f t="array" ref="F71">SUMPRODUCT(Deterioration_total_Yr2_10*Long_Term_Monetised_Risk_10)</f>
        <v>0</v>
      </c>
      <c r="G71" s="64" cm="1">
        <f t="array" ref="G71">SUMPRODUCT(Other_Risk_Movements_Yr2_10*Long_Term_Monetised_Risk_10)</f>
        <v>0</v>
      </c>
      <c r="H71" s="64" cm="1">
        <f t="array" ref="H71">SUMPRODUCT(Asset_Replacement_Yr2_10*Long_Term_Monetised_Risk_10)</f>
        <v>0</v>
      </c>
      <c r="I71" s="64" cm="1">
        <f t="array" ref="I71">SUMPRODUCT(Asset_Refurbishment_Yr2_10*Long_Term_Monetised_Risk_10)</f>
        <v>0</v>
      </c>
      <c r="J71" s="64" cm="1">
        <f t="array" ref="J71">SUMPRODUCT(Reinforcement_Yr2_10*Long_Term_Monetised_Risk_10)</f>
        <v>0</v>
      </c>
      <c r="K71" s="64" cm="1">
        <f t="array" ref="K71">SUMPRODUCT(Faults_Yr2_10*Long_Term_Monetised_Risk_10)</f>
        <v>0</v>
      </c>
      <c r="L71" s="64" cm="1">
        <f t="array" ref="L71">SUMPRODUCT(HVP_Asset_Replacement_Refurbishment_Yr2_10*Long_Term_Monetised_Risk_10)</f>
        <v>0</v>
      </c>
      <c r="M71" s="64" cm="1">
        <f t="array" ref="M71">SUMPRODUCT(HVP_Other_Yr2_10*Long_Term_Monetised_Risk_10)</f>
        <v>0</v>
      </c>
      <c r="N71" s="64" cm="1">
        <f t="array" ref="N71">SUMPRODUCT(All_Other_Yr2_10*Long_Term_Monetised_Risk_10)</f>
        <v>0</v>
      </c>
      <c r="O71" s="65" cm="1">
        <f t="array" ref="O71">SUMPRODUCT(End_Of_Year_Yr2_10*Long_Term_Monetised_Risk_10)</f>
        <v>0</v>
      </c>
      <c r="Q71" s="110"/>
      <c r="R71" s="111"/>
      <c r="S71" s="119"/>
      <c r="T71" s="114" cm="1">
        <f t="array" ref="T71">SUMPRODUCT(Asset_Replacement_2028_Yr2_10*Long_Term_Monetised_Risk_10)</f>
        <v>0</v>
      </c>
      <c r="U71" s="64" cm="1">
        <f t="array" ref="U71">SUMPRODUCT(Asset_Refurbishment_2028_Yr2_10*Long_Term_Monetised_Risk_10)</f>
        <v>0</v>
      </c>
      <c r="V71" s="65" cm="1">
        <f t="array" ref="V71">SUMPRODUCT(HVP_2028_Yr2_10*Long_Term_Monetised_Risk_10)</f>
        <v>0</v>
      </c>
    </row>
    <row r="72" spans="1:22">
      <c r="B72" s="93" t="s">
        <v>71</v>
      </c>
      <c r="C72" s="91">
        <v>2026</v>
      </c>
      <c r="D72" s="64" cm="1">
        <f t="array" ref="D72">SUMPRODUCT(Start_of_Year_Yr3_10*Long_Term_Monetised_Risk_10)</f>
        <v>0</v>
      </c>
      <c r="E72" s="64" cm="1">
        <f t="array" ref="E72">SUMPRODUCT(Data_Cleansing_Yr3_10*Long_Term_Monetised_Risk_10)</f>
        <v>0</v>
      </c>
      <c r="F72" s="64" cm="1">
        <f t="array" ref="F72">SUMPRODUCT(Deterioration_total_Yr3_10*Long_Term_Monetised_Risk_10)</f>
        <v>0</v>
      </c>
      <c r="G72" s="64" cm="1">
        <f t="array" ref="G72">SUMPRODUCT(Other_Risk_Movements_Yr3_10*Long_Term_Monetised_Risk_10)</f>
        <v>0</v>
      </c>
      <c r="H72" s="64" cm="1">
        <f t="array" ref="H72">SUMPRODUCT(Asset_Replacement_Yr3_10*Long_Term_Monetised_Risk_10)</f>
        <v>0</v>
      </c>
      <c r="I72" s="64" cm="1">
        <f t="array" ref="I72">SUMPRODUCT(Asset_Refurbishment_Yr3_10*Long_Term_Monetised_Risk_10)</f>
        <v>0</v>
      </c>
      <c r="J72" s="64" cm="1">
        <f t="array" ref="J72">SUMPRODUCT(Reinforcement_Yr3_10*Long_Term_Monetised_Risk_10)</f>
        <v>0</v>
      </c>
      <c r="K72" s="64" cm="1">
        <f t="array" ref="K72">SUMPRODUCT(Faults_Yr3_10*Long_Term_Monetised_Risk_10)</f>
        <v>0</v>
      </c>
      <c r="L72" s="64" cm="1">
        <f t="array" ref="L72">SUMPRODUCT(HVP_Asset_Replacement_Refurbishment_Yr3_10*Long_Term_Monetised_Risk_10)</f>
        <v>0</v>
      </c>
      <c r="M72" s="64" cm="1">
        <f t="array" ref="M72">SUMPRODUCT(HVP_Other_Yr3_10*Long_Term_Monetised_Risk_10)</f>
        <v>0</v>
      </c>
      <c r="N72" s="64" cm="1">
        <f t="array" ref="N72">SUMPRODUCT(All_Other_Yr3_10*Long_Term_Monetised_Risk_10)</f>
        <v>0</v>
      </c>
      <c r="O72" s="65" cm="1">
        <f t="array" ref="O72">SUMPRODUCT(End_Of_Year_Yr3_10*Long_Term_Monetised_Risk_10)</f>
        <v>0</v>
      </c>
      <c r="Q72" s="110"/>
      <c r="R72" s="111"/>
      <c r="S72" s="119"/>
      <c r="T72" s="114" cm="1">
        <f t="array" ref="T72">SUMPRODUCT(Asset_Replacement_2028_Yr3_10*Long_Term_Monetised_Risk_10)</f>
        <v>0</v>
      </c>
      <c r="U72" s="64" cm="1">
        <f t="array" ref="U72">SUMPRODUCT(Asset_Refurbishment_2028_Yr3_10*Long_Term_Monetised_Risk_10)</f>
        <v>0</v>
      </c>
      <c r="V72" s="65" cm="1">
        <f t="array" ref="V72">SUMPRODUCT(HVP_2028_Yr3_10*Long_Term_Monetised_Risk_10)</f>
        <v>0</v>
      </c>
    </row>
    <row r="73" spans="1:22">
      <c r="B73" s="93" t="s">
        <v>71</v>
      </c>
      <c r="C73" s="91">
        <v>2027</v>
      </c>
      <c r="D73" s="64" cm="1">
        <f t="array" ref="D73">SUMPRODUCT(Start_of_Year_Yr4_10*Long_Term_Monetised_Risk_10)</f>
        <v>0</v>
      </c>
      <c r="E73" s="64" cm="1">
        <f t="array" ref="E73">SUMPRODUCT(Data_Cleansing_Yr4_10*Long_Term_Monetised_Risk_10)</f>
        <v>0</v>
      </c>
      <c r="F73" s="64" cm="1">
        <f t="array" ref="F73">SUMPRODUCT(Deterioration_total_Yr4_10*Long_Term_Monetised_Risk_10)</f>
        <v>0</v>
      </c>
      <c r="G73" s="64" cm="1">
        <f t="array" ref="G73">SUMPRODUCT(Other_Risk_Movements_Yr4_10*Long_Term_Monetised_Risk_10)</f>
        <v>0</v>
      </c>
      <c r="H73" s="64" cm="1">
        <f t="array" ref="H73">SUMPRODUCT(Asset_Replacement_Yr4_10*Long_Term_Monetised_Risk_10)</f>
        <v>0</v>
      </c>
      <c r="I73" s="64" cm="1">
        <f t="array" ref="I73">SUMPRODUCT(Asset_Refurbishment_Yr4_10*Long_Term_Monetised_Risk_10)</f>
        <v>0</v>
      </c>
      <c r="J73" s="64" cm="1">
        <f t="array" ref="J73">SUMPRODUCT(Reinforcement_Yr4_10*Long_Term_Monetised_Risk_10)</f>
        <v>0</v>
      </c>
      <c r="K73" s="64" cm="1">
        <f t="array" ref="K73">SUMPRODUCT(Faults_Yr4_10*Long_Term_Monetised_Risk_10)</f>
        <v>0</v>
      </c>
      <c r="L73" s="64" cm="1">
        <f t="array" ref="L73">SUMPRODUCT(HVP_Asset_Replacement_Refurbishment_Yr4_10*Long_Term_Monetised_Risk_10)</f>
        <v>0</v>
      </c>
      <c r="M73" s="64" cm="1">
        <f t="array" ref="M73">SUMPRODUCT(HVP_Other_Yr4_10*Long_Term_Monetised_Risk_10)</f>
        <v>0</v>
      </c>
      <c r="N73" s="64" cm="1">
        <f t="array" ref="N73">SUMPRODUCT(All_Other_Yr4_10*Long_Term_Monetised_Risk_10)</f>
        <v>0</v>
      </c>
      <c r="O73" s="65" cm="1">
        <f t="array" ref="O73">SUMPRODUCT(End_Of_Year_Yr4_10*Long_Term_Monetised_Risk_10)</f>
        <v>0</v>
      </c>
      <c r="Q73" s="110"/>
      <c r="R73" s="111"/>
      <c r="S73" s="119"/>
      <c r="T73" s="114" cm="1">
        <f t="array" ref="T73">SUMPRODUCT(Asset_Replacement_2028_Yr4_10*Long_Term_Monetised_Risk_10)</f>
        <v>0</v>
      </c>
      <c r="U73" s="64" cm="1">
        <f t="array" ref="U73">SUMPRODUCT(Asset_Refurbishment_2028_Yr4_10*Long_Term_Monetised_Risk_10)</f>
        <v>0</v>
      </c>
      <c r="V73" s="65" cm="1">
        <f t="array" ref="V73">SUMPRODUCT(HVP_2028_Yr4_10*Long_Term_Monetised_Risk_10)</f>
        <v>0</v>
      </c>
    </row>
    <row r="74" spans="1:22">
      <c r="B74" s="93" t="s">
        <v>71</v>
      </c>
      <c r="C74" s="91">
        <v>2028</v>
      </c>
      <c r="D74" s="64" cm="1">
        <f t="array" ref="D74">SUMPRODUCT(Start_of_Year_Yr5_10*Long_Term_Monetised_Risk_10)</f>
        <v>0</v>
      </c>
      <c r="E74" s="64" cm="1">
        <f t="array" ref="E74">SUMPRODUCT(Data_Cleansing_Yr5_10*Long_Term_Monetised_Risk_10)</f>
        <v>0</v>
      </c>
      <c r="F74" s="64" cm="1">
        <f t="array" ref="F74">SUMPRODUCT(Deterioration_total_Yr5_10*Long_Term_Monetised_Risk_10)</f>
        <v>0</v>
      </c>
      <c r="G74" s="64" cm="1">
        <f t="array" ref="G74">SUMPRODUCT(Other_Risk_Movements_Yr5_10*Long_Term_Monetised_Risk_10)</f>
        <v>0</v>
      </c>
      <c r="H74" s="64" cm="1">
        <f t="array" ref="H74">SUMPRODUCT(Asset_Replacement_Yr5_10*Long_Term_Monetised_Risk_10)</f>
        <v>0</v>
      </c>
      <c r="I74" s="64" cm="1">
        <f t="array" ref="I74">SUMPRODUCT(Asset_Refurbishment_Yr5_10*Long_Term_Monetised_Risk_10)</f>
        <v>0</v>
      </c>
      <c r="J74" s="64" cm="1">
        <f t="array" ref="J74">SUMPRODUCT(Reinforcement_Yr5_10*Long_Term_Monetised_Risk_10)</f>
        <v>0</v>
      </c>
      <c r="K74" s="64" cm="1">
        <f t="array" ref="K74">SUMPRODUCT(Faults_Yr5_10*Long_Term_Monetised_Risk_10)</f>
        <v>0</v>
      </c>
      <c r="L74" s="64" cm="1">
        <f t="array" ref="L74">SUMPRODUCT(HVP_Asset_Replacement_Refurbishment_Yr5_10*Long_Term_Monetised_Risk_10)</f>
        <v>0</v>
      </c>
      <c r="M74" s="64" cm="1">
        <f t="array" ref="M74">SUMPRODUCT(HVP_Other_Yr5_10*Long_Term_Monetised_Risk_10)</f>
        <v>0</v>
      </c>
      <c r="N74" s="64" cm="1">
        <f t="array" ref="N74">SUMPRODUCT(All_Other_Yr5_10*Long_Term_Monetised_Risk_10)</f>
        <v>0</v>
      </c>
      <c r="O74" s="65" cm="1">
        <f t="array" ref="O74">SUMPRODUCT(End_Of_Year_Yr5_10*Long_Term_Monetised_Risk_10)</f>
        <v>0</v>
      </c>
      <c r="Q74" s="110"/>
      <c r="R74" s="111"/>
      <c r="S74" s="119"/>
      <c r="T74" s="114" cm="1">
        <f t="array" ref="T74">SUMPRODUCT(Asset_Replacement_2028_Yr5_10*Long_Term_Monetised_Risk_10)</f>
        <v>0</v>
      </c>
      <c r="U74" s="64" cm="1">
        <f t="array" ref="U74">SUMPRODUCT(Asset_Refurbishment_2028_Yr5_10*Long_Term_Monetised_Risk_10)</f>
        <v>0</v>
      </c>
      <c r="V74" s="65" cm="1">
        <f t="array" ref="V74">SUMPRODUCT(HVP_2028_Yr5_10*Long_Term_Monetised_Risk_10)</f>
        <v>0</v>
      </c>
    </row>
    <row r="75" spans="1:22" ht="14" thickBot="1">
      <c r="B75" s="103" t="s">
        <v>71</v>
      </c>
      <c r="C75" s="104" t="s">
        <v>131</v>
      </c>
      <c r="D75" s="105"/>
      <c r="E75" s="106">
        <f t="shared" ref="E75:O75" si="28">SUM(E70:E74)</f>
        <v>0</v>
      </c>
      <c r="F75" s="106">
        <f t="shared" si="28"/>
        <v>0</v>
      </c>
      <c r="G75" s="106">
        <f t="shared" si="28"/>
        <v>0</v>
      </c>
      <c r="H75" s="106">
        <f t="shared" si="28"/>
        <v>0</v>
      </c>
      <c r="I75" s="106">
        <f t="shared" si="28"/>
        <v>0</v>
      </c>
      <c r="J75" s="106">
        <f t="shared" si="28"/>
        <v>0</v>
      </c>
      <c r="K75" s="106">
        <f t="shared" si="28"/>
        <v>0</v>
      </c>
      <c r="L75" s="106">
        <f t="shared" si="28"/>
        <v>0</v>
      </c>
      <c r="M75" s="106">
        <f t="shared" si="28"/>
        <v>0</v>
      </c>
      <c r="N75" s="106">
        <f t="shared" si="28"/>
        <v>0</v>
      </c>
      <c r="O75" s="537">
        <f t="shared" si="28"/>
        <v>0</v>
      </c>
      <c r="Q75" s="107" t="str">
        <f ca="1">VLOOKUP($B75,'NARM4 - ED2 NARW Risk Movements'!$B$7:$G$67,4,FALSE)</f>
        <v/>
      </c>
      <c r="R75" s="109" t="str">
        <f ca="1">VLOOKUP($B75,'NARM4 - ED2 NARW Risk Movements'!$B$7:$G$67,5,FALSE)</f>
        <v/>
      </c>
      <c r="S75" s="121" t="str">
        <f ca="1">VLOOKUP($B75,'NARM4 - ED2 NARW Risk Movements'!$B$7:$G$67,6,FALSE)</f>
        <v/>
      </c>
      <c r="T75" s="117">
        <f>SUM(T70:T74)</f>
        <v>0</v>
      </c>
      <c r="U75" s="106">
        <f t="shared" ref="U75" si="29">SUM(U70:U74)</f>
        <v>0</v>
      </c>
      <c r="V75" s="108">
        <f>SUM(V70:V74)</f>
        <v>0</v>
      </c>
    </row>
    <row r="76" spans="1:22" ht="14" thickTop="1">
      <c r="A76" s="143">
        <v>11</v>
      </c>
      <c r="B76" s="99" t="s">
        <v>72</v>
      </c>
      <c r="C76" s="100">
        <v>2024</v>
      </c>
      <c r="D76" s="101" cm="1">
        <f t="array" ref="D76">SUMPRODUCT(Start_of_Year_Yr1_11*Long_Term_Monetised_Risk_11)</f>
        <v>0</v>
      </c>
      <c r="E76" s="101" cm="1">
        <f t="array" ref="E76">SUMPRODUCT(Data_Cleansing_Yr1_11*Long_Term_Monetised_Risk_11)</f>
        <v>0</v>
      </c>
      <c r="F76" s="101" cm="1">
        <f t="array" ref="F76">SUMPRODUCT(Deterioration_total_Yr1_11*Long_Term_Monetised_Risk_11)</f>
        <v>0</v>
      </c>
      <c r="G76" s="101" cm="1">
        <f t="array" ref="G76">SUMPRODUCT(Other_Risk_Movements_Yr1_11*Long_Term_Monetised_Risk_11)</f>
        <v>0</v>
      </c>
      <c r="H76" s="101" cm="1">
        <f t="array" ref="H76">SUMPRODUCT(Asset_Replacement_Yr1_11*Long_Term_Monetised_Risk_11)</f>
        <v>0</v>
      </c>
      <c r="I76" s="101" cm="1">
        <f t="array" ref="I76">SUMPRODUCT(Asset_Refurbishment_Yr1_11*Long_Term_Monetised_Risk_11)</f>
        <v>0</v>
      </c>
      <c r="J76" s="101" cm="1">
        <f t="array" ref="J76">SUMPRODUCT(Reinforcement_Yr1_11*Long_Term_Monetised_Risk_11)</f>
        <v>0</v>
      </c>
      <c r="K76" s="101" cm="1">
        <f t="array" ref="K76">SUMPRODUCT(Faults_Yr1_11*Long_Term_Monetised_Risk_11)</f>
        <v>0</v>
      </c>
      <c r="L76" s="101" cm="1">
        <f t="array" ref="L76">SUMPRODUCT(HVP_Asset_Replacement_Refurbishment_Yr1_11*Long_Term_Monetised_Risk_11)</f>
        <v>0</v>
      </c>
      <c r="M76" s="101" cm="1">
        <f t="array" ref="M76">SUMPRODUCT(HVP_Other_Yr1_11*Long_Term_Monetised_Risk_11)</f>
        <v>0</v>
      </c>
      <c r="N76" s="101" cm="1">
        <f t="array" ref="N76">SUMPRODUCT(All_Other_Yr1_11*Long_Term_Monetised_Risk_11)</f>
        <v>0</v>
      </c>
      <c r="O76" s="102" cm="1">
        <f t="array" ref="O76">SUMPRODUCT(End_Of_Year_Yr1_11*Long_Term_Monetised_Risk_11)</f>
        <v>0</v>
      </c>
      <c r="Q76" s="112"/>
      <c r="R76" s="113"/>
      <c r="S76" s="120"/>
      <c r="T76" s="115" cm="1">
        <f t="array" ref="T76">SUMPRODUCT(Asset_Replacement_2028_Yr1_11*Long_Term_Monetised_Risk_11)</f>
        <v>0</v>
      </c>
      <c r="U76" s="101" cm="1">
        <f t="array" ref="U76">SUMPRODUCT(Asset_Refurbishment_2028_Yr1_11*Long_Term_Monetised_Risk_11)</f>
        <v>0</v>
      </c>
      <c r="V76" s="102" cm="1">
        <f t="array" ref="V76">SUMPRODUCT(HVP_2028_Yr1_11*Long_Term_Monetised_Risk_11)</f>
        <v>0</v>
      </c>
    </row>
    <row r="77" spans="1:22">
      <c r="B77" s="93" t="s">
        <v>72</v>
      </c>
      <c r="C77" s="91">
        <v>2025</v>
      </c>
      <c r="D77" s="64" cm="1">
        <f t="array" ref="D77">SUMPRODUCT(Start_of_Year_Yr2_11*Long_Term_Monetised_Risk_11)</f>
        <v>0</v>
      </c>
      <c r="E77" s="64" cm="1">
        <f t="array" ref="E77">SUMPRODUCT(Data_Cleansing_Yr2_11*Long_Term_Monetised_Risk_11)</f>
        <v>0</v>
      </c>
      <c r="F77" s="64" cm="1">
        <f t="array" ref="F77">SUMPRODUCT(Deterioration_total_Yr2_11*Long_Term_Monetised_Risk_11)</f>
        <v>0</v>
      </c>
      <c r="G77" s="64" cm="1">
        <f t="array" ref="G77">SUMPRODUCT(Other_Risk_Movements_Yr2_11*Long_Term_Monetised_Risk_11)</f>
        <v>0</v>
      </c>
      <c r="H77" s="64" cm="1">
        <f t="array" ref="H77">SUMPRODUCT(Asset_Replacement_Yr2_11*Long_Term_Monetised_Risk_11)</f>
        <v>0</v>
      </c>
      <c r="I77" s="64" cm="1">
        <f t="array" ref="I77">SUMPRODUCT(Asset_Refurbishment_Yr2_11*Long_Term_Monetised_Risk_11)</f>
        <v>0</v>
      </c>
      <c r="J77" s="64" cm="1">
        <f t="array" ref="J77">SUMPRODUCT(Reinforcement_Yr2_11*Long_Term_Monetised_Risk_11)</f>
        <v>0</v>
      </c>
      <c r="K77" s="64" cm="1">
        <f t="array" ref="K77">SUMPRODUCT(Faults_Yr2_11*Long_Term_Monetised_Risk_11)</f>
        <v>0</v>
      </c>
      <c r="L77" s="64" cm="1">
        <f t="array" ref="L77">SUMPRODUCT(HVP_Asset_Replacement_Refurbishment_Yr2_11*Long_Term_Monetised_Risk_11)</f>
        <v>0</v>
      </c>
      <c r="M77" s="64" cm="1">
        <f t="array" ref="M77">SUMPRODUCT(HVP_Other_Yr2_11*Long_Term_Monetised_Risk_11)</f>
        <v>0</v>
      </c>
      <c r="N77" s="64" cm="1">
        <f t="array" ref="N77">SUMPRODUCT(All_Other_Yr2_11*Long_Term_Monetised_Risk_11)</f>
        <v>0</v>
      </c>
      <c r="O77" s="65" cm="1">
        <f t="array" ref="O77">SUMPRODUCT(End_Of_Year_Yr2_11*Long_Term_Monetised_Risk_11)</f>
        <v>0</v>
      </c>
      <c r="Q77" s="110"/>
      <c r="R77" s="111"/>
      <c r="S77" s="119"/>
      <c r="T77" s="114" cm="1">
        <f t="array" ref="T77">SUMPRODUCT(Asset_Replacement_2028_Yr2_11*Long_Term_Monetised_Risk_11)</f>
        <v>0</v>
      </c>
      <c r="U77" s="64" cm="1">
        <f t="array" ref="U77">SUMPRODUCT(Asset_Refurbishment_2028_Yr2_11*Long_Term_Monetised_Risk_11)</f>
        <v>0</v>
      </c>
      <c r="V77" s="65" cm="1">
        <f t="array" ref="V77">SUMPRODUCT(HVP_2028_Yr2_11*Long_Term_Monetised_Risk_11)</f>
        <v>0</v>
      </c>
    </row>
    <row r="78" spans="1:22">
      <c r="B78" s="93" t="s">
        <v>72</v>
      </c>
      <c r="C78" s="91">
        <v>2026</v>
      </c>
      <c r="D78" s="64" cm="1">
        <f t="array" ref="D78">SUMPRODUCT(Start_of_Year_Yr3_11*Long_Term_Monetised_Risk_11)</f>
        <v>0</v>
      </c>
      <c r="E78" s="64" cm="1">
        <f t="array" ref="E78">SUMPRODUCT(Data_Cleansing_Yr3_11*Long_Term_Monetised_Risk_11)</f>
        <v>0</v>
      </c>
      <c r="F78" s="64" cm="1">
        <f t="array" ref="F78">SUMPRODUCT(Deterioration_total_Yr3_11*Long_Term_Monetised_Risk_11)</f>
        <v>0</v>
      </c>
      <c r="G78" s="64" cm="1">
        <f t="array" ref="G78">SUMPRODUCT(Other_Risk_Movements_Yr3_11*Long_Term_Monetised_Risk_11)</f>
        <v>0</v>
      </c>
      <c r="H78" s="64" cm="1">
        <f t="array" ref="H78">SUMPRODUCT(Asset_Replacement_Yr3_11*Long_Term_Monetised_Risk_11)</f>
        <v>0</v>
      </c>
      <c r="I78" s="64" cm="1">
        <f t="array" ref="I78">SUMPRODUCT(Asset_Refurbishment_Yr3_11*Long_Term_Monetised_Risk_11)</f>
        <v>0</v>
      </c>
      <c r="J78" s="64" cm="1">
        <f t="array" ref="J78">SUMPRODUCT(Reinforcement_Yr3_11*Long_Term_Monetised_Risk_11)</f>
        <v>0</v>
      </c>
      <c r="K78" s="64" cm="1">
        <f t="array" ref="K78">SUMPRODUCT(Faults_Yr3_11*Long_Term_Monetised_Risk_11)</f>
        <v>0</v>
      </c>
      <c r="L78" s="64" cm="1">
        <f t="array" ref="L78">SUMPRODUCT(HVP_Asset_Replacement_Refurbishment_Yr3_11*Long_Term_Monetised_Risk_11)</f>
        <v>0</v>
      </c>
      <c r="M78" s="64" cm="1">
        <f t="array" ref="M78">SUMPRODUCT(HVP_Other_Yr3_11*Long_Term_Monetised_Risk_11)</f>
        <v>0</v>
      </c>
      <c r="N78" s="64" cm="1">
        <f t="array" ref="N78">SUMPRODUCT(All_Other_Yr3_11*Long_Term_Monetised_Risk_11)</f>
        <v>0</v>
      </c>
      <c r="O78" s="65" cm="1">
        <f t="array" ref="O78">SUMPRODUCT(End_Of_Year_Yr3_11*Long_Term_Monetised_Risk_11)</f>
        <v>0</v>
      </c>
      <c r="Q78" s="110"/>
      <c r="R78" s="111"/>
      <c r="S78" s="119"/>
      <c r="T78" s="114" cm="1">
        <f t="array" ref="T78">SUMPRODUCT(Asset_Replacement_2028_Yr3_11*Long_Term_Monetised_Risk_11)</f>
        <v>0</v>
      </c>
      <c r="U78" s="64" cm="1">
        <f t="array" ref="U78">SUMPRODUCT(Asset_Refurbishment_2028_Yr3_11*Long_Term_Monetised_Risk_11)</f>
        <v>0</v>
      </c>
      <c r="V78" s="65" cm="1">
        <f t="array" ref="V78">SUMPRODUCT(HVP_2028_Yr3_11*Long_Term_Monetised_Risk_11)</f>
        <v>0</v>
      </c>
    </row>
    <row r="79" spans="1:22">
      <c r="B79" s="93" t="s">
        <v>72</v>
      </c>
      <c r="C79" s="91">
        <v>2027</v>
      </c>
      <c r="D79" s="64" cm="1">
        <f t="array" ref="D79">SUMPRODUCT(Start_of_Year_Yr4_11*Long_Term_Monetised_Risk_11)</f>
        <v>0</v>
      </c>
      <c r="E79" s="64" cm="1">
        <f t="array" ref="E79">SUMPRODUCT(Data_Cleansing_Yr4_11*Long_Term_Monetised_Risk_11)</f>
        <v>0</v>
      </c>
      <c r="F79" s="64" cm="1">
        <f t="array" ref="F79">SUMPRODUCT(Deterioration_total_Yr4_11*Long_Term_Monetised_Risk_11)</f>
        <v>0</v>
      </c>
      <c r="G79" s="64" cm="1">
        <f t="array" ref="G79">SUMPRODUCT(Other_Risk_Movements_Yr4_11*Long_Term_Monetised_Risk_11)</f>
        <v>0</v>
      </c>
      <c r="H79" s="64" cm="1">
        <f t="array" ref="H79">SUMPRODUCT(Asset_Replacement_Yr4_11*Long_Term_Monetised_Risk_11)</f>
        <v>0</v>
      </c>
      <c r="I79" s="64" cm="1">
        <f t="array" ref="I79">SUMPRODUCT(Asset_Refurbishment_Yr4_11*Long_Term_Monetised_Risk_11)</f>
        <v>0</v>
      </c>
      <c r="J79" s="64" cm="1">
        <f t="array" ref="J79">SUMPRODUCT(Reinforcement_Yr4_11*Long_Term_Monetised_Risk_11)</f>
        <v>0</v>
      </c>
      <c r="K79" s="64" cm="1">
        <f t="array" ref="K79">SUMPRODUCT(Faults_Yr4_11*Long_Term_Monetised_Risk_11)</f>
        <v>0</v>
      </c>
      <c r="L79" s="64" cm="1">
        <f t="array" ref="L79">SUMPRODUCT(HVP_Asset_Replacement_Refurbishment_Yr4_11*Long_Term_Monetised_Risk_11)</f>
        <v>0</v>
      </c>
      <c r="M79" s="64" cm="1">
        <f t="array" ref="M79">SUMPRODUCT(HVP_Other_Yr4_11*Long_Term_Monetised_Risk_11)</f>
        <v>0</v>
      </c>
      <c r="N79" s="64" cm="1">
        <f t="array" ref="N79">SUMPRODUCT(All_Other_Yr4_11*Long_Term_Monetised_Risk_11)</f>
        <v>0</v>
      </c>
      <c r="O79" s="65" cm="1">
        <f t="array" ref="O79">SUMPRODUCT(End_Of_Year_Yr4_11*Long_Term_Monetised_Risk_11)</f>
        <v>0</v>
      </c>
      <c r="Q79" s="110"/>
      <c r="R79" s="111"/>
      <c r="S79" s="119"/>
      <c r="T79" s="114" cm="1">
        <f t="array" ref="T79">SUMPRODUCT(Asset_Replacement_2028_Yr4_11*Long_Term_Monetised_Risk_11)</f>
        <v>0</v>
      </c>
      <c r="U79" s="64" cm="1">
        <f t="array" ref="U79">SUMPRODUCT(Asset_Refurbishment_2028_Yr4_11*Long_Term_Monetised_Risk_11)</f>
        <v>0</v>
      </c>
      <c r="V79" s="65" cm="1">
        <f t="array" ref="V79">SUMPRODUCT(HVP_2028_Yr4_11*Long_Term_Monetised_Risk_11)</f>
        <v>0</v>
      </c>
    </row>
    <row r="80" spans="1:22">
      <c r="B80" s="93" t="s">
        <v>72</v>
      </c>
      <c r="C80" s="91">
        <v>2028</v>
      </c>
      <c r="D80" s="64" cm="1">
        <f t="array" ref="D80">SUMPRODUCT(Start_of_Year_Yr5_11*Long_Term_Monetised_Risk_11)</f>
        <v>0</v>
      </c>
      <c r="E80" s="64" cm="1">
        <f t="array" ref="E80">SUMPRODUCT(Data_Cleansing_Yr5_11*Long_Term_Monetised_Risk_11)</f>
        <v>0</v>
      </c>
      <c r="F80" s="64" cm="1">
        <f t="array" ref="F80">SUMPRODUCT(Deterioration_total_Yr5_11*Long_Term_Monetised_Risk_11)</f>
        <v>0</v>
      </c>
      <c r="G80" s="64" cm="1">
        <f t="array" ref="G80">SUMPRODUCT(Other_Risk_Movements_Yr5_11*Long_Term_Monetised_Risk_11)</f>
        <v>0</v>
      </c>
      <c r="H80" s="64" cm="1">
        <f t="array" ref="H80">SUMPRODUCT(Asset_Replacement_Yr5_11*Long_Term_Monetised_Risk_11)</f>
        <v>0</v>
      </c>
      <c r="I80" s="64" cm="1">
        <f t="array" ref="I80">SUMPRODUCT(Asset_Refurbishment_Yr5_11*Long_Term_Monetised_Risk_11)</f>
        <v>0</v>
      </c>
      <c r="J80" s="64" cm="1">
        <f t="array" ref="J80">SUMPRODUCT(Reinforcement_Yr5_11*Long_Term_Monetised_Risk_11)</f>
        <v>0</v>
      </c>
      <c r="K80" s="64" cm="1">
        <f t="array" ref="K80">SUMPRODUCT(Faults_Yr5_11*Long_Term_Monetised_Risk_11)</f>
        <v>0</v>
      </c>
      <c r="L80" s="64" cm="1">
        <f t="array" ref="L80">SUMPRODUCT(HVP_Asset_Replacement_Refurbishment_Yr5_11*Long_Term_Monetised_Risk_11)</f>
        <v>0</v>
      </c>
      <c r="M80" s="64" cm="1">
        <f t="array" ref="M80">SUMPRODUCT(HVP_Other_Yr5_11*Long_Term_Monetised_Risk_11)</f>
        <v>0</v>
      </c>
      <c r="N80" s="64" cm="1">
        <f t="array" ref="N80">SUMPRODUCT(All_Other_Yr5_11*Long_Term_Monetised_Risk_11)</f>
        <v>0</v>
      </c>
      <c r="O80" s="65" cm="1">
        <f t="array" ref="O80">SUMPRODUCT(End_Of_Year_Yr5_11*Long_Term_Monetised_Risk_11)</f>
        <v>0</v>
      </c>
      <c r="Q80" s="110"/>
      <c r="R80" s="111"/>
      <c r="S80" s="119"/>
      <c r="T80" s="114" cm="1">
        <f t="array" ref="T80">SUMPRODUCT(Asset_Replacement_2028_Yr5_11*Long_Term_Monetised_Risk_11)</f>
        <v>0</v>
      </c>
      <c r="U80" s="64" cm="1">
        <f t="array" ref="U80">SUMPRODUCT(Asset_Refurbishment_2028_Yr5_11*Long_Term_Monetised_Risk_11)</f>
        <v>0</v>
      </c>
      <c r="V80" s="65" cm="1">
        <f t="array" ref="V80">SUMPRODUCT(HVP_2028_Yr5_11*Long_Term_Monetised_Risk_11)</f>
        <v>0</v>
      </c>
    </row>
    <row r="81" spans="1:22" ht="14" thickBot="1">
      <c r="B81" s="103" t="s">
        <v>72</v>
      </c>
      <c r="C81" s="104" t="s">
        <v>131</v>
      </c>
      <c r="D81" s="105"/>
      <c r="E81" s="106">
        <f t="shared" ref="E81:O81" si="30">SUM(E76:E80)</f>
        <v>0</v>
      </c>
      <c r="F81" s="106">
        <f t="shared" si="30"/>
        <v>0</v>
      </c>
      <c r="G81" s="106">
        <f t="shared" si="30"/>
        <v>0</v>
      </c>
      <c r="H81" s="106">
        <f t="shared" si="30"/>
        <v>0</v>
      </c>
      <c r="I81" s="106">
        <f t="shared" si="30"/>
        <v>0</v>
      </c>
      <c r="J81" s="106">
        <f t="shared" si="30"/>
        <v>0</v>
      </c>
      <c r="K81" s="106">
        <f t="shared" si="30"/>
        <v>0</v>
      </c>
      <c r="L81" s="106">
        <f t="shared" si="30"/>
        <v>0</v>
      </c>
      <c r="M81" s="106">
        <f t="shared" si="30"/>
        <v>0</v>
      </c>
      <c r="N81" s="106">
        <f t="shared" si="30"/>
        <v>0</v>
      </c>
      <c r="O81" s="537">
        <f t="shared" si="30"/>
        <v>0</v>
      </c>
      <c r="Q81" s="107" t="str">
        <f ca="1">VLOOKUP($B81,'NARM4 - ED2 NARW Risk Movements'!$B$7:$G$67,4,FALSE)</f>
        <v/>
      </c>
      <c r="R81" s="109" t="str">
        <f ca="1">VLOOKUP($B81,'NARM4 - ED2 NARW Risk Movements'!$B$7:$G$67,5,FALSE)</f>
        <v/>
      </c>
      <c r="S81" s="121" t="str">
        <f ca="1">VLOOKUP($B81,'NARM4 - ED2 NARW Risk Movements'!$B$7:$G$67,6,FALSE)</f>
        <v/>
      </c>
      <c r="T81" s="117">
        <f>SUM(T76:T80)</f>
        <v>0</v>
      </c>
      <c r="U81" s="106">
        <f t="shared" ref="U81" si="31">SUM(U76:U80)</f>
        <v>0</v>
      </c>
      <c r="V81" s="108">
        <f>SUM(V76:V80)</f>
        <v>0</v>
      </c>
    </row>
    <row r="82" spans="1:22" ht="14" thickTop="1">
      <c r="A82" s="143">
        <v>12</v>
      </c>
      <c r="B82" s="99" t="s">
        <v>73</v>
      </c>
      <c r="C82" s="100">
        <v>2024</v>
      </c>
      <c r="D82" s="101" cm="1">
        <f t="array" ref="D82">SUMPRODUCT(Start_of_Year_Yr1_12*Long_Term_Monetised_Risk_12)</f>
        <v>0</v>
      </c>
      <c r="E82" s="101" cm="1">
        <f t="array" ref="E82">SUMPRODUCT(Data_Cleansing_Yr1_12*Long_Term_Monetised_Risk_12)</f>
        <v>0</v>
      </c>
      <c r="F82" s="101" cm="1">
        <f t="array" ref="F82">SUMPRODUCT(Deterioration_total_Yr1_12*Long_Term_Monetised_Risk_12)</f>
        <v>0</v>
      </c>
      <c r="G82" s="101" cm="1">
        <f t="array" ref="G82">SUMPRODUCT(Other_Risk_Movements_Yr1_12*Long_Term_Monetised_Risk_12)</f>
        <v>0</v>
      </c>
      <c r="H82" s="101" cm="1">
        <f t="array" ref="H82">SUMPRODUCT(Asset_Replacement_Yr1_12*Long_Term_Monetised_Risk_12)</f>
        <v>0</v>
      </c>
      <c r="I82" s="101" cm="1">
        <f t="array" ref="I82">SUMPRODUCT(Asset_Refurbishment_Yr1_12*Long_Term_Monetised_Risk_12)</f>
        <v>0</v>
      </c>
      <c r="J82" s="101" cm="1">
        <f t="array" ref="J82">SUMPRODUCT(Reinforcement_Yr1_12*Long_Term_Monetised_Risk_12)</f>
        <v>0</v>
      </c>
      <c r="K82" s="101" cm="1">
        <f t="array" ref="K82">SUMPRODUCT(Faults_Yr1_12*Long_Term_Monetised_Risk_12)</f>
        <v>0</v>
      </c>
      <c r="L82" s="101" cm="1">
        <f t="array" ref="L82">SUMPRODUCT(HVP_Asset_Replacement_Refurbishment_Yr1_12*Long_Term_Monetised_Risk_12)</f>
        <v>0</v>
      </c>
      <c r="M82" s="101" cm="1">
        <f t="array" ref="M82">SUMPRODUCT(HVP_Other_Yr1_12*Long_Term_Monetised_Risk_12)</f>
        <v>0</v>
      </c>
      <c r="N82" s="101" cm="1">
        <f t="array" ref="N82">SUMPRODUCT(All_Other_Yr1_12*Long_Term_Monetised_Risk_12)</f>
        <v>0</v>
      </c>
      <c r="O82" s="102" cm="1">
        <f t="array" ref="O82">SUMPRODUCT(End_Of_Year_Yr1_12*Long_Term_Monetised_Risk_12)</f>
        <v>0</v>
      </c>
      <c r="Q82" s="112"/>
      <c r="R82" s="113"/>
      <c r="S82" s="120"/>
      <c r="T82" s="115" cm="1">
        <f t="array" ref="T82">SUMPRODUCT(Asset_Replacement_2028_Yr1_12*Long_Term_Monetised_Risk_12)</f>
        <v>0</v>
      </c>
      <c r="U82" s="101" cm="1">
        <f t="array" ref="U82">SUMPRODUCT(Asset_Refurbishment_2028_Yr1_12*Long_Term_Monetised_Risk_12)</f>
        <v>0</v>
      </c>
      <c r="V82" s="102" cm="1">
        <f t="array" ref="V82">SUMPRODUCT(HVP_2028_Yr1_12*Long_Term_Monetised_Risk_12)</f>
        <v>0</v>
      </c>
    </row>
    <row r="83" spans="1:22">
      <c r="B83" s="93" t="s">
        <v>73</v>
      </c>
      <c r="C83" s="91">
        <v>2025</v>
      </c>
      <c r="D83" s="64" cm="1">
        <f t="array" ref="D83">SUMPRODUCT(Start_of_Year_Yr2_12*Long_Term_Monetised_Risk_12)</f>
        <v>0</v>
      </c>
      <c r="E83" s="64" cm="1">
        <f t="array" ref="E83">SUMPRODUCT(Data_Cleansing_Yr2_12*Long_Term_Monetised_Risk_12)</f>
        <v>0</v>
      </c>
      <c r="F83" s="64" cm="1">
        <f t="array" ref="F83">SUMPRODUCT(Deterioration_total_Yr2_12*Long_Term_Monetised_Risk_12)</f>
        <v>0</v>
      </c>
      <c r="G83" s="64" cm="1">
        <f t="array" ref="G83">SUMPRODUCT(Other_Risk_Movements_Yr2_12*Long_Term_Monetised_Risk_12)</f>
        <v>0</v>
      </c>
      <c r="H83" s="64" cm="1">
        <f t="array" ref="H83">SUMPRODUCT(Asset_Replacement_Yr2_12*Long_Term_Monetised_Risk_12)</f>
        <v>0</v>
      </c>
      <c r="I83" s="64" cm="1">
        <f t="array" ref="I83">SUMPRODUCT(Asset_Refurbishment_Yr2_12*Long_Term_Monetised_Risk_12)</f>
        <v>0</v>
      </c>
      <c r="J83" s="64" cm="1">
        <f t="array" ref="J83">SUMPRODUCT(Reinforcement_Yr2_12*Long_Term_Monetised_Risk_12)</f>
        <v>0</v>
      </c>
      <c r="K83" s="64" cm="1">
        <f t="array" ref="K83">SUMPRODUCT(Faults_Yr2_12*Long_Term_Monetised_Risk_12)</f>
        <v>0</v>
      </c>
      <c r="L83" s="64" cm="1">
        <f t="array" ref="L83">SUMPRODUCT(HVP_Asset_Replacement_Refurbishment_Yr2_12*Long_Term_Monetised_Risk_12)</f>
        <v>0</v>
      </c>
      <c r="M83" s="64" cm="1">
        <f t="array" ref="M83">SUMPRODUCT(HVP_Other_Yr2_12*Long_Term_Monetised_Risk_12)</f>
        <v>0</v>
      </c>
      <c r="N83" s="64" cm="1">
        <f t="array" ref="N83">SUMPRODUCT(All_Other_Yr2_12*Long_Term_Monetised_Risk_12)</f>
        <v>0</v>
      </c>
      <c r="O83" s="65" cm="1">
        <f t="array" ref="O83">SUMPRODUCT(End_Of_Year_Yr2_12*Long_Term_Monetised_Risk_12)</f>
        <v>0</v>
      </c>
      <c r="Q83" s="110"/>
      <c r="R83" s="111"/>
      <c r="S83" s="119"/>
      <c r="T83" s="114" cm="1">
        <f t="array" ref="T83">SUMPRODUCT(Asset_Replacement_2028_Yr2_12*Long_Term_Monetised_Risk_12)</f>
        <v>0</v>
      </c>
      <c r="U83" s="64" cm="1">
        <f t="array" ref="U83">SUMPRODUCT(Asset_Refurbishment_2028_Yr2_12*Long_Term_Monetised_Risk_12)</f>
        <v>0</v>
      </c>
      <c r="V83" s="65" cm="1">
        <f t="array" ref="V83">SUMPRODUCT(HVP_2028_Yr2_12*Long_Term_Monetised_Risk_12)</f>
        <v>0</v>
      </c>
    </row>
    <row r="84" spans="1:22">
      <c r="B84" s="93" t="s">
        <v>73</v>
      </c>
      <c r="C84" s="91">
        <v>2026</v>
      </c>
      <c r="D84" s="64" cm="1">
        <f t="array" ref="D84">SUMPRODUCT(Start_of_Year_Yr3_12*Long_Term_Monetised_Risk_12)</f>
        <v>0</v>
      </c>
      <c r="E84" s="64" cm="1">
        <f t="array" ref="E84">SUMPRODUCT(Data_Cleansing_Yr3_12*Long_Term_Monetised_Risk_12)</f>
        <v>0</v>
      </c>
      <c r="F84" s="64" cm="1">
        <f t="array" ref="F84">SUMPRODUCT(Deterioration_total_Yr3_12*Long_Term_Monetised_Risk_12)</f>
        <v>0</v>
      </c>
      <c r="G84" s="64" cm="1">
        <f t="array" ref="G84">SUMPRODUCT(Other_Risk_Movements_Yr3_12*Long_Term_Monetised_Risk_12)</f>
        <v>0</v>
      </c>
      <c r="H84" s="64" cm="1">
        <f t="array" ref="H84">SUMPRODUCT(Asset_Replacement_Yr3_12*Long_Term_Monetised_Risk_12)</f>
        <v>0</v>
      </c>
      <c r="I84" s="64" cm="1">
        <f t="array" ref="I84">SUMPRODUCT(Asset_Refurbishment_Yr3_12*Long_Term_Monetised_Risk_12)</f>
        <v>0</v>
      </c>
      <c r="J84" s="64" cm="1">
        <f t="array" ref="J84">SUMPRODUCT(Reinforcement_Yr3_12*Long_Term_Monetised_Risk_12)</f>
        <v>0</v>
      </c>
      <c r="K84" s="64" cm="1">
        <f t="array" ref="K84">SUMPRODUCT(Faults_Yr3_12*Long_Term_Monetised_Risk_12)</f>
        <v>0</v>
      </c>
      <c r="L84" s="64" cm="1">
        <f t="array" ref="L84">SUMPRODUCT(HVP_Asset_Replacement_Refurbishment_Yr3_12*Long_Term_Monetised_Risk_12)</f>
        <v>0</v>
      </c>
      <c r="M84" s="64" cm="1">
        <f t="array" ref="M84">SUMPRODUCT(HVP_Other_Yr3_12*Long_Term_Monetised_Risk_12)</f>
        <v>0</v>
      </c>
      <c r="N84" s="64" cm="1">
        <f t="array" ref="N84">SUMPRODUCT(All_Other_Yr3_12*Long_Term_Monetised_Risk_12)</f>
        <v>0</v>
      </c>
      <c r="O84" s="65" cm="1">
        <f t="array" ref="O84">SUMPRODUCT(End_Of_Year_Yr3_12*Long_Term_Monetised_Risk_12)</f>
        <v>0</v>
      </c>
      <c r="Q84" s="110"/>
      <c r="R84" s="111"/>
      <c r="S84" s="119"/>
      <c r="T84" s="114" cm="1">
        <f t="array" ref="T84">SUMPRODUCT(Asset_Replacement_2028_Yr3_12*Long_Term_Monetised_Risk_12)</f>
        <v>0</v>
      </c>
      <c r="U84" s="64" cm="1">
        <f t="array" ref="U84">SUMPRODUCT(Asset_Refurbishment_2028_Yr3_12*Long_Term_Monetised_Risk_12)</f>
        <v>0</v>
      </c>
      <c r="V84" s="65" cm="1">
        <f t="array" ref="V84">SUMPRODUCT(HVP_2028_Yr3_12*Long_Term_Monetised_Risk_12)</f>
        <v>0</v>
      </c>
    </row>
    <row r="85" spans="1:22">
      <c r="B85" s="93" t="s">
        <v>73</v>
      </c>
      <c r="C85" s="91">
        <v>2027</v>
      </c>
      <c r="D85" s="64" cm="1">
        <f t="array" ref="D85">SUMPRODUCT(Start_of_Year_Yr4_12*Long_Term_Monetised_Risk_12)</f>
        <v>0</v>
      </c>
      <c r="E85" s="64" cm="1">
        <f t="array" ref="E85">SUMPRODUCT(Data_Cleansing_Yr4_12*Long_Term_Monetised_Risk_12)</f>
        <v>0</v>
      </c>
      <c r="F85" s="64" cm="1">
        <f t="array" ref="F85">SUMPRODUCT(Deterioration_total_Yr4_12*Long_Term_Monetised_Risk_12)</f>
        <v>0</v>
      </c>
      <c r="G85" s="64" cm="1">
        <f t="array" ref="G85">SUMPRODUCT(Other_Risk_Movements_Yr4_12*Long_Term_Monetised_Risk_12)</f>
        <v>0</v>
      </c>
      <c r="H85" s="64" cm="1">
        <f t="array" ref="H85">SUMPRODUCT(Asset_Replacement_Yr4_12*Long_Term_Monetised_Risk_12)</f>
        <v>0</v>
      </c>
      <c r="I85" s="64" cm="1">
        <f t="array" ref="I85">SUMPRODUCT(Asset_Refurbishment_Yr4_12*Long_Term_Monetised_Risk_12)</f>
        <v>0</v>
      </c>
      <c r="J85" s="64" cm="1">
        <f t="array" ref="J85">SUMPRODUCT(Reinforcement_Yr4_12*Long_Term_Monetised_Risk_12)</f>
        <v>0</v>
      </c>
      <c r="K85" s="64" cm="1">
        <f t="array" ref="K85">SUMPRODUCT(Faults_Yr4_12*Long_Term_Monetised_Risk_12)</f>
        <v>0</v>
      </c>
      <c r="L85" s="64" cm="1">
        <f t="array" ref="L85">SUMPRODUCT(HVP_Asset_Replacement_Refurbishment_Yr4_12*Long_Term_Monetised_Risk_12)</f>
        <v>0</v>
      </c>
      <c r="M85" s="64" cm="1">
        <f t="array" ref="M85">SUMPRODUCT(HVP_Other_Yr4_12*Long_Term_Monetised_Risk_12)</f>
        <v>0</v>
      </c>
      <c r="N85" s="64" cm="1">
        <f t="array" ref="N85">SUMPRODUCT(All_Other_Yr4_12*Long_Term_Monetised_Risk_12)</f>
        <v>0</v>
      </c>
      <c r="O85" s="65" cm="1">
        <f t="array" ref="O85">SUMPRODUCT(End_Of_Year_Yr4_12*Long_Term_Monetised_Risk_12)</f>
        <v>0</v>
      </c>
      <c r="Q85" s="110"/>
      <c r="R85" s="111"/>
      <c r="S85" s="119"/>
      <c r="T85" s="114" cm="1">
        <f t="array" ref="T85">SUMPRODUCT(Asset_Replacement_2028_Yr4_12*Long_Term_Monetised_Risk_12)</f>
        <v>0</v>
      </c>
      <c r="U85" s="64" cm="1">
        <f t="array" ref="U85">SUMPRODUCT(Asset_Refurbishment_2028_Yr4_12*Long_Term_Monetised_Risk_12)</f>
        <v>0</v>
      </c>
      <c r="V85" s="65" cm="1">
        <f t="array" ref="V85">SUMPRODUCT(HVP_2028_Yr4_12*Long_Term_Monetised_Risk_12)</f>
        <v>0</v>
      </c>
    </row>
    <row r="86" spans="1:22">
      <c r="B86" s="93" t="s">
        <v>73</v>
      </c>
      <c r="C86" s="91">
        <v>2028</v>
      </c>
      <c r="D86" s="64" cm="1">
        <f t="array" ref="D86">SUMPRODUCT(Start_of_Year_Yr5_12*Long_Term_Monetised_Risk_12)</f>
        <v>0</v>
      </c>
      <c r="E86" s="64" cm="1">
        <f t="array" ref="E86">SUMPRODUCT(Data_Cleansing_Yr5_12*Long_Term_Monetised_Risk_12)</f>
        <v>0</v>
      </c>
      <c r="F86" s="64" cm="1">
        <f t="array" ref="F86">SUMPRODUCT(Deterioration_total_Yr5_12*Long_Term_Monetised_Risk_12)</f>
        <v>0</v>
      </c>
      <c r="G86" s="64" cm="1">
        <f t="array" ref="G86">SUMPRODUCT(Other_Risk_Movements_Yr5_12*Long_Term_Monetised_Risk_12)</f>
        <v>0</v>
      </c>
      <c r="H86" s="64" cm="1">
        <f t="array" ref="H86">SUMPRODUCT(Asset_Replacement_Yr5_12*Long_Term_Monetised_Risk_12)</f>
        <v>0</v>
      </c>
      <c r="I86" s="64" cm="1">
        <f t="array" ref="I86">SUMPRODUCT(Asset_Refurbishment_Yr5_12*Long_Term_Monetised_Risk_12)</f>
        <v>0</v>
      </c>
      <c r="J86" s="64" cm="1">
        <f t="array" ref="J86">SUMPRODUCT(Reinforcement_Yr5_12*Long_Term_Monetised_Risk_12)</f>
        <v>0</v>
      </c>
      <c r="K86" s="64" cm="1">
        <f t="array" ref="K86">SUMPRODUCT(Faults_Yr5_12*Long_Term_Monetised_Risk_12)</f>
        <v>0</v>
      </c>
      <c r="L86" s="64" cm="1">
        <f t="array" ref="L86">SUMPRODUCT(HVP_Asset_Replacement_Refurbishment_Yr5_12*Long_Term_Monetised_Risk_12)</f>
        <v>0</v>
      </c>
      <c r="M86" s="64" cm="1">
        <f t="array" ref="M86">SUMPRODUCT(HVP_Other_Yr5_12*Long_Term_Monetised_Risk_12)</f>
        <v>0</v>
      </c>
      <c r="N86" s="64" cm="1">
        <f t="array" ref="N86">SUMPRODUCT(All_Other_Yr5_12*Long_Term_Monetised_Risk_12)</f>
        <v>0</v>
      </c>
      <c r="O86" s="65" cm="1">
        <f t="array" ref="O86">SUMPRODUCT(End_Of_Year_Yr5_12*Long_Term_Monetised_Risk_12)</f>
        <v>0</v>
      </c>
      <c r="Q86" s="110"/>
      <c r="R86" s="111"/>
      <c r="S86" s="119"/>
      <c r="T86" s="114" cm="1">
        <f t="array" ref="T86">SUMPRODUCT(Asset_Replacement_2028_Yr5_12*Long_Term_Monetised_Risk_12)</f>
        <v>0</v>
      </c>
      <c r="U86" s="64" cm="1">
        <f t="array" ref="U86">SUMPRODUCT(Asset_Refurbishment_2028_Yr5_12*Long_Term_Monetised_Risk_12)</f>
        <v>0</v>
      </c>
      <c r="V86" s="65" cm="1">
        <f t="array" ref="V86">SUMPRODUCT(HVP_2028_Yr5_12*Long_Term_Monetised_Risk_12)</f>
        <v>0</v>
      </c>
    </row>
    <row r="87" spans="1:22" ht="14" thickBot="1">
      <c r="B87" s="103" t="s">
        <v>73</v>
      </c>
      <c r="C87" s="104" t="s">
        <v>131</v>
      </c>
      <c r="D87" s="105"/>
      <c r="E87" s="106">
        <f t="shared" ref="E87:O87" si="32">SUM(E82:E86)</f>
        <v>0</v>
      </c>
      <c r="F87" s="106">
        <f t="shared" si="32"/>
        <v>0</v>
      </c>
      <c r="G87" s="106">
        <f t="shared" si="32"/>
        <v>0</v>
      </c>
      <c r="H87" s="106">
        <f t="shared" si="32"/>
        <v>0</v>
      </c>
      <c r="I87" s="106">
        <f t="shared" si="32"/>
        <v>0</v>
      </c>
      <c r="J87" s="106">
        <f t="shared" si="32"/>
        <v>0</v>
      </c>
      <c r="K87" s="106">
        <f t="shared" si="32"/>
        <v>0</v>
      </c>
      <c r="L87" s="106">
        <f t="shared" si="32"/>
        <v>0</v>
      </c>
      <c r="M87" s="106">
        <f t="shared" si="32"/>
        <v>0</v>
      </c>
      <c r="N87" s="106">
        <f t="shared" si="32"/>
        <v>0</v>
      </c>
      <c r="O87" s="537">
        <f t="shared" si="32"/>
        <v>0</v>
      </c>
      <c r="Q87" s="107" t="str">
        <f ca="1">VLOOKUP($B87,'NARM4 - ED2 NARW Risk Movements'!$B$7:$G$67,4,FALSE)</f>
        <v/>
      </c>
      <c r="R87" s="109" t="str">
        <f ca="1">VLOOKUP($B87,'NARM4 - ED2 NARW Risk Movements'!$B$7:$G$67,5,FALSE)</f>
        <v/>
      </c>
      <c r="S87" s="121" t="str">
        <f ca="1">VLOOKUP($B87,'NARM4 - ED2 NARW Risk Movements'!$B$7:$G$67,6,FALSE)</f>
        <v/>
      </c>
      <c r="T87" s="117">
        <f>SUM(T82:T86)</f>
        <v>0</v>
      </c>
      <c r="U87" s="106">
        <f t="shared" ref="U87" si="33">SUM(U82:U86)</f>
        <v>0</v>
      </c>
      <c r="V87" s="108">
        <f>SUM(V82:V86)</f>
        <v>0</v>
      </c>
    </row>
    <row r="88" spans="1:22" ht="14" thickTop="1">
      <c r="A88" s="143">
        <v>13</v>
      </c>
      <c r="B88" s="99" t="s">
        <v>74</v>
      </c>
      <c r="C88" s="100">
        <v>2024</v>
      </c>
      <c r="D88" s="101" cm="1">
        <f t="array" ref="D88">SUMPRODUCT(Start_of_Year_Yr1_13*Long_Term_Monetised_Risk_13)</f>
        <v>0</v>
      </c>
      <c r="E88" s="101" cm="1">
        <f t="array" ref="E88">SUMPRODUCT(Data_Cleansing_Yr1_13*Long_Term_Monetised_Risk_13)</f>
        <v>0</v>
      </c>
      <c r="F88" s="101" cm="1">
        <f t="array" ref="F88">SUMPRODUCT(Deterioration_total_Yr1_13*Long_Term_Monetised_Risk_13)</f>
        <v>0</v>
      </c>
      <c r="G88" s="101" cm="1">
        <f t="array" ref="G88">SUMPRODUCT(Other_Risk_Movements_Yr1_13*Long_Term_Monetised_Risk_13)</f>
        <v>0</v>
      </c>
      <c r="H88" s="101" cm="1">
        <f t="array" ref="H88">SUMPRODUCT(Asset_Replacement_Yr1_13*Long_Term_Monetised_Risk_13)</f>
        <v>0</v>
      </c>
      <c r="I88" s="101" cm="1">
        <f t="array" ref="I88">SUMPRODUCT(Asset_Refurbishment_Yr1_13*Long_Term_Monetised_Risk_13)</f>
        <v>0</v>
      </c>
      <c r="J88" s="101" cm="1">
        <f t="array" ref="J88">SUMPRODUCT(Reinforcement_Yr1_13*Long_Term_Monetised_Risk_13)</f>
        <v>0</v>
      </c>
      <c r="K88" s="101" cm="1">
        <f t="array" ref="K88">SUMPRODUCT(Faults_Yr1_13*Long_Term_Monetised_Risk_13)</f>
        <v>0</v>
      </c>
      <c r="L88" s="101" cm="1">
        <f t="array" ref="L88">SUMPRODUCT(HVP_Asset_Replacement_Refurbishment_Yr1_13*Long_Term_Monetised_Risk_13)</f>
        <v>0</v>
      </c>
      <c r="M88" s="101" cm="1">
        <f t="array" ref="M88">SUMPRODUCT(HVP_Other_Yr1_13*Long_Term_Monetised_Risk_13)</f>
        <v>0</v>
      </c>
      <c r="N88" s="101" cm="1">
        <f t="array" ref="N88">SUMPRODUCT(All_Other_Yr1_13*Long_Term_Monetised_Risk_13)</f>
        <v>0</v>
      </c>
      <c r="O88" s="102" cm="1">
        <f t="array" ref="O88">SUMPRODUCT(End_Of_Year_Yr1_13*Long_Term_Monetised_Risk_13)</f>
        <v>0</v>
      </c>
      <c r="Q88" s="112"/>
      <c r="R88" s="113"/>
      <c r="S88" s="120"/>
      <c r="T88" s="115" cm="1">
        <f t="array" ref="T88">SUMPRODUCT(Asset_Replacement_2028_Yr1_13*Long_Term_Monetised_Risk_13)</f>
        <v>0</v>
      </c>
      <c r="U88" s="101" cm="1">
        <f t="array" ref="U88">SUMPRODUCT(Asset_Refurbishment_2028_Yr1_13*Long_Term_Monetised_Risk_13)</f>
        <v>0</v>
      </c>
      <c r="V88" s="102" cm="1">
        <f t="array" ref="V88">SUMPRODUCT(HVP_2028_Yr1_13*Long_Term_Monetised_Risk_13)</f>
        <v>0</v>
      </c>
    </row>
    <row r="89" spans="1:22">
      <c r="B89" s="93" t="s">
        <v>74</v>
      </c>
      <c r="C89" s="91">
        <v>2025</v>
      </c>
      <c r="D89" s="64" cm="1">
        <f t="array" ref="D89">SUMPRODUCT(Start_of_Year_Yr2_13*Long_Term_Monetised_Risk_13)</f>
        <v>0</v>
      </c>
      <c r="E89" s="64" cm="1">
        <f t="array" ref="E89">SUMPRODUCT(Data_Cleansing_Yr2_13*Long_Term_Monetised_Risk_13)</f>
        <v>0</v>
      </c>
      <c r="F89" s="64" cm="1">
        <f t="array" ref="F89">SUMPRODUCT(Deterioration_total_Yr2_13*Long_Term_Monetised_Risk_13)</f>
        <v>0</v>
      </c>
      <c r="G89" s="64" cm="1">
        <f t="array" ref="G89">SUMPRODUCT(Other_Risk_Movements_Yr2_13*Long_Term_Monetised_Risk_13)</f>
        <v>0</v>
      </c>
      <c r="H89" s="64" cm="1">
        <f t="array" ref="H89">SUMPRODUCT(Asset_Replacement_Yr2_13*Long_Term_Monetised_Risk_13)</f>
        <v>0</v>
      </c>
      <c r="I89" s="64" cm="1">
        <f t="array" ref="I89">SUMPRODUCT(Asset_Refurbishment_Yr2_13*Long_Term_Monetised_Risk_13)</f>
        <v>0</v>
      </c>
      <c r="J89" s="64" cm="1">
        <f t="array" ref="J89">SUMPRODUCT(Reinforcement_Yr2_13*Long_Term_Monetised_Risk_13)</f>
        <v>0</v>
      </c>
      <c r="K89" s="64" cm="1">
        <f t="array" ref="K89">SUMPRODUCT(Faults_Yr2_13*Long_Term_Monetised_Risk_13)</f>
        <v>0</v>
      </c>
      <c r="L89" s="64" cm="1">
        <f t="array" ref="L89">SUMPRODUCT(HVP_Asset_Replacement_Refurbishment_Yr2_13*Long_Term_Monetised_Risk_13)</f>
        <v>0</v>
      </c>
      <c r="M89" s="64" cm="1">
        <f t="array" ref="M89">SUMPRODUCT(HVP_Other_Yr2_13*Long_Term_Monetised_Risk_13)</f>
        <v>0</v>
      </c>
      <c r="N89" s="64" cm="1">
        <f t="array" ref="N89">SUMPRODUCT(All_Other_Yr2_13*Long_Term_Monetised_Risk_13)</f>
        <v>0</v>
      </c>
      <c r="O89" s="65" cm="1">
        <f t="array" ref="O89">SUMPRODUCT(End_Of_Year_Yr2_13*Long_Term_Monetised_Risk_13)</f>
        <v>0</v>
      </c>
      <c r="Q89" s="110"/>
      <c r="R89" s="111"/>
      <c r="S89" s="119"/>
      <c r="T89" s="114" cm="1">
        <f t="array" ref="T89">SUMPRODUCT(Asset_Replacement_2028_Yr2_13*Long_Term_Monetised_Risk_13)</f>
        <v>0</v>
      </c>
      <c r="U89" s="64" cm="1">
        <f t="array" ref="U89">SUMPRODUCT(Asset_Refurbishment_2028_Yr2_13*Long_Term_Monetised_Risk_13)</f>
        <v>0</v>
      </c>
      <c r="V89" s="65" cm="1">
        <f t="array" ref="V89">SUMPRODUCT(HVP_2028_Yr2_13*Long_Term_Monetised_Risk_13)</f>
        <v>0</v>
      </c>
    </row>
    <row r="90" spans="1:22">
      <c r="B90" s="93" t="s">
        <v>74</v>
      </c>
      <c r="C90" s="91">
        <v>2026</v>
      </c>
      <c r="D90" s="64" cm="1">
        <f t="array" ref="D90">SUMPRODUCT(Start_of_Year_Yr3_13*Long_Term_Monetised_Risk_13)</f>
        <v>0</v>
      </c>
      <c r="E90" s="64" cm="1">
        <f t="array" ref="E90">SUMPRODUCT(Data_Cleansing_Yr3_13*Long_Term_Monetised_Risk_13)</f>
        <v>0</v>
      </c>
      <c r="F90" s="64" cm="1">
        <f t="array" ref="F90">SUMPRODUCT(Deterioration_total_Yr3_13*Long_Term_Monetised_Risk_13)</f>
        <v>0</v>
      </c>
      <c r="G90" s="64" cm="1">
        <f t="array" ref="G90">SUMPRODUCT(Other_Risk_Movements_Yr3_13*Long_Term_Monetised_Risk_13)</f>
        <v>0</v>
      </c>
      <c r="H90" s="64" cm="1">
        <f t="array" ref="H90">SUMPRODUCT(Asset_Replacement_Yr3_13*Long_Term_Monetised_Risk_13)</f>
        <v>0</v>
      </c>
      <c r="I90" s="64" cm="1">
        <f t="array" ref="I90">SUMPRODUCT(Asset_Refurbishment_Yr3_13*Long_Term_Monetised_Risk_13)</f>
        <v>0</v>
      </c>
      <c r="J90" s="64" cm="1">
        <f t="array" ref="J90">SUMPRODUCT(Reinforcement_Yr3_13*Long_Term_Monetised_Risk_13)</f>
        <v>0</v>
      </c>
      <c r="K90" s="64" cm="1">
        <f t="array" ref="K90">SUMPRODUCT(Faults_Yr3_13*Long_Term_Monetised_Risk_13)</f>
        <v>0</v>
      </c>
      <c r="L90" s="64" cm="1">
        <f t="array" ref="L90">SUMPRODUCT(HVP_Asset_Replacement_Refurbishment_Yr3_13*Long_Term_Monetised_Risk_13)</f>
        <v>0</v>
      </c>
      <c r="M90" s="64" cm="1">
        <f t="array" ref="M90">SUMPRODUCT(HVP_Other_Yr3_13*Long_Term_Monetised_Risk_13)</f>
        <v>0</v>
      </c>
      <c r="N90" s="64" cm="1">
        <f t="array" ref="N90">SUMPRODUCT(All_Other_Yr3_13*Long_Term_Monetised_Risk_13)</f>
        <v>0</v>
      </c>
      <c r="O90" s="65" cm="1">
        <f t="array" ref="O90">SUMPRODUCT(End_Of_Year_Yr3_13*Long_Term_Monetised_Risk_13)</f>
        <v>0</v>
      </c>
      <c r="Q90" s="110"/>
      <c r="R90" s="111"/>
      <c r="S90" s="119"/>
      <c r="T90" s="114" cm="1">
        <f t="array" ref="T90">SUMPRODUCT(Asset_Replacement_2028_Yr3_13*Long_Term_Monetised_Risk_13)</f>
        <v>0</v>
      </c>
      <c r="U90" s="64" cm="1">
        <f t="array" ref="U90">SUMPRODUCT(Asset_Refurbishment_2028_Yr3_13*Long_Term_Monetised_Risk_13)</f>
        <v>0</v>
      </c>
      <c r="V90" s="65" cm="1">
        <f t="array" ref="V90">SUMPRODUCT(HVP_2028_Yr3_13*Long_Term_Monetised_Risk_13)</f>
        <v>0</v>
      </c>
    </row>
    <row r="91" spans="1:22">
      <c r="B91" s="93" t="s">
        <v>74</v>
      </c>
      <c r="C91" s="91">
        <v>2027</v>
      </c>
      <c r="D91" s="64" cm="1">
        <f t="array" ref="D91">SUMPRODUCT(Start_of_Year_Yr4_13*Long_Term_Monetised_Risk_13)</f>
        <v>0</v>
      </c>
      <c r="E91" s="64" cm="1">
        <f t="array" ref="E91">SUMPRODUCT(Data_Cleansing_Yr4_13*Long_Term_Monetised_Risk_13)</f>
        <v>0</v>
      </c>
      <c r="F91" s="64" cm="1">
        <f t="array" ref="F91">SUMPRODUCT(Deterioration_total_Yr4_13*Long_Term_Monetised_Risk_13)</f>
        <v>0</v>
      </c>
      <c r="G91" s="64" cm="1">
        <f t="array" ref="G91">SUMPRODUCT(Other_Risk_Movements_Yr4_13*Long_Term_Monetised_Risk_13)</f>
        <v>0</v>
      </c>
      <c r="H91" s="64" cm="1">
        <f t="array" ref="H91">SUMPRODUCT(Asset_Replacement_Yr4_13*Long_Term_Monetised_Risk_13)</f>
        <v>0</v>
      </c>
      <c r="I91" s="64" cm="1">
        <f t="array" ref="I91">SUMPRODUCT(Asset_Refurbishment_Yr4_13*Long_Term_Monetised_Risk_13)</f>
        <v>0</v>
      </c>
      <c r="J91" s="64" cm="1">
        <f t="array" ref="J91">SUMPRODUCT(Reinforcement_Yr4_13*Long_Term_Monetised_Risk_13)</f>
        <v>0</v>
      </c>
      <c r="K91" s="64" cm="1">
        <f t="array" ref="K91">SUMPRODUCT(Faults_Yr4_13*Long_Term_Monetised_Risk_13)</f>
        <v>0</v>
      </c>
      <c r="L91" s="64" cm="1">
        <f t="array" ref="L91">SUMPRODUCT(HVP_Asset_Replacement_Refurbishment_Yr4_13*Long_Term_Monetised_Risk_13)</f>
        <v>0</v>
      </c>
      <c r="M91" s="64" cm="1">
        <f t="array" ref="M91">SUMPRODUCT(HVP_Other_Yr4_13*Long_Term_Monetised_Risk_13)</f>
        <v>0</v>
      </c>
      <c r="N91" s="64" cm="1">
        <f t="array" ref="N91">SUMPRODUCT(All_Other_Yr4_13*Long_Term_Monetised_Risk_13)</f>
        <v>0</v>
      </c>
      <c r="O91" s="65" cm="1">
        <f t="array" ref="O91">SUMPRODUCT(End_Of_Year_Yr4_13*Long_Term_Monetised_Risk_13)</f>
        <v>0</v>
      </c>
      <c r="Q91" s="110"/>
      <c r="R91" s="111"/>
      <c r="S91" s="119"/>
      <c r="T91" s="114" cm="1">
        <f t="array" ref="T91">SUMPRODUCT(Asset_Replacement_2028_Yr4_13*Long_Term_Monetised_Risk_13)</f>
        <v>0</v>
      </c>
      <c r="U91" s="64" cm="1">
        <f t="array" ref="U91">SUMPRODUCT(Asset_Refurbishment_2028_Yr4_13*Long_Term_Monetised_Risk_13)</f>
        <v>0</v>
      </c>
      <c r="V91" s="65" cm="1">
        <f t="array" ref="V91">SUMPRODUCT(HVP_2028_Yr4_13*Long_Term_Monetised_Risk_13)</f>
        <v>0</v>
      </c>
    </row>
    <row r="92" spans="1:22">
      <c r="B92" s="93" t="s">
        <v>74</v>
      </c>
      <c r="C92" s="91">
        <v>2028</v>
      </c>
      <c r="D92" s="64" cm="1">
        <f t="array" ref="D92">SUMPRODUCT(Start_of_Year_Yr5_13*Long_Term_Monetised_Risk_13)</f>
        <v>0</v>
      </c>
      <c r="E92" s="64" cm="1">
        <f t="array" ref="E92">SUMPRODUCT(Data_Cleansing_Yr5_13*Long_Term_Monetised_Risk_13)</f>
        <v>0</v>
      </c>
      <c r="F92" s="64" cm="1">
        <f t="array" ref="F92">SUMPRODUCT(Deterioration_total_Yr5_13*Long_Term_Monetised_Risk_13)</f>
        <v>0</v>
      </c>
      <c r="G92" s="64" cm="1">
        <f t="array" ref="G92">SUMPRODUCT(Other_Risk_Movements_Yr5_13*Long_Term_Monetised_Risk_13)</f>
        <v>0</v>
      </c>
      <c r="H92" s="64" cm="1">
        <f t="array" ref="H92">SUMPRODUCT(Asset_Replacement_Yr5_13*Long_Term_Monetised_Risk_13)</f>
        <v>0</v>
      </c>
      <c r="I92" s="64" cm="1">
        <f t="array" ref="I92">SUMPRODUCT(Asset_Refurbishment_Yr5_13*Long_Term_Monetised_Risk_13)</f>
        <v>0</v>
      </c>
      <c r="J92" s="64" cm="1">
        <f t="array" ref="J92">SUMPRODUCT(Reinforcement_Yr5_13*Long_Term_Monetised_Risk_13)</f>
        <v>0</v>
      </c>
      <c r="K92" s="64" cm="1">
        <f t="array" ref="K92">SUMPRODUCT(Faults_Yr5_13*Long_Term_Monetised_Risk_13)</f>
        <v>0</v>
      </c>
      <c r="L92" s="64" cm="1">
        <f t="array" ref="L92">SUMPRODUCT(HVP_Asset_Replacement_Refurbishment_Yr5_13*Long_Term_Monetised_Risk_13)</f>
        <v>0</v>
      </c>
      <c r="M92" s="64" cm="1">
        <f t="array" ref="M92">SUMPRODUCT(HVP_Other_Yr5_13*Long_Term_Monetised_Risk_13)</f>
        <v>0</v>
      </c>
      <c r="N92" s="64" cm="1">
        <f t="array" ref="N92">SUMPRODUCT(All_Other_Yr5_13*Long_Term_Monetised_Risk_13)</f>
        <v>0</v>
      </c>
      <c r="O92" s="65" cm="1">
        <f t="array" ref="O92">SUMPRODUCT(End_Of_Year_Yr5_13*Long_Term_Monetised_Risk_13)</f>
        <v>0</v>
      </c>
      <c r="Q92" s="110"/>
      <c r="R92" s="111"/>
      <c r="S92" s="119"/>
      <c r="T92" s="114" cm="1">
        <f t="array" ref="T92">SUMPRODUCT(Asset_Replacement_2028_Yr5_13*Long_Term_Monetised_Risk_13)</f>
        <v>0</v>
      </c>
      <c r="U92" s="64" cm="1">
        <f t="array" ref="U92">SUMPRODUCT(Asset_Refurbishment_2028_Yr5_13*Long_Term_Monetised_Risk_13)</f>
        <v>0</v>
      </c>
      <c r="V92" s="65" cm="1">
        <f t="array" ref="V92">SUMPRODUCT(HVP_2028_Yr5_13*Long_Term_Monetised_Risk_13)</f>
        <v>0</v>
      </c>
    </row>
    <row r="93" spans="1:22" ht="14" thickBot="1">
      <c r="B93" s="103" t="s">
        <v>74</v>
      </c>
      <c r="C93" s="104" t="s">
        <v>131</v>
      </c>
      <c r="D93" s="105"/>
      <c r="E93" s="106">
        <f t="shared" ref="E93:O93" si="34">SUM(E88:E92)</f>
        <v>0</v>
      </c>
      <c r="F93" s="106">
        <f t="shared" si="34"/>
        <v>0</v>
      </c>
      <c r="G93" s="106">
        <f t="shared" si="34"/>
        <v>0</v>
      </c>
      <c r="H93" s="106">
        <f t="shared" si="34"/>
        <v>0</v>
      </c>
      <c r="I93" s="106">
        <f t="shared" si="34"/>
        <v>0</v>
      </c>
      <c r="J93" s="106">
        <f t="shared" si="34"/>
        <v>0</v>
      </c>
      <c r="K93" s="106">
        <f t="shared" si="34"/>
        <v>0</v>
      </c>
      <c r="L93" s="106">
        <f t="shared" si="34"/>
        <v>0</v>
      </c>
      <c r="M93" s="106">
        <f t="shared" si="34"/>
        <v>0</v>
      </c>
      <c r="N93" s="106">
        <f t="shared" si="34"/>
        <v>0</v>
      </c>
      <c r="O93" s="537">
        <f t="shared" si="34"/>
        <v>0</v>
      </c>
      <c r="Q93" s="107" t="str">
        <f ca="1">VLOOKUP($B93,'NARM4 - ED2 NARW Risk Movements'!$B$7:$G$67,4,FALSE)</f>
        <v/>
      </c>
      <c r="R93" s="109" t="str">
        <f ca="1">VLOOKUP($B93,'NARM4 - ED2 NARW Risk Movements'!$B$7:$G$67,5,FALSE)</f>
        <v/>
      </c>
      <c r="S93" s="121" t="str">
        <f ca="1">VLOOKUP($B93,'NARM4 - ED2 NARW Risk Movements'!$B$7:$G$67,6,FALSE)</f>
        <v/>
      </c>
      <c r="T93" s="117">
        <f>SUM(T88:T92)</f>
        <v>0</v>
      </c>
      <c r="U93" s="106">
        <f t="shared" ref="U93" si="35">SUM(U88:U92)</f>
        <v>0</v>
      </c>
      <c r="V93" s="108">
        <f>SUM(V88:V92)</f>
        <v>0</v>
      </c>
    </row>
    <row r="94" spans="1:22" ht="14" thickTop="1">
      <c r="A94" s="143">
        <v>14</v>
      </c>
      <c r="B94" s="99" t="s">
        <v>75</v>
      </c>
      <c r="C94" s="100">
        <v>2024</v>
      </c>
      <c r="D94" s="101" cm="1">
        <f t="array" ref="D94">SUMPRODUCT(Start_of_Year_Yr1_14*Long_Term_Monetised_Risk_14)</f>
        <v>0</v>
      </c>
      <c r="E94" s="101" cm="1">
        <f t="array" ref="E94">SUMPRODUCT(Data_Cleansing_Yr1_14*Long_Term_Monetised_Risk_14)</f>
        <v>0</v>
      </c>
      <c r="F94" s="101" cm="1">
        <f t="array" ref="F94">SUMPRODUCT(Deterioration_total_Yr1_14*Long_Term_Monetised_Risk_14)</f>
        <v>0</v>
      </c>
      <c r="G94" s="101" cm="1">
        <f t="array" ref="G94">SUMPRODUCT(Other_Risk_Movements_Yr1_14*Long_Term_Monetised_Risk_14)</f>
        <v>0</v>
      </c>
      <c r="H94" s="101" cm="1">
        <f t="array" ref="H94">SUMPRODUCT(Asset_Replacement_Yr1_14*Long_Term_Monetised_Risk_14)</f>
        <v>0</v>
      </c>
      <c r="I94" s="101" cm="1">
        <f t="array" ref="I94">SUMPRODUCT(Asset_Refurbishment_Yr1_14*Long_Term_Monetised_Risk_14)</f>
        <v>0</v>
      </c>
      <c r="J94" s="101" cm="1">
        <f t="array" ref="J94">SUMPRODUCT(Reinforcement_Yr1_14*Long_Term_Monetised_Risk_14)</f>
        <v>0</v>
      </c>
      <c r="K94" s="101" cm="1">
        <f t="array" ref="K94">SUMPRODUCT(Faults_Yr1_14*Long_Term_Monetised_Risk_14)</f>
        <v>0</v>
      </c>
      <c r="L94" s="101" cm="1">
        <f t="array" ref="L94">SUMPRODUCT(HVP_Asset_Replacement_Refurbishment_Yr1_14*Long_Term_Monetised_Risk_14)</f>
        <v>0</v>
      </c>
      <c r="M94" s="101" cm="1">
        <f t="array" ref="M94">SUMPRODUCT(HVP_Other_Yr1_14*Long_Term_Monetised_Risk_14)</f>
        <v>0</v>
      </c>
      <c r="N94" s="101" cm="1">
        <f t="array" ref="N94">SUMPRODUCT(All_Other_Yr1_14*Long_Term_Monetised_Risk_14)</f>
        <v>0</v>
      </c>
      <c r="O94" s="102" cm="1">
        <f t="array" ref="O94">SUMPRODUCT(End_Of_Year_Yr1_14*Long_Term_Monetised_Risk_14)</f>
        <v>0</v>
      </c>
      <c r="Q94" s="112"/>
      <c r="R94" s="113"/>
      <c r="S94" s="120"/>
      <c r="T94" s="115" cm="1">
        <f t="array" ref="T94">SUMPRODUCT(Asset_Replacement_2028_Yr1_14*Long_Term_Monetised_Risk_14)</f>
        <v>0</v>
      </c>
      <c r="U94" s="101" cm="1">
        <f t="array" ref="U94">SUMPRODUCT(Asset_Refurbishment_2028_Yr1_14*Long_Term_Monetised_Risk_14)</f>
        <v>0</v>
      </c>
      <c r="V94" s="102" cm="1">
        <f t="array" ref="V94">SUMPRODUCT(HVP_2028_Yr1_14*Long_Term_Monetised_Risk_14)</f>
        <v>0</v>
      </c>
    </row>
    <row r="95" spans="1:22">
      <c r="B95" s="93" t="s">
        <v>75</v>
      </c>
      <c r="C95" s="91">
        <v>2025</v>
      </c>
      <c r="D95" s="64" cm="1">
        <f t="array" ref="D95">SUMPRODUCT(Start_of_Year_Yr2_14*Long_Term_Monetised_Risk_14)</f>
        <v>0</v>
      </c>
      <c r="E95" s="64" cm="1">
        <f t="array" ref="E95">SUMPRODUCT(Data_Cleansing_Yr2_14*Long_Term_Monetised_Risk_14)</f>
        <v>0</v>
      </c>
      <c r="F95" s="64" cm="1">
        <f t="array" ref="F95">SUMPRODUCT(Deterioration_total_Yr2_14*Long_Term_Monetised_Risk_14)</f>
        <v>0</v>
      </c>
      <c r="G95" s="64" cm="1">
        <f t="array" ref="G95">SUMPRODUCT(Other_Risk_Movements_Yr2_14*Long_Term_Monetised_Risk_14)</f>
        <v>0</v>
      </c>
      <c r="H95" s="64" cm="1">
        <f t="array" ref="H95">SUMPRODUCT(Asset_Replacement_Yr2_14*Long_Term_Monetised_Risk_14)</f>
        <v>0</v>
      </c>
      <c r="I95" s="64" cm="1">
        <f t="array" ref="I95">SUMPRODUCT(Asset_Refurbishment_Yr2_14*Long_Term_Monetised_Risk_14)</f>
        <v>0</v>
      </c>
      <c r="J95" s="64" cm="1">
        <f t="array" ref="J95">SUMPRODUCT(Reinforcement_Yr2_14*Long_Term_Monetised_Risk_14)</f>
        <v>0</v>
      </c>
      <c r="K95" s="64" cm="1">
        <f t="array" ref="K95">SUMPRODUCT(Faults_Yr2_14*Long_Term_Monetised_Risk_14)</f>
        <v>0</v>
      </c>
      <c r="L95" s="64" cm="1">
        <f t="array" ref="L95">SUMPRODUCT(HVP_Asset_Replacement_Refurbishment_Yr2_14*Long_Term_Monetised_Risk_14)</f>
        <v>0</v>
      </c>
      <c r="M95" s="64" cm="1">
        <f t="array" ref="M95">SUMPRODUCT(HVP_Other_Yr2_14*Long_Term_Monetised_Risk_14)</f>
        <v>0</v>
      </c>
      <c r="N95" s="64" cm="1">
        <f t="array" ref="N95">SUMPRODUCT(All_Other_Yr2_14*Long_Term_Monetised_Risk_14)</f>
        <v>0</v>
      </c>
      <c r="O95" s="65" cm="1">
        <f t="array" ref="O95">SUMPRODUCT(End_Of_Year_Yr2_14*Long_Term_Monetised_Risk_14)</f>
        <v>0</v>
      </c>
      <c r="Q95" s="110"/>
      <c r="R95" s="111"/>
      <c r="S95" s="119"/>
      <c r="T95" s="114" cm="1">
        <f t="array" ref="T95">SUMPRODUCT(Asset_Replacement_2028_Yr2_14*Long_Term_Monetised_Risk_14)</f>
        <v>0</v>
      </c>
      <c r="U95" s="64" cm="1">
        <f t="array" ref="U95">SUMPRODUCT(Asset_Refurbishment_2028_Yr2_14*Long_Term_Monetised_Risk_14)</f>
        <v>0</v>
      </c>
      <c r="V95" s="65" cm="1">
        <f t="array" ref="V95">SUMPRODUCT(HVP_2028_Yr2_14*Long_Term_Monetised_Risk_14)</f>
        <v>0</v>
      </c>
    </row>
    <row r="96" spans="1:22">
      <c r="B96" s="93" t="s">
        <v>75</v>
      </c>
      <c r="C96" s="91">
        <v>2026</v>
      </c>
      <c r="D96" s="64" cm="1">
        <f t="array" ref="D96">SUMPRODUCT(Start_of_Year_Yr3_14*Long_Term_Monetised_Risk_14)</f>
        <v>0</v>
      </c>
      <c r="E96" s="64" cm="1">
        <f t="array" ref="E96">SUMPRODUCT(Data_Cleansing_Yr3_14*Long_Term_Monetised_Risk_14)</f>
        <v>0</v>
      </c>
      <c r="F96" s="64" cm="1">
        <f t="array" ref="F96">SUMPRODUCT(Deterioration_total_Yr3_14*Long_Term_Monetised_Risk_14)</f>
        <v>0</v>
      </c>
      <c r="G96" s="64" cm="1">
        <f t="array" ref="G96">SUMPRODUCT(Other_Risk_Movements_Yr3_14*Long_Term_Monetised_Risk_14)</f>
        <v>0</v>
      </c>
      <c r="H96" s="64" cm="1">
        <f t="array" ref="H96">SUMPRODUCT(Asset_Replacement_Yr3_14*Long_Term_Monetised_Risk_14)</f>
        <v>0</v>
      </c>
      <c r="I96" s="64" cm="1">
        <f t="array" ref="I96">SUMPRODUCT(Asset_Refurbishment_Yr3_14*Long_Term_Monetised_Risk_14)</f>
        <v>0</v>
      </c>
      <c r="J96" s="64" cm="1">
        <f t="array" ref="J96">SUMPRODUCT(Reinforcement_Yr3_14*Long_Term_Monetised_Risk_14)</f>
        <v>0</v>
      </c>
      <c r="K96" s="64" cm="1">
        <f t="array" ref="K96">SUMPRODUCT(Faults_Yr3_14*Long_Term_Monetised_Risk_14)</f>
        <v>0</v>
      </c>
      <c r="L96" s="64" cm="1">
        <f t="array" ref="L96">SUMPRODUCT(HVP_Asset_Replacement_Refurbishment_Yr3_14*Long_Term_Monetised_Risk_14)</f>
        <v>0</v>
      </c>
      <c r="M96" s="64" cm="1">
        <f t="array" ref="M96">SUMPRODUCT(HVP_Other_Yr3_14*Long_Term_Monetised_Risk_14)</f>
        <v>0</v>
      </c>
      <c r="N96" s="64" cm="1">
        <f t="array" ref="N96">SUMPRODUCT(All_Other_Yr3_14*Long_Term_Monetised_Risk_14)</f>
        <v>0</v>
      </c>
      <c r="O96" s="65" cm="1">
        <f t="array" ref="O96">SUMPRODUCT(End_Of_Year_Yr3_14*Long_Term_Monetised_Risk_14)</f>
        <v>0</v>
      </c>
      <c r="Q96" s="110"/>
      <c r="R96" s="111"/>
      <c r="S96" s="119"/>
      <c r="T96" s="114" cm="1">
        <f t="array" ref="T96">SUMPRODUCT(Asset_Replacement_2028_Yr3_14*Long_Term_Monetised_Risk_14)</f>
        <v>0</v>
      </c>
      <c r="U96" s="64" cm="1">
        <f t="array" ref="U96">SUMPRODUCT(Asset_Refurbishment_2028_Yr3_14*Long_Term_Monetised_Risk_14)</f>
        <v>0</v>
      </c>
      <c r="V96" s="65" cm="1">
        <f t="array" ref="V96">SUMPRODUCT(HVP_2028_Yr3_14*Long_Term_Monetised_Risk_14)</f>
        <v>0</v>
      </c>
    </row>
    <row r="97" spans="1:22">
      <c r="B97" s="93" t="s">
        <v>75</v>
      </c>
      <c r="C97" s="91">
        <v>2027</v>
      </c>
      <c r="D97" s="64" cm="1">
        <f t="array" ref="D97">SUMPRODUCT(Start_of_Year_Yr4_14*Long_Term_Monetised_Risk_14)</f>
        <v>0</v>
      </c>
      <c r="E97" s="64" cm="1">
        <f t="array" ref="E97">SUMPRODUCT(Data_Cleansing_Yr4_14*Long_Term_Monetised_Risk_14)</f>
        <v>0</v>
      </c>
      <c r="F97" s="64" cm="1">
        <f t="array" ref="F97">SUMPRODUCT(Deterioration_total_Yr4_14*Long_Term_Monetised_Risk_14)</f>
        <v>0</v>
      </c>
      <c r="G97" s="64" cm="1">
        <f t="array" ref="G97">SUMPRODUCT(Other_Risk_Movements_Yr4_14*Long_Term_Monetised_Risk_14)</f>
        <v>0</v>
      </c>
      <c r="H97" s="64" cm="1">
        <f t="array" ref="H97">SUMPRODUCT(Asset_Replacement_Yr4_14*Long_Term_Monetised_Risk_14)</f>
        <v>0</v>
      </c>
      <c r="I97" s="64" cm="1">
        <f t="array" ref="I97">SUMPRODUCT(Asset_Refurbishment_Yr4_14*Long_Term_Monetised_Risk_14)</f>
        <v>0</v>
      </c>
      <c r="J97" s="64" cm="1">
        <f t="array" ref="J97">SUMPRODUCT(Reinforcement_Yr4_14*Long_Term_Monetised_Risk_14)</f>
        <v>0</v>
      </c>
      <c r="K97" s="64" cm="1">
        <f t="array" ref="K97">SUMPRODUCT(Faults_Yr4_14*Long_Term_Monetised_Risk_14)</f>
        <v>0</v>
      </c>
      <c r="L97" s="64" cm="1">
        <f t="array" ref="L97">SUMPRODUCT(HVP_Asset_Replacement_Refurbishment_Yr4_14*Long_Term_Monetised_Risk_14)</f>
        <v>0</v>
      </c>
      <c r="M97" s="64" cm="1">
        <f t="array" ref="M97">SUMPRODUCT(HVP_Other_Yr4_14*Long_Term_Monetised_Risk_14)</f>
        <v>0</v>
      </c>
      <c r="N97" s="64" cm="1">
        <f t="array" ref="N97">SUMPRODUCT(All_Other_Yr4_14*Long_Term_Monetised_Risk_14)</f>
        <v>0</v>
      </c>
      <c r="O97" s="65" cm="1">
        <f t="array" ref="O97">SUMPRODUCT(End_Of_Year_Yr4_14*Long_Term_Monetised_Risk_14)</f>
        <v>0</v>
      </c>
      <c r="Q97" s="110"/>
      <c r="R97" s="111"/>
      <c r="S97" s="119"/>
      <c r="T97" s="114" cm="1">
        <f t="array" ref="T97">SUMPRODUCT(Asset_Replacement_2028_Yr4_14*Long_Term_Monetised_Risk_14)</f>
        <v>0</v>
      </c>
      <c r="U97" s="64" cm="1">
        <f t="array" ref="U97">SUMPRODUCT(Asset_Refurbishment_2028_Yr4_14*Long_Term_Monetised_Risk_14)</f>
        <v>0</v>
      </c>
      <c r="V97" s="65" cm="1">
        <f t="array" ref="V97">SUMPRODUCT(HVP_2028_Yr4_14*Long_Term_Monetised_Risk_14)</f>
        <v>0</v>
      </c>
    </row>
    <row r="98" spans="1:22">
      <c r="B98" s="93" t="s">
        <v>75</v>
      </c>
      <c r="C98" s="91">
        <v>2028</v>
      </c>
      <c r="D98" s="64" cm="1">
        <f t="array" ref="D98">SUMPRODUCT(Start_of_Year_Yr5_14*Long_Term_Monetised_Risk_14)</f>
        <v>0</v>
      </c>
      <c r="E98" s="64" cm="1">
        <f t="array" ref="E98">SUMPRODUCT(Data_Cleansing_Yr5_14*Long_Term_Monetised_Risk_14)</f>
        <v>0</v>
      </c>
      <c r="F98" s="64" cm="1">
        <f t="array" ref="F98">SUMPRODUCT(Deterioration_total_Yr5_14*Long_Term_Monetised_Risk_14)</f>
        <v>0</v>
      </c>
      <c r="G98" s="64" cm="1">
        <f t="array" ref="G98">SUMPRODUCT(Other_Risk_Movements_Yr5_14*Long_Term_Monetised_Risk_14)</f>
        <v>0</v>
      </c>
      <c r="H98" s="64" cm="1">
        <f t="array" ref="H98">SUMPRODUCT(Asset_Replacement_Yr5_14*Long_Term_Monetised_Risk_14)</f>
        <v>0</v>
      </c>
      <c r="I98" s="64" cm="1">
        <f t="array" ref="I98">SUMPRODUCT(Asset_Refurbishment_Yr5_14*Long_Term_Monetised_Risk_14)</f>
        <v>0</v>
      </c>
      <c r="J98" s="64" cm="1">
        <f t="array" ref="J98">SUMPRODUCT(Reinforcement_Yr5_14*Long_Term_Monetised_Risk_14)</f>
        <v>0</v>
      </c>
      <c r="K98" s="64" cm="1">
        <f t="array" ref="K98">SUMPRODUCT(Faults_Yr5_14*Long_Term_Monetised_Risk_14)</f>
        <v>0</v>
      </c>
      <c r="L98" s="64" cm="1">
        <f t="array" ref="L98">SUMPRODUCT(HVP_Asset_Replacement_Refurbishment_Yr5_14*Long_Term_Monetised_Risk_14)</f>
        <v>0</v>
      </c>
      <c r="M98" s="64" cm="1">
        <f t="array" ref="M98">SUMPRODUCT(HVP_Other_Yr5_14*Long_Term_Monetised_Risk_14)</f>
        <v>0</v>
      </c>
      <c r="N98" s="64" cm="1">
        <f t="array" ref="N98">SUMPRODUCT(All_Other_Yr5_14*Long_Term_Monetised_Risk_14)</f>
        <v>0</v>
      </c>
      <c r="O98" s="65" cm="1">
        <f t="array" ref="O98">SUMPRODUCT(End_Of_Year_Yr5_14*Long_Term_Monetised_Risk_14)</f>
        <v>0</v>
      </c>
      <c r="Q98" s="110"/>
      <c r="R98" s="111"/>
      <c r="S98" s="119"/>
      <c r="T98" s="114" cm="1">
        <f t="array" ref="T98">SUMPRODUCT(Asset_Replacement_2028_Yr5_14*Long_Term_Monetised_Risk_14)</f>
        <v>0</v>
      </c>
      <c r="U98" s="64" cm="1">
        <f t="array" ref="U98">SUMPRODUCT(Asset_Refurbishment_2028_Yr5_14*Long_Term_Monetised_Risk_14)</f>
        <v>0</v>
      </c>
      <c r="V98" s="65" cm="1">
        <f t="array" ref="V98">SUMPRODUCT(HVP_2028_Yr5_14*Long_Term_Monetised_Risk_14)</f>
        <v>0</v>
      </c>
    </row>
    <row r="99" spans="1:22" ht="14" thickBot="1">
      <c r="B99" s="103" t="s">
        <v>75</v>
      </c>
      <c r="C99" s="104" t="s">
        <v>131</v>
      </c>
      <c r="D99" s="105"/>
      <c r="E99" s="106">
        <f t="shared" ref="E99:O99" si="36">SUM(E94:E98)</f>
        <v>0</v>
      </c>
      <c r="F99" s="106">
        <f t="shared" si="36"/>
        <v>0</v>
      </c>
      <c r="G99" s="106">
        <f t="shared" si="36"/>
        <v>0</v>
      </c>
      <c r="H99" s="106">
        <f t="shared" si="36"/>
        <v>0</v>
      </c>
      <c r="I99" s="106">
        <f t="shared" si="36"/>
        <v>0</v>
      </c>
      <c r="J99" s="106">
        <f t="shared" si="36"/>
        <v>0</v>
      </c>
      <c r="K99" s="106">
        <f t="shared" si="36"/>
        <v>0</v>
      </c>
      <c r="L99" s="106">
        <f t="shared" si="36"/>
        <v>0</v>
      </c>
      <c r="M99" s="106">
        <f t="shared" si="36"/>
        <v>0</v>
      </c>
      <c r="N99" s="106">
        <f t="shared" si="36"/>
        <v>0</v>
      </c>
      <c r="O99" s="537">
        <f t="shared" si="36"/>
        <v>0</v>
      </c>
      <c r="Q99" s="107" t="str">
        <f ca="1">VLOOKUP($B99,'NARM4 - ED2 NARW Risk Movements'!$B$7:$G$67,4,FALSE)</f>
        <v/>
      </c>
      <c r="R99" s="109" t="str">
        <f ca="1">VLOOKUP($B99,'NARM4 - ED2 NARW Risk Movements'!$B$7:$G$67,5,FALSE)</f>
        <v/>
      </c>
      <c r="S99" s="121" t="str">
        <f ca="1">VLOOKUP($B99,'NARM4 - ED2 NARW Risk Movements'!$B$7:$G$67,6,FALSE)</f>
        <v/>
      </c>
      <c r="T99" s="117">
        <f>SUM(T94:T98)</f>
        <v>0</v>
      </c>
      <c r="U99" s="106">
        <f t="shared" ref="U99" si="37">SUM(U94:U98)</f>
        <v>0</v>
      </c>
      <c r="V99" s="108">
        <f>SUM(V94:V98)</f>
        <v>0</v>
      </c>
    </row>
    <row r="100" spans="1:22" ht="14" thickTop="1">
      <c r="A100" s="143">
        <v>15</v>
      </c>
      <c r="B100" s="99" t="s">
        <v>76</v>
      </c>
      <c r="C100" s="100">
        <v>2024</v>
      </c>
      <c r="D100" s="101" cm="1">
        <f t="array" ref="D100">SUMPRODUCT(Start_of_Year_Yr1_15*Long_Term_Monetised_Risk_15)</f>
        <v>0</v>
      </c>
      <c r="E100" s="101" cm="1">
        <f t="array" ref="E100">SUMPRODUCT(Data_Cleansing_Yr1_15*Long_Term_Monetised_Risk_15)</f>
        <v>0</v>
      </c>
      <c r="F100" s="101" cm="1">
        <f t="array" ref="F100">SUMPRODUCT(Deterioration_total_Yr1_15*Long_Term_Monetised_Risk_15)</f>
        <v>0</v>
      </c>
      <c r="G100" s="101" cm="1">
        <f t="array" ref="G100">SUMPRODUCT(Other_Risk_Movements_Yr1_15*Long_Term_Monetised_Risk_15)</f>
        <v>0</v>
      </c>
      <c r="H100" s="101" cm="1">
        <f t="array" ref="H100">SUMPRODUCT(Asset_Replacement_Yr1_15*Long_Term_Monetised_Risk_15)</f>
        <v>0</v>
      </c>
      <c r="I100" s="101" cm="1">
        <f t="array" ref="I100">SUMPRODUCT(Asset_Refurbishment_Yr1_15*Long_Term_Monetised_Risk_15)</f>
        <v>0</v>
      </c>
      <c r="J100" s="101" cm="1">
        <f t="array" ref="J100">SUMPRODUCT(Reinforcement_Yr1_15*Long_Term_Monetised_Risk_15)</f>
        <v>0</v>
      </c>
      <c r="K100" s="101" cm="1">
        <f t="array" ref="K100">SUMPRODUCT(Faults_Yr1_15*Long_Term_Monetised_Risk_15)</f>
        <v>0</v>
      </c>
      <c r="L100" s="101" cm="1">
        <f t="array" ref="L100">SUMPRODUCT(HVP_Asset_Replacement_Refurbishment_Yr1_15*Long_Term_Monetised_Risk_15)</f>
        <v>0</v>
      </c>
      <c r="M100" s="101" cm="1">
        <f t="array" ref="M100">SUMPRODUCT(HVP_Other_Yr1_15*Long_Term_Monetised_Risk_15)</f>
        <v>0</v>
      </c>
      <c r="N100" s="101" cm="1">
        <f t="array" ref="N100">SUMPRODUCT(All_Other_Yr1_15*Long_Term_Monetised_Risk_15)</f>
        <v>0</v>
      </c>
      <c r="O100" s="102" cm="1">
        <f t="array" ref="O100">SUMPRODUCT(End_Of_Year_Yr1_15*Long_Term_Monetised_Risk_15)</f>
        <v>0</v>
      </c>
      <c r="Q100" s="112"/>
      <c r="R100" s="113"/>
      <c r="S100" s="120"/>
      <c r="T100" s="115" cm="1">
        <f t="array" ref="T100">SUMPRODUCT(Asset_Replacement_2028_Yr1_15*Long_Term_Monetised_Risk_15)</f>
        <v>0</v>
      </c>
      <c r="U100" s="101" cm="1">
        <f t="array" ref="U100">SUMPRODUCT(Asset_Refurbishment_2028_Yr1_15*Long_Term_Monetised_Risk_15)</f>
        <v>0</v>
      </c>
      <c r="V100" s="102" cm="1">
        <f t="array" ref="V100">SUMPRODUCT(HVP_2028_Yr1_15*Long_Term_Monetised_Risk_15)</f>
        <v>0</v>
      </c>
    </row>
    <row r="101" spans="1:22">
      <c r="B101" s="93" t="s">
        <v>76</v>
      </c>
      <c r="C101" s="91">
        <v>2025</v>
      </c>
      <c r="D101" s="64" cm="1">
        <f t="array" ref="D101">SUMPRODUCT(Start_of_Year_Yr2_15*Long_Term_Monetised_Risk_15)</f>
        <v>0</v>
      </c>
      <c r="E101" s="64" cm="1">
        <f t="array" ref="E101">SUMPRODUCT(Data_Cleansing_Yr2_15*Long_Term_Monetised_Risk_15)</f>
        <v>0</v>
      </c>
      <c r="F101" s="64" cm="1">
        <f t="array" ref="F101">SUMPRODUCT(Deterioration_total_Yr2_15*Long_Term_Monetised_Risk_15)</f>
        <v>0</v>
      </c>
      <c r="G101" s="64" cm="1">
        <f t="array" ref="G101">SUMPRODUCT(Other_Risk_Movements_Yr2_15*Long_Term_Monetised_Risk_15)</f>
        <v>0</v>
      </c>
      <c r="H101" s="64" cm="1">
        <f t="array" ref="H101">SUMPRODUCT(Asset_Replacement_Yr2_15*Long_Term_Monetised_Risk_15)</f>
        <v>0</v>
      </c>
      <c r="I101" s="64" cm="1">
        <f t="array" ref="I101">SUMPRODUCT(Asset_Refurbishment_Yr2_15*Long_Term_Monetised_Risk_15)</f>
        <v>0</v>
      </c>
      <c r="J101" s="64" cm="1">
        <f t="array" ref="J101">SUMPRODUCT(Reinforcement_Yr2_15*Long_Term_Monetised_Risk_15)</f>
        <v>0</v>
      </c>
      <c r="K101" s="64" cm="1">
        <f t="array" ref="K101">SUMPRODUCT(Faults_Yr2_15*Long_Term_Monetised_Risk_15)</f>
        <v>0</v>
      </c>
      <c r="L101" s="64" cm="1">
        <f t="array" ref="L101">SUMPRODUCT(HVP_Asset_Replacement_Refurbishment_Yr2_15*Long_Term_Monetised_Risk_15)</f>
        <v>0</v>
      </c>
      <c r="M101" s="64" cm="1">
        <f t="array" ref="M101">SUMPRODUCT(HVP_Other_Yr2_15*Long_Term_Monetised_Risk_15)</f>
        <v>0</v>
      </c>
      <c r="N101" s="64" cm="1">
        <f t="array" ref="N101">SUMPRODUCT(All_Other_Yr2_15*Long_Term_Monetised_Risk_15)</f>
        <v>0</v>
      </c>
      <c r="O101" s="65" cm="1">
        <f t="array" ref="O101">SUMPRODUCT(End_Of_Year_Yr2_15*Long_Term_Monetised_Risk_15)</f>
        <v>0</v>
      </c>
      <c r="Q101" s="110"/>
      <c r="R101" s="111"/>
      <c r="S101" s="119"/>
      <c r="T101" s="114" cm="1">
        <f t="array" ref="T101">SUMPRODUCT(Asset_Replacement_2028_Yr2_15*Long_Term_Monetised_Risk_15)</f>
        <v>0</v>
      </c>
      <c r="U101" s="64" cm="1">
        <f t="array" ref="U101">SUMPRODUCT(Asset_Refurbishment_2028_Yr2_15*Long_Term_Monetised_Risk_15)</f>
        <v>0</v>
      </c>
      <c r="V101" s="65" cm="1">
        <f t="array" ref="V101">SUMPRODUCT(HVP_2028_Yr2_15*Long_Term_Monetised_Risk_15)</f>
        <v>0</v>
      </c>
    </row>
    <row r="102" spans="1:22">
      <c r="B102" s="93" t="s">
        <v>76</v>
      </c>
      <c r="C102" s="91">
        <v>2026</v>
      </c>
      <c r="D102" s="64" cm="1">
        <f t="array" ref="D102">SUMPRODUCT(Start_of_Year_Yr3_15*Long_Term_Monetised_Risk_15)</f>
        <v>0</v>
      </c>
      <c r="E102" s="64" cm="1">
        <f t="array" ref="E102">SUMPRODUCT(Data_Cleansing_Yr3_15*Long_Term_Monetised_Risk_15)</f>
        <v>0</v>
      </c>
      <c r="F102" s="64" cm="1">
        <f t="array" ref="F102">SUMPRODUCT(Deterioration_total_Yr3_15*Long_Term_Monetised_Risk_15)</f>
        <v>0</v>
      </c>
      <c r="G102" s="64" cm="1">
        <f t="array" ref="G102">SUMPRODUCT(Other_Risk_Movements_Yr3_15*Long_Term_Monetised_Risk_15)</f>
        <v>0</v>
      </c>
      <c r="H102" s="64" cm="1">
        <f t="array" ref="H102">SUMPRODUCT(Asset_Replacement_Yr3_15*Long_Term_Monetised_Risk_15)</f>
        <v>0</v>
      </c>
      <c r="I102" s="64" cm="1">
        <f t="array" ref="I102">SUMPRODUCT(Asset_Refurbishment_Yr3_15*Long_Term_Monetised_Risk_15)</f>
        <v>0</v>
      </c>
      <c r="J102" s="64" cm="1">
        <f t="array" ref="J102">SUMPRODUCT(Reinforcement_Yr3_15*Long_Term_Monetised_Risk_15)</f>
        <v>0</v>
      </c>
      <c r="K102" s="64" cm="1">
        <f t="array" ref="K102">SUMPRODUCT(Faults_Yr3_15*Long_Term_Monetised_Risk_15)</f>
        <v>0</v>
      </c>
      <c r="L102" s="64" cm="1">
        <f t="array" ref="L102">SUMPRODUCT(HVP_Asset_Replacement_Refurbishment_Yr3_15*Long_Term_Monetised_Risk_15)</f>
        <v>0</v>
      </c>
      <c r="M102" s="64" cm="1">
        <f t="array" ref="M102">SUMPRODUCT(HVP_Other_Yr3_15*Long_Term_Monetised_Risk_15)</f>
        <v>0</v>
      </c>
      <c r="N102" s="64" cm="1">
        <f t="array" ref="N102">SUMPRODUCT(All_Other_Yr3_15*Long_Term_Monetised_Risk_15)</f>
        <v>0</v>
      </c>
      <c r="O102" s="65" cm="1">
        <f t="array" ref="O102">SUMPRODUCT(End_Of_Year_Yr3_15*Long_Term_Monetised_Risk_15)</f>
        <v>0</v>
      </c>
      <c r="Q102" s="110"/>
      <c r="R102" s="111"/>
      <c r="S102" s="119"/>
      <c r="T102" s="114" cm="1">
        <f t="array" ref="T102">SUMPRODUCT(Asset_Replacement_2028_Yr3_15*Long_Term_Monetised_Risk_15)</f>
        <v>0</v>
      </c>
      <c r="U102" s="64" cm="1">
        <f t="array" ref="U102">SUMPRODUCT(Asset_Refurbishment_2028_Yr3_15*Long_Term_Monetised_Risk_15)</f>
        <v>0</v>
      </c>
      <c r="V102" s="65" cm="1">
        <f t="array" ref="V102">SUMPRODUCT(HVP_2028_Yr3_15*Long_Term_Monetised_Risk_15)</f>
        <v>0</v>
      </c>
    </row>
    <row r="103" spans="1:22">
      <c r="B103" s="93" t="s">
        <v>76</v>
      </c>
      <c r="C103" s="91">
        <v>2027</v>
      </c>
      <c r="D103" s="64" cm="1">
        <f t="array" ref="D103">SUMPRODUCT(Start_of_Year_Yr4_15*Long_Term_Monetised_Risk_15)</f>
        <v>0</v>
      </c>
      <c r="E103" s="64" cm="1">
        <f t="array" ref="E103">SUMPRODUCT(Data_Cleansing_Yr4_15*Long_Term_Monetised_Risk_15)</f>
        <v>0</v>
      </c>
      <c r="F103" s="64" cm="1">
        <f t="array" ref="F103">SUMPRODUCT(Deterioration_total_Yr4_15*Long_Term_Monetised_Risk_15)</f>
        <v>0</v>
      </c>
      <c r="G103" s="64" cm="1">
        <f t="array" ref="G103">SUMPRODUCT(Other_Risk_Movements_Yr4_15*Long_Term_Monetised_Risk_15)</f>
        <v>0</v>
      </c>
      <c r="H103" s="64" cm="1">
        <f t="array" ref="H103">SUMPRODUCT(Asset_Replacement_Yr4_15*Long_Term_Monetised_Risk_15)</f>
        <v>0</v>
      </c>
      <c r="I103" s="64" cm="1">
        <f t="array" ref="I103">SUMPRODUCT(Asset_Refurbishment_Yr4_15*Long_Term_Monetised_Risk_15)</f>
        <v>0</v>
      </c>
      <c r="J103" s="64" cm="1">
        <f t="array" ref="J103">SUMPRODUCT(Reinforcement_Yr4_15*Long_Term_Monetised_Risk_15)</f>
        <v>0</v>
      </c>
      <c r="K103" s="64" cm="1">
        <f t="array" ref="K103">SUMPRODUCT(Faults_Yr4_15*Long_Term_Monetised_Risk_15)</f>
        <v>0</v>
      </c>
      <c r="L103" s="64" cm="1">
        <f t="array" ref="L103">SUMPRODUCT(HVP_Asset_Replacement_Refurbishment_Yr4_15*Long_Term_Monetised_Risk_15)</f>
        <v>0</v>
      </c>
      <c r="M103" s="64" cm="1">
        <f t="array" ref="M103">SUMPRODUCT(HVP_Other_Yr4_15*Long_Term_Monetised_Risk_15)</f>
        <v>0</v>
      </c>
      <c r="N103" s="64" cm="1">
        <f t="array" ref="N103">SUMPRODUCT(All_Other_Yr4_15*Long_Term_Monetised_Risk_15)</f>
        <v>0</v>
      </c>
      <c r="O103" s="65" cm="1">
        <f t="array" ref="O103">SUMPRODUCT(End_Of_Year_Yr4_15*Long_Term_Monetised_Risk_15)</f>
        <v>0</v>
      </c>
      <c r="Q103" s="110"/>
      <c r="R103" s="111"/>
      <c r="S103" s="119"/>
      <c r="T103" s="114" cm="1">
        <f t="array" ref="T103">SUMPRODUCT(Asset_Replacement_2028_Yr4_15*Long_Term_Monetised_Risk_15)</f>
        <v>0</v>
      </c>
      <c r="U103" s="64" cm="1">
        <f t="array" ref="U103">SUMPRODUCT(Asset_Refurbishment_2028_Yr4_15*Long_Term_Monetised_Risk_15)</f>
        <v>0</v>
      </c>
      <c r="V103" s="65" cm="1">
        <f t="array" ref="V103">SUMPRODUCT(HVP_2028_Yr4_15*Long_Term_Monetised_Risk_15)</f>
        <v>0</v>
      </c>
    </row>
    <row r="104" spans="1:22">
      <c r="B104" s="93" t="s">
        <v>76</v>
      </c>
      <c r="C104" s="91">
        <v>2028</v>
      </c>
      <c r="D104" s="64" cm="1">
        <f t="array" ref="D104">SUMPRODUCT(Start_of_Year_Yr5_15*Long_Term_Monetised_Risk_15)</f>
        <v>0</v>
      </c>
      <c r="E104" s="64" cm="1">
        <f t="array" ref="E104">SUMPRODUCT(Data_Cleansing_Yr5_15*Long_Term_Monetised_Risk_15)</f>
        <v>0</v>
      </c>
      <c r="F104" s="64" cm="1">
        <f t="array" ref="F104">SUMPRODUCT(Deterioration_total_Yr5_15*Long_Term_Monetised_Risk_15)</f>
        <v>0</v>
      </c>
      <c r="G104" s="64" cm="1">
        <f t="array" ref="G104">SUMPRODUCT(Other_Risk_Movements_Yr5_15*Long_Term_Monetised_Risk_15)</f>
        <v>0</v>
      </c>
      <c r="H104" s="64" cm="1">
        <f t="array" ref="H104">SUMPRODUCT(Asset_Replacement_Yr5_15*Long_Term_Monetised_Risk_15)</f>
        <v>0</v>
      </c>
      <c r="I104" s="64" cm="1">
        <f t="array" ref="I104">SUMPRODUCT(Asset_Refurbishment_Yr5_15*Long_Term_Monetised_Risk_15)</f>
        <v>0</v>
      </c>
      <c r="J104" s="64" cm="1">
        <f t="array" ref="J104">SUMPRODUCT(Reinforcement_Yr5_15*Long_Term_Monetised_Risk_15)</f>
        <v>0</v>
      </c>
      <c r="K104" s="64" cm="1">
        <f t="array" ref="K104">SUMPRODUCT(Faults_Yr5_15*Long_Term_Monetised_Risk_15)</f>
        <v>0</v>
      </c>
      <c r="L104" s="64" cm="1">
        <f t="array" ref="L104">SUMPRODUCT(HVP_Asset_Replacement_Refurbishment_Yr5_15*Long_Term_Monetised_Risk_15)</f>
        <v>0</v>
      </c>
      <c r="M104" s="64" cm="1">
        <f t="array" ref="M104">SUMPRODUCT(HVP_Other_Yr5_15*Long_Term_Monetised_Risk_15)</f>
        <v>0</v>
      </c>
      <c r="N104" s="64" cm="1">
        <f t="array" ref="N104">SUMPRODUCT(All_Other_Yr5_15*Long_Term_Monetised_Risk_15)</f>
        <v>0</v>
      </c>
      <c r="O104" s="65" cm="1">
        <f t="array" ref="O104">SUMPRODUCT(End_Of_Year_Yr5_15*Long_Term_Monetised_Risk_15)</f>
        <v>0</v>
      </c>
      <c r="Q104" s="110"/>
      <c r="R104" s="111"/>
      <c r="S104" s="119"/>
      <c r="T104" s="114" cm="1">
        <f t="array" ref="T104">SUMPRODUCT(Asset_Replacement_2028_Yr5_15*Long_Term_Monetised_Risk_15)</f>
        <v>0</v>
      </c>
      <c r="U104" s="64" cm="1">
        <f t="array" ref="U104">SUMPRODUCT(Asset_Refurbishment_2028_Yr5_15*Long_Term_Monetised_Risk_15)</f>
        <v>0</v>
      </c>
      <c r="V104" s="65" cm="1">
        <f t="array" ref="V104">SUMPRODUCT(HVP_2028_Yr5_15*Long_Term_Monetised_Risk_15)</f>
        <v>0</v>
      </c>
    </row>
    <row r="105" spans="1:22" ht="14" thickBot="1">
      <c r="B105" s="103" t="s">
        <v>76</v>
      </c>
      <c r="C105" s="104" t="s">
        <v>131</v>
      </c>
      <c r="D105" s="105"/>
      <c r="E105" s="106">
        <f t="shared" ref="E105:O105" si="38">SUM(E100:E104)</f>
        <v>0</v>
      </c>
      <c r="F105" s="106">
        <f t="shared" si="38"/>
        <v>0</v>
      </c>
      <c r="G105" s="106">
        <f t="shared" si="38"/>
        <v>0</v>
      </c>
      <c r="H105" s="106">
        <f t="shared" si="38"/>
        <v>0</v>
      </c>
      <c r="I105" s="106">
        <f t="shared" si="38"/>
        <v>0</v>
      </c>
      <c r="J105" s="106">
        <f t="shared" si="38"/>
        <v>0</v>
      </c>
      <c r="K105" s="106">
        <f t="shared" si="38"/>
        <v>0</v>
      </c>
      <c r="L105" s="106">
        <f t="shared" si="38"/>
        <v>0</v>
      </c>
      <c r="M105" s="106">
        <f t="shared" si="38"/>
        <v>0</v>
      </c>
      <c r="N105" s="106">
        <f t="shared" si="38"/>
        <v>0</v>
      </c>
      <c r="O105" s="537">
        <f t="shared" si="38"/>
        <v>0</v>
      </c>
      <c r="Q105" s="107" t="str">
        <f ca="1">VLOOKUP($B105,'NARM4 - ED2 NARW Risk Movements'!$B$7:$G$67,4,FALSE)</f>
        <v/>
      </c>
      <c r="R105" s="109" t="str">
        <f ca="1">VLOOKUP($B105,'NARM4 - ED2 NARW Risk Movements'!$B$7:$G$67,5,FALSE)</f>
        <v/>
      </c>
      <c r="S105" s="121" t="str">
        <f ca="1">VLOOKUP($B105,'NARM4 - ED2 NARW Risk Movements'!$B$7:$G$67,6,FALSE)</f>
        <v/>
      </c>
      <c r="T105" s="117">
        <f>SUM(T100:T104)</f>
        <v>0</v>
      </c>
      <c r="U105" s="106">
        <f t="shared" ref="U105" si="39">SUM(U100:U104)</f>
        <v>0</v>
      </c>
      <c r="V105" s="108">
        <f>SUM(V100:V104)</f>
        <v>0</v>
      </c>
    </row>
    <row r="106" spans="1:22" ht="14" thickTop="1">
      <c r="A106" s="143">
        <v>16</v>
      </c>
      <c r="B106" s="99" t="s">
        <v>174</v>
      </c>
      <c r="C106" s="100">
        <v>2024</v>
      </c>
      <c r="D106" s="101" cm="1">
        <f t="array" ref="D106">SUMPRODUCT(Start_of_Year_Yr1_16*Long_Term_Monetised_Risk_16)</f>
        <v>0</v>
      </c>
      <c r="E106" s="101" cm="1">
        <f t="array" ref="E106">SUMPRODUCT(Data_Cleansing_Yr1_16*Long_Term_Monetised_Risk_16)</f>
        <v>0</v>
      </c>
      <c r="F106" s="101" cm="1">
        <f t="array" ref="F106">SUMPRODUCT(Deterioration_total_Yr1_16*Long_Term_Monetised_Risk_16)</f>
        <v>0</v>
      </c>
      <c r="G106" s="101" cm="1">
        <f t="array" ref="G106">SUMPRODUCT(Other_Risk_Movements_Yr1_16*Long_Term_Monetised_Risk_16)</f>
        <v>0</v>
      </c>
      <c r="H106" s="101" cm="1">
        <f t="array" ref="H106">SUMPRODUCT(Asset_Replacement_Yr1_16*Long_Term_Monetised_Risk_16)</f>
        <v>0</v>
      </c>
      <c r="I106" s="101" cm="1">
        <f t="array" ref="I106">SUMPRODUCT(Asset_Refurbishment_Yr1_16*Long_Term_Monetised_Risk_16)</f>
        <v>0</v>
      </c>
      <c r="J106" s="101" cm="1">
        <f t="array" ref="J106">SUMPRODUCT(Reinforcement_Yr1_16*Long_Term_Monetised_Risk_16)</f>
        <v>0</v>
      </c>
      <c r="K106" s="101" cm="1">
        <f t="array" ref="K106">SUMPRODUCT(Faults_Yr1_16*Long_Term_Monetised_Risk_16)</f>
        <v>0</v>
      </c>
      <c r="L106" s="101" cm="1">
        <f t="array" ref="L106">SUMPRODUCT(HVP_Asset_Replacement_Refurbishment_Yr1_16*Long_Term_Monetised_Risk_16)</f>
        <v>0</v>
      </c>
      <c r="M106" s="101" cm="1">
        <f t="array" ref="M106">SUMPRODUCT(HVP_Other_Yr1_16*Long_Term_Monetised_Risk_16)</f>
        <v>0</v>
      </c>
      <c r="N106" s="101" cm="1">
        <f t="array" ref="N106">SUMPRODUCT(All_Other_Yr1_16*Long_Term_Monetised_Risk_16)</f>
        <v>0</v>
      </c>
      <c r="O106" s="102" cm="1">
        <f t="array" ref="O106">SUMPRODUCT(End_Of_Year_Yr1_16*Long_Term_Monetised_Risk_16)</f>
        <v>0</v>
      </c>
      <c r="Q106" s="112"/>
      <c r="R106" s="113"/>
      <c r="S106" s="120"/>
      <c r="T106" s="115" cm="1">
        <f t="array" ref="T106">SUMPRODUCT(Asset_Replacement_2028_Yr1_16*Long_Term_Monetised_Risk_16)</f>
        <v>0</v>
      </c>
      <c r="U106" s="101" cm="1">
        <f t="array" ref="U106">SUMPRODUCT(Asset_Refurbishment_2028_Yr1_16*Long_Term_Monetised_Risk_16)</f>
        <v>0</v>
      </c>
      <c r="V106" s="102" cm="1">
        <f t="array" ref="V106">SUMPRODUCT(HVP_2028_Yr1_16*Long_Term_Monetised_Risk_16)</f>
        <v>0</v>
      </c>
    </row>
    <row r="107" spans="1:22">
      <c r="B107" s="93" t="s">
        <v>174</v>
      </c>
      <c r="C107" s="91">
        <v>2025</v>
      </c>
      <c r="D107" s="64" cm="1">
        <f t="array" ref="D107">SUMPRODUCT(Start_of_Year_Yr2_16*Long_Term_Monetised_Risk_16)</f>
        <v>0</v>
      </c>
      <c r="E107" s="64" cm="1">
        <f t="array" ref="E107">SUMPRODUCT(Data_Cleansing_Yr2_16*Long_Term_Monetised_Risk_16)</f>
        <v>0</v>
      </c>
      <c r="F107" s="64" cm="1">
        <f t="array" ref="F107">SUMPRODUCT(Deterioration_total_Yr2_16*Long_Term_Monetised_Risk_16)</f>
        <v>0</v>
      </c>
      <c r="G107" s="64" cm="1">
        <f t="array" ref="G107">SUMPRODUCT(Other_Risk_Movements_Yr2_16*Long_Term_Monetised_Risk_16)</f>
        <v>0</v>
      </c>
      <c r="H107" s="64" cm="1">
        <f t="array" ref="H107">SUMPRODUCT(Asset_Replacement_Yr2_16*Long_Term_Monetised_Risk_16)</f>
        <v>0</v>
      </c>
      <c r="I107" s="64" cm="1">
        <f t="array" ref="I107">SUMPRODUCT(Asset_Refurbishment_Yr2_16*Long_Term_Monetised_Risk_16)</f>
        <v>0</v>
      </c>
      <c r="J107" s="64" cm="1">
        <f t="array" ref="J107">SUMPRODUCT(Reinforcement_Yr2_16*Long_Term_Monetised_Risk_16)</f>
        <v>0</v>
      </c>
      <c r="K107" s="64" cm="1">
        <f t="array" ref="K107">SUMPRODUCT(Faults_Yr2_16*Long_Term_Monetised_Risk_16)</f>
        <v>0</v>
      </c>
      <c r="L107" s="64" cm="1">
        <f t="array" ref="L107">SUMPRODUCT(HVP_Asset_Replacement_Refurbishment_Yr2_16*Long_Term_Monetised_Risk_16)</f>
        <v>0</v>
      </c>
      <c r="M107" s="64" cm="1">
        <f t="array" ref="M107">SUMPRODUCT(HVP_Other_Yr2_16*Long_Term_Monetised_Risk_16)</f>
        <v>0</v>
      </c>
      <c r="N107" s="64" cm="1">
        <f t="array" ref="N107">SUMPRODUCT(All_Other_Yr2_16*Long_Term_Monetised_Risk_16)</f>
        <v>0</v>
      </c>
      <c r="O107" s="65" cm="1">
        <f t="array" ref="O107">SUMPRODUCT(End_Of_Year_Yr2_16*Long_Term_Monetised_Risk_16)</f>
        <v>0</v>
      </c>
      <c r="Q107" s="110"/>
      <c r="R107" s="111"/>
      <c r="S107" s="119"/>
      <c r="T107" s="114" cm="1">
        <f t="array" ref="T107">SUMPRODUCT(Asset_Replacement_2028_Yr2_16*Long_Term_Monetised_Risk_16)</f>
        <v>0</v>
      </c>
      <c r="U107" s="64" cm="1">
        <f t="array" ref="U107">SUMPRODUCT(Asset_Refurbishment_2028_Yr2_16*Long_Term_Monetised_Risk_16)</f>
        <v>0</v>
      </c>
      <c r="V107" s="65" cm="1">
        <f t="array" ref="V107">SUMPRODUCT(HVP_2028_Yr2_16*Long_Term_Monetised_Risk_16)</f>
        <v>0</v>
      </c>
    </row>
    <row r="108" spans="1:22">
      <c r="B108" s="93" t="s">
        <v>174</v>
      </c>
      <c r="C108" s="91">
        <v>2026</v>
      </c>
      <c r="D108" s="64" cm="1">
        <f t="array" ref="D108">SUMPRODUCT(Start_of_Year_Yr3_16*Long_Term_Monetised_Risk_16)</f>
        <v>0</v>
      </c>
      <c r="E108" s="64" cm="1">
        <f t="array" ref="E108">SUMPRODUCT(Data_Cleansing_Yr3_16*Long_Term_Monetised_Risk_16)</f>
        <v>0</v>
      </c>
      <c r="F108" s="64" cm="1">
        <f t="array" ref="F108">SUMPRODUCT(Deterioration_total_Yr3_16*Long_Term_Monetised_Risk_16)</f>
        <v>0</v>
      </c>
      <c r="G108" s="64" cm="1">
        <f t="array" ref="G108">SUMPRODUCT(Other_Risk_Movements_Yr3_16*Long_Term_Monetised_Risk_16)</f>
        <v>0</v>
      </c>
      <c r="H108" s="64" cm="1">
        <f t="array" ref="H108">SUMPRODUCT(Asset_Replacement_Yr3_16*Long_Term_Monetised_Risk_16)</f>
        <v>0</v>
      </c>
      <c r="I108" s="64" cm="1">
        <f t="array" ref="I108">SUMPRODUCT(Asset_Refurbishment_Yr3_16*Long_Term_Monetised_Risk_16)</f>
        <v>0</v>
      </c>
      <c r="J108" s="64" cm="1">
        <f t="array" ref="J108">SUMPRODUCT(Reinforcement_Yr3_16*Long_Term_Monetised_Risk_16)</f>
        <v>0</v>
      </c>
      <c r="K108" s="64" cm="1">
        <f t="array" ref="K108">SUMPRODUCT(Faults_Yr3_16*Long_Term_Monetised_Risk_16)</f>
        <v>0</v>
      </c>
      <c r="L108" s="64" cm="1">
        <f t="array" ref="L108">SUMPRODUCT(HVP_Asset_Replacement_Refurbishment_Yr3_16*Long_Term_Monetised_Risk_16)</f>
        <v>0</v>
      </c>
      <c r="M108" s="64" cm="1">
        <f t="array" ref="M108">SUMPRODUCT(HVP_Other_Yr3_16*Long_Term_Monetised_Risk_16)</f>
        <v>0</v>
      </c>
      <c r="N108" s="64" cm="1">
        <f t="array" ref="N108">SUMPRODUCT(All_Other_Yr3_16*Long_Term_Monetised_Risk_16)</f>
        <v>0</v>
      </c>
      <c r="O108" s="65" cm="1">
        <f t="array" ref="O108">SUMPRODUCT(End_Of_Year_Yr3_16*Long_Term_Monetised_Risk_16)</f>
        <v>0</v>
      </c>
      <c r="Q108" s="110"/>
      <c r="R108" s="111"/>
      <c r="S108" s="119"/>
      <c r="T108" s="114" cm="1">
        <f t="array" ref="T108">SUMPRODUCT(Asset_Replacement_2028_Yr3_16*Long_Term_Monetised_Risk_16)</f>
        <v>0</v>
      </c>
      <c r="U108" s="64" cm="1">
        <f t="array" ref="U108">SUMPRODUCT(Asset_Refurbishment_2028_Yr3_16*Long_Term_Monetised_Risk_16)</f>
        <v>0</v>
      </c>
      <c r="V108" s="65" cm="1">
        <f t="array" ref="V108">SUMPRODUCT(HVP_2028_Yr3_16*Long_Term_Monetised_Risk_16)</f>
        <v>0</v>
      </c>
    </row>
    <row r="109" spans="1:22">
      <c r="B109" s="93" t="s">
        <v>174</v>
      </c>
      <c r="C109" s="91">
        <v>2027</v>
      </c>
      <c r="D109" s="64" cm="1">
        <f t="array" ref="D109">SUMPRODUCT(Start_of_Year_Yr4_16*Long_Term_Monetised_Risk_16)</f>
        <v>0</v>
      </c>
      <c r="E109" s="64" cm="1">
        <f t="array" ref="E109">SUMPRODUCT(Data_Cleansing_Yr4_16*Long_Term_Monetised_Risk_16)</f>
        <v>0</v>
      </c>
      <c r="F109" s="64" cm="1">
        <f t="array" ref="F109">SUMPRODUCT(Deterioration_total_Yr4_16*Long_Term_Monetised_Risk_16)</f>
        <v>0</v>
      </c>
      <c r="G109" s="64" cm="1">
        <f t="array" ref="G109">SUMPRODUCT(Other_Risk_Movements_Yr4_16*Long_Term_Monetised_Risk_16)</f>
        <v>0</v>
      </c>
      <c r="H109" s="64" cm="1">
        <f t="array" ref="H109">SUMPRODUCT(Asset_Replacement_Yr4_16*Long_Term_Monetised_Risk_16)</f>
        <v>0</v>
      </c>
      <c r="I109" s="64" cm="1">
        <f t="array" ref="I109">SUMPRODUCT(Asset_Refurbishment_Yr4_16*Long_Term_Monetised_Risk_16)</f>
        <v>0</v>
      </c>
      <c r="J109" s="64" cm="1">
        <f t="array" ref="J109">SUMPRODUCT(Reinforcement_Yr4_16*Long_Term_Monetised_Risk_16)</f>
        <v>0</v>
      </c>
      <c r="K109" s="64" cm="1">
        <f t="array" ref="K109">SUMPRODUCT(Faults_Yr4_16*Long_Term_Monetised_Risk_16)</f>
        <v>0</v>
      </c>
      <c r="L109" s="64" cm="1">
        <f t="array" ref="L109">SUMPRODUCT(HVP_Asset_Replacement_Refurbishment_Yr4_16*Long_Term_Monetised_Risk_16)</f>
        <v>0</v>
      </c>
      <c r="M109" s="64" cm="1">
        <f t="array" ref="M109">SUMPRODUCT(HVP_Other_Yr4_16*Long_Term_Monetised_Risk_16)</f>
        <v>0</v>
      </c>
      <c r="N109" s="64" cm="1">
        <f t="array" ref="N109">SUMPRODUCT(All_Other_Yr4_16*Long_Term_Monetised_Risk_16)</f>
        <v>0</v>
      </c>
      <c r="O109" s="65" cm="1">
        <f t="array" ref="O109">SUMPRODUCT(End_Of_Year_Yr4_16*Long_Term_Monetised_Risk_16)</f>
        <v>0</v>
      </c>
      <c r="Q109" s="110"/>
      <c r="R109" s="111"/>
      <c r="S109" s="119"/>
      <c r="T109" s="114" cm="1">
        <f t="array" ref="T109">SUMPRODUCT(Asset_Replacement_2028_Yr4_16*Long_Term_Monetised_Risk_16)</f>
        <v>0</v>
      </c>
      <c r="U109" s="64" cm="1">
        <f t="array" ref="U109">SUMPRODUCT(Asset_Refurbishment_2028_Yr4_16*Long_Term_Monetised_Risk_16)</f>
        <v>0</v>
      </c>
      <c r="V109" s="65" cm="1">
        <f t="array" ref="V109">SUMPRODUCT(HVP_2028_Yr4_16*Long_Term_Monetised_Risk_16)</f>
        <v>0</v>
      </c>
    </row>
    <row r="110" spans="1:22">
      <c r="B110" s="93" t="s">
        <v>174</v>
      </c>
      <c r="C110" s="91">
        <v>2028</v>
      </c>
      <c r="D110" s="64" cm="1">
        <f t="array" ref="D110">SUMPRODUCT(Start_of_Year_Yr5_16*Long_Term_Monetised_Risk_16)</f>
        <v>0</v>
      </c>
      <c r="E110" s="64" cm="1">
        <f t="array" ref="E110">SUMPRODUCT(Data_Cleansing_Yr5_16*Long_Term_Monetised_Risk_16)</f>
        <v>0</v>
      </c>
      <c r="F110" s="64" cm="1">
        <f t="array" ref="F110">SUMPRODUCT(Deterioration_total_Yr5_16*Long_Term_Monetised_Risk_16)</f>
        <v>0</v>
      </c>
      <c r="G110" s="64" cm="1">
        <f t="array" ref="G110">SUMPRODUCT(Other_Risk_Movements_Yr5_16*Long_Term_Monetised_Risk_16)</f>
        <v>0</v>
      </c>
      <c r="H110" s="64" cm="1">
        <f t="array" ref="H110">SUMPRODUCT(Asset_Replacement_Yr5_16*Long_Term_Monetised_Risk_16)</f>
        <v>0</v>
      </c>
      <c r="I110" s="64" cm="1">
        <f t="array" ref="I110">SUMPRODUCT(Asset_Refurbishment_Yr5_16*Long_Term_Monetised_Risk_16)</f>
        <v>0</v>
      </c>
      <c r="J110" s="64" cm="1">
        <f t="array" ref="J110">SUMPRODUCT(Reinforcement_Yr5_16*Long_Term_Monetised_Risk_16)</f>
        <v>0</v>
      </c>
      <c r="K110" s="64" cm="1">
        <f t="array" ref="K110">SUMPRODUCT(Faults_Yr5_16*Long_Term_Monetised_Risk_16)</f>
        <v>0</v>
      </c>
      <c r="L110" s="64" cm="1">
        <f t="array" ref="L110">SUMPRODUCT(HVP_Asset_Replacement_Refurbishment_Yr5_16*Long_Term_Monetised_Risk_16)</f>
        <v>0</v>
      </c>
      <c r="M110" s="64" cm="1">
        <f t="array" ref="M110">SUMPRODUCT(HVP_Other_Yr5_16*Long_Term_Monetised_Risk_16)</f>
        <v>0</v>
      </c>
      <c r="N110" s="64" cm="1">
        <f t="array" ref="N110">SUMPRODUCT(All_Other_Yr5_16*Long_Term_Monetised_Risk_16)</f>
        <v>0</v>
      </c>
      <c r="O110" s="65" cm="1">
        <f t="array" ref="O110">SUMPRODUCT(End_Of_Year_Yr5_16*Long_Term_Monetised_Risk_16)</f>
        <v>0</v>
      </c>
      <c r="Q110" s="110"/>
      <c r="R110" s="111"/>
      <c r="S110" s="119"/>
      <c r="T110" s="114" cm="1">
        <f t="array" ref="T110">SUMPRODUCT(Asset_Replacement_2028_Yr5_16*Long_Term_Monetised_Risk_16)</f>
        <v>0</v>
      </c>
      <c r="U110" s="64" cm="1">
        <f t="array" ref="U110">SUMPRODUCT(Asset_Refurbishment_2028_Yr5_16*Long_Term_Monetised_Risk_16)</f>
        <v>0</v>
      </c>
      <c r="V110" s="65" cm="1">
        <f t="array" ref="V110">SUMPRODUCT(HVP_2028_Yr5_16*Long_Term_Monetised_Risk_16)</f>
        <v>0</v>
      </c>
    </row>
    <row r="111" spans="1:22" ht="14" thickBot="1">
      <c r="B111" s="103" t="s">
        <v>77</v>
      </c>
      <c r="C111" s="104" t="s">
        <v>131</v>
      </c>
      <c r="D111" s="105"/>
      <c r="E111" s="106">
        <f t="shared" ref="E111:O111" si="40">SUM(E106:E110)</f>
        <v>0</v>
      </c>
      <c r="F111" s="106">
        <f t="shared" si="40"/>
        <v>0</v>
      </c>
      <c r="G111" s="106">
        <f t="shared" si="40"/>
        <v>0</v>
      </c>
      <c r="H111" s="106">
        <f t="shared" si="40"/>
        <v>0</v>
      </c>
      <c r="I111" s="106">
        <f t="shared" si="40"/>
        <v>0</v>
      </c>
      <c r="J111" s="106">
        <f t="shared" si="40"/>
        <v>0</v>
      </c>
      <c r="K111" s="106">
        <f t="shared" si="40"/>
        <v>0</v>
      </c>
      <c r="L111" s="106">
        <f t="shared" si="40"/>
        <v>0</v>
      </c>
      <c r="M111" s="106">
        <f t="shared" si="40"/>
        <v>0</v>
      </c>
      <c r="N111" s="106">
        <f t="shared" si="40"/>
        <v>0</v>
      </c>
      <c r="O111" s="537">
        <f t="shared" si="40"/>
        <v>0</v>
      </c>
      <c r="Q111" s="107" t="str">
        <f ca="1">VLOOKUP($B111,'NARM4 - ED2 NARW Risk Movements'!$B$7:$G$67,4,FALSE)</f>
        <v/>
      </c>
      <c r="R111" s="109" t="str">
        <f ca="1">VLOOKUP($B111,'NARM4 - ED2 NARW Risk Movements'!$B$7:$G$67,5,FALSE)</f>
        <v/>
      </c>
      <c r="S111" s="121" t="str">
        <f ca="1">VLOOKUP($B111,'NARM4 - ED2 NARW Risk Movements'!$B$7:$G$67,6,FALSE)</f>
        <v/>
      </c>
      <c r="T111" s="117">
        <f>SUM(T106:T110)</f>
        <v>0</v>
      </c>
      <c r="U111" s="106">
        <f t="shared" ref="U111" si="41">SUM(U106:U110)</f>
        <v>0</v>
      </c>
      <c r="V111" s="108">
        <f>SUM(V106:V110)</f>
        <v>0</v>
      </c>
    </row>
    <row r="112" spans="1:22" ht="14" thickTop="1">
      <c r="A112" s="143">
        <v>17</v>
      </c>
      <c r="B112" s="99" t="s">
        <v>78</v>
      </c>
      <c r="C112" s="100">
        <v>2024</v>
      </c>
      <c r="D112" s="101" cm="1">
        <f t="array" ref="D112">SUMPRODUCT(Start_of_Year_Yr1_17*Long_Term_Monetised_Risk_17)</f>
        <v>0</v>
      </c>
      <c r="E112" s="101" cm="1">
        <f t="array" ref="E112">SUMPRODUCT(Data_Cleansing_Yr1_17*Long_Term_Monetised_Risk_17)</f>
        <v>0</v>
      </c>
      <c r="F112" s="101" cm="1">
        <f t="array" ref="F112">SUMPRODUCT(Deterioration_total_Yr1_17*Long_Term_Monetised_Risk_17)</f>
        <v>0</v>
      </c>
      <c r="G112" s="101" cm="1">
        <f t="array" ref="G112">SUMPRODUCT(Other_Risk_Movements_Yr1_17*Long_Term_Monetised_Risk_17)</f>
        <v>0</v>
      </c>
      <c r="H112" s="101" cm="1">
        <f t="array" ref="H112">SUMPRODUCT(Asset_Replacement_Yr1_17*Long_Term_Monetised_Risk_17)</f>
        <v>0</v>
      </c>
      <c r="I112" s="101" cm="1">
        <f t="array" ref="I112">SUMPRODUCT(Asset_Refurbishment_Yr1_17*Long_Term_Monetised_Risk_17)</f>
        <v>0</v>
      </c>
      <c r="J112" s="101" cm="1">
        <f t="array" ref="J112">SUMPRODUCT(Reinforcement_Yr1_17*Long_Term_Monetised_Risk_17)</f>
        <v>0</v>
      </c>
      <c r="K112" s="101" cm="1">
        <f t="array" ref="K112">SUMPRODUCT(Faults_Yr1_17*Long_Term_Monetised_Risk_17)</f>
        <v>0</v>
      </c>
      <c r="L112" s="101" cm="1">
        <f t="array" ref="L112">SUMPRODUCT(HVP_Asset_Replacement_Refurbishment_Yr1_17*Long_Term_Monetised_Risk_17)</f>
        <v>0</v>
      </c>
      <c r="M112" s="101" cm="1">
        <f t="array" ref="M112">SUMPRODUCT(HVP_Other_Yr1_17*Long_Term_Monetised_Risk_17)</f>
        <v>0</v>
      </c>
      <c r="N112" s="101" cm="1">
        <f t="array" ref="N112">SUMPRODUCT(All_Other_Yr1_17*Long_Term_Monetised_Risk_17)</f>
        <v>0</v>
      </c>
      <c r="O112" s="102" cm="1">
        <f t="array" ref="O112">SUMPRODUCT(End_Of_Year_Yr1_17*Long_Term_Monetised_Risk_17)</f>
        <v>0</v>
      </c>
      <c r="Q112" s="112"/>
      <c r="R112" s="113"/>
      <c r="S112" s="120"/>
      <c r="T112" s="115" cm="1">
        <f t="array" ref="T112">SUMPRODUCT(Asset_Replacement_2028_Yr1_17*Long_Term_Monetised_Risk_17)</f>
        <v>0</v>
      </c>
      <c r="U112" s="101" cm="1">
        <f t="array" ref="U112">SUMPRODUCT(Asset_Refurbishment_2028_Yr1_17*Long_Term_Monetised_Risk_17)</f>
        <v>0</v>
      </c>
      <c r="V112" s="102" cm="1">
        <f t="array" ref="V112">SUMPRODUCT(HVP_2028_Yr1_17*Long_Term_Monetised_Risk_17)</f>
        <v>0</v>
      </c>
    </row>
    <row r="113" spans="1:22">
      <c r="B113" s="93" t="s">
        <v>78</v>
      </c>
      <c r="C113" s="91">
        <v>2025</v>
      </c>
      <c r="D113" s="64" cm="1">
        <f t="array" ref="D113">SUMPRODUCT(Start_of_Year_Yr2_17*Long_Term_Monetised_Risk_17)</f>
        <v>0</v>
      </c>
      <c r="E113" s="64" cm="1">
        <f t="array" ref="E113">SUMPRODUCT(Data_Cleansing_Yr2_17*Long_Term_Monetised_Risk_17)</f>
        <v>0</v>
      </c>
      <c r="F113" s="64" cm="1">
        <f t="array" ref="F113">SUMPRODUCT(Deterioration_total_Yr2_17*Long_Term_Monetised_Risk_17)</f>
        <v>0</v>
      </c>
      <c r="G113" s="64" cm="1">
        <f t="array" ref="G113">SUMPRODUCT(Other_Risk_Movements_Yr2_17*Long_Term_Monetised_Risk_17)</f>
        <v>0</v>
      </c>
      <c r="H113" s="64" cm="1">
        <f t="array" ref="H113">SUMPRODUCT(Asset_Replacement_Yr2_17*Long_Term_Monetised_Risk_17)</f>
        <v>0</v>
      </c>
      <c r="I113" s="64" cm="1">
        <f t="array" ref="I113">SUMPRODUCT(Asset_Refurbishment_Yr2_17*Long_Term_Monetised_Risk_17)</f>
        <v>0</v>
      </c>
      <c r="J113" s="64" cm="1">
        <f t="array" ref="J113">SUMPRODUCT(Reinforcement_Yr2_17*Long_Term_Monetised_Risk_17)</f>
        <v>0</v>
      </c>
      <c r="K113" s="64" cm="1">
        <f t="array" ref="K113">SUMPRODUCT(Faults_Yr2_17*Long_Term_Monetised_Risk_17)</f>
        <v>0</v>
      </c>
      <c r="L113" s="64" cm="1">
        <f t="array" ref="L113">SUMPRODUCT(HVP_Asset_Replacement_Refurbishment_Yr2_17*Long_Term_Monetised_Risk_17)</f>
        <v>0</v>
      </c>
      <c r="M113" s="64" cm="1">
        <f t="array" ref="M113">SUMPRODUCT(HVP_Other_Yr2_17*Long_Term_Monetised_Risk_17)</f>
        <v>0</v>
      </c>
      <c r="N113" s="64" cm="1">
        <f t="array" ref="N113">SUMPRODUCT(All_Other_Yr2_17*Long_Term_Monetised_Risk_17)</f>
        <v>0</v>
      </c>
      <c r="O113" s="65" cm="1">
        <f t="array" ref="O113">SUMPRODUCT(End_Of_Year_Yr2_17*Long_Term_Monetised_Risk_17)</f>
        <v>0</v>
      </c>
      <c r="Q113" s="110"/>
      <c r="R113" s="111"/>
      <c r="S113" s="119"/>
      <c r="T113" s="114" cm="1">
        <f t="array" ref="T113">SUMPRODUCT(Asset_Replacement_2028_Yr2_17*Long_Term_Monetised_Risk_17)</f>
        <v>0</v>
      </c>
      <c r="U113" s="64" cm="1">
        <f t="array" ref="U113">SUMPRODUCT(Asset_Refurbishment_2028_Yr2_17*Long_Term_Monetised_Risk_17)</f>
        <v>0</v>
      </c>
      <c r="V113" s="65" cm="1">
        <f t="array" ref="V113">SUMPRODUCT(HVP_2028_Yr2_17*Long_Term_Monetised_Risk_17)</f>
        <v>0</v>
      </c>
    </row>
    <row r="114" spans="1:22">
      <c r="B114" s="93" t="s">
        <v>78</v>
      </c>
      <c r="C114" s="91">
        <v>2026</v>
      </c>
      <c r="D114" s="64" cm="1">
        <f t="array" ref="D114">SUMPRODUCT(Start_of_Year_Yr3_17*Long_Term_Monetised_Risk_17)</f>
        <v>0</v>
      </c>
      <c r="E114" s="64" cm="1">
        <f t="array" ref="E114">SUMPRODUCT(Data_Cleansing_Yr3_17*Long_Term_Monetised_Risk_17)</f>
        <v>0</v>
      </c>
      <c r="F114" s="64" cm="1">
        <f t="array" ref="F114">SUMPRODUCT(Deterioration_total_Yr3_17*Long_Term_Monetised_Risk_17)</f>
        <v>0</v>
      </c>
      <c r="G114" s="64" cm="1">
        <f t="array" ref="G114">SUMPRODUCT(Other_Risk_Movements_Yr3_17*Long_Term_Monetised_Risk_17)</f>
        <v>0</v>
      </c>
      <c r="H114" s="64" cm="1">
        <f t="array" ref="H114">SUMPRODUCT(Asset_Replacement_Yr3_17*Long_Term_Monetised_Risk_17)</f>
        <v>0</v>
      </c>
      <c r="I114" s="64" cm="1">
        <f t="array" ref="I114">SUMPRODUCT(Asset_Refurbishment_Yr3_17*Long_Term_Monetised_Risk_17)</f>
        <v>0</v>
      </c>
      <c r="J114" s="64" cm="1">
        <f t="array" ref="J114">SUMPRODUCT(Reinforcement_Yr3_17*Long_Term_Monetised_Risk_17)</f>
        <v>0</v>
      </c>
      <c r="K114" s="64" cm="1">
        <f t="array" ref="K114">SUMPRODUCT(Faults_Yr3_17*Long_Term_Monetised_Risk_17)</f>
        <v>0</v>
      </c>
      <c r="L114" s="64" cm="1">
        <f t="array" ref="L114">SUMPRODUCT(HVP_Asset_Replacement_Refurbishment_Yr3_17*Long_Term_Monetised_Risk_17)</f>
        <v>0</v>
      </c>
      <c r="M114" s="64" cm="1">
        <f t="array" ref="M114">SUMPRODUCT(HVP_Other_Yr3_17*Long_Term_Monetised_Risk_17)</f>
        <v>0</v>
      </c>
      <c r="N114" s="64" cm="1">
        <f t="array" ref="N114">SUMPRODUCT(All_Other_Yr3_17*Long_Term_Monetised_Risk_17)</f>
        <v>0</v>
      </c>
      <c r="O114" s="65" cm="1">
        <f t="array" ref="O114">SUMPRODUCT(End_Of_Year_Yr3_17*Long_Term_Monetised_Risk_17)</f>
        <v>0</v>
      </c>
      <c r="Q114" s="110"/>
      <c r="R114" s="111"/>
      <c r="S114" s="119"/>
      <c r="T114" s="114" cm="1">
        <f t="array" ref="T114">SUMPRODUCT(Asset_Replacement_2028_Yr3_17*Long_Term_Monetised_Risk_17)</f>
        <v>0</v>
      </c>
      <c r="U114" s="64" cm="1">
        <f t="array" ref="U114">SUMPRODUCT(Asset_Refurbishment_2028_Yr3_17*Long_Term_Monetised_Risk_17)</f>
        <v>0</v>
      </c>
      <c r="V114" s="65" cm="1">
        <f t="array" ref="V114">SUMPRODUCT(HVP_2028_Yr3_17*Long_Term_Monetised_Risk_17)</f>
        <v>0</v>
      </c>
    </row>
    <row r="115" spans="1:22">
      <c r="B115" s="93" t="s">
        <v>78</v>
      </c>
      <c r="C115" s="91">
        <v>2027</v>
      </c>
      <c r="D115" s="64" cm="1">
        <f t="array" ref="D115">SUMPRODUCT(Start_of_Year_Yr4_17*Long_Term_Monetised_Risk_17)</f>
        <v>0</v>
      </c>
      <c r="E115" s="64" cm="1">
        <f t="array" ref="E115">SUMPRODUCT(Data_Cleansing_Yr4_17*Long_Term_Monetised_Risk_17)</f>
        <v>0</v>
      </c>
      <c r="F115" s="64" cm="1">
        <f t="array" ref="F115">SUMPRODUCT(Deterioration_total_Yr4_17*Long_Term_Monetised_Risk_17)</f>
        <v>0</v>
      </c>
      <c r="G115" s="64" cm="1">
        <f t="array" ref="G115">SUMPRODUCT(Other_Risk_Movements_Yr4_17*Long_Term_Monetised_Risk_17)</f>
        <v>0</v>
      </c>
      <c r="H115" s="64" cm="1">
        <f t="array" ref="H115">SUMPRODUCT(Asset_Replacement_Yr4_17*Long_Term_Monetised_Risk_17)</f>
        <v>0</v>
      </c>
      <c r="I115" s="64" cm="1">
        <f t="array" ref="I115">SUMPRODUCT(Asset_Refurbishment_Yr4_17*Long_Term_Monetised_Risk_17)</f>
        <v>0</v>
      </c>
      <c r="J115" s="64" cm="1">
        <f t="array" ref="J115">SUMPRODUCT(Reinforcement_Yr4_17*Long_Term_Monetised_Risk_17)</f>
        <v>0</v>
      </c>
      <c r="K115" s="64" cm="1">
        <f t="array" ref="K115">SUMPRODUCT(Faults_Yr4_17*Long_Term_Monetised_Risk_17)</f>
        <v>0</v>
      </c>
      <c r="L115" s="64" cm="1">
        <f t="array" ref="L115">SUMPRODUCT(HVP_Asset_Replacement_Refurbishment_Yr4_17*Long_Term_Monetised_Risk_17)</f>
        <v>0</v>
      </c>
      <c r="M115" s="64" cm="1">
        <f t="array" ref="M115">SUMPRODUCT(HVP_Other_Yr4_17*Long_Term_Monetised_Risk_17)</f>
        <v>0</v>
      </c>
      <c r="N115" s="64" cm="1">
        <f t="array" ref="N115">SUMPRODUCT(All_Other_Yr4_17*Long_Term_Monetised_Risk_17)</f>
        <v>0</v>
      </c>
      <c r="O115" s="65" cm="1">
        <f t="array" ref="O115">SUMPRODUCT(End_Of_Year_Yr4_17*Long_Term_Monetised_Risk_17)</f>
        <v>0</v>
      </c>
      <c r="Q115" s="110"/>
      <c r="R115" s="111"/>
      <c r="S115" s="119"/>
      <c r="T115" s="114" cm="1">
        <f t="array" ref="T115">SUMPRODUCT(Asset_Replacement_2028_Yr4_17*Long_Term_Monetised_Risk_17)</f>
        <v>0</v>
      </c>
      <c r="U115" s="64" cm="1">
        <f t="array" ref="U115">SUMPRODUCT(Asset_Refurbishment_2028_Yr4_17*Long_Term_Monetised_Risk_17)</f>
        <v>0</v>
      </c>
      <c r="V115" s="65" cm="1">
        <f t="array" ref="V115">SUMPRODUCT(HVP_2028_Yr4_17*Long_Term_Monetised_Risk_17)</f>
        <v>0</v>
      </c>
    </row>
    <row r="116" spans="1:22">
      <c r="B116" s="93" t="s">
        <v>78</v>
      </c>
      <c r="C116" s="91">
        <v>2028</v>
      </c>
      <c r="D116" s="64" cm="1">
        <f t="array" ref="D116">SUMPRODUCT(Start_of_Year_Yr5_17*Long_Term_Monetised_Risk_17)</f>
        <v>0</v>
      </c>
      <c r="E116" s="64" cm="1">
        <f t="array" ref="E116">SUMPRODUCT(Data_Cleansing_Yr5_17*Long_Term_Monetised_Risk_17)</f>
        <v>0</v>
      </c>
      <c r="F116" s="64" cm="1">
        <f t="array" ref="F116">SUMPRODUCT(Deterioration_total_Yr5_17*Long_Term_Monetised_Risk_17)</f>
        <v>0</v>
      </c>
      <c r="G116" s="64" cm="1">
        <f t="array" ref="G116">SUMPRODUCT(Other_Risk_Movements_Yr5_17*Long_Term_Monetised_Risk_17)</f>
        <v>0</v>
      </c>
      <c r="H116" s="64" cm="1">
        <f t="array" ref="H116">SUMPRODUCT(Asset_Replacement_Yr5_17*Long_Term_Monetised_Risk_17)</f>
        <v>0</v>
      </c>
      <c r="I116" s="64" cm="1">
        <f t="array" ref="I116">SUMPRODUCT(Asset_Refurbishment_Yr5_17*Long_Term_Monetised_Risk_17)</f>
        <v>0</v>
      </c>
      <c r="J116" s="64" cm="1">
        <f t="array" ref="J116">SUMPRODUCT(Reinforcement_Yr5_17*Long_Term_Monetised_Risk_17)</f>
        <v>0</v>
      </c>
      <c r="K116" s="64" cm="1">
        <f t="array" ref="K116">SUMPRODUCT(Faults_Yr5_17*Long_Term_Monetised_Risk_17)</f>
        <v>0</v>
      </c>
      <c r="L116" s="64" cm="1">
        <f t="array" ref="L116">SUMPRODUCT(HVP_Asset_Replacement_Refurbishment_Yr5_17*Long_Term_Monetised_Risk_17)</f>
        <v>0</v>
      </c>
      <c r="M116" s="64" cm="1">
        <f t="array" ref="M116">SUMPRODUCT(HVP_Other_Yr5_17*Long_Term_Monetised_Risk_17)</f>
        <v>0</v>
      </c>
      <c r="N116" s="64" cm="1">
        <f t="array" ref="N116">SUMPRODUCT(All_Other_Yr5_17*Long_Term_Monetised_Risk_17)</f>
        <v>0</v>
      </c>
      <c r="O116" s="65" cm="1">
        <f t="array" ref="O116">SUMPRODUCT(End_Of_Year_Yr5_17*Long_Term_Monetised_Risk_17)</f>
        <v>0</v>
      </c>
      <c r="Q116" s="110"/>
      <c r="R116" s="111"/>
      <c r="S116" s="119"/>
      <c r="T116" s="114" cm="1">
        <f t="array" ref="T116">SUMPRODUCT(Asset_Replacement_2028_Yr5_17*Long_Term_Monetised_Risk_17)</f>
        <v>0</v>
      </c>
      <c r="U116" s="64" cm="1">
        <f t="array" ref="U116">SUMPRODUCT(Asset_Refurbishment_2028_Yr5_17*Long_Term_Monetised_Risk_17)</f>
        <v>0</v>
      </c>
      <c r="V116" s="65" cm="1">
        <f t="array" ref="V116">SUMPRODUCT(HVP_2028_Yr5_17*Long_Term_Monetised_Risk_17)</f>
        <v>0</v>
      </c>
    </row>
    <row r="117" spans="1:22" ht="14" thickBot="1">
      <c r="B117" s="103" t="s">
        <v>78</v>
      </c>
      <c r="C117" s="104" t="s">
        <v>131</v>
      </c>
      <c r="D117" s="105"/>
      <c r="E117" s="106">
        <f t="shared" ref="E117:O117" si="42">SUM(E112:E116)</f>
        <v>0</v>
      </c>
      <c r="F117" s="106">
        <f t="shared" si="42"/>
        <v>0</v>
      </c>
      <c r="G117" s="106">
        <f t="shared" si="42"/>
        <v>0</v>
      </c>
      <c r="H117" s="106">
        <f t="shared" si="42"/>
        <v>0</v>
      </c>
      <c r="I117" s="106">
        <f t="shared" si="42"/>
        <v>0</v>
      </c>
      <c r="J117" s="106">
        <f t="shared" si="42"/>
        <v>0</v>
      </c>
      <c r="K117" s="106">
        <f t="shared" si="42"/>
        <v>0</v>
      </c>
      <c r="L117" s="106">
        <f t="shared" si="42"/>
        <v>0</v>
      </c>
      <c r="M117" s="106">
        <f t="shared" si="42"/>
        <v>0</v>
      </c>
      <c r="N117" s="106">
        <f t="shared" si="42"/>
        <v>0</v>
      </c>
      <c r="O117" s="537">
        <f t="shared" si="42"/>
        <v>0</v>
      </c>
      <c r="Q117" s="107" t="str">
        <f ca="1">VLOOKUP($B117,'NARM4 - ED2 NARW Risk Movements'!$B$7:$G$67,4,FALSE)</f>
        <v/>
      </c>
      <c r="R117" s="109" t="str">
        <f ca="1">VLOOKUP($B117,'NARM4 - ED2 NARW Risk Movements'!$B$7:$G$67,5,FALSE)</f>
        <v/>
      </c>
      <c r="S117" s="121" t="str">
        <f ca="1">VLOOKUP($B117,'NARM4 - ED2 NARW Risk Movements'!$B$7:$G$67,6,FALSE)</f>
        <v/>
      </c>
      <c r="T117" s="117">
        <f>SUM(T112:T116)</f>
        <v>0</v>
      </c>
      <c r="U117" s="106">
        <f t="shared" ref="U117" si="43">SUM(U112:U116)</f>
        <v>0</v>
      </c>
      <c r="V117" s="108">
        <f>SUM(V112:V116)</f>
        <v>0</v>
      </c>
    </row>
    <row r="118" spans="1:22" ht="14" thickTop="1">
      <c r="A118" s="143">
        <v>18</v>
      </c>
      <c r="B118" s="99" t="s">
        <v>79</v>
      </c>
      <c r="C118" s="100">
        <v>2024</v>
      </c>
      <c r="D118" s="101" cm="1">
        <f t="array" ref="D118">SUMPRODUCT(Start_of_Year_Yr1_18*Long_Term_Monetised_Risk_18)</f>
        <v>0</v>
      </c>
      <c r="E118" s="101" cm="1">
        <f t="array" ref="E118">SUMPRODUCT(Data_Cleansing_Yr1_18*Long_Term_Monetised_Risk_18)</f>
        <v>0</v>
      </c>
      <c r="F118" s="101" cm="1">
        <f t="array" ref="F118">SUMPRODUCT(Deterioration_total_Yr1_18*Long_Term_Monetised_Risk_18)</f>
        <v>0</v>
      </c>
      <c r="G118" s="101" cm="1">
        <f t="array" ref="G118">SUMPRODUCT(Other_Risk_Movements_Yr1_18*Long_Term_Monetised_Risk_18)</f>
        <v>0</v>
      </c>
      <c r="H118" s="101" cm="1">
        <f t="array" ref="H118">SUMPRODUCT(Asset_Replacement_Yr1_18*Long_Term_Monetised_Risk_18)</f>
        <v>0</v>
      </c>
      <c r="I118" s="101" cm="1">
        <f t="array" ref="I118">SUMPRODUCT(Asset_Refurbishment_Yr1_18*Long_Term_Monetised_Risk_18)</f>
        <v>0</v>
      </c>
      <c r="J118" s="101" cm="1">
        <f t="array" ref="J118">SUMPRODUCT(Reinforcement_Yr1_18*Long_Term_Monetised_Risk_18)</f>
        <v>0</v>
      </c>
      <c r="K118" s="101" cm="1">
        <f t="array" ref="K118">SUMPRODUCT(Faults_Yr1_18*Long_Term_Monetised_Risk_18)</f>
        <v>0</v>
      </c>
      <c r="L118" s="101" cm="1">
        <f t="array" ref="L118">SUMPRODUCT(HVP_Asset_Replacement_Refurbishment_Yr1_18*Long_Term_Monetised_Risk_18)</f>
        <v>0</v>
      </c>
      <c r="M118" s="101" cm="1">
        <f t="array" ref="M118">SUMPRODUCT(HVP_Other_Yr1_18*Long_Term_Monetised_Risk_18)</f>
        <v>0</v>
      </c>
      <c r="N118" s="101" cm="1">
        <f t="array" ref="N118">SUMPRODUCT(All_Other_Yr1_18*Long_Term_Monetised_Risk_18)</f>
        <v>0</v>
      </c>
      <c r="O118" s="102" cm="1">
        <f t="array" ref="O118">SUMPRODUCT(End_Of_Year_Yr1_18*Long_Term_Monetised_Risk_18)</f>
        <v>0</v>
      </c>
      <c r="Q118" s="112"/>
      <c r="R118" s="113"/>
      <c r="S118" s="120"/>
      <c r="T118" s="115" cm="1">
        <f t="array" ref="T118">SUMPRODUCT(Asset_Replacement_2028_Yr1_18*Long_Term_Monetised_Risk_18)</f>
        <v>0</v>
      </c>
      <c r="U118" s="101" cm="1">
        <f t="array" ref="U118">SUMPRODUCT(Asset_Refurbishment_2028_Yr1_18*Long_Term_Monetised_Risk_18)</f>
        <v>0</v>
      </c>
      <c r="V118" s="102" cm="1">
        <f t="array" ref="V118">SUMPRODUCT(HVP_2028_Yr1_18*Long_Term_Monetised_Risk_18)</f>
        <v>0</v>
      </c>
    </row>
    <row r="119" spans="1:22">
      <c r="B119" s="93" t="s">
        <v>79</v>
      </c>
      <c r="C119" s="91">
        <v>2025</v>
      </c>
      <c r="D119" s="64" cm="1">
        <f t="array" ref="D119">SUMPRODUCT(Start_of_Year_Yr2_18*Long_Term_Monetised_Risk_18)</f>
        <v>0</v>
      </c>
      <c r="E119" s="64" cm="1">
        <f t="array" ref="E119">SUMPRODUCT(Data_Cleansing_Yr2_18*Long_Term_Monetised_Risk_18)</f>
        <v>0</v>
      </c>
      <c r="F119" s="64" cm="1">
        <f t="array" ref="F119">SUMPRODUCT(Deterioration_total_Yr2_18*Long_Term_Monetised_Risk_18)</f>
        <v>0</v>
      </c>
      <c r="G119" s="64" cm="1">
        <f t="array" ref="G119">SUMPRODUCT(Other_Risk_Movements_Yr2_18*Long_Term_Monetised_Risk_18)</f>
        <v>0</v>
      </c>
      <c r="H119" s="64" cm="1">
        <f t="array" ref="H119">SUMPRODUCT(Asset_Replacement_Yr2_18*Long_Term_Monetised_Risk_18)</f>
        <v>0</v>
      </c>
      <c r="I119" s="64" cm="1">
        <f t="array" ref="I119">SUMPRODUCT(Asset_Refurbishment_Yr2_18*Long_Term_Monetised_Risk_18)</f>
        <v>0</v>
      </c>
      <c r="J119" s="64" cm="1">
        <f t="array" ref="J119">SUMPRODUCT(Reinforcement_Yr2_18*Long_Term_Monetised_Risk_18)</f>
        <v>0</v>
      </c>
      <c r="K119" s="64" cm="1">
        <f t="array" ref="K119">SUMPRODUCT(Faults_Yr2_18*Long_Term_Monetised_Risk_18)</f>
        <v>0</v>
      </c>
      <c r="L119" s="64" cm="1">
        <f t="array" ref="L119">SUMPRODUCT(HVP_Asset_Replacement_Refurbishment_Yr2_18*Long_Term_Monetised_Risk_18)</f>
        <v>0</v>
      </c>
      <c r="M119" s="64" cm="1">
        <f t="array" ref="M119">SUMPRODUCT(HVP_Other_Yr2_18*Long_Term_Monetised_Risk_18)</f>
        <v>0</v>
      </c>
      <c r="N119" s="64" cm="1">
        <f t="array" ref="N119">SUMPRODUCT(All_Other_Yr2_18*Long_Term_Monetised_Risk_18)</f>
        <v>0</v>
      </c>
      <c r="O119" s="65" cm="1">
        <f t="array" ref="O119">SUMPRODUCT(End_Of_Year_Yr2_18*Long_Term_Monetised_Risk_18)</f>
        <v>0</v>
      </c>
      <c r="Q119" s="110"/>
      <c r="R119" s="111"/>
      <c r="S119" s="119"/>
      <c r="T119" s="114" cm="1">
        <f t="array" ref="T119">SUMPRODUCT(Asset_Replacement_2028_Yr2_18*Long_Term_Monetised_Risk_18)</f>
        <v>0</v>
      </c>
      <c r="U119" s="64" cm="1">
        <f t="array" ref="U119">SUMPRODUCT(Asset_Refurbishment_2028_Yr2_18*Long_Term_Monetised_Risk_18)</f>
        <v>0</v>
      </c>
      <c r="V119" s="65" cm="1">
        <f t="array" ref="V119">SUMPRODUCT(HVP_2028_Yr2_18*Long_Term_Monetised_Risk_18)</f>
        <v>0</v>
      </c>
    </row>
    <row r="120" spans="1:22">
      <c r="B120" s="93" t="s">
        <v>79</v>
      </c>
      <c r="C120" s="91">
        <v>2026</v>
      </c>
      <c r="D120" s="64" cm="1">
        <f t="array" ref="D120">SUMPRODUCT(Start_of_Year_Yr3_18*Long_Term_Monetised_Risk_18)</f>
        <v>0</v>
      </c>
      <c r="E120" s="64" cm="1">
        <f t="array" ref="E120">SUMPRODUCT(Data_Cleansing_Yr3_18*Long_Term_Monetised_Risk_18)</f>
        <v>0</v>
      </c>
      <c r="F120" s="64" cm="1">
        <f t="array" ref="F120">SUMPRODUCT(Deterioration_total_Yr3_18*Long_Term_Monetised_Risk_18)</f>
        <v>0</v>
      </c>
      <c r="G120" s="64" cm="1">
        <f t="array" ref="G120">SUMPRODUCT(Other_Risk_Movements_Yr3_18*Long_Term_Monetised_Risk_18)</f>
        <v>0</v>
      </c>
      <c r="H120" s="64" cm="1">
        <f t="array" ref="H120">SUMPRODUCT(Asset_Replacement_Yr3_18*Long_Term_Monetised_Risk_18)</f>
        <v>0</v>
      </c>
      <c r="I120" s="64" cm="1">
        <f t="array" ref="I120">SUMPRODUCT(Asset_Refurbishment_Yr3_18*Long_Term_Monetised_Risk_18)</f>
        <v>0</v>
      </c>
      <c r="J120" s="64" cm="1">
        <f t="array" ref="J120">SUMPRODUCT(Reinforcement_Yr3_18*Long_Term_Monetised_Risk_18)</f>
        <v>0</v>
      </c>
      <c r="K120" s="64" cm="1">
        <f t="array" ref="K120">SUMPRODUCT(Faults_Yr3_18*Long_Term_Monetised_Risk_18)</f>
        <v>0</v>
      </c>
      <c r="L120" s="64" cm="1">
        <f t="array" ref="L120">SUMPRODUCT(HVP_Asset_Replacement_Refurbishment_Yr3_18*Long_Term_Monetised_Risk_18)</f>
        <v>0</v>
      </c>
      <c r="M120" s="64" cm="1">
        <f t="array" ref="M120">SUMPRODUCT(HVP_Other_Yr3_18*Long_Term_Monetised_Risk_18)</f>
        <v>0</v>
      </c>
      <c r="N120" s="64" cm="1">
        <f t="array" ref="N120">SUMPRODUCT(All_Other_Yr3_18*Long_Term_Monetised_Risk_18)</f>
        <v>0</v>
      </c>
      <c r="O120" s="65" cm="1">
        <f t="array" ref="O120">SUMPRODUCT(End_Of_Year_Yr3_18*Long_Term_Monetised_Risk_18)</f>
        <v>0</v>
      </c>
      <c r="Q120" s="110"/>
      <c r="R120" s="111"/>
      <c r="S120" s="119"/>
      <c r="T120" s="114" cm="1">
        <f t="array" ref="T120">SUMPRODUCT(Asset_Replacement_2028_Yr3_18*Long_Term_Monetised_Risk_18)</f>
        <v>0</v>
      </c>
      <c r="U120" s="64" cm="1">
        <f t="array" ref="U120">SUMPRODUCT(Asset_Refurbishment_2028_Yr3_18*Long_Term_Monetised_Risk_18)</f>
        <v>0</v>
      </c>
      <c r="V120" s="65" cm="1">
        <f t="array" ref="V120">SUMPRODUCT(HVP_2028_Yr3_18*Long_Term_Monetised_Risk_18)</f>
        <v>0</v>
      </c>
    </row>
    <row r="121" spans="1:22">
      <c r="B121" s="93" t="s">
        <v>79</v>
      </c>
      <c r="C121" s="91">
        <v>2027</v>
      </c>
      <c r="D121" s="64" cm="1">
        <f t="array" ref="D121">SUMPRODUCT(Start_of_Year_Yr4_18*Long_Term_Monetised_Risk_18)</f>
        <v>0</v>
      </c>
      <c r="E121" s="64" cm="1">
        <f t="array" ref="E121">SUMPRODUCT(Data_Cleansing_Yr4_18*Long_Term_Monetised_Risk_18)</f>
        <v>0</v>
      </c>
      <c r="F121" s="64" cm="1">
        <f t="array" ref="F121">SUMPRODUCT(Deterioration_total_Yr4_18*Long_Term_Monetised_Risk_18)</f>
        <v>0</v>
      </c>
      <c r="G121" s="64" cm="1">
        <f t="array" ref="G121">SUMPRODUCT(Other_Risk_Movements_Yr4_18*Long_Term_Monetised_Risk_18)</f>
        <v>0</v>
      </c>
      <c r="H121" s="64" cm="1">
        <f t="array" ref="H121">SUMPRODUCT(Asset_Replacement_Yr4_18*Long_Term_Monetised_Risk_18)</f>
        <v>0</v>
      </c>
      <c r="I121" s="64" cm="1">
        <f t="array" ref="I121">SUMPRODUCT(Asset_Refurbishment_Yr4_18*Long_Term_Monetised_Risk_18)</f>
        <v>0</v>
      </c>
      <c r="J121" s="64" cm="1">
        <f t="array" ref="J121">SUMPRODUCT(Reinforcement_Yr4_18*Long_Term_Monetised_Risk_18)</f>
        <v>0</v>
      </c>
      <c r="K121" s="64" cm="1">
        <f t="array" ref="K121">SUMPRODUCT(Faults_Yr4_18*Long_Term_Monetised_Risk_18)</f>
        <v>0</v>
      </c>
      <c r="L121" s="64" cm="1">
        <f t="array" ref="L121">SUMPRODUCT(HVP_Asset_Replacement_Refurbishment_Yr4_18*Long_Term_Monetised_Risk_18)</f>
        <v>0</v>
      </c>
      <c r="M121" s="64" cm="1">
        <f t="array" ref="M121">SUMPRODUCT(HVP_Other_Yr4_18*Long_Term_Monetised_Risk_18)</f>
        <v>0</v>
      </c>
      <c r="N121" s="64" cm="1">
        <f t="array" ref="N121">SUMPRODUCT(All_Other_Yr4_18*Long_Term_Monetised_Risk_18)</f>
        <v>0</v>
      </c>
      <c r="O121" s="65" cm="1">
        <f t="array" ref="O121">SUMPRODUCT(End_Of_Year_Yr4_18*Long_Term_Monetised_Risk_18)</f>
        <v>0</v>
      </c>
      <c r="Q121" s="110"/>
      <c r="R121" s="111"/>
      <c r="S121" s="119"/>
      <c r="T121" s="114" cm="1">
        <f t="array" ref="T121">SUMPRODUCT(Asset_Replacement_2028_Yr4_18*Long_Term_Monetised_Risk_18)</f>
        <v>0</v>
      </c>
      <c r="U121" s="64" cm="1">
        <f t="array" ref="U121">SUMPRODUCT(Asset_Refurbishment_2028_Yr4_18*Long_Term_Monetised_Risk_18)</f>
        <v>0</v>
      </c>
      <c r="V121" s="65" cm="1">
        <f t="array" ref="V121">SUMPRODUCT(HVP_2028_Yr4_18*Long_Term_Monetised_Risk_18)</f>
        <v>0</v>
      </c>
    </row>
    <row r="122" spans="1:22">
      <c r="B122" s="93" t="s">
        <v>79</v>
      </c>
      <c r="C122" s="91">
        <v>2028</v>
      </c>
      <c r="D122" s="64" cm="1">
        <f t="array" ref="D122">SUMPRODUCT(Start_of_Year_Yr5_18*Long_Term_Monetised_Risk_18)</f>
        <v>0</v>
      </c>
      <c r="E122" s="64" cm="1">
        <f t="array" ref="E122">SUMPRODUCT(Data_Cleansing_Yr5_18*Long_Term_Monetised_Risk_18)</f>
        <v>0</v>
      </c>
      <c r="F122" s="64" cm="1">
        <f t="array" ref="F122">SUMPRODUCT(Deterioration_total_Yr5_18*Long_Term_Monetised_Risk_18)</f>
        <v>0</v>
      </c>
      <c r="G122" s="64" cm="1">
        <f t="array" ref="G122">SUMPRODUCT(Other_Risk_Movements_Yr5_18*Long_Term_Monetised_Risk_18)</f>
        <v>0</v>
      </c>
      <c r="H122" s="64" cm="1">
        <f t="array" ref="H122">SUMPRODUCT(Asset_Replacement_Yr5_18*Long_Term_Monetised_Risk_18)</f>
        <v>0</v>
      </c>
      <c r="I122" s="64" cm="1">
        <f t="array" ref="I122">SUMPRODUCT(Asset_Refurbishment_Yr5_18*Long_Term_Monetised_Risk_18)</f>
        <v>0</v>
      </c>
      <c r="J122" s="64" cm="1">
        <f t="array" ref="J122">SUMPRODUCT(Reinforcement_Yr5_18*Long_Term_Monetised_Risk_18)</f>
        <v>0</v>
      </c>
      <c r="K122" s="64" cm="1">
        <f t="array" ref="K122">SUMPRODUCT(Faults_Yr5_18*Long_Term_Monetised_Risk_18)</f>
        <v>0</v>
      </c>
      <c r="L122" s="64" cm="1">
        <f t="array" ref="L122">SUMPRODUCT(HVP_Asset_Replacement_Refurbishment_Yr5_18*Long_Term_Monetised_Risk_18)</f>
        <v>0</v>
      </c>
      <c r="M122" s="64" cm="1">
        <f t="array" ref="M122">SUMPRODUCT(HVP_Other_Yr5_18*Long_Term_Monetised_Risk_18)</f>
        <v>0</v>
      </c>
      <c r="N122" s="64" cm="1">
        <f t="array" ref="N122">SUMPRODUCT(All_Other_Yr5_18*Long_Term_Monetised_Risk_18)</f>
        <v>0</v>
      </c>
      <c r="O122" s="65" cm="1">
        <f t="array" ref="O122">SUMPRODUCT(End_Of_Year_Yr5_18*Long_Term_Monetised_Risk_18)</f>
        <v>0</v>
      </c>
      <c r="Q122" s="110"/>
      <c r="R122" s="111"/>
      <c r="S122" s="119"/>
      <c r="T122" s="114" cm="1">
        <f t="array" ref="T122">SUMPRODUCT(Asset_Replacement_2028_Yr5_18*Long_Term_Monetised_Risk_18)</f>
        <v>0</v>
      </c>
      <c r="U122" s="64" cm="1">
        <f t="array" ref="U122">SUMPRODUCT(Asset_Refurbishment_2028_Yr5_18*Long_Term_Monetised_Risk_18)</f>
        <v>0</v>
      </c>
      <c r="V122" s="65" cm="1">
        <f t="array" ref="V122">SUMPRODUCT(HVP_2028_Yr5_18*Long_Term_Monetised_Risk_18)</f>
        <v>0</v>
      </c>
    </row>
    <row r="123" spans="1:22" ht="14" thickBot="1">
      <c r="B123" s="103" t="s">
        <v>79</v>
      </c>
      <c r="C123" s="104" t="s">
        <v>131</v>
      </c>
      <c r="D123" s="105"/>
      <c r="E123" s="106">
        <f t="shared" ref="E123:O123" si="44">SUM(E118:E122)</f>
        <v>0</v>
      </c>
      <c r="F123" s="106">
        <f t="shared" si="44"/>
        <v>0</v>
      </c>
      <c r="G123" s="106">
        <f t="shared" si="44"/>
        <v>0</v>
      </c>
      <c r="H123" s="106">
        <f t="shared" si="44"/>
        <v>0</v>
      </c>
      <c r="I123" s="106">
        <f t="shared" si="44"/>
        <v>0</v>
      </c>
      <c r="J123" s="106">
        <f t="shared" si="44"/>
        <v>0</v>
      </c>
      <c r="K123" s="106">
        <f t="shared" si="44"/>
        <v>0</v>
      </c>
      <c r="L123" s="106">
        <f t="shared" si="44"/>
        <v>0</v>
      </c>
      <c r="M123" s="106">
        <f t="shared" si="44"/>
        <v>0</v>
      </c>
      <c r="N123" s="106">
        <f t="shared" si="44"/>
        <v>0</v>
      </c>
      <c r="O123" s="537">
        <f t="shared" si="44"/>
        <v>0</v>
      </c>
      <c r="Q123" s="107" t="str">
        <f ca="1">VLOOKUP($B123,'NARM4 - ED2 NARW Risk Movements'!$B$7:$G$67,4,FALSE)</f>
        <v/>
      </c>
      <c r="R123" s="109" t="str">
        <f ca="1">VLOOKUP($B123,'NARM4 - ED2 NARW Risk Movements'!$B$7:$G$67,5,FALSE)</f>
        <v/>
      </c>
      <c r="S123" s="121" t="str">
        <f ca="1">VLOOKUP($B123,'NARM4 - ED2 NARW Risk Movements'!$B$7:$G$67,6,FALSE)</f>
        <v/>
      </c>
      <c r="T123" s="117">
        <f>SUM(T118:T122)</f>
        <v>0</v>
      </c>
      <c r="U123" s="106">
        <f t="shared" ref="U123" si="45">SUM(U118:U122)</f>
        <v>0</v>
      </c>
      <c r="V123" s="108">
        <f>SUM(V118:V122)</f>
        <v>0</v>
      </c>
    </row>
    <row r="124" spans="1:22" ht="14" thickTop="1">
      <c r="A124" s="143">
        <v>19</v>
      </c>
      <c r="B124" s="99" t="s">
        <v>80</v>
      </c>
      <c r="C124" s="100">
        <v>2024</v>
      </c>
      <c r="D124" s="101" cm="1">
        <f t="array" ref="D124">SUMPRODUCT(Start_of_Year_Yr1_19*Long_Term_Monetised_Risk_19)</f>
        <v>0</v>
      </c>
      <c r="E124" s="101" cm="1">
        <f t="array" ref="E124">SUMPRODUCT(Data_Cleansing_Yr1_19*Long_Term_Monetised_Risk_19)</f>
        <v>0</v>
      </c>
      <c r="F124" s="101" cm="1">
        <f t="array" ref="F124">SUMPRODUCT(Deterioration_total_Yr1_19*Long_Term_Monetised_Risk_19)</f>
        <v>0</v>
      </c>
      <c r="G124" s="101" cm="1">
        <f t="array" ref="G124">SUMPRODUCT(Other_Risk_Movements_Yr1_19*Long_Term_Monetised_Risk_19)</f>
        <v>0</v>
      </c>
      <c r="H124" s="101" cm="1">
        <f t="array" ref="H124">SUMPRODUCT(Asset_Replacement_Yr1_19*Long_Term_Monetised_Risk_19)</f>
        <v>0</v>
      </c>
      <c r="I124" s="101" cm="1">
        <f t="array" ref="I124">SUMPRODUCT(Asset_Refurbishment_Yr1_19*Long_Term_Monetised_Risk_19)</f>
        <v>0</v>
      </c>
      <c r="J124" s="101" cm="1">
        <f t="array" ref="J124">SUMPRODUCT(Reinforcement_Yr1_19*Long_Term_Monetised_Risk_19)</f>
        <v>0</v>
      </c>
      <c r="K124" s="101" cm="1">
        <f t="array" ref="K124">SUMPRODUCT(Faults_Yr1_19*Long_Term_Monetised_Risk_19)</f>
        <v>0</v>
      </c>
      <c r="L124" s="101" cm="1">
        <f t="array" ref="L124">SUMPRODUCT(HVP_Asset_Replacement_Refurbishment_Yr1_19*Long_Term_Monetised_Risk_19)</f>
        <v>0</v>
      </c>
      <c r="M124" s="101" cm="1">
        <f t="array" ref="M124">SUMPRODUCT(HVP_Other_Yr1_19*Long_Term_Monetised_Risk_19)</f>
        <v>0</v>
      </c>
      <c r="N124" s="101" cm="1">
        <f t="array" ref="N124">SUMPRODUCT(All_Other_Yr1_19*Long_Term_Monetised_Risk_19)</f>
        <v>0</v>
      </c>
      <c r="O124" s="102" cm="1">
        <f t="array" ref="O124">SUMPRODUCT(End_Of_Year_Yr1_19*Long_Term_Monetised_Risk_19)</f>
        <v>0</v>
      </c>
      <c r="Q124" s="112"/>
      <c r="R124" s="113"/>
      <c r="S124" s="120"/>
      <c r="T124" s="115" cm="1">
        <f t="array" ref="T124">SUMPRODUCT(Asset_Replacement_2028_Yr1_19*Long_Term_Monetised_Risk_19)</f>
        <v>0</v>
      </c>
      <c r="U124" s="101" cm="1">
        <f t="array" ref="U124">SUMPRODUCT(Asset_Refurbishment_2028_Yr1_19*Long_Term_Monetised_Risk_19)</f>
        <v>0</v>
      </c>
      <c r="V124" s="102" cm="1">
        <f t="array" ref="V124">SUMPRODUCT(HVP_2028_Yr1_19*Long_Term_Monetised_Risk_19)</f>
        <v>0</v>
      </c>
    </row>
    <row r="125" spans="1:22">
      <c r="B125" s="93" t="s">
        <v>80</v>
      </c>
      <c r="C125" s="91">
        <v>2025</v>
      </c>
      <c r="D125" s="64" cm="1">
        <f t="array" ref="D125">SUMPRODUCT(Start_of_Year_Yr2_19*Long_Term_Monetised_Risk_19)</f>
        <v>0</v>
      </c>
      <c r="E125" s="64" cm="1">
        <f t="array" ref="E125">SUMPRODUCT(Data_Cleansing_Yr2_19*Long_Term_Monetised_Risk_19)</f>
        <v>0</v>
      </c>
      <c r="F125" s="64" cm="1">
        <f t="array" ref="F125">SUMPRODUCT(Deterioration_total_Yr2_19*Long_Term_Monetised_Risk_19)</f>
        <v>0</v>
      </c>
      <c r="G125" s="64" cm="1">
        <f t="array" ref="G125">SUMPRODUCT(Other_Risk_Movements_Yr2_19*Long_Term_Monetised_Risk_19)</f>
        <v>0</v>
      </c>
      <c r="H125" s="64" cm="1">
        <f t="array" ref="H125">SUMPRODUCT(Asset_Replacement_Yr2_19*Long_Term_Monetised_Risk_19)</f>
        <v>0</v>
      </c>
      <c r="I125" s="64" cm="1">
        <f t="array" ref="I125">SUMPRODUCT(Asset_Refurbishment_Yr2_19*Long_Term_Monetised_Risk_19)</f>
        <v>0</v>
      </c>
      <c r="J125" s="64" cm="1">
        <f t="array" ref="J125">SUMPRODUCT(Reinforcement_Yr2_19*Long_Term_Monetised_Risk_19)</f>
        <v>0</v>
      </c>
      <c r="K125" s="64" cm="1">
        <f t="array" ref="K125">SUMPRODUCT(Faults_Yr2_19*Long_Term_Monetised_Risk_19)</f>
        <v>0</v>
      </c>
      <c r="L125" s="64" cm="1">
        <f t="array" ref="L125">SUMPRODUCT(HVP_Asset_Replacement_Refurbishment_Yr2_19*Long_Term_Monetised_Risk_19)</f>
        <v>0</v>
      </c>
      <c r="M125" s="64" cm="1">
        <f t="array" ref="M125">SUMPRODUCT(HVP_Other_Yr2_19*Long_Term_Monetised_Risk_19)</f>
        <v>0</v>
      </c>
      <c r="N125" s="64" cm="1">
        <f t="array" ref="N125">SUMPRODUCT(All_Other_Yr2_19*Long_Term_Monetised_Risk_19)</f>
        <v>0</v>
      </c>
      <c r="O125" s="65" cm="1">
        <f t="array" ref="O125">SUMPRODUCT(End_Of_Year_Yr2_19*Long_Term_Monetised_Risk_19)</f>
        <v>0</v>
      </c>
      <c r="Q125" s="110"/>
      <c r="R125" s="111"/>
      <c r="S125" s="119"/>
      <c r="T125" s="114" cm="1">
        <f t="array" ref="T125">SUMPRODUCT(Asset_Replacement_2028_Yr2_19*Long_Term_Monetised_Risk_19)</f>
        <v>0</v>
      </c>
      <c r="U125" s="64" cm="1">
        <f t="array" ref="U125">SUMPRODUCT(Asset_Refurbishment_2028_Yr2_19*Long_Term_Monetised_Risk_19)</f>
        <v>0</v>
      </c>
      <c r="V125" s="65" cm="1">
        <f t="array" ref="V125">SUMPRODUCT(HVP_2028_Yr2_19*Long_Term_Monetised_Risk_19)</f>
        <v>0</v>
      </c>
    </row>
    <row r="126" spans="1:22">
      <c r="B126" s="93" t="s">
        <v>80</v>
      </c>
      <c r="C126" s="91">
        <v>2026</v>
      </c>
      <c r="D126" s="64" cm="1">
        <f t="array" ref="D126">SUMPRODUCT(Start_of_Year_Yr3_19*Long_Term_Monetised_Risk_19)</f>
        <v>0</v>
      </c>
      <c r="E126" s="64" cm="1">
        <f t="array" ref="E126">SUMPRODUCT(Data_Cleansing_Yr3_19*Long_Term_Monetised_Risk_19)</f>
        <v>0</v>
      </c>
      <c r="F126" s="64" cm="1">
        <f t="array" ref="F126">SUMPRODUCT(Deterioration_total_Yr3_19*Long_Term_Monetised_Risk_19)</f>
        <v>0</v>
      </c>
      <c r="G126" s="64" cm="1">
        <f t="array" ref="G126">SUMPRODUCT(Other_Risk_Movements_Yr3_19*Long_Term_Monetised_Risk_19)</f>
        <v>0</v>
      </c>
      <c r="H126" s="64" cm="1">
        <f t="array" ref="H126">SUMPRODUCT(Asset_Replacement_Yr3_19*Long_Term_Monetised_Risk_19)</f>
        <v>0</v>
      </c>
      <c r="I126" s="64" cm="1">
        <f t="array" ref="I126">SUMPRODUCT(Asset_Refurbishment_Yr3_19*Long_Term_Monetised_Risk_19)</f>
        <v>0</v>
      </c>
      <c r="J126" s="64" cm="1">
        <f t="array" ref="J126">SUMPRODUCT(Reinforcement_Yr3_19*Long_Term_Monetised_Risk_19)</f>
        <v>0</v>
      </c>
      <c r="K126" s="64" cm="1">
        <f t="array" ref="K126">SUMPRODUCT(Faults_Yr3_19*Long_Term_Monetised_Risk_19)</f>
        <v>0</v>
      </c>
      <c r="L126" s="64" cm="1">
        <f t="array" ref="L126">SUMPRODUCT(HVP_Asset_Replacement_Refurbishment_Yr3_19*Long_Term_Monetised_Risk_19)</f>
        <v>0</v>
      </c>
      <c r="M126" s="64" cm="1">
        <f t="array" ref="M126">SUMPRODUCT(HVP_Other_Yr3_19*Long_Term_Monetised_Risk_19)</f>
        <v>0</v>
      </c>
      <c r="N126" s="64" cm="1">
        <f t="array" ref="N126">SUMPRODUCT(All_Other_Yr3_19*Long_Term_Monetised_Risk_19)</f>
        <v>0</v>
      </c>
      <c r="O126" s="65" cm="1">
        <f t="array" ref="O126">SUMPRODUCT(End_Of_Year_Yr3_19*Long_Term_Monetised_Risk_19)</f>
        <v>0</v>
      </c>
      <c r="Q126" s="110"/>
      <c r="R126" s="111"/>
      <c r="S126" s="119"/>
      <c r="T126" s="114" cm="1">
        <f t="array" ref="T126">SUMPRODUCT(Asset_Replacement_2028_Yr3_19*Long_Term_Monetised_Risk_19)</f>
        <v>0</v>
      </c>
      <c r="U126" s="64" cm="1">
        <f t="array" ref="U126">SUMPRODUCT(Asset_Refurbishment_2028_Yr3_19*Long_Term_Monetised_Risk_19)</f>
        <v>0</v>
      </c>
      <c r="V126" s="65" cm="1">
        <f t="array" ref="V126">SUMPRODUCT(HVP_2028_Yr3_19*Long_Term_Monetised_Risk_19)</f>
        <v>0</v>
      </c>
    </row>
    <row r="127" spans="1:22">
      <c r="B127" s="93" t="s">
        <v>80</v>
      </c>
      <c r="C127" s="91">
        <v>2027</v>
      </c>
      <c r="D127" s="64" cm="1">
        <f t="array" ref="D127">SUMPRODUCT(Start_of_Year_Yr4_19*Long_Term_Monetised_Risk_19)</f>
        <v>0</v>
      </c>
      <c r="E127" s="64" cm="1">
        <f t="array" ref="E127">SUMPRODUCT(Data_Cleansing_Yr4_19*Long_Term_Monetised_Risk_19)</f>
        <v>0</v>
      </c>
      <c r="F127" s="64" cm="1">
        <f t="array" ref="F127">SUMPRODUCT(Deterioration_total_Yr4_19*Long_Term_Monetised_Risk_19)</f>
        <v>0</v>
      </c>
      <c r="G127" s="64" cm="1">
        <f t="array" ref="G127">SUMPRODUCT(Other_Risk_Movements_Yr4_19*Long_Term_Monetised_Risk_19)</f>
        <v>0</v>
      </c>
      <c r="H127" s="64" cm="1">
        <f t="array" ref="H127">SUMPRODUCT(Asset_Replacement_Yr4_19*Long_Term_Monetised_Risk_19)</f>
        <v>0</v>
      </c>
      <c r="I127" s="64" cm="1">
        <f t="array" ref="I127">SUMPRODUCT(Asset_Refurbishment_Yr4_19*Long_Term_Monetised_Risk_19)</f>
        <v>0</v>
      </c>
      <c r="J127" s="64" cm="1">
        <f t="array" ref="J127">SUMPRODUCT(Reinforcement_Yr4_19*Long_Term_Monetised_Risk_19)</f>
        <v>0</v>
      </c>
      <c r="K127" s="64" cm="1">
        <f t="array" ref="K127">SUMPRODUCT(Faults_Yr4_19*Long_Term_Monetised_Risk_19)</f>
        <v>0</v>
      </c>
      <c r="L127" s="64" cm="1">
        <f t="array" ref="L127">SUMPRODUCT(HVP_Asset_Replacement_Refurbishment_Yr4_19*Long_Term_Monetised_Risk_19)</f>
        <v>0</v>
      </c>
      <c r="M127" s="64" cm="1">
        <f t="array" ref="M127">SUMPRODUCT(HVP_Other_Yr4_19*Long_Term_Monetised_Risk_19)</f>
        <v>0</v>
      </c>
      <c r="N127" s="64" cm="1">
        <f t="array" ref="N127">SUMPRODUCT(All_Other_Yr4_19*Long_Term_Monetised_Risk_19)</f>
        <v>0</v>
      </c>
      <c r="O127" s="65" cm="1">
        <f t="array" ref="O127">SUMPRODUCT(End_Of_Year_Yr4_19*Long_Term_Monetised_Risk_19)</f>
        <v>0</v>
      </c>
      <c r="Q127" s="110"/>
      <c r="R127" s="111"/>
      <c r="S127" s="119"/>
      <c r="T127" s="114" cm="1">
        <f t="array" ref="T127">SUMPRODUCT(Asset_Replacement_2028_Yr4_19*Long_Term_Monetised_Risk_19)</f>
        <v>0</v>
      </c>
      <c r="U127" s="64" cm="1">
        <f t="array" ref="U127">SUMPRODUCT(Asset_Refurbishment_2028_Yr4_19*Long_Term_Monetised_Risk_19)</f>
        <v>0</v>
      </c>
      <c r="V127" s="65" cm="1">
        <f t="array" ref="V127">SUMPRODUCT(HVP_2028_Yr4_19*Long_Term_Monetised_Risk_19)</f>
        <v>0</v>
      </c>
    </row>
    <row r="128" spans="1:22">
      <c r="B128" s="93" t="s">
        <v>80</v>
      </c>
      <c r="C128" s="91">
        <v>2028</v>
      </c>
      <c r="D128" s="64" cm="1">
        <f t="array" ref="D128">SUMPRODUCT(Start_of_Year_Yr5_19*Long_Term_Monetised_Risk_19)</f>
        <v>0</v>
      </c>
      <c r="E128" s="64" cm="1">
        <f t="array" ref="E128">SUMPRODUCT(Data_Cleansing_Yr5_19*Long_Term_Monetised_Risk_19)</f>
        <v>0</v>
      </c>
      <c r="F128" s="64" cm="1">
        <f t="array" ref="F128">SUMPRODUCT(Deterioration_total_Yr5_19*Long_Term_Monetised_Risk_19)</f>
        <v>0</v>
      </c>
      <c r="G128" s="64" cm="1">
        <f t="array" ref="G128">SUMPRODUCT(Other_Risk_Movements_Yr5_19*Long_Term_Monetised_Risk_19)</f>
        <v>0</v>
      </c>
      <c r="H128" s="64" cm="1">
        <f t="array" ref="H128">SUMPRODUCT(Asset_Replacement_Yr5_19*Long_Term_Monetised_Risk_19)</f>
        <v>0</v>
      </c>
      <c r="I128" s="64" cm="1">
        <f t="array" ref="I128">SUMPRODUCT(Asset_Refurbishment_Yr5_19*Long_Term_Monetised_Risk_19)</f>
        <v>0</v>
      </c>
      <c r="J128" s="64" cm="1">
        <f t="array" ref="J128">SUMPRODUCT(Reinforcement_Yr5_19*Long_Term_Monetised_Risk_19)</f>
        <v>0</v>
      </c>
      <c r="K128" s="64" cm="1">
        <f t="array" ref="K128">SUMPRODUCT(Faults_Yr5_19*Long_Term_Monetised_Risk_19)</f>
        <v>0</v>
      </c>
      <c r="L128" s="64" cm="1">
        <f t="array" ref="L128">SUMPRODUCT(HVP_Asset_Replacement_Refurbishment_Yr5_19*Long_Term_Monetised_Risk_19)</f>
        <v>0</v>
      </c>
      <c r="M128" s="64" cm="1">
        <f t="array" ref="M128">SUMPRODUCT(HVP_Other_Yr5_19*Long_Term_Monetised_Risk_19)</f>
        <v>0</v>
      </c>
      <c r="N128" s="64" cm="1">
        <f t="array" ref="N128">SUMPRODUCT(All_Other_Yr5_19*Long_Term_Monetised_Risk_19)</f>
        <v>0</v>
      </c>
      <c r="O128" s="65" cm="1">
        <f t="array" ref="O128">SUMPRODUCT(End_Of_Year_Yr5_19*Long_Term_Monetised_Risk_19)</f>
        <v>0</v>
      </c>
      <c r="Q128" s="110"/>
      <c r="R128" s="111"/>
      <c r="S128" s="119"/>
      <c r="T128" s="114" cm="1">
        <f t="array" ref="T128">SUMPRODUCT(Asset_Replacement_2028_Yr5_19*Long_Term_Monetised_Risk_19)</f>
        <v>0</v>
      </c>
      <c r="U128" s="64" cm="1">
        <f t="array" ref="U128">SUMPRODUCT(Asset_Refurbishment_2028_Yr5_19*Long_Term_Monetised_Risk_19)</f>
        <v>0</v>
      </c>
      <c r="V128" s="65" cm="1">
        <f t="array" ref="V128">SUMPRODUCT(HVP_2028_Yr5_19*Long_Term_Monetised_Risk_19)</f>
        <v>0</v>
      </c>
    </row>
    <row r="129" spans="1:22" ht="14" thickBot="1">
      <c r="B129" s="103" t="s">
        <v>80</v>
      </c>
      <c r="C129" s="104" t="s">
        <v>131</v>
      </c>
      <c r="D129" s="105"/>
      <c r="E129" s="106">
        <f t="shared" ref="E129:O129" si="46">SUM(E124:E128)</f>
        <v>0</v>
      </c>
      <c r="F129" s="106">
        <f t="shared" si="46"/>
        <v>0</v>
      </c>
      <c r="G129" s="106">
        <f t="shared" si="46"/>
        <v>0</v>
      </c>
      <c r="H129" s="106">
        <f t="shared" si="46"/>
        <v>0</v>
      </c>
      <c r="I129" s="106">
        <f t="shared" si="46"/>
        <v>0</v>
      </c>
      <c r="J129" s="106">
        <f t="shared" si="46"/>
        <v>0</v>
      </c>
      <c r="K129" s="106">
        <f t="shared" si="46"/>
        <v>0</v>
      </c>
      <c r="L129" s="106">
        <f t="shared" si="46"/>
        <v>0</v>
      </c>
      <c r="M129" s="106">
        <f t="shared" si="46"/>
        <v>0</v>
      </c>
      <c r="N129" s="106">
        <f t="shared" si="46"/>
        <v>0</v>
      </c>
      <c r="O129" s="537">
        <f t="shared" si="46"/>
        <v>0</v>
      </c>
      <c r="Q129" s="107" t="str">
        <f ca="1">VLOOKUP($B129,'NARM4 - ED2 NARW Risk Movements'!$B$7:$G$67,4,FALSE)</f>
        <v/>
      </c>
      <c r="R129" s="109" t="str">
        <f ca="1">VLOOKUP($B129,'NARM4 - ED2 NARW Risk Movements'!$B$7:$G$67,5,FALSE)</f>
        <v/>
      </c>
      <c r="S129" s="121" t="str">
        <f ca="1">VLOOKUP($B129,'NARM4 - ED2 NARW Risk Movements'!$B$7:$G$67,6,FALSE)</f>
        <v/>
      </c>
      <c r="T129" s="117">
        <f>SUM(T124:T128)</f>
        <v>0</v>
      </c>
      <c r="U129" s="106">
        <f t="shared" ref="U129" si="47">SUM(U124:U128)</f>
        <v>0</v>
      </c>
      <c r="V129" s="108">
        <f>SUM(V124:V128)</f>
        <v>0</v>
      </c>
    </row>
    <row r="130" spans="1:22" ht="14" thickTop="1">
      <c r="A130" s="143">
        <v>20</v>
      </c>
      <c r="B130" s="99" t="s">
        <v>81</v>
      </c>
      <c r="C130" s="100">
        <v>2024</v>
      </c>
      <c r="D130" s="101" cm="1">
        <f t="array" ref="D130">SUMPRODUCT(Start_of_Year_Yr1_20*Long_Term_Monetised_Risk_20)</f>
        <v>0</v>
      </c>
      <c r="E130" s="101" cm="1">
        <f t="array" ref="E130">SUMPRODUCT(Data_Cleansing_Yr1_20*Long_Term_Monetised_Risk_20)</f>
        <v>0</v>
      </c>
      <c r="F130" s="101" cm="1">
        <f t="array" ref="F130">SUMPRODUCT(Deterioration_total_Yr1_20*Long_Term_Monetised_Risk_20)</f>
        <v>0</v>
      </c>
      <c r="G130" s="101" cm="1">
        <f t="array" ref="G130">SUMPRODUCT(Other_Risk_Movements_Yr1_20*Long_Term_Monetised_Risk_20)</f>
        <v>0</v>
      </c>
      <c r="H130" s="101" cm="1">
        <f t="array" ref="H130">SUMPRODUCT(Asset_Replacement_Yr1_20*Long_Term_Monetised_Risk_20)</f>
        <v>0</v>
      </c>
      <c r="I130" s="101" cm="1">
        <f t="array" ref="I130">SUMPRODUCT(Asset_Refurbishment_Yr1_20*Long_Term_Monetised_Risk_20)</f>
        <v>0</v>
      </c>
      <c r="J130" s="101" cm="1">
        <f t="array" ref="J130">SUMPRODUCT(Reinforcement_Yr1_20*Long_Term_Monetised_Risk_20)</f>
        <v>0</v>
      </c>
      <c r="K130" s="101" cm="1">
        <f t="array" ref="K130">SUMPRODUCT(Faults_Yr1_20*Long_Term_Monetised_Risk_20)</f>
        <v>0</v>
      </c>
      <c r="L130" s="101" cm="1">
        <f t="array" ref="L130">SUMPRODUCT(HVP_Asset_Replacement_Refurbishment_Yr1_20*Long_Term_Monetised_Risk_20)</f>
        <v>0</v>
      </c>
      <c r="M130" s="101" cm="1">
        <f t="array" ref="M130">SUMPRODUCT(HVP_Other_Yr1_20*Long_Term_Monetised_Risk_20)</f>
        <v>0</v>
      </c>
      <c r="N130" s="101" cm="1">
        <f t="array" ref="N130">SUMPRODUCT(All_Other_Yr1_20*Long_Term_Monetised_Risk_20)</f>
        <v>0</v>
      </c>
      <c r="O130" s="102" cm="1">
        <f t="array" ref="O130">SUMPRODUCT(End_Of_Year_Yr1_20*Long_Term_Monetised_Risk_20)</f>
        <v>0</v>
      </c>
      <c r="Q130" s="112"/>
      <c r="R130" s="113"/>
      <c r="S130" s="120"/>
      <c r="T130" s="115" cm="1">
        <f t="array" ref="T130">SUMPRODUCT(Asset_Replacement_2028_Yr1_20*Long_Term_Monetised_Risk_20)</f>
        <v>0</v>
      </c>
      <c r="U130" s="101" cm="1">
        <f t="array" ref="U130">SUMPRODUCT(Asset_Refurbishment_2028_Yr1_20*Long_Term_Monetised_Risk_20)</f>
        <v>0</v>
      </c>
      <c r="V130" s="102" cm="1">
        <f t="array" ref="V130">SUMPRODUCT(HVP_2028_Yr1_20*Long_Term_Monetised_Risk_20)</f>
        <v>0</v>
      </c>
    </row>
    <row r="131" spans="1:22">
      <c r="B131" s="93" t="s">
        <v>81</v>
      </c>
      <c r="C131" s="91">
        <v>2025</v>
      </c>
      <c r="D131" s="64" cm="1">
        <f t="array" ref="D131">SUMPRODUCT(Start_of_Year_Yr2_20*Long_Term_Monetised_Risk_20)</f>
        <v>0</v>
      </c>
      <c r="E131" s="64" cm="1">
        <f t="array" ref="E131">SUMPRODUCT(Data_Cleansing_Yr2_20*Long_Term_Monetised_Risk_20)</f>
        <v>0</v>
      </c>
      <c r="F131" s="64" cm="1">
        <f t="array" ref="F131">SUMPRODUCT(Deterioration_total_Yr2_20*Long_Term_Monetised_Risk_20)</f>
        <v>0</v>
      </c>
      <c r="G131" s="64" cm="1">
        <f t="array" ref="G131">SUMPRODUCT(Other_Risk_Movements_Yr2_20*Long_Term_Monetised_Risk_20)</f>
        <v>0</v>
      </c>
      <c r="H131" s="64" cm="1">
        <f t="array" ref="H131">SUMPRODUCT(Asset_Replacement_Yr2_20*Long_Term_Monetised_Risk_20)</f>
        <v>0</v>
      </c>
      <c r="I131" s="64" cm="1">
        <f t="array" ref="I131">SUMPRODUCT(Asset_Refurbishment_Yr2_20*Long_Term_Monetised_Risk_20)</f>
        <v>0</v>
      </c>
      <c r="J131" s="64" cm="1">
        <f t="array" ref="J131">SUMPRODUCT(Reinforcement_Yr2_20*Long_Term_Monetised_Risk_20)</f>
        <v>0</v>
      </c>
      <c r="K131" s="64" cm="1">
        <f t="array" ref="K131">SUMPRODUCT(Faults_Yr2_20*Long_Term_Monetised_Risk_20)</f>
        <v>0</v>
      </c>
      <c r="L131" s="64" cm="1">
        <f t="array" ref="L131">SUMPRODUCT(HVP_Asset_Replacement_Refurbishment_Yr2_20*Long_Term_Monetised_Risk_20)</f>
        <v>0</v>
      </c>
      <c r="M131" s="64" cm="1">
        <f t="array" ref="M131">SUMPRODUCT(HVP_Other_Yr2_20*Long_Term_Monetised_Risk_20)</f>
        <v>0</v>
      </c>
      <c r="N131" s="64" cm="1">
        <f t="array" ref="N131">SUMPRODUCT(All_Other_Yr2_20*Long_Term_Monetised_Risk_20)</f>
        <v>0</v>
      </c>
      <c r="O131" s="65" cm="1">
        <f t="array" ref="O131">SUMPRODUCT(End_Of_Year_Yr2_20*Long_Term_Monetised_Risk_20)</f>
        <v>0</v>
      </c>
      <c r="Q131" s="110"/>
      <c r="R131" s="111"/>
      <c r="S131" s="119"/>
      <c r="T131" s="114" cm="1">
        <f t="array" ref="T131">SUMPRODUCT(Asset_Replacement_2028_Yr2_20*Long_Term_Monetised_Risk_20)</f>
        <v>0</v>
      </c>
      <c r="U131" s="64" cm="1">
        <f t="array" ref="U131">SUMPRODUCT(Asset_Refurbishment_2028_Yr2_20*Long_Term_Monetised_Risk_20)</f>
        <v>0</v>
      </c>
      <c r="V131" s="65" cm="1">
        <f t="array" ref="V131">SUMPRODUCT(HVP_2028_Yr2_20*Long_Term_Monetised_Risk_20)</f>
        <v>0</v>
      </c>
    </row>
    <row r="132" spans="1:22">
      <c r="B132" s="93" t="s">
        <v>81</v>
      </c>
      <c r="C132" s="91">
        <v>2026</v>
      </c>
      <c r="D132" s="64" cm="1">
        <f t="array" ref="D132">SUMPRODUCT(Start_of_Year_Yr3_20*Long_Term_Monetised_Risk_20)</f>
        <v>0</v>
      </c>
      <c r="E132" s="64" cm="1">
        <f t="array" ref="E132">SUMPRODUCT(Data_Cleansing_Yr3_20*Long_Term_Monetised_Risk_20)</f>
        <v>0</v>
      </c>
      <c r="F132" s="64" cm="1">
        <f t="array" ref="F132">SUMPRODUCT(Deterioration_total_Yr3_20*Long_Term_Monetised_Risk_20)</f>
        <v>0</v>
      </c>
      <c r="G132" s="64" cm="1">
        <f t="array" ref="G132">SUMPRODUCT(Other_Risk_Movements_Yr3_20*Long_Term_Monetised_Risk_20)</f>
        <v>0</v>
      </c>
      <c r="H132" s="64" cm="1">
        <f t="array" ref="H132">SUMPRODUCT(Asset_Replacement_Yr3_20*Long_Term_Monetised_Risk_20)</f>
        <v>0</v>
      </c>
      <c r="I132" s="64" cm="1">
        <f t="array" ref="I132">SUMPRODUCT(Asset_Refurbishment_Yr3_20*Long_Term_Monetised_Risk_20)</f>
        <v>0</v>
      </c>
      <c r="J132" s="64" cm="1">
        <f t="array" ref="J132">SUMPRODUCT(Reinforcement_Yr3_20*Long_Term_Monetised_Risk_20)</f>
        <v>0</v>
      </c>
      <c r="K132" s="64" cm="1">
        <f t="array" ref="K132">SUMPRODUCT(Faults_Yr3_20*Long_Term_Monetised_Risk_20)</f>
        <v>0</v>
      </c>
      <c r="L132" s="64" cm="1">
        <f t="array" ref="L132">SUMPRODUCT(HVP_Asset_Replacement_Refurbishment_Yr3_20*Long_Term_Monetised_Risk_20)</f>
        <v>0</v>
      </c>
      <c r="M132" s="64" cm="1">
        <f t="array" ref="M132">SUMPRODUCT(HVP_Other_Yr3_20*Long_Term_Monetised_Risk_20)</f>
        <v>0</v>
      </c>
      <c r="N132" s="64" cm="1">
        <f t="array" ref="N132">SUMPRODUCT(All_Other_Yr3_20*Long_Term_Monetised_Risk_20)</f>
        <v>0</v>
      </c>
      <c r="O132" s="65" cm="1">
        <f t="array" ref="O132">SUMPRODUCT(End_Of_Year_Yr3_20*Long_Term_Monetised_Risk_20)</f>
        <v>0</v>
      </c>
      <c r="Q132" s="110"/>
      <c r="R132" s="111"/>
      <c r="S132" s="119"/>
      <c r="T132" s="114" cm="1">
        <f t="array" ref="T132">SUMPRODUCT(Asset_Replacement_2028_Yr3_20*Long_Term_Monetised_Risk_20)</f>
        <v>0</v>
      </c>
      <c r="U132" s="64" cm="1">
        <f t="array" ref="U132">SUMPRODUCT(Asset_Refurbishment_2028_Yr3_20*Long_Term_Monetised_Risk_20)</f>
        <v>0</v>
      </c>
      <c r="V132" s="65" cm="1">
        <f t="array" ref="V132">SUMPRODUCT(HVP_2028_Yr3_20*Long_Term_Monetised_Risk_20)</f>
        <v>0</v>
      </c>
    </row>
    <row r="133" spans="1:22">
      <c r="B133" s="93" t="s">
        <v>81</v>
      </c>
      <c r="C133" s="91">
        <v>2027</v>
      </c>
      <c r="D133" s="64" cm="1">
        <f t="array" ref="D133">SUMPRODUCT(Start_of_Year_Yr4_20*Long_Term_Monetised_Risk_20)</f>
        <v>0</v>
      </c>
      <c r="E133" s="64" cm="1">
        <f t="array" ref="E133">SUMPRODUCT(Data_Cleansing_Yr4_20*Long_Term_Monetised_Risk_20)</f>
        <v>0</v>
      </c>
      <c r="F133" s="64" cm="1">
        <f t="array" ref="F133">SUMPRODUCT(Deterioration_total_Yr4_20*Long_Term_Monetised_Risk_20)</f>
        <v>0</v>
      </c>
      <c r="G133" s="64" cm="1">
        <f t="array" ref="G133">SUMPRODUCT(Other_Risk_Movements_Yr4_20*Long_Term_Monetised_Risk_20)</f>
        <v>0</v>
      </c>
      <c r="H133" s="64" cm="1">
        <f t="array" ref="H133">SUMPRODUCT(Asset_Replacement_Yr4_20*Long_Term_Monetised_Risk_20)</f>
        <v>0</v>
      </c>
      <c r="I133" s="64" cm="1">
        <f t="array" ref="I133">SUMPRODUCT(Asset_Refurbishment_Yr4_20*Long_Term_Monetised_Risk_20)</f>
        <v>0</v>
      </c>
      <c r="J133" s="64" cm="1">
        <f t="array" ref="J133">SUMPRODUCT(Reinforcement_Yr4_20*Long_Term_Monetised_Risk_20)</f>
        <v>0</v>
      </c>
      <c r="K133" s="64" cm="1">
        <f t="array" ref="K133">SUMPRODUCT(Faults_Yr4_20*Long_Term_Monetised_Risk_20)</f>
        <v>0</v>
      </c>
      <c r="L133" s="64" cm="1">
        <f t="array" ref="L133">SUMPRODUCT(HVP_Asset_Replacement_Refurbishment_Yr4_20*Long_Term_Monetised_Risk_20)</f>
        <v>0</v>
      </c>
      <c r="M133" s="64" cm="1">
        <f t="array" ref="M133">SUMPRODUCT(HVP_Other_Yr4_20*Long_Term_Monetised_Risk_20)</f>
        <v>0</v>
      </c>
      <c r="N133" s="64" cm="1">
        <f t="array" ref="N133">SUMPRODUCT(All_Other_Yr4_20*Long_Term_Monetised_Risk_20)</f>
        <v>0</v>
      </c>
      <c r="O133" s="65" cm="1">
        <f t="array" ref="O133">SUMPRODUCT(End_Of_Year_Yr4_20*Long_Term_Monetised_Risk_20)</f>
        <v>0</v>
      </c>
      <c r="Q133" s="110"/>
      <c r="R133" s="111"/>
      <c r="S133" s="119"/>
      <c r="T133" s="114" cm="1">
        <f t="array" ref="T133">SUMPRODUCT(Asset_Replacement_2028_Yr4_20*Long_Term_Monetised_Risk_20)</f>
        <v>0</v>
      </c>
      <c r="U133" s="64" cm="1">
        <f t="array" ref="U133">SUMPRODUCT(Asset_Refurbishment_2028_Yr4_20*Long_Term_Monetised_Risk_20)</f>
        <v>0</v>
      </c>
      <c r="V133" s="65" cm="1">
        <f t="array" ref="V133">SUMPRODUCT(HVP_2028_Yr4_20*Long_Term_Monetised_Risk_20)</f>
        <v>0</v>
      </c>
    </row>
    <row r="134" spans="1:22">
      <c r="B134" s="93" t="s">
        <v>81</v>
      </c>
      <c r="C134" s="91">
        <v>2028</v>
      </c>
      <c r="D134" s="64" cm="1">
        <f t="array" ref="D134">SUMPRODUCT(Start_of_Year_Yr5_20*Long_Term_Monetised_Risk_20)</f>
        <v>0</v>
      </c>
      <c r="E134" s="64" cm="1">
        <f t="array" ref="E134">SUMPRODUCT(Data_Cleansing_Yr5_20*Long_Term_Monetised_Risk_20)</f>
        <v>0</v>
      </c>
      <c r="F134" s="64" cm="1">
        <f t="array" ref="F134">SUMPRODUCT(Deterioration_total_Yr5_20*Long_Term_Monetised_Risk_20)</f>
        <v>0</v>
      </c>
      <c r="G134" s="64" cm="1">
        <f t="array" ref="G134">SUMPRODUCT(Other_Risk_Movements_Yr5_20*Long_Term_Monetised_Risk_20)</f>
        <v>0</v>
      </c>
      <c r="H134" s="64" cm="1">
        <f t="array" ref="H134">SUMPRODUCT(Asset_Replacement_Yr5_20*Long_Term_Monetised_Risk_20)</f>
        <v>0</v>
      </c>
      <c r="I134" s="64" cm="1">
        <f t="array" ref="I134">SUMPRODUCT(Asset_Refurbishment_Yr5_20*Long_Term_Monetised_Risk_20)</f>
        <v>0</v>
      </c>
      <c r="J134" s="64" cm="1">
        <f t="array" ref="J134">SUMPRODUCT(Reinforcement_Yr5_20*Long_Term_Monetised_Risk_20)</f>
        <v>0</v>
      </c>
      <c r="K134" s="64" cm="1">
        <f t="array" ref="K134">SUMPRODUCT(Faults_Yr5_20*Long_Term_Monetised_Risk_20)</f>
        <v>0</v>
      </c>
      <c r="L134" s="64" cm="1">
        <f t="array" ref="L134">SUMPRODUCT(HVP_Asset_Replacement_Refurbishment_Yr5_20*Long_Term_Monetised_Risk_20)</f>
        <v>0</v>
      </c>
      <c r="M134" s="64" cm="1">
        <f t="array" ref="M134">SUMPRODUCT(HVP_Other_Yr5_20*Long_Term_Monetised_Risk_20)</f>
        <v>0</v>
      </c>
      <c r="N134" s="64" cm="1">
        <f t="array" ref="N134">SUMPRODUCT(All_Other_Yr5_20*Long_Term_Monetised_Risk_20)</f>
        <v>0</v>
      </c>
      <c r="O134" s="65" cm="1">
        <f t="array" ref="O134">SUMPRODUCT(End_Of_Year_Yr5_20*Long_Term_Monetised_Risk_20)</f>
        <v>0</v>
      </c>
      <c r="Q134" s="110"/>
      <c r="R134" s="111"/>
      <c r="S134" s="119"/>
      <c r="T134" s="114" cm="1">
        <f t="array" ref="T134">SUMPRODUCT(Asset_Replacement_2028_Yr5_20*Long_Term_Monetised_Risk_20)</f>
        <v>0</v>
      </c>
      <c r="U134" s="64" cm="1">
        <f t="array" ref="U134">SUMPRODUCT(Asset_Refurbishment_2028_Yr5_20*Long_Term_Monetised_Risk_20)</f>
        <v>0</v>
      </c>
      <c r="V134" s="65" cm="1">
        <f t="array" ref="V134">SUMPRODUCT(HVP_2028_Yr5_20*Long_Term_Monetised_Risk_20)</f>
        <v>0</v>
      </c>
    </row>
    <row r="135" spans="1:22" ht="14" thickBot="1">
      <c r="B135" s="103" t="s">
        <v>81</v>
      </c>
      <c r="C135" s="104" t="s">
        <v>131</v>
      </c>
      <c r="D135" s="105"/>
      <c r="E135" s="106">
        <f t="shared" ref="E135:O135" si="48">SUM(E130:E134)</f>
        <v>0</v>
      </c>
      <c r="F135" s="106">
        <f t="shared" si="48"/>
        <v>0</v>
      </c>
      <c r="G135" s="106">
        <f t="shared" si="48"/>
        <v>0</v>
      </c>
      <c r="H135" s="106">
        <f t="shared" si="48"/>
        <v>0</v>
      </c>
      <c r="I135" s="106">
        <f t="shared" si="48"/>
        <v>0</v>
      </c>
      <c r="J135" s="106">
        <f t="shared" si="48"/>
        <v>0</v>
      </c>
      <c r="K135" s="106">
        <f t="shared" si="48"/>
        <v>0</v>
      </c>
      <c r="L135" s="106">
        <f t="shared" si="48"/>
        <v>0</v>
      </c>
      <c r="M135" s="106">
        <f t="shared" si="48"/>
        <v>0</v>
      </c>
      <c r="N135" s="106">
        <f t="shared" si="48"/>
        <v>0</v>
      </c>
      <c r="O135" s="537">
        <f t="shared" si="48"/>
        <v>0</v>
      </c>
      <c r="Q135" s="107" t="str">
        <f ca="1">VLOOKUP($B135,'NARM4 - ED2 NARW Risk Movements'!$B$7:$G$67,4,FALSE)</f>
        <v/>
      </c>
      <c r="R135" s="109" t="str">
        <f ca="1">VLOOKUP($B135,'NARM4 - ED2 NARW Risk Movements'!$B$7:$G$67,5,FALSE)</f>
        <v/>
      </c>
      <c r="S135" s="121" t="str">
        <f ca="1">VLOOKUP($B135,'NARM4 - ED2 NARW Risk Movements'!$B$7:$G$67,6,FALSE)</f>
        <v/>
      </c>
      <c r="T135" s="117">
        <f>SUM(T130:T134)</f>
        <v>0</v>
      </c>
      <c r="U135" s="106">
        <f t="shared" ref="U135" si="49">SUM(U130:U134)</f>
        <v>0</v>
      </c>
      <c r="V135" s="108">
        <f>SUM(V130:V134)</f>
        <v>0</v>
      </c>
    </row>
    <row r="136" spans="1:22" ht="14" thickTop="1">
      <c r="A136" s="143">
        <v>21</v>
      </c>
      <c r="B136" s="99" t="s">
        <v>82</v>
      </c>
      <c r="C136" s="100">
        <v>2024</v>
      </c>
      <c r="D136" s="101" cm="1">
        <f t="array" ref="D136">SUMPRODUCT(Start_of_Year_Yr1_21*Long_Term_Monetised_Risk_21)</f>
        <v>0</v>
      </c>
      <c r="E136" s="101" cm="1">
        <f t="array" ref="E136">SUMPRODUCT(Data_Cleansing_Yr1_21*Long_Term_Monetised_Risk_21)</f>
        <v>0</v>
      </c>
      <c r="F136" s="101" cm="1">
        <f t="array" ref="F136">SUMPRODUCT(Deterioration_total_Yr1_21*Long_Term_Monetised_Risk_21)</f>
        <v>0</v>
      </c>
      <c r="G136" s="101" cm="1">
        <f t="array" ref="G136">SUMPRODUCT(Other_Risk_Movements_Yr1_21*Long_Term_Monetised_Risk_21)</f>
        <v>0</v>
      </c>
      <c r="H136" s="101" cm="1">
        <f t="array" ref="H136">SUMPRODUCT(Asset_Replacement_Yr1_21*Long_Term_Monetised_Risk_21)</f>
        <v>0</v>
      </c>
      <c r="I136" s="101" cm="1">
        <f t="array" ref="I136">SUMPRODUCT(Asset_Refurbishment_Yr1_21*Long_Term_Monetised_Risk_21)</f>
        <v>0</v>
      </c>
      <c r="J136" s="101" cm="1">
        <f t="array" ref="J136">SUMPRODUCT(Reinforcement_Yr1_21*Long_Term_Monetised_Risk_21)</f>
        <v>0</v>
      </c>
      <c r="K136" s="101" cm="1">
        <f t="array" ref="K136">SUMPRODUCT(Faults_Yr1_21*Long_Term_Monetised_Risk_21)</f>
        <v>0</v>
      </c>
      <c r="L136" s="101" cm="1">
        <f t="array" ref="L136">SUMPRODUCT(HVP_Asset_Replacement_Refurbishment_Yr1_21*Long_Term_Monetised_Risk_21)</f>
        <v>0</v>
      </c>
      <c r="M136" s="101" cm="1">
        <f t="array" ref="M136">SUMPRODUCT(HVP_Other_Yr1_21*Long_Term_Monetised_Risk_21)</f>
        <v>0</v>
      </c>
      <c r="N136" s="101" cm="1">
        <f t="array" ref="N136">SUMPRODUCT(All_Other_Yr1_21*Long_Term_Monetised_Risk_21)</f>
        <v>0</v>
      </c>
      <c r="O136" s="102" cm="1">
        <f t="array" ref="O136">SUMPRODUCT(End_Of_Year_Yr1_21*Long_Term_Monetised_Risk_21)</f>
        <v>0</v>
      </c>
      <c r="Q136" s="112"/>
      <c r="R136" s="113"/>
      <c r="S136" s="120"/>
      <c r="T136" s="115" cm="1">
        <f t="array" ref="T136">SUMPRODUCT(Asset_Replacement_2028_Yr1_21*Long_Term_Monetised_Risk_21)</f>
        <v>0</v>
      </c>
      <c r="U136" s="101" cm="1">
        <f t="array" ref="U136">SUMPRODUCT(Asset_Refurbishment_2028_Yr1_21*Long_Term_Monetised_Risk_21)</f>
        <v>0</v>
      </c>
      <c r="V136" s="102" cm="1">
        <f t="array" ref="V136">SUMPRODUCT(HVP_2028_Yr1_21*Long_Term_Monetised_Risk_21)</f>
        <v>0</v>
      </c>
    </row>
    <row r="137" spans="1:22">
      <c r="B137" s="93" t="s">
        <v>82</v>
      </c>
      <c r="C137" s="91">
        <v>2025</v>
      </c>
      <c r="D137" s="64" cm="1">
        <f t="array" ref="D137">SUMPRODUCT(Start_of_Year_Yr2_21*Long_Term_Monetised_Risk_21)</f>
        <v>0</v>
      </c>
      <c r="E137" s="64" cm="1">
        <f t="array" ref="E137">SUMPRODUCT(Data_Cleansing_Yr2_21*Long_Term_Monetised_Risk_21)</f>
        <v>0</v>
      </c>
      <c r="F137" s="64" cm="1">
        <f t="array" ref="F137">SUMPRODUCT(Deterioration_total_Yr2_21*Long_Term_Monetised_Risk_21)</f>
        <v>0</v>
      </c>
      <c r="G137" s="64" cm="1">
        <f t="array" ref="G137">SUMPRODUCT(Other_Risk_Movements_Yr2_21*Long_Term_Monetised_Risk_21)</f>
        <v>0</v>
      </c>
      <c r="H137" s="64" cm="1">
        <f t="array" ref="H137">SUMPRODUCT(Asset_Replacement_Yr2_21*Long_Term_Monetised_Risk_21)</f>
        <v>0</v>
      </c>
      <c r="I137" s="64" cm="1">
        <f t="array" ref="I137">SUMPRODUCT(Asset_Refurbishment_Yr2_21*Long_Term_Monetised_Risk_21)</f>
        <v>0</v>
      </c>
      <c r="J137" s="64" cm="1">
        <f t="array" ref="J137">SUMPRODUCT(Reinforcement_Yr2_21*Long_Term_Monetised_Risk_21)</f>
        <v>0</v>
      </c>
      <c r="K137" s="64" cm="1">
        <f t="array" ref="K137">SUMPRODUCT(Faults_Yr2_21*Long_Term_Monetised_Risk_21)</f>
        <v>0</v>
      </c>
      <c r="L137" s="64" cm="1">
        <f t="array" ref="L137">SUMPRODUCT(HVP_Asset_Replacement_Refurbishment_Yr2_21*Long_Term_Monetised_Risk_21)</f>
        <v>0</v>
      </c>
      <c r="M137" s="64" cm="1">
        <f t="array" ref="M137">SUMPRODUCT(HVP_Other_Yr2_21*Long_Term_Monetised_Risk_21)</f>
        <v>0</v>
      </c>
      <c r="N137" s="64" cm="1">
        <f t="array" ref="N137">SUMPRODUCT(All_Other_Yr2_21*Long_Term_Monetised_Risk_21)</f>
        <v>0</v>
      </c>
      <c r="O137" s="65" cm="1">
        <f t="array" ref="O137">SUMPRODUCT(End_Of_Year_Yr2_21*Long_Term_Monetised_Risk_21)</f>
        <v>0</v>
      </c>
      <c r="Q137" s="110"/>
      <c r="R137" s="111"/>
      <c r="S137" s="119"/>
      <c r="T137" s="114" cm="1">
        <f t="array" ref="T137">SUMPRODUCT(Asset_Replacement_2028_Yr2_21*Long_Term_Monetised_Risk_21)</f>
        <v>0</v>
      </c>
      <c r="U137" s="64" cm="1">
        <f t="array" ref="U137">SUMPRODUCT(Asset_Refurbishment_2028_Yr2_21*Long_Term_Monetised_Risk_21)</f>
        <v>0</v>
      </c>
      <c r="V137" s="65" cm="1">
        <f t="array" ref="V137">SUMPRODUCT(HVP_2028_Yr2_21*Long_Term_Monetised_Risk_21)</f>
        <v>0</v>
      </c>
    </row>
    <row r="138" spans="1:22">
      <c r="B138" s="93" t="s">
        <v>82</v>
      </c>
      <c r="C138" s="91">
        <v>2026</v>
      </c>
      <c r="D138" s="64" cm="1">
        <f t="array" ref="D138">SUMPRODUCT(Start_of_Year_Yr3_21*Long_Term_Monetised_Risk_21)</f>
        <v>0</v>
      </c>
      <c r="E138" s="64" cm="1">
        <f t="array" ref="E138">SUMPRODUCT(Data_Cleansing_Yr3_21*Long_Term_Monetised_Risk_21)</f>
        <v>0</v>
      </c>
      <c r="F138" s="64" cm="1">
        <f t="array" ref="F138">SUMPRODUCT(Deterioration_total_Yr3_21*Long_Term_Monetised_Risk_21)</f>
        <v>0</v>
      </c>
      <c r="G138" s="64" cm="1">
        <f t="array" ref="G138">SUMPRODUCT(Other_Risk_Movements_Yr3_21*Long_Term_Monetised_Risk_21)</f>
        <v>0</v>
      </c>
      <c r="H138" s="64" cm="1">
        <f t="array" ref="H138">SUMPRODUCT(Asset_Replacement_Yr3_21*Long_Term_Monetised_Risk_21)</f>
        <v>0</v>
      </c>
      <c r="I138" s="64" cm="1">
        <f t="array" ref="I138">SUMPRODUCT(Asset_Refurbishment_Yr3_21*Long_Term_Monetised_Risk_21)</f>
        <v>0</v>
      </c>
      <c r="J138" s="64" cm="1">
        <f t="array" ref="J138">SUMPRODUCT(Reinforcement_Yr3_21*Long_Term_Monetised_Risk_21)</f>
        <v>0</v>
      </c>
      <c r="K138" s="64" cm="1">
        <f t="array" ref="K138">SUMPRODUCT(Faults_Yr3_21*Long_Term_Monetised_Risk_21)</f>
        <v>0</v>
      </c>
      <c r="L138" s="64" cm="1">
        <f t="array" ref="L138">SUMPRODUCT(HVP_Asset_Replacement_Refurbishment_Yr3_21*Long_Term_Monetised_Risk_21)</f>
        <v>0</v>
      </c>
      <c r="M138" s="64" cm="1">
        <f t="array" ref="M138">SUMPRODUCT(HVP_Other_Yr3_21*Long_Term_Monetised_Risk_21)</f>
        <v>0</v>
      </c>
      <c r="N138" s="64" cm="1">
        <f t="array" ref="N138">SUMPRODUCT(All_Other_Yr3_21*Long_Term_Monetised_Risk_21)</f>
        <v>0</v>
      </c>
      <c r="O138" s="65" cm="1">
        <f t="array" ref="O138">SUMPRODUCT(End_Of_Year_Yr3_21*Long_Term_Monetised_Risk_21)</f>
        <v>0</v>
      </c>
      <c r="Q138" s="110"/>
      <c r="R138" s="111"/>
      <c r="S138" s="119"/>
      <c r="T138" s="114" cm="1">
        <f t="array" ref="T138">SUMPRODUCT(Asset_Replacement_2028_Yr3_21*Long_Term_Monetised_Risk_21)</f>
        <v>0</v>
      </c>
      <c r="U138" s="64" cm="1">
        <f t="array" ref="U138">SUMPRODUCT(Asset_Refurbishment_2028_Yr3_21*Long_Term_Monetised_Risk_21)</f>
        <v>0</v>
      </c>
      <c r="V138" s="65" cm="1">
        <f t="array" ref="V138">SUMPRODUCT(HVP_2028_Yr3_21*Long_Term_Monetised_Risk_21)</f>
        <v>0</v>
      </c>
    </row>
    <row r="139" spans="1:22">
      <c r="B139" s="93" t="s">
        <v>82</v>
      </c>
      <c r="C139" s="91">
        <v>2027</v>
      </c>
      <c r="D139" s="64" cm="1">
        <f t="array" ref="D139">SUMPRODUCT(Start_of_Year_Yr4_21*Long_Term_Monetised_Risk_21)</f>
        <v>0</v>
      </c>
      <c r="E139" s="64" cm="1">
        <f t="array" ref="E139">SUMPRODUCT(Data_Cleansing_Yr4_21*Long_Term_Monetised_Risk_21)</f>
        <v>0</v>
      </c>
      <c r="F139" s="64" cm="1">
        <f t="array" ref="F139">SUMPRODUCT(Deterioration_total_Yr4_21*Long_Term_Monetised_Risk_21)</f>
        <v>0</v>
      </c>
      <c r="G139" s="64" cm="1">
        <f t="array" ref="G139">SUMPRODUCT(Other_Risk_Movements_Yr4_21*Long_Term_Monetised_Risk_21)</f>
        <v>0</v>
      </c>
      <c r="H139" s="64" cm="1">
        <f t="array" ref="H139">SUMPRODUCT(Asset_Replacement_Yr4_21*Long_Term_Monetised_Risk_21)</f>
        <v>0</v>
      </c>
      <c r="I139" s="64" cm="1">
        <f t="array" ref="I139">SUMPRODUCT(Asset_Refurbishment_Yr4_21*Long_Term_Monetised_Risk_21)</f>
        <v>0</v>
      </c>
      <c r="J139" s="64" cm="1">
        <f t="array" ref="J139">SUMPRODUCT(Reinforcement_Yr4_21*Long_Term_Monetised_Risk_21)</f>
        <v>0</v>
      </c>
      <c r="K139" s="64" cm="1">
        <f t="array" ref="K139">SUMPRODUCT(Faults_Yr4_21*Long_Term_Monetised_Risk_21)</f>
        <v>0</v>
      </c>
      <c r="L139" s="64" cm="1">
        <f t="array" ref="L139">SUMPRODUCT(HVP_Asset_Replacement_Refurbishment_Yr4_21*Long_Term_Monetised_Risk_21)</f>
        <v>0</v>
      </c>
      <c r="M139" s="64" cm="1">
        <f t="array" ref="M139">SUMPRODUCT(HVP_Other_Yr4_21*Long_Term_Monetised_Risk_21)</f>
        <v>0</v>
      </c>
      <c r="N139" s="64" cm="1">
        <f t="array" ref="N139">SUMPRODUCT(All_Other_Yr4_21*Long_Term_Monetised_Risk_21)</f>
        <v>0</v>
      </c>
      <c r="O139" s="65" cm="1">
        <f t="array" ref="O139">SUMPRODUCT(End_Of_Year_Yr4_21*Long_Term_Monetised_Risk_21)</f>
        <v>0</v>
      </c>
      <c r="Q139" s="110"/>
      <c r="R139" s="111"/>
      <c r="S139" s="119"/>
      <c r="T139" s="114" cm="1">
        <f t="array" ref="T139">SUMPRODUCT(Asset_Replacement_2028_Yr4_21*Long_Term_Monetised_Risk_21)</f>
        <v>0</v>
      </c>
      <c r="U139" s="64" cm="1">
        <f t="array" ref="U139">SUMPRODUCT(Asset_Refurbishment_2028_Yr4_21*Long_Term_Monetised_Risk_21)</f>
        <v>0</v>
      </c>
      <c r="V139" s="65" cm="1">
        <f t="array" ref="V139">SUMPRODUCT(HVP_2028_Yr4_21*Long_Term_Monetised_Risk_21)</f>
        <v>0</v>
      </c>
    </row>
    <row r="140" spans="1:22">
      <c r="B140" s="93" t="s">
        <v>82</v>
      </c>
      <c r="C140" s="91">
        <v>2028</v>
      </c>
      <c r="D140" s="64" cm="1">
        <f t="array" ref="D140">SUMPRODUCT(Start_of_Year_Yr5_21*Long_Term_Monetised_Risk_21)</f>
        <v>0</v>
      </c>
      <c r="E140" s="64" cm="1">
        <f t="array" ref="E140">SUMPRODUCT(Data_Cleansing_Yr5_21*Long_Term_Monetised_Risk_21)</f>
        <v>0</v>
      </c>
      <c r="F140" s="64" cm="1">
        <f t="array" ref="F140">SUMPRODUCT(Deterioration_total_Yr5_21*Long_Term_Monetised_Risk_21)</f>
        <v>0</v>
      </c>
      <c r="G140" s="64" cm="1">
        <f t="array" ref="G140">SUMPRODUCT(Other_Risk_Movements_Yr5_21*Long_Term_Monetised_Risk_21)</f>
        <v>0</v>
      </c>
      <c r="H140" s="64" cm="1">
        <f t="array" ref="H140">SUMPRODUCT(Asset_Replacement_Yr5_21*Long_Term_Monetised_Risk_21)</f>
        <v>0</v>
      </c>
      <c r="I140" s="64" cm="1">
        <f t="array" ref="I140">SUMPRODUCT(Asset_Refurbishment_Yr5_21*Long_Term_Monetised_Risk_21)</f>
        <v>0</v>
      </c>
      <c r="J140" s="64" cm="1">
        <f t="array" ref="J140">SUMPRODUCT(Reinforcement_Yr5_21*Long_Term_Monetised_Risk_21)</f>
        <v>0</v>
      </c>
      <c r="K140" s="64" cm="1">
        <f t="array" ref="K140">SUMPRODUCT(Faults_Yr5_21*Long_Term_Monetised_Risk_21)</f>
        <v>0</v>
      </c>
      <c r="L140" s="64" cm="1">
        <f t="array" ref="L140">SUMPRODUCT(HVP_Asset_Replacement_Refurbishment_Yr5_21*Long_Term_Monetised_Risk_21)</f>
        <v>0</v>
      </c>
      <c r="M140" s="64" cm="1">
        <f t="array" ref="M140">SUMPRODUCT(HVP_Other_Yr5_21*Long_Term_Monetised_Risk_21)</f>
        <v>0</v>
      </c>
      <c r="N140" s="64" cm="1">
        <f t="array" ref="N140">SUMPRODUCT(All_Other_Yr5_21*Long_Term_Monetised_Risk_21)</f>
        <v>0</v>
      </c>
      <c r="O140" s="65" cm="1">
        <f t="array" ref="O140">SUMPRODUCT(End_Of_Year_Yr5_21*Long_Term_Monetised_Risk_21)</f>
        <v>0</v>
      </c>
      <c r="Q140" s="110"/>
      <c r="R140" s="111"/>
      <c r="S140" s="119"/>
      <c r="T140" s="114" cm="1">
        <f t="array" ref="T140">SUMPRODUCT(Asset_Replacement_2028_Yr5_21*Long_Term_Monetised_Risk_21)</f>
        <v>0</v>
      </c>
      <c r="U140" s="64" cm="1">
        <f t="array" ref="U140">SUMPRODUCT(Asset_Refurbishment_2028_Yr5_21*Long_Term_Monetised_Risk_21)</f>
        <v>0</v>
      </c>
      <c r="V140" s="65" cm="1">
        <f t="array" ref="V140">SUMPRODUCT(HVP_2028_Yr5_21*Long_Term_Monetised_Risk_21)</f>
        <v>0</v>
      </c>
    </row>
    <row r="141" spans="1:22" ht="14" thickBot="1">
      <c r="B141" s="103" t="s">
        <v>82</v>
      </c>
      <c r="C141" s="104" t="s">
        <v>131</v>
      </c>
      <c r="D141" s="105"/>
      <c r="E141" s="106">
        <f t="shared" ref="E141:O141" si="50">SUM(E136:E140)</f>
        <v>0</v>
      </c>
      <c r="F141" s="106">
        <f t="shared" si="50"/>
        <v>0</v>
      </c>
      <c r="G141" s="106">
        <f t="shared" si="50"/>
        <v>0</v>
      </c>
      <c r="H141" s="106">
        <f t="shared" si="50"/>
        <v>0</v>
      </c>
      <c r="I141" s="106">
        <f t="shared" si="50"/>
        <v>0</v>
      </c>
      <c r="J141" s="106">
        <f t="shared" si="50"/>
        <v>0</v>
      </c>
      <c r="K141" s="106">
        <f t="shared" si="50"/>
        <v>0</v>
      </c>
      <c r="L141" s="106">
        <f t="shared" si="50"/>
        <v>0</v>
      </c>
      <c r="M141" s="106">
        <f t="shared" si="50"/>
        <v>0</v>
      </c>
      <c r="N141" s="106">
        <f t="shared" si="50"/>
        <v>0</v>
      </c>
      <c r="O141" s="537">
        <f t="shared" si="50"/>
        <v>0</v>
      </c>
      <c r="Q141" s="107" t="str">
        <f ca="1">VLOOKUP($B141,'NARM4 - ED2 NARW Risk Movements'!$B$7:$G$67,4,FALSE)</f>
        <v/>
      </c>
      <c r="R141" s="109" t="str">
        <f ca="1">VLOOKUP($B141,'NARM4 - ED2 NARW Risk Movements'!$B$7:$G$67,5,FALSE)</f>
        <v/>
      </c>
      <c r="S141" s="121" t="str">
        <f ca="1">VLOOKUP($B141,'NARM4 - ED2 NARW Risk Movements'!$B$7:$G$67,6,FALSE)</f>
        <v/>
      </c>
      <c r="T141" s="117">
        <f>SUM(T136:T140)</f>
        <v>0</v>
      </c>
      <c r="U141" s="106">
        <f t="shared" ref="U141" si="51">SUM(U136:U140)</f>
        <v>0</v>
      </c>
      <c r="V141" s="108">
        <f>SUM(V136:V140)</f>
        <v>0</v>
      </c>
    </row>
    <row r="142" spans="1:22" ht="14" thickTop="1">
      <c r="A142" s="143">
        <v>22</v>
      </c>
      <c r="B142" s="99" t="s">
        <v>83</v>
      </c>
      <c r="C142" s="100">
        <v>2024</v>
      </c>
      <c r="D142" s="101" cm="1">
        <f t="array" ref="D142">SUMPRODUCT(Start_of_Year_Yr1_22*Long_Term_Monetised_Risk_22)</f>
        <v>0</v>
      </c>
      <c r="E142" s="101" cm="1">
        <f t="array" ref="E142">SUMPRODUCT(Data_Cleansing_Yr1_22*Long_Term_Monetised_Risk_22)</f>
        <v>0</v>
      </c>
      <c r="F142" s="101" cm="1">
        <f t="array" ref="F142">SUMPRODUCT(Deterioration_total_Yr1_22*Long_Term_Monetised_Risk_22)</f>
        <v>0</v>
      </c>
      <c r="G142" s="101" cm="1">
        <f t="array" ref="G142">SUMPRODUCT(Other_Risk_Movements_Yr1_22*Long_Term_Monetised_Risk_22)</f>
        <v>0</v>
      </c>
      <c r="H142" s="101" cm="1">
        <f t="array" ref="H142">SUMPRODUCT(Asset_Replacement_Yr1_22*Long_Term_Monetised_Risk_22)</f>
        <v>0</v>
      </c>
      <c r="I142" s="101" cm="1">
        <f t="array" ref="I142">SUMPRODUCT(Asset_Refurbishment_Yr1_22*Long_Term_Monetised_Risk_22)</f>
        <v>0</v>
      </c>
      <c r="J142" s="101" cm="1">
        <f t="array" ref="J142">SUMPRODUCT(Reinforcement_Yr1_22*Long_Term_Monetised_Risk_22)</f>
        <v>0</v>
      </c>
      <c r="K142" s="101" cm="1">
        <f t="array" ref="K142">SUMPRODUCT(Faults_Yr1_22*Long_Term_Monetised_Risk_22)</f>
        <v>0</v>
      </c>
      <c r="L142" s="101" cm="1">
        <f t="array" ref="L142">SUMPRODUCT(HVP_Asset_Replacement_Refurbishment_Yr1_22*Long_Term_Monetised_Risk_22)</f>
        <v>0</v>
      </c>
      <c r="M142" s="101" cm="1">
        <f t="array" ref="M142">SUMPRODUCT(HVP_Other_Yr1_22*Long_Term_Monetised_Risk_22)</f>
        <v>0</v>
      </c>
      <c r="N142" s="101" cm="1">
        <f t="array" ref="N142">SUMPRODUCT(All_Other_Yr1_22*Long_Term_Monetised_Risk_22)</f>
        <v>0</v>
      </c>
      <c r="O142" s="102" cm="1">
        <f t="array" ref="O142">SUMPRODUCT(End_Of_Year_Yr1_22*Long_Term_Monetised_Risk_22)</f>
        <v>0</v>
      </c>
      <c r="Q142" s="112"/>
      <c r="R142" s="113"/>
      <c r="S142" s="120"/>
      <c r="T142" s="115" cm="1">
        <f t="array" ref="T142">SUMPRODUCT(Asset_Replacement_2028_Yr1_22*Long_Term_Monetised_Risk_22)</f>
        <v>0</v>
      </c>
      <c r="U142" s="101" cm="1">
        <f t="array" ref="U142">SUMPRODUCT(Asset_Refurbishment_2028_Yr1_22*Long_Term_Monetised_Risk_22)</f>
        <v>0</v>
      </c>
      <c r="V142" s="102" cm="1">
        <f t="array" ref="V142">SUMPRODUCT(HVP_2028_Yr1_22*Long_Term_Monetised_Risk_22)</f>
        <v>0</v>
      </c>
    </row>
    <row r="143" spans="1:22">
      <c r="B143" s="93" t="s">
        <v>83</v>
      </c>
      <c r="C143" s="91">
        <v>2025</v>
      </c>
      <c r="D143" s="64" cm="1">
        <f t="array" ref="D143">SUMPRODUCT(Start_of_Year_Yr2_22*Long_Term_Monetised_Risk_22)</f>
        <v>0</v>
      </c>
      <c r="E143" s="64" cm="1">
        <f t="array" ref="E143">SUMPRODUCT(Data_Cleansing_Yr2_22*Long_Term_Monetised_Risk_22)</f>
        <v>0</v>
      </c>
      <c r="F143" s="64" cm="1">
        <f t="array" ref="F143">SUMPRODUCT(Deterioration_total_Yr2_22*Long_Term_Monetised_Risk_22)</f>
        <v>0</v>
      </c>
      <c r="G143" s="64" cm="1">
        <f t="array" ref="G143">SUMPRODUCT(Other_Risk_Movements_Yr2_22*Long_Term_Monetised_Risk_22)</f>
        <v>0</v>
      </c>
      <c r="H143" s="64" cm="1">
        <f t="array" ref="H143">SUMPRODUCT(Asset_Replacement_Yr2_22*Long_Term_Monetised_Risk_22)</f>
        <v>0</v>
      </c>
      <c r="I143" s="64" cm="1">
        <f t="array" ref="I143">SUMPRODUCT(Asset_Refurbishment_Yr2_22*Long_Term_Monetised_Risk_22)</f>
        <v>0</v>
      </c>
      <c r="J143" s="64" cm="1">
        <f t="array" ref="J143">SUMPRODUCT(Reinforcement_Yr2_22*Long_Term_Monetised_Risk_22)</f>
        <v>0</v>
      </c>
      <c r="K143" s="64" cm="1">
        <f t="array" ref="K143">SUMPRODUCT(Faults_Yr2_22*Long_Term_Monetised_Risk_22)</f>
        <v>0</v>
      </c>
      <c r="L143" s="64" cm="1">
        <f t="array" ref="L143">SUMPRODUCT(HVP_Asset_Replacement_Refurbishment_Yr2_22*Long_Term_Monetised_Risk_22)</f>
        <v>0</v>
      </c>
      <c r="M143" s="64" cm="1">
        <f t="array" ref="M143">SUMPRODUCT(HVP_Other_Yr2_22*Long_Term_Monetised_Risk_22)</f>
        <v>0</v>
      </c>
      <c r="N143" s="64" cm="1">
        <f t="array" ref="N143">SUMPRODUCT(All_Other_Yr2_22*Long_Term_Monetised_Risk_22)</f>
        <v>0</v>
      </c>
      <c r="O143" s="65" cm="1">
        <f t="array" ref="O143">SUMPRODUCT(End_Of_Year_Yr2_22*Long_Term_Monetised_Risk_22)</f>
        <v>0</v>
      </c>
      <c r="Q143" s="110"/>
      <c r="R143" s="111"/>
      <c r="S143" s="119"/>
      <c r="T143" s="114" cm="1">
        <f t="array" ref="T143">SUMPRODUCT(Asset_Replacement_2028_Yr2_22*Long_Term_Monetised_Risk_22)</f>
        <v>0</v>
      </c>
      <c r="U143" s="64" cm="1">
        <f t="array" ref="U143">SUMPRODUCT(Asset_Refurbishment_2028_Yr2_22*Long_Term_Monetised_Risk_22)</f>
        <v>0</v>
      </c>
      <c r="V143" s="65" cm="1">
        <f t="array" ref="V143">SUMPRODUCT(HVP_2028_Yr2_22*Long_Term_Monetised_Risk_22)</f>
        <v>0</v>
      </c>
    </row>
    <row r="144" spans="1:22">
      <c r="B144" s="93" t="s">
        <v>83</v>
      </c>
      <c r="C144" s="91">
        <v>2026</v>
      </c>
      <c r="D144" s="64" cm="1">
        <f t="array" ref="D144">SUMPRODUCT(Start_of_Year_Yr3_22*Long_Term_Monetised_Risk_22)</f>
        <v>0</v>
      </c>
      <c r="E144" s="64" cm="1">
        <f t="array" ref="E144">SUMPRODUCT(Data_Cleansing_Yr3_22*Long_Term_Monetised_Risk_22)</f>
        <v>0</v>
      </c>
      <c r="F144" s="64" cm="1">
        <f t="array" ref="F144">SUMPRODUCT(Deterioration_total_Yr3_22*Long_Term_Monetised_Risk_22)</f>
        <v>0</v>
      </c>
      <c r="G144" s="64" cm="1">
        <f t="array" ref="G144">SUMPRODUCT(Other_Risk_Movements_Yr3_22*Long_Term_Monetised_Risk_22)</f>
        <v>0</v>
      </c>
      <c r="H144" s="64" cm="1">
        <f t="array" ref="H144">SUMPRODUCT(Asset_Replacement_Yr3_22*Long_Term_Monetised_Risk_22)</f>
        <v>0</v>
      </c>
      <c r="I144" s="64" cm="1">
        <f t="array" ref="I144">SUMPRODUCT(Asset_Refurbishment_Yr3_22*Long_Term_Monetised_Risk_22)</f>
        <v>0</v>
      </c>
      <c r="J144" s="64" cm="1">
        <f t="array" ref="J144">SUMPRODUCT(Reinforcement_Yr3_22*Long_Term_Monetised_Risk_22)</f>
        <v>0</v>
      </c>
      <c r="K144" s="64" cm="1">
        <f t="array" ref="K144">SUMPRODUCT(Faults_Yr3_22*Long_Term_Monetised_Risk_22)</f>
        <v>0</v>
      </c>
      <c r="L144" s="64" cm="1">
        <f t="array" ref="L144">SUMPRODUCT(HVP_Asset_Replacement_Refurbishment_Yr3_22*Long_Term_Monetised_Risk_22)</f>
        <v>0</v>
      </c>
      <c r="M144" s="64" cm="1">
        <f t="array" ref="M144">SUMPRODUCT(HVP_Other_Yr3_22*Long_Term_Monetised_Risk_22)</f>
        <v>0</v>
      </c>
      <c r="N144" s="64" cm="1">
        <f t="array" ref="N144">SUMPRODUCT(All_Other_Yr3_22*Long_Term_Monetised_Risk_22)</f>
        <v>0</v>
      </c>
      <c r="O144" s="65" cm="1">
        <f t="array" ref="O144">SUMPRODUCT(End_Of_Year_Yr3_22*Long_Term_Monetised_Risk_22)</f>
        <v>0</v>
      </c>
      <c r="Q144" s="110"/>
      <c r="R144" s="111"/>
      <c r="S144" s="119"/>
      <c r="T144" s="114" cm="1">
        <f t="array" ref="T144">SUMPRODUCT(Asset_Replacement_2028_Yr3_22*Long_Term_Monetised_Risk_22)</f>
        <v>0</v>
      </c>
      <c r="U144" s="64" cm="1">
        <f t="array" ref="U144">SUMPRODUCT(Asset_Refurbishment_2028_Yr3_22*Long_Term_Monetised_Risk_22)</f>
        <v>0</v>
      </c>
      <c r="V144" s="65" cm="1">
        <f t="array" ref="V144">SUMPRODUCT(HVP_2028_Yr3_22*Long_Term_Monetised_Risk_22)</f>
        <v>0</v>
      </c>
    </row>
    <row r="145" spans="1:22">
      <c r="B145" s="93" t="s">
        <v>83</v>
      </c>
      <c r="C145" s="91">
        <v>2027</v>
      </c>
      <c r="D145" s="64" cm="1">
        <f t="array" ref="D145">SUMPRODUCT(Start_of_Year_Yr4_22*Long_Term_Monetised_Risk_22)</f>
        <v>0</v>
      </c>
      <c r="E145" s="64" cm="1">
        <f t="array" ref="E145">SUMPRODUCT(Data_Cleansing_Yr4_22*Long_Term_Monetised_Risk_22)</f>
        <v>0</v>
      </c>
      <c r="F145" s="64" cm="1">
        <f t="array" ref="F145">SUMPRODUCT(Deterioration_total_Yr4_22*Long_Term_Monetised_Risk_22)</f>
        <v>0</v>
      </c>
      <c r="G145" s="64" cm="1">
        <f t="array" ref="G145">SUMPRODUCT(Other_Risk_Movements_Yr4_22*Long_Term_Monetised_Risk_22)</f>
        <v>0</v>
      </c>
      <c r="H145" s="64" cm="1">
        <f t="array" ref="H145">SUMPRODUCT(Asset_Replacement_Yr4_22*Long_Term_Monetised_Risk_22)</f>
        <v>0</v>
      </c>
      <c r="I145" s="64" cm="1">
        <f t="array" ref="I145">SUMPRODUCT(Asset_Refurbishment_Yr4_22*Long_Term_Monetised_Risk_22)</f>
        <v>0</v>
      </c>
      <c r="J145" s="64" cm="1">
        <f t="array" ref="J145">SUMPRODUCT(Reinforcement_Yr4_22*Long_Term_Monetised_Risk_22)</f>
        <v>0</v>
      </c>
      <c r="K145" s="64" cm="1">
        <f t="array" ref="K145">SUMPRODUCT(Faults_Yr4_22*Long_Term_Monetised_Risk_22)</f>
        <v>0</v>
      </c>
      <c r="L145" s="64" cm="1">
        <f t="array" ref="L145">SUMPRODUCT(HVP_Asset_Replacement_Refurbishment_Yr4_22*Long_Term_Monetised_Risk_22)</f>
        <v>0</v>
      </c>
      <c r="M145" s="64" cm="1">
        <f t="array" ref="M145">SUMPRODUCT(HVP_Other_Yr4_22*Long_Term_Monetised_Risk_22)</f>
        <v>0</v>
      </c>
      <c r="N145" s="64" cm="1">
        <f t="array" ref="N145">SUMPRODUCT(All_Other_Yr4_22*Long_Term_Monetised_Risk_22)</f>
        <v>0</v>
      </c>
      <c r="O145" s="65" cm="1">
        <f t="array" ref="O145">SUMPRODUCT(End_Of_Year_Yr4_22*Long_Term_Monetised_Risk_22)</f>
        <v>0</v>
      </c>
      <c r="Q145" s="110"/>
      <c r="R145" s="111"/>
      <c r="S145" s="119"/>
      <c r="T145" s="114" cm="1">
        <f t="array" ref="T145">SUMPRODUCT(Asset_Replacement_2028_Yr4_22*Long_Term_Monetised_Risk_22)</f>
        <v>0</v>
      </c>
      <c r="U145" s="64" cm="1">
        <f t="array" ref="U145">SUMPRODUCT(Asset_Refurbishment_2028_Yr4_22*Long_Term_Monetised_Risk_22)</f>
        <v>0</v>
      </c>
      <c r="V145" s="65" cm="1">
        <f t="array" ref="V145">SUMPRODUCT(HVP_2028_Yr4_22*Long_Term_Monetised_Risk_22)</f>
        <v>0</v>
      </c>
    </row>
    <row r="146" spans="1:22">
      <c r="B146" s="93" t="s">
        <v>83</v>
      </c>
      <c r="C146" s="91">
        <v>2028</v>
      </c>
      <c r="D146" s="64" cm="1">
        <f t="array" ref="D146">SUMPRODUCT(Start_of_Year_Yr5_22*Long_Term_Monetised_Risk_22)</f>
        <v>0</v>
      </c>
      <c r="E146" s="64" cm="1">
        <f t="array" ref="E146">SUMPRODUCT(Data_Cleansing_Yr5_22*Long_Term_Monetised_Risk_22)</f>
        <v>0</v>
      </c>
      <c r="F146" s="64" cm="1">
        <f t="array" ref="F146">SUMPRODUCT(Deterioration_total_Yr5_22*Long_Term_Monetised_Risk_22)</f>
        <v>0</v>
      </c>
      <c r="G146" s="64" cm="1">
        <f t="array" ref="G146">SUMPRODUCT(Other_Risk_Movements_Yr5_22*Long_Term_Monetised_Risk_22)</f>
        <v>0</v>
      </c>
      <c r="H146" s="64" cm="1">
        <f t="array" ref="H146">SUMPRODUCT(Asset_Replacement_Yr5_22*Long_Term_Monetised_Risk_22)</f>
        <v>0</v>
      </c>
      <c r="I146" s="64" cm="1">
        <f t="array" ref="I146">SUMPRODUCT(Asset_Refurbishment_Yr5_22*Long_Term_Monetised_Risk_22)</f>
        <v>0</v>
      </c>
      <c r="J146" s="64" cm="1">
        <f t="array" ref="J146">SUMPRODUCT(Reinforcement_Yr5_22*Long_Term_Monetised_Risk_22)</f>
        <v>0</v>
      </c>
      <c r="K146" s="64" cm="1">
        <f t="array" ref="K146">SUMPRODUCT(Faults_Yr5_22*Long_Term_Monetised_Risk_22)</f>
        <v>0</v>
      </c>
      <c r="L146" s="64" cm="1">
        <f t="array" ref="L146">SUMPRODUCT(HVP_Asset_Replacement_Refurbishment_Yr5_22*Long_Term_Monetised_Risk_22)</f>
        <v>0</v>
      </c>
      <c r="M146" s="64" cm="1">
        <f t="array" ref="M146">SUMPRODUCT(HVP_Other_Yr5_22*Long_Term_Monetised_Risk_22)</f>
        <v>0</v>
      </c>
      <c r="N146" s="64" cm="1">
        <f t="array" ref="N146">SUMPRODUCT(All_Other_Yr5_22*Long_Term_Monetised_Risk_22)</f>
        <v>0</v>
      </c>
      <c r="O146" s="65" cm="1">
        <f t="array" ref="O146">SUMPRODUCT(End_Of_Year_Yr5_22*Long_Term_Monetised_Risk_22)</f>
        <v>0</v>
      </c>
      <c r="Q146" s="110"/>
      <c r="R146" s="111"/>
      <c r="S146" s="119"/>
      <c r="T146" s="114" cm="1">
        <f t="array" ref="T146">SUMPRODUCT(Asset_Replacement_2028_Yr5_22*Long_Term_Monetised_Risk_22)</f>
        <v>0</v>
      </c>
      <c r="U146" s="64" cm="1">
        <f t="array" ref="U146">SUMPRODUCT(Asset_Refurbishment_2028_Yr5_22*Long_Term_Monetised_Risk_22)</f>
        <v>0</v>
      </c>
      <c r="V146" s="65" cm="1">
        <f t="array" ref="V146">SUMPRODUCT(HVP_2028_Yr5_22*Long_Term_Monetised_Risk_22)</f>
        <v>0</v>
      </c>
    </row>
    <row r="147" spans="1:22" ht="14" thickBot="1">
      <c r="B147" s="103" t="s">
        <v>83</v>
      </c>
      <c r="C147" s="104" t="s">
        <v>131</v>
      </c>
      <c r="D147" s="105"/>
      <c r="E147" s="106">
        <f t="shared" ref="E147:O147" si="52">SUM(E142:E146)</f>
        <v>0</v>
      </c>
      <c r="F147" s="106">
        <f t="shared" si="52"/>
        <v>0</v>
      </c>
      <c r="G147" s="106">
        <f t="shared" si="52"/>
        <v>0</v>
      </c>
      <c r="H147" s="106">
        <f t="shared" si="52"/>
        <v>0</v>
      </c>
      <c r="I147" s="106">
        <f t="shared" si="52"/>
        <v>0</v>
      </c>
      <c r="J147" s="106">
        <f t="shared" si="52"/>
        <v>0</v>
      </c>
      <c r="K147" s="106">
        <f t="shared" si="52"/>
        <v>0</v>
      </c>
      <c r="L147" s="106">
        <f t="shared" si="52"/>
        <v>0</v>
      </c>
      <c r="M147" s="106">
        <f t="shared" si="52"/>
        <v>0</v>
      </c>
      <c r="N147" s="106">
        <f t="shared" si="52"/>
        <v>0</v>
      </c>
      <c r="O147" s="537">
        <f t="shared" si="52"/>
        <v>0</v>
      </c>
      <c r="Q147" s="107" t="str">
        <f ca="1">VLOOKUP($B147,'NARM4 - ED2 NARW Risk Movements'!$B$7:$G$67,4,FALSE)</f>
        <v/>
      </c>
      <c r="R147" s="109" t="str">
        <f ca="1">VLOOKUP($B147,'NARM4 - ED2 NARW Risk Movements'!$B$7:$G$67,5,FALSE)</f>
        <v/>
      </c>
      <c r="S147" s="121" t="str">
        <f ca="1">VLOOKUP($B147,'NARM4 - ED2 NARW Risk Movements'!$B$7:$G$67,6,FALSE)</f>
        <v/>
      </c>
      <c r="T147" s="117">
        <f>SUM(T142:T146)</f>
        <v>0</v>
      </c>
      <c r="U147" s="106">
        <f t="shared" ref="U147" si="53">SUM(U142:U146)</f>
        <v>0</v>
      </c>
      <c r="V147" s="108">
        <f>SUM(V142:V146)</f>
        <v>0</v>
      </c>
    </row>
    <row r="148" spans="1:22" ht="14" thickTop="1">
      <c r="A148" s="143">
        <v>23</v>
      </c>
      <c r="B148" s="99" t="s">
        <v>175</v>
      </c>
      <c r="C148" s="100">
        <v>2024</v>
      </c>
      <c r="D148" s="101" cm="1">
        <f t="array" ref="D148">SUMPRODUCT(Start_of_Year_Yr1_23*Long_Term_Monetised_Risk_23)</f>
        <v>0</v>
      </c>
      <c r="E148" s="101" cm="1">
        <f t="array" ref="E148">SUMPRODUCT(Data_Cleansing_Yr1_23*Long_Term_Monetised_Risk_23)</f>
        <v>0</v>
      </c>
      <c r="F148" s="101" cm="1">
        <f t="array" ref="F148">SUMPRODUCT(Deterioration_total_Yr1_23*Long_Term_Monetised_Risk_23)</f>
        <v>0</v>
      </c>
      <c r="G148" s="101" cm="1">
        <f t="array" ref="G148">SUMPRODUCT(Other_Risk_Movements_Yr1_23*Long_Term_Monetised_Risk_23)</f>
        <v>0</v>
      </c>
      <c r="H148" s="101" cm="1">
        <f t="array" ref="H148">SUMPRODUCT(Asset_Replacement_Yr1_23*Long_Term_Monetised_Risk_23)</f>
        <v>0</v>
      </c>
      <c r="I148" s="101" cm="1">
        <f t="array" ref="I148">SUMPRODUCT(Asset_Refurbishment_Yr1_23*Long_Term_Monetised_Risk_23)</f>
        <v>0</v>
      </c>
      <c r="J148" s="101" cm="1">
        <f t="array" ref="J148">SUMPRODUCT(Reinforcement_Yr1_23*Long_Term_Monetised_Risk_23)</f>
        <v>0</v>
      </c>
      <c r="K148" s="101" cm="1">
        <f t="array" ref="K148">SUMPRODUCT(Faults_Yr1_23*Long_Term_Monetised_Risk_23)</f>
        <v>0</v>
      </c>
      <c r="L148" s="101" cm="1">
        <f t="array" ref="L148">SUMPRODUCT(HVP_Asset_Replacement_Refurbishment_Yr1_23*Long_Term_Monetised_Risk_23)</f>
        <v>0</v>
      </c>
      <c r="M148" s="101" cm="1">
        <f t="array" ref="M148">SUMPRODUCT(HVP_Other_Yr1_23*Long_Term_Monetised_Risk_23)</f>
        <v>0</v>
      </c>
      <c r="N148" s="101" cm="1">
        <f t="array" ref="N148">SUMPRODUCT(All_Other_Yr1_23*Long_Term_Monetised_Risk_23)</f>
        <v>0</v>
      </c>
      <c r="O148" s="102" cm="1">
        <f t="array" ref="O148">SUMPRODUCT(End_Of_Year_Yr1_23*Long_Term_Monetised_Risk_23)</f>
        <v>0</v>
      </c>
      <c r="Q148" s="112"/>
      <c r="R148" s="113"/>
      <c r="S148" s="120"/>
      <c r="T148" s="115" cm="1">
        <f t="array" ref="T148">SUMPRODUCT(Asset_Replacement_2028_Yr1_23*Long_Term_Monetised_Risk_23)</f>
        <v>0</v>
      </c>
      <c r="U148" s="101" cm="1">
        <f t="array" ref="U148">SUMPRODUCT(Asset_Refurbishment_2028_Yr1_23*Long_Term_Monetised_Risk_23)</f>
        <v>0</v>
      </c>
      <c r="V148" s="102" cm="1">
        <f t="array" ref="V148">SUMPRODUCT(HVP_2028_Yr1_23*Long_Term_Monetised_Risk_23)</f>
        <v>0</v>
      </c>
    </row>
    <row r="149" spans="1:22">
      <c r="B149" s="93" t="s">
        <v>175</v>
      </c>
      <c r="C149" s="91">
        <v>2025</v>
      </c>
      <c r="D149" s="64" cm="1">
        <f t="array" ref="D149">SUMPRODUCT(Start_of_Year_Yr2_23*Long_Term_Monetised_Risk_23)</f>
        <v>0</v>
      </c>
      <c r="E149" s="64" cm="1">
        <f t="array" ref="E149">SUMPRODUCT(Data_Cleansing_Yr2_23*Long_Term_Monetised_Risk_23)</f>
        <v>0</v>
      </c>
      <c r="F149" s="64" cm="1">
        <f t="array" ref="F149">SUMPRODUCT(Deterioration_total_Yr2_23*Long_Term_Monetised_Risk_23)</f>
        <v>0</v>
      </c>
      <c r="G149" s="64" cm="1">
        <f t="array" ref="G149">SUMPRODUCT(Other_Risk_Movements_Yr2_23*Long_Term_Monetised_Risk_23)</f>
        <v>0</v>
      </c>
      <c r="H149" s="64" cm="1">
        <f t="array" ref="H149">SUMPRODUCT(Asset_Replacement_Yr2_23*Long_Term_Monetised_Risk_23)</f>
        <v>0</v>
      </c>
      <c r="I149" s="64" cm="1">
        <f t="array" ref="I149">SUMPRODUCT(Asset_Refurbishment_Yr2_23*Long_Term_Monetised_Risk_23)</f>
        <v>0</v>
      </c>
      <c r="J149" s="64" cm="1">
        <f t="array" ref="J149">SUMPRODUCT(Reinforcement_Yr2_23*Long_Term_Monetised_Risk_23)</f>
        <v>0</v>
      </c>
      <c r="K149" s="64" cm="1">
        <f t="array" ref="K149">SUMPRODUCT(Faults_Yr2_23*Long_Term_Monetised_Risk_23)</f>
        <v>0</v>
      </c>
      <c r="L149" s="64" cm="1">
        <f t="array" ref="L149">SUMPRODUCT(HVP_Asset_Replacement_Refurbishment_Yr2_23*Long_Term_Monetised_Risk_23)</f>
        <v>0</v>
      </c>
      <c r="M149" s="64" cm="1">
        <f t="array" ref="M149">SUMPRODUCT(HVP_Other_Yr2_23*Long_Term_Monetised_Risk_23)</f>
        <v>0</v>
      </c>
      <c r="N149" s="64" cm="1">
        <f t="array" ref="N149">SUMPRODUCT(All_Other_Yr2_23*Long_Term_Monetised_Risk_23)</f>
        <v>0</v>
      </c>
      <c r="O149" s="65" cm="1">
        <f t="array" ref="O149">SUMPRODUCT(End_Of_Year_Yr2_23*Long_Term_Monetised_Risk_23)</f>
        <v>0</v>
      </c>
      <c r="Q149" s="110"/>
      <c r="R149" s="111"/>
      <c r="S149" s="119"/>
      <c r="T149" s="114" cm="1">
        <f t="array" ref="T149">SUMPRODUCT(Asset_Replacement_2028_Yr2_23*Long_Term_Monetised_Risk_23)</f>
        <v>0</v>
      </c>
      <c r="U149" s="64" cm="1">
        <f t="array" ref="U149">SUMPRODUCT(Asset_Refurbishment_2028_Yr2_23*Long_Term_Monetised_Risk_23)</f>
        <v>0</v>
      </c>
      <c r="V149" s="65" cm="1">
        <f t="array" ref="V149">SUMPRODUCT(HVP_2028_Yr2_23*Long_Term_Monetised_Risk_23)</f>
        <v>0</v>
      </c>
    </row>
    <row r="150" spans="1:22">
      <c r="B150" s="93" t="s">
        <v>175</v>
      </c>
      <c r="C150" s="91">
        <v>2026</v>
      </c>
      <c r="D150" s="64" cm="1">
        <f t="array" ref="D150">SUMPRODUCT(Start_of_Year_Yr3_23*Long_Term_Monetised_Risk_23)</f>
        <v>0</v>
      </c>
      <c r="E150" s="64" cm="1">
        <f t="array" ref="E150">SUMPRODUCT(Data_Cleansing_Yr3_23*Long_Term_Monetised_Risk_23)</f>
        <v>0</v>
      </c>
      <c r="F150" s="64" cm="1">
        <f t="array" ref="F150">SUMPRODUCT(Deterioration_total_Yr3_23*Long_Term_Monetised_Risk_23)</f>
        <v>0</v>
      </c>
      <c r="G150" s="64" cm="1">
        <f t="array" ref="G150">SUMPRODUCT(Other_Risk_Movements_Yr3_23*Long_Term_Monetised_Risk_23)</f>
        <v>0</v>
      </c>
      <c r="H150" s="64" cm="1">
        <f t="array" ref="H150">SUMPRODUCT(Asset_Replacement_Yr3_23*Long_Term_Monetised_Risk_23)</f>
        <v>0</v>
      </c>
      <c r="I150" s="64" cm="1">
        <f t="array" ref="I150">SUMPRODUCT(Asset_Refurbishment_Yr3_23*Long_Term_Monetised_Risk_23)</f>
        <v>0</v>
      </c>
      <c r="J150" s="64" cm="1">
        <f t="array" ref="J150">SUMPRODUCT(Reinforcement_Yr3_23*Long_Term_Monetised_Risk_23)</f>
        <v>0</v>
      </c>
      <c r="K150" s="64" cm="1">
        <f t="array" ref="K150">SUMPRODUCT(Faults_Yr3_23*Long_Term_Monetised_Risk_23)</f>
        <v>0</v>
      </c>
      <c r="L150" s="64" cm="1">
        <f t="array" ref="L150">SUMPRODUCT(HVP_Asset_Replacement_Refurbishment_Yr3_23*Long_Term_Monetised_Risk_23)</f>
        <v>0</v>
      </c>
      <c r="M150" s="64" cm="1">
        <f t="array" ref="M150">SUMPRODUCT(HVP_Other_Yr3_23*Long_Term_Monetised_Risk_23)</f>
        <v>0</v>
      </c>
      <c r="N150" s="64" cm="1">
        <f t="array" ref="N150">SUMPRODUCT(All_Other_Yr3_23*Long_Term_Monetised_Risk_23)</f>
        <v>0</v>
      </c>
      <c r="O150" s="65" cm="1">
        <f t="array" ref="O150">SUMPRODUCT(End_Of_Year_Yr3_23*Long_Term_Monetised_Risk_23)</f>
        <v>0</v>
      </c>
      <c r="Q150" s="110"/>
      <c r="R150" s="111"/>
      <c r="S150" s="119"/>
      <c r="T150" s="114" cm="1">
        <f t="array" ref="T150">SUMPRODUCT(Asset_Replacement_2028_Yr3_23*Long_Term_Monetised_Risk_23)</f>
        <v>0</v>
      </c>
      <c r="U150" s="64" cm="1">
        <f t="array" ref="U150">SUMPRODUCT(Asset_Refurbishment_2028_Yr3_23*Long_Term_Monetised_Risk_23)</f>
        <v>0</v>
      </c>
      <c r="V150" s="65" cm="1">
        <f t="array" ref="V150">SUMPRODUCT(HVP_2028_Yr3_23*Long_Term_Monetised_Risk_23)</f>
        <v>0</v>
      </c>
    </row>
    <row r="151" spans="1:22">
      <c r="B151" s="93" t="s">
        <v>175</v>
      </c>
      <c r="C151" s="91">
        <v>2027</v>
      </c>
      <c r="D151" s="64" cm="1">
        <f t="array" ref="D151">SUMPRODUCT(Start_of_Year_Yr4_23*Long_Term_Monetised_Risk_23)</f>
        <v>0</v>
      </c>
      <c r="E151" s="64" cm="1">
        <f t="array" ref="E151">SUMPRODUCT(Data_Cleansing_Yr4_23*Long_Term_Monetised_Risk_23)</f>
        <v>0</v>
      </c>
      <c r="F151" s="64" cm="1">
        <f t="array" ref="F151">SUMPRODUCT(Deterioration_total_Yr4_23*Long_Term_Monetised_Risk_23)</f>
        <v>0</v>
      </c>
      <c r="G151" s="64" cm="1">
        <f t="array" ref="G151">SUMPRODUCT(Other_Risk_Movements_Yr4_23*Long_Term_Monetised_Risk_23)</f>
        <v>0</v>
      </c>
      <c r="H151" s="64" cm="1">
        <f t="array" ref="H151">SUMPRODUCT(Asset_Replacement_Yr4_23*Long_Term_Monetised_Risk_23)</f>
        <v>0</v>
      </c>
      <c r="I151" s="64" cm="1">
        <f t="array" ref="I151">SUMPRODUCT(Asset_Refurbishment_Yr4_23*Long_Term_Monetised_Risk_23)</f>
        <v>0</v>
      </c>
      <c r="J151" s="64" cm="1">
        <f t="array" ref="J151">SUMPRODUCT(Reinforcement_Yr4_23*Long_Term_Monetised_Risk_23)</f>
        <v>0</v>
      </c>
      <c r="K151" s="64" cm="1">
        <f t="array" ref="K151">SUMPRODUCT(Faults_Yr4_23*Long_Term_Monetised_Risk_23)</f>
        <v>0</v>
      </c>
      <c r="L151" s="64" cm="1">
        <f t="array" ref="L151">SUMPRODUCT(HVP_Asset_Replacement_Refurbishment_Yr4_23*Long_Term_Monetised_Risk_23)</f>
        <v>0</v>
      </c>
      <c r="M151" s="64" cm="1">
        <f t="array" ref="M151">SUMPRODUCT(HVP_Other_Yr4_23*Long_Term_Monetised_Risk_23)</f>
        <v>0</v>
      </c>
      <c r="N151" s="64" cm="1">
        <f t="array" ref="N151">SUMPRODUCT(All_Other_Yr4_23*Long_Term_Monetised_Risk_23)</f>
        <v>0</v>
      </c>
      <c r="O151" s="65" cm="1">
        <f t="array" ref="O151">SUMPRODUCT(End_Of_Year_Yr4_23*Long_Term_Monetised_Risk_23)</f>
        <v>0</v>
      </c>
      <c r="Q151" s="110"/>
      <c r="R151" s="111"/>
      <c r="S151" s="119"/>
      <c r="T151" s="114" cm="1">
        <f t="array" ref="T151">SUMPRODUCT(Asset_Replacement_2028_Yr4_23*Long_Term_Monetised_Risk_23)</f>
        <v>0</v>
      </c>
      <c r="U151" s="64" cm="1">
        <f t="array" ref="U151">SUMPRODUCT(Asset_Refurbishment_2028_Yr4_23*Long_Term_Monetised_Risk_23)</f>
        <v>0</v>
      </c>
      <c r="V151" s="65" cm="1">
        <f t="array" ref="V151">SUMPRODUCT(HVP_2028_Yr4_23*Long_Term_Monetised_Risk_23)</f>
        <v>0</v>
      </c>
    </row>
    <row r="152" spans="1:22">
      <c r="B152" s="93" t="s">
        <v>175</v>
      </c>
      <c r="C152" s="91">
        <v>2028</v>
      </c>
      <c r="D152" s="64" cm="1">
        <f t="array" ref="D152">SUMPRODUCT(Start_of_Year_Yr5_23*Long_Term_Monetised_Risk_23)</f>
        <v>0</v>
      </c>
      <c r="E152" s="64" cm="1">
        <f t="array" ref="E152">SUMPRODUCT(Data_Cleansing_Yr5_23*Long_Term_Monetised_Risk_23)</f>
        <v>0</v>
      </c>
      <c r="F152" s="64" cm="1">
        <f t="array" ref="F152">SUMPRODUCT(Deterioration_total_Yr5_23*Long_Term_Monetised_Risk_23)</f>
        <v>0</v>
      </c>
      <c r="G152" s="64" cm="1">
        <f t="array" ref="G152">SUMPRODUCT(Other_Risk_Movements_Yr5_23*Long_Term_Monetised_Risk_23)</f>
        <v>0</v>
      </c>
      <c r="H152" s="64" cm="1">
        <f t="array" ref="H152">SUMPRODUCT(Asset_Replacement_Yr5_23*Long_Term_Monetised_Risk_23)</f>
        <v>0</v>
      </c>
      <c r="I152" s="64" cm="1">
        <f t="array" ref="I152">SUMPRODUCT(Asset_Refurbishment_Yr5_23*Long_Term_Monetised_Risk_23)</f>
        <v>0</v>
      </c>
      <c r="J152" s="64" cm="1">
        <f t="array" ref="J152">SUMPRODUCT(Reinforcement_Yr5_23*Long_Term_Monetised_Risk_23)</f>
        <v>0</v>
      </c>
      <c r="K152" s="64" cm="1">
        <f t="array" ref="K152">SUMPRODUCT(Faults_Yr5_23*Long_Term_Monetised_Risk_23)</f>
        <v>0</v>
      </c>
      <c r="L152" s="64" cm="1">
        <f t="array" ref="L152">SUMPRODUCT(HVP_Asset_Replacement_Refurbishment_Yr5_23*Long_Term_Monetised_Risk_23)</f>
        <v>0</v>
      </c>
      <c r="M152" s="64" cm="1">
        <f t="array" ref="M152">SUMPRODUCT(HVP_Other_Yr5_23*Long_Term_Monetised_Risk_23)</f>
        <v>0</v>
      </c>
      <c r="N152" s="64" cm="1">
        <f t="array" ref="N152">SUMPRODUCT(All_Other_Yr5_23*Long_Term_Monetised_Risk_23)</f>
        <v>0</v>
      </c>
      <c r="O152" s="65" cm="1">
        <f t="array" ref="O152">SUMPRODUCT(End_Of_Year_Yr5_23*Long_Term_Monetised_Risk_23)</f>
        <v>0</v>
      </c>
      <c r="Q152" s="110"/>
      <c r="R152" s="111"/>
      <c r="S152" s="119"/>
      <c r="T152" s="114" cm="1">
        <f t="array" ref="T152">SUMPRODUCT(Asset_Replacement_2028_Yr5_23*Long_Term_Monetised_Risk_23)</f>
        <v>0</v>
      </c>
      <c r="U152" s="64" cm="1">
        <f t="array" ref="U152">SUMPRODUCT(Asset_Refurbishment_2028_Yr5_23*Long_Term_Monetised_Risk_23)</f>
        <v>0</v>
      </c>
      <c r="V152" s="65" cm="1">
        <f t="array" ref="V152">SUMPRODUCT(HVP_2028_Yr5_23*Long_Term_Monetised_Risk_23)</f>
        <v>0</v>
      </c>
    </row>
    <row r="153" spans="1:22" ht="14" thickBot="1">
      <c r="B153" s="103" t="s">
        <v>84</v>
      </c>
      <c r="C153" s="104" t="s">
        <v>131</v>
      </c>
      <c r="D153" s="105"/>
      <c r="E153" s="106">
        <f t="shared" ref="E153:O153" si="54">SUM(E148:E152)</f>
        <v>0</v>
      </c>
      <c r="F153" s="106">
        <f t="shared" si="54"/>
        <v>0</v>
      </c>
      <c r="G153" s="106">
        <f t="shared" si="54"/>
        <v>0</v>
      </c>
      <c r="H153" s="106">
        <f t="shared" si="54"/>
        <v>0</v>
      </c>
      <c r="I153" s="106">
        <f t="shared" si="54"/>
        <v>0</v>
      </c>
      <c r="J153" s="106">
        <f t="shared" si="54"/>
        <v>0</v>
      </c>
      <c r="K153" s="106">
        <f t="shared" si="54"/>
        <v>0</v>
      </c>
      <c r="L153" s="106">
        <f t="shared" si="54"/>
        <v>0</v>
      </c>
      <c r="M153" s="106">
        <f t="shared" si="54"/>
        <v>0</v>
      </c>
      <c r="N153" s="106">
        <f t="shared" si="54"/>
        <v>0</v>
      </c>
      <c r="O153" s="537">
        <f t="shared" si="54"/>
        <v>0</v>
      </c>
      <c r="Q153" s="107" t="str">
        <f ca="1">VLOOKUP($B153,'NARM4 - ED2 NARW Risk Movements'!$B$7:$G$67,4,FALSE)</f>
        <v/>
      </c>
      <c r="R153" s="109" t="str">
        <f ca="1">VLOOKUP($B153,'NARM4 - ED2 NARW Risk Movements'!$B$7:$G$67,5,FALSE)</f>
        <v/>
      </c>
      <c r="S153" s="121" t="str">
        <f ca="1">VLOOKUP($B153,'NARM4 - ED2 NARW Risk Movements'!$B$7:$G$67,6,FALSE)</f>
        <v/>
      </c>
      <c r="T153" s="117">
        <f>SUM(T148:T152)</f>
        <v>0</v>
      </c>
      <c r="U153" s="106">
        <f t="shared" ref="U153" si="55">SUM(U148:U152)</f>
        <v>0</v>
      </c>
      <c r="V153" s="108">
        <f>SUM(V148:V152)</f>
        <v>0</v>
      </c>
    </row>
    <row r="154" spans="1:22" ht="14" thickTop="1">
      <c r="A154" s="143">
        <v>24</v>
      </c>
      <c r="B154" s="99" t="s">
        <v>176</v>
      </c>
      <c r="C154" s="100">
        <v>2024</v>
      </c>
      <c r="D154" s="101" cm="1">
        <f t="array" ref="D154">SUMPRODUCT(Start_of_Year_Yr1_24*Long_Term_Monetised_Risk_24)</f>
        <v>0</v>
      </c>
      <c r="E154" s="101" cm="1">
        <f t="array" ref="E154">SUMPRODUCT(Data_Cleansing_Yr1_24*Long_Term_Monetised_Risk_24)</f>
        <v>0</v>
      </c>
      <c r="F154" s="101" cm="1">
        <f t="array" ref="F154">SUMPRODUCT(Deterioration_total_Yr1_24*Long_Term_Monetised_Risk_24)</f>
        <v>0</v>
      </c>
      <c r="G154" s="101" cm="1">
        <f t="array" ref="G154">SUMPRODUCT(Other_Risk_Movements_Yr1_24*Long_Term_Monetised_Risk_24)</f>
        <v>0</v>
      </c>
      <c r="H154" s="101" cm="1">
        <f t="array" ref="H154">SUMPRODUCT(Asset_Replacement_Yr1_24*Long_Term_Monetised_Risk_24)</f>
        <v>0</v>
      </c>
      <c r="I154" s="101" cm="1">
        <f t="array" ref="I154">SUMPRODUCT(Asset_Refurbishment_Yr1_24*Long_Term_Monetised_Risk_24)</f>
        <v>0</v>
      </c>
      <c r="J154" s="101" cm="1">
        <f t="array" ref="J154">SUMPRODUCT(Reinforcement_Yr1_24*Long_Term_Monetised_Risk_24)</f>
        <v>0</v>
      </c>
      <c r="K154" s="101" cm="1">
        <f t="array" ref="K154">SUMPRODUCT(Faults_Yr1_24*Long_Term_Monetised_Risk_24)</f>
        <v>0</v>
      </c>
      <c r="L154" s="101" cm="1">
        <f t="array" ref="L154">SUMPRODUCT(HVP_Asset_Replacement_Refurbishment_Yr1_24*Long_Term_Monetised_Risk_24)</f>
        <v>0</v>
      </c>
      <c r="M154" s="101" cm="1">
        <f t="array" ref="M154">SUMPRODUCT(HVP_Other_Yr1_24*Long_Term_Monetised_Risk_24)</f>
        <v>0</v>
      </c>
      <c r="N154" s="101" cm="1">
        <f t="array" ref="N154">SUMPRODUCT(All_Other_Yr1_24*Long_Term_Monetised_Risk_24)</f>
        <v>0</v>
      </c>
      <c r="O154" s="102" cm="1">
        <f t="array" ref="O154">SUMPRODUCT(End_Of_Year_Yr1_24*Long_Term_Monetised_Risk_24)</f>
        <v>0</v>
      </c>
      <c r="Q154" s="112"/>
      <c r="R154" s="113"/>
      <c r="S154" s="120"/>
      <c r="T154" s="115" cm="1">
        <f t="array" ref="T154">SUMPRODUCT(Asset_Replacement_2028_Yr1_24*Long_Term_Monetised_Risk_24)</f>
        <v>0</v>
      </c>
      <c r="U154" s="101" cm="1">
        <f t="array" ref="U154">SUMPRODUCT(Asset_Refurbishment_2028_Yr1_24*Long_Term_Monetised_Risk_24)</f>
        <v>0</v>
      </c>
      <c r="V154" s="102" cm="1">
        <f t="array" ref="V154">SUMPRODUCT(HVP_2028_Yr1_24*Long_Term_Monetised_Risk_24)</f>
        <v>0</v>
      </c>
    </row>
    <row r="155" spans="1:22">
      <c r="B155" s="93" t="s">
        <v>176</v>
      </c>
      <c r="C155" s="91">
        <v>2025</v>
      </c>
      <c r="D155" s="64" cm="1">
        <f t="array" ref="D155">SUMPRODUCT(Start_of_Year_Yr2_24*Long_Term_Monetised_Risk_24)</f>
        <v>0</v>
      </c>
      <c r="E155" s="64" cm="1">
        <f t="array" ref="E155">SUMPRODUCT(Data_Cleansing_Yr2_24*Long_Term_Monetised_Risk_24)</f>
        <v>0</v>
      </c>
      <c r="F155" s="64" cm="1">
        <f t="array" ref="F155">SUMPRODUCT(Deterioration_total_Yr2_24*Long_Term_Monetised_Risk_24)</f>
        <v>0</v>
      </c>
      <c r="G155" s="64" cm="1">
        <f t="array" ref="G155">SUMPRODUCT(Other_Risk_Movements_Yr2_24*Long_Term_Monetised_Risk_24)</f>
        <v>0</v>
      </c>
      <c r="H155" s="64" cm="1">
        <f t="array" ref="H155">SUMPRODUCT(Asset_Replacement_Yr2_24*Long_Term_Monetised_Risk_24)</f>
        <v>0</v>
      </c>
      <c r="I155" s="64" cm="1">
        <f t="array" ref="I155">SUMPRODUCT(Asset_Refurbishment_Yr2_24*Long_Term_Monetised_Risk_24)</f>
        <v>0</v>
      </c>
      <c r="J155" s="64" cm="1">
        <f t="array" ref="J155">SUMPRODUCT(Reinforcement_Yr2_24*Long_Term_Monetised_Risk_24)</f>
        <v>0</v>
      </c>
      <c r="K155" s="64" cm="1">
        <f t="array" ref="K155">SUMPRODUCT(Faults_Yr2_24*Long_Term_Monetised_Risk_24)</f>
        <v>0</v>
      </c>
      <c r="L155" s="64" cm="1">
        <f t="array" ref="L155">SUMPRODUCT(HVP_Asset_Replacement_Refurbishment_Yr2_24*Long_Term_Monetised_Risk_24)</f>
        <v>0</v>
      </c>
      <c r="M155" s="64" cm="1">
        <f t="array" ref="M155">SUMPRODUCT(HVP_Other_Yr2_24*Long_Term_Monetised_Risk_24)</f>
        <v>0</v>
      </c>
      <c r="N155" s="64" cm="1">
        <f t="array" ref="N155">SUMPRODUCT(All_Other_Yr2_24*Long_Term_Monetised_Risk_24)</f>
        <v>0</v>
      </c>
      <c r="O155" s="65" cm="1">
        <f t="array" ref="O155">SUMPRODUCT(End_Of_Year_Yr2_24*Long_Term_Monetised_Risk_24)</f>
        <v>0</v>
      </c>
      <c r="Q155" s="110"/>
      <c r="R155" s="111"/>
      <c r="S155" s="119"/>
      <c r="T155" s="114" cm="1">
        <f t="array" ref="T155">SUMPRODUCT(Asset_Replacement_2028_Yr2_24*Long_Term_Monetised_Risk_24)</f>
        <v>0</v>
      </c>
      <c r="U155" s="64" cm="1">
        <f t="array" ref="U155">SUMPRODUCT(Asset_Refurbishment_2028_Yr2_24*Long_Term_Monetised_Risk_24)</f>
        <v>0</v>
      </c>
      <c r="V155" s="65" cm="1">
        <f t="array" ref="V155">SUMPRODUCT(HVP_2028_Yr2_24*Long_Term_Monetised_Risk_24)</f>
        <v>0</v>
      </c>
    </row>
    <row r="156" spans="1:22">
      <c r="B156" s="93" t="s">
        <v>176</v>
      </c>
      <c r="C156" s="91">
        <v>2026</v>
      </c>
      <c r="D156" s="64" cm="1">
        <f t="array" ref="D156">SUMPRODUCT(Start_of_Year_Yr3_24*Long_Term_Monetised_Risk_24)</f>
        <v>0</v>
      </c>
      <c r="E156" s="64" cm="1">
        <f t="array" ref="E156">SUMPRODUCT(Data_Cleansing_Yr3_24*Long_Term_Monetised_Risk_24)</f>
        <v>0</v>
      </c>
      <c r="F156" s="64" cm="1">
        <f t="array" ref="F156">SUMPRODUCT(Deterioration_total_Yr3_24*Long_Term_Monetised_Risk_24)</f>
        <v>0</v>
      </c>
      <c r="G156" s="64" cm="1">
        <f t="array" ref="G156">SUMPRODUCT(Other_Risk_Movements_Yr3_24*Long_Term_Monetised_Risk_24)</f>
        <v>0</v>
      </c>
      <c r="H156" s="64" cm="1">
        <f t="array" ref="H156">SUMPRODUCT(Asset_Replacement_Yr3_24*Long_Term_Monetised_Risk_24)</f>
        <v>0</v>
      </c>
      <c r="I156" s="64" cm="1">
        <f t="array" ref="I156">SUMPRODUCT(Asset_Refurbishment_Yr3_24*Long_Term_Monetised_Risk_24)</f>
        <v>0</v>
      </c>
      <c r="J156" s="64" cm="1">
        <f t="array" ref="J156">SUMPRODUCT(Reinforcement_Yr3_24*Long_Term_Monetised_Risk_24)</f>
        <v>0</v>
      </c>
      <c r="K156" s="64" cm="1">
        <f t="array" ref="K156">SUMPRODUCT(Faults_Yr3_24*Long_Term_Monetised_Risk_24)</f>
        <v>0</v>
      </c>
      <c r="L156" s="64" cm="1">
        <f t="array" ref="L156">SUMPRODUCT(HVP_Asset_Replacement_Refurbishment_Yr3_24*Long_Term_Monetised_Risk_24)</f>
        <v>0</v>
      </c>
      <c r="M156" s="64" cm="1">
        <f t="array" ref="M156">SUMPRODUCT(HVP_Other_Yr3_24*Long_Term_Monetised_Risk_24)</f>
        <v>0</v>
      </c>
      <c r="N156" s="64" cm="1">
        <f t="array" ref="N156">SUMPRODUCT(All_Other_Yr3_24*Long_Term_Monetised_Risk_24)</f>
        <v>0</v>
      </c>
      <c r="O156" s="65" cm="1">
        <f t="array" ref="O156">SUMPRODUCT(End_Of_Year_Yr3_24*Long_Term_Monetised_Risk_24)</f>
        <v>0</v>
      </c>
      <c r="Q156" s="110"/>
      <c r="R156" s="111"/>
      <c r="S156" s="119"/>
      <c r="T156" s="114" cm="1">
        <f t="array" ref="T156">SUMPRODUCT(Asset_Replacement_2028_Yr3_24*Long_Term_Monetised_Risk_24)</f>
        <v>0</v>
      </c>
      <c r="U156" s="64" cm="1">
        <f t="array" ref="U156">SUMPRODUCT(Asset_Refurbishment_2028_Yr3_24*Long_Term_Monetised_Risk_24)</f>
        <v>0</v>
      </c>
      <c r="V156" s="65" cm="1">
        <f t="array" ref="V156">SUMPRODUCT(HVP_2028_Yr3_24*Long_Term_Monetised_Risk_24)</f>
        <v>0</v>
      </c>
    </row>
    <row r="157" spans="1:22">
      <c r="B157" s="93" t="s">
        <v>176</v>
      </c>
      <c r="C157" s="91">
        <v>2027</v>
      </c>
      <c r="D157" s="64" cm="1">
        <f t="array" ref="D157">SUMPRODUCT(Start_of_Year_Yr4_24*Long_Term_Monetised_Risk_24)</f>
        <v>0</v>
      </c>
      <c r="E157" s="64" cm="1">
        <f t="array" ref="E157">SUMPRODUCT(Data_Cleansing_Yr4_24*Long_Term_Monetised_Risk_24)</f>
        <v>0</v>
      </c>
      <c r="F157" s="64" cm="1">
        <f t="array" ref="F157">SUMPRODUCT(Deterioration_total_Yr4_24*Long_Term_Monetised_Risk_24)</f>
        <v>0</v>
      </c>
      <c r="G157" s="64" cm="1">
        <f t="array" ref="G157">SUMPRODUCT(Other_Risk_Movements_Yr4_24*Long_Term_Monetised_Risk_24)</f>
        <v>0</v>
      </c>
      <c r="H157" s="64" cm="1">
        <f t="array" ref="H157">SUMPRODUCT(Asset_Replacement_Yr4_24*Long_Term_Monetised_Risk_24)</f>
        <v>0</v>
      </c>
      <c r="I157" s="64" cm="1">
        <f t="array" ref="I157">SUMPRODUCT(Asset_Refurbishment_Yr4_24*Long_Term_Monetised_Risk_24)</f>
        <v>0</v>
      </c>
      <c r="J157" s="64" cm="1">
        <f t="array" ref="J157">SUMPRODUCT(Reinforcement_Yr4_24*Long_Term_Monetised_Risk_24)</f>
        <v>0</v>
      </c>
      <c r="K157" s="64" cm="1">
        <f t="array" ref="K157">SUMPRODUCT(Faults_Yr4_24*Long_Term_Monetised_Risk_24)</f>
        <v>0</v>
      </c>
      <c r="L157" s="64" cm="1">
        <f t="array" ref="L157">SUMPRODUCT(HVP_Asset_Replacement_Refurbishment_Yr4_24*Long_Term_Monetised_Risk_24)</f>
        <v>0</v>
      </c>
      <c r="M157" s="64" cm="1">
        <f t="array" ref="M157">SUMPRODUCT(HVP_Other_Yr4_24*Long_Term_Monetised_Risk_24)</f>
        <v>0</v>
      </c>
      <c r="N157" s="64" cm="1">
        <f t="array" ref="N157">SUMPRODUCT(All_Other_Yr4_24*Long_Term_Monetised_Risk_24)</f>
        <v>0</v>
      </c>
      <c r="O157" s="65" cm="1">
        <f t="array" ref="O157">SUMPRODUCT(End_Of_Year_Yr4_24*Long_Term_Monetised_Risk_24)</f>
        <v>0</v>
      </c>
      <c r="Q157" s="110"/>
      <c r="R157" s="111"/>
      <c r="S157" s="119"/>
      <c r="T157" s="114" cm="1">
        <f t="array" ref="T157">SUMPRODUCT(Asset_Replacement_2028_Yr4_24*Long_Term_Monetised_Risk_24)</f>
        <v>0</v>
      </c>
      <c r="U157" s="64" cm="1">
        <f t="array" ref="U157">SUMPRODUCT(Asset_Refurbishment_2028_Yr4_24*Long_Term_Monetised_Risk_24)</f>
        <v>0</v>
      </c>
      <c r="V157" s="65" cm="1">
        <f t="array" ref="V157">SUMPRODUCT(HVP_2028_Yr4_24*Long_Term_Monetised_Risk_24)</f>
        <v>0</v>
      </c>
    </row>
    <row r="158" spans="1:22">
      <c r="B158" s="93" t="s">
        <v>176</v>
      </c>
      <c r="C158" s="91">
        <v>2028</v>
      </c>
      <c r="D158" s="64" cm="1">
        <f t="array" ref="D158">SUMPRODUCT(Start_of_Year_Yr5_24*Long_Term_Monetised_Risk_24)</f>
        <v>0</v>
      </c>
      <c r="E158" s="64" cm="1">
        <f t="array" ref="E158">SUMPRODUCT(Data_Cleansing_Yr5_24*Long_Term_Monetised_Risk_24)</f>
        <v>0</v>
      </c>
      <c r="F158" s="64" cm="1">
        <f t="array" ref="F158">SUMPRODUCT(Deterioration_total_Yr5_24*Long_Term_Monetised_Risk_24)</f>
        <v>0</v>
      </c>
      <c r="G158" s="64" cm="1">
        <f t="array" ref="G158">SUMPRODUCT(Other_Risk_Movements_Yr5_24*Long_Term_Monetised_Risk_24)</f>
        <v>0</v>
      </c>
      <c r="H158" s="64" cm="1">
        <f t="array" ref="H158">SUMPRODUCT(Asset_Replacement_Yr5_24*Long_Term_Monetised_Risk_24)</f>
        <v>0</v>
      </c>
      <c r="I158" s="64" cm="1">
        <f t="array" ref="I158">SUMPRODUCT(Asset_Refurbishment_Yr5_24*Long_Term_Monetised_Risk_24)</f>
        <v>0</v>
      </c>
      <c r="J158" s="64" cm="1">
        <f t="array" ref="J158">SUMPRODUCT(Reinforcement_Yr5_24*Long_Term_Monetised_Risk_24)</f>
        <v>0</v>
      </c>
      <c r="K158" s="64" cm="1">
        <f t="array" ref="K158">SUMPRODUCT(Faults_Yr5_24*Long_Term_Monetised_Risk_24)</f>
        <v>0</v>
      </c>
      <c r="L158" s="64" cm="1">
        <f t="array" ref="L158">SUMPRODUCT(HVP_Asset_Replacement_Refurbishment_Yr5_24*Long_Term_Monetised_Risk_24)</f>
        <v>0</v>
      </c>
      <c r="M158" s="64" cm="1">
        <f t="array" ref="M158">SUMPRODUCT(HVP_Other_Yr5_24*Long_Term_Monetised_Risk_24)</f>
        <v>0</v>
      </c>
      <c r="N158" s="64" cm="1">
        <f t="array" ref="N158">SUMPRODUCT(All_Other_Yr5_24*Long_Term_Monetised_Risk_24)</f>
        <v>0</v>
      </c>
      <c r="O158" s="65" cm="1">
        <f t="array" ref="O158">SUMPRODUCT(End_Of_Year_Yr5_24*Long_Term_Monetised_Risk_24)</f>
        <v>0</v>
      </c>
      <c r="Q158" s="110"/>
      <c r="R158" s="111"/>
      <c r="S158" s="119"/>
      <c r="T158" s="114" cm="1">
        <f t="array" ref="T158">SUMPRODUCT(Asset_Replacement_2028_Yr5_24*Long_Term_Monetised_Risk_24)</f>
        <v>0</v>
      </c>
      <c r="U158" s="64" cm="1">
        <f t="array" ref="U158">SUMPRODUCT(Asset_Refurbishment_2028_Yr5_24*Long_Term_Monetised_Risk_24)</f>
        <v>0</v>
      </c>
      <c r="V158" s="65" cm="1">
        <f t="array" ref="V158">SUMPRODUCT(HVP_2028_Yr5_24*Long_Term_Monetised_Risk_24)</f>
        <v>0</v>
      </c>
    </row>
    <row r="159" spans="1:22" ht="14" thickBot="1">
      <c r="B159" s="103" t="s">
        <v>85</v>
      </c>
      <c r="C159" s="104" t="s">
        <v>131</v>
      </c>
      <c r="D159" s="105"/>
      <c r="E159" s="106">
        <f t="shared" ref="E159:O159" si="56">SUM(E154:E158)</f>
        <v>0</v>
      </c>
      <c r="F159" s="106">
        <f t="shared" si="56"/>
        <v>0</v>
      </c>
      <c r="G159" s="106">
        <f t="shared" si="56"/>
        <v>0</v>
      </c>
      <c r="H159" s="106">
        <f t="shared" si="56"/>
        <v>0</v>
      </c>
      <c r="I159" s="106">
        <f t="shared" si="56"/>
        <v>0</v>
      </c>
      <c r="J159" s="106">
        <f t="shared" si="56"/>
        <v>0</v>
      </c>
      <c r="K159" s="106">
        <f t="shared" si="56"/>
        <v>0</v>
      </c>
      <c r="L159" s="106">
        <f t="shared" si="56"/>
        <v>0</v>
      </c>
      <c r="M159" s="106">
        <f t="shared" si="56"/>
        <v>0</v>
      </c>
      <c r="N159" s="106">
        <f t="shared" si="56"/>
        <v>0</v>
      </c>
      <c r="O159" s="537">
        <f t="shared" si="56"/>
        <v>0</v>
      </c>
      <c r="Q159" s="107" t="str">
        <f ca="1">VLOOKUP($B159,'NARM4 - ED2 NARW Risk Movements'!$B$7:$G$67,4,FALSE)</f>
        <v/>
      </c>
      <c r="R159" s="109" t="str">
        <f ca="1">VLOOKUP($B159,'NARM4 - ED2 NARW Risk Movements'!$B$7:$G$67,5,FALSE)</f>
        <v/>
      </c>
      <c r="S159" s="121" t="str">
        <f ca="1">VLOOKUP($B159,'NARM4 - ED2 NARW Risk Movements'!$B$7:$G$67,6,FALSE)</f>
        <v/>
      </c>
      <c r="T159" s="117">
        <f>SUM(T154:T158)</f>
        <v>0</v>
      </c>
      <c r="U159" s="106">
        <f t="shared" ref="U159" si="57">SUM(U154:U158)</f>
        <v>0</v>
      </c>
      <c r="V159" s="108">
        <f>SUM(V154:V158)</f>
        <v>0</v>
      </c>
    </row>
    <row r="160" spans="1:22" ht="14" thickTop="1">
      <c r="A160" s="143">
        <v>25</v>
      </c>
      <c r="B160" s="99" t="s">
        <v>86</v>
      </c>
      <c r="C160" s="100">
        <v>2024</v>
      </c>
      <c r="D160" s="101" cm="1">
        <f t="array" ref="D160">SUMPRODUCT(Start_of_Year_Yr1_25*Long_Term_Monetised_Risk_25)</f>
        <v>0</v>
      </c>
      <c r="E160" s="101" cm="1">
        <f t="array" ref="E160">SUMPRODUCT(Data_Cleansing_Yr1_25*Long_Term_Monetised_Risk_25)</f>
        <v>0</v>
      </c>
      <c r="F160" s="101" cm="1">
        <f t="array" ref="F160">SUMPRODUCT(Deterioration_total_Yr1_25*Long_Term_Monetised_Risk_25)</f>
        <v>0</v>
      </c>
      <c r="G160" s="101" cm="1">
        <f t="array" ref="G160">SUMPRODUCT(Other_Risk_Movements_Yr1_25*Long_Term_Monetised_Risk_25)</f>
        <v>0</v>
      </c>
      <c r="H160" s="101" cm="1">
        <f t="array" ref="H160">SUMPRODUCT(Asset_Replacement_Yr1_25*Long_Term_Monetised_Risk_25)</f>
        <v>0</v>
      </c>
      <c r="I160" s="101" cm="1">
        <f t="array" ref="I160">SUMPRODUCT(Asset_Refurbishment_Yr1_25*Long_Term_Monetised_Risk_25)</f>
        <v>0</v>
      </c>
      <c r="J160" s="101" cm="1">
        <f t="array" ref="J160">SUMPRODUCT(Reinforcement_Yr1_25*Long_Term_Monetised_Risk_25)</f>
        <v>0</v>
      </c>
      <c r="K160" s="101" cm="1">
        <f t="array" ref="K160">SUMPRODUCT(Faults_Yr1_25*Long_Term_Monetised_Risk_25)</f>
        <v>0</v>
      </c>
      <c r="L160" s="101" cm="1">
        <f t="array" ref="L160">SUMPRODUCT(HVP_Asset_Replacement_Refurbishment_Yr1_25*Long_Term_Monetised_Risk_25)</f>
        <v>0</v>
      </c>
      <c r="M160" s="101" cm="1">
        <f t="array" ref="M160">SUMPRODUCT(HVP_Other_Yr1_25*Long_Term_Monetised_Risk_25)</f>
        <v>0</v>
      </c>
      <c r="N160" s="101" cm="1">
        <f t="array" ref="N160">SUMPRODUCT(All_Other_Yr1_25*Long_Term_Monetised_Risk_25)</f>
        <v>0</v>
      </c>
      <c r="O160" s="102" cm="1">
        <f t="array" ref="O160">SUMPRODUCT(End_Of_Year_Yr1_25*Long_Term_Monetised_Risk_25)</f>
        <v>0</v>
      </c>
      <c r="Q160" s="112"/>
      <c r="R160" s="113"/>
      <c r="S160" s="120"/>
      <c r="T160" s="115" cm="1">
        <f t="array" ref="T160">SUMPRODUCT(Asset_Replacement_2028_Yr1_25*Long_Term_Monetised_Risk_25)</f>
        <v>0</v>
      </c>
      <c r="U160" s="101" cm="1">
        <f t="array" ref="U160">SUMPRODUCT(Asset_Refurbishment_2028_Yr1_25*Long_Term_Monetised_Risk_25)</f>
        <v>0</v>
      </c>
      <c r="V160" s="102" cm="1">
        <f t="array" ref="V160">SUMPRODUCT(HVP_2028_Yr1_25*Long_Term_Monetised_Risk_25)</f>
        <v>0</v>
      </c>
    </row>
    <row r="161" spans="1:22">
      <c r="B161" s="93" t="s">
        <v>86</v>
      </c>
      <c r="C161" s="91">
        <v>2025</v>
      </c>
      <c r="D161" s="64" cm="1">
        <f t="array" ref="D161">SUMPRODUCT(Start_of_Year_Yr2_25*Long_Term_Monetised_Risk_25)</f>
        <v>0</v>
      </c>
      <c r="E161" s="64" cm="1">
        <f t="array" ref="E161">SUMPRODUCT(Data_Cleansing_Yr2_25*Long_Term_Monetised_Risk_25)</f>
        <v>0</v>
      </c>
      <c r="F161" s="64" cm="1">
        <f t="array" ref="F161">SUMPRODUCT(Deterioration_total_Yr2_25*Long_Term_Monetised_Risk_25)</f>
        <v>0</v>
      </c>
      <c r="G161" s="64" cm="1">
        <f t="array" ref="G161">SUMPRODUCT(Other_Risk_Movements_Yr2_25*Long_Term_Monetised_Risk_25)</f>
        <v>0</v>
      </c>
      <c r="H161" s="64" cm="1">
        <f t="array" ref="H161">SUMPRODUCT(Asset_Replacement_Yr2_25*Long_Term_Monetised_Risk_25)</f>
        <v>0</v>
      </c>
      <c r="I161" s="64" cm="1">
        <f t="array" ref="I161">SUMPRODUCT(Asset_Refurbishment_Yr2_25*Long_Term_Monetised_Risk_25)</f>
        <v>0</v>
      </c>
      <c r="J161" s="64" cm="1">
        <f t="array" ref="J161">SUMPRODUCT(Reinforcement_Yr2_25*Long_Term_Monetised_Risk_25)</f>
        <v>0</v>
      </c>
      <c r="K161" s="64" cm="1">
        <f t="array" ref="K161">SUMPRODUCT(Faults_Yr2_25*Long_Term_Monetised_Risk_25)</f>
        <v>0</v>
      </c>
      <c r="L161" s="64" cm="1">
        <f t="array" ref="L161">SUMPRODUCT(HVP_Asset_Replacement_Refurbishment_Yr2_25*Long_Term_Monetised_Risk_25)</f>
        <v>0</v>
      </c>
      <c r="M161" s="64" cm="1">
        <f t="array" ref="M161">SUMPRODUCT(HVP_Other_Yr2_25*Long_Term_Monetised_Risk_25)</f>
        <v>0</v>
      </c>
      <c r="N161" s="64" cm="1">
        <f t="array" ref="N161">SUMPRODUCT(All_Other_Yr2_25*Long_Term_Monetised_Risk_25)</f>
        <v>0</v>
      </c>
      <c r="O161" s="65" cm="1">
        <f t="array" ref="O161">SUMPRODUCT(End_Of_Year_Yr2_25*Long_Term_Monetised_Risk_25)</f>
        <v>0</v>
      </c>
      <c r="Q161" s="110"/>
      <c r="R161" s="111"/>
      <c r="S161" s="119"/>
      <c r="T161" s="114" cm="1">
        <f t="array" ref="T161">SUMPRODUCT(Asset_Replacement_2028_Yr2_25*Long_Term_Monetised_Risk_25)</f>
        <v>0</v>
      </c>
      <c r="U161" s="64" cm="1">
        <f t="array" ref="U161">SUMPRODUCT(Asset_Refurbishment_2028_Yr2_25*Long_Term_Monetised_Risk_25)</f>
        <v>0</v>
      </c>
      <c r="V161" s="65" cm="1">
        <f t="array" ref="V161">SUMPRODUCT(HVP_2028_Yr2_25*Long_Term_Monetised_Risk_25)</f>
        <v>0</v>
      </c>
    </row>
    <row r="162" spans="1:22">
      <c r="B162" s="93" t="s">
        <v>86</v>
      </c>
      <c r="C162" s="91">
        <v>2026</v>
      </c>
      <c r="D162" s="64" cm="1">
        <f t="array" ref="D162">SUMPRODUCT(Start_of_Year_Yr3_25*Long_Term_Monetised_Risk_25)</f>
        <v>0</v>
      </c>
      <c r="E162" s="64" cm="1">
        <f t="array" ref="E162">SUMPRODUCT(Data_Cleansing_Yr3_25*Long_Term_Monetised_Risk_25)</f>
        <v>0</v>
      </c>
      <c r="F162" s="64" cm="1">
        <f t="array" ref="F162">SUMPRODUCT(Deterioration_total_Yr3_25*Long_Term_Monetised_Risk_25)</f>
        <v>0</v>
      </c>
      <c r="G162" s="64" cm="1">
        <f t="array" ref="G162">SUMPRODUCT(Other_Risk_Movements_Yr3_25*Long_Term_Monetised_Risk_25)</f>
        <v>0</v>
      </c>
      <c r="H162" s="64" cm="1">
        <f t="array" ref="H162">SUMPRODUCT(Asset_Replacement_Yr3_25*Long_Term_Monetised_Risk_25)</f>
        <v>0</v>
      </c>
      <c r="I162" s="64" cm="1">
        <f t="array" ref="I162">SUMPRODUCT(Asset_Refurbishment_Yr3_25*Long_Term_Monetised_Risk_25)</f>
        <v>0</v>
      </c>
      <c r="J162" s="64" cm="1">
        <f t="array" ref="J162">SUMPRODUCT(Reinforcement_Yr3_25*Long_Term_Monetised_Risk_25)</f>
        <v>0</v>
      </c>
      <c r="K162" s="64" cm="1">
        <f t="array" ref="K162">SUMPRODUCT(Faults_Yr3_25*Long_Term_Monetised_Risk_25)</f>
        <v>0</v>
      </c>
      <c r="L162" s="64" cm="1">
        <f t="array" ref="L162">SUMPRODUCT(HVP_Asset_Replacement_Refurbishment_Yr3_25*Long_Term_Monetised_Risk_25)</f>
        <v>0</v>
      </c>
      <c r="M162" s="64" cm="1">
        <f t="array" ref="M162">SUMPRODUCT(HVP_Other_Yr3_25*Long_Term_Monetised_Risk_25)</f>
        <v>0</v>
      </c>
      <c r="N162" s="64" cm="1">
        <f t="array" ref="N162">SUMPRODUCT(All_Other_Yr3_25*Long_Term_Monetised_Risk_25)</f>
        <v>0</v>
      </c>
      <c r="O162" s="65" cm="1">
        <f t="array" ref="O162">SUMPRODUCT(End_Of_Year_Yr3_25*Long_Term_Monetised_Risk_25)</f>
        <v>0</v>
      </c>
      <c r="Q162" s="110"/>
      <c r="R162" s="111"/>
      <c r="S162" s="119"/>
      <c r="T162" s="114" cm="1">
        <f t="array" ref="T162">SUMPRODUCT(Asset_Replacement_2028_Yr3_25*Long_Term_Monetised_Risk_25)</f>
        <v>0</v>
      </c>
      <c r="U162" s="64" cm="1">
        <f t="array" ref="U162">SUMPRODUCT(Asset_Refurbishment_2028_Yr3_25*Long_Term_Monetised_Risk_25)</f>
        <v>0</v>
      </c>
      <c r="V162" s="65" cm="1">
        <f t="array" ref="V162">SUMPRODUCT(HVP_2028_Yr3_25*Long_Term_Monetised_Risk_25)</f>
        <v>0</v>
      </c>
    </row>
    <row r="163" spans="1:22">
      <c r="B163" s="93" t="s">
        <v>86</v>
      </c>
      <c r="C163" s="91">
        <v>2027</v>
      </c>
      <c r="D163" s="64" cm="1">
        <f t="array" ref="D163">SUMPRODUCT(Start_of_Year_Yr4_25*Long_Term_Monetised_Risk_25)</f>
        <v>0</v>
      </c>
      <c r="E163" s="64" cm="1">
        <f t="array" ref="E163">SUMPRODUCT(Data_Cleansing_Yr4_25*Long_Term_Monetised_Risk_25)</f>
        <v>0</v>
      </c>
      <c r="F163" s="64" cm="1">
        <f t="array" ref="F163">SUMPRODUCT(Deterioration_total_Yr4_25*Long_Term_Monetised_Risk_25)</f>
        <v>0</v>
      </c>
      <c r="G163" s="64" cm="1">
        <f t="array" ref="G163">SUMPRODUCT(Other_Risk_Movements_Yr4_25*Long_Term_Monetised_Risk_25)</f>
        <v>0</v>
      </c>
      <c r="H163" s="64" cm="1">
        <f t="array" ref="H163">SUMPRODUCT(Asset_Replacement_Yr4_25*Long_Term_Monetised_Risk_25)</f>
        <v>0</v>
      </c>
      <c r="I163" s="64" cm="1">
        <f t="array" ref="I163">SUMPRODUCT(Asset_Refurbishment_Yr4_25*Long_Term_Monetised_Risk_25)</f>
        <v>0</v>
      </c>
      <c r="J163" s="64" cm="1">
        <f t="array" ref="J163">SUMPRODUCT(Reinforcement_Yr4_25*Long_Term_Monetised_Risk_25)</f>
        <v>0</v>
      </c>
      <c r="K163" s="64" cm="1">
        <f t="array" ref="K163">SUMPRODUCT(Faults_Yr4_25*Long_Term_Monetised_Risk_25)</f>
        <v>0</v>
      </c>
      <c r="L163" s="64" cm="1">
        <f t="array" ref="L163">SUMPRODUCT(HVP_Asset_Replacement_Refurbishment_Yr4_25*Long_Term_Monetised_Risk_25)</f>
        <v>0</v>
      </c>
      <c r="M163" s="64" cm="1">
        <f t="array" ref="M163">SUMPRODUCT(HVP_Other_Yr4_25*Long_Term_Monetised_Risk_25)</f>
        <v>0</v>
      </c>
      <c r="N163" s="64" cm="1">
        <f t="array" ref="N163">SUMPRODUCT(All_Other_Yr4_25*Long_Term_Monetised_Risk_25)</f>
        <v>0</v>
      </c>
      <c r="O163" s="65" cm="1">
        <f t="array" ref="O163">SUMPRODUCT(End_Of_Year_Yr4_25*Long_Term_Monetised_Risk_25)</f>
        <v>0</v>
      </c>
      <c r="Q163" s="110"/>
      <c r="R163" s="111"/>
      <c r="S163" s="119"/>
      <c r="T163" s="114" cm="1">
        <f t="array" ref="T163">SUMPRODUCT(Asset_Replacement_2028_Yr4_25*Long_Term_Monetised_Risk_25)</f>
        <v>0</v>
      </c>
      <c r="U163" s="64" cm="1">
        <f t="array" ref="U163">SUMPRODUCT(Asset_Refurbishment_2028_Yr4_25*Long_Term_Monetised_Risk_25)</f>
        <v>0</v>
      </c>
      <c r="V163" s="65" cm="1">
        <f t="array" ref="V163">SUMPRODUCT(HVP_2028_Yr4_25*Long_Term_Monetised_Risk_25)</f>
        <v>0</v>
      </c>
    </row>
    <row r="164" spans="1:22">
      <c r="B164" s="93" t="s">
        <v>86</v>
      </c>
      <c r="C164" s="91">
        <v>2028</v>
      </c>
      <c r="D164" s="64" cm="1">
        <f t="array" ref="D164">SUMPRODUCT(Start_of_Year_Yr5_25*Long_Term_Monetised_Risk_25)</f>
        <v>0</v>
      </c>
      <c r="E164" s="64" cm="1">
        <f t="array" ref="E164">SUMPRODUCT(Data_Cleansing_Yr5_25*Long_Term_Monetised_Risk_25)</f>
        <v>0</v>
      </c>
      <c r="F164" s="64" cm="1">
        <f t="array" ref="F164">SUMPRODUCT(Deterioration_total_Yr5_25*Long_Term_Monetised_Risk_25)</f>
        <v>0</v>
      </c>
      <c r="G164" s="64" cm="1">
        <f t="array" ref="G164">SUMPRODUCT(Other_Risk_Movements_Yr5_25*Long_Term_Monetised_Risk_25)</f>
        <v>0</v>
      </c>
      <c r="H164" s="64" cm="1">
        <f t="array" ref="H164">SUMPRODUCT(Asset_Replacement_Yr5_25*Long_Term_Monetised_Risk_25)</f>
        <v>0</v>
      </c>
      <c r="I164" s="64" cm="1">
        <f t="array" ref="I164">SUMPRODUCT(Asset_Refurbishment_Yr5_25*Long_Term_Monetised_Risk_25)</f>
        <v>0</v>
      </c>
      <c r="J164" s="64" cm="1">
        <f t="array" ref="J164">SUMPRODUCT(Reinforcement_Yr5_25*Long_Term_Monetised_Risk_25)</f>
        <v>0</v>
      </c>
      <c r="K164" s="64" cm="1">
        <f t="array" ref="K164">SUMPRODUCT(Faults_Yr5_25*Long_Term_Monetised_Risk_25)</f>
        <v>0</v>
      </c>
      <c r="L164" s="64" cm="1">
        <f t="array" ref="L164">SUMPRODUCT(HVP_Asset_Replacement_Refurbishment_Yr5_25*Long_Term_Monetised_Risk_25)</f>
        <v>0</v>
      </c>
      <c r="M164" s="64" cm="1">
        <f t="array" ref="M164">SUMPRODUCT(HVP_Other_Yr5_25*Long_Term_Monetised_Risk_25)</f>
        <v>0</v>
      </c>
      <c r="N164" s="64" cm="1">
        <f t="array" ref="N164">SUMPRODUCT(All_Other_Yr5_25*Long_Term_Monetised_Risk_25)</f>
        <v>0</v>
      </c>
      <c r="O164" s="65" cm="1">
        <f t="array" ref="O164">SUMPRODUCT(End_Of_Year_Yr5_25*Long_Term_Monetised_Risk_25)</f>
        <v>0</v>
      </c>
      <c r="Q164" s="110"/>
      <c r="R164" s="111"/>
      <c r="S164" s="119"/>
      <c r="T164" s="114" cm="1">
        <f t="array" ref="T164">SUMPRODUCT(Asset_Replacement_2028_Yr5_25*Long_Term_Monetised_Risk_25)</f>
        <v>0</v>
      </c>
      <c r="U164" s="64" cm="1">
        <f t="array" ref="U164">SUMPRODUCT(Asset_Refurbishment_2028_Yr5_25*Long_Term_Monetised_Risk_25)</f>
        <v>0</v>
      </c>
      <c r="V164" s="65" cm="1">
        <f t="array" ref="V164">SUMPRODUCT(HVP_2028_Yr5_25*Long_Term_Monetised_Risk_25)</f>
        <v>0</v>
      </c>
    </row>
    <row r="165" spans="1:22" ht="14" thickBot="1">
      <c r="B165" s="103" t="s">
        <v>86</v>
      </c>
      <c r="C165" s="104" t="s">
        <v>131</v>
      </c>
      <c r="D165" s="105"/>
      <c r="E165" s="106">
        <f t="shared" ref="E165:O165" si="58">SUM(E160:E164)</f>
        <v>0</v>
      </c>
      <c r="F165" s="106">
        <f t="shared" si="58"/>
        <v>0</v>
      </c>
      <c r="G165" s="106">
        <f t="shared" si="58"/>
        <v>0</v>
      </c>
      <c r="H165" s="106">
        <f t="shared" si="58"/>
        <v>0</v>
      </c>
      <c r="I165" s="106">
        <f t="shared" si="58"/>
        <v>0</v>
      </c>
      <c r="J165" s="106">
        <f t="shared" si="58"/>
        <v>0</v>
      </c>
      <c r="K165" s="106">
        <f t="shared" si="58"/>
        <v>0</v>
      </c>
      <c r="L165" s="106">
        <f t="shared" si="58"/>
        <v>0</v>
      </c>
      <c r="M165" s="106">
        <f t="shared" si="58"/>
        <v>0</v>
      </c>
      <c r="N165" s="106">
        <f t="shared" si="58"/>
        <v>0</v>
      </c>
      <c r="O165" s="537">
        <f t="shared" si="58"/>
        <v>0</v>
      </c>
      <c r="Q165" s="107" t="str">
        <f ca="1">VLOOKUP($B165,'NARM4 - ED2 NARW Risk Movements'!$B$7:$G$67,4,FALSE)</f>
        <v/>
      </c>
      <c r="R165" s="109" t="str">
        <f ca="1">VLOOKUP($B165,'NARM4 - ED2 NARW Risk Movements'!$B$7:$G$67,5,FALSE)</f>
        <v/>
      </c>
      <c r="S165" s="121" t="str">
        <f ca="1">VLOOKUP($B165,'NARM4 - ED2 NARW Risk Movements'!$B$7:$G$67,6,FALSE)</f>
        <v/>
      </c>
      <c r="T165" s="117">
        <f>SUM(T160:T164)</f>
        <v>0</v>
      </c>
      <c r="U165" s="106">
        <f t="shared" ref="U165" si="59">SUM(U160:U164)</f>
        <v>0</v>
      </c>
      <c r="V165" s="108">
        <f>SUM(V160:V164)</f>
        <v>0</v>
      </c>
    </row>
    <row r="166" spans="1:22" ht="14" thickTop="1">
      <c r="A166" s="143">
        <v>26</v>
      </c>
      <c r="B166" s="99" t="s">
        <v>87</v>
      </c>
      <c r="C166" s="100">
        <v>2024</v>
      </c>
      <c r="D166" s="101" cm="1">
        <f t="array" ref="D166">SUMPRODUCT(Start_of_Year_Yr1_26*Long_Term_Monetised_Risk_26)</f>
        <v>0</v>
      </c>
      <c r="E166" s="101" cm="1">
        <f t="array" ref="E166">SUMPRODUCT(Data_Cleansing_Yr1_26*Long_Term_Monetised_Risk_26)</f>
        <v>0</v>
      </c>
      <c r="F166" s="101" cm="1">
        <f t="array" ref="F166">SUMPRODUCT(Deterioration_total_Yr1_26*Long_Term_Monetised_Risk_26)</f>
        <v>0</v>
      </c>
      <c r="G166" s="101" cm="1">
        <f t="array" ref="G166">SUMPRODUCT(Other_Risk_Movements_Yr1_26*Long_Term_Monetised_Risk_26)</f>
        <v>0</v>
      </c>
      <c r="H166" s="101" cm="1">
        <f t="array" ref="H166">SUMPRODUCT(Asset_Replacement_Yr1_26*Long_Term_Monetised_Risk_26)</f>
        <v>0</v>
      </c>
      <c r="I166" s="101" cm="1">
        <f t="array" ref="I166">SUMPRODUCT(Asset_Refurbishment_Yr1_26*Long_Term_Monetised_Risk_26)</f>
        <v>0</v>
      </c>
      <c r="J166" s="101" cm="1">
        <f t="array" ref="J166">SUMPRODUCT(Reinforcement_Yr1_26*Long_Term_Monetised_Risk_26)</f>
        <v>0</v>
      </c>
      <c r="K166" s="101" cm="1">
        <f t="array" ref="K166">SUMPRODUCT(Faults_Yr1_26*Long_Term_Monetised_Risk_26)</f>
        <v>0</v>
      </c>
      <c r="L166" s="101" cm="1">
        <f t="array" ref="L166">SUMPRODUCT(HVP_Asset_Replacement_Refurbishment_Yr1_26*Long_Term_Monetised_Risk_26)</f>
        <v>0</v>
      </c>
      <c r="M166" s="101" cm="1">
        <f t="array" ref="M166">SUMPRODUCT(HVP_Other_Yr1_26*Long_Term_Monetised_Risk_26)</f>
        <v>0</v>
      </c>
      <c r="N166" s="101" cm="1">
        <f t="array" ref="N166">SUMPRODUCT(All_Other_Yr1_26*Long_Term_Monetised_Risk_26)</f>
        <v>0</v>
      </c>
      <c r="O166" s="102" cm="1">
        <f t="array" ref="O166">SUMPRODUCT(End_Of_Year_Yr1_26*Long_Term_Monetised_Risk_26)</f>
        <v>0</v>
      </c>
      <c r="Q166" s="112"/>
      <c r="R166" s="113"/>
      <c r="S166" s="120"/>
      <c r="T166" s="115" cm="1">
        <f t="array" ref="T166">SUMPRODUCT(Asset_Replacement_2028_Yr1_26*Long_Term_Monetised_Risk_26)</f>
        <v>0</v>
      </c>
      <c r="U166" s="101" cm="1">
        <f t="array" ref="U166">SUMPRODUCT(Asset_Refurbishment_2028_Yr1_26*Long_Term_Monetised_Risk_26)</f>
        <v>0</v>
      </c>
      <c r="V166" s="102" cm="1">
        <f t="array" ref="V166">SUMPRODUCT(HVP_2028_Yr1_26*Long_Term_Monetised_Risk_26)</f>
        <v>0</v>
      </c>
    </row>
    <row r="167" spans="1:22">
      <c r="B167" s="93" t="s">
        <v>87</v>
      </c>
      <c r="C167" s="91">
        <v>2025</v>
      </c>
      <c r="D167" s="64" cm="1">
        <f t="array" ref="D167">SUMPRODUCT(Start_of_Year_Yr2_26*Long_Term_Monetised_Risk_26)</f>
        <v>0</v>
      </c>
      <c r="E167" s="64" cm="1">
        <f t="array" ref="E167">SUMPRODUCT(Data_Cleansing_Yr2_26*Long_Term_Monetised_Risk_26)</f>
        <v>0</v>
      </c>
      <c r="F167" s="64" cm="1">
        <f t="array" ref="F167">SUMPRODUCT(Deterioration_total_Yr2_26*Long_Term_Monetised_Risk_26)</f>
        <v>0</v>
      </c>
      <c r="G167" s="64" cm="1">
        <f t="array" ref="G167">SUMPRODUCT(Other_Risk_Movements_Yr2_26*Long_Term_Monetised_Risk_26)</f>
        <v>0</v>
      </c>
      <c r="H167" s="64" cm="1">
        <f t="array" ref="H167">SUMPRODUCT(Asset_Replacement_Yr2_26*Long_Term_Monetised_Risk_26)</f>
        <v>0</v>
      </c>
      <c r="I167" s="64" cm="1">
        <f t="array" ref="I167">SUMPRODUCT(Asset_Refurbishment_Yr2_26*Long_Term_Monetised_Risk_26)</f>
        <v>0</v>
      </c>
      <c r="J167" s="64" cm="1">
        <f t="array" ref="J167">SUMPRODUCT(Reinforcement_Yr2_26*Long_Term_Monetised_Risk_26)</f>
        <v>0</v>
      </c>
      <c r="K167" s="64" cm="1">
        <f t="array" ref="K167">SUMPRODUCT(Faults_Yr2_26*Long_Term_Monetised_Risk_26)</f>
        <v>0</v>
      </c>
      <c r="L167" s="64" cm="1">
        <f t="array" ref="L167">SUMPRODUCT(HVP_Asset_Replacement_Refurbishment_Yr2_26*Long_Term_Monetised_Risk_26)</f>
        <v>0</v>
      </c>
      <c r="M167" s="64" cm="1">
        <f t="array" ref="M167">SUMPRODUCT(HVP_Other_Yr2_26*Long_Term_Monetised_Risk_26)</f>
        <v>0</v>
      </c>
      <c r="N167" s="64" cm="1">
        <f t="array" ref="N167">SUMPRODUCT(All_Other_Yr2_26*Long_Term_Monetised_Risk_26)</f>
        <v>0</v>
      </c>
      <c r="O167" s="65" cm="1">
        <f t="array" ref="O167">SUMPRODUCT(End_Of_Year_Yr2_26*Long_Term_Monetised_Risk_26)</f>
        <v>0</v>
      </c>
      <c r="Q167" s="110"/>
      <c r="R167" s="111"/>
      <c r="S167" s="119"/>
      <c r="T167" s="114" cm="1">
        <f t="array" ref="T167">SUMPRODUCT(Asset_Replacement_2028_Yr2_26*Long_Term_Monetised_Risk_26)</f>
        <v>0</v>
      </c>
      <c r="U167" s="64" cm="1">
        <f t="array" ref="U167">SUMPRODUCT(Asset_Refurbishment_2028_Yr2_26*Long_Term_Monetised_Risk_26)</f>
        <v>0</v>
      </c>
      <c r="V167" s="65" cm="1">
        <f t="array" ref="V167">SUMPRODUCT(HVP_2028_Yr2_26*Long_Term_Monetised_Risk_26)</f>
        <v>0</v>
      </c>
    </row>
    <row r="168" spans="1:22">
      <c r="B168" s="93" t="s">
        <v>87</v>
      </c>
      <c r="C168" s="91">
        <v>2026</v>
      </c>
      <c r="D168" s="64" cm="1">
        <f t="array" ref="D168">SUMPRODUCT(Start_of_Year_Yr3_26*Long_Term_Monetised_Risk_26)</f>
        <v>0</v>
      </c>
      <c r="E168" s="64" cm="1">
        <f t="array" ref="E168">SUMPRODUCT(Data_Cleansing_Yr3_26*Long_Term_Monetised_Risk_26)</f>
        <v>0</v>
      </c>
      <c r="F168" s="64" cm="1">
        <f t="array" ref="F168">SUMPRODUCT(Deterioration_total_Yr3_26*Long_Term_Monetised_Risk_26)</f>
        <v>0</v>
      </c>
      <c r="G168" s="64" cm="1">
        <f t="array" ref="G168">SUMPRODUCT(Other_Risk_Movements_Yr3_26*Long_Term_Monetised_Risk_26)</f>
        <v>0</v>
      </c>
      <c r="H168" s="64" cm="1">
        <f t="array" ref="H168">SUMPRODUCT(Asset_Replacement_Yr3_26*Long_Term_Monetised_Risk_26)</f>
        <v>0</v>
      </c>
      <c r="I168" s="64" cm="1">
        <f t="array" ref="I168">SUMPRODUCT(Asset_Refurbishment_Yr3_26*Long_Term_Monetised_Risk_26)</f>
        <v>0</v>
      </c>
      <c r="J168" s="64" cm="1">
        <f t="array" ref="J168">SUMPRODUCT(Reinforcement_Yr3_26*Long_Term_Monetised_Risk_26)</f>
        <v>0</v>
      </c>
      <c r="K168" s="64" cm="1">
        <f t="array" ref="K168">SUMPRODUCT(Faults_Yr3_26*Long_Term_Monetised_Risk_26)</f>
        <v>0</v>
      </c>
      <c r="L168" s="64" cm="1">
        <f t="array" ref="L168">SUMPRODUCT(HVP_Asset_Replacement_Refurbishment_Yr3_26*Long_Term_Monetised_Risk_26)</f>
        <v>0</v>
      </c>
      <c r="M168" s="64" cm="1">
        <f t="array" ref="M168">SUMPRODUCT(HVP_Other_Yr3_26*Long_Term_Monetised_Risk_26)</f>
        <v>0</v>
      </c>
      <c r="N168" s="64" cm="1">
        <f t="array" ref="N168">SUMPRODUCT(All_Other_Yr3_26*Long_Term_Monetised_Risk_26)</f>
        <v>0</v>
      </c>
      <c r="O168" s="65" cm="1">
        <f t="array" ref="O168">SUMPRODUCT(End_Of_Year_Yr3_26*Long_Term_Monetised_Risk_26)</f>
        <v>0</v>
      </c>
      <c r="Q168" s="110"/>
      <c r="R168" s="111"/>
      <c r="S168" s="119"/>
      <c r="T168" s="114" cm="1">
        <f t="array" ref="T168">SUMPRODUCT(Asset_Replacement_2028_Yr3_26*Long_Term_Monetised_Risk_26)</f>
        <v>0</v>
      </c>
      <c r="U168" s="64" cm="1">
        <f t="array" ref="U168">SUMPRODUCT(Asset_Refurbishment_2028_Yr3_26*Long_Term_Monetised_Risk_26)</f>
        <v>0</v>
      </c>
      <c r="V168" s="65" cm="1">
        <f t="array" ref="V168">SUMPRODUCT(HVP_2028_Yr3_26*Long_Term_Monetised_Risk_26)</f>
        <v>0</v>
      </c>
    </row>
    <row r="169" spans="1:22">
      <c r="B169" s="93" t="s">
        <v>87</v>
      </c>
      <c r="C169" s="91">
        <v>2027</v>
      </c>
      <c r="D169" s="64" cm="1">
        <f t="array" ref="D169">SUMPRODUCT(Start_of_Year_Yr4_26*Long_Term_Monetised_Risk_26)</f>
        <v>0</v>
      </c>
      <c r="E169" s="64" cm="1">
        <f t="array" ref="E169">SUMPRODUCT(Data_Cleansing_Yr4_26*Long_Term_Monetised_Risk_26)</f>
        <v>0</v>
      </c>
      <c r="F169" s="64" cm="1">
        <f t="array" ref="F169">SUMPRODUCT(Deterioration_total_Yr4_26*Long_Term_Monetised_Risk_26)</f>
        <v>0</v>
      </c>
      <c r="G169" s="64" cm="1">
        <f t="array" ref="G169">SUMPRODUCT(Other_Risk_Movements_Yr4_26*Long_Term_Monetised_Risk_26)</f>
        <v>0</v>
      </c>
      <c r="H169" s="64" cm="1">
        <f t="array" ref="H169">SUMPRODUCT(Asset_Replacement_Yr4_26*Long_Term_Monetised_Risk_26)</f>
        <v>0</v>
      </c>
      <c r="I169" s="64" cm="1">
        <f t="array" ref="I169">SUMPRODUCT(Asset_Refurbishment_Yr4_26*Long_Term_Monetised_Risk_26)</f>
        <v>0</v>
      </c>
      <c r="J169" s="64" cm="1">
        <f t="array" ref="J169">SUMPRODUCT(Reinforcement_Yr4_26*Long_Term_Monetised_Risk_26)</f>
        <v>0</v>
      </c>
      <c r="K169" s="64" cm="1">
        <f t="array" ref="K169">SUMPRODUCT(Faults_Yr4_26*Long_Term_Monetised_Risk_26)</f>
        <v>0</v>
      </c>
      <c r="L169" s="64" cm="1">
        <f t="array" ref="L169">SUMPRODUCT(HVP_Asset_Replacement_Refurbishment_Yr4_26*Long_Term_Monetised_Risk_26)</f>
        <v>0</v>
      </c>
      <c r="M169" s="64" cm="1">
        <f t="array" ref="M169">SUMPRODUCT(HVP_Other_Yr4_26*Long_Term_Monetised_Risk_26)</f>
        <v>0</v>
      </c>
      <c r="N169" s="64" cm="1">
        <f t="array" ref="N169">SUMPRODUCT(All_Other_Yr4_26*Long_Term_Monetised_Risk_26)</f>
        <v>0</v>
      </c>
      <c r="O169" s="65" cm="1">
        <f t="array" ref="O169">SUMPRODUCT(End_Of_Year_Yr4_26*Long_Term_Monetised_Risk_26)</f>
        <v>0</v>
      </c>
      <c r="Q169" s="110"/>
      <c r="R169" s="111"/>
      <c r="S169" s="119"/>
      <c r="T169" s="114" cm="1">
        <f t="array" ref="T169">SUMPRODUCT(Asset_Replacement_2028_Yr4_26*Long_Term_Monetised_Risk_26)</f>
        <v>0</v>
      </c>
      <c r="U169" s="64" cm="1">
        <f t="array" ref="U169">SUMPRODUCT(Asset_Refurbishment_2028_Yr4_26*Long_Term_Monetised_Risk_26)</f>
        <v>0</v>
      </c>
      <c r="V169" s="65" cm="1">
        <f t="array" ref="V169">SUMPRODUCT(HVP_2028_Yr4_26*Long_Term_Monetised_Risk_26)</f>
        <v>0</v>
      </c>
    </row>
    <row r="170" spans="1:22">
      <c r="B170" s="93" t="s">
        <v>87</v>
      </c>
      <c r="C170" s="91">
        <v>2028</v>
      </c>
      <c r="D170" s="64" cm="1">
        <f t="array" ref="D170">SUMPRODUCT(Start_of_Year_Yr5_26*Long_Term_Monetised_Risk_26)</f>
        <v>0</v>
      </c>
      <c r="E170" s="64" cm="1">
        <f t="array" ref="E170">SUMPRODUCT(Data_Cleansing_Yr5_26*Long_Term_Monetised_Risk_26)</f>
        <v>0</v>
      </c>
      <c r="F170" s="64" cm="1">
        <f t="array" ref="F170">SUMPRODUCT(Deterioration_total_Yr5_26*Long_Term_Monetised_Risk_26)</f>
        <v>0</v>
      </c>
      <c r="G170" s="64" cm="1">
        <f t="array" ref="G170">SUMPRODUCT(Other_Risk_Movements_Yr5_26*Long_Term_Monetised_Risk_26)</f>
        <v>0</v>
      </c>
      <c r="H170" s="64" cm="1">
        <f t="array" ref="H170">SUMPRODUCT(Asset_Replacement_Yr5_26*Long_Term_Monetised_Risk_26)</f>
        <v>0</v>
      </c>
      <c r="I170" s="64" cm="1">
        <f t="array" ref="I170">SUMPRODUCT(Asset_Refurbishment_Yr5_26*Long_Term_Monetised_Risk_26)</f>
        <v>0</v>
      </c>
      <c r="J170" s="64" cm="1">
        <f t="array" ref="J170">SUMPRODUCT(Reinforcement_Yr5_26*Long_Term_Monetised_Risk_26)</f>
        <v>0</v>
      </c>
      <c r="K170" s="64" cm="1">
        <f t="array" ref="K170">SUMPRODUCT(Faults_Yr5_26*Long_Term_Monetised_Risk_26)</f>
        <v>0</v>
      </c>
      <c r="L170" s="64" cm="1">
        <f t="array" ref="L170">SUMPRODUCT(HVP_Asset_Replacement_Refurbishment_Yr5_26*Long_Term_Monetised_Risk_26)</f>
        <v>0</v>
      </c>
      <c r="M170" s="64" cm="1">
        <f t="array" ref="M170">SUMPRODUCT(HVP_Other_Yr5_26*Long_Term_Monetised_Risk_26)</f>
        <v>0</v>
      </c>
      <c r="N170" s="64" cm="1">
        <f t="array" ref="N170">SUMPRODUCT(All_Other_Yr5_26*Long_Term_Monetised_Risk_26)</f>
        <v>0</v>
      </c>
      <c r="O170" s="65" cm="1">
        <f t="array" ref="O170">SUMPRODUCT(End_Of_Year_Yr5_26*Long_Term_Monetised_Risk_26)</f>
        <v>0</v>
      </c>
      <c r="Q170" s="110"/>
      <c r="R170" s="111"/>
      <c r="S170" s="119"/>
      <c r="T170" s="114" cm="1">
        <f t="array" ref="T170">SUMPRODUCT(Asset_Replacement_2028_Yr5_26*Long_Term_Monetised_Risk_26)</f>
        <v>0</v>
      </c>
      <c r="U170" s="64" cm="1">
        <f t="array" ref="U170">SUMPRODUCT(Asset_Refurbishment_2028_Yr5_26*Long_Term_Monetised_Risk_26)</f>
        <v>0</v>
      </c>
      <c r="V170" s="65" cm="1">
        <f t="array" ref="V170">SUMPRODUCT(HVP_2028_Yr5_26*Long_Term_Monetised_Risk_26)</f>
        <v>0</v>
      </c>
    </row>
    <row r="171" spans="1:22" ht="14" thickBot="1">
      <c r="B171" s="103" t="s">
        <v>87</v>
      </c>
      <c r="C171" s="104" t="s">
        <v>131</v>
      </c>
      <c r="D171" s="105"/>
      <c r="E171" s="106">
        <f t="shared" ref="E171:O171" si="60">SUM(E166:E170)</f>
        <v>0</v>
      </c>
      <c r="F171" s="106">
        <f t="shared" si="60"/>
        <v>0</v>
      </c>
      <c r="G171" s="106">
        <f t="shared" si="60"/>
        <v>0</v>
      </c>
      <c r="H171" s="106">
        <f t="shared" si="60"/>
        <v>0</v>
      </c>
      <c r="I171" s="106">
        <f t="shared" si="60"/>
        <v>0</v>
      </c>
      <c r="J171" s="106">
        <f t="shared" si="60"/>
        <v>0</v>
      </c>
      <c r="K171" s="106">
        <f t="shared" si="60"/>
        <v>0</v>
      </c>
      <c r="L171" s="106">
        <f t="shared" si="60"/>
        <v>0</v>
      </c>
      <c r="M171" s="106">
        <f t="shared" si="60"/>
        <v>0</v>
      </c>
      <c r="N171" s="106">
        <f t="shared" si="60"/>
        <v>0</v>
      </c>
      <c r="O171" s="537">
        <f t="shared" si="60"/>
        <v>0</v>
      </c>
      <c r="Q171" s="107" t="str">
        <f ca="1">VLOOKUP($B171,'NARM4 - ED2 NARW Risk Movements'!$B$7:$G$67,4,FALSE)</f>
        <v/>
      </c>
      <c r="R171" s="109" t="str">
        <f ca="1">VLOOKUP($B171,'NARM4 - ED2 NARW Risk Movements'!$B$7:$G$67,5,FALSE)</f>
        <v/>
      </c>
      <c r="S171" s="121" t="str">
        <f ca="1">VLOOKUP($B171,'NARM4 - ED2 NARW Risk Movements'!$B$7:$G$67,6,FALSE)</f>
        <v/>
      </c>
      <c r="T171" s="117">
        <f>SUM(T166:T170)</f>
        <v>0</v>
      </c>
      <c r="U171" s="106">
        <f t="shared" ref="U171" si="61">SUM(U166:U170)</f>
        <v>0</v>
      </c>
      <c r="V171" s="108">
        <f>SUM(V166:V170)</f>
        <v>0</v>
      </c>
    </row>
    <row r="172" spans="1:22" ht="14" thickTop="1">
      <c r="A172" s="143">
        <v>27</v>
      </c>
      <c r="B172" s="99" t="s">
        <v>88</v>
      </c>
      <c r="C172" s="100">
        <v>2024</v>
      </c>
      <c r="D172" s="101" cm="1">
        <f t="array" ref="D172">SUMPRODUCT(Start_of_Year_Yr1_27*Long_Term_Monetised_Risk_27)</f>
        <v>0</v>
      </c>
      <c r="E172" s="101" cm="1">
        <f t="array" ref="E172">SUMPRODUCT(Data_Cleansing_Yr1_27*Long_Term_Monetised_Risk_27)</f>
        <v>0</v>
      </c>
      <c r="F172" s="101" cm="1">
        <f t="array" ref="F172">SUMPRODUCT(Deterioration_total_Yr1_27*Long_Term_Monetised_Risk_27)</f>
        <v>0</v>
      </c>
      <c r="G172" s="101" cm="1">
        <f t="array" ref="G172">SUMPRODUCT(Other_Risk_Movements_Yr1_27*Long_Term_Monetised_Risk_27)</f>
        <v>0</v>
      </c>
      <c r="H172" s="101" cm="1">
        <f t="array" ref="H172">SUMPRODUCT(Asset_Replacement_Yr1_27*Long_Term_Monetised_Risk_27)</f>
        <v>0</v>
      </c>
      <c r="I172" s="101" cm="1">
        <f t="array" ref="I172">SUMPRODUCT(Asset_Refurbishment_Yr1_27*Long_Term_Monetised_Risk_27)</f>
        <v>0</v>
      </c>
      <c r="J172" s="101" cm="1">
        <f t="array" ref="J172">SUMPRODUCT(Reinforcement_Yr1_27*Long_Term_Monetised_Risk_27)</f>
        <v>0</v>
      </c>
      <c r="K172" s="101" cm="1">
        <f t="array" ref="K172">SUMPRODUCT(Faults_Yr1_27*Long_Term_Monetised_Risk_27)</f>
        <v>0</v>
      </c>
      <c r="L172" s="101" cm="1">
        <f t="array" ref="L172">SUMPRODUCT(HVP_Asset_Replacement_Refurbishment_Yr1_27*Long_Term_Monetised_Risk_27)</f>
        <v>0</v>
      </c>
      <c r="M172" s="101" cm="1">
        <f t="array" ref="M172">SUMPRODUCT(HVP_Other_Yr1_27*Long_Term_Monetised_Risk_27)</f>
        <v>0</v>
      </c>
      <c r="N172" s="101" cm="1">
        <f t="array" ref="N172">SUMPRODUCT(All_Other_Yr1_27*Long_Term_Monetised_Risk_27)</f>
        <v>0</v>
      </c>
      <c r="O172" s="102" cm="1">
        <f t="array" ref="O172">SUMPRODUCT(End_Of_Year_Yr1_27*Long_Term_Monetised_Risk_27)</f>
        <v>0</v>
      </c>
      <c r="Q172" s="112"/>
      <c r="R172" s="113"/>
      <c r="S172" s="120"/>
      <c r="T172" s="115" cm="1">
        <f t="array" ref="T172">SUMPRODUCT(Asset_Replacement_2028_Yr1_27*Long_Term_Monetised_Risk_27)</f>
        <v>0</v>
      </c>
      <c r="U172" s="101" cm="1">
        <f t="array" ref="U172">SUMPRODUCT(Asset_Refurbishment_2028_Yr1_27*Long_Term_Monetised_Risk_27)</f>
        <v>0</v>
      </c>
      <c r="V172" s="102" cm="1">
        <f t="array" ref="V172">SUMPRODUCT(HVP_2028_Yr1_27*Long_Term_Monetised_Risk_27)</f>
        <v>0</v>
      </c>
    </row>
    <row r="173" spans="1:22">
      <c r="B173" s="93" t="s">
        <v>88</v>
      </c>
      <c r="C173" s="91">
        <v>2025</v>
      </c>
      <c r="D173" s="64" cm="1">
        <f t="array" ref="D173">SUMPRODUCT(Start_of_Year_Yr2_27*Long_Term_Monetised_Risk_27)</f>
        <v>0</v>
      </c>
      <c r="E173" s="64" cm="1">
        <f t="array" ref="E173">SUMPRODUCT(Data_Cleansing_Yr2_27*Long_Term_Monetised_Risk_27)</f>
        <v>0</v>
      </c>
      <c r="F173" s="64" cm="1">
        <f t="array" ref="F173">SUMPRODUCT(Deterioration_total_Yr2_27*Long_Term_Monetised_Risk_27)</f>
        <v>0</v>
      </c>
      <c r="G173" s="64" cm="1">
        <f t="array" ref="G173">SUMPRODUCT(Other_Risk_Movements_Yr2_27*Long_Term_Monetised_Risk_27)</f>
        <v>0</v>
      </c>
      <c r="H173" s="64" cm="1">
        <f t="array" ref="H173">SUMPRODUCT(Asset_Replacement_Yr2_27*Long_Term_Monetised_Risk_27)</f>
        <v>0</v>
      </c>
      <c r="I173" s="64" cm="1">
        <f t="array" ref="I173">SUMPRODUCT(Asset_Refurbishment_Yr2_27*Long_Term_Monetised_Risk_27)</f>
        <v>0</v>
      </c>
      <c r="J173" s="64" cm="1">
        <f t="array" ref="J173">SUMPRODUCT(Reinforcement_Yr2_27*Long_Term_Monetised_Risk_27)</f>
        <v>0</v>
      </c>
      <c r="K173" s="64" cm="1">
        <f t="array" ref="K173">SUMPRODUCT(Faults_Yr2_27*Long_Term_Monetised_Risk_27)</f>
        <v>0</v>
      </c>
      <c r="L173" s="64" cm="1">
        <f t="array" ref="L173">SUMPRODUCT(HVP_Asset_Replacement_Refurbishment_Yr2_27*Long_Term_Monetised_Risk_27)</f>
        <v>0</v>
      </c>
      <c r="M173" s="64" cm="1">
        <f t="array" ref="M173">SUMPRODUCT(HVP_Other_Yr2_27*Long_Term_Monetised_Risk_27)</f>
        <v>0</v>
      </c>
      <c r="N173" s="64" cm="1">
        <f t="array" ref="N173">SUMPRODUCT(All_Other_Yr2_27*Long_Term_Monetised_Risk_27)</f>
        <v>0</v>
      </c>
      <c r="O173" s="65" cm="1">
        <f t="array" ref="O173">SUMPRODUCT(End_Of_Year_Yr2_27*Long_Term_Monetised_Risk_27)</f>
        <v>0</v>
      </c>
      <c r="Q173" s="110"/>
      <c r="R173" s="111"/>
      <c r="S173" s="119"/>
      <c r="T173" s="114" cm="1">
        <f t="array" ref="T173">SUMPRODUCT(Asset_Replacement_2028_Yr2_27*Long_Term_Monetised_Risk_27)</f>
        <v>0</v>
      </c>
      <c r="U173" s="64" cm="1">
        <f t="array" ref="U173">SUMPRODUCT(Asset_Refurbishment_2028_Yr2_27*Long_Term_Monetised_Risk_27)</f>
        <v>0</v>
      </c>
      <c r="V173" s="65" cm="1">
        <f t="array" ref="V173">SUMPRODUCT(HVP_2028_Yr2_27*Long_Term_Monetised_Risk_27)</f>
        <v>0</v>
      </c>
    </row>
    <row r="174" spans="1:22">
      <c r="B174" s="93" t="s">
        <v>88</v>
      </c>
      <c r="C174" s="91">
        <v>2026</v>
      </c>
      <c r="D174" s="64" cm="1">
        <f t="array" ref="D174">SUMPRODUCT(Start_of_Year_Yr3_27*Long_Term_Monetised_Risk_27)</f>
        <v>0</v>
      </c>
      <c r="E174" s="64" cm="1">
        <f t="array" ref="E174">SUMPRODUCT(Data_Cleansing_Yr3_27*Long_Term_Monetised_Risk_27)</f>
        <v>0</v>
      </c>
      <c r="F174" s="64" cm="1">
        <f t="array" ref="F174">SUMPRODUCT(Deterioration_total_Yr3_27*Long_Term_Monetised_Risk_27)</f>
        <v>0</v>
      </c>
      <c r="G174" s="64" cm="1">
        <f t="array" ref="G174">SUMPRODUCT(Other_Risk_Movements_Yr3_27*Long_Term_Monetised_Risk_27)</f>
        <v>0</v>
      </c>
      <c r="H174" s="64" cm="1">
        <f t="array" ref="H174">SUMPRODUCT(Asset_Replacement_Yr3_27*Long_Term_Monetised_Risk_27)</f>
        <v>0</v>
      </c>
      <c r="I174" s="64" cm="1">
        <f t="array" ref="I174">SUMPRODUCT(Asset_Refurbishment_Yr3_27*Long_Term_Monetised_Risk_27)</f>
        <v>0</v>
      </c>
      <c r="J174" s="64" cm="1">
        <f t="array" ref="J174">SUMPRODUCT(Reinforcement_Yr3_27*Long_Term_Monetised_Risk_27)</f>
        <v>0</v>
      </c>
      <c r="K174" s="64" cm="1">
        <f t="array" ref="K174">SUMPRODUCT(Faults_Yr3_27*Long_Term_Monetised_Risk_27)</f>
        <v>0</v>
      </c>
      <c r="L174" s="64" cm="1">
        <f t="array" ref="L174">SUMPRODUCT(HVP_Asset_Replacement_Refurbishment_Yr3_27*Long_Term_Monetised_Risk_27)</f>
        <v>0</v>
      </c>
      <c r="M174" s="64" cm="1">
        <f t="array" ref="M174">SUMPRODUCT(HVP_Other_Yr3_27*Long_Term_Monetised_Risk_27)</f>
        <v>0</v>
      </c>
      <c r="N174" s="64" cm="1">
        <f t="array" ref="N174">SUMPRODUCT(All_Other_Yr3_27*Long_Term_Monetised_Risk_27)</f>
        <v>0</v>
      </c>
      <c r="O174" s="65" cm="1">
        <f t="array" ref="O174">SUMPRODUCT(End_Of_Year_Yr3_27*Long_Term_Monetised_Risk_27)</f>
        <v>0</v>
      </c>
      <c r="Q174" s="110"/>
      <c r="R174" s="111"/>
      <c r="S174" s="119"/>
      <c r="T174" s="114" cm="1">
        <f t="array" ref="T174">SUMPRODUCT(Asset_Replacement_2028_Yr3_27*Long_Term_Monetised_Risk_27)</f>
        <v>0</v>
      </c>
      <c r="U174" s="64" cm="1">
        <f t="array" ref="U174">SUMPRODUCT(Asset_Refurbishment_2028_Yr3_27*Long_Term_Monetised_Risk_27)</f>
        <v>0</v>
      </c>
      <c r="V174" s="65" cm="1">
        <f t="array" ref="V174">SUMPRODUCT(HVP_2028_Yr3_27*Long_Term_Monetised_Risk_27)</f>
        <v>0</v>
      </c>
    </row>
    <row r="175" spans="1:22">
      <c r="B175" s="93" t="s">
        <v>88</v>
      </c>
      <c r="C175" s="91">
        <v>2027</v>
      </c>
      <c r="D175" s="64" cm="1">
        <f t="array" ref="D175">SUMPRODUCT(Start_of_Year_Yr4_27*Long_Term_Monetised_Risk_27)</f>
        <v>0</v>
      </c>
      <c r="E175" s="64" cm="1">
        <f t="array" ref="E175">SUMPRODUCT(Data_Cleansing_Yr4_27*Long_Term_Monetised_Risk_27)</f>
        <v>0</v>
      </c>
      <c r="F175" s="64" cm="1">
        <f t="array" ref="F175">SUMPRODUCT(Deterioration_total_Yr4_27*Long_Term_Monetised_Risk_27)</f>
        <v>0</v>
      </c>
      <c r="G175" s="64" cm="1">
        <f t="array" ref="G175">SUMPRODUCT(Other_Risk_Movements_Yr4_27*Long_Term_Monetised_Risk_27)</f>
        <v>0</v>
      </c>
      <c r="H175" s="64" cm="1">
        <f t="array" ref="H175">SUMPRODUCT(Asset_Replacement_Yr4_27*Long_Term_Monetised_Risk_27)</f>
        <v>0</v>
      </c>
      <c r="I175" s="64" cm="1">
        <f t="array" ref="I175">SUMPRODUCT(Asset_Refurbishment_Yr4_27*Long_Term_Monetised_Risk_27)</f>
        <v>0</v>
      </c>
      <c r="J175" s="64" cm="1">
        <f t="array" ref="J175">SUMPRODUCT(Reinforcement_Yr4_27*Long_Term_Monetised_Risk_27)</f>
        <v>0</v>
      </c>
      <c r="K175" s="64" cm="1">
        <f t="array" ref="K175">SUMPRODUCT(Faults_Yr4_27*Long_Term_Monetised_Risk_27)</f>
        <v>0</v>
      </c>
      <c r="L175" s="64" cm="1">
        <f t="array" ref="L175">SUMPRODUCT(HVP_Asset_Replacement_Refurbishment_Yr4_27*Long_Term_Monetised_Risk_27)</f>
        <v>0</v>
      </c>
      <c r="M175" s="64" cm="1">
        <f t="array" ref="M175">SUMPRODUCT(HVP_Other_Yr4_27*Long_Term_Monetised_Risk_27)</f>
        <v>0</v>
      </c>
      <c r="N175" s="64" cm="1">
        <f t="array" ref="N175">SUMPRODUCT(All_Other_Yr4_27*Long_Term_Monetised_Risk_27)</f>
        <v>0</v>
      </c>
      <c r="O175" s="65" cm="1">
        <f t="array" ref="O175">SUMPRODUCT(End_Of_Year_Yr4_27*Long_Term_Monetised_Risk_27)</f>
        <v>0</v>
      </c>
      <c r="Q175" s="110"/>
      <c r="R175" s="111"/>
      <c r="S175" s="119"/>
      <c r="T175" s="114" cm="1">
        <f t="array" ref="T175">SUMPRODUCT(Asset_Replacement_2028_Yr4_27*Long_Term_Monetised_Risk_27)</f>
        <v>0</v>
      </c>
      <c r="U175" s="64" cm="1">
        <f t="array" ref="U175">SUMPRODUCT(Asset_Refurbishment_2028_Yr4_27*Long_Term_Monetised_Risk_27)</f>
        <v>0</v>
      </c>
      <c r="V175" s="65" cm="1">
        <f t="array" ref="V175">SUMPRODUCT(HVP_2028_Yr4_27*Long_Term_Monetised_Risk_27)</f>
        <v>0</v>
      </c>
    </row>
    <row r="176" spans="1:22">
      <c r="B176" s="93" t="s">
        <v>88</v>
      </c>
      <c r="C176" s="91">
        <v>2028</v>
      </c>
      <c r="D176" s="64" cm="1">
        <f t="array" ref="D176">SUMPRODUCT(Start_of_Year_Yr5_27*Long_Term_Monetised_Risk_27)</f>
        <v>0</v>
      </c>
      <c r="E176" s="64" cm="1">
        <f t="array" ref="E176">SUMPRODUCT(Data_Cleansing_Yr5_27*Long_Term_Monetised_Risk_27)</f>
        <v>0</v>
      </c>
      <c r="F176" s="64" cm="1">
        <f t="array" ref="F176">SUMPRODUCT(Deterioration_total_Yr5_27*Long_Term_Monetised_Risk_27)</f>
        <v>0</v>
      </c>
      <c r="G176" s="64" cm="1">
        <f t="array" ref="G176">SUMPRODUCT(Other_Risk_Movements_Yr5_27*Long_Term_Monetised_Risk_27)</f>
        <v>0</v>
      </c>
      <c r="H176" s="64" cm="1">
        <f t="array" ref="H176">SUMPRODUCT(Asset_Replacement_Yr5_27*Long_Term_Monetised_Risk_27)</f>
        <v>0</v>
      </c>
      <c r="I176" s="64" cm="1">
        <f t="array" ref="I176">SUMPRODUCT(Asset_Refurbishment_Yr5_27*Long_Term_Monetised_Risk_27)</f>
        <v>0</v>
      </c>
      <c r="J176" s="64" cm="1">
        <f t="array" ref="J176">SUMPRODUCT(Reinforcement_Yr5_27*Long_Term_Monetised_Risk_27)</f>
        <v>0</v>
      </c>
      <c r="K176" s="64" cm="1">
        <f t="array" ref="K176">SUMPRODUCT(Faults_Yr5_27*Long_Term_Monetised_Risk_27)</f>
        <v>0</v>
      </c>
      <c r="L176" s="64" cm="1">
        <f t="array" ref="L176">SUMPRODUCT(HVP_Asset_Replacement_Refurbishment_Yr5_27*Long_Term_Monetised_Risk_27)</f>
        <v>0</v>
      </c>
      <c r="M176" s="64" cm="1">
        <f t="array" ref="M176">SUMPRODUCT(HVP_Other_Yr5_27*Long_Term_Monetised_Risk_27)</f>
        <v>0</v>
      </c>
      <c r="N176" s="64" cm="1">
        <f t="array" ref="N176">SUMPRODUCT(All_Other_Yr5_27*Long_Term_Monetised_Risk_27)</f>
        <v>0</v>
      </c>
      <c r="O176" s="65" cm="1">
        <f t="array" ref="O176">SUMPRODUCT(End_Of_Year_Yr5_27*Long_Term_Monetised_Risk_27)</f>
        <v>0</v>
      </c>
      <c r="Q176" s="110"/>
      <c r="R176" s="111"/>
      <c r="S176" s="119"/>
      <c r="T176" s="114" cm="1">
        <f t="array" ref="T176">SUMPRODUCT(Asset_Replacement_2028_Yr5_27*Long_Term_Monetised_Risk_27)</f>
        <v>0</v>
      </c>
      <c r="U176" s="64" cm="1">
        <f t="array" ref="U176">SUMPRODUCT(Asset_Refurbishment_2028_Yr5_27*Long_Term_Monetised_Risk_27)</f>
        <v>0</v>
      </c>
      <c r="V176" s="65" cm="1">
        <f t="array" ref="V176">SUMPRODUCT(HVP_2028_Yr5_27*Long_Term_Monetised_Risk_27)</f>
        <v>0</v>
      </c>
    </row>
    <row r="177" spans="1:22" ht="14" thickBot="1">
      <c r="B177" s="103" t="s">
        <v>88</v>
      </c>
      <c r="C177" s="104" t="s">
        <v>131</v>
      </c>
      <c r="D177" s="105"/>
      <c r="E177" s="106">
        <f t="shared" ref="E177:O177" si="62">SUM(E172:E176)</f>
        <v>0</v>
      </c>
      <c r="F177" s="106">
        <f t="shared" si="62"/>
        <v>0</v>
      </c>
      <c r="G177" s="106">
        <f t="shared" si="62"/>
        <v>0</v>
      </c>
      <c r="H177" s="106">
        <f t="shared" si="62"/>
        <v>0</v>
      </c>
      <c r="I177" s="106">
        <f t="shared" si="62"/>
        <v>0</v>
      </c>
      <c r="J177" s="106">
        <f t="shared" si="62"/>
        <v>0</v>
      </c>
      <c r="K177" s="106">
        <f t="shared" si="62"/>
        <v>0</v>
      </c>
      <c r="L177" s="106">
        <f t="shared" si="62"/>
        <v>0</v>
      </c>
      <c r="M177" s="106">
        <f t="shared" si="62"/>
        <v>0</v>
      </c>
      <c r="N177" s="106">
        <f t="shared" si="62"/>
        <v>0</v>
      </c>
      <c r="O177" s="537">
        <f t="shared" si="62"/>
        <v>0</v>
      </c>
      <c r="Q177" s="107" t="str">
        <f ca="1">VLOOKUP($B177,'NARM4 - ED2 NARW Risk Movements'!$B$7:$G$67,4,FALSE)</f>
        <v/>
      </c>
      <c r="R177" s="109" t="str">
        <f ca="1">VLOOKUP($B177,'NARM4 - ED2 NARW Risk Movements'!$B$7:$G$67,5,FALSE)</f>
        <v/>
      </c>
      <c r="S177" s="121" t="str">
        <f ca="1">VLOOKUP($B177,'NARM4 - ED2 NARW Risk Movements'!$B$7:$G$67,6,FALSE)</f>
        <v/>
      </c>
      <c r="T177" s="117">
        <f>SUM(T172:T176)</f>
        <v>0</v>
      </c>
      <c r="U177" s="106">
        <f t="shared" ref="U177" si="63">SUM(U172:U176)</f>
        <v>0</v>
      </c>
      <c r="V177" s="108">
        <f>SUM(V172:V176)</f>
        <v>0</v>
      </c>
    </row>
    <row r="178" spans="1:22" ht="14" thickTop="1">
      <c r="A178" s="143">
        <v>28</v>
      </c>
      <c r="B178" s="99" t="s">
        <v>89</v>
      </c>
      <c r="C178" s="100">
        <v>2024</v>
      </c>
      <c r="D178" s="101" cm="1">
        <f t="array" ref="D178">SUMPRODUCT(Start_of_Year_Yr1_28*Long_Term_Monetised_Risk_28)</f>
        <v>0</v>
      </c>
      <c r="E178" s="101" cm="1">
        <f t="array" ref="E178">SUMPRODUCT(Data_Cleansing_Yr1_28*Long_Term_Monetised_Risk_28)</f>
        <v>0</v>
      </c>
      <c r="F178" s="101" cm="1">
        <f t="array" ref="F178">SUMPRODUCT(Deterioration_total_Yr1_28*Long_Term_Monetised_Risk_28)</f>
        <v>0</v>
      </c>
      <c r="G178" s="101" cm="1">
        <f t="array" ref="G178">SUMPRODUCT(Other_Risk_Movements_Yr1_28*Long_Term_Monetised_Risk_28)</f>
        <v>0</v>
      </c>
      <c r="H178" s="101" cm="1">
        <f t="array" ref="H178">SUMPRODUCT(Asset_Replacement_Yr1_28*Long_Term_Monetised_Risk_28)</f>
        <v>0</v>
      </c>
      <c r="I178" s="101" cm="1">
        <f t="array" ref="I178">SUMPRODUCT(Asset_Refurbishment_Yr1_28*Long_Term_Monetised_Risk_28)</f>
        <v>0</v>
      </c>
      <c r="J178" s="101" cm="1">
        <f t="array" ref="J178">SUMPRODUCT(Reinforcement_Yr1_28*Long_Term_Monetised_Risk_28)</f>
        <v>0</v>
      </c>
      <c r="K178" s="101" cm="1">
        <f t="array" ref="K178">SUMPRODUCT(Faults_Yr1_28*Long_Term_Monetised_Risk_28)</f>
        <v>0</v>
      </c>
      <c r="L178" s="101" cm="1">
        <f t="array" ref="L178">SUMPRODUCT(HVP_Asset_Replacement_Refurbishment_Yr1_28*Long_Term_Monetised_Risk_28)</f>
        <v>0</v>
      </c>
      <c r="M178" s="101" cm="1">
        <f t="array" ref="M178">SUMPRODUCT(HVP_Other_Yr1_28*Long_Term_Monetised_Risk_28)</f>
        <v>0</v>
      </c>
      <c r="N178" s="101" cm="1">
        <f t="array" ref="N178">SUMPRODUCT(All_Other_Yr1_28*Long_Term_Monetised_Risk_28)</f>
        <v>0</v>
      </c>
      <c r="O178" s="102" cm="1">
        <f t="array" ref="O178">SUMPRODUCT(End_Of_Year_Yr1_28*Long_Term_Monetised_Risk_28)</f>
        <v>0</v>
      </c>
      <c r="Q178" s="112"/>
      <c r="R178" s="113"/>
      <c r="S178" s="120"/>
      <c r="T178" s="115" cm="1">
        <f t="array" ref="T178">SUMPRODUCT(Asset_Replacement_2028_Yr1_28*Long_Term_Monetised_Risk_28)</f>
        <v>0</v>
      </c>
      <c r="U178" s="101" cm="1">
        <f t="array" ref="U178">SUMPRODUCT(Asset_Refurbishment_2028_Yr1_28*Long_Term_Monetised_Risk_28)</f>
        <v>0</v>
      </c>
      <c r="V178" s="102" cm="1">
        <f t="array" ref="V178">SUMPRODUCT(HVP_2028_Yr1_28*Long_Term_Monetised_Risk_28)</f>
        <v>0</v>
      </c>
    </row>
    <row r="179" spans="1:22">
      <c r="B179" s="93" t="s">
        <v>89</v>
      </c>
      <c r="C179" s="91">
        <v>2025</v>
      </c>
      <c r="D179" s="64" cm="1">
        <f t="array" ref="D179">SUMPRODUCT(Start_of_Year_Yr2_28*Long_Term_Monetised_Risk_28)</f>
        <v>0</v>
      </c>
      <c r="E179" s="64" cm="1">
        <f t="array" ref="E179">SUMPRODUCT(Data_Cleansing_Yr2_28*Long_Term_Monetised_Risk_28)</f>
        <v>0</v>
      </c>
      <c r="F179" s="64" cm="1">
        <f t="array" ref="F179">SUMPRODUCT(Deterioration_total_Yr2_28*Long_Term_Monetised_Risk_28)</f>
        <v>0</v>
      </c>
      <c r="G179" s="64" cm="1">
        <f t="array" ref="G179">SUMPRODUCT(Other_Risk_Movements_Yr2_28*Long_Term_Monetised_Risk_28)</f>
        <v>0</v>
      </c>
      <c r="H179" s="64" cm="1">
        <f t="array" ref="H179">SUMPRODUCT(Asset_Replacement_Yr2_28*Long_Term_Monetised_Risk_28)</f>
        <v>0</v>
      </c>
      <c r="I179" s="64" cm="1">
        <f t="array" ref="I179">SUMPRODUCT(Asset_Refurbishment_Yr2_28*Long_Term_Monetised_Risk_28)</f>
        <v>0</v>
      </c>
      <c r="J179" s="64" cm="1">
        <f t="array" ref="J179">SUMPRODUCT(Reinforcement_Yr2_28*Long_Term_Monetised_Risk_28)</f>
        <v>0</v>
      </c>
      <c r="K179" s="64" cm="1">
        <f t="array" ref="K179">SUMPRODUCT(Faults_Yr2_28*Long_Term_Monetised_Risk_28)</f>
        <v>0</v>
      </c>
      <c r="L179" s="64" cm="1">
        <f t="array" ref="L179">SUMPRODUCT(HVP_Asset_Replacement_Refurbishment_Yr2_28*Long_Term_Monetised_Risk_28)</f>
        <v>0</v>
      </c>
      <c r="M179" s="64" cm="1">
        <f t="array" ref="M179">SUMPRODUCT(HVP_Other_Yr2_28*Long_Term_Monetised_Risk_28)</f>
        <v>0</v>
      </c>
      <c r="N179" s="64" cm="1">
        <f t="array" ref="N179">SUMPRODUCT(All_Other_Yr2_28*Long_Term_Monetised_Risk_28)</f>
        <v>0</v>
      </c>
      <c r="O179" s="65" cm="1">
        <f t="array" ref="O179">SUMPRODUCT(End_Of_Year_Yr2_28*Long_Term_Monetised_Risk_28)</f>
        <v>0</v>
      </c>
      <c r="Q179" s="110"/>
      <c r="R179" s="111"/>
      <c r="S179" s="119"/>
      <c r="T179" s="114" cm="1">
        <f t="array" ref="T179">SUMPRODUCT(Asset_Replacement_2028_Yr2_28*Long_Term_Monetised_Risk_28)</f>
        <v>0</v>
      </c>
      <c r="U179" s="64" cm="1">
        <f t="array" ref="U179">SUMPRODUCT(Asset_Refurbishment_2028_Yr2_28*Long_Term_Monetised_Risk_28)</f>
        <v>0</v>
      </c>
      <c r="V179" s="65" cm="1">
        <f t="array" ref="V179">SUMPRODUCT(HVP_2028_Yr2_28*Long_Term_Monetised_Risk_28)</f>
        <v>0</v>
      </c>
    </row>
    <row r="180" spans="1:22">
      <c r="B180" s="93" t="s">
        <v>89</v>
      </c>
      <c r="C180" s="91">
        <v>2026</v>
      </c>
      <c r="D180" s="64" cm="1">
        <f t="array" ref="D180">SUMPRODUCT(Start_of_Year_Yr3_28*Long_Term_Monetised_Risk_28)</f>
        <v>0</v>
      </c>
      <c r="E180" s="64" cm="1">
        <f t="array" ref="E180">SUMPRODUCT(Data_Cleansing_Yr3_28*Long_Term_Monetised_Risk_28)</f>
        <v>0</v>
      </c>
      <c r="F180" s="64" cm="1">
        <f t="array" ref="F180">SUMPRODUCT(Deterioration_total_Yr3_28*Long_Term_Monetised_Risk_28)</f>
        <v>0</v>
      </c>
      <c r="G180" s="64" cm="1">
        <f t="array" ref="G180">SUMPRODUCT(Other_Risk_Movements_Yr3_28*Long_Term_Monetised_Risk_28)</f>
        <v>0</v>
      </c>
      <c r="H180" s="64" cm="1">
        <f t="array" ref="H180">SUMPRODUCT(Asset_Replacement_Yr3_28*Long_Term_Monetised_Risk_28)</f>
        <v>0</v>
      </c>
      <c r="I180" s="64" cm="1">
        <f t="array" ref="I180">SUMPRODUCT(Asset_Refurbishment_Yr3_28*Long_Term_Monetised_Risk_28)</f>
        <v>0</v>
      </c>
      <c r="J180" s="64" cm="1">
        <f t="array" ref="J180">SUMPRODUCT(Reinforcement_Yr3_28*Long_Term_Monetised_Risk_28)</f>
        <v>0</v>
      </c>
      <c r="K180" s="64" cm="1">
        <f t="array" ref="K180">SUMPRODUCT(Faults_Yr3_28*Long_Term_Monetised_Risk_28)</f>
        <v>0</v>
      </c>
      <c r="L180" s="64" cm="1">
        <f t="array" ref="L180">SUMPRODUCT(HVP_Asset_Replacement_Refurbishment_Yr3_28*Long_Term_Monetised_Risk_28)</f>
        <v>0</v>
      </c>
      <c r="M180" s="64" cm="1">
        <f t="array" ref="M180">SUMPRODUCT(HVP_Other_Yr3_28*Long_Term_Monetised_Risk_28)</f>
        <v>0</v>
      </c>
      <c r="N180" s="64" cm="1">
        <f t="array" ref="N180">SUMPRODUCT(All_Other_Yr3_28*Long_Term_Monetised_Risk_28)</f>
        <v>0</v>
      </c>
      <c r="O180" s="65" cm="1">
        <f t="array" ref="O180">SUMPRODUCT(End_Of_Year_Yr3_28*Long_Term_Monetised_Risk_28)</f>
        <v>0</v>
      </c>
      <c r="Q180" s="110"/>
      <c r="R180" s="111"/>
      <c r="S180" s="119"/>
      <c r="T180" s="114" cm="1">
        <f t="array" ref="T180">SUMPRODUCT(Asset_Replacement_2028_Yr3_28*Long_Term_Monetised_Risk_28)</f>
        <v>0</v>
      </c>
      <c r="U180" s="64" cm="1">
        <f t="array" ref="U180">SUMPRODUCT(Asset_Refurbishment_2028_Yr3_28*Long_Term_Monetised_Risk_28)</f>
        <v>0</v>
      </c>
      <c r="V180" s="65" cm="1">
        <f t="array" ref="V180">SUMPRODUCT(HVP_2028_Yr3_28*Long_Term_Monetised_Risk_28)</f>
        <v>0</v>
      </c>
    </row>
    <row r="181" spans="1:22">
      <c r="B181" s="93" t="s">
        <v>89</v>
      </c>
      <c r="C181" s="91">
        <v>2027</v>
      </c>
      <c r="D181" s="64" cm="1">
        <f t="array" ref="D181">SUMPRODUCT(Start_of_Year_Yr4_28*Long_Term_Monetised_Risk_28)</f>
        <v>0</v>
      </c>
      <c r="E181" s="64" cm="1">
        <f t="array" ref="E181">SUMPRODUCT(Data_Cleansing_Yr4_28*Long_Term_Monetised_Risk_28)</f>
        <v>0</v>
      </c>
      <c r="F181" s="64" cm="1">
        <f t="array" ref="F181">SUMPRODUCT(Deterioration_total_Yr4_28*Long_Term_Monetised_Risk_28)</f>
        <v>0</v>
      </c>
      <c r="G181" s="64" cm="1">
        <f t="array" ref="G181">SUMPRODUCT(Other_Risk_Movements_Yr4_28*Long_Term_Monetised_Risk_28)</f>
        <v>0</v>
      </c>
      <c r="H181" s="64" cm="1">
        <f t="array" ref="H181">SUMPRODUCT(Asset_Replacement_Yr4_28*Long_Term_Monetised_Risk_28)</f>
        <v>0</v>
      </c>
      <c r="I181" s="64" cm="1">
        <f t="array" ref="I181">SUMPRODUCT(Asset_Refurbishment_Yr4_28*Long_Term_Monetised_Risk_28)</f>
        <v>0</v>
      </c>
      <c r="J181" s="64" cm="1">
        <f t="array" ref="J181">SUMPRODUCT(Reinforcement_Yr4_28*Long_Term_Monetised_Risk_28)</f>
        <v>0</v>
      </c>
      <c r="K181" s="64" cm="1">
        <f t="array" ref="K181">SUMPRODUCT(Faults_Yr4_28*Long_Term_Monetised_Risk_28)</f>
        <v>0</v>
      </c>
      <c r="L181" s="64" cm="1">
        <f t="array" ref="L181">SUMPRODUCT(HVP_Asset_Replacement_Refurbishment_Yr4_28*Long_Term_Monetised_Risk_28)</f>
        <v>0</v>
      </c>
      <c r="M181" s="64" cm="1">
        <f t="array" ref="M181">SUMPRODUCT(HVP_Other_Yr4_28*Long_Term_Monetised_Risk_28)</f>
        <v>0</v>
      </c>
      <c r="N181" s="64" cm="1">
        <f t="array" ref="N181">SUMPRODUCT(All_Other_Yr4_28*Long_Term_Monetised_Risk_28)</f>
        <v>0</v>
      </c>
      <c r="O181" s="65" cm="1">
        <f t="array" ref="O181">SUMPRODUCT(End_Of_Year_Yr4_28*Long_Term_Monetised_Risk_28)</f>
        <v>0</v>
      </c>
      <c r="Q181" s="110"/>
      <c r="R181" s="111"/>
      <c r="S181" s="119"/>
      <c r="T181" s="114" cm="1">
        <f t="array" ref="T181">SUMPRODUCT(Asset_Replacement_2028_Yr4_28*Long_Term_Monetised_Risk_28)</f>
        <v>0</v>
      </c>
      <c r="U181" s="64" cm="1">
        <f t="array" ref="U181">SUMPRODUCT(Asset_Refurbishment_2028_Yr4_28*Long_Term_Monetised_Risk_28)</f>
        <v>0</v>
      </c>
      <c r="V181" s="65" cm="1">
        <f t="array" ref="V181">SUMPRODUCT(HVP_2028_Yr4_28*Long_Term_Monetised_Risk_28)</f>
        <v>0</v>
      </c>
    </row>
    <row r="182" spans="1:22">
      <c r="B182" s="93" t="s">
        <v>89</v>
      </c>
      <c r="C182" s="91">
        <v>2028</v>
      </c>
      <c r="D182" s="64" cm="1">
        <f t="array" ref="D182">SUMPRODUCT(Start_of_Year_Yr5_28*Long_Term_Monetised_Risk_28)</f>
        <v>0</v>
      </c>
      <c r="E182" s="64" cm="1">
        <f t="array" ref="E182">SUMPRODUCT(Data_Cleansing_Yr5_28*Long_Term_Monetised_Risk_28)</f>
        <v>0</v>
      </c>
      <c r="F182" s="64" cm="1">
        <f t="array" ref="F182">SUMPRODUCT(Deterioration_total_Yr5_28*Long_Term_Monetised_Risk_28)</f>
        <v>0</v>
      </c>
      <c r="G182" s="64" cm="1">
        <f t="array" ref="G182">SUMPRODUCT(Other_Risk_Movements_Yr5_28*Long_Term_Monetised_Risk_28)</f>
        <v>0</v>
      </c>
      <c r="H182" s="64" cm="1">
        <f t="array" ref="H182">SUMPRODUCT(Asset_Replacement_Yr5_28*Long_Term_Monetised_Risk_28)</f>
        <v>0</v>
      </c>
      <c r="I182" s="64" cm="1">
        <f t="array" ref="I182">SUMPRODUCT(Asset_Refurbishment_Yr5_28*Long_Term_Monetised_Risk_28)</f>
        <v>0</v>
      </c>
      <c r="J182" s="64" cm="1">
        <f t="array" ref="J182">SUMPRODUCT(Reinforcement_Yr5_28*Long_Term_Monetised_Risk_28)</f>
        <v>0</v>
      </c>
      <c r="K182" s="64" cm="1">
        <f t="array" ref="K182">SUMPRODUCT(Faults_Yr5_28*Long_Term_Monetised_Risk_28)</f>
        <v>0</v>
      </c>
      <c r="L182" s="64" cm="1">
        <f t="array" ref="L182">SUMPRODUCT(HVP_Asset_Replacement_Refurbishment_Yr5_28*Long_Term_Monetised_Risk_28)</f>
        <v>0</v>
      </c>
      <c r="M182" s="64" cm="1">
        <f t="array" ref="M182">SUMPRODUCT(HVP_Other_Yr5_28*Long_Term_Monetised_Risk_28)</f>
        <v>0</v>
      </c>
      <c r="N182" s="64" cm="1">
        <f t="array" ref="N182">SUMPRODUCT(All_Other_Yr5_28*Long_Term_Monetised_Risk_28)</f>
        <v>0</v>
      </c>
      <c r="O182" s="65" cm="1">
        <f t="array" ref="O182">SUMPRODUCT(End_Of_Year_Yr5_28*Long_Term_Monetised_Risk_28)</f>
        <v>0</v>
      </c>
      <c r="Q182" s="110"/>
      <c r="R182" s="111"/>
      <c r="S182" s="119"/>
      <c r="T182" s="114" cm="1">
        <f t="array" ref="T182">SUMPRODUCT(Asset_Replacement_2028_Yr5_28*Long_Term_Monetised_Risk_28)</f>
        <v>0</v>
      </c>
      <c r="U182" s="64" cm="1">
        <f t="array" ref="U182">SUMPRODUCT(Asset_Refurbishment_2028_Yr5_28*Long_Term_Monetised_Risk_28)</f>
        <v>0</v>
      </c>
      <c r="V182" s="65" cm="1">
        <f t="array" ref="V182">SUMPRODUCT(HVP_2028_Yr5_28*Long_Term_Monetised_Risk_28)</f>
        <v>0</v>
      </c>
    </row>
    <row r="183" spans="1:22" ht="14" thickBot="1">
      <c r="B183" s="103" t="s">
        <v>89</v>
      </c>
      <c r="C183" s="104" t="s">
        <v>131</v>
      </c>
      <c r="D183" s="105"/>
      <c r="E183" s="106">
        <f t="shared" ref="E183:O183" si="64">SUM(E178:E182)</f>
        <v>0</v>
      </c>
      <c r="F183" s="106">
        <f t="shared" si="64"/>
        <v>0</v>
      </c>
      <c r="G183" s="106">
        <f t="shared" si="64"/>
        <v>0</v>
      </c>
      <c r="H183" s="106">
        <f t="shared" si="64"/>
        <v>0</v>
      </c>
      <c r="I183" s="106">
        <f t="shared" si="64"/>
        <v>0</v>
      </c>
      <c r="J183" s="106">
        <f t="shared" si="64"/>
        <v>0</v>
      </c>
      <c r="K183" s="106">
        <f t="shared" si="64"/>
        <v>0</v>
      </c>
      <c r="L183" s="106">
        <f t="shared" si="64"/>
        <v>0</v>
      </c>
      <c r="M183" s="106">
        <f t="shared" si="64"/>
        <v>0</v>
      </c>
      <c r="N183" s="106">
        <f t="shared" si="64"/>
        <v>0</v>
      </c>
      <c r="O183" s="537">
        <f t="shared" si="64"/>
        <v>0</v>
      </c>
      <c r="Q183" s="107" t="str">
        <f ca="1">VLOOKUP($B183,'NARM4 - ED2 NARW Risk Movements'!$B$7:$G$67,4,FALSE)</f>
        <v/>
      </c>
      <c r="R183" s="109" t="str">
        <f ca="1">VLOOKUP($B183,'NARM4 - ED2 NARW Risk Movements'!$B$7:$G$67,5,FALSE)</f>
        <v/>
      </c>
      <c r="S183" s="121" t="str">
        <f ca="1">VLOOKUP($B183,'NARM4 - ED2 NARW Risk Movements'!$B$7:$G$67,6,FALSE)</f>
        <v/>
      </c>
      <c r="T183" s="117">
        <f>SUM(T178:T182)</f>
        <v>0</v>
      </c>
      <c r="U183" s="106">
        <f t="shared" ref="U183" si="65">SUM(U178:U182)</f>
        <v>0</v>
      </c>
      <c r="V183" s="108">
        <f>SUM(V178:V182)</f>
        <v>0</v>
      </c>
    </row>
    <row r="184" spans="1:22" ht="14" thickTop="1">
      <c r="A184" s="143">
        <v>29</v>
      </c>
      <c r="B184" s="99" t="s">
        <v>90</v>
      </c>
      <c r="C184" s="100">
        <v>2024</v>
      </c>
      <c r="D184" s="101" cm="1">
        <f t="array" ref="D184">SUMPRODUCT(Start_of_Year_Yr1_29*Long_Term_Monetised_Risk_29)</f>
        <v>0</v>
      </c>
      <c r="E184" s="101" cm="1">
        <f t="array" ref="E184">SUMPRODUCT(Data_Cleansing_Yr1_29*Long_Term_Monetised_Risk_29)</f>
        <v>0</v>
      </c>
      <c r="F184" s="101" cm="1">
        <f t="array" ref="F184">SUMPRODUCT(Deterioration_total_Yr1_29*Long_Term_Monetised_Risk_29)</f>
        <v>0</v>
      </c>
      <c r="G184" s="101" cm="1">
        <f t="array" ref="G184">SUMPRODUCT(Other_Risk_Movements_Yr1_29*Long_Term_Monetised_Risk_29)</f>
        <v>0</v>
      </c>
      <c r="H184" s="101" cm="1">
        <f t="array" ref="H184">SUMPRODUCT(Asset_Replacement_Yr1_29*Long_Term_Monetised_Risk_29)</f>
        <v>0</v>
      </c>
      <c r="I184" s="101" cm="1">
        <f t="array" ref="I184">SUMPRODUCT(Asset_Refurbishment_Yr1_29*Long_Term_Monetised_Risk_29)</f>
        <v>0</v>
      </c>
      <c r="J184" s="101" cm="1">
        <f t="array" ref="J184">SUMPRODUCT(Reinforcement_Yr1_29*Long_Term_Monetised_Risk_29)</f>
        <v>0</v>
      </c>
      <c r="K184" s="101" cm="1">
        <f t="array" ref="K184">SUMPRODUCT(Faults_Yr1_29*Long_Term_Monetised_Risk_29)</f>
        <v>0</v>
      </c>
      <c r="L184" s="101" cm="1">
        <f t="array" ref="L184">SUMPRODUCT(HVP_Asset_Replacement_Refurbishment_Yr1_29*Long_Term_Monetised_Risk_29)</f>
        <v>0</v>
      </c>
      <c r="M184" s="101" cm="1">
        <f t="array" ref="M184">SUMPRODUCT(HVP_Other_Yr1_29*Long_Term_Monetised_Risk_29)</f>
        <v>0</v>
      </c>
      <c r="N184" s="101" cm="1">
        <f t="array" ref="N184">SUMPRODUCT(All_Other_Yr1_29*Long_Term_Monetised_Risk_29)</f>
        <v>0</v>
      </c>
      <c r="O184" s="102" cm="1">
        <f t="array" ref="O184">SUMPRODUCT(End_Of_Year_Yr1_29*Long_Term_Monetised_Risk_29)</f>
        <v>0</v>
      </c>
      <c r="Q184" s="112"/>
      <c r="R184" s="113"/>
      <c r="S184" s="120"/>
      <c r="T184" s="115" cm="1">
        <f t="array" ref="T184">SUMPRODUCT(Asset_Replacement_2028_Yr1_29*Long_Term_Monetised_Risk_29)</f>
        <v>0</v>
      </c>
      <c r="U184" s="101" cm="1">
        <f t="array" ref="U184">SUMPRODUCT(Asset_Refurbishment_2028_Yr1_29*Long_Term_Monetised_Risk_29)</f>
        <v>0</v>
      </c>
      <c r="V184" s="102" cm="1">
        <f t="array" ref="V184">SUMPRODUCT(HVP_2028_Yr1_29*Long_Term_Monetised_Risk_29)</f>
        <v>0</v>
      </c>
    </row>
    <row r="185" spans="1:22">
      <c r="B185" s="93" t="s">
        <v>90</v>
      </c>
      <c r="C185" s="91">
        <v>2025</v>
      </c>
      <c r="D185" s="64" cm="1">
        <f t="array" ref="D185">SUMPRODUCT(Start_of_Year_Yr2_29*Long_Term_Monetised_Risk_29)</f>
        <v>0</v>
      </c>
      <c r="E185" s="64" cm="1">
        <f t="array" ref="E185">SUMPRODUCT(Data_Cleansing_Yr2_29*Long_Term_Monetised_Risk_29)</f>
        <v>0</v>
      </c>
      <c r="F185" s="64" cm="1">
        <f t="array" ref="F185">SUMPRODUCT(Deterioration_total_Yr2_29*Long_Term_Monetised_Risk_29)</f>
        <v>0</v>
      </c>
      <c r="G185" s="64" cm="1">
        <f t="array" ref="G185">SUMPRODUCT(Other_Risk_Movements_Yr2_29*Long_Term_Monetised_Risk_29)</f>
        <v>0</v>
      </c>
      <c r="H185" s="64" cm="1">
        <f t="array" ref="H185">SUMPRODUCT(Asset_Replacement_Yr2_29*Long_Term_Monetised_Risk_29)</f>
        <v>0</v>
      </c>
      <c r="I185" s="64" cm="1">
        <f t="array" ref="I185">SUMPRODUCT(Asset_Refurbishment_Yr2_29*Long_Term_Monetised_Risk_29)</f>
        <v>0</v>
      </c>
      <c r="J185" s="64" cm="1">
        <f t="array" ref="J185">SUMPRODUCT(Reinforcement_Yr2_29*Long_Term_Monetised_Risk_29)</f>
        <v>0</v>
      </c>
      <c r="K185" s="64" cm="1">
        <f t="array" ref="K185">SUMPRODUCT(Faults_Yr2_29*Long_Term_Monetised_Risk_29)</f>
        <v>0</v>
      </c>
      <c r="L185" s="64" cm="1">
        <f t="array" ref="L185">SUMPRODUCT(HVP_Asset_Replacement_Refurbishment_Yr2_29*Long_Term_Monetised_Risk_29)</f>
        <v>0</v>
      </c>
      <c r="M185" s="64" cm="1">
        <f t="array" ref="M185">SUMPRODUCT(HVP_Other_Yr2_29*Long_Term_Monetised_Risk_29)</f>
        <v>0</v>
      </c>
      <c r="N185" s="64" cm="1">
        <f t="array" ref="N185">SUMPRODUCT(All_Other_Yr2_29*Long_Term_Monetised_Risk_29)</f>
        <v>0</v>
      </c>
      <c r="O185" s="65" cm="1">
        <f t="array" ref="O185">SUMPRODUCT(End_Of_Year_Yr2_29*Long_Term_Monetised_Risk_29)</f>
        <v>0</v>
      </c>
      <c r="Q185" s="110"/>
      <c r="R185" s="111"/>
      <c r="S185" s="119"/>
      <c r="T185" s="114" cm="1">
        <f t="array" ref="T185">SUMPRODUCT(Asset_Replacement_2028_Yr2_29*Long_Term_Monetised_Risk_29)</f>
        <v>0</v>
      </c>
      <c r="U185" s="64" cm="1">
        <f t="array" ref="U185">SUMPRODUCT(Asset_Refurbishment_2028_Yr2_29*Long_Term_Monetised_Risk_29)</f>
        <v>0</v>
      </c>
      <c r="V185" s="65" cm="1">
        <f t="array" ref="V185">SUMPRODUCT(HVP_2028_Yr2_29*Long_Term_Monetised_Risk_29)</f>
        <v>0</v>
      </c>
    </row>
    <row r="186" spans="1:22">
      <c r="B186" s="93" t="s">
        <v>90</v>
      </c>
      <c r="C186" s="91">
        <v>2026</v>
      </c>
      <c r="D186" s="64" cm="1">
        <f t="array" ref="D186">SUMPRODUCT(Start_of_Year_Yr3_29*Long_Term_Monetised_Risk_29)</f>
        <v>0</v>
      </c>
      <c r="E186" s="64" cm="1">
        <f t="array" ref="E186">SUMPRODUCT(Data_Cleansing_Yr3_29*Long_Term_Monetised_Risk_29)</f>
        <v>0</v>
      </c>
      <c r="F186" s="64" cm="1">
        <f t="array" ref="F186">SUMPRODUCT(Deterioration_total_Yr3_29*Long_Term_Monetised_Risk_29)</f>
        <v>0</v>
      </c>
      <c r="G186" s="64" cm="1">
        <f t="array" ref="G186">SUMPRODUCT(Other_Risk_Movements_Yr3_29*Long_Term_Monetised_Risk_29)</f>
        <v>0</v>
      </c>
      <c r="H186" s="64" cm="1">
        <f t="array" ref="H186">SUMPRODUCT(Asset_Replacement_Yr3_29*Long_Term_Monetised_Risk_29)</f>
        <v>0</v>
      </c>
      <c r="I186" s="64" cm="1">
        <f t="array" ref="I186">SUMPRODUCT(Asset_Refurbishment_Yr3_29*Long_Term_Monetised_Risk_29)</f>
        <v>0</v>
      </c>
      <c r="J186" s="64" cm="1">
        <f t="array" ref="J186">SUMPRODUCT(Reinforcement_Yr3_29*Long_Term_Monetised_Risk_29)</f>
        <v>0</v>
      </c>
      <c r="K186" s="64" cm="1">
        <f t="array" ref="K186">SUMPRODUCT(Faults_Yr3_29*Long_Term_Monetised_Risk_29)</f>
        <v>0</v>
      </c>
      <c r="L186" s="64" cm="1">
        <f t="array" ref="L186">SUMPRODUCT(HVP_Asset_Replacement_Refurbishment_Yr3_29*Long_Term_Monetised_Risk_29)</f>
        <v>0</v>
      </c>
      <c r="M186" s="64" cm="1">
        <f t="array" ref="M186">SUMPRODUCT(HVP_Other_Yr3_29*Long_Term_Monetised_Risk_29)</f>
        <v>0</v>
      </c>
      <c r="N186" s="64" cm="1">
        <f t="array" ref="N186">SUMPRODUCT(All_Other_Yr3_29*Long_Term_Monetised_Risk_29)</f>
        <v>0</v>
      </c>
      <c r="O186" s="65" cm="1">
        <f t="array" ref="O186">SUMPRODUCT(End_Of_Year_Yr3_29*Long_Term_Monetised_Risk_29)</f>
        <v>0</v>
      </c>
      <c r="Q186" s="110"/>
      <c r="R186" s="111"/>
      <c r="S186" s="119"/>
      <c r="T186" s="114" cm="1">
        <f t="array" ref="T186">SUMPRODUCT(Asset_Replacement_2028_Yr3_29*Long_Term_Monetised_Risk_29)</f>
        <v>0</v>
      </c>
      <c r="U186" s="64" cm="1">
        <f t="array" ref="U186">SUMPRODUCT(Asset_Refurbishment_2028_Yr3_29*Long_Term_Monetised_Risk_29)</f>
        <v>0</v>
      </c>
      <c r="V186" s="65" cm="1">
        <f t="array" ref="V186">SUMPRODUCT(HVP_2028_Yr3_29*Long_Term_Monetised_Risk_29)</f>
        <v>0</v>
      </c>
    </row>
    <row r="187" spans="1:22">
      <c r="B187" s="93" t="s">
        <v>90</v>
      </c>
      <c r="C187" s="91">
        <v>2027</v>
      </c>
      <c r="D187" s="64" cm="1">
        <f t="array" ref="D187">SUMPRODUCT(Start_of_Year_Yr4_29*Long_Term_Monetised_Risk_29)</f>
        <v>0</v>
      </c>
      <c r="E187" s="64" cm="1">
        <f t="array" ref="E187">SUMPRODUCT(Data_Cleansing_Yr4_29*Long_Term_Monetised_Risk_29)</f>
        <v>0</v>
      </c>
      <c r="F187" s="64" cm="1">
        <f t="array" ref="F187">SUMPRODUCT(Deterioration_total_Yr4_29*Long_Term_Monetised_Risk_29)</f>
        <v>0</v>
      </c>
      <c r="G187" s="64" cm="1">
        <f t="array" ref="G187">SUMPRODUCT(Other_Risk_Movements_Yr4_29*Long_Term_Monetised_Risk_29)</f>
        <v>0</v>
      </c>
      <c r="H187" s="64" cm="1">
        <f t="array" ref="H187">SUMPRODUCT(Asset_Replacement_Yr4_29*Long_Term_Monetised_Risk_29)</f>
        <v>0</v>
      </c>
      <c r="I187" s="64" cm="1">
        <f t="array" ref="I187">SUMPRODUCT(Asset_Refurbishment_Yr4_29*Long_Term_Monetised_Risk_29)</f>
        <v>0</v>
      </c>
      <c r="J187" s="64" cm="1">
        <f t="array" ref="J187">SUMPRODUCT(Reinforcement_Yr4_29*Long_Term_Monetised_Risk_29)</f>
        <v>0</v>
      </c>
      <c r="K187" s="64" cm="1">
        <f t="array" ref="K187">SUMPRODUCT(Faults_Yr4_29*Long_Term_Monetised_Risk_29)</f>
        <v>0</v>
      </c>
      <c r="L187" s="64" cm="1">
        <f t="array" ref="L187">SUMPRODUCT(HVP_Asset_Replacement_Refurbishment_Yr4_29*Long_Term_Monetised_Risk_29)</f>
        <v>0</v>
      </c>
      <c r="M187" s="64" cm="1">
        <f t="array" ref="M187">SUMPRODUCT(HVP_Other_Yr4_29*Long_Term_Monetised_Risk_29)</f>
        <v>0</v>
      </c>
      <c r="N187" s="64" cm="1">
        <f t="array" ref="N187">SUMPRODUCT(All_Other_Yr4_29*Long_Term_Monetised_Risk_29)</f>
        <v>0</v>
      </c>
      <c r="O187" s="65" cm="1">
        <f t="array" ref="O187">SUMPRODUCT(End_Of_Year_Yr4_29*Long_Term_Monetised_Risk_29)</f>
        <v>0</v>
      </c>
      <c r="Q187" s="110"/>
      <c r="R187" s="111"/>
      <c r="S187" s="119"/>
      <c r="T187" s="114" cm="1">
        <f t="array" ref="T187">SUMPRODUCT(Asset_Replacement_2028_Yr4_29*Long_Term_Monetised_Risk_29)</f>
        <v>0</v>
      </c>
      <c r="U187" s="64" cm="1">
        <f t="array" ref="U187">SUMPRODUCT(Asset_Refurbishment_2028_Yr4_29*Long_Term_Monetised_Risk_29)</f>
        <v>0</v>
      </c>
      <c r="V187" s="65" cm="1">
        <f t="array" ref="V187">SUMPRODUCT(HVP_2028_Yr4_29*Long_Term_Monetised_Risk_29)</f>
        <v>0</v>
      </c>
    </row>
    <row r="188" spans="1:22">
      <c r="B188" s="93" t="s">
        <v>90</v>
      </c>
      <c r="C188" s="91">
        <v>2028</v>
      </c>
      <c r="D188" s="64" cm="1">
        <f t="array" ref="D188">SUMPRODUCT(Start_of_Year_Yr5_29*Long_Term_Monetised_Risk_29)</f>
        <v>0</v>
      </c>
      <c r="E188" s="64" cm="1">
        <f t="array" ref="E188">SUMPRODUCT(Data_Cleansing_Yr5_29*Long_Term_Monetised_Risk_29)</f>
        <v>0</v>
      </c>
      <c r="F188" s="64" cm="1">
        <f t="array" ref="F188">SUMPRODUCT(Deterioration_total_Yr5_29*Long_Term_Monetised_Risk_29)</f>
        <v>0</v>
      </c>
      <c r="G188" s="64" cm="1">
        <f t="array" ref="G188">SUMPRODUCT(Other_Risk_Movements_Yr5_29*Long_Term_Monetised_Risk_29)</f>
        <v>0</v>
      </c>
      <c r="H188" s="64" cm="1">
        <f t="array" ref="H188">SUMPRODUCT(Asset_Replacement_Yr5_29*Long_Term_Monetised_Risk_29)</f>
        <v>0</v>
      </c>
      <c r="I188" s="64" cm="1">
        <f t="array" ref="I188">SUMPRODUCT(Asset_Refurbishment_Yr5_29*Long_Term_Monetised_Risk_29)</f>
        <v>0</v>
      </c>
      <c r="J188" s="64" cm="1">
        <f t="array" ref="J188">SUMPRODUCT(Reinforcement_Yr5_29*Long_Term_Monetised_Risk_29)</f>
        <v>0</v>
      </c>
      <c r="K188" s="64" cm="1">
        <f t="array" ref="K188">SUMPRODUCT(Faults_Yr5_29*Long_Term_Monetised_Risk_29)</f>
        <v>0</v>
      </c>
      <c r="L188" s="64" cm="1">
        <f t="array" ref="L188">SUMPRODUCT(HVP_Asset_Replacement_Refurbishment_Yr5_29*Long_Term_Monetised_Risk_29)</f>
        <v>0</v>
      </c>
      <c r="M188" s="64" cm="1">
        <f t="array" ref="M188">SUMPRODUCT(HVP_Other_Yr5_29*Long_Term_Monetised_Risk_29)</f>
        <v>0</v>
      </c>
      <c r="N188" s="64" cm="1">
        <f t="array" ref="N188">SUMPRODUCT(All_Other_Yr5_29*Long_Term_Monetised_Risk_29)</f>
        <v>0</v>
      </c>
      <c r="O188" s="65" cm="1">
        <f t="array" ref="O188">SUMPRODUCT(End_Of_Year_Yr5_29*Long_Term_Monetised_Risk_29)</f>
        <v>0</v>
      </c>
      <c r="Q188" s="110"/>
      <c r="R188" s="111"/>
      <c r="S188" s="119"/>
      <c r="T188" s="114" cm="1">
        <f t="array" ref="T188">SUMPRODUCT(Asset_Replacement_2028_Yr5_29*Long_Term_Monetised_Risk_29)</f>
        <v>0</v>
      </c>
      <c r="U188" s="64" cm="1">
        <f t="array" ref="U188">SUMPRODUCT(Asset_Refurbishment_2028_Yr5_29*Long_Term_Monetised_Risk_29)</f>
        <v>0</v>
      </c>
      <c r="V188" s="65" cm="1">
        <f t="array" ref="V188">SUMPRODUCT(HVP_2028_Yr5_29*Long_Term_Monetised_Risk_29)</f>
        <v>0</v>
      </c>
    </row>
    <row r="189" spans="1:22" ht="14" thickBot="1">
      <c r="B189" s="103" t="s">
        <v>90</v>
      </c>
      <c r="C189" s="104" t="s">
        <v>131</v>
      </c>
      <c r="D189" s="105"/>
      <c r="E189" s="106">
        <f t="shared" ref="E189:O189" si="66">SUM(E184:E188)</f>
        <v>0</v>
      </c>
      <c r="F189" s="106">
        <f t="shared" si="66"/>
        <v>0</v>
      </c>
      <c r="G189" s="106">
        <f t="shared" si="66"/>
        <v>0</v>
      </c>
      <c r="H189" s="106">
        <f t="shared" si="66"/>
        <v>0</v>
      </c>
      <c r="I189" s="106">
        <f t="shared" si="66"/>
        <v>0</v>
      </c>
      <c r="J189" s="106">
        <f t="shared" si="66"/>
        <v>0</v>
      </c>
      <c r="K189" s="106">
        <f t="shared" si="66"/>
        <v>0</v>
      </c>
      <c r="L189" s="106">
        <f t="shared" si="66"/>
        <v>0</v>
      </c>
      <c r="M189" s="106">
        <f t="shared" si="66"/>
        <v>0</v>
      </c>
      <c r="N189" s="106">
        <f t="shared" si="66"/>
        <v>0</v>
      </c>
      <c r="O189" s="537">
        <f t="shared" si="66"/>
        <v>0</v>
      </c>
      <c r="Q189" s="107" t="str">
        <f ca="1">VLOOKUP($B189,'NARM4 - ED2 NARW Risk Movements'!$B$7:$G$67,4,FALSE)</f>
        <v/>
      </c>
      <c r="R189" s="109" t="str">
        <f ca="1">VLOOKUP($B189,'NARM4 - ED2 NARW Risk Movements'!$B$7:$G$67,5,FALSE)</f>
        <v/>
      </c>
      <c r="S189" s="121" t="str">
        <f ca="1">VLOOKUP($B189,'NARM4 - ED2 NARW Risk Movements'!$B$7:$G$67,6,FALSE)</f>
        <v/>
      </c>
      <c r="T189" s="117">
        <f>SUM(T184:T188)</f>
        <v>0</v>
      </c>
      <c r="U189" s="106">
        <f t="shared" ref="U189" si="67">SUM(U184:U188)</f>
        <v>0</v>
      </c>
      <c r="V189" s="108">
        <f>SUM(V184:V188)</f>
        <v>0</v>
      </c>
    </row>
    <row r="190" spans="1:22" ht="14" thickTop="1">
      <c r="A190" s="143">
        <v>30</v>
      </c>
      <c r="B190" s="99" t="s">
        <v>91</v>
      </c>
      <c r="C190" s="100">
        <v>2024</v>
      </c>
      <c r="D190" s="101" cm="1">
        <f t="array" ref="D190">SUMPRODUCT(Start_of_Year_Yr1_30*Long_Term_Monetised_Risk_30)</f>
        <v>0</v>
      </c>
      <c r="E190" s="101" cm="1">
        <f t="array" ref="E190">SUMPRODUCT(Data_Cleansing_Yr1_30*Long_Term_Monetised_Risk_30)</f>
        <v>0</v>
      </c>
      <c r="F190" s="101" cm="1">
        <f t="array" ref="F190">SUMPRODUCT(Deterioration_total_Yr1_30*Long_Term_Monetised_Risk_30)</f>
        <v>0</v>
      </c>
      <c r="G190" s="101" cm="1">
        <f t="array" ref="G190">SUMPRODUCT(Other_Risk_Movements_Yr1_30*Long_Term_Monetised_Risk_30)</f>
        <v>0</v>
      </c>
      <c r="H190" s="101" cm="1">
        <f t="array" ref="H190">SUMPRODUCT(Asset_Replacement_Yr1_30*Long_Term_Monetised_Risk_30)</f>
        <v>0</v>
      </c>
      <c r="I190" s="101" cm="1">
        <f t="array" ref="I190">SUMPRODUCT(Asset_Refurbishment_Yr1_30*Long_Term_Monetised_Risk_30)</f>
        <v>0</v>
      </c>
      <c r="J190" s="101" cm="1">
        <f t="array" ref="J190">SUMPRODUCT(Reinforcement_Yr1_30*Long_Term_Monetised_Risk_30)</f>
        <v>0</v>
      </c>
      <c r="K190" s="101" cm="1">
        <f t="array" ref="K190">SUMPRODUCT(Faults_Yr1_30*Long_Term_Monetised_Risk_30)</f>
        <v>0</v>
      </c>
      <c r="L190" s="101" cm="1">
        <f t="array" ref="L190">SUMPRODUCT(HVP_Asset_Replacement_Refurbishment_Yr1_30*Long_Term_Monetised_Risk_30)</f>
        <v>0</v>
      </c>
      <c r="M190" s="101" cm="1">
        <f t="array" ref="M190">SUMPRODUCT(HVP_Other_Yr1_30*Long_Term_Monetised_Risk_30)</f>
        <v>0</v>
      </c>
      <c r="N190" s="101" cm="1">
        <f t="array" ref="N190">SUMPRODUCT(All_Other_Yr1_30*Long_Term_Monetised_Risk_30)</f>
        <v>0</v>
      </c>
      <c r="O190" s="102" cm="1">
        <f t="array" ref="O190">SUMPRODUCT(End_Of_Year_Yr1_30*Long_Term_Monetised_Risk_30)</f>
        <v>0</v>
      </c>
      <c r="Q190" s="112"/>
      <c r="R190" s="113"/>
      <c r="S190" s="120"/>
      <c r="T190" s="115" cm="1">
        <f t="array" ref="T190">SUMPRODUCT(Asset_Replacement_2028_Yr1_30*Long_Term_Monetised_Risk_30)</f>
        <v>0</v>
      </c>
      <c r="U190" s="101" cm="1">
        <f t="array" ref="U190">SUMPRODUCT(Asset_Refurbishment_2028_Yr1_30*Long_Term_Monetised_Risk_30)</f>
        <v>0</v>
      </c>
      <c r="V190" s="102" cm="1">
        <f t="array" ref="V190">SUMPRODUCT(HVP_2028_Yr1_30*Long_Term_Monetised_Risk_30)</f>
        <v>0</v>
      </c>
    </row>
    <row r="191" spans="1:22">
      <c r="B191" s="93" t="s">
        <v>91</v>
      </c>
      <c r="C191" s="91">
        <v>2025</v>
      </c>
      <c r="D191" s="64" cm="1">
        <f t="array" ref="D191">SUMPRODUCT(Start_of_Year_Yr2_30*Long_Term_Monetised_Risk_30)</f>
        <v>0</v>
      </c>
      <c r="E191" s="64" cm="1">
        <f t="array" ref="E191">SUMPRODUCT(Data_Cleansing_Yr2_30*Long_Term_Monetised_Risk_30)</f>
        <v>0</v>
      </c>
      <c r="F191" s="64" cm="1">
        <f t="array" ref="F191">SUMPRODUCT(Deterioration_total_Yr2_30*Long_Term_Monetised_Risk_30)</f>
        <v>0</v>
      </c>
      <c r="G191" s="64" cm="1">
        <f t="array" ref="G191">SUMPRODUCT(Other_Risk_Movements_Yr2_30*Long_Term_Monetised_Risk_30)</f>
        <v>0</v>
      </c>
      <c r="H191" s="64" cm="1">
        <f t="array" ref="H191">SUMPRODUCT(Asset_Replacement_Yr2_30*Long_Term_Monetised_Risk_30)</f>
        <v>0</v>
      </c>
      <c r="I191" s="64" cm="1">
        <f t="array" ref="I191">SUMPRODUCT(Asset_Refurbishment_Yr2_30*Long_Term_Monetised_Risk_30)</f>
        <v>0</v>
      </c>
      <c r="J191" s="64" cm="1">
        <f t="array" ref="J191">SUMPRODUCT(Reinforcement_Yr2_30*Long_Term_Monetised_Risk_30)</f>
        <v>0</v>
      </c>
      <c r="K191" s="64" cm="1">
        <f t="array" ref="K191">SUMPRODUCT(Faults_Yr2_30*Long_Term_Monetised_Risk_30)</f>
        <v>0</v>
      </c>
      <c r="L191" s="64" cm="1">
        <f t="array" ref="L191">SUMPRODUCT(HVP_Asset_Replacement_Refurbishment_Yr2_30*Long_Term_Monetised_Risk_30)</f>
        <v>0</v>
      </c>
      <c r="M191" s="64" cm="1">
        <f t="array" ref="M191">SUMPRODUCT(HVP_Other_Yr2_30*Long_Term_Monetised_Risk_30)</f>
        <v>0</v>
      </c>
      <c r="N191" s="64" cm="1">
        <f t="array" ref="N191">SUMPRODUCT(All_Other_Yr2_30*Long_Term_Monetised_Risk_30)</f>
        <v>0</v>
      </c>
      <c r="O191" s="65" cm="1">
        <f t="array" ref="O191">SUMPRODUCT(End_Of_Year_Yr2_30*Long_Term_Monetised_Risk_30)</f>
        <v>0</v>
      </c>
      <c r="Q191" s="110"/>
      <c r="R191" s="111"/>
      <c r="S191" s="119"/>
      <c r="T191" s="114" cm="1">
        <f t="array" ref="T191">SUMPRODUCT(Asset_Replacement_2028_Yr2_30*Long_Term_Monetised_Risk_30)</f>
        <v>0</v>
      </c>
      <c r="U191" s="64" cm="1">
        <f t="array" ref="U191">SUMPRODUCT(Asset_Refurbishment_2028_Yr2_30*Long_Term_Monetised_Risk_30)</f>
        <v>0</v>
      </c>
      <c r="V191" s="65" cm="1">
        <f t="array" ref="V191">SUMPRODUCT(HVP_2028_Yr2_30*Long_Term_Monetised_Risk_30)</f>
        <v>0</v>
      </c>
    </row>
    <row r="192" spans="1:22">
      <c r="B192" s="93" t="s">
        <v>91</v>
      </c>
      <c r="C192" s="91">
        <v>2026</v>
      </c>
      <c r="D192" s="64" cm="1">
        <f t="array" ref="D192">SUMPRODUCT(Start_of_Year_Yr3_30*Long_Term_Monetised_Risk_30)</f>
        <v>0</v>
      </c>
      <c r="E192" s="64" cm="1">
        <f t="array" ref="E192">SUMPRODUCT(Data_Cleansing_Yr3_30*Long_Term_Monetised_Risk_30)</f>
        <v>0</v>
      </c>
      <c r="F192" s="64" cm="1">
        <f t="array" ref="F192">SUMPRODUCT(Deterioration_total_Yr3_30*Long_Term_Monetised_Risk_30)</f>
        <v>0</v>
      </c>
      <c r="G192" s="64" cm="1">
        <f t="array" ref="G192">SUMPRODUCT(Other_Risk_Movements_Yr3_30*Long_Term_Monetised_Risk_30)</f>
        <v>0</v>
      </c>
      <c r="H192" s="64" cm="1">
        <f t="array" ref="H192">SUMPRODUCT(Asset_Replacement_Yr3_30*Long_Term_Monetised_Risk_30)</f>
        <v>0</v>
      </c>
      <c r="I192" s="64" cm="1">
        <f t="array" ref="I192">SUMPRODUCT(Asset_Refurbishment_Yr3_30*Long_Term_Monetised_Risk_30)</f>
        <v>0</v>
      </c>
      <c r="J192" s="64" cm="1">
        <f t="array" ref="J192">SUMPRODUCT(Reinforcement_Yr3_30*Long_Term_Monetised_Risk_30)</f>
        <v>0</v>
      </c>
      <c r="K192" s="64" cm="1">
        <f t="array" ref="K192">SUMPRODUCT(Faults_Yr3_30*Long_Term_Monetised_Risk_30)</f>
        <v>0</v>
      </c>
      <c r="L192" s="64" cm="1">
        <f t="array" ref="L192">SUMPRODUCT(HVP_Asset_Replacement_Refurbishment_Yr3_30*Long_Term_Monetised_Risk_30)</f>
        <v>0</v>
      </c>
      <c r="M192" s="64" cm="1">
        <f t="array" ref="M192">SUMPRODUCT(HVP_Other_Yr3_30*Long_Term_Monetised_Risk_30)</f>
        <v>0</v>
      </c>
      <c r="N192" s="64" cm="1">
        <f t="array" ref="N192">SUMPRODUCT(All_Other_Yr3_30*Long_Term_Monetised_Risk_30)</f>
        <v>0</v>
      </c>
      <c r="O192" s="65" cm="1">
        <f t="array" ref="O192">SUMPRODUCT(End_Of_Year_Yr3_30*Long_Term_Monetised_Risk_30)</f>
        <v>0</v>
      </c>
      <c r="Q192" s="110"/>
      <c r="R192" s="111"/>
      <c r="S192" s="119"/>
      <c r="T192" s="114" cm="1">
        <f t="array" ref="T192">SUMPRODUCT(Asset_Replacement_2028_Yr3_30*Long_Term_Monetised_Risk_30)</f>
        <v>0</v>
      </c>
      <c r="U192" s="64" cm="1">
        <f t="array" ref="U192">SUMPRODUCT(Asset_Refurbishment_2028_Yr3_30*Long_Term_Monetised_Risk_30)</f>
        <v>0</v>
      </c>
      <c r="V192" s="65" cm="1">
        <f t="array" ref="V192">SUMPRODUCT(HVP_2028_Yr3_30*Long_Term_Monetised_Risk_30)</f>
        <v>0</v>
      </c>
    </row>
    <row r="193" spans="1:22">
      <c r="B193" s="93" t="s">
        <v>91</v>
      </c>
      <c r="C193" s="91">
        <v>2027</v>
      </c>
      <c r="D193" s="64" cm="1">
        <f t="array" ref="D193">SUMPRODUCT(Start_of_Year_Yr4_30*Long_Term_Monetised_Risk_30)</f>
        <v>0</v>
      </c>
      <c r="E193" s="64" cm="1">
        <f t="array" ref="E193">SUMPRODUCT(Data_Cleansing_Yr4_30*Long_Term_Monetised_Risk_30)</f>
        <v>0</v>
      </c>
      <c r="F193" s="64" cm="1">
        <f t="array" ref="F193">SUMPRODUCT(Deterioration_total_Yr4_30*Long_Term_Monetised_Risk_30)</f>
        <v>0</v>
      </c>
      <c r="G193" s="64" cm="1">
        <f t="array" ref="G193">SUMPRODUCT(Other_Risk_Movements_Yr4_30*Long_Term_Monetised_Risk_30)</f>
        <v>0</v>
      </c>
      <c r="H193" s="64" cm="1">
        <f t="array" ref="H193">SUMPRODUCT(Asset_Replacement_Yr4_30*Long_Term_Monetised_Risk_30)</f>
        <v>0</v>
      </c>
      <c r="I193" s="64" cm="1">
        <f t="array" ref="I193">SUMPRODUCT(Asset_Refurbishment_Yr4_30*Long_Term_Monetised_Risk_30)</f>
        <v>0</v>
      </c>
      <c r="J193" s="64" cm="1">
        <f t="array" ref="J193">SUMPRODUCT(Reinforcement_Yr4_30*Long_Term_Monetised_Risk_30)</f>
        <v>0</v>
      </c>
      <c r="K193" s="64" cm="1">
        <f t="array" ref="K193">SUMPRODUCT(Faults_Yr4_30*Long_Term_Monetised_Risk_30)</f>
        <v>0</v>
      </c>
      <c r="L193" s="64" cm="1">
        <f t="array" ref="L193">SUMPRODUCT(HVP_Asset_Replacement_Refurbishment_Yr4_30*Long_Term_Monetised_Risk_30)</f>
        <v>0</v>
      </c>
      <c r="M193" s="64" cm="1">
        <f t="array" ref="M193">SUMPRODUCT(HVP_Other_Yr4_30*Long_Term_Monetised_Risk_30)</f>
        <v>0</v>
      </c>
      <c r="N193" s="64" cm="1">
        <f t="array" ref="N193">SUMPRODUCT(All_Other_Yr4_30*Long_Term_Monetised_Risk_30)</f>
        <v>0</v>
      </c>
      <c r="O193" s="65" cm="1">
        <f t="array" ref="O193">SUMPRODUCT(End_Of_Year_Yr4_30*Long_Term_Monetised_Risk_30)</f>
        <v>0</v>
      </c>
      <c r="Q193" s="110"/>
      <c r="R193" s="111"/>
      <c r="S193" s="119"/>
      <c r="T193" s="114" cm="1">
        <f t="array" ref="T193">SUMPRODUCT(Asset_Replacement_2028_Yr4_30*Long_Term_Monetised_Risk_30)</f>
        <v>0</v>
      </c>
      <c r="U193" s="64" cm="1">
        <f t="array" ref="U193">SUMPRODUCT(Asset_Refurbishment_2028_Yr4_30*Long_Term_Monetised_Risk_30)</f>
        <v>0</v>
      </c>
      <c r="V193" s="65" cm="1">
        <f t="array" ref="V193">SUMPRODUCT(HVP_2028_Yr4_30*Long_Term_Monetised_Risk_30)</f>
        <v>0</v>
      </c>
    </row>
    <row r="194" spans="1:22">
      <c r="B194" s="93" t="s">
        <v>91</v>
      </c>
      <c r="C194" s="91">
        <v>2028</v>
      </c>
      <c r="D194" s="64" cm="1">
        <f t="array" ref="D194">SUMPRODUCT(Start_of_Year_Yr5_30*Long_Term_Monetised_Risk_30)</f>
        <v>0</v>
      </c>
      <c r="E194" s="64" cm="1">
        <f t="array" ref="E194">SUMPRODUCT(Data_Cleansing_Yr5_30*Long_Term_Monetised_Risk_30)</f>
        <v>0</v>
      </c>
      <c r="F194" s="64" cm="1">
        <f t="array" ref="F194">SUMPRODUCT(Deterioration_total_Yr5_30*Long_Term_Monetised_Risk_30)</f>
        <v>0</v>
      </c>
      <c r="G194" s="64" cm="1">
        <f t="array" ref="G194">SUMPRODUCT(Other_Risk_Movements_Yr5_30*Long_Term_Monetised_Risk_30)</f>
        <v>0</v>
      </c>
      <c r="H194" s="64" cm="1">
        <f t="array" ref="H194">SUMPRODUCT(Asset_Replacement_Yr5_30*Long_Term_Monetised_Risk_30)</f>
        <v>0</v>
      </c>
      <c r="I194" s="64" cm="1">
        <f t="array" ref="I194">SUMPRODUCT(Asset_Refurbishment_Yr5_30*Long_Term_Monetised_Risk_30)</f>
        <v>0</v>
      </c>
      <c r="J194" s="64" cm="1">
        <f t="array" ref="J194">SUMPRODUCT(Reinforcement_Yr5_30*Long_Term_Monetised_Risk_30)</f>
        <v>0</v>
      </c>
      <c r="K194" s="64" cm="1">
        <f t="array" ref="K194">SUMPRODUCT(Faults_Yr5_30*Long_Term_Monetised_Risk_30)</f>
        <v>0</v>
      </c>
      <c r="L194" s="64" cm="1">
        <f t="array" ref="L194">SUMPRODUCT(HVP_Asset_Replacement_Refurbishment_Yr5_30*Long_Term_Monetised_Risk_30)</f>
        <v>0</v>
      </c>
      <c r="M194" s="64" cm="1">
        <f t="array" ref="M194">SUMPRODUCT(HVP_Other_Yr5_30*Long_Term_Monetised_Risk_30)</f>
        <v>0</v>
      </c>
      <c r="N194" s="64" cm="1">
        <f t="array" ref="N194">SUMPRODUCT(All_Other_Yr5_30*Long_Term_Monetised_Risk_30)</f>
        <v>0</v>
      </c>
      <c r="O194" s="65" cm="1">
        <f t="array" ref="O194">SUMPRODUCT(End_Of_Year_Yr5_30*Long_Term_Monetised_Risk_30)</f>
        <v>0</v>
      </c>
      <c r="Q194" s="110"/>
      <c r="R194" s="111"/>
      <c r="S194" s="119"/>
      <c r="T194" s="114" cm="1">
        <f t="array" ref="T194">SUMPRODUCT(Asset_Replacement_2028_Yr5_30*Long_Term_Monetised_Risk_30)</f>
        <v>0</v>
      </c>
      <c r="U194" s="64" cm="1">
        <f t="array" ref="U194">SUMPRODUCT(Asset_Refurbishment_2028_Yr5_30*Long_Term_Monetised_Risk_30)</f>
        <v>0</v>
      </c>
      <c r="V194" s="65" cm="1">
        <f t="array" ref="V194">SUMPRODUCT(HVP_2028_Yr5_30*Long_Term_Monetised_Risk_30)</f>
        <v>0</v>
      </c>
    </row>
    <row r="195" spans="1:22" ht="14" thickBot="1">
      <c r="B195" s="103" t="s">
        <v>91</v>
      </c>
      <c r="C195" s="104" t="s">
        <v>131</v>
      </c>
      <c r="D195" s="105"/>
      <c r="E195" s="106">
        <f t="shared" ref="E195:O195" si="68">SUM(E190:E194)</f>
        <v>0</v>
      </c>
      <c r="F195" s="106">
        <f t="shared" si="68"/>
        <v>0</v>
      </c>
      <c r="G195" s="106">
        <f t="shared" si="68"/>
        <v>0</v>
      </c>
      <c r="H195" s="106">
        <f t="shared" si="68"/>
        <v>0</v>
      </c>
      <c r="I195" s="106">
        <f t="shared" si="68"/>
        <v>0</v>
      </c>
      <c r="J195" s="106">
        <f t="shared" si="68"/>
        <v>0</v>
      </c>
      <c r="K195" s="106">
        <f t="shared" si="68"/>
        <v>0</v>
      </c>
      <c r="L195" s="106">
        <f t="shared" si="68"/>
        <v>0</v>
      </c>
      <c r="M195" s="106">
        <f t="shared" si="68"/>
        <v>0</v>
      </c>
      <c r="N195" s="106">
        <f t="shared" si="68"/>
        <v>0</v>
      </c>
      <c r="O195" s="537">
        <f t="shared" si="68"/>
        <v>0</v>
      </c>
      <c r="Q195" s="107" t="str">
        <f ca="1">VLOOKUP($B195,'NARM4 - ED2 NARW Risk Movements'!$B$7:$G$67,4,FALSE)</f>
        <v/>
      </c>
      <c r="R195" s="109" t="str">
        <f ca="1">VLOOKUP($B195,'NARM4 - ED2 NARW Risk Movements'!$B$7:$G$67,5,FALSE)</f>
        <v/>
      </c>
      <c r="S195" s="121" t="str">
        <f ca="1">VLOOKUP($B195,'NARM4 - ED2 NARW Risk Movements'!$B$7:$G$67,6,FALSE)</f>
        <v/>
      </c>
      <c r="T195" s="117">
        <f>SUM(T190:T194)</f>
        <v>0</v>
      </c>
      <c r="U195" s="106">
        <f t="shared" ref="U195" si="69">SUM(U190:U194)</f>
        <v>0</v>
      </c>
      <c r="V195" s="108">
        <f>SUM(V190:V194)</f>
        <v>0</v>
      </c>
    </row>
    <row r="196" spans="1:22" ht="14" thickTop="1">
      <c r="A196" s="143">
        <v>31</v>
      </c>
      <c r="B196" s="99" t="s">
        <v>92</v>
      </c>
      <c r="C196" s="100">
        <v>2024</v>
      </c>
      <c r="D196" s="101" cm="1">
        <f t="array" ref="D196">SUMPRODUCT(Start_of_Year_Yr1_31*Long_Term_Monetised_Risk_31)</f>
        <v>0</v>
      </c>
      <c r="E196" s="101" cm="1">
        <f t="array" ref="E196">SUMPRODUCT(Data_Cleansing_Yr1_31*Long_Term_Monetised_Risk_31)</f>
        <v>0</v>
      </c>
      <c r="F196" s="101" cm="1">
        <f t="array" ref="F196">SUMPRODUCT(Deterioration_total_Yr1_31*Long_Term_Monetised_Risk_31)</f>
        <v>0</v>
      </c>
      <c r="G196" s="101" cm="1">
        <f t="array" ref="G196">SUMPRODUCT(Other_Risk_Movements_Yr1_31*Long_Term_Monetised_Risk_31)</f>
        <v>0</v>
      </c>
      <c r="H196" s="101" cm="1">
        <f t="array" ref="H196">SUMPRODUCT(Asset_Replacement_Yr1_31*Long_Term_Monetised_Risk_31)</f>
        <v>0</v>
      </c>
      <c r="I196" s="101" cm="1">
        <f t="array" ref="I196">SUMPRODUCT(Asset_Refurbishment_Yr1_31*Long_Term_Monetised_Risk_31)</f>
        <v>0</v>
      </c>
      <c r="J196" s="101" cm="1">
        <f t="array" ref="J196">SUMPRODUCT(Reinforcement_Yr1_31*Long_Term_Monetised_Risk_31)</f>
        <v>0</v>
      </c>
      <c r="K196" s="101" cm="1">
        <f t="array" ref="K196">SUMPRODUCT(Faults_Yr1_31*Long_Term_Monetised_Risk_31)</f>
        <v>0</v>
      </c>
      <c r="L196" s="101" cm="1">
        <f t="array" ref="L196">SUMPRODUCT(HVP_Asset_Replacement_Refurbishment_Yr1_31*Long_Term_Monetised_Risk_31)</f>
        <v>0</v>
      </c>
      <c r="M196" s="101" cm="1">
        <f t="array" ref="M196">SUMPRODUCT(HVP_Other_Yr1_31*Long_Term_Monetised_Risk_31)</f>
        <v>0</v>
      </c>
      <c r="N196" s="101" cm="1">
        <f t="array" ref="N196">SUMPRODUCT(All_Other_Yr1_31*Long_Term_Monetised_Risk_31)</f>
        <v>0</v>
      </c>
      <c r="O196" s="102" cm="1">
        <f t="array" ref="O196">SUMPRODUCT(End_Of_Year_Yr1_31*Long_Term_Monetised_Risk_31)</f>
        <v>0</v>
      </c>
      <c r="Q196" s="112"/>
      <c r="R196" s="113"/>
      <c r="S196" s="120"/>
      <c r="T196" s="115" cm="1">
        <f t="array" ref="T196">SUMPRODUCT(Asset_Replacement_2028_Yr1_31*Long_Term_Monetised_Risk_31)</f>
        <v>0</v>
      </c>
      <c r="U196" s="101" cm="1">
        <f t="array" ref="U196">SUMPRODUCT(Asset_Refurbishment_2028_Yr1_31*Long_Term_Monetised_Risk_31)</f>
        <v>0</v>
      </c>
      <c r="V196" s="102" cm="1">
        <f t="array" ref="V196">SUMPRODUCT(HVP_2028_Yr1_31*Long_Term_Monetised_Risk_31)</f>
        <v>0</v>
      </c>
    </row>
    <row r="197" spans="1:22">
      <c r="B197" s="93" t="s">
        <v>92</v>
      </c>
      <c r="C197" s="91">
        <v>2025</v>
      </c>
      <c r="D197" s="64" cm="1">
        <f t="array" ref="D197">SUMPRODUCT(Start_of_Year_Yr2_31*Long_Term_Monetised_Risk_31)</f>
        <v>0</v>
      </c>
      <c r="E197" s="64" cm="1">
        <f t="array" ref="E197">SUMPRODUCT(Data_Cleansing_Yr2_31*Long_Term_Monetised_Risk_31)</f>
        <v>0</v>
      </c>
      <c r="F197" s="64" cm="1">
        <f t="array" ref="F197">SUMPRODUCT(Deterioration_total_Yr2_31*Long_Term_Monetised_Risk_31)</f>
        <v>0</v>
      </c>
      <c r="G197" s="64" cm="1">
        <f t="array" ref="G197">SUMPRODUCT(Other_Risk_Movements_Yr2_31*Long_Term_Monetised_Risk_31)</f>
        <v>0</v>
      </c>
      <c r="H197" s="64" cm="1">
        <f t="array" ref="H197">SUMPRODUCT(Asset_Replacement_Yr2_31*Long_Term_Monetised_Risk_31)</f>
        <v>0</v>
      </c>
      <c r="I197" s="64" cm="1">
        <f t="array" ref="I197">SUMPRODUCT(Asset_Refurbishment_Yr2_31*Long_Term_Monetised_Risk_31)</f>
        <v>0</v>
      </c>
      <c r="J197" s="64" cm="1">
        <f t="array" ref="J197">SUMPRODUCT(Reinforcement_Yr2_31*Long_Term_Monetised_Risk_31)</f>
        <v>0</v>
      </c>
      <c r="K197" s="64" cm="1">
        <f t="array" ref="K197">SUMPRODUCT(Faults_Yr2_31*Long_Term_Monetised_Risk_31)</f>
        <v>0</v>
      </c>
      <c r="L197" s="64" cm="1">
        <f t="array" ref="L197">SUMPRODUCT(HVP_Asset_Replacement_Refurbishment_Yr2_31*Long_Term_Monetised_Risk_31)</f>
        <v>0</v>
      </c>
      <c r="M197" s="64" cm="1">
        <f t="array" ref="M197">SUMPRODUCT(HVP_Other_Yr2_31*Long_Term_Monetised_Risk_31)</f>
        <v>0</v>
      </c>
      <c r="N197" s="64" cm="1">
        <f t="array" ref="N197">SUMPRODUCT(All_Other_Yr2_31*Long_Term_Monetised_Risk_31)</f>
        <v>0</v>
      </c>
      <c r="O197" s="65" cm="1">
        <f t="array" ref="O197">SUMPRODUCT(End_Of_Year_Yr2_31*Long_Term_Monetised_Risk_31)</f>
        <v>0</v>
      </c>
      <c r="Q197" s="110"/>
      <c r="R197" s="111"/>
      <c r="S197" s="119"/>
      <c r="T197" s="114" cm="1">
        <f t="array" ref="T197">SUMPRODUCT(Asset_Replacement_2028_Yr2_31*Long_Term_Monetised_Risk_31)</f>
        <v>0</v>
      </c>
      <c r="U197" s="64" cm="1">
        <f t="array" ref="U197">SUMPRODUCT(Asset_Refurbishment_2028_Yr2_31*Long_Term_Monetised_Risk_31)</f>
        <v>0</v>
      </c>
      <c r="V197" s="65" cm="1">
        <f t="array" ref="V197">SUMPRODUCT(HVP_2028_Yr2_31*Long_Term_Monetised_Risk_31)</f>
        <v>0</v>
      </c>
    </row>
    <row r="198" spans="1:22">
      <c r="B198" s="93" t="s">
        <v>92</v>
      </c>
      <c r="C198" s="91">
        <v>2026</v>
      </c>
      <c r="D198" s="64" cm="1">
        <f t="array" ref="D198">SUMPRODUCT(Start_of_Year_Yr3_31*Long_Term_Monetised_Risk_31)</f>
        <v>0</v>
      </c>
      <c r="E198" s="64" cm="1">
        <f t="array" ref="E198">SUMPRODUCT(Data_Cleansing_Yr3_31*Long_Term_Monetised_Risk_31)</f>
        <v>0</v>
      </c>
      <c r="F198" s="64" cm="1">
        <f t="array" ref="F198">SUMPRODUCT(Deterioration_total_Yr3_31*Long_Term_Monetised_Risk_31)</f>
        <v>0</v>
      </c>
      <c r="G198" s="64" cm="1">
        <f t="array" ref="G198">SUMPRODUCT(Other_Risk_Movements_Yr3_31*Long_Term_Monetised_Risk_31)</f>
        <v>0</v>
      </c>
      <c r="H198" s="64" cm="1">
        <f t="array" ref="H198">SUMPRODUCT(Asset_Replacement_Yr3_31*Long_Term_Monetised_Risk_31)</f>
        <v>0</v>
      </c>
      <c r="I198" s="64" cm="1">
        <f t="array" ref="I198">SUMPRODUCT(Asset_Refurbishment_Yr3_31*Long_Term_Monetised_Risk_31)</f>
        <v>0</v>
      </c>
      <c r="J198" s="64" cm="1">
        <f t="array" ref="J198">SUMPRODUCT(Reinforcement_Yr3_31*Long_Term_Monetised_Risk_31)</f>
        <v>0</v>
      </c>
      <c r="K198" s="64" cm="1">
        <f t="array" ref="K198">SUMPRODUCT(Faults_Yr3_31*Long_Term_Monetised_Risk_31)</f>
        <v>0</v>
      </c>
      <c r="L198" s="64" cm="1">
        <f t="array" ref="L198">SUMPRODUCT(HVP_Asset_Replacement_Refurbishment_Yr3_31*Long_Term_Monetised_Risk_31)</f>
        <v>0</v>
      </c>
      <c r="M198" s="64" cm="1">
        <f t="array" ref="M198">SUMPRODUCT(HVP_Other_Yr3_31*Long_Term_Monetised_Risk_31)</f>
        <v>0</v>
      </c>
      <c r="N198" s="64" cm="1">
        <f t="array" ref="N198">SUMPRODUCT(All_Other_Yr3_31*Long_Term_Monetised_Risk_31)</f>
        <v>0</v>
      </c>
      <c r="O198" s="65" cm="1">
        <f t="array" ref="O198">SUMPRODUCT(End_Of_Year_Yr3_31*Long_Term_Monetised_Risk_31)</f>
        <v>0</v>
      </c>
      <c r="Q198" s="110"/>
      <c r="R198" s="111"/>
      <c r="S198" s="119"/>
      <c r="T198" s="114" cm="1">
        <f t="array" ref="T198">SUMPRODUCT(Asset_Replacement_2028_Yr3_31*Long_Term_Monetised_Risk_31)</f>
        <v>0</v>
      </c>
      <c r="U198" s="64" cm="1">
        <f t="array" ref="U198">SUMPRODUCT(Asset_Refurbishment_2028_Yr3_31*Long_Term_Monetised_Risk_31)</f>
        <v>0</v>
      </c>
      <c r="V198" s="65" cm="1">
        <f t="array" ref="V198">SUMPRODUCT(HVP_2028_Yr3_31*Long_Term_Monetised_Risk_31)</f>
        <v>0</v>
      </c>
    </row>
    <row r="199" spans="1:22">
      <c r="B199" s="93" t="s">
        <v>92</v>
      </c>
      <c r="C199" s="91">
        <v>2027</v>
      </c>
      <c r="D199" s="64" cm="1">
        <f t="array" ref="D199">SUMPRODUCT(Start_of_Year_Yr4_31*Long_Term_Monetised_Risk_31)</f>
        <v>0</v>
      </c>
      <c r="E199" s="64" cm="1">
        <f t="array" ref="E199">SUMPRODUCT(Data_Cleansing_Yr4_31*Long_Term_Monetised_Risk_31)</f>
        <v>0</v>
      </c>
      <c r="F199" s="64" cm="1">
        <f t="array" ref="F199">SUMPRODUCT(Deterioration_total_Yr4_31*Long_Term_Monetised_Risk_31)</f>
        <v>0</v>
      </c>
      <c r="G199" s="64" cm="1">
        <f t="array" ref="G199">SUMPRODUCT(Other_Risk_Movements_Yr4_31*Long_Term_Monetised_Risk_31)</f>
        <v>0</v>
      </c>
      <c r="H199" s="64" cm="1">
        <f t="array" ref="H199">SUMPRODUCT(Asset_Replacement_Yr4_31*Long_Term_Monetised_Risk_31)</f>
        <v>0</v>
      </c>
      <c r="I199" s="64" cm="1">
        <f t="array" ref="I199">SUMPRODUCT(Asset_Refurbishment_Yr4_31*Long_Term_Monetised_Risk_31)</f>
        <v>0</v>
      </c>
      <c r="J199" s="64" cm="1">
        <f t="array" ref="J199">SUMPRODUCT(Reinforcement_Yr4_31*Long_Term_Monetised_Risk_31)</f>
        <v>0</v>
      </c>
      <c r="K199" s="64" cm="1">
        <f t="array" ref="K199">SUMPRODUCT(Faults_Yr4_31*Long_Term_Monetised_Risk_31)</f>
        <v>0</v>
      </c>
      <c r="L199" s="64" cm="1">
        <f t="array" ref="L199">SUMPRODUCT(HVP_Asset_Replacement_Refurbishment_Yr4_31*Long_Term_Monetised_Risk_31)</f>
        <v>0</v>
      </c>
      <c r="M199" s="64" cm="1">
        <f t="array" ref="M199">SUMPRODUCT(HVP_Other_Yr4_31*Long_Term_Monetised_Risk_31)</f>
        <v>0</v>
      </c>
      <c r="N199" s="64" cm="1">
        <f t="array" ref="N199">SUMPRODUCT(All_Other_Yr4_31*Long_Term_Monetised_Risk_31)</f>
        <v>0</v>
      </c>
      <c r="O199" s="65" cm="1">
        <f t="array" ref="O199">SUMPRODUCT(End_Of_Year_Yr4_31*Long_Term_Monetised_Risk_31)</f>
        <v>0</v>
      </c>
      <c r="Q199" s="110"/>
      <c r="R199" s="111"/>
      <c r="S199" s="119"/>
      <c r="T199" s="114" cm="1">
        <f t="array" ref="T199">SUMPRODUCT(Asset_Replacement_2028_Yr4_31*Long_Term_Monetised_Risk_31)</f>
        <v>0</v>
      </c>
      <c r="U199" s="64" cm="1">
        <f t="array" ref="U199">SUMPRODUCT(Asset_Refurbishment_2028_Yr4_31*Long_Term_Monetised_Risk_31)</f>
        <v>0</v>
      </c>
      <c r="V199" s="65" cm="1">
        <f t="array" ref="V199">SUMPRODUCT(HVP_2028_Yr4_31*Long_Term_Monetised_Risk_31)</f>
        <v>0</v>
      </c>
    </row>
    <row r="200" spans="1:22">
      <c r="B200" s="93" t="s">
        <v>92</v>
      </c>
      <c r="C200" s="91">
        <v>2028</v>
      </c>
      <c r="D200" s="64" cm="1">
        <f t="array" ref="D200">SUMPRODUCT(Start_of_Year_Yr5_31*Long_Term_Monetised_Risk_31)</f>
        <v>0</v>
      </c>
      <c r="E200" s="64" cm="1">
        <f t="array" ref="E200">SUMPRODUCT(Data_Cleansing_Yr5_31*Long_Term_Monetised_Risk_31)</f>
        <v>0</v>
      </c>
      <c r="F200" s="64" cm="1">
        <f t="array" ref="F200">SUMPRODUCT(Deterioration_total_Yr5_31*Long_Term_Monetised_Risk_31)</f>
        <v>0</v>
      </c>
      <c r="G200" s="64" cm="1">
        <f t="array" ref="G200">SUMPRODUCT(Other_Risk_Movements_Yr5_31*Long_Term_Monetised_Risk_31)</f>
        <v>0</v>
      </c>
      <c r="H200" s="64" cm="1">
        <f t="array" ref="H200">SUMPRODUCT(Asset_Replacement_Yr5_31*Long_Term_Monetised_Risk_31)</f>
        <v>0</v>
      </c>
      <c r="I200" s="64" cm="1">
        <f t="array" ref="I200">SUMPRODUCT(Asset_Refurbishment_Yr5_31*Long_Term_Monetised_Risk_31)</f>
        <v>0</v>
      </c>
      <c r="J200" s="64" cm="1">
        <f t="array" ref="J200">SUMPRODUCT(Reinforcement_Yr5_31*Long_Term_Monetised_Risk_31)</f>
        <v>0</v>
      </c>
      <c r="K200" s="64" cm="1">
        <f t="array" ref="K200">SUMPRODUCT(Faults_Yr5_31*Long_Term_Monetised_Risk_31)</f>
        <v>0</v>
      </c>
      <c r="L200" s="64" cm="1">
        <f t="array" ref="L200">SUMPRODUCT(HVP_Asset_Replacement_Refurbishment_Yr5_31*Long_Term_Monetised_Risk_31)</f>
        <v>0</v>
      </c>
      <c r="M200" s="64" cm="1">
        <f t="array" ref="M200">SUMPRODUCT(HVP_Other_Yr5_31*Long_Term_Monetised_Risk_31)</f>
        <v>0</v>
      </c>
      <c r="N200" s="64" cm="1">
        <f t="array" ref="N200">SUMPRODUCT(All_Other_Yr5_31*Long_Term_Monetised_Risk_31)</f>
        <v>0</v>
      </c>
      <c r="O200" s="65" cm="1">
        <f t="array" ref="O200">SUMPRODUCT(End_Of_Year_Yr5_31*Long_Term_Monetised_Risk_31)</f>
        <v>0</v>
      </c>
      <c r="Q200" s="110"/>
      <c r="R200" s="111"/>
      <c r="S200" s="119"/>
      <c r="T200" s="114" cm="1">
        <f t="array" ref="T200">SUMPRODUCT(Asset_Replacement_2028_Yr5_31*Long_Term_Monetised_Risk_31)</f>
        <v>0</v>
      </c>
      <c r="U200" s="64" cm="1">
        <f t="array" ref="U200">SUMPRODUCT(Asset_Refurbishment_2028_Yr5_31*Long_Term_Monetised_Risk_31)</f>
        <v>0</v>
      </c>
      <c r="V200" s="65" cm="1">
        <f t="array" ref="V200">SUMPRODUCT(HVP_2028_Yr5_31*Long_Term_Monetised_Risk_31)</f>
        <v>0</v>
      </c>
    </row>
    <row r="201" spans="1:22" ht="14" thickBot="1">
      <c r="B201" s="103" t="s">
        <v>92</v>
      </c>
      <c r="C201" s="104" t="s">
        <v>131</v>
      </c>
      <c r="D201" s="105"/>
      <c r="E201" s="106">
        <f t="shared" ref="E201:O201" si="70">SUM(E196:E200)</f>
        <v>0</v>
      </c>
      <c r="F201" s="106">
        <f t="shared" si="70"/>
        <v>0</v>
      </c>
      <c r="G201" s="106">
        <f t="shared" si="70"/>
        <v>0</v>
      </c>
      <c r="H201" s="106">
        <f t="shared" si="70"/>
        <v>0</v>
      </c>
      <c r="I201" s="106">
        <f t="shared" si="70"/>
        <v>0</v>
      </c>
      <c r="J201" s="106">
        <f t="shared" si="70"/>
        <v>0</v>
      </c>
      <c r="K201" s="106">
        <f t="shared" si="70"/>
        <v>0</v>
      </c>
      <c r="L201" s="106">
        <f t="shared" si="70"/>
        <v>0</v>
      </c>
      <c r="M201" s="106">
        <f t="shared" si="70"/>
        <v>0</v>
      </c>
      <c r="N201" s="106">
        <f t="shared" si="70"/>
        <v>0</v>
      </c>
      <c r="O201" s="537">
        <f t="shared" si="70"/>
        <v>0</v>
      </c>
      <c r="Q201" s="107" t="str">
        <f ca="1">VLOOKUP($B201,'NARM4 - ED2 NARW Risk Movements'!$B$7:$G$67,4,FALSE)</f>
        <v/>
      </c>
      <c r="R201" s="109" t="str">
        <f ca="1">VLOOKUP($B201,'NARM4 - ED2 NARW Risk Movements'!$B$7:$G$67,5,FALSE)</f>
        <v/>
      </c>
      <c r="S201" s="121" t="str">
        <f ca="1">VLOOKUP($B201,'NARM4 - ED2 NARW Risk Movements'!$B$7:$G$67,6,FALSE)</f>
        <v/>
      </c>
      <c r="T201" s="117">
        <f>SUM(T196:T200)</f>
        <v>0</v>
      </c>
      <c r="U201" s="106">
        <f t="shared" ref="U201" si="71">SUM(U196:U200)</f>
        <v>0</v>
      </c>
      <c r="V201" s="108">
        <f>SUM(V196:V200)</f>
        <v>0</v>
      </c>
    </row>
    <row r="202" spans="1:22" ht="14" thickTop="1">
      <c r="A202" s="143">
        <v>32</v>
      </c>
      <c r="B202" s="99" t="s">
        <v>93</v>
      </c>
      <c r="C202" s="100">
        <v>2024</v>
      </c>
      <c r="D202" s="101" cm="1">
        <f t="array" ref="D202">SUMPRODUCT(Start_of_Year_Yr1_32*Long_Term_Monetised_Risk_32)</f>
        <v>0</v>
      </c>
      <c r="E202" s="101" cm="1">
        <f t="array" ref="E202">SUMPRODUCT(Data_Cleansing_Yr1_32*Long_Term_Monetised_Risk_32)</f>
        <v>0</v>
      </c>
      <c r="F202" s="101" cm="1">
        <f t="array" ref="F202">SUMPRODUCT(Deterioration_total_Yr1_32*Long_Term_Monetised_Risk_32)</f>
        <v>0</v>
      </c>
      <c r="G202" s="101" cm="1">
        <f t="array" ref="G202">SUMPRODUCT(Other_Risk_Movements_Yr1_32*Long_Term_Monetised_Risk_32)</f>
        <v>0</v>
      </c>
      <c r="H202" s="101" cm="1">
        <f t="array" ref="H202">SUMPRODUCT(Asset_Replacement_Yr1_32*Long_Term_Monetised_Risk_32)</f>
        <v>0</v>
      </c>
      <c r="I202" s="101" cm="1">
        <f t="array" ref="I202">SUMPRODUCT(Asset_Refurbishment_Yr1_32*Long_Term_Monetised_Risk_32)</f>
        <v>0</v>
      </c>
      <c r="J202" s="101" cm="1">
        <f t="array" ref="J202">SUMPRODUCT(Reinforcement_Yr1_32*Long_Term_Monetised_Risk_32)</f>
        <v>0</v>
      </c>
      <c r="K202" s="101" cm="1">
        <f t="array" ref="K202">SUMPRODUCT(Faults_Yr1_32*Long_Term_Monetised_Risk_32)</f>
        <v>0</v>
      </c>
      <c r="L202" s="101" cm="1">
        <f t="array" ref="L202">SUMPRODUCT(HVP_Asset_Replacement_Refurbishment_Yr1_32*Long_Term_Monetised_Risk_32)</f>
        <v>0</v>
      </c>
      <c r="M202" s="101" cm="1">
        <f t="array" ref="M202">SUMPRODUCT(HVP_Other_Yr1_32*Long_Term_Monetised_Risk_32)</f>
        <v>0</v>
      </c>
      <c r="N202" s="101" cm="1">
        <f t="array" ref="N202">SUMPRODUCT(All_Other_Yr1_32*Long_Term_Monetised_Risk_32)</f>
        <v>0</v>
      </c>
      <c r="O202" s="102" cm="1">
        <f t="array" ref="O202">SUMPRODUCT(End_Of_Year_Yr1_32*Long_Term_Monetised_Risk_32)</f>
        <v>0</v>
      </c>
      <c r="Q202" s="112"/>
      <c r="R202" s="113"/>
      <c r="S202" s="120"/>
      <c r="T202" s="115" cm="1">
        <f t="array" ref="T202">SUMPRODUCT(Asset_Replacement_2028_Yr1_32*Long_Term_Monetised_Risk_32)</f>
        <v>0</v>
      </c>
      <c r="U202" s="101" cm="1">
        <f t="array" ref="U202">SUMPRODUCT(Asset_Refurbishment_2028_Yr1_32*Long_Term_Monetised_Risk_32)</f>
        <v>0</v>
      </c>
      <c r="V202" s="102" cm="1">
        <f t="array" ref="V202">SUMPRODUCT(HVP_2028_Yr1_32*Long_Term_Monetised_Risk_32)</f>
        <v>0</v>
      </c>
    </row>
    <row r="203" spans="1:22">
      <c r="B203" s="93" t="s">
        <v>93</v>
      </c>
      <c r="C203" s="91">
        <v>2025</v>
      </c>
      <c r="D203" s="64" cm="1">
        <f t="array" ref="D203">SUMPRODUCT(Start_of_Year_Yr2_32*Long_Term_Monetised_Risk_32)</f>
        <v>0</v>
      </c>
      <c r="E203" s="64" cm="1">
        <f t="array" ref="E203">SUMPRODUCT(Data_Cleansing_Yr2_32*Long_Term_Monetised_Risk_32)</f>
        <v>0</v>
      </c>
      <c r="F203" s="64" cm="1">
        <f t="array" ref="F203">SUMPRODUCT(Deterioration_total_Yr2_32*Long_Term_Monetised_Risk_32)</f>
        <v>0</v>
      </c>
      <c r="G203" s="64" cm="1">
        <f t="array" ref="G203">SUMPRODUCT(Other_Risk_Movements_Yr2_32*Long_Term_Monetised_Risk_32)</f>
        <v>0</v>
      </c>
      <c r="H203" s="64" cm="1">
        <f t="array" ref="H203">SUMPRODUCT(Asset_Replacement_Yr2_32*Long_Term_Monetised_Risk_32)</f>
        <v>0</v>
      </c>
      <c r="I203" s="64" cm="1">
        <f t="array" ref="I203">SUMPRODUCT(Asset_Refurbishment_Yr2_32*Long_Term_Monetised_Risk_32)</f>
        <v>0</v>
      </c>
      <c r="J203" s="64" cm="1">
        <f t="array" ref="J203">SUMPRODUCT(Reinforcement_Yr2_32*Long_Term_Monetised_Risk_32)</f>
        <v>0</v>
      </c>
      <c r="K203" s="64" cm="1">
        <f t="array" ref="K203">SUMPRODUCT(Faults_Yr2_32*Long_Term_Monetised_Risk_32)</f>
        <v>0</v>
      </c>
      <c r="L203" s="64" cm="1">
        <f t="array" ref="L203">SUMPRODUCT(HVP_Asset_Replacement_Refurbishment_Yr2_32*Long_Term_Monetised_Risk_32)</f>
        <v>0</v>
      </c>
      <c r="M203" s="64" cm="1">
        <f t="array" ref="M203">SUMPRODUCT(HVP_Other_Yr2_32*Long_Term_Monetised_Risk_32)</f>
        <v>0</v>
      </c>
      <c r="N203" s="64" cm="1">
        <f t="array" ref="N203">SUMPRODUCT(All_Other_Yr2_32*Long_Term_Monetised_Risk_32)</f>
        <v>0</v>
      </c>
      <c r="O203" s="65" cm="1">
        <f t="array" ref="O203">SUMPRODUCT(End_Of_Year_Yr2_32*Long_Term_Monetised_Risk_32)</f>
        <v>0</v>
      </c>
      <c r="Q203" s="110"/>
      <c r="R203" s="111"/>
      <c r="S203" s="119"/>
      <c r="T203" s="114" cm="1">
        <f t="array" ref="T203">SUMPRODUCT(Asset_Replacement_2028_Yr2_32*Long_Term_Monetised_Risk_32)</f>
        <v>0</v>
      </c>
      <c r="U203" s="64" cm="1">
        <f t="array" ref="U203">SUMPRODUCT(Asset_Refurbishment_2028_Yr2_32*Long_Term_Monetised_Risk_32)</f>
        <v>0</v>
      </c>
      <c r="V203" s="65" cm="1">
        <f t="array" ref="V203">SUMPRODUCT(HVP_2028_Yr2_32*Long_Term_Monetised_Risk_32)</f>
        <v>0</v>
      </c>
    </row>
    <row r="204" spans="1:22">
      <c r="B204" s="93" t="s">
        <v>93</v>
      </c>
      <c r="C204" s="91">
        <v>2026</v>
      </c>
      <c r="D204" s="64" cm="1">
        <f t="array" ref="D204">SUMPRODUCT(Start_of_Year_Yr3_32*Long_Term_Monetised_Risk_32)</f>
        <v>0</v>
      </c>
      <c r="E204" s="64" cm="1">
        <f t="array" ref="E204">SUMPRODUCT(Data_Cleansing_Yr3_32*Long_Term_Monetised_Risk_32)</f>
        <v>0</v>
      </c>
      <c r="F204" s="64" cm="1">
        <f t="array" ref="F204">SUMPRODUCT(Deterioration_total_Yr3_32*Long_Term_Monetised_Risk_32)</f>
        <v>0</v>
      </c>
      <c r="G204" s="64" cm="1">
        <f t="array" ref="G204">SUMPRODUCT(Other_Risk_Movements_Yr3_32*Long_Term_Monetised_Risk_32)</f>
        <v>0</v>
      </c>
      <c r="H204" s="64" cm="1">
        <f t="array" ref="H204">SUMPRODUCT(Asset_Replacement_Yr3_32*Long_Term_Monetised_Risk_32)</f>
        <v>0</v>
      </c>
      <c r="I204" s="64" cm="1">
        <f t="array" ref="I204">SUMPRODUCT(Asset_Refurbishment_Yr3_32*Long_Term_Monetised_Risk_32)</f>
        <v>0</v>
      </c>
      <c r="J204" s="64" cm="1">
        <f t="array" ref="J204">SUMPRODUCT(Reinforcement_Yr3_32*Long_Term_Monetised_Risk_32)</f>
        <v>0</v>
      </c>
      <c r="K204" s="64" cm="1">
        <f t="array" ref="K204">SUMPRODUCT(Faults_Yr3_32*Long_Term_Monetised_Risk_32)</f>
        <v>0</v>
      </c>
      <c r="L204" s="64" cm="1">
        <f t="array" ref="L204">SUMPRODUCT(HVP_Asset_Replacement_Refurbishment_Yr3_32*Long_Term_Monetised_Risk_32)</f>
        <v>0</v>
      </c>
      <c r="M204" s="64" cm="1">
        <f t="array" ref="M204">SUMPRODUCT(HVP_Other_Yr3_32*Long_Term_Monetised_Risk_32)</f>
        <v>0</v>
      </c>
      <c r="N204" s="64" cm="1">
        <f t="array" ref="N204">SUMPRODUCT(All_Other_Yr3_32*Long_Term_Monetised_Risk_32)</f>
        <v>0</v>
      </c>
      <c r="O204" s="65" cm="1">
        <f t="array" ref="O204">SUMPRODUCT(End_Of_Year_Yr3_32*Long_Term_Monetised_Risk_32)</f>
        <v>0</v>
      </c>
      <c r="Q204" s="110"/>
      <c r="R204" s="111"/>
      <c r="S204" s="119"/>
      <c r="T204" s="114" cm="1">
        <f t="array" ref="T204">SUMPRODUCT(Asset_Replacement_2028_Yr3_32*Long_Term_Monetised_Risk_32)</f>
        <v>0</v>
      </c>
      <c r="U204" s="64" cm="1">
        <f t="array" ref="U204">SUMPRODUCT(Asset_Refurbishment_2028_Yr3_32*Long_Term_Monetised_Risk_32)</f>
        <v>0</v>
      </c>
      <c r="V204" s="65" cm="1">
        <f t="array" ref="V204">SUMPRODUCT(HVP_2028_Yr3_32*Long_Term_Monetised_Risk_32)</f>
        <v>0</v>
      </c>
    </row>
    <row r="205" spans="1:22">
      <c r="B205" s="93" t="s">
        <v>93</v>
      </c>
      <c r="C205" s="91">
        <v>2027</v>
      </c>
      <c r="D205" s="64" cm="1">
        <f t="array" ref="D205">SUMPRODUCT(Start_of_Year_Yr4_32*Long_Term_Monetised_Risk_32)</f>
        <v>0</v>
      </c>
      <c r="E205" s="64" cm="1">
        <f t="array" ref="E205">SUMPRODUCT(Data_Cleansing_Yr4_32*Long_Term_Monetised_Risk_32)</f>
        <v>0</v>
      </c>
      <c r="F205" s="64" cm="1">
        <f t="array" ref="F205">SUMPRODUCT(Deterioration_total_Yr4_32*Long_Term_Monetised_Risk_32)</f>
        <v>0</v>
      </c>
      <c r="G205" s="64" cm="1">
        <f t="array" ref="G205">SUMPRODUCT(Other_Risk_Movements_Yr4_32*Long_Term_Monetised_Risk_32)</f>
        <v>0</v>
      </c>
      <c r="H205" s="64" cm="1">
        <f t="array" ref="H205">SUMPRODUCT(Asset_Replacement_Yr4_32*Long_Term_Monetised_Risk_32)</f>
        <v>0</v>
      </c>
      <c r="I205" s="64" cm="1">
        <f t="array" ref="I205">SUMPRODUCT(Asset_Refurbishment_Yr4_32*Long_Term_Monetised_Risk_32)</f>
        <v>0</v>
      </c>
      <c r="J205" s="64" cm="1">
        <f t="array" ref="J205">SUMPRODUCT(Reinforcement_Yr4_32*Long_Term_Monetised_Risk_32)</f>
        <v>0</v>
      </c>
      <c r="K205" s="64" cm="1">
        <f t="array" ref="K205">SUMPRODUCT(Faults_Yr4_32*Long_Term_Monetised_Risk_32)</f>
        <v>0</v>
      </c>
      <c r="L205" s="64" cm="1">
        <f t="array" ref="L205">SUMPRODUCT(HVP_Asset_Replacement_Refurbishment_Yr4_32*Long_Term_Monetised_Risk_32)</f>
        <v>0</v>
      </c>
      <c r="M205" s="64" cm="1">
        <f t="array" ref="M205">SUMPRODUCT(HVP_Other_Yr4_32*Long_Term_Monetised_Risk_32)</f>
        <v>0</v>
      </c>
      <c r="N205" s="64" cm="1">
        <f t="array" ref="N205">SUMPRODUCT(All_Other_Yr4_32*Long_Term_Monetised_Risk_32)</f>
        <v>0</v>
      </c>
      <c r="O205" s="65" cm="1">
        <f t="array" ref="O205">SUMPRODUCT(End_Of_Year_Yr4_32*Long_Term_Monetised_Risk_32)</f>
        <v>0</v>
      </c>
      <c r="Q205" s="110"/>
      <c r="R205" s="111"/>
      <c r="S205" s="119"/>
      <c r="T205" s="114" cm="1">
        <f t="array" ref="T205">SUMPRODUCT(Asset_Replacement_2028_Yr4_32*Long_Term_Monetised_Risk_32)</f>
        <v>0</v>
      </c>
      <c r="U205" s="64" cm="1">
        <f t="array" ref="U205">SUMPRODUCT(Asset_Refurbishment_2028_Yr4_32*Long_Term_Monetised_Risk_32)</f>
        <v>0</v>
      </c>
      <c r="V205" s="65" cm="1">
        <f t="array" ref="V205">SUMPRODUCT(HVP_2028_Yr4_32*Long_Term_Monetised_Risk_32)</f>
        <v>0</v>
      </c>
    </row>
    <row r="206" spans="1:22">
      <c r="B206" s="93" t="s">
        <v>93</v>
      </c>
      <c r="C206" s="91">
        <v>2028</v>
      </c>
      <c r="D206" s="64" cm="1">
        <f t="array" ref="D206">SUMPRODUCT(Start_of_Year_Yr5_32*Long_Term_Monetised_Risk_32)</f>
        <v>0</v>
      </c>
      <c r="E206" s="64" cm="1">
        <f t="array" ref="E206">SUMPRODUCT(Data_Cleansing_Yr5_32*Long_Term_Monetised_Risk_32)</f>
        <v>0</v>
      </c>
      <c r="F206" s="64" cm="1">
        <f t="array" ref="F206">SUMPRODUCT(Deterioration_total_Yr5_32*Long_Term_Monetised_Risk_32)</f>
        <v>0</v>
      </c>
      <c r="G206" s="64" cm="1">
        <f t="array" ref="G206">SUMPRODUCT(Other_Risk_Movements_Yr5_32*Long_Term_Monetised_Risk_32)</f>
        <v>0</v>
      </c>
      <c r="H206" s="64" cm="1">
        <f t="array" ref="H206">SUMPRODUCT(Asset_Replacement_Yr5_32*Long_Term_Monetised_Risk_32)</f>
        <v>0</v>
      </c>
      <c r="I206" s="64" cm="1">
        <f t="array" ref="I206">SUMPRODUCT(Asset_Refurbishment_Yr5_32*Long_Term_Monetised_Risk_32)</f>
        <v>0</v>
      </c>
      <c r="J206" s="64" cm="1">
        <f t="array" ref="J206">SUMPRODUCT(Reinforcement_Yr5_32*Long_Term_Monetised_Risk_32)</f>
        <v>0</v>
      </c>
      <c r="K206" s="64" cm="1">
        <f t="array" ref="K206">SUMPRODUCT(Faults_Yr5_32*Long_Term_Monetised_Risk_32)</f>
        <v>0</v>
      </c>
      <c r="L206" s="64" cm="1">
        <f t="array" ref="L206">SUMPRODUCT(HVP_Asset_Replacement_Refurbishment_Yr5_32*Long_Term_Monetised_Risk_32)</f>
        <v>0</v>
      </c>
      <c r="M206" s="64" cm="1">
        <f t="array" ref="M206">SUMPRODUCT(HVP_Other_Yr5_32*Long_Term_Monetised_Risk_32)</f>
        <v>0</v>
      </c>
      <c r="N206" s="64" cm="1">
        <f t="array" ref="N206">SUMPRODUCT(All_Other_Yr5_32*Long_Term_Monetised_Risk_32)</f>
        <v>0</v>
      </c>
      <c r="O206" s="65" cm="1">
        <f t="array" ref="O206">SUMPRODUCT(End_Of_Year_Yr5_32*Long_Term_Monetised_Risk_32)</f>
        <v>0</v>
      </c>
      <c r="Q206" s="110"/>
      <c r="R206" s="111"/>
      <c r="S206" s="119"/>
      <c r="T206" s="114" cm="1">
        <f t="array" ref="T206">SUMPRODUCT(Asset_Replacement_2028_Yr5_32*Long_Term_Monetised_Risk_32)</f>
        <v>0</v>
      </c>
      <c r="U206" s="64" cm="1">
        <f t="array" ref="U206">SUMPRODUCT(Asset_Refurbishment_2028_Yr5_32*Long_Term_Monetised_Risk_32)</f>
        <v>0</v>
      </c>
      <c r="V206" s="65" cm="1">
        <f t="array" ref="V206">SUMPRODUCT(HVP_2028_Yr5_32*Long_Term_Monetised_Risk_32)</f>
        <v>0</v>
      </c>
    </row>
    <row r="207" spans="1:22" ht="14" thickBot="1">
      <c r="B207" s="103" t="s">
        <v>93</v>
      </c>
      <c r="C207" s="104" t="s">
        <v>131</v>
      </c>
      <c r="D207" s="105"/>
      <c r="E207" s="106">
        <f t="shared" ref="E207:O207" si="72">SUM(E202:E206)</f>
        <v>0</v>
      </c>
      <c r="F207" s="106">
        <f t="shared" si="72"/>
        <v>0</v>
      </c>
      <c r="G207" s="106">
        <f t="shared" si="72"/>
        <v>0</v>
      </c>
      <c r="H207" s="106">
        <f t="shared" si="72"/>
        <v>0</v>
      </c>
      <c r="I207" s="106">
        <f t="shared" si="72"/>
        <v>0</v>
      </c>
      <c r="J207" s="106">
        <f t="shared" si="72"/>
        <v>0</v>
      </c>
      <c r="K207" s="106">
        <f t="shared" si="72"/>
        <v>0</v>
      </c>
      <c r="L207" s="106">
        <f t="shared" si="72"/>
        <v>0</v>
      </c>
      <c r="M207" s="106">
        <f t="shared" si="72"/>
        <v>0</v>
      </c>
      <c r="N207" s="106">
        <f t="shared" si="72"/>
        <v>0</v>
      </c>
      <c r="O207" s="537">
        <f t="shared" si="72"/>
        <v>0</v>
      </c>
      <c r="Q207" s="107" t="str">
        <f ca="1">VLOOKUP($B207,'NARM4 - ED2 NARW Risk Movements'!$B$7:$G$67,4,FALSE)</f>
        <v/>
      </c>
      <c r="R207" s="109" t="str">
        <f ca="1">VLOOKUP($B207,'NARM4 - ED2 NARW Risk Movements'!$B$7:$G$67,5,FALSE)</f>
        <v/>
      </c>
      <c r="S207" s="121" t="str">
        <f ca="1">VLOOKUP($B207,'NARM4 - ED2 NARW Risk Movements'!$B$7:$G$67,6,FALSE)</f>
        <v/>
      </c>
      <c r="T207" s="117">
        <f>SUM(T202:T206)</f>
        <v>0</v>
      </c>
      <c r="U207" s="106">
        <f t="shared" ref="U207" si="73">SUM(U202:U206)</f>
        <v>0</v>
      </c>
      <c r="V207" s="108">
        <f>SUM(V202:V206)</f>
        <v>0</v>
      </c>
    </row>
    <row r="208" spans="1:22" ht="14" thickTop="1">
      <c r="A208" s="143">
        <v>33</v>
      </c>
      <c r="B208" s="99" t="s">
        <v>94</v>
      </c>
      <c r="C208" s="100">
        <v>2024</v>
      </c>
      <c r="D208" s="101" cm="1">
        <f t="array" ref="D208">SUMPRODUCT(Start_of_Year_Yr1_33*Long_Term_Monetised_Risk_33)</f>
        <v>0</v>
      </c>
      <c r="E208" s="101" cm="1">
        <f t="array" ref="E208">SUMPRODUCT(Data_Cleansing_Yr1_33*Long_Term_Monetised_Risk_33)</f>
        <v>0</v>
      </c>
      <c r="F208" s="101" cm="1">
        <f t="array" ref="F208">SUMPRODUCT(Deterioration_total_Yr1_33*Long_Term_Monetised_Risk_33)</f>
        <v>0</v>
      </c>
      <c r="G208" s="101" cm="1">
        <f t="array" ref="G208">SUMPRODUCT(Other_Risk_Movements_Yr1_33*Long_Term_Monetised_Risk_33)</f>
        <v>0</v>
      </c>
      <c r="H208" s="101" cm="1">
        <f t="array" ref="H208">SUMPRODUCT(Asset_Replacement_Yr1_33*Long_Term_Monetised_Risk_33)</f>
        <v>0</v>
      </c>
      <c r="I208" s="101" cm="1">
        <f t="array" ref="I208">SUMPRODUCT(Asset_Refurbishment_Yr1_33*Long_Term_Monetised_Risk_33)</f>
        <v>0</v>
      </c>
      <c r="J208" s="101" cm="1">
        <f t="array" ref="J208">SUMPRODUCT(Reinforcement_Yr1_33*Long_Term_Monetised_Risk_33)</f>
        <v>0</v>
      </c>
      <c r="K208" s="101" cm="1">
        <f t="array" ref="K208">SUMPRODUCT(Faults_Yr1_33*Long_Term_Monetised_Risk_33)</f>
        <v>0</v>
      </c>
      <c r="L208" s="101" cm="1">
        <f t="array" ref="L208">SUMPRODUCT(HVP_Asset_Replacement_Refurbishment_Yr1_33*Long_Term_Monetised_Risk_33)</f>
        <v>0</v>
      </c>
      <c r="M208" s="101" cm="1">
        <f t="array" ref="M208">SUMPRODUCT(HVP_Other_Yr1_33*Long_Term_Monetised_Risk_33)</f>
        <v>0</v>
      </c>
      <c r="N208" s="101" cm="1">
        <f t="array" ref="N208">SUMPRODUCT(All_Other_Yr1_33*Long_Term_Monetised_Risk_33)</f>
        <v>0</v>
      </c>
      <c r="O208" s="102" cm="1">
        <f t="array" ref="O208">SUMPRODUCT(End_Of_Year_Yr1_33*Long_Term_Monetised_Risk_33)</f>
        <v>0</v>
      </c>
      <c r="Q208" s="112"/>
      <c r="R208" s="113"/>
      <c r="S208" s="120"/>
      <c r="T208" s="115" cm="1">
        <f t="array" ref="T208">SUMPRODUCT(Asset_Replacement_2028_Yr1_33*Long_Term_Monetised_Risk_33)</f>
        <v>0</v>
      </c>
      <c r="U208" s="101" cm="1">
        <f t="array" ref="U208">SUMPRODUCT(Asset_Refurbishment_2028_Yr1_33*Long_Term_Monetised_Risk_33)</f>
        <v>0</v>
      </c>
      <c r="V208" s="102" cm="1">
        <f t="array" ref="V208">SUMPRODUCT(HVP_2028_Yr1_33*Long_Term_Monetised_Risk_33)</f>
        <v>0</v>
      </c>
    </row>
    <row r="209" spans="1:22">
      <c r="B209" s="93" t="s">
        <v>94</v>
      </c>
      <c r="C209" s="91">
        <v>2025</v>
      </c>
      <c r="D209" s="64" cm="1">
        <f t="array" ref="D209">SUMPRODUCT(Start_of_Year_Yr2_33*Long_Term_Monetised_Risk_33)</f>
        <v>0</v>
      </c>
      <c r="E209" s="64" cm="1">
        <f t="array" ref="E209">SUMPRODUCT(Data_Cleansing_Yr2_33*Long_Term_Monetised_Risk_33)</f>
        <v>0</v>
      </c>
      <c r="F209" s="64" cm="1">
        <f t="array" ref="F209">SUMPRODUCT(Deterioration_total_Yr2_33*Long_Term_Monetised_Risk_33)</f>
        <v>0</v>
      </c>
      <c r="G209" s="64" cm="1">
        <f t="array" ref="G209">SUMPRODUCT(Other_Risk_Movements_Yr2_33*Long_Term_Monetised_Risk_33)</f>
        <v>0</v>
      </c>
      <c r="H209" s="64" cm="1">
        <f t="array" ref="H209">SUMPRODUCT(Asset_Replacement_Yr2_33*Long_Term_Monetised_Risk_33)</f>
        <v>0</v>
      </c>
      <c r="I209" s="64" cm="1">
        <f t="array" ref="I209">SUMPRODUCT(Asset_Refurbishment_Yr2_33*Long_Term_Monetised_Risk_33)</f>
        <v>0</v>
      </c>
      <c r="J209" s="64" cm="1">
        <f t="array" ref="J209">SUMPRODUCT(Reinforcement_Yr2_33*Long_Term_Monetised_Risk_33)</f>
        <v>0</v>
      </c>
      <c r="K209" s="64" cm="1">
        <f t="array" ref="K209">SUMPRODUCT(Faults_Yr2_33*Long_Term_Monetised_Risk_33)</f>
        <v>0</v>
      </c>
      <c r="L209" s="64" cm="1">
        <f t="array" ref="L209">SUMPRODUCT(HVP_Asset_Replacement_Refurbishment_Yr2_33*Long_Term_Monetised_Risk_33)</f>
        <v>0</v>
      </c>
      <c r="M209" s="64" cm="1">
        <f t="array" ref="M209">SUMPRODUCT(HVP_Other_Yr2_33*Long_Term_Monetised_Risk_33)</f>
        <v>0</v>
      </c>
      <c r="N209" s="64" cm="1">
        <f t="array" ref="N209">SUMPRODUCT(All_Other_Yr2_33*Long_Term_Monetised_Risk_33)</f>
        <v>0</v>
      </c>
      <c r="O209" s="65" cm="1">
        <f t="array" ref="O209">SUMPRODUCT(End_Of_Year_Yr2_33*Long_Term_Monetised_Risk_33)</f>
        <v>0</v>
      </c>
      <c r="Q209" s="110"/>
      <c r="R209" s="111"/>
      <c r="S209" s="119"/>
      <c r="T209" s="114" cm="1">
        <f t="array" ref="T209">SUMPRODUCT(Asset_Replacement_2028_Yr2_33*Long_Term_Monetised_Risk_33)</f>
        <v>0</v>
      </c>
      <c r="U209" s="64" cm="1">
        <f t="array" ref="U209">SUMPRODUCT(Asset_Refurbishment_2028_Yr2_33*Long_Term_Monetised_Risk_33)</f>
        <v>0</v>
      </c>
      <c r="V209" s="65" cm="1">
        <f t="array" ref="V209">SUMPRODUCT(HVP_2028_Yr2_33*Long_Term_Monetised_Risk_33)</f>
        <v>0</v>
      </c>
    </row>
    <row r="210" spans="1:22">
      <c r="B210" s="93" t="s">
        <v>94</v>
      </c>
      <c r="C210" s="91">
        <v>2026</v>
      </c>
      <c r="D210" s="64" cm="1">
        <f t="array" ref="D210">SUMPRODUCT(Start_of_Year_Yr3_33*Long_Term_Monetised_Risk_33)</f>
        <v>0</v>
      </c>
      <c r="E210" s="64" cm="1">
        <f t="array" ref="E210">SUMPRODUCT(Data_Cleansing_Yr3_33*Long_Term_Monetised_Risk_33)</f>
        <v>0</v>
      </c>
      <c r="F210" s="64" cm="1">
        <f t="array" ref="F210">SUMPRODUCT(Deterioration_total_Yr3_33*Long_Term_Monetised_Risk_33)</f>
        <v>0</v>
      </c>
      <c r="G210" s="64" cm="1">
        <f t="array" ref="G210">SUMPRODUCT(Other_Risk_Movements_Yr3_33*Long_Term_Monetised_Risk_33)</f>
        <v>0</v>
      </c>
      <c r="H210" s="64" cm="1">
        <f t="array" ref="H210">SUMPRODUCT(Asset_Replacement_Yr3_33*Long_Term_Monetised_Risk_33)</f>
        <v>0</v>
      </c>
      <c r="I210" s="64" cm="1">
        <f t="array" ref="I210">SUMPRODUCT(Asset_Refurbishment_Yr3_33*Long_Term_Monetised_Risk_33)</f>
        <v>0</v>
      </c>
      <c r="J210" s="64" cm="1">
        <f t="array" ref="J210">SUMPRODUCT(Reinforcement_Yr3_33*Long_Term_Monetised_Risk_33)</f>
        <v>0</v>
      </c>
      <c r="K210" s="64" cm="1">
        <f t="array" ref="K210">SUMPRODUCT(Faults_Yr3_33*Long_Term_Monetised_Risk_33)</f>
        <v>0</v>
      </c>
      <c r="L210" s="64" cm="1">
        <f t="array" ref="L210">SUMPRODUCT(HVP_Asset_Replacement_Refurbishment_Yr3_33*Long_Term_Monetised_Risk_33)</f>
        <v>0</v>
      </c>
      <c r="M210" s="64" cm="1">
        <f t="array" ref="M210">SUMPRODUCT(HVP_Other_Yr3_33*Long_Term_Monetised_Risk_33)</f>
        <v>0</v>
      </c>
      <c r="N210" s="64" cm="1">
        <f t="array" ref="N210">SUMPRODUCT(All_Other_Yr3_33*Long_Term_Monetised_Risk_33)</f>
        <v>0</v>
      </c>
      <c r="O210" s="65" cm="1">
        <f t="array" ref="O210">SUMPRODUCT(End_Of_Year_Yr3_33*Long_Term_Monetised_Risk_33)</f>
        <v>0</v>
      </c>
      <c r="Q210" s="110"/>
      <c r="R210" s="111"/>
      <c r="S210" s="119"/>
      <c r="T210" s="114" cm="1">
        <f t="array" ref="T210">SUMPRODUCT(Asset_Replacement_2028_Yr3_33*Long_Term_Monetised_Risk_33)</f>
        <v>0</v>
      </c>
      <c r="U210" s="64" cm="1">
        <f t="array" ref="U210">SUMPRODUCT(Asset_Refurbishment_2028_Yr3_33*Long_Term_Monetised_Risk_33)</f>
        <v>0</v>
      </c>
      <c r="V210" s="65" cm="1">
        <f t="array" ref="V210">SUMPRODUCT(HVP_2028_Yr3_33*Long_Term_Monetised_Risk_33)</f>
        <v>0</v>
      </c>
    </row>
    <row r="211" spans="1:22">
      <c r="B211" s="93" t="s">
        <v>94</v>
      </c>
      <c r="C211" s="91">
        <v>2027</v>
      </c>
      <c r="D211" s="64" cm="1">
        <f t="array" ref="D211">SUMPRODUCT(Start_of_Year_Yr4_33*Long_Term_Monetised_Risk_33)</f>
        <v>0</v>
      </c>
      <c r="E211" s="64" cm="1">
        <f t="array" ref="E211">SUMPRODUCT(Data_Cleansing_Yr4_33*Long_Term_Monetised_Risk_33)</f>
        <v>0</v>
      </c>
      <c r="F211" s="64" cm="1">
        <f t="array" ref="F211">SUMPRODUCT(Deterioration_total_Yr4_33*Long_Term_Monetised_Risk_33)</f>
        <v>0</v>
      </c>
      <c r="G211" s="64" cm="1">
        <f t="array" ref="G211">SUMPRODUCT(Other_Risk_Movements_Yr4_33*Long_Term_Monetised_Risk_33)</f>
        <v>0</v>
      </c>
      <c r="H211" s="64" cm="1">
        <f t="array" ref="H211">SUMPRODUCT(Asset_Replacement_Yr4_33*Long_Term_Monetised_Risk_33)</f>
        <v>0</v>
      </c>
      <c r="I211" s="64" cm="1">
        <f t="array" ref="I211">SUMPRODUCT(Asset_Refurbishment_Yr4_33*Long_Term_Monetised_Risk_33)</f>
        <v>0</v>
      </c>
      <c r="J211" s="64" cm="1">
        <f t="array" ref="J211">SUMPRODUCT(Reinforcement_Yr4_33*Long_Term_Monetised_Risk_33)</f>
        <v>0</v>
      </c>
      <c r="K211" s="64" cm="1">
        <f t="array" ref="K211">SUMPRODUCT(Faults_Yr4_33*Long_Term_Monetised_Risk_33)</f>
        <v>0</v>
      </c>
      <c r="L211" s="64" cm="1">
        <f t="array" ref="L211">SUMPRODUCT(HVP_Asset_Replacement_Refurbishment_Yr4_33*Long_Term_Monetised_Risk_33)</f>
        <v>0</v>
      </c>
      <c r="M211" s="64" cm="1">
        <f t="array" ref="M211">SUMPRODUCT(HVP_Other_Yr4_33*Long_Term_Monetised_Risk_33)</f>
        <v>0</v>
      </c>
      <c r="N211" s="64" cm="1">
        <f t="array" ref="N211">SUMPRODUCT(All_Other_Yr4_33*Long_Term_Monetised_Risk_33)</f>
        <v>0</v>
      </c>
      <c r="O211" s="65" cm="1">
        <f t="array" ref="O211">SUMPRODUCT(End_Of_Year_Yr4_33*Long_Term_Monetised_Risk_33)</f>
        <v>0</v>
      </c>
      <c r="Q211" s="110"/>
      <c r="R211" s="111"/>
      <c r="S211" s="119"/>
      <c r="T211" s="114" cm="1">
        <f t="array" ref="T211">SUMPRODUCT(Asset_Replacement_2028_Yr4_33*Long_Term_Monetised_Risk_33)</f>
        <v>0</v>
      </c>
      <c r="U211" s="64" cm="1">
        <f t="array" ref="U211">SUMPRODUCT(Asset_Refurbishment_2028_Yr4_33*Long_Term_Monetised_Risk_33)</f>
        <v>0</v>
      </c>
      <c r="V211" s="65" cm="1">
        <f t="array" ref="V211">SUMPRODUCT(HVP_2028_Yr4_33*Long_Term_Monetised_Risk_33)</f>
        <v>0</v>
      </c>
    </row>
    <row r="212" spans="1:22">
      <c r="B212" s="93" t="s">
        <v>94</v>
      </c>
      <c r="C212" s="91">
        <v>2028</v>
      </c>
      <c r="D212" s="64" cm="1">
        <f t="array" ref="D212">SUMPRODUCT(Start_of_Year_Yr5_33*Long_Term_Monetised_Risk_33)</f>
        <v>0</v>
      </c>
      <c r="E212" s="64" cm="1">
        <f t="array" ref="E212">SUMPRODUCT(Data_Cleansing_Yr5_33*Long_Term_Monetised_Risk_33)</f>
        <v>0</v>
      </c>
      <c r="F212" s="64" cm="1">
        <f t="array" ref="F212">SUMPRODUCT(Deterioration_total_Yr5_33*Long_Term_Monetised_Risk_33)</f>
        <v>0</v>
      </c>
      <c r="G212" s="64" cm="1">
        <f t="array" ref="G212">SUMPRODUCT(Other_Risk_Movements_Yr5_33*Long_Term_Monetised_Risk_33)</f>
        <v>0</v>
      </c>
      <c r="H212" s="64" cm="1">
        <f t="array" ref="H212">SUMPRODUCT(Asset_Replacement_Yr5_33*Long_Term_Monetised_Risk_33)</f>
        <v>0</v>
      </c>
      <c r="I212" s="64" cm="1">
        <f t="array" ref="I212">SUMPRODUCT(Asset_Refurbishment_Yr5_33*Long_Term_Monetised_Risk_33)</f>
        <v>0</v>
      </c>
      <c r="J212" s="64" cm="1">
        <f t="array" ref="J212">SUMPRODUCT(Reinforcement_Yr5_33*Long_Term_Monetised_Risk_33)</f>
        <v>0</v>
      </c>
      <c r="K212" s="64" cm="1">
        <f t="array" ref="K212">SUMPRODUCT(Faults_Yr5_33*Long_Term_Monetised_Risk_33)</f>
        <v>0</v>
      </c>
      <c r="L212" s="64" cm="1">
        <f t="array" ref="L212">SUMPRODUCT(HVP_Asset_Replacement_Refurbishment_Yr5_33*Long_Term_Monetised_Risk_33)</f>
        <v>0</v>
      </c>
      <c r="M212" s="64" cm="1">
        <f t="array" ref="M212">SUMPRODUCT(HVP_Other_Yr5_33*Long_Term_Monetised_Risk_33)</f>
        <v>0</v>
      </c>
      <c r="N212" s="64" cm="1">
        <f t="array" ref="N212">SUMPRODUCT(All_Other_Yr5_33*Long_Term_Monetised_Risk_33)</f>
        <v>0</v>
      </c>
      <c r="O212" s="65" cm="1">
        <f t="array" ref="O212">SUMPRODUCT(End_Of_Year_Yr5_33*Long_Term_Monetised_Risk_33)</f>
        <v>0</v>
      </c>
      <c r="Q212" s="110"/>
      <c r="R212" s="111"/>
      <c r="S212" s="119"/>
      <c r="T212" s="114" cm="1">
        <f t="array" ref="T212">SUMPRODUCT(Asset_Replacement_2028_Yr5_33*Long_Term_Monetised_Risk_33)</f>
        <v>0</v>
      </c>
      <c r="U212" s="64" cm="1">
        <f t="array" ref="U212">SUMPRODUCT(Asset_Refurbishment_2028_Yr5_33*Long_Term_Monetised_Risk_33)</f>
        <v>0</v>
      </c>
      <c r="V212" s="65" cm="1">
        <f t="array" ref="V212">SUMPRODUCT(HVP_2028_Yr5_33*Long_Term_Monetised_Risk_33)</f>
        <v>0</v>
      </c>
    </row>
    <row r="213" spans="1:22" ht="14" thickBot="1">
      <c r="B213" s="103" t="s">
        <v>94</v>
      </c>
      <c r="C213" s="104" t="s">
        <v>131</v>
      </c>
      <c r="D213" s="105"/>
      <c r="E213" s="106">
        <f t="shared" ref="E213:O213" si="74">SUM(E208:E212)</f>
        <v>0</v>
      </c>
      <c r="F213" s="106">
        <f t="shared" si="74"/>
        <v>0</v>
      </c>
      <c r="G213" s="106">
        <f t="shared" si="74"/>
        <v>0</v>
      </c>
      <c r="H213" s="106">
        <f t="shared" si="74"/>
        <v>0</v>
      </c>
      <c r="I213" s="106">
        <f t="shared" si="74"/>
        <v>0</v>
      </c>
      <c r="J213" s="106">
        <f t="shared" si="74"/>
        <v>0</v>
      </c>
      <c r="K213" s="106">
        <f t="shared" si="74"/>
        <v>0</v>
      </c>
      <c r="L213" s="106">
        <f t="shared" si="74"/>
        <v>0</v>
      </c>
      <c r="M213" s="106">
        <f t="shared" si="74"/>
        <v>0</v>
      </c>
      <c r="N213" s="106">
        <f t="shared" si="74"/>
        <v>0</v>
      </c>
      <c r="O213" s="537">
        <f t="shared" si="74"/>
        <v>0</v>
      </c>
      <c r="Q213" s="107" t="str">
        <f ca="1">VLOOKUP($B213,'NARM4 - ED2 NARW Risk Movements'!$B$7:$G$67,4,FALSE)</f>
        <v/>
      </c>
      <c r="R213" s="109" t="str">
        <f ca="1">VLOOKUP($B213,'NARM4 - ED2 NARW Risk Movements'!$B$7:$G$67,5,FALSE)</f>
        <v/>
      </c>
      <c r="S213" s="121" t="str">
        <f ca="1">VLOOKUP($B213,'NARM4 - ED2 NARW Risk Movements'!$B$7:$G$67,6,FALSE)</f>
        <v/>
      </c>
      <c r="T213" s="117">
        <f>SUM(T208:T212)</f>
        <v>0</v>
      </c>
      <c r="U213" s="106">
        <f t="shared" ref="U213" si="75">SUM(U208:U212)</f>
        <v>0</v>
      </c>
      <c r="V213" s="108">
        <f>SUM(V208:V212)</f>
        <v>0</v>
      </c>
    </row>
    <row r="214" spans="1:22" ht="14" thickTop="1">
      <c r="A214" s="143">
        <v>34</v>
      </c>
      <c r="B214" s="99" t="s">
        <v>95</v>
      </c>
      <c r="C214" s="100">
        <v>2024</v>
      </c>
      <c r="D214" s="101" cm="1">
        <f t="array" ref="D214">SUMPRODUCT(Start_of_Year_Yr1_34*Long_Term_Monetised_Risk_34)</f>
        <v>0</v>
      </c>
      <c r="E214" s="101" cm="1">
        <f t="array" ref="E214">SUMPRODUCT(Data_Cleansing_Yr1_34*Long_Term_Monetised_Risk_34)</f>
        <v>0</v>
      </c>
      <c r="F214" s="101" cm="1">
        <f t="array" ref="F214">SUMPRODUCT(Deterioration_total_Yr1_34*Long_Term_Monetised_Risk_34)</f>
        <v>0</v>
      </c>
      <c r="G214" s="101" cm="1">
        <f t="array" ref="G214">SUMPRODUCT(Other_Risk_Movements_Yr1_34*Long_Term_Monetised_Risk_34)</f>
        <v>0</v>
      </c>
      <c r="H214" s="101" cm="1">
        <f t="array" ref="H214">SUMPRODUCT(Asset_Replacement_Yr1_34*Long_Term_Monetised_Risk_34)</f>
        <v>0</v>
      </c>
      <c r="I214" s="101" cm="1">
        <f t="array" ref="I214">SUMPRODUCT(Asset_Refurbishment_Yr1_34*Long_Term_Monetised_Risk_34)</f>
        <v>0</v>
      </c>
      <c r="J214" s="101" cm="1">
        <f t="array" ref="J214">SUMPRODUCT(Reinforcement_Yr1_34*Long_Term_Monetised_Risk_34)</f>
        <v>0</v>
      </c>
      <c r="K214" s="101" cm="1">
        <f t="array" ref="K214">SUMPRODUCT(Faults_Yr1_34*Long_Term_Monetised_Risk_34)</f>
        <v>0</v>
      </c>
      <c r="L214" s="101" cm="1">
        <f t="array" ref="L214">SUMPRODUCT(HVP_Asset_Replacement_Refurbishment_Yr1_34*Long_Term_Monetised_Risk_34)</f>
        <v>0</v>
      </c>
      <c r="M214" s="101" cm="1">
        <f t="array" ref="M214">SUMPRODUCT(HVP_Other_Yr1_34*Long_Term_Monetised_Risk_34)</f>
        <v>0</v>
      </c>
      <c r="N214" s="101" cm="1">
        <f t="array" ref="N214">SUMPRODUCT(All_Other_Yr1_34*Long_Term_Monetised_Risk_34)</f>
        <v>0</v>
      </c>
      <c r="O214" s="102" cm="1">
        <f t="array" ref="O214">SUMPRODUCT(End_Of_Year_Yr1_34*Long_Term_Monetised_Risk_34)</f>
        <v>0</v>
      </c>
      <c r="Q214" s="112"/>
      <c r="R214" s="113"/>
      <c r="S214" s="120"/>
      <c r="T214" s="115" cm="1">
        <f t="array" ref="T214">SUMPRODUCT(Asset_Replacement_2028_Yr1_34*Long_Term_Monetised_Risk_34)</f>
        <v>0</v>
      </c>
      <c r="U214" s="101" cm="1">
        <f t="array" ref="U214">SUMPRODUCT(Asset_Refurbishment_2028_Yr1_34*Long_Term_Monetised_Risk_34)</f>
        <v>0</v>
      </c>
      <c r="V214" s="102" cm="1">
        <f t="array" ref="V214">SUMPRODUCT(HVP_2028_Yr1_34*Long_Term_Monetised_Risk_34)</f>
        <v>0</v>
      </c>
    </row>
    <row r="215" spans="1:22">
      <c r="B215" s="93" t="s">
        <v>95</v>
      </c>
      <c r="C215" s="91">
        <v>2025</v>
      </c>
      <c r="D215" s="64" cm="1">
        <f t="array" ref="D215">SUMPRODUCT(Start_of_Year_Yr2_34*Long_Term_Monetised_Risk_34)</f>
        <v>0</v>
      </c>
      <c r="E215" s="64" cm="1">
        <f t="array" ref="E215">SUMPRODUCT(Data_Cleansing_Yr2_34*Long_Term_Monetised_Risk_34)</f>
        <v>0</v>
      </c>
      <c r="F215" s="64" cm="1">
        <f t="array" ref="F215">SUMPRODUCT(Deterioration_total_Yr2_34*Long_Term_Monetised_Risk_34)</f>
        <v>0</v>
      </c>
      <c r="G215" s="64" cm="1">
        <f t="array" ref="G215">SUMPRODUCT(Other_Risk_Movements_Yr2_34*Long_Term_Monetised_Risk_34)</f>
        <v>0</v>
      </c>
      <c r="H215" s="64" cm="1">
        <f t="array" ref="H215">SUMPRODUCT(Asset_Replacement_Yr2_34*Long_Term_Monetised_Risk_34)</f>
        <v>0</v>
      </c>
      <c r="I215" s="64" cm="1">
        <f t="array" ref="I215">SUMPRODUCT(Asset_Refurbishment_Yr2_34*Long_Term_Monetised_Risk_34)</f>
        <v>0</v>
      </c>
      <c r="J215" s="64" cm="1">
        <f t="array" ref="J215">SUMPRODUCT(Reinforcement_Yr2_34*Long_Term_Monetised_Risk_34)</f>
        <v>0</v>
      </c>
      <c r="K215" s="64" cm="1">
        <f t="array" ref="K215">SUMPRODUCT(Faults_Yr2_34*Long_Term_Monetised_Risk_34)</f>
        <v>0</v>
      </c>
      <c r="L215" s="64" cm="1">
        <f t="array" ref="L215">SUMPRODUCT(HVP_Asset_Replacement_Refurbishment_Yr2_34*Long_Term_Monetised_Risk_34)</f>
        <v>0</v>
      </c>
      <c r="M215" s="64" cm="1">
        <f t="array" ref="M215">SUMPRODUCT(HVP_Other_Yr2_34*Long_Term_Monetised_Risk_34)</f>
        <v>0</v>
      </c>
      <c r="N215" s="64" cm="1">
        <f t="array" ref="N215">SUMPRODUCT(All_Other_Yr2_34*Long_Term_Monetised_Risk_34)</f>
        <v>0</v>
      </c>
      <c r="O215" s="65" cm="1">
        <f t="array" ref="O215">SUMPRODUCT(End_Of_Year_Yr2_34*Long_Term_Monetised_Risk_34)</f>
        <v>0</v>
      </c>
      <c r="Q215" s="110"/>
      <c r="R215" s="111"/>
      <c r="S215" s="119"/>
      <c r="T215" s="114" cm="1">
        <f t="array" ref="T215">SUMPRODUCT(Asset_Replacement_2028_Yr2_34*Long_Term_Monetised_Risk_34)</f>
        <v>0</v>
      </c>
      <c r="U215" s="64" cm="1">
        <f t="array" ref="U215">SUMPRODUCT(Asset_Refurbishment_2028_Yr2_34*Long_Term_Monetised_Risk_34)</f>
        <v>0</v>
      </c>
      <c r="V215" s="65" cm="1">
        <f t="array" ref="V215">SUMPRODUCT(HVP_2028_Yr2_34*Long_Term_Monetised_Risk_34)</f>
        <v>0</v>
      </c>
    </row>
    <row r="216" spans="1:22">
      <c r="B216" s="93" t="s">
        <v>95</v>
      </c>
      <c r="C216" s="91">
        <v>2026</v>
      </c>
      <c r="D216" s="64" cm="1">
        <f t="array" ref="D216">SUMPRODUCT(Start_of_Year_Yr3_34*Long_Term_Monetised_Risk_34)</f>
        <v>0</v>
      </c>
      <c r="E216" s="64" cm="1">
        <f t="array" ref="E216">SUMPRODUCT(Data_Cleansing_Yr3_34*Long_Term_Monetised_Risk_34)</f>
        <v>0</v>
      </c>
      <c r="F216" s="64" cm="1">
        <f t="array" ref="F216">SUMPRODUCT(Deterioration_total_Yr3_34*Long_Term_Monetised_Risk_34)</f>
        <v>0</v>
      </c>
      <c r="G216" s="64" cm="1">
        <f t="array" ref="G216">SUMPRODUCT(Other_Risk_Movements_Yr3_34*Long_Term_Monetised_Risk_34)</f>
        <v>0</v>
      </c>
      <c r="H216" s="64" cm="1">
        <f t="array" ref="H216">SUMPRODUCT(Asset_Replacement_Yr3_34*Long_Term_Monetised_Risk_34)</f>
        <v>0</v>
      </c>
      <c r="I216" s="64" cm="1">
        <f t="array" ref="I216">SUMPRODUCT(Asset_Refurbishment_Yr3_34*Long_Term_Monetised_Risk_34)</f>
        <v>0</v>
      </c>
      <c r="J216" s="64" cm="1">
        <f t="array" ref="J216">SUMPRODUCT(Reinforcement_Yr3_34*Long_Term_Monetised_Risk_34)</f>
        <v>0</v>
      </c>
      <c r="K216" s="64" cm="1">
        <f t="array" ref="K216">SUMPRODUCT(Faults_Yr3_34*Long_Term_Monetised_Risk_34)</f>
        <v>0</v>
      </c>
      <c r="L216" s="64" cm="1">
        <f t="array" ref="L216">SUMPRODUCT(HVP_Asset_Replacement_Refurbishment_Yr3_34*Long_Term_Monetised_Risk_34)</f>
        <v>0</v>
      </c>
      <c r="M216" s="64" cm="1">
        <f t="array" ref="M216">SUMPRODUCT(HVP_Other_Yr3_34*Long_Term_Monetised_Risk_34)</f>
        <v>0</v>
      </c>
      <c r="N216" s="64" cm="1">
        <f t="array" ref="N216">SUMPRODUCT(All_Other_Yr3_34*Long_Term_Monetised_Risk_34)</f>
        <v>0</v>
      </c>
      <c r="O216" s="65" cm="1">
        <f t="array" ref="O216">SUMPRODUCT(End_Of_Year_Yr3_34*Long_Term_Monetised_Risk_34)</f>
        <v>0</v>
      </c>
      <c r="Q216" s="110"/>
      <c r="R216" s="111"/>
      <c r="S216" s="119"/>
      <c r="T216" s="114" cm="1">
        <f t="array" ref="T216">SUMPRODUCT(Asset_Replacement_2028_Yr3_34*Long_Term_Monetised_Risk_34)</f>
        <v>0</v>
      </c>
      <c r="U216" s="64" cm="1">
        <f t="array" ref="U216">SUMPRODUCT(Asset_Refurbishment_2028_Yr3_34*Long_Term_Monetised_Risk_34)</f>
        <v>0</v>
      </c>
      <c r="V216" s="65" cm="1">
        <f t="array" ref="V216">SUMPRODUCT(HVP_2028_Yr3_34*Long_Term_Monetised_Risk_34)</f>
        <v>0</v>
      </c>
    </row>
    <row r="217" spans="1:22">
      <c r="B217" s="93" t="s">
        <v>95</v>
      </c>
      <c r="C217" s="91">
        <v>2027</v>
      </c>
      <c r="D217" s="64" cm="1">
        <f t="array" ref="D217">SUMPRODUCT(Start_of_Year_Yr4_34*Long_Term_Monetised_Risk_34)</f>
        <v>0</v>
      </c>
      <c r="E217" s="64" cm="1">
        <f t="array" ref="E217">SUMPRODUCT(Data_Cleansing_Yr4_34*Long_Term_Monetised_Risk_34)</f>
        <v>0</v>
      </c>
      <c r="F217" s="64" cm="1">
        <f t="array" ref="F217">SUMPRODUCT(Deterioration_total_Yr4_34*Long_Term_Monetised_Risk_34)</f>
        <v>0</v>
      </c>
      <c r="G217" s="64" cm="1">
        <f t="array" ref="G217">SUMPRODUCT(Other_Risk_Movements_Yr4_34*Long_Term_Monetised_Risk_34)</f>
        <v>0</v>
      </c>
      <c r="H217" s="64" cm="1">
        <f t="array" ref="H217">SUMPRODUCT(Asset_Replacement_Yr4_34*Long_Term_Monetised_Risk_34)</f>
        <v>0</v>
      </c>
      <c r="I217" s="64" cm="1">
        <f t="array" ref="I217">SUMPRODUCT(Asset_Refurbishment_Yr4_34*Long_Term_Monetised_Risk_34)</f>
        <v>0</v>
      </c>
      <c r="J217" s="64" cm="1">
        <f t="array" ref="J217">SUMPRODUCT(Reinforcement_Yr4_34*Long_Term_Monetised_Risk_34)</f>
        <v>0</v>
      </c>
      <c r="K217" s="64" cm="1">
        <f t="array" ref="K217">SUMPRODUCT(Faults_Yr4_34*Long_Term_Monetised_Risk_34)</f>
        <v>0</v>
      </c>
      <c r="L217" s="64" cm="1">
        <f t="array" ref="L217">SUMPRODUCT(HVP_Asset_Replacement_Refurbishment_Yr4_34*Long_Term_Monetised_Risk_34)</f>
        <v>0</v>
      </c>
      <c r="M217" s="64" cm="1">
        <f t="array" ref="M217">SUMPRODUCT(HVP_Other_Yr4_34*Long_Term_Monetised_Risk_34)</f>
        <v>0</v>
      </c>
      <c r="N217" s="64" cm="1">
        <f t="array" ref="N217">SUMPRODUCT(All_Other_Yr4_34*Long_Term_Monetised_Risk_34)</f>
        <v>0</v>
      </c>
      <c r="O217" s="65" cm="1">
        <f t="array" ref="O217">SUMPRODUCT(End_Of_Year_Yr4_34*Long_Term_Monetised_Risk_34)</f>
        <v>0</v>
      </c>
      <c r="Q217" s="110"/>
      <c r="R217" s="111"/>
      <c r="S217" s="119"/>
      <c r="T217" s="114" cm="1">
        <f t="array" ref="T217">SUMPRODUCT(Asset_Replacement_2028_Yr4_34*Long_Term_Monetised_Risk_34)</f>
        <v>0</v>
      </c>
      <c r="U217" s="64" cm="1">
        <f t="array" ref="U217">SUMPRODUCT(Asset_Refurbishment_2028_Yr4_34*Long_Term_Monetised_Risk_34)</f>
        <v>0</v>
      </c>
      <c r="V217" s="65" cm="1">
        <f t="array" ref="V217">SUMPRODUCT(HVP_2028_Yr4_34*Long_Term_Monetised_Risk_34)</f>
        <v>0</v>
      </c>
    </row>
    <row r="218" spans="1:22">
      <c r="B218" s="93" t="s">
        <v>95</v>
      </c>
      <c r="C218" s="91">
        <v>2028</v>
      </c>
      <c r="D218" s="64" cm="1">
        <f t="array" ref="D218">SUMPRODUCT(Start_of_Year_Yr5_34*Long_Term_Monetised_Risk_34)</f>
        <v>0</v>
      </c>
      <c r="E218" s="64" cm="1">
        <f t="array" ref="E218">SUMPRODUCT(Data_Cleansing_Yr5_34*Long_Term_Monetised_Risk_34)</f>
        <v>0</v>
      </c>
      <c r="F218" s="64" cm="1">
        <f t="array" ref="F218">SUMPRODUCT(Deterioration_total_Yr5_34*Long_Term_Monetised_Risk_34)</f>
        <v>0</v>
      </c>
      <c r="G218" s="64" cm="1">
        <f t="array" ref="G218">SUMPRODUCT(Other_Risk_Movements_Yr5_34*Long_Term_Monetised_Risk_34)</f>
        <v>0</v>
      </c>
      <c r="H218" s="64" cm="1">
        <f t="array" ref="H218">SUMPRODUCT(Asset_Replacement_Yr5_34*Long_Term_Monetised_Risk_34)</f>
        <v>0</v>
      </c>
      <c r="I218" s="64" cm="1">
        <f t="array" ref="I218">SUMPRODUCT(Asset_Refurbishment_Yr5_34*Long_Term_Monetised_Risk_34)</f>
        <v>0</v>
      </c>
      <c r="J218" s="64" cm="1">
        <f t="array" ref="J218">SUMPRODUCT(Reinforcement_Yr5_34*Long_Term_Monetised_Risk_34)</f>
        <v>0</v>
      </c>
      <c r="K218" s="64" cm="1">
        <f t="array" ref="K218">SUMPRODUCT(Faults_Yr5_34*Long_Term_Monetised_Risk_34)</f>
        <v>0</v>
      </c>
      <c r="L218" s="64" cm="1">
        <f t="array" ref="L218">SUMPRODUCT(HVP_Asset_Replacement_Refurbishment_Yr5_34*Long_Term_Monetised_Risk_34)</f>
        <v>0</v>
      </c>
      <c r="M218" s="64" cm="1">
        <f t="array" ref="M218">SUMPRODUCT(HVP_Other_Yr5_34*Long_Term_Monetised_Risk_34)</f>
        <v>0</v>
      </c>
      <c r="N218" s="64" cm="1">
        <f t="array" ref="N218">SUMPRODUCT(All_Other_Yr5_34*Long_Term_Monetised_Risk_34)</f>
        <v>0</v>
      </c>
      <c r="O218" s="65" cm="1">
        <f t="array" ref="O218">SUMPRODUCT(End_Of_Year_Yr5_34*Long_Term_Monetised_Risk_34)</f>
        <v>0</v>
      </c>
      <c r="Q218" s="110"/>
      <c r="R218" s="111"/>
      <c r="S218" s="119"/>
      <c r="T218" s="114" cm="1">
        <f t="array" ref="T218">SUMPRODUCT(Asset_Replacement_2028_Yr5_34*Long_Term_Monetised_Risk_34)</f>
        <v>0</v>
      </c>
      <c r="U218" s="64" cm="1">
        <f t="array" ref="U218">SUMPRODUCT(Asset_Refurbishment_2028_Yr5_34*Long_Term_Monetised_Risk_34)</f>
        <v>0</v>
      </c>
      <c r="V218" s="65" cm="1">
        <f t="array" ref="V218">SUMPRODUCT(HVP_2028_Yr5_34*Long_Term_Monetised_Risk_34)</f>
        <v>0</v>
      </c>
    </row>
    <row r="219" spans="1:22" ht="14" thickBot="1">
      <c r="B219" s="103" t="s">
        <v>95</v>
      </c>
      <c r="C219" s="104" t="s">
        <v>131</v>
      </c>
      <c r="D219" s="105"/>
      <c r="E219" s="106">
        <f t="shared" ref="E219:O219" si="76">SUM(E214:E218)</f>
        <v>0</v>
      </c>
      <c r="F219" s="106">
        <f t="shared" si="76"/>
        <v>0</v>
      </c>
      <c r="G219" s="106">
        <f t="shared" si="76"/>
        <v>0</v>
      </c>
      <c r="H219" s="106">
        <f t="shared" si="76"/>
        <v>0</v>
      </c>
      <c r="I219" s="106">
        <f t="shared" si="76"/>
        <v>0</v>
      </c>
      <c r="J219" s="106">
        <f t="shared" si="76"/>
        <v>0</v>
      </c>
      <c r="K219" s="106">
        <f t="shared" si="76"/>
        <v>0</v>
      </c>
      <c r="L219" s="106">
        <f t="shared" si="76"/>
        <v>0</v>
      </c>
      <c r="M219" s="106">
        <f t="shared" si="76"/>
        <v>0</v>
      </c>
      <c r="N219" s="106">
        <f t="shared" si="76"/>
        <v>0</v>
      </c>
      <c r="O219" s="537">
        <f t="shared" si="76"/>
        <v>0</v>
      </c>
      <c r="Q219" s="107" t="str">
        <f ca="1">VLOOKUP($B219,'NARM4 - ED2 NARW Risk Movements'!$B$7:$G$67,4,FALSE)</f>
        <v/>
      </c>
      <c r="R219" s="109" t="str">
        <f ca="1">VLOOKUP($B219,'NARM4 - ED2 NARW Risk Movements'!$B$7:$G$67,5,FALSE)</f>
        <v/>
      </c>
      <c r="S219" s="121" t="str">
        <f ca="1">VLOOKUP($B219,'NARM4 - ED2 NARW Risk Movements'!$B$7:$G$67,6,FALSE)</f>
        <v/>
      </c>
      <c r="T219" s="117">
        <f>SUM(T214:T218)</f>
        <v>0</v>
      </c>
      <c r="U219" s="106">
        <f t="shared" ref="U219" si="77">SUM(U214:U218)</f>
        <v>0</v>
      </c>
      <c r="V219" s="108">
        <f>SUM(V214:V218)</f>
        <v>0</v>
      </c>
    </row>
    <row r="220" spans="1:22" ht="14" thickTop="1">
      <c r="A220" s="143">
        <v>35</v>
      </c>
      <c r="B220" s="99" t="s">
        <v>96</v>
      </c>
      <c r="C220" s="100">
        <v>2024</v>
      </c>
      <c r="D220" s="101" cm="1">
        <f t="array" ref="D220">SUMPRODUCT(Start_of_Year_Yr1_35*Long_Term_Monetised_Risk_35)</f>
        <v>0</v>
      </c>
      <c r="E220" s="101" cm="1">
        <f t="array" ref="E220">SUMPRODUCT(Data_Cleansing_Yr1_35*Long_Term_Monetised_Risk_35)</f>
        <v>0</v>
      </c>
      <c r="F220" s="101" cm="1">
        <f t="array" ref="F220">SUMPRODUCT(Deterioration_total_Yr1_35*Long_Term_Monetised_Risk_35)</f>
        <v>0</v>
      </c>
      <c r="G220" s="101" cm="1">
        <f t="array" ref="G220">SUMPRODUCT(Other_Risk_Movements_Yr1_35*Long_Term_Monetised_Risk_35)</f>
        <v>0</v>
      </c>
      <c r="H220" s="101" cm="1">
        <f t="array" ref="H220">SUMPRODUCT(Asset_Replacement_Yr1_35*Long_Term_Monetised_Risk_35)</f>
        <v>0</v>
      </c>
      <c r="I220" s="101" cm="1">
        <f t="array" ref="I220">SUMPRODUCT(Asset_Refurbishment_Yr1_35*Long_Term_Monetised_Risk_35)</f>
        <v>0</v>
      </c>
      <c r="J220" s="101" cm="1">
        <f t="array" ref="J220">SUMPRODUCT(Reinforcement_Yr1_35*Long_Term_Monetised_Risk_35)</f>
        <v>0</v>
      </c>
      <c r="K220" s="101" cm="1">
        <f t="array" ref="K220">SUMPRODUCT(Faults_Yr1_35*Long_Term_Monetised_Risk_35)</f>
        <v>0</v>
      </c>
      <c r="L220" s="101" cm="1">
        <f t="array" ref="L220">SUMPRODUCT(HVP_Asset_Replacement_Refurbishment_Yr1_35*Long_Term_Monetised_Risk_35)</f>
        <v>0</v>
      </c>
      <c r="M220" s="101" cm="1">
        <f t="array" ref="M220">SUMPRODUCT(HVP_Other_Yr1_35*Long_Term_Monetised_Risk_35)</f>
        <v>0</v>
      </c>
      <c r="N220" s="101" cm="1">
        <f t="array" ref="N220">SUMPRODUCT(All_Other_Yr1_35*Long_Term_Monetised_Risk_35)</f>
        <v>0</v>
      </c>
      <c r="O220" s="102" cm="1">
        <f t="array" ref="O220">SUMPRODUCT(End_Of_Year_Yr1_35*Long_Term_Monetised_Risk_35)</f>
        <v>0</v>
      </c>
      <c r="Q220" s="112"/>
      <c r="R220" s="113"/>
      <c r="S220" s="120"/>
      <c r="T220" s="115" cm="1">
        <f t="array" ref="T220">SUMPRODUCT(Asset_Replacement_2028_Yr1_35*Long_Term_Monetised_Risk_35)</f>
        <v>0</v>
      </c>
      <c r="U220" s="101" cm="1">
        <f t="array" ref="U220">SUMPRODUCT(Asset_Refurbishment_2028_Yr1_35*Long_Term_Monetised_Risk_35)</f>
        <v>0</v>
      </c>
      <c r="V220" s="102" cm="1">
        <f t="array" ref="V220">SUMPRODUCT(HVP_2028_Yr1_35*Long_Term_Monetised_Risk_35)</f>
        <v>0</v>
      </c>
    </row>
    <row r="221" spans="1:22">
      <c r="B221" s="93" t="s">
        <v>96</v>
      </c>
      <c r="C221" s="91">
        <v>2025</v>
      </c>
      <c r="D221" s="64" cm="1">
        <f t="array" ref="D221">SUMPRODUCT(Start_of_Year_Yr2_35*Long_Term_Monetised_Risk_35)</f>
        <v>0</v>
      </c>
      <c r="E221" s="64" cm="1">
        <f t="array" ref="E221">SUMPRODUCT(Data_Cleansing_Yr2_35*Long_Term_Monetised_Risk_35)</f>
        <v>0</v>
      </c>
      <c r="F221" s="64" cm="1">
        <f t="array" ref="F221">SUMPRODUCT(Deterioration_total_Yr2_35*Long_Term_Monetised_Risk_35)</f>
        <v>0</v>
      </c>
      <c r="G221" s="64" cm="1">
        <f t="array" ref="G221">SUMPRODUCT(Other_Risk_Movements_Yr2_35*Long_Term_Monetised_Risk_35)</f>
        <v>0</v>
      </c>
      <c r="H221" s="64" cm="1">
        <f t="array" ref="H221">SUMPRODUCT(Asset_Replacement_Yr2_35*Long_Term_Monetised_Risk_35)</f>
        <v>0</v>
      </c>
      <c r="I221" s="64" cm="1">
        <f t="array" ref="I221">SUMPRODUCT(Asset_Refurbishment_Yr2_35*Long_Term_Monetised_Risk_35)</f>
        <v>0</v>
      </c>
      <c r="J221" s="64" cm="1">
        <f t="array" ref="J221">SUMPRODUCT(Reinforcement_Yr2_35*Long_Term_Monetised_Risk_35)</f>
        <v>0</v>
      </c>
      <c r="K221" s="64" cm="1">
        <f t="array" ref="K221">SUMPRODUCT(Faults_Yr2_35*Long_Term_Monetised_Risk_35)</f>
        <v>0</v>
      </c>
      <c r="L221" s="64" cm="1">
        <f t="array" ref="L221">SUMPRODUCT(HVP_Asset_Replacement_Refurbishment_Yr2_35*Long_Term_Monetised_Risk_35)</f>
        <v>0</v>
      </c>
      <c r="M221" s="64" cm="1">
        <f t="array" ref="M221">SUMPRODUCT(HVP_Other_Yr2_35*Long_Term_Monetised_Risk_35)</f>
        <v>0</v>
      </c>
      <c r="N221" s="64" cm="1">
        <f t="array" ref="N221">SUMPRODUCT(All_Other_Yr2_35*Long_Term_Monetised_Risk_35)</f>
        <v>0</v>
      </c>
      <c r="O221" s="65" cm="1">
        <f t="array" ref="O221">SUMPRODUCT(End_Of_Year_Yr2_35*Long_Term_Monetised_Risk_35)</f>
        <v>0</v>
      </c>
      <c r="Q221" s="110"/>
      <c r="R221" s="111"/>
      <c r="S221" s="119"/>
      <c r="T221" s="114" cm="1">
        <f t="array" ref="T221">SUMPRODUCT(Asset_Replacement_2028_Yr2_35*Long_Term_Monetised_Risk_35)</f>
        <v>0</v>
      </c>
      <c r="U221" s="64" cm="1">
        <f t="array" ref="U221">SUMPRODUCT(Asset_Refurbishment_2028_Yr2_35*Long_Term_Monetised_Risk_35)</f>
        <v>0</v>
      </c>
      <c r="V221" s="65" cm="1">
        <f t="array" ref="V221">SUMPRODUCT(HVP_2028_Yr2_35*Long_Term_Monetised_Risk_35)</f>
        <v>0</v>
      </c>
    </row>
    <row r="222" spans="1:22">
      <c r="B222" s="93" t="s">
        <v>96</v>
      </c>
      <c r="C222" s="91">
        <v>2026</v>
      </c>
      <c r="D222" s="64" cm="1">
        <f t="array" ref="D222">SUMPRODUCT(Start_of_Year_Yr3_35*Long_Term_Monetised_Risk_35)</f>
        <v>0</v>
      </c>
      <c r="E222" s="64" cm="1">
        <f t="array" ref="E222">SUMPRODUCT(Data_Cleansing_Yr3_35*Long_Term_Monetised_Risk_35)</f>
        <v>0</v>
      </c>
      <c r="F222" s="64" cm="1">
        <f t="array" ref="F222">SUMPRODUCT(Deterioration_total_Yr3_35*Long_Term_Monetised_Risk_35)</f>
        <v>0</v>
      </c>
      <c r="G222" s="64" cm="1">
        <f t="array" ref="G222">SUMPRODUCT(Other_Risk_Movements_Yr3_35*Long_Term_Monetised_Risk_35)</f>
        <v>0</v>
      </c>
      <c r="H222" s="64" cm="1">
        <f t="array" ref="H222">SUMPRODUCT(Asset_Replacement_Yr3_35*Long_Term_Monetised_Risk_35)</f>
        <v>0</v>
      </c>
      <c r="I222" s="64" cm="1">
        <f t="array" ref="I222">SUMPRODUCT(Asset_Refurbishment_Yr3_35*Long_Term_Monetised_Risk_35)</f>
        <v>0</v>
      </c>
      <c r="J222" s="64" cm="1">
        <f t="array" ref="J222">SUMPRODUCT(Reinforcement_Yr3_35*Long_Term_Monetised_Risk_35)</f>
        <v>0</v>
      </c>
      <c r="K222" s="64" cm="1">
        <f t="array" ref="K222">SUMPRODUCT(Faults_Yr3_35*Long_Term_Monetised_Risk_35)</f>
        <v>0</v>
      </c>
      <c r="L222" s="64" cm="1">
        <f t="array" ref="L222">SUMPRODUCT(HVP_Asset_Replacement_Refurbishment_Yr3_35*Long_Term_Monetised_Risk_35)</f>
        <v>0</v>
      </c>
      <c r="M222" s="64" cm="1">
        <f t="array" ref="M222">SUMPRODUCT(HVP_Other_Yr3_35*Long_Term_Monetised_Risk_35)</f>
        <v>0</v>
      </c>
      <c r="N222" s="64" cm="1">
        <f t="array" ref="N222">SUMPRODUCT(All_Other_Yr3_35*Long_Term_Monetised_Risk_35)</f>
        <v>0</v>
      </c>
      <c r="O222" s="65" cm="1">
        <f t="array" ref="O222">SUMPRODUCT(End_Of_Year_Yr3_35*Long_Term_Monetised_Risk_35)</f>
        <v>0</v>
      </c>
      <c r="Q222" s="110"/>
      <c r="R222" s="111"/>
      <c r="S222" s="119"/>
      <c r="T222" s="114" cm="1">
        <f t="array" ref="T222">SUMPRODUCT(Asset_Replacement_2028_Yr3_35*Long_Term_Monetised_Risk_35)</f>
        <v>0</v>
      </c>
      <c r="U222" s="64" cm="1">
        <f t="array" ref="U222">SUMPRODUCT(Asset_Refurbishment_2028_Yr3_35*Long_Term_Monetised_Risk_35)</f>
        <v>0</v>
      </c>
      <c r="V222" s="65" cm="1">
        <f t="array" ref="V222">SUMPRODUCT(HVP_2028_Yr3_35*Long_Term_Monetised_Risk_35)</f>
        <v>0</v>
      </c>
    </row>
    <row r="223" spans="1:22">
      <c r="B223" s="93" t="s">
        <v>96</v>
      </c>
      <c r="C223" s="91">
        <v>2027</v>
      </c>
      <c r="D223" s="64" cm="1">
        <f t="array" ref="D223">SUMPRODUCT(Start_of_Year_Yr4_35*Long_Term_Monetised_Risk_35)</f>
        <v>0</v>
      </c>
      <c r="E223" s="64" cm="1">
        <f t="array" ref="E223">SUMPRODUCT(Data_Cleansing_Yr4_35*Long_Term_Monetised_Risk_35)</f>
        <v>0</v>
      </c>
      <c r="F223" s="64" cm="1">
        <f t="array" ref="F223">SUMPRODUCT(Deterioration_total_Yr4_35*Long_Term_Monetised_Risk_35)</f>
        <v>0</v>
      </c>
      <c r="G223" s="64" cm="1">
        <f t="array" ref="G223">SUMPRODUCT(Other_Risk_Movements_Yr4_35*Long_Term_Monetised_Risk_35)</f>
        <v>0</v>
      </c>
      <c r="H223" s="64" cm="1">
        <f t="array" ref="H223">SUMPRODUCT(Asset_Replacement_Yr4_35*Long_Term_Monetised_Risk_35)</f>
        <v>0</v>
      </c>
      <c r="I223" s="64" cm="1">
        <f t="array" ref="I223">SUMPRODUCT(Asset_Refurbishment_Yr4_35*Long_Term_Monetised_Risk_35)</f>
        <v>0</v>
      </c>
      <c r="J223" s="64" cm="1">
        <f t="array" ref="J223">SUMPRODUCT(Reinforcement_Yr4_35*Long_Term_Monetised_Risk_35)</f>
        <v>0</v>
      </c>
      <c r="K223" s="64" cm="1">
        <f t="array" ref="K223">SUMPRODUCT(Faults_Yr4_35*Long_Term_Monetised_Risk_35)</f>
        <v>0</v>
      </c>
      <c r="L223" s="64" cm="1">
        <f t="array" ref="L223">SUMPRODUCT(HVP_Asset_Replacement_Refurbishment_Yr4_35*Long_Term_Monetised_Risk_35)</f>
        <v>0</v>
      </c>
      <c r="M223" s="64" cm="1">
        <f t="array" ref="M223">SUMPRODUCT(HVP_Other_Yr4_35*Long_Term_Monetised_Risk_35)</f>
        <v>0</v>
      </c>
      <c r="N223" s="64" cm="1">
        <f t="array" ref="N223">SUMPRODUCT(All_Other_Yr4_35*Long_Term_Monetised_Risk_35)</f>
        <v>0</v>
      </c>
      <c r="O223" s="65" cm="1">
        <f t="array" ref="O223">SUMPRODUCT(End_Of_Year_Yr4_35*Long_Term_Monetised_Risk_35)</f>
        <v>0</v>
      </c>
      <c r="Q223" s="110"/>
      <c r="R223" s="111"/>
      <c r="S223" s="119"/>
      <c r="T223" s="114" cm="1">
        <f t="array" ref="T223">SUMPRODUCT(Asset_Replacement_2028_Yr4_35*Long_Term_Monetised_Risk_35)</f>
        <v>0</v>
      </c>
      <c r="U223" s="64" cm="1">
        <f t="array" ref="U223">SUMPRODUCT(Asset_Refurbishment_2028_Yr4_35*Long_Term_Monetised_Risk_35)</f>
        <v>0</v>
      </c>
      <c r="V223" s="65" cm="1">
        <f t="array" ref="V223">SUMPRODUCT(HVP_2028_Yr4_35*Long_Term_Monetised_Risk_35)</f>
        <v>0</v>
      </c>
    </row>
    <row r="224" spans="1:22">
      <c r="B224" s="93" t="s">
        <v>96</v>
      </c>
      <c r="C224" s="91">
        <v>2028</v>
      </c>
      <c r="D224" s="64" cm="1">
        <f t="array" ref="D224">SUMPRODUCT(Start_of_Year_Yr5_35*Long_Term_Monetised_Risk_35)</f>
        <v>0</v>
      </c>
      <c r="E224" s="64" cm="1">
        <f t="array" ref="E224">SUMPRODUCT(Data_Cleansing_Yr5_35*Long_Term_Monetised_Risk_35)</f>
        <v>0</v>
      </c>
      <c r="F224" s="64" cm="1">
        <f t="array" ref="F224">SUMPRODUCT(Deterioration_total_Yr5_35*Long_Term_Monetised_Risk_35)</f>
        <v>0</v>
      </c>
      <c r="G224" s="64" cm="1">
        <f t="array" ref="G224">SUMPRODUCT(Other_Risk_Movements_Yr5_35*Long_Term_Monetised_Risk_35)</f>
        <v>0</v>
      </c>
      <c r="H224" s="64" cm="1">
        <f t="array" ref="H224">SUMPRODUCT(Asset_Replacement_Yr5_35*Long_Term_Monetised_Risk_35)</f>
        <v>0</v>
      </c>
      <c r="I224" s="64" cm="1">
        <f t="array" ref="I224">SUMPRODUCT(Asset_Refurbishment_Yr5_35*Long_Term_Monetised_Risk_35)</f>
        <v>0</v>
      </c>
      <c r="J224" s="64" cm="1">
        <f t="array" ref="J224">SUMPRODUCT(Reinforcement_Yr5_35*Long_Term_Monetised_Risk_35)</f>
        <v>0</v>
      </c>
      <c r="K224" s="64" cm="1">
        <f t="array" ref="K224">SUMPRODUCT(Faults_Yr5_35*Long_Term_Monetised_Risk_35)</f>
        <v>0</v>
      </c>
      <c r="L224" s="64" cm="1">
        <f t="array" ref="L224">SUMPRODUCT(HVP_Asset_Replacement_Refurbishment_Yr5_35*Long_Term_Monetised_Risk_35)</f>
        <v>0</v>
      </c>
      <c r="M224" s="64" cm="1">
        <f t="array" ref="M224">SUMPRODUCT(HVP_Other_Yr5_35*Long_Term_Monetised_Risk_35)</f>
        <v>0</v>
      </c>
      <c r="N224" s="64" cm="1">
        <f t="array" ref="N224">SUMPRODUCT(All_Other_Yr5_35*Long_Term_Monetised_Risk_35)</f>
        <v>0</v>
      </c>
      <c r="O224" s="65" cm="1">
        <f t="array" ref="O224">SUMPRODUCT(End_Of_Year_Yr5_35*Long_Term_Monetised_Risk_35)</f>
        <v>0</v>
      </c>
      <c r="Q224" s="110"/>
      <c r="R224" s="111"/>
      <c r="S224" s="119"/>
      <c r="T224" s="114" cm="1">
        <f t="array" ref="T224">SUMPRODUCT(Asset_Replacement_2028_Yr5_35*Long_Term_Monetised_Risk_35)</f>
        <v>0</v>
      </c>
      <c r="U224" s="64" cm="1">
        <f t="array" ref="U224">SUMPRODUCT(Asset_Refurbishment_2028_Yr5_35*Long_Term_Monetised_Risk_35)</f>
        <v>0</v>
      </c>
      <c r="V224" s="65" cm="1">
        <f t="array" ref="V224">SUMPRODUCT(HVP_2028_Yr5_35*Long_Term_Monetised_Risk_35)</f>
        <v>0</v>
      </c>
    </row>
    <row r="225" spans="1:22" ht="14" thickBot="1">
      <c r="B225" s="103" t="s">
        <v>96</v>
      </c>
      <c r="C225" s="104" t="s">
        <v>131</v>
      </c>
      <c r="D225" s="105"/>
      <c r="E225" s="106">
        <f t="shared" ref="E225:O225" si="78">SUM(E220:E224)</f>
        <v>0</v>
      </c>
      <c r="F225" s="106">
        <f t="shared" si="78"/>
        <v>0</v>
      </c>
      <c r="G225" s="106">
        <f t="shared" si="78"/>
        <v>0</v>
      </c>
      <c r="H225" s="106">
        <f t="shared" si="78"/>
        <v>0</v>
      </c>
      <c r="I225" s="106">
        <f t="shared" si="78"/>
        <v>0</v>
      </c>
      <c r="J225" s="106">
        <f t="shared" si="78"/>
        <v>0</v>
      </c>
      <c r="K225" s="106">
        <f t="shared" si="78"/>
        <v>0</v>
      </c>
      <c r="L225" s="106">
        <f t="shared" si="78"/>
        <v>0</v>
      </c>
      <c r="M225" s="106">
        <f t="shared" si="78"/>
        <v>0</v>
      </c>
      <c r="N225" s="106">
        <f t="shared" si="78"/>
        <v>0</v>
      </c>
      <c r="O225" s="537">
        <f t="shared" si="78"/>
        <v>0</v>
      </c>
      <c r="Q225" s="107" t="str">
        <f ca="1">VLOOKUP($B225,'NARM4 - ED2 NARW Risk Movements'!$B$7:$G$67,4,FALSE)</f>
        <v/>
      </c>
      <c r="R225" s="109" t="str">
        <f ca="1">VLOOKUP($B225,'NARM4 - ED2 NARW Risk Movements'!$B$7:$G$67,5,FALSE)</f>
        <v/>
      </c>
      <c r="S225" s="121" t="str">
        <f ca="1">VLOOKUP($B225,'NARM4 - ED2 NARW Risk Movements'!$B$7:$G$67,6,FALSE)</f>
        <v/>
      </c>
      <c r="T225" s="117">
        <f>SUM(T220:T224)</f>
        <v>0</v>
      </c>
      <c r="U225" s="106">
        <f t="shared" ref="U225" si="79">SUM(U220:U224)</f>
        <v>0</v>
      </c>
      <c r="V225" s="108">
        <f>SUM(V220:V224)</f>
        <v>0</v>
      </c>
    </row>
    <row r="226" spans="1:22" ht="14" thickTop="1">
      <c r="A226" s="143">
        <v>36</v>
      </c>
      <c r="B226" s="99" t="s">
        <v>97</v>
      </c>
      <c r="C226" s="100">
        <v>2024</v>
      </c>
      <c r="D226" s="101" cm="1">
        <f t="array" ref="D226">SUMPRODUCT(Start_of_Year_Yr1_36*Long_Term_Monetised_Risk_36)</f>
        <v>0</v>
      </c>
      <c r="E226" s="101" cm="1">
        <f t="array" ref="E226">SUMPRODUCT(Data_Cleansing_Yr1_36*Long_Term_Monetised_Risk_36)</f>
        <v>0</v>
      </c>
      <c r="F226" s="101" cm="1">
        <f t="array" ref="F226">SUMPRODUCT(Deterioration_total_Yr1_36*Long_Term_Monetised_Risk_36)</f>
        <v>0</v>
      </c>
      <c r="G226" s="101" cm="1">
        <f t="array" ref="G226">SUMPRODUCT(Other_Risk_Movements_Yr1_36*Long_Term_Monetised_Risk_36)</f>
        <v>0</v>
      </c>
      <c r="H226" s="101" cm="1">
        <f t="array" ref="H226">SUMPRODUCT(Asset_Replacement_Yr1_36*Long_Term_Monetised_Risk_36)</f>
        <v>0</v>
      </c>
      <c r="I226" s="101" cm="1">
        <f t="array" ref="I226">SUMPRODUCT(Asset_Refurbishment_Yr1_36*Long_Term_Monetised_Risk_36)</f>
        <v>0</v>
      </c>
      <c r="J226" s="101" cm="1">
        <f t="array" ref="J226">SUMPRODUCT(Reinforcement_Yr1_36*Long_Term_Monetised_Risk_36)</f>
        <v>0</v>
      </c>
      <c r="K226" s="101" cm="1">
        <f t="array" ref="K226">SUMPRODUCT(Faults_Yr1_36*Long_Term_Monetised_Risk_36)</f>
        <v>0</v>
      </c>
      <c r="L226" s="101" cm="1">
        <f t="array" ref="L226">SUMPRODUCT(HVP_Asset_Replacement_Refurbishment_Yr1_36*Long_Term_Monetised_Risk_36)</f>
        <v>0</v>
      </c>
      <c r="M226" s="101" cm="1">
        <f t="array" ref="M226">SUMPRODUCT(HVP_Other_Yr1_36*Long_Term_Monetised_Risk_36)</f>
        <v>0</v>
      </c>
      <c r="N226" s="101" cm="1">
        <f t="array" ref="N226">SUMPRODUCT(All_Other_Yr1_36*Long_Term_Monetised_Risk_36)</f>
        <v>0</v>
      </c>
      <c r="O226" s="102" cm="1">
        <f t="array" ref="O226">SUMPRODUCT(End_Of_Year_Yr1_36*Long_Term_Monetised_Risk_36)</f>
        <v>0</v>
      </c>
      <c r="Q226" s="112"/>
      <c r="R226" s="113"/>
      <c r="S226" s="120"/>
      <c r="T226" s="115" cm="1">
        <f t="array" ref="T226">SUMPRODUCT(Asset_Replacement_2028_Yr1_36*Long_Term_Monetised_Risk_36)</f>
        <v>0</v>
      </c>
      <c r="U226" s="101" cm="1">
        <f t="array" ref="U226">SUMPRODUCT(Asset_Refurbishment_2028_Yr1_36*Long_Term_Monetised_Risk_36)</f>
        <v>0</v>
      </c>
      <c r="V226" s="102" cm="1">
        <f t="array" ref="V226">SUMPRODUCT(HVP_2028_Yr1_36*Long_Term_Monetised_Risk_36)</f>
        <v>0</v>
      </c>
    </row>
    <row r="227" spans="1:22">
      <c r="B227" s="93" t="s">
        <v>97</v>
      </c>
      <c r="C227" s="91">
        <v>2025</v>
      </c>
      <c r="D227" s="64" cm="1">
        <f t="array" ref="D227">SUMPRODUCT(Start_of_Year_Yr2_36*Long_Term_Monetised_Risk_36)</f>
        <v>0</v>
      </c>
      <c r="E227" s="64" cm="1">
        <f t="array" ref="E227">SUMPRODUCT(Data_Cleansing_Yr2_36*Long_Term_Monetised_Risk_36)</f>
        <v>0</v>
      </c>
      <c r="F227" s="64" cm="1">
        <f t="array" ref="F227">SUMPRODUCT(Deterioration_total_Yr2_36*Long_Term_Monetised_Risk_36)</f>
        <v>0</v>
      </c>
      <c r="G227" s="64" cm="1">
        <f t="array" ref="G227">SUMPRODUCT(Other_Risk_Movements_Yr2_36*Long_Term_Monetised_Risk_36)</f>
        <v>0</v>
      </c>
      <c r="H227" s="64" cm="1">
        <f t="array" ref="H227">SUMPRODUCT(Asset_Replacement_Yr2_36*Long_Term_Monetised_Risk_36)</f>
        <v>0</v>
      </c>
      <c r="I227" s="64" cm="1">
        <f t="array" ref="I227">SUMPRODUCT(Asset_Refurbishment_Yr2_36*Long_Term_Monetised_Risk_36)</f>
        <v>0</v>
      </c>
      <c r="J227" s="64" cm="1">
        <f t="array" ref="J227">SUMPRODUCT(Reinforcement_Yr2_36*Long_Term_Monetised_Risk_36)</f>
        <v>0</v>
      </c>
      <c r="K227" s="64" cm="1">
        <f t="array" ref="K227">SUMPRODUCT(Faults_Yr2_36*Long_Term_Monetised_Risk_36)</f>
        <v>0</v>
      </c>
      <c r="L227" s="64" cm="1">
        <f t="array" ref="L227">SUMPRODUCT(HVP_Asset_Replacement_Refurbishment_Yr2_36*Long_Term_Monetised_Risk_36)</f>
        <v>0</v>
      </c>
      <c r="M227" s="64" cm="1">
        <f t="array" ref="M227">SUMPRODUCT(HVP_Other_Yr2_36*Long_Term_Monetised_Risk_36)</f>
        <v>0</v>
      </c>
      <c r="N227" s="64" cm="1">
        <f t="array" ref="N227">SUMPRODUCT(All_Other_Yr2_36*Long_Term_Monetised_Risk_36)</f>
        <v>0</v>
      </c>
      <c r="O227" s="65" cm="1">
        <f t="array" ref="O227">SUMPRODUCT(End_Of_Year_Yr2_36*Long_Term_Monetised_Risk_36)</f>
        <v>0</v>
      </c>
      <c r="Q227" s="110"/>
      <c r="R227" s="111"/>
      <c r="S227" s="119"/>
      <c r="T227" s="114" cm="1">
        <f t="array" ref="T227">SUMPRODUCT(Asset_Replacement_2028_Yr2_36*Long_Term_Monetised_Risk_36)</f>
        <v>0</v>
      </c>
      <c r="U227" s="64" cm="1">
        <f t="array" ref="U227">SUMPRODUCT(Asset_Refurbishment_2028_Yr2_36*Long_Term_Monetised_Risk_36)</f>
        <v>0</v>
      </c>
      <c r="V227" s="65" cm="1">
        <f t="array" ref="V227">SUMPRODUCT(HVP_2028_Yr2_36*Long_Term_Monetised_Risk_36)</f>
        <v>0</v>
      </c>
    </row>
    <row r="228" spans="1:22">
      <c r="B228" s="93" t="s">
        <v>97</v>
      </c>
      <c r="C228" s="91">
        <v>2026</v>
      </c>
      <c r="D228" s="64" cm="1">
        <f t="array" ref="D228">SUMPRODUCT(Start_of_Year_Yr3_36*Long_Term_Monetised_Risk_36)</f>
        <v>0</v>
      </c>
      <c r="E228" s="64" cm="1">
        <f t="array" ref="E228">SUMPRODUCT(Data_Cleansing_Yr3_36*Long_Term_Monetised_Risk_36)</f>
        <v>0</v>
      </c>
      <c r="F228" s="64" cm="1">
        <f t="array" ref="F228">SUMPRODUCT(Deterioration_total_Yr3_36*Long_Term_Monetised_Risk_36)</f>
        <v>0</v>
      </c>
      <c r="G228" s="64" cm="1">
        <f t="array" ref="G228">SUMPRODUCT(Other_Risk_Movements_Yr3_36*Long_Term_Monetised_Risk_36)</f>
        <v>0</v>
      </c>
      <c r="H228" s="64" cm="1">
        <f t="array" ref="H228">SUMPRODUCT(Asset_Replacement_Yr3_36*Long_Term_Monetised_Risk_36)</f>
        <v>0</v>
      </c>
      <c r="I228" s="64" cm="1">
        <f t="array" ref="I228">SUMPRODUCT(Asset_Refurbishment_Yr3_36*Long_Term_Monetised_Risk_36)</f>
        <v>0</v>
      </c>
      <c r="J228" s="64" cm="1">
        <f t="array" ref="J228">SUMPRODUCT(Reinforcement_Yr3_36*Long_Term_Monetised_Risk_36)</f>
        <v>0</v>
      </c>
      <c r="K228" s="64" cm="1">
        <f t="array" ref="K228">SUMPRODUCT(Faults_Yr3_36*Long_Term_Monetised_Risk_36)</f>
        <v>0</v>
      </c>
      <c r="L228" s="64" cm="1">
        <f t="array" ref="L228">SUMPRODUCT(HVP_Asset_Replacement_Refurbishment_Yr3_36*Long_Term_Monetised_Risk_36)</f>
        <v>0</v>
      </c>
      <c r="M228" s="64" cm="1">
        <f t="array" ref="M228">SUMPRODUCT(HVP_Other_Yr3_36*Long_Term_Monetised_Risk_36)</f>
        <v>0</v>
      </c>
      <c r="N228" s="64" cm="1">
        <f t="array" ref="N228">SUMPRODUCT(All_Other_Yr3_36*Long_Term_Monetised_Risk_36)</f>
        <v>0</v>
      </c>
      <c r="O228" s="65" cm="1">
        <f t="array" ref="O228">SUMPRODUCT(End_Of_Year_Yr3_36*Long_Term_Monetised_Risk_36)</f>
        <v>0</v>
      </c>
      <c r="Q228" s="110"/>
      <c r="R228" s="111"/>
      <c r="S228" s="119"/>
      <c r="T228" s="114" cm="1">
        <f t="array" ref="T228">SUMPRODUCT(Asset_Replacement_2028_Yr3_36*Long_Term_Monetised_Risk_36)</f>
        <v>0</v>
      </c>
      <c r="U228" s="64" cm="1">
        <f t="array" ref="U228">SUMPRODUCT(Asset_Refurbishment_2028_Yr3_36*Long_Term_Monetised_Risk_36)</f>
        <v>0</v>
      </c>
      <c r="V228" s="65" cm="1">
        <f t="array" ref="V228">SUMPRODUCT(HVP_2028_Yr3_36*Long_Term_Monetised_Risk_36)</f>
        <v>0</v>
      </c>
    </row>
    <row r="229" spans="1:22">
      <c r="B229" s="93" t="s">
        <v>97</v>
      </c>
      <c r="C229" s="91">
        <v>2027</v>
      </c>
      <c r="D229" s="64" cm="1">
        <f t="array" ref="D229">SUMPRODUCT(Start_of_Year_Yr4_36*Long_Term_Monetised_Risk_36)</f>
        <v>0</v>
      </c>
      <c r="E229" s="64" cm="1">
        <f t="array" ref="E229">SUMPRODUCT(Data_Cleansing_Yr4_36*Long_Term_Monetised_Risk_36)</f>
        <v>0</v>
      </c>
      <c r="F229" s="64" cm="1">
        <f t="array" ref="F229">SUMPRODUCT(Deterioration_total_Yr4_36*Long_Term_Monetised_Risk_36)</f>
        <v>0</v>
      </c>
      <c r="G229" s="64" cm="1">
        <f t="array" ref="G229">SUMPRODUCT(Other_Risk_Movements_Yr4_36*Long_Term_Monetised_Risk_36)</f>
        <v>0</v>
      </c>
      <c r="H229" s="64" cm="1">
        <f t="array" ref="H229">SUMPRODUCT(Asset_Replacement_Yr4_36*Long_Term_Monetised_Risk_36)</f>
        <v>0</v>
      </c>
      <c r="I229" s="64" cm="1">
        <f t="array" ref="I229">SUMPRODUCT(Asset_Refurbishment_Yr4_36*Long_Term_Monetised_Risk_36)</f>
        <v>0</v>
      </c>
      <c r="J229" s="64" cm="1">
        <f t="array" ref="J229">SUMPRODUCT(Reinforcement_Yr4_36*Long_Term_Monetised_Risk_36)</f>
        <v>0</v>
      </c>
      <c r="K229" s="64" cm="1">
        <f t="array" ref="K229">SUMPRODUCT(Faults_Yr4_36*Long_Term_Monetised_Risk_36)</f>
        <v>0</v>
      </c>
      <c r="L229" s="64" cm="1">
        <f t="array" ref="L229">SUMPRODUCT(HVP_Asset_Replacement_Refurbishment_Yr4_36*Long_Term_Monetised_Risk_36)</f>
        <v>0</v>
      </c>
      <c r="M229" s="64" cm="1">
        <f t="array" ref="M229">SUMPRODUCT(HVP_Other_Yr4_36*Long_Term_Monetised_Risk_36)</f>
        <v>0</v>
      </c>
      <c r="N229" s="64" cm="1">
        <f t="array" ref="N229">SUMPRODUCT(All_Other_Yr4_36*Long_Term_Monetised_Risk_36)</f>
        <v>0</v>
      </c>
      <c r="O229" s="65" cm="1">
        <f t="array" ref="O229">SUMPRODUCT(End_Of_Year_Yr4_36*Long_Term_Monetised_Risk_36)</f>
        <v>0</v>
      </c>
      <c r="Q229" s="110"/>
      <c r="R229" s="111"/>
      <c r="S229" s="119"/>
      <c r="T229" s="114" cm="1">
        <f t="array" ref="T229">SUMPRODUCT(Asset_Replacement_2028_Yr4_36*Long_Term_Monetised_Risk_36)</f>
        <v>0</v>
      </c>
      <c r="U229" s="64" cm="1">
        <f t="array" ref="U229">SUMPRODUCT(Asset_Refurbishment_2028_Yr4_36*Long_Term_Monetised_Risk_36)</f>
        <v>0</v>
      </c>
      <c r="V229" s="65" cm="1">
        <f t="array" ref="V229">SUMPRODUCT(HVP_2028_Yr4_36*Long_Term_Monetised_Risk_36)</f>
        <v>0</v>
      </c>
    </row>
    <row r="230" spans="1:22">
      <c r="B230" s="93" t="s">
        <v>97</v>
      </c>
      <c r="C230" s="91">
        <v>2028</v>
      </c>
      <c r="D230" s="64" cm="1">
        <f t="array" ref="D230">SUMPRODUCT(Start_of_Year_Yr5_36*Long_Term_Monetised_Risk_36)</f>
        <v>0</v>
      </c>
      <c r="E230" s="64" cm="1">
        <f t="array" ref="E230">SUMPRODUCT(Data_Cleansing_Yr5_36*Long_Term_Monetised_Risk_36)</f>
        <v>0</v>
      </c>
      <c r="F230" s="64" cm="1">
        <f t="array" ref="F230">SUMPRODUCT(Deterioration_total_Yr5_36*Long_Term_Monetised_Risk_36)</f>
        <v>0</v>
      </c>
      <c r="G230" s="64" cm="1">
        <f t="array" ref="G230">SUMPRODUCT(Other_Risk_Movements_Yr5_36*Long_Term_Monetised_Risk_36)</f>
        <v>0</v>
      </c>
      <c r="H230" s="64" cm="1">
        <f t="array" ref="H230">SUMPRODUCT(Asset_Replacement_Yr5_36*Long_Term_Monetised_Risk_36)</f>
        <v>0</v>
      </c>
      <c r="I230" s="64" cm="1">
        <f t="array" ref="I230">SUMPRODUCT(Asset_Refurbishment_Yr5_36*Long_Term_Monetised_Risk_36)</f>
        <v>0</v>
      </c>
      <c r="J230" s="64" cm="1">
        <f t="array" ref="J230">SUMPRODUCT(Reinforcement_Yr5_36*Long_Term_Monetised_Risk_36)</f>
        <v>0</v>
      </c>
      <c r="K230" s="64" cm="1">
        <f t="array" ref="K230">SUMPRODUCT(Faults_Yr5_36*Long_Term_Monetised_Risk_36)</f>
        <v>0</v>
      </c>
      <c r="L230" s="64" cm="1">
        <f t="array" ref="L230">SUMPRODUCT(HVP_Asset_Replacement_Refurbishment_Yr5_36*Long_Term_Monetised_Risk_36)</f>
        <v>0</v>
      </c>
      <c r="M230" s="64" cm="1">
        <f t="array" ref="M230">SUMPRODUCT(HVP_Other_Yr5_36*Long_Term_Monetised_Risk_36)</f>
        <v>0</v>
      </c>
      <c r="N230" s="64" cm="1">
        <f t="array" ref="N230">SUMPRODUCT(All_Other_Yr5_36*Long_Term_Monetised_Risk_36)</f>
        <v>0</v>
      </c>
      <c r="O230" s="65" cm="1">
        <f t="array" ref="O230">SUMPRODUCT(End_Of_Year_Yr5_36*Long_Term_Monetised_Risk_36)</f>
        <v>0</v>
      </c>
      <c r="Q230" s="110"/>
      <c r="R230" s="111"/>
      <c r="S230" s="119"/>
      <c r="T230" s="114" cm="1">
        <f t="array" ref="T230">SUMPRODUCT(Asset_Replacement_2028_Yr5_36*Long_Term_Monetised_Risk_36)</f>
        <v>0</v>
      </c>
      <c r="U230" s="64" cm="1">
        <f t="array" ref="U230">SUMPRODUCT(Asset_Refurbishment_2028_Yr5_36*Long_Term_Monetised_Risk_36)</f>
        <v>0</v>
      </c>
      <c r="V230" s="65" cm="1">
        <f t="array" ref="V230">SUMPRODUCT(HVP_2028_Yr5_36*Long_Term_Monetised_Risk_36)</f>
        <v>0</v>
      </c>
    </row>
    <row r="231" spans="1:22" ht="14" thickBot="1">
      <c r="B231" s="103" t="s">
        <v>97</v>
      </c>
      <c r="C231" s="104" t="s">
        <v>131</v>
      </c>
      <c r="D231" s="105"/>
      <c r="E231" s="106">
        <f t="shared" ref="E231:O231" si="80">SUM(E226:E230)</f>
        <v>0</v>
      </c>
      <c r="F231" s="106">
        <f t="shared" si="80"/>
        <v>0</v>
      </c>
      <c r="G231" s="106">
        <f t="shared" si="80"/>
        <v>0</v>
      </c>
      <c r="H231" s="106">
        <f t="shared" si="80"/>
        <v>0</v>
      </c>
      <c r="I231" s="106">
        <f t="shared" si="80"/>
        <v>0</v>
      </c>
      <c r="J231" s="106">
        <f t="shared" si="80"/>
        <v>0</v>
      </c>
      <c r="K231" s="106">
        <f t="shared" si="80"/>
        <v>0</v>
      </c>
      <c r="L231" s="106">
        <f t="shared" si="80"/>
        <v>0</v>
      </c>
      <c r="M231" s="106">
        <f t="shared" si="80"/>
        <v>0</v>
      </c>
      <c r="N231" s="106">
        <f t="shared" si="80"/>
        <v>0</v>
      </c>
      <c r="O231" s="537">
        <f t="shared" si="80"/>
        <v>0</v>
      </c>
      <c r="Q231" s="107" t="str">
        <f ca="1">VLOOKUP($B231,'NARM4 - ED2 NARW Risk Movements'!$B$7:$G$67,4,FALSE)</f>
        <v/>
      </c>
      <c r="R231" s="109" t="str">
        <f ca="1">VLOOKUP($B231,'NARM4 - ED2 NARW Risk Movements'!$B$7:$G$67,5,FALSE)</f>
        <v/>
      </c>
      <c r="S231" s="121" t="str">
        <f ca="1">VLOOKUP($B231,'NARM4 - ED2 NARW Risk Movements'!$B$7:$G$67,6,FALSE)</f>
        <v/>
      </c>
      <c r="T231" s="117">
        <f>SUM(T226:T230)</f>
        <v>0</v>
      </c>
      <c r="U231" s="106">
        <f t="shared" ref="U231" si="81">SUM(U226:U230)</f>
        <v>0</v>
      </c>
      <c r="V231" s="108">
        <f>SUM(V226:V230)</f>
        <v>0</v>
      </c>
    </row>
    <row r="232" spans="1:22" ht="14" thickTop="1">
      <c r="A232" s="143">
        <v>37</v>
      </c>
      <c r="B232" s="99" t="s">
        <v>98</v>
      </c>
      <c r="C232" s="100">
        <v>2024</v>
      </c>
      <c r="D232" s="101" cm="1">
        <f t="array" ref="D232">SUMPRODUCT(Start_of_Year_Yr1_37*Long_Term_Monetised_Risk_37)</f>
        <v>0</v>
      </c>
      <c r="E232" s="101" cm="1">
        <f t="array" ref="E232">SUMPRODUCT(Data_Cleansing_Yr1_37*Long_Term_Monetised_Risk_37)</f>
        <v>0</v>
      </c>
      <c r="F232" s="101" cm="1">
        <f t="array" ref="F232">SUMPRODUCT(Deterioration_total_Yr1_37*Long_Term_Monetised_Risk_37)</f>
        <v>0</v>
      </c>
      <c r="G232" s="101" cm="1">
        <f t="array" ref="G232">SUMPRODUCT(Other_Risk_Movements_Yr1_37*Long_Term_Monetised_Risk_37)</f>
        <v>0</v>
      </c>
      <c r="H232" s="101" cm="1">
        <f t="array" ref="H232">SUMPRODUCT(Asset_Replacement_Yr1_37*Long_Term_Monetised_Risk_37)</f>
        <v>0</v>
      </c>
      <c r="I232" s="101" cm="1">
        <f t="array" ref="I232">SUMPRODUCT(Asset_Refurbishment_Yr1_37*Long_Term_Monetised_Risk_37)</f>
        <v>0</v>
      </c>
      <c r="J232" s="101" cm="1">
        <f t="array" ref="J232">SUMPRODUCT(Reinforcement_Yr1_37*Long_Term_Monetised_Risk_37)</f>
        <v>0</v>
      </c>
      <c r="K232" s="101" cm="1">
        <f t="array" ref="K232">SUMPRODUCT(Faults_Yr1_37*Long_Term_Monetised_Risk_37)</f>
        <v>0</v>
      </c>
      <c r="L232" s="101" cm="1">
        <f t="array" ref="L232">SUMPRODUCT(HVP_Asset_Replacement_Refurbishment_Yr1_37*Long_Term_Monetised_Risk_37)</f>
        <v>0</v>
      </c>
      <c r="M232" s="101" cm="1">
        <f t="array" ref="M232">SUMPRODUCT(HVP_Other_Yr1_37*Long_Term_Monetised_Risk_37)</f>
        <v>0</v>
      </c>
      <c r="N232" s="101" cm="1">
        <f t="array" ref="N232">SUMPRODUCT(All_Other_Yr1_37*Long_Term_Monetised_Risk_37)</f>
        <v>0</v>
      </c>
      <c r="O232" s="102" cm="1">
        <f t="array" ref="O232">SUMPRODUCT(End_Of_Year_Yr1_37*Long_Term_Monetised_Risk_37)</f>
        <v>0</v>
      </c>
      <c r="Q232" s="112"/>
      <c r="R232" s="113"/>
      <c r="S232" s="120"/>
      <c r="T232" s="115" cm="1">
        <f t="array" ref="T232">SUMPRODUCT(Asset_Replacement_2028_Yr1_37*Long_Term_Monetised_Risk_37)</f>
        <v>0</v>
      </c>
      <c r="U232" s="101" cm="1">
        <f t="array" ref="U232">SUMPRODUCT(Asset_Refurbishment_2028_Yr1_37*Long_Term_Monetised_Risk_37)</f>
        <v>0</v>
      </c>
      <c r="V232" s="102" cm="1">
        <f t="array" ref="V232">SUMPRODUCT(HVP_2028_Yr1_37*Long_Term_Monetised_Risk_37)</f>
        <v>0</v>
      </c>
    </row>
    <row r="233" spans="1:22">
      <c r="B233" s="93" t="s">
        <v>98</v>
      </c>
      <c r="C233" s="91">
        <v>2025</v>
      </c>
      <c r="D233" s="64" cm="1">
        <f t="array" ref="D233">SUMPRODUCT(Start_of_Year_Yr2_37*Long_Term_Monetised_Risk_37)</f>
        <v>0</v>
      </c>
      <c r="E233" s="64" cm="1">
        <f t="array" ref="E233">SUMPRODUCT(Data_Cleansing_Yr2_37*Long_Term_Monetised_Risk_37)</f>
        <v>0</v>
      </c>
      <c r="F233" s="64" cm="1">
        <f t="array" ref="F233">SUMPRODUCT(Deterioration_total_Yr2_37*Long_Term_Monetised_Risk_37)</f>
        <v>0</v>
      </c>
      <c r="G233" s="64" cm="1">
        <f t="array" ref="G233">SUMPRODUCT(Other_Risk_Movements_Yr2_37*Long_Term_Monetised_Risk_37)</f>
        <v>0</v>
      </c>
      <c r="H233" s="64" cm="1">
        <f t="array" ref="H233">SUMPRODUCT(Asset_Replacement_Yr2_37*Long_Term_Monetised_Risk_37)</f>
        <v>0</v>
      </c>
      <c r="I233" s="64" cm="1">
        <f t="array" ref="I233">SUMPRODUCT(Asset_Refurbishment_Yr2_37*Long_Term_Monetised_Risk_37)</f>
        <v>0</v>
      </c>
      <c r="J233" s="64" cm="1">
        <f t="array" ref="J233">SUMPRODUCT(Reinforcement_Yr2_37*Long_Term_Monetised_Risk_37)</f>
        <v>0</v>
      </c>
      <c r="K233" s="64" cm="1">
        <f t="array" ref="K233">SUMPRODUCT(Faults_Yr2_37*Long_Term_Monetised_Risk_37)</f>
        <v>0</v>
      </c>
      <c r="L233" s="64" cm="1">
        <f t="array" ref="L233">SUMPRODUCT(HVP_Asset_Replacement_Refurbishment_Yr2_37*Long_Term_Monetised_Risk_37)</f>
        <v>0</v>
      </c>
      <c r="M233" s="64" cm="1">
        <f t="array" ref="M233">SUMPRODUCT(HVP_Other_Yr2_37*Long_Term_Monetised_Risk_37)</f>
        <v>0</v>
      </c>
      <c r="N233" s="64" cm="1">
        <f t="array" ref="N233">SUMPRODUCT(All_Other_Yr2_37*Long_Term_Monetised_Risk_37)</f>
        <v>0</v>
      </c>
      <c r="O233" s="65" cm="1">
        <f t="array" ref="O233">SUMPRODUCT(End_Of_Year_Yr2_37*Long_Term_Monetised_Risk_37)</f>
        <v>0</v>
      </c>
      <c r="Q233" s="110"/>
      <c r="R233" s="111"/>
      <c r="S233" s="119"/>
      <c r="T233" s="114" cm="1">
        <f t="array" ref="T233">SUMPRODUCT(Asset_Replacement_2028_Yr2_37*Long_Term_Monetised_Risk_37)</f>
        <v>0</v>
      </c>
      <c r="U233" s="64" cm="1">
        <f t="array" ref="U233">SUMPRODUCT(Asset_Refurbishment_2028_Yr2_37*Long_Term_Monetised_Risk_37)</f>
        <v>0</v>
      </c>
      <c r="V233" s="65" cm="1">
        <f t="array" ref="V233">SUMPRODUCT(HVP_2028_Yr2_37*Long_Term_Monetised_Risk_37)</f>
        <v>0</v>
      </c>
    </row>
    <row r="234" spans="1:22">
      <c r="B234" s="93" t="s">
        <v>98</v>
      </c>
      <c r="C234" s="91">
        <v>2026</v>
      </c>
      <c r="D234" s="64" cm="1">
        <f t="array" ref="D234">SUMPRODUCT(Start_of_Year_Yr3_37*Long_Term_Monetised_Risk_37)</f>
        <v>0</v>
      </c>
      <c r="E234" s="64" cm="1">
        <f t="array" ref="E234">SUMPRODUCT(Data_Cleansing_Yr3_37*Long_Term_Monetised_Risk_37)</f>
        <v>0</v>
      </c>
      <c r="F234" s="64" cm="1">
        <f t="array" ref="F234">SUMPRODUCT(Deterioration_total_Yr3_37*Long_Term_Monetised_Risk_37)</f>
        <v>0</v>
      </c>
      <c r="G234" s="64" cm="1">
        <f t="array" ref="G234">SUMPRODUCT(Other_Risk_Movements_Yr3_37*Long_Term_Monetised_Risk_37)</f>
        <v>0</v>
      </c>
      <c r="H234" s="64" cm="1">
        <f t="array" ref="H234">SUMPRODUCT(Asset_Replacement_Yr3_37*Long_Term_Monetised_Risk_37)</f>
        <v>0</v>
      </c>
      <c r="I234" s="64" cm="1">
        <f t="array" ref="I234">SUMPRODUCT(Asset_Refurbishment_Yr3_37*Long_Term_Monetised_Risk_37)</f>
        <v>0</v>
      </c>
      <c r="J234" s="64" cm="1">
        <f t="array" ref="J234">SUMPRODUCT(Reinforcement_Yr3_37*Long_Term_Monetised_Risk_37)</f>
        <v>0</v>
      </c>
      <c r="K234" s="64" cm="1">
        <f t="array" ref="K234">SUMPRODUCT(Faults_Yr3_37*Long_Term_Monetised_Risk_37)</f>
        <v>0</v>
      </c>
      <c r="L234" s="64" cm="1">
        <f t="array" ref="L234">SUMPRODUCT(HVP_Asset_Replacement_Refurbishment_Yr3_37*Long_Term_Monetised_Risk_37)</f>
        <v>0</v>
      </c>
      <c r="M234" s="64" cm="1">
        <f t="array" ref="M234">SUMPRODUCT(HVP_Other_Yr3_37*Long_Term_Monetised_Risk_37)</f>
        <v>0</v>
      </c>
      <c r="N234" s="64" cm="1">
        <f t="array" ref="N234">SUMPRODUCT(All_Other_Yr3_37*Long_Term_Monetised_Risk_37)</f>
        <v>0</v>
      </c>
      <c r="O234" s="65" cm="1">
        <f t="array" ref="O234">SUMPRODUCT(End_Of_Year_Yr3_37*Long_Term_Monetised_Risk_37)</f>
        <v>0</v>
      </c>
      <c r="Q234" s="110"/>
      <c r="R234" s="111"/>
      <c r="S234" s="119"/>
      <c r="T234" s="114" cm="1">
        <f t="array" ref="T234">SUMPRODUCT(Asset_Replacement_2028_Yr3_37*Long_Term_Monetised_Risk_37)</f>
        <v>0</v>
      </c>
      <c r="U234" s="64" cm="1">
        <f t="array" ref="U234">SUMPRODUCT(Asset_Refurbishment_2028_Yr3_37*Long_Term_Monetised_Risk_37)</f>
        <v>0</v>
      </c>
      <c r="V234" s="65" cm="1">
        <f t="array" ref="V234">SUMPRODUCT(HVP_2028_Yr3_37*Long_Term_Monetised_Risk_37)</f>
        <v>0</v>
      </c>
    </row>
    <row r="235" spans="1:22">
      <c r="B235" s="93" t="s">
        <v>98</v>
      </c>
      <c r="C235" s="91">
        <v>2027</v>
      </c>
      <c r="D235" s="64" cm="1">
        <f t="array" ref="D235">SUMPRODUCT(Start_of_Year_Yr4_37*Long_Term_Monetised_Risk_37)</f>
        <v>0</v>
      </c>
      <c r="E235" s="64" cm="1">
        <f t="array" ref="E235">SUMPRODUCT(Data_Cleansing_Yr4_37*Long_Term_Monetised_Risk_37)</f>
        <v>0</v>
      </c>
      <c r="F235" s="64" cm="1">
        <f t="array" ref="F235">SUMPRODUCT(Deterioration_total_Yr4_37*Long_Term_Monetised_Risk_37)</f>
        <v>0</v>
      </c>
      <c r="G235" s="64" cm="1">
        <f t="array" ref="G235">SUMPRODUCT(Other_Risk_Movements_Yr4_37*Long_Term_Monetised_Risk_37)</f>
        <v>0</v>
      </c>
      <c r="H235" s="64" cm="1">
        <f t="array" ref="H235">SUMPRODUCT(Asset_Replacement_Yr4_37*Long_Term_Monetised_Risk_37)</f>
        <v>0</v>
      </c>
      <c r="I235" s="64" cm="1">
        <f t="array" ref="I235">SUMPRODUCT(Asset_Refurbishment_Yr4_37*Long_Term_Monetised_Risk_37)</f>
        <v>0</v>
      </c>
      <c r="J235" s="64" cm="1">
        <f t="array" ref="J235">SUMPRODUCT(Reinforcement_Yr4_37*Long_Term_Monetised_Risk_37)</f>
        <v>0</v>
      </c>
      <c r="K235" s="64" cm="1">
        <f t="array" ref="K235">SUMPRODUCT(Faults_Yr4_37*Long_Term_Monetised_Risk_37)</f>
        <v>0</v>
      </c>
      <c r="L235" s="64" cm="1">
        <f t="array" ref="L235">SUMPRODUCT(HVP_Asset_Replacement_Refurbishment_Yr4_37*Long_Term_Monetised_Risk_37)</f>
        <v>0</v>
      </c>
      <c r="M235" s="64" cm="1">
        <f t="array" ref="M235">SUMPRODUCT(HVP_Other_Yr4_37*Long_Term_Monetised_Risk_37)</f>
        <v>0</v>
      </c>
      <c r="N235" s="64" cm="1">
        <f t="array" ref="N235">SUMPRODUCT(All_Other_Yr4_37*Long_Term_Monetised_Risk_37)</f>
        <v>0</v>
      </c>
      <c r="O235" s="65" cm="1">
        <f t="array" ref="O235">SUMPRODUCT(End_Of_Year_Yr4_37*Long_Term_Monetised_Risk_37)</f>
        <v>0</v>
      </c>
      <c r="Q235" s="110"/>
      <c r="R235" s="111"/>
      <c r="S235" s="119"/>
      <c r="T235" s="114" cm="1">
        <f t="array" ref="T235">SUMPRODUCT(Asset_Replacement_2028_Yr4_37*Long_Term_Monetised_Risk_37)</f>
        <v>0</v>
      </c>
      <c r="U235" s="64" cm="1">
        <f t="array" ref="U235">SUMPRODUCT(Asset_Refurbishment_2028_Yr4_37*Long_Term_Monetised_Risk_37)</f>
        <v>0</v>
      </c>
      <c r="V235" s="65" cm="1">
        <f t="array" ref="V235">SUMPRODUCT(HVP_2028_Yr4_37*Long_Term_Monetised_Risk_37)</f>
        <v>0</v>
      </c>
    </row>
    <row r="236" spans="1:22">
      <c r="B236" s="93" t="s">
        <v>98</v>
      </c>
      <c r="C236" s="91">
        <v>2028</v>
      </c>
      <c r="D236" s="64" cm="1">
        <f t="array" ref="D236">SUMPRODUCT(Start_of_Year_Yr5_37*Long_Term_Monetised_Risk_37)</f>
        <v>0</v>
      </c>
      <c r="E236" s="64" cm="1">
        <f t="array" ref="E236">SUMPRODUCT(Data_Cleansing_Yr5_37*Long_Term_Monetised_Risk_37)</f>
        <v>0</v>
      </c>
      <c r="F236" s="64" cm="1">
        <f t="array" ref="F236">SUMPRODUCT(Deterioration_total_Yr5_37*Long_Term_Monetised_Risk_37)</f>
        <v>0</v>
      </c>
      <c r="G236" s="64" cm="1">
        <f t="array" ref="G236">SUMPRODUCT(Other_Risk_Movements_Yr5_37*Long_Term_Monetised_Risk_37)</f>
        <v>0</v>
      </c>
      <c r="H236" s="64" cm="1">
        <f t="array" ref="H236">SUMPRODUCT(Asset_Replacement_Yr5_37*Long_Term_Monetised_Risk_37)</f>
        <v>0</v>
      </c>
      <c r="I236" s="64" cm="1">
        <f t="array" ref="I236">SUMPRODUCT(Asset_Refurbishment_Yr5_37*Long_Term_Monetised_Risk_37)</f>
        <v>0</v>
      </c>
      <c r="J236" s="64" cm="1">
        <f t="array" ref="J236">SUMPRODUCT(Reinforcement_Yr5_37*Long_Term_Monetised_Risk_37)</f>
        <v>0</v>
      </c>
      <c r="K236" s="64" cm="1">
        <f t="array" ref="K236">SUMPRODUCT(Faults_Yr5_37*Long_Term_Monetised_Risk_37)</f>
        <v>0</v>
      </c>
      <c r="L236" s="64" cm="1">
        <f t="array" ref="L236">SUMPRODUCT(HVP_Asset_Replacement_Refurbishment_Yr5_37*Long_Term_Monetised_Risk_37)</f>
        <v>0</v>
      </c>
      <c r="M236" s="64" cm="1">
        <f t="array" ref="M236">SUMPRODUCT(HVP_Other_Yr5_37*Long_Term_Monetised_Risk_37)</f>
        <v>0</v>
      </c>
      <c r="N236" s="64" cm="1">
        <f t="array" ref="N236">SUMPRODUCT(All_Other_Yr5_37*Long_Term_Monetised_Risk_37)</f>
        <v>0</v>
      </c>
      <c r="O236" s="65" cm="1">
        <f t="array" ref="O236">SUMPRODUCT(End_Of_Year_Yr5_37*Long_Term_Monetised_Risk_37)</f>
        <v>0</v>
      </c>
      <c r="Q236" s="110"/>
      <c r="R236" s="111"/>
      <c r="S236" s="119"/>
      <c r="T236" s="114" cm="1">
        <f t="array" ref="T236">SUMPRODUCT(Asset_Replacement_2028_Yr5_37*Long_Term_Monetised_Risk_37)</f>
        <v>0</v>
      </c>
      <c r="U236" s="64" cm="1">
        <f t="array" ref="U236">SUMPRODUCT(Asset_Refurbishment_2028_Yr5_37*Long_Term_Monetised_Risk_37)</f>
        <v>0</v>
      </c>
      <c r="V236" s="65" cm="1">
        <f t="array" ref="V236">SUMPRODUCT(HVP_2028_Yr5_37*Long_Term_Monetised_Risk_37)</f>
        <v>0</v>
      </c>
    </row>
    <row r="237" spans="1:22" ht="14" thickBot="1">
      <c r="B237" s="103" t="s">
        <v>98</v>
      </c>
      <c r="C237" s="104" t="s">
        <v>131</v>
      </c>
      <c r="D237" s="105"/>
      <c r="E237" s="106">
        <f t="shared" ref="E237:O237" si="82">SUM(E232:E236)</f>
        <v>0</v>
      </c>
      <c r="F237" s="106">
        <f t="shared" si="82"/>
        <v>0</v>
      </c>
      <c r="G237" s="106">
        <f t="shared" si="82"/>
        <v>0</v>
      </c>
      <c r="H237" s="106">
        <f t="shared" si="82"/>
        <v>0</v>
      </c>
      <c r="I237" s="106">
        <f t="shared" si="82"/>
        <v>0</v>
      </c>
      <c r="J237" s="106">
        <f t="shared" si="82"/>
        <v>0</v>
      </c>
      <c r="K237" s="106">
        <f t="shared" si="82"/>
        <v>0</v>
      </c>
      <c r="L237" s="106">
        <f t="shared" si="82"/>
        <v>0</v>
      </c>
      <c r="M237" s="106">
        <f t="shared" si="82"/>
        <v>0</v>
      </c>
      <c r="N237" s="106">
        <f t="shared" si="82"/>
        <v>0</v>
      </c>
      <c r="O237" s="537">
        <f t="shared" si="82"/>
        <v>0</v>
      </c>
      <c r="Q237" s="107" t="str">
        <f ca="1">VLOOKUP($B237,'NARM4 - ED2 NARW Risk Movements'!$B$7:$G$67,4,FALSE)</f>
        <v/>
      </c>
      <c r="R237" s="109" t="str">
        <f ca="1">VLOOKUP($B237,'NARM4 - ED2 NARW Risk Movements'!$B$7:$G$67,5,FALSE)</f>
        <v/>
      </c>
      <c r="S237" s="121" t="str">
        <f ca="1">VLOOKUP($B237,'NARM4 - ED2 NARW Risk Movements'!$B$7:$G$67,6,FALSE)</f>
        <v/>
      </c>
      <c r="T237" s="117">
        <f>SUM(T232:T236)</f>
        <v>0</v>
      </c>
      <c r="U237" s="106">
        <f t="shared" ref="U237" si="83">SUM(U232:U236)</f>
        <v>0</v>
      </c>
      <c r="V237" s="108">
        <f>SUM(V232:V236)</f>
        <v>0</v>
      </c>
    </row>
    <row r="238" spans="1:22" ht="14" thickTop="1">
      <c r="A238" s="143">
        <v>38</v>
      </c>
      <c r="B238" s="99" t="s">
        <v>99</v>
      </c>
      <c r="C238" s="100">
        <v>2024</v>
      </c>
      <c r="D238" s="101" cm="1">
        <f t="array" ref="D238">SUMPRODUCT(Start_of_Year_Yr1_38*Long_Term_Monetised_Risk_38)</f>
        <v>0</v>
      </c>
      <c r="E238" s="101" cm="1">
        <f t="array" ref="E238">SUMPRODUCT(Data_Cleansing_Yr1_38*Long_Term_Monetised_Risk_38)</f>
        <v>0</v>
      </c>
      <c r="F238" s="101" cm="1">
        <f t="array" ref="F238">SUMPRODUCT(Deterioration_total_Yr1_38*Long_Term_Monetised_Risk_38)</f>
        <v>0</v>
      </c>
      <c r="G238" s="101" cm="1">
        <f t="array" ref="G238">SUMPRODUCT(Other_Risk_Movements_Yr1_38*Long_Term_Monetised_Risk_38)</f>
        <v>0</v>
      </c>
      <c r="H238" s="101" cm="1">
        <f t="array" ref="H238">SUMPRODUCT(Asset_Replacement_Yr1_38*Long_Term_Monetised_Risk_38)</f>
        <v>0</v>
      </c>
      <c r="I238" s="101" cm="1">
        <f t="array" ref="I238">SUMPRODUCT(Asset_Refurbishment_Yr1_38*Long_Term_Monetised_Risk_38)</f>
        <v>0</v>
      </c>
      <c r="J238" s="101" cm="1">
        <f t="array" ref="J238">SUMPRODUCT(Reinforcement_Yr1_38*Long_Term_Monetised_Risk_38)</f>
        <v>0</v>
      </c>
      <c r="K238" s="101" cm="1">
        <f t="array" ref="K238">SUMPRODUCT(Faults_Yr1_38*Long_Term_Monetised_Risk_38)</f>
        <v>0</v>
      </c>
      <c r="L238" s="101" cm="1">
        <f t="array" ref="L238">SUMPRODUCT(HVP_Asset_Replacement_Refurbishment_Yr1_38*Long_Term_Monetised_Risk_38)</f>
        <v>0</v>
      </c>
      <c r="M238" s="101" cm="1">
        <f t="array" ref="M238">SUMPRODUCT(HVP_Other_Yr1_38*Long_Term_Monetised_Risk_38)</f>
        <v>0</v>
      </c>
      <c r="N238" s="101" cm="1">
        <f t="array" ref="N238">SUMPRODUCT(All_Other_Yr1_38*Long_Term_Monetised_Risk_38)</f>
        <v>0</v>
      </c>
      <c r="O238" s="102" cm="1">
        <f t="array" ref="O238">SUMPRODUCT(End_Of_Year_Yr1_38*Long_Term_Monetised_Risk_38)</f>
        <v>0</v>
      </c>
      <c r="Q238" s="112"/>
      <c r="R238" s="113"/>
      <c r="S238" s="120"/>
      <c r="T238" s="115" cm="1">
        <f t="array" ref="T238">SUMPRODUCT(Asset_Replacement_2028_Yr1_38*Long_Term_Monetised_Risk_38)</f>
        <v>0</v>
      </c>
      <c r="U238" s="101" cm="1">
        <f t="array" ref="U238">SUMPRODUCT(Asset_Refurbishment_2028_Yr1_38*Long_Term_Monetised_Risk_38)</f>
        <v>0</v>
      </c>
      <c r="V238" s="102" cm="1">
        <f t="array" ref="V238">SUMPRODUCT(HVP_2028_Yr1_38*Long_Term_Monetised_Risk_38)</f>
        <v>0</v>
      </c>
    </row>
    <row r="239" spans="1:22">
      <c r="B239" s="93" t="s">
        <v>99</v>
      </c>
      <c r="C239" s="91">
        <v>2025</v>
      </c>
      <c r="D239" s="64" cm="1">
        <f t="array" ref="D239">SUMPRODUCT(Start_of_Year_Yr2_38*Long_Term_Monetised_Risk_38)</f>
        <v>0</v>
      </c>
      <c r="E239" s="64" cm="1">
        <f t="array" ref="E239">SUMPRODUCT(Data_Cleansing_Yr2_38*Long_Term_Monetised_Risk_38)</f>
        <v>0</v>
      </c>
      <c r="F239" s="64" cm="1">
        <f t="array" ref="F239">SUMPRODUCT(Deterioration_total_Yr2_38*Long_Term_Monetised_Risk_38)</f>
        <v>0</v>
      </c>
      <c r="G239" s="64" cm="1">
        <f t="array" ref="G239">SUMPRODUCT(Other_Risk_Movements_Yr2_38*Long_Term_Monetised_Risk_38)</f>
        <v>0</v>
      </c>
      <c r="H239" s="64" cm="1">
        <f t="array" ref="H239">SUMPRODUCT(Asset_Replacement_Yr2_38*Long_Term_Monetised_Risk_38)</f>
        <v>0</v>
      </c>
      <c r="I239" s="64" cm="1">
        <f t="array" ref="I239">SUMPRODUCT(Asset_Refurbishment_Yr2_38*Long_Term_Monetised_Risk_38)</f>
        <v>0</v>
      </c>
      <c r="J239" s="64" cm="1">
        <f t="array" ref="J239">SUMPRODUCT(Reinforcement_Yr2_38*Long_Term_Monetised_Risk_38)</f>
        <v>0</v>
      </c>
      <c r="K239" s="64" cm="1">
        <f t="array" ref="K239">SUMPRODUCT(Faults_Yr2_38*Long_Term_Monetised_Risk_38)</f>
        <v>0</v>
      </c>
      <c r="L239" s="64" cm="1">
        <f t="array" ref="L239">SUMPRODUCT(HVP_Asset_Replacement_Refurbishment_Yr2_38*Long_Term_Monetised_Risk_38)</f>
        <v>0</v>
      </c>
      <c r="M239" s="64" cm="1">
        <f t="array" ref="M239">SUMPRODUCT(HVP_Other_Yr2_38*Long_Term_Monetised_Risk_38)</f>
        <v>0</v>
      </c>
      <c r="N239" s="64" cm="1">
        <f t="array" ref="N239">SUMPRODUCT(All_Other_Yr2_38*Long_Term_Monetised_Risk_38)</f>
        <v>0</v>
      </c>
      <c r="O239" s="65" cm="1">
        <f t="array" ref="O239">SUMPRODUCT(End_Of_Year_Yr2_38*Long_Term_Monetised_Risk_38)</f>
        <v>0</v>
      </c>
      <c r="Q239" s="110"/>
      <c r="R239" s="111"/>
      <c r="S239" s="119"/>
      <c r="T239" s="114" cm="1">
        <f t="array" ref="T239">SUMPRODUCT(Asset_Replacement_2028_Yr2_38*Long_Term_Monetised_Risk_38)</f>
        <v>0</v>
      </c>
      <c r="U239" s="64" cm="1">
        <f t="array" ref="U239">SUMPRODUCT(Asset_Refurbishment_2028_Yr2_38*Long_Term_Monetised_Risk_38)</f>
        <v>0</v>
      </c>
      <c r="V239" s="65" cm="1">
        <f t="array" ref="V239">SUMPRODUCT(HVP_2028_Yr2_38*Long_Term_Monetised_Risk_38)</f>
        <v>0</v>
      </c>
    </row>
    <row r="240" spans="1:22">
      <c r="B240" s="93" t="s">
        <v>99</v>
      </c>
      <c r="C240" s="91">
        <v>2026</v>
      </c>
      <c r="D240" s="64" cm="1">
        <f t="array" ref="D240">SUMPRODUCT(Start_of_Year_Yr3_38*Long_Term_Monetised_Risk_38)</f>
        <v>0</v>
      </c>
      <c r="E240" s="64" cm="1">
        <f t="array" ref="E240">SUMPRODUCT(Data_Cleansing_Yr3_38*Long_Term_Monetised_Risk_38)</f>
        <v>0</v>
      </c>
      <c r="F240" s="64" cm="1">
        <f t="array" ref="F240">SUMPRODUCT(Deterioration_total_Yr3_38*Long_Term_Monetised_Risk_38)</f>
        <v>0</v>
      </c>
      <c r="G240" s="64" cm="1">
        <f t="array" ref="G240">SUMPRODUCT(Other_Risk_Movements_Yr3_38*Long_Term_Monetised_Risk_38)</f>
        <v>0</v>
      </c>
      <c r="H240" s="64" cm="1">
        <f t="array" ref="H240">SUMPRODUCT(Asset_Replacement_Yr3_38*Long_Term_Monetised_Risk_38)</f>
        <v>0</v>
      </c>
      <c r="I240" s="64" cm="1">
        <f t="array" ref="I240">SUMPRODUCT(Asset_Refurbishment_Yr3_38*Long_Term_Monetised_Risk_38)</f>
        <v>0</v>
      </c>
      <c r="J240" s="64" cm="1">
        <f t="array" ref="J240">SUMPRODUCT(Reinforcement_Yr3_38*Long_Term_Monetised_Risk_38)</f>
        <v>0</v>
      </c>
      <c r="K240" s="64" cm="1">
        <f t="array" ref="K240">SUMPRODUCT(Faults_Yr3_38*Long_Term_Monetised_Risk_38)</f>
        <v>0</v>
      </c>
      <c r="L240" s="64" cm="1">
        <f t="array" ref="L240">SUMPRODUCT(HVP_Asset_Replacement_Refurbishment_Yr3_38*Long_Term_Monetised_Risk_38)</f>
        <v>0</v>
      </c>
      <c r="M240" s="64" cm="1">
        <f t="array" ref="M240">SUMPRODUCT(HVP_Other_Yr3_38*Long_Term_Monetised_Risk_38)</f>
        <v>0</v>
      </c>
      <c r="N240" s="64" cm="1">
        <f t="array" ref="N240">SUMPRODUCT(All_Other_Yr3_38*Long_Term_Monetised_Risk_38)</f>
        <v>0</v>
      </c>
      <c r="O240" s="65" cm="1">
        <f t="array" ref="O240">SUMPRODUCT(End_Of_Year_Yr3_38*Long_Term_Monetised_Risk_38)</f>
        <v>0</v>
      </c>
      <c r="Q240" s="110"/>
      <c r="R240" s="111"/>
      <c r="S240" s="119"/>
      <c r="T240" s="114" cm="1">
        <f t="array" ref="T240">SUMPRODUCT(Asset_Replacement_2028_Yr3_38*Long_Term_Monetised_Risk_38)</f>
        <v>0</v>
      </c>
      <c r="U240" s="64" cm="1">
        <f t="array" ref="U240">SUMPRODUCT(Asset_Refurbishment_2028_Yr3_38*Long_Term_Monetised_Risk_38)</f>
        <v>0</v>
      </c>
      <c r="V240" s="65" cm="1">
        <f t="array" ref="V240">SUMPRODUCT(HVP_2028_Yr3_38*Long_Term_Monetised_Risk_38)</f>
        <v>0</v>
      </c>
    </row>
    <row r="241" spans="1:22">
      <c r="B241" s="93" t="s">
        <v>99</v>
      </c>
      <c r="C241" s="91">
        <v>2027</v>
      </c>
      <c r="D241" s="64" cm="1">
        <f t="array" ref="D241">SUMPRODUCT(Start_of_Year_Yr4_38*Long_Term_Monetised_Risk_38)</f>
        <v>0</v>
      </c>
      <c r="E241" s="64" cm="1">
        <f t="array" ref="E241">SUMPRODUCT(Data_Cleansing_Yr4_38*Long_Term_Monetised_Risk_38)</f>
        <v>0</v>
      </c>
      <c r="F241" s="64" cm="1">
        <f t="array" ref="F241">SUMPRODUCT(Deterioration_total_Yr4_38*Long_Term_Monetised_Risk_38)</f>
        <v>0</v>
      </c>
      <c r="G241" s="64" cm="1">
        <f t="array" ref="G241">SUMPRODUCT(Other_Risk_Movements_Yr4_38*Long_Term_Monetised_Risk_38)</f>
        <v>0</v>
      </c>
      <c r="H241" s="64" cm="1">
        <f t="array" ref="H241">SUMPRODUCT(Asset_Replacement_Yr4_38*Long_Term_Monetised_Risk_38)</f>
        <v>0</v>
      </c>
      <c r="I241" s="64" cm="1">
        <f t="array" ref="I241">SUMPRODUCT(Asset_Refurbishment_Yr4_38*Long_Term_Monetised_Risk_38)</f>
        <v>0</v>
      </c>
      <c r="J241" s="64" cm="1">
        <f t="array" ref="J241">SUMPRODUCT(Reinforcement_Yr4_38*Long_Term_Monetised_Risk_38)</f>
        <v>0</v>
      </c>
      <c r="K241" s="64" cm="1">
        <f t="array" ref="K241">SUMPRODUCT(Faults_Yr4_38*Long_Term_Monetised_Risk_38)</f>
        <v>0</v>
      </c>
      <c r="L241" s="64" cm="1">
        <f t="array" ref="L241">SUMPRODUCT(HVP_Asset_Replacement_Refurbishment_Yr4_38*Long_Term_Monetised_Risk_38)</f>
        <v>0</v>
      </c>
      <c r="M241" s="64" cm="1">
        <f t="array" ref="M241">SUMPRODUCT(HVP_Other_Yr4_38*Long_Term_Monetised_Risk_38)</f>
        <v>0</v>
      </c>
      <c r="N241" s="64" cm="1">
        <f t="array" ref="N241">SUMPRODUCT(All_Other_Yr4_38*Long_Term_Monetised_Risk_38)</f>
        <v>0</v>
      </c>
      <c r="O241" s="65" cm="1">
        <f t="array" ref="O241">SUMPRODUCT(End_Of_Year_Yr4_38*Long_Term_Monetised_Risk_38)</f>
        <v>0</v>
      </c>
      <c r="Q241" s="110"/>
      <c r="R241" s="111"/>
      <c r="S241" s="119"/>
      <c r="T241" s="114" cm="1">
        <f t="array" ref="T241">SUMPRODUCT(Asset_Replacement_2028_Yr4_38*Long_Term_Monetised_Risk_38)</f>
        <v>0</v>
      </c>
      <c r="U241" s="64" cm="1">
        <f t="array" ref="U241">SUMPRODUCT(Asset_Refurbishment_2028_Yr4_38*Long_Term_Monetised_Risk_38)</f>
        <v>0</v>
      </c>
      <c r="V241" s="65" cm="1">
        <f t="array" ref="V241">SUMPRODUCT(HVP_2028_Yr4_38*Long_Term_Monetised_Risk_38)</f>
        <v>0</v>
      </c>
    </row>
    <row r="242" spans="1:22">
      <c r="B242" s="93" t="s">
        <v>99</v>
      </c>
      <c r="C242" s="91">
        <v>2028</v>
      </c>
      <c r="D242" s="64" cm="1">
        <f t="array" ref="D242">SUMPRODUCT(Start_of_Year_Yr5_38*Long_Term_Monetised_Risk_38)</f>
        <v>0</v>
      </c>
      <c r="E242" s="64" cm="1">
        <f t="array" ref="E242">SUMPRODUCT(Data_Cleansing_Yr5_38*Long_Term_Monetised_Risk_38)</f>
        <v>0</v>
      </c>
      <c r="F242" s="64" cm="1">
        <f t="array" ref="F242">SUMPRODUCT(Deterioration_total_Yr5_38*Long_Term_Monetised_Risk_38)</f>
        <v>0</v>
      </c>
      <c r="G242" s="64" cm="1">
        <f t="array" ref="G242">SUMPRODUCT(Other_Risk_Movements_Yr5_38*Long_Term_Monetised_Risk_38)</f>
        <v>0</v>
      </c>
      <c r="H242" s="64" cm="1">
        <f t="array" ref="H242">SUMPRODUCT(Asset_Replacement_Yr5_38*Long_Term_Monetised_Risk_38)</f>
        <v>0</v>
      </c>
      <c r="I242" s="64" cm="1">
        <f t="array" ref="I242">SUMPRODUCT(Asset_Refurbishment_Yr5_38*Long_Term_Monetised_Risk_38)</f>
        <v>0</v>
      </c>
      <c r="J242" s="64" cm="1">
        <f t="array" ref="J242">SUMPRODUCT(Reinforcement_Yr5_38*Long_Term_Monetised_Risk_38)</f>
        <v>0</v>
      </c>
      <c r="K242" s="64" cm="1">
        <f t="array" ref="K242">SUMPRODUCT(Faults_Yr5_38*Long_Term_Monetised_Risk_38)</f>
        <v>0</v>
      </c>
      <c r="L242" s="64" cm="1">
        <f t="array" ref="L242">SUMPRODUCT(HVP_Asset_Replacement_Refurbishment_Yr5_38*Long_Term_Monetised_Risk_38)</f>
        <v>0</v>
      </c>
      <c r="M242" s="64" cm="1">
        <f t="array" ref="M242">SUMPRODUCT(HVP_Other_Yr5_38*Long_Term_Monetised_Risk_38)</f>
        <v>0</v>
      </c>
      <c r="N242" s="64" cm="1">
        <f t="array" ref="N242">SUMPRODUCT(All_Other_Yr5_38*Long_Term_Monetised_Risk_38)</f>
        <v>0</v>
      </c>
      <c r="O242" s="65" cm="1">
        <f t="array" ref="O242">SUMPRODUCT(End_Of_Year_Yr5_38*Long_Term_Monetised_Risk_38)</f>
        <v>0</v>
      </c>
      <c r="Q242" s="110"/>
      <c r="R242" s="111"/>
      <c r="S242" s="119"/>
      <c r="T242" s="114" cm="1">
        <f t="array" ref="T242">SUMPRODUCT(Asset_Replacement_2028_Yr5_38*Long_Term_Monetised_Risk_38)</f>
        <v>0</v>
      </c>
      <c r="U242" s="64" cm="1">
        <f t="array" ref="U242">SUMPRODUCT(Asset_Refurbishment_2028_Yr5_38*Long_Term_Monetised_Risk_38)</f>
        <v>0</v>
      </c>
      <c r="V242" s="65" cm="1">
        <f t="array" ref="V242">SUMPRODUCT(HVP_2028_Yr5_38*Long_Term_Monetised_Risk_38)</f>
        <v>0</v>
      </c>
    </row>
    <row r="243" spans="1:22" ht="14" thickBot="1">
      <c r="B243" s="103" t="s">
        <v>99</v>
      </c>
      <c r="C243" s="104" t="s">
        <v>131</v>
      </c>
      <c r="D243" s="105"/>
      <c r="E243" s="106">
        <f t="shared" ref="E243:O243" si="84">SUM(E238:E242)</f>
        <v>0</v>
      </c>
      <c r="F243" s="106">
        <f t="shared" si="84"/>
        <v>0</v>
      </c>
      <c r="G243" s="106">
        <f t="shared" si="84"/>
        <v>0</v>
      </c>
      <c r="H243" s="106">
        <f t="shared" si="84"/>
        <v>0</v>
      </c>
      <c r="I243" s="106">
        <f t="shared" si="84"/>
        <v>0</v>
      </c>
      <c r="J243" s="106">
        <f t="shared" si="84"/>
        <v>0</v>
      </c>
      <c r="K243" s="106">
        <f t="shared" si="84"/>
        <v>0</v>
      </c>
      <c r="L243" s="106">
        <f t="shared" si="84"/>
        <v>0</v>
      </c>
      <c r="M243" s="106">
        <f t="shared" si="84"/>
        <v>0</v>
      </c>
      <c r="N243" s="106">
        <f t="shared" si="84"/>
        <v>0</v>
      </c>
      <c r="O243" s="537">
        <f t="shared" si="84"/>
        <v>0</v>
      </c>
      <c r="Q243" s="107" t="str">
        <f ca="1">VLOOKUP($B243,'NARM4 - ED2 NARW Risk Movements'!$B$7:$G$67,4,FALSE)</f>
        <v/>
      </c>
      <c r="R243" s="109" t="str">
        <f ca="1">VLOOKUP($B243,'NARM4 - ED2 NARW Risk Movements'!$B$7:$G$67,5,FALSE)</f>
        <v/>
      </c>
      <c r="S243" s="121" t="str">
        <f ca="1">VLOOKUP($B243,'NARM4 - ED2 NARW Risk Movements'!$B$7:$G$67,6,FALSE)</f>
        <v/>
      </c>
      <c r="T243" s="117">
        <f>SUM(T238:T242)</f>
        <v>0</v>
      </c>
      <c r="U243" s="106">
        <f t="shared" ref="U243" si="85">SUM(U238:U242)</f>
        <v>0</v>
      </c>
      <c r="V243" s="108">
        <f>SUM(V238:V242)</f>
        <v>0</v>
      </c>
    </row>
    <row r="244" spans="1:22" ht="14" thickTop="1">
      <c r="A244" s="143">
        <v>39</v>
      </c>
      <c r="B244" s="99" t="s">
        <v>100</v>
      </c>
      <c r="C244" s="100">
        <v>2024</v>
      </c>
      <c r="D244" s="101" cm="1">
        <f t="array" ref="D244">SUMPRODUCT(Start_of_Year_Yr1_39*Long_Term_Monetised_Risk_39)</f>
        <v>0</v>
      </c>
      <c r="E244" s="101" cm="1">
        <f t="array" ref="E244">SUMPRODUCT(Data_Cleansing_Yr1_39*Long_Term_Monetised_Risk_39)</f>
        <v>0</v>
      </c>
      <c r="F244" s="101" cm="1">
        <f t="array" ref="F244">SUMPRODUCT(Deterioration_total_Yr1_39*Long_Term_Monetised_Risk_39)</f>
        <v>0</v>
      </c>
      <c r="G244" s="101" cm="1">
        <f t="array" ref="G244">SUMPRODUCT(Other_Risk_Movements_Yr1_39*Long_Term_Monetised_Risk_39)</f>
        <v>0</v>
      </c>
      <c r="H244" s="101" cm="1">
        <f t="array" ref="H244">SUMPRODUCT(Asset_Replacement_Yr1_39*Long_Term_Monetised_Risk_39)</f>
        <v>0</v>
      </c>
      <c r="I244" s="101" cm="1">
        <f t="array" ref="I244">SUMPRODUCT(Asset_Refurbishment_Yr1_39*Long_Term_Monetised_Risk_39)</f>
        <v>0</v>
      </c>
      <c r="J244" s="101" cm="1">
        <f t="array" ref="J244">SUMPRODUCT(Reinforcement_Yr1_39*Long_Term_Monetised_Risk_39)</f>
        <v>0</v>
      </c>
      <c r="K244" s="101" cm="1">
        <f t="array" ref="K244">SUMPRODUCT(Faults_Yr1_39*Long_Term_Monetised_Risk_39)</f>
        <v>0</v>
      </c>
      <c r="L244" s="101" cm="1">
        <f t="array" ref="L244">SUMPRODUCT(HVP_Asset_Replacement_Refurbishment_Yr1_39*Long_Term_Monetised_Risk_39)</f>
        <v>0</v>
      </c>
      <c r="M244" s="101" cm="1">
        <f t="array" ref="M244">SUMPRODUCT(HVP_Other_Yr1_39*Long_Term_Monetised_Risk_39)</f>
        <v>0</v>
      </c>
      <c r="N244" s="101" cm="1">
        <f t="array" ref="N244">SUMPRODUCT(All_Other_Yr1_39*Long_Term_Monetised_Risk_39)</f>
        <v>0</v>
      </c>
      <c r="O244" s="102" cm="1">
        <f t="array" ref="O244">SUMPRODUCT(End_Of_Year_Yr1_39*Long_Term_Monetised_Risk_39)</f>
        <v>0</v>
      </c>
      <c r="Q244" s="112"/>
      <c r="R244" s="113"/>
      <c r="S244" s="120"/>
      <c r="T244" s="115" cm="1">
        <f t="array" ref="T244">SUMPRODUCT(Asset_Replacement_2028_Yr1_39*Long_Term_Monetised_Risk_39)</f>
        <v>0</v>
      </c>
      <c r="U244" s="101" cm="1">
        <f t="array" ref="U244">SUMPRODUCT(Asset_Refurbishment_2028_Yr1_39*Long_Term_Monetised_Risk_39)</f>
        <v>0</v>
      </c>
      <c r="V244" s="102" cm="1">
        <f t="array" ref="V244">SUMPRODUCT(HVP_2028_Yr1_39*Long_Term_Monetised_Risk_39)</f>
        <v>0</v>
      </c>
    </row>
    <row r="245" spans="1:22">
      <c r="B245" s="93" t="s">
        <v>100</v>
      </c>
      <c r="C245" s="91">
        <v>2025</v>
      </c>
      <c r="D245" s="64" cm="1">
        <f t="array" ref="D245">SUMPRODUCT(Start_of_Year_Yr2_39*Long_Term_Monetised_Risk_39)</f>
        <v>0</v>
      </c>
      <c r="E245" s="64" cm="1">
        <f t="array" ref="E245">SUMPRODUCT(Data_Cleansing_Yr2_39*Long_Term_Monetised_Risk_39)</f>
        <v>0</v>
      </c>
      <c r="F245" s="64" cm="1">
        <f t="array" ref="F245">SUMPRODUCT(Deterioration_total_Yr2_39*Long_Term_Monetised_Risk_39)</f>
        <v>0</v>
      </c>
      <c r="G245" s="64" cm="1">
        <f t="array" ref="G245">SUMPRODUCT(Other_Risk_Movements_Yr2_39*Long_Term_Monetised_Risk_39)</f>
        <v>0</v>
      </c>
      <c r="H245" s="64" cm="1">
        <f t="array" ref="H245">SUMPRODUCT(Asset_Replacement_Yr2_39*Long_Term_Monetised_Risk_39)</f>
        <v>0</v>
      </c>
      <c r="I245" s="64" cm="1">
        <f t="array" ref="I245">SUMPRODUCT(Asset_Refurbishment_Yr2_39*Long_Term_Monetised_Risk_39)</f>
        <v>0</v>
      </c>
      <c r="J245" s="64" cm="1">
        <f t="array" ref="J245">SUMPRODUCT(Reinforcement_Yr2_39*Long_Term_Monetised_Risk_39)</f>
        <v>0</v>
      </c>
      <c r="K245" s="64" cm="1">
        <f t="array" ref="K245">SUMPRODUCT(Faults_Yr2_39*Long_Term_Monetised_Risk_39)</f>
        <v>0</v>
      </c>
      <c r="L245" s="64" cm="1">
        <f t="array" ref="L245">SUMPRODUCT(HVP_Asset_Replacement_Refurbishment_Yr2_39*Long_Term_Monetised_Risk_39)</f>
        <v>0</v>
      </c>
      <c r="M245" s="64" cm="1">
        <f t="array" ref="M245">SUMPRODUCT(HVP_Other_Yr2_39*Long_Term_Monetised_Risk_39)</f>
        <v>0</v>
      </c>
      <c r="N245" s="64" cm="1">
        <f t="array" ref="N245">SUMPRODUCT(All_Other_Yr2_39*Long_Term_Monetised_Risk_39)</f>
        <v>0</v>
      </c>
      <c r="O245" s="65" cm="1">
        <f t="array" ref="O245">SUMPRODUCT(End_Of_Year_Yr2_39*Long_Term_Monetised_Risk_39)</f>
        <v>0</v>
      </c>
      <c r="Q245" s="110"/>
      <c r="R245" s="111"/>
      <c r="S245" s="119"/>
      <c r="T245" s="114" cm="1">
        <f t="array" ref="T245">SUMPRODUCT(Asset_Replacement_2028_Yr2_39*Long_Term_Monetised_Risk_39)</f>
        <v>0</v>
      </c>
      <c r="U245" s="64" cm="1">
        <f t="array" ref="U245">SUMPRODUCT(Asset_Refurbishment_2028_Yr2_39*Long_Term_Monetised_Risk_39)</f>
        <v>0</v>
      </c>
      <c r="V245" s="65" cm="1">
        <f t="array" ref="V245">SUMPRODUCT(HVP_2028_Yr2_39*Long_Term_Monetised_Risk_39)</f>
        <v>0</v>
      </c>
    </row>
    <row r="246" spans="1:22">
      <c r="B246" s="93" t="s">
        <v>100</v>
      </c>
      <c r="C246" s="91">
        <v>2026</v>
      </c>
      <c r="D246" s="64" cm="1">
        <f t="array" ref="D246">SUMPRODUCT(Start_of_Year_Yr3_39*Long_Term_Monetised_Risk_39)</f>
        <v>0</v>
      </c>
      <c r="E246" s="64" cm="1">
        <f t="array" ref="E246">SUMPRODUCT(Data_Cleansing_Yr3_39*Long_Term_Monetised_Risk_39)</f>
        <v>0</v>
      </c>
      <c r="F246" s="64" cm="1">
        <f t="array" ref="F246">SUMPRODUCT(Deterioration_total_Yr3_39*Long_Term_Monetised_Risk_39)</f>
        <v>0</v>
      </c>
      <c r="G246" s="64" cm="1">
        <f t="array" ref="G246">SUMPRODUCT(Other_Risk_Movements_Yr3_39*Long_Term_Monetised_Risk_39)</f>
        <v>0</v>
      </c>
      <c r="H246" s="64" cm="1">
        <f t="array" ref="H246">SUMPRODUCT(Asset_Replacement_Yr3_39*Long_Term_Monetised_Risk_39)</f>
        <v>0</v>
      </c>
      <c r="I246" s="64" cm="1">
        <f t="array" ref="I246">SUMPRODUCT(Asset_Refurbishment_Yr3_39*Long_Term_Monetised_Risk_39)</f>
        <v>0</v>
      </c>
      <c r="J246" s="64" cm="1">
        <f t="array" ref="J246">SUMPRODUCT(Reinforcement_Yr3_39*Long_Term_Monetised_Risk_39)</f>
        <v>0</v>
      </c>
      <c r="K246" s="64" cm="1">
        <f t="array" ref="K246">SUMPRODUCT(Faults_Yr3_39*Long_Term_Monetised_Risk_39)</f>
        <v>0</v>
      </c>
      <c r="L246" s="64" cm="1">
        <f t="array" ref="L246">SUMPRODUCT(HVP_Asset_Replacement_Refurbishment_Yr3_39*Long_Term_Monetised_Risk_39)</f>
        <v>0</v>
      </c>
      <c r="M246" s="64" cm="1">
        <f t="array" ref="M246">SUMPRODUCT(HVP_Other_Yr3_39*Long_Term_Monetised_Risk_39)</f>
        <v>0</v>
      </c>
      <c r="N246" s="64" cm="1">
        <f t="array" ref="N246">SUMPRODUCT(All_Other_Yr3_39*Long_Term_Monetised_Risk_39)</f>
        <v>0</v>
      </c>
      <c r="O246" s="65" cm="1">
        <f t="array" ref="O246">SUMPRODUCT(End_Of_Year_Yr3_39*Long_Term_Monetised_Risk_39)</f>
        <v>0</v>
      </c>
      <c r="Q246" s="110"/>
      <c r="R246" s="111"/>
      <c r="S246" s="119"/>
      <c r="T246" s="114" cm="1">
        <f t="array" ref="T246">SUMPRODUCT(Asset_Replacement_2028_Yr3_39*Long_Term_Monetised_Risk_39)</f>
        <v>0</v>
      </c>
      <c r="U246" s="64" cm="1">
        <f t="array" ref="U246">SUMPRODUCT(Asset_Refurbishment_2028_Yr3_39*Long_Term_Monetised_Risk_39)</f>
        <v>0</v>
      </c>
      <c r="V246" s="65" cm="1">
        <f t="array" ref="V246">SUMPRODUCT(HVP_2028_Yr3_39*Long_Term_Monetised_Risk_39)</f>
        <v>0</v>
      </c>
    </row>
    <row r="247" spans="1:22">
      <c r="B247" s="93" t="s">
        <v>100</v>
      </c>
      <c r="C247" s="91">
        <v>2027</v>
      </c>
      <c r="D247" s="64" cm="1">
        <f t="array" ref="D247">SUMPRODUCT(Start_of_Year_Yr4_39*Long_Term_Monetised_Risk_39)</f>
        <v>0</v>
      </c>
      <c r="E247" s="64" cm="1">
        <f t="array" ref="E247">SUMPRODUCT(Data_Cleansing_Yr4_39*Long_Term_Monetised_Risk_39)</f>
        <v>0</v>
      </c>
      <c r="F247" s="64" cm="1">
        <f t="array" ref="F247">SUMPRODUCT(Deterioration_total_Yr4_39*Long_Term_Monetised_Risk_39)</f>
        <v>0</v>
      </c>
      <c r="G247" s="64" cm="1">
        <f t="array" ref="G247">SUMPRODUCT(Other_Risk_Movements_Yr4_39*Long_Term_Monetised_Risk_39)</f>
        <v>0</v>
      </c>
      <c r="H247" s="64" cm="1">
        <f t="array" ref="H247">SUMPRODUCT(Asset_Replacement_Yr4_39*Long_Term_Monetised_Risk_39)</f>
        <v>0</v>
      </c>
      <c r="I247" s="64" cm="1">
        <f t="array" ref="I247">SUMPRODUCT(Asset_Refurbishment_Yr4_39*Long_Term_Monetised_Risk_39)</f>
        <v>0</v>
      </c>
      <c r="J247" s="64" cm="1">
        <f t="array" ref="J247">SUMPRODUCT(Reinforcement_Yr4_39*Long_Term_Monetised_Risk_39)</f>
        <v>0</v>
      </c>
      <c r="K247" s="64" cm="1">
        <f t="array" ref="K247">SUMPRODUCT(Faults_Yr4_39*Long_Term_Monetised_Risk_39)</f>
        <v>0</v>
      </c>
      <c r="L247" s="64" cm="1">
        <f t="array" ref="L247">SUMPRODUCT(HVP_Asset_Replacement_Refurbishment_Yr4_39*Long_Term_Monetised_Risk_39)</f>
        <v>0</v>
      </c>
      <c r="M247" s="64" cm="1">
        <f t="array" ref="M247">SUMPRODUCT(HVP_Other_Yr4_39*Long_Term_Monetised_Risk_39)</f>
        <v>0</v>
      </c>
      <c r="N247" s="64" cm="1">
        <f t="array" ref="N247">SUMPRODUCT(All_Other_Yr4_39*Long_Term_Monetised_Risk_39)</f>
        <v>0</v>
      </c>
      <c r="O247" s="65" cm="1">
        <f t="array" ref="O247">SUMPRODUCT(End_Of_Year_Yr4_39*Long_Term_Monetised_Risk_39)</f>
        <v>0</v>
      </c>
      <c r="Q247" s="110"/>
      <c r="R247" s="111"/>
      <c r="S247" s="119"/>
      <c r="T247" s="114" cm="1">
        <f t="array" ref="T247">SUMPRODUCT(Asset_Replacement_2028_Yr4_39*Long_Term_Monetised_Risk_39)</f>
        <v>0</v>
      </c>
      <c r="U247" s="64" cm="1">
        <f t="array" ref="U247">SUMPRODUCT(Asset_Refurbishment_2028_Yr4_39*Long_Term_Monetised_Risk_39)</f>
        <v>0</v>
      </c>
      <c r="V247" s="65" cm="1">
        <f t="array" ref="V247">SUMPRODUCT(HVP_2028_Yr4_39*Long_Term_Monetised_Risk_39)</f>
        <v>0</v>
      </c>
    </row>
    <row r="248" spans="1:22">
      <c r="B248" s="93" t="s">
        <v>100</v>
      </c>
      <c r="C248" s="91">
        <v>2028</v>
      </c>
      <c r="D248" s="64" cm="1">
        <f t="array" ref="D248">SUMPRODUCT(Start_of_Year_Yr5_39*Long_Term_Monetised_Risk_39)</f>
        <v>0</v>
      </c>
      <c r="E248" s="64" cm="1">
        <f t="array" ref="E248">SUMPRODUCT(Data_Cleansing_Yr5_39*Long_Term_Monetised_Risk_39)</f>
        <v>0</v>
      </c>
      <c r="F248" s="64" cm="1">
        <f t="array" ref="F248">SUMPRODUCT(Deterioration_total_Yr5_39*Long_Term_Monetised_Risk_39)</f>
        <v>0</v>
      </c>
      <c r="G248" s="64" cm="1">
        <f t="array" ref="G248">SUMPRODUCT(Other_Risk_Movements_Yr5_39*Long_Term_Monetised_Risk_39)</f>
        <v>0</v>
      </c>
      <c r="H248" s="64" cm="1">
        <f t="array" ref="H248">SUMPRODUCT(Asset_Replacement_Yr5_39*Long_Term_Monetised_Risk_39)</f>
        <v>0</v>
      </c>
      <c r="I248" s="64" cm="1">
        <f t="array" ref="I248">SUMPRODUCT(Asset_Refurbishment_Yr5_39*Long_Term_Monetised_Risk_39)</f>
        <v>0</v>
      </c>
      <c r="J248" s="64" cm="1">
        <f t="array" ref="J248">SUMPRODUCT(Reinforcement_Yr5_39*Long_Term_Monetised_Risk_39)</f>
        <v>0</v>
      </c>
      <c r="K248" s="64" cm="1">
        <f t="array" ref="K248">SUMPRODUCT(Faults_Yr5_39*Long_Term_Monetised_Risk_39)</f>
        <v>0</v>
      </c>
      <c r="L248" s="64" cm="1">
        <f t="array" ref="L248">SUMPRODUCT(HVP_Asset_Replacement_Refurbishment_Yr5_39*Long_Term_Monetised_Risk_39)</f>
        <v>0</v>
      </c>
      <c r="M248" s="64" cm="1">
        <f t="array" ref="M248">SUMPRODUCT(HVP_Other_Yr5_39*Long_Term_Monetised_Risk_39)</f>
        <v>0</v>
      </c>
      <c r="N248" s="64" cm="1">
        <f t="array" ref="N248">SUMPRODUCT(All_Other_Yr5_39*Long_Term_Monetised_Risk_39)</f>
        <v>0</v>
      </c>
      <c r="O248" s="65" cm="1">
        <f t="array" ref="O248">SUMPRODUCT(End_Of_Year_Yr5_39*Long_Term_Monetised_Risk_39)</f>
        <v>0</v>
      </c>
      <c r="Q248" s="110"/>
      <c r="R248" s="111"/>
      <c r="S248" s="119"/>
      <c r="T248" s="114" cm="1">
        <f t="array" ref="T248">SUMPRODUCT(Asset_Replacement_2028_Yr5_39*Long_Term_Monetised_Risk_39)</f>
        <v>0</v>
      </c>
      <c r="U248" s="64" cm="1">
        <f t="array" ref="U248">SUMPRODUCT(Asset_Refurbishment_2028_Yr5_39*Long_Term_Monetised_Risk_39)</f>
        <v>0</v>
      </c>
      <c r="V248" s="65" cm="1">
        <f t="array" ref="V248">SUMPRODUCT(HVP_2028_Yr5_39*Long_Term_Monetised_Risk_39)</f>
        <v>0</v>
      </c>
    </row>
    <row r="249" spans="1:22" ht="14" thickBot="1">
      <c r="B249" s="103" t="s">
        <v>100</v>
      </c>
      <c r="C249" s="104" t="s">
        <v>131</v>
      </c>
      <c r="D249" s="105"/>
      <c r="E249" s="106">
        <f t="shared" ref="E249:O249" si="86">SUM(E244:E248)</f>
        <v>0</v>
      </c>
      <c r="F249" s="106">
        <f t="shared" si="86"/>
        <v>0</v>
      </c>
      <c r="G249" s="106">
        <f t="shared" si="86"/>
        <v>0</v>
      </c>
      <c r="H249" s="106">
        <f t="shared" si="86"/>
        <v>0</v>
      </c>
      <c r="I249" s="106">
        <f t="shared" si="86"/>
        <v>0</v>
      </c>
      <c r="J249" s="106">
        <f t="shared" si="86"/>
        <v>0</v>
      </c>
      <c r="K249" s="106">
        <f t="shared" si="86"/>
        <v>0</v>
      </c>
      <c r="L249" s="106">
        <f t="shared" si="86"/>
        <v>0</v>
      </c>
      <c r="M249" s="106">
        <f t="shared" si="86"/>
        <v>0</v>
      </c>
      <c r="N249" s="106">
        <f t="shared" si="86"/>
        <v>0</v>
      </c>
      <c r="O249" s="537">
        <f t="shared" si="86"/>
        <v>0</v>
      </c>
      <c r="Q249" s="107" t="str">
        <f ca="1">VLOOKUP($B249,'NARM4 - ED2 NARW Risk Movements'!$B$7:$G$67,4,FALSE)</f>
        <v/>
      </c>
      <c r="R249" s="109" t="str">
        <f ca="1">VLOOKUP($B249,'NARM4 - ED2 NARW Risk Movements'!$B$7:$G$67,5,FALSE)</f>
        <v/>
      </c>
      <c r="S249" s="121" t="str">
        <f ca="1">VLOOKUP($B249,'NARM4 - ED2 NARW Risk Movements'!$B$7:$G$67,6,FALSE)</f>
        <v/>
      </c>
      <c r="T249" s="117">
        <f>SUM(T244:T248)</f>
        <v>0</v>
      </c>
      <c r="U249" s="106">
        <f t="shared" ref="U249" si="87">SUM(U244:U248)</f>
        <v>0</v>
      </c>
      <c r="V249" s="108">
        <f>SUM(V244:V248)</f>
        <v>0</v>
      </c>
    </row>
    <row r="250" spans="1:22" ht="14" thickTop="1">
      <c r="A250" s="143">
        <v>40</v>
      </c>
      <c r="B250" s="99" t="s">
        <v>101</v>
      </c>
      <c r="C250" s="100">
        <v>2024</v>
      </c>
      <c r="D250" s="101" cm="1">
        <f t="array" ref="D250">SUMPRODUCT(Start_of_Year_Yr1_40*Long_Term_Monetised_Risk_40)</f>
        <v>0</v>
      </c>
      <c r="E250" s="101" cm="1">
        <f t="array" ref="E250">SUMPRODUCT(Data_Cleansing_Yr1_40*Long_Term_Monetised_Risk_40)</f>
        <v>0</v>
      </c>
      <c r="F250" s="101" cm="1">
        <f t="array" ref="F250">SUMPRODUCT(Deterioration_total_Yr1_40*Long_Term_Monetised_Risk_40)</f>
        <v>0</v>
      </c>
      <c r="G250" s="101" cm="1">
        <f t="array" ref="G250">SUMPRODUCT(Other_Risk_Movements_Yr1_40*Long_Term_Monetised_Risk_40)</f>
        <v>0</v>
      </c>
      <c r="H250" s="101" cm="1">
        <f t="array" ref="H250">SUMPRODUCT(Asset_Replacement_Yr1_40*Long_Term_Monetised_Risk_40)</f>
        <v>0</v>
      </c>
      <c r="I250" s="101" cm="1">
        <f t="array" ref="I250">SUMPRODUCT(Asset_Refurbishment_Yr1_40*Long_Term_Monetised_Risk_40)</f>
        <v>0</v>
      </c>
      <c r="J250" s="101" cm="1">
        <f t="array" ref="J250">SUMPRODUCT(Reinforcement_Yr1_40*Long_Term_Monetised_Risk_40)</f>
        <v>0</v>
      </c>
      <c r="K250" s="101" cm="1">
        <f t="array" ref="K250">SUMPRODUCT(Faults_Yr1_40*Long_Term_Monetised_Risk_40)</f>
        <v>0</v>
      </c>
      <c r="L250" s="101" cm="1">
        <f t="array" ref="L250">SUMPRODUCT(HVP_Asset_Replacement_Refurbishment_Yr1_40*Long_Term_Monetised_Risk_40)</f>
        <v>0</v>
      </c>
      <c r="M250" s="101" cm="1">
        <f t="array" ref="M250">SUMPRODUCT(HVP_Other_Yr1_40*Long_Term_Monetised_Risk_40)</f>
        <v>0</v>
      </c>
      <c r="N250" s="101" cm="1">
        <f t="array" ref="N250">SUMPRODUCT(All_Other_Yr1_40*Long_Term_Monetised_Risk_40)</f>
        <v>0</v>
      </c>
      <c r="O250" s="102" cm="1">
        <f t="array" ref="O250">SUMPRODUCT(End_Of_Year_Yr1_40*Long_Term_Monetised_Risk_40)</f>
        <v>0</v>
      </c>
      <c r="Q250" s="112"/>
      <c r="R250" s="113"/>
      <c r="S250" s="120"/>
      <c r="T250" s="115" cm="1">
        <f t="array" ref="T250">SUMPRODUCT(Asset_Replacement_2028_Yr1_40*Long_Term_Monetised_Risk_40)</f>
        <v>0</v>
      </c>
      <c r="U250" s="101" cm="1">
        <f t="array" ref="U250">SUMPRODUCT(Asset_Refurbishment_2028_Yr1_40*Long_Term_Monetised_Risk_40)</f>
        <v>0</v>
      </c>
      <c r="V250" s="102" cm="1">
        <f t="array" ref="V250">SUMPRODUCT(HVP_2028_Yr1_40*Long_Term_Monetised_Risk_40)</f>
        <v>0</v>
      </c>
    </row>
    <row r="251" spans="1:22">
      <c r="B251" s="93" t="s">
        <v>101</v>
      </c>
      <c r="C251" s="91">
        <v>2025</v>
      </c>
      <c r="D251" s="64" cm="1">
        <f t="array" ref="D251">SUMPRODUCT(Start_of_Year_Yr2_40*Long_Term_Monetised_Risk_40)</f>
        <v>0</v>
      </c>
      <c r="E251" s="64" cm="1">
        <f t="array" ref="E251">SUMPRODUCT(Data_Cleansing_Yr2_40*Long_Term_Monetised_Risk_40)</f>
        <v>0</v>
      </c>
      <c r="F251" s="64" cm="1">
        <f t="array" ref="F251">SUMPRODUCT(Deterioration_total_Yr2_40*Long_Term_Monetised_Risk_40)</f>
        <v>0</v>
      </c>
      <c r="G251" s="64" cm="1">
        <f t="array" ref="G251">SUMPRODUCT(Other_Risk_Movements_Yr2_40*Long_Term_Monetised_Risk_40)</f>
        <v>0</v>
      </c>
      <c r="H251" s="64" cm="1">
        <f t="array" ref="H251">SUMPRODUCT(Asset_Replacement_Yr2_40*Long_Term_Monetised_Risk_40)</f>
        <v>0</v>
      </c>
      <c r="I251" s="64" cm="1">
        <f t="array" ref="I251">SUMPRODUCT(Asset_Refurbishment_Yr2_40*Long_Term_Monetised_Risk_40)</f>
        <v>0</v>
      </c>
      <c r="J251" s="64" cm="1">
        <f t="array" ref="J251">SUMPRODUCT(Reinforcement_Yr2_40*Long_Term_Monetised_Risk_40)</f>
        <v>0</v>
      </c>
      <c r="K251" s="64" cm="1">
        <f t="array" ref="K251">SUMPRODUCT(Faults_Yr2_40*Long_Term_Monetised_Risk_40)</f>
        <v>0</v>
      </c>
      <c r="L251" s="64" cm="1">
        <f t="array" ref="L251">SUMPRODUCT(HVP_Asset_Replacement_Refurbishment_Yr2_40*Long_Term_Monetised_Risk_40)</f>
        <v>0</v>
      </c>
      <c r="M251" s="64" cm="1">
        <f t="array" ref="M251">SUMPRODUCT(HVP_Other_Yr2_40*Long_Term_Monetised_Risk_40)</f>
        <v>0</v>
      </c>
      <c r="N251" s="64" cm="1">
        <f t="array" ref="N251">SUMPRODUCT(All_Other_Yr2_40*Long_Term_Monetised_Risk_40)</f>
        <v>0</v>
      </c>
      <c r="O251" s="65" cm="1">
        <f t="array" ref="O251">SUMPRODUCT(End_Of_Year_Yr2_40*Long_Term_Monetised_Risk_40)</f>
        <v>0</v>
      </c>
      <c r="Q251" s="110"/>
      <c r="R251" s="111"/>
      <c r="S251" s="119"/>
      <c r="T251" s="114" cm="1">
        <f t="array" ref="T251">SUMPRODUCT(Asset_Replacement_2028_Yr2_40*Long_Term_Monetised_Risk_40)</f>
        <v>0</v>
      </c>
      <c r="U251" s="64" cm="1">
        <f t="array" ref="U251">SUMPRODUCT(Asset_Refurbishment_2028_Yr2_40*Long_Term_Monetised_Risk_40)</f>
        <v>0</v>
      </c>
      <c r="V251" s="65" cm="1">
        <f t="array" ref="V251">SUMPRODUCT(HVP_2028_Yr2_40*Long_Term_Monetised_Risk_40)</f>
        <v>0</v>
      </c>
    </row>
    <row r="252" spans="1:22">
      <c r="B252" s="93" t="s">
        <v>101</v>
      </c>
      <c r="C252" s="91">
        <v>2026</v>
      </c>
      <c r="D252" s="64" cm="1">
        <f t="array" ref="D252">SUMPRODUCT(Start_of_Year_Yr3_40*Long_Term_Monetised_Risk_40)</f>
        <v>0</v>
      </c>
      <c r="E252" s="64" cm="1">
        <f t="array" ref="E252">SUMPRODUCT(Data_Cleansing_Yr3_40*Long_Term_Monetised_Risk_40)</f>
        <v>0</v>
      </c>
      <c r="F252" s="64" cm="1">
        <f t="array" ref="F252">SUMPRODUCT(Deterioration_total_Yr3_40*Long_Term_Monetised_Risk_40)</f>
        <v>0</v>
      </c>
      <c r="G252" s="64" cm="1">
        <f t="array" ref="G252">SUMPRODUCT(Other_Risk_Movements_Yr3_40*Long_Term_Monetised_Risk_40)</f>
        <v>0</v>
      </c>
      <c r="H252" s="64" cm="1">
        <f t="array" ref="H252">SUMPRODUCT(Asset_Replacement_Yr3_40*Long_Term_Monetised_Risk_40)</f>
        <v>0</v>
      </c>
      <c r="I252" s="64" cm="1">
        <f t="array" ref="I252">SUMPRODUCT(Asset_Refurbishment_Yr3_40*Long_Term_Monetised_Risk_40)</f>
        <v>0</v>
      </c>
      <c r="J252" s="64" cm="1">
        <f t="array" ref="J252">SUMPRODUCT(Reinforcement_Yr3_40*Long_Term_Monetised_Risk_40)</f>
        <v>0</v>
      </c>
      <c r="K252" s="64" cm="1">
        <f t="array" ref="K252">SUMPRODUCT(Faults_Yr3_40*Long_Term_Monetised_Risk_40)</f>
        <v>0</v>
      </c>
      <c r="L252" s="64" cm="1">
        <f t="array" ref="L252">SUMPRODUCT(HVP_Asset_Replacement_Refurbishment_Yr3_40*Long_Term_Monetised_Risk_40)</f>
        <v>0</v>
      </c>
      <c r="M252" s="64" cm="1">
        <f t="array" ref="M252">SUMPRODUCT(HVP_Other_Yr3_40*Long_Term_Monetised_Risk_40)</f>
        <v>0</v>
      </c>
      <c r="N252" s="64" cm="1">
        <f t="array" ref="N252">SUMPRODUCT(All_Other_Yr3_40*Long_Term_Monetised_Risk_40)</f>
        <v>0</v>
      </c>
      <c r="O252" s="65" cm="1">
        <f t="array" ref="O252">SUMPRODUCT(End_Of_Year_Yr3_40*Long_Term_Monetised_Risk_40)</f>
        <v>0</v>
      </c>
      <c r="Q252" s="110"/>
      <c r="R252" s="111"/>
      <c r="S252" s="119"/>
      <c r="T252" s="114" cm="1">
        <f t="array" ref="T252">SUMPRODUCT(Asset_Replacement_2028_Yr3_40*Long_Term_Monetised_Risk_40)</f>
        <v>0</v>
      </c>
      <c r="U252" s="64" cm="1">
        <f t="array" ref="U252">SUMPRODUCT(Asset_Refurbishment_2028_Yr3_40*Long_Term_Monetised_Risk_40)</f>
        <v>0</v>
      </c>
      <c r="V252" s="65" cm="1">
        <f t="array" ref="V252">SUMPRODUCT(HVP_2028_Yr3_40*Long_Term_Monetised_Risk_40)</f>
        <v>0</v>
      </c>
    </row>
    <row r="253" spans="1:22">
      <c r="B253" s="93" t="s">
        <v>101</v>
      </c>
      <c r="C253" s="91">
        <v>2027</v>
      </c>
      <c r="D253" s="64" cm="1">
        <f t="array" ref="D253">SUMPRODUCT(Start_of_Year_Yr4_40*Long_Term_Monetised_Risk_40)</f>
        <v>0</v>
      </c>
      <c r="E253" s="64" cm="1">
        <f t="array" ref="E253">SUMPRODUCT(Data_Cleansing_Yr4_40*Long_Term_Monetised_Risk_40)</f>
        <v>0</v>
      </c>
      <c r="F253" s="64" cm="1">
        <f t="array" ref="F253">SUMPRODUCT(Deterioration_total_Yr4_40*Long_Term_Monetised_Risk_40)</f>
        <v>0</v>
      </c>
      <c r="G253" s="64" cm="1">
        <f t="array" ref="G253">SUMPRODUCT(Other_Risk_Movements_Yr4_40*Long_Term_Monetised_Risk_40)</f>
        <v>0</v>
      </c>
      <c r="H253" s="64" cm="1">
        <f t="array" ref="H253">SUMPRODUCT(Asset_Replacement_Yr4_40*Long_Term_Monetised_Risk_40)</f>
        <v>0</v>
      </c>
      <c r="I253" s="64" cm="1">
        <f t="array" ref="I253">SUMPRODUCT(Asset_Refurbishment_Yr4_40*Long_Term_Monetised_Risk_40)</f>
        <v>0</v>
      </c>
      <c r="J253" s="64" cm="1">
        <f t="array" ref="J253">SUMPRODUCT(Reinforcement_Yr4_40*Long_Term_Monetised_Risk_40)</f>
        <v>0</v>
      </c>
      <c r="K253" s="64" cm="1">
        <f t="array" ref="K253">SUMPRODUCT(Faults_Yr4_40*Long_Term_Monetised_Risk_40)</f>
        <v>0</v>
      </c>
      <c r="L253" s="64" cm="1">
        <f t="array" ref="L253">SUMPRODUCT(HVP_Asset_Replacement_Refurbishment_Yr4_40*Long_Term_Monetised_Risk_40)</f>
        <v>0</v>
      </c>
      <c r="M253" s="64" cm="1">
        <f t="array" ref="M253">SUMPRODUCT(HVP_Other_Yr4_40*Long_Term_Monetised_Risk_40)</f>
        <v>0</v>
      </c>
      <c r="N253" s="64" cm="1">
        <f t="array" ref="N253">SUMPRODUCT(All_Other_Yr4_40*Long_Term_Monetised_Risk_40)</f>
        <v>0</v>
      </c>
      <c r="O253" s="65" cm="1">
        <f t="array" ref="O253">SUMPRODUCT(End_Of_Year_Yr4_40*Long_Term_Monetised_Risk_40)</f>
        <v>0</v>
      </c>
      <c r="Q253" s="110"/>
      <c r="R253" s="111"/>
      <c r="S253" s="119"/>
      <c r="T253" s="114" cm="1">
        <f t="array" ref="T253">SUMPRODUCT(Asset_Replacement_2028_Yr4_40*Long_Term_Monetised_Risk_40)</f>
        <v>0</v>
      </c>
      <c r="U253" s="64" cm="1">
        <f t="array" ref="U253">SUMPRODUCT(Asset_Refurbishment_2028_Yr4_40*Long_Term_Monetised_Risk_40)</f>
        <v>0</v>
      </c>
      <c r="V253" s="65" cm="1">
        <f t="array" ref="V253">SUMPRODUCT(HVP_2028_Yr4_40*Long_Term_Monetised_Risk_40)</f>
        <v>0</v>
      </c>
    </row>
    <row r="254" spans="1:22">
      <c r="B254" s="93" t="s">
        <v>101</v>
      </c>
      <c r="C254" s="91">
        <v>2028</v>
      </c>
      <c r="D254" s="64" cm="1">
        <f t="array" ref="D254">SUMPRODUCT(Start_of_Year_Yr5_40*Long_Term_Monetised_Risk_40)</f>
        <v>0</v>
      </c>
      <c r="E254" s="64" cm="1">
        <f t="array" ref="E254">SUMPRODUCT(Data_Cleansing_Yr5_40*Long_Term_Monetised_Risk_40)</f>
        <v>0</v>
      </c>
      <c r="F254" s="64" cm="1">
        <f t="array" ref="F254">SUMPRODUCT(Deterioration_total_Yr5_40*Long_Term_Monetised_Risk_40)</f>
        <v>0</v>
      </c>
      <c r="G254" s="64" cm="1">
        <f t="array" ref="G254">SUMPRODUCT(Other_Risk_Movements_Yr5_40*Long_Term_Monetised_Risk_40)</f>
        <v>0</v>
      </c>
      <c r="H254" s="64" cm="1">
        <f t="array" ref="H254">SUMPRODUCT(Asset_Replacement_Yr5_40*Long_Term_Monetised_Risk_40)</f>
        <v>0</v>
      </c>
      <c r="I254" s="64" cm="1">
        <f t="array" ref="I254">SUMPRODUCT(Asset_Refurbishment_Yr5_40*Long_Term_Monetised_Risk_40)</f>
        <v>0</v>
      </c>
      <c r="J254" s="64" cm="1">
        <f t="array" ref="J254">SUMPRODUCT(Reinforcement_Yr5_40*Long_Term_Monetised_Risk_40)</f>
        <v>0</v>
      </c>
      <c r="K254" s="64" cm="1">
        <f t="array" ref="K254">SUMPRODUCT(Faults_Yr5_40*Long_Term_Monetised_Risk_40)</f>
        <v>0</v>
      </c>
      <c r="L254" s="64" cm="1">
        <f t="array" ref="L254">SUMPRODUCT(HVP_Asset_Replacement_Refurbishment_Yr5_40*Long_Term_Monetised_Risk_40)</f>
        <v>0</v>
      </c>
      <c r="M254" s="64" cm="1">
        <f t="array" ref="M254">SUMPRODUCT(HVP_Other_Yr5_40*Long_Term_Monetised_Risk_40)</f>
        <v>0</v>
      </c>
      <c r="N254" s="64" cm="1">
        <f t="array" ref="N254">SUMPRODUCT(All_Other_Yr5_40*Long_Term_Monetised_Risk_40)</f>
        <v>0</v>
      </c>
      <c r="O254" s="65" cm="1">
        <f t="array" ref="O254">SUMPRODUCT(End_Of_Year_Yr5_40*Long_Term_Monetised_Risk_40)</f>
        <v>0</v>
      </c>
      <c r="Q254" s="110"/>
      <c r="R254" s="111"/>
      <c r="S254" s="119"/>
      <c r="T254" s="114" cm="1">
        <f t="array" ref="T254">SUMPRODUCT(Asset_Replacement_2028_Yr5_40*Long_Term_Monetised_Risk_40)</f>
        <v>0</v>
      </c>
      <c r="U254" s="64" cm="1">
        <f t="array" ref="U254">SUMPRODUCT(Asset_Refurbishment_2028_Yr5_40*Long_Term_Monetised_Risk_40)</f>
        <v>0</v>
      </c>
      <c r="V254" s="65" cm="1">
        <f t="array" ref="V254">SUMPRODUCT(HVP_2028_Yr5_40*Long_Term_Monetised_Risk_40)</f>
        <v>0</v>
      </c>
    </row>
    <row r="255" spans="1:22" ht="14" thickBot="1">
      <c r="B255" s="103" t="s">
        <v>101</v>
      </c>
      <c r="C255" s="104" t="s">
        <v>131</v>
      </c>
      <c r="D255" s="105"/>
      <c r="E255" s="106">
        <f t="shared" ref="E255:O255" si="88">SUM(E250:E254)</f>
        <v>0</v>
      </c>
      <c r="F255" s="106">
        <f t="shared" si="88"/>
        <v>0</v>
      </c>
      <c r="G255" s="106">
        <f t="shared" si="88"/>
        <v>0</v>
      </c>
      <c r="H255" s="106">
        <f t="shared" si="88"/>
        <v>0</v>
      </c>
      <c r="I255" s="106">
        <f t="shared" si="88"/>
        <v>0</v>
      </c>
      <c r="J255" s="106">
        <f t="shared" si="88"/>
        <v>0</v>
      </c>
      <c r="K255" s="106">
        <f t="shared" si="88"/>
        <v>0</v>
      </c>
      <c r="L255" s="106">
        <f t="shared" si="88"/>
        <v>0</v>
      </c>
      <c r="M255" s="106">
        <f t="shared" si="88"/>
        <v>0</v>
      </c>
      <c r="N255" s="106">
        <f t="shared" si="88"/>
        <v>0</v>
      </c>
      <c r="O255" s="537">
        <f t="shared" si="88"/>
        <v>0</v>
      </c>
      <c r="Q255" s="107" t="str">
        <f ca="1">VLOOKUP($B255,'NARM4 - ED2 NARW Risk Movements'!$B$7:$G$67,4,FALSE)</f>
        <v/>
      </c>
      <c r="R255" s="109" t="str">
        <f ca="1">VLOOKUP($B255,'NARM4 - ED2 NARW Risk Movements'!$B$7:$G$67,5,FALSE)</f>
        <v/>
      </c>
      <c r="S255" s="121" t="str">
        <f ca="1">VLOOKUP($B255,'NARM4 - ED2 NARW Risk Movements'!$B$7:$G$67,6,FALSE)</f>
        <v/>
      </c>
      <c r="T255" s="117">
        <f>SUM(T250:T254)</f>
        <v>0</v>
      </c>
      <c r="U255" s="106">
        <f t="shared" ref="U255" si="89">SUM(U250:U254)</f>
        <v>0</v>
      </c>
      <c r="V255" s="108">
        <f>SUM(V250:V254)</f>
        <v>0</v>
      </c>
    </row>
    <row r="256" spans="1:22" ht="14" thickTop="1">
      <c r="A256" s="143">
        <v>41</v>
      </c>
      <c r="B256" s="99" t="s">
        <v>102</v>
      </c>
      <c r="C256" s="100">
        <v>2024</v>
      </c>
      <c r="D256" s="101" cm="1">
        <f t="array" ref="D256">SUMPRODUCT(Start_of_Year_Yr1_41*Long_Term_Monetised_Risk_41)</f>
        <v>0</v>
      </c>
      <c r="E256" s="101" cm="1">
        <f t="array" ref="E256">SUMPRODUCT(Data_Cleansing_Yr1_41*Long_Term_Monetised_Risk_41)</f>
        <v>0</v>
      </c>
      <c r="F256" s="101" cm="1">
        <f t="array" ref="F256">SUMPRODUCT(Deterioration_total_Yr1_41*Long_Term_Monetised_Risk_41)</f>
        <v>0</v>
      </c>
      <c r="G256" s="101" cm="1">
        <f t="array" ref="G256">SUMPRODUCT(Other_Risk_Movements_Yr1_41*Long_Term_Monetised_Risk_41)</f>
        <v>0</v>
      </c>
      <c r="H256" s="101" cm="1">
        <f t="array" ref="H256">SUMPRODUCT(Asset_Replacement_Yr1_41*Long_Term_Monetised_Risk_41)</f>
        <v>0</v>
      </c>
      <c r="I256" s="101" cm="1">
        <f t="array" ref="I256">SUMPRODUCT(Asset_Refurbishment_Yr1_41*Long_Term_Monetised_Risk_41)</f>
        <v>0</v>
      </c>
      <c r="J256" s="101" cm="1">
        <f t="array" ref="J256">SUMPRODUCT(Reinforcement_Yr1_41*Long_Term_Monetised_Risk_41)</f>
        <v>0</v>
      </c>
      <c r="K256" s="101" cm="1">
        <f t="array" ref="K256">SUMPRODUCT(Faults_Yr1_41*Long_Term_Monetised_Risk_41)</f>
        <v>0</v>
      </c>
      <c r="L256" s="101" cm="1">
        <f t="array" ref="L256">SUMPRODUCT(HVP_Asset_Replacement_Refurbishment_Yr1_41*Long_Term_Monetised_Risk_41)</f>
        <v>0</v>
      </c>
      <c r="M256" s="101" cm="1">
        <f t="array" ref="M256">SUMPRODUCT(HVP_Other_Yr1_41*Long_Term_Monetised_Risk_41)</f>
        <v>0</v>
      </c>
      <c r="N256" s="101" cm="1">
        <f t="array" ref="N256">SUMPRODUCT(All_Other_Yr1_41*Long_Term_Monetised_Risk_41)</f>
        <v>0</v>
      </c>
      <c r="O256" s="102" cm="1">
        <f t="array" ref="O256">SUMPRODUCT(End_Of_Year_Yr1_41*Long_Term_Monetised_Risk_41)</f>
        <v>0</v>
      </c>
      <c r="Q256" s="112"/>
      <c r="R256" s="113"/>
      <c r="S256" s="120"/>
      <c r="T256" s="115" cm="1">
        <f t="array" ref="T256">SUMPRODUCT(Asset_Replacement_2028_Yr1_41*Long_Term_Monetised_Risk_41)</f>
        <v>0</v>
      </c>
      <c r="U256" s="101" cm="1">
        <f t="array" ref="U256">SUMPRODUCT(Asset_Refurbishment_2028_Yr1_41*Long_Term_Monetised_Risk_41)</f>
        <v>0</v>
      </c>
      <c r="V256" s="102" cm="1">
        <f t="array" ref="V256">SUMPRODUCT(HVP_2028_Yr1_41*Long_Term_Monetised_Risk_41)</f>
        <v>0</v>
      </c>
    </row>
    <row r="257" spans="1:22">
      <c r="B257" s="93" t="s">
        <v>102</v>
      </c>
      <c r="C257" s="91">
        <v>2025</v>
      </c>
      <c r="D257" s="64" cm="1">
        <f t="array" ref="D257">SUMPRODUCT(Start_of_Year_Yr2_41*Long_Term_Monetised_Risk_41)</f>
        <v>0</v>
      </c>
      <c r="E257" s="64" cm="1">
        <f t="array" ref="E257">SUMPRODUCT(Data_Cleansing_Yr2_41*Long_Term_Monetised_Risk_41)</f>
        <v>0</v>
      </c>
      <c r="F257" s="64" cm="1">
        <f t="array" ref="F257">SUMPRODUCT(Deterioration_total_Yr2_41*Long_Term_Monetised_Risk_41)</f>
        <v>0</v>
      </c>
      <c r="G257" s="64" cm="1">
        <f t="array" ref="G257">SUMPRODUCT(Other_Risk_Movements_Yr2_41*Long_Term_Monetised_Risk_41)</f>
        <v>0</v>
      </c>
      <c r="H257" s="64" cm="1">
        <f t="array" ref="H257">SUMPRODUCT(Asset_Replacement_Yr2_41*Long_Term_Monetised_Risk_41)</f>
        <v>0</v>
      </c>
      <c r="I257" s="64" cm="1">
        <f t="array" ref="I257">SUMPRODUCT(Asset_Refurbishment_Yr2_41*Long_Term_Monetised_Risk_41)</f>
        <v>0</v>
      </c>
      <c r="J257" s="64" cm="1">
        <f t="array" ref="J257">SUMPRODUCT(Reinforcement_Yr2_41*Long_Term_Monetised_Risk_41)</f>
        <v>0</v>
      </c>
      <c r="K257" s="64" cm="1">
        <f t="array" ref="K257">SUMPRODUCT(Faults_Yr2_41*Long_Term_Monetised_Risk_41)</f>
        <v>0</v>
      </c>
      <c r="L257" s="64" cm="1">
        <f t="array" ref="L257">SUMPRODUCT(HVP_Asset_Replacement_Refurbishment_Yr2_41*Long_Term_Monetised_Risk_41)</f>
        <v>0</v>
      </c>
      <c r="M257" s="64" cm="1">
        <f t="array" ref="M257">SUMPRODUCT(HVP_Other_Yr2_41*Long_Term_Monetised_Risk_41)</f>
        <v>0</v>
      </c>
      <c r="N257" s="64" cm="1">
        <f t="array" ref="N257">SUMPRODUCT(All_Other_Yr2_41*Long_Term_Monetised_Risk_41)</f>
        <v>0</v>
      </c>
      <c r="O257" s="65" cm="1">
        <f t="array" ref="O257">SUMPRODUCT(End_Of_Year_Yr2_41*Long_Term_Monetised_Risk_41)</f>
        <v>0</v>
      </c>
      <c r="Q257" s="110"/>
      <c r="R257" s="111"/>
      <c r="S257" s="119"/>
      <c r="T257" s="114" cm="1">
        <f t="array" ref="T257">SUMPRODUCT(Asset_Replacement_2028_Yr2_41*Long_Term_Monetised_Risk_41)</f>
        <v>0</v>
      </c>
      <c r="U257" s="64" cm="1">
        <f t="array" ref="U257">SUMPRODUCT(Asset_Refurbishment_2028_Yr2_41*Long_Term_Monetised_Risk_41)</f>
        <v>0</v>
      </c>
      <c r="V257" s="65" cm="1">
        <f t="array" ref="V257">SUMPRODUCT(HVP_2028_Yr2_41*Long_Term_Monetised_Risk_41)</f>
        <v>0</v>
      </c>
    </row>
    <row r="258" spans="1:22">
      <c r="B258" s="93" t="s">
        <v>102</v>
      </c>
      <c r="C258" s="91">
        <v>2026</v>
      </c>
      <c r="D258" s="64" cm="1">
        <f t="array" ref="D258">SUMPRODUCT(Start_of_Year_Yr3_41*Long_Term_Monetised_Risk_41)</f>
        <v>0</v>
      </c>
      <c r="E258" s="64" cm="1">
        <f t="array" ref="E258">SUMPRODUCT(Data_Cleansing_Yr3_41*Long_Term_Monetised_Risk_41)</f>
        <v>0</v>
      </c>
      <c r="F258" s="64" cm="1">
        <f t="array" ref="F258">SUMPRODUCT(Deterioration_total_Yr3_41*Long_Term_Monetised_Risk_41)</f>
        <v>0</v>
      </c>
      <c r="G258" s="64" cm="1">
        <f t="array" ref="G258">SUMPRODUCT(Other_Risk_Movements_Yr3_41*Long_Term_Monetised_Risk_41)</f>
        <v>0</v>
      </c>
      <c r="H258" s="64" cm="1">
        <f t="array" ref="H258">SUMPRODUCT(Asset_Replacement_Yr3_41*Long_Term_Monetised_Risk_41)</f>
        <v>0</v>
      </c>
      <c r="I258" s="64" cm="1">
        <f t="array" ref="I258">SUMPRODUCT(Asset_Refurbishment_Yr3_41*Long_Term_Monetised_Risk_41)</f>
        <v>0</v>
      </c>
      <c r="J258" s="64" cm="1">
        <f t="array" ref="J258">SUMPRODUCT(Reinforcement_Yr3_41*Long_Term_Monetised_Risk_41)</f>
        <v>0</v>
      </c>
      <c r="K258" s="64" cm="1">
        <f t="array" ref="K258">SUMPRODUCT(Faults_Yr3_41*Long_Term_Monetised_Risk_41)</f>
        <v>0</v>
      </c>
      <c r="L258" s="64" cm="1">
        <f t="array" ref="L258">SUMPRODUCT(HVP_Asset_Replacement_Refurbishment_Yr3_41*Long_Term_Monetised_Risk_41)</f>
        <v>0</v>
      </c>
      <c r="M258" s="64" cm="1">
        <f t="array" ref="M258">SUMPRODUCT(HVP_Other_Yr3_41*Long_Term_Monetised_Risk_41)</f>
        <v>0</v>
      </c>
      <c r="N258" s="64" cm="1">
        <f t="array" ref="N258">SUMPRODUCT(All_Other_Yr3_41*Long_Term_Monetised_Risk_41)</f>
        <v>0</v>
      </c>
      <c r="O258" s="65" cm="1">
        <f t="array" ref="O258">SUMPRODUCT(End_Of_Year_Yr3_41*Long_Term_Monetised_Risk_41)</f>
        <v>0</v>
      </c>
      <c r="Q258" s="110"/>
      <c r="R258" s="111"/>
      <c r="S258" s="119"/>
      <c r="T258" s="114" cm="1">
        <f t="array" ref="T258">SUMPRODUCT(Asset_Replacement_2028_Yr3_41*Long_Term_Monetised_Risk_41)</f>
        <v>0</v>
      </c>
      <c r="U258" s="64" cm="1">
        <f t="array" ref="U258">SUMPRODUCT(Asset_Refurbishment_2028_Yr3_41*Long_Term_Monetised_Risk_41)</f>
        <v>0</v>
      </c>
      <c r="V258" s="65" cm="1">
        <f t="array" ref="V258">SUMPRODUCT(HVP_2028_Yr3_41*Long_Term_Monetised_Risk_41)</f>
        <v>0</v>
      </c>
    </row>
    <row r="259" spans="1:22">
      <c r="B259" s="93" t="s">
        <v>102</v>
      </c>
      <c r="C259" s="91">
        <v>2027</v>
      </c>
      <c r="D259" s="64" cm="1">
        <f t="array" ref="D259">SUMPRODUCT(Start_of_Year_Yr4_41*Long_Term_Monetised_Risk_41)</f>
        <v>0</v>
      </c>
      <c r="E259" s="64" cm="1">
        <f t="array" ref="E259">SUMPRODUCT(Data_Cleansing_Yr4_41*Long_Term_Monetised_Risk_41)</f>
        <v>0</v>
      </c>
      <c r="F259" s="64" cm="1">
        <f t="array" ref="F259">SUMPRODUCT(Deterioration_total_Yr4_41*Long_Term_Monetised_Risk_41)</f>
        <v>0</v>
      </c>
      <c r="G259" s="64" cm="1">
        <f t="array" ref="G259">SUMPRODUCT(Other_Risk_Movements_Yr4_41*Long_Term_Monetised_Risk_41)</f>
        <v>0</v>
      </c>
      <c r="H259" s="64" cm="1">
        <f t="array" ref="H259">SUMPRODUCT(Asset_Replacement_Yr4_41*Long_Term_Monetised_Risk_41)</f>
        <v>0</v>
      </c>
      <c r="I259" s="64" cm="1">
        <f t="array" ref="I259">SUMPRODUCT(Asset_Refurbishment_Yr4_41*Long_Term_Monetised_Risk_41)</f>
        <v>0</v>
      </c>
      <c r="J259" s="64" cm="1">
        <f t="array" ref="J259">SUMPRODUCT(Reinforcement_Yr4_41*Long_Term_Monetised_Risk_41)</f>
        <v>0</v>
      </c>
      <c r="K259" s="64" cm="1">
        <f t="array" ref="K259">SUMPRODUCT(Faults_Yr4_41*Long_Term_Monetised_Risk_41)</f>
        <v>0</v>
      </c>
      <c r="L259" s="64" cm="1">
        <f t="array" ref="L259">SUMPRODUCT(HVP_Asset_Replacement_Refurbishment_Yr4_41*Long_Term_Monetised_Risk_41)</f>
        <v>0</v>
      </c>
      <c r="M259" s="64" cm="1">
        <f t="array" ref="M259">SUMPRODUCT(HVP_Other_Yr4_41*Long_Term_Monetised_Risk_41)</f>
        <v>0</v>
      </c>
      <c r="N259" s="64" cm="1">
        <f t="array" ref="N259">SUMPRODUCT(All_Other_Yr4_41*Long_Term_Monetised_Risk_41)</f>
        <v>0</v>
      </c>
      <c r="O259" s="65" cm="1">
        <f t="array" ref="O259">SUMPRODUCT(End_Of_Year_Yr4_41*Long_Term_Monetised_Risk_41)</f>
        <v>0</v>
      </c>
      <c r="Q259" s="110"/>
      <c r="R259" s="111"/>
      <c r="S259" s="119"/>
      <c r="T259" s="114" cm="1">
        <f t="array" ref="T259">SUMPRODUCT(Asset_Replacement_2028_Yr4_41*Long_Term_Monetised_Risk_41)</f>
        <v>0</v>
      </c>
      <c r="U259" s="64" cm="1">
        <f t="array" ref="U259">SUMPRODUCT(Asset_Refurbishment_2028_Yr4_41*Long_Term_Monetised_Risk_41)</f>
        <v>0</v>
      </c>
      <c r="V259" s="65" cm="1">
        <f t="array" ref="V259">SUMPRODUCT(HVP_2028_Yr4_41*Long_Term_Monetised_Risk_41)</f>
        <v>0</v>
      </c>
    </row>
    <row r="260" spans="1:22">
      <c r="B260" s="93" t="s">
        <v>102</v>
      </c>
      <c r="C260" s="91">
        <v>2028</v>
      </c>
      <c r="D260" s="64" cm="1">
        <f t="array" ref="D260">SUMPRODUCT(Start_of_Year_Yr5_41*Long_Term_Monetised_Risk_41)</f>
        <v>0</v>
      </c>
      <c r="E260" s="64" cm="1">
        <f t="array" ref="E260">SUMPRODUCT(Data_Cleansing_Yr5_41*Long_Term_Monetised_Risk_41)</f>
        <v>0</v>
      </c>
      <c r="F260" s="64" cm="1">
        <f t="array" ref="F260">SUMPRODUCT(Deterioration_total_Yr5_41*Long_Term_Monetised_Risk_41)</f>
        <v>0</v>
      </c>
      <c r="G260" s="64" cm="1">
        <f t="array" ref="G260">SUMPRODUCT(Other_Risk_Movements_Yr5_41*Long_Term_Monetised_Risk_41)</f>
        <v>0</v>
      </c>
      <c r="H260" s="64" cm="1">
        <f t="array" ref="H260">SUMPRODUCT(Asset_Replacement_Yr5_41*Long_Term_Monetised_Risk_41)</f>
        <v>0</v>
      </c>
      <c r="I260" s="64" cm="1">
        <f t="array" ref="I260">SUMPRODUCT(Asset_Refurbishment_Yr5_41*Long_Term_Monetised_Risk_41)</f>
        <v>0</v>
      </c>
      <c r="J260" s="64" cm="1">
        <f t="array" ref="J260">SUMPRODUCT(Reinforcement_Yr5_41*Long_Term_Monetised_Risk_41)</f>
        <v>0</v>
      </c>
      <c r="K260" s="64" cm="1">
        <f t="array" ref="K260">SUMPRODUCT(Faults_Yr5_41*Long_Term_Monetised_Risk_41)</f>
        <v>0</v>
      </c>
      <c r="L260" s="64" cm="1">
        <f t="array" ref="L260">SUMPRODUCT(HVP_Asset_Replacement_Refurbishment_Yr5_41*Long_Term_Monetised_Risk_41)</f>
        <v>0</v>
      </c>
      <c r="M260" s="64" cm="1">
        <f t="array" ref="M260">SUMPRODUCT(HVP_Other_Yr5_41*Long_Term_Monetised_Risk_41)</f>
        <v>0</v>
      </c>
      <c r="N260" s="64" cm="1">
        <f t="array" ref="N260">SUMPRODUCT(All_Other_Yr5_41*Long_Term_Monetised_Risk_41)</f>
        <v>0</v>
      </c>
      <c r="O260" s="65" cm="1">
        <f t="array" ref="O260">SUMPRODUCT(End_Of_Year_Yr5_41*Long_Term_Monetised_Risk_41)</f>
        <v>0</v>
      </c>
      <c r="Q260" s="110"/>
      <c r="R260" s="111"/>
      <c r="S260" s="119"/>
      <c r="T260" s="114" cm="1">
        <f t="array" ref="T260">SUMPRODUCT(Asset_Replacement_2028_Yr5_41*Long_Term_Monetised_Risk_41)</f>
        <v>0</v>
      </c>
      <c r="U260" s="64" cm="1">
        <f t="array" ref="U260">SUMPRODUCT(Asset_Refurbishment_2028_Yr5_41*Long_Term_Monetised_Risk_41)</f>
        <v>0</v>
      </c>
      <c r="V260" s="65" cm="1">
        <f t="array" ref="V260">SUMPRODUCT(HVP_2028_Yr5_41*Long_Term_Monetised_Risk_41)</f>
        <v>0</v>
      </c>
    </row>
    <row r="261" spans="1:22" ht="14" thickBot="1">
      <c r="B261" s="103" t="s">
        <v>102</v>
      </c>
      <c r="C261" s="104" t="s">
        <v>131</v>
      </c>
      <c r="D261" s="105"/>
      <c r="E261" s="106">
        <f t="shared" ref="E261:O261" si="90">SUM(E256:E260)</f>
        <v>0</v>
      </c>
      <c r="F261" s="106">
        <f t="shared" si="90"/>
        <v>0</v>
      </c>
      <c r="G261" s="106">
        <f t="shared" si="90"/>
        <v>0</v>
      </c>
      <c r="H261" s="106">
        <f t="shared" si="90"/>
        <v>0</v>
      </c>
      <c r="I261" s="106">
        <f t="shared" si="90"/>
        <v>0</v>
      </c>
      <c r="J261" s="106">
        <f t="shared" si="90"/>
        <v>0</v>
      </c>
      <c r="K261" s="106">
        <f t="shared" si="90"/>
        <v>0</v>
      </c>
      <c r="L261" s="106">
        <f t="shared" si="90"/>
        <v>0</v>
      </c>
      <c r="M261" s="106">
        <f t="shared" si="90"/>
        <v>0</v>
      </c>
      <c r="N261" s="106">
        <f t="shared" si="90"/>
        <v>0</v>
      </c>
      <c r="O261" s="537">
        <f t="shared" si="90"/>
        <v>0</v>
      </c>
      <c r="Q261" s="107" t="str">
        <f ca="1">VLOOKUP($B261,'NARM4 - ED2 NARW Risk Movements'!$B$7:$G$67,4,FALSE)</f>
        <v/>
      </c>
      <c r="R261" s="109" t="str">
        <f ca="1">VLOOKUP($B261,'NARM4 - ED2 NARW Risk Movements'!$B$7:$G$67,5,FALSE)</f>
        <v/>
      </c>
      <c r="S261" s="121" t="str">
        <f ca="1">VLOOKUP($B261,'NARM4 - ED2 NARW Risk Movements'!$B$7:$G$67,6,FALSE)</f>
        <v/>
      </c>
      <c r="T261" s="117">
        <f>SUM(T256:T260)</f>
        <v>0</v>
      </c>
      <c r="U261" s="106">
        <f t="shared" ref="U261" si="91">SUM(U256:U260)</f>
        <v>0</v>
      </c>
      <c r="V261" s="108">
        <f>SUM(V256:V260)</f>
        <v>0</v>
      </c>
    </row>
    <row r="262" spans="1:22" ht="14" thickTop="1">
      <c r="A262" s="143">
        <v>42</v>
      </c>
      <c r="B262" s="99" t="s">
        <v>103</v>
      </c>
      <c r="C262" s="100">
        <v>2024</v>
      </c>
      <c r="D262" s="101" cm="1">
        <f t="array" ref="D262">SUMPRODUCT(Start_of_Year_Yr1_42*Long_Term_Monetised_Risk_42)</f>
        <v>0</v>
      </c>
      <c r="E262" s="101" cm="1">
        <f t="array" ref="E262">SUMPRODUCT(Data_Cleansing_Yr1_42*Long_Term_Monetised_Risk_42)</f>
        <v>0</v>
      </c>
      <c r="F262" s="101" cm="1">
        <f t="array" ref="F262">SUMPRODUCT(Deterioration_total_Yr1_42*Long_Term_Monetised_Risk_42)</f>
        <v>0</v>
      </c>
      <c r="G262" s="101" cm="1">
        <f t="array" ref="G262">SUMPRODUCT(Other_Risk_Movements_Yr1_42*Long_Term_Monetised_Risk_42)</f>
        <v>0</v>
      </c>
      <c r="H262" s="101" cm="1">
        <f t="array" ref="H262">SUMPRODUCT(Asset_Replacement_Yr1_42*Long_Term_Monetised_Risk_42)</f>
        <v>0</v>
      </c>
      <c r="I262" s="101" cm="1">
        <f t="array" ref="I262">SUMPRODUCT(Asset_Refurbishment_Yr1_42*Long_Term_Monetised_Risk_42)</f>
        <v>0</v>
      </c>
      <c r="J262" s="101" cm="1">
        <f t="array" ref="J262">SUMPRODUCT(Reinforcement_Yr1_42*Long_Term_Monetised_Risk_42)</f>
        <v>0</v>
      </c>
      <c r="K262" s="101" cm="1">
        <f t="array" ref="K262">SUMPRODUCT(Faults_Yr1_42*Long_Term_Monetised_Risk_42)</f>
        <v>0</v>
      </c>
      <c r="L262" s="101" cm="1">
        <f t="array" ref="L262">SUMPRODUCT(HVP_Asset_Replacement_Refurbishment_Yr1_42*Long_Term_Monetised_Risk_42)</f>
        <v>0</v>
      </c>
      <c r="M262" s="101" cm="1">
        <f t="array" ref="M262">SUMPRODUCT(HVP_Other_Yr1_42*Long_Term_Monetised_Risk_42)</f>
        <v>0</v>
      </c>
      <c r="N262" s="101" cm="1">
        <f t="array" ref="N262">SUMPRODUCT(All_Other_Yr1_42*Long_Term_Monetised_Risk_42)</f>
        <v>0</v>
      </c>
      <c r="O262" s="102" cm="1">
        <f t="array" ref="O262">SUMPRODUCT(End_Of_Year_Yr1_42*Long_Term_Monetised_Risk_42)</f>
        <v>0</v>
      </c>
      <c r="Q262" s="112"/>
      <c r="R262" s="113"/>
      <c r="S262" s="120"/>
      <c r="T262" s="115" cm="1">
        <f t="array" ref="T262">SUMPRODUCT(Asset_Replacement_2028_Yr1_42*Long_Term_Monetised_Risk_42)</f>
        <v>0</v>
      </c>
      <c r="U262" s="101" cm="1">
        <f t="array" ref="U262">SUMPRODUCT(Asset_Refurbishment_2028_Yr1_42*Long_Term_Monetised_Risk_42)</f>
        <v>0</v>
      </c>
      <c r="V262" s="102" cm="1">
        <f t="array" ref="V262">SUMPRODUCT(HVP_2028_Yr1_42*Long_Term_Monetised_Risk_42)</f>
        <v>0</v>
      </c>
    </row>
    <row r="263" spans="1:22">
      <c r="B263" s="93" t="s">
        <v>103</v>
      </c>
      <c r="C263" s="91">
        <v>2025</v>
      </c>
      <c r="D263" s="64" cm="1">
        <f t="array" ref="D263">SUMPRODUCT(Start_of_Year_Yr2_42*Long_Term_Monetised_Risk_42)</f>
        <v>0</v>
      </c>
      <c r="E263" s="64" cm="1">
        <f t="array" ref="E263">SUMPRODUCT(Data_Cleansing_Yr2_42*Long_Term_Monetised_Risk_42)</f>
        <v>0</v>
      </c>
      <c r="F263" s="64" cm="1">
        <f t="array" ref="F263">SUMPRODUCT(Deterioration_total_Yr2_42*Long_Term_Monetised_Risk_42)</f>
        <v>0</v>
      </c>
      <c r="G263" s="64" cm="1">
        <f t="array" ref="G263">SUMPRODUCT(Other_Risk_Movements_Yr2_42*Long_Term_Monetised_Risk_42)</f>
        <v>0</v>
      </c>
      <c r="H263" s="64" cm="1">
        <f t="array" ref="H263">SUMPRODUCT(Asset_Replacement_Yr2_42*Long_Term_Monetised_Risk_42)</f>
        <v>0</v>
      </c>
      <c r="I263" s="64" cm="1">
        <f t="array" ref="I263">SUMPRODUCT(Asset_Refurbishment_Yr2_42*Long_Term_Monetised_Risk_42)</f>
        <v>0</v>
      </c>
      <c r="J263" s="64" cm="1">
        <f t="array" ref="J263">SUMPRODUCT(Reinforcement_Yr2_42*Long_Term_Monetised_Risk_42)</f>
        <v>0</v>
      </c>
      <c r="K263" s="64" cm="1">
        <f t="array" ref="K263">SUMPRODUCT(Faults_Yr2_42*Long_Term_Monetised_Risk_42)</f>
        <v>0</v>
      </c>
      <c r="L263" s="64" cm="1">
        <f t="array" ref="L263">SUMPRODUCT(HVP_Asset_Replacement_Refurbishment_Yr2_42*Long_Term_Monetised_Risk_42)</f>
        <v>0</v>
      </c>
      <c r="M263" s="64" cm="1">
        <f t="array" ref="M263">SUMPRODUCT(HVP_Other_Yr2_42*Long_Term_Monetised_Risk_42)</f>
        <v>0</v>
      </c>
      <c r="N263" s="64" cm="1">
        <f t="array" ref="N263">SUMPRODUCT(All_Other_Yr2_42*Long_Term_Monetised_Risk_42)</f>
        <v>0</v>
      </c>
      <c r="O263" s="65" cm="1">
        <f t="array" ref="O263">SUMPRODUCT(End_Of_Year_Yr2_42*Long_Term_Monetised_Risk_42)</f>
        <v>0</v>
      </c>
      <c r="Q263" s="110"/>
      <c r="R263" s="111"/>
      <c r="S263" s="119"/>
      <c r="T263" s="114" cm="1">
        <f t="array" ref="T263">SUMPRODUCT(Asset_Replacement_2028_Yr2_42*Long_Term_Monetised_Risk_42)</f>
        <v>0</v>
      </c>
      <c r="U263" s="64" cm="1">
        <f t="array" ref="U263">SUMPRODUCT(Asset_Refurbishment_2028_Yr2_42*Long_Term_Monetised_Risk_42)</f>
        <v>0</v>
      </c>
      <c r="V263" s="65" cm="1">
        <f t="array" ref="V263">SUMPRODUCT(HVP_2028_Yr2_42*Long_Term_Monetised_Risk_42)</f>
        <v>0</v>
      </c>
    </row>
    <row r="264" spans="1:22">
      <c r="B264" s="93" t="s">
        <v>103</v>
      </c>
      <c r="C264" s="91">
        <v>2026</v>
      </c>
      <c r="D264" s="64" cm="1">
        <f t="array" ref="D264">SUMPRODUCT(Start_of_Year_Yr3_42*Long_Term_Monetised_Risk_42)</f>
        <v>0</v>
      </c>
      <c r="E264" s="64" cm="1">
        <f t="array" ref="E264">SUMPRODUCT(Data_Cleansing_Yr3_42*Long_Term_Monetised_Risk_42)</f>
        <v>0</v>
      </c>
      <c r="F264" s="64" cm="1">
        <f t="array" ref="F264">SUMPRODUCT(Deterioration_total_Yr3_42*Long_Term_Monetised_Risk_42)</f>
        <v>0</v>
      </c>
      <c r="G264" s="64" cm="1">
        <f t="array" ref="G264">SUMPRODUCT(Other_Risk_Movements_Yr3_42*Long_Term_Monetised_Risk_42)</f>
        <v>0</v>
      </c>
      <c r="H264" s="64" cm="1">
        <f t="array" ref="H264">SUMPRODUCT(Asset_Replacement_Yr3_42*Long_Term_Monetised_Risk_42)</f>
        <v>0</v>
      </c>
      <c r="I264" s="64" cm="1">
        <f t="array" ref="I264">SUMPRODUCT(Asset_Refurbishment_Yr3_42*Long_Term_Monetised_Risk_42)</f>
        <v>0</v>
      </c>
      <c r="J264" s="64" cm="1">
        <f t="array" ref="J264">SUMPRODUCT(Reinforcement_Yr3_42*Long_Term_Monetised_Risk_42)</f>
        <v>0</v>
      </c>
      <c r="K264" s="64" cm="1">
        <f t="array" ref="K264">SUMPRODUCT(Faults_Yr3_42*Long_Term_Monetised_Risk_42)</f>
        <v>0</v>
      </c>
      <c r="L264" s="64" cm="1">
        <f t="array" ref="L264">SUMPRODUCT(HVP_Asset_Replacement_Refurbishment_Yr3_42*Long_Term_Monetised_Risk_42)</f>
        <v>0</v>
      </c>
      <c r="M264" s="64" cm="1">
        <f t="array" ref="M264">SUMPRODUCT(HVP_Other_Yr3_42*Long_Term_Monetised_Risk_42)</f>
        <v>0</v>
      </c>
      <c r="N264" s="64" cm="1">
        <f t="array" ref="N264">SUMPRODUCT(All_Other_Yr3_42*Long_Term_Monetised_Risk_42)</f>
        <v>0</v>
      </c>
      <c r="O264" s="65" cm="1">
        <f t="array" ref="O264">SUMPRODUCT(End_Of_Year_Yr3_42*Long_Term_Monetised_Risk_42)</f>
        <v>0</v>
      </c>
      <c r="Q264" s="110"/>
      <c r="R264" s="111"/>
      <c r="S264" s="119"/>
      <c r="T264" s="114" cm="1">
        <f t="array" ref="T264">SUMPRODUCT(Asset_Replacement_2028_Yr3_42*Long_Term_Monetised_Risk_42)</f>
        <v>0</v>
      </c>
      <c r="U264" s="64" cm="1">
        <f t="array" ref="U264">SUMPRODUCT(Asset_Refurbishment_2028_Yr3_42*Long_Term_Monetised_Risk_42)</f>
        <v>0</v>
      </c>
      <c r="V264" s="65" cm="1">
        <f t="array" ref="V264">SUMPRODUCT(HVP_2028_Yr3_42*Long_Term_Monetised_Risk_42)</f>
        <v>0</v>
      </c>
    </row>
    <row r="265" spans="1:22">
      <c r="B265" s="93" t="s">
        <v>103</v>
      </c>
      <c r="C265" s="91">
        <v>2027</v>
      </c>
      <c r="D265" s="64" cm="1">
        <f t="array" ref="D265">SUMPRODUCT(Start_of_Year_Yr4_42*Long_Term_Monetised_Risk_42)</f>
        <v>0</v>
      </c>
      <c r="E265" s="64" cm="1">
        <f t="array" ref="E265">SUMPRODUCT(Data_Cleansing_Yr4_42*Long_Term_Monetised_Risk_42)</f>
        <v>0</v>
      </c>
      <c r="F265" s="64" cm="1">
        <f t="array" ref="F265">SUMPRODUCT(Deterioration_total_Yr4_42*Long_Term_Monetised_Risk_42)</f>
        <v>0</v>
      </c>
      <c r="G265" s="64" cm="1">
        <f t="array" ref="G265">SUMPRODUCT(Other_Risk_Movements_Yr4_42*Long_Term_Monetised_Risk_42)</f>
        <v>0</v>
      </c>
      <c r="H265" s="64" cm="1">
        <f t="array" ref="H265">SUMPRODUCT(Asset_Replacement_Yr4_42*Long_Term_Monetised_Risk_42)</f>
        <v>0</v>
      </c>
      <c r="I265" s="64" cm="1">
        <f t="array" ref="I265">SUMPRODUCT(Asset_Refurbishment_Yr4_42*Long_Term_Monetised_Risk_42)</f>
        <v>0</v>
      </c>
      <c r="J265" s="64" cm="1">
        <f t="array" ref="J265">SUMPRODUCT(Reinforcement_Yr4_42*Long_Term_Monetised_Risk_42)</f>
        <v>0</v>
      </c>
      <c r="K265" s="64" cm="1">
        <f t="array" ref="K265">SUMPRODUCT(Faults_Yr4_42*Long_Term_Monetised_Risk_42)</f>
        <v>0</v>
      </c>
      <c r="L265" s="64" cm="1">
        <f t="array" ref="L265">SUMPRODUCT(HVP_Asset_Replacement_Refurbishment_Yr4_42*Long_Term_Monetised_Risk_42)</f>
        <v>0</v>
      </c>
      <c r="M265" s="64" cm="1">
        <f t="array" ref="M265">SUMPRODUCT(HVP_Other_Yr4_42*Long_Term_Monetised_Risk_42)</f>
        <v>0</v>
      </c>
      <c r="N265" s="64" cm="1">
        <f t="array" ref="N265">SUMPRODUCT(All_Other_Yr4_42*Long_Term_Monetised_Risk_42)</f>
        <v>0</v>
      </c>
      <c r="O265" s="65" cm="1">
        <f t="array" ref="O265">SUMPRODUCT(End_Of_Year_Yr4_42*Long_Term_Monetised_Risk_42)</f>
        <v>0</v>
      </c>
      <c r="Q265" s="110"/>
      <c r="R265" s="111"/>
      <c r="S265" s="119"/>
      <c r="T265" s="114" cm="1">
        <f t="array" ref="T265">SUMPRODUCT(Asset_Replacement_2028_Yr4_42*Long_Term_Monetised_Risk_42)</f>
        <v>0</v>
      </c>
      <c r="U265" s="64" cm="1">
        <f t="array" ref="U265">SUMPRODUCT(Asset_Refurbishment_2028_Yr4_42*Long_Term_Monetised_Risk_42)</f>
        <v>0</v>
      </c>
      <c r="V265" s="65" cm="1">
        <f t="array" ref="V265">SUMPRODUCT(HVP_2028_Yr4_42*Long_Term_Monetised_Risk_42)</f>
        <v>0</v>
      </c>
    </row>
    <row r="266" spans="1:22">
      <c r="B266" s="93" t="s">
        <v>103</v>
      </c>
      <c r="C266" s="91">
        <v>2028</v>
      </c>
      <c r="D266" s="64" cm="1">
        <f t="array" ref="D266">SUMPRODUCT(Start_of_Year_Yr5_42*Long_Term_Monetised_Risk_42)</f>
        <v>0</v>
      </c>
      <c r="E266" s="64" cm="1">
        <f t="array" ref="E266">SUMPRODUCT(Data_Cleansing_Yr5_42*Long_Term_Monetised_Risk_42)</f>
        <v>0</v>
      </c>
      <c r="F266" s="64" cm="1">
        <f t="array" ref="F266">SUMPRODUCT(Deterioration_total_Yr5_42*Long_Term_Monetised_Risk_42)</f>
        <v>0</v>
      </c>
      <c r="G266" s="64" cm="1">
        <f t="array" ref="G266">SUMPRODUCT(Other_Risk_Movements_Yr5_42*Long_Term_Monetised_Risk_42)</f>
        <v>0</v>
      </c>
      <c r="H266" s="64" cm="1">
        <f t="array" ref="H266">SUMPRODUCT(Asset_Replacement_Yr5_42*Long_Term_Monetised_Risk_42)</f>
        <v>0</v>
      </c>
      <c r="I266" s="64" cm="1">
        <f t="array" ref="I266">SUMPRODUCT(Asset_Refurbishment_Yr5_42*Long_Term_Monetised_Risk_42)</f>
        <v>0</v>
      </c>
      <c r="J266" s="64" cm="1">
        <f t="array" ref="J266">SUMPRODUCT(Reinforcement_Yr5_42*Long_Term_Monetised_Risk_42)</f>
        <v>0</v>
      </c>
      <c r="K266" s="64" cm="1">
        <f t="array" ref="K266">SUMPRODUCT(Faults_Yr5_42*Long_Term_Monetised_Risk_42)</f>
        <v>0</v>
      </c>
      <c r="L266" s="64" cm="1">
        <f t="array" ref="L266">SUMPRODUCT(HVP_Asset_Replacement_Refurbishment_Yr5_42*Long_Term_Monetised_Risk_42)</f>
        <v>0</v>
      </c>
      <c r="M266" s="64" cm="1">
        <f t="array" ref="M266">SUMPRODUCT(HVP_Other_Yr5_42*Long_Term_Monetised_Risk_42)</f>
        <v>0</v>
      </c>
      <c r="N266" s="64" cm="1">
        <f t="array" ref="N266">SUMPRODUCT(All_Other_Yr5_42*Long_Term_Monetised_Risk_42)</f>
        <v>0</v>
      </c>
      <c r="O266" s="65" cm="1">
        <f t="array" ref="O266">SUMPRODUCT(End_Of_Year_Yr5_42*Long_Term_Monetised_Risk_42)</f>
        <v>0</v>
      </c>
      <c r="Q266" s="110"/>
      <c r="R266" s="111"/>
      <c r="S266" s="119"/>
      <c r="T266" s="114" cm="1">
        <f t="array" ref="T266">SUMPRODUCT(Asset_Replacement_2028_Yr5_42*Long_Term_Monetised_Risk_42)</f>
        <v>0</v>
      </c>
      <c r="U266" s="64" cm="1">
        <f t="array" ref="U266">SUMPRODUCT(Asset_Refurbishment_2028_Yr5_42*Long_Term_Monetised_Risk_42)</f>
        <v>0</v>
      </c>
      <c r="V266" s="65" cm="1">
        <f t="array" ref="V266">SUMPRODUCT(HVP_2028_Yr5_42*Long_Term_Monetised_Risk_42)</f>
        <v>0</v>
      </c>
    </row>
    <row r="267" spans="1:22" ht="14" thickBot="1">
      <c r="B267" s="103" t="s">
        <v>103</v>
      </c>
      <c r="C267" s="104" t="s">
        <v>131</v>
      </c>
      <c r="D267" s="105"/>
      <c r="E267" s="106">
        <f t="shared" ref="E267:O267" si="92">SUM(E262:E266)</f>
        <v>0</v>
      </c>
      <c r="F267" s="106">
        <f t="shared" si="92"/>
        <v>0</v>
      </c>
      <c r="G267" s="106">
        <f t="shared" si="92"/>
        <v>0</v>
      </c>
      <c r="H267" s="106">
        <f t="shared" si="92"/>
        <v>0</v>
      </c>
      <c r="I267" s="106">
        <f t="shared" si="92"/>
        <v>0</v>
      </c>
      <c r="J267" s="106">
        <f t="shared" si="92"/>
        <v>0</v>
      </c>
      <c r="K267" s="106">
        <f t="shared" si="92"/>
        <v>0</v>
      </c>
      <c r="L267" s="106">
        <f t="shared" si="92"/>
        <v>0</v>
      </c>
      <c r="M267" s="106">
        <f t="shared" si="92"/>
        <v>0</v>
      </c>
      <c r="N267" s="106">
        <f t="shared" si="92"/>
        <v>0</v>
      </c>
      <c r="O267" s="537">
        <f t="shared" si="92"/>
        <v>0</v>
      </c>
      <c r="Q267" s="107" t="str">
        <f ca="1">VLOOKUP($B267,'NARM4 - ED2 NARW Risk Movements'!$B$7:$G$67,4,FALSE)</f>
        <v/>
      </c>
      <c r="R267" s="109" t="str">
        <f ca="1">VLOOKUP($B267,'NARM4 - ED2 NARW Risk Movements'!$B$7:$G$67,5,FALSE)</f>
        <v/>
      </c>
      <c r="S267" s="121" t="str">
        <f ca="1">VLOOKUP($B267,'NARM4 - ED2 NARW Risk Movements'!$B$7:$G$67,6,FALSE)</f>
        <v/>
      </c>
      <c r="T267" s="117">
        <f>SUM(T262:T266)</f>
        <v>0</v>
      </c>
      <c r="U267" s="106">
        <f t="shared" ref="U267" si="93">SUM(U262:U266)</f>
        <v>0</v>
      </c>
      <c r="V267" s="108">
        <f>SUM(V262:V266)</f>
        <v>0</v>
      </c>
    </row>
    <row r="268" spans="1:22" ht="14" thickTop="1">
      <c r="A268" s="143">
        <v>43</v>
      </c>
      <c r="B268" s="99" t="s">
        <v>104</v>
      </c>
      <c r="C268" s="100">
        <v>2024</v>
      </c>
      <c r="D268" s="101" cm="1">
        <f t="array" ref="D268">SUMPRODUCT(Start_of_Year_Yr1_43*Long_Term_Monetised_Risk_43)</f>
        <v>0</v>
      </c>
      <c r="E268" s="101" cm="1">
        <f t="array" ref="E268">SUMPRODUCT(Data_Cleansing_Yr1_43*Long_Term_Monetised_Risk_43)</f>
        <v>0</v>
      </c>
      <c r="F268" s="101" cm="1">
        <f t="array" ref="F268">SUMPRODUCT(Deterioration_total_Yr1_43*Long_Term_Monetised_Risk_43)</f>
        <v>0</v>
      </c>
      <c r="G268" s="101" cm="1">
        <f t="array" ref="G268">SUMPRODUCT(Other_Risk_Movements_Yr1_43*Long_Term_Monetised_Risk_43)</f>
        <v>0</v>
      </c>
      <c r="H268" s="101" cm="1">
        <f t="array" ref="H268">SUMPRODUCT(Asset_Replacement_Yr1_43*Long_Term_Monetised_Risk_43)</f>
        <v>0</v>
      </c>
      <c r="I268" s="101" cm="1">
        <f t="array" ref="I268">SUMPRODUCT(Asset_Refurbishment_Yr1_43*Long_Term_Monetised_Risk_43)</f>
        <v>0</v>
      </c>
      <c r="J268" s="101" cm="1">
        <f t="array" ref="J268">SUMPRODUCT(Reinforcement_Yr1_43*Long_Term_Monetised_Risk_43)</f>
        <v>0</v>
      </c>
      <c r="K268" s="101" cm="1">
        <f t="array" ref="K268">SUMPRODUCT(Faults_Yr1_43*Long_Term_Monetised_Risk_43)</f>
        <v>0</v>
      </c>
      <c r="L268" s="101" cm="1">
        <f t="array" ref="L268">SUMPRODUCT(HVP_Asset_Replacement_Refurbishment_Yr1_43*Long_Term_Monetised_Risk_43)</f>
        <v>0</v>
      </c>
      <c r="M268" s="101" cm="1">
        <f t="array" ref="M268">SUMPRODUCT(HVP_Other_Yr1_43*Long_Term_Monetised_Risk_43)</f>
        <v>0</v>
      </c>
      <c r="N268" s="101" cm="1">
        <f t="array" ref="N268">SUMPRODUCT(All_Other_Yr1_43*Long_Term_Monetised_Risk_43)</f>
        <v>0</v>
      </c>
      <c r="O268" s="102" cm="1">
        <f t="array" ref="O268">SUMPRODUCT(End_Of_Year_Yr1_43*Long_Term_Monetised_Risk_43)</f>
        <v>0</v>
      </c>
      <c r="Q268" s="112"/>
      <c r="R268" s="113"/>
      <c r="S268" s="120"/>
      <c r="T268" s="115" cm="1">
        <f t="array" ref="T268">SUMPRODUCT(Asset_Replacement_2028_Yr1_43*Long_Term_Monetised_Risk_43)</f>
        <v>0</v>
      </c>
      <c r="U268" s="101" cm="1">
        <f t="array" ref="U268">SUMPRODUCT(Asset_Refurbishment_2028_Yr1_43*Long_Term_Monetised_Risk_43)</f>
        <v>0</v>
      </c>
      <c r="V268" s="102" cm="1">
        <f t="array" ref="V268">SUMPRODUCT(HVP_2028_Yr1_43*Long_Term_Monetised_Risk_43)</f>
        <v>0</v>
      </c>
    </row>
    <row r="269" spans="1:22">
      <c r="B269" s="93" t="s">
        <v>104</v>
      </c>
      <c r="C269" s="91">
        <v>2025</v>
      </c>
      <c r="D269" s="64" cm="1">
        <f t="array" ref="D269">SUMPRODUCT(Start_of_Year_Yr2_43*Long_Term_Monetised_Risk_43)</f>
        <v>0</v>
      </c>
      <c r="E269" s="64" cm="1">
        <f t="array" ref="E269">SUMPRODUCT(Data_Cleansing_Yr2_43*Long_Term_Monetised_Risk_43)</f>
        <v>0</v>
      </c>
      <c r="F269" s="64" cm="1">
        <f t="array" ref="F269">SUMPRODUCT(Deterioration_total_Yr2_43*Long_Term_Monetised_Risk_43)</f>
        <v>0</v>
      </c>
      <c r="G269" s="64" cm="1">
        <f t="array" ref="G269">SUMPRODUCT(Other_Risk_Movements_Yr2_43*Long_Term_Monetised_Risk_43)</f>
        <v>0</v>
      </c>
      <c r="H269" s="64" cm="1">
        <f t="array" ref="H269">SUMPRODUCT(Asset_Replacement_Yr2_43*Long_Term_Monetised_Risk_43)</f>
        <v>0</v>
      </c>
      <c r="I269" s="64" cm="1">
        <f t="array" ref="I269">SUMPRODUCT(Asset_Refurbishment_Yr2_43*Long_Term_Monetised_Risk_43)</f>
        <v>0</v>
      </c>
      <c r="J269" s="64" cm="1">
        <f t="array" ref="J269">SUMPRODUCT(Reinforcement_Yr2_43*Long_Term_Monetised_Risk_43)</f>
        <v>0</v>
      </c>
      <c r="K269" s="64" cm="1">
        <f t="array" ref="K269">SUMPRODUCT(Faults_Yr2_43*Long_Term_Monetised_Risk_43)</f>
        <v>0</v>
      </c>
      <c r="L269" s="64" cm="1">
        <f t="array" ref="L269">SUMPRODUCT(HVP_Asset_Replacement_Refurbishment_Yr2_43*Long_Term_Monetised_Risk_43)</f>
        <v>0</v>
      </c>
      <c r="M269" s="64" cm="1">
        <f t="array" ref="M269">SUMPRODUCT(HVP_Other_Yr2_43*Long_Term_Monetised_Risk_43)</f>
        <v>0</v>
      </c>
      <c r="N269" s="64" cm="1">
        <f t="array" ref="N269">SUMPRODUCT(All_Other_Yr2_43*Long_Term_Monetised_Risk_43)</f>
        <v>0</v>
      </c>
      <c r="O269" s="65" cm="1">
        <f t="array" ref="O269">SUMPRODUCT(End_Of_Year_Yr2_43*Long_Term_Monetised_Risk_43)</f>
        <v>0</v>
      </c>
      <c r="Q269" s="110"/>
      <c r="R269" s="111"/>
      <c r="S269" s="119"/>
      <c r="T269" s="114" cm="1">
        <f t="array" ref="T269">SUMPRODUCT(Asset_Replacement_2028_Yr2_43*Long_Term_Monetised_Risk_43)</f>
        <v>0</v>
      </c>
      <c r="U269" s="64" cm="1">
        <f t="array" ref="U269">SUMPRODUCT(Asset_Refurbishment_2028_Yr2_43*Long_Term_Monetised_Risk_43)</f>
        <v>0</v>
      </c>
      <c r="V269" s="65" cm="1">
        <f t="array" ref="V269">SUMPRODUCT(HVP_2028_Yr2_43*Long_Term_Monetised_Risk_43)</f>
        <v>0</v>
      </c>
    </row>
    <row r="270" spans="1:22">
      <c r="B270" s="93" t="s">
        <v>104</v>
      </c>
      <c r="C270" s="91">
        <v>2026</v>
      </c>
      <c r="D270" s="64" cm="1">
        <f t="array" ref="D270">SUMPRODUCT(Start_of_Year_Yr3_43*Long_Term_Monetised_Risk_43)</f>
        <v>0</v>
      </c>
      <c r="E270" s="64" cm="1">
        <f t="array" ref="E270">SUMPRODUCT(Data_Cleansing_Yr3_43*Long_Term_Monetised_Risk_43)</f>
        <v>0</v>
      </c>
      <c r="F270" s="64" cm="1">
        <f t="array" ref="F270">SUMPRODUCT(Deterioration_total_Yr3_43*Long_Term_Monetised_Risk_43)</f>
        <v>0</v>
      </c>
      <c r="G270" s="64" cm="1">
        <f t="array" ref="G270">SUMPRODUCT(Other_Risk_Movements_Yr3_43*Long_Term_Monetised_Risk_43)</f>
        <v>0</v>
      </c>
      <c r="H270" s="64" cm="1">
        <f t="array" ref="H270">SUMPRODUCT(Asset_Replacement_Yr3_43*Long_Term_Monetised_Risk_43)</f>
        <v>0</v>
      </c>
      <c r="I270" s="64" cm="1">
        <f t="array" ref="I270">SUMPRODUCT(Asset_Refurbishment_Yr3_43*Long_Term_Monetised_Risk_43)</f>
        <v>0</v>
      </c>
      <c r="J270" s="64" cm="1">
        <f t="array" ref="J270">SUMPRODUCT(Reinforcement_Yr3_43*Long_Term_Monetised_Risk_43)</f>
        <v>0</v>
      </c>
      <c r="K270" s="64" cm="1">
        <f t="array" ref="K270">SUMPRODUCT(Faults_Yr3_43*Long_Term_Monetised_Risk_43)</f>
        <v>0</v>
      </c>
      <c r="L270" s="64" cm="1">
        <f t="array" ref="L270">SUMPRODUCT(HVP_Asset_Replacement_Refurbishment_Yr3_43*Long_Term_Monetised_Risk_43)</f>
        <v>0</v>
      </c>
      <c r="M270" s="64" cm="1">
        <f t="array" ref="M270">SUMPRODUCT(HVP_Other_Yr3_43*Long_Term_Monetised_Risk_43)</f>
        <v>0</v>
      </c>
      <c r="N270" s="64" cm="1">
        <f t="array" ref="N270">SUMPRODUCT(All_Other_Yr3_43*Long_Term_Monetised_Risk_43)</f>
        <v>0</v>
      </c>
      <c r="O270" s="65" cm="1">
        <f t="array" ref="O270">SUMPRODUCT(End_Of_Year_Yr3_43*Long_Term_Monetised_Risk_43)</f>
        <v>0</v>
      </c>
      <c r="Q270" s="110"/>
      <c r="R270" s="111"/>
      <c r="S270" s="119"/>
      <c r="T270" s="114" cm="1">
        <f t="array" ref="T270">SUMPRODUCT(Asset_Replacement_2028_Yr3_43*Long_Term_Monetised_Risk_43)</f>
        <v>0</v>
      </c>
      <c r="U270" s="64" cm="1">
        <f t="array" ref="U270">SUMPRODUCT(Asset_Refurbishment_2028_Yr3_43*Long_Term_Monetised_Risk_43)</f>
        <v>0</v>
      </c>
      <c r="V270" s="65" cm="1">
        <f t="array" ref="V270">SUMPRODUCT(HVP_2028_Yr3_43*Long_Term_Monetised_Risk_43)</f>
        <v>0</v>
      </c>
    </row>
    <row r="271" spans="1:22">
      <c r="B271" s="93" t="s">
        <v>104</v>
      </c>
      <c r="C271" s="91">
        <v>2027</v>
      </c>
      <c r="D271" s="64" cm="1">
        <f t="array" ref="D271">SUMPRODUCT(Start_of_Year_Yr4_43*Long_Term_Monetised_Risk_43)</f>
        <v>0</v>
      </c>
      <c r="E271" s="64" cm="1">
        <f t="array" ref="E271">SUMPRODUCT(Data_Cleansing_Yr4_43*Long_Term_Monetised_Risk_43)</f>
        <v>0</v>
      </c>
      <c r="F271" s="64" cm="1">
        <f t="array" ref="F271">SUMPRODUCT(Deterioration_total_Yr4_43*Long_Term_Monetised_Risk_43)</f>
        <v>0</v>
      </c>
      <c r="G271" s="64" cm="1">
        <f t="array" ref="G271">SUMPRODUCT(Other_Risk_Movements_Yr4_43*Long_Term_Monetised_Risk_43)</f>
        <v>0</v>
      </c>
      <c r="H271" s="64" cm="1">
        <f t="array" ref="H271">SUMPRODUCT(Asset_Replacement_Yr4_43*Long_Term_Monetised_Risk_43)</f>
        <v>0</v>
      </c>
      <c r="I271" s="64" cm="1">
        <f t="array" ref="I271">SUMPRODUCT(Asset_Refurbishment_Yr4_43*Long_Term_Monetised_Risk_43)</f>
        <v>0</v>
      </c>
      <c r="J271" s="64" cm="1">
        <f t="array" ref="J271">SUMPRODUCT(Reinforcement_Yr4_43*Long_Term_Monetised_Risk_43)</f>
        <v>0</v>
      </c>
      <c r="K271" s="64" cm="1">
        <f t="array" ref="K271">SUMPRODUCT(Faults_Yr4_43*Long_Term_Monetised_Risk_43)</f>
        <v>0</v>
      </c>
      <c r="L271" s="64" cm="1">
        <f t="array" ref="L271">SUMPRODUCT(HVP_Asset_Replacement_Refurbishment_Yr4_43*Long_Term_Monetised_Risk_43)</f>
        <v>0</v>
      </c>
      <c r="M271" s="64" cm="1">
        <f t="array" ref="M271">SUMPRODUCT(HVP_Other_Yr4_43*Long_Term_Monetised_Risk_43)</f>
        <v>0</v>
      </c>
      <c r="N271" s="64" cm="1">
        <f t="array" ref="N271">SUMPRODUCT(All_Other_Yr4_43*Long_Term_Monetised_Risk_43)</f>
        <v>0</v>
      </c>
      <c r="O271" s="65" cm="1">
        <f t="array" ref="O271">SUMPRODUCT(End_Of_Year_Yr4_43*Long_Term_Monetised_Risk_43)</f>
        <v>0</v>
      </c>
      <c r="Q271" s="110"/>
      <c r="R271" s="111"/>
      <c r="S271" s="119"/>
      <c r="T271" s="114" cm="1">
        <f t="array" ref="T271">SUMPRODUCT(Asset_Replacement_2028_Yr4_43*Long_Term_Monetised_Risk_43)</f>
        <v>0</v>
      </c>
      <c r="U271" s="64" cm="1">
        <f t="array" ref="U271">SUMPRODUCT(Asset_Refurbishment_2028_Yr4_43*Long_Term_Monetised_Risk_43)</f>
        <v>0</v>
      </c>
      <c r="V271" s="65" cm="1">
        <f t="array" ref="V271">SUMPRODUCT(HVP_2028_Yr4_43*Long_Term_Monetised_Risk_43)</f>
        <v>0</v>
      </c>
    </row>
    <row r="272" spans="1:22">
      <c r="B272" s="93" t="s">
        <v>104</v>
      </c>
      <c r="C272" s="91">
        <v>2028</v>
      </c>
      <c r="D272" s="64" cm="1">
        <f t="array" ref="D272">SUMPRODUCT(Start_of_Year_Yr5_43*Long_Term_Monetised_Risk_43)</f>
        <v>0</v>
      </c>
      <c r="E272" s="64" cm="1">
        <f t="array" ref="E272">SUMPRODUCT(Data_Cleansing_Yr5_43*Long_Term_Monetised_Risk_43)</f>
        <v>0</v>
      </c>
      <c r="F272" s="64" cm="1">
        <f t="array" ref="F272">SUMPRODUCT(Deterioration_total_Yr5_43*Long_Term_Monetised_Risk_43)</f>
        <v>0</v>
      </c>
      <c r="G272" s="64" cm="1">
        <f t="array" ref="G272">SUMPRODUCT(Other_Risk_Movements_Yr5_43*Long_Term_Monetised_Risk_43)</f>
        <v>0</v>
      </c>
      <c r="H272" s="64" cm="1">
        <f t="array" ref="H272">SUMPRODUCT(Asset_Replacement_Yr5_43*Long_Term_Monetised_Risk_43)</f>
        <v>0</v>
      </c>
      <c r="I272" s="64" cm="1">
        <f t="array" ref="I272">SUMPRODUCT(Asset_Refurbishment_Yr5_43*Long_Term_Monetised_Risk_43)</f>
        <v>0</v>
      </c>
      <c r="J272" s="64" cm="1">
        <f t="array" ref="J272">SUMPRODUCT(Reinforcement_Yr5_43*Long_Term_Monetised_Risk_43)</f>
        <v>0</v>
      </c>
      <c r="K272" s="64" cm="1">
        <f t="array" ref="K272">SUMPRODUCT(Faults_Yr5_43*Long_Term_Monetised_Risk_43)</f>
        <v>0</v>
      </c>
      <c r="L272" s="64" cm="1">
        <f t="array" ref="L272">SUMPRODUCT(HVP_Asset_Replacement_Refurbishment_Yr5_43*Long_Term_Monetised_Risk_43)</f>
        <v>0</v>
      </c>
      <c r="M272" s="64" cm="1">
        <f t="array" ref="M272">SUMPRODUCT(HVP_Other_Yr5_43*Long_Term_Monetised_Risk_43)</f>
        <v>0</v>
      </c>
      <c r="N272" s="64" cm="1">
        <f t="array" ref="N272">SUMPRODUCT(All_Other_Yr5_43*Long_Term_Monetised_Risk_43)</f>
        <v>0</v>
      </c>
      <c r="O272" s="65" cm="1">
        <f t="array" ref="O272">SUMPRODUCT(End_Of_Year_Yr5_43*Long_Term_Monetised_Risk_43)</f>
        <v>0</v>
      </c>
      <c r="Q272" s="110"/>
      <c r="R272" s="111"/>
      <c r="S272" s="119"/>
      <c r="T272" s="114" cm="1">
        <f t="array" ref="T272">SUMPRODUCT(Asset_Replacement_2028_Yr5_43*Long_Term_Monetised_Risk_43)</f>
        <v>0</v>
      </c>
      <c r="U272" s="64" cm="1">
        <f t="array" ref="U272">SUMPRODUCT(Asset_Refurbishment_2028_Yr5_43*Long_Term_Monetised_Risk_43)</f>
        <v>0</v>
      </c>
      <c r="V272" s="65" cm="1">
        <f t="array" ref="V272">SUMPRODUCT(HVP_2028_Yr5_43*Long_Term_Monetised_Risk_43)</f>
        <v>0</v>
      </c>
    </row>
    <row r="273" spans="1:22" ht="14" thickBot="1">
      <c r="B273" s="103" t="s">
        <v>104</v>
      </c>
      <c r="C273" s="104" t="s">
        <v>131</v>
      </c>
      <c r="D273" s="105"/>
      <c r="E273" s="106">
        <f t="shared" ref="E273:O273" si="94">SUM(E268:E272)</f>
        <v>0</v>
      </c>
      <c r="F273" s="106">
        <f t="shared" si="94"/>
        <v>0</v>
      </c>
      <c r="G273" s="106">
        <f t="shared" si="94"/>
        <v>0</v>
      </c>
      <c r="H273" s="106">
        <f t="shared" si="94"/>
        <v>0</v>
      </c>
      <c r="I273" s="106">
        <f t="shared" si="94"/>
        <v>0</v>
      </c>
      <c r="J273" s="106">
        <f t="shared" si="94"/>
        <v>0</v>
      </c>
      <c r="K273" s="106">
        <f t="shared" si="94"/>
        <v>0</v>
      </c>
      <c r="L273" s="106">
        <f t="shared" si="94"/>
        <v>0</v>
      </c>
      <c r="M273" s="106">
        <f t="shared" si="94"/>
        <v>0</v>
      </c>
      <c r="N273" s="106">
        <f t="shared" si="94"/>
        <v>0</v>
      </c>
      <c r="O273" s="537">
        <f t="shared" si="94"/>
        <v>0</v>
      </c>
      <c r="Q273" s="107" t="str">
        <f ca="1">VLOOKUP($B273,'NARM4 - ED2 NARW Risk Movements'!$B$7:$G$67,4,FALSE)</f>
        <v/>
      </c>
      <c r="R273" s="109" t="str">
        <f ca="1">VLOOKUP($B273,'NARM4 - ED2 NARW Risk Movements'!$B$7:$G$67,5,FALSE)</f>
        <v/>
      </c>
      <c r="S273" s="121" t="str">
        <f ca="1">VLOOKUP($B273,'NARM4 - ED2 NARW Risk Movements'!$B$7:$G$67,6,FALSE)</f>
        <v/>
      </c>
      <c r="T273" s="117">
        <f>SUM(T268:T272)</f>
        <v>0</v>
      </c>
      <c r="U273" s="106">
        <f t="shared" ref="U273" si="95">SUM(U268:U272)</f>
        <v>0</v>
      </c>
      <c r="V273" s="108">
        <f>SUM(V268:V272)</f>
        <v>0</v>
      </c>
    </row>
    <row r="274" spans="1:22" ht="14" thickTop="1">
      <c r="A274" s="143">
        <v>44</v>
      </c>
      <c r="B274" s="99" t="s">
        <v>105</v>
      </c>
      <c r="C274" s="100">
        <v>2024</v>
      </c>
      <c r="D274" s="101" cm="1">
        <f t="array" ref="D274">SUMPRODUCT(Start_of_Year_Yr1_44*Long_Term_Monetised_Risk_44)</f>
        <v>0</v>
      </c>
      <c r="E274" s="101" cm="1">
        <f t="array" ref="E274">SUMPRODUCT(Data_Cleansing_Yr1_44*Long_Term_Monetised_Risk_44)</f>
        <v>0</v>
      </c>
      <c r="F274" s="101" cm="1">
        <f t="array" ref="F274">SUMPRODUCT(Deterioration_total_Yr1_44*Long_Term_Monetised_Risk_44)</f>
        <v>0</v>
      </c>
      <c r="G274" s="101" cm="1">
        <f t="array" ref="G274">SUMPRODUCT(Other_Risk_Movements_Yr1_44*Long_Term_Monetised_Risk_44)</f>
        <v>0</v>
      </c>
      <c r="H274" s="101" cm="1">
        <f t="array" ref="H274">SUMPRODUCT(Asset_Replacement_Yr1_44*Long_Term_Monetised_Risk_44)</f>
        <v>0</v>
      </c>
      <c r="I274" s="101" cm="1">
        <f t="array" ref="I274">SUMPRODUCT(Asset_Refurbishment_Yr1_44*Long_Term_Monetised_Risk_44)</f>
        <v>0</v>
      </c>
      <c r="J274" s="101" cm="1">
        <f t="array" ref="J274">SUMPRODUCT(Reinforcement_Yr1_44*Long_Term_Monetised_Risk_44)</f>
        <v>0</v>
      </c>
      <c r="K274" s="101" cm="1">
        <f t="array" ref="K274">SUMPRODUCT(Faults_Yr1_44*Long_Term_Monetised_Risk_44)</f>
        <v>0</v>
      </c>
      <c r="L274" s="101" cm="1">
        <f t="array" ref="L274">SUMPRODUCT(HVP_Asset_Replacement_Refurbishment_Yr1_44*Long_Term_Monetised_Risk_44)</f>
        <v>0</v>
      </c>
      <c r="M274" s="101" cm="1">
        <f t="array" ref="M274">SUMPRODUCT(HVP_Other_Yr1_44*Long_Term_Monetised_Risk_44)</f>
        <v>0</v>
      </c>
      <c r="N274" s="101" cm="1">
        <f t="array" ref="N274">SUMPRODUCT(All_Other_Yr1_44*Long_Term_Monetised_Risk_44)</f>
        <v>0</v>
      </c>
      <c r="O274" s="102" cm="1">
        <f t="array" ref="O274">SUMPRODUCT(End_Of_Year_Yr1_44*Long_Term_Monetised_Risk_44)</f>
        <v>0</v>
      </c>
      <c r="Q274" s="112"/>
      <c r="R274" s="113"/>
      <c r="S274" s="120"/>
      <c r="T274" s="115" cm="1">
        <f t="array" ref="T274">SUMPRODUCT(Asset_Replacement_2028_Yr1_44*Long_Term_Monetised_Risk_44)</f>
        <v>0</v>
      </c>
      <c r="U274" s="101" cm="1">
        <f t="array" ref="U274">SUMPRODUCT(Asset_Refurbishment_2028_Yr1_44*Long_Term_Monetised_Risk_44)</f>
        <v>0</v>
      </c>
      <c r="V274" s="102" cm="1">
        <f t="array" ref="V274">SUMPRODUCT(HVP_2028_Yr1_44*Long_Term_Monetised_Risk_44)</f>
        <v>0</v>
      </c>
    </row>
    <row r="275" spans="1:22">
      <c r="B275" s="93" t="s">
        <v>105</v>
      </c>
      <c r="C275" s="91">
        <v>2025</v>
      </c>
      <c r="D275" s="64" cm="1">
        <f t="array" ref="D275">SUMPRODUCT(Start_of_Year_Yr2_44*Long_Term_Monetised_Risk_44)</f>
        <v>0</v>
      </c>
      <c r="E275" s="64" cm="1">
        <f t="array" ref="E275">SUMPRODUCT(Data_Cleansing_Yr2_44*Long_Term_Monetised_Risk_44)</f>
        <v>0</v>
      </c>
      <c r="F275" s="64" cm="1">
        <f t="array" ref="F275">SUMPRODUCT(Deterioration_total_Yr2_44*Long_Term_Monetised_Risk_44)</f>
        <v>0</v>
      </c>
      <c r="G275" s="64" cm="1">
        <f t="array" ref="G275">SUMPRODUCT(Other_Risk_Movements_Yr2_44*Long_Term_Monetised_Risk_44)</f>
        <v>0</v>
      </c>
      <c r="H275" s="64" cm="1">
        <f t="array" ref="H275">SUMPRODUCT(Asset_Replacement_Yr2_44*Long_Term_Monetised_Risk_44)</f>
        <v>0</v>
      </c>
      <c r="I275" s="64" cm="1">
        <f t="array" ref="I275">SUMPRODUCT(Asset_Refurbishment_Yr2_44*Long_Term_Monetised_Risk_44)</f>
        <v>0</v>
      </c>
      <c r="J275" s="64" cm="1">
        <f t="array" ref="J275">SUMPRODUCT(Reinforcement_Yr2_44*Long_Term_Monetised_Risk_44)</f>
        <v>0</v>
      </c>
      <c r="K275" s="64" cm="1">
        <f t="array" ref="K275">SUMPRODUCT(Faults_Yr2_44*Long_Term_Monetised_Risk_44)</f>
        <v>0</v>
      </c>
      <c r="L275" s="64" cm="1">
        <f t="array" ref="L275">SUMPRODUCT(HVP_Asset_Replacement_Refurbishment_Yr2_44*Long_Term_Monetised_Risk_44)</f>
        <v>0</v>
      </c>
      <c r="M275" s="64" cm="1">
        <f t="array" ref="M275">SUMPRODUCT(HVP_Other_Yr2_44*Long_Term_Monetised_Risk_44)</f>
        <v>0</v>
      </c>
      <c r="N275" s="64" cm="1">
        <f t="array" ref="N275">SUMPRODUCT(All_Other_Yr2_44*Long_Term_Monetised_Risk_44)</f>
        <v>0</v>
      </c>
      <c r="O275" s="65" cm="1">
        <f t="array" ref="O275">SUMPRODUCT(End_Of_Year_Yr2_44*Long_Term_Monetised_Risk_44)</f>
        <v>0</v>
      </c>
      <c r="Q275" s="110"/>
      <c r="R275" s="111"/>
      <c r="S275" s="119"/>
      <c r="T275" s="114" cm="1">
        <f t="array" ref="T275">SUMPRODUCT(Asset_Replacement_2028_Yr2_44*Long_Term_Monetised_Risk_44)</f>
        <v>0</v>
      </c>
      <c r="U275" s="64" cm="1">
        <f t="array" ref="U275">SUMPRODUCT(Asset_Refurbishment_2028_Yr2_44*Long_Term_Monetised_Risk_44)</f>
        <v>0</v>
      </c>
      <c r="V275" s="65" cm="1">
        <f t="array" ref="V275">SUMPRODUCT(HVP_2028_Yr2_44*Long_Term_Monetised_Risk_44)</f>
        <v>0</v>
      </c>
    </row>
    <row r="276" spans="1:22">
      <c r="B276" s="93" t="s">
        <v>105</v>
      </c>
      <c r="C276" s="91">
        <v>2026</v>
      </c>
      <c r="D276" s="64" cm="1">
        <f t="array" ref="D276">SUMPRODUCT(Start_of_Year_Yr3_44*Long_Term_Monetised_Risk_44)</f>
        <v>0</v>
      </c>
      <c r="E276" s="64" cm="1">
        <f t="array" ref="E276">SUMPRODUCT(Data_Cleansing_Yr3_44*Long_Term_Monetised_Risk_44)</f>
        <v>0</v>
      </c>
      <c r="F276" s="64" cm="1">
        <f t="array" ref="F276">SUMPRODUCT(Deterioration_total_Yr3_44*Long_Term_Monetised_Risk_44)</f>
        <v>0</v>
      </c>
      <c r="G276" s="64" cm="1">
        <f t="array" ref="G276">SUMPRODUCT(Other_Risk_Movements_Yr3_44*Long_Term_Monetised_Risk_44)</f>
        <v>0</v>
      </c>
      <c r="H276" s="64" cm="1">
        <f t="array" ref="H276">SUMPRODUCT(Asset_Replacement_Yr3_44*Long_Term_Monetised_Risk_44)</f>
        <v>0</v>
      </c>
      <c r="I276" s="64" cm="1">
        <f t="array" ref="I276">SUMPRODUCT(Asset_Refurbishment_Yr3_44*Long_Term_Monetised_Risk_44)</f>
        <v>0</v>
      </c>
      <c r="J276" s="64" cm="1">
        <f t="array" ref="J276">SUMPRODUCT(Reinforcement_Yr3_44*Long_Term_Monetised_Risk_44)</f>
        <v>0</v>
      </c>
      <c r="K276" s="64" cm="1">
        <f t="array" ref="K276">SUMPRODUCT(Faults_Yr3_44*Long_Term_Monetised_Risk_44)</f>
        <v>0</v>
      </c>
      <c r="L276" s="64" cm="1">
        <f t="array" ref="L276">SUMPRODUCT(HVP_Asset_Replacement_Refurbishment_Yr3_44*Long_Term_Monetised_Risk_44)</f>
        <v>0</v>
      </c>
      <c r="M276" s="64" cm="1">
        <f t="array" ref="M276">SUMPRODUCT(HVP_Other_Yr3_44*Long_Term_Monetised_Risk_44)</f>
        <v>0</v>
      </c>
      <c r="N276" s="64" cm="1">
        <f t="array" ref="N276">SUMPRODUCT(All_Other_Yr3_44*Long_Term_Monetised_Risk_44)</f>
        <v>0</v>
      </c>
      <c r="O276" s="65" cm="1">
        <f t="array" ref="O276">SUMPRODUCT(End_Of_Year_Yr3_44*Long_Term_Monetised_Risk_44)</f>
        <v>0</v>
      </c>
      <c r="Q276" s="110"/>
      <c r="R276" s="111"/>
      <c r="S276" s="119"/>
      <c r="T276" s="114" cm="1">
        <f t="array" ref="T276">SUMPRODUCT(Asset_Replacement_2028_Yr3_44*Long_Term_Monetised_Risk_44)</f>
        <v>0</v>
      </c>
      <c r="U276" s="64" cm="1">
        <f t="array" ref="U276">SUMPRODUCT(Asset_Refurbishment_2028_Yr3_44*Long_Term_Monetised_Risk_44)</f>
        <v>0</v>
      </c>
      <c r="V276" s="65" cm="1">
        <f t="array" ref="V276">SUMPRODUCT(HVP_2028_Yr3_44*Long_Term_Monetised_Risk_44)</f>
        <v>0</v>
      </c>
    </row>
    <row r="277" spans="1:22">
      <c r="B277" s="93" t="s">
        <v>105</v>
      </c>
      <c r="C277" s="91">
        <v>2027</v>
      </c>
      <c r="D277" s="64" cm="1">
        <f t="array" ref="D277">SUMPRODUCT(Start_of_Year_Yr4_44*Long_Term_Monetised_Risk_44)</f>
        <v>0</v>
      </c>
      <c r="E277" s="64" cm="1">
        <f t="array" ref="E277">SUMPRODUCT(Data_Cleansing_Yr4_44*Long_Term_Monetised_Risk_44)</f>
        <v>0</v>
      </c>
      <c r="F277" s="64" cm="1">
        <f t="array" ref="F277">SUMPRODUCT(Deterioration_total_Yr4_44*Long_Term_Monetised_Risk_44)</f>
        <v>0</v>
      </c>
      <c r="G277" s="64" cm="1">
        <f t="array" ref="G277">SUMPRODUCT(Other_Risk_Movements_Yr4_44*Long_Term_Monetised_Risk_44)</f>
        <v>0</v>
      </c>
      <c r="H277" s="64" cm="1">
        <f t="array" ref="H277">SUMPRODUCT(Asset_Replacement_Yr4_44*Long_Term_Monetised_Risk_44)</f>
        <v>0</v>
      </c>
      <c r="I277" s="64" cm="1">
        <f t="array" ref="I277">SUMPRODUCT(Asset_Refurbishment_Yr4_44*Long_Term_Monetised_Risk_44)</f>
        <v>0</v>
      </c>
      <c r="J277" s="64" cm="1">
        <f t="array" ref="J277">SUMPRODUCT(Reinforcement_Yr4_44*Long_Term_Monetised_Risk_44)</f>
        <v>0</v>
      </c>
      <c r="K277" s="64" cm="1">
        <f t="array" ref="K277">SUMPRODUCT(Faults_Yr4_44*Long_Term_Monetised_Risk_44)</f>
        <v>0</v>
      </c>
      <c r="L277" s="64" cm="1">
        <f t="array" ref="L277">SUMPRODUCT(HVP_Asset_Replacement_Refurbishment_Yr4_44*Long_Term_Monetised_Risk_44)</f>
        <v>0</v>
      </c>
      <c r="M277" s="64" cm="1">
        <f t="array" ref="M277">SUMPRODUCT(HVP_Other_Yr4_44*Long_Term_Monetised_Risk_44)</f>
        <v>0</v>
      </c>
      <c r="N277" s="64" cm="1">
        <f t="array" ref="N277">SUMPRODUCT(All_Other_Yr4_44*Long_Term_Monetised_Risk_44)</f>
        <v>0</v>
      </c>
      <c r="O277" s="65" cm="1">
        <f t="array" ref="O277">SUMPRODUCT(End_Of_Year_Yr4_44*Long_Term_Monetised_Risk_44)</f>
        <v>0</v>
      </c>
      <c r="Q277" s="110"/>
      <c r="R277" s="111"/>
      <c r="S277" s="119"/>
      <c r="T277" s="114" cm="1">
        <f t="array" ref="T277">SUMPRODUCT(Asset_Replacement_2028_Yr4_44*Long_Term_Monetised_Risk_44)</f>
        <v>0</v>
      </c>
      <c r="U277" s="64" cm="1">
        <f t="array" ref="U277">SUMPRODUCT(Asset_Refurbishment_2028_Yr4_44*Long_Term_Monetised_Risk_44)</f>
        <v>0</v>
      </c>
      <c r="V277" s="65" cm="1">
        <f t="array" ref="V277">SUMPRODUCT(HVP_2028_Yr4_44*Long_Term_Monetised_Risk_44)</f>
        <v>0</v>
      </c>
    </row>
    <row r="278" spans="1:22">
      <c r="B278" s="93" t="s">
        <v>105</v>
      </c>
      <c r="C278" s="91">
        <v>2028</v>
      </c>
      <c r="D278" s="64" cm="1">
        <f t="array" ref="D278">SUMPRODUCT(Start_of_Year_Yr5_44*Long_Term_Monetised_Risk_44)</f>
        <v>0</v>
      </c>
      <c r="E278" s="64" cm="1">
        <f t="array" ref="E278">SUMPRODUCT(Data_Cleansing_Yr5_44*Long_Term_Monetised_Risk_44)</f>
        <v>0</v>
      </c>
      <c r="F278" s="64" cm="1">
        <f t="array" ref="F278">SUMPRODUCT(Deterioration_total_Yr5_44*Long_Term_Monetised_Risk_44)</f>
        <v>0</v>
      </c>
      <c r="G278" s="64" cm="1">
        <f t="array" ref="G278">SUMPRODUCT(Other_Risk_Movements_Yr5_44*Long_Term_Monetised_Risk_44)</f>
        <v>0</v>
      </c>
      <c r="H278" s="64" cm="1">
        <f t="array" ref="H278">SUMPRODUCT(Asset_Replacement_Yr5_44*Long_Term_Monetised_Risk_44)</f>
        <v>0</v>
      </c>
      <c r="I278" s="64" cm="1">
        <f t="array" ref="I278">SUMPRODUCT(Asset_Refurbishment_Yr5_44*Long_Term_Monetised_Risk_44)</f>
        <v>0</v>
      </c>
      <c r="J278" s="64" cm="1">
        <f t="array" ref="J278">SUMPRODUCT(Reinforcement_Yr5_44*Long_Term_Monetised_Risk_44)</f>
        <v>0</v>
      </c>
      <c r="K278" s="64" cm="1">
        <f t="array" ref="K278">SUMPRODUCT(Faults_Yr5_44*Long_Term_Monetised_Risk_44)</f>
        <v>0</v>
      </c>
      <c r="L278" s="64" cm="1">
        <f t="array" ref="L278">SUMPRODUCT(HVP_Asset_Replacement_Refurbishment_Yr5_44*Long_Term_Monetised_Risk_44)</f>
        <v>0</v>
      </c>
      <c r="M278" s="64" cm="1">
        <f t="array" ref="M278">SUMPRODUCT(HVP_Other_Yr5_44*Long_Term_Monetised_Risk_44)</f>
        <v>0</v>
      </c>
      <c r="N278" s="64" cm="1">
        <f t="array" ref="N278">SUMPRODUCT(All_Other_Yr5_44*Long_Term_Monetised_Risk_44)</f>
        <v>0</v>
      </c>
      <c r="O278" s="65" cm="1">
        <f t="array" ref="O278">SUMPRODUCT(End_Of_Year_Yr5_44*Long_Term_Monetised_Risk_44)</f>
        <v>0</v>
      </c>
      <c r="Q278" s="110"/>
      <c r="R278" s="111"/>
      <c r="S278" s="119"/>
      <c r="T278" s="114" cm="1">
        <f t="array" ref="T278">SUMPRODUCT(Asset_Replacement_2028_Yr5_44*Long_Term_Monetised_Risk_44)</f>
        <v>0</v>
      </c>
      <c r="U278" s="64" cm="1">
        <f t="array" ref="U278">SUMPRODUCT(Asset_Refurbishment_2028_Yr5_44*Long_Term_Monetised_Risk_44)</f>
        <v>0</v>
      </c>
      <c r="V278" s="65" cm="1">
        <f t="array" ref="V278">SUMPRODUCT(HVP_2028_Yr5_44*Long_Term_Monetised_Risk_44)</f>
        <v>0</v>
      </c>
    </row>
    <row r="279" spans="1:22" ht="14" thickBot="1">
      <c r="B279" s="103" t="s">
        <v>105</v>
      </c>
      <c r="C279" s="104" t="s">
        <v>131</v>
      </c>
      <c r="D279" s="105"/>
      <c r="E279" s="106">
        <f t="shared" ref="E279:O279" si="96">SUM(E274:E278)</f>
        <v>0</v>
      </c>
      <c r="F279" s="106">
        <f t="shared" si="96"/>
        <v>0</v>
      </c>
      <c r="G279" s="106">
        <f t="shared" si="96"/>
        <v>0</v>
      </c>
      <c r="H279" s="106">
        <f t="shared" si="96"/>
        <v>0</v>
      </c>
      <c r="I279" s="106">
        <f t="shared" si="96"/>
        <v>0</v>
      </c>
      <c r="J279" s="106">
        <f t="shared" si="96"/>
        <v>0</v>
      </c>
      <c r="K279" s="106">
        <f t="shared" si="96"/>
        <v>0</v>
      </c>
      <c r="L279" s="106">
        <f t="shared" si="96"/>
        <v>0</v>
      </c>
      <c r="M279" s="106">
        <f t="shared" si="96"/>
        <v>0</v>
      </c>
      <c r="N279" s="106">
        <f t="shared" si="96"/>
        <v>0</v>
      </c>
      <c r="O279" s="537">
        <f t="shared" si="96"/>
        <v>0</v>
      </c>
      <c r="Q279" s="107" t="str">
        <f ca="1">VLOOKUP($B279,'NARM4 - ED2 NARW Risk Movements'!$B$7:$G$67,4,FALSE)</f>
        <v/>
      </c>
      <c r="R279" s="109" t="str">
        <f ca="1">VLOOKUP($B279,'NARM4 - ED2 NARW Risk Movements'!$B$7:$G$67,5,FALSE)</f>
        <v/>
      </c>
      <c r="S279" s="121" t="str">
        <f ca="1">VLOOKUP($B279,'NARM4 - ED2 NARW Risk Movements'!$B$7:$G$67,6,FALSE)</f>
        <v/>
      </c>
      <c r="T279" s="117">
        <f>SUM(T274:T278)</f>
        <v>0</v>
      </c>
      <c r="U279" s="106">
        <f t="shared" ref="U279" si="97">SUM(U274:U278)</f>
        <v>0</v>
      </c>
      <c r="V279" s="108">
        <f>SUM(V274:V278)</f>
        <v>0</v>
      </c>
    </row>
    <row r="280" spans="1:22" ht="14" thickTop="1">
      <c r="A280" s="143">
        <v>45</v>
      </c>
      <c r="B280" s="99" t="s">
        <v>106</v>
      </c>
      <c r="C280" s="100">
        <v>2024</v>
      </c>
      <c r="D280" s="101" cm="1">
        <f t="array" ref="D280">SUMPRODUCT(Start_of_Year_Yr1_45*Long_Term_Monetised_Risk_45)</f>
        <v>0</v>
      </c>
      <c r="E280" s="101" cm="1">
        <f t="array" ref="E280">SUMPRODUCT(Data_Cleansing_Yr1_45*Long_Term_Monetised_Risk_45)</f>
        <v>0</v>
      </c>
      <c r="F280" s="101" cm="1">
        <f t="array" ref="F280">SUMPRODUCT(Deterioration_total_Yr1_45*Long_Term_Monetised_Risk_45)</f>
        <v>0</v>
      </c>
      <c r="G280" s="101" cm="1">
        <f t="array" ref="G280">SUMPRODUCT(Other_Risk_Movements_Yr1_45*Long_Term_Monetised_Risk_45)</f>
        <v>0</v>
      </c>
      <c r="H280" s="101" cm="1">
        <f t="array" ref="H280">SUMPRODUCT(Asset_Replacement_Yr1_45*Long_Term_Monetised_Risk_45)</f>
        <v>0</v>
      </c>
      <c r="I280" s="101" cm="1">
        <f t="array" ref="I280">SUMPRODUCT(Asset_Refurbishment_Yr1_45*Long_Term_Monetised_Risk_45)</f>
        <v>0</v>
      </c>
      <c r="J280" s="101" cm="1">
        <f t="array" ref="J280">SUMPRODUCT(Reinforcement_Yr1_45*Long_Term_Monetised_Risk_45)</f>
        <v>0</v>
      </c>
      <c r="K280" s="101" cm="1">
        <f t="array" ref="K280">SUMPRODUCT(Faults_Yr1_45*Long_Term_Monetised_Risk_45)</f>
        <v>0</v>
      </c>
      <c r="L280" s="101" cm="1">
        <f t="array" ref="L280">SUMPRODUCT(HVP_Asset_Replacement_Refurbishment_Yr1_45*Long_Term_Monetised_Risk_45)</f>
        <v>0</v>
      </c>
      <c r="M280" s="101" cm="1">
        <f t="array" ref="M280">SUMPRODUCT(HVP_Other_Yr1_45*Long_Term_Monetised_Risk_45)</f>
        <v>0</v>
      </c>
      <c r="N280" s="101" cm="1">
        <f t="array" ref="N280">SUMPRODUCT(All_Other_Yr1_45*Long_Term_Monetised_Risk_45)</f>
        <v>0</v>
      </c>
      <c r="O280" s="102" cm="1">
        <f t="array" ref="O280">SUMPRODUCT(End_Of_Year_Yr1_45*Long_Term_Monetised_Risk_45)</f>
        <v>0</v>
      </c>
      <c r="Q280" s="112"/>
      <c r="R280" s="113"/>
      <c r="S280" s="120"/>
      <c r="T280" s="115" cm="1">
        <f t="array" ref="T280">SUMPRODUCT(Asset_Replacement_2028_Yr1_45*Long_Term_Monetised_Risk_45)</f>
        <v>0</v>
      </c>
      <c r="U280" s="101" cm="1">
        <f t="array" ref="U280">SUMPRODUCT(Asset_Refurbishment_2028_Yr1_45*Long_Term_Monetised_Risk_45)</f>
        <v>0</v>
      </c>
      <c r="V280" s="102" cm="1">
        <f t="array" ref="V280">SUMPRODUCT(HVP_2028_Yr1_45*Long_Term_Monetised_Risk_45)</f>
        <v>0</v>
      </c>
    </row>
    <row r="281" spans="1:22">
      <c r="B281" s="93" t="s">
        <v>106</v>
      </c>
      <c r="C281" s="91">
        <v>2025</v>
      </c>
      <c r="D281" s="64" cm="1">
        <f t="array" ref="D281">SUMPRODUCT(Start_of_Year_Yr2_45*Long_Term_Monetised_Risk_45)</f>
        <v>0</v>
      </c>
      <c r="E281" s="64" cm="1">
        <f t="array" ref="E281">SUMPRODUCT(Data_Cleansing_Yr2_45*Long_Term_Monetised_Risk_45)</f>
        <v>0</v>
      </c>
      <c r="F281" s="64" cm="1">
        <f t="array" ref="F281">SUMPRODUCT(Deterioration_total_Yr2_45*Long_Term_Monetised_Risk_45)</f>
        <v>0</v>
      </c>
      <c r="G281" s="64" cm="1">
        <f t="array" ref="G281">SUMPRODUCT(Other_Risk_Movements_Yr2_45*Long_Term_Monetised_Risk_45)</f>
        <v>0</v>
      </c>
      <c r="H281" s="64" cm="1">
        <f t="array" ref="H281">SUMPRODUCT(Asset_Replacement_Yr2_45*Long_Term_Monetised_Risk_45)</f>
        <v>0</v>
      </c>
      <c r="I281" s="64" cm="1">
        <f t="array" ref="I281">SUMPRODUCT(Asset_Refurbishment_Yr2_45*Long_Term_Monetised_Risk_45)</f>
        <v>0</v>
      </c>
      <c r="J281" s="64" cm="1">
        <f t="array" ref="J281">SUMPRODUCT(Reinforcement_Yr2_45*Long_Term_Monetised_Risk_45)</f>
        <v>0</v>
      </c>
      <c r="K281" s="64" cm="1">
        <f t="array" ref="K281">SUMPRODUCT(Faults_Yr2_45*Long_Term_Monetised_Risk_45)</f>
        <v>0</v>
      </c>
      <c r="L281" s="64" cm="1">
        <f t="array" ref="L281">SUMPRODUCT(HVP_Asset_Replacement_Refurbishment_Yr2_45*Long_Term_Monetised_Risk_45)</f>
        <v>0</v>
      </c>
      <c r="M281" s="64" cm="1">
        <f t="array" ref="M281">SUMPRODUCT(HVP_Other_Yr2_45*Long_Term_Monetised_Risk_45)</f>
        <v>0</v>
      </c>
      <c r="N281" s="64" cm="1">
        <f t="array" ref="N281">SUMPRODUCT(All_Other_Yr2_45*Long_Term_Monetised_Risk_45)</f>
        <v>0</v>
      </c>
      <c r="O281" s="65" cm="1">
        <f t="array" ref="O281">SUMPRODUCT(End_Of_Year_Yr2_45*Long_Term_Monetised_Risk_45)</f>
        <v>0</v>
      </c>
      <c r="Q281" s="110"/>
      <c r="R281" s="111"/>
      <c r="S281" s="119"/>
      <c r="T281" s="114" cm="1">
        <f t="array" ref="T281">SUMPRODUCT(Asset_Replacement_2028_Yr2_45*Long_Term_Monetised_Risk_45)</f>
        <v>0</v>
      </c>
      <c r="U281" s="64" cm="1">
        <f t="array" ref="U281">SUMPRODUCT(Asset_Refurbishment_2028_Yr2_45*Long_Term_Monetised_Risk_45)</f>
        <v>0</v>
      </c>
      <c r="V281" s="65" cm="1">
        <f t="array" ref="V281">SUMPRODUCT(HVP_2028_Yr2_45*Long_Term_Monetised_Risk_45)</f>
        <v>0</v>
      </c>
    </row>
    <row r="282" spans="1:22">
      <c r="B282" s="93" t="s">
        <v>106</v>
      </c>
      <c r="C282" s="91">
        <v>2026</v>
      </c>
      <c r="D282" s="64" cm="1">
        <f t="array" ref="D282">SUMPRODUCT(Start_of_Year_Yr3_45*Long_Term_Monetised_Risk_45)</f>
        <v>0</v>
      </c>
      <c r="E282" s="64" cm="1">
        <f t="array" ref="E282">SUMPRODUCT(Data_Cleansing_Yr3_45*Long_Term_Monetised_Risk_45)</f>
        <v>0</v>
      </c>
      <c r="F282" s="64" cm="1">
        <f t="array" ref="F282">SUMPRODUCT(Deterioration_total_Yr3_45*Long_Term_Monetised_Risk_45)</f>
        <v>0</v>
      </c>
      <c r="G282" s="64" cm="1">
        <f t="array" ref="G282">SUMPRODUCT(Other_Risk_Movements_Yr3_45*Long_Term_Monetised_Risk_45)</f>
        <v>0</v>
      </c>
      <c r="H282" s="64" cm="1">
        <f t="array" ref="H282">SUMPRODUCT(Asset_Replacement_Yr3_45*Long_Term_Monetised_Risk_45)</f>
        <v>0</v>
      </c>
      <c r="I282" s="64" cm="1">
        <f t="array" ref="I282">SUMPRODUCT(Asset_Refurbishment_Yr3_45*Long_Term_Monetised_Risk_45)</f>
        <v>0</v>
      </c>
      <c r="J282" s="64" cm="1">
        <f t="array" ref="J282">SUMPRODUCT(Reinforcement_Yr3_45*Long_Term_Monetised_Risk_45)</f>
        <v>0</v>
      </c>
      <c r="K282" s="64" cm="1">
        <f t="array" ref="K282">SUMPRODUCT(Faults_Yr3_45*Long_Term_Monetised_Risk_45)</f>
        <v>0</v>
      </c>
      <c r="L282" s="64" cm="1">
        <f t="array" ref="L282">SUMPRODUCT(HVP_Asset_Replacement_Refurbishment_Yr3_45*Long_Term_Monetised_Risk_45)</f>
        <v>0</v>
      </c>
      <c r="M282" s="64" cm="1">
        <f t="array" ref="M282">SUMPRODUCT(HVP_Other_Yr3_45*Long_Term_Monetised_Risk_45)</f>
        <v>0</v>
      </c>
      <c r="N282" s="64" cm="1">
        <f t="array" ref="N282">SUMPRODUCT(All_Other_Yr3_45*Long_Term_Monetised_Risk_45)</f>
        <v>0</v>
      </c>
      <c r="O282" s="65" cm="1">
        <f t="array" ref="O282">SUMPRODUCT(End_Of_Year_Yr3_45*Long_Term_Monetised_Risk_45)</f>
        <v>0</v>
      </c>
      <c r="Q282" s="110"/>
      <c r="R282" s="111"/>
      <c r="S282" s="119"/>
      <c r="T282" s="114" cm="1">
        <f t="array" ref="T282">SUMPRODUCT(Asset_Replacement_2028_Yr3_45*Long_Term_Monetised_Risk_45)</f>
        <v>0</v>
      </c>
      <c r="U282" s="64" cm="1">
        <f t="array" ref="U282">SUMPRODUCT(Asset_Refurbishment_2028_Yr3_45*Long_Term_Monetised_Risk_45)</f>
        <v>0</v>
      </c>
      <c r="V282" s="65" cm="1">
        <f t="array" ref="V282">SUMPRODUCT(HVP_2028_Yr3_45*Long_Term_Monetised_Risk_45)</f>
        <v>0</v>
      </c>
    </row>
    <row r="283" spans="1:22">
      <c r="B283" s="93" t="s">
        <v>106</v>
      </c>
      <c r="C283" s="91">
        <v>2027</v>
      </c>
      <c r="D283" s="64" cm="1">
        <f t="array" ref="D283">SUMPRODUCT(Start_of_Year_Yr4_45*Long_Term_Monetised_Risk_45)</f>
        <v>0</v>
      </c>
      <c r="E283" s="64" cm="1">
        <f t="array" ref="E283">SUMPRODUCT(Data_Cleansing_Yr4_45*Long_Term_Monetised_Risk_45)</f>
        <v>0</v>
      </c>
      <c r="F283" s="64" cm="1">
        <f t="array" ref="F283">SUMPRODUCT(Deterioration_total_Yr4_45*Long_Term_Monetised_Risk_45)</f>
        <v>0</v>
      </c>
      <c r="G283" s="64" cm="1">
        <f t="array" ref="G283">SUMPRODUCT(Other_Risk_Movements_Yr4_45*Long_Term_Monetised_Risk_45)</f>
        <v>0</v>
      </c>
      <c r="H283" s="64" cm="1">
        <f t="array" ref="H283">SUMPRODUCT(Asset_Replacement_Yr4_45*Long_Term_Monetised_Risk_45)</f>
        <v>0</v>
      </c>
      <c r="I283" s="64" cm="1">
        <f t="array" ref="I283">SUMPRODUCT(Asset_Refurbishment_Yr4_45*Long_Term_Monetised_Risk_45)</f>
        <v>0</v>
      </c>
      <c r="J283" s="64" cm="1">
        <f t="array" ref="J283">SUMPRODUCT(Reinforcement_Yr4_45*Long_Term_Monetised_Risk_45)</f>
        <v>0</v>
      </c>
      <c r="K283" s="64" cm="1">
        <f t="array" ref="K283">SUMPRODUCT(Faults_Yr4_45*Long_Term_Monetised_Risk_45)</f>
        <v>0</v>
      </c>
      <c r="L283" s="64" cm="1">
        <f t="array" ref="L283">SUMPRODUCT(HVP_Asset_Replacement_Refurbishment_Yr4_45*Long_Term_Monetised_Risk_45)</f>
        <v>0</v>
      </c>
      <c r="M283" s="64" cm="1">
        <f t="array" ref="M283">SUMPRODUCT(HVP_Other_Yr4_45*Long_Term_Monetised_Risk_45)</f>
        <v>0</v>
      </c>
      <c r="N283" s="64" cm="1">
        <f t="array" ref="N283">SUMPRODUCT(All_Other_Yr4_45*Long_Term_Monetised_Risk_45)</f>
        <v>0</v>
      </c>
      <c r="O283" s="65" cm="1">
        <f t="array" ref="O283">SUMPRODUCT(End_Of_Year_Yr4_45*Long_Term_Monetised_Risk_45)</f>
        <v>0</v>
      </c>
      <c r="Q283" s="110"/>
      <c r="R283" s="111"/>
      <c r="S283" s="119"/>
      <c r="T283" s="114" cm="1">
        <f t="array" ref="T283">SUMPRODUCT(Asset_Replacement_2028_Yr4_45*Long_Term_Monetised_Risk_45)</f>
        <v>0</v>
      </c>
      <c r="U283" s="64" cm="1">
        <f t="array" ref="U283">SUMPRODUCT(Asset_Refurbishment_2028_Yr4_45*Long_Term_Monetised_Risk_45)</f>
        <v>0</v>
      </c>
      <c r="V283" s="65" cm="1">
        <f t="array" ref="V283">SUMPRODUCT(HVP_2028_Yr4_45*Long_Term_Monetised_Risk_45)</f>
        <v>0</v>
      </c>
    </row>
    <row r="284" spans="1:22">
      <c r="B284" s="93" t="s">
        <v>106</v>
      </c>
      <c r="C284" s="91">
        <v>2028</v>
      </c>
      <c r="D284" s="64" cm="1">
        <f t="array" ref="D284">SUMPRODUCT(Start_of_Year_Yr5_45*Long_Term_Monetised_Risk_45)</f>
        <v>0</v>
      </c>
      <c r="E284" s="64" cm="1">
        <f t="array" ref="E284">SUMPRODUCT(Data_Cleansing_Yr5_45*Long_Term_Monetised_Risk_45)</f>
        <v>0</v>
      </c>
      <c r="F284" s="64" cm="1">
        <f t="array" ref="F284">SUMPRODUCT(Deterioration_total_Yr5_45*Long_Term_Monetised_Risk_45)</f>
        <v>0</v>
      </c>
      <c r="G284" s="64" cm="1">
        <f t="array" ref="G284">SUMPRODUCT(Other_Risk_Movements_Yr5_45*Long_Term_Monetised_Risk_45)</f>
        <v>0</v>
      </c>
      <c r="H284" s="64" cm="1">
        <f t="array" ref="H284">SUMPRODUCT(Asset_Replacement_Yr5_45*Long_Term_Monetised_Risk_45)</f>
        <v>0</v>
      </c>
      <c r="I284" s="64" cm="1">
        <f t="array" ref="I284">SUMPRODUCT(Asset_Refurbishment_Yr5_45*Long_Term_Monetised_Risk_45)</f>
        <v>0</v>
      </c>
      <c r="J284" s="64" cm="1">
        <f t="array" ref="J284">SUMPRODUCT(Reinforcement_Yr5_45*Long_Term_Monetised_Risk_45)</f>
        <v>0</v>
      </c>
      <c r="K284" s="64" cm="1">
        <f t="array" ref="K284">SUMPRODUCT(Faults_Yr5_45*Long_Term_Monetised_Risk_45)</f>
        <v>0</v>
      </c>
      <c r="L284" s="64" cm="1">
        <f t="array" ref="L284">SUMPRODUCT(HVP_Asset_Replacement_Refurbishment_Yr5_45*Long_Term_Monetised_Risk_45)</f>
        <v>0</v>
      </c>
      <c r="M284" s="64" cm="1">
        <f t="array" ref="M284">SUMPRODUCT(HVP_Other_Yr5_45*Long_Term_Monetised_Risk_45)</f>
        <v>0</v>
      </c>
      <c r="N284" s="64" cm="1">
        <f t="array" ref="N284">SUMPRODUCT(All_Other_Yr5_45*Long_Term_Monetised_Risk_45)</f>
        <v>0</v>
      </c>
      <c r="O284" s="65" cm="1">
        <f t="array" ref="O284">SUMPRODUCT(End_Of_Year_Yr5_45*Long_Term_Monetised_Risk_45)</f>
        <v>0</v>
      </c>
      <c r="Q284" s="110"/>
      <c r="R284" s="111"/>
      <c r="S284" s="119"/>
      <c r="T284" s="114" cm="1">
        <f t="array" ref="T284">SUMPRODUCT(Asset_Replacement_2028_Yr5_45*Long_Term_Monetised_Risk_45)</f>
        <v>0</v>
      </c>
      <c r="U284" s="64" cm="1">
        <f t="array" ref="U284">SUMPRODUCT(Asset_Refurbishment_2028_Yr5_45*Long_Term_Monetised_Risk_45)</f>
        <v>0</v>
      </c>
      <c r="V284" s="65" cm="1">
        <f t="array" ref="V284">SUMPRODUCT(HVP_2028_Yr5_45*Long_Term_Monetised_Risk_45)</f>
        <v>0</v>
      </c>
    </row>
    <row r="285" spans="1:22" ht="14" thickBot="1">
      <c r="B285" s="103" t="s">
        <v>106</v>
      </c>
      <c r="C285" s="104" t="s">
        <v>131</v>
      </c>
      <c r="D285" s="105"/>
      <c r="E285" s="106">
        <f t="shared" ref="E285:O285" si="98">SUM(E280:E284)</f>
        <v>0</v>
      </c>
      <c r="F285" s="106">
        <f t="shared" si="98"/>
        <v>0</v>
      </c>
      <c r="G285" s="106">
        <f t="shared" si="98"/>
        <v>0</v>
      </c>
      <c r="H285" s="106">
        <f t="shared" si="98"/>
        <v>0</v>
      </c>
      <c r="I285" s="106">
        <f t="shared" si="98"/>
        <v>0</v>
      </c>
      <c r="J285" s="106">
        <f t="shared" si="98"/>
        <v>0</v>
      </c>
      <c r="K285" s="106">
        <f t="shared" si="98"/>
        <v>0</v>
      </c>
      <c r="L285" s="106">
        <f t="shared" si="98"/>
        <v>0</v>
      </c>
      <c r="M285" s="106">
        <f t="shared" si="98"/>
        <v>0</v>
      </c>
      <c r="N285" s="106">
        <f t="shared" si="98"/>
        <v>0</v>
      </c>
      <c r="O285" s="537">
        <f t="shared" si="98"/>
        <v>0</v>
      </c>
      <c r="Q285" s="107" t="str">
        <f ca="1">VLOOKUP($B285,'NARM4 - ED2 NARW Risk Movements'!$B$7:$G$67,4,FALSE)</f>
        <v/>
      </c>
      <c r="R285" s="109" t="str">
        <f ca="1">VLOOKUP($B285,'NARM4 - ED2 NARW Risk Movements'!$B$7:$G$67,5,FALSE)</f>
        <v/>
      </c>
      <c r="S285" s="121" t="str">
        <f ca="1">VLOOKUP($B285,'NARM4 - ED2 NARW Risk Movements'!$B$7:$G$67,6,FALSE)</f>
        <v/>
      </c>
      <c r="T285" s="117">
        <f>SUM(T280:T284)</f>
        <v>0</v>
      </c>
      <c r="U285" s="106">
        <f t="shared" ref="U285" si="99">SUM(U280:U284)</f>
        <v>0</v>
      </c>
      <c r="V285" s="108">
        <f>SUM(V280:V284)</f>
        <v>0</v>
      </c>
    </row>
    <row r="286" spans="1:22" ht="14" thickTop="1">
      <c r="A286" s="143">
        <v>46</v>
      </c>
      <c r="B286" s="99" t="s">
        <v>107</v>
      </c>
      <c r="C286" s="100">
        <v>2024</v>
      </c>
      <c r="D286" s="101" cm="1">
        <f t="array" ref="D286">SUMPRODUCT(Start_of_Year_Yr1_46*Long_Term_Monetised_Risk_46)</f>
        <v>0</v>
      </c>
      <c r="E286" s="101" cm="1">
        <f t="array" ref="E286">SUMPRODUCT(Data_Cleansing_Yr1_46*Long_Term_Monetised_Risk_46)</f>
        <v>0</v>
      </c>
      <c r="F286" s="101" cm="1">
        <f t="array" ref="F286">SUMPRODUCT(Deterioration_total_Yr1_46*Long_Term_Monetised_Risk_46)</f>
        <v>0</v>
      </c>
      <c r="G286" s="101" cm="1">
        <f t="array" ref="G286">SUMPRODUCT(Other_Risk_Movements_Yr1_46*Long_Term_Monetised_Risk_46)</f>
        <v>0</v>
      </c>
      <c r="H286" s="101" cm="1">
        <f t="array" ref="H286">SUMPRODUCT(Asset_Replacement_Yr1_46*Long_Term_Monetised_Risk_46)</f>
        <v>0</v>
      </c>
      <c r="I286" s="101" cm="1">
        <f t="array" ref="I286">SUMPRODUCT(Asset_Refurbishment_Yr1_46*Long_Term_Monetised_Risk_46)</f>
        <v>0</v>
      </c>
      <c r="J286" s="101" cm="1">
        <f t="array" ref="J286">SUMPRODUCT(Reinforcement_Yr1_46*Long_Term_Monetised_Risk_46)</f>
        <v>0</v>
      </c>
      <c r="K286" s="101" cm="1">
        <f t="array" ref="K286">SUMPRODUCT(Faults_Yr1_46*Long_Term_Monetised_Risk_46)</f>
        <v>0</v>
      </c>
      <c r="L286" s="101" cm="1">
        <f t="array" ref="L286">SUMPRODUCT(HVP_Asset_Replacement_Refurbishment_Yr1_46*Long_Term_Monetised_Risk_46)</f>
        <v>0</v>
      </c>
      <c r="M286" s="101" cm="1">
        <f t="array" ref="M286">SUMPRODUCT(HVP_Other_Yr1_46*Long_Term_Monetised_Risk_46)</f>
        <v>0</v>
      </c>
      <c r="N286" s="101" cm="1">
        <f t="array" ref="N286">SUMPRODUCT(All_Other_Yr1_46*Long_Term_Monetised_Risk_46)</f>
        <v>0</v>
      </c>
      <c r="O286" s="102" cm="1">
        <f t="array" ref="O286">SUMPRODUCT(End_Of_Year_Yr1_46*Long_Term_Monetised_Risk_46)</f>
        <v>0</v>
      </c>
      <c r="Q286" s="112"/>
      <c r="R286" s="113"/>
      <c r="S286" s="120"/>
      <c r="T286" s="115" cm="1">
        <f t="array" ref="T286">SUMPRODUCT(Asset_Replacement_2028_Yr1_46*Long_Term_Monetised_Risk_46)</f>
        <v>0</v>
      </c>
      <c r="U286" s="101" cm="1">
        <f t="array" ref="U286">SUMPRODUCT(Asset_Refurbishment_2028_Yr1_46*Long_Term_Monetised_Risk_46)</f>
        <v>0</v>
      </c>
      <c r="V286" s="102" cm="1">
        <f t="array" ref="V286">SUMPRODUCT(HVP_2028_Yr1_46*Long_Term_Monetised_Risk_46)</f>
        <v>0</v>
      </c>
    </row>
    <row r="287" spans="1:22">
      <c r="B287" s="93" t="s">
        <v>107</v>
      </c>
      <c r="C287" s="91">
        <v>2025</v>
      </c>
      <c r="D287" s="64" cm="1">
        <f t="array" ref="D287">SUMPRODUCT(Start_of_Year_Yr2_46*Long_Term_Monetised_Risk_46)</f>
        <v>0</v>
      </c>
      <c r="E287" s="64" cm="1">
        <f t="array" ref="E287">SUMPRODUCT(Data_Cleansing_Yr2_46*Long_Term_Monetised_Risk_46)</f>
        <v>0</v>
      </c>
      <c r="F287" s="64" cm="1">
        <f t="array" ref="F287">SUMPRODUCT(Deterioration_total_Yr2_46*Long_Term_Monetised_Risk_46)</f>
        <v>0</v>
      </c>
      <c r="G287" s="64" cm="1">
        <f t="array" ref="G287">SUMPRODUCT(Other_Risk_Movements_Yr2_46*Long_Term_Monetised_Risk_46)</f>
        <v>0</v>
      </c>
      <c r="H287" s="64" cm="1">
        <f t="array" ref="H287">SUMPRODUCT(Asset_Replacement_Yr2_46*Long_Term_Monetised_Risk_46)</f>
        <v>0</v>
      </c>
      <c r="I287" s="64" cm="1">
        <f t="array" ref="I287">SUMPRODUCT(Asset_Refurbishment_Yr2_46*Long_Term_Monetised_Risk_46)</f>
        <v>0</v>
      </c>
      <c r="J287" s="64" cm="1">
        <f t="array" ref="J287">SUMPRODUCT(Reinforcement_Yr2_46*Long_Term_Monetised_Risk_46)</f>
        <v>0</v>
      </c>
      <c r="K287" s="64" cm="1">
        <f t="array" ref="K287">SUMPRODUCT(Faults_Yr2_46*Long_Term_Monetised_Risk_46)</f>
        <v>0</v>
      </c>
      <c r="L287" s="64" cm="1">
        <f t="array" ref="L287">SUMPRODUCT(HVP_Asset_Replacement_Refurbishment_Yr2_46*Long_Term_Monetised_Risk_46)</f>
        <v>0</v>
      </c>
      <c r="M287" s="64" cm="1">
        <f t="array" ref="M287">SUMPRODUCT(HVP_Other_Yr2_46*Long_Term_Monetised_Risk_46)</f>
        <v>0</v>
      </c>
      <c r="N287" s="64" cm="1">
        <f t="array" ref="N287">SUMPRODUCT(All_Other_Yr2_46*Long_Term_Monetised_Risk_46)</f>
        <v>0</v>
      </c>
      <c r="O287" s="65" cm="1">
        <f t="array" ref="O287">SUMPRODUCT(End_Of_Year_Yr2_46*Long_Term_Monetised_Risk_46)</f>
        <v>0</v>
      </c>
      <c r="Q287" s="110"/>
      <c r="R287" s="111"/>
      <c r="S287" s="119"/>
      <c r="T287" s="114" cm="1">
        <f t="array" ref="T287">SUMPRODUCT(Asset_Replacement_2028_Yr2_46*Long_Term_Monetised_Risk_46)</f>
        <v>0</v>
      </c>
      <c r="U287" s="64" cm="1">
        <f t="array" ref="U287">SUMPRODUCT(Asset_Refurbishment_2028_Yr2_46*Long_Term_Monetised_Risk_46)</f>
        <v>0</v>
      </c>
      <c r="V287" s="65" cm="1">
        <f t="array" ref="V287">SUMPRODUCT(HVP_2028_Yr2_46*Long_Term_Monetised_Risk_46)</f>
        <v>0</v>
      </c>
    </row>
    <row r="288" spans="1:22">
      <c r="B288" s="93" t="s">
        <v>107</v>
      </c>
      <c r="C288" s="91">
        <v>2026</v>
      </c>
      <c r="D288" s="64" cm="1">
        <f t="array" ref="D288">SUMPRODUCT(Start_of_Year_Yr3_46*Long_Term_Monetised_Risk_46)</f>
        <v>0</v>
      </c>
      <c r="E288" s="64" cm="1">
        <f t="array" ref="E288">SUMPRODUCT(Data_Cleansing_Yr3_46*Long_Term_Monetised_Risk_46)</f>
        <v>0</v>
      </c>
      <c r="F288" s="64" cm="1">
        <f t="array" ref="F288">SUMPRODUCT(Deterioration_total_Yr3_46*Long_Term_Monetised_Risk_46)</f>
        <v>0</v>
      </c>
      <c r="G288" s="64" cm="1">
        <f t="array" ref="G288">SUMPRODUCT(Other_Risk_Movements_Yr3_46*Long_Term_Monetised_Risk_46)</f>
        <v>0</v>
      </c>
      <c r="H288" s="64" cm="1">
        <f t="array" ref="H288">SUMPRODUCT(Asset_Replacement_Yr3_46*Long_Term_Monetised_Risk_46)</f>
        <v>0</v>
      </c>
      <c r="I288" s="64" cm="1">
        <f t="array" ref="I288">SUMPRODUCT(Asset_Refurbishment_Yr3_46*Long_Term_Monetised_Risk_46)</f>
        <v>0</v>
      </c>
      <c r="J288" s="64" cm="1">
        <f t="array" ref="J288">SUMPRODUCT(Reinforcement_Yr3_46*Long_Term_Monetised_Risk_46)</f>
        <v>0</v>
      </c>
      <c r="K288" s="64" cm="1">
        <f t="array" ref="K288">SUMPRODUCT(Faults_Yr3_46*Long_Term_Monetised_Risk_46)</f>
        <v>0</v>
      </c>
      <c r="L288" s="64" cm="1">
        <f t="array" ref="L288">SUMPRODUCT(HVP_Asset_Replacement_Refurbishment_Yr3_46*Long_Term_Monetised_Risk_46)</f>
        <v>0</v>
      </c>
      <c r="M288" s="64" cm="1">
        <f t="array" ref="M288">SUMPRODUCT(HVP_Other_Yr3_46*Long_Term_Monetised_Risk_46)</f>
        <v>0</v>
      </c>
      <c r="N288" s="64" cm="1">
        <f t="array" ref="N288">SUMPRODUCT(All_Other_Yr3_46*Long_Term_Monetised_Risk_46)</f>
        <v>0</v>
      </c>
      <c r="O288" s="65" cm="1">
        <f t="array" ref="O288">SUMPRODUCT(End_Of_Year_Yr3_46*Long_Term_Monetised_Risk_46)</f>
        <v>0</v>
      </c>
      <c r="Q288" s="110"/>
      <c r="R288" s="111"/>
      <c r="S288" s="119"/>
      <c r="T288" s="114" cm="1">
        <f t="array" ref="T288">SUMPRODUCT(Asset_Replacement_2028_Yr3_46*Long_Term_Monetised_Risk_46)</f>
        <v>0</v>
      </c>
      <c r="U288" s="64" cm="1">
        <f t="array" ref="U288">SUMPRODUCT(Asset_Refurbishment_2028_Yr3_46*Long_Term_Monetised_Risk_46)</f>
        <v>0</v>
      </c>
      <c r="V288" s="65" cm="1">
        <f t="array" ref="V288">SUMPRODUCT(HVP_2028_Yr3_46*Long_Term_Monetised_Risk_46)</f>
        <v>0</v>
      </c>
    </row>
    <row r="289" spans="1:22">
      <c r="B289" s="93" t="s">
        <v>107</v>
      </c>
      <c r="C289" s="91">
        <v>2027</v>
      </c>
      <c r="D289" s="64" cm="1">
        <f t="array" ref="D289">SUMPRODUCT(Start_of_Year_Yr4_46*Long_Term_Monetised_Risk_46)</f>
        <v>0</v>
      </c>
      <c r="E289" s="64" cm="1">
        <f t="array" ref="E289">SUMPRODUCT(Data_Cleansing_Yr4_46*Long_Term_Monetised_Risk_46)</f>
        <v>0</v>
      </c>
      <c r="F289" s="64" cm="1">
        <f t="array" ref="F289">SUMPRODUCT(Deterioration_total_Yr4_46*Long_Term_Monetised_Risk_46)</f>
        <v>0</v>
      </c>
      <c r="G289" s="64" cm="1">
        <f t="array" ref="G289">SUMPRODUCT(Other_Risk_Movements_Yr4_46*Long_Term_Monetised_Risk_46)</f>
        <v>0</v>
      </c>
      <c r="H289" s="64" cm="1">
        <f t="array" ref="H289">SUMPRODUCT(Asset_Replacement_Yr4_46*Long_Term_Monetised_Risk_46)</f>
        <v>0</v>
      </c>
      <c r="I289" s="64" cm="1">
        <f t="array" ref="I289">SUMPRODUCT(Asset_Refurbishment_Yr4_46*Long_Term_Monetised_Risk_46)</f>
        <v>0</v>
      </c>
      <c r="J289" s="64" cm="1">
        <f t="array" ref="J289">SUMPRODUCT(Reinforcement_Yr4_46*Long_Term_Monetised_Risk_46)</f>
        <v>0</v>
      </c>
      <c r="K289" s="64" cm="1">
        <f t="array" ref="K289">SUMPRODUCT(Faults_Yr4_46*Long_Term_Monetised_Risk_46)</f>
        <v>0</v>
      </c>
      <c r="L289" s="64" cm="1">
        <f t="array" ref="L289">SUMPRODUCT(HVP_Asset_Replacement_Refurbishment_Yr4_46*Long_Term_Monetised_Risk_46)</f>
        <v>0</v>
      </c>
      <c r="M289" s="64" cm="1">
        <f t="array" ref="M289">SUMPRODUCT(HVP_Other_Yr4_46*Long_Term_Monetised_Risk_46)</f>
        <v>0</v>
      </c>
      <c r="N289" s="64" cm="1">
        <f t="array" ref="N289">SUMPRODUCT(All_Other_Yr4_46*Long_Term_Monetised_Risk_46)</f>
        <v>0</v>
      </c>
      <c r="O289" s="65" cm="1">
        <f t="array" ref="O289">SUMPRODUCT(End_Of_Year_Yr4_46*Long_Term_Monetised_Risk_46)</f>
        <v>0</v>
      </c>
      <c r="Q289" s="110"/>
      <c r="R289" s="111"/>
      <c r="S289" s="119"/>
      <c r="T289" s="114" cm="1">
        <f t="array" ref="T289">SUMPRODUCT(Asset_Replacement_2028_Yr4_46*Long_Term_Monetised_Risk_46)</f>
        <v>0</v>
      </c>
      <c r="U289" s="64" cm="1">
        <f t="array" ref="U289">SUMPRODUCT(Asset_Refurbishment_2028_Yr4_46*Long_Term_Monetised_Risk_46)</f>
        <v>0</v>
      </c>
      <c r="V289" s="65" cm="1">
        <f t="array" ref="V289">SUMPRODUCT(HVP_2028_Yr4_46*Long_Term_Monetised_Risk_46)</f>
        <v>0</v>
      </c>
    </row>
    <row r="290" spans="1:22">
      <c r="B290" s="93" t="s">
        <v>107</v>
      </c>
      <c r="C290" s="91">
        <v>2028</v>
      </c>
      <c r="D290" s="64" cm="1">
        <f t="array" ref="D290">SUMPRODUCT(Start_of_Year_Yr5_46*Long_Term_Monetised_Risk_46)</f>
        <v>0</v>
      </c>
      <c r="E290" s="64" cm="1">
        <f t="array" ref="E290">SUMPRODUCT(Data_Cleansing_Yr5_46*Long_Term_Monetised_Risk_46)</f>
        <v>0</v>
      </c>
      <c r="F290" s="64" cm="1">
        <f t="array" ref="F290">SUMPRODUCT(Deterioration_total_Yr5_46*Long_Term_Monetised_Risk_46)</f>
        <v>0</v>
      </c>
      <c r="G290" s="64" cm="1">
        <f t="array" ref="G290">SUMPRODUCT(Other_Risk_Movements_Yr5_46*Long_Term_Monetised_Risk_46)</f>
        <v>0</v>
      </c>
      <c r="H290" s="64" cm="1">
        <f t="array" ref="H290">SUMPRODUCT(Asset_Replacement_Yr5_46*Long_Term_Monetised_Risk_46)</f>
        <v>0</v>
      </c>
      <c r="I290" s="64" cm="1">
        <f t="array" ref="I290">SUMPRODUCT(Asset_Refurbishment_Yr5_46*Long_Term_Monetised_Risk_46)</f>
        <v>0</v>
      </c>
      <c r="J290" s="64" cm="1">
        <f t="array" ref="J290">SUMPRODUCT(Reinforcement_Yr5_46*Long_Term_Monetised_Risk_46)</f>
        <v>0</v>
      </c>
      <c r="K290" s="64" cm="1">
        <f t="array" ref="K290">SUMPRODUCT(Faults_Yr5_46*Long_Term_Monetised_Risk_46)</f>
        <v>0</v>
      </c>
      <c r="L290" s="64" cm="1">
        <f t="array" ref="L290">SUMPRODUCT(HVP_Asset_Replacement_Refurbishment_Yr5_46*Long_Term_Monetised_Risk_46)</f>
        <v>0</v>
      </c>
      <c r="M290" s="64" cm="1">
        <f t="array" ref="M290">SUMPRODUCT(HVP_Other_Yr5_46*Long_Term_Monetised_Risk_46)</f>
        <v>0</v>
      </c>
      <c r="N290" s="64" cm="1">
        <f t="array" ref="N290">SUMPRODUCT(All_Other_Yr5_46*Long_Term_Monetised_Risk_46)</f>
        <v>0</v>
      </c>
      <c r="O290" s="65" cm="1">
        <f t="array" ref="O290">SUMPRODUCT(End_Of_Year_Yr5_46*Long_Term_Monetised_Risk_46)</f>
        <v>0</v>
      </c>
      <c r="Q290" s="110"/>
      <c r="R290" s="111"/>
      <c r="S290" s="119"/>
      <c r="T290" s="114" cm="1">
        <f t="array" ref="T290">SUMPRODUCT(Asset_Replacement_2028_Yr5_46*Long_Term_Monetised_Risk_46)</f>
        <v>0</v>
      </c>
      <c r="U290" s="64" cm="1">
        <f t="array" ref="U290">SUMPRODUCT(Asset_Refurbishment_2028_Yr5_46*Long_Term_Monetised_Risk_46)</f>
        <v>0</v>
      </c>
      <c r="V290" s="65" cm="1">
        <f t="array" ref="V290">SUMPRODUCT(HVP_2028_Yr5_46*Long_Term_Monetised_Risk_46)</f>
        <v>0</v>
      </c>
    </row>
    <row r="291" spans="1:22" ht="14" thickBot="1">
      <c r="B291" s="103" t="s">
        <v>107</v>
      </c>
      <c r="C291" s="104" t="s">
        <v>131</v>
      </c>
      <c r="D291" s="105"/>
      <c r="E291" s="106">
        <f t="shared" ref="E291:O291" si="100">SUM(E286:E290)</f>
        <v>0</v>
      </c>
      <c r="F291" s="106">
        <f t="shared" si="100"/>
        <v>0</v>
      </c>
      <c r="G291" s="106">
        <f t="shared" si="100"/>
        <v>0</v>
      </c>
      <c r="H291" s="106">
        <f t="shared" si="100"/>
        <v>0</v>
      </c>
      <c r="I291" s="106">
        <f t="shared" si="100"/>
        <v>0</v>
      </c>
      <c r="J291" s="106">
        <f t="shared" si="100"/>
        <v>0</v>
      </c>
      <c r="K291" s="106">
        <f t="shared" si="100"/>
        <v>0</v>
      </c>
      <c r="L291" s="106">
        <f t="shared" si="100"/>
        <v>0</v>
      </c>
      <c r="M291" s="106">
        <f t="shared" si="100"/>
        <v>0</v>
      </c>
      <c r="N291" s="106">
        <f t="shared" si="100"/>
        <v>0</v>
      </c>
      <c r="O291" s="537">
        <f t="shared" si="100"/>
        <v>0</v>
      </c>
      <c r="Q291" s="107" t="str">
        <f ca="1">VLOOKUP($B291,'NARM4 - ED2 NARW Risk Movements'!$B$7:$G$67,4,FALSE)</f>
        <v/>
      </c>
      <c r="R291" s="109" t="str">
        <f ca="1">VLOOKUP($B291,'NARM4 - ED2 NARW Risk Movements'!$B$7:$G$67,5,FALSE)</f>
        <v/>
      </c>
      <c r="S291" s="121" t="str">
        <f ca="1">VLOOKUP($B291,'NARM4 - ED2 NARW Risk Movements'!$B$7:$G$67,6,FALSE)</f>
        <v/>
      </c>
      <c r="T291" s="117">
        <f>SUM(T286:T290)</f>
        <v>0</v>
      </c>
      <c r="U291" s="106">
        <f t="shared" ref="U291" si="101">SUM(U286:U290)</f>
        <v>0</v>
      </c>
      <c r="V291" s="108">
        <f>SUM(V286:V290)</f>
        <v>0</v>
      </c>
    </row>
    <row r="292" spans="1:22" ht="14" thickTop="1">
      <c r="A292" s="143">
        <v>47</v>
      </c>
      <c r="B292" s="99" t="s">
        <v>108</v>
      </c>
      <c r="C292" s="100">
        <v>2024</v>
      </c>
      <c r="D292" s="101" cm="1">
        <f t="array" ref="D292">SUMPRODUCT(Start_of_Year_Yr1_47*Long_Term_Monetised_Risk_47)</f>
        <v>0</v>
      </c>
      <c r="E292" s="101" cm="1">
        <f t="array" ref="E292">SUMPRODUCT(Data_Cleansing_Yr1_47*Long_Term_Monetised_Risk_47)</f>
        <v>0</v>
      </c>
      <c r="F292" s="101" cm="1">
        <f t="array" ref="F292">SUMPRODUCT(Deterioration_total_Yr1_47*Long_Term_Monetised_Risk_47)</f>
        <v>0</v>
      </c>
      <c r="G292" s="101" cm="1">
        <f t="array" ref="G292">SUMPRODUCT(Other_Risk_Movements_Yr1_47*Long_Term_Monetised_Risk_47)</f>
        <v>0</v>
      </c>
      <c r="H292" s="101" cm="1">
        <f t="array" ref="H292">SUMPRODUCT(Asset_Replacement_Yr1_47*Long_Term_Monetised_Risk_47)</f>
        <v>0</v>
      </c>
      <c r="I292" s="101" cm="1">
        <f t="array" ref="I292">SUMPRODUCT(Asset_Refurbishment_Yr1_47*Long_Term_Monetised_Risk_47)</f>
        <v>0</v>
      </c>
      <c r="J292" s="101" cm="1">
        <f t="array" ref="J292">SUMPRODUCT(Reinforcement_Yr1_47*Long_Term_Monetised_Risk_47)</f>
        <v>0</v>
      </c>
      <c r="K292" s="101" cm="1">
        <f t="array" ref="K292">SUMPRODUCT(Faults_Yr1_47*Long_Term_Monetised_Risk_47)</f>
        <v>0</v>
      </c>
      <c r="L292" s="101" cm="1">
        <f t="array" ref="L292">SUMPRODUCT(HVP_Asset_Replacement_Refurbishment_Yr1_47*Long_Term_Monetised_Risk_47)</f>
        <v>0</v>
      </c>
      <c r="M292" s="101" cm="1">
        <f t="array" ref="M292">SUMPRODUCT(HVP_Other_Yr1_47*Long_Term_Monetised_Risk_47)</f>
        <v>0</v>
      </c>
      <c r="N292" s="101" cm="1">
        <f t="array" ref="N292">SUMPRODUCT(All_Other_Yr1_47*Long_Term_Monetised_Risk_47)</f>
        <v>0</v>
      </c>
      <c r="O292" s="102" cm="1">
        <f t="array" ref="O292">SUMPRODUCT(End_Of_Year_Yr1_47*Long_Term_Monetised_Risk_47)</f>
        <v>0</v>
      </c>
      <c r="Q292" s="112"/>
      <c r="R292" s="113"/>
      <c r="S292" s="120"/>
      <c r="T292" s="115" cm="1">
        <f t="array" ref="T292">SUMPRODUCT(Asset_Replacement_2028_Yr1_47*Long_Term_Monetised_Risk_47)</f>
        <v>0</v>
      </c>
      <c r="U292" s="101" cm="1">
        <f t="array" ref="U292">SUMPRODUCT(Asset_Refurbishment_2028_Yr1_47*Long_Term_Monetised_Risk_47)</f>
        <v>0</v>
      </c>
      <c r="V292" s="102" cm="1">
        <f t="array" ref="V292">SUMPRODUCT(HVP_2028_Yr1_47*Long_Term_Monetised_Risk_47)</f>
        <v>0</v>
      </c>
    </row>
    <row r="293" spans="1:22">
      <c r="B293" s="93" t="s">
        <v>108</v>
      </c>
      <c r="C293" s="91">
        <v>2025</v>
      </c>
      <c r="D293" s="64" cm="1">
        <f t="array" ref="D293">SUMPRODUCT(Start_of_Year_Yr2_47*Long_Term_Monetised_Risk_47)</f>
        <v>0</v>
      </c>
      <c r="E293" s="64" cm="1">
        <f t="array" ref="E293">SUMPRODUCT(Data_Cleansing_Yr2_47*Long_Term_Monetised_Risk_47)</f>
        <v>0</v>
      </c>
      <c r="F293" s="64" cm="1">
        <f t="array" ref="F293">SUMPRODUCT(Deterioration_total_Yr2_47*Long_Term_Monetised_Risk_47)</f>
        <v>0</v>
      </c>
      <c r="G293" s="64" cm="1">
        <f t="array" ref="G293">SUMPRODUCT(Other_Risk_Movements_Yr2_47*Long_Term_Monetised_Risk_47)</f>
        <v>0</v>
      </c>
      <c r="H293" s="64" cm="1">
        <f t="array" ref="H293">SUMPRODUCT(Asset_Replacement_Yr2_47*Long_Term_Monetised_Risk_47)</f>
        <v>0</v>
      </c>
      <c r="I293" s="64" cm="1">
        <f t="array" ref="I293">SUMPRODUCT(Asset_Refurbishment_Yr2_47*Long_Term_Monetised_Risk_47)</f>
        <v>0</v>
      </c>
      <c r="J293" s="64" cm="1">
        <f t="array" ref="J293">SUMPRODUCT(Reinforcement_Yr2_47*Long_Term_Monetised_Risk_47)</f>
        <v>0</v>
      </c>
      <c r="K293" s="64" cm="1">
        <f t="array" ref="K293">SUMPRODUCT(Faults_Yr2_47*Long_Term_Monetised_Risk_47)</f>
        <v>0</v>
      </c>
      <c r="L293" s="64" cm="1">
        <f t="array" ref="L293">SUMPRODUCT(HVP_Asset_Replacement_Refurbishment_Yr2_47*Long_Term_Monetised_Risk_47)</f>
        <v>0</v>
      </c>
      <c r="M293" s="64" cm="1">
        <f t="array" ref="M293">SUMPRODUCT(HVP_Other_Yr2_47*Long_Term_Monetised_Risk_47)</f>
        <v>0</v>
      </c>
      <c r="N293" s="64" cm="1">
        <f t="array" ref="N293">SUMPRODUCT(All_Other_Yr2_47*Long_Term_Monetised_Risk_47)</f>
        <v>0</v>
      </c>
      <c r="O293" s="65" cm="1">
        <f t="array" ref="O293">SUMPRODUCT(End_Of_Year_Yr2_47*Long_Term_Monetised_Risk_47)</f>
        <v>0</v>
      </c>
      <c r="Q293" s="110"/>
      <c r="R293" s="111"/>
      <c r="S293" s="119"/>
      <c r="T293" s="114" cm="1">
        <f t="array" ref="T293">SUMPRODUCT(Asset_Replacement_2028_Yr2_47*Long_Term_Monetised_Risk_47)</f>
        <v>0</v>
      </c>
      <c r="U293" s="64" cm="1">
        <f t="array" ref="U293">SUMPRODUCT(Asset_Refurbishment_2028_Yr2_47*Long_Term_Monetised_Risk_47)</f>
        <v>0</v>
      </c>
      <c r="V293" s="65" cm="1">
        <f t="array" ref="V293">SUMPRODUCT(HVP_2028_Yr2_47*Long_Term_Monetised_Risk_47)</f>
        <v>0</v>
      </c>
    </row>
    <row r="294" spans="1:22">
      <c r="B294" s="93" t="s">
        <v>108</v>
      </c>
      <c r="C294" s="91">
        <v>2026</v>
      </c>
      <c r="D294" s="64" cm="1">
        <f t="array" ref="D294">SUMPRODUCT(Start_of_Year_Yr3_47*Long_Term_Monetised_Risk_47)</f>
        <v>0</v>
      </c>
      <c r="E294" s="64" cm="1">
        <f t="array" ref="E294">SUMPRODUCT(Data_Cleansing_Yr3_47*Long_Term_Monetised_Risk_47)</f>
        <v>0</v>
      </c>
      <c r="F294" s="64" cm="1">
        <f t="array" ref="F294">SUMPRODUCT(Deterioration_total_Yr3_47*Long_Term_Monetised_Risk_47)</f>
        <v>0</v>
      </c>
      <c r="G294" s="64" cm="1">
        <f t="array" ref="G294">SUMPRODUCT(Other_Risk_Movements_Yr3_47*Long_Term_Monetised_Risk_47)</f>
        <v>0</v>
      </c>
      <c r="H294" s="64" cm="1">
        <f t="array" ref="H294">SUMPRODUCT(Asset_Replacement_Yr3_47*Long_Term_Monetised_Risk_47)</f>
        <v>0</v>
      </c>
      <c r="I294" s="64" cm="1">
        <f t="array" ref="I294">SUMPRODUCT(Asset_Refurbishment_Yr3_47*Long_Term_Monetised_Risk_47)</f>
        <v>0</v>
      </c>
      <c r="J294" s="64" cm="1">
        <f t="array" ref="J294">SUMPRODUCT(Reinforcement_Yr3_47*Long_Term_Monetised_Risk_47)</f>
        <v>0</v>
      </c>
      <c r="K294" s="64" cm="1">
        <f t="array" ref="K294">SUMPRODUCT(Faults_Yr3_47*Long_Term_Monetised_Risk_47)</f>
        <v>0</v>
      </c>
      <c r="L294" s="64" cm="1">
        <f t="array" ref="L294">SUMPRODUCT(HVP_Asset_Replacement_Refurbishment_Yr3_47*Long_Term_Monetised_Risk_47)</f>
        <v>0</v>
      </c>
      <c r="M294" s="64" cm="1">
        <f t="array" ref="M294">SUMPRODUCT(HVP_Other_Yr3_47*Long_Term_Monetised_Risk_47)</f>
        <v>0</v>
      </c>
      <c r="N294" s="64" cm="1">
        <f t="array" ref="N294">SUMPRODUCT(All_Other_Yr3_47*Long_Term_Monetised_Risk_47)</f>
        <v>0</v>
      </c>
      <c r="O294" s="65" cm="1">
        <f t="array" ref="O294">SUMPRODUCT(End_Of_Year_Yr3_47*Long_Term_Monetised_Risk_47)</f>
        <v>0</v>
      </c>
      <c r="Q294" s="110"/>
      <c r="R294" s="111"/>
      <c r="S294" s="119"/>
      <c r="T294" s="114" cm="1">
        <f t="array" ref="T294">SUMPRODUCT(Asset_Replacement_2028_Yr3_47*Long_Term_Monetised_Risk_47)</f>
        <v>0</v>
      </c>
      <c r="U294" s="64" cm="1">
        <f t="array" ref="U294">SUMPRODUCT(Asset_Refurbishment_2028_Yr3_47*Long_Term_Monetised_Risk_47)</f>
        <v>0</v>
      </c>
      <c r="V294" s="65" cm="1">
        <f t="array" ref="V294">SUMPRODUCT(HVP_2028_Yr3_47*Long_Term_Monetised_Risk_47)</f>
        <v>0</v>
      </c>
    </row>
    <row r="295" spans="1:22">
      <c r="B295" s="93" t="s">
        <v>108</v>
      </c>
      <c r="C295" s="91">
        <v>2027</v>
      </c>
      <c r="D295" s="64" cm="1">
        <f t="array" ref="D295">SUMPRODUCT(Start_of_Year_Yr4_47*Long_Term_Monetised_Risk_47)</f>
        <v>0</v>
      </c>
      <c r="E295" s="64" cm="1">
        <f t="array" ref="E295">SUMPRODUCT(Data_Cleansing_Yr4_47*Long_Term_Monetised_Risk_47)</f>
        <v>0</v>
      </c>
      <c r="F295" s="64" cm="1">
        <f t="array" ref="F295">SUMPRODUCT(Deterioration_total_Yr4_47*Long_Term_Monetised_Risk_47)</f>
        <v>0</v>
      </c>
      <c r="G295" s="64" cm="1">
        <f t="array" ref="G295">SUMPRODUCT(Other_Risk_Movements_Yr4_47*Long_Term_Monetised_Risk_47)</f>
        <v>0</v>
      </c>
      <c r="H295" s="64" cm="1">
        <f t="array" ref="H295">SUMPRODUCT(Asset_Replacement_Yr4_47*Long_Term_Monetised_Risk_47)</f>
        <v>0</v>
      </c>
      <c r="I295" s="64" cm="1">
        <f t="array" ref="I295">SUMPRODUCT(Asset_Refurbishment_Yr4_47*Long_Term_Monetised_Risk_47)</f>
        <v>0</v>
      </c>
      <c r="J295" s="64" cm="1">
        <f t="array" ref="J295">SUMPRODUCT(Reinforcement_Yr4_47*Long_Term_Monetised_Risk_47)</f>
        <v>0</v>
      </c>
      <c r="K295" s="64" cm="1">
        <f t="array" ref="K295">SUMPRODUCT(Faults_Yr4_47*Long_Term_Monetised_Risk_47)</f>
        <v>0</v>
      </c>
      <c r="L295" s="64" cm="1">
        <f t="array" ref="L295">SUMPRODUCT(HVP_Asset_Replacement_Refurbishment_Yr4_47*Long_Term_Monetised_Risk_47)</f>
        <v>0</v>
      </c>
      <c r="M295" s="64" cm="1">
        <f t="array" ref="M295">SUMPRODUCT(HVP_Other_Yr4_47*Long_Term_Monetised_Risk_47)</f>
        <v>0</v>
      </c>
      <c r="N295" s="64" cm="1">
        <f t="array" ref="N295">SUMPRODUCT(All_Other_Yr4_47*Long_Term_Monetised_Risk_47)</f>
        <v>0</v>
      </c>
      <c r="O295" s="65" cm="1">
        <f t="array" ref="O295">SUMPRODUCT(End_Of_Year_Yr4_47*Long_Term_Monetised_Risk_47)</f>
        <v>0</v>
      </c>
      <c r="Q295" s="110"/>
      <c r="R295" s="111"/>
      <c r="S295" s="119"/>
      <c r="T295" s="114" cm="1">
        <f t="array" ref="T295">SUMPRODUCT(Asset_Replacement_2028_Yr4_47*Long_Term_Monetised_Risk_47)</f>
        <v>0</v>
      </c>
      <c r="U295" s="64" cm="1">
        <f t="array" ref="U295">SUMPRODUCT(Asset_Refurbishment_2028_Yr4_47*Long_Term_Monetised_Risk_47)</f>
        <v>0</v>
      </c>
      <c r="V295" s="65" cm="1">
        <f t="array" ref="V295">SUMPRODUCT(HVP_2028_Yr4_47*Long_Term_Monetised_Risk_47)</f>
        <v>0</v>
      </c>
    </row>
    <row r="296" spans="1:22">
      <c r="B296" s="93" t="s">
        <v>108</v>
      </c>
      <c r="C296" s="91">
        <v>2028</v>
      </c>
      <c r="D296" s="64" cm="1">
        <f t="array" ref="D296">SUMPRODUCT(Start_of_Year_Yr5_47*Long_Term_Monetised_Risk_47)</f>
        <v>0</v>
      </c>
      <c r="E296" s="64" cm="1">
        <f t="array" ref="E296">SUMPRODUCT(Data_Cleansing_Yr5_47*Long_Term_Monetised_Risk_47)</f>
        <v>0</v>
      </c>
      <c r="F296" s="64" cm="1">
        <f t="array" ref="F296">SUMPRODUCT(Deterioration_total_Yr5_47*Long_Term_Monetised_Risk_47)</f>
        <v>0</v>
      </c>
      <c r="G296" s="64" cm="1">
        <f t="array" ref="G296">SUMPRODUCT(Other_Risk_Movements_Yr5_47*Long_Term_Monetised_Risk_47)</f>
        <v>0</v>
      </c>
      <c r="H296" s="64" cm="1">
        <f t="array" ref="H296">SUMPRODUCT(Asset_Replacement_Yr5_47*Long_Term_Monetised_Risk_47)</f>
        <v>0</v>
      </c>
      <c r="I296" s="64" cm="1">
        <f t="array" ref="I296">SUMPRODUCT(Asset_Refurbishment_Yr5_47*Long_Term_Monetised_Risk_47)</f>
        <v>0</v>
      </c>
      <c r="J296" s="64" cm="1">
        <f t="array" ref="J296">SUMPRODUCT(Reinforcement_Yr5_47*Long_Term_Monetised_Risk_47)</f>
        <v>0</v>
      </c>
      <c r="K296" s="64" cm="1">
        <f t="array" ref="K296">SUMPRODUCT(Faults_Yr5_47*Long_Term_Monetised_Risk_47)</f>
        <v>0</v>
      </c>
      <c r="L296" s="64" cm="1">
        <f t="array" ref="L296">SUMPRODUCT(HVP_Asset_Replacement_Refurbishment_Yr5_47*Long_Term_Monetised_Risk_47)</f>
        <v>0</v>
      </c>
      <c r="M296" s="64" cm="1">
        <f t="array" ref="M296">SUMPRODUCT(HVP_Other_Yr5_47*Long_Term_Monetised_Risk_47)</f>
        <v>0</v>
      </c>
      <c r="N296" s="64" cm="1">
        <f t="array" ref="N296">SUMPRODUCT(All_Other_Yr5_47*Long_Term_Monetised_Risk_47)</f>
        <v>0</v>
      </c>
      <c r="O296" s="65" cm="1">
        <f t="array" ref="O296">SUMPRODUCT(End_Of_Year_Yr5_47*Long_Term_Monetised_Risk_47)</f>
        <v>0</v>
      </c>
      <c r="Q296" s="110"/>
      <c r="R296" s="111"/>
      <c r="S296" s="119"/>
      <c r="T296" s="114" cm="1">
        <f t="array" ref="T296">SUMPRODUCT(Asset_Replacement_2028_Yr5_47*Long_Term_Monetised_Risk_47)</f>
        <v>0</v>
      </c>
      <c r="U296" s="64" cm="1">
        <f t="array" ref="U296">SUMPRODUCT(Asset_Refurbishment_2028_Yr5_47*Long_Term_Monetised_Risk_47)</f>
        <v>0</v>
      </c>
      <c r="V296" s="65" cm="1">
        <f t="array" ref="V296">SUMPRODUCT(HVP_2028_Yr5_47*Long_Term_Monetised_Risk_47)</f>
        <v>0</v>
      </c>
    </row>
    <row r="297" spans="1:22" ht="14" thickBot="1">
      <c r="B297" s="103" t="s">
        <v>108</v>
      </c>
      <c r="C297" s="104" t="s">
        <v>131</v>
      </c>
      <c r="D297" s="105"/>
      <c r="E297" s="106">
        <f t="shared" ref="E297:O297" si="102">SUM(E292:E296)</f>
        <v>0</v>
      </c>
      <c r="F297" s="106">
        <f t="shared" si="102"/>
        <v>0</v>
      </c>
      <c r="G297" s="106">
        <f t="shared" si="102"/>
        <v>0</v>
      </c>
      <c r="H297" s="106">
        <f t="shared" si="102"/>
        <v>0</v>
      </c>
      <c r="I297" s="106">
        <f t="shared" si="102"/>
        <v>0</v>
      </c>
      <c r="J297" s="106">
        <f t="shared" si="102"/>
        <v>0</v>
      </c>
      <c r="K297" s="106">
        <f t="shared" si="102"/>
        <v>0</v>
      </c>
      <c r="L297" s="106">
        <f t="shared" si="102"/>
        <v>0</v>
      </c>
      <c r="M297" s="106">
        <f t="shared" si="102"/>
        <v>0</v>
      </c>
      <c r="N297" s="106">
        <f t="shared" si="102"/>
        <v>0</v>
      </c>
      <c r="O297" s="537">
        <f t="shared" si="102"/>
        <v>0</v>
      </c>
      <c r="Q297" s="107" t="str">
        <f ca="1">VLOOKUP($B297,'NARM4 - ED2 NARW Risk Movements'!$B$7:$G$67,4,FALSE)</f>
        <v/>
      </c>
      <c r="R297" s="109" t="str">
        <f ca="1">VLOOKUP($B297,'NARM4 - ED2 NARW Risk Movements'!$B$7:$G$67,5,FALSE)</f>
        <v/>
      </c>
      <c r="S297" s="121" t="str">
        <f ca="1">VLOOKUP($B297,'NARM4 - ED2 NARW Risk Movements'!$B$7:$G$67,6,FALSE)</f>
        <v/>
      </c>
      <c r="T297" s="117">
        <f>SUM(T292:T296)</f>
        <v>0</v>
      </c>
      <c r="U297" s="106">
        <f t="shared" ref="U297" si="103">SUM(U292:U296)</f>
        <v>0</v>
      </c>
      <c r="V297" s="108">
        <f>SUM(V292:V296)</f>
        <v>0</v>
      </c>
    </row>
    <row r="298" spans="1:22" ht="14" thickTop="1">
      <c r="A298" s="143">
        <v>48</v>
      </c>
      <c r="B298" s="99" t="s">
        <v>177</v>
      </c>
      <c r="C298" s="100">
        <v>2024</v>
      </c>
      <c r="D298" s="101" cm="1">
        <f t="array" ref="D298">SUMPRODUCT(Start_of_Year_Yr1_48*Long_Term_Monetised_Risk_48)</f>
        <v>0</v>
      </c>
      <c r="E298" s="101" cm="1">
        <f t="array" ref="E298">SUMPRODUCT(Data_Cleansing_Yr1_48*Long_Term_Monetised_Risk_48)</f>
        <v>0</v>
      </c>
      <c r="F298" s="101" cm="1">
        <f t="array" ref="F298">SUMPRODUCT(Deterioration_total_Yr1_48*Long_Term_Monetised_Risk_48)</f>
        <v>0</v>
      </c>
      <c r="G298" s="101" cm="1">
        <f t="array" ref="G298">SUMPRODUCT(Other_Risk_Movements_Yr1_48*Long_Term_Monetised_Risk_48)</f>
        <v>0</v>
      </c>
      <c r="H298" s="101" cm="1">
        <f t="array" ref="H298">SUMPRODUCT(Asset_Replacement_Yr1_48*Long_Term_Monetised_Risk_48)</f>
        <v>0</v>
      </c>
      <c r="I298" s="101" cm="1">
        <f t="array" ref="I298">SUMPRODUCT(Asset_Refurbishment_Yr1_48*Long_Term_Monetised_Risk_48)</f>
        <v>0</v>
      </c>
      <c r="J298" s="101" cm="1">
        <f t="array" ref="J298">SUMPRODUCT(Reinforcement_Yr1_48*Long_Term_Monetised_Risk_48)</f>
        <v>0</v>
      </c>
      <c r="K298" s="101" cm="1">
        <f t="array" ref="K298">SUMPRODUCT(Faults_Yr1_48*Long_Term_Monetised_Risk_48)</f>
        <v>0</v>
      </c>
      <c r="L298" s="101" cm="1">
        <f t="array" ref="L298">SUMPRODUCT(HVP_Asset_Replacement_Refurbishment_Yr1_48*Long_Term_Monetised_Risk_48)</f>
        <v>0</v>
      </c>
      <c r="M298" s="101" cm="1">
        <f t="array" ref="M298">SUMPRODUCT(HVP_Other_Yr1_48*Long_Term_Monetised_Risk_48)</f>
        <v>0</v>
      </c>
      <c r="N298" s="101" cm="1">
        <f t="array" ref="N298">SUMPRODUCT(All_Other_Yr1_48*Long_Term_Monetised_Risk_48)</f>
        <v>0</v>
      </c>
      <c r="O298" s="102" cm="1">
        <f t="array" ref="O298">SUMPRODUCT(End_Of_Year_Yr1_48*Long_Term_Monetised_Risk_48)</f>
        <v>0</v>
      </c>
      <c r="Q298" s="112"/>
      <c r="R298" s="113"/>
      <c r="S298" s="120"/>
      <c r="T298" s="115" cm="1">
        <f t="array" ref="T298">SUMPRODUCT(Asset_Replacement_2028_Yr1_48*Long_Term_Monetised_Risk_48)</f>
        <v>0</v>
      </c>
      <c r="U298" s="101" cm="1">
        <f t="array" ref="U298">SUMPRODUCT(Asset_Refurbishment_2028_Yr1_48*Long_Term_Monetised_Risk_48)</f>
        <v>0</v>
      </c>
      <c r="V298" s="102" cm="1">
        <f t="array" ref="V298">SUMPRODUCT(HVP_2028_Yr1_48*Long_Term_Monetised_Risk_48)</f>
        <v>0</v>
      </c>
    </row>
    <row r="299" spans="1:22">
      <c r="B299" s="93" t="s">
        <v>177</v>
      </c>
      <c r="C299" s="91">
        <v>2025</v>
      </c>
      <c r="D299" s="64" cm="1">
        <f t="array" ref="D299">SUMPRODUCT(Start_of_Year_Yr2_48*Long_Term_Monetised_Risk_48)</f>
        <v>0</v>
      </c>
      <c r="E299" s="64" cm="1">
        <f t="array" ref="E299">SUMPRODUCT(Data_Cleansing_Yr2_48*Long_Term_Monetised_Risk_48)</f>
        <v>0</v>
      </c>
      <c r="F299" s="64" cm="1">
        <f t="array" ref="F299">SUMPRODUCT(Deterioration_total_Yr2_48*Long_Term_Monetised_Risk_48)</f>
        <v>0</v>
      </c>
      <c r="G299" s="64" cm="1">
        <f t="array" ref="G299">SUMPRODUCT(Other_Risk_Movements_Yr2_48*Long_Term_Monetised_Risk_48)</f>
        <v>0</v>
      </c>
      <c r="H299" s="64" cm="1">
        <f t="array" ref="H299">SUMPRODUCT(Asset_Replacement_Yr2_48*Long_Term_Monetised_Risk_48)</f>
        <v>0</v>
      </c>
      <c r="I299" s="64" cm="1">
        <f t="array" ref="I299">SUMPRODUCT(Asset_Refurbishment_Yr2_48*Long_Term_Monetised_Risk_48)</f>
        <v>0</v>
      </c>
      <c r="J299" s="64" cm="1">
        <f t="array" ref="J299">SUMPRODUCT(Reinforcement_Yr2_48*Long_Term_Monetised_Risk_48)</f>
        <v>0</v>
      </c>
      <c r="K299" s="64" cm="1">
        <f t="array" ref="K299">SUMPRODUCT(Faults_Yr2_48*Long_Term_Monetised_Risk_48)</f>
        <v>0</v>
      </c>
      <c r="L299" s="64" cm="1">
        <f t="array" ref="L299">SUMPRODUCT(HVP_Asset_Replacement_Refurbishment_Yr2_48*Long_Term_Monetised_Risk_48)</f>
        <v>0</v>
      </c>
      <c r="M299" s="64" cm="1">
        <f t="array" ref="M299">SUMPRODUCT(HVP_Other_Yr2_48*Long_Term_Monetised_Risk_48)</f>
        <v>0</v>
      </c>
      <c r="N299" s="64" cm="1">
        <f t="array" ref="N299">SUMPRODUCT(All_Other_Yr2_48*Long_Term_Monetised_Risk_48)</f>
        <v>0</v>
      </c>
      <c r="O299" s="65" cm="1">
        <f t="array" ref="O299">SUMPRODUCT(End_Of_Year_Yr2_48*Long_Term_Monetised_Risk_48)</f>
        <v>0</v>
      </c>
      <c r="Q299" s="110"/>
      <c r="R299" s="111"/>
      <c r="S299" s="119"/>
      <c r="T299" s="114" cm="1">
        <f t="array" ref="T299">SUMPRODUCT(Asset_Replacement_2028_Yr2_48*Long_Term_Monetised_Risk_48)</f>
        <v>0</v>
      </c>
      <c r="U299" s="64" cm="1">
        <f t="array" ref="U299">SUMPRODUCT(Asset_Refurbishment_2028_Yr2_48*Long_Term_Monetised_Risk_48)</f>
        <v>0</v>
      </c>
      <c r="V299" s="65" cm="1">
        <f t="array" ref="V299">SUMPRODUCT(HVP_2028_Yr2_48*Long_Term_Monetised_Risk_48)</f>
        <v>0</v>
      </c>
    </row>
    <row r="300" spans="1:22">
      <c r="B300" s="93" t="s">
        <v>177</v>
      </c>
      <c r="C300" s="91">
        <v>2026</v>
      </c>
      <c r="D300" s="64" cm="1">
        <f t="array" ref="D300">SUMPRODUCT(Start_of_Year_Yr3_48*Long_Term_Monetised_Risk_48)</f>
        <v>0</v>
      </c>
      <c r="E300" s="64" cm="1">
        <f t="array" ref="E300">SUMPRODUCT(Data_Cleansing_Yr3_48*Long_Term_Monetised_Risk_48)</f>
        <v>0</v>
      </c>
      <c r="F300" s="64" cm="1">
        <f t="array" ref="F300">SUMPRODUCT(Deterioration_total_Yr3_48*Long_Term_Monetised_Risk_48)</f>
        <v>0</v>
      </c>
      <c r="G300" s="64" cm="1">
        <f t="array" ref="G300">SUMPRODUCT(Other_Risk_Movements_Yr3_48*Long_Term_Monetised_Risk_48)</f>
        <v>0</v>
      </c>
      <c r="H300" s="64" cm="1">
        <f t="array" ref="H300">SUMPRODUCT(Asset_Replacement_Yr3_48*Long_Term_Monetised_Risk_48)</f>
        <v>0</v>
      </c>
      <c r="I300" s="64" cm="1">
        <f t="array" ref="I300">SUMPRODUCT(Asset_Refurbishment_Yr3_48*Long_Term_Monetised_Risk_48)</f>
        <v>0</v>
      </c>
      <c r="J300" s="64" cm="1">
        <f t="array" ref="J300">SUMPRODUCT(Reinforcement_Yr3_48*Long_Term_Monetised_Risk_48)</f>
        <v>0</v>
      </c>
      <c r="K300" s="64" cm="1">
        <f t="array" ref="K300">SUMPRODUCT(Faults_Yr3_48*Long_Term_Monetised_Risk_48)</f>
        <v>0</v>
      </c>
      <c r="L300" s="64" cm="1">
        <f t="array" ref="L300">SUMPRODUCT(HVP_Asset_Replacement_Refurbishment_Yr3_48*Long_Term_Monetised_Risk_48)</f>
        <v>0</v>
      </c>
      <c r="M300" s="64" cm="1">
        <f t="array" ref="M300">SUMPRODUCT(HVP_Other_Yr3_48*Long_Term_Monetised_Risk_48)</f>
        <v>0</v>
      </c>
      <c r="N300" s="64" cm="1">
        <f t="array" ref="N300">SUMPRODUCT(All_Other_Yr3_48*Long_Term_Monetised_Risk_48)</f>
        <v>0</v>
      </c>
      <c r="O300" s="65" cm="1">
        <f t="array" ref="O300">SUMPRODUCT(End_Of_Year_Yr3_48*Long_Term_Monetised_Risk_48)</f>
        <v>0</v>
      </c>
      <c r="Q300" s="110"/>
      <c r="R300" s="111"/>
      <c r="S300" s="119"/>
      <c r="T300" s="114" cm="1">
        <f t="array" ref="T300">SUMPRODUCT(Asset_Replacement_2028_Yr3_48*Long_Term_Monetised_Risk_48)</f>
        <v>0</v>
      </c>
      <c r="U300" s="64" cm="1">
        <f t="array" ref="U300">SUMPRODUCT(Asset_Refurbishment_2028_Yr3_48*Long_Term_Monetised_Risk_48)</f>
        <v>0</v>
      </c>
      <c r="V300" s="65" cm="1">
        <f t="array" ref="V300">SUMPRODUCT(HVP_2028_Yr3_48*Long_Term_Monetised_Risk_48)</f>
        <v>0</v>
      </c>
    </row>
    <row r="301" spans="1:22">
      <c r="B301" s="93" t="s">
        <v>177</v>
      </c>
      <c r="C301" s="91">
        <v>2027</v>
      </c>
      <c r="D301" s="64" cm="1">
        <f t="array" ref="D301">SUMPRODUCT(Start_of_Year_Yr4_48*Long_Term_Monetised_Risk_48)</f>
        <v>0</v>
      </c>
      <c r="E301" s="64" cm="1">
        <f t="array" ref="E301">SUMPRODUCT(Data_Cleansing_Yr4_48*Long_Term_Monetised_Risk_48)</f>
        <v>0</v>
      </c>
      <c r="F301" s="64" cm="1">
        <f t="array" ref="F301">SUMPRODUCT(Deterioration_total_Yr4_48*Long_Term_Monetised_Risk_48)</f>
        <v>0</v>
      </c>
      <c r="G301" s="64" cm="1">
        <f t="array" ref="G301">SUMPRODUCT(Other_Risk_Movements_Yr4_48*Long_Term_Monetised_Risk_48)</f>
        <v>0</v>
      </c>
      <c r="H301" s="64" cm="1">
        <f t="array" ref="H301">SUMPRODUCT(Asset_Replacement_Yr4_48*Long_Term_Monetised_Risk_48)</f>
        <v>0</v>
      </c>
      <c r="I301" s="64" cm="1">
        <f t="array" ref="I301">SUMPRODUCT(Asset_Refurbishment_Yr4_48*Long_Term_Monetised_Risk_48)</f>
        <v>0</v>
      </c>
      <c r="J301" s="64" cm="1">
        <f t="array" ref="J301">SUMPRODUCT(Reinforcement_Yr4_48*Long_Term_Monetised_Risk_48)</f>
        <v>0</v>
      </c>
      <c r="K301" s="64" cm="1">
        <f t="array" ref="K301">SUMPRODUCT(Faults_Yr4_48*Long_Term_Monetised_Risk_48)</f>
        <v>0</v>
      </c>
      <c r="L301" s="64" cm="1">
        <f t="array" ref="L301">SUMPRODUCT(HVP_Asset_Replacement_Refurbishment_Yr4_48*Long_Term_Monetised_Risk_48)</f>
        <v>0</v>
      </c>
      <c r="M301" s="64" cm="1">
        <f t="array" ref="M301">SUMPRODUCT(HVP_Other_Yr4_48*Long_Term_Monetised_Risk_48)</f>
        <v>0</v>
      </c>
      <c r="N301" s="64" cm="1">
        <f t="array" ref="N301">SUMPRODUCT(All_Other_Yr4_48*Long_Term_Monetised_Risk_48)</f>
        <v>0</v>
      </c>
      <c r="O301" s="65" cm="1">
        <f t="array" ref="O301">SUMPRODUCT(End_Of_Year_Yr4_48*Long_Term_Monetised_Risk_48)</f>
        <v>0</v>
      </c>
      <c r="Q301" s="110"/>
      <c r="R301" s="111"/>
      <c r="S301" s="119"/>
      <c r="T301" s="114" cm="1">
        <f t="array" ref="T301">SUMPRODUCT(Asset_Replacement_2028_Yr4_48*Long_Term_Monetised_Risk_48)</f>
        <v>0</v>
      </c>
      <c r="U301" s="64" cm="1">
        <f t="array" ref="U301">SUMPRODUCT(Asset_Refurbishment_2028_Yr4_48*Long_Term_Monetised_Risk_48)</f>
        <v>0</v>
      </c>
      <c r="V301" s="65" cm="1">
        <f t="array" ref="V301">SUMPRODUCT(HVP_2028_Yr4_48*Long_Term_Monetised_Risk_48)</f>
        <v>0</v>
      </c>
    </row>
    <row r="302" spans="1:22">
      <c r="B302" s="93" t="s">
        <v>177</v>
      </c>
      <c r="C302" s="91">
        <v>2028</v>
      </c>
      <c r="D302" s="64" cm="1">
        <f t="array" ref="D302">SUMPRODUCT(Start_of_Year_Yr5_48*Long_Term_Monetised_Risk_48)</f>
        <v>0</v>
      </c>
      <c r="E302" s="64" cm="1">
        <f t="array" ref="E302">SUMPRODUCT(Data_Cleansing_Yr5_48*Long_Term_Monetised_Risk_48)</f>
        <v>0</v>
      </c>
      <c r="F302" s="64" cm="1">
        <f t="array" ref="F302">SUMPRODUCT(Deterioration_total_Yr5_48*Long_Term_Monetised_Risk_48)</f>
        <v>0</v>
      </c>
      <c r="G302" s="64" cm="1">
        <f t="array" ref="G302">SUMPRODUCT(Other_Risk_Movements_Yr5_48*Long_Term_Monetised_Risk_48)</f>
        <v>0</v>
      </c>
      <c r="H302" s="64" cm="1">
        <f t="array" ref="H302">SUMPRODUCT(Asset_Replacement_Yr5_48*Long_Term_Monetised_Risk_48)</f>
        <v>0</v>
      </c>
      <c r="I302" s="64" cm="1">
        <f t="array" ref="I302">SUMPRODUCT(Asset_Refurbishment_Yr5_48*Long_Term_Monetised_Risk_48)</f>
        <v>0</v>
      </c>
      <c r="J302" s="64" cm="1">
        <f t="array" ref="J302">SUMPRODUCT(Reinforcement_Yr5_48*Long_Term_Monetised_Risk_48)</f>
        <v>0</v>
      </c>
      <c r="K302" s="64" cm="1">
        <f t="array" ref="K302">SUMPRODUCT(Faults_Yr5_48*Long_Term_Monetised_Risk_48)</f>
        <v>0</v>
      </c>
      <c r="L302" s="64" cm="1">
        <f t="array" ref="L302">SUMPRODUCT(HVP_Asset_Replacement_Refurbishment_Yr5_48*Long_Term_Monetised_Risk_48)</f>
        <v>0</v>
      </c>
      <c r="M302" s="64" cm="1">
        <f t="array" ref="M302">SUMPRODUCT(HVP_Other_Yr5_48*Long_Term_Monetised_Risk_48)</f>
        <v>0</v>
      </c>
      <c r="N302" s="64" cm="1">
        <f t="array" ref="N302">SUMPRODUCT(All_Other_Yr5_48*Long_Term_Monetised_Risk_48)</f>
        <v>0</v>
      </c>
      <c r="O302" s="65" cm="1">
        <f t="array" ref="O302">SUMPRODUCT(End_Of_Year_Yr5_48*Long_Term_Monetised_Risk_48)</f>
        <v>0</v>
      </c>
      <c r="Q302" s="110"/>
      <c r="R302" s="111"/>
      <c r="S302" s="119"/>
      <c r="T302" s="114" cm="1">
        <f t="array" ref="T302">SUMPRODUCT(Asset_Replacement_2028_Yr5_48*Long_Term_Monetised_Risk_48)</f>
        <v>0</v>
      </c>
      <c r="U302" s="64" cm="1">
        <f t="array" ref="U302">SUMPRODUCT(Asset_Refurbishment_2028_Yr5_48*Long_Term_Monetised_Risk_48)</f>
        <v>0</v>
      </c>
      <c r="V302" s="65" cm="1">
        <f t="array" ref="V302">SUMPRODUCT(HVP_2028_Yr5_48*Long_Term_Monetised_Risk_48)</f>
        <v>0</v>
      </c>
    </row>
    <row r="303" spans="1:22" ht="14" thickBot="1">
      <c r="B303" s="103" t="s">
        <v>109</v>
      </c>
      <c r="C303" s="104" t="s">
        <v>131</v>
      </c>
      <c r="D303" s="105"/>
      <c r="E303" s="106">
        <f t="shared" ref="E303:O303" si="104">SUM(E298:E302)</f>
        <v>0</v>
      </c>
      <c r="F303" s="106">
        <f t="shared" si="104"/>
        <v>0</v>
      </c>
      <c r="G303" s="106">
        <f t="shared" si="104"/>
        <v>0</v>
      </c>
      <c r="H303" s="106">
        <f t="shared" si="104"/>
        <v>0</v>
      </c>
      <c r="I303" s="106">
        <f t="shared" si="104"/>
        <v>0</v>
      </c>
      <c r="J303" s="106">
        <f t="shared" si="104"/>
        <v>0</v>
      </c>
      <c r="K303" s="106">
        <f t="shared" si="104"/>
        <v>0</v>
      </c>
      <c r="L303" s="106">
        <f t="shared" si="104"/>
        <v>0</v>
      </c>
      <c r="M303" s="106">
        <f t="shared" si="104"/>
        <v>0</v>
      </c>
      <c r="N303" s="106">
        <f t="shared" si="104"/>
        <v>0</v>
      </c>
      <c r="O303" s="537">
        <f t="shared" si="104"/>
        <v>0</v>
      </c>
      <c r="Q303" s="107" t="str">
        <f ca="1">VLOOKUP($B303,'NARM4 - ED2 NARW Risk Movements'!$B$7:$G$67,4,FALSE)</f>
        <v/>
      </c>
      <c r="R303" s="109" t="str">
        <f ca="1">VLOOKUP($B303,'NARM4 - ED2 NARW Risk Movements'!$B$7:$G$67,5,FALSE)</f>
        <v/>
      </c>
      <c r="S303" s="121" t="str">
        <f ca="1">VLOOKUP($B303,'NARM4 - ED2 NARW Risk Movements'!$B$7:$G$67,6,FALSE)</f>
        <v/>
      </c>
      <c r="T303" s="117">
        <f>SUM(T298:T302)</f>
        <v>0</v>
      </c>
      <c r="U303" s="106">
        <f t="shared" ref="U303" si="105">SUM(U298:U302)</f>
        <v>0</v>
      </c>
      <c r="V303" s="108">
        <f>SUM(V298:V302)</f>
        <v>0</v>
      </c>
    </row>
    <row r="304" spans="1:22" ht="14" thickTop="1">
      <c r="A304" s="143">
        <v>49</v>
      </c>
      <c r="B304" s="99" t="s">
        <v>178</v>
      </c>
      <c r="C304" s="100">
        <v>2024</v>
      </c>
      <c r="D304" s="101" cm="1">
        <f t="array" ref="D304">SUMPRODUCT(Start_of_Year_Yr1_49*Long_Term_Monetised_Risk_49)</f>
        <v>0</v>
      </c>
      <c r="E304" s="101" cm="1">
        <f t="array" ref="E304">SUMPRODUCT(Data_Cleansing_Yr1_49*Long_Term_Monetised_Risk_49)</f>
        <v>0</v>
      </c>
      <c r="F304" s="101" cm="1">
        <f t="array" ref="F304">SUMPRODUCT(Deterioration_total_Yr1_49*Long_Term_Monetised_Risk_49)</f>
        <v>0</v>
      </c>
      <c r="G304" s="101" cm="1">
        <f t="array" ref="G304">SUMPRODUCT(Other_Risk_Movements_Yr1_49*Long_Term_Monetised_Risk_49)</f>
        <v>0</v>
      </c>
      <c r="H304" s="101" cm="1">
        <f t="array" ref="H304">SUMPRODUCT(Asset_Replacement_Yr1_49*Long_Term_Monetised_Risk_49)</f>
        <v>0</v>
      </c>
      <c r="I304" s="101" cm="1">
        <f t="array" ref="I304">SUMPRODUCT(Asset_Refurbishment_Yr1_49*Long_Term_Monetised_Risk_49)</f>
        <v>0</v>
      </c>
      <c r="J304" s="101" cm="1">
        <f t="array" ref="J304">SUMPRODUCT(Reinforcement_Yr1_49*Long_Term_Monetised_Risk_49)</f>
        <v>0</v>
      </c>
      <c r="K304" s="101" cm="1">
        <f t="array" ref="K304">SUMPRODUCT(Faults_Yr1_49*Long_Term_Monetised_Risk_49)</f>
        <v>0</v>
      </c>
      <c r="L304" s="101" cm="1">
        <f t="array" ref="L304">SUMPRODUCT(HVP_Asset_Replacement_Refurbishment_Yr1_49*Long_Term_Monetised_Risk_49)</f>
        <v>0</v>
      </c>
      <c r="M304" s="101" cm="1">
        <f t="array" ref="M304">SUMPRODUCT(HVP_Other_Yr1_49*Long_Term_Monetised_Risk_49)</f>
        <v>0</v>
      </c>
      <c r="N304" s="101" cm="1">
        <f t="array" ref="N304">SUMPRODUCT(All_Other_Yr1_49*Long_Term_Monetised_Risk_49)</f>
        <v>0</v>
      </c>
      <c r="O304" s="102" cm="1">
        <f t="array" ref="O304">SUMPRODUCT(End_Of_Year_Yr1_49*Long_Term_Monetised_Risk_49)</f>
        <v>0</v>
      </c>
      <c r="Q304" s="112"/>
      <c r="R304" s="113"/>
      <c r="S304" s="120"/>
      <c r="T304" s="115" cm="1">
        <f t="array" ref="T304">SUMPRODUCT(Asset_Replacement_2028_Yr1_49*Long_Term_Monetised_Risk_49)</f>
        <v>0</v>
      </c>
      <c r="U304" s="101" cm="1">
        <f t="array" ref="U304">SUMPRODUCT(Asset_Refurbishment_2028_Yr1_49*Long_Term_Monetised_Risk_49)</f>
        <v>0</v>
      </c>
      <c r="V304" s="102" cm="1">
        <f t="array" ref="V304">SUMPRODUCT(HVP_2028_Yr1_49*Long_Term_Monetised_Risk_49)</f>
        <v>0</v>
      </c>
    </row>
    <row r="305" spans="1:22">
      <c r="B305" s="93" t="s">
        <v>178</v>
      </c>
      <c r="C305" s="91">
        <v>2025</v>
      </c>
      <c r="D305" s="64" cm="1">
        <f t="array" ref="D305">SUMPRODUCT(Start_of_Year_Yr2_49*Long_Term_Monetised_Risk_49)</f>
        <v>0</v>
      </c>
      <c r="E305" s="64" cm="1">
        <f t="array" ref="E305">SUMPRODUCT(Data_Cleansing_Yr2_49*Long_Term_Monetised_Risk_49)</f>
        <v>0</v>
      </c>
      <c r="F305" s="64" cm="1">
        <f t="array" ref="F305">SUMPRODUCT(Deterioration_total_Yr2_49*Long_Term_Monetised_Risk_49)</f>
        <v>0</v>
      </c>
      <c r="G305" s="64" cm="1">
        <f t="array" ref="G305">SUMPRODUCT(Other_Risk_Movements_Yr2_49*Long_Term_Monetised_Risk_49)</f>
        <v>0</v>
      </c>
      <c r="H305" s="64" cm="1">
        <f t="array" ref="H305">SUMPRODUCT(Asset_Replacement_Yr2_49*Long_Term_Monetised_Risk_49)</f>
        <v>0</v>
      </c>
      <c r="I305" s="64" cm="1">
        <f t="array" ref="I305">SUMPRODUCT(Asset_Refurbishment_Yr2_49*Long_Term_Monetised_Risk_49)</f>
        <v>0</v>
      </c>
      <c r="J305" s="64" cm="1">
        <f t="array" ref="J305">SUMPRODUCT(Reinforcement_Yr2_49*Long_Term_Monetised_Risk_49)</f>
        <v>0</v>
      </c>
      <c r="K305" s="64" cm="1">
        <f t="array" ref="K305">SUMPRODUCT(Faults_Yr2_49*Long_Term_Monetised_Risk_49)</f>
        <v>0</v>
      </c>
      <c r="L305" s="64" cm="1">
        <f t="array" ref="L305">SUMPRODUCT(HVP_Asset_Replacement_Refurbishment_Yr2_49*Long_Term_Monetised_Risk_49)</f>
        <v>0</v>
      </c>
      <c r="M305" s="64" cm="1">
        <f t="array" ref="M305">SUMPRODUCT(HVP_Other_Yr2_49*Long_Term_Monetised_Risk_49)</f>
        <v>0</v>
      </c>
      <c r="N305" s="64" cm="1">
        <f t="array" ref="N305">SUMPRODUCT(All_Other_Yr2_49*Long_Term_Monetised_Risk_49)</f>
        <v>0</v>
      </c>
      <c r="O305" s="65" cm="1">
        <f t="array" ref="O305">SUMPRODUCT(End_Of_Year_Yr2_49*Long_Term_Monetised_Risk_49)</f>
        <v>0</v>
      </c>
      <c r="Q305" s="110"/>
      <c r="R305" s="111"/>
      <c r="S305" s="119"/>
      <c r="T305" s="114" cm="1">
        <f t="array" ref="T305">SUMPRODUCT(Asset_Replacement_2028_Yr2_49*Long_Term_Monetised_Risk_49)</f>
        <v>0</v>
      </c>
      <c r="U305" s="64" cm="1">
        <f t="array" ref="U305">SUMPRODUCT(Asset_Refurbishment_2028_Yr2_49*Long_Term_Monetised_Risk_49)</f>
        <v>0</v>
      </c>
      <c r="V305" s="65" cm="1">
        <f t="array" ref="V305">SUMPRODUCT(HVP_2028_Yr2_49*Long_Term_Monetised_Risk_49)</f>
        <v>0</v>
      </c>
    </row>
    <row r="306" spans="1:22">
      <c r="B306" s="93" t="s">
        <v>178</v>
      </c>
      <c r="C306" s="91">
        <v>2026</v>
      </c>
      <c r="D306" s="64" cm="1">
        <f t="array" ref="D306">SUMPRODUCT(Start_of_Year_Yr3_49*Long_Term_Monetised_Risk_49)</f>
        <v>0</v>
      </c>
      <c r="E306" s="64" cm="1">
        <f t="array" ref="E306">SUMPRODUCT(Data_Cleansing_Yr3_49*Long_Term_Monetised_Risk_49)</f>
        <v>0</v>
      </c>
      <c r="F306" s="64" cm="1">
        <f t="array" ref="F306">SUMPRODUCT(Deterioration_total_Yr3_49*Long_Term_Monetised_Risk_49)</f>
        <v>0</v>
      </c>
      <c r="G306" s="64" cm="1">
        <f t="array" ref="G306">SUMPRODUCT(Other_Risk_Movements_Yr3_49*Long_Term_Monetised_Risk_49)</f>
        <v>0</v>
      </c>
      <c r="H306" s="64" cm="1">
        <f t="array" ref="H306">SUMPRODUCT(Asset_Replacement_Yr3_49*Long_Term_Monetised_Risk_49)</f>
        <v>0</v>
      </c>
      <c r="I306" s="64" cm="1">
        <f t="array" ref="I306">SUMPRODUCT(Asset_Refurbishment_Yr3_49*Long_Term_Monetised_Risk_49)</f>
        <v>0</v>
      </c>
      <c r="J306" s="64" cm="1">
        <f t="array" ref="J306">SUMPRODUCT(Reinforcement_Yr3_49*Long_Term_Monetised_Risk_49)</f>
        <v>0</v>
      </c>
      <c r="K306" s="64" cm="1">
        <f t="array" ref="K306">SUMPRODUCT(Faults_Yr3_49*Long_Term_Monetised_Risk_49)</f>
        <v>0</v>
      </c>
      <c r="L306" s="64" cm="1">
        <f t="array" ref="L306">SUMPRODUCT(HVP_Asset_Replacement_Refurbishment_Yr3_49*Long_Term_Monetised_Risk_49)</f>
        <v>0</v>
      </c>
      <c r="M306" s="64" cm="1">
        <f t="array" ref="M306">SUMPRODUCT(HVP_Other_Yr3_49*Long_Term_Monetised_Risk_49)</f>
        <v>0</v>
      </c>
      <c r="N306" s="64" cm="1">
        <f t="array" ref="N306">SUMPRODUCT(All_Other_Yr3_49*Long_Term_Monetised_Risk_49)</f>
        <v>0</v>
      </c>
      <c r="O306" s="65" cm="1">
        <f t="array" ref="O306">SUMPRODUCT(End_Of_Year_Yr3_49*Long_Term_Monetised_Risk_49)</f>
        <v>0</v>
      </c>
      <c r="Q306" s="110"/>
      <c r="R306" s="111"/>
      <c r="S306" s="119"/>
      <c r="T306" s="114" cm="1">
        <f t="array" ref="T306">SUMPRODUCT(Asset_Replacement_2028_Yr3_49*Long_Term_Monetised_Risk_49)</f>
        <v>0</v>
      </c>
      <c r="U306" s="64" cm="1">
        <f t="array" ref="U306">SUMPRODUCT(Asset_Refurbishment_2028_Yr3_49*Long_Term_Monetised_Risk_49)</f>
        <v>0</v>
      </c>
      <c r="V306" s="65" cm="1">
        <f t="array" ref="V306">SUMPRODUCT(HVP_2028_Yr3_49*Long_Term_Monetised_Risk_49)</f>
        <v>0</v>
      </c>
    </row>
    <row r="307" spans="1:22">
      <c r="B307" s="93" t="s">
        <v>178</v>
      </c>
      <c r="C307" s="91">
        <v>2027</v>
      </c>
      <c r="D307" s="64" cm="1">
        <f t="array" ref="D307">SUMPRODUCT(Start_of_Year_Yr4_49*Long_Term_Monetised_Risk_49)</f>
        <v>0</v>
      </c>
      <c r="E307" s="64" cm="1">
        <f t="array" ref="E307">SUMPRODUCT(Data_Cleansing_Yr4_49*Long_Term_Monetised_Risk_49)</f>
        <v>0</v>
      </c>
      <c r="F307" s="64" cm="1">
        <f t="array" ref="F307">SUMPRODUCT(Deterioration_total_Yr4_49*Long_Term_Monetised_Risk_49)</f>
        <v>0</v>
      </c>
      <c r="G307" s="64" cm="1">
        <f t="array" ref="G307">SUMPRODUCT(Other_Risk_Movements_Yr4_49*Long_Term_Monetised_Risk_49)</f>
        <v>0</v>
      </c>
      <c r="H307" s="64" cm="1">
        <f t="array" ref="H307">SUMPRODUCT(Asset_Replacement_Yr4_49*Long_Term_Monetised_Risk_49)</f>
        <v>0</v>
      </c>
      <c r="I307" s="64" cm="1">
        <f t="array" ref="I307">SUMPRODUCT(Asset_Refurbishment_Yr4_49*Long_Term_Monetised_Risk_49)</f>
        <v>0</v>
      </c>
      <c r="J307" s="64" cm="1">
        <f t="array" ref="J307">SUMPRODUCT(Reinforcement_Yr4_49*Long_Term_Monetised_Risk_49)</f>
        <v>0</v>
      </c>
      <c r="K307" s="64" cm="1">
        <f t="array" ref="K307">SUMPRODUCT(Faults_Yr4_49*Long_Term_Monetised_Risk_49)</f>
        <v>0</v>
      </c>
      <c r="L307" s="64" cm="1">
        <f t="array" ref="L307">SUMPRODUCT(HVP_Asset_Replacement_Refurbishment_Yr4_49*Long_Term_Monetised_Risk_49)</f>
        <v>0</v>
      </c>
      <c r="M307" s="64" cm="1">
        <f t="array" ref="M307">SUMPRODUCT(HVP_Other_Yr4_49*Long_Term_Monetised_Risk_49)</f>
        <v>0</v>
      </c>
      <c r="N307" s="64" cm="1">
        <f t="array" ref="N307">SUMPRODUCT(All_Other_Yr4_49*Long_Term_Monetised_Risk_49)</f>
        <v>0</v>
      </c>
      <c r="O307" s="65" cm="1">
        <f t="array" ref="O307">SUMPRODUCT(End_Of_Year_Yr4_49*Long_Term_Monetised_Risk_49)</f>
        <v>0</v>
      </c>
      <c r="Q307" s="110"/>
      <c r="R307" s="111"/>
      <c r="S307" s="119"/>
      <c r="T307" s="114" cm="1">
        <f t="array" ref="T307">SUMPRODUCT(Asset_Replacement_2028_Yr4_49*Long_Term_Monetised_Risk_49)</f>
        <v>0</v>
      </c>
      <c r="U307" s="64" cm="1">
        <f t="array" ref="U307">SUMPRODUCT(Asset_Refurbishment_2028_Yr4_49*Long_Term_Monetised_Risk_49)</f>
        <v>0</v>
      </c>
      <c r="V307" s="65" cm="1">
        <f t="array" ref="V307">SUMPRODUCT(HVP_2028_Yr4_49*Long_Term_Monetised_Risk_49)</f>
        <v>0</v>
      </c>
    </row>
    <row r="308" spans="1:22">
      <c r="B308" s="93" t="s">
        <v>178</v>
      </c>
      <c r="C308" s="91">
        <v>2028</v>
      </c>
      <c r="D308" s="64" cm="1">
        <f t="array" ref="D308">SUMPRODUCT(Start_of_Year_Yr5_49*Long_Term_Monetised_Risk_49)</f>
        <v>0</v>
      </c>
      <c r="E308" s="64" cm="1">
        <f t="array" ref="E308">SUMPRODUCT(Data_Cleansing_Yr5_49*Long_Term_Monetised_Risk_49)</f>
        <v>0</v>
      </c>
      <c r="F308" s="64" cm="1">
        <f t="array" ref="F308">SUMPRODUCT(Deterioration_total_Yr5_49*Long_Term_Monetised_Risk_49)</f>
        <v>0</v>
      </c>
      <c r="G308" s="64" cm="1">
        <f t="array" ref="G308">SUMPRODUCT(Other_Risk_Movements_Yr5_49*Long_Term_Monetised_Risk_49)</f>
        <v>0</v>
      </c>
      <c r="H308" s="64" cm="1">
        <f t="array" ref="H308">SUMPRODUCT(Asset_Replacement_Yr5_49*Long_Term_Monetised_Risk_49)</f>
        <v>0</v>
      </c>
      <c r="I308" s="64" cm="1">
        <f t="array" ref="I308">SUMPRODUCT(Asset_Refurbishment_Yr5_49*Long_Term_Monetised_Risk_49)</f>
        <v>0</v>
      </c>
      <c r="J308" s="64" cm="1">
        <f t="array" ref="J308">SUMPRODUCT(Reinforcement_Yr5_49*Long_Term_Monetised_Risk_49)</f>
        <v>0</v>
      </c>
      <c r="K308" s="64" cm="1">
        <f t="array" ref="K308">SUMPRODUCT(Faults_Yr5_49*Long_Term_Monetised_Risk_49)</f>
        <v>0</v>
      </c>
      <c r="L308" s="64" cm="1">
        <f t="array" ref="L308">SUMPRODUCT(HVP_Asset_Replacement_Refurbishment_Yr5_49*Long_Term_Monetised_Risk_49)</f>
        <v>0</v>
      </c>
      <c r="M308" s="64" cm="1">
        <f t="array" ref="M308">SUMPRODUCT(HVP_Other_Yr5_49*Long_Term_Monetised_Risk_49)</f>
        <v>0</v>
      </c>
      <c r="N308" s="64" cm="1">
        <f t="array" ref="N308">SUMPRODUCT(All_Other_Yr5_49*Long_Term_Monetised_Risk_49)</f>
        <v>0</v>
      </c>
      <c r="O308" s="65" cm="1">
        <f t="array" ref="O308">SUMPRODUCT(End_Of_Year_Yr5_49*Long_Term_Monetised_Risk_49)</f>
        <v>0</v>
      </c>
      <c r="Q308" s="110"/>
      <c r="R308" s="111"/>
      <c r="S308" s="119"/>
      <c r="T308" s="114" cm="1">
        <f t="array" ref="T308">SUMPRODUCT(Asset_Replacement_2028_Yr5_49*Long_Term_Monetised_Risk_49)</f>
        <v>0</v>
      </c>
      <c r="U308" s="64" cm="1">
        <f t="array" ref="U308">SUMPRODUCT(Asset_Refurbishment_2028_Yr5_49*Long_Term_Monetised_Risk_49)</f>
        <v>0</v>
      </c>
      <c r="V308" s="65" cm="1">
        <f t="array" ref="V308">SUMPRODUCT(HVP_2028_Yr5_49*Long_Term_Monetised_Risk_49)</f>
        <v>0</v>
      </c>
    </row>
    <row r="309" spans="1:22" ht="14" thickBot="1">
      <c r="B309" s="103" t="s">
        <v>110</v>
      </c>
      <c r="C309" s="104" t="s">
        <v>131</v>
      </c>
      <c r="D309" s="105"/>
      <c r="E309" s="106">
        <f t="shared" ref="E309:O309" si="106">SUM(E304:E308)</f>
        <v>0</v>
      </c>
      <c r="F309" s="106">
        <f t="shared" si="106"/>
        <v>0</v>
      </c>
      <c r="G309" s="106">
        <f t="shared" si="106"/>
        <v>0</v>
      </c>
      <c r="H309" s="106">
        <f t="shared" si="106"/>
        <v>0</v>
      </c>
      <c r="I309" s="106">
        <f t="shared" si="106"/>
        <v>0</v>
      </c>
      <c r="J309" s="106">
        <f t="shared" si="106"/>
        <v>0</v>
      </c>
      <c r="K309" s="106">
        <f t="shared" si="106"/>
        <v>0</v>
      </c>
      <c r="L309" s="106">
        <f t="shared" si="106"/>
        <v>0</v>
      </c>
      <c r="M309" s="106">
        <f t="shared" si="106"/>
        <v>0</v>
      </c>
      <c r="N309" s="106">
        <f t="shared" si="106"/>
        <v>0</v>
      </c>
      <c r="O309" s="537">
        <f t="shared" si="106"/>
        <v>0</v>
      </c>
      <c r="Q309" s="107" t="str">
        <f ca="1">VLOOKUP($B309,'NARM4 - ED2 NARW Risk Movements'!$B$7:$G$67,4,FALSE)</f>
        <v/>
      </c>
      <c r="R309" s="109" t="str">
        <f ca="1">VLOOKUP($B309,'NARM4 - ED2 NARW Risk Movements'!$B$7:$G$67,5,FALSE)</f>
        <v/>
      </c>
      <c r="S309" s="121" t="str">
        <f ca="1">VLOOKUP($B309,'NARM4 - ED2 NARW Risk Movements'!$B$7:$G$67,6,FALSE)</f>
        <v/>
      </c>
      <c r="T309" s="117">
        <f>SUM(T304:T308)</f>
        <v>0</v>
      </c>
      <c r="U309" s="106">
        <f t="shared" ref="U309" si="107">SUM(U304:U308)</f>
        <v>0</v>
      </c>
      <c r="V309" s="108">
        <f>SUM(V304:V308)</f>
        <v>0</v>
      </c>
    </row>
    <row r="310" spans="1:22" ht="14" thickTop="1">
      <c r="A310" s="143">
        <v>50</v>
      </c>
      <c r="B310" s="99" t="s">
        <v>111</v>
      </c>
      <c r="C310" s="100">
        <v>2024</v>
      </c>
      <c r="D310" s="101" cm="1">
        <f t="array" ref="D310">SUMPRODUCT(Start_of_Year_Yr1_50*Long_Term_Monetised_Risk_50)</f>
        <v>0</v>
      </c>
      <c r="E310" s="101" cm="1">
        <f t="array" ref="E310">SUMPRODUCT(Data_Cleansing_Yr1_50*Long_Term_Monetised_Risk_50)</f>
        <v>0</v>
      </c>
      <c r="F310" s="101" cm="1">
        <f t="array" ref="F310">SUMPRODUCT(Deterioration_total_Yr1_50*Long_Term_Monetised_Risk_50)</f>
        <v>0</v>
      </c>
      <c r="G310" s="101" cm="1">
        <f t="array" ref="G310">SUMPRODUCT(Other_Risk_Movements_Yr1_50*Long_Term_Monetised_Risk_50)</f>
        <v>0</v>
      </c>
      <c r="H310" s="101" cm="1">
        <f t="array" ref="H310">SUMPRODUCT(Asset_Replacement_Yr1_50*Long_Term_Monetised_Risk_50)</f>
        <v>0</v>
      </c>
      <c r="I310" s="101" cm="1">
        <f t="array" ref="I310">SUMPRODUCT(Asset_Refurbishment_Yr1_50*Long_Term_Monetised_Risk_50)</f>
        <v>0</v>
      </c>
      <c r="J310" s="101" cm="1">
        <f t="array" ref="J310">SUMPRODUCT(Reinforcement_Yr1_50*Long_Term_Monetised_Risk_50)</f>
        <v>0</v>
      </c>
      <c r="K310" s="101" cm="1">
        <f t="array" ref="K310">SUMPRODUCT(Faults_Yr1_50*Long_Term_Monetised_Risk_50)</f>
        <v>0</v>
      </c>
      <c r="L310" s="101" cm="1">
        <f t="array" ref="L310">SUMPRODUCT(HVP_Asset_Replacement_Refurbishment_Yr1_50*Long_Term_Monetised_Risk_50)</f>
        <v>0</v>
      </c>
      <c r="M310" s="101" cm="1">
        <f t="array" ref="M310">SUMPRODUCT(HVP_Other_Yr1_50*Long_Term_Monetised_Risk_50)</f>
        <v>0</v>
      </c>
      <c r="N310" s="101" cm="1">
        <f t="array" ref="N310">SUMPRODUCT(All_Other_Yr1_50*Long_Term_Monetised_Risk_50)</f>
        <v>0</v>
      </c>
      <c r="O310" s="102" cm="1">
        <f t="array" ref="O310">SUMPRODUCT(End_Of_Year_Yr1_50*Long_Term_Monetised_Risk_50)</f>
        <v>0</v>
      </c>
      <c r="Q310" s="112"/>
      <c r="R310" s="113"/>
      <c r="S310" s="120"/>
      <c r="T310" s="115" cm="1">
        <f t="array" ref="T310">SUMPRODUCT(Asset_Replacement_2028_Yr1_50*Long_Term_Monetised_Risk_50)</f>
        <v>0</v>
      </c>
      <c r="U310" s="101" cm="1">
        <f t="array" ref="U310">SUMPRODUCT(Asset_Refurbishment_2028_Yr1_50*Long_Term_Monetised_Risk_50)</f>
        <v>0</v>
      </c>
      <c r="V310" s="102" cm="1">
        <f t="array" ref="V310">SUMPRODUCT(HVP_2028_Yr1_50*Long_Term_Monetised_Risk_50)</f>
        <v>0</v>
      </c>
    </row>
    <row r="311" spans="1:22">
      <c r="B311" s="93" t="s">
        <v>111</v>
      </c>
      <c r="C311" s="91">
        <v>2025</v>
      </c>
      <c r="D311" s="64" cm="1">
        <f t="array" ref="D311">SUMPRODUCT(Start_of_Year_Yr2_50*Long_Term_Monetised_Risk_50)</f>
        <v>0</v>
      </c>
      <c r="E311" s="64" cm="1">
        <f t="array" ref="E311">SUMPRODUCT(Data_Cleansing_Yr2_50*Long_Term_Monetised_Risk_50)</f>
        <v>0</v>
      </c>
      <c r="F311" s="64" cm="1">
        <f t="array" ref="F311">SUMPRODUCT(Deterioration_total_Yr2_50*Long_Term_Monetised_Risk_50)</f>
        <v>0</v>
      </c>
      <c r="G311" s="64" cm="1">
        <f t="array" ref="G311">SUMPRODUCT(Other_Risk_Movements_Yr2_50*Long_Term_Monetised_Risk_50)</f>
        <v>0</v>
      </c>
      <c r="H311" s="64" cm="1">
        <f t="array" ref="H311">SUMPRODUCT(Asset_Replacement_Yr2_50*Long_Term_Monetised_Risk_50)</f>
        <v>0</v>
      </c>
      <c r="I311" s="64" cm="1">
        <f t="array" ref="I311">SUMPRODUCT(Asset_Refurbishment_Yr2_50*Long_Term_Monetised_Risk_50)</f>
        <v>0</v>
      </c>
      <c r="J311" s="64" cm="1">
        <f t="array" ref="J311">SUMPRODUCT(Reinforcement_Yr2_50*Long_Term_Monetised_Risk_50)</f>
        <v>0</v>
      </c>
      <c r="K311" s="64" cm="1">
        <f t="array" ref="K311">SUMPRODUCT(Faults_Yr2_50*Long_Term_Monetised_Risk_50)</f>
        <v>0</v>
      </c>
      <c r="L311" s="64" cm="1">
        <f t="array" ref="L311">SUMPRODUCT(HVP_Asset_Replacement_Refurbishment_Yr2_50*Long_Term_Monetised_Risk_50)</f>
        <v>0</v>
      </c>
      <c r="M311" s="64" cm="1">
        <f t="array" ref="M311">SUMPRODUCT(HVP_Other_Yr2_50*Long_Term_Monetised_Risk_50)</f>
        <v>0</v>
      </c>
      <c r="N311" s="64" cm="1">
        <f t="array" ref="N311">SUMPRODUCT(All_Other_Yr2_50*Long_Term_Monetised_Risk_50)</f>
        <v>0</v>
      </c>
      <c r="O311" s="65" cm="1">
        <f t="array" ref="O311">SUMPRODUCT(End_Of_Year_Yr2_50*Long_Term_Monetised_Risk_50)</f>
        <v>0</v>
      </c>
      <c r="Q311" s="110"/>
      <c r="R311" s="111"/>
      <c r="S311" s="119"/>
      <c r="T311" s="114" cm="1">
        <f t="array" ref="T311">SUMPRODUCT(Asset_Replacement_2028_Yr2_50*Long_Term_Monetised_Risk_50)</f>
        <v>0</v>
      </c>
      <c r="U311" s="64" cm="1">
        <f t="array" ref="U311">SUMPRODUCT(Asset_Refurbishment_2028_Yr2_50*Long_Term_Monetised_Risk_50)</f>
        <v>0</v>
      </c>
      <c r="V311" s="65" cm="1">
        <f t="array" ref="V311">SUMPRODUCT(HVP_2028_Yr2_50*Long_Term_Monetised_Risk_50)</f>
        <v>0</v>
      </c>
    </row>
    <row r="312" spans="1:22">
      <c r="B312" s="93" t="s">
        <v>111</v>
      </c>
      <c r="C312" s="91">
        <v>2026</v>
      </c>
      <c r="D312" s="64" cm="1">
        <f t="array" ref="D312">SUMPRODUCT(Start_of_Year_Yr3_50*Long_Term_Monetised_Risk_50)</f>
        <v>0</v>
      </c>
      <c r="E312" s="64" cm="1">
        <f t="array" ref="E312">SUMPRODUCT(Data_Cleansing_Yr3_50*Long_Term_Monetised_Risk_50)</f>
        <v>0</v>
      </c>
      <c r="F312" s="64" cm="1">
        <f t="array" ref="F312">SUMPRODUCT(Deterioration_total_Yr3_50*Long_Term_Monetised_Risk_50)</f>
        <v>0</v>
      </c>
      <c r="G312" s="64" cm="1">
        <f t="array" ref="G312">SUMPRODUCT(Other_Risk_Movements_Yr3_50*Long_Term_Monetised_Risk_50)</f>
        <v>0</v>
      </c>
      <c r="H312" s="64" cm="1">
        <f t="array" ref="H312">SUMPRODUCT(Asset_Replacement_Yr3_50*Long_Term_Monetised_Risk_50)</f>
        <v>0</v>
      </c>
      <c r="I312" s="64" cm="1">
        <f t="array" ref="I312">SUMPRODUCT(Asset_Refurbishment_Yr3_50*Long_Term_Monetised_Risk_50)</f>
        <v>0</v>
      </c>
      <c r="J312" s="64" cm="1">
        <f t="array" ref="J312">SUMPRODUCT(Reinforcement_Yr3_50*Long_Term_Monetised_Risk_50)</f>
        <v>0</v>
      </c>
      <c r="K312" s="64" cm="1">
        <f t="array" ref="K312">SUMPRODUCT(Faults_Yr3_50*Long_Term_Monetised_Risk_50)</f>
        <v>0</v>
      </c>
      <c r="L312" s="64" cm="1">
        <f t="array" ref="L312">SUMPRODUCT(HVP_Asset_Replacement_Refurbishment_Yr3_50*Long_Term_Monetised_Risk_50)</f>
        <v>0</v>
      </c>
      <c r="M312" s="64" cm="1">
        <f t="array" ref="M312">SUMPRODUCT(HVP_Other_Yr3_50*Long_Term_Monetised_Risk_50)</f>
        <v>0</v>
      </c>
      <c r="N312" s="64" cm="1">
        <f t="array" ref="N312">SUMPRODUCT(All_Other_Yr3_50*Long_Term_Monetised_Risk_50)</f>
        <v>0</v>
      </c>
      <c r="O312" s="65" cm="1">
        <f t="array" ref="O312">SUMPRODUCT(End_Of_Year_Yr3_50*Long_Term_Monetised_Risk_50)</f>
        <v>0</v>
      </c>
      <c r="Q312" s="110"/>
      <c r="R312" s="111"/>
      <c r="S312" s="119"/>
      <c r="T312" s="114" cm="1">
        <f t="array" ref="T312">SUMPRODUCT(Asset_Replacement_2028_Yr3_50*Long_Term_Monetised_Risk_50)</f>
        <v>0</v>
      </c>
      <c r="U312" s="64" cm="1">
        <f t="array" ref="U312">SUMPRODUCT(Asset_Refurbishment_2028_Yr3_50*Long_Term_Monetised_Risk_50)</f>
        <v>0</v>
      </c>
      <c r="V312" s="65" cm="1">
        <f t="array" ref="V312">SUMPRODUCT(HVP_2028_Yr3_50*Long_Term_Monetised_Risk_50)</f>
        <v>0</v>
      </c>
    </row>
    <row r="313" spans="1:22">
      <c r="B313" s="93" t="s">
        <v>111</v>
      </c>
      <c r="C313" s="91">
        <v>2027</v>
      </c>
      <c r="D313" s="64" cm="1">
        <f t="array" ref="D313">SUMPRODUCT(Start_of_Year_Yr4_50*Long_Term_Monetised_Risk_50)</f>
        <v>0</v>
      </c>
      <c r="E313" s="64" cm="1">
        <f t="array" ref="E313">SUMPRODUCT(Data_Cleansing_Yr4_50*Long_Term_Monetised_Risk_50)</f>
        <v>0</v>
      </c>
      <c r="F313" s="64" cm="1">
        <f t="array" ref="F313">SUMPRODUCT(Deterioration_total_Yr4_50*Long_Term_Monetised_Risk_50)</f>
        <v>0</v>
      </c>
      <c r="G313" s="64" cm="1">
        <f t="array" ref="G313">SUMPRODUCT(Other_Risk_Movements_Yr4_50*Long_Term_Monetised_Risk_50)</f>
        <v>0</v>
      </c>
      <c r="H313" s="64" cm="1">
        <f t="array" ref="H313">SUMPRODUCT(Asset_Replacement_Yr4_50*Long_Term_Monetised_Risk_50)</f>
        <v>0</v>
      </c>
      <c r="I313" s="64" cm="1">
        <f t="array" ref="I313">SUMPRODUCT(Asset_Refurbishment_Yr4_50*Long_Term_Monetised_Risk_50)</f>
        <v>0</v>
      </c>
      <c r="J313" s="64" cm="1">
        <f t="array" ref="J313">SUMPRODUCT(Reinforcement_Yr4_50*Long_Term_Monetised_Risk_50)</f>
        <v>0</v>
      </c>
      <c r="K313" s="64" cm="1">
        <f t="array" ref="K313">SUMPRODUCT(Faults_Yr4_50*Long_Term_Monetised_Risk_50)</f>
        <v>0</v>
      </c>
      <c r="L313" s="64" cm="1">
        <f t="array" ref="L313">SUMPRODUCT(HVP_Asset_Replacement_Refurbishment_Yr4_50*Long_Term_Monetised_Risk_50)</f>
        <v>0</v>
      </c>
      <c r="M313" s="64" cm="1">
        <f t="array" ref="M313">SUMPRODUCT(HVP_Other_Yr4_50*Long_Term_Monetised_Risk_50)</f>
        <v>0</v>
      </c>
      <c r="N313" s="64" cm="1">
        <f t="array" ref="N313">SUMPRODUCT(All_Other_Yr4_50*Long_Term_Monetised_Risk_50)</f>
        <v>0</v>
      </c>
      <c r="O313" s="65" cm="1">
        <f t="array" ref="O313">SUMPRODUCT(End_Of_Year_Yr4_50*Long_Term_Monetised_Risk_50)</f>
        <v>0</v>
      </c>
      <c r="Q313" s="110"/>
      <c r="R313" s="111"/>
      <c r="S313" s="119"/>
      <c r="T313" s="114" cm="1">
        <f t="array" ref="T313">SUMPRODUCT(Asset_Replacement_2028_Yr4_50*Long_Term_Monetised_Risk_50)</f>
        <v>0</v>
      </c>
      <c r="U313" s="64" cm="1">
        <f t="array" ref="U313">SUMPRODUCT(Asset_Refurbishment_2028_Yr4_50*Long_Term_Monetised_Risk_50)</f>
        <v>0</v>
      </c>
      <c r="V313" s="65" cm="1">
        <f t="array" ref="V313">SUMPRODUCT(HVP_2028_Yr4_50*Long_Term_Monetised_Risk_50)</f>
        <v>0</v>
      </c>
    </row>
    <row r="314" spans="1:22">
      <c r="B314" s="93" t="s">
        <v>111</v>
      </c>
      <c r="C314" s="91">
        <v>2028</v>
      </c>
      <c r="D314" s="64" cm="1">
        <f t="array" ref="D314">SUMPRODUCT(Start_of_Year_Yr5_50*Long_Term_Monetised_Risk_50)</f>
        <v>0</v>
      </c>
      <c r="E314" s="64" cm="1">
        <f t="array" ref="E314">SUMPRODUCT(Data_Cleansing_Yr5_50*Long_Term_Monetised_Risk_50)</f>
        <v>0</v>
      </c>
      <c r="F314" s="64" cm="1">
        <f t="array" ref="F314">SUMPRODUCT(Deterioration_total_Yr5_50*Long_Term_Monetised_Risk_50)</f>
        <v>0</v>
      </c>
      <c r="G314" s="64" cm="1">
        <f t="array" ref="G314">SUMPRODUCT(Other_Risk_Movements_Yr5_50*Long_Term_Monetised_Risk_50)</f>
        <v>0</v>
      </c>
      <c r="H314" s="64" cm="1">
        <f t="array" ref="H314">SUMPRODUCT(Asset_Replacement_Yr5_50*Long_Term_Monetised_Risk_50)</f>
        <v>0</v>
      </c>
      <c r="I314" s="64" cm="1">
        <f t="array" ref="I314">SUMPRODUCT(Asset_Refurbishment_Yr5_50*Long_Term_Monetised_Risk_50)</f>
        <v>0</v>
      </c>
      <c r="J314" s="64" cm="1">
        <f t="array" ref="J314">SUMPRODUCT(Reinforcement_Yr5_50*Long_Term_Monetised_Risk_50)</f>
        <v>0</v>
      </c>
      <c r="K314" s="64" cm="1">
        <f t="array" ref="K314">SUMPRODUCT(Faults_Yr5_50*Long_Term_Monetised_Risk_50)</f>
        <v>0</v>
      </c>
      <c r="L314" s="64" cm="1">
        <f t="array" ref="L314">SUMPRODUCT(HVP_Asset_Replacement_Refurbishment_Yr5_50*Long_Term_Monetised_Risk_50)</f>
        <v>0</v>
      </c>
      <c r="M314" s="64" cm="1">
        <f t="array" ref="M314">SUMPRODUCT(HVP_Other_Yr5_50*Long_Term_Monetised_Risk_50)</f>
        <v>0</v>
      </c>
      <c r="N314" s="64" cm="1">
        <f t="array" ref="N314">SUMPRODUCT(All_Other_Yr5_50*Long_Term_Monetised_Risk_50)</f>
        <v>0</v>
      </c>
      <c r="O314" s="65" cm="1">
        <f t="array" ref="O314">SUMPRODUCT(End_Of_Year_Yr5_50*Long_Term_Monetised_Risk_50)</f>
        <v>0</v>
      </c>
      <c r="Q314" s="110"/>
      <c r="R314" s="111"/>
      <c r="S314" s="119"/>
      <c r="T314" s="114" cm="1">
        <f t="array" ref="T314">SUMPRODUCT(Asset_Replacement_2028_Yr5_50*Long_Term_Monetised_Risk_50)</f>
        <v>0</v>
      </c>
      <c r="U314" s="64" cm="1">
        <f t="array" ref="U314">SUMPRODUCT(Asset_Refurbishment_2028_Yr5_50*Long_Term_Monetised_Risk_50)</f>
        <v>0</v>
      </c>
      <c r="V314" s="65" cm="1">
        <f t="array" ref="V314">SUMPRODUCT(HVP_2028_Yr5_50*Long_Term_Monetised_Risk_50)</f>
        <v>0</v>
      </c>
    </row>
    <row r="315" spans="1:22" ht="14" thickBot="1">
      <c r="B315" s="103" t="s">
        <v>111</v>
      </c>
      <c r="C315" s="104" t="s">
        <v>131</v>
      </c>
      <c r="D315" s="105"/>
      <c r="E315" s="106">
        <f t="shared" ref="E315:O315" si="108">SUM(E310:E314)</f>
        <v>0</v>
      </c>
      <c r="F315" s="106">
        <f t="shared" si="108"/>
        <v>0</v>
      </c>
      <c r="G315" s="106">
        <f t="shared" si="108"/>
        <v>0</v>
      </c>
      <c r="H315" s="106">
        <f t="shared" si="108"/>
        <v>0</v>
      </c>
      <c r="I315" s="106">
        <f t="shared" si="108"/>
        <v>0</v>
      </c>
      <c r="J315" s="106">
        <f t="shared" si="108"/>
        <v>0</v>
      </c>
      <c r="K315" s="106">
        <f t="shared" si="108"/>
        <v>0</v>
      </c>
      <c r="L315" s="106">
        <f t="shared" si="108"/>
        <v>0</v>
      </c>
      <c r="M315" s="106">
        <f t="shared" si="108"/>
        <v>0</v>
      </c>
      <c r="N315" s="106">
        <f t="shared" si="108"/>
        <v>0</v>
      </c>
      <c r="O315" s="537">
        <f t="shared" si="108"/>
        <v>0</v>
      </c>
      <c r="Q315" s="107" t="str">
        <f ca="1">VLOOKUP($B315,'NARM4 - ED2 NARW Risk Movements'!$B$7:$G$67,4,FALSE)</f>
        <v/>
      </c>
      <c r="R315" s="109" t="str">
        <f ca="1">VLOOKUP($B315,'NARM4 - ED2 NARW Risk Movements'!$B$7:$G$67,5,FALSE)</f>
        <v/>
      </c>
      <c r="S315" s="121" t="str">
        <f ca="1">VLOOKUP($B315,'NARM4 - ED2 NARW Risk Movements'!$B$7:$G$67,6,FALSE)</f>
        <v/>
      </c>
      <c r="T315" s="117">
        <f>SUM(T310:T314)</f>
        <v>0</v>
      </c>
      <c r="U315" s="106">
        <f t="shared" ref="U315" si="109">SUM(U310:U314)</f>
        <v>0</v>
      </c>
      <c r="V315" s="108">
        <f>SUM(V310:V314)</f>
        <v>0</v>
      </c>
    </row>
    <row r="316" spans="1:22" ht="14" thickTop="1">
      <c r="A316" s="143">
        <v>51</v>
      </c>
      <c r="B316" s="99" t="s">
        <v>112</v>
      </c>
      <c r="C316" s="100">
        <v>2024</v>
      </c>
      <c r="D316" s="101" cm="1">
        <f t="array" ref="D316">SUMPRODUCT(Start_of_Year_Yr1_51*Long_Term_Monetised_Risk_51)</f>
        <v>0</v>
      </c>
      <c r="E316" s="101" cm="1">
        <f t="array" ref="E316">SUMPRODUCT(Data_Cleansing_Yr1_51*Long_Term_Monetised_Risk_51)</f>
        <v>0</v>
      </c>
      <c r="F316" s="101" cm="1">
        <f t="array" ref="F316">SUMPRODUCT(Deterioration_total_Yr1_51*Long_Term_Monetised_Risk_51)</f>
        <v>0</v>
      </c>
      <c r="G316" s="101" cm="1">
        <f t="array" ref="G316">SUMPRODUCT(Other_Risk_Movements_Yr1_51*Long_Term_Monetised_Risk_51)</f>
        <v>0</v>
      </c>
      <c r="H316" s="101" cm="1">
        <f t="array" ref="H316">SUMPRODUCT(Asset_Replacement_Yr1_51*Long_Term_Monetised_Risk_51)</f>
        <v>0</v>
      </c>
      <c r="I316" s="101" cm="1">
        <f t="array" ref="I316">SUMPRODUCT(Asset_Refurbishment_Yr1_51*Long_Term_Monetised_Risk_51)</f>
        <v>0</v>
      </c>
      <c r="J316" s="101" cm="1">
        <f t="array" ref="J316">SUMPRODUCT(Reinforcement_Yr1_51*Long_Term_Monetised_Risk_51)</f>
        <v>0</v>
      </c>
      <c r="K316" s="101" cm="1">
        <f t="array" ref="K316">SUMPRODUCT(Faults_Yr1_51*Long_Term_Monetised_Risk_51)</f>
        <v>0</v>
      </c>
      <c r="L316" s="101" cm="1">
        <f t="array" ref="L316">SUMPRODUCT(HVP_Asset_Replacement_Refurbishment_Yr1_51*Long_Term_Monetised_Risk_51)</f>
        <v>0</v>
      </c>
      <c r="M316" s="101" cm="1">
        <f t="array" ref="M316">SUMPRODUCT(HVP_Other_Yr1_51*Long_Term_Monetised_Risk_51)</f>
        <v>0</v>
      </c>
      <c r="N316" s="101" cm="1">
        <f t="array" ref="N316">SUMPRODUCT(All_Other_Yr1_51*Long_Term_Monetised_Risk_51)</f>
        <v>0</v>
      </c>
      <c r="O316" s="102" cm="1">
        <f t="array" ref="O316">SUMPRODUCT(End_Of_Year_Yr1_51*Long_Term_Monetised_Risk_51)</f>
        <v>0</v>
      </c>
      <c r="Q316" s="112"/>
      <c r="R316" s="113"/>
      <c r="S316" s="120"/>
      <c r="T316" s="115" cm="1">
        <f t="array" ref="T316">SUMPRODUCT(Asset_Replacement_2028_Yr1_51*Long_Term_Monetised_Risk_51)</f>
        <v>0</v>
      </c>
      <c r="U316" s="101" cm="1">
        <f t="array" ref="U316">SUMPRODUCT(Asset_Refurbishment_2028_Yr1_51*Long_Term_Monetised_Risk_51)</f>
        <v>0</v>
      </c>
      <c r="V316" s="102" cm="1">
        <f t="array" ref="V316">SUMPRODUCT(HVP_2028_Yr1_51*Long_Term_Monetised_Risk_51)</f>
        <v>0</v>
      </c>
    </row>
    <row r="317" spans="1:22">
      <c r="B317" s="93" t="s">
        <v>112</v>
      </c>
      <c r="C317" s="91">
        <v>2025</v>
      </c>
      <c r="D317" s="64" cm="1">
        <f t="array" ref="D317">SUMPRODUCT(Start_of_Year_Yr2_51*Long_Term_Monetised_Risk_51)</f>
        <v>0</v>
      </c>
      <c r="E317" s="64" cm="1">
        <f t="array" ref="E317">SUMPRODUCT(Data_Cleansing_Yr2_51*Long_Term_Monetised_Risk_51)</f>
        <v>0</v>
      </c>
      <c r="F317" s="64" cm="1">
        <f t="array" ref="F317">SUMPRODUCT(Deterioration_total_Yr2_51*Long_Term_Monetised_Risk_51)</f>
        <v>0</v>
      </c>
      <c r="G317" s="64" cm="1">
        <f t="array" ref="G317">SUMPRODUCT(Other_Risk_Movements_Yr2_51*Long_Term_Monetised_Risk_51)</f>
        <v>0</v>
      </c>
      <c r="H317" s="64" cm="1">
        <f t="array" ref="H317">SUMPRODUCT(Asset_Replacement_Yr2_51*Long_Term_Monetised_Risk_51)</f>
        <v>0</v>
      </c>
      <c r="I317" s="64" cm="1">
        <f t="array" ref="I317">SUMPRODUCT(Asset_Refurbishment_Yr2_51*Long_Term_Monetised_Risk_51)</f>
        <v>0</v>
      </c>
      <c r="J317" s="64" cm="1">
        <f t="array" ref="J317">SUMPRODUCT(Reinforcement_Yr2_51*Long_Term_Monetised_Risk_51)</f>
        <v>0</v>
      </c>
      <c r="K317" s="64" cm="1">
        <f t="array" ref="K317">SUMPRODUCT(Faults_Yr2_51*Long_Term_Monetised_Risk_51)</f>
        <v>0</v>
      </c>
      <c r="L317" s="64" cm="1">
        <f t="array" ref="L317">SUMPRODUCT(HVP_Asset_Replacement_Refurbishment_Yr2_51*Long_Term_Monetised_Risk_51)</f>
        <v>0</v>
      </c>
      <c r="M317" s="64" cm="1">
        <f t="array" ref="M317">SUMPRODUCT(HVP_Other_Yr2_51*Long_Term_Monetised_Risk_51)</f>
        <v>0</v>
      </c>
      <c r="N317" s="64" cm="1">
        <f t="array" ref="N317">SUMPRODUCT(All_Other_Yr2_51*Long_Term_Monetised_Risk_51)</f>
        <v>0</v>
      </c>
      <c r="O317" s="65" cm="1">
        <f t="array" ref="O317">SUMPRODUCT(End_Of_Year_Yr2_51*Long_Term_Monetised_Risk_51)</f>
        <v>0</v>
      </c>
      <c r="Q317" s="110"/>
      <c r="R317" s="111"/>
      <c r="S317" s="119"/>
      <c r="T317" s="114" cm="1">
        <f t="array" ref="T317">SUMPRODUCT(Asset_Replacement_2028_Yr2_51*Long_Term_Monetised_Risk_51)</f>
        <v>0</v>
      </c>
      <c r="U317" s="64" cm="1">
        <f t="array" ref="U317">SUMPRODUCT(Asset_Refurbishment_2028_Yr2_51*Long_Term_Monetised_Risk_51)</f>
        <v>0</v>
      </c>
      <c r="V317" s="65" cm="1">
        <f t="array" ref="V317">SUMPRODUCT(HVP_2028_Yr2_51*Long_Term_Monetised_Risk_51)</f>
        <v>0</v>
      </c>
    </row>
    <row r="318" spans="1:22">
      <c r="B318" s="93" t="s">
        <v>112</v>
      </c>
      <c r="C318" s="91">
        <v>2026</v>
      </c>
      <c r="D318" s="64" cm="1">
        <f t="array" ref="D318">SUMPRODUCT(Start_of_Year_Yr3_51*Long_Term_Monetised_Risk_51)</f>
        <v>0</v>
      </c>
      <c r="E318" s="64" cm="1">
        <f t="array" ref="E318">SUMPRODUCT(Data_Cleansing_Yr3_51*Long_Term_Monetised_Risk_51)</f>
        <v>0</v>
      </c>
      <c r="F318" s="64" cm="1">
        <f t="array" ref="F318">SUMPRODUCT(Deterioration_total_Yr3_51*Long_Term_Monetised_Risk_51)</f>
        <v>0</v>
      </c>
      <c r="G318" s="64" cm="1">
        <f t="array" ref="G318">SUMPRODUCT(Other_Risk_Movements_Yr3_51*Long_Term_Monetised_Risk_51)</f>
        <v>0</v>
      </c>
      <c r="H318" s="64" cm="1">
        <f t="array" ref="H318">SUMPRODUCT(Asset_Replacement_Yr3_51*Long_Term_Monetised_Risk_51)</f>
        <v>0</v>
      </c>
      <c r="I318" s="64" cm="1">
        <f t="array" ref="I318">SUMPRODUCT(Asset_Refurbishment_Yr3_51*Long_Term_Monetised_Risk_51)</f>
        <v>0</v>
      </c>
      <c r="J318" s="64" cm="1">
        <f t="array" ref="J318">SUMPRODUCT(Reinforcement_Yr3_51*Long_Term_Monetised_Risk_51)</f>
        <v>0</v>
      </c>
      <c r="K318" s="64" cm="1">
        <f t="array" ref="K318">SUMPRODUCT(Faults_Yr3_51*Long_Term_Monetised_Risk_51)</f>
        <v>0</v>
      </c>
      <c r="L318" s="64" cm="1">
        <f t="array" ref="L318">SUMPRODUCT(HVP_Asset_Replacement_Refurbishment_Yr3_51*Long_Term_Monetised_Risk_51)</f>
        <v>0</v>
      </c>
      <c r="M318" s="64" cm="1">
        <f t="array" ref="M318">SUMPRODUCT(HVP_Other_Yr3_51*Long_Term_Monetised_Risk_51)</f>
        <v>0</v>
      </c>
      <c r="N318" s="64" cm="1">
        <f t="array" ref="N318">SUMPRODUCT(All_Other_Yr3_51*Long_Term_Monetised_Risk_51)</f>
        <v>0</v>
      </c>
      <c r="O318" s="65" cm="1">
        <f t="array" ref="O318">SUMPRODUCT(End_Of_Year_Yr3_51*Long_Term_Monetised_Risk_51)</f>
        <v>0</v>
      </c>
      <c r="Q318" s="110"/>
      <c r="R318" s="111"/>
      <c r="S318" s="119"/>
      <c r="T318" s="114" cm="1">
        <f t="array" ref="T318">SUMPRODUCT(Asset_Replacement_2028_Yr3_51*Long_Term_Monetised_Risk_51)</f>
        <v>0</v>
      </c>
      <c r="U318" s="64" cm="1">
        <f t="array" ref="U318">SUMPRODUCT(Asset_Refurbishment_2028_Yr3_51*Long_Term_Monetised_Risk_51)</f>
        <v>0</v>
      </c>
      <c r="V318" s="65" cm="1">
        <f t="array" ref="V318">SUMPRODUCT(HVP_2028_Yr3_51*Long_Term_Monetised_Risk_51)</f>
        <v>0</v>
      </c>
    </row>
    <row r="319" spans="1:22">
      <c r="B319" s="93" t="s">
        <v>112</v>
      </c>
      <c r="C319" s="91">
        <v>2027</v>
      </c>
      <c r="D319" s="64" cm="1">
        <f t="array" ref="D319">SUMPRODUCT(Start_of_Year_Yr4_51*Long_Term_Monetised_Risk_51)</f>
        <v>0</v>
      </c>
      <c r="E319" s="64" cm="1">
        <f t="array" ref="E319">SUMPRODUCT(Data_Cleansing_Yr4_51*Long_Term_Monetised_Risk_51)</f>
        <v>0</v>
      </c>
      <c r="F319" s="64" cm="1">
        <f t="array" ref="F319">SUMPRODUCT(Deterioration_total_Yr4_51*Long_Term_Monetised_Risk_51)</f>
        <v>0</v>
      </c>
      <c r="G319" s="64" cm="1">
        <f t="array" ref="G319">SUMPRODUCT(Other_Risk_Movements_Yr4_51*Long_Term_Monetised_Risk_51)</f>
        <v>0</v>
      </c>
      <c r="H319" s="64" cm="1">
        <f t="array" ref="H319">SUMPRODUCT(Asset_Replacement_Yr4_51*Long_Term_Monetised_Risk_51)</f>
        <v>0</v>
      </c>
      <c r="I319" s="64" cm="1">
        <f t="array" ref="I319">SUMPRODUCT(Asset_Refurbishment_Yr4_51*Long_Term_Monetised_Risk_51)</f>
        <v>0</v>
      </c>
      <c r="J319" s="64" cm="1">
        <f t="array" ref="J319">SUMPRODUCT(Reinforcement_Yr4_51*Long_Term_Monetised_Risk_51)</f>
        <v>0</v>
      </c>
      <c r="K319" s="64" cm="1">
        <f t="array" ref="K319">SUMPRODUCT(Faults_Yr4_51*Long_Term_Monetised_Risk_51)</f>
        <v>0</v>
      </c>
      <c r="L319" s="64" cm="1">
        <f t="array" ref="L319">SUMPRODUCT(HVP_Asset_Replacement_Refurbishment_Yr4_51*Long_Term_Monetised_Risk_51)</f>
        <v>0</v>
      </c>
      <c r="M319" s="64" cm="1">
        <f t="array" ref="M319">SUMPRODUCT(HVP_Other_Yr4_51*Long_Term_Monetised_Risk_51)</f>
        <v>0</v>
      </c>
      <c r="N319" s="64" cm="1">
        <f t="array" ref="N319">SUMPRODUCT(All_Other_Yr4_51*Long_Term_Monetised_Risk_51)</f>
        <v>0</v>
      </c>
      <c r="O319" s="65" cm="1">
        <f t="array" ref="O319">SUMPRODUCT(End_Of_Year_Yr4_51*Long_Term_Monetised_Risk_51)</f>
        <v>0</v>
      </c>
      <c r="Q319" s="110"/>
      <c r="R319" s="111"/>
      <c r="S319" s="119"/>
      <c r="T319" s="114" cm="1">
        <f t="array" ref="T319">SUMPRODUCT(Asset_Replacement_2028_Yr4_51*Long_Term_Monetised_Risk_51)</f>
        <v>0</v>
      </c>
      <c r="U319" s="64" cm="1">
        <f t="array" ref="U319">SUMPRODUCT(Asset_Refurbishment_2028_Yr4_51*Long_Term_Monetised_Risk_51)</f>
        <v>0</v>
      </c>
      <c r="V319" s="65" cm="1">
        <f t="array" ref="V319">SUMPRODUCT(HVP_2028_Yr4_51*Long_Term_Monetised_Risk_51)</f>
        <v>0</v>
      </c>
    </row>
    <row r="320" spans="1:22">
      <c r="B320" s="93" t="s">
        <v>112</v>
      </c>
      <c r="C320" s="91">
        <v>2028</v>
      </c>
      <c r="D320" s="64" cm="1">
        <f t="array" ref="D320">SUMPRODUCT(Start_of_Year_Yr5_51*Long_Term_Monetised_Risk_51)</f>
        <v>0</v>
      </c>
      <c r="E320" s="64" cm="1">
        <f t="array" ref="E320">SUMPRODUCT(Data_Cleansing_Yr5_51*Long_Term_Monetised_Risk_51)</f>
        <v>0</v>
      </c>
      <c r="F320" s="64" cm="1">
        <f t="array" ref="F320">SUMPRODUCT(Deterioration_total_Yr5_51*Long_Term_Monetised_Risk_51)</f>
        <v>0</v>
      </c>
      <c r="G320" s="64" cm="1">
        <f t="array" ref="G320">SUMPRODUCT(Other_Risk_Movements_Yr5_51*Long_Term_Monetised_Risk_51)</f>
        <v>0</v>
      </c>
      <c r="H320" s="64" cm="1">
        <f t="array" ref="H320">SUMPRODUCT(Asset_Replacement_Yr5_51*Long_Term_Monetised_Risk_51)</f>
        <v>0</v>
      </c>
      <c r="I320" s="64" cm="1">
        <f t="array" ref="I320">SUMPRODUCT(Asset_Refurbishment_Yr5_51*Long_Term_Monetised_Risk_51)</f>
        <v>0</v>
      </c>
      <c r="J320" s="64" cm="1">
        <f t="array" ref="J320">SUMPRODUCT(Reinforcement_Yr5_51*Long_Term_Monetised_Risk_51)</f>
        <v>0</v>
      </c>
      <c r="K320" s="64" cm="1">
        <f t="array" ref="K320">SUMPRODUCT(Faults_Yr5_51*Long_Term_Monetised_Risk_51)</f>
        <v>0</v>
      </c>
      <c r="L320" s="64" cm="1">
        <f t="array" ref="L320">SUMPRODUCT(HVP_Asset_Replacement_Refurbishment_Yr5_51*Long_Term_Monetised_Risk_51)</f>
        <v>0</v>
      </c>
      <c r="M320" s="64" cm="1">
        <f t="array" ref="M320">SUMPRODUCT(HVP_Other_Yr5_51*Long_Term_Monetised_Risk_51)</f>
        <v>0</v>
      </c>
      <c r="N320" s="64" cm="1">
        <f t="array" ref="N320">SUMPRODUCT(All_Other_Yr5_51*Long_Term_Monetised_Risk_51)</f>
        <v>0</v>
      </c>
      <c r="O320" s="65" cm="1">
        <f t="array" ref="O320">SUMPRODUCT(End_Of_Year_Yr5_51*Long_Term_Monetised_Risk_51)</f>
        <v>0</v>
      </c>
      <c r="Q320" s="110"/>
      <c r="R320" s="111"/>
      <c r="S320" s="119"/>
      <c r="T320" s="114" cm="1">
        <f t="array" ref="T320">SUMPRODUCT(Asset_Replacement_2028_Yr5_51*Long_Term_Monetised_Risk_51)</f>
        <v>0</v>
      </c>
      <c r="U320" s="64" cm="1">
        <f t="array" ref="U320">SUMPRODUCT(Asset_Refurbishment_2028_Yr5_51*Long_Term_Monetised_Risk_51)</f>
        <v>0</v>
      </c>
      <c r="V320" s="65" cm="1">
        <f t="array" ref="V320">SUMPRODUCT(HVP_2028_Yr5_51*Long_Term_Monetised_Risk_51)</f>
        <v>0</v>
      </c>
    </row>
    <row r="321" spans="1:22" ht="14" thickBot="1">
      <c r="B321" s="103" t="s">
        <v>112</v>
      </c>
      <c r="C321" s="104" t="s">
        <v>131</v>
      </c>
      <c r="D321" s="105"/>
      <c r="E321" s="106">
        <f t="shared" ref="E321:O321" si="110">SUM(E316:E320)</f>
        <v>0</v>
      </c>
      <c r="F321" s="106">
        <f t="shared" si="110"/>
        <v>0</v>
      </c>
      <c r="G321" s="106">
        <f t="shared" si="110"/>
        <v>0</v>
      </c>
      <c r="H321" s="106">
        <f t="shared" si="110"/>
        <v>0</v>
      </c>
      <c r="I321" s="106">
        <f t="shared" si="110"/>
        <v>0</v>
      </c>
      <c r="J321" s="106">
        <f t="shared" si="110"/>
        <v>0</v>
      </c>
      <c r="K321" s="106">
        <f t="shared" si="110"/>
        <v>0</v>
      </c>
      <c r="L321" s="106">
        <f t="shared" si="110"/>
        <v>0</v>
      </c>
      <c r="M321" s="106">
        <f t="shared" si="110"/>
        <v>0</v>
      </c>
      <c r="N321" s="106">
        <f t="shared" si="110"/>
        <v>0</v>
      </c>
      <c r="O321" s="537">
        <f t="shared" si="110"/>
        <v>0</v>
      </c>
      <c r="Q321" s="107" t="str">
        <f ca="1">VLOOKUP($B321,'NARM4 - ED2 NARW Risk Movements'!$B$7:$G$67,4,FALSE)</f>
        <v/>
      </c>
      <c r="R321" s="109" t="str">
        <f ca="1">VLOOKUP($B321,'NARM4 - ED2 NARW Risk Movements'!$B$7:$G$67,5,FALSE)</f>
        <v/>
      </c>
      <c r="S321" s="121" t="str">
        <f ca="1">VLOOKUP($B321,'NARM4 - ED2 NARW Risk Movements'!$B$7:$G$67,6,FALSE)</f>
        <v/>
      </c>
      <c r="T321" s="117">
        <f>SUM(T316:T320)</f>
        <v>0</v>
      </c>
      <c r="U321" s="106">
        <f t="shared" ref="U321" si="111">SUM(U316:U320)</f>
        <v>0</v>
      </c>
      <c r="V321" s="108">
        <f>SUM(V316:V320)</f>
        <v>0</v>
      </c>
    </row>
    <row r="322" spans="1:22" ht="14" thickTop="1">
      <c r="A322" s="143">
        <v>52</v>
      </c>
      <c r="B322" s="99" t="s">
        <v>113</v>
      </c>
      <c r="C322" s="100">
        <v>2024</v>
      </c>
      <c r="D322" s="101" cm="1">
        <f t="array" ref="D322">SUMPRODUCT(Start_of_Year_Yr1_52*Long_Term_Monetised_Risk_52)</f>
        <v>0</v>
      </c>
      <c r="E322" s="101" cm="1">
        <f t="array" ref="E322">SUMPRODUCT(Data_Cleansing_Yr1_52*Long_Term_Monetised_Risk_52)</f>
        <v>0</v>
      </c>
      <c r="F322" s="101" cm="1">
        <f t="array" ref="F322">SUMPRODUCT(Deterioration_total_Yr1_52*Long_Term_Monetised_Risk_52)</f>
        <v>0</v>
      </c>
      <c r="G322" s="101" cm="1">
        <f t="array" ref="G322">SUMPRODUCT(Other_Risk_Movements_Yr1_52*Long_Term_Monetised_Risk_52)</f>
        <v>0</v>
      </c>
      <c r="H322" s="101" cm="1">
        <f t="array" ref="H322">SUMPRODUCT(Asset_Replacement_Yr1_52*Long_Term_Monetised_Risk_52)</f>
        <v>0</v>
      </c>
      <c r="I322" s="101" cm="1">
        <f t="array" ref="I322">SUMPRODUCT(Asset_Refurbishment_Yr1_52*Long_Term_Monetised_Risk_52)</f>
        <v>0</v>
      </c>
      <c r="J322" s="101" cm="1">
        <f t="array" ref="J322">SUMPRODUCT(Reinforcement_Yr1_52*Long_Term_Monetised_Risk_52)</f>
        <v>0</v>
      </c>
      <c r="K322" s="101" cm="1">
        <f t="array" ref="K322">SUMPRODUCT(Faults_Yr1_52*Long_Term_Monetised_Risk_52)</f>
        <v>0</v>
      </c>
      <c r="L322" s="101" cm="1">
        <f t="array" ref="L322">SUMPRODUCT(HVP_Asset_Replacement_Refurbishment_Yr1_52*Long_Term_Monetised_Risk_52)</f>
        <v>0</v>
      </c>
      <c r="M322" s="101" cm="1">
        <f t="array" ref="M322">SUMPRODUCT(HVP_Other_Yr1_52*Long_Term_Monetised_Risk_52)</f>
        <v>0</v>
      </c>
      <c r="N322" s="101" cm="1">
        <f t="array" ref="N322">SUMPRODUCT(All_Other_Yr1_52*Long_Term_Monetised_Risk_52)</f>
        <v>0</v>
      </c>
      <c r="O322" s="102" cm="1">
        <f t="array" ref="O322">SUMPRODUCT(End_Of_Year_Yr1_52*Long_Term_Monetised_Risk_52)</f>
        <v>0</v>
      </c>
      <c r="Q322" s="112"/>
      <c r="R322" s="113"/>
      <c r="S322" s="120"/>
      <c r="T322" s="115" cm="1">
        <f t="array" ref="T322">SUMPRODUCT(Asset_Replacement_2028_Yr1_52*Long_Term_Monetised_Risk_52)</f>
        <v>0</v>
      </c>
      <c r="U322" s="101" cm="1">
        <f t="array" ref="U322">SUMPRODUCT(Asset_Refurbishment_2028_Yr1_52*Long_Term_Monetised_Risk_52)</f>
        <v>0</v>
      </c>
      <c r="V322" s="102" cm="1">
        <f t="array" ref="V322">SUMPRODUCT(HVP_2028_Yr1_52*Long_Term_Monetised_Risk_52)</f>
        <v>0</v>
      </c>
    </row>
    <row r="323" spans="1:22">
      <c r="B323" s="93" t="s">
        <v>113</v>
      </c>
      <c r="C323" s="91">
        <v>2025</v>
      </c>
      <c r="D323" s="64" cm="1">
        <f t="array" ref="D323">SUMPRODUCT(Start_of_Year_Yr2_52*Long_Term_Monetised_Risk_52)</f>
        <v>0</v>
      </c>
      <c r="E323" s="64" cm="1">
        <f t="array" ref="E323">SUMPRODUCT(Data_Cleansing_Yr2_52*Long_Term_Monetised_Risk_52)</f>
        <v>0</v>
      </c>
      <c r="F323" s="64" cm="1">
        <f t="array" ref="F323">SUMPRODUCT(Deterioration_total_Yr2_52*Long_Term_Monetised_Risk_52)</f>
        <v>0</v>
      </c>
      <c r="G323" s="64" cm="1">
        <f t="array" ref="G323">SUMPRODUCT(Other_Risk_Movements_Yr2_52*Long_Term_Monetised_Risk_52)</f>
        <v>0</v>
      </c>
      <c r="H323" s="64" cm="1">
        <f t="array" ref="H323">SUMPRODUCT(Asset_Replacement_Yr2_52*Long_Term_Monetised_Risk_52)</f>
        <v>0</v>
      </c>
      <c r="I323" s="64" cm="1">
        <f t="array" ref="I323">SUMPRODUCT(Asset_Refurbishment_Yr2_52*Long_Term_Monetised_Risk_52)</f>
        <v>0</v>
      </c>
      <c r="J323" s="64" cm="1">
        <f t="array" ref="J323">SUMPRODUCT(Reinforcement_Yr2_52*Long_Term_Monetised_Risk_52)</f>
        <v>0</v>
      </c>
      <c r="K323" s="64" cm="1">
        <f t="array" ref="K323">SUMPRODUCT(Faults_Yr2_52*Long_Term_Monetised_Risk_52)</f>
        <v>0</v>
      </c>
      <c r="L323" s="64" cm="1">
        <f t="array" ref="L323">SUMPRODUCT(HVP_Asset_Replacement_Refurbishment_Yr2_52*Long_Term_Monetised_Risk_52)</f>
        <v>0</v>
      </c>
      <c r="M323" s="64" cm="1">
        <f t="array" ref="M323">SUMPRODUCT(HVP_Other_Yr2_52*Long_Term_Monetised_Risk_52)</f>
        <v>0</v>
      </c>
      <c r="N323" s="64" cm="1">
        <f t="array" ref="N323">SUMPRODUCT(All_Other_Yr2_52*Long_Term_Monetised_Risk_52)</f>
        <v>0</v>
      </c>
      <c r="O323" s="65" cm="1">
        <f t="array" ref="O323">SUMPRODUCT(End_Of_Year_Yr2_52*Long_Term_Monetised_Risk_52)</f>
        <v>0</v>
      </c>
      <c r="Q323" s="110"/>
      <c r="R323" s="111"/>
      <c r="S323" s="119"/>
      <c r="T323" s="114" cm="1">
        <f t="array" ref="T323">SUMPRODUCT(Asset_Replacement_2028_Yr2_52*Long_Term_Monetised_Risk_52)</f>
        <v>0</v>
      </c>
      <c r="U323" s="64" cm="1">
        <f t="array" ref="U323">SUMPRODUCT(Asset_Refurbishment_2028_Yr2_52*Long_Term_Monetised_Risk_52)</f>
        <v>0</v>
      </c>
      <c r="V323" s="65" cm="1">
        <f t="array" ref="V323">SUMPRODUCT(HVP_2028_Yr2_52*Long_Term_Monetised_Risk_52)</f>
        <v>0</v>
      </c>
    </row>
    <row r="324" spans="1:22">
      <c r="B324" s="93" t="s">
        <v>113</v>
      </c>
      <c r="C324" s="91">
        <v>2026</v>
      </c>
      <c r="D324" s="64" cm="1">
        <f t="array" ref="D324">SUMPRODUCT(Start_of_Year_Yr3_52*Long_Term_Monetised_Risk_52)</f>
        <v>0</v>
      </c>
      <c r="E324" s="64" cm="1">
        <f t="array" ref="E324">SUMPRODUCT(Data_Cleansing_Yr3_52*Long_Term_Monetised_Risk_52)</f>
        <v>0</v>
      </c>
      <c r="F324" s="64" cm="1">
        <f t="array" ref="F324">SUMPRODUCT(Deterioration_total_Yr3_52*Long_Term_Monetised_Risk_52)</f>
        <v>0</v>
      </c>
      <c r="G324" s="64" cm="1">
        <f t="array" ref="G324">SUMPRODUCT(Other_Risk_Movements_Yr3_52*Long_Term_Monetised_Risk_52)</f>
        <v>0</v>
      </c>
      <c r="H324" s="64" cm="1">
        <f t="array" ref="H324">SUMPRODUCT(Asset_Replacement_Yr3_52*Long_Term_Monetised_Risk_52)</f>
        <v>0</v>
      </c>
      <c r="I324" s="64" cm="1">
        <f t="array" ref="I324">SUMPRODUCT(Asset_Refurbishment_Yr3_52*Long_Term_Monetised_Risk_52)</f>
        <v>0</v>
      </c>
      <c r="J324" s="64" cm="1">
        <f t="array" ref="J324">SUMPRODUCT(Reinforcement_Yr3_52*Long_Term_Monetised_Risk_52)</f>
        <v>0</v>
      </c>
      <c r="K324" s="64" cm="1">
        <f t="array" ref="K324">SUMPRODUCT(Faults_Yr3_52*Long_Term_Monetised_Risk_52)</f>
        <v>0</v>
      </c>
      <c r="L324" s="64" cm="1">
        <f t="array" ref="L324">SUMPRODUCT(HVP_Asset_Replacement_Refurbishment_Yr3_52*Long_Term_Monetised_Risk_52)</f>
        <v>0</v>
      </c>
      <c r="M324" s="64" cm="1">
        <f t="array" ref="M324">SUMPRODUCT(HVP_Other_Yr3_52*Long_Term_Monetised_Risk_52)</f>
        <v>0</v>
      </c>
      <c r="N324" s="64" cm="1">
        <f t="array" ref="N324">SUMPRODUCT(All_Other_Yr3_52*Long_Term_Monetised_Risk_52)</f>
        <v>0</v>
      </c>
      <c r="O324" s="65" cm="1">
        <f t="array" ref="O324">SUMPRODUCT(End_Of_Year_Yr3_52*Long_Term_Monetised_Risk_52)</f>
        <v>0</v>
      </c>
      <c r="Q324" s="110"/>
      <c r="R324" s="111"/>
      <c r="S324" s="119"/>
      <c r="T324" s="114" cm="1">
        <f t="array" ref="T324">SUMPRODUCT(Asset_Replacement_2028_Yr3_52*Long_Term_Monetised_Risk_52)</f>
        <v>0</v>
      </c>
      <c r="U324" s="64" cm="1">
        <f t="array" ref="U324">SUMPRODUCT(Asset_Refurbishment_2028_Yr3_52*Long_Term_Monetised_Risk_52)</f>
        <v>0</v>
      </c>
      <c r="V324" s="65" cm="1">
        <f t="array" ref="V324">SUMPRODUCT(HVP_2028_Yr3_52*Long_Term_Monetised_Risk_52)</f>
        <v>0</v>
      </c>
    </row>
    <row r="325" spans="1:22">
      <c r="B325" s="93" t="s">
        <v>113</v>
      </c>
      <c r="C325" s="91">
        <v>2027</v>
      </c>
      <c r="D325" s="64" cm="1">
        <f t="array" ref="D325">SUMPRODUCT(Start_of_Year_Yr4_52*Long_Term_Monetised_Risk_52)</f>
        <v>0</v>
      </c>
      <c r="E325" s="64" cm="1">
        <f t="array" ref="E325">SUMPRODUCT(Data_Cleansing_Yr4_52*Long_Term_Monetised_Risk_52)</f>
        <v>0</v>
      </c>
      <c r="F325" s="64" cm="1">
        <f t="array" ref="F325">SUMPRODUCT(Deterioration_total_Yr4_52*Long_Term_Monetised_Risk_52)</f>
        <v>0</v>
      </c>
      <c r="G325" s="64" cm="1">
        <f t="array" ref="G325">SUMPRODUCT(Other_Risk_Movements_Yr4_52*Long_Term_Monetised_Risk_52)</f>
        <v>0</v>
      </c>
      <c r="H325" s="64" cm="1">
        <f t="array" ref="H325">SUMPRODUCT(Asset_Replacement_Yr4_52*Long_Term_Monetised_Risk_52)</f>
        <v>0</v>
      </c>
      <c r="I325" s="64" cm="1">
        <f t="array" ref="I325">SUMPRODUCT(Asset_Refurbishment_Yr4_52*Long_Term_Monetised_Risk_52)</f>
        <v>0</v>
      </c>
      <c r="J325" s="64" cm="1">
        <f t="array" ref="J325">SUMPRODUCT(Reinforcement_Yr4_52*Long_Term_Monetised_Risk_52)</f>
        <v>0</v>
      </c>
      <c r="K325" s="64" cm="1">
        <f t="array" ref="K325">SUMPRODUCT(Faults_Yr4_52*Long_Term_Monetised_Risk_52)</f>
        <v>0</v>
      </c>
      <c r="L325" s="64" cm="1">
        <f t="array" ref="L325">SUMPRODUCT(HVP_Asset_Replacement_Refurbishment_Yr4_52*Long_Term_Monetised_Risk_52)</f>
        <v>0</v>
      </c>
      <c r="M325" s="64" cm="1">
        <f t="array" ref="M325">SUMPRODUCT(HVP_Other_Yr4_52*Long_Term_Monetised_Risk_52)</f>
        <v>0</v>
      </c>
      <c r="N325" s="64" cm="1">
        <f t="array" ref="N325">SUMPRODUCT(All_Other_Yr4_52*Long_Term_Monetised_Risk_52)</f>
        <v>0</v>
      </c>
      <c r="O325" s="65" cm="1">
        <f t="array" ref="O325">SUMPRODUCT(End_Of_Year_Yr4_52*Long_Term_Monetised_Risk_52)</f>
        <v>0</v>
      </c>
      <c r="Q325" s="110"/>
      <c r="R325" s="111"/>
      <c r="S325" s="119"/>
      <c r="T325" s="114" cm="1">
        <f t="array" ref="T325">SUMPRODUCT(Asset_Replacement_2028_Yr4_52*Long_Term_Monetised_Risk_52)</f>
        <v>0</v>
      </c>
      <c r="U325" s="64" cm="1">
        <f t="array" ref="U325">SUMPRODUCT(Asset_Refurbishment_2028_Yr4_52*Long_Term_Monetised_Risk_52)</f>
        <v>0</v>
      </c>
      <c r="V325" s="65" cm="1">
        <f t="array" ref="V325">SUMPRODUCT(HVP_2028_Yr4_52*Long_Term_Monetised_Risk_52)</f>
        <v>0</v>
      </c>
    </row>
    <row r="326" spans="1:22">
      <c r="B326" s="93" t="s">
        <v>113</v>
      </c>
      <c r="C326" s="91">
        <v>2028</v>
      </c>
      <c r="D326" s="64" cm="1">
        <f t="array" ref="D326">SUMPRODUCT(Start_of_Year_Yr5_52*Long_Term_Monetised_Risk_52)</f>
        <v>0</v>
      </c>
      <c r="E326" s="64" cm="1">
        <f t="array" ref="E326">SUMPRODUCT(Data_Cleansing_Yr5_52*Long_Term_Monetised_Risk_52)</f>
        <v>0</v>
      </c>
      <c r="F326" s="64" cm="1">
        <f t="array" ref="F326">SUMPRODUCT(Deterioration_total_Yr5_52*Long_Term_Monetised_Risk_52)</f>
        <v>0</v>
      </c>
      <c r="G326" s="64" cm="1">
        <f t="array" ref="G326">SUMPRODUCT(Other_Risk_Movements_Yr5_52*Long_Term_Monetised_Risk_52)</f>
        <v>0</v>
      </c>
      <c r="H326" s="64" cm="1">
        <f t="array" ref="H326">SUMPRODUCT(Asset_Replacement_Yr5_52*Long_Term_Monetised_Risk_52)</f>
        <v>0</v>
      </c>
      <c r="I326" s="64" cm="1">
        <f t="array" ref="I326">SUMPRODUCT(Asset_Refurbishment_Yr5_52*Long_Term_Monetised_Risk_52)</f>
        <v>0</v>
      </c>
      <c r="J326" s="64" cm="1">
        <f t="array" ref="J326">SUMPRODUCT(Reinforcement_Yr5_52*Long_Term_Monetised_Risk_52)</f>
        <v>0</v>
      </c>
      <c r="K326" s="64" cm="1">
        <f t="array" ref="K326">SUMPRODUCT(Faults_Yr5_52*Long_Term_Monetised_Risk_52)</f>
        <v>0</v>
      </c>
      <c r="L326" s="64" cm="1">
        <f t="array" ref="L326">SUMPRODUCT(HVP_Asset_Replacement_Refurbishment_Yr5_52*Long_Term_Monetised_Risk_52)</f>
        <v>0</v>
      </c>
      <c r="M326" s="64" cm="1">
        <f t="array" ref="M326">SUMPRODUCT(HVP_Other_Yr5_52*Long_Term_Monetised_Risk_52)</f>
        <v>0</v>
      </c>
      <c r="N326" s="64" cm="1">
        <f t="array" ref="N326">SUMPRODUCT(All_Other_Yr5_52*Long_Term_Monetised_Risk_52)</f>
        <v>0</v>
      </c>
      <c r="O326" s="65" cm="1">
        <f t="array" ref="O326">SUMPRODUCT(End_Of_Year_Yr5_52*Long_Term_Monetised_Risk_52)</f>
        <v>0</v>
      </c>
      <c r="Q326" s="110"/>
      <c r="R326" s="111"/>
      <c r="S326" s="119"/>
      <c r="T326" s="114" cm="1">
        <f t="array" ref="T326">SUMPRODUCT(Asset_Replacement_2028_Yr5_52*Long_Term_Monetised_Risk_52)</f>
        <v>0</v>
      </c>
      <c r="U326" s="64" cm="1">
        <f t="array" ref="U326">SUMPRODUCT(Asset_Refurbishment_2028_Yr5_52*Long_Term_Monetised_Risk_52)</f>
        <v>0</v>
      </c>
      <c r="V326" s="65" cm="1">
        <f t="array" ref="V326">SUMPRODUCT(HVP_2028_Yr5_52*Long_Term_Monetised_Risk_52)</f>
        <v>0</v>
      </c>
    </row>
    <row r="327" spans="1:22" ht="14" thickBot="1">
      <c r="B327" s="103" t="s">
        <v>113</v>
      </c>
      <c r="C327" s="104" t="s">
        <v>131</v>
      </c>
      <c r="D327" s="105"/>
      <c r="E327" s="106">
        <f t="shared" ref="E327:O327" si="112">SUM(E322:E326)</f>
        <v>0</v>
      </c>
      <c r="F327" s="106">
        <f t="shared" si="112"/>
        <v>0</v>
      </c>
      <c r="G327" s="106">
        <f t="shared" si="112"/>
        <v>0</v>
      </c>
      <c r="H327" s="106">
        <f t="shared" si="112"/>
        <v>0</v>
      </c>
      <c r="I327" s="106">
        <f t="shared" si="112"/>
        <v>0</v>
      </c>
      <c r="J327" s="106">
        <f t="shared" si="112"/>
        <v>0</v>
      </c>
      <c r="K327" s="106">
        <f t="shared" si="112"/>
        <v>0</v>
      </c>
      <c r="L327" s="106">
        <f t="shared" si="112"/>
        <v>0</v>
      </c>
      <c r="M327" s="106">
        <f t="shared" si="112"/>
        <v>0</v>
      </c>
      <c r="N327" s="106">
        <f t="shared" si="112"/>
        <v>0</v>
      </c>
      <c r="O327" s="537">
        <f t="shared" si="112"/>
        <v>0</v>
      </c>
      <c r="Q327" s="107" t="str">
        <f ca="1">VLOOKUP($B327,'NARM4 - ED2 NARW Risk Movements'!$B$7:$G$67,4,FALSE)</f>
        <v/>
      </c>
      <c r="R327" s="109" t="str">
        <f ca="1">VLOOKUP($B327,'NARM4 - ED2 NARW Risk Movements'!$B$7:$G$67,5,FALSE)</f>
        <v/>
      </c>
      <c r="S327" s="121" t="str">
        <f ca="1">VLOOKUP($B327,'NARM4 - ED2 NARW Risk Movements'!$B$7:$G$67,6,FALSE)</f>
        <v/>
      </c>
      <c r="T327" s="117">
        <f>SUM(T322:T326)</f>
        <v>0</v>
      </c>
      <c r="U327" s="106">
        <f t="shared" ref="U327" si="113">SUM(U322:U326)</f>
        <v>0</v>
      </c>
      <c r="V327" s="108">
        <f>SUM(V322:V326)</f>
        <v>0</v>
      </c>
    </row>
    <row r="328" spans="1:22" ht="14" thickTop="1">
      <c r="A328" s="143">
        <v>53</v>
      </c>
      <c r="B328" s="99" t="s">
        <v>114</v>
      </c>
      <c r="C328" s="100">
        <v>2024</v>
      </c>
      <c r="D328" s="101" cm="1">
        <f t="array" ref="D328">SUMPRODUCT(Start_of_Year_Yr1_53*Long_Term_Monetised_Risk_53)</f>
        <v>0</v>
      </c>
      <c r="E328" s="101" cm="1">
        <f t="array" ref="E328">SUMPRODUCT(Data_Cleansing_Yr1_53*Long_Term_Monetised_Risk_53)</f>
        <v>0</v>
      </c>
      <c r="F328" s="101" cm="1">
        <f t="array" ref="F328">SUMPRODUCT(Deterioration_total_Yr1_53*Long_Term_Monetised_Risk_53)</f>
        <v>0</v>
      </c>
      <c r="G328" s="101" cm="1">
        <f t="array" ref="G328">SUMPRODUCT(Other_Risk_Movements_Yr1_53*Long_Term_Monetised_Risk_53)</f>
        <v>0</v>
      </c>
      <c r="H328" s="101" cm="1">
        <f t="array" ref="H328">SUMPRODUCT(Asset_Replacement_Yr1_53*Long_Term_Monetised_Risk_53)</f>
        <v>0</v>
      </c>
      <c r="I328" s="101" cm="1">
        <f t="array" ref="I328">SUMPRODUCT(Asset_Refurbishment_Yr1_53*Long_Term_Monetised_Risk_53)</f>
        <v>0</v>
      </c>
      <c r="J328" s="101" cm="1">
        <f t="array" ref="J328">SUMPRODUCT(Reinforcement_Yr1_53*Long_Term_Monetised_Risk_53)</f>
        <v>0</v>
      </c>
      <c r="K328" s="101" cm="1">
        <f t="array" ref="K328">SUMPRODUCT(Faults_Yr1_53*Long_Term_Monetised_Risk_53)</f>
        <v>0</v>
      </c>
      <c r="L328" s="101" cm="1">
        <f t="array" ref="L328">SUMPRODUCT(HVP_Asset_Replacement_Refurbishment_Yr1_53*Long_Term_Monetised_Risk_53)</f>
        <v>0</v>
      </c>
      <c r="M328" s="101" cm="1">
        <f t="array" ref="M328">SUMPRODUCT(HVP_Other_Yr1_53*Long_Term_Monetised_Risk_53)</f>
        <v>0</v>
      </c>
      <c r="N328" s="101" cm="1">
        <f t="array" ref="N328">SUMPRODUCT(All_Other_Yr1_53*Long_Term_Monetised_Risk_53)</f>
        <v>0</v>
      </c>
      <c r="O328" s="102" cm="1">
        <f t="array" ref="O328">SUMPRODUCT(End_Of_Year_Yr1_53*Long_Term_Monetised_Risk_53)</f>
        <v>0</v>
      </c>
      <c r="Q328" s="112"/>
      <c r="R328" s="113"/>
      <c r="S328" s="120"/>
      <c r="T328" s="115" cm="1">
        <f t="array" ref="T328">SUMPRODUCT(Asset_Replacement_2028_Yr1_53*Long_Term_Monetised_Risk_53)</f>
        <v>0</v>
      </c>
      <c r="U328" s="101" cm="1">
        <f t="array" ref="U328">SUMPRODUCT(Asset_Refurbishment_2028_Yr1_53*Long_Term_Monetised_Risk_53)</f>
        <v>0</v>
      </c>
      <c r="V328" s="102" cm="1">
        <f t="array" ref="V328">SUMPRODUCT(HVP_2028_Yr1_53*Long_Term_Monetised_Risk_53)</f>
        <v>0</v>
      </c>
    </row>
    <row r="329" spans="1:22">
      <c r="B329" s="93" t="s">
        <v>114</v>
      </c>
      <c r="C329" s="91">
        <v>2025</v>
      </c>
      <c r="D329" s="64" cm="1">
        <f t="array" ref="D329">SUMPRODUCT(Start_of_Year_Yr2_53*Long_Term_Monetised_Risk_53)</f>
        <v>0</v>
      </c>
      <c r="E329" s="64" cm="1">
        <f t="array" ref="E329">SUMPRODUCT(Data_Cleansing_Yr2_53*Long_Term_Monetised_Risk_53)</f>
        <v>0</v>
      </c>
      <c r="F329" s="64" cm="1">
        <f t="array" ref="F329">SUMPRODUCT(Deterioration_total_Yr2_53*Long_Term_Monetised_Risk_53)</f>
        <v>0</v>
      </c>
      <c r="G329" s="64" cm="1">
        <f t="array" ref="G329">SUMPRODUCT(Other_Risk_Movements_Yr2_53*Long_Term_Monetised_Risk_53)</f>
        <v>0</v>
      </c>
      <c r="H329" s="64" cm="1">
        <f t="array" ref="H329">SUMPRODUCT(Asset_Replacement_Yr2_53*Long_Term_Monetised_Risk_53)</f>
        <v>0</v>
      </c>
      <c r="I329" s="64" cm="1">
        <f t="array" ref="I329">SUMPRODUCT(Asset_Refurbishment_Yr2_53*Long_Term_Monetised_Risk_53)</f>
        <v>0</v>
      </c>
      <c r="J329" s="64" cm="1">
        <f t="array" ref="J329">SUMPRODUCT(Reinforcement_Yr2_53*Long_Term_Monetised_Risk_53)</f>
        <v>0</v>
      </c>
      <c r="K329" s="64" cm="1">
        <f t="array" ref="K329">SUMPRODUCT(Faults_Yr2_53*Long_Term_Monetised_Risk_53)</f>
        <v>0</v>
      </c>
      <c r="L329" s="64" cm="1">
        <f t="array" ref="L329">SUMPRODUCT(HVP_Asset_Replacement_Refurbishment_Yr2_53*Long_Term_Monetised_Risk_53)</f>
        <v>0</v>
      </c>
      <c r="M329" s="64" cm="1">
        <f t="array" ref="M329">SUMPRODUCT(HVP_Other_Yr2_53*Long_Term_Monetised_Risk_53)</f>
        <v>0</v>
      </c>
      <c r="N329" s="64" cm="1">
        <f t="array" ref="N329">SUMPRODUCT(All_Other_Yr2_53*Long_Term_Monetised_Risk_53)</f>
        <v>0</v>
      </c>
      <c r="O329" s="65" cm="1">
        <f t="array" ref="O329">SUMPRODUCT(End_Of_Year_Yr2_53*Long_Term_Monetised_Risk_53)</f>
        <v>0</v>
      </c>
      <c r="Q329" s="110"/>
      <c r="R329" s="111"/>
      <c r="S329" s="119"/>
      <c r="T329" s="114" cm="1">
        <f t="array" ref="T329">SUMPRODUCT(Asset_Replacement_2028_Yr2_53*Long_Term_Monetised_Risk_53)</f>
        <v>0</v>
      </c>
      <c r="U329" s="64" cm="1">
        <f t="array" ref="U329">SUMPRODUCT(Asset_Refurbishment_2028_Yr2_53*Long_Term_Monetised_Risk_53)</f>
        <v>0</v>
      </c>
      <c r="V329" s="65" cm="1">
        <f t="array" ref="V329">SUMPRODUCT(HVP_2028_Yr2_53*Long_Term_Monetised_Risk_53)</f>
        <v>0</v>
      </c>
    </row>
    <row r="330" spans="1:22">
      <c r="B330" s="93" t="s">
        <v>114</v>
      </c>
      <c r="C330" s="91">
        <v>2026</v>
      </c>
      <c r="D330" s="64" cm="1">
        <f t="array" ref="D330">SUMPRODUCT(Start_of_Year_Yr3_53*Long_Term_Monetised_Risk_53)</f>
        <v>0</v>
      </c>
      <c r="E330" s="64" cm="1">
        <f t="array" ref="E330">SUMPRODUCT(Data_Cleansing_Yr3_53*Long_Term_Monetised_Risk_53)</f>
        <v>0</v>
      </c>
      <c r="F330" s="64" cm="1">
        <f t="array" ref="F330">SUMPRODUCT(Deterioration_total_Yr3_53*Long_Term_Monetised_Risk_53)</f>
        <v>0</v>
      </c>
      <c r="G330" s="64" cm="1">
        <f t="array" ref="G330">SUMPRODUCT(Other_Risk_Movements_Yr3_53*Long_Term_Monetised_Risk_53)</f>
        <v>0</v>
      </c>
      <c r="H330" s="64" cm="1">
        <f t="array" ref="H330">SUMPRODUCT(Asset_Replacement_Yr3_53*Long_Term_Monetised_Risk_53)</f>
        <v>0</v>
      </c>
      <c r="I330" s="64" cm="1">
        <f t="array" ref="I330">SUMPRODUCT(Asset_Refurbishment_Yr3_53*Long_Term_Monetised_Risk_53)</f>
        <v>0</v>
      </c>
      <c r="J330" s="64" cm="1">
        <f t="array" ref="J330">SUMPRODUCT(Reinforcement_Yr3_53*Long_Term_Monetised_Risk_53)</f>
        <v>0</v>
      </c>
      <c r="K330" s="64" cm="1">
        <f t="array" ref="K330">SUMPRODUCT(Faults_Yr3_53*Long_Term_Monetised_Risk_53)</f>
        <v>0</v>
      </c>
      <c r="L330" s="64" cm="1">
        <f t="array" ref="L330">SUMPRODUCT(HVP_Asset_Replacement_Refurbishment_Yr3_53*Long_Term_Monetised_Risk_53)</f>
        <v>0</v>
      </c>
      <c r="M330" s="64" cm="1">
        <f t="array" ref="M330">SUMPRODUCT(HVP_Other_Yr3_53*Long_Term_Monetised_Risk_53)</f>
        <v>0</v>
      </c>
      <c r="N330" s="64" cm="1">
        <f t="array" ref="N330">SUMPRODUCT(All_Other_Yr3_53*Long_Term_Monetised_Risk_53)</f>
        <v>0</v>
      </c>
      <c r="O330" s="65" cm="1">
        <f t="array" ref="O330">SUMPRODUCT(End_Of_Year_Yr3_53*Long_Term_Monetised_Risk_53)</f>
        <v>0</v>
      </c>
      <c r="Q330" s="110"/>
      <c r="R330" s="111"/>
      <c r="S330" s="119"/>
      <c r="T330" s="114" cm="1">
        <f t="array" ref="T330">SUMPRODUCT(Asset_Replacement_2028_Yr3_53*Long_Term_Monetised_Risk_53)</f>
        <v>0</v>
      </c>
      <c r="U330" s="64" cm="1">
        <f t="array" ref="U330">SUMPRODUCT(Asset_Refurbishment_2028_Yr3_53*Long_Term_Monetised_Risk_53)</f>
        <v>0</v>
      </c>
      <c r="V330" s="65" cm="1">
        <f t="array" ref="V330">SUMPRODUCT(HVP_2028_Yr3_53*Long_Term_Monetised_Risk_53)</f>
        <v>0</v>
      </c>
    </row>
    <row r="331" spans="1:22">
      <c r="B331" s="93" t="s">
        <v>114</v>
      </c>
      <c r="C331" s="91">
        <v>2027</v>
      </c>
      <c r="D331" s="64" cm="1">
        <f t="array" ref="D331">SUMPRODUCT(Start_of_Year_Yr4_53*Long_Term_Monetised_Risk_53)</f>
        <v>0</v>
      </c>
      <c r="E331" s="64" cm="1">
        <f t="array" ref="E331">SUMPRODUCT(Data_Cleansing_Yr4_53*Long_Term_Monetised_Risk_53)</f>
        <v>0</v>
      </c>
      <c r="F331" s="64" cm="1">
        <f t="array" ref="F331">SUMPRODUCT(Deterioration_total_Yr4_53*Long_Term_Monetised_Risk_53)</f>
        <v>0</v>
      </c>
      <c r="G331" s="64" cm="1">
        <f t="array" ref="G331">SUMPRODUCT(Other_Risk_Movements_Yr4_53*Long_Term_Monetised_Risk_53)</f>
        <v>0</v>
      </c>
      <c r="H331" s="64" cm="1">
        <f t="array" ref="H331">SUMPRODUCT(Asset_Replacement_Yr4_53*Long_Term_Monetised_Risk_53)</f>
        <v>0</v>
      </c>
      <c r="I331" s="64" cm="1">
        <f t="array" ref="I331">SUMPRODUCT(Asset_Refurbishment_Yr4_53*Long_Term_Monetised_Risk_53)</f>
        <v>0</v>
      </c>
      <c r="J331" s="64" cm="1">
        <f t="array" ref="J331">SUMPRODUCT(Reinforcement_Yr4_53*Long_Term_Monetised_Risk_53)</f>
        <v>0</v>
      </c>
      <c r="K331" s="64" cm="1">
        <f t="array" ref="K331">SUMPRODUCT(Faults_Yr4_53*Long_Term_Monetised_Risk_53)</f>
        <v>0</v>
      </c>
      <c r="L331" s="64" cm="1">
        <f t="array" ref="L331">SUMPRODUCT(HVP_Asset_Replacement_Refurbishment_Yr4_53*Long_Term_Monetised_Risk_53)</f>
        <v>0</v>
      </c>
      <c r="M331" s="64" cm="1">
        <f t="array" ref="M331">SUMPRODUCT(HVP_Other_Yr4_53*Long_Term_Monetised_Risk_53)</f>
        <v>0</v>
      </c>
      <c r="N331" s="64" cm="1">
        <f t="array" ref="N331">SUMPRODUCT(All_Other_Yr4_53*Long_Term_Monetised_Risk_53)</f>
        <v>0</v>
      </c>
      <c r="O331" s="65" cm="1">
        <f t="array" ref="O331">SUMPRODUCT(End_Of_Year_Yr4_53*Long_Term_Monetised_Risk_53)</f>
        <v>0</v>
      </c>
      <c r="Q331" s="110"/>
      <c r="R331" s="111"/>
      <c r="S331" s="119"/>
      <c r="T331" s="114" cm="1">
        <f t="array" ref="T331">SUMPRODUCT(Asset_Replacement_2028_Yr4_53*Long_Term_Monetised_Risk_53)</f>
        <v>0</v>
      </c>
      <c r="U331" s="64" cm="1">
        <f t="array" ref="U331">SUMPRODUCT(Asset_Refurbishment_2028_Yr4_53*Long_Term_Monetised_Risk_53)</f>
        <v>0</v>
      </c>
      <c r="V331" s="65" cm="1">
        <f t="array" ref="V331">SUMPRODUCT(HVP_2028_Yr4_53*Long_Term_Monetised_Risk_53)</f>
        <v>0</v>
      </c>
    </row>
    <row r="332" spans="1:22">
      <c r="B332" s="93" t="s">
        <v>114</v>
      </c>
      <c r="C332" s="91">
        <v>2028</v>
      </c>
      <c r="D332" s="64" cm="1">
        <f t="array" ref="D332">SUMPRODUCT(Start_of_Year_Yr5_53*Long_Term_Monetised_Risk_53)</f>
        <v>0</v>
      </c>
      <c r="E332" s="64" cm="1">
        <f t="array" ref="E332">SUMPRODUCT(Data_Cleansing_Yr5_53*Long_Term_Monetised_Risk_53)</f>
        <v>0</v>
      </c>
      <c r="F332" s="64" cm="1">
        <f t="array" ref="F332">SUMPRODUCT(Deterioration_total_Yr5_53*Long_Term_Monetised_Risk_53)</f>
        <v>0</v>
      </c>
      <c r="G332" s="64" cm="1">
        <f t="array" ref="G332">SUMPRODUCT(Other_Risk_Movements_Yr5_53*Long_Term_Monetised_Risk_53)</f>
        <v>0</v>
      </c>
      <c r="H332" s="64" cm="1">
        <f t="array" ref="H332">SUMPRODUCT(Asset_Replacement_Yr5_53*Long_Term_Monetised_Risk_53)</f>
        <v>0</v>
      </c>
      <c r="I332" s="64" cm="1">
        <f t="array" ref="I332">SUMPRODUCT(Asset_Refurbishment_Yr5_53*Long_Term_Monetised_Risk_53)</f>
        <v>0</v>
      </c>
      <c r="J332" s="64" cm="1">
        <f t="array" ref="J332">SUMPRODUCT(Reinforcement_Yr5_53*Long_Term_Monetised_Risk_53)</f>
        <v>0</v>
      </c>
      <c r="K332" s="64" cm="1">
        <f t="array" ref="K332">SUMPRODUCT(Faults_Yr5_53*Long_Term_Monetised_Risk_53)</f>
        <v>0</v>
      </c>
      <c r="L332" s="64" cm="1">
        <f t="array" ref="L332">SUMPRODUCT(HVP_Asset_Replacement_Refurbishment_Yr5_53*Long_Term_Monetised_Risk_53)</f>
        <v>0</v>
      </c>
      <c r="M332" s="64" cm="1">
        <f t="array" ref="M332">SUMPRODUCT(HVP_Other_Yr5_53*Long_Term_Monetised_Risk_53)</f>
        <v>0</v>
      </c>
      <c r="N332" s="64" cm="1">
        <f t="array" ref="N332">SUMPRODUCT(All_Other_Yr5_53*Long_Term_Monetised_Risk_53)</f>
        <v>0</v>
      </c>
      <c r="O332" s="65" cm="1">
        <f t="array" ref="O332">SUMPRODUCT(End_Of_Year_Yr5_53*Long_Term_Monetised_Risk_53)</f>
        <v>0</v>
      </c>
      <c r="Q332" s="110"/>
      <c r="R332" s="111"/>
      <c r="S332" s="119"/>
      <c r="T332" s="114" cm="1">
        <f t="array" ref="T332">SUMPRODUCT(Asset_Replacement_2028_Yr5_53*Long_Term_Monetised_Risk_53)</f>
        <v>0</v>
      </c>
      <c r="U332" s="64" cm="1">
        <f t="array" ref="U332">SUMPRODUCT(Asset_Refurbishment_2028_Yr5_53*Long_Term_Monetised_Risk_53)</f>
        <v>0</v>
      </c>
      <c r="V332" s="65" cm="1">
        <f t="array" ref="V332">SUMPRODUCT(HVP_2028_Yr5_53*Long_Term_Monetised_Risk_53)</f>
        <v>0</v>
      </c>
    </row>
    <row r="333" spans="1:22" ht="14" thickBot="1">
      <c r="B333" s="103" t="s">
        <v>114</v>
      </c>
      <c r="C333" s="104" t="s">
        <v>131</v>
      </c>
      <c r="D333" s="105"/>
      <c r="E333" s="106">
        <f t="shared" ref="E333:O333" si="114">SUM(E328:E332)</f>
        <v>0</v>
      </c>
      <c r="F333" s="106">
        <f t="shared" si="114"/>
        <v>0</v>
      </c>
      <c r="G333" s="106">
        <f t="shared" si="114"/>
        <v>0</v>
      </c>
      <c r="H333" s="106">
        <f t="shared" si="114"/>
        <v>0</v>
      </c>
      <c r="I333" s="106">
        <f t="shared" si="114"/>
        <v>0</v>
      </c>
      <c r="J333" s="106">
        <f t="shared" si="114"/>
        <v>0</v>
      </c>
      <c r="K333" s="106">
        <f t="shared" si="114"/>
        <v>0</v>
      </c>
      <c r="L333" s="106">
        <f t="shared" si="114"/>
        <v>0</v>
      </c>
      <c r="M333" s="106">
        <f t="shared" si="114"/>
        <v>0</v>
      </c>
      <c r="N333" s="106">
        <f t="shared" si="114"/>
        <v>0</v>
      </c>
      <c r="O333" s="537">
        <f t="shared" si="114"/>
        <v>0</v>
      </c>
      <c r="Q333" s="107" t="str">
        <f ca="1">VLOOKUP($B333,'NARM4 - ED2 NARW Risk Movements'!$B$7:$G$67,4,FALSE)</f>
        <v/>
      </c>
      <c r="R333" s="109" t="str">
        <f ca="1">VLOOKUP($B333,'NARM4 - ED2 NARW Risk Movements'!$B$7:$G$67,5,FALSE)</f>
        <v/>
      </c>
      <c r="S333" s="121" t="str">
        <f ca="1">VLOOKUP($B333,'NARM4 - ED2 NARW Risk Movements'!$B$7:$G$67,6,FALSE)</f>
        <v/>
      </c>
      <c r="T333" s="117">
        <f>SUM(T328:T332)</f>
        <v>0</v>
      </c>
      <c r="U333" s="106">
        <f t="shared" ref="U333" si="115">SUM(U328:U332)</f>
        <v>0</v>
      </c>
      <c r="V333" s="108">
        <f>SUM(V328:V332)</f>
        <v>0</v>
      </c>
    </row>
    <row r="334" spans="1:22" ht="14" thickTop="1">
      <c r="A334" s="143">
        <v>54</v>
      </c>
      <c r="B334" s="99" t="s">
        <v>115</v>
      </c>
      <c r="C334" s="100">
        <v>2024</v>
      </c>
      <c r="D334" s="101" cm="1">
        <f t="array" ref="D334">SUMPRODUCT(Start_of_Year_Yr1_54*Long_Term_Monetised_Risk_54)</f>
        <v>0</v>
      </c>
      <c r="E334" s="101" cm="1">
        <f t="array" ref="E334">SUMPRODUCT(Data_Cleansing_Yr1_54*Long_Term_Monetised_Risk_54)</f>
        <v>0</v>
      </c>
      <c r="F334" s="101" cm="1">
        <f t="array" ref="F334">SUMPRODUCT(Deterioration_total_Yr1_54*Long_Term_Monetised_Risk_54)</f>
        <v>0</v>
      </c>
      <c r="G334" s="101" cm="1">
        <f t="array" ref="G334">SUMPRODUCT(Other_Risk_Movements_Yr1_54*Long_Term_Monetised_Risk_54)</f>
        <v>0</v>
      </c>
      <c r="H334" s="101" cm="1">
        <f t="array" ref="H334">SUMPRODUCT(Asset_Replacement_Yr1_54*Long_Term_Monetised_Risk_54)</f>
        <v>0</v>
      </c>
      <c r="I334" s="101" cm="1">
        <f t="array" ref="I334">SUMPRODUCT(Asset_Refurbishment_Yr1_54*Long_Term_Monetised_Risk_54)</f>
        <v>0</v>
      </c>
      <c r="J334" s="101" cm="1">
        <f t="array" ref="J334">SUMPRODUCT(Reinforcement_Yr1_54*Long_Term_Monetised_Risk_54)</f>
        <v>0</v>
      </c>
      <c r="K334" s="101" cm="1">
        <f t="array" ref="K334">SUMPRODUCT(Faults_Yr1_54*Long_Term_Monetised_Risk_54)</f>
        <v>0</v>
      </c>
      <c r="L334" s="101" cm="1">
        <f t="array" ref="L334">SUMPRODUCT(HVP_Asset_Replacement_Refurbishment_Yr1_54*Long_Term_Monetised_Risk_54)</f>
        <v>0</v>
      </c>
      <c r="M334" s="101" cm="1">
        <f t="array" ref="M334">SUMPRODUCT(HVP_Other_Yr1_54*Long_Term_Monetised_Risk_54)</f>
        <v>0</v>
      </c>
      <c r="N334" s="101" cm="1">
        <f t="array" ref="N334">SUMPRODUCT(All_Other_Yr1_54*Long_Term_Monetised_Risk_54)</f>
        <v>0</v>
      </c>
      <c r="O334" s="102" cm="1">
        <f t="array" ref="O334">SUMPRODUCT(End_Of_Year_Yr1_54*Long_Term_Monetised_Risk_54)</f>
        <v>0</v>
      </c>
      <c r="Q334" s="112"/>
      <c r="R334" s="113"/>
      <c r="S334" s="120"/>
      <c r="T334" s="115" cm="1">
        <f t="array" ref="T334">SUMPRODUCT(Asset_Replacement_2028_Yr1_54*Long_Term_Monetised_Risk_54)</f>
        <v>0</v>
      </c>
      <c r="U334" s="101" cm="1">
        <f t="array" ref="U334">SUMPRODUCT(Asset_Refurbishment_2028_Yr1_54*Long_Term_Monetised_Risk_54)</f>
        <v>0</v>
      </c>
      <c r="V334" s="102" cm="1">
        <f t="array" ref="V334">SUMPRODUCT(HVP_2028_Yr1_54*Long_Term_Monetised_Risk_54)</f>
        <v>0</v>
      </c>
    </row>
    <row r="335" spans="1:22">
      <c r="B335" s="93" t="s">
        <v>115</v>
      </c>
      <c r="C335" s="91">
        <v>2025</v>
      </c>
      <c r="D335" s="64" cm="1">
        <f t="array" ref="D335">SUMPRODUCT(Start_of_Year_Yr2_54*Long_Term_Monetised_Risk_54)</f>
        <v>0</v>
      </c>
      <c r="E335" s="64" cm="1">
        <f t="array" ref="E335">SUMPRODUCT(Data_Cleansing_Yr2_54*Long_Term_Monetised_Risk_54)</f>
        <v>0</v>
      </c>
      <c r="F335" s="64" cm="1">
        <f t="array" ref="F335">SUMPRODUCT(Deterioration_total_Yr2_54*Long_Term_Monetised_Risk_54)</f>
        <v>0</v>
      </c>
      <c r="G335" s="64" cm="1">
        <f t="array" ref="G335">SUMPRODUCT(Other_Risk_Movements_Yr2_54*Long_Term_Monetised_Risk_54)</f>
        <v>0</v>
      </c>
      <c r="H335" s="64" cm="1">
        <f t="array" ref="H335">SUMPRODUCT(Asset_Replacement_Yr2_54*Long_Term_Monetised_Risk_54)</f>
        <v>0</v>
      </c>
      <c r="I335" s="64" cm="1">
        <f t="array" ref="I335">SUMPRODUCT(Asset_Refurbishment_Yr2_54*Long_Term_Monetised_Risk_54)</f>
        <v>0</v>
      </c>
      <c r="J335" s="64" cm="1">
        <f t="array" ref="J335">SUMPRODUCT(Reinforcement_Yr2_54*Long_Term_Monetised_Risk_54)</f>
        <v>0</v>
      </c>
      <c r="K335" s="64" cm="1">
        <f t="array" ref="K335">SUMPRODUCT(Faults_Yr2_54*Long_Term_Monetised_Risk_54)</f>
        <v>0</v>
      </c>
      <c r="L335" s="64" cm="1">
        <f t="array" ref="L335">SUMPRODUCT(HVP_Asset_Replacement_Refurbishment_Yr2_54*Long_Term_Monetised_Risk_54)</f>
        <v>0</v>
      </c>
      <c r="M335" s="64" cm="1">
        <f t="array" ref="M335">SUMPRODUCT(HVP_Other_Yr2_54*Long_Term_Monetised_Risk_54)</f>
        <v>0</v>
      </c>
      <c r="N335" s="64" cm="1">
        <f t="array" ref="N335">SUMPRODUCT(All_Other_Yr2_54*Long_Term_Monetised_Risk_54)</f>
        <v>0</v>
      </c>
      <c r="O335" s="65" cm="1">
        <f t="array" ref="O335">SUMPRODUCT(End_Of_Year_Yr2_54*Long_Term_Monetised_Risk_54)</f>
        <v>0</v>
      </c>
      <c r="Q335" s="110"/>
      <c r="R335" s="111"/>
      <c r="S335" s="119"/>
      <c r="T335" s="114" cm="1">
        <f t="array" ref="T335">SUMPRODUCT(Asset_Replacement_2028_Yr2_54*Long_Term_Monetised_Risk_54)</f>
        <v>0</v>
      </c>
      <c r="U335" s="64" cm="1">
        <f t="array" ref="U335">SUMPRODUCT(Asset_Refurbishment_2028_Yr2_54*Long_Term_Monetised_Risk_54)</f>
        <v>0</v>
      </c>
      <c r="V335" s="65" cm="1">
        <f t="array" ref="V335">SUMPRODUCT(HVP_2028_Yr2_54*Long_Term_Monetised_Risk_54)</f>
        <v>0</v>
      </c>
    </row>
    <row r="336" spans="1:22">
      <c r="B336" s="93" t="s">
        <v>115</v>
      </c>
      <c r="C336" s="91">
        <v>2026</v>
      </c>
      <c r="D336" s="64" cm="1">
        <f t="array" ref="D336">SUMPRODUCT(Start_of_Year_Yr3_54*Long_Term_Monetised_Risk_54)</f>
        <v>0</v>
      </c>
      <c r="E336" s="64" cm="1">
        <f t="array" ref="E336">SUMPRODUCT(Data_Cleansing_Yr3_54*Long_Term_Monetised_Risk_54)</f>
        <v>0</v>
      </c>
      <c r="F336" s="64" cm="1">
        <f t="array" ref="F336">SUMPRODUCT(Deterioration_total_Yr3_54*Long_Term_Monetised_Risk_54)</f>
        <v>0</v>
      </c>
      <c r="G336" s="64" cm="1">
        <f t="array" ref="G336">SUMPRODUCT(Other_Risk_Movements_Yr3_54*Long_Term_Monetised_Risk_54)</f>
        <v>0</v>
      </c>
      <c r="H336" s="64" cm="1">
        <f t="array" ref="H336">SUMPRODUCT(Asset_Replacement_Yr3_54*Long_Term_Monetised_Risk_54)</f>
        <v>0</v>
      </c>
      <c r="I336" s="64" cm="1">
        <f t="array" ref="I336">SUMPRODUCT(Asset_Refurbishment_Yr3_54*Long_Term_Monetised_Risk_54)</f>
        <v>0</v>
      </c>
      <c r="J336" s="64" cm="1">
        <f t="array" ref="J336">SUMPRODUCT(Reinforcement_Yr3_54*Long_Term_Monetised_Risk_54)</f>
        <v>0</v>
      </c>
      <c r="K336" s="64" cm="1">
        <f t="array" ref="K336">SUMPRODUCT(Faults_Yr3_54*Long_Term_Monetised_Risk_54)</f>
        <v>0</v>
      </c>
      <c r="L336" s="64" cm="1">
        <f t="array" ref="L336">SUMPRODUCT(HVP_Asset_Replacement_Refurbishment_Yr3_54*Long_Term_Monetised_Risk_54)</f>
        <v>0</v>
      </c>
      <c r="M336" s="64" cm="1">
        <f t="array" ref="M336">SUMPRODUCT(HVP_Other_Yr3_54*Long_Term_Monetised_Risk_54)</f>
        <v>0</v>
      </c>
      <c r="N336" s="64" cm="1">
        <f t="array" ref="N336">SUMPRODUCT(All_Other_Yr3_54*Long_Term_Monetised_Risk_54)</f>
        <v>0</v>
      </c>
      <c r="O336" s="65" cm="1">
        <f t="array" ref="O336">SUMPRODUCT(End_Of_Year_Yr3_54*Long_Term_Monetised_Risk_54)</f>
        <v>0</v>
      </c>
      <c r="Q336" s="110"/>
      <c r="R336" s="111"/>
      <c r="S336" s="119"/>
      <c r="T336" s="114" cm="1">
        <f t="array" ref="T336">SUMPRODUCT(Asset_Replacement_2028_Yr3_54*Long_Term_Monetised_Risk_54)</f>
        <v>0</v>
      </c>
      <c r="U336" s="64" cm="1">
        <f t="array" ref="U336">SUMPRODUCT(Asset_Refurbishment_2028_Yr3_54*Long_Term_Monetised_Risk_54)</f>
        <v>0</v>
      </c>
      <c r="V336" s="65" cm="1">
        <f t="array" ref="V336">SUMPRODUCT(HVP_2028_Yr3_54*Long_Term_Monetised_Risk_54)</f>
        <v>0</v>
      </c>
    </row>
    <row r="337" spans="1:22">
      <c r="B337" s="93" t="s">
        <v>115</v>
      </c>
      <c r="C337" s="91">
        <v>2027</v>
      </c>
      <c r="D337" s="64" cm="1">
        <f t="array" ref="D337">SUMPRODUCT(Start_of_Year_Yr4_54*Long_Term_Monetised_Risk_54)</f>
        <v>0</v>
      </c>
      <c r="E337" s="64" cm="1">
        <f t="array" ref="E337">SUMPRODUCT(Data_Cleansing_Yr4_54*Long_Term_Monetised_Risk_54)</f>
        <v>0</v>
      </c>
      <c r="F337" s="64" cm="1">
        <f t="array" ref="F337">SUMPRODUCT(Deterioration_total_Yr4_54*Long_Term_Monetised_Risk_54)</f>
        <v>0</v>
      </c>
      <c r="G337" s="64" cm="1">
        <f t="array" ref="G337">SUMPRODUCT(Other_Risk_Movements_Yr4_54*Long_Term_Monetised_Risk_54)</f>
        <v>0</v>
      </c>
      <c r="H337" s="64" cm="1">
        <f t="array" ref="H337">SUMPRODUCT(Asset_Replacement_Yr4_54*Long_Term_Monetised_Risk_54)</f>
        <v>0</v>
      </c>
      <c r="I337" s="64" cm="1">
        <f t="array" ref="I337">SUMPRODUCT(Asset_Refurbishment_Yr4_54*Long_Term_Monetised_Risk_54)</f>
        <v>0</v>
      </c>
      <c r="J337" s="64" cm="1">
        <f t="array" ref="J337">SUMPRODUCT(Reinforcement_Yr4_54*Long_Term_Monetised_Risk_54)</f>
        <v>0</v>
      </c>
      <c r="K337" s="64" cm="1">
        <f t="array" ref="K337">SUMPRODUCT(Faults_Yr4_54*Long_Term_Monetised_Risk_54)</f>
        <v>0</v>
      </c>
      <c r="L337" s="64" cm="1">
        <f t="array" ref="L337">SUMPRODUCT(HVP_Asset_Replacement_Refurbishment_Yr4_54*Long_Term_Monetised_Risk_54)</f>
        <v>0</v>
      </c>
      <c r="M337" s="64" cm="1">
        <f t="array" ref="M337">SUMPRODUCT(HVP_Other_Yr4_54*Long_Term_Monetised_Risk_54)</f>
        <v>0</v>
      </c>
      <c r="N337" s="64" cm="1">
        <f t="array" ref="N337">SUMPRODUCT(All_Other_Yr4_54*Long_Term_Monetised_Risk_54)</f>
        <v>0</v>
      </c>
      <c r="O337" s="65" cm="1">
        <f t="array" ref="O337">SUMPRODUCT(End_Of_Year_Yr4_54*Long_Term_Monetised_Risk_54)</f>
        <v>0</v>
      </c>
      <c r="Q337" s="110"/>
      <c r="R337" s="111"/>
      <c r="S337" s="119"/>
      <c r="T337" s="114" cm="1">
        <f t="array" ref="T337">SUMPRODUCT(Asset_Replacement_2028_Yr4_54*Long_Term_Monetised_Risk_54)</f>
        <v>0</v>
      </c>
      <c r="U337" s="64" cm="1">
        <f t="array" ref="U337">SUMPRODUCT(Asset_Refurbishment_2028_Yr4_54*Long_Term_Monetised_Risk_54)</f>
        <v>0</v>
      </c>
      <c r="V337" s="65" cm="1">
        <f t="array" ref="V337">SUMPRODUCT(HVP_2028_Yr4_54*Long_Term_Monetised_Risk_54)</f>
        <v>0</v>
      </c>
    </row>
    <row r="338" spans="1:22">
      <c r="B338" s="93" t="s">
        <v>115</v>
      </c>
      <c r="C338" s="91">
        <v>2028</v>
      </c>
      <c r="D338" s="64" cm="1">
        <f t="array" ref="D338">SUMPRODUCT(Start_of_Year_Yr5_54*Long_Term_Monetised_Risk_54)</f>
        <v>0</v>
      </c>
      <c r="E338" s="64" cm="1">
        <f t="array" ref="E338">SUMPRODUCT(Data_Cleansing_Yr5_54*Long_Term_Monetised_Risk_54)</f>
        <v>0</v>
      </c>
      <c r="F338" s="64" cm="1">
        <f t="array" ref="F338">SUMPRODUCT(Deterioration_total_Yr5_54*Long_Term_Monetised_Risk_54)</f>
        <v>0</v>
      </c>
      <c r="G338" s="64" cm="1">
        <f t="array" ref="G338">SUMPRODUCT(Other_Risk_Movements_Yr5_54*Long_Term_Monetised_Risk_54)</f>
        <v>0</v>
      </c>
      <c r="H338" s="64" cm="1">
        <f t="array" ref="H338">SUMPRODUCT(Asset_Replacement_Yr5_54*Long_Term_Monetised_Risk_54)</f>
        <v>0</v>
      </c>
      <c r="I338" s="64" cm="1">
        <f t="array" ref="I338">SUMPRODUCT(Asset_Refurbishment_Yr5_54*Long_Term_Monetised_Risk_54)</f>
        <v>0</v>
      </c>
      <c r="J338" s="64" cm="1">
        <f t="array" ref="J338">SUMPRODUCT(Reinforcement_Yr5_54*Long_Term_Monetised_Risk_54)</f>
        <v>0</v>
      </c>
      <c r="K338" s="64" cm="1">
        <f t="array" ref="K338">SUMPRODUCT(Faults_Yr5_54*Long_Term_Monetised_Risk_54)</f>
        <v>0</v>
      </c>
      <c r="L338" s="64" cm="1">
        <f t="array" ref="L338">SUMPRODUCT(HVP_Asset_Replacement_Refurbishment_Yr5_54*Long_Term_Monetised_Risk_54)</f>
        <v>0</v>
      </c>
      <c r="M338" s="64" cm="1">
        <f t="array" ref="M338">SUMPRODUCT(HVP_Other_Yr5_54*Long_Term_Monetised_Risk_54)</f>
        <v>0</v>
      </c>
      <c r="N338" s="64" cm="1">
        <f t="array" ref="N338">SUMPRODUCT(All_Other_Yr5_54*Long_Term_Monetised_Risk_54)</f>
        <v>0</v>
      </c>
      <c r="O338" s="65" cm="1">
        <f t="array" ref="O338">SUMPRODUCT(End_Of_Year_Yr5_54*Long_Term_Monetised_Risk_54)</f>
        <v>0</v>
      </c>
      <c r="Q338" s="110"/>
      <c r="R338" s="111"/>
      <c r="S338" s="119"/>
      <c r="T338" s="114" cm="1">
        <f t="array" ref="T338">SUMPRODUCT(Asset_Replacement_2028_Yr5_54*Long_Term_Monetised_Risk_54)</f>
        <v>0</v>
      </c>
      <c r="U338" s="64" cm="1">
        <f t="array" ref="U338">SUMPRODUCT(Asset_Refurbishment_2028_Yr5_54*Long_Term_Monetised_Risk_54)</f>
        <v>0</v>
      </c>
      <c r="V338" s="65" cm="1">
        <f t="array" ref="V338">SUMPRODUCT(HVP_2028_Yr5_54*Long_Term_Monetised_Risk_54)</f>
        <v>0</v>
      </c>
    </row>
    <row r="339" spans="1:22" ht="14" thickBot="1">
      <c r="B339" s="103" t="s">
        <v>115</v>
      </c>
      <c r="C339" s="104" t="s">
        <v>131</v>
      </c>
      <c r="D339" s="105"/>
      <c r="E339" s="106">
        <f t="shared" ref="E339:O339" si="116">SUM(E334:E338)</f>
        <v>0</v>
      </c>
      <c r="F339" s="106">
        <f t="shared" si="116"/>
        <v>0</v>
      </c>
      <c r="G339" s="106">
        <f t="shared" si="116"/>
        <v>0</v>
      </c>
      <c r="H339" s="106">
        <f t="shared" si="116"/>
        <v>0</v>
      </c>
      <c r="I339" s="106">
        <f t="shared" si="116"/>
        <v>0</v>
      </c>
      <c r="J339" s="106">
        <f t="shared" si="116"/>
        <v>0</v>
      </c>
      <c r="K339" s="106">
        <f t="shared" si="116"/>
        <v>0</v>
      </c>
      <c r="L339" s="106">
        <f t="shared" si="116"/>
        <v>0</v>
      </c>
      <c r="M339" s="106">
        <f t="shared" si="116"/>
        <v>0</v>
      </c>
      <c r="N339" s="106">
        <f t="shared" si="116"/>
        <v>0</v>
      </c>
      <c r="O339" s="537">
        <f t="shared" si="116"/>
        <v>0</v>
      </c>
      <c r="Q339" s="107" t="str">
        <f ca="1">VLOOKUP($B339,'NARM4 - ED2 NARW Risk Movements'!$B$7:$G$67,4,FALSE)</f>
        <v/>
      </c>
      <c r="R339" s="109" t="str">
        <f ca="1">VLOOKUP($B339,'NARM4 - ED2 NARW Risk Movements'!$B$7:$G$67,5,FALSE)</f>
        <v/>
      </c>
      <c r="S339" s="121" t="str">
        <f ca="1">VLOOKUP($B339,'NARM4 - ED2 NARW Risk Movements'!$B$7:$G$67,6,FALSE)</f>
        <v/>
      </c>
      <c r="T339" s="117">
        <f>SUM(T334:T338)</f>
        <v>0</v>
      </c>
      <c r="U339" s="106">
        <f t="shared" ref="U339" si="117">SUM(U334:U338)</f>
        <v>0</v>
      </c>
      <c r="V339" s="108">
        <f>SUM(V334:V338)</f>
        <v>0</v>
      </c>
    </row>
    <row r="340" spans="1:22" ht="14" thickTop="1">
      <c r="A340" s="143">
        <v>55</v>
      </c>
      <c r="B340" s="99" t="s">
        <v>116</v>
      </c>
      <c r="C340" s="100">
        <v>2024</v>
      </c>
      <c r="D340" s="101" cm="1">
        <f t="array" ref="D340">SUMPRODUCT(Start_of_Year_Yr1_55*Long_Term_Monetised_Risk_55)</f>
        <v>0</v>
      </c>
      <c r="E340" s="101" cm="1">
        <f t="array" ref="E340">SUMPRODUCT(Data_Cleansing_Yr1_55*Long_Term_Monetised_Risk_55)</f>
        <v>0</v>
      </c>
      <c r="F340" s="101" cm="1">
        <f t="array" ref="F340">SUMPRODUCT(Deterioration_total_Yr1_55*Long_Term_Monetised_Risk_55)</f>
        <v>0</v>
      </c>
      <c r="G340" s="101" cm="1">
        <f t="array" ref="G340">SUMPRODUCT(Other_Risk_Movements_Yr1_55*Long_Term_Monetised_Risk_55)</f>
        <v>0</v>
      </c>
      <c r="H340" s="101" cm="1">
        <f t="array" ref="H340">SUMPRODUCT(Asset_Replacement_Yr1_55*Long_Term_Monetised_Risk_55)</f>
        <v>0</v>
      </c>
      <c r="I340" s="101" cm="1">
        <f t="array" ref="I340">SUMPRODUCT(Asset_Refurbishment_Yr1_55*Long_Term_Monetised_Risk_55)</f>
        <v>0</v>
      </c>
      <c r="J340" s="101" cm="1">
        <f t="array" ref="J340">SUMPRODUCT(Reinforcement_Yr1_55*Long_Term_Monetised_Risk_55)</f>
        <v>0</v>
      </c>
      <c r="K340" s="101" cm="1">
        <f t="array" ref="K340">SUMPRODUCT(Faults_Yr1_55*Long_Term_Monetised_Risk_55)</f>
        <v>0</v>
      </c>
      <c r="L340" s="101" cm="1">
        <f t="array" ref="L340">SUMPRODUCT(HVP_Asset_Replacement_Refurbishment_Yr1_55*Long_Term_Monetised_Risk_55)</f>
        <v>0</v>
      </c>
      <c r="M340" s="101" cm="1">
        <f t="array" ref="M340">SUMPRODUCT(HVP_Other_Yr1_55*Long_Term_Monetised_Risk_55)</f>
        <v>0</v>
      </c>
      <c r="N340" s="101" cm="1">
        <f t="array" ref="N340">SUMPRODUCT(All_Other_Yr1_55*Long_Term_Monetised_Risk_55)</f>
        <v>0</v>
      </c>
      <c r="O340" s="102" cm="1">
        <f t="array" ref="O340">SUMPRODUCT(End_Of_Year_Yr1_55*Long_Term_Monetised_Risk_55)</f>
        <v>0</v>
      </c>
      <c r="Q340" s="112"/>
      <c r="R340" s="113"/>
      <c r="S340" s="120"/>
      <c r="T340" s="115" cm="1">
        <f t="array" ref="T340">SUMPRODUCT(Asset_Replacement_2028_Yr1_55*Long_Term_Monetised_Risk_55)</f>
        <v>0</v>
      </c>
      <c r="U340" s="101" cm="1">
        <f t="array" ref="U340">SUMPRODUCT(Asset_Refurbishment_2028_Yr1_55*Long_Term_Monetised_Risk_55)</f>
        <v>0</v>
      </c>
      <c r="V340" s="102" cm="1">
        <f t="array" ref="V340">SUMPRODUCT(HVP_2028_Yr1_55*Long_Term_Monetised_Risk_55)</f>
        <v>0</v>
      </c>
    </row>
    <row r="341" spans="1:22">
      <c r="B341" s="93" t="s">
        <v>116</v>
      </c>
      <c r="C341" s="91">
        <v>2025</v>
      </c>
      <c r="D341" s="64" cm="1">
        <f t="array" ref="D341">SUMPRODUCT(Start_of_Year_Yr2_55*Long_Term_Monetised_Risk_55)</f>
        <v>0</v>
      </c>
      <c r="E341" s="64" cm="1">
        <f t="array" ref="E341">SUMPRODUCT(Data_Cleansing_Yr2_55*Long_Term_Monetised_Risk_55)</f>
        <v>0</v>
      </c>
      <c r="F341" s="64" cm="1">
        <f t="array" ref="F341">SUMPRODUCT(Deterioration_total_Yr2_55*Long_Term_Monetised_Risk_55)</f>
        <v>0</v>
      </c>
      <c r="G341" s="64" cm="1">
        <f t="array" ref="G341">SUMPRODUCT(Other_Risk_Movements_Yr2_55*Long_Term_Monetised_Risk_55)</f>
        <v>0</v>
      </c>
      <c r="H341" s="64" cm="1">
        <f t="array" ref="H341">SUMPRODUCT(Asset_Replacement_Yr2_55*Long_Term_Monetised_Risk_55)</f>
        <v>0</v>
      </c>
      <c r="I341" s="64" cm="1">
        <f t="array" ref="I341">SUMPRODUCT(Asset_Refurbishment_Yr2_55*Long_Term_Monetised_Risk_55)</f>
        <v>0</v>
      </c>
      <c r="J341" s="64" cm="1">
        <f t="array" ref="J341">SUMPRODUCT(Reinforcement_Yr2_55*Long_Term_Monetised_Risk_55)</f>
        <v>0</v>
      </c>
      <c r="K341" s="64" cm="1">
        <f t="array" ref="K341">SUMPRODUCT(Faults_Yr2_55*Long_Term_Monetised_Risk_55)</f>
        <v>0</v>
      </c>
      <c r="L341" s="64" cm="1">
        <f t="array" ref="L341">SUMPRODUCT(HVP_Asset_Replacement_Refurbishment_Yr2_55*Long_Term_Monetised_Risk_55)</f>
        <v>0</v>
      </c>
      <c r="M341" s="64" cm="1">
        <f t="array" ref="M341">SUMPRODUCT(HVP_Other_Yr2_55*Long_Term_Monetised_Risk_55)</f>
        <v>0</v>
      </c>
      <c r="N341" s="64" cm="1">
        <f t="array" ref="N341">SUMPRODUCT(All_Other_Yr2_55*Long_Term_Monetised_Risk_55)</f>
        <v>0</v>
      </c>
      <c r="O341" s="65" cm="1">
        <f t="array" ref="O341">SUMPRODUCT(End_Of_Year_Yr2_55*Long_Term_Monetised_Risk_55)</f>
        <v>0</v>
      </c>
      <c r="Q341" s="110"/>
      <c r="R341" s="111"/>
      <c r="S341" s="119"/>
      <c r="T341" s="114" cm="1">
        <f t="array" ref="T341">SUMPRODUCT(Asset_Replacement_2028_Yr2_55*Long_Term_Monetised_Risk_55)</f>
        <v>0</v>
      </c>
      <c r="U341" s="64" cm="1">
        <f t="array" ref="U341">SUMPRODUCT(Asset_Refurbishment_2028_Yr2_55*Long_Term_Monetised_Risk_55)</f>
        <v>0</v>
      </c>
      <c r="V341" s="65" cm="1">
        <f t="array" ref="V341">SUMPRODUCT(HVP_2028_Yr2_55*Long_Term_Monetised_Risk_55)</f>
        <v>0</v>
      </c>
    </row>
    <row r="342" spans="1:22">
      <c r="B342" s="93" t="s">
        <v>116</v>
      </c>
      <c r="C342" s="91">
        <v>2026</v>
      </c>
      <c r="D342" s="64" cm="1">
        <f t="array" ref="D342">SUMPRODUCT(Start_of_Year_Yr3_55*Long_Term_Monetised_Risk_55)</f>
        <v>0</v>
      </c>
      <c r="E342" s="64" cm="1">
        <f t="array" ref="E342">SUMPRODUCT(Data_Cleansing_Yr3_55*Long_Term_Monetised_Risk_55)</f>
        <v>0</v>
      </c>
      <c r="F342" s="64" cm="1">
        <f t="array" ref="F342">SUMPRODUCT(Deterioration_total_Yr3_55*Long_Term_Monetised_Risk_55)</f>
        <v>0</v>
      </c>
      <c r="G342" s="64" cm="1">
        <f t="array" ref="G342">SUMPRODUCT(Other_Risk_Movements_Yr3_55*Long_Term_Monetised_Risk_55)</f>
        <v>0</v>
      </c>
      <c r="H342" s="64" cm="1">
        <f t="array" ref="H342">SUMPRODUCT(Asset_Replacement_Yr3_55*Long_Term_Monetised_Risk_55)</f>
        <v>0</v>
      </c>
      <c r="I342" s="64" cm="1">
        <f t="array" ref="I342">SUMPRODUCT(Asset_Refurbishment_Yr3_55*Long_Term_Monetised_Risk_55)</f>
        <v>0</v>
      </c>
      <c r="J342" s="64" cm="1">
        <f t="array" ref="J342">SUMPRODUCT(Reinforcement_Yr3_55*Long_Term_Monetised_Risk_55)</f>
        <v>0</v>
      </c>
      <c r="K342" s="64" cm="1">
        <f t="array" ref="K342">SUMPRODUCT(Faults_Yr3_55*Long_Term_Monetised_Risk_55)</f>
        <v>0</v>
      </c>
      <c r="L342" s="64" cm="1">
        <f t="array" ref="L342">SUMPRODUCT(HVP_Asset_Replacement_Refurbishment_Yr3_55*Long_Term_Monetised_Risk_55)</f>
        <v>0</v>
      </c>
      <c r="M342" s="64" cm="1">
        <f t="array" ref="M342">SUMPRODUCT(HVP_Other_Yr3_55*Long_Term_Monetised_Risk_55)</f>
        <v>0</v>
      </c>
      <c r="N342" s="64" cm="1">
        <f t="array" ref="N342">SUMPRODUCT(All_Other_Yr3_55*Long_Term_Monetised_Risk_55)</f>
        <v>0</v>
      </c>
      <c r="O342" s="65" cm="1">
        <f t="array" ref="O342">SUMPRODUCT(End_Of_Year_Yr3_55*Long_Term_Monetised_Risk_55)</f>
        <v>0</v>
      </c>
      <c r="Q342" s="110"/>
      <c r="R342" s="111"/>
      <c r="S342" s="119"/>
      <c r="T342" s="114" cm="1">
        <f t="array" ref="T342">SUMPRODUCT(Asset_Replacement_2028_Yr3_55*Long_Term_Monetised_Risk_55)</f>
        <v>0</v>
      </c>
      <c r="U342" s="64" cm="1">
        <f t="array" ref="U342">SUMPRODUCT(Asset_Refurbishment_2028_Yr3_55*Long_Term_Monetised_Risk_55)</f>
        <v>0</v>
      </c>
      <c r="V342" s="65" cm="1">
        <f t="array" ref="V342">SUMPRODUCT(HVP_2028_Yr3_55*Long_Term_Monetised_Risk_55)</f>
        <v>0</v>
      </c>
    </row>
    <row r="343" spans="1:22">
      <c r="B343" s="93" t="s">
        <v>116</v>
      </c>
      <c r="C343" s="91">
        <v>2027</v>
      </c>
      <c r="D343" s="64" cm="1">
        <f t="array" ref="D343">SUMPRODUCT(Start_of_Year_Yr4_55*Long_Term_Monetised_Risk_55)</f>
        <v>0</v>
      </c>
      <c r="E343" s="64" cm="1">
        <f t="array" ref="E343">SUMPRODUCT(Data_Cleansing_Yr4_55*Long_Term_Monetised_Risk_55)</f>
        <v>0</v>
      </c>
      <c r="F343" s="64" cm="1">
        <f t="array" ref="F343">SUMPRODUCT(Deterioration_total_Yr4_55*Long_Term_Monetised_Risk_55)</f>
        <v>0</v>
      </c>
      <c r="G343" s="64" cm="1">
        <f t="array" ref="G343">SUMPRODUCT(Other_Risk_Movements_Yr4_55*Long_Term_Monetised_Risk_55)</f>
        <v>0</v>
      </c>
      <c r="H343" s="64" cm="1">
        <f t="array" ref="H343">SUMPRODUCT(Asset_Replacement_Yr4_55*Long_Term_Monetised_Risk_55)</f>
        <v>0</v>
      </c>
      <c r="I343" s="64" cm="1">
        <f t="array" ref="I343">SUMPRODUCT(Asset_Refurbishment_Yr4_55*Long_Term_Monetised_Risk_55)</f>
        <v>0</v>
      </c>
      <c r="J343" s="64" cm="1">
        <f t="array" ref="J343">SUMPRODUCT(Reinforcement_Yr4_55*Long_Term_Monetised_Risk_55)</f>
        <v>0</v>
      </c>
      <c r="K343" s="64" cm="1">
        <f t="array" ref="K343">SUMPRODUCT(Faults_Yr4_55*Long_Term_Monetised_Risk_55)</f>
        <v>0</v>
      </c>
      <c r="L343" s="64" cm="1">
        <f t="array" ref="L343">SUMPRODUCT(HVP_Asset_Replacement_Refurbishment_Yr4_55*Long_Term_Monetised_Risk_55)</f>
        <v>0</v>
      </c>
      <c r="M343" s="64" cm="1">
        <f t="array" ref="M343">SUMPRODUCT(HVP_Other_Yr4_55*Long_Term_Monetised_Risk_55)</f>
        <v>0</v>
      </c>
      <c r="N343" s="64" cm="1">
        <f t="array" ref="N343">SUMPRODUCT(All_Other_Yr4_55*Long_Term_Monetised_Risk_55)</f>
        <v>0</v>
      </c>
      <c r="O343" s="65" cm="1">
        <f t="array" ref="O343">SUMPRODUCT(End_Of_Year_Yr4_55*Long_Term_Monetised_Risk_55)</f>
        <v>0</v>
      </c>
      <c r="Q343" s="110"/>
      <c r="R343" s="111"/>
      <c r="S343" s="119"/>
      <c r="T343" s="114" cm="1">
        <f t="array" ref="T343">SUMPRODUCT(Asset_Replacement_2028_Yr4_55*Long_Term_Monetised_Risk_55)</f>
        <v>0</v>
      </c>
      <c r="U343" s="64" cm="1">
        <f t="array" ref="U343">SUMPRODUCT(Asset_Refurbishment_2028_Yr4_55*Long_Term_Monetised_Risk_55)</f>
        <v>0</v>
      </c>
      <c r="V343" s="65" cm="1">
        <f t="array" ref="V343">SUMPRODUCT(HVP_2028_Yr4_55*Long_Term_Monetised_Risk_55)</f>
        <v>0</v>
      </c>
    </row>
    <row r="344" spans="1:22">
      <c r="B344" s="93" t="s">
        <v>116</v>
      </c>
      <c r="C344" s="91">
        <v>2028</v>
      </c>
      <c r="D344" s="64" cm="1">
        <f t="array" ref="D344">SUMPRODUCT(Start_of_Year_Yr5_55*Long_Term_Monetised_Risk_55)</f>
        <v>0</v>
      </c>
      <c r="E344" s="64" cm="1">
        <f t="array" ref="E344">SUMPRODUCT(Data_Cleansing_Yr5_55*Long_Term_Monetised_Risk_55)</f>
        <v>0</v>
      </c>
      <c r="F344" s="64" cm="1">
        <f t="array" ref="F344">SUMPRODUCT(Deterioration_total_Yr5_55*Long_Term_Monetised_Risk_55)</f>
        <v>0</v>
      </c>
      <c r="G344" s="64" cm="1">
        <f t="array" ref="G344">SUMPRODUCT(Other_Risk_Movements_Yr5_55*Long_Term_Monetised_Risk_55)</f>
        <v>0</v>
      </c>
      <c r="H344" s="64" cm="1">
        <f t="array" ref="H344">SUMPRODUCT(Asset_Replacement_Yr5_55*Long_Term_Monetised_Risk_55)</f>
        <v>0</v>
      </c>
      <c r="I344" s="64" cm="1">
        <f t="array" ref="I344">SUMPRODUCT(Asset_Refurbishment_Yr5_55*Long_Term_Monetised_Risk_55)</f>
        <v>0</v>
      </c>
      <c r="J344" s="64" cm="1">
        <f t="array" ref="J344">SUMPRODUCT(Reinforcement_Yr5_55*Long_Term_Monetised_Risk_55)</f>
        <v>0</v>
      </c>
      <c r="K344" s="64" cm="1">
        <f t="array" ref="K344">SUMPRODUCT(Faults_Yr5_55*Long_Term_Monetised_Risk_55)</f>
        <v>0</v>
      </c>
      <c r="L344" s="64" cm="1">
        <f t="array" ref="L344">SUMPRODUCT(HVP_Asset_Replacement_Refurbishment_Yr5_55*Long_Term_Monetised_Risk_55)</f>
        <v>0</v>
      </c>
      <c r="M344" s="64" cm="1">
        <f t="array" ref="M344">SUMPRODUCT(HVP_Other_Yr5_55*Long_Term_Monetised_Risk_55)</f>
        <v>0</v>
      </c>
      <c r="N344" s="64" cm="1">
        <f t="array" ref="N344">SUMPRODUCT(All_Other_Yr5_55*Long_Term_Monetised_Risk_55)</f>
        <v>0</v>
      </c>
      <c r="O344" s="65" cm="1">
        <f t="array" ref="O344">SUMPRODUCT(End_Of_Year_Yr5_55*Long_Term_Monetised_Risk_55)</f>
        <v>0</v>
      </c>
      <c r="Q344" s="110"/>
      <c r="R344" s="111"/>
      <c r="S344" s="119"/>
      <c r="T344" s="114" cm="1">
        <f t="array" ref="T344">SUMPRODUCT(Asset_Replacement_2028_Yr5_55*Long_Term_Monetised_Risk_55)</f>
        <v>0</v>
      </c>
      <c r="U344" s="64" cm="1">
        <f t="array" ref="U344">SUMPRODUCT(Asset_Refurbishment_2028_Yr5_55*Long_Term_Monetised_Risk_55)</f>
        <v>0</v>
      </c>
      <c r="V344" s="65" cm="1">
        <f t="array" ref="V344">SUMPRODUCT(HVP_2028_Yr5_55*Long_Term_Monetised_Risk_55)</f>
        <v>0</v>
      </c>
    </row>
    <row r="345" spans="1:22" ht="14" thickBot="1">
      <c r="B345" s="103" t="s">
        <v>116</v>
      </c>
      <c r="C345" s="104" t="s">
        <v>131</v>
      </c>
      <c r="D345" s="105"/>
      <c r="E345" s="106">
        <f t="shared" ref="E345:O345" si="118">SUM(E340:E344)</f>
        <v>0</v>
      </c>
      <c r="F345" s="106">
        <f t="shared" si="118"/>
        <v>0</v>
      </c>
      <c r="G345" s="106">
        <f t="shared" si="118"/>
        <v>0</v>
      </c>
      <c r="H345" s="106">
        <f t="shared" si="118"/>
        <v>0</v>
      </c>
      <c r="I345" s="106">
        <f t="shared" si="118"/>
        <v>0</v>
      </c>
      <c r="J345" s="106">
        <f t="shared" si="118"/>
        <v>0</v>
      </c>
      <c r="K345" s="106">
        <f t="shared" si="118"/>
        <v>0</v>
      </c>
      <c r="L345" s="106">
        <f t="shared" si="118"/>
        <v>0</v>
      </c>
      <c r="M345" s="106">
        <f t="shared" si="118"/>
        <v>0</v>
      </c>
      <c r="N345" s="106">
        <f t="shared" si="118"/>
        <v>0</v>
      </c>
      <c r="O345" s="537">
        <f t="shared" si="118"/>
        <v>0</v>
      </c>
      <c r="Q345" s="107" t="str">
        <f ca="1">VLOOKUP($B345,'NARM4 - ED2 NARW Risk Movements'!$B$7:$G$67,4,FALSE)</f>
        <v/>
      </c>
      <c r="R345" s="109" t="str">
        <f ca="1">VLOOKUP($B345,'NARM4 - ED2 NARW Risk Movements'!$B$7:$G$67,5,FALSE)</f>
        <v/>
      </c>
      <c r="S345" s="121" t="str">
        <f ca="1">VLOOKUP($B345,'NARM4 - ED2 NARW Risk Movements'!$B$7:$G$67,6,FALSE)</f>
        <v/>
      </c>
      <c r="T345" s="117">
        <f>SUM(T340:T344)</f>
        <v>0</v>
      </c>
      <c r="U345" s="106">
        <f t="shared" ref="U345" si="119">SUM(U340:U344)</f>
        <v>0</v>
      </c>
      <c r="V345" s="108">
        <f>SUM(V340:V344)</f>
        <v>0</v>
      </c>
    </row>
    <row r="346" spans="1:22" ht="14" thickTop="1">
      <c r="A346" s="143">
        <v>56</v>
      </c>
      <c r="B346" s="99" t="s">
        <v>117</v>
      </c>
      <c r="C346" s="100">
        <v>2024</v>
      </c>
      <c r="D346" s="101" cm="1">
        <f t="array" ref="D346">SUMPRODUCT(Start_of_Year_Yr1_56*Long_Term_Monetised_Risk_56)</f>
        <v>0</v>
      </c>
      <c r="E346" s="101" cm="1">
        <f t="array" ref="E346">SUMPRODUCT(Data_Cleansing_Yr1_56*Long_Term_Monetised_Risk_56)</f>
        <v>0</v>
      </c>
      <c r="F346" s="101" cm="1">
        <f t="array" ref="F346">SUMPRODUCT(Deterioration_total_Yr1_56*Long_Term_Monetised_Risk_56)</f>
        <v>0</v>
      </c>
      <c r="G346" s="101" cm="1">
        <f t="array" ref="G346">SUMPRODUCT(Other_Risk_Movements_Yr1_56*Long_Term_Monetised_Risk_56)</f>
        <v>0</v>
      </c>
      <c r="H346" s="101" cm="1">
        <f t="array" ref="H346">SUMPRODUCT(Asset_Replacement_Yr1_56*Long_Term_Monetised_Risk_56)</f>
        <v>0</v>
      </c>
      <c r="I346" s="101" cm="1">
        <f t="array" ref="I346">SUMPRODUCT(Asset_Refurbishment_Yr1_56*Long_Term_Monetised_Risk_56)</f>
        <v>0</v>
      </c>
      <c r="J346" s="101" cm="1">
        <f t="array" ref="J346">SUMPRODUCT(Reinforcement_Yr1_56*Long_Term_Monetised_Risk_56)</f>
        <v>0</v>
      </c>
      <c r="K346" s="101" cm="1">
        <f t="array" ref="K346">SUMPRODUCT(Faults_Yr1_56*Long_Term_Monetised_Risk_56)</f>
        <v>0</v>
      </c>
      <c r="L346" s="101" cm="1">
        <f t="array" ref="L346">SUMPRODUCT(HVP_Asset_Replacement_Refurbishment_Yr1_56*Long_Term_Monetised_Risk_56)</f>
        <v>0</v>
      </c>
      <c r="M346" s="101" cm="1">
        <f t="array" ref="M346">SUMPRODUCT(HVP_Other_Yr1_56*Long_Term_Monetised_Risk_56)</f>
        <v>0</v>
      </c>
      <c r="N346" s="101" cm="1">
        <f t="array" ref="N346">SUMPRODUCT(All_Other_Yr1_56*Long_Term_Monetised_Risk_56)</f>
        <v>0</v>
      </c>
      <c r="O346" s="102" cm="1">
        <f t="array" ref="O346">SUMPRODUCT(End_Of_Year_Yr1_56*Long_Term_Monetised_Risk_56)</f>
        <v>0</v>
      </c>
      <c r="Q346" s="112"/>
      <c r="R346" s="113"/>
      <c r="S346" s="120"/>
      <c r="T346" s="115" cm="1">
        <f t="array" ref="T346">SUMPRODUCT(Asset_Replacement_2028_Yr1_56*Long_Term_Monetised_Risk_56)</f>
        <v>0</v>
      </c>
      <c r="U346" s="101" cm="1">
        <f t="array" ref="U346">SUMPRODUCT(Asset_Refurbishment_2028_Yr1_56*Long_Term_Monetised_Risk_56)</f>
        <v>0</v>
      </c>
      <c r="V346" s="102" cm="1">
        <f t="array" ref="V346">SUMPRODUCT(HVP_2028_Yr1_56*Long_Term_Monetised_Risk_56)</f>
        <v>0</v>
      </c>
    </row>
    <row r="347" spans="1:22">
      <c r="B347" s="93" t="s">
        <v>117</v>
      </c>
      <c r="C347" s="91">
        <v>2025</v>
      </c>
      <c r="D347" s="64" cm="1">
        <f t="array" ref="D347">SUMPRODUCT(Start_of_Year_Yr2_56*Long_Term_Monetised_Risk_56)</f>
        <v>0</v>
      </c>
      <c r="E347" s="64" cm="1">
        <f t="array" ref="E347">SUMPRODUCT(Data_Cleansing_Yr2_56*Long_Term_Monetised_Risk_56)</f>
        <v>0</v>
      </c>
      <c r="F347" s="64" cm="1">
        <f t="array" ref="F347">SUMPRODUCT(Deterioration_total_Yr2_56*Long_Term_Monetised_Risk_56)</f>
        <v>0</v>
      </c>
      <c r="G347" s="64" cm="1">
        <f t="array" ref="G347">SUMPRODUCT(Other_Risk_Movements_Yr2_56*Long_Term_Monetised_Risk_56)</f>
        <v>0</v>
      </c>
      <c r="H347" s="64" cm="1">
        <f t="array" ref="H347">SUMPRODUCT(Asset_Replacement_Yr2_56*Long_Term_Monetised_Risk_56)</f>
        <v>0</v>
      </c>
      <c r="I347" s="64" cm="1">
        <f t="array" ref="I347">SUMPRODUCT(Asset_Refurbishment_Yr2_56*Long_Term_Monetised_Risk_56)</f>
        <v>0</v>
      </c>
      <c r="J347" s="64" cm="1">
        <f t="array" ref="J347">SUMPRODUCT(Reinforcement_Yr2_56*Long_Term_Monetised_Risk_56)</f>
        <v>0</v>
      </c>
      <c r="K347" s="64" cm="1">
        <f t="array" ref="K347">SUMPRODUCT(Faults_Yr2_56*Long_Term_Monetised_Risk_56)</f>
        <v>0</v>
      </c>
      <c r="L347" s="64" cm="1">
        <f t="array" ref="L347">SUMPRODUCT(HVP_Asset_Replacement_Refurbishment_Yr2_56*Long_Term_Monetised_Risk_56)</f>
        <v>0</v>
      </c>
      <c r="M347" s="64" cm="1">
        <f t="array" ref="M347">SUMPRODUCT(HVP_Other_Yr2_56*Long_Term_Monetised_Risk_56)</f>
        <v>0</v>
      </c>
      <c r="N347" s="64" cm="1">
        <f t="array" ref="N347">SUMPRODUCT(All_Other_Yr2_56*Long_Term_Monetised_Risk_56)</f>
        <v>0</v>
      </c>
      <c r="O347" s="65" cm="1">
        <f t="array" ref="O347">SUMPRODUCT(End_Of_Year_Yr2_56*Long_Term_Monetised_Risk_56)</f>
        <v>0</v>
      </c>
      <c r="Q347" s="110"/>
      <c r="R347" s="111"/>
      <c r="S347" s="119"/>
      <c r="T347" s="114" cm="1">
        <f t="array" ref="T347">SUMPRODUCT(Asset_Replacement_2028_Yr2_56*Long_Term_Monetised_Risk_56)</f>
        <v>0</v>
      </c>
      <c r="U347" s="64" cm="1">
        <f t="array" ref="U347">SUMPRODUCT(Asset_Refurbishment_2028_Yr2_56*Long_Term_Monetised_Risk_56)</f>
        <v>0</v>
      </c>
      <c r="V347" s="65" cm="1">
        <f t="array" ref="V347">SUMPRODUCT(HVP_2028_Yr2_56*Long_Term_Monetised_Risk_56)</f>
        <v>0</v>
      </c>
    </row>
    <row r="348" spans="1:22">
      <c r="B348" s="93" t="s">
        <v>117</v>
      </c>
      <c r="C348" s="91">
        <v>2026</v>
      </c>
      <c r="D348" s="64" cm="1">
        <f t="array" ref="D348">SUMPRODUCT(Start_of_Year_Yr3_56*Long_Term_Monetised_Risk_56)</f>
        <v>0</v>
      </c>
      <c r="E348" s="64" cm="1">
        <f t="array" ref="E348">SUMPRODUCT(Data_Cleansing_Yr3_56*Long_Term_Monetised_Risk_56)</f>
        <v>0</v>
      </c>
      <c r="F348" s="64" cm="1">
        <f t="array" ref="F348">SUMPRODUCT(Deterioration_total_Yr3_56*Long_Term_Monetised_Risk_56)</f>
        <v>0</v>
      </c>
      <c r="G348" s="64" cm="1">
        <f t="array" ref="G348">SUMPRODUCT(Other_Risk_Movements_Yr3_56*Long_Term_Monetised_Risk_56)</f>
        <v>0</v>
      </c>
      <c r="H348" s="64" cm="1">
        <f t="array" ref="H348">SUMPRODUCT(Asset_Replacement_Yr3_56*Long_Term_Monetised_Risk_56)</f>
        <v>0</v>
      </c>
      <c r="I348" s="64" cm="1">
        <f t="array" ref="I348">SUMPRODUCT(Asset_Refurbishment_Yr3_56*Long_Term_Monetised_Risk_56)</f>
        <v>0</v>
      </c>
      <c r="J348" s="64" cm="1">
        <f t="array" ref="J348">SUMPRODUCT(Reinforcement_Yr3_56*Long_Term_Monetised_Risk_56)</f>
        <v>0</v>
      </c>
      <c r="K348" s="64" cm="1">
        <f t="array" ref="K348">SUMPRODUCT(Faults_Yr3_56*Long_Term_Monetised_Risk_56)</f>
        <v>0</v>
      </c>
      <c r="L348" s="64" cm="1">
        <f t="array" ref="L348">SUMPRODUCT(HVP_Asset_Replacement_Refurbishment_Yr3_56*Long_Term_Monetised_Risk_56)</f>
        <v>0</v>
      </c>
      <c r="M348" s="64" cm="1">
        <f t="array" ref="M348">SUMPRODUCT(HVP_Other_Yr3_56*Long_Term_Monetised_Risk_56)</f>
        <v>0</v>
      </c>
      <c r="N348" s="64" cm="1">
        <f t="array" ref="N348">SUMPRODUCT(All_Other_Yr3_56*Long_Term_Monetised_Risk_56)</f>
        <v>0</v>
      </c>
      <c r="O348" s="65" cm="1">
        <f t="array" ref="O348">SUMPRODUCT(End_Of_Year_Yr3_56*Long_Term_Monetised_Risk_56)</f>
        <v>0</v>
      </c>
      <c r="Q348" s="110"/>
      <c r="R348" s="111"/>
      <c r="S348" s="119"/>
      <c r="T348" s="114" cm="1">
        <f t="array" ref="T348">SUMPRODUCT(Asset_Replacement_2028_Yr3_56*Long_Term_Monetised_Risk_56)</f>
        <v>0</v>
      </c>
      <c r="U348" s="64" cm="1">
        <f t="array" ref="U348">SUMPRODUCT(Asset_Refurbishment_2028_Yr3_56*Long_Term_Monetised_Risk_56)</f>
        <v>0</v>
      </c>
      <c r="V348" s="65" cm="1">
        <f t="array" ref="V348">SUMPRODUCT(HVP_2028_Yr3_56*Long_Term_Monetised_Risk_56)</f>
        <v>0</v>
      </c>
    </row>
    <row r="349" spans="1:22">
      <c r="B349" s="93" t="s">
        <v>117</v>
      </c>
      <c r="C349" s="91">
        <v>2027</v>
      </c>
      <c r="D349" s="64" cm="1">
        <f t="array" ref="D349">SUMPRODUCT(Start_of_Year_Yr4_56*Long_Term_Monetised_Risk_56)</f>
        <v>0</v>
      </c>
      <c r="E349" s="64" cm="1">
        <f t="array" ref="E349">SUMPRODUCT(Data_Cleansing_Yr4_56*Long_Term_Monetised_Risk_56)</f>
        <v>0</v>
      </c>
      <c r="F349" s="64" cm="1">
        <f t="array" ref="F349">SUMPRODUCT(Deterioration_total_Yr4_56*Long_Term_Monetised_Risk_56)</f>
        <v>0</v>
      </c>
      <c r="G349" s="64" cm="1">
        <f t="array" ref="G349">SUMPRODUCT(Other_Risk_Movements_Yr4_56*Long_Term_Monetised_Risk_56)</f>
        <v>0</v>
      </c>
      <c r="H349" s="64" cm="1">
        <f t="array" ref="H349">SUMPRODUCT(Asset_Replacement_Yr4_56*Long_Term_Monetised_Risk_56)</f>
        <v>0</v>
      </c>
      <c r="I349" s="64" cm="1">
        <f t="array" ref="I349">SUMPRODUCT(Asset_Refurbishment_Yr4_56*Long_Term_Monetised_Risk_56)</f>
        <v>0</v>
      </c>
      <c r="J349" s="64" cm="1">
        <f t="array" ref="J349">SUMPRODUCT(Reinforcement_Yr4_56*Long_Term_Monetised_Risk_56)</f>
        <v>0</v>
      </c>
      <c r="K349" s="64" cm="1">
        <f t="array" ref="K349">SUMPRODUCT(Faults_Yr4_56*Long_Term_Monetised_Risk_56)</f>
        <v>0</v>
      </c>
      <c r="L349" s="64" cm="1">
        <f t="array" ref="L349">SUMPRODUCT(HVP_Asset_Replacement_Refurbishment_Yr4_56*Long_Term_Monetised_Risk_56)</f>
        <v>0</v>
      </c>
      <c r="M349" s="64" cm="1">
        <f t="array" ref="M349">SUMPRODUCT(HVP_Other_Yr4_56*Long_Term_Monetised_Risk_56)</f>
        <v>0</v>
      </c>
      <c r="N349" s="64" cm="1">
        <f t="array" ref="N349">SUMPRODUCT(All_Other_Yr4_56*Long_Term_Monetised_Risk_56)</f>
        <v>0</v>
      </c>
      <c r="O349" s="65" cm="1">
        <f t="array" ref="O349">SUMPRODUCT(End_Of_Year_Yr4_56*Long_Term_Monetised_Risk_56)</f>
        <v>0</v>
      </c>
      <c r="Q349" s="110"/>
      <c r="R349" s="111"/>
      <c r="S349" s="119"/>
      <c r="T349" s="114" cm="1">
        <f t="array" ref="T349">SUMPRODUCT(Asset_Replacement_2028_Yr4_56*Long_Term_Monetised_Risk_56)</f>
        <v>0</v>
      </c>
      <c r="U349" s="64" cm="1">
        <f t="array" ref="U349">SUMPRODUCT(Asset_Refurbishment_2028_Yr4_56*Long_Term_Monetised_Risk_56)</f>
        <v>0</v>
      </c>
      <c r="V349" s="65" cm="1">
        <f t="array" ref="V349">SUMPRODUCT(HVP_2028_Yr4_56*Long_Term_Monetised_Risk_56)</f>
        <v>0</v>
      </c>
    </row>
    <row r="350" spans="1:22">
      <c r="B350" s="93" t="s">
        <v>117</v>
      </c>
      <c r="C350" s="91">
        <v>2028</v>
      </c>
      <c r="D350" s="64" cm="1">
        <f t="array" ref="D350">SUMPRODUCT(Start_of_Year_Yr5_56*Long_Term_Monetised_Risk_56)</f>
        <v>0</v>
      </c>
      <c r="E350" s="64" cm="1">
        <f t="array" ref="E350">SUMPRODUCT(Data_Cleansing_Yr5_56*Long_Term_Monetised_Risk_56)</f>
        <v>0</v>
      </c>
      <c r="F350" s="64" cm="1">
        <f t="array" ref="F350">SUMPRODUCT(Deterioration_total_Yr5_56*Long_Term_Monetised_Risk_56)</f>
        <v>0</v>
      </c>
      <c r="G350" s="64" cm="1">
        <f t="array" ref="G350">SUMPRODUCT(Other_Risk_Movements_Yr5_56*Long_Term_Monetised_Risk_56)</f>
        <v>0</v>
      </c>
      <c r="H350" s="64" cm="1">
        <f t="array" ref="H350">SUMPRODUCT(Asset_Replacement_Yr5_56*Long_Term_Monetised_Risk_56)</f>
        <v>0</v>
      </c>
      <c r="I350" s="64" cm="1">
        <f t="array" ref="I350">SUMPRODUCT(Asset_Refurbishment_Yr5_56*Long_Term_Monetised_Risk_56)</f>
        <v>0</v>
      </c>
      <c r="J350" s="64" cm="1">
        <f t="array" ref="J350">SUMPRODUCT(Reinforcement_Yr5_56*Long_Term_Monetised_Risk_56)</f>
        <v>0</v>
      </c>
      <c r="K350" s="64" cm="1">
        <f t="array" ref="K350">SUMPRODUCT(Faults_Yr5_56*Long_Term_Monetised_Risk_56)</f>
        <v>0</v>
      </c>
      <c r="L350" s="64" cm="1">
        <f t="array" ref="L350">SUMPRODUCT(HVP_Asset_Replacement_Refurbishment_Yr5_56*Long_Term_Monetised_Risk_56)</f>
        <v>0</v>
      </c>
      <c r="M350" s="64" cm="1">
        <f t="array" ref="M350">SUMPRODUCT(HVP_Other_Yr5_56*Long_Term_Monetised_Risk_56)</f>
        <v>0</v>
      </c>
      <c r="N350" s="64" cm="1">
        <f t="array" ref="N350">SUMPRODUCT(All_Other_Yr5_56*Long_Term_Monetised_Risk_56)</f>
        <v>0</v>
      </c>
      <c r="O350" s="65" cm="1">
        <f t="array" ref="O350">SUMPRODUCT(End_Of_Year_Yr5_56*Long_Term_Monetised_Risk_56)</f>
        <v>0</v>
      </c>
      <c r="Q350" s="110"/>
      <c r="R350" s="111"/>
      <c r="S350" s="119"/>
      <c r="T350" s="114" cm="1">
        <f t="array" ref="T350">SUMPRODUCT(Asset_Replacement_2028_Yr5_56*Long_Term_Monetised_Risk_56)</f>
        <v>0</v>
      </c>
      <c r="U350" s="64" cm="1">
        <f t="array" ref="U350">SUMPRODUCT(Asset_Refurbishment_2028_Yr5_56*Long_Term_Monetised_Risk_56)</f>
        <v>0</v>
      </c>
      <c r="V350" s="65" cm="1">
        <f t="array" ref="V350">SUMPRODUCT(HVP_2028_Yr5_56*Long_Term_Monetised_Risk_56)</f>
        <v>0</v>
      </c>
    </row>
    <row r="351" spans="1:22" ht="14" thickBot="1">
      <c r="B351" s="103" t="s">
        <v>117</v>
      </c>
      <c r="C351" s="104" t="s">
        <v>131</v>
      </c>
      <c r="D351" s="105"/>
      <c r="E351" s="106">
        <f t="shared" ref="E351:O351" si="120">SUM(E346:E350)</f>
        <v>0</v>
      </c>
      <c r="F351" s="106">
        <f t="shared" si="120"/>
        <v>0</v>
      </c>
      <c r="G351" s="106">
        <f t="shared" si="120"/>
        <v>0</v>
      </c>
      <c r="H351" s="106">
        <f t="shared" si="120"/>
        <v>0</v>
      </c>
      <c r="I351" s="106">
        <f t="shared" si="120"/>
        <v>0</v>
      </c>
      <c r="J351" s="106">
        <f t="shared" si="120"/>
        <v>0</v>
      </c>
      <c r="K351" s="106">
        <f t="shared" si="120"/>
        <v>0</v>
      </c>
      <c r="L351" s="106">
        <f t="shared" si="120"/>
        <v>0</v>
      </c>
      <c r="M351" s="106">
        <f t="shared" si="120"/>
        <v>0</v>
      </c>
      <c r="N351" s="106">
        <f t="shared" si="120"/>
        <v>0</v>
      </c>
      <c r="O351" s="537">
        <f t="shared" si="120"/>
        <v>0</v>
      </c>
      <c r="Q351" s="107" t="str">
        <f ca="1">VLOOKUP($B351,'NARM4 - ED2 NARW Risk Movements'!$B$7:$G$67,4,FALSE)</f>
        <v/>
      </c>
      <c r="R351" s="109" t="str">
        <f ca="1">VLOOKUP($B351,'NARM4 - ED2 NARW Risk Movements'!$B$7:$G$67,5,FALSE)</f>
        <v/>
      </c>
      <c r="S351" s="121" t="str">
        <f ca="1">VLOOKUP($B351,'NARM4 - ED2 NARW Risk Movements'!$B$7:$G$67,6,FALSE)</f>
        <v/>
      </c>
      <c r="T351" s="117">
        <f>SUM(T346:T350)</f>
        <v>0</v>
      </c>
      <c r="U351" s="106">
        <f t="shared" ref="U351" si="121">SUM(U346:U350)</f>
        <v>0</v>
      </c>
      <c r="V351" s="108">
        <f>SUM(V346:V350)</f>
        <v>0</v>
      </c>
    </row>
    <row r="352" spans="1:22" ht="14" thickTop="1">
      <c r="A352" s="143">
        <v>57</v>
      </c>
      <c r="B352" s="99" t="s">
        <v>118</v>
      </c>
      <c r="C352" s="100">
        <v>2024</v>
      </c>
      <c r="D352" s="101" cm="1">
        <f t="array" ref="D352">SUMPRODUCT(Start_of_Year_Yr1_57*Long_Term_Monetised_Risk_57)</f>
        <v>0</v>
      </c>
      <c r="E352" s="101" cm="1">
        <f t="array" ref="E352">SUMPRODUCT(Data_Cleansing_Yr1_57*Long_Term_Monetised_Risk_57)</f>
        <v>0</v>
      </c>
      <c r="F352" s="101" cm="1">
        <f t="array" ref="F352">SUMPRODUCT(Deterioration_total_Yr1_57*Long_Term_Monetised_Risk_57)</f>
        <v>0</v>
      </c>
      <c r="G352" s="101" cm="1">
        <f t="array" ref="G352">SUMPRODUCT(Other_Risk_Movements_Yr1_57*Long_Term_Monetised_Risk_57)</f>
        <v>0</v>
      </c>
      <c r="H352" s="101" cm="1">
        <f t="array" ref="H352">SUMPRODUCT(Asset_Replacement_Yr1_57*Long_Term_Monetised_Risk_57)</f>
        <v>0</v>
      </c>
      <c r="I352" s="101" cm="1">
        <f t="array" ref="I352">SUMPRODUCT(Asset_Refurbishment_Yr1_57*Long_Term_Monetised_Risk_57)</f>
        <v>0</v>
      </c>
      <c r="J352" s="101" cm="1">
        <f t="array" ref="J352">SUMPRODUCT(Reinforcement_Yr1_57*Long_Term_Monetised_Risk_57)</f>
        <v>0</v>
      </c>
      <c r="K352" s="101" cm="1">
        <f t="array" ref="K352">SUMPRODUCT(Faults_Yr1_57*Long_Term_Monetised_Risk_57)</f>
        <v>0</v>
      </c>
      <c r="L352" s="101" cm="1">
        <f t="array" ref="L352">SUMPRODUCT(HVP_Asset_Replacement_Refurbishment_Yr1_57*Long_Term_Monetised_Risk_57)</f>
        <v>0</v>
      </c>
      <c r="M352" s="101" cm="1">
        <f t="array" ref="M352">SUMPRODUCT(HVP_Other_Yr1_57*Long_Term_Monetised_Risk_57)</f>
        <v>0</v>
      </c>
      <c r="N352" s="101" cm="1">
        <f t="array" ref="N352">SUMPRODUCT(All_Other_Yr1_57*Long_Term_Monetised_Risk_57)</f>
        <v>0</v>
      </c>
      <c r="O352" s="102" cm="1">
        <f t="array" ref="O352">SUMPRODUCT(End_Of_Year_Yr1_57*Long_Term_Monetised_Risk_57)</f>
        <v>0</v>
      </c>
      <c r="Q352" s="112"/>
      <c r="R352" s="113"/>
      <c r="S352" s="120"/>
      <c r="T352" s="115" cm="1">
        <f t="array" ref="T352">SUMPRODUCT(Asset_Replacement_2028_Yr1_57*Long_Term_Monetised_Risk_57)</f>
        <v>0</v>
      </c>
      <c r="U352" s="101" cm="1">
        <f t="array" ref="U352">SUMPRODUCT(Asset_Refurbishment_2028_Yr1_57*Long_Term_Monetised_Risk_57)</f>
        <v>0</v>
      </c>
      <c r="V352" s="102" cm="1">
        <f t="array" ref="V352">SUMPRODUCT(HVP_2028_Yr1_57*Long_Term_Monetised_Risk_57)</f>
        <v>0</v>
      </c>
    </row>
    <row r="353" spans="1:22" ht="12.75" customHeight="1">
      <c r="B353" s="93" t="s">
        <v>118</v>
      </c>
      <c r="C353" s="91">
        <v>2025</v>
      </c>
      <c r="D353" s="64" cm="1">
        <f t="array" ref="D353">SUMPRODUCT(Start_of_Year_Yr2_57*Long_Term_Monetised_Risk_57)</f>
        <v>0</v>
      </c>
      <c r="E353" s="64" cm="1">
        <f t="array" ref="E353">SUMPRODUCT(Data_Cleansing_Yr2_57*Long_Term_Monetised_Risk_57)</f>
        <v>0</v>
      </c>
      <c r="F353" s="64" cm="1">
        <f t="array" ref="F353">SUMPRODUCT(Deterioration_total_Yr2_57*Long_Term_Monetised_Risk_57)</f>
        <v>0</v>
      </c>
      <c r="G353" s="64" cm="1">
        <f t="array" ref="G353">SUMPRODUCT(Other_Risk_Movements_Yr2_57*Long_Term_Monetised_Risk_57)</f>
        <v>0</v>
      </c>
      <c r="H353" s="64" cm="1">
        <f t="array" ref="H353">SUMPRODUCT(Asset_Replacement_Yr2_57*Long_Term_Monetised_Risk_57)</f>
        <v>0</v>
      </c>
      <c r="I353" s="64" cm="1">
        <f t="array" ref="I353">SUMPRODUCT(Asset_Refurbishment_Yr2_57*Long_Term_Monetised_Risk_57)</f>
        <v>0</v>
      </c>
      <c r="J353" s="64" cm="1">
        <f t="array" ref="J353">SUMPRODUCT(Reinforcement_Yr2_57*Long_Term_Monetised_Risk_57)</f>
        <v>0</v>
      </c>
      <c r="K353" s="64" cm="1">
        <f t="array" ref="K353">SUMPRODUCT(Faults_Yr2_57*Long_Term_Monetised_Risk_57)</f>
        <v>0</v>
      </c>
      <c r="L353" s="64" cm="1">
        <f t="array" ref="L353">SUMPRODUCT(HVP_Asset_Replacement_Refurbishment_Yr2_57*Long_Term_Monetised_Risk_57)</f>
        <v>0</v>
      </c>
      <c r="M353" s="64" cm="1">
        <f t="array" ref="M353">SUMPRODUCT(HVP_Other_Yr2_57*Long_Term_Monetised_Risk_57)</f>
        <v>0</v>
      </c>
      <c r="N353" s="64" cm="1">
        <f t="array" ref="N353">SUMPRODUCT(All_Other_Yr2_57*Long_Term_Monetised_Risk_57)</f>
        <v>0</v>
      </c>
      <c r="O353" s="65" cm="1">
        <f t="array" ref="O353">SUMPRODUCT(End_Of_Year_Yr2_57*Long_Term_Monetised_Risk_57)</f>
        <v>0</v>
      </c>
      <c r="Q353" s="110"/>
      <c r="R353" s="111"/>
      <c r="S353" s="119"/>
      <c r="T353" s="114" cm="1">
        <f t="array" ref="T353">SUMPRODUCT(Asset_Replacement_2028_Yr2_57*Long_Term_Monetised_Risk_57)</f>
        <v>0</v>
      </c>
      <c r="U353" s="64" cm="1">
        <f t="array" ref="U353">SUMPRODUCT(Asset_Refurbishment_2028_Yr2_57*Long_Term_Monetised_Risk_57)</f>
        <v>0</v>
      </c>
      <c r="V353" s="65" cm="1">
        <f t="array" ref="V353">SUMPRODUCT(HVP_2028_Yr2_57*Long_Term_Monetised_Risk_57)</f>
        <v>0</v>
      </c>
    </row>
    <row r="354" spans="1:22">
      <c r="B354" s="93" t="s">
        <v>118</v>
      </c>
      <c r="C354" s="91">
        <v>2026</v>
      </c>
      <c r="D354" s="64" cm="1">
        <f t="array" ref="D354">SUMPRODUCT(Start_of_Year_Yr3_57*Long_Term_Monetised_Risk_57)</f>
        <v>0</v>
      </c>
      <c r="E354" s="64" cm="1">
        <f t="array" ref="E354">SUMPRODUCT(Data_Cleansing_Yr3_57*Long_Term_Monetised_Risk_57)</f>
        <v>0</v>
      </c>
      <c r="F354" s="64" cm="1">
        <f t="array" ref="F354">SUMPRODUCT(Deterioration_total_Yr3_57*Long_Term_Monetised_Risk_57)</f>
        <v>0</v>
      </c>
      <c r="G354" s="64" cm="1">
        <f t="array" ref="G354">SUMPRODUCT(Other_Risk_Movements_Yr3_57*Long_Term_Monetised_Risk_57)</f>
        <v>0</v>
      </c>
      <c r="H354" s="64" cm="1">
        <f t="array" ref="H354">SUMPRODUCT(Asset_Replacement_Yr3_57*Long_Term_Monetised_Risk_57)</f>
        <v>0</v>
      </c>
      <c r="I354" s="64" cm="1">
        <f t="array" ref="I354">SUMPRODUCT(Asset_Refurbishment_Yr3_57*Long_Term_Monetised_Risk_57)</f>
        <v>0</v>
      </c>
      <c r="J354" s="64" cm="1">
        <f t="array" ref="J354">SUMPRODUCT(Reinforcement_Yr3_57*Long_Term_Monetised_Risk_57)</f>
        <v>0</v>
      </c>
      <c r="K354" s="64" cm="1">
        <f t="array" ref="K354">SUMPRODUCT(Faults_Yr3_57*Long_Term_Monetised_Risk_57)</f>
        <v>0</v>
      </c>
      <c r="L354" s="64" cm="1">
        <f t="array" ref="L354">SUMPRODUCT(HVP_Asset_Replacement_Refurbishment_Yr3_57*Long_Term_Monetised_Risk_57)</f>
        <v>0</v>
      </c>
      <c r="M354" s="64" cm="1">
        <f t="array" ref="M354">SUMPRODUCT(HVP_Other_Yr3_57*Long_Term_Monetised_Risk_57)</f>
        <v>0</v>
      </c>
      <c r="N354" s="64" cm="1">
        <f t="array" ref="N354">SUMPRODUCT(All_Other_Yr3_57*Long_Term_Monetised_Risk_57)</f>
        <v>0</v>
      </c>
      <c r="O354" s="65" cm="1">
        <f t="array" ref="O354">SUMPRODUCT(End_Of_Year_Yr3_57*Long_Term_Monetised_Risk_57)</f>
        <v>0</v>
      </c>
      <c r="Q354" s="110"/>
      <c r="R354" s="111"/>
      <c r="S354" s="119"/>
      <c r="T354" s="114" cm="1">
        <f t="array" ref="T354">SUMPRODUCT(Asset_Replacement_2028_Yr3_57*Long_Term_Monetised_Risk_57)</f>
        <v>0</v>
      </c>
      <c r="U354" s="64" cm="1">
        <f t="array" ref="U354">SUMPRODUCT(Asset_Refurbishment_2028_Yr3_57*Long_Term_Monetised_Risk_57)</f>
        <v>0</v>
      </c>
      <c r="V354" s="65" cm="1">
        <f t="array" ref="V354">SUMPRODUCT(HVP_2028_Yr3_57*Long_Term_Monetised_Risk_57)</f>
        <v>0</v>
      </c>
    </row>
    <row r="355" spans="1:22" ht="12" customHeight="1">
      <c r="B355" s="93" t="s">
        <v>118</v>
      </c>
      <c r="C355" s="91">
        <v>2027</v>
      </c>
      <c r="D355" s="64" cm="1">
        <f t="array" ref="D355">SUMPRODUCT(Start_of_Year_Yr4_57*Long_Term_Monetised_Risk_57)</f>
        <v>0</v>
      </c>
      <c r="E355" s="64" cm="1">
        <f t="array" ref="E355">SUMPRODUCT(Data_Cleansing_Yr4_57*Long_Term_Monetised_Risk_57)</f>
        <v>0</v>
      </c>
      <c r="F355" s="64" cm="1">
        <f t="array" ref="F355">SUMPRODUCT(Deterioration_total_Yr4_57*Long_Term_Monetised_Risk_57)</f>
        <v>0</v>
      </c>
      <c r="G355" s="64" cm="1">
        <f t="array" ref="G355">SUMPRODUCT(Other_Risk_Movements_Yr4_57*Long_Term_Monetised_Risk_57)</f>
        <v>0</v>
      </c>
      <c r="H355" s="64" cm="1">
        <f t="array" ref="H355">SUMPRODUCT(Asset_Replacement_Yr4_57*Long_Term_Monetised_Risk_57)</f>
        <v>0</v>
      </c>
      <c r="I355" s="64" cm="1">
        <f t="array" ref="I355">SUMPRODUCT(Asset_Refurbishment_Yr4_57*Long_Term_Monetised_Risk_57)</f>
        <v>0</v>
      </c>
      <c r="J355" s="64" cm="1">
        <f t="array" ref="J355">SUMPRODUCT(Reinforcement_Yr4_57*Long_Term_Monetised_Risk_57)</f>
        <v>0</v>
      </c>
      <c r="K355" s="64" cm="1">
        <f t="array" ref="K355">SUMPRODUCT(Faults_Yr4_57*Long_Term_Monetised_Risk_57)</f>
        <v>0</v>
      </c>
      <c r="L355" s="64" cm="1">
        <f t="array" ref="L355">SUMPRODUCT(HVP_Asset_Replacement_Refurbishment_Yr4_57*Long_Term_Monetised_Risk_57)</f>
        <v>0</v>
      </c>
      <c r="M355" s="64" cm="1">
        <f t="array" ref="M355">SUMPRODUCT(HVP_Other_Yr4_57*Long_Term_Monetised_Risk_57)</f>
        <v>0</v>
      </c>
      <c r="N355" s="64" cm="1">
        <f t="array" ref="N355">SUMPRODUCT(All_Other_Yr4_57*Long_Term_Monetised_Risk_57)</f>
        <v>0</v>
      </c>
      <c r="O355" s="65" cm="1">
        <f t="array" ref="O355">SUMPRODUCT(End_Of_Year_Yr4_57*Long_Term_Monetised_Risk_57)</f>
        <v>0</v>
      </c>
      <c r="Q355" s="110"/>
      <c r="R355" s="111"/>
      <c r="S355" s="119"/>
      <c r="T355" s="114" cm="1">
        <f t="array" ref="T355">SUMPRODUCT(Asset_Replacement_2028_Yr4_57*Long_Term_Monetised_Risk_57)</f>
        <v>0</v>
      </c>
      <c r="U355" s="64" cm="1">
        <f t="array" ref="U355">SUMPRODUCT(Asset_Refurbishment_2028_Yr4_57*Long_Term_Monetised_Risk_57)</f>
        <v>0</v>
      </c>
      <c r="V355" s="65" cm="1">
        <f t="array" ref="V355">SUMPRODUCT(HVP_2028_Yr4_57*Long_Term_Monetised_Risk_57)</f>
        <v>0</v>
      </c>
    </row>
    <row r="356" spans="1:22" ht="12" customHeight="1">
      <c r="B356" s="93" t="s">
        <v>118</v>
      </c>
      <c r="C356" s="91">
        <v>2028</v>
      </c>
      <c r="D356" s="64" cm="1">
        <f t="array" ref="D356">SUMPRODUCT(Start_of_Year_Yr5_57*Long_Term_Monetised_Risk_57)</f>
        <v>0</v>
      </c>
      <c r="E356" s="64" cm="1">
        <f t="array" ref="E356">SUMPRODUCT(Data_Cleansing_Yr5_57*Long_Term_Monetised_Risk_57)</f>
        <v>0</v>
      </c>
      <c r="F356" s="64" cm="1">
        <f t="array" ref="F356">SUMPRODUCT(Deterioration_total_Yr5_57*Long_Term_Monetised_Risk_57)</f>
        <v>0</v>
      </c>
      <c r="G356" s="64" cm="1">
        <f t="array" ref="G356">SUMPRODUCT(Other_Risk_Movements_Yr5_57*Long_Term_Monetised_Risk_57)</f>
        <v>0</v>
      </c>
      <c r="H356" s="64" cm="1">
        <f t="array" ref="H356">SUMPRODUCT(Asset_Replacement_Yr5_57*Long_Term_Monetised_Risk_57)</f>
        <v>0</v>
      </c>
      <c r="I356" s="64" cm="1">
        <f t="array" ref="I356">SUMPRODUCT(Asset_Refurbishment_Yr5_57*Long_Term_Monetised_Risk_57)</f>
        <v>0</v>
      </c>
      <c r="J356" s="64" cm="1">
        <f t="array" ref="J356">SUMPRODUCT(Reinforcement_Yr5_57*Long_Term_Monetised_Risk_57)</f>
        <v>0</v>
      </c>
      <c r="K356" s="64" cm="1">
        <f t="array" ref="K356">SUMPRODUCT(Faults_Yr5_57*Long_Term_Monetised_Risk_57)</f>
        <v>0</v>
      </c>
      <c r="L356" s="64" cm="1">
        <f t="array" ref="L356">SUMPRODUCT(HVP_Asset_Replacement_Refurbishment_Yr5_57*Long_Term_Monetised_Risk_57)</f>
        <v>0</v>
      </c>
      <c r="M356" s="64" cm="1">
        <f t="array" ref="M356">SUMPRODUCT(HVP_Other_Yr5_57*Long_Term_Monetised_Risk_57)</f>
        <v>0</v>
      </c>
      <c r="N356" s="64" cm="1">
        <f t="array" ref="N356">SUMPRODUCT(All_Other_Yr5_57*Long_Term_Monetised_Risk_57)</f>
        <v>0</v>
      </c>
      <c r="O356" s="65" cm="1">
        <f t="array" ref="O356">SUMPRODUCT(End_Of_Year_Yr5_57*Long_Term_Monetised_Risk_57)</f>
        <v>0</v>
      </c>
      <c r="Q356" s="110"/>
      <c r="R356" s="111"/>
      <c r="S356" s="119"/>
      <c r="T356" s="114" cm="1">
        <f t="array" ref="T356">SUMPRODUCT(Asset_Replacement_2028_Yr5_57*Long_Term_Monetised_Risk_57)</f>
        <v>0</v>
      </c>
      <c r="U356" s="64" cm="1">
        <f t="array" ref="U356">SUMPRODUCT(Asset_Refurbishment_2028_Yr5_57*Long_Term_Monetised_Risk_57)</f>
        <v>0</v>
      </c>
      <c r="V356" s="65" cm="1">
        <f t="array" ref="V356">SUMPRODUCT(HVP_2028_Yr5_57*Long_Term_Monetised_Risk_57)</f>
        <v>0</v>
      </c>
    </row>
    <row r="357" spans="1:22" ht="12" customHeight="1" thickBot="1">
      <c r="B357" s="103" t="s">
        <v>118</v>
      </c>
      <c r="C357" s="104" t="s">
        <v>131</v>
      </c>
      <c r="D357" s="105"/>
      <c r="E357" s="106">
        <f t="shared" ref="E357:O357" si="122">SUM(E352:E356)</f>
        <v>0</v>
      </c>
      <c r="F357" s="106">
        <f t="shared" si="122"/>
        <v>0</v>
      </c>
      <c r="G357" s="106">
        <f t="shared" si="122"/>
        <v>0</v>
      </c>
      <c r="H357" s="106">
        <f t="shared" si="122"/>
        <v>0</v>
      </c>
      <c r="I357" s="106">
        <f t="shared" si="122"/>
        <v>0</v>
      </c>
      <c r="J357" s="106">
        <f t="shared" si="122"/>
        <v>0</v>
      </c>
      <c r="K357" s="106">
        <f t="shared" si="122"/>
        <v>0</v>
      </c>
      <c r="L357" s="106">
        <f t="shared" si="122"/>
        <v>0</v>
      </c>
      <c r="M357" s="106">
        <f t="shared" si="122"/>
        <v>0</v>
      </c>
      <c r="N357" s="106">
        <f t="shared" si="122"/>
        <v>0</v>
      </c>
      <c r="O357" s="537">
        <f t="shared" si="122"/>
        <v>0</v>
      </c>
      <c r="Q357" s="107" t="str">
        <f ca="1">VLOOKUP($B357,'NARM4 - ED2 NARW Risk Movements'!$B$7:$G$67,4,FALSE)</f>
        <v/>
      </c>
      <c r="R357" s="109" t="str">
        <f ca="1">VLOOKUP($B357,'NARM4 - ED2 NARW Risk Movements'!$B$7:$G$67,5,FALSE)</f>
        <v/>
      </c>
      <c r="S357" s="121" t="str">
        <f ca="1">VLOOKUP($B357,'NARM4 - ED2 NARW Risk Movements'!$B$7:$G$67,6,FALSE)</f>
        <v/>
      </c>
      <c r="T357" s="117">
        <f>SUM(T352:T356)</f>
        <v>0</v>
      </c>
      <c r="U357" s="106">
        <f t="shared" ref="U357" si="123">SUM(U352:U356)</f>
        <v>0</v>
      </c>
      <c r="V357" s="108">
        <f>SUM(V352:V356)</f>
        <v>0</v>
      </c>
    </row>
    <row r="358" spans="1:22" ht="12" customHeight="1" thickTop="1">
      <c r="A358" s="143">
        <v>58</v>
      </c>
      <c r="B358" s="99" t="s">
        <v>119</v>
      </c>
      <c r="C358" s="100">
        <v>2024</v>
      </c>
      <c r="D358" s="101" cm="1">
        <f t="array" ref="D358">SUMPRODUCT(Start_of_Year_Yr1_58*Long_Term_Monetised_Risk_58)</f>
        <v>0</v>
      </c>
      <c r="E358" s="101" cm="1">
        <f t="array" ref="E358">SUMPRODUCT(Data_Cleansing_Yr1_58*Long_Term_Monetised_Risk_58)</f>
        <v>0</v>
      </c>
      <c r="F358" s="101" cm="1">
        <f t="array" ref="F358">SUMPRODUCT(Deterioration_total_Yr1_58*Long_Term_Monetised_Risk_58)</f>
        <v>0</v>
      </c>
      <c r="G358" s="101" cm="1">
        <f t="array" ref="G358">SUMPRODUCT(Other_Risk_Movements_Yr1_58*Long_Term_Monetised_Risk_58)</f>
        <v>0</v>
      </c>
      <c r="H358" s="101" cm="1">
        <f t="array" ref="H358">SUMPRODUCT(Asset_Replacement_Yr1_58*Long_Term_Monetised_Risk_58)</f>
        <v>0</v>
      </c>
      <c r="I358" s="101" cm="1">
        <f t="array" ref="I358">SUMPRODUCT(Asset_Refurbishment_Yr1_58*Long_Term_Monetised_Risk_58)</f>
        <v>0</v>
      </c>
      <c r="J358" s="101" cm="1">
        <f t="array" ref="J358">SUMPRODUCT(Reinforcement_Yr1_58*Long_Term_Monetised_Risk_58)</f>
        <v>0</v>
      </c>
      <c r="K358" s="101" cm="1">
        <f t="array" ref="K358">SUMPRODUCT(Faults_Yr1_58*Long_Term_Monetised_Risk_58)</f>
        <v>0</v>
      </c>
      <c r="L358" s="101" cm="1">
        <f t="array" ref="L358">SUMPRODUCT(HVP_Asset_Replacement_Refurbishment_Yr1_58*Long_Term_Monetised_Risk_58)</f>
        <v>0</v>
      </c>
      <c r="M358" s="101" cm="1">
        <f t="array" ref="M358">SUMPRODUCT(HVP_Other_Yr1_58*Long_Term_Monetised_Risk_58)</f>
        <v>0</v>
      </c>
      <c r="N358" s="101" cm="1">
        <f t="array" ref="N358">SUMPRODUCT(All_Other_Yr1_58*Long_Term_Monetised_Risk_58)</f>
        <v>0</v>
      </c>
      <c r="O358" s="102" cm="1">
        <f t="array" ref="O358">SUMPRODUCT(End_Of_Year_Yr1_58*Long_Term_Monetised_Risk_58)</f>
        <v>0</v>
      </c>
      <c r="Q358" s="112"/>
      <c r="R358" s="113"/>
      <c r="S358" s="120"/>
      <c r="T358" s="115" cm="1">
        <f t="array" ref="T358">SUMPRODUCT(Asset_Replacement_2028_Yr1_58*Long_Term_Monetised_Risk_58)</f>
        <v>0</v>
      </c>
      <c r="U358" s="101" cm="1">
        <f t="array" ref="U358">SUMPRODUCT(Asset_Refurbishment_2028_Yr1_58*Long_Term_Monetised_Risk_58)</f>
        <v>0</v>
      </c>
      <c r="V358" s="102" cm="1">
        <f t="array" ref="V358">SUMPRODUCT(HVP_2028_Yr1_58*Long_Term_Monetised_Risk_58)</f>
        <v>0</v>
      </c>
    </row>
    <row r="359" spans="1:22" ht="12" customHeight="1">
      <c r="B359" s="93" t="s">
        <v>119</v>
      </c>
      <c r="C359" s="91">
        <v>2025</v>
      </c>
      <c r="D359" s="64" cm="1">
        <f t="array" ref="D359">SUMPRODUCT(Start_of_Year_Yr2_58*Long_Term_Monetised_Risk_58)</f>
        <v>0</v>
      </c>
      <c r="E359" s="64" cm="1">
        <f t="array" ref="E359">SUMPRODUCT(Data_Cleansing_Yr2_58*Long_Term_Monetised_Risk_58)</f>
        <v>0</v>
      </c>
      <c r="F359" s="64" cm="1">
        <f t="array" ref="F359">SUMPRODUCT(Deterioration_total_Yr2_58*Long_Term_Monetised_Risk_58)</f>
        <v>0</v>
      </c>
      <c r="G359" s="64" cm="1">
        <f t="array" ref="G359">SUMPRODUCT(Other_Risk_Movements_Yr2_58*Long_Term_Monetised_Risk_58)</f>
        <v>0</v>
      </c>
      <c r="H359" s="64" cm="1">
        <f t="array" ref="H359">SUMPRODUCT(Asset_Replacement_Yr2_58*Long_Term_Monetised_Risk_58)</f>
        <v>0</v>
      </c>
      <c r="I359" s="64" cm="1">
        <f t="array" ref="I359">SUMPRODUCT(Asset_Refurbishment_Yr2_58*Long_Term_Monetised_Risk_58)</f>
        <v>0</v>
      </c>
      <c r="J359" s="64" cm="1">
        <f t="array" ref="J359">SUMPRODUCT(Reinforcement_Yr2_58*Long_Term_Monetised_Risk_58)</f>
        <v>0</v>
      </c>
      <c r="K359" s="64" cm="1">
        <f t="array" ref="K359">SUMPRODUCT(Faults_Yr2_58*Long_Term_Monetised_Risk_58)</f>
        <v>0</v>
      </c>
      <c r="L359" s="64" cm="1">
        <f t="array" ref="L359">SUMPRODUCT(HVP_Asset_Replacement_Refurbishment_Yr2_58*Long_Term_Monetised_Risk_58)</f>
        <v>0</v>
      </c>
      <c r="M359" s="64" cm="1">
        <f t="array" ref="M359">SUMPRODUCT(HVP_Other_Yr2_58*Long_Term_Monetised_Risk_58)</f>
        <v>0</v>
      </c>
      <c r="N359" s="64" cm="1">
        <f t="array" ref="N359">SUMPRODUCT(All_Other_Yr2_58*Long_Term_Monetised_Risk_58)</f>
        <v>0</v>
      </c>
      <c r="O359" s="65" cm="1">
        <f t="array" ref="O359">SUMPRODUCT(End_Of_Year_Yr2_58*Long_Term_Monetised_Risk_58)</f>
        <v>0</v>
      </c>
      <c r="Q359" s="110"/>
      <c r="R359" s="111"/>
      <c r="S359" s="119"/>
      <c r="T359" s="114" cm="1">
        <f t="array" ref="T359">SUMPRODUCT(Asset_Replacement_2028_Yr2_58*Long_Term_Monetised_Risk_58)</f>
        <v>0</v>
      </c>
      <c r="U359" s="64" cm="1">
        <f t="array" ref="U359">SUMPRODUCT(Asset_Refurbishment_2028_Yr2_58*Long_Term_Monetised_Risk_58)</f>
        <v>0</v>
      </c>
      <c r="V359" s="65" cm="1">
        <f t="array" ref="V359">SUMPRODUCT(HVP_2028_Yr2_58*Long_Term_Monetised_Risk_58)</f>
        <v>0</v>
      </c>
    </row>
    <row r="360" spans="1:22" ht="12" customHeight="1">
      <c r="B360" s="93" t="s">
        <v>119</v>
      </c>
      <c r="C360" s="91">
        <v>2026</v>
      </c>
      <c r="D360" s="64" cm="1">
        <f t="array" ref="D360">SUMPRODUCT(Start_of_Year_Yr3_58*Long_Term_Monetised_Risk_58)</f>
        <v>0</v>
      </c>
      <c r="E360" s="64" cm="1">
        <f t="array" ref="E360">SUMPRODUCT(Data_Cleansing_Yr3_58*Long_Term_Monetised_Risk_58)</f>
        <v>0</v>
      </c>
      <c r="F360" s="64" cm="1">
        <f t="array" ref="F360">SUMPRODUCT(Deterioration_total_Yr3_58*Long_Term_Monetised_Risk_58)</f>
        <v>0</v>
      </c>
      <c r="G360" s="64" cm="1">
        <f t="array" ref="G360">SUMPRODUCT(Other_Risk_Movements_Yr3_58*Long_Term_Monetised_Risk_58)</f>
        <v>0</v>
      </c>
      <c r="H360" s="64" cm="1">
        <f t="array" ref="H360">SUMPRODUCT(Asset_Replacement_Yr3_58*Long_Term_Monetised_Risk_58)</f>
        <v>0</v>
      </c>
      <c r="I360" s="64" cm="1">
        <f t="array" ref="I360">SUMPRODUCT(Asset_Refurbishment_Yr3_58*Long_Term_Monetised_Risk_58)</f>
        <v>0</v>
      </c>
      <c r="J360" s="64" cm="1">
        <f t="array" ref="J360">SUMPRODUCT(Reinforcement_Yr3_58*Long_Term_Monetised_Risk_58)</f>
        <v>0</v>
      </c>
      <c r="K360" s="64" cm="1">
        <f t="array" ref="K360">SUMPRODUCT(Faults_Yr3_58*Long_Term_Monetised_Risk_58)</f>
        <v>0</v>
      </c>
      <c r="L360" s="64" cm="1">
        <f t="array" ref="L360">SUMPRODUCT(HVP_Asset_Replacement_Refurbishment_Yr3_58*Long_Term_Monetised_Risk_58)</f>
        <v>0</v>
      </c>
      <c r="M360" s="64" cm="1">
        <f t="array" ref="M360">SUMPRODUCT(HVP_Other_Yr3_58*Long_Term_Monetised_Risk_58)</f>
        <v>0</v>
      </c>
      <c r="N360" s="64" cm="1">
        <f t="array" ref="N360">SUMPRODUCT(All_Other_Yr3_58*Long_Term_Monetised_Risk_58)</f>
        <v>0</v>
      </c>
      <c r="O360" s="65" cm="1">
        <f t="array" ref="O360">SUMPRODUCT(End_Of_Year_Yr3_58*Long_Term_Monetised_Risk_58)</f>
        <v>0</v>
      </c>
      <c r="Q360" s="110"/>
      <c r="R360" s="111"/>
      <c r="S360" s="119"/>
      <c r="T360" s="114" cm="1">
        <f t="array" ref="T360">SUMPRODUCT(Asset_Replacement_2028_Yr3_58*Long_Term_Monetised_Risk_58)</f>
        <v>0</v>
      </c>
      <c r="U360" s="64" cm="1">
        <f t="array" ref="U360">SUMPRODUCT(Asset_Refurbishment_2028_Yr3_58*Long_Term_Monetised_Risk_58)</f>
        <v>0</v>
      </c>
      <c r="V360" s="65" cm="1">
        <f t="array" ref="V360">SUMPRODUCT(HVP_2028_Yr3_58*Long_Term_Monetised_Risk_58)</f>
        <v>0</v>
      </c>
    </row>
    <row r="361" spans="1:22" ht="12" customHeight="1">
      <c r="B361" s="93" t="s">
        <v>119</v>
      </c>
      <c r="C361" s="91">
        <v>2027</v>
      </c>
      <c r="D361" s="64" cm="1">
        <f t="array" ref="D361">SUMPRODUCT(Start_of_Year_Yr4_58*Long_Term_Monetised_Risk_58)</f>
        <v>0</v>
      </c>
      <c r="E361" s="64" cm="1">
        <f t="array" ref="E361">SUMPRODUCT(Data_Cleansing_Yr4_58*Long_Term_Monetised_Risk_58)</f>
        <v>0</v>
      </c>
      <c r="F361" s="64" cm="1">
        <f t="array" ref="F361">SUMPRODUCT(Deterioration_total_Yr4_58*Long_Term_Monetised_Risk_58)</f>
        <v>0</v>
      </c>
      <c r="G361" s="64" cm="1">
        <f t="array" ref="G361">SUMPRODUCT(Other_Risk_Movements_Yr4_58*Long_Term_Monetised_Risk_58)</f>
        <v>0</v>
      </c>
      <c r="H361" s="64" cm="1">
        <f t="array" ref="H361">SUMPRODUCT(Asset_Replacement_Yr4_58*Long_Term_Monetised_Risk_58)</f>
        <v>0</v>
      </c>
      <c r="I361" s="64" cm="1">
        <f t="array" ref="I361">SUMPRODUCT(Asset_Refurbishment_Yr4_58*Long_Term_Monetised_Risk_58)</f>
        <v>0</v>
      </c>
      <c r="J361" s="64" cm="1">
        <f t="array" ref="J361">SUMPRODUCT(Reinforcement_Yr4_58*Long_Term_Monetised_Risk_58)</f>
        <v>0</v>
      </c>
      <c r="K361" s="64" cm="1">
        <f t="array" ref="K361">SUMPRODUCT(Faults_Yr4_58*Long_Term_Monetised_Risk_58)</f>
        <v>0</v>
      </c>
      <c r="L361" s="64" cm="1">
        <f t="array" ref="L361">SUMPRODUCT(HVP_Asset_Replacement_Refurbishment_Yr4_58*Long_Term_Monetised_Risk_58)</f>
        <v>0</v>
      </c>
      <c r="M361" s="64" cm="1">
        <f t="array" ref="M361">SUMPRODUCT(HVP_Other_Yr4_58*Long_Term_Monetised_Risk_58)</f>
        <v>0</v>
      </c>
      <c r="N361" s="64" cm="1">
        <f t="array" ref="N361">SUMPRODUCT(All_Other_Yr4_58*Long_Term_Monetised_Risk_58)</f>
        <v>0</v>
      </c>
      <c r="O361" s="65" cm="1">
        <f t="array" ref="O361">SUMPRODUCT(End_Of_Year_Yr4_58*Long_Term_Monetised_Risk_58)</f>
        <v>0</v>
      </c>
      <c r="Q361" s="110"/>
      <c r="R361" s="111"/>
      <c r="S361" s="119"/>
      <c r="T361" s="114" cm="1">
        <f t="array" ref="T361">SUMPRODUCT(Asset_Replacement_2028_Yr4_58*Long_Term_Monetised_Risk_58)</f>
        <v>0</v>
      </c>
      <c r="U361" s="64" cm="1">
        <f t="array" ref="U361">SUMPRODUCT(Asset_Refurbishment_2028_Yr4_58*Long_Term_Monetised_Risk_58)</f>
        <v>0</v>
      </c>
      <c r="V361" s="65" cm="1">
        <f t="array" ref="V361">SUMPRODUCT(HVP_2028_Yr4_58*Long_Term_Monetised_Risk_58)</f>
        <v>0</v>
      </c>
    </row>
    <row r="362" spans="1:22" ht="12" customHeight="1">
      <c r="B362" s="93" t="s">
        <v>119</v>
      </c>
      <c r="C362" s="91">
        <v>2028</v>
      </c>
      <c r="D362" s="64" cm="1">
        <f t="array" ref="D362">SUMPRODUCT(Start_of_Year_Yr5_58*Long_Term_Monetised_Risk_58)</f>
        <v>0</v>
      </c>
      <c r="E362" s="64" cm="1">
        <f t="array" ref="E362">SUMPRODUCT(Data_Cleansing_Yr5_58*Long_Term_Monetised_Risk_58)</f>
        <v>0</v>
      </c>
      <c r="F362" s="64" cm="1">
        <f t="array" ref="F362">SUMPRODUCT(Deterioration_total_Yr5_58*Long_Term_Monetised_Risk_58)</f>
        <v>0</v>
      </c>
      <c r="G362" s="64" cm="1">
        <f t="array" ref="G362">SUMPRODUCT(Other_Risk_Movements_Yr5_58*Long_Term_Monetised_Risk_58)</f>
        <v>0</v>
      </c>
      <c r="H362" s="64" cm="1">
        <f t="array" ref="H362">SUMPRODUCT(Asset_Replacement_Yr5_58*Long_Term_Monetised_Risk_58)</f>
        <v>0</v>
      </c>
      <c r="I362" s="64" cm="1">
        <f t="array" ref="I362">SUMPRODUCT(Asset_Refurbishment_Yr5_58*Long_Term_Monetised_Risk_58)</f>
        <v>0</v>
      </c>
      <c r="J362" s="64" cm="1">
        <f t="array" ref="J362">SUMPRODUCT(Reinforcement_Yr5_58*Long_Term_Monetised_Risk_58)</f>
        <v>0</v>
      </c>
      <c r="K362" s="64" cm="1">
        <f t="array" ref="K362">SUMPRODUCT(Faults_Yr5_58*Long_Term_Monetised_Risk_58)</f>
        <v>0</v>
      </c>
      <c r="L362" s="64" cm="1">
        <f t="array" ref="L362">SUMPRODUCT(HVP_Asset_Replacement_Refurbishment_Yr5_58*Long_Term_Monetised_Risk_58)</f>
        <v>0</v>
      </c>
      <c r="M362" s="64" cm="1">
        <f t="array" ref="M362">SUMPRODUCT(HVP_Other_Yr5_58*Long_Term_Monetised_Risk_58)</f>
        <v>0</v>
      </c>
      <c r="N362" s="64" cm="1">
        <f t="array" ref="N362">SUMPRODUCT(All_Other_Yr5_58*Long_Term_Monetised_Risk_58)</f>
        <v>0</v>
      </c>
      <c r="O362" s="65" cm="1">
        <f t="array" ref="O362">SUMPRODUCT(End_Of_Year_Yr5_58*Long_Term_Monetised_Risk_58)</f>
        <v>0</v>
      </c>
      <c r="Q362" s="110"/>
      <c r="R362" s="111"/>
      <c r="S362" s="119"/>
      <c r="T362" s="114" cm="1">
        <f t="array" ref="T362">SUMPRODUCT(Asset_Replacement_2028_Yr5_58*Long_Term_Monetised_Risk_58)</f>
        <v>0</v>
      </c>
      <c r="U362" s="64" cm="1">
        <f t="array" ref="U362">SUMPRODUCT(Asset_Refurbishment_2028_Yr5_58*Long_Term_Monetised_Risk_58)</f>
        <v>0</v>
      </c>
      <c r="V362" s="65" cm="1">
        <f t="array" ref="V362">SUMPRODUCT(HVP_2028_Yr5_58*Long_Term_Monetised_Risk_58)</f>
        <v>0</v>
      </c>
    </row>
    <row r="363" spans="1:22" ht="12" customHeight="1" thickBot="1">
      <c r="B363" s="103" t="s">
        <v>119</v>
      </c>
      <c r="C363" s="104" t="s">
        <v>131</v>
      </c>
      <c r="D363" s="105"/>
      <c r="E363" s="106">
        <f t="shared" ref="E363:O363" si="124">SUM(E358:E362)</f>
        <v>0</v>
      </c>
      <c r="F363" s="106">
        <f t="shared" si="124"/>
        <v>0</v>
      </c>
      <c r="G363" s="106">
        <f t="shared" si="124"/>
        <v>0</v>
      </c>
      <c r="H363" s="106">
        <f t="shared" si="124"/>
        <v>0</v>
      </c>
      <c r="I363" s="106">
        <f t="shared" si="124"/>
        <v>0</v>
      </c>
      <c r="J363" s="106">
        <f t="shared" si="124"/>
        <v>0</v>
      </c>
      <c r="K363" s="106">
        <f t="shared" si="124"/>
        <v>0</v>
      </c>
      <c r="L363" s="106">
        <f t="shared" si="124"/>
        <v>0</v>
      </c>
      <c r="M363" s="106">
        <f t="shared" si="124"/>
        <v>0</v>
      </c>
      <c r="N363" s="106">
        <f t="shared" si="124"/>
        <v>0</v>
      </c>
      <c r="O363" s="537">
        <f t="shared" si="124"/>
        <v>0</v>
      </c>
      <c r="Q363" s="107" t="str">
        <f ca="1">VLOOKUP($B363,'NARM4 - ED2 NARW Risk Movements'!$B$7:$G$67,4,FALSE)</f>
        <v/>
      </c>
      <c r="R363" s="109" t="str">
        <f ca="1">VLOOKUP($B363,'NARM4 - ED2 NARW Risk Movements'!$B$7:$G$67,5,FALSE)</f>
        <v/>
      </c>
      <c r="S363" s="121" t="str">
        <f ca="1">VLOOKUP($B363,'NARM4 - ED2 NARW Risk Movements'!$B$7:$G$67,6,FALSE)</f>
        <v/>
      </c>
      <c r="T363" s="117">
        <f>SUM(T358:T362)</f>
        <v>0</v>
      </c>
      <c r="U363" s="106">
        <f t="shared" ref="U363" si="125">SUM(U358:U362)</f>
        <v>0</v>
      </c>
      <c r="V363" s="108">
        <f>SUM(V358:V362)</f>
        <v>0</v>
      </c>
    </row>
    <row r="364" spans="1:22" ht="12" customHeight="1" thickTop="1">
      <c r="A364" s="143">
        <v>59</v>
      </c>
      <c r="B364" s="99" t="s">
        <v>120</v>
      </c>
      <c r="C364" s="100">
        <v>2024</v>
      </c>
      <c r="D364" s="101" cm="1">
        <f t="array" ref="D364">SUMPRODUCT(Start_of_Year_Yr1_59*Long_Term_Monetised_Risk_59)</f>
        <v>0</v>
      </c>
      <c r="E364" s="101" cm="1">
        <f t="array" ref="E364">SUMPRODUCT(Data_Cleansing_Yr1_59*Long_Term_Monetised_Risk_59)</f>
        <v>0</v>
      </c>
      <c r="F364" s="101" cm="1">
        <f t="array" ref="F364">SUMPRODUCT(Deterioration_total_Yr1_59*Long_Term_Monetised_Risk_59)</f>
        <v>0</v>
      </c>
      <c r="G364" s="101" cm="1">
        <f t="array" ref="G364">SUMPRODUCT(Other_Risk_Movements_Yr1_59*Long_Term_Monetised_Risk_59)</f>
        <v>0</v>
      </c>
      <c r="H364" s="101" cm="1">
        <f t="array" ref="H364">SUMPRODUCT(Asset_Replacement_Yr1_59*Long_Term_Monetised_Risk_59)</f>
        <v>0</v>
      </c>
      <c r="I364" s="101" cm="1">
        <f t="array" ref="I364">SUMPRODUCT(Asset_Refurbishment_Yr1_59*Long_Term_Monetised_Risk_59)</f>
        <v>0</v>
      </c>
      <c r="J364" s="101" cm="1">
        <f t="array" ref="J364">SUMPRODUCT(Reinforcement_Yr1_59*Long_Term_Monetised_Risk_59)</f>
        <v>0</v>
      </c>
      <c r="K364" s="101" cm="1">
        <f t="array" ref="K364">SUMPRODUCT(Faults_Yr1_59*Long_Term_Monetised_Risk_59)</f>
        <v>0</v>
      </c>
      <c r="L364" s="101" cm="1">
        <f t="array" ref="L364">SUMPRODUCT(HVP_Asset_Replacement_Refurbishment_Yr1_59*Long_Term_Monetised_Risk_59)</f>
        <v>0</v>
      </c>
      <c r="M364" s="101" cm="1">
        <f t="array" ref="M364">SUMPRODUCT(HVP_Other_Yr1_59*Long_Term_Monetised_Risk_59)</f>
        <v>0</v>
      </c>
      <c r="N364" s="101" cm="1">
        <f t="array" ref="N364">SUMPRODUCT(All_Other_Yr1_59*Long_Term_Monetised_Risk_59)</f>
        <v>0</v>
      </c>
      <c r="O364" s="102" cm="1">
        <f t="array" ref="O364">SUMPRODUCT(End_Of_Year_Yr1_59*Long_Term_Monetised_Risk_59)</f>
        <v>0</v>
      </c>
      <c r="Q364" s="112"/>
      <c r="R364" s="113"/>
      <c r="S364" s="120"/>
      <c r="T364" s="115" cm="1">
        <f t="array" ref="T364">SUMPRODUCT(Asset_Replacement_2028_Yr1_59*Long_Term_Monetised_Risk_59)</f>
        <v>0</v>
      </c>
      <c r="U364" s="101" cm="1">
        <f t="array" ref="U364">SUMPRODUCT(Asset_Refurbishment_2028_Yr1_59*Long_Term_Monetised_Risk_59)</f>
        <v>0</v>
      </c>
      <c r="V364" s="102" cm="1">
        <f t="array" ref="V364">SUMPRODUCT(HVP_2028_Yr1_59*Long_Term_Monetised_Risk_59)</f>
        <v>0</v>
      </c>
    </row>
    <row r="365" spans="1:22" ht="12" customHeight="1">
      <c r="B365" s="93" t="s">
        <v>120</v>
      </c>
      <c r="C365" s="91">
        <v>2025</v>
      </c>
      <c r="D365" s="64" cm="1">
        <f t="array" ref="D365">SUMPRODUCT(Start_of_Year_Yr2_59*Long_Term_Monetised_Risk_59)</f>
        <v>0</v>
      </c>
      <c r="E365" s="64" cm="1">
        <f t="array" ref="E365">SUMPRODUCT(Data_Cleansing_Yr2_59*Long_Term_Monetised_Risk_59)</f>
        <v>0</v>
      </c>
      <c r="F365" s="64" cm="1">
        <f t="array" ref="F365">SUMPRODUCT(Deterioration_total_Yr2_59*Long_Term_Monetised_Risk_59)</f>
        <v>0</v>
      </c>
      <c r="G365" s="64" cm="1">
        <f t="array" ref="G365">SUMPRODUCT(Other_Risk_Movements_Yr2_59*Long_Term_Monetised_Risk_59)</f>
        <v>0</v>
      </c>
      <c r="H365" s="64" cm="1">
        <f t="array" ref="H365">SUMPRODUCT(Asset_Replacement_Yr2_59*Long_Term_Monetised_Risk_59)</f>
        <v>0</v>
      </c>
      <c r="I365" s="64" cm="1">
        <f t="array" ref="I365">SUMPRODUCT(Asset_Refurbishment_Yr2_59*Long_Term_Monetised_Risk_59)</f>
        <v>0</v>
      </c>
      <c r="J365" s="64" cm="1">
        <f t="array" ref="J365">SUMPRODUCT(Reinforcement_Yr2_59*Long_Term_Monetised_Risk_59)</f>
        <v>0</v>
      </c>
      <c r="K365" s="64" cm="1">
        <f t="array" ref="K365">SUMPRODUCT(Faults_Yr2_59*Long_Term_Monetised_Risk_59)</f>
        <v>0</v>
      </c>
      <c r="L365" s="64" cm="1">
        <f t="array" ref="L365">SUMPRODUCT(HVP_Asset_Replacement_Refurbishment_Yr2_59*Long_Term_Monetised_Risk_59)</f>
        <v>0</v>
      </c>
      <c r="M365" s="64" cm="1">
        <f t="array" ref="M365">SUMPRODUCT(HVP_Other_Yr2_59*Long_Term_Monetised_Risk_59)</f>
        <v>0</v>
      </c>
      <c r="N365" s="64" cm="1">
        <f t="array" ref="N365">SUMPRODUCT(All_Other_Yr2_59*Long_Term_Monetised_Risk_59)</f>
        <v>0</v>
      </c>
      <c r="O365" s="65" cm="1">
        <f t="array" ref="O365">SUMPRODUCT(End_Of_Year_Yr2_59*Long_Term_Monetised_Risk_59)</f>
        <v>0</v>
      </c>
      <c r="Q365" s="110"/>
      <c r="R365" s="111"/>
      <c r="S365" s="119"/>
      <c r="T365" s="114" cm="1">
        <f t="array" ref="T365">SUMPRODUCT(Asset_Replacement_2028_Yr2_59*Long_Term_Monetised_Risk_59)</f>
        <v>0</v>
      </c>
      <c r="U365" s="64" cm="1">
        <f t="array" ref="U365">SUMPRODUCT(Asset_Refurbishment_2028_Yr2_59*Long_Term_Monetised_Risk_59)</f>
        <v>0</v>
      </c>
      <c r="V365" s="65" cm="1">
        <f t="array" ref="V365">SUMPRODUCT(HVP_2028_Yr2_59*Long_Term_Monetised_Risk_59)</f>
        <v>0</v>
      </c>
    </row>
    <row r="366" spans="1:22" ht="12" customHeight="1">
      <c r="B366" s="93" t="s">
        <v>120</v>
      </c>
      <c r="C366" s="91">
        <v>2026</v>
      </c>
      <c r="D366" s="64" cm="1">
        <f t="array" ref="D366">SUMPRODUCT(Start_of_Year_Yr3_59*Long_Term_Monetised_Risk_59)</f>
        <v>0</v>
      </c>
      <c r="E366" s="64" cm="1">
        <f t="array" ref="E366">SUMPRODUCT(Data_Cleansing_Yr3_59*Long_Term_Monetised_Risk_59)</f>
        <v>0</v>
      </c>
      <c r="F366" s="64" cm="1">
        <f t="array" ref="F366">SUMPRODUCT(Deterioration_total_Yr3_59*Long_Term_Monetised_Risk_59)</f>
        <v>0</v>
      </c>
      <c r="G366" s="64" cm="1">
        <f t="array" ref="G366">SUMPRODUCT(Other_Risk_Movements_Yr3_59*Long_Term_Monetised_Risk_59)</f>
        <v>0</v>
      </c>
      <c r="H366" s="64" cm="1">
        <f t="array" ref="H366">SUMPRODUCT(Asset_Replacement_Yr3_59*Long_Term_Monetised_Risk_59)</f>
        <v>0</v>
      </c>
      <c r="I366" s="64" cm="1">
        <f t="array" ref="I366">SUMPRODUCT(Asset_Refurbishment_Yr3_59*Long_Term_Monetised_Risk_59)</f>
        <v>0</v>
      </c>
      <c r="J366" s="64" cm="1">
        <f t="array" ref="J366">SUMPRODUCT(Reinforcement_Yr3_59*Long_Term_Monetised_Risk_59)</f>
        <v>0</v>
      </c>
      <c r="K366" s="64" cm="1">
        <f t="array" ref="K366">SUMPRODUCT(Faults_Yr3_59*Long_Term_Monetised_Risk_59)</f>
        <v>0</v>
      </c>
      <c r="L366" s="64" cm="1">
        <f t="array" ref="L366">SUMPRODUCT(HVP_Asset_Replacement_Refurbishment_Yr3_59*Long_Term_Monetised_Risk_59)</f>
        <v>0</v>
      </c>
      <c r="M366" s="64" cm="1">
        <f t="array" ref="M366">SUMPRODUCT(HVP_Other_Yr3_59*Long_Term_Monetised_Risk_59)</f>
        <v>0</v>
      </c>
      <c r="N366" s="64" cm="1">
        <f t="array" ref="N366">SUMPRODUCT(All_Other_Yr3_59*Long_Term_Monetised_Risk_59)</f>
        <v>0</v>
      </c>
      <c r="O366" s="65" cm="1">
        <f t="array" ref="O366">SUMPRODUCT(End_Of_Year_Yr3_59*Long_Term_Monetised_Risk_59)</f>
        <v>0</v>
      </c>
      <c r="Q366" s="110"/>
      <c r="R366" s="111"/>
      <c r="S366" s="119"/>
      <c r="T366" s="114" cm="1">
        <f t="array" ref="T366">SUMPRODUCT(Asset_Replacement_2028_Yr3_59*Long_Term_Monetised_Risk_59)</f>
        <v>0</v>
      </c>
      <c r="U366" s="64" cm="1">
        <f t="array" ref="U366">SUMPRODUCT(Asset_Refurbishment_2028_Yr3_59*Long_Term_Monetised_Risk_59)</f>
        <v>0</v>
      </c>
      <c r="V366" s="65" cm="1">
        <f t="array" ref="V366">SUMPRODUCT(HVP_2028_Yr3_59*Long_Term_Monetised_Risk_59)</f>
        <v>0</v>
      </c>
    </row>
    <row r="367" spans="1:22" ht="12" customHeight="1">
      <c r="B367" s="93" t="s">
        <v>120</v>
      </c>
      <c r="C367" s="91">
        <v>2027</v>
      </c>
      <c r="D367" s="64" cm="1">
        <f t="array" ref="D367">SUMPRODUCT(Start_of_Year_Yr4_59*Long_Term_Monetised_Risk_59)</f>
        <v>0</v>
      </c>
      <c r="E367" s="64" cm="1">
        <f t="array" ref="E367">SUMPRODUCT(Data_Cleansing_Yr4_59*Long_Term_Monetised_Risk_59)</f>
        <v>0</v>
      </c>
      <c r="F367" s="64" cm="1">
        <f t="array" ref="F367">SUMPRODUCT(Deterioration_total_Yr4_59*Long_Term_Monetised_Risk_59)</f>
        <v>0</v>
      </c>
      <c r="G367" s="64" cm="1">
        <f t="array" ref="G367">SUMPRODUCT(Other_Risk_Movements_Yr4_59*Long_Term_Monetised_Risk_59)</f>
        <v>0</v>
      </c>
      <c r="H367" s="64" cm="1">
        <f t="array" ref="H367">SUMPRODUCT(Asset_Replacement_Yr4_59*Long_Term_Monetised_Risk_59)</f>
        <v>0</v>
      </c>
      <c r="I367" s="64" cm="1">
        <f t="array" ref="I367">SUMPRODUCT(Asset_Refurbishment_Yr4_59*Long_Term_Monetised_Risk_59)</f>
        <v>0</v>
      </c>
      <c r="J367" s="64" cm="1">
        <f t="array" ref="J367">SUMPRODUCT(Reinforcement_Yr4_59*Long_Term_Monetised_Risk_59)</f>
        <v>0</v>
      </c>
      <c r="K367" s="64" cm="1">
        <f t="array" ref="K367">SUMPRODUCT(Faults_Yr4_59*Long_Term_Monetised_Risk_59)</f>
        <v>0</v>
      </c>
      <c r="L367" s="64" cm="1">
        <f t="array" ref="L367">SUMPRODUCT(HVP_Asset_Replacement_Refurbishment_Yr4_59*Long_Term_Monetised_Risk_59)</f>
        <v>0</v>
      </c>
      <c r="M367" s="64" cm="1">
        <f t="array" ref="M367">SUMPRODUCT(HVP_Other_Yr4_59*Long_Term_Monetised_Risk_59)</f>
        <v>0</v>
      </c>
      <c r="N367" s="64" cm="1">
        <f t="array" ref="N367">SUMPRODUCT(All_Other_Yr4_59*Long_Term_Monetised_Risk_59)</f>
        <v>0</v>
      </c>
      <c r="O367" s="65" cm="1">
        <f t="array" ref="O367">SUMPRODUCT(End_Of_Year_Yr4_59*Long_Term_Monetised_Risk_59)</f>
        <v>0</v>
      </c>
      <c r="Q367" s="110"/>
      <c r="R367" s="111"/>
      <c r="S367" s="119"/>
      <c r="T367" s="114" cm="1">
        <f t="array" ref="T367">SUMPRODUCT(Asset_Replacement_2028_Yr4_59*Long_Term_Monetised_Risk_59)</f>
        <v>0</v>
      </c>
      <c r="U367" s="64" cm="1">
        <f t="array" ref="U367">SUMPRODUCT(Asset_Refurbishment_2028_Yr4_59*Long_Term_Monetised_Risk_59)</f>
        <v>0</v>
      </c>
      <c r="V367" s="65" cm="1">
        <f t="array" ref="V367">SUMPRODUCT(HVP_2028_Yr4_59*Long_Term_Monetised_Risk_59)</f>
        <v>0</v>
      </c>
    </row>
    <row r="368" spans="1:22" ht="12" customHeight="1">
      <c r="B368" s="93" t="s">
        <v>120</v>
      </c>
      <c r="C368" s="91">
        <v>2028</v>
      </c>
      <c r="D368" s="64" cm="1">
        <f t="array" ref="D368">SUMPRODUCT(Start_of_Year_Yr5_59*Long_Term_Monetised_Risk_59)</f>
        <v>0</v>
      </c>
      <c r="E368" s="64" cm="1">
        <f t="array" ref="E368">SUMPRODUCT(Data_Cleansing_Yr5_59*Long_Term_Monetised_Risk_59)</f>
        <v>0</v>
      </c>
      <c r="F368" s="64" cm="1">
        <f t="array" ref="F368">SUMPRODUCT(Deterioration_total_Yr5_59*Long_Term_Monetised_Risk_59)</f>
        <v>0</v>
      </c>
      <c r="G368" s="64" cm="1">
        <f t="array" ref="G368">SUMPRODUCT(Other_Risk_Movements_Yr5_59*Long_Term_Monetised_Risk_59)</f>
        <v>0</v>
      </c>
      <c r="H368" s="64" cm="1">
        <f t="array" ref="H368">SUMPRODUCT(Asset_Replacement_Yr5_59*Long_Term_Monetised_Risk_59)</f>
        <v>0</v>
      </c>
      <c r="I368" s="64" cm="1">
        <f t="array" ref="I368">SUMPRODUCT(Asset_Refurbishment_Yr5_59*Long_Term_Monetised_Risk_59)</f>
        <v>0</v>
      </c>
      <c r="J368" s="64" cm="1">
        <f t="array" ref="J368">SUMPRODUCT(Reinforcement_Yr5_59*Long_Term_Monetised_Risk_59)</f>
        <v>0</v>
      </c>
      <c r="K368" s="64" cm="1">
        <f t="array" ref="K368">SUMPRODUCT(Faults_Yr5_59*Long_Term_Monetised_Risk_59)</f>
        <v>0</v>
      </c>
      <c r="L368" s="64" cm="1">
        <f t="array" ref="L368">SUMPRODUCT(HVP_Asset_Replacement_Refurbishment_Yr5_59*Long_Term_Monetised_Risk_59)</f>
        <v>0</v>
      </c>
      <c r="M368" s="64" cm="1">
        <f t="array" ref="M368">SUMPRODUCT(HVP_Other_Yr5_59*Long_Term_Monetised_Risk_59)</f>
        <v>0</v>
      </c>
      <c r="N368" s="64" cm="1">
        <f t="array" ref="N368">SUMPRODUCT(All_Other_Yr5_59*Long_Term_Monetised_Risk_59)</f>
        <v>0</v>
      </c>
      <c r="O368" s="65" cm="1">
        <f t="array" ref="O368">SUMPRODUCT(End_Of_Year_Yr5_59*Long_Term_Monetised_Risk_59)</f>
        <v>0</v>
      </c>
      <c r="Q368" s="110"/>
      <c r="R368" s="111"/>
      <c r="S368" s="119"/>
      <c r="T368" s="114" cm="1">
        <f t="array" ref="T368">SUMPRODUCT(Asset_Replacement_2028_Yr5_59*Long_Term_Monetised_Risk_59)</f>
        <v>0</v>
      </c>
      <c r="U368" s="64" cm="1">
        <f t="array" ref="U368">SUMPRODUCT(Asset_Refurbishment_2028_Yr5_59*Long_Term_Monetised_Risk_59)</f>
        <v>0</v>
      </c>
      <c r="V368" s="65" cm="1">
        <f t="array" ref="V368">SUMPRODUCT(HVP_2028_Yr5_59*Long_Term_Monetised_Risk_59)</f>
        <v>0</v>
      </c>
    </row>
    <row r="369" spans="1:22" ht="12" customHeight="1" thickBot="1">
      <c r="B369" s="103" t="s">
        <v>120</v>
      </c>
      <c r="C369" s="104" t="s">
        <v>131</v>
      </c>
      <c r="D369" s="105"/>
      <c r="E369" s="106">
        <f t="shared" ref="E369:O369" si="126">SUM(E364:E368)</f>
        <v>0</v>
      </c>
      <c r="F369" s="106">
        <f t="shared" si="126"/>
        <v>0</v>
      </c>
      <c r="G369" s="106">
        <f t="shared" si="126"/>
        <v>0</v>
      </c>
      <c r="H369" s="106">
        <f t="shared" si="126"/>
        <v>0</v>
      </c>
      <c r="I369" s="106">
        <f t="shared" si="126"/>
        <v>0</v>
      </c>
      <c r="J369" s="106">
        <f t="shared" si="126"/>
        <v>0</v>
      </c>
      <c r="K369" s="106">
        <f t="shared" si="126"/>
        <v>0</v>
      </c>
      <c r="L369" s="106">
        <f t="shared" si="126"/>
        <v>0</v>
      </c>
      <c r="M369" s="106">
        <f t="shared" si="126"/>
        <v>0</v>
      </c>
      <c r="N369" s="106">
        <f t="shared" si="126"/>
        <v>0</v>
      </c>
      <c r="O369" s="537">
        <f t="shared" si="126"/>
        <v>0</v>
      </c>
      <c r="Q369" s="107" t="str">
        <f ca="1">VLOOKUP($B369,'NARM4 - ED2 NARW Risk Movements'!$B$7:$G$67,4,FALSE)</f>
        <v/>
      </c>
      <c r="R369" s="109" t="str">
        <f ca="1">VLOOKUP($B369,'NARM4 - ED2 NARW Risk Movements'!$B$7:$G$67,5,FALSE)</f>
        <v/>
      </c>
      <c r="S369" s="121" t="str">
        <f ca="1">VLOOKUP($B369,'NARM4 - ED2 NARW Risk Movements'!$B$7:$G$67,6,FALSE)</f>
        <v/>
      </c>
      <c r="T369" s="117">
        <f>SUM(T364:T368)</f>
        <v>0</v>
      </c>
      <c r="U369" s="106">
        <f t="shared" ref="U369" si="127">SUM(U364:U368)</f>
        <v>0</v>
      </c>
      <c r="V369" s="108">
        <f>SUM(V364:V368)</f>
        <v>0</v>
      </c>
    </row>
    <row r="370" spans="1:22" ht="12" customHeight="1" thickTop="1">
      <c r="A370" s="143">
        <v>60</v>
      </c>
      <c r="B370" s="99" t="s">
        <v>121</v>
      </c>
      <c r="C370" s="100">
        <v>2024</v>
      </c>
      <c r="D370" s="101" cm="1">
        <f t="array" ref="D370">SUMPRODUCT(Start_of_Year_Yr1_60*Long_Term_Monetised_Risk_60)</f>
        <v>0</v>
      </c>
      <c r="E370" s="101" cm="1">
        <f t="array" ref="E370">SUMPRODUCT(Data_Cleansing_Yr1_60*Long_Term_Monetised_Risk_60)</f>
        <v>0</v>
      </c>
      <c r="F370" s="101" cm="1">
        <f t="array" ref="F370">SUMPRODUCT(Deterioration_total_Yr1_60*Long_Term_Monetised_Risk_60)</f>
        <v>0</v>
      </c>
      <c r="G370" s="101" cm="1">
        <f t="array" ref="G370">SUMPRODUCT(Other_Risk_Movements_Yr1_60*Long_Term_Monetised_Risk_60)</f>
        <v>0</v>
      </c>
      <c r="H370" s="101" cm="1">
        <f t="array" ref="H370">SUMPRODUCT(Asset_Replacement_Yr1_60*Long_Term_Monetised_Risk_60)</f>
        <v>0</v>
      </c>
      <c r="I370" s="101" cm="1">
        <f t="array" ref="I370">SUMPRODUCT(Asset_Refurbishment_Yr1_60*Long_Term_Monetised_Risk_60)</f>
        <v>0</v>
      </c>
      <c r="J370" s="101" cm="1">
        <f t="array" ref="J370">SUMPRODUCT(Reinforcement_Yr1_60*Long_Term_Monetised_Risk_60)</f>
        <v>0</v>
      </c>
      <c r="K370" s="101" cm="1">
        <f t="array" ref="K370">SUMPRODUCT(Faults_Yr1_60*Long_Term_Monetised_Risk_60)</f>
        <v>0</v>
      </c>
      <c r="L370" s="101" cm="1">
        <f t="array" ref="L370">SUMPRODUCT(HVP_Asset_Replacement_Refurbishment_Yr1_60*Long_Term_Monetised_Risk_60)</f>
        <v>0</v>
      </c>
      <c r="M370" s="101" cm="1">
        <f t="array" ref="M370">SUMPRODUCT(HVP_Other_Yr1_60*Long_Term_Monetised_Risk_60)</f>
        <v>0</v>
      </c>
      <c r="N370" s="101" cm="1">
        <f t="array" ref="N370">SUMPRODUCT(All_Other_Yr1_60*Long_Term_Monetised_Risk_60)</f>
        <v>0</v>
      </c>
      <c r="O370" s="102" cm="1">
        <f t="array" ref="O370">SUMPRODUCT(End_Of_Year_Yr1_60*Long_Term_Monetised_Risk_60)</f>
        <v>0</v>
      </c>
      <c r="Q370" s="112"/>
      <c r="R370" s="113"/>
      <c r="S370" s="120"/>
      <c r="T370" s="115" cm="1">
        <f t="array" ref="T370">SUMPRODUCT(Asset_Replacement_2028_Yr1_60*Long_Term_Monetised_Risk_60)</f>
        <v>0</v>
      </c>
      <c r="U370" s="101" cm="1">
        <f t="array" ref="U370">SUMPRODUCT(Asset_Refurbishment_2028_Yr1_60*Long_Term_Monetised_Risk_60)</f>
        <v>0</v>
      </c>
      <c r="V370" s="102" cm="1">
        <f t="array" ref="V370">SUMPRODUCT(HVP_2028_Yr1_60*Long_Term_Monetised_Risk_60)</f>
        <v>0</v>
      </c>
    </row>
    <row r="371" spans="1:22" ht="12" customHeight="1">
      <c r="B371" s="93" t="s">
        <v>121</v>
      </c>
      <c r="C371" s="91">
        <v>2025</v>
      </c>
      <c r="D371" s="64" cm="1">
        <f t="array" ref="D371">SUMPRODUCT(Start_of_Year_Yr2_60*Long_Term_Monetised_Risk_60)</f>
        <v>0</v>
      </c>
      <c r="E371" s="64" cm="1">
        <f t="array" ref="E371">SUMPRODUCT(Data_Cleansing_Yr2_60*Long_Term_Monetised_Risk_60)</f>
        <v>0</v>
      </c>
      <c r="F371" s="64" cm="1">
        <f t="array" ref="F371">SUMPRODUCT(Deterioration_total_Yr2_60*Long_Term_Monetised_Risk_60)</f>
        <v>0</v>
      </c>
      <c r="G371" s="64" cm="1">
        <f t="array" ref="G371">SUMPRODUCT(Other_Risk_Movements_Yr2_60*Long_Term_Monetised_Risk_60)</f>
        <v>0</v>
      </c>
      <c r="H371" s="64" cm="1">
        <f t="array" ref="H371">SUMPRODUCT(Asset_Replacement_Yr2_60*Long_Term_Monetised_Risk_60)</f>
        <v>0</v>
      </c>
      <c r="I371" s="64" cm="1">
        <f t="array" ref="I371">SUMPRODUCT(Asset_Refurbishment_Yr2_60*Long_Term_Monetised_Risk_60)</f>
        <v>0</v>
      </c>
      <c r="J371" s="64" cm="1">
        <f t="array" ref="J371">SUMPRODUCT(Reinforcement_Yr2_60*Long_Term_Monetised_Risk_60)</f>
        <v>0</v>
      </c>
      <c r="K371" s="64" cm="1">
        <f t="array" ref="K371">SUMPRODUCT(Faults_Yr2_60*Long_Term_Monetised_Risk_60)</f>
        <v>0</v>
      </c>
      <c r="L371" s="64" cm="1">
        <f t="array" ref="L371">SUMPRODUCT(HVP_Asset_Replacement_Refurbishment_Yr2_60*Long_Term_Monetised_Risk_60)</f>
        <v>0</v>
      </c>
      <c r="M371" s="64" cm="1">
        <f t="array" ref="M371">SUMPRODUCT(HVP_Other_Yr2_60*Long_Term_Monetised_Risk_60)</f>
        <v>0</v>
      </c>
      <c r="N371" s="64" cm="1">
        <f t="array" ref="N371">SUMPRODUCT(All_Other_Yr2_60*Long_Term_Monetised_Risk_60)</f>
        <v>0</v>
      </c>
      <c r="O371" s="65" cm="1">
        <f t="array" ref="O371">SUMPRODUCT(End_Of_Year_Yr2_60*Long_Term_Monetised_Risk_60)</f>
        <v>0</v>
      </c>
      <c r="Q371" s="110"/>
      <c r="R371" s="111"/>
      <c r="S371" s="119"/>
      <c r="T371" s="114" cm="1">
        <f t="array" ref="T371">SUMPRODUCT(Asset_Replacement_2028_Yr2_60*Long_Term_Monetised_Risk_60)</f>
        <v>0</v>
      </c>
      <c r="U371" s="64" cm="1">
        <f t="array" ref="U371">SUMPRODUCT(Asset_Refurbishment_2028_Yr2_60*Long_Term_Monetised_Risk_60)</f>
        <v>0</v>
      </c>
      <c r="V371" s="65" cm="1">
        <f t="array" ref="V371">SUMPRODUCT(HVP_2028_Yr2_60*Long_Term_Monetised_Risk_60)</f>
        <v>0</v>
      </c>
    </row>
    <row r="372" spans="1:22" ht="12" customHeight="1">
      <c r="B372" s="93" t="s">
        <v>121</v>
      </c>
      <c r="C372" s="91">
        <v>2026</v>
      </c>
      <c r="D372" s="64" cm="1">
        <f t="array" ref="D372">SUMPRODUCT(Start_of_Year_Yr3_60*Long_Term_Monetised_Risk_60)</f>
        <v>0</v>
      </c>
      <c r="E372" s="64" cm="1">
        <f t="array" ref="E372">SUMPRODUCT(Data_Cleansing_Yr3_60*Long_Term_Monetised_Risk_60)</f>
        <v>0</v>
      </c>
      <c r="F372" s="64" cm="1">
        <f t="array" ref="F372">SUMPRODUCT(Deterioration_total_Yr3_60*Long_Term_Monetised_Risk_60)</f>
        <v>0</v>
      </c>
      <c r="G372" s="64" cm="1">
        <f t="array" ref="G372">SUMPRODUCT(Other_Risk_Movements_Yr3_60*Long_Term_Monetised_Risk_60)</f>
        <v>0</v>
      </c>
      <c r="H372" s="64" cm="1">
        <f t="array" ref="H372">SUMPRODUCT(Asset_Replacement_Yr3_60*Long_Term_Monetised_Risk_60)</f>
        <v>0</v>
      </c>
      <c r="I372" s="64" cm="1">
        <f t="array" ref="I372">SUMPRODUCT(Asset_Refurbishment_Yr3_60*Long_Term_Monetised_Risk_60)</f>
        <v>0</v>
      </c>
      <c r="J372" s="64" cm="1">
        <f t="array" ref="J372">SUMPRODUCT(Reinforcement_Yr3_60*Long_Term_Monetised_Risk_60)</f>
        <v>0</v>
      </c>
      <c r="K372" s="64" cm="1">
        <f t="array" ref="K372">SUMPRODUCT(Faults_Yr3_60*Long_Term_Monetised_Risk_60)</f>
        <v>0</v>
      </c>
      <c r="L372" s="64" cm="1">
        <f t="array" ref="L372">SUMPRODUCT(HVP_Asset_Replacement_Refurbishment_Yr3_60*Long_Term_Monetised_Risk_60)</f>
        <v>0</v>
      </c>
      <c r="M372" s="64" cm="1">
        <f t="array" ref="M372">SUMPRODUCT(HVP_Other_Yr3_60*Long_Term_Monetised_Risk_60)</f>
        <v>0</v>
      </c>
      <c r="N372" s="64" cm="1">
        <f t="array" ref="N372">SUMPRODUCT(All_Other_Yr3_60*Long_Term_Monetised_Risk_60)</f>
        <v>0</v>
      </c>
      <c r="O372" s="65" cm="1">
        <f t="array" ref="O372">SUMPRODUCT(End_Of_Year_Yr3_60*Long_Term_Monetised_Risk_60)</f>
        <v>0</v>
      </c>
      <c r="Q372" s="110"/>
      <c r="R372" s="111"/>
      <c r="S372" s="119"/>
      <c r="T372" s="114" cm="1">
        <f t="array" ref="T372">SUMPRODUCT(Asset_Replacement_2028_Yr3_60*Long_Term_Monetised_Risk_60)</f>
        <v>0</v>
      </c>
      <c r="U372" s="64" cm="1">
        <f t="array" ref="U372">SUMPRODUCT(Asset_Refurbishment_2028_Yr3_60*Long_Term_Monetised_Risk_60)</f>
        <v>0</v>
      </c>
      <c r="V372" s="65" cm="1">
        <f t="array" ref="V372">SUMPRODUCT(HVP_2028_Yr3_60*Long_Term_Monetised_Risk_60)</f>
        <v>0</v>
      </c>
    </row>
    <row r="373" spans="1:22" ht="12" customHeight="1">
      <c r="B373" s="93" t="s">
        <v>121</v>
      </c>
      <c r="C373" s="91">
        <v>2027</v>
      </c>
      <c r="D373" s="64" cm="1">
        <f t="array" ref="D373">SUMPRODUCT(Start_of_Year_Yr4_60*Long_Term_Monetised_Risk_60)</f>
        <v>0</v>
      </c>
      <c r="E373" s="64" cm="1">
        <f t="array" ref="E373">SUMPRODUCT(Data_Cleansing_Yr4_60*Long_Term_Monetised_Risk_60)</f>
        <v>0</v>
      </c>
      <c r="F373" s="64" cm="1">
        <f t="array" ref="F373">SUMPRODUCT(Deterioration_total_Yr4_60*Long_Term_Monetised_Risk_60)</f>
        <v>0</v>
      </c>
      <c r="G373" s="64" cm="1">
        <f t="array" ref="G373">SUMPRODUCT(Other_Risk_Movements_Yr4_60*Long_Term_Monetised_Risk_60)</f>
        <v>0</v>
      </c>
      <c r="H373" s="64" cm="1">
        <f t="array" ref="H373">SUMPRODUCT(Asset_Replacement_Yr4_60*Long_Term_Monetised_Risk_60)</f>
        <v>0</v>
      </c>
      <c r="I373" s="64" cm="1">
        <f t="array" ref="I373">SUMPRODUCT(Asset_Refurbishment_Yr4_60*Long_Term_Monetised_Risk_60)</f>
        <v>0</v>
      </c>
      <c r="J373" s="64" cm="1">
        <f t="array" ref="J373">SUMPRODUCT(Reinforcement_Yr4_60*Long_Term_Monetised_Risk_60)</f>
        <v>0</v>
      </c>
      <c r="K373" s="64" cm="1">
        <f t="array" ref="K373">SUMPRODUCT(Faults_Yr4_60*Long_Term_Monetised_Risk_60)</f>
        <v>0</v>
      </c>
      <c r="L373" s="64" cm="1">
        <f t="array" ref="L373">SUMPRODUCT(HVP_Asset_Replacement_Refurbishment_Yr4_60*Long_Term_Monetised_Risk_60)</f>
        <v>0</v>
      </c>
      <c r="M373" s="64" cm="1">
        <f t="array" ref="M373">SUMPRODUCT(HVP_Other_Yr4_60*Long_Term_Monetised_Risk_60)</f>
        <v>0</v>
      </c>
      <c r="N373" s="64" cm="1">
        <f t="array" ref="N373">SUMPRODUCT(All_Other_Yr4_60*Long_Term_Monetised_Risk_60)</f>
        <v>0</v>
      </c>
      <c r="O373" s="65" cm="1">
        <f t="array" ref="O373">SUMPRODUCT(End_Of_Year_Yr4_60*Long_Term_Monetised_Risk_60)</f>
        <v>0</v>
      </c>
      <c r="Q373" s="110"/>
      <c r="R373" s="111"/>
      <c r="S373" s="119"/>
      <c r="T373" s="114" cm="1">
        <f t="array" ref="T373">SUMPRODUCT(Asset_Replacement_2028_Yr4_60*Long_Term_Monetised_Risk_60)</f>
        <v>0</v>
      </c>
      <c r="U373" s="64" cm="1">
        <f t="array" ref="U373">SUMPRODUCT(Asset_Refurbishment_2028_Yr4_60*Long_Term_Monetised_Risk_60)</f>
        <v>0</v>
      </c>
      <c r="V373" s="65" cm="1">
        <f t="array" ref="V373">SUMPRODUCT(HVP_2028_Yr4_60*Long_Term_Monetised_Risk_60)</f>
        <v>0</v>
      </c>
    </row>
    <row r="374" spans="1:22" ht="12" customHeight="1">
      <c r="B374" s="93" t="s">
        <v>121</v>
      </c>
      <c r="C374" s="91">
        <v>2028</v>
      </c>
      <c r="D374" s="64" cm="1">
        <f t="array" ref="D374">SUMPRODUCT(Start_of_Year_Yr5_60*Long_Term_Monetised_Risk_60)</f>
        <v>0</v>
      </c>
      <c r="E374" s="64" cm="1">
        <f t="array" ref="E374">SUMPRODUCT(Data_Cleansing_Yr5_60*Long_Term_Monetised_Risk_60)</f>
        <v>0</v>
      </c>
      <c r="F374" s="64" cm="1">
        <f t="array" ref="F374">SUMPRODUCT(Deterioration_total_Yr5_60*Long_Term_Monetised_Risk_60)</f>
        <v>0</v>
      </c>
      <c r="G374" s="64" cm="1">
        <f t="array" ref="G374">SUMPRODUCT(Other_Risk_Movements_Yr5_60*Long_Term_Monetised_Risk_60)</f>
        <v>0</v>
      </c>
      <c r="H374" s="64" cm="1">
        <f t="array" ref="H374">SUMPRODUCT(Asset_Replacement_Yr5_60*Long_Term_Monetised_Risk_60)</f>
        <v>0</v>
      </c>
      <c r="I374" s="64" cm="1">
        <f t="array" ref="I374">SUMPRODUCT(Asset_Refurbishment_Yr5_60*Long_Term_Monetised_Risk_60)</f>
        <v>0</v>
      </c>
      <c r="J374" s="64" cm="1">
        <f t="array" ref="J374">SUMPRODUCT(Reinforcement_Yr5_60*Long_Term_Monetised_Risk_60)</f>
        <v>0</v>
      </c>
      <c r="K374" s="64" cm="1">
        <f t="array" ref="K374">SUMPRODUCT(Faults_Yr5_60*Long_Term_Monetised_Risk_60)</f>
        <v>0</v>
      </c>
      <c r="L374" s="64" cm="1">
        <f t="array" ref="L374">SUMPRODUCT(HVP_Asset_Replacement_Refurbishment_Yr5_60*Long_Term_Monetised_Risk_60)</f>
        <v>0</v>
      </c>
      <c r="M374" s="64" cm="1">
        <f t="array" ref="M374">SUMPRODUCT(HVP_Other_Yr5_60*Long_Term_Monetised_Risk_60)</f>
        <v>0</v>
      </c>
      <c r="N374" s="64" cm="1">
        <f t="array" ref="N374">SUMPRODUCT(All_Other_Yr5_60*Long_Term_Monetised_Risk_60)</f>
        <v>0</v>
      </c>
      <c r="O374" s="65" cm="1">
        <f t="array" ref="O374">SUMPRODUCT(End_Of_Year_Yr5_60*Long_Term_Monetised_Risk_60)</f>
        <v>0</v>
      </c>
      <c r="Q374" s="110"/>
      <c r="R374" s="111"/>
      <c r="S374" s="119"/>
      <c r="T374" s="114" cm="1">
        <f t="array" ref="T374">SUMPRODUCT(Asset_Replacement_2028_Yr5_60*Long_Term_Monetised_Risk_60)</f>
        <v>0</v>
      </c>
      <c r="U374" s="64" cm="1">
        <f t="array" ref="U374">SUMPRODUCT(Asset_Refurbishment_2028_Yr5_60*Long_Term_Monetised_Risk_60)</f>
        <v>0</v>
      </c>
      <c r="V374" s="65" cm="1">
        <f t="array" ref="V374">SUMPRODUCT(HVP_2028_Yr5_60*Long_Term_Monetised_Risk_60)</f>
        <v>0</v>
      </c>
    </row>
    <row r="375" spans="1:22" ht="12" customHeight="1" thickBot="1">
      <c r="B375" s="103" t="s">
        <v>121</v>
      </c>
      <c r="C375" s="104" t="s">
        <v>131</v>
      </c>
      <c r="D375" s="105"/>
      <c r="E375" s="106">
        <f t="shared" ref="E375:O375" si="128">SUM(E370:E374)</f>
        <v>0</v>
      </c>
      <c r="F375" s="106">
        <f t="shared" si="128"/>
        <v>0</v>
      </c>
      <c r="G375" s="106">
        <f t="shared" si="128"/>
        <v>0</v>
      </c>
      <c r="H375" s="106">
        <f t="shared" si="128"/>
        <v>0</v>
      </c>
      <c r="I375" s="106">
        <f t="shared" si="128"/>
        <v>0</v>
      </c>
      <c r="J375" s="106">
        <f t="shared" si="128"/>
        <v>0</v>
      </c>
      <c r="K375" s="106">
        <f t="shared" si="128"/>
        <v>0</v>
      </c>
      <c r="L375" s="106">
        <f t="shared" si="128"/>
        <v>0</v>
      </c>
      <c r="M375" s="106">
        <f t="shared" si="128"/>
        <v>0</v>
      </c>
      <c r="N375" s="106">
        <f t="shared" si="128"/>
        <v>0</v>
      </c>
      <c r="O375" s="537">
        <f t="shared" si="128"/>
        <v>0</v>
      </c>
      <c r="Q375" s="107" t="str">
        <f ca="1">VLOOKUP($B375,'NARM4 - ED2 NARW Risk Movements'!$B$7:$G$67,4,FALSE)</f>
        <v/>
      </c>
      <c r="R375" s="109" t="str">
        <f ca="1">VLOOKUP($B375,'NARM4 - ED2 NARW Risk Movements'!$B$7:$G$67,5,FALSE)</f>
        <v/>
      </c>
      <c r="S375" s="121" t="str">
        <f ca="1">VLOOKUP($B375,'NARM4 - ED2 NARW Risk Movements'!$B$7:$G$67,6,FALSE)</f>
        <v/>
      </c>
      <c r="T375" s="117">
        <f>SUM(T370:T374)</f>
        <v>0</v>
      </c>
      <c r="U375" s="106">
        <f t="shared" ref="U375" si="129">SUM(U370:U374)</f>
        <v>0</v>
      </c>
      <c r="V375" s="108">
        <f>SUM(V370:V374)</f>
        <v>0</v>
      </c>
    </row>
    <row r="376" spans="1:22" ht="12" customHeight="1" thickTop="1">
      <c r="A376" s="143">
        <v>61</v>
      </c>
      <c r="B376" s="99" t="s">
        <v>122</v>
      </c>
      <c r="C376" s="100">
        <v>2024</v>
      </c>
      <c r="D376" s="101" cm="1">
        <f t="array" ref="D376">SUMPRODUCT(Start_of_Year_Yr1_61*Long_Term_Monetised_Risk_61)</f>
        <v>0</v>
      </c>
      <c r="E376" s="101" cm="1">
        <f t="array" ref="E376">SUMPRODUCT(Data_Cleansing_Yr1_61*Long_Term_Monetised_Risk_61)</f>
        <v>0</v>
      </c>
      <c r="F376" s="101" cm="1">
        <f t="array" ref="F376">SUMPRODUCT(Deterioration_total_Yr1_61*Long_Term_Monetised_Risk_61)</f>
        <v>0</v>
      </c>
      <c r="G376" s="101" cm="1">
        <f t="array" ref="G376">SUMPRODUCT(Other_Risk_Movements_Yr1_61*Long_Term_Monetised_Risk_61)</f>
        <v>0</v>
      </c>
      <c r="H376" s="101" cm="1">
        <f t="array" ref="H376">SUMPRODUCT(Asset_Replacement_Yr1_61*Long_Term_Monetised_Risk_61)</f>
        <v>0</v>
      </c>
      <c r="I376" s="101" cm="1">
        <f t="array" ref="I376">SUMPRODUCT(Asset_Refurbishment_Yr1_61*Long_Term_Monetised_Risk_61)</f>
        <v>0</v>
      </c>
      <c r="J376" s="101" cm="1">
        <f t="array" ref="J376">SUMPRODUCT(Reinforcement_Yr1_61*Long_Term_Monetised_Risk_61)</f>
        <v>0</v>
      </c>
      <c r="K376" s="101" cm="1">
        <f t="array" ref="K376">SUMPRODUCT(Faults_Yr1_61*Long_Term_Monetised_Risk_61)</f>
        <v>0</v>
      </c>
      <c r="L376" s="101" cm="1">
        <f t="array" ref="L376">SUMPRODUCT(HVP_Asset_Replacement_Refurbishment_Yr1_61*Long_Term_Monetised_Risk_61)</f>
        <v>0</v>
      </c>
      <c r="M376" s="101" cm="1">
        <f t="array" ref="M376">SUMPRODUCT(HVP_Other_Yr1_61*Long_Term_Monetised_Risk_61)</f>
        <v>0</v>
      </c>
      <c r="N376" s="101" cm="1">
        <f t="array" ref="N376">SUMPRODUCT(All_Other_Yr1_61*Long_Term_Monetised_Risk_61)</f>
        <v>0</v>
      </c>
      <c r="O376" s="102" cm="1">
        <f t="array" ref="O376">SUMPRODUCT(End_Of_Year_Yr1_61*Long_Term_Monetised_Risk_61)</f>
        <v>0</v>
      </c>
      <c r="Q376" s="112"/>
      <c r="R376" s="113"/>
      <c r="S376" s="120"/>
      <c r="T376" s="115" cm="1">
        <f t="array" ref="T376">SUMPRODUCT(Asset_Replacement_2028_Yr1_61*Long_Term_Monetised_Risk_61)</f>
        <v>0</v>
      </c>
      <c r="U376" s="101" cm="1">
        <f t="array" ref="U376">SUMPRODUCT(Asset_Refurbishment_2028_Yr1_61*Long_Term_Monetised_Risk_61)</f>
        <v>0</v>
      </c>
      <c r="V376" s="102" cm="1">
        <f t="array" ref="V376">SUMPRODUCT(HVP_2028_Yr1_61*Long_Term_Monetised_Risk_61)</f>
        <v>0</v>
      </c>
    </row>
    <row r="377" spans="1:22" ht="12" customHeight="1">
      <c r="B377" s="93" t="s">
        <v>122</v>
      </c>
      <c r="C377" s="91">
        <v>2025</v>
      </c>
      <c r="D377" s="64" cm="1">
        <f t="array" ref="D377">SUMPRODUCT(Start_of_Year_Yr2_61*Long_Term_Monetised_Risk_61)</f>
        <v>0</v>
      </c>
      <c r="E377" s="64" cm="1">
        <f t="array" ref="E377">SUMPRODUCT(Data_Cleansing_Yr2_61*Long_Term_Monetised_Risk_61)</f>
        <v>0</v>
      </c>
      <c r="F377" s="64" cm="1">
        <f t="array" ref="F377">SUMPRODUCT(Deterioration_total_Yr2_61*Long_Term_Monetised_Risk_61)</f>
        <v>0</v>
      </c>
      <c r="G377" s="64" cm="1">
        <f t="array" ref="G377">SUMPRODUCT(Other_Risk_Movements_Yr2_61*Long_Term_Monetised_Risk_61)</f>
        <v>0</v>
      </c>
      <c r="H377" s="64" cm="1">
        <f t="array" ref="H377">SUMPRODUCT(Asset_Replacement_Yr2_61*Long_Term_Monetised_Risk_61)</f>
        <v>0</v>
      </c>
      <c r="I377" s="64" cm="1">
        <f t="array" ref="I377">SUMPRODUCT(Asset_Refurbishment_Yr2_61*Long_Term_Monetised_Risk_61)</f>
        <v>0</v>
      </c>
      <c r="J377" s="64" cm="1">
        <f t="array" ref="J377">SUMPRODUCT(Reinforcement_Yr2_61*Long_Term_Monetised_Risk_61)</f>
        <v>0</v>
      </c>
      <c r="K377" s="64" cm="1">
        <f t="array" ref="K377">SUMPRODUCT(Faults_Yr2_61*Long_Term_Monetised_Risk_61)</f>
        <v>0</v>
      </c>
      <c r="L377" s="64" cm="1">
        <f t="array" ref="L377">SUMPRODUCT(HVP_Asset_Replacement_Refurbishment_Yr2_61*Long_Term_Monetised_Risk_61)</f>
        <v>0</v>
      </c>
      <c r="M377" s="64" cm="1">
        <f t="array" ref="M377">SUMPRODUCT(HVP_Other_Yr2_61*Long_Term_Monetised_Risk_61)</f>
        <v>0</v>
      </c>
      <c r="N377" s="64" cm="1">
        <f t="array" ref="N377">SUMPRODUCT(All_Other_Yr2_61*Long_Term_Monetised_Risk_61)</f>
        <v>0</v>
      </c>
      <c r="O377" s="65" cm="1">
        <f t="array" ref="O377">SUMPRODUCT(End_Of_Year_Yr2_61*Long_Term_Monetised_Risk_61)</f>
        <v>0</v>
      </c>
      <c r="Q377" s="110"/>
      <c r="R377" s="111"/>
      <c r="S377" s="119"/>
      <c r="T377" s="114" cm="1">
        <f t="array" ref="T377">SUMPRODUCT(Asset_Replacement_2028_Yr2_61*Long_Term_Monetised_Risk_61)</f>
        <v>0</v>
      </c>
      <c r="U377" s="64" cm="1">
        <f t="array" ref="U377">SUMPRODUCT(Asset_Refurbishment_2028_Yr2_61*Long_Term_Monetised_Risk_61)</f>
        <v>0</v>
      </c>
      <c r="V377" s="65" cm="1">
        <f t="array" ref="V377">SUMPRODUCT(HVP_2028_Yr2_61*Long_Term_Monetised_Risk_61)</f>
        <v>0</v>
      </c>
    </row>
    <row r="378" spans="1:22" ht="12" customHeight="1">
      <c r="B378" s="93" t="s">
        <v>122</v>
      </c>
      <c r="C378" s="91">
        <v>2026</v>
      </c>
      <c r="D378" s="64" cm="1">
        <f t="array" ref="D378">SUMPRODUCT(Start_of_Year_Yr3_61*Long_Term_Monetised_Risk_61)</f>
        <v>0</v>
      </c>
      <c r="E378" s="64" cm="1">
        <f t="array" ref="E378">SUMPRODUCT(Data_Cleansing_Yr3_61*Long_Term_Monetised_Risk_61)</f>
        <v>0</v>
      </c>
      <c r="F378" s="64" cm="1">
        <f t="array" ref="F378">SUMPRODUCT(Deterioration_total_Yr3_61*Long_Term_Monetised_Risk_61)</f>
        <v>0</v>
      </c>
      <c r="G378" s="64" cm="1">
        <f t="array" ref="G378">SUMPRODUCT(Other_Risk_Movements_Yr3_61*Long_Term_Monetised_Risk_61)</f>
        <v>0</v>
      </c>
      <c r="H378" s="64" cm="1">
        <f t="array" ref="H378">SUMPRODUCT(Asset_Replacement_Yr3_61*Long_Term_Monetised_Risk_61)</f>
        <v>0</v>
      </c>
      <c r="I378" s="64" cm="1">
        <f t="array" ref="I378">SUMPRODUCT(Asset_Refurbishment_Yr3_61*Long_Term_Monetised_Risk_61)</f>
        <v>0</v>
      </c>
      <c r="J378" s="64" cm="1">
        <f t="array" ref="J378">SUMPRODUCT(Reinforcement_Yr3_61*Long_Term_Monetised_Risk_61)</f>
        <v>0</v>
      </c>
      <c r="K378" s="64" cm="1">
        <f t="array" ref="K378">SUMPRODUCT(Faults_Yr3_61*Long_Term_Monetised_Risk_61)</f>
        <v>0</v>
      </c>
      <c r="L378" s="64" cm="1">
        <f t="array" ref="L378">SUMPRODUCT(HVP_Asset_Replacement_Refurbishment_Yr3_61*Long_Term_Monetised_Risk_61)</f>
        <v>0</v>
      </c>
      <c r="M378" s="64" cm="1">
        <f t="array" ref="M378">SUMPRODUCT(HVP_Other_Yr3_61*Long_Term_Monetised_Risk_61)</f>
        <v>0</v>
      </c>
      <c r="N378" s="64" cm="1">
        <f t="array" ref="N378">SUMPRODUCT(All_Other_Yr3_61*Long_Term_Monetised_Risk_61)</f>
        <v>0</v>
      </c>
      <c r="O378" s="65" cm="1">
        <f t="array" ref="O378">SUMPRODUCT(End_Of_Year_Yr3_61*Long_Term_Monetised_Risk_61)</f>
        <v>0</v>
      </c>
      <c r="Q378" s="110"/>
      <c r="R378" s="111"/>
      <c r="S378" s="119"/>
      <c r="T378" s="114" cm="1">
        <f t="array" ref="T378">SUMPRODUCT(Asset_Replacement_2028_Yr3_61*Long_Term_Monetised_Risk_61)</f>
        <v>0</v>
      </c>
      <c r="U378" s="64" cm="1">
        <f t="array" ref="U378">SUMPRODUCT(Asset_Refurbishment_2028_Yr3_61*Long_Term_Monetised_Risk_61)</f>
        <v>0</v>
      </c>
      <c r="V378" s="65" cm="1">
        <f t="array" ref="V378">SUMPRODUCT(HVP_2028_Yr3_61*Long_Term_Monetised_Risk_61)</f>
        <v>0</v>
      </c>
    </row>
    <row r="379" spans="1:22" ht="12" customHeight="1">
      <c r="B379" s="93" t="s">
        <v>122</v>
      </c>
      <c r="C379" s="91">
        <v>2027</v>
      </c>
      <c r="D379" s="64" cm="1">
        <f t="array" ref="D379">SUMPRODUCT(Start_of_Year_Yr4_61*Long_Term_Monetised_Risk_61)</f>
        <v>0</v>
      </c>
      <c r="E379" s="64" cm="1">
        <f t="array" ref="E379">SUMPRODUCT(Data_Cleansing_Yr4_61*Long_Term_Monetised_Risk_61)</f>
        <v>0</v>
      </c>
      <c r="F379" s="64" cm="1">
        <f t="array" ref="F379">SUMPRODUCT(Deterioration_total_Yr4_61*Long_Term_Monetised_Risk_61)</f>
        <v>0</v>
      </c>
      <c r="G379" s="64" cm="1">
        <f t="array" ref="G379">SUMPRODUCT(Other_Risk_Movements_Yr4_61*Long_Term_Monetised_Risk_61)</f>
        <v>0</v>
      </c>
      <c r="H379" s="64" cm="1">
        <f t="array" ref="H379">SUMPRODUCT(Asset_Replacement_Yr4_61*Long_Term_Monetised_Risk_61)</f>
        <v>0</v>
      </c>
      <c r="I379" s="64" cm="1">
        <f t="array" ref="I379">SUMPRODUCT(Asset_Refurbishment_Yr4_61*Long_Term_Monetised_Risk_61)</f>
        <v>0</v>
      </c>
      <c r="J379" s="64" cm="1">
        <f t="array" ref="J379">SUMPRODUCT(Reinforcement_Yr4_61*Long_Term_Monetised_Risk_61)</f>
        <v>0</v>
      </c>
      <c r="K379" s="64" cm="1">
        <f t="array" ref="K379">SUMPRODUCT(Faults_Yr4_61*Long_Term_Monetised_Risk_61)</f>
        <v>0</v>
      </c>
      <c r="L379" s="64" cm="1">
        <f t="array" ref="L379">SUMPRODUCT(HVP_Asset_Replacement_Refurbishment_Yr4_61*Long_Term_Monetised_Risk_61)</f>
        <v>0</v>
      </c>
      <c r="M379" s="64" cm="1">
        <f t="array" ref="M379">SUMPRODUCT(HVP_Other_Yr4_61*Long_Term_Monetised_Risk_61)</f>
        <v>0</v>
      </c>
      <c r="N379" s="64" cm="1">
        <f t="array" ref="N379">SUMPRODUCT(All_Other_Yr4_61*Long_Term_Monetised_Risk_61)</f>
        <v>0</v>
      </c>
      <c r="O379" s="65" cm="1">
        <f t="array" ref="O379">SUMPRODUCT(End_Of_Year_Yr4_61*Long_Term_Monetised_Risk_61)</f>
        <v>0</v>
      </c>
      <c r="Q379" s="110"/>
      <c r="R379" s="111"/>
      <c r="S379" s="119"/>
      <c r="T379" s="114" cm="1">
        <f t="array" ref="T379">SUMPRODUCT(Asset_Replacement_2028_Yr4_61*Long_Term_Monetised_Risk_61)</f>
        <v>0</v>
      </c>
      <c r="U379" s="64" cm="1">
        <f t="array" ref="U379">SUMPRODUCT(Asset_Refurbishment_2028_Yr4_61*Long_Term_Monetised_Risk_61)</f>
        <v>0</v>
      </c>
      <c r="V379" s="65" cm="1">
        <f t="array" ref="V379">SUMPRODUCT(HVP_2028_Yr4_61*Long_Term_Monetised_Risk_61)</f>
        <v>0</v>
      </c>
    </row>
    <row r="380" spans="1:22" ht="12" customHeight="1">
      <c r="B380" s="93" t="s">
        <v>122</v>
      </c>
      <c r="C380" s="91">
        <v>2028</v>
      </c>
      <c r="D380" s="64" cm="1">
        <f t="array" ref="D380">SUMPRODUCT(Start_of_Year_Yr5_61*Long_Term_Monetised_Risk_61)</f>
        <v>0</v>
      </c>
      <c r="E380" s="64" cm="1">
        <f t="array" ref="E380">SUMPRODUCT(Data_Cleansing_Yr5_61*Long_Term_Monetised_Risk_61)</f>
        <v>0</v>
      </c>
      <c r="F380" s="64" cm="1">
        <f t="array" ref="F380">SUMPRODUCT(Deterioration_total_Yr5_61*Long_Term_Monetised_Risk_61)</f>
        <v>0</v>
      </c>
      <c r="G380" s="64" cm="1">
        <f t="array" ref="G380">SUMPRODUCT(Other_Risk_Movements_Yr5_61*Long_Term_Monetised_Risk_61)</f>
        <v>0</v>
      </c>
      <c r="H380" s="64" cm="1">
        <f t="array" ref="H380">SUMPRODUCT(Asset_Replacement_Yr5_61*Long_Term_Monetised_Risk_61)</f>
        <v>0</v>
      </c>
      <c r="I380" s="64" cm="1">
        <f t="array" ref="I380">SUMPRODUCT(Asset_Refurbishment_Yr5_61*Long_Term_Monetised_Risk_61)</f>
        <v>0</v>
      </c>
      <c r="J380" s="64" cm="1">
        <f t="array" ref="J380">SUMPRODUCT(Reinforcement_Yr5_61*Long_Term_Monetised_Risk_61)</f>
        <v>0</v>
      </c>
      <c r="K380" s="64" cm="1">
        <f t="array" ref="K380">SUMPRODUCT(Faults_Yr5_61*Long_Term_Monetised_Risk_61)</f>
        <v>0</v>
      </c>
      <c r="L380" s="64" cm="1">
        <f t="array" ref="L380">SUMPRODUCT(HVP_Asset_Replacement_Refurbishment_Yr5_61*Long_Term_Monetised_Risk_61)</f>
        <v>0</v>
      </c>
      <c r="M380" s="64" cm="1">
        <f t="array" ref="M380">SUMPRODUCT(HVP_Other_Yr5_61*Long_Term_Monetised_Risk_61)</f>
        <v>0</v>
      </c>
      <c r="N380" s="64" cm="1">
        <f t="array" ref="N380">SUMPRODUCT(All_Other_Yr5_61*Long_Term_Monetised_Risk_61)</f>
        <v>0</v>
      </c>
      <c r="O380" s="65" cm="1">
        <f t="array" ref="O380">SUMPRODUCT(End_Of_Year_Yr5_61*Long_Term_Monetised_Risk_61)</f>
        <v>0</v>
      </c>
      <c r="Q380" s="110"/>
      <c r="R380" s="111"/>
      <c r="S380" s="119"/>
      <c r="T380" s="114" cm="1">
        <f t="array" ref="T380">SUMPRODUCT(Asset_Replacement_2028_Yr5_61*Long_Term_Monetised_Risk_61)</f>
        <v>0</v>
      </c>
      <c r="U380" s="64" cm="1">
        <f t="array" ref="U380">SUMPRODUCT(Asset_Refurbishment_2028_Yr5_61*Long_Term_Monetised_Risk_61)</f>
        <v>0</v>
      </c>
      <c r="V380" s="65" cm="1">
        <f t="array" ref="V380">SUMPRODUCT(HVP_2028_Yr5_61*Long_Term_Monetised_Risk_61)</f>
        <v>0</v>
      </c>
    </row>
    <row r="381" spans="1:22" ht="12" customHeight="1" thickBot="1">
      <c r="B381" s="496" t="s">
        <v>122</v>
      </c>
      <c r="C381" s="129" t="s">
        <v>131</v>
      </c>
      <c r="D381" s="130"/>
      <c r="E381" s="131">
        <f t="shared" ref="E381:O381" si="130">SUM(E376:E380)</f>
        <v>0</v>
      </c>
      <c r="F381" s="131">
        <f t="shared" si="130"/>
        <v>0</v>
      </c>
      <c r="G381" s="131">
        <f t="shared" si="130"/>
        <v>0</v>
      </c>
      <c r="H381" s="131">
        <f t="shared" si="130"/>
        <v>0</v>
      </c>
      <c r="I381" s="131">
        <f t="shared" si="130"/>
        <v>0</v>
      </c>
      <c r="J381" s="131">
        <f t="shared" si="130"/>
        <v>0</v>
      </c>
      <c r="K381" s="131">
        <f t="shared" si="130"/>
        <v>0</v>
      </c>
      <c r="L381" s="131">
        <f t="shared" si="130"/>
        <v>0</v>
      </c>
      <c r="M381" s="131">
        <f t="shared" si="130"/>
        <v>0</v>
      </c>
      <c r="N381" s="131">
        <f t="shared" si="130"/>
        <v>0</v>
      </c>
      <c r="O381" s="538">
        <f t="shared" si="130"/>
        <v>0</v>
      </c>
      <c r="Q381" s="107" t="str">
        <f ca="1">VLOOKUP($B381,'NARM4 - ED2 NARW Risk Movements'!$B$7:$G$67,4,FALSE)</f>
        <v/>
      </c>
      <c r="R381" s="109" t="str">
        <f ca="1">VLOOKUP($B381,'NARM4 - ED2 NARW Risk Movements'!$B$7:$G$67,5,FALSE)</f>
        <v/>
      </c>
      <c r="S381" s="121" t="str">
        <f ca="1">VLOOKUP($B381,'NARM4 - ED2 NARW Risk Movements'!$B$7:$G$67,6,FALSE)</f>
        <v/>
      </c>
      <c r="T381" s="132">
        <f>SUM(T376:T380)</f>
        <v>0</v>
      </c>
      <c r="U381" s="131">
        <f t="shared" ref="U381" si="131">SUM(U376:U380)</f>
        <v>0</v>
      </c>
      <c r="V381" s="133">
        <f>SUM(V376:V380)</f>
        <v>0</v>
      </c>
    </row>
    <row r="382" spans="1:22" ht="12" customHeight="1" thickTop="1" thickBot="1">
      <c r="B382" s="134"/>
      <c r="C382" s="135"/>
      <c r="D382" s="136"/>
      <c r="E382" s="136"/>
      <c r="F382" s="136"/>
      <c r="G382" s="136"/>
      <c r="H382" s="136"/>
      <c r="I382" s="136"/>
      <c r="J382" s="136"/>
      <c r="K382" s="136"/>
      <c r="L382" s="136"/>
      <c r="M382" s="136"/>
      <c r="N382" s="136"/>
      <c r="O382" s="497"/>
      <c r="Q382" s="134"/>
      <c r="R382" s="136"/>
      <c r="S382" s="137"/>
      <c r="T382" s="136"/>
      <c r="U382" s="136"/>
      <c r="V382" s="497"/>
    </row>
    <row r="383" spans="1:22" ht="12" customHeight="1">
      <c r="B383" s="95" t="s">
        <v>131</v>
      </c>
      <c r="C383" s="96">
        <v>2024</v>
      </c>
      <c r="D383" s="97">
        <f t="shared" ref="D383" si="132">SUM(D389,D395,D401,D407)</f>
        <v>0</v>
      </c>
      <c r="E383" s="97">
        <f t="shared" ref="E383:M383" si="133">SUM(E389,E395,E401,E407)</f>
        <v>0</v>
      </c>
      <c r="F383" s="97">
        <f t="shared" si="133"/>
        <v>0</v>
      </c>
      <c r="G383" s="97">
        <f t="shared" si="133"/>
        <v>0</v>
      </c>
      <c r="H383" s="97">
        <f t="shared" si="133"/>
        <v>0</v>
      </c>
      <c r="I383" s="97">
        <f t="shared" si="133"/>
        <v>0</v>
      </c>
      <c r="J383" s="97">
        <f t="shared" si="133"/>
        <v>0</v>
      </c>
      <c r="K383" s="97">
        <f t="shared" si="133"/>
        <v>0</v>
      </c>
      <c r="L383" s="97">
        <f t="shared" si="133"/>
        <v>0</v>
      </c>
      <c r="M383" s="97">
        <f t="shared" si="133"/>
        <v>0</v>
      </c>
      <c r="N383" s="97">
        <f t="shared" ref="N383:O387" si="134">SUM(N389,N395,N401,N407)</f>
        <v>0</v>
      </c>
      <c r="O383" s="98">
        <f t="shared" si="134"/>
        <v>0</v>
      </c>
      <c r="Q383" s="112"/>
      <c r="R383" s="113"/>
      <c r="S383" s="120"/>
      <c r="T383" s="116">
        <f t="shared" ref="T383:V383" si="135">SUM(T389,T395,T401,T407)</f>
        <v>0</v>
      </c>
      <c r="U383" s="97">
        <f t="shared" si="135"/>
        <v>0</v>
      </c>
      <c r="V383" s="98">
        <f t="shared" si="135"/>
        <v>0</v>
      </c>
    </row>
    <row r="384" spans="1:22" ht="12" customHeight="1">
      <c r="B384" s="93" t="s">
        <v>131</v>
      </c>
      <c r="C384" s="91">
        <v>2025</v>
      </c>
      <c r="D384" s="64">
        <f t="shared" ref="D384" si="136">SUM(D390,D396,D402,D408)</f>
        <v>0</v>
      </c>
      <c r="E384" s="64">
        <f t="shared" ref="E384:M384" si="137">SUM(E390,E396,E402,E408)</f>
        <v>0</v>
      </c>
      <c r="F384" s="64">
        <f t="shared" si="137"/>
        <v>0</v>
      </c>
      <c r="G384" s="64">
        <f t="shared" si="137"/>
        <v>0</v>
      </c>
      <c r="H384" s="64">
        <f t="shared" si="137"/>
        <v>0</v>
      </c>
      <c r="I384" s="64">
        <f t="shared" si="137"/>
        <v>0</v>
      </c>
      <c r="J384" s="64">
        <f t="shared" si="137"/>
        <v>0</v>
      </c>
      <c r="K384" s="64">
        <f t="shared" si="137"/>
        <v>0</v>
      </c>
      <c r="L384" s="64">
        <f t="shared" si="137"/>
        <v>0</v>
      </c>
      <c r="M384" s="64">
        <f t="shared" si="137"/>
        <v>0</v>
      </c>
      <c r="N384" s="64">
        <f t="shared" si="134"/>
        <v>0</v>
      </c>
      <c r="O384" s="65">
        <f t="shared" si="134"/>
        <v>0</v>
      </c>
      <c r="Q384" s="110"/>
      <c r="R384" s="111"/>
      <c r="S384" s="119"/>
      <c r="T384" s="114">
        <f t="shared" ref="T384:V384" si="138">SUM(T390,T396,T402,T408)</f>
        <v>0</v>
      </c>
      <c r="U384" s="64">
        <f t="shared" si="138"/>
        <v>0</v>
      </c>
      <c r="V384" s="65">
        <f t="shared" si="138"/>
        <v>0</v>
      </c>
    </row>
    <row r="385" spans="2:22" ht="12" customHeight="1">
      <c r="B385" s="93" t="s">
        <v>131</v>
      </c>
      <c r="C385" s="91">
        <v>2026</v>
      </c>
      <c r="D385" s="64">
        <f t="shared" ref="D385" si="139">SUM(D391,D397,D403,D409)</f>
        <v>0</v>
      </c>
      <c r="E385" s="64">
        <f t="shared" ref="E385:M385" si="140">SUM(E391,E397,E403,E409)</f>
        <v>0</v>
      </c>
      <c r="F385" s="64">
        <f t="shared" si="140"/>
        <v>0</v>
      </c>
      <c r="G385" s="64">
        <f t="shared" si="140"/>
        <v>0</v>
      </c>
      <c r="H385" s="64">
        <f t="shared" si="140"/>
        <v>0</v>
      </c>
      <c r="I385" s="64">
        <f t="shared" si="140"/>
        <v>0</v>
      </c>
      <c r="J385" s="64">
        <f t="shared" si="140"/>
        <v>0</v>
      </c>
      <c r="K385" s="64">
        <f t="shared" si="140"/>
        <v>0</v>
      </c>
      <c r="L385" s="64">
        <f t="shared" si="140"/>
        <v>0</v>
      </c>
      <c r="M385" s="64">
        <f t="shared" si="140"/>
        <v>0</v>
      </c>
      <c r="N385" s="64">
        <f t="shared" si="134"/>
        <v>0</v>
      </c>
      <c r="O385" s="65">
        <f t="shared" si="134"/>
        <v>0</v>
      </c>
      <c r="Q385" s="110"/>
      <c r="R385" s="111"/>
      <c r="S385" s="119"/>
      <c r="T385" s="114">
        <f t="shared" ref="T385:V385" si="141">SUM(T391,T397,T403,T409)</f>
        <v>0</v>
      </c>
      <c r="U385" s="64">
        <f t="shared" si="141"/>
        <v>0</v>
      </c>
      <c r="V385" s="65">
        <f t="shared" si="141"/>
        <v>0</v>
      </c>
    </row>
    <row r="386" spans="2:22" ht="12" customHeight="1">
      <c r="B386" s="93" t="s">
        <v>131</v>
      </c>
      <c r="C386" s="91">
        <v>2027</v>
      </c>
      <c r="D386" s="64">
        <f t="shared" ref="D386" si="142">SUM(D392,D398,D404,D410)</f>
        <v>0</v>
      </c>
      <c r="E386" s="64">
        <f t="shared" ref="E386:M386" si="143">SUM(E392,E398,E404,E410)</f>
        <v>0</v>
      </c>
      <c r="F386" s="64">
        <f t="shared" si="143"/>
        <v>0</v>
      </c>
      <c r="G386" s="64">
        <f t="shared" si="143"/>
        <v>0</v>
      </c>
      <c r="H386" s="64">
        <f t="shared" si="143"/>
        <v>0</v>
      </c>
      <c r="I386" s="64">
        <f t="shared" si="143"/>
        <v>0</v>
      </c>
      <c r="J386" s="64">
        <f t="shared" si="143"/>
        <v>0</v>
      </c>
      <c r="K386" s="64">
        <f t="shared" si="143"/>
        <v>0</v>
      </c>
      <c r="L386" s="64">
        <f t="shared" si="143"/>
        <v>0</v>
      </c>
      <c r="M386" s="64">
        <f t="shared" si="143"/>
        <v>0</v>
      </c>
      <c r="N386" s="64">
        <f t="shared" si="134"/>
        <v>0</v>
      </c>
      <c r="O386" s="65">
        <f t="shared" si="134"/>
        <v>0</v>
      </c>
      <c r="Q386" s="110"/>
      <c r="R386" s="111"/>
      <c r="S386" s="119"/>
      <c r="T386" s="114">
        <f t="shared" ref="T386:V386" si="144">SUM(T392,T398,T404,T410)</f>
        <v>0</v>
      </c>
      <c r="U386" s="64">
        <f t="shared" si="144"/>
        <v>0</v>
      </c>
      <c r="V386" s="65">
        <f t="shared" si="144"/>
        <v>0</v>
      </c>
    </row>
    <row r="387" spans="2:22" ht="12" customHeight="1">
      <c r="B387" s="93" t="s">
        <v>131</v>
      </c>
      <c r="C387" s="91">
        <v>2028</v>
      </c>
      <c r="D387" s="64">
        <f t="shared" ref="D387" si="145">SUM(D393,D399,D405,D411)</f>
        <v>0</v>
      </c>
      <c r="E387" s="64">
        <f t="shared" ref="E387:M387" si="146">SUM(E393,E399,E405,E411)</f>
        <v>0</v>
      </c>
      <c r="F387" s="64">
        <f t="shared" si="146"/>
        <v>0</v>
      </c>
      <c r="G387" s="64">
        <f t="shared" si="146"/>
        <v>0</v>
      </c>
      <c r="H387" s="64">
        <f t="shared" si="146"/>
        <v>0</v>
      </c>
      <c r="I387" s="64">
        <f t="shared" si="146"/>
        <v>0</v>
      </c>
      <c r="J387" s="64">
        <f t="shared" si="146"/>
        <v>0</v>
      </c>
      <c r="K387" s="64">
        <f t="shared" si="146"/>
        <v>0</v>
      </c>
      <c r="L387" s="64">
        <f t="shared" si="146"/>
        <v>0</v>
      </c>
      <c r="M387" s="64">
        <f t="shared" si="146"/>
        <v>0</v>
      </c>
      <c r="N387" s="64">
        <f t="shared" si="134"/>
        <v>0</v>
      </c>
      <c r="O387" s="65">
        <f t="shared" si="134"/>
        <v>0</v>
      </c>
      <c r="Q387" s="110"/>
      <c r="R387" s="111"/>
      <c r="S387" s="119"/>
      <c r="T387" s="114">
        <f t="shared" ref="T387:V387" si="147">SUM(T393,T399,T405,T411)</f>
        <v>0</v>
      </c>
      <c r="U387" s="64">
        <f t="shared" si="147"/>
        <v>0</v>
      </c>
      <c r="V387" s="65">
        <f t="shared" si="147"/>
        <v>0</v>
      </c>
    </row>
    <row r="388" spans="2:22" ht="12" customHeight="1">
      <c r="B388" s="93" t="s">
        <v>131</v>
      </c>
      <c r="C388" s="92" t="s">
        <v>131</v>
      </c>
      <c r="D388" s="83"/>
      <c r="E388" s="78">
        <f t="shared" ref="E388:M388" si="148">SUM(E394,E400,E406,E412)</f>
        <v>0</v>
      </c>
      <c r="F388" s="78">
        <f t="shared" si="148"/>
        <v>0</v>
      </c>
      <c r="G388" s="78">
        <f t="shared" si="148"/>
        <v>0</v>
      </c>
      <c r="H388" s="78">
        <f t="shared" si="148"/>
        <v>0</v>
      </c>
      <c r="I388" s="78">
        <f t="shared" si="148"/>
        <v>0</v>
      </c>
      <c r="J388" s="78">
        <f t="shared" si="148"/>
        <v>0</v>
      </c>
      <c r="K388" s="78">
        <f t="shared" si="148"/>
        <v>0</v>
      </c>
      <c r="L388" s="78">
        <f t="shared" si="148"/>
        <v>0</v>
      </c>
      <c r="M388" s="78">
        <f t="shared" si="148"/>
        <v>0</v>
      </c>
      <c r="N388" s="78">
        <f>SUM(N394,N400,N406,N412)</f>
        <v>0</v>
      </c>
      <c r="O388" s="84"/>
      <c r="Q388" s="82" t="e">
        <f t="shared" ref="Q388:V388" ca="1" si="149">SUM(Q394,Q400,Q406,Q412)</f>
        <v>#VALUE!</v>
      </c>
      <c r="R388" s="67" t="e">
        <f t="shared" ca="1" si="149"/>
        <v>#VALUE!</v>
      </c>
      <c r="S388" s="122" t="e">
        <f t="shared" ca="1" si="149"/>
        <v>#VALUE!</v>
      </c>
      <c r="T388" s="80">
        <f t="shared" si="149"/>
        <v>0</v>
      </c>
      <c r="U388" s="78">
        <f t="shared" si="149"/>
        <v>0</v>
      </c>
      <c r="V388" s="81">
        <f t="shared" si="149"/>
        <v>0</v>
      </c>
    </row>
    <row r="389" spans="2:22" ht="12" customHeight="1">
      <c r="B389" s="93" t="s">
        <v>132</v>
      </c>
      <c r="C389" s="91">
        <v>2024</v>
      </c>
      <c r="D389" s="67">
        <f>D16+D22+D28+D34+D40+D46+D52+D58</f>
        <v>0</v>
      </c>
      <c r="E389" s="64">
        <f t="shared" ref="E389:N389" si="150">E16+E22+E28+E34+E40+E46+E52+E58</f>
        <v>0</v>
      </c>
      <c r="F389" s="64">
        <f t="shared" si="150"/>
        <v>0</v>
      </c>
      <c r="G389" s="64">
        <f t="shared" si="150"/>
        <v>0</v>
      </c>
      <c r="H389" s="64">
        <f>H16+H22+H28+H34+H40+H46+H52+H58</f>
        <v>0</v>
      </c>
      <c r="I389" s="64">
        <f t="shared" si="150"/>
        <v>0</v>
      </c>
      <c r="J389" s="64">
        <f t="shared" si="150"/>
        <v>0</v>
      </c>
      <c r="K389" s="64">
        <f t="shared" si="150"/>
        <v>0</v>
      </c>
      <c r="L389" s="64">
        <f t="shared" si="150"/>
        <v>0</v>
      </c>
      <c r="M389" s="64">
        <f t="shared" si="150"/>
        <v>0</v>
      </c>
      <c r="N389" s="64">
        <f t="shared" si="150"/>
        <v>0</v>
      </c>
      <c r="O389" s="65">
        <f>O16+O22+O28+O34+O40+O46+O52+O58</f>
        <v>0</v>
      </c>
      <c r="Q389" s="112"/>
      <c r="R389" s="113"/>
      <c r="S389" s="120"/>
      <c r="T389" s="114">
        <f t="shared" ref="T389:V394" si="151">T16+T22+T28+T34+T40+T46+T52+T58</f>
        <v>0</v>
      </c>
      <c r="U389" s="64">
        <f t="shared" si="151"/>
        <v>0</v>
      </c>
      <c r="V389" s="65">
        <f t="shared" si="151"/>
        <v>0</v>
      </c>
    </row>
    <row r="390" spans="2:22" ht="12" customHeight="1">
      <c r="B390" s="93" t="s">
        <v>132</v>
      </c>
      <c r="C390" s="91">
        <v>2025</v>
      </c>
      <c r="D390" s="67">
        <f>D17+D23+D29+D35+D41+D47+D53+D59</f>
        <v>0</v>
      </c>
      <c r="E390" s="64">
        <f t="shared" ref="E390:N390" si="152">E17+E23+E29+E35+E41+E47+E53+E59</f>
        <v>0</v>
      </c>
      <c r="F390" s="64">
        <f t="shared" si="152"/>
        <v>0</v>
      </c>
      <c r="G390" s="64">
        <f t="shared" si="152"/>
        <v>0</v>
      </c>
      <c r="H390" s="64">
        <f t="shared" si="152"/>
        <v>0</v>
      </c>
      <c r="I390" s="64">
        <f t="shared" si="152"/>
        <v>0</v>
      </c>
      <c r="J390" s="64">
        <f t="shared" si="152"/>
        <v>0</v>
      </c>
      <c r="K390" s="64">
        <f t="shared" si="152"/>
        <v>0</v>
      </c>
      <c r="L390" s="64">
        <f t="shared" si="152"/>
        <v>0</v>
      </c>
      <c r="M390" s="64">
        <f t="shared" si="152"/>
        <v>0</v>
      </c>
      <c r="N390" s="64">
        <f t="shared" si="152"/>
        <v>0</v>
      </c>
      <c r="O390" s="65">
        <f>O17+O23+O29+O35+O41+O47+O53+O59</f>
        <v>0</v>
      </c>
      <c r="Q390" s="110"/>
      <c r="R390" s="111"/>
      <c r="S390" s="119"/>
      <c r="T390" s="114">
        <f t="shared" si="151"/>
        <v>0</v>
      </c>
      <c r="U390" s="64">
        <f t="shared" si="151"/>
        <v>0</v>
      </c>
      <c r="V390" s="65">
        <f t="shared" si="151"/>
        <v>0</v>
      </c>
    </row>
    <row r="391" spans="2:22" ht="12" customHeight="1">
      <c r="B391" s="93" t="s">
        <v>132</v>
      </c>
      <c r="C391" s="91">
        <v>2026</v>
      </c>
      <c r="D391" s="67">
        <f>D18+D24+D30+D36+D42+D48+D54+D60</f>
        <v>0</v>
      </c>
      <c r="E391" s="64">
        <f t="shared" ref="E391:N391" si="153">E18+E24+E30+E36+E42+E48+E54+E60</f>
        <v>0</v>
      </c>
      <c r="F391" s="64">
        <f t="shared" si="153"/>
        <v>0</v>
      </c>
      <c r="G391" s="64">
        <f t="shared" si="153"/>
        <v>0</v>
      </c>
      <c r="H391" s="64">
        <f t="shared" si="153"/>
        <v>0</v>
      </c>
      <c r="I391" s="64">
        <f t="shared" si="153"/>
        <v>0</v>
      </c>
      <c r="J391" s="64">
        <f t="shared" si="153"/>
        <v>0</v>
      </c>
      <c r="K391" s="64">
        <f t="shared" si="153"/>
        <v>0</v>
      </c>
      <c r="L391" s="64">
        <f t="shared" si="153"/>
        <v>0</v>
      </c>
      <c r="M391" s="64">
        <f t="shared" si="153"/>
        <v>0</v>
      </c>
      <c r="N391" s="64">
        <f t="shared" si="153"/>
        <v>0</v>
      </c>
      <c r="O391" s="65">
        <f>O18+O24+O30+O36+O42+O48+O54+O60</f>
        <v>0</v>
      </c>
      <c r="Q391" s="110"/>
      <c r="R391" s="111"/>
      <c r="S391" s="119"/>
      <c r="T391" s="114">
        <f t="shared" si="151"/>
        <v>0</v>
      </c>
      <c r="U391" s="64">
        <f t="shared" si="151"/>
        <v>0</v>
      </c>
      <c r="V391" s="65">
        <f t="shared" si="151"/>
        <v>0</v>
      </c>
    </row>
    <row r="392" spans="2:22" ht="12" customHeight="1">
      <c r="B392" s="93" t="s">
        <v>132</v>
      </c>
      <c r="C392" s="91">
        <v>2027</v>
      </c>
      <c r="D392" s="67">
        <f>D19+D25+D31+D37+D43+D49+D55+D61</f>
        <v>0</v>
      </c>
      <c r="E392" s="64">
        <f t="shared" ref="E392:N392" si="154">E19+E25+E31+E37+E43+E49+E55+E61</f>
        <v>0</v>
      </c>
      <c r="F392" s="64">
        <f t="shared" si="154"/>
        <v>0</v>
      </c>
      <c r="G392" s="64">
        <f t="shared" si="154"/>
        <v>0</v>
      </c>
      <c r="H392" s="64">
        <f t="shared" si="154"/>
        <v>0</v>
      </c>
      <c r="I392" s="64">
        <f t="shared" si="154"/>
        <v>0</v>
      </c>
      <c r="J392" s="64">
        <f t="shared" si="154"/>
        <v>0</v>
      </c>
      <c r="K392" s="64">
        <f t="shared" si="154"/>
        <v>0</v>
      </c>
      <c r="L392" s="64">
        <f t="shared" si="154"/>
        <v>0</v>
      </c>
      <c r="M392" s="64">
        <f t="shared" si="154"/>
        <v>0</v>
      </c>
      <c r="N392" s="64">
        <f t="shared" si="154"/>
        <v>0</v>
      </c>
      <c r="O392" s="65">
        <f>O19+O25+O31+O37+O43+O49+O55+O61</f>
        <v>0</v>
      </c>
      <c r="Q392" s="110"/>
      <c r="R392" s="111"/>
      <c r="S392" s="119"/>
      <c r="T392" s="114">
        <f t="shared" si="151"/>
        <v>0</v>
      </c>
      <c r="U392" s="64">
        <f t="shared" si="151"/>
        <v>0</v>
      </c>
      <c r="V392" s="65">
        <f t="shared" si="151"/>
        <v>0</v>
      </c>
    </row>
    <row r="393" spans="2:22" ht="12" customHeight="1">
      <c r="B393" s="93" t="s">
        <v>132</v>
      </c>
      <c r="C393" s="91">
        <v>2028</v>
      </c>
      <c r="D393" s="67">
        <f>D20+D26+D32+D38+D44+D50+D56+D62</f>
        <v>0</v>
      </c>
      <c r="E393" s="64">
        <f t="shared" ref="E393:N393" si="155">E20+E26+E32+E38+E44+E50+E56+E62</f>
        <v>0</v>
      </c>
      <c r="F393" s="64">
        <f t="shared" si="155"/>
        <v>0</v>
      </c>
      <c r="G393" s="64">
        <f t="shared" si="155"/>
        <v>0</v>
      </c>
      <c r="H393" s="64">
        <f t="shared" si="155"/>
        <v>0</v>
      </c>
      <c r="I393" s="64">
        <f t="shared" si="155"/>
        <v>0</v>
      </c>
      <c r="J393" s="64">
        <f t="shared" si="155"/>
        <v>0</v>
      </c>
      <c r="K393" s="64">
        <f t="shared" si="155"/>
        <v>0</v>
      </c>
      <c r="L393" s="64">
        <f t="shared" si="155"/>
        <v>0</v>
      </c>
      <c r="M393" s="64">
        <f t="shared" si="155"/>
        <v>0</v>
      </c>
      <c r="N393" s="64">
        <f t="shared" si="155"/>
        <v>0</v>
      </c>
      <c r="O393" s="65">
        <f>O20+O26+O32+O38+O44+O50+O56+O62</f>
        <v>0</v>
      </c>
      <c r="Q393" s="110"/>
      <c r="R393" s="111"/>
      <c r="S393" s="119"/>
      <c r="T393" s="114">
        <f t="shared" si="151"/>
        <v>0</v>
      </c>
      <c r="U393" s="64">
        <f t="shared" si="151"/>
        <v>0</v>
      </c>
      <c r="V393" s="65">
        <f t="shared" si="151"/>
        <v>0</v>
      </c>
    </row>
    <row r="394" spans="2:22" ht="12" customHeight="1">
      <c r="B394" s="93" t="s">
        <v>132</v>
      </c>
      <c r="C394" s="92" t="s">
        <v>131</v>
      </c>
      <c r="D394" s="83"/>
      <c r="E394" s="78">
        <f t="shared" ref="E394:N394" si="156">E21+E27+E33+E39+E45+E51+E57+E63</f>
        <v>0</v>
      </c>
      <c r="F394" s="78">
        <f t="shared" si="156"/>
        <v>0</v>
      </c>
      <c r="G394" s="78">
        <f t="shared" si="156"/>
        <v>0</v>
      </c>
      <c r="H394" s="78">
        <f t="shared" si="156"/>
        <v>0</v>
      </c>
      <c r="I394" s="78">
        <f t="shared" si="156"/>
        <v>0</v>
      </c>
      <c r="J394" s="78">
        <f t="shared" si="156"/>
        <v>0</v>
      </c>
      <c r="K394" s="78">
        <f t="shared" si="156"/>
        <v>0</v>
      </c>
      <c r="L394" s="78">
        <f t="shared" si="156"/>
        <v>0</v>
      </c>
      <c r="M394" s="78">
        <f t="shared" si="156"/>
        <v>0</v>
      </c>
      <c r="N394" s="78">
        <f t="shared" si="156"/>
        <v>0</v>
      </c>
      <c r="O394" s="84"/>
      <c r="Q394" s="82" t="e">
        <f ca="1">Q21+Q27+Q33+Q39+Q45+Q51+Q57+Q63</f>
        <v>#VALUE!</v>
      </c>
      <c r="R394" s="67" t="e">
        <f ca="1">R21+R27+R33+R39+R45+R51+R57+R63</f>
        <v>#VALUE!</v>
      </c>
      <c r="S394" s="122" t="e">
        <f ca="1">S21+S27+S33+S39+S45+S51+S57+S63</f>
        <v>#VALUE!</v>
      </c>
      <c r="T394" s="80">
        <f t="shared" si="151"/>
        <v>0</v>
      </c>
      <c r="U394" s="78">
        <f t="shared" si="151"/>
        <v>0</v>
      </c>
      <c r="V394" s="81">
        <f t="shared" si="151"/>
        <v>0</v>
      </c>
    </row>
    <row r="395" spans="2:22" ht="12" customHeight="1">
      <c r="B395" s="93" t="s">
        <v>133</v>
      </c>
      <c r="C395" s="91">
        <v>2024</v>
      </c>
      <c r="D395" s="67">
        <f t="shared" ref="D395:O395" si="157">D64+D70+D76+D82+D88+D94+D100+D106+D112+D118+D124+D130+D136+D142</f>
        <v>0</v>
      </c>
      <c r="E395" s="64">
        <f t="shared" si="157"/>
        <v>0</v>
      </c>
      <c r="F395" s="64">
        <f t="shared" si="157"/>
        <v>0</v>
      </c>
      <c r="G395" s="64">
        <f t="shared" si="157"/>
        <v>0</v>
      </c>
      <c r="H395" s="64">
        <f t="shared" si="157"/>
        <v>0</v>
      </c>
      <c r="I395" s="64">
        <f t="shared" si="157"/>
        <v>0</v>
      </c>
      <c r="J395" s="64">
        <f t="shared" si="157"/>
        <v>0</v>
      </c>
      <c r="K395" s="64">
        <f t="shared" si="157"/>
        <v>0</v>
      </c>
      <c r="L395" s="64">
        <f t="shared" si="157"/>
        <v>0</v>
      </c>
      <c r="M395" s="64">
        <f t="shared" si="157"/>
        <v>0</v>
      </c>
      <c r="N395" s="64">
        <f t="shared" si="157"/>
        <v>0</v>
      </c>
      <c r="O395" s="65">
        <f t="shared" si="157"/>
        <v>0</v>
      </c>
      <c r="Q395" s="112"/>
      <c r="R395" s="113"/>
      <c r="S395" s="120"/>
      <c r="T395" s="114">
        <f t="shared" ref="T395:V400" si="158">T64+T70+T76+T82+T88+T94+T100+T106+T112+T118+T124+T130+T136+T142</f>
        <v>0</v>
      </c>
      <c r="U395" s="64">
        <f t="shared" si="158"/>
        <v>0</v>
      </c>
      <c r="V395" s="65">
        <f t="shared" si="158"/>
        <v>0</v>
      </c>
    </row>
    <row r="396" spans="2:22" ht="12" customHeight="1">
      <c r="B396" s="93" t="s">
        <v>133</v>
      </c>
      <c r="C396" s="91">
        <v>2025</v>
      </c>
      <c r="D396" s="67">
        <f t="shared" ref="D396:O396" si="159">D65+D71+D77+D83+D89+D95+D101+D107+D113+D119+D125+D131+D137+D143</f>
        <v>0</v>
      </c>
      <c r="E396" s="64">
        <f t="shared" si="159"/>
        <v>0</v>
      </c>
      <c r="F396" s="64">
        <f t="shared" si="159"/>
        <v>0</v>
      </c>
      <c r="G396" s="64">
        <f t="shared" si="159"/>
        <v>0</v>
      </c>
      <c r="H396" s="64">
        <f t="shared" si="159"/>
        <v>0</v>
      </c>
      <c r="I396" s="64">
        <f t="shared" si="159"/>
        <v>0</v>
      </c>
      <c r="J396" s="64">
        <f t="shared" si="159"/>
        <v>0</v>
      </c>
      <c r="K396" s="64">
        <f t="shared" si="159"/>
        <v>0</v>
      </c>
      <c r="L396" s="64">
        <f t="shared" si="159"/>
        <v>0</v>
      </c>
      <c r="M396" s="64">
        <f t="shared" si="159"/>
        <v>0</v>
      </c>
      <c r="N396" s="64">
        <f t="shared" si="159"/>
        <v>0</v>
      </c>
      <c r="O396" s="65">
        <f t="shared" si="159"/>
        <v>0</v>
      </c>
      <c r="Q396" s="110"/>
      <c r="R396" s="111"/>
      <c r="S396" s="119"/>
      <c r="T396" s="114">
        <f t="shared" si="158"/>
        <v>0</v>
      </c>
      <c r="U396" s="64">
        <f t="shared" si="158"/>
        <v>0</v>
      </c>
      <c r="V396" s="65">
        <f t="shared" si="158"/>
        <v>0</v>
      </c>
    </row>
    <row r="397" spans="2:22" ht="12" customHeight="1">
      <c r="B397" s="93" t="s">
        <v>133</v>
      </c>
      <c r="C397" s="91">
        <v>2026</v>
      </c>
      <c r="D397" s="67">
        <f t="shared" ref="D397:O397" si="160">D66+D72+D78+D84+D90+D96+D102+D108+D114+D120+D126+D132+D138+D144</f>
        <v>0</v>
      </c>
      <c r="E397" s="64">
        <f t="shared" si="160"/>
        <v>0</v>
      </c>
      <c r="F397" s="64">
        <f t="shared" si="160"/>
        <v>0</v>
      </c>
      <c r="G397" s="64">
        <f t="shared" si="160"/>
        <v>0</v>
      </c>
      <c r="H397" s="64">
        <f t="shared" si="160"/>
        <v>0</v>
      </c>
      <c r="I397" s="64">
        <f t="shared" si="160"/>
        <v>0</v>
      </c>
      <c r="J397" s="64">
        <f t="shared" si="160"/>
        <v>0</v>
      </c>
      <c r="K397" s="64">
        <f t="shared" si="160"/>
        <v>0</v>
      </c>
      <c r="L397" s="64">
        <f t="shared" si="160"/>
        <v>0</v>
      </c>
      <c r="M397" s="64">
        <f t="shared" si="160"/>
        <v>0</v>
      </c>
      <c r="N397" s="64">
        <f t="shared" si="160"/>
        <v>0</v>
      </c>
      <c r="O397" s="65">
        <f t="shared" si="160"/>
        <v>0</v>
      </c>
      <c r="Q397" s="110"/>
      <c r="R397" s="111"/>
      <c r="S397" s="119"/>
      <c r="T397" s="114">
        <f t="shared" si="158"/>
        <v>0</v>
      </c>
      <c r="U397" s="64">
        <f t="shared" si="158"/>
        <v>0</v>
      </c>
      <c r="V397" s="65">
        <f t="shared" si="158"/>
        <v>0</v>
      </c>
    </row>
    <row r="398" spans="2:22" ht="12" customHeight="1">
      <c r="B398" s="93" t="s">
        <v>133</v>
      </c>
      <c r="C398" s="91">
        <v>2027</v>
      </c>
      <c r="D398" s="67">
        <f t="shared" ref="D398:O398" si="161">D67+D73+D79+D85+D91+D97+D103+D109+D115+D121+D127+D133+D139+D145</f>
        <v>0</v>
      </c>
      <c r="E398" s="64">
        <f t="shared" si="161"/>
        <v>0</v>
      </c>
      <c r="F398" s="64">
        <f t="shared" si="161"/>
        <v>0</v>
      </c>
      <c r="G398" s="64">
        <f t="shared" si="161"/>
        <v>0</v>
      </c>
      <c r="H398" s="64">
        <f t="shared" si="161"/>
        <v>0</v>
      </c>
      <c r="I398" s="64">
        <f t="shared" si="161"/>
        <v>0</v>
      </c>
      <c r="J398" s="64">
        <f t="shared" si="161"/>
        <v>0</v>
      </c>
      <c r="K398" s="64">
        <f t="shared" si="161"/>
        <v>0</v>
      </c>
      <c r="L398" s="64">
        <f t="shared" si="161"/>
        <v>0</v>
      </c>
      <c r="M398" s="64">
        <f t="shared" si="161"/>
        <v>0</v>
      </c>
      <c r="N398" s="64">
        <f t="shared" si="161"/>
        <v>0</v>
      </c>
      <c r="O398" s="65">
        <f t="shared" si="161"/>
        <v>0</v>
      </c>
      <c r="Q398" s="110"/>
      <c r="R398" s="111"/>
      <c r="S398" s="119"/>
      <c r="T398" s="114">
        <f t="shared" si="158"/>
        <v>0</v>
      </c>
      <c r="U398" s="64">
        <f t="shared" si="158"/>
        <v>0</v>
      </c>
      <c r="V398" s="65">
        <f t="shared" si="158"/>
        <v>0</v>
      </c>
    </row>
    <row r="399" spans="2:22" ht="12" customHeight="1">
      <c r="B399" s="93" t="s">
        <v>133</v>
      </c>
      <c r="C399" s="91">
        <v>2028</v>
      </c>
      <c r="D399" s="67">
        <f t="shared" ref="D399:O399" si="162">D68+D74+D80+D86+D92+D98+D104+D110+D116+D122+D128+D134+D140+D146</f>
        <v>0</v>
      </c>
      <c r="E399" s="64">
        <f t="shared" si="162"/>
        <v>0</v>
      </c>
      <c r="F399" s="64">
        <f t="shared" si="162"/>
        <v>0</v>
      </c>
      <c r="G399" s="64">
        <f t="shared" si="162"/>
        <v>0</v>
      </c>
      <c r="H399" s="64">
        <f t="shared" si="162"/>
        <v>0</v>
      </c>
      <c r="I399" s="64">
        <f t="shared" si="162"/>
        <v>0</v>
      </c>
      <c r="J399" s="64">
        <f t="shared" si="162"/>
        <v>0</v>
      </c>
      <c r="K399" s="64">
        <f t="shared" si="162"/>
        <v>0</v>
      </c>
      <c r="L399" s="64">
        <f t="shared" si="162"/>
        <v>0</v>
      </c>
      <c r="M399" s="64">
        <f t="shared" si="162"/>
        <v>0</v>
      </c>
      <c r="N399" s="64">
        <f t="shared" si="162"/>
        <v>0</v>
      </c>
      <c r="O399" s="65">
        <f t="shared" si="162"/>
        <v>0</v>
      </c>
      <c r="Q399" s="110"/>
      <c r="R399" s="111"/>
      <c r="S399" s="119"/>
      <c r="T399" s="114">
        <f t="shared" si="158"/>
        <v>0</v>
      </c>
      <c r="U399" s="64">
        <f t="shared" si="158"/>
        <v>0</v>
      </c>
      <c r="V399" s="65">
        <f t="shared" si="158"/>
        <v>0</v>
      </c>
    </row>
    <row r="400" spans="2:22" ht="12" customHeight="1">
      <c r="B400" s="93" t="s">
        <v>133</v>
      </c>
      <c r="C400" s="92" t="s">
        <v>131</v>
      </c>
      <c r="D400" s="83"/>
      <c r="E400" s="78">
        <f t="shared" ref="E400:N400" si="163">E69+E75+E81+E87+E93+E99+E105+E111+E117+E123+E129+E135+E141+E147</f>
        <v>0</v>
      </c>
      <c r="F400" s="78">
        <f t="shared" si="163"/>
        <v>0</v>
      </c>
      <c r="G400" s="78">
        <f t="shared" si="163"/>
        <v>0</v>
      </c>
      <c r="H400" s="78">
        <f t="shared" si="163"/>
        <v>0</v>
      </c>
      <c r="I400" s="78">
        <f t="shared" si="163"/>
        <v>0</v>
      </c>
      <c r="J400" s="78">
        <f t="shared" si="163"/>
        <v>0</v>
      </c>
      <c r="K400" s="78">
        <f t="shared" si="163"/>
        <v>0</v>
      </c>
      <c r="L400" s="78">
        <f t="shared" si="163"/>
        <v>0</v>
      </c>
      <c r="M400" s="78">
        <f t="shared" si="163"/>
        <v>0</v>
      </c>
      <c r="N400" s="78">
        <f t="shared" si="163"/>
        <v>0</v>
      </c>
      <c r="O400" s="84"/>
      <c r="Q400" s="82" t="e">
        <f ca="1">Q69+Q75+Q81+Q87+Q93+Q99+Q105+Q111+Q117+Q123+Q129+Q135+Q141+Q147</f>
        <v>#VALUE!</v>
      </c>
      <c r="R400" s="67" t="e">
        <f ca="1">R69+R75+R81+R87+R93+R99+R105+R111+R117+R123+R129+R135+R141+R147</f>
        <v>#VALUE!</v>
      </c>
      <c r="S400" s="122" t="e">
        <f ca="1">S69+S75+S81+S87+S93+S99+S105+S111+S117+S123+S129+S135+S141+S147</f>
        <v>#VALUE!</v>
      </c>
      <c r="T400" s="80">
        <f t="shared" si="158"/>
        <v>0</v>
      </c>
      <c r="U400" s="78">
        <f t="shared" si="158"/>
        <v>0</v>
      </c>
      <c r="V400" s="81">
        <f t="shared" si="158"/>
        <v>0</v>
      </c>
    </row>
    <row r="401" spans="2:22" ht="12" customHeight="1">
      <c r="B401" s="93" t="s">
        <v>134</v>
      </c>
      <c r="C401" s="91">
        <v>2024</v>
      </c>
      <c r="D401" s="67">
        <f t="shared" ref="D401:O401" si="164">D148+D154+D160+D166+D172+D178+D184+D190+D196+D202+D208+D214+D220+D226+D232+D238+D244+D250+D256+D262+D268+D274+D280+D286+D292+D298+D304</f>
        <v>0</v>
      </c>
      <c r="E401" s="64">
        <f t="shared" si="164"/>
        <v>0</v>
      </c>
      <c r="F401" s="64">
        <f t="shared" si="164"/>
        <v>0</v>
      </c>
      <c r="G401" s="64">
        <f t="shared" si="164"/>
        <v>0</v>
      </c>
      <c r="H401" s="64">
        <f t="shared" si="164"/>
        <v>0</v>
      </c>
      <c r="I401" s="64">
        <f t="shared" si="164"/>
        <v>0</v>
      </c>
      <c r="J401" s="64">
        <f t="shared" si="164"/>
        <v>0</v>
      </c>
      <c r="K401" s="64">
        <f t="shared" si="164"/>
        <v>0</v>
      </c>
      <c r="L401" s="64">
        <f t="shared" si="164"/>
        <v>0</v>
      </c>
      <c r="M401" s="64">
        <f t="shared" si="164"/>
        <v>0</v>
      </c>
      <c r="N401" s="64">
        <f t="shared" si="164"/>
        <v>0</v>
      </c>
      <c r="O401" s="65">
        <f t="shared" si="164"/>
        <v>0</v>
      </c>
      <c r="Q401" s="112"/>
      <c r="R401" s="113"/>
      <c r="S401" s="120"/>
      <c r="T401" s="114">
        <f t="shared" ref="T401:V406" si="165">T148+T154+T160+T166+T172+T178+T184+T190+T196+T202+T208+T214+T220+T226+T232+T238+T244+T250+T256+T262+T268+T274+T280+T286+T292+T298+T304</f>
        <v>0</v>
      </c>
      <c r="U401" s="64">
        <f t="shared" si="165"/>
        <v>0</v>
      </c>
      <c r="V401" s="65">
        <f t="shared" si="165"/>
        <v>0</v>
      </c>
    </row>
    <row r="402" spans="2:22" ht="12" customHeight="1">
      <c r="B402" s="93" t="s">
        <v>134</v>
      </c>
      <c r="C402" s="91">
        <v>2025</v>
      </c>
      <c r="D402" s="67">
        <f t="shared" ref="D402:O402" si="166">D149+D155+D161+D167+D173+D179+D185+D191+D197+D203+D209+D215+D221+D227+D233+D239+D245+D251+D257+D263+D269+D275+D281+D287+D293+D299+D305</f>
        <v>0</v>
      </c>
      <c r="E402" s="64">
        <f t="shared" si="166"/>
        <v>0</v>
      </c>
      <c r="F402" s="64">
        <f t="shared" si="166"/>
        <v>0</v>
      </c>
      <c r="G402" s="64">
        <f t="shared" si="166"/>
        <v>0</v>
      </c>
      <c r="H402" s="64">
        <f t="shared" si="166"/>
        <v>0</v>
      </c>
      <c r="I402" s="64">
        <f t="shared" si="166"/>
        <v>0</v>
      </c>
      <c r="J402" s="64">
        <f t="shared" si="166"/>
        <v>0</v>
      </c>
      <c r="K402" s="64">
        <f t="shared" si="166"/>
        <v>0</v>
      </c>
      <c r="L402" s="64">
        <f t="shared" si="166"/>
        <v>0</v>
      </c>
      <c r="M402" s="64">
        <f t="shared" si="166"/>
        <v>0</v>
      </c>
      <c r="N402" s="64">
        <f t="shared" si="166"/>
        <v>0</v>
      </c>
      <c r="O402" s="65">
        <f t="shared" si="166"/>
        <v>0</v>
      </c>
      <c r="Q402" s="110"/>
      <c r="R402" s="111"/>
      <c r="S402" s="119"/>
      <c r="T402" s="114">
        <f t="shared" si="165"/>
        <v>0</v>
      </c>
      <c r="U402" s="64">
        <f t="shared" si="165"/>
        <v>0</v>
      </c>
      <c r="V402" s="65">
        <f t="shared" si="165"/>
        <v>0</v>
      </c>
    </row>
    <row r="403" spans="2:22" ht="12" customHeight="1">
      <c r="B403" s="93" t="s">
        <v>134</v>
      </c>
      <c r="C403" s="91">
        <v>2026</v>
      </c>
      <c r="D403" s="67">
        <f t="shared" ref="D403:O403" si="167">D150+D156+D162+D168+D174+D180+D186+D192+D198+D204+D210+D216+D222+D228+D234+D240+D246+D252+D258+D264+D270+D276+D282+D288+D294+D300+D306</f>
        <v>0</v>
      </c>
      <c r="E403" s="64">
        <f t="shared" si="167"/>
        <v>0</v>
      </c>
      <c r="F403" s="64">
        <f t="shared" si="167"/>
        <v>0</v>
      </c>
      <c r="G403" s="64">
        <f t="shared" si="167"/>
        <v>0</v>
      </c>
      <c r="H403" s="64">
        <f t="shared" si="167"/>
        <v>0</v>
      </c>
      <c r="I403" s="64">
        <f t="shared" si="167"/>
        <v>0</v>
      </c>
      <c r="J403" s="64">
        <f t="shared" si="167"/>
        <v>0</v>
      </c>
      <c r="K403" s="64">
        <f t="shared" si="167"/>
        <v>0</v>
      </c>
      <c r="L403" s="64">
        <f t="shared" si="167"/>
        <v>0</v>
      </c>
      <c r="M403" s="64">
        <f t="shared" si="167"/>
        <v>0</v>
      </c>
      <c r="N403" s="64">
        <f t="shared" si="167"/>
        <v>0</v>
      </c>
      <c r="O403" s="65">
        <f t="shared" si="167"/>
        <v>0</v>
      </c>
      <c r="Q403" s="110"/>
      <c r="R403" s="111"/>
      <c r="S403" s="119"/>
      <c r="T403" s="114">
        <f t="shared" si="165"/>
        <v>0</v>
      </c>
      <c r="U403" s="64">
        <f t="shared" si="165"/>
        <v>0</v>
      </c>
      <c r="V403" s="65">
        <f t="shared" si="165"/>
        <v>0</v>
      </c>
    </row>
    <row r="404" spans="2:22" ht="12" customHeight="1">
      <c r="B404" s="93" t="s">
        <v>134</v>
      </c>
      <c r="C404" s="91">
        <v>2027</v>
      </c>
      <c r="D404" s="67">
        <f t="shared" ref="D404:O404" si="168">D151+D157+D163+D169+D175+D181+D187+D193+D199+D205+D211+D217+D223+D229+D235+D241+D247+D253+D259+D265+D271+D277+D283+D289+D295+D301+D307</f>
        <v>0</v>
      </c>
      <c r="E404" s="64">
        <f t="shared" si="168"/>
        <v>0</v>
      </c>
      <c r="F404" s="64">
        <f t="shared" si="168"/>
        <v>0</v>
      </c>
      <c r="G404" s="64">
        <f t="shared" si="168"/>
        <v>0</v>
      </c>
      <c r="H404" s="64">
        <f t="shared" si="168"/>
        <v>0</v>
      </c>
      <c r="I404" s="64">
        <f t="shared" si="168"/>
        <v>0</v>
      </c>
      <c r="J404" s="64">
        <f t="shared" si="168"/>
        <v>0</v>
      </c>
      <c r="K404" s="64">
        <f t="shared" si="168"/>
        <v>0</v>
      </c>
      <c r="L404" s="64">
        <f t="shared" si="168"/>
        <v>0</v>
      </c>
      <c r="M404" s="64">
        <f t="shared" si="168"/>
        <v>0</v>
      </c>
      <c r="N404" s="64">
        <f t="shared" si="168"/>
        <v>0</v>
      </c>
      <c r="O404" s="65">
        <f t="shared" si="168"/>
        <v>0</v>
      </c>
      <c r="Q404" s="110"/>
      <c r="R404" s="111"/>
      <c r="S404" s="119"/>
      <c r="T404" s="114">
        <f t="shared" si="165"/>
        <v>0</v>
      </c>
      <c r="U404" s="64">
        <f t="shared" si="165"/>
        <v>0</v>
      </c>
      <c r="V404" s="65">
        <f t="shared" si="165"/>
        <v>0</v>
      </c>
    </row>
    <row r="405" spans="2:22" ht="12" customHeight="1">
      <c r="B405" s="93" t="s">
        <v>134</v>
      </c>
      <c r="C405" s="91">
        <v>2028</v>
      </c>
      <c r="D405" s="67">
        <f t="shared" ref="D405:O405" si="169">D152+D158+D164+D170+D176+D182+D188+D194+D200+D206+D212+D218+D224+D230+D236+D242+D248+D254+D260+D266+D272+D278+D284+D290+D296+D302+D308</f>
        <v>0</v>
      </c>
      <c r="E405" s="64">
        <f t="shared" si="169"/>
        <v>0</v>
      </c>
      <c r="F405" s="64">
        <f t="shared" si="169"/>
        <v>0</v>
      </c>
      <c r="G405" s="64">
        <f t="shared" si="169"/>
        <v>0</v>
      </c>
      <c r="H405" s="64">
        <f t="shared" si="169"/>
        <v>0</v>
      </c>
      <c r="I405" s="64">
        <f t="shared" si="169"/>
        <v>0</v>
      </c>
      <c r="J405" s="64">
        <f t="shared" si="169"/>
        <v>0</v>
      </c>
      <c r="K405" s="64">
        <f t="shared" si="169"/>
        <v>0</v>
      </c>
      <c r="L405" s="64">
        <f t="shared" si="169"/>
        <v>0</v>
      </c>
      <c r="M405" s="64">
        <f t="shared" si="169"/>
        <v>0</v>
      </c>
      <c r="N405" s="64">
        <f t="shared" si="169"/>
        <v>0</v>
      </c>
      <c r="O405" s="65">
        <f t="shared" si="169"/>
        <v>0</v>
      </c>
      <c r="Q405" s="110"/>
      <c r="R405" s="111"/>
      <c r="S405" s="119"/>
      <c r="T405" s="114">
        <f t="shared" si="165"/>
        <v>0</v>
      </c>
      <c r="U405" s="64">
        <f t="shared" si="165"/>
        <v>0</v>
      </c>
      <c r="V405" s="65">
        <f t="shared" si="165"/>
        <v>0</v>
      </c>
    </row>
    <row r="406" spans="2:22" ht="12" customHeight="1">
      <c r="B406" s="93" t="s">
        <v>134</v>
      </c>
      <c r="C406" s="92" t="s">
        <v>131</v>
      </c>
      <c r="D406" s="83"/>
      <c r="E406" s="78">
        <f t="shared" ref="E406:N406" si="170">E153+E159+E165+E171+E177+E183+E189+E195+E201+E207+E213+E219+E225+E231+E237+E243+E249+E255+E261+E267+E273+E279+E285+E291+E297+E303+E309</f>
        <v>0</v>
      </c>
      <c r="F406" s="78">
        <f t="shared" si="170"/>
        <v>0</v>
      </c>
      <c r="G406" s="78">
        <f t="shared" si="170"/>
        <v>0</v>
      </c>
      <c r="H406" s="78">
        <f t="shared" si="170"/>
        <v>0</v>
      </c>
      <c r="I406" s="78">
        <f t="shared" si="170"/>
        <v>0</v>
      </c>
      <c r="J406" s="78">
        <f t="shared" si="170"/>
        <v>0</v>
      </c>
      <c r="K406" s="78">
        <f t="shared" si="170"/>
        <v>0</v>
      </c>
      <c r="L406" s="78">
        <f t="shared" si="170"/>
        <v>0</v>
      </c>
      <c r="M406" s="78">
        <f t="shared" si="170"/>
        <v>0</v>
      </c>
      <c r="N406" s="78">
        <f t="shared" si="170"/>
        <v>0</v>
      </c>
      <c r="O406" s="84"/>
      <c r="Q406" s="82" t="e">
        <f ca="1">Q153+Q159+Q165+Q171+Q177+Q183+Q189+Q195+Q201+Q207+Q213+Q219+Q225+Q231+Q237+Q243+Q249+Q255+Q261+Q267+Q273+Q279+Q285+Q291+Q297+Q303+Q309</f>
        <v>#VALUE!</v>
      </c>
      <c r="R406" s="67" t="e">
        <f ca="1">R153+R159+R165+R171+R177+R183+R189+R195+R201+R207+R213+R219+R225+R231+R237+R243+R249+R255+R261+R267+R273+R279+R285+R291+R297+R303+R309</f>
        <v>#VALUE!</v>
      </c>
      <c r="S406" s="122" t="e">
        <f ca="1">S153+S159+S165+S171+S177+S183+S189+S195+S201+S207+S213+S219+S225+S231+S237+S243+S249+S255+S261+S267+S273+S279+S285+S291+S297+S303+S309</f>
        <v>#VALUE!</v>
      </c>
      <c r="T406" s="80">
        <f t="shared" si="165"/>
        <v>0</v>
      </c>
      <c r="U406" s="78">
        <f t="shared" si="165"/>
        <v>0</v>
      </c>
      <c r="V406" s="81">
        <f t="shared" si="165"/>
        <v>0</v>
      </c>
    </row>
    <row r="407" spans="2:22" ht="12" customHeight="1">
      <c r="B407" s="93" t="s">
        <v>135</v>
      </c>
      <c r="C407" s="91">
        <v>2024</v>
      </c>
      <c r="D407" s="67">
        <f t="shared" ref="D407:O407" si="171">D310+D316+D322+D328+D334+D340+D346+D352+D358+D364+D370+D376</f>
        <v>0</v>
      </c>
      <c r="E407" s="64">
        <f t="shared" si="171"/>
        <v>0</v>
      </c>
      <c r="F407" s="64">
        <f t="shared" si="171"/>
        <v>0</v>
      </c>
      <c r="G407" s="64">
        <f t="shared" si="171"/>
        <v>0</v>
      </c>
      <c r="H407" s="64">
        <f t="shared" si="171"/>
        <v>0</v>
      </c>
      <c r="I407" s="64">
        <f t="shared" si="171"/>
        <v>0</v>
      </c>
      <c r="J407" s="64">
        <f t="shared" si="171"/>
        <v>0</v>
      </c>
      <c r="K407" s="64">
        <f t="shared" si="171"/>
        <v>0</v>
      </c>
      <c r="L407" s="64">
        <f t="shared" si="171"/>
        <v>0</v>
      </c>
      <c r="M407" s="64">
        <f t="shared" si="171"/>
        <v>0</v>
      </c>
      <c r="N407" s="64">
        <f t="shared" si="171"/>
        <v>0</v>
      </c>
      <c r="O407" s="65">
        <f t="shared" si="171"/>
        <v>0</v>
      </c>
      <c r="Q407" s="112"/>
      <c r="R407" s="113"/>
      <c r="S407" s="120"/>
      <c r="T407" s="114">
        <f t="shared" ref="T407:V412" si="172">T310+T316+T322+T328+T334+T340+T346+T352+T358+T364+T370+T376</f>
        <v>0</v>
      </c>
      <c r="U407" s="64">
        <f t="shared" si="172"/>
        <v>0</v>
      </c>
      <c r="V407" s="65">
        <f t="shared" si="172"/>
        <v>0</v>
      </c>
    </row>
    <row r="408" spans="2:22" ht="12" customHeight="1">
      <c r="B408" s="93" t="s">
        <v>135</v>
      </c>
      <c r="C408" s="91">
        <v>2025</v>
      </c>
      <c r="D408" s="67">
        <f t="shared" ref="D408:O408" si="173">D311+D317+D323+D329+D335+D341+D347+D353+D359+D365+D371+D377</f>
        <v>0</v>
      </c>
      <c r="E408" s="64">
        <f t="shared" si="173"/>
        <v>0</v>
      </c>
      <c r="F408" s="64">
        <f t="shared" si="173"/>
        <v>0</v>
      </c>
      <c r="G408" s="64">
        <f t="shared" si="173"/>
        <v>0</v>
      </c>
      <c r="H408" s="64">
        <f t="shared" si="173"/>
        <v>0</v>
      </c>
      <c r="I408" s="64">
        <f t="shared" si="173"/>
        <v>0</v>
      </c>
      <c r="J408" s="64">
        <f t="shared" si="173"/>
        <v>0</v>
      </c>
      <c r="K408" s="64">
        <f t="shared" si="173"/>
        <v>0</v>
      </c>
      <c r="L408" s="64">
        <f t="shared" si="173"/>
        <v>0</v>
      </c>
      <c r="M408" s="64">
        <f t="shared" si="173"/>
        <v>0</v>
      </c>
      <c r="N408" s="64">
        <f t="shared" si="173"/>
        <v>0</v>
      </c>
      <c r="O408" s="65">
        <f t="shared" si="173"/>
        <v>0</v>
      </c>
      <c r="Q408" s="110"/>
      <c r="R408" s="111"/>
      <c r="S408" s="119"/>
      <c r="T408" s="114">
        <f t="shared" si="172"/>
        <v>0</v>
      </c>
      <c r="U408" s="64">
        <f t="shared" si="172"/>
        <v>0</v>
      </c>
      <c r="V408" s="65">
        <f t="shared" si="172"/>
        <v>0</v>
      </c>
    </row>
    <row r="409" spans="2:22" ht="12" customHeight="1">
      <c r="B409" s="93" t="s">
        <v>135</v>
      </c>
      <c r="C409" s="91">
        <v>2026</v>
      </c>
      <c r="D409" s="67">
        <f t="shared" ref="D409:O409" si="174">D312+D318+D324+D330+D336+D342+D348+D354+D360+D366+D372+D378</f>
        <v>0</v>
      </c>
      <c r="E409" s="64">
        <f t="shared" si="174"/>
        <v>0</v>
      </c>
      <c r="F409" s="64">
        <f t="shared" si="174"/>
        <v>0</v>
      </c>
      <c r="G409" s="64">
        <f t="shared" si="174"/>
        <v>0</v>
      </c>
      <c r="H409" s="64">
        <f t="shared" si="174"/>
        <v>0</v>
      </c>
      <c r="I409" s="64">
        <f t="shared" si="174"/>
        <v>0</v>
      </c>
      <c r="J409" s="64">
        <f t="shared" si="174"/>
        <v>0</v>
      </c>
      <c r="K409" s="64">
        <f t="shared" si="174"/>
        <v>0</v>
      </c>
      <c r="L409" s="64">
        <f t="shared" si="174"/>
        <v>0</v>
      </c>
      <c r="M409" s="64">
        <f t="shared" si="174"/>
        <v>0</v>
      </c>
      <c r="N409" s="64">
        <f t="shared" si="174"/>
        <v>0</v>
      </c>
      <c r="O409" s="65">
        <f t="shared" si="174"/>
        <v>0</v>
      </c>
      <c r="Q409" s="110"/>
      <c r="R409" s="111"/>
      <c r="S409" s="119"/>
      <c r="T409" s="114">
        <f t="shared" si="172"/>
        <v>0</v>
      </c>
      <c r="U409" s="64">
        <f t="shared" si="172"/>
        <v>0</v>
      </c>
      <c r="V409" s="65">
        <f t="shared" si="172"/>
        <v>0</v>
      </c>
    </row>
    <row r="410" spans="2:22" ht="12" customHeight="1">
      <c r="B410" s="93" t="s">
        <v>135</v>
      </c>
      <c r="C410" s="91">
        <v>2027</v>
      </c>
      <c r="D410" s="67">
        <f t="shared" ref="D410:O410" si="175">D313+D319+D325+D331+D337+D343+D349+D355+D361+D367+D373+D379</f>
        <v>0</v>
      </c>
      <c r="E410" s="64">
        <f t="shared" si="175"/>
        <v>0</v>
      </c>
      <c r="F410" s="64">
        <f t="shared" si="175"/>
        <v>0</v>
      </c>
      <c r="G410" s="64">
        <f t="shared" si="175"/>
        <v>0</v>
      </c>
      <c r="H410" s="64">
        <f t="shared" si="175"/>
        <v>0</v>
      </c>
      <c r="I410" s="64">
        <f t="shared" si="175"/>
        <v>0</v>
      </c>
      <c r="J410" s="64">
        <f t="shared" si="175"/>
        <v>0</v>
      </c>
      <c r="K410" s="64">
        <f t="shared" si="175"/>
        <v>0</v>
      </c>
      <c r="L410" s="64">
        <f t="shared" si="175"/>
        <v>0</v>
      </c>
      <c r="M410" s="64">
        <f t="shared" si="175"/>
        <v>0</v>
      </c>
      <c r="N410" s="64">
        <f t="shared" si="175"/>
        <v>0</v>
      </c>
      <c r="O410" s="65">
        <f t="shared" si="175"/>
        <v>0</v>
      </c>
      <c r="Q410" s="110"/>
      <c r="R410" s="111"/>
      <c r="S410" s="119"/>
      <c r="T410" s="114">
        <f t="shared" si="172"/>
        <v>0</v>
      </c>
      <c r="U410" s="64">
        <f t="shared" si="172"/>
        <v>0</v>
      </c>
      <c r="V410" s="65">
        <f t="shared" si="172"/>
        <v>0</v>
      </c>
    </row>
    <row r="411" spans="2:22" ht="12" customHeight="1">
      <c r="B411" s="93" t="s">
        <v>135</v>
      </c>
      <c r="C411" s="91">
        <v>2028</v>
      </c>
      <c r="D411" s="67">
        <f t="shared" ref="D411:O411" si="176">D314+D320+D326+D332+D338+D344+D350+D356+D362+D368+D374+D380</f>
        <v>0</v>
      </c>
      <c r="E411" s="64">
        <f t="shared" si="176"/>
        <v>0</v>
      </c>
      <c r="F411" s="64">
        <f t="shared" si="176"/>
        <v>0</v>
      </c>
      <c r="G411" s="64">
        <f t="shared" si="176"/>
        <v>0</v>
      </c>
      <c r="H411" s="64">
        <f t="shared" si="176"/>
        <v>0</v>
      </c>
      <c r="I411" s="64">
        <f t="shared" si="176"/>
        <v>0</v>
      </c>
      <c r="J411" s="64">
        <f t="shared" si="176"/>
        <v>0</v>
      </c>
      <c r="K411" s="64">
        <f t="shared" si="176"/>
        <v>0</v>
      </c>
      <c r="L411" s="64">
        <f t="shared" si="176"/>
        <v>0</v>
      </c>
      <c r="M411" s="64">
        <f t="shared" si="176"/>
        <v>0</v>
      </c>
      <c r="N411" s="64">
        <f t="shared" si="176"/>
        <v>0</v>
      </c>
      <c r="O411" s="65">
        <f t="shared" si="176"/>
        <v>0</v>
      </c>
      <c r="Q411" s="110"/>
      <c r="R411" s="111"/>
      <c r="S411" s="119"/>
      <c r="T411" s="114">
        <f t="shared" si="172"/>
        <v>0</v>
      </c>
      <c r="U411" s="64">
        <f t="shared" si="172"/>
        <v>0</v>
      </c>
      <c r="V411" s="65">
        <f t="shared" si="172"/>
        <v>0</v>
      </c>
    </row>
    <row r="412" spans="2:22" ht="12" customHeight="1" thickBot="1">
      <c r="B412" s="124" t="s">
        <v>135</v>
      </c>
      <c r="C412" s="125" t="s">
        <v>131</v>
      </c>
      <c r="D412" s="126"/>
      <c r="E412" s="127">
        <f t="shared" ref="E412:N412" si="177">E315+E321+E327+E333+E339+E345+E351+E357+E363+E369+E375+E381</f>
        <v>0</v>
      </c>
      <c r="F412" s="127">
        <f t="shared" si="177"/>
        <v>0</v>
      </c>
      <c r="G412" s="127">
        <f t="shared" si="177"/>
        <v>0</v>
      </c>
      <c r="H412" s="127">
        <f t="shared" si="177"/>
        <v>0</v>
      </c>
      <c r="I412" s="127">
        <f t="shared" si="177"/>
        <v>0</v>
      </c>
      <c r="J412" s="127">
        <f t="shared" si="177"/>
        <v>0</v>
      </c>
      <c r="K412" s="127">
        <f t="shared" si="177"/>
        <v>0</v>
      </c>
      <c r="L412" s="127">
        <f t="shared" si="177"/>
        <v>0</v>
      </c>
      <c r="M412" s="127">
        <f t="shared" si="177"/>
        <v>0</v>
      </c>
      <c r="N412" s="127">
        <f t="shared" si="177"/>
        <v>0</v>
      </c>
      <c r="O412" s="128"/>
      <c r="Q412" s="138" t="e">
        <f ca="1">Q315+Q321+Q327+Q333+Q339+Q345+Q351+Q357+Q363+Q369+Q375+Q381</f>
        <v>#VALUE!</v>
      </c>
      <c r="R412" s="139" t="e">
        <f ca="1">R315+R321+R327+R333+R339+R345+R351+R357+R363+R369+R375+R381</f>
        <v>#VALUE!</v>
      </c>
      <c r="S412" s="140" t="e">
        <f ca="1">S315+S321+S327+S333+S339+S345+S351+S357+S363+S369+S375+S381</f>
        <v>#VALUE!</v>
      </c>
      <c r="T412" s="141">
        <f t="shared" si="172"/>
        <v>0</v>
      </c>
      <c r="U412" s="127">
        <f t="shared" si="172"/>
        <v>0</v>
      </c>
      <c r="V412" s="142">
        <f t="shared" si="172"/>
        <v>0</v>
      </c>
    </row>
    <row r="413" spans="2:22" ht="12" customHeight="1"/>
    <row r="414" spans="2:22" ht="12" customHeight="1"/>
    <row r="415" spans="2:22" ht="12" customHeight="1"/>
    <row r="416" spans="2:22"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sheetData>
  <autoFilter ref="B15:O381" xr:uid="{00000000-0009-0000-0000-000004000000}"/>
  <mergeCells count="24">
    <mergeCell ref="Q13:S13"/>
    <mergeCell ref="B13:B15"/>
    <mergeCell ref="C13:C15"/>
    <mergeCell ref="D13:D15"/>
    <mergeCell ref="E13:E15"/>
    <mergeCell ref="F13:F15"/>
    <mergeCell ref="N13:N15"/>
    <mergeCell ref="M13:M15"/>
    <mergeCell ref="U14:U15"/>
    <mergeCell ref="D12:O12"/>
    <mergeCell ref="G13:G15"/>
    <mergeCell ref="Q12:V12"/>
    <mergeCell ref="H13:H15"/>
    <mergeCell ref="I13:I15"/>
    <mergeCell ref="J13:J15"/>
    <mergeCell ref="K13:K15"/>
    <mergeCell ref="L13:L15"/>
    <mergeCell ref="V14:V15"/>
    <mergeCell ref="T13:V13"/>
    <mergeCell ref="T14:T15"/>
    <mergeCell ref="S14:S15"/>
    <mergeCell ref="O13:O15"/>
    <mergeCell ref="Q14:Q15"/>
    <mergeCell ref="R14:R15"/>
  </mergeCell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U105"/>
  <sheetViews>
    <sheetView zoomScale="55" zoomScaleNormal="55" workbookViewId="0">
      <pane ySplit="3" topLeftCell="A4" activePane="bottomLeft" state="frozen"/>
      <selection activeCell="N4" sqref="N4"/>
      <selection pane="bottomLeft"/>
    </sheetView>
  </sheetViews>
  <sheetFormatPr defaultColWidth="9" defaultRowHeight="13" outlineLevelCol="1"/>
  <cols>
    <col min="1" max="1" width="2.61328125" style="149" customWidth="1"/>
    <col min="2" max="2" width="2.61328125" style="325" customWidth="1"/>
    <col min="3" max="3" width="36.15234375" style="149" customWidth="1"/>
    <col min="4" max="4" width="15.765625" style="149" customWidth="1"/>
    <col min="5" max="5" width="10.61328125" style="149" customWidth="1"/>
    <col min="6" max="6" width="14.23046875" style="149" customWidth="1"/>
    <col min="7" max="12" width="14.23046875" style="149" hidden="1" customWidth="1" outlineLevel="1"/>
    <col min="13" max="13" width="14.23046875" style="149" customWidth="1" collapsed="1"/>
    <col min="14" max="14" width="14.23046875" style="149" customWidth="1"/>
    <col min="15" max="20" width="14.23046875" style="149" hidden="1" customWidth="1" outlineLevel="1"/>
    <col min="21" max="21" width="14.23046875" style="149" customWidth="1" collapsed="1"/>
    <col min="22" max="22" width="14.23046875" style="149" customWidth="1"/>
    <col min="23" max="28" width="14.23046875" style="149" hidden="1" customWidth="1" outlineLevel="1"/>
    <col min="29" max="29" width="14.23046875" style="149" customWidth="1" collapsed="1"/>
    <col min="30" max="30" width="14.23046875" style="149" customWidth="1"/>
    <col min="31" max="36" width="14.23046875" style="149" hidden="1" customWidth="1" outlineLevel="1"/>
    <col min="37" max="37" width="14.23046875" style="149" customWidth="1" collapsed="1"/>
    <col min="38" max="38" width="9" style="149"/>
    <col min="39" max="39" width="19.15234375" style="149" customWidth="1"/>
    <col min="40" max="47" width="14.765625" style="149" customWidth="1"/>
    <col min="48" max="48" width="11.15234375" style="149" customWidth="1"/>
    <col min="49" max="16384" width="9" style="149"/>
  </cols>
  <sheetData>
    <row r="1" spans="2:47" ht="13.5" thickBot="1">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row>
    <row r="2" spans="2:47" ht="15.75" customHeight="1">
      <c r="C2" s="604" t="s">
        <v>51</v>
      </c>
      <c r="D2" s="606" t="s">
        <v>199</v>
      </c>
      <c r="E2" s="608" t="s">
        <v>200</v>
      </c>
      <c r="F2" s="599" t="s">
        <v>196</v>
      </c>
      <c r="G2" s="600"/>
      <c r="H2" s="600"/>
      <c r="I2" s="600"/>
      <c r="J2" s="600"/>
      <c r="K2" s="600"/>
      <c r="L2" s="600"/>
      <c r="M2" s="601"/>
      <c r="N2" s="599" t="s">
        <v>197</v>
      </c>
      <c r="O2" s="600"/>
      <c r="P2" s="600"/>
      <c r="Q2" s="600"/>
      <c r="R2" s="600"/>
      <c r="S2" s="600"/>
      <c r="T2" s="600"/>
      <c r="U2" s="601"/>
      <c r="V2" s="599" t="s">
        <v>198</v>
      </c>
      <c r="W2" s="600"/>
      <c r="X2" s="600"/>
      <c r="Y2" s="600"/>
      <c r="Z2" s="600"/>
      <c r="AA2" s="600"/>
      <c r="AB2" s="600"/>
      <c r="AC2" s="601"/>
      <c r="AD2" s="599" t="s">
        <v>201</v>
      </c>
      <c r="AE2" s="600"/>
      <c r="AF2" s="600"/>
      <c r="AG2" s="600"/>
      <c r="AH2" s="600"/>
      <c r="AI2" s="600"/>
      <c r="AJ2" s="600"/>
      <c r="AK2" s="601"/>
      <c r="AM2" s="610" t="s">
        <v>202</v>
      </c>
      <c r="AN2" s="612" t="s">
        <v>203</v>
      </c>
      <c r="AO2" s="613"/>
      <c r="AP2" s="613"/>
      <c r="AQ2" s="614"/>
      <c r="AR2" s="613" t="s">
        <v>204</v>
      </c>
      <c r="AS2" s="613"/>
      <c r="AT2" s="613"/>
      <c r="AU2" s="615"/>
    </row>
    <row r="3" spans="2:47" ht="24" customHeight="1">
      <c r="C3" s="605"/>
      <c r="D3" s="607"/>
      <c r="E3" s="609"/>
      <c r="F3" s="151" t="s">
        <v>194</v>
      </c>
      <c r="G3" s="152">
        <v>2024</v>
      </c>
      <c r="H3" s="152">
        <v>2025</v>
      </c>
      <c r="I3" s="152">
        <v>2026</v>
      </c>
      <c r="J3" s="152">
        <v>2027</v>
      </c>
      <c r="K3" s="152">
        <v>2028</v>
      </c>
      <c r="L3" s="602" t="s">
        <v>205</v>
      </c>
      <c r="M3" s="603"/>
      <c r="N3" s="151" t="s">
        <v>194</v>
      </c>
      <c r="O3" s="152">
        <v>2024</v>
      </c>
      <c r="P3" s="152">
        <v>2025</v>
      </c>
      <c r="Q3" s="152">
        <v>2026</v>
      </c>
      <c r="R3" s="152">
        <v>2027</v>
      </c>
      <c r="S3" s="152">
        <v>2028</v>
      </c>
      <c r="T3" s="602" t="s">
        <v>205</v>
      </c>
      <c r="U3" s="603"/>
      <c r="V3" s="151" t="s">
        <v>194</v>
      </c>
      <c r="W3" s="152">
        <v>2024</v>
      </c>
      <c r="X3" s="152">
        <v>2025</v>
      </c>
      <c r="Y3" s="152">
        <v>2026</v>
      </c>
      <c r="Z3" s="152">
        <v>2027</v>
      </c>
      <c r="AA3" s="152">
        <v>2028</v>
      </c>
      <c r="AB3" s="602" t="s">
        <v>205</v>
      </c>
      <c r="AC3" s="603"/>
      <c r="AD3" s="151" t="s">
        <v>194</v>
      </c>
      <c r="AE3" s="152">
        <v>2024</v>
      </c>
      <c r="AF3" s="152">
        <v>2025</v>
      </c>
      <c r="AG3" s="152">
        <v>2026</v>
      </c>
      <c r="AH3" s="152">
        <v>2027</v>
      </c>
      <c r="AI3" s="152">
        <v>2028</v>
      </c>
      <c r="AJ3" s="602" t="s">
        <v>205</v>
      </c>
      <c r="AK3" s="603"/>
      <c r="AM3" s="611"/>
      <c r="AN3" s="319" t="s">
        <v>196</v>
      </c>
      <c r="AO3" s="319" t="s">
        <v>197</v>
      </c>
      <c r="AP3" s="319" t="s">
        <v>198</v>
      </c>
      <c r="AQ3" s="321" t="s">
        <v>131</v>
      </c>
      <c r="AR3" s="318" t="s">
        <v>196</v>
      </c>
      <c r="AS3" s="319" t="s">
        <v>197</v>
      </c>
      <c r="AT3" s="319" t="s">
        <v>198</v>
      </c>
      <c r="AU3" s="320" t="s">
        <v>131</v>
      </c>
    </row>
    <row r="4" spans="2:47" ht="13.5">
      <c r="B4" s="539">
        <v>1</v>
      </c>
      <c r="C4" s="153" t="s">
        <v>53</v>
      </c>
      <c r="D4" s="154" t="s">
        <v>206</v>
      </c>
      <c r="E4" s="155" t="s">
        <v>207</v>
      </c>
      <c r="F4" s="156" t="str">
        <f ca="1">INDEX('NARM6 - Risk Summary'!$Q:$Q,MATCH($C4,'NARM6 - Risk Summary'!$B:$B,0)+5)</f>
        <v/>
      </c>
      <c r="G4" s="157">
        <f>INDEX('NARM6 - Risk Summary'!$T:$T,MATCH($C4,'NARM6 - Risk Summary'!$B:$B,0))</f>
        <v>0</v>
      </c>
      <c r="H4" s="158">
        <f>INDEX('NARM6 - Risk Summary'!$T:$T,MATCH($C4,'NARM6 - Risk Summary'!$B:$B,0)+1)</f>
        <v>0</v>
      </c>
      <c r="I4" s="158">
        <f>INDEX('NARM6 - Risk Summary'!$T:$T,MATCH($C4,'NARM6 - Risk Summary'!$B:$B,0)+2)</f>
        <v>0</v>
      </c>
      <c r="J4" s="159">
        <f>INDEX('NARM6 - Risk Summary'!$T:$T,MATCH($C4,'NARM6 - Risk Summary'!$B:$B,0)+3)</f>
        <v>0</v>
      </c>
      <c r="K4" s="159">
        <f>INDEX('NARM6 - Risk Summary'!$T:$T,MATCH($C4,'NARM6 - Risk Summary'!$B:$B,0)+4)</f>
        <v>0</v>
      </c>
      <c r="L4" s="160">
        <f>SUM(G4:K4)</f>
        <v>0</v>
      </c>
      <c r="M4" s="161" t="str">
        <f ca="1">IF(IFERROR(L4/F4,"")&lt;0,0,IFERROR(L4/F4,""))</f>
        <v/>
      </c>
      <c r="N4" s="156" t="str">
        <f ca="1">INDEX('NARM6 - Risk Summary'!$R:$R,MATCH($C4,'NARM6 - Risk Summary'!$B:$B,0)+5)</f>
        <v/>
      </c>
      <c r="O4" s="157">
        <f>INDEX('NARM6 - Risk Summary'!$U:$U,MATCH($C4,'NARM6 - Risk Summary'!$B:$B,0))</f>
        <v>0</v>
      </c>
      <c r="P4" s="158">
        <f>INDEX('NARM6 - Risk Summary'!$U:$U,MATCH($C4,'NARM6 - Risk Summary'!$B:$B,0)+1)</f>
        <v>0</v>
      </c>
      <c r="Q4" s="158">
        <f>INDEX('NARM6 - Risk Summary'!$U:$U,MATCH($C4,'NARM6 - Risk Summary'!$B:$B,0)+2)</f>
        <v>0</v>
      </c>
      <c r="R4" s="159">
        <f>INDEX('NARM6 - Risk Summary'!$U:$U,MATCH($C4,'NARM6 - Risk Summary'!$B:$B,0)+3)</f>
        <v>0</v>
      </c>
      <c r="S4" s="159">
        <f>INDEX('NARM6 - Risk Summary'!$U:$U,MATCH($C4,'NARM6 - Risk Summary'!$B:$B,0)+4)</f>
        <v>0</v>
      </c>
      <c r="T4" s="160">
        <f>SUM(O4:S4)</f>
        <v>0</v>
      </c>
      <c r="U4" s="161" t="str">
        <f ca="1">IF(IFERROR(T4/N4,"")&lt;0,0,IFERROR(T4/N4,""))</f>
        <v/>
      </c>
      <c r="V4" s="156" t="str">
        <f ca="1">INDEX('NARM6 - Risk Summary'!$S:$S,MATCH($C4,'NARM6 - Risk Summary'!$B:$B,0)+5)</f>
        <v/>
      </c>
      <c r="W4" s="157">
        <f>INDEX('NARM6 - Risk Summary'!$V:$V,MATCH($C4,'NARM6 - Risk Summary'!$B:$B,0))</f>
        <v>0</v>
      </c>
      <c r="X4" s="158">
        <f>INDEX('NARM6 - Risk Summary'!$V:$V,MATCH($C4,'NARM6 - Risk Summary'!$B:$B,0)+1)</f>
        <v>0</v>
      </c>
      <c r="Y4" s="158">
        <f>INDEX('NARM6 - Risk Summary'!$V:$V,MATCH($C4,'NARM6 - Risk Summary'!$B:$B,0)+2)</f>
        <v>0</v>
      </c>
      <c r="Z4" s="159">
        <f>INDEX('NARM6 - Risk Summary'!$V:$V,MATCH($C4,'NARM6 - Risk Summary'!$B:$B,0)+3)</f>
        <v>0</v>
      </c>
      <c r="AA4" s="159">
        <f>INDEX('NARM6 - Risk Summary'!$V:$V,MATCH($C4,'NARM6 - Risk Summary'!$B:$B,0)+4)</f>
        <v>0</v>
      </c>
      <c r="AB4" s="160">
        <f>SUM(W4:AA4)</f>
        <v>0</v>
      </c>
      <c r="AC4" s="161" t="str">
        <f ca="1">IF(IFERROR(AB4/V4,"")&lt;0,0,IFERROR(AB4/V4,""))</f>
        <v/>
      </c>
      <c r="AD4" s="162">
        <f ca="1">SUM(F4,N4,V4)</f>
        <v>0</v>
      </c>
      <c r="AE4" s="157">
        <f t="shared" ref="AE4:AE64" si="0">SUM(G4,O4,W4)</f>
        <v>0</v>
      </c>
      <c r="AF4" s="158">
        <f t="shared" ref="AF4:AF64" si="1">SUM(H4,P4,X4)</f>
        <v>0</v>
      </c>
      <c r="AG4" s="163">
        <f t="shared" ref="AG4:AG64" si="2">SUM(I4,Q4,Y4)</f>
        <v>0</v>
      </c>
      <c r="AH4" s="163">
        <f t="shared" ref="AH4:AH64" si="3">SUM(J4,R4,Z4)</f>
        <v>0</v>
      </c>
      <c r="AI4" s="164">
        <f t="shared" ref="AI4:AI64" si="4">SUM(K4,S4,AA4)</f>
        <v>0</v>
      </c>
      <c r="AJ4" s="165">
        <f t="shared" ref="AJ4:AJ64" si="5">SUM(L4,T4,AB4)</f>
        <v>0</v>
      </c>
      <c r="AK4" s="161" t="str">
        <f ca="1">IF(IFERROR(AJ4/AD4,"")&lt;0,0,IFERROR(AJ4/AD4,""))</f>
        <v/>
      </c>
      <c r="AM4" s="458" t="s">
        <v>131</v>
      </c>
      <c r="AN4" s="459" t="e">
        <f ca="1">-'NARM6 - Risk Summary'!$Q$388</f>
        <v>#VALUE!</v>
      </c>
      <c r="AO4" s="459" t="e">
        <f ca="1">-'NARM6 - Risk Summary'!$R$388</f>
        <v>#VALUE!</v>
      </c>
      <c r="AP4" s="459" t="e">
        <f ca="1">-'NARM6 - Risk Summary'!$S$388</f>
        <v>#VALUE!</v>
      </c>
      <c r="AQ4" s="460" t="e">
        <f ca="1">SUM(AN4:AP4)</f>
        <v>#VALUE!</v>
      </c>
      <c r="AR4" s="461">
        <f>-'NARM6 - Risk Summary'!$T$388</f>
        <v>0</v>
      </c>
      <c r="AS4" s="459">
        <f>-'NARM6 - Risk Summary'!$U$388</f>
        <v>0</v>
      </c>
      <c r="AT4" s="459">
        <f>-'NARM6 - Risk Summary'!$V$388</f>
        <v>0</v>
      </c>
      <c r="AU4" s="462">
        <f>SUM(AR4:AT4)</f>
        <v>0</v>
      </c>
    </row>
    <row r="5" spans="2:47" ht="13.5">
      <c r="B5" s="539">
        <v>9</v>
      </c>
      <c r="C5" s="166" t="s">
        <v>70</v>
      </c>
      <c r="D5" s="167" t="s">
        <v>206</v>
      </c>
      <c r="E5" s="168" t="s">
        <v>208</v>
      </c>
      <c r="F5" s="169" t="str">
        <f ca="1">INDEX('NARM6 - Risk Summary'!$Q:$Q,MATCH($C5,'NARM6 - Risk Summary'!$B:$B,0)+5)</f>
        <v/>
      </c>
      <c r="G5" s="170">
        <f>INDEX('NARM6 - Risk Summary'!$T:$T,MATCH($C5,'NARM6 - Risk Summary'!$B:$B,0))</f>
        <v>0</v>
      </c>
      <c r="H5" s="171">
        <f>INDEX('NARM6 - Risk Summary'!$T:$T,MATCH($C5,'NARM6 - Risk Summary'!$B:$B,0)+1)</f>
        <v>0</v>
      </c>
      <c r="I5" s="171">
        <f>INDEX('NARM6 - Risk Summary'!$T:$T,MATCH($C5,'NARM6 - Risk Summary'!$B:$B,0)+2)</f>
        <v>0</v>
      </c>
      <c r="J5" s="172">
        <f>INDEX('NARM6 - Risk Summary'!$T:$T,MATCH($C5,'NARM6 - Risk Summary'!$B:$B,0)+3)</f>
        <v>0</v>
      </c>
      <c r="K5" s="172">
        <f>INDEX('NARM6 - Risk Summary'!$T:$T,MATCH($C5,'NARM6 - Risk Summary'!$B:$B,0)+4)</f>
        <v>0</v>
      </c>
      <c r="L5" s="173">
        <f t="shared" ref="L5:L64" si="6">SUM(G5:K5)</f>
        <v>0</v>
      </c>
      <c r="M5" s="174" t="str">
        <f t="shared" ref="M5:M64" ca="1" si="7">IF(IFERROR(L5/F5,"")&lt;0,0,IFERROR(L5/F5,""))</f>
        <v/>
      </c>
      <c r="N5" s="169" t="str">
        <f ca="1">INDEX('NARM6 - Risk Summary'!$R:$R,MATCH($C5,'NARM6 - Risk Summary'!$B:$B,0)+5)</f>
        <v/>
      </c>
      <c r="O5" s="170">
        <f>INDEX('NARM6 - Risk Summary'!$U:$U,MATCH($C5,'NARM6 - Risk Summary'!$B:$B,0))</f>
        <v>0</v>
      </c>
      <c r="P5" s="171">
        <f>INDEX('NARM6 - Risk Summary'!$U:$U,MATCH($C5,'NARM6 - Risk Summary'!$B:$B,0)+1)</f>
        <v>0</v>
      </c>
      <c r="Q5" s="171">
        <f>INDEX('NARM6 - Risk Summary'!$U:$U,MATCH($C5,'NARM6 - Risk Summary'!$B:$B,0)+2)</f>
        <v>0</v>
      </c>
      <c r="R5" s="172">
        <f>INDEX('NARM6 - Risk Summary'!$U:$U,MATCH($C5,'NARM6 - Risk Summary'!$B:$B,0)+3)</f>
        <v>0</v>
      </c>
      <c r="S5" s="172">
        <f>INDEX('NARM6 - Risk Summary'!$U:$U,MATCH($C5,'NARM6 - Risk Summary'!$B:$B,0)+4)</f>
        <v>0</v>
      </c>
      <c r="T5" s="173">
        <f t="shared" ref="T5:T64" si="8">SUM(O5:S5)</f>
        <v>0</v>
      </c>
      <c r="U5" s="174" t="str">
        <f t="shared" ref="U5:U64" ca="1" si="9">IF(IFERROR(T5/N5,"")&lt;0,0,IFERROR(T5/N5,""))</f>
        <v/>
      </c>
      <c r="V5" s="169" t="str">
        <f ca="1">INDEX('NARM6 - Risk Summary'!$S:$S,MATCH($C5,'NARM6 - Risk Summary'!$B:$B,0)+5)</f>
        <v/>
      </c>
      <c r="W5" s="170">
        <f>INDEX('NARM6 - Risk Summary'!$V:$V,MATCH($C5,'NARM6 - Risk Summary'!$B:$B,0))</f>
        <v>0</v>
      </c>
      <c r="X5" s="171">
        <f>INDEX('NARM6 - Risk Summary'!$V:$V,MATCH($C5,'NARM6 - Risk Summary'!$B:$B,0)+1)</f>
        <v>0</v>
      </c>
      <c r="Y5" s="171">
        <f>INDEX('NARM6 - Risk Summary'!$V:$V,MATCH($C5,'NARM6 - Risk Summary'!$B:$B,0)+2)</f>
        <v>0</v>
      </c>
      <c r="Z5" s="172">
        <f>INDEX('NARM6 - Risk Summary'!$V:$V,MATCH($C5,'NARM6 - Risk Summary'!$B:$B,0)+3)</f>
        <v>0</v>
      </c>
      <c r="AA5" s="172">
        <f>INDEX('NARM6 - Risk Summary'!$V:$V,MATCH($C5,'NARM6 - Risk Summary'!$B:$B,0)+4)</f>
        <v>0</v>
      </c>
      <c r="AB5" s="173">
        <f t="shared" ref="AB5:AB64" si="10">SUM(W5:AA5)</f>
        <v>0</v>
      </c>
      <c r="AC5" s="174" t="str">
        <f t="shared" ref="AC5:AC64" ca="1" si="11">IF(IFERROR(AB5/V5,"")&lt;0,0,IFERROR(AB5/V5,""))</f>
        <v/>
      </c>
      <c r="AD5" s="175">
        <f t="shared" ref="AD5:AD64" ca="1" si="12">SUM(F5,N5,V5)</f>
        <v>0</v>
      </c>
      <c r="AE5" s="170">
        <f t="shared" si="0"/>
        <v>0</v>
      </c>
      <c r="AF5" s="171">
        <f t="shared" si="1"/>
        <v>0</v>
      </c>
      <c r="AG5" s="171">
        <f t="shared" si="2"/>
        <v>0</v>
      </c>
      <c r="AH5" s="171">
        <f t="shared" si="3"/>
        <v>0</v>
      </c>
      <c r="AI5" s="176">
        <f t="shared" si="4"/>
        <v>0</v>
      </c>
      <c r="AJ5" s="177">
        <f t="shared" si="5"/>
        <v>0</v>
      </c>
      <c r="AK5" s="174" t="str">
        <f ca="1">IF(IFERROR((AE5+AF5++AG5+AI5)/AD5,"")&lt;0,0,IFERROR((AE5+AF5+AG5+AI5)/AD5,""))</f>
        <v/>
      </c>
      <c r="AM5" s="316" t="s">
        <v>132</v>
      </c>
      <c r="AN5" s="330" t="e">
        <f ca="1">-'NARM6 - Risk Summary'!$Q$394</f>
        <v>#VALUE!</v>
      </c>
      <c r="AO5" s="330" t="e">
        <f ca="1">-'NARM6 - Risk Summary'!$R$394</f>
        <v>#VALUE!</v>
      </c>
      <c r="AP5" s="330" t="e">
        <f ca="1">-'NARM6 - Risk Summary'!$S$394</f>
        <v>#VALUE!</v>
      </c>
      <c r="AQ5" s="460" t="e">
        <f ca="1">SUM(AN5:AP5)</f>
        <v>#VALUE!</v>
      </c>
      <c r="AR5" s="331">
        <f>-'NARM6 - Risk Summary'!$T$394</f>
        <v>0</v>
      </c>
      <c r="AS5" s="330">
        <f>-'NARM6 - Risk Summary'!$U$394</f>
        <v>0</v>
      </c>
      <c r="AT5" s="330">
        <f>-'NARM6 - Risk Summary'!$V$394</f>
        <v>0</v>
      </c>
      <c r="AU5" s="462">
        <f>SUM(AR5:AT5)</f>
        <v>0</v>
      </c>
    </row>
    <row r="6" spans="2:47" ht="13.5">
      <c r="B6" s="539">
        <v>10</v>
      </c>
      <c r="C6" s="166" t="s">
        <v>71</v>
      </c>
      <c r="D6" s="167" t="s">
        <v>206</v>
      </c>
      <c r="E6" s="168" t="s">
        <v>208</v>
      </c>
      <c r="F6" s="169" t="str">
        <f ca="1">INDEX('NARM6 - Risk Summary'!$Q:$Q,MATCH($C6,'NARM6 - Risk Summary'!$B:$B,0)+5)</f>
        <v/>
      </c>
      <c r="G6" s="170">
        <f>INDEX('NARM6 - Risk Summary'!$T:$T,MATCH($C6,'NARM6 - Risk Summary'!$B:$B,0))</f>
        <v>0</v>
      </c>
      <c r="H6" s="171">
        <f>INDEX('NARM6 - Risk Summary'!$T:$T,MATCH($C6,'NARM6 - Risk Summary'!$B:$B,0)+1)</f>
        <v>0</v>
      </c>
      <c r="I6" s="171">
        <f>INDEX('NARM6 - Risk Summary'!$T:$T,MATCH($C6,'NARM6 - Risk Summary'!$B:$B,0)+2)</f>
        <v>0</v>
      </c>
      <c r="J6" s="172">
        <f>INDEX('NARM6 - Risk Summary'!$T:$T,MATCH($C6,'NARM6 - Risk Summary'!$B:$B,0)+3)</f>
        <v>0</v>
      </c>
      <c r="K6" s="172">
        <f>INDEX('NARM6 - Risk Summary'!$T:$T,MATCH($C6,'NARM6 - Risk Summary'!$B:$B,0)+4)</f>
        <v>0</v>
      </c>
      <c r="L6" s="173">
        <f t="shared" si="6"/>
        <v>0</v>
      </c>
      <c r="M6" s="174" t="str">
        <f t="shared" ca="1" si="7"/>
        <v/>
      </c>
      <c r="N6" s="169" t="str">
        <f ca="1">INDEX('NARM6 - Risk Summary'!$R:$R,MATCH($C6,'NARM6 - Risk Summary'!$B:$B,0)+5)</f>
        <v/>
      </c>
      <c r="O6" s="170">
        <f>INDEX('NARM6 - Risk Summary'!$U:$U,MATCH($C6,'NARM6 - Risk Summary'!$B:$B,0))</f>
        <v>0</v>
      </c>
      <c r="P6" s="171">
        <f>INDEX('NARM6 - Risk Summary'!$U:$U,MATCH($C6,'NARM6 - Risk Summary'!$B:$B,0)+1)</f>
        <v>0</v>
      </c>
      <c r="Q6" s="171">
        <f>INDEX('NARM6 - Risk Summary'!$U:$U,MATCH($C6,'NARM6 - Risk Summary'!$B:$B,0)+2)</f>
        <v>0</v>
      </c>
      <c r="R6" s="172">
        <f>INDEX('NARM6 - Risk Summary'!$U:$U,MATCH($C6,'NARM6 - Risk Summary'!$B:$B,0)+3)</f>
        <v>0</v>
      </c>
      <c r="S6" s="172">
        <f>INDEX('NARM6 - Risk Summary'!$U:$U,MATCH($C6,'NARM6 - Risk Summary'!$B:$B,0)+4)</f>
        <v>0</v>
      </c>
      <c r="T6" s="173">
        <f t="shared" si="8"/>
        <v>0</v>
      </c>
      <c r="U6" s="174" t="str">
        <f t="shared" ca="1" si="9"/>
        <v/>
      </c>
      <c r="V6" s="169" t="str">
        <f ca="1">INDEX('NARM6 - Risk Summary'!$S:$S,MATCH($C6,'NARM6 - Risk Summary'!$B:$B,0)+5)</f>
        <v/>
      </c>
      <c r="W6" s="170">
        <f>INDEX('NARM6 - Risk Summary'!$V:$V,MATCH($C6,'NARM6 - Risk Summary'!$B:$B,0))</f>
        <v>0</v>
      </c>
      <c r="X6" s="171">
        <f>INDEX('NARM6 - Risk Summary'!$V:$V,MATCH($C6,'NARM6 - Risk Summary'!$B:$B,0)+1)</f>
        <v>0</v>
      </c>
      <c r="Y6" s="171">
        <f>INDEX('NARM6 - Risk Summary'!$V:$V,MATCH($C6,'NARM6 - Risk Summary'!$B:$B,0)+2)</f>
        <v>0</v>
      </c>
      <c r="Z6" s="172">
        <f>INDEX('NARM6 - Risk Summary'!$V:$V,MATCH($C6,'NARM6 - Risk Summary'!$B:$B,0)+3)</f>
        <v>0</v>
      </c>
      <c r="AA6" s="172">
        <f>INDEX('NARM6 - Risk Summary'!$V:$V,MATCH($C6,'NARM6 - Risk Summary'!$B:$B,0)+4)</f>
        <v>0</v>
      </c>
      <c r="AB6" s="173">
        <f t="shared" si="10"/>
        <v>0</v>
      </c>
      <c r="AC6" s="174" t="str">
        <f t="shared" ca="1" si="11"/>
        <v/>
      </c>
      <c r="AD6" s="175">
        <f t="shared" ca="1" si="12"/>
        <v>0</v>
      </c>
      <c r="AE6" s="170">
        <f t="shared" si="0"/>
        <v>0</v>
      </c>
      <c r="AF6" s="171">
        <f t="shared" si="1"/>
        <v>0</v>
      </c>
      <c r="AG6" s="171">
        <f t="shared" si="2"/>
        <v>0</v>
      </c>
      <c r="AH6" s="171">
        <f t="shared" si="3"/>
        <v>0</v>
      </c>
      <c r="AI6" s="176">
        <f t="shared" si="4"/>
        <v>0</v>
      </c>
      <c r="AJ6" s="177">
        <f t="shared" si="5"/>
        <v>0</v>
      </c>
      <c r="AK6" s="174" t="str">
        <f ca="1">IF(IFERROR((AE6+AF6++AG6+AI6)/AD6,"")&lt;0,0,IFERROR((AE6+AF6+AG6+AI6)/AD6,""))</f>
        <v/>
      </c>
      <c r="AM6" s="316" t="s">
        <v>133</v>
      </c>
      <c r="AN6" s="330" t="e">
        <f ca="1">-'NARM6 - Risk Summary'!$Q$400</f>
        <v>#VALUE!</v>
      </c>
      <c r="AO6" s="330" t="e">
        <f ca="1">-'NARM6 - Risk Summary'!$R$400</f>
        <v>#VALUE!</v>
      </c>
      <c r="AP6" s="330" t="e">
        <f ca="1">-'NARM6 - Risk Summary'!$S$400</f>
        <v>#VALUE!</v>
      </c>
      <c r="AQ6" s="460" t="e">
        <f ca="1">SUM(AN6:AP6)</f>
        <v>#VALUE!</v>
      </c>
      <c r="AR6" s="331">
        <f>-'NARM6 - Risk Summary'!$T$400</f>
        <v>0</v>
      </c>
      <c r="AS6" s="330">
        <f>-'NARM6 - Risk Summary'!$U$400</f>
        <v>0</v>
      </c>
      <c r="AT6" s="330">
        <f>-'NARM6 - Risk Summary'!$V$400</f>
        <v>0</v>
      </c>
      <c r="AU6" s="462">
        <f>SUM(AR6:AT6)</f>
        <v>0</v>
      </c>
    </row>
    <row r="7" spans="2:47" ht="13.5">
      <c r="B7" s="539">
        <v>23</v>
      </c>
      <c r="C7" s="166" t="s">
        <v>175</v>
      </c>
      <c r="D7" s="167" t="s">
        <v>206</v>
      </c>
      <c r="E7" s="168" t="s">
        <v>209</v>
      </c>
      <c r="F7" s="169" t="str">
        <f ca="1">INDEX('NARM6 - Risk Summary'!$Q:$Q,MATCH($C7,'NARM6 - Risk Summary'!$B:$B,0)+5)</f>
        <v/>
      </c>
      <c r="G7" s="170">
        <f>INDEX('NARM6 - Risk Summary'!$T:$T,MATCH($C7,'NARM6 - Risk Summary'!$B:$B,0))</f>
        <v>0</v>
      </c>
      <c r="H7" s="171">
        <f>INDEX('NARM6 - Risk Summary'!$T:$T,MATCH($C7,'NARM6 - Risk Summary'!$B:$B,0)+1)</f>
        <v>0</v>
      </c>
      <c r="I7" s="171">
        <f>INDEX('NARM6 - Risk Summary'!$T:$T,MATCH($C7,'NARM6 - Risk Summary'!$B:$B,0)+2)</f>
        <v>0</v>
      </c>
      <c r="J7" s="172">
        <f>INDEX('NARM6 - Risk Summary'!$T:$T,MATCH($C7,'NARM6 - Risk Summary'!$B:$B,0)+3)</f>
        <v>0</v>
      </c>
      <c r="K7" s="172">
        <f>INDEX('NARM6 - Risk Summary'!$T:$T,MATCH($C7,'NARM6 - Risk Summary'!$B:$B,0)+4)</f>
        <v>0</v>
      </c>
      <c r="L7" s="173">
        <f t="shared" si="6"/>
        <v>0</v>
      </c>
      <c r="M7" s="174" t="str">
        <f t="shared" ca="1" si="7"/>
        <v/>
      </c>
      <c r="N7" s="169" t="str">
        <f ca="1">INDEX('NARM6 - Risk Summary'!$R:$R,MATCH($C7,'NARM6 - Risk Summary'!$B:$B,0)+5)</f>
        <v/>
      </c>
      <c r="O7" s="170">
        <f>INDEX('NARM6 - Risk Summary'!$U:$U,MATCH($C7,'NARM6 - Risk Summary'!$B:$B,0))</f>
        <v>0</v>
      </c>
      <c r="P7" s="171">
        <f>INDEX('NARM6 - Risk Summary'!$U:$U,MATCH($C7,'NARM6 - Risk Summary'!$B:$B,0)+1)</f>
        <v>0</v>
      </c>
      <c r="Q7" s="171">
        <f>INDEX('NARM6 - Risk Summary'!$U:$U,MATCH($C7,'NARM6 - Risk Summary'!$B:$B,0)+2)</f>
        <v>0</v>
      </c>
      <c r="R7" s="172">
        <f>INDEX('NARM6 - Risk Summary'!$U:$U,MATCH($C7,'NARM6 - Risk Summary'!$B:$B,0)+3)</f>
        <v>0</v>
      </c>
      <c r="S7" s="172">
        <f>INDEX('NARM6 - Risk Summary'!$U:$U,MATCH($C7,'NARM6 - Risk Summary'!$B:$B,0)+4)</f>
        <v>0</v>
      </c>
      <c r="T7" s="173">
        <f t="shared" si="8"/>
        <v>0</v>
      </c>
      <c r="U7" s="174" t="str">
        <f t="shared" ca="1" si="9"/>
        <v/>
      </c>
      <c r="V7" s="169" t="str">
        <f ca="1">INDEX('NARM6 - Risk Summary'!$S:$S,MATCH($C7,'NARM6 - Risk Summary'!$B:$B,0)+5)</f>
        <v/>
      </c>
      <c r="W7" s="170">
        <f>INDEX('NARM6 - Risk Summary'!$V:$V,MATCH($C7,'NARM6 - Risk Summary'!$B:$B,0))</f>
        <v>0</v>
      </c>
      <c r="X7" s="171">
        <f>INDEX('NARM6 - Risk Summary'!$V:$V,MATCH($C7,'NARM6 - Risk Summary'!$B:$B,0)+1)</f>
        <v>0</v>
      </c>
      <c r="Y7" s="171">
        <f>INDEX('NARM6 - Risk Summary'!$V:$V,MATCH($C7,'NARM6 - Risk Summary'!$B:$B,0)+2)</f>
        <v>0</v>
      </c>
      <c r="Z7" s="172">
        <f>INDEX('NARM6 - Risk Summary'!$V:$V,MATCH($C7,'NARM6 - Risk Summary'!$B:$B,0)+3)</f>
        <v>0</v>
      </c>
      <c r="AA7" s="172">
        <f>INDEX('NARM6 - Risk Summary'!$V:$V,MATCH($C7,'NARM6 - Risk Summary'!$B:$B,0)+4)</f>
        <v>0</v>
      </c>
      <c r="AB7" s="173">
        <f t="shared" si="10"/>
        <v>0</v>
      </c>
      <c r="AC7" s="174" t="str">
        <f t="shared" ca="1" si="11"/>
        <v/>
      </c>
      <c r="AD7" s="175">
        <f t="shared" ca="1" si="12"/>
        <v>0</v>
      </c>
      <c r="AE7" s="170">
        <f t="shared" si="0"/>
        <v>0</v>
      </c>
      <c r="AF7" s="171">
        <f t="shared" si="1"/>
        <v>0</v>
      </c>
      <c r="AG7" s="171">
        <f t="shared" si="2"/>
        <v>0</v>
      </c>
      <c r="AH7" s="171">
        <f t="shared" si="3"/>
        <v>0</v>
      </c>
      <c r="AI7" s="176">
        <f t="shared" si="4"/>
        <v>0</v>
      </c>
      <c r="AJ7" s="177">
        <f t="shared" si="5"/>
        <v>0</v>
      </c>
      <c r="AK7" s="174" t="str">
        <f ca="1">IF(IFERROR((AE7+AF7+AG7+AI7)/AD7,"")&lt;0,0,IFERROR((AE7+AF7+AG7+AI7)/AD7,""))</f>
        <v/>
      </c>
      <c r="AM7" s="316" t="s">
        <v>134</v>
      </c>
      <c r="AN7" s="330" t="e">
        <f ca="1">-'NARM6 - Risk Summary'!$Q$406</f>
        <v>#VALUE!</v>
      </c>
      <c r="AO7" s="330" t="e">
        <f ca="1">-'NARM6 - Risk Summary'!$R$406</f>
        <v>#VALUE!</v>
      </c>
      <c r="AP7" s="330" t="e">
        <f ca="1">-'NARM6 - Risk Summary'!$S$406</f>
        <v>#VALUE!</v>
      </c>
      <c r="AQ7" s="460" t="e">
        <f ca="1">SUM(AN7:AP7)</f>
        <v>#VALUE!</v>
      </c>
      <c r="AR7" s="331">
        <f>-'NARM6 - Risk Summary'!$T$406</f>
        <v>0</v>
      </c>
      <c r="AS7" s="330">
        <f>-'NARM6 - Risk Summary'!$U$406</f>
        <v>0</v>
      </c>
      <c r="AT7" s="330">
        <f>-'NARM6 - Risk Summary'!$V$406</f>
        <v>0</v>
      </c>
      <c r="AU7" s="462">
        <f>SUM(AR7:AT7)</f>
        <v>0</v>
      </c>
    </row>
    <row r="8" spans="2:47" ht="14" thickBot="1">
      <c r="B8" s="539">
        <v>24</v>
      </c>
      <c r="C8" s="166" t="s">
        <v>176</v>
      </c>
      <c r="D8" s="167" t="s">
        <v>206</v>
      </c>
      <c r="E8" s="168" t="s">
        <v>209</v>
      </c>
      <c r="F8" s="169" t="str">
        <f ca="1">INDEX('NARM6 - Risk Summary'!$Q:$Q,MATCH($C8,'NARM6 - Risk Summary'!$B:$B,0)+5)</f>
        <v/>
      </c>
      <c r="G8" s="170">
        <f>INDEX('NARM6 - Risk Summary'!$T:$T,MATCH($C8,'NARM6 - Risk Summary'!$B:$B,0))</f>
        <v>0</v>
      </c>
      <c r="H8" s="171">
        <f>INDEX('NARM6 - Risk Summary'!$T:$T,MATCH($C8,'NARM6 - Risk Summary'!$B:$B,0)+1)</f>
        <v>0</v>
      </c>
      <c r="I8" s="171">
        <f>INDEX('NARM6 - Risk Summary'!$T:$T,MATCH($C8,'NARM6 - Risk Summary'!$B:$B,0)+2)</f>
        <v>0</v>
      </c>
      <c r="J8" s="172">
        <f>INDEX('NARM6 - Risk Summary'!$T:$T,MATCH($C8,'NARM6 - Risk Summary'!$B:$B,0)+3)</f>
        <v>0</v>
      </c>
      <c r="K8" s="172">
        <f>INDEX('NARM6 - Risk Summary'!$T:$T,MATCH($C8,'NARM6 - Risk Summary'!$B:$B,0)+4)</f>
        <v>0</v>
      </c>
      <c r="L8" s="173">
        <f t="shared" si="6"/>
        <v>0</v>
      </c>
      <c r="M8" s="174" t="str">
        <f t="shared" ca="1" si="7"/>
        <v/>
      </c>
      <c r="N8" s="169" t="str">
        <f ca="1">INDEX('NARM6 - Risk Summary'!$R:$R,MATCH($C8,'NARM6 - Risk Summary'!$B:$B,0)+5)</f>
        <v/>
      </c>
      <c r="O8" s="170">
        <f>INDEX('NARM6 - Risk Summary'!$U:$U,MATCH($C8,'NARM6 - Risk Summary'!$B:$B,0))</f>
        <v>0</v>
      </c>
      <c r="P8" s="171">
        <f>INDEX('NARM6 - Risk Summary'!$U:$U,MATCH($C8,'NARM6 - Risk Summary'!$B:$B,0)+1)</f>
        <v>0</v>
      </c>
      <c r="Q8" s="171">
        <f>INDEX('NARM6 - Risk Summary'!$U:$U,MATCH($C8,'NARM6 - Risk Summary'!$B:$B,0)+2)</f>
        <v>0</v>
      </c>
      <c r="R8" s="172">
        <f>INDEX('NARM6 - Risk Summary'!$U:$U,MATCH($C8,'NARM6 - Risk Summary'!$B:$B,0)+3)</f>
        <v>0</v>
      </c>
      <c r="S8" s="172">
        <f>INDEX('NARM6 - Risk Summary'!$U:$U,MATCH($C8,'NARM6 - Risk Summary'!$B:$B,0)+4)</f>
        <v>0</v>
      </c>
      <c r="T8" s="173">
        <f t="shared" si="8"/>
        <v>0</v>
      </c>
      <c r="U8" s="174" t="str">
        <f t="shared" ca="1" si="9"/>
        <v/>
      </c>
      <c r="V8" s="169" t="str">
        <f ca="1">INDEX('NARM6 - Risk Summary'!$S:$S,MATCH($C8,'NARM6 - Risk Summary'!$B:$B,0)+5)</f>
        <v/>
      </c>
      <c r="W8" s="170">
        <f>INDEX('NARM6 - Risk Summary'!$V:$V,MATCH($C8,'NARM6 - Risk Summary'!$B:$B,0))</f>
        <v>0</v>
      </c>
      <c r="X8" s="171">
        <f>INDEX('NARM6 - Risk Summary'!$V:$V,MATCH($C8,'NARM6 - Risk Summary'!$B:$B,0)+1)</f>
        <v>0</v>
      </c>
      <c r="Y8" s="171">
        <f>INDEX('NARM6 - Risk Summary'!$V:$V,MATCH($C8,'NARM6 - Risk Summary'!$B:$B,0)+2)</f>
        <v>0</v>
      </c>
      <c r="Z8" s="172">
        <f>INDEX('NARM6 - Risk Summary'!$V:$V,MATCH($C8,'NARM6 - Risk Summary'!$B:$B,0)+3)</f>
        <v>0</v>
      </c>
      <c r="AA8" s="172">
        <f>INDEX('NARM6 - Risk Summary'!$V:$V,MATCH($C8,'NARM6 - Risk Summary'!$B:$B,0)+4)</f>
        <v>0</v>
      </c>
      <c r="AB8" s="173">
        <f t="shared" si="10"/>
        <v>0</v>
      </c>
      <c r="AC8" s="174" t="str">
        <f t="shared" ca="1" si="11"/>
        <v/>
      </c>
      <c r="AD8" s="175">
        <f t="shared" ca="1" si="12"/>
        <v>0</v>
      </c>
      <c r="AE8" s="170">
        <f t="shared" si="0"/>
        <v>0</v>
      </c>
      <c r="AF8" s="171">
        <f t="shared" si="1"/>
        <v>0</v>
      </c>
      <c r="AG8" s="171">
        <f t="shared" si="2"/>
        <v>0</v>
      </c>
      <c r="AH8" s="171">
        <f t="shared" si="3"/>
        <v>0</v>
      </c>
      <c r="AI8" s="176">
        <f t="shared" si="4"/>
        <v>0</v>
      </c>
      <c r="AJ8" s="177">
        <f t="shared" si="5"/>
        <v>0</v>
      </c>
      <c r="AK8" s="174" t="str">
        <f t="shared" ref="AK8:AK24" ca="1" si="13">IF(IFERROR((AE8+AF8+AG8+AI8)/AD8,"")&lt;0,0,IFERROR((AE8+AF8+AG8+AI8)/AD8,""))</f>
        <v/>
      </c>
      <c r="AM8" s="317" t="s">
        <v>135</v>
      </c>
      <c r="AN8" s="332" t="e">
        <f ca="1">-'NARM6 - Risk Summary'!$Q$412</f>
        <v>#VALUE!</v>
      </c>
      <c r="AO8" s="332" t="e">
        <f ca="1">-'NARM6 - Risk Summary'!$R$412</f>
        <v>#VALUE!</v>
      </c>
      <c r="AP8" s="332" t="e">
        <f ca="1">-'NARM6 - Risk Summary'!$S$412</f>
        <v>#VALUE!</v>
      </c>
      <c r="AQ8" s="463" t="e">
        <f ca="1">SUM(AN8:AP8)</f>
        <v>#VALUE!</v>
      </c>
      <c r="AR8" s="333">
        <f>-'NARM6 - Risk Summary'!$T$412</f>
        <v>0</v>
      </c>
      <c r="AS8" s="332">
        <f>-'NARM6 - Risk Summary'!$U$412</f>
        <v>0</v>
      </c>
      <c r="AT8" s="332">
        <f>-'NARM6 - Risk Summary'!$V$412</f>
        <v>0</v>
      </c>
      <c r="AU8" s="464">
        <f>SUM(AR8:AT8)</f>
        <v>0</v>
      </c>
    </row>
    <row r="9" spans="2:47" ht="14" thickBot="1">
      <c r="B9" s="539">
        <v>26</v>
      </c>
      <c r="C9" s="166" t="s">
        <v>87</v>
      </c>
      <c r="D9" s="167" t="s">
        <v>206</v>
      </c>
      <c r="E9" s="168" t="s">
        <v>209</v>
      </c>
      <c r="F9" s="169" t="str">
        <f ca="1">INDEX('NARM6 - Risk Summary'!$Q:$Q,MATCH($C9,'NARM6 - Risk Summary'!$B:$B,0)+5)</f>
        <v/>
      </c>
      <c r="G9" s="170">
        <f>INDEX('NARM6 - Risk Summary'!$T:$T,MATCH($C9,'NARM6 - Risk Summary'!$B:$B,0))</f>
        <v>0</v>
      </c>
      <c r="H9" s="171">
        <f>INDEX('NARM6 - Risk Summary'!$T:$T,MATCH($C9,'NARM6 - Risk Summary'!$B:$B,0)+1)</f>
        <v>0</v>
      </c>
      <c r="I9" s="171">
        <f>INDEX('NARM6 - Risk Summary'!$T:$T,MATCH($C9,'NARM6 - Risk Summary'!$B:$B,0)+2)</f>
        <v>0</v>
      </c>
      <c r="J9" s="172">
        <f>INDEX('NARM6 - Risk Summary'!$T:$T,MATCH($C9,'NARM6 - Risk Summary'!$B:$B,0)+3)</f>
        <v>0</v>
      </c>
      <c r="K9" s="172">
        <f>INDEX('NARM6 - Risk Summary'!$T:$T,MATCH($C9,'NARM6 - Risk Summary'!$B:$B,0)+4)</f>
        <v>0</v>
      </c>
      <c r="L9" s="173">
        <f t="shared" si="6"/>
        <v>0</v>
      </c>
      <c r="M9" s="174" t="str">
        <f t="shared" ca="1" si="7"/>
        <v/>
      </c>
      <c r="N9" s="169" t="str">
        <f ca="1">INDEX('NARM6 - Risk Summary'!$R:$R,MATCH($C9,'NARM6 - Risk Summary'!$B:$B,0)+5)</f>
        <v/>
      </c>
      <c r="O9" s="170">
        <f>INDEX('NARM6 - Risk Summary'!$U:$U,MATCH($C9,'NARM6 - Risk Summary'!$B:$B,0))</f>
        <v>0</v>
      </c>
      <c r="P9" s="171">
        <f>INDEX('NARM6 - Risk Summary'!$U:$U,MATCH($C9,'NARM6 - Risk Summary'!$B:$B,0)+1)</f>
        <v>0</v>
      </c>
      <c r="Q9" s="171">
        <f>INDEX('NARM6 - Risk Summary'!$U:$U,MATCH($C9,'NARM6 - Risk Summary'!$B:$B,0)+2)</f>
        <v>0</v>
      </c>
      <c r="R9" s="172">
        <f>INDEX('NARM6 - Risk Summary'!$U:$U,MATCH($C9,'NARM6 - Risk Summary'!$B:$B,0)+3)</f>
        <v>0</v>
      </c>
      <c r="S9" s="172">
        <f>INDEX('NARM6 - Risk Summary'!$U:$U,MATCH($C9,'NARM6 - Risk Summary'!$B:$B,0)+4)</f>
        <v>0</v>
      </c>
      <c r="T9" s="173">
        <f t="shared" si="8"/>
        <v>0</v>
      </c>
      <c r="U9" s="174" t="str">
        <f t="shared" ca="1" si="9"/>
        <v/>
      </c>
      <c r="V9" s="169" t="str">
        <f ca="1">INDEX('NARM6 - Risk Summary'!$S:$S,MATCH($C9,'NARM6 - Risk Summary'!$B:$B,0)+5)</f>
        <v/>
      </c>
      <c r="W9" s="170">
        <f>INDEX('NARM6 - Risk Summary'!$V:$V,MATCH($C9,'NARM6 - Risk Summary'!$B:$B,0))</f>
        <v>0</v>
      </c>
      <c r="X9" s="171">
        <f>INDEX('NARM6 - Risk Summary'!$V:$V,MATCH($C9,'NARM6 - Risk Summary'!$B:$B,0)+1)</f>
        <v>0</v>
      </c>
      <c r="Y9" s="171">
        <f>INDEX('NARM6 - Risk Summary'!$V:$V,MATCH($C9,'NARM6 - Risk Summary'!$B:$B,0)+2)</f>
        <v>0</v>
      </c>
      <c r="Z9" s="172">
        <f>INDEX('NARM6 - Risk Summary'!$V:$V,MATCH($C9,'NARM6 - Risk Summary'!$B:$B,0)+3)</f>
        <v>0</v>
      </c>
      <c r="AA9" s="172">
        <f>INDEX('NARM6 - Risk Summary'!$V:$V,MATCH($C9,'NARM6 - Risk Summary'!$B:$B,0)+4)</f>
        <v>0</v>
      </c>
      <c r="AB9" s="173">
        <f t="shared" si="10"/>
        <v>0</v>
      </c>
      <c r="AC9" s="174" t="str">
        <f t="shared" ca="1" si="11"/>
        <v/>
      </c>
      <c r="AD9" s="175">
        <f t="shared" ca="1" si="12"/>
        <v>0</v>
      </c>
      <c r="AE9" s="170">
        <f t="shared" si="0"/>
        <v>0</v>
      </c>
      <c r="AF9" s="171">
        <f t="shared" si="1"/>
        <v>0</v>
      </c>
      <c r="AG9" s="171">
        <f t="shared" si="2"/>
        <v>0</v>
      </c>
      <c r="AH9" s="171">
        <f t="shared" si="3"/>
        <v>0</v>
      </c>
      <c r="AI9" s="176">
        <f t="shared" si="4"/>
        <v>0</v>
      </c>
      <c r="AJ9" s="177">
        <f t="shared" si="5"/>
        <v>0</v>
      </c>
      <c r="AK9" s="174" t="str">
        <f t="shared" ca="1" si="13"/>
        <v/>
      </c>
      <c r="AM9"/>
      <c r="AN9"/>
      <c r="AO9"/>
      <c r="AP9"/>
      <c r="AQ9"/>
      <c r="AR9"/>
    </row>
    <row r="10" spans="2:47">
      <c r="B10" s="539">
        <v>29</v>
      </c>
      <c r="C10" s="166" t="s">
        <v>90</v>
      </c>
      <c r="D10" s="167" t="s">
        <v>206</v>
      </c>
      <c r="E10" s="168" t="s">
        <v>209</v>
      </c>
      <c r="F10" s="169" t="str">
        <f ca="1">INDEX('NARM6 - Risk Summary'!$Q:$Q,MATCH($C10,'NARM6 - Risk Summary'!$B:$B,0)+5)</f>
        <v/>
      </c>
      <c r="G10" s="170">
        <f>INDEX('NARM6 - Risk Summary'!$T:$T,MATCH($C10,'NARM6 - Risk Summary'!$B:$B,0))</f>
        <v>0</v>
      </c>
      <c r="H10" s="171">
        <f>INDEX('NARM6 - Risk Summary'!$T:$T,MATCH($C10,'NARM6 - Risk Summary'!$B:$B,0)+1)</f>
        <v>0</v>
      </c>
      <c r="I10" s="171">
        <f>INDEX('NARM6 - Risk Summary'!$T:$T,MATCH($C10,'NARM6 - Risk Summary'!$B:$B,0)+2)</f>
        <v>0</v>
      </c>
      <c r="J10" s="172">
        <f>INDEX('NARM6 - Risk Summary'!$T:$T,MATCH($C10,'NARM6 - Risk Summary'!$B:$B,0)+3)</f>
        <v>0</v>
      </c>
      <c r="K10" s="172">
        <f>INDEX('NARM6 - Risk Summary'!$T:$T,MATCH($C10,'NARM6 - Risk Summary'!$B:$B,0)+4)</f>
        <v>0</v>
      </c>
      <c r="L10" s="173">
        <f t="shared" si="6"/>
        <v>0</v>
      </c>
      <c r="M10" s="174" t="str">
        <f t="shared" ca="1" si="7"/>
        <v/>
      </c>
      <c r="N10" s="169" t="str">
        <f ca="1">INDEX('NARM6 - Risk Summary'!$R:$R,MATCH($C10,'NARM6 - Risk Summary'!$B:$B,0)+5)</f>
        <v/>
      </c>
      <c r="O10" s="170">
        <f>INDEX('NARM6 - Risk Summary'!$U:$U,MATCH($C10,'NARM6 - Risk Summary'!$B:$B,0))</f>
        <v>0</v>
      </c>
      <c r="P10" s="171">
        <f>INDEX('NARM6 - Risk Summary'!$U:$U,MATCH($C10,'NARM6 - Risk Summary'!$B:$B,0)+1)</f>
        <v>0</v>
      </c>
      <c r="Q10" s="171">
        <f>INDEX('NARM6 - Risk Summary'!$U:$U,MATCH($C10,'NARM6 - Risk Summary'!$B:$B,0)+2)</f>
        <v>0</v>
      </c>
      <c r="R10" s="172">
        <f>INDEX('NARM6 - Risk Summary'!$U:$U,MATCH($C10,'NARM6 - Risk Summary'!$B:$B,0)+3)</f>
        <v>0</v>
      </c>
      <c r="S10" s="172">
        <f>INDEX('NARM6 - Risk Summary'!$U:$U,MATCH($C10,'NARM6 - Risk Summary'!$B:$B,0)+4)</f>
        <v>0</v>
      </c>
      <c r="T10" s="173">
        <f t="shared" si="8"/>
        <v>0</v>
      </c>
      <c r="U10" s="174" t="str">
        <f t="shared" ca="1" si="9"/>
        <v/>
      </c>
      <c r="V10" s="169" t="str">
        <f ca="1">INDEX('NARM6 - Risk Summary'!$S:$S,MATCH($C10,'NARM6 - Risk Summary'!$B:$B,0)+5)</f>
        <v/>
      </c>
      <c r="W10" s="170">
        <f>INDEX('NARM6 - Risk Summary'!$V:$V,MATCH($C10,'NARM6 - Risk Summary'!$B:$B,0))</f>
        <v>0</v>
      </c>
      <c r="X10" s="171">
        <f>INDEX('NARM6 - Risk Summary'!$V:$V,MATCH($C10,'NARM6 - Risk Summary'!$B:$B,0)+1)</f>
        <v>0</v>
      </c>
      <c r="Y10" s="171">
        <f>INDEX('NARM6 - Risk Summary'!$V:$V,MATCH($C10,'NARM6 - Risk Summary'!$B:$B,0)+2)</f>
        <v>0</v>
      </c>
      <c r="Z10" s="172">
        <f>INDEX('NARM6 - Risk Summary'!$V:$V,MATCH($C10,'NARM6 - Risk Summary'!$B:$B,0)+3)</f>
        <v>0</v>
      </c>
      <c r="AA10" s="172">
        <f>INDEX('NARM6 - Risk Summary'!$V:$V,MATCH($C10,'NARM6 - Risk Summary'!$B:$B,0)+4)</f>
        <v>0</v>
      </c>
      <c r="AB10" s="173">
        <f t="shared" si="10"/>
        <v>0</v>
      </c>
      <c r="AC10" s="174" t="str">
        <f t="shared" ca="1" si="11"/>
        <v/>
      </c>
      <c r="AD10" s="175">
        <f t="shared" ca="1" si="12"/>
        <v>0</v>
      </c>
      <c r="AE10" s="170">
        <f t="shared" si="0"/>
        <v>0</v>
      </c>
      <c r="AF10" s="171">
        <f t="shared" si="1"/>
        <v>0</v>
      </c>
      <c r="AG10" s="171">
        <f t="shared" si="2"/>
        <v>0</v>
      </c>
      <c r="AH10" s="171">
        <f t="shared" si="3"/>
        <v>0</v>
      </c>
      <c r="AI10" s="176">
        <f t="shared" si="4"/>
        <v>0</v>
      </c>
      <c r="AJ10" s="177">
        <f t="shared" si="5"/>
        <v>0</v>
      </c>
      <c r="AK10" s="174" t="str">
        <f t="shared" ca="1" si="13"/>
        <v/>
      </c>
      <c r="AM10" s="322"/>
      <c r="AN10" s="323">
        <v>2023</v>
      </c>
      <c r="AO10" s="323">
        <v>2024</v>
      </c>
      <c r="AP10" s="323">
        <v>2025</v>
      </c>
      <c r="AQ10" s="323">
        <v>2026</v>
      </c>
      <c r="AR10" s="323">
        <v>2027</v>
      </c>
      <c r="AS10" s="324">
        <v>2028</v>
      </c>
    </row>
    <row r="11" spans="2:47">
      <c r="B11" s="539">
        <v>51</v>
      </c>
      <c r="C11" s="166" t="s">
        <v>112</v>
      </c>
      <c r="D11" s="167" t="s">
        <v>206</v>
      </c>
      <c r="E11" s="168" t="s">
        <v>210</v>
      </c>
      <c r="F11" s="169" t="str">
        <f ca="1">INDEX('NARM6 - Risk Summary'!$Q:$Q,MATCH($C11,'NARM6 - Risk Summary'!$B:$B,0)+5)</f>
        <v/>
      </c>
      <c r="G11" s="170">
        <f>INDEX('NARM6 - Risk Summary'!$T:$T,MATCH($C11,'NARM6 - Risk Summary'!$B:$B,0))</f>
        <v>0</v>
      </c>
      <c r="H11" s="171">
        <f>INDEX('NARM6 - Risk Summary'!$T:$T,MATCH($C11,'NARM6 - Risk Summary'!$B:$B,0)+1)</f>
        <v>0</v>
      </c>
      <c r="I11" s="171">
        <f>INDEX('NARM6 - Risk Summary'!$T:$T,MATCH($C11,'NARM6 - Risk Summary'!$B:$B,0)+2)</f>
        <v>0</v>
      </c>
      <c r="J11" s="172">
        <f>INDEX('NARM6 - Risk Summary'!$T:$T,MATCH($C11,'NARM6 - Risk Summary'!$B:$B,0)+3)</f>
        <v>0</v>
      </c>
      <c r="K11" s="172">
        <f>INDEX('NARM6 - Risk Summary'!$T:$T,MATCH($C11,'NARM6 - Risk Summary'!$B:$B,0)+4)</f>
        <v>0</v>
      </c>
      <c r="L11" s="173">
        <f t="shared" si="6"/>
        <v>0</v>
      </c>
      <c r="M11" s="174" t="str">
        <f t="shared" ca="1" si="7"/>
        <v/>
      </c>
      <c r="N11" s="169" t="str">
        <f ca="1">INDEX('NARM6 - Risk Summary'!$R:$R,MATCH($C11,'NARM6 - Risk Summary'!$B:$B,0)+5)</f>
        <v/>
      </c>
      <c r="O11" s="170">
        <f>INDEX('NARM6 - Risk Summary'!$U:$U,MATCH($C11,'NARM6 - Risk Summary'!$B:$B,0))</f>
        <v>0</v>
      </c>
      <c r="P11" s="171">
        <f>INDEX('NARM6 - Risk Summary'!$U:$U,MATCH($C11,'NARM6 - Risk Summary'!$B:$B,0)+1)</f>
        <v>0</v>
      </c>
      <c r="Q11" s="171">
        <f>INDEX('NARM6 - Risk Summary'!$U:$U,MATCH($C11,'NARM6 - Risk Summary'!$B:$B,0)+2)</f>
        <v>0</v>
      </c>
      <c r="R11" s="172">
        <f>INDEX('NARM6 - Risk Summary'!$U:$U,MATCH($C11,'NARM6 - Risk Summary'!$B:$B,0)+3)</f>
        <v>0</v>
      </c>
      <c r="S11" s="172">
        <f>INDEX('NARM6 - Risk Summary'!$U:$U,MATCH($C11,'NARM6 - Risk Summary'!$B:$B,0)+4)</f>
        <v>0</v>
      </c>
      <c r="T11" s="173">
        <f t="shared" si="8"/>
        <v>0</v>
      </c>
      <c r="U11" s="174" t="str">
        <f t="shared" ca="1" si="9"/>
        <v/>
      </c>
      <c r="V11" s="169" t="str">
        <f ca="1">INDEX('NARM6 - Risk Summary'!$S:$S,MATCH($C11,'NARM6 - Risk Summary'!$B:$B,0)+5)</f>
        <v/>
      </c>
      <c r="W11" s="170">
        <f>INDEX('NARM6 - Risk Summary'!$V:$V,MATCH($C11,'NARM6 - Risk Summary'!$B:$B,0))</f>
        <v>0</v>
      </c>
      <c r="X11" s="171">
        <f>INDEX('NARM6 - Risk Summary'!$V:$V,MATCH($C11,'NARM6 - Risk Summary'!$B:$B,0)+1)</f>
        <v>0</v>
      </c>
      <c r="Y11" s="171">
        <f>INDEX('NARM6 - Risk Summary'!$V:$V,MATCH($C11,'NARM6 - Risk Summary'!$B:$B,0)+2)</f>
        <v>0</v>
      </c>
      <c r="Z11" s="172">
        <f>INDEX('NARM6 - Risk Summary'!$V:$V,MATCH($C11,'NARM6 - Risk Summary'!$B:$B,0)+3)</f>
        <v>0</v>
      </c>
      <c r="AA11" s="172">
        <f>INDEX('NARM6 - Risk Summary'!$V:$V,MATCH($C11,'NARM6 - Risk Summary'!$B:$B,0)+4)</f>
        <v>0</v>
      </c>
      <c r="AB11" s="173">
        <f t="shared" si="10"/>
        <v>0</v>
      </c>
      <c r="AC11" s="174" t="str">
        <f t="shared" ca="1" si="11"/>
        <v/>
      </c>
      <c r="AD11" s="175">
        <f t="shared" ca="1" si="12"/>
        <v>0</v>
      </c>
      <c r="AE11" s="170">
        <f t="shared" si="0"/>
        <v>0</v>
      </c>
      <c r="AF11" s="171">
        <f t="shared" si="1"/>
        <v>0</v>
      </c>
      <c r="AG11" s="171">
        <f t="shared" si="2"/>
        <v>0</v>
      </c>
      <c r="AH11" s="171">
        <f t="shared" si="3"/>
        <v>0</v>
      </c>
      <c r="AI11" s="176">
        <f t="shared" si="4"/>
        <v>0</v>
      </c>
      <c r="AJ11" s="177">
        <f t="shared" si="5"/>
        <v>0</v>
      </c>
      <c r="AK11" s="174" t="str">
        <f t="shared" ca="1" si="13"/>
        <v/>
      </c>
      <c r="AM11" s="616" t="s">
        <v>211</v>
      </c>
      <c r="AN11" s="326">
        <v>0</v>
      </c>
      <c r="AO11" s="326" t="e">
        <f ca="1">$AE$65/$AD$65</f>
        <v>#DIV/0!</v>
      </c>
      <c r="AP11" s="326" t="e">
        <f ca="1">$AF$65/$AD$65</f>
        <v>#DIV/0!</v>
      </c>
      <c r="AQ11" s="326" t="e">
        <f ca="1">$AG$65/$AD$65</f>
        <v>#DIV/0!</v>
      </c>
      <c r="AR11" s="326" t="e">
        <f ca="1">$AH$65/$AD$65</f>
        <v>#DIV/0!</v>
      </c>
      <c r="AS11" s="327" t="e">
        <f ca="1">$AI$65/$AD$65</f>
        <v>#DIV/0!</v>
      </c>
      <c r="AT11" s="149" t="s">
        <v>212</v>
      </c>
    </row>
    <row r="12" spans="2:47" ht="13.5" thickBot="1">
      <c r="B12" s="539">
        <v>27</v>
      </c>
      <c r="C12" s="166" t="s">
        <v>88</v>
      </c>
      <c r="D12" s="167" t="s">
        <v>206</v>
      </c>
      <c r="E12" s="168" t="s">
        <v>209</v>
      </c>
      <c r="F12" s="169" t="str">
        <f ca="1">INDEX('NARM6 - Risk Summary'!$Q:$Q,MATCH($C12,'NARM6 - Risk Summary'!$B:$B,0)+5)</f>
        <v/>
      </c>
      <c r="G12" s="170">
        <f>INDEX('NARM6 - Risk Summary'!$T:$T,MATCH($C12,'NARM6 - Risk Summary'!$B:$B,0))</f>
        <v>0</v>
      </c>
      <c r="H12" s="171">
        <f>INDEX('NARM6 - Risk Summary'!$T:$T,MATCH($C12,'NARM6 - Risk Summary'!$B:$B,0)+1)</f>
        <v>0</v>
      </c>
      <c r="I12" s="171">
        <f>INDEX('NARM6 - Risk Summary'!$T:$T,MATCH($C12,'NARM6 - Risk Summary'!$B:$B,0)+2)</f>
        <v>0</v>
      </c>
      <c r="J12" s="172">
        <f>INDEX('NARM6 - Risk Summary'!$T:$T,MATCH($C12,'NARM6 - Risk Summary'!$B:$B,0)+3)</f>
        <v>0</v>
      </c>
      <c r="K12" s="172">
        <f>INDEX('NARM6 - Risk Summary'!$T:$T,MATCH($C12,'NARM6 - Risk Summary'!$B:$B,0)+4)</f>
        <v>0</v>
      </c>
      <c r="L12" s="173">
        <f t="shared" si="6"/>
        <v>0</v>
      </c>
      <c r="M12" s="174" t="str">
        <f t="shared" ca="1" si="7"/>
        <v/>
      </c>
      <c r="N12" s="169" t="str">
        <f ca="1">INDEX('NARM6 - Risk Summary'!$R:$R,MATCH($C12,'NARM6 - Risk Summary'!$B:$B,0)+5)</f>
        <v/>
      </c>
      <c r="O12" s="170">
        <f>INDEX('NARM6 - Risk Summary'!$U:$U,MATCH($C12,'NARM6 - Risk Summary'!$B:$B,0))</f>
        <v>0</v>
      </c>
      <c r="P12" s="171">
        <f>INDEX('NARM6 - Risk Summary'!$U:$U,MATCH($C12,'NARM6 - Risk Summary'!$B:$B,0)+1)</f>
        <v>0</v>
      </c>
      <c r="Q12" s="171">
        <f>INDEX('NARM6 - Risk Summary'!$U:$U,MATCH($C12,'NARM6 - Risk Summary'!$B:$B,0)+2)</f>
        <v>0</v>
      </c>
      <c r="R12" s="172">
        <f>INDEX('NARM6 - Risk Summary'!$U:$U,MATCH($C12,'NARM6 - Risk Summary'!$B:$B,0)+3)</f>
        <v>0</v>
      </c>
      <c r="S12" s="172">
        <f>INDEX('NARM6 - Risk Summary'!$U:$U,MATCH($C12,'NARM6 - Risk Summary'!$B:$B,0)+4)</f>
        <v>0</v>
      </c>
      <c r="T12" s="173">
        <f t="shared" si="8"/>
        <v>0</v>
      </c>
      <c r="U12" s="174" t="str">
        <f t="shared" ca="1" si="9"/>
        <v/>
      </c>
      <c r="V12" s="169" t="str">
        <f ca="1">INDEX('NARM6 - Risk Summary'!$S:$S,MATCH($C12,'NARM6 - Risk Summary'!$B:$B,0)+5)</f>
        <v/>
      </c>
      <c r="W12" s="170">
        <f>INDEX('NARM6 - Risk Summary'!$V:$V,MATCH($C12,'NARM6 - Risk Summary'!$B:$B,0))</f>
        <v>0</v>
      </c>
      <c r="X12" s="171">
        <f>INDEX('NARM6 - Risk Summary'!$V:$V,MATCH($C12,'NARM6 - Risk Summary'!$B:$B,0)+1)</f>
        <v>0</v>
      </c>
      <c r="Y12" s="171">
        <f>INDEX('NARM6 - Risk Summary'!$V:$V,MATCH($C12,'NARM6 - Risk Summary'!$B:$B,0)+2)</f>
        <v>0</v>
      </c>
      <c r="Z12" s="172">
        <f>INDEX('NARM6 - Risk Summary'!$V:$V,MATCH($C12,'NARM6 - Risk Summary'!$B:$B,0)+3)</f>
        <v>0</v>
      </c>
      <c r="AA12" s="172">
        <f>INDEX('NARM6 - Risk Summary'!$V:$V,MATCH($C12,'NARM6 - Risk Summary'!$B:$B,0)+4)</f>
        <v>0</v>
      </c>
      <c r="AB12" s="173">
        <f t="shared" si="10"/>
        <v>0</v>
      </c>
      <c r="AC12" s="174" t="str">
        <f t="shared" ca="1" si="11"/>
        <v/>
      </c>
      <c r="AD12" s="175">
        <f t="shared" ca="1" si="12"/>
        <v>0</v>
      </c>
      <c r="AE12" s="170">
        <f t="shared" si="0"/>
        <v>0</v>
      </c>
      <c r="AF12" s="171">
        <f t="shared" si="1"/>
        <v>0</v>
      </c>
      <c r="AG12" s="171">
        <f t="shared" si="2"/>
        <v>0</v>
      </c>
      <c r="AH12" s="171">
        <f t="shared" si="3"/>
        <v>0</v>
      </c>
      <c r="AI12" s="176">
        <f t="shared" si="4"/>
        <v>0</v>
      </c>
      <c r="AJ12" s="177">
        <f t="shared" si="5"/>
        <v>0</v>
      </c>
      <c r="AK12" s="174" t="str">
        <f t="shared" ca="1" si="13"/>
        <v/>
      </c>
      <c r="AM12" s="617"/>
      <c r="AN12" s="328">
        <v>0</v>
      </c>
      <c r="AO12" s="328" t="e">
        <f ca="1">$AO$11</f>
        <v>#DIV/0!</v>
      </c>
      <c r="AP12" s="328" t="e">
        <f ca="1">$AO$12+$AP$11</f>
        <v>#DIV/0!</v>
      </c>
      <c r="AQ12" s="328" t="e">
        <f ca="1">$AP$12+$AQ$11</f>
        <v>#DIV/0!</v>
      </c>
      <c r="AR12" s="328" t="e">
        <f ca="1">$AQ$12+$AR$11</f>
        <v>#DIV/0!</v>
      </c>
      <c r="AS12" s="329" t="e">
        <f ca="1">$AR$12+$AS$11</f>
        <v>#DIV/0!</v>
      </c>
      <c r="AT12" s="149" t="s">
        <v>213</v>
      </c>
    </row>
    <row r="13" spans="2:47" ht="13.5" thickBot="1">
      <c r="B13" s="539">
        <v>30</v>
      </c>
      <c r="C13" s="166" t="s">
        <v>91</v>
      </c>
      <c r="D13" s="167" t="s">
        <v>206</v>
      </c>
      <c r="E13" s="168" t="s">
        <v>209</v>
      </c>
      <c r="F13" s="169" t="str">
        <f ca="1">INDEX('NARM6 - Risk Summary'!$Q:$Q,MATCH($C13,'NARM6 - Risk Summary'!$B:$B,0)+5)</f>
        <v/>
      </c>
      <c r="G13" s="170">
        <f>INDEX('NARM6 - Risk Summary'!$T:$T,MATCH($C13,'NARM6 - Risk Summary'!$B:$B,0))</f>
        <v>0</v>
      </c>
      <c r="H13" s="171">
        <f>INDEX('NARM6 - Risk Summary'!$T:$T,MATCH($C13,'NARM6 - Risk Summary'!$B:$B,0)+1)</f>
        <v>0</v>
      </c>
      <c r="I13" s="171">
        <f>INDEX('NARM6 - Risk Summary'!$T:$T,MATCH($C13,'NARM6 - Risk Summary'!$B:$B,0)+2)</f>
        <v>0</v>
      </c>
      <c r="J13" s="172">
        <f>INDEX('NARM6 - Risk Summary'!$T:$T,MATCH($C13,'NARM6 - Risk Summary'!$B:$B,0)+3)</f>
        <v>0</v>
      </c>
      <c r="K13" s="172">
        <f>INDEX('NARM6 - Risk Summary'!$T:$T,MATCH($C13,'NARM6 - Risk Summary'!$B:$B,0)+4)</f>
        <v>0</v>
      </c>
      <c r="L13" s="173">
        <f t="shared" si="6"/>
        <v>0</v>
      </c>
      <c r="M13" s="174" t="str">
        <f t="shared" ca="1" si="7"/>
        <v/>
      </c>
      <c r="N13" s="169" t="str">
        <f ca="1">INDEX('NARM6 - Risk Summary'!$R:$R,MATCH($C13,'NARM6 - Risk Summary'!$B:$B,0)+5)</f>
        <v/>
      </c>
      <c r="O13" s="170">
        <f>INDEX('NARM6 - Risk Summary'!$U:$U,MATCH($C13,'NARM6 - Risk Summary'!$B:$B,0))</f>
        <v>0</v>
      </c>
      <c r="P13" s="171">
        <f>INDEX('NARM6 - Risk Summary'!$U:$U,MATCH($C13,'NARM6 - Risk Summary'!$B:$B,0)+1)</f>
        <v>0</v>
      </c>
      <c r="Q13" s="171">
        <f>INDEX('NARM6 - Risk Summary'!$U:$U,MATCH($C13,'NARM6 - Risk Summary'!$B:$B,0)+2)</f>
        <v>0</v>
      </c>
      <c r="R13" s="172">
        <f>INDEX('NARM6 - Risk Summary'!$U:$U,MATCH($C13,'NARM6 - Risk Summary'!$B:$B,0)+3)</f>
        <v>0</v>
      </c>
      <c r="S13" s="172">
        <f>INDEX('NARM6 - Risk Summary'!$U:$U,MATCH($C13,'NARM6 - Risk Summary'!$B:$B,0)+4)</f>
        <v>0</v>
      </c>
      <c r="T13" s="173">
        <f t="shared" si="8"/>
        <v>0</v>
      </c>
      <c r="U13" s="174" t="str">
        <f t="shared" ca="1" si="9"/>
        <v/>
      </c>
      <c r="V13" s="169" t="str">
        <f ca="1">INDEX('NARM6 - Risk Summary'!$S:$S,MATCH($C13,'NARM6 - Risk Summary'!$B:$B,0)+5)</f>
        <v/>
      </c>
      <c r="W13" s="170">
        <f>INDEX('NARM6 - Risk Summary'!$V:$V,MATCH($C13,'NARM6 - Risk Summary'!$B:$B,0))</f>
        <v>0</v>
      </c>
      <c r="X13" s="171">
        <f>INDEX('NARM6 - Risk Summary'!$V:$V,MATCH($C13,'NARM6 - Risk Summary'!$B:$B,0)+1)</f>
        <v>0</v>
      </c>
      <c r="Y13" s="171">
        <f>INDEX('NARM6 - Risk Summary'!$V:$V,MATCH($C13,'NARM6 - Risk Summary'!$B:$B,0)+2)</f>
        <v>0</v>
      </c>
      <c r="Z13" s="172">
        <f>INDEX('NARM6 - Risk Summary'!$V:$V,MATCH($C13,'NARM6 - Risk Summary'!$B:$B,0)+3)</f>
        <v>0</v>
      </c>
      <c r="AA13" s="172">
        <f>INDEX('NARM6 - Risk Summary'!$V:$V,MATCH($C13,'NARM6 - Risk Summary'!$B:$B,0)+4)</f>
        <v>0</v>
      </c>
      <c r="AB13" s="173">
        <f t="shared" si="10"/>
        <v>0</v>
      </c>
      <c r="AC13" s="174" t="str">
        <f t="shared" ca="1" si="11"/>
        <v/>
      </c>
      <c r="AD13" s="175">
        <f t="shared" ca="1" si="12"/>
        <v>0</v>
      </c>
      <c r="AE13" s="170">
        <f t="shared" si="0"/>
        <v>0</v>
      </c>
      <c r="AF13" s="171">
        <f t="shared" si="1"/>
        <v>0</v>
      </c>
      <c r="AG13" s="171">
        <f t="shared" si="2"/>
        <v>0</v>
      </c>
      <c r="AH13" s="171">
        <f t="shared" si="3"/>
        <v>0</v>
      </c>
      <c r="AI13" s="176">
        <f t="shared" si="4"/>
        <v>0</v>
      </c>
      <c r="AJ13" s="177">
        <f t="shared" si="5"/>
        <v>0</v>
      </c>
      <c r="AK13" s="174" t="str">
        <f t="shared" ca="1" si="13"/>
        <v/>
      </c>
    </row>
    <row r="14" spans="2:47">
      <c r="B14" s="539">
        <v>52</v>
      </c>
      <c r="C14" s="166" t="s">
        <v>113</v>
      </c>
      <c r="D14" s="167" t="s">
        <v>206</v>
      </c>
      <c r="E14" s="168" t="s">
        <v>210</v>
      </c>
      <c r="F14" s="169" t="str">
        <f ca="1">INDEX('NARM6 - Risk Summary'!$Q:$Q,MATCH($C14,'NARM6 - Risk Summary'!$B:$B,0)+5)</f>
        <v/>
      </c>
      <c r="G14" s="170">
        <f>INDEX('NARM6 - Risk Summary'!$T:$T,MATCH($C14,'NARM6 - Risk Summary'!$B:$B,0))</f>
        <v>0</v>
      </c>
      <c r="H14" s="171">
        <f>INDEX('NARM6 - Risk Summary'!$T:$T,MATCH($C14,'NARM6 - Risk Summary'!$B:$B,0)+1)</f>
        <v>0</v>
      </c>
      <c r="I14" s="171">
        <f>INDEX('NARM6 - Risk Summary'!$T:$T,MATCH($C14,'NARM6 - Risk Summary'!$B:$B,0)+2)</f>
        <v>0</v>
      </c>
      <c r="J14" s="172">
        <f>INDEX('NARM6 - Risk Summary'!$T:$T,MATCH($C14,'NARM6 - Risk Summary'!$B:$B,0)+3)</f>
        <v>0</v>
      </c>
      <c r="K14" s="172">
        <f>INDEX('NARM6 - Risk Summary'!$T:$T,MATCH($C14,'NARM6 - Risk Summary'!$B:$B,0)+4)</f>
        <v>0</v>
      </c>
      <c r="L14" s="173">
        <f t="shared" si="6"/>
        <v>0</v>
      </c>
      <c r="M14" s="174" t="str">
        <f t="shared" ca="1" si="7"/>
        <v/>
      </c>
      <c r="N14" s="169" t="str">
        <f ca="1">INDEX('NARM6 - Risk Summary'!$R:$R,MATCH($C14,'NARM6 - Risk Summary'!$B:$B,0)+5)</f>
        <v/>
      </c>
      <c r="O14" s="170">
        <f>INDEX('NARM6 - Risk Summary'!$U:$U,MATCH($C14,'NARM6 - Risk Summary'!$B:$B,0))</f>
        <v>0</v>
      </c>
      <c r="P14" s="171">
        <f>INDEX('NARM6 - Risk Summary'!$U:$U,MATCH($C14,'NARM6 - Risk Summary'!$B:$B,0)+1)</f>
        <v>0</v>
      </c>
      <c r="Q14" s="171">
        <f>INDEX('NARM6 - Risk Summary'!$U:$U,MATCH($C14,'NARM6 - Risk Summary'!$B:$B,0)+2)</f>
        <v>0</v>
      </c>
      <c r="R14" s="172">
        <f>INDEX('NARM6 - Risk Summary'!$U:$U,MATCH($C14,'NARM6 - Risk Summary'!$B:$B,0)+3)</f>
        <v>0</v>
      </c>
      <c r="S14" s="172">
        <f>INDEX('NARM6 - Risk Summary'!$U:$U,MATCH($C14,'NARM6 - Risk Summary'!$B:$B,0)+4)</f>
        <v>0</v>
      </c>
      <c r="T14" s="173">
        <f t="shared" si="8"/>
        <v>0</v>
      </c>
      <c r="U14" s="174" t="str">
        <f t="shared" ca="1" si="9"/>
        <v/>
      </c>
      <c r="V14" s="169" t="str">
        <f ca="1">INDEX('NARM6 - Risk Summary'!$S:$S,MATCH($C14,'NARM6 - Risk Summary'!$B:$B,0)+5)</f>
        <v/>
      </c>
      <c r="W14" s="170">
        <f>INDEX('NARM6 - Risk Summary'!$V:$V,MATCH($C14,'NARM6 - Risk Summary'!$B:$B,0))</f>
        <v>0</v>
      </c>
      <c r="X14" s="171">
        <f>INDEX('NARM6 - Risk Summary'!$V:$V,MATCH($C14,'NARM6 - Risk Summary'!$B:$B,0)+1)</f>
        <v>0</v>
      </c>
      <c r="Y14" s="171">
        <f>INDEX('NARM6 - Risk Summary'!$V:$V,MATCH($C14,'NARM6 - Risk Summary'!$B:$B,0)+2)</f>
        <v>0</v>
      </c>
      <c r="Z14" s="172">
        <f>INDEX('NARM6 - Risk Summary'!$V:$V,MATCH($C14,'NARM6 - Risk Summary'!$B:$B,0)+3)</f>
        <v>0</v>
      </c>
      <c r="AA14" s="172">
        <f>INDEX('NARM6 - Risk Summary'!$V:$V,MATCH($C14,'NARM6 - Risk Summary'!$B:$B,0)+4)</f>
        <v>0</v>
      </c>
      <c r="AB14" s="173">
        <f t="shared" si="10"/>
        <v>0</v>
      </c>
      <c r="AC14" s="174" t="str">
        <f t="shared" ca="1" si="11"/>
        <v/>
      </c>
      <c r="AD14" s="175">
        <f t="shared" ca="1" si="12"/>
        <v>0</v>
      </c>
      <c r="AE14" s="170">
        <f t="shared" si="0"/>
        <v>0</v>
      </c>
      <c r="AF14" s="171">
        <f t="shared" si="1"/>
        <v>0</v>
      </c>
      <c r="AG14" s="171">
        <f t="shared" si="2"/>
        <v>0</v>
      </c>
      <c r="AH14" s="171">
        <f t="shared" si="3"/>
        <v>0</v>
      </c>
      <c r="AI14" s="176">
        <f t="shared" si="4"/>
        <v>0</v>
      </c>
      <c r="AJ14" s="177">
        <f t="shared" si="5"/>
        <v>0</v>
      </c>
      <c r="AK14" s="174" t="str">
        <f t="shared" ca="1" si="13"/>
        <v/>
      </c>
      <c r="AM14" s="610" t="s">
        <v>214</v>
      </c>
      <c r="AN14" s="612" t="s">
        <v>203</v>
      </c>
      <c r="AO14" s="613"/>
      <c r="AP14" s="613"/>
      <c r="AQ14" s="614"/>
      <c r="AR14" s="613" t="s">
        <v>204</v>
      </c>
      <c r="AS14" s="613"/>
      <c r="AT14" s="613"/>
      <c r="AU14" s="615"/>
    </row>
    <row r="15" spans="2:47" ht="26">
      <c r="B15" s="539">
        <v>25</v>
      </c>
      <c r="C15" s="166" t="s">
        <v>86</v>
      </c>
      <c r="D15" s="167" t="s">
        <v>206</v>
      </c>
      <c r="E15" s="168" t="s">
        <v>209</v>
      </c>
      <c r="F15" s="169" t="str">
        <f ca="1">INDEX('NARM6 - Risk Summary'!$Q:$Q,MATCH($C15,'NARM6 - Risk Summary'!$B:$B,0)+5)</f>
        <v/>
      </c>
      <c r="G15" s="170">
        <f>INDEX('NARM6 - Risk Summary'!$T:$T,MATCH($C15,'NARM6 - Risk Summary'!$B:$B,0))</f>
        <v>0</v>
      </c>
      <c r="H15" s="171">
        <f>INDEX('NARM6 - Risk Summary'!$T:$T,MATCH($C15,'NARM6 - Risk Summary'!$B:$B,0)+1)</f>
        <v>0</v>
      </c>
      <c r="I15" s="171">
        <f>INDEX('NARM6 - Risk Summary'!$T:$T,MATCH($C15,'NARM6 - Risk Summary'!$B:$B,0)+2)</f>
        <v>0</v>
      </c>
      <c r="J15" s="172">
        <f>INDEX('NARM6 - Risk Summary'!$T:$T,MATCH($C15,'NARM6 - Risk Summary'!$B:$B,0)+3)</f>
        <v>0</v>
      </c>
      <c r="K15" s="172">
        <f>INDEX('NARM6 - Risk Summary'!$T:$T,MATCH($C15,'NARM6 - Risk Summary'!$B:$B,0)+4)</f>
        <v>0</v>
      </c>
      <c r="L15" s="173">
        <f t="shared" si="6"/>
        <v>0</v>
      </c>
      <c r="M15" s="174" t="str">
        <f t="shared" ca="1" si="7"/>
        <v/>
      </c>
      <c r="N15" s="169" t="str">
        <f ca="1">INDEX('NARM6 - Risk Summary'!$R:$R,MATCH($C15,'NARM6 - Risk Summary'!$B:$B,0)+5)</f>
        <v/>
      </c>
      <c r="O15" s="170">
        <f>INDEX('NARM6 - Risk Summary'!$U:$U,MATCH($C15,'NARM6 - Risk Summary'!$B:$B,0))</f>
        <v>0</v>
      </c>
      <c r="P15" s="171">
        <f>INDEX('NARM6 - Risk Summary'!$U:$U,MATCH($C15,'NARM6 - Risk Summary'!$B:$B,0)+1)</f>
        <v>0</v>
      </c>
      <c r="Q15" s="171">
        <f>INDEX('NARM6 - Risk Summary'!$U:$U,MATCH($C15,'NARM6 - Risk Summary'!$B:$B,0)+2)</f>
        <v>0</v>
      </c>
      <c r="R15" s="172">
        <f>INDEX('NARM6 - Risk Summary'!$U:$U,MATCH($C15,'NARM6 - Risk Summary'!$B:$B,0)+3)</f>
        <v>0</v>
      </c>
      <c r="S15" s="172">
        <f>INDEX('NARM6 - Risk Summary'!$U:$U,MATCH($C15,'NARM6 - Risk Summary'!$B:$B,0)+4)</f>
        <v>0</v>
      </c>
      <c r="T15" s="173">
        <f t="shared" si="8"/>
        <v>0</v>
      </c>
      <c r="U15" s="174" t="str">
        <f t="shared" ca="1" si="9"/>
        <v/>
      </c>
      <c r="V15" s="169" t="str">
        <f ca="1">INDEX('NARM6 - Risk Summary'!$S:$S,MATCH($C15,'NARM6 - Risk Summary'!$B:$B,0)+5)</f>
        <v/>
      </c>
      <c r="W15" s="170">
        <f>INDEX('NARM6 - Risk Summary'!$V:$V,MATCH($C15,'NARM6 - Risk Summary'!$B:$B,0))</f>
        <v>0</v>
      </c>
      <c r="X15" s="171">
        <f>INDEX('NARM6 - Risk Summary'!$V:$V,MATCH($C15,'NARM6 - Risk Summary'!$B:$B,0)+1)</f>
        <v>0</v>
      </c>
      <c r="Y15" s="171">
        <f>INDEX('NARM6 - Risk Summary'!$V:$V,MATCH($C15,'NARM6 - Risk Summary'!$B:$B,0)+2)</f>
        <v>0</v>
      </c>
      <c r="Z15" s="172">
        <f>INDEX('NARM6 - Risk Summary'!$V:$V,MATCH($C15,'NARM6 - Risk Summary'!$B:$B,0)+3)</f>
        <v>0</v>
      </c>
      <c r="AA15" s="172">
        <f>INDEX('NARM6 - Risk Summary'!$V:$V,MATCH($C15,'NARM6 - Risk Summary'!$B:$B,0)+4)</f>
        <v>0</v>
      </c>
      <c r="AB15" s="173">
        <f t="shared" si="10"/>
        <v>0</v>
      </c>
      <c r="AC15" s="174" t="str">
        <f t="shared" ca="1" si="11"/>
        <v/>
      </c>
      <c r="AD15" s="175">
        <f t="shared" ca="1" si="12"/>
        <v>0</v>
      </c>
      <c r="AE15" s="170">
        <f t="shared" si="0"/>
        <v>0</v>
      </c>
      <c r="AF15" s="171">
        <f t="shared" si="1"/>
        <v>0</v>
      </c>
      <c r="AG15" s="171">
        <f t="shared" si="2"/>
        <v>0</v>
      </c>
      <c r="AH15" s="171">
        <f t="shared" si="3"/>
        <v>0</v>
      </c>
      <c r="AI15" s="176">
        <f t="shared" si="4"/>
        <v>0</v>
      </c>
      <c r="AJ15" s="177">
        <f t="shared" si="5"/>
        <v>0</v>
      </c>
      <c r="AK15" s="174" t="str">
        <f t="shared" ca="1" si="13"/>
        <v/>
      </c>
      <c r="AM15" s="611"/>
      <c r="AN15" s="319" t="s">
        <v>196</v>
      </c>
      <c r="AO15" s="319" t="s">
        <v>197</v>
      </c>
      <c r="AP15" s="319" t="s">
        <v>198</v>
      </c>
      <c r="AQ15" s="321" t="s">
        <v>131</v>
      </c>
      <c r="AR15" s="318" t="s">
        <v>196</v>
      </c>
      <c r="AS15" s="319" t="s">
        <v>197</v>
      </c>
      <c r="AT15" s="319" t="s">
        <v>198</v>
      </c>
      <c r="AU15" s="320" t="s">
        <v>131</v>
      </c>
    </row>
    <row r="16" spans="2:47" ht="13.5">
      <c r="B16" s="539">
        <v>28</v>
      </c>
      <c r="C16" s="166" t="s">
        <v>89</v>
      </c>
      <c r="D16" s="167" t="s">
        <v>206</v>
      </c>
      <c r="E16" s="168" t="s">
        <v>209</v>
      </c>
      <c r="F16" s="169" t="str">
        <f ca="1">INDEX('NARM6 - Risk Summary'!$Q:$Q,MATCH($C16,'NARM6 - Risk Summary'!$B:$B,0)+5)</f>
        <v/>
      </c>
      <c r="G16" s="170">
        <f>INDEX('NARM6 - Risk Summary'!$T:$T,MATCH($C16,'NARM6 - Risk Summary'!$B:$B,0))</f>
        <v>0</v>
      </c>
      <c r="H16" s="171">
        <f>INDEX('NARM6 - Risk Summary'!$T:$T,MATCH($C16,'NARM6 - Risk Summary'!$B:$B,0)+1)</f>
        <v>0</v>
      </c>
      <c r="I16" s="171">
        <f>INDEX('NARM6 - Risk Summary'!$T:$T,MATCH($C16,'NARM6 - Risk Summary'!$B:$B,0)+2)</f>
        <v>0</v>
      </c>
      <c r="J16" s="172">
        <f>INDEX('NARM6 - Risk Summary'!$T:$T,MATCH($C16,'NARM6 - Risk Summary'!$B:$B,0)+3)</f>
        <v>0</v>
      </c>
      <c r="K16" s="172">
        <f>INDEX('NARM6 - Risk Summary'!$T:$T,MATCH($C16,'NARM6 - Risk Summary'!$B:$B,0)+4)</f>
        <v>0</v>
      </c>
      <c r="L16" s="173">
        <f t="shared" si="6"/>
        <v>0</v>
      </c>
      <c r="M16" s="174" t="str">
        <f t="shared" ca="1" si="7"/>
        <v/>
      </c>
      <c r="N16" s="169" t="str">
        <f ca="1">INDEX('NARM6 - Risk Summary'!$R:$R,MATCH($C16,'NARM6 - Risk Summary'!$B:$B,0)+5)</f>
        <v/>
      </c>
      <c r="O16" s="170">
        <f>INDEX('NARM6 - Risk Summary'!$U:$U,MATCH($C16,'NARM6 - Risk Summary'!$B:$B,0))</f>
        <v>0</v>
      </c>
      <c r="P16" s="171">
        <f>INDEX('NARM6 - Risk Summary'!$U:$U,MATCH($C16,'NARM6 - Risk Summary'!$B:$B,0)+1)</f>
        <v>0</v>
      </c>
      <c r="Q16" s="171">
        <f>INDEX('NARM6 - Risk Summary'!$U:$U,MATCH($C16,'NARM6 - Risk Summary'!$B:$B,0)+2)</f>
        <v>0</v>
      </c>
      <c r="R16" s="172">
        <f>INDEX('NARM6 - Risk Summary'!$U:$U,MATCH($C16,'NARM6 - Risk Summary'!$B:$B,0)+3)</f>
        <v>0</v>
      </c>
      <c r="S16" s="172">
        <f>INDEX('NARM6 - Risk Summary'!$U:$U,MATCH($C16,'NARM6 - Risk Summary'!$B:$B,0)+4)</f>
        <v>0</v>
      </c>
      <c r="T16" s="173">
        <f t="shared" si="8"/>
        <v>0</v>
      </c>
      <c r="U16" s="174" t="str">
        <f t="shared" ca="1" si="9"/>
        <v/>
      </c>
      <c r="V16" s="169" t="str">
        <f ca="1">INDEX('NARM6 - Risk Summary'!$S:$S,MATCH($C16,'NARM6 - Risk Summary'!$B:$B,0)+5)</f>
        <v/>
      </c>
      <c r="W16" s="170">
        <f>INDEX('NARM6 - Risk Summary'!$V:$V,MATCH($C16,'NARM6 - Risk Summary'!$B:$B,0))</f>
        <v>0</v>
      </c>
      <c r="X16" s="171">
        <f>INDEX('NARM6 - Risk Summary'!$V:$V,MATCH($C16,'NARM6 - Risk Summary'!$B:$B,0)+1)</f>
        <v>0</v>
      </c>
      <c r="Y16" s="171">
        <f>INDEX('NARM6 - Risk Summary'!$V:$V,MATCH($C16,'NARM6 - Risk Summary'!$B:$B,0)+2)</f>
        <v>0</v>
      </c>
      <c r="Z16" s="172">
        <f>INDEX('NARM6 - Risk Summary'!$V:$V,MATCH($C16,'NARM6 - Risk Summary'!$B:$B,0)+3)</f>
        <v>0</v>
      </c>
      <c r="AA16" s="172">
        <f>INDEX('NARM6 - Risk Summary'!$V:$V,MATCH($C16,'NARM6 - Risk Summary'!$B:$B,0)+4)</f>
        <v>0</v>
      </c>
      <c r="AB16" s="173">
        <f t="shared" si="10"/>
        <v>0</v>
      </c>
      <c r="AC16" s="174" t="str">
        <f t="shared" ca="1" si="11"/>
        <v/>
      </c>
      <c r="AD16" s="175">
        <f t="shared" ca="1" si="12"/>
        <v>0</v>
      </c>
      <c r="AE16" s="170">
        <f t="shared" si="0"/>
        <v>0</v>
      </c>
      <c r="AF16" s="171">
        <f t="shared" si="1"/>
        <v>0</v>
      </c>
      <c r="AG16" s="171">
        <f t="shared" si="2"/>
        <v>0</v>
      </c>
      <c r="AH16" s="171">
        <f t="shared" si="3"/>
        <v>0</v>
      </c>
      <c r="AI16" s="176">
        <f t="shared" si="4"/>
        <v>0</v>
      </c>
      <c r="AJ16" s="177">
        <f t="shared" si="5"/>
        <v>0</v>
      </c>
      <c r="AK16" s="174" t="str">
        <f t="shared" ca="1" si="13"/>
        <v/>
      </c>
      <c r="AM16" s="458" t="s">
        <v>131</v>
      </c>
      <c r="AN16" s="459" t="e">
        <f ca="1">-'NARM6 - Risk Summary'!$Q$388</f>
        <v>#VALUE!</v>
      </c>
      <c r="AO16" s="459" t="e">
        <f ca="1">-'NARM6 - Risk Summary'!$R$388</f>
        <v>#VALUE!</v>
      </c>
      <c r="AP16" s="459" t="e">
        <f ca="1">-'NARM6 - Risk Summary'!$S$388</f>
        <v>#VALUE!</v>
      </c>
      <c r="AQ16" s="460" t="e">
        <f ca="1">SUM(AN16:AP16)</f>
        <v>#VALUE!</v>
      </c>
      <c r="AR16" s="461">
        <f>-'NARM6 - Risk Summary'!$T$388</f>
        <v>0</v>
      </c>
      <c r="AS16" s="459">
        <f>-'NARM6 - Risk Summary'!$U$388</f>
        <v>0</v>
      </c>
      <c r="AT16" s="459">
        <f>-'NARM6 - Risk Summary'!$V$388</f>
        <v>0</v>
      </c>
      <c r="AU16" s="462">
        <f>SUM(AR16:AT16)</f>
        <v>0</v>
      </c>
    </row>
    <row r="17" spans="2:47" ht="14" thickBot="1">
      <c r="B17" s="539">
        <v>50</v>
      </c>
      <c r="C17" s="178" t="s">
        <v>111</v>
      </c>
      <c r="D17" s="179" t="s">
        <v>206</v>
      </c>
      <c r="E17" s="180" t="s">
        <v>210</v>
      </c>
      <c r="F17" s="181" t="str">
        <f ca="1">INDEX('NARM6 - Risk Summary'!$Q:$Q,MATCH($C17,'NARM6 - Risk Summary'!$B:$B,0)+5)</f>
        <v/>
      </c>
      <c r="G17" s="182">
        <f>INDEX('NARM6 - Risk Summary'!$T:$T,MATCH($C17,'NARM6 - Risk Summary'!$B:$B,0))</f>
        <v>0</v>
      </c>
      <c r="H17" s="183">
        <f>INDEX('NARM6 - Risk Summary'!$T:$T,MATCH($C17,'NARM6 - Risk Summary'!$B:$B,0)+1)</f>
        <v>0</v>
      </c>
      <c r="I17" s="183">
        <f>INDEX('NARM6 - Risk Summary'!$T:$T,MATCH($C17,'NARM6 - Risk Summary'!$B:$B,0)+2)</f>
        <v>0</v>
      </c>
      <c r="J17" s="184">
        <f>INDEX('NARM6 - Risk Summary'!$T:$T,MATCH($C17,'NARM6 - Risk Summary'!$B:$B,0)+3)</f>
        <v>0</v>
      </c>
      <c r="K17" s="184">
        <f>INDEX('NARM6 - Risk Summary'!$T:$T,MATCH($C17,'NARM6 - Risk Summary'!$B:$B,0)+4)</f>
        <v>0</v>
      </c>
      <c r="L17" s="185">
        <f t="shared" si="6"/>
        <v>0</v>
      </c>
      <c r="M17" s="186" t="str">
        <f t="shared" ca="1" si="7"/>
        <v/>
      </c>
      <c r="N17" s="181" t="str">
        <f ca="1">INDEX('NARM6 - Risk Summary'!$R:$R,MATCH($C17,'NARM6 - Risk Summary'!$B:$B,0)+5)</f>
        <v/>
      </c>
      <c r="O17" s="182">
        <f>INDEX('NARM6 - Risk Summary'!$U:$U,MATCH($C17,'NARM6 - Risk Summary'!$B:$B,0))</f>
        <v>0</v>
      </c>
      <c r="P17" s="183">
        <f>INDEX('NARM6 - Risk Summary'!$U:$U,MATCH($C17,'NARM6 - Risk Summary'!$B:$B,0)+1)</f>
        <v>0</v>
      </c>
      <c r="Q17" s="183">
        <f>INDEX('NARM6 - Risk Summary'!$U:$U,MATCH($C17,'NARM6 - Risk Summary'!$B:$B,0)+2)</f>
        <v>0</v>
      </c>
      <c r="R17" s="184">
        <f>INDEX('NARM6 - Risk Summary'!$U:$U,MATCH($C17,'NARM6 - Risk Summary'!$B:$B,0)+3)</f>
        <v>0</v>
      </c>
      <c r="S17" s="184">
        <f>INDEX('NARM6 - Risk Summary'!$U:$U,MATCH($C17,'NARM6 - Risk Summary'!$B:$B,0)+4)</f>
        <v>0</v>
      </c>
      <c r="T17" s="185">
        <f t="shared" si="8"/>
        <v>0</v>
      </c>
      <c r="U17" s="186" t="str">
        <f t="shared" ca="1" si="9"/>
        <v/>
      </c>
      <c r="V17" s="181" t="str">
        <f ca="1">INDEX('NARM6 - Risk Summary'!$S:$S,MATCH($C17,'NARM6 - Risk Summary'!$B:$B,0)+5)</f>
        <v/>
      </c>
      <c r="W17" s="182">
        <f>INDEX('NARM6 - Risk Summary'!$V:$V,MATCH($C17,'NARM6 - Risk Summary'!$B:$B,0))</f>
        <v>0</v>
      </c>
      <c r="X17" s="183">
        <f>INDEX('NARM6 - Risk Summary'!$V:$V,MATCH($C17,'NARM6 - Risk Summary'!$B:$B,0)+1)</f>
        <v>0</v>
      </c>
      <c r="Y17" s="183">
        <f>INDEX('NARM6 - Risk Summary'!$V:$V,MATCH($C17,'NARM6 - Risk Summary'!$B:$B,0)+2)</f>
        <v>0</v>
      </c>
      <c r="Z17" s="184">
        <f>INDEX('NARM6 - Risk Summary'!$V:$V,MATCH($C17,'NARM6 - Risk Summary'!$B:$B,0)+3)</f>
        <v>0</v>
      </c>
      <c r="AA17" s="184">
        <f>INDEX('NARM6 - Risk Summary'!$V:$V,MATCH($C17,'NARM6 - Risk Summary'!$B:$B,0)+4)</f>
        <v>0</v>
      </c>
      <c r="AB17" s="185">
        <f t="shared" si="10"/>
        <v>0</v>
      </c>
      <c r="AC17" s="186" t="str">
        <f t="shared" ca="1" si="11"/>
        <v/>
      </c>
      <c r="AD17" s="187">
        <f t="shared" ca="1" si="12"/>
        <v>0</v>
      </c>
      <c r="AE17" s="182">
        <f t="shared" si="0"/>
        <v>0</v>
      </c>
      <c r="AF17" s="183">
        <f t="shared" si="1"/>
        <v>0</v>
      </c>
      <c r="AG17" s="183">
        <f t="shared" si="2"/>
        <v>0</v>
      </c>
      <c r="AH17" s="183">
        <f t="shared" si="3"/>
        <v>0</v>
      </c>
      <c r="AI17" s="188">
        <f t="shared" si="4"/>
        <v>0</v>
      </c>
      <c r="AJ17" s="189">
        <f t="shared" si="5"/>
        <v>0</v>
      </c>
      <c r="AK17" s="186" t="str">
        <f t="shared" ca="1" si="13"/>
        <v/>
      </c>
      <c r="AM17" s="316" t="s">
        <v>206</v>
      </c>
      <c r="AN17" s="330">
        <f ca="1">-SUMIFS($F$4:$F$64,$D$4:$D$64,$AM17)</f>
        <v>0</v>
      </c>
      <c r="AO17" s="330">
        <f ca="1">-SUMIFS($N$4:$N$64,$D$4:$D$64,$AM17)</f>
        <v>0</v>
      </c>
      <c r="AP17" s="330">
        <f ca="1">-SUMIFS($V$4:$V$64,$D$4:$D$64,$AM17)</f>
        <v>0</v>
      </c>
      <c r="AQ17" s="460">
        <f ca="1">SUM(AN17:AP17)</f>
        <v>0</v>
      </c>
      <c r="AR17" s="331">
        <f>-SUMIFS($L$4:$L$64,$D$4:$D$64,$AM17)</f>
        <v>0</v>
      </c>
      <c r="AS17" s="330">
        <f>-SUMIFS($T$4:$T$64,$D$4:$D$64,$AM17)</f>
        <v>0</v>
      </c>
      <c r="AT17" s="330">
        <f>-SUMIFS($AB$4:$AB$64,$D$4:$D$64,$AM17)</f>
        <v>0</v>
      </c>
      <c r="AU17" s="462">
        <f>SUM(AR17:AT17)</f>
        <v>0</v>
      </c>
    </row>
    <row r="18" spans="2:47" ht="14" thickTop="1">
      <c r="B18" s="539">
        <v>31</v>
      </c>
      <c r="C18" s="153" t="s">
        <v>92</v>
      </c>
      <c r="D18" s="154" t="s">
        <v>215</v>
      </c>
      <c r="E18" s="155" t="s">
        <v>209</v>
      </c>
      <c r="F18" s="156" t="str">
        <f ca="1">INDEX('NARM6 - Risk Summary'!$Q:$Q,MATCH($C18,'NARM6 - Risk Summary'!$B:$B,0)+5)</f>
        <v/>
      </c>
      <c r="G18" s="157">
        <f>INDEX('NARM6 - Risk Summary'!$T:$T,MATCH($C18,'NARM6 - Risk Summary'!$B:$B,0))</f>
        <v>0</v>
      </c>
      <c r="H18" s="158">
        <f>INDEX('NARM6 - Risk Summary'!$T:$T,MATCH($C18,'NARM6 - Risk Summary'!$B:$B,0)+1)</f>
        <v>0</v>
      </c>
      <c r="I18" s="158">
        <f>INDEX('NARM6 - Risk Summary'!$T:$T,MATCH($C18,'NARM6 - Risk Summary'!$B:$B,0)+2)</f>
        <v>0</v>
      </c>
      <c r="J18" s="159">
        <f>INDEX('NARM6 - Risk Summary'!$T:$T,MATCH($C18,'NARM6 - Risk Summary'!$B:$B,0)+3)</f>
        <v>0</v>
      </c>
      <c r="K18" s="159">
        <f>INDEX('NARM6 - Risk Summary'!$T:$T,MATCH($C18,'NARM6 - Risk Summary'!$B:$B,0)+4)</f>
        <v>0</v>
      </c>
      <c r="L18" s="160">
        <f t="shared" si="6"/>
        <v>0</v>
      </c>
      <c r="M18" s="161" t="str">
        <f t="shared" ca="1" si="7"/>
        <v/>
      </c>
      <c r="N18" s="156" t="str">
        <f ca="1">INDEX('NARM6 - Risk Summary'!$R:$R,MATCH($C18,'NARM6 - Risk Summary'!$B:$B,0)+5)</f>
        <v/>
      </c>
      <c r="O18" s="157">
        <f>INDEX('NARM6 - Risk Summary'!$U:$U,MATCH($C18,'NARM6 - Risk Summary'!$B:$B,0))</f>
        <v>0</v>
      </c>
      <c r="P18" s="158">
        <f>INDEX('NARM6 - Risk Summary'!$U:$U,MATCH($C18,'NARM6 - Risk Summary'!$B:$B,0)+1)</f>
        <v>0</v>
      </c>
      <c r="Q18" s="158">
        <f>INDEX('NARM6 - Risk Summary'!$U:$U,MATCH($C18,'NARM6 - Risk Summary'!$B:$B,0)+2)</f>
        <v>0</v>
      </c>
      <c r="R18" s="159">
        <f>INDEX('NARM6 - Risk Summary'!$U:$U,MATCH($C18,'NARM6 - Risk Summary'!$B:$B,0)+3)</f>
        <v>0</v>
      </c>
      <c r="S18" s="159">
        <f>INDEX('NARM6 - Risk Summary'!$U:$U,MATCH($C18,'NARM6 - Risk Summary'!$B:$B,0)+4)</f>
        <v>0</v>
      </c>
      <c r="T18" s="160">
        <f t="shared" si="8"/>
        <v>0</v>
      </c>
      <c r="U18" s="161" t="str">
        <f t="shared" ca="1" si="9"/>
        <v/>
      </c>
      <c r="V18" s="156" t="str">
        <f ca="1">INDEX('NARM6 - Risk Summary'!$S:$S,MATCH($C18,'NARM6 - Risk Summary'!$B:$B,0)+5)</f>
        <v/>
      </c>
      <c r="W18" s="157">
        <f>INDEX('NARM6 - Risk Summary'!$V:$V,MATCH($C18,'NARM6 - Risk Summary'!$B:$B,0))</f>
        <v>0</v>
      </c>
      <c r="X18" s="158">
        <f>INDEX('NARM6 - Risk Summary'!$V:$V,MATCH($C18,'NARM6 - Risk Summary'!$B:$B,0)+1)</f>
        <v>0</v>
      </c>
      <c r="Y18" s="158">
        <f>INDEX('NARM6 - Risk Summary'!$V:$V,MATCH($C18,'NARM6 - Risk Summary'!$B:$B,0)+2)</f>
        <v>0</v>
      </c>
      <c r="Z18" s="159">
        <f>INDEX('NARM6 - Risk Summary'!$V:$V,MATCH($C18,'NARM6 - Risk Summary'!$B:$B,0)+3)</f>
        <v>0</v>
      </c>
      <c r="AA18" s="159">
        <f>INDEX('NARM6 - Risk Summary'!$V:$V,MATCH($C18,'NARM6 - Risk Summary'!$B:$B,0)+4)</f>
        <v>0</v>
      </c>
      <c r="AB18" s="160">
        <f t="shared" si="10"/>
        <v>0</v>
      </c>
      <c r="AC18" s="161" t="str">
        <f t="shared" ca="1" si="11"/>
        <v/>
      </c>
      <c r="AD18" s="162">
        <f t="shared" ca="1" si="12"/>
        <v>0</v>
      </c>
      <c r="AE18" s="157">
        <f t="shared" si="0"/>
        <v>0</v>
      </c>
      <c r="AF18" s="158">
        <f t="shared" si="1"/>
        <v>0</v>
      </c>
      <c r="AG18" s="158">
        <f t="shared" si="2"/>
        <v>0</v>
      </c>
      <c r="AH18" s="158">
        <f t="shared" si="3"/>
        <v>0</v>
      </c>
      <c r="AI18" s="190">
        <f t="shared" si="4"/>
        <v>0</v>
      </c>
      <c r="AJ18" s="165">
        <f t="shared" si="5"/>
        <v>0</v>
      </c>
      <c r="AK18" s="161" t="str">
        <f t="shared" ca="1" si="13"/>
        <v/>
      </c>
      <c r="AM18" s="316" t="s">
        <v>215</v>
      </c>
      <c r="AN18" s="330">
        <f t="shared" ref="AN18:AN20" ca="1" si="14">-SUMIFS($F$4:$F$64,$D$4:$D$64,$AM18)</f>
        <v>0</v>
      </c>
      <c r="AO18" s="330">
        <f t="shared" ref="AO18:AO20" ca="1" si="15">-SUMIFS($N$4:$N$64,$D$4:$D$64,$AM18)</f>
        <v>0</v>
      </c>
      <c r="AP18" s="330">
        <f t="shared" ref="AP18:AP20" ca="1" si="16">-SUMIFS($V$4:$V$64,$D$4:$D$64,$AM18)</f>
        <v>0</v>
      </c>
      <c r="AQ18" s="460">
        <f ca="1">SUM(AN18:AP18)</f>
        <v>0</v>
      </c>
      <c r="AR18" s="331">
        <f t="shared" ref="AR18:AR20" si="17">-SUMIFS($L$4:$L$64,$D$4:$D$64,$AM18)</f>
        <v>0</v>
      </c>
      <c r="AS18" s="330">
        <f t="shared" ref="AS18:AS20" si="18">-SUMIFS($T$4:$T$64,$D$4:$D$64,$AM18)</f>
        <v>0</v>
      </c>
      <c r="AT18" s="330">
        <f t="shared" ref="AT18:AT20" si="19">-SUMIFS($AB$4:$AB$64,$D$4:$D$64,$AM18)</f>
        <v>0</v>
      </c>
      <c r="AU18" s="462">
        <f>SUM(AR18:AT18)</f>
        <v>0</v>
      </c>
    </row>
    <row r="19" spans="2:47" ht="13.5">
      <c r="B19" s="539">
        <v>34</v>
      </c>
      <c r="C19" s="166" t="s">
        <v>95</v>
      </c>
      <c r="D19" s="167" t="s">
        <v>215</v>
      </c>
      <c r="E19" s="168" t="s">
        <v>209</v>
      </c>
      <c r="F19" s="169" t="str">
        <f ca="1">INDEX('NARM6 - Risk Summary'!$Q:$Q,MATCH($C19,'NARM6 - Risk Summary'!$B:$B,0)+5)</f>
        <v/>
      </c>
      <c r="G19" s="170">
        <f>INDEX('NARM6 - Risk Summary'!$T:$T,MATCH($C19,'NARM6 - Risk Summary'!$B:$B,0))</f>
        <v>0</v>
      </c>
      <c r="H19" s="171">
        <f>INDEX('NARM6 - Risk Summary'!$T:$T,MATCH($C19,'NARM6 - Risk Summary'!$B:$B,0)+1)</f>
        <v>0</v>
      </c>
      <c r="I19" s="171">
        <f>INDEX('NARM6 - Risk Summary'!$T:$T,MATCH($C19,'NARM6 - Risk Summary'!$B:$B,0)+2)</f>
        <v>0</v>
      </c>
      <c r="J19" s="172">
        <f>INDEX('NARM6 - Risk Summary'!$T:$T,MATCH($C19,'NARM6 - Risk Summary'!$B:$B,0)+3)</f>
        <v>0</v>
      </c>
      <c r="K19" s="172">
        <f>INDEX('NARM6 - Risk Summary'!$T:$T,MATCH($C19,'NARM6 - Risk Summary'!$B:$B,0)+4)</f>
        <v>0</v>
      </c>
      <c r="L19" s="173">
        <f t="shared" si="6"/>
        <v>0</v>
      </c>
      <c r="M19" s="174" t="str">
        <f t="shared" ca="1" si="7"/>
        <v/>
      </c>
      <c r="N19" s="169" t="str">
        <f ca="1">INDEX('NARM6 - Risk Summary'!$R:$R,MATCH($C19,'NARM6 - Risk Summary'!$B:$B,0)+5)</f>
        <v/>
      </c>
      <c r="O19" s="170">
        <f>INDEX('NARM6 - Risk Summary'!$U:$U,MATCH($C19,'NARM6 - Risk Summary'!$B:$B,0))</f>
        <v>0</v>
      </c>
      <c r="P19" s="171">
        <f>INDEX('NARM6 - Risk Summary'!$U:$U,MATCH($C19,'NARM6 - Risk Summary'!$B:$B,0)+1)</f>
        <v>0</v>
      </c>
      <c r="Q19" s="171">
        <f>INDEX('NARM6 - Risk Summary'!$U:$U,MATCH($C19,'NARM6 - Risk Summary'!$B:$B,0)+2)</f>
        <v>0</v>
      </c>
      <c r="R19" s="172">
        <f>INDEX('NARM6 - Risk Summary'!$U:$U,MATCH($C19,'NARM6 - Risk Summary'!$B:$B,0)+3)</f>
        <v>0</v>
      </c>
      <c r="S19" s="172">
        <f>INDEX('NARM6 - Risk Summary'!$U:$U,MATCH($C19,'NARM6 - Risk Summary'!$B:$B,0)+4)</f>
        <v>0</v>
      </c>
      <c r="T19" s="173">
        <f t="shared" si="8"/>
        <v>0</v>
      </c>
      <c r="U19" s="174" t="str">
        <f t="shared" ca="1" si="9"/>
        <v/>
      </c>
      <c r="V19" s="169" t="str">
        <f ca="1">INDEX('NARM6 - Risk Summary'!$S:$S,MATCH($C19,'NARM6 - Risk Summary'!$B:$B,0)+5)</f>
        <v/>
      </c>
      <c r="W19" s="170">
        <f>INDEX('NARM6 - Risk Summary'!$V:$V,MATCH($C19,'NARM6 - Risk Summary'!$B:$B,0))</f>
        <v>0</v>
      </c>
      <c r="X19" s="171">
        <f>INDEX('NARM6 - Risk Summary'!$V:$V,MATCH($C19,'NARM6 - Risk Summary'!$B:$B,0)+1)</f>
        <v>0</v>
      </c>
      <c r="Y19" s="171">
        <f>INDEX('NARM6 - Risk Summary'!$V:$V,MATCH($C19,'NARM6 - Risk Summary'!$B:$B,0)+2)</f>
        <v>0</v>
      </c>
      <c r="Z19" s="172">
        <f>INDEX('NARM6 - Risk Summary'!$V:$V,MATCH($C19,'NARM6 - Risk Summary'!$B:$B,0)+3)</f>
        <v>0</v>
      </c>
      <c r="AA19" s="172">
        <f>INDEX('NARM6 - Risk Summary'!$V:$V,MATCH($C19,'NARM6 - Risk Summary'!$B:$B,0)+4)</f>
        <v>0</v>
      </c>
      <c r="AB19" s="173">
        <f t="shared" si="10"/>
        <v>0</v>
      </c>
      <c r="AC19" s="174" t="str">
        <f t="shared" ca="1" si="11"/>
        <v/>
      </c>
      <c r="AD19" s="175">
        <f t="shared" ca="1" si="12"/>
        <v>0</v>
      </c>
      <c r="AE19" s="170">
        <f t="shared" si="0"/>
        <v>0</v>
      </c>
      <c r="AF19" s="171">
        <f t="shared" si="1"/>
        <v>0</v>
      </c>
      <c r="AG19" s="171">
        <f t="shared" si="2"/>
        <v>0</v>
      </c>
      <c r="AH19" s="171">
        <f t="shared" si="3"/>
        <v>0</v>
      </c>
      <c r="AI19" s="176">
        <f t="shared" si="4"/>
        <v>0</v>
      </c>
      <c r="AJ19" s="177">
        <f t="shared" si="5"/>
        <v>0</v>
      </c>
      <c r="AK19" s="174" t="str">
        <f t="shared" ca="1" si="13"/>
        <v/>
      </c>
      <c r="AM19" s="316" t="s">
        <v>216</v>
      </c>
      <c r="AN19" s="330">
        <f t="shared" ca="1" si="14"/>
        <v>0</v>
      </c>
      <c r="AO19" s="330">
        <f t="shared" ca="1" si="15"/>
        <v>0</v>
      </c>
      <c r="AP19" s="330">
        <f t="shared" ca="1" si="16"/>
        <v>0</v>
      </c>
      <c r="AQ19" s="460">
        <f ca="1">SUM(AN19:AP19)</f>
        <v>0</v>
      </c>
      <c r="AR19" s="331">
        <f t="shared" si="17"/>
        <v>0</v>
      </c>
      <c r="AS19" s="330">
        <f t="shared" si="18"/>
        <v>0</v>
      </c>
      <c r="AT19" s="330">
        <f t="shared" si="19"/>
        <v>0</v>
      </c>
      <c r="AU19" s="462">
        <f>SUM(AR19:AT19)</f>
        <v>0</v>
      </c>
    </row>
    <row r="20" spans="2:47" ht="14" thickBot="1">
      <c r="B20" s="539">
        <v>53</v>
      </c>
      <c r="C20" s="166" t="s">
        <v>114</v>
      </c>
      <c r="D20" s="167" t="s">
        <v>215</v>
      </c>
      <c r="E20" s="168" t="s">
        <v>210</v>
      </c>
      <c r="F20" s="169" t="str">
        <f ca="1">INDEX('NARM6 - Risk Summary'!$Q:$Q,MATCH($C20,'NARM6 - Risk Summary'!$B:$B,0)+5)</f>
        <v/>
      </c>
      <c r="G20" s="170">
        <f>INDEX('NARM6 - Risk Summary'!$T:$T,MATCH($C20,'NARM6 - Risk Summary'!$B:$B,0))</f>
        <v>0</v>
      </c>
      <c r="H20" s="171">
        <f>INDEX('NARM6 - Risk Summary'!$T:$T,MATCH($C20,'NARM6 - Risk Summary'!$B:$B,0)+1)</f>
        <v>0</v>
      </c>
      <c r="I20" s="171">
        <f>INDEX('NARM6 - Risk Summary'!$T:$T,MATCH($C20,'NARM6 - Risk Summary'!$B:$B,0)+2)</f>
        <v>0</v>
      </c>
      <c r="J20" s="172">
        <f>INDEX('NARM6 - Risk Summary'!$T:$T,MATCH($C20,'NARM6 - Risk Summary'!$B:$B,0)+3)</f>
        <v>0</v>
      </c>
      <c r="K20" s="172">
        <f>INDEX('NARM6 - Risk Summary'!$T:$T,MATCH($C20,'NARM6 - Risk Summary'!$B:$B,0)+4)</f>
        <v>0</v>
      </c>
      <c r="L20" s="173">
        <f t="shared" si="6"/>
        <v>0</v>
      </c>
      <c r="M20" s="174" t="str">
        <f t="shared" ca="1" si="7"/>
        <v/>
      </c>
      <c r="N20" s="169" t="str">
        <f ca="1">INDEX('NARM6 - Risk Summary'!$R:$R,MATCH($C20,'NARM6 - Risk Summary'!$B:$B,0)+5)</f>
        <v/>
      </c>
      <c r="O20" s="170">
        <f>INDEX('NARM6 - Risk Summary'!$U:$U,MATCH($C20,'NARM6 - Risk Summary'!$B:$B,0))</f>
        <v>0</v>
      </c>
      <c r="P20" s="171">
        <f>INDEX('NARM6 - Risk Summary'!$U:$U,MATCH($C20,'NARM6 - Risk Summary'!$B:$B,0)+1)</f>
        <v>0</v>
      </c>
      <c r="Q20" s="171">
        <f>INDEX('NARM6 - Risk Summary'!$U:$U,MATCH($C20,'NARM6 - Risk Summary'!$B:$B,0)+2)</f>
        <v>0</v>
      </c>
      <c r="R20" s="172">
        <f>INDEX('NARM6 - Risk Summary'!$U:$U,MATCH($C20,'NARM6 - Risk Summary'!$B:$B,0)+3)</f>
        <v>0</v>
      </c>
      <c r="S20" s="172">
        <f>INDEX('NARM6 - Risk Summary'!$U:$U,MATCH($C20,'NARM6 - Risk Summary'!$B:$B,0)+4)</f>
        <v>0</v>
      </c>
      <c r="T20" s="173">
        <f t="shared" si="8"/>
        <v>0</v>
      </c>
      <c r="U20" s="174" t="str">
        <f t="shared" ca="1" si="9"/>
        <v/>
      </c>
      <c r="V20" s="169" t="str">
        <f ca="1">INDEX('NARM6 - Risk Summary'!$S:$S,MATCH($C20,'NARM6 - Risk Summary'!$B:$B,0)+5)</f>
        <v/>
      </c>
      <c r="W20" s="170">
        <f>INDEX('NARM6 - Risk Summary'!$V:$V,MATCH($C20,'NARM6 - Risk Summary'!$B:$B,0))</f>
        <v>0</v>
      </c>
      <c r="X20" s="171">
        <f>INDEX('NARM6 - Risk Summary'!$V:$V,MATCH($C20,'NARM6 - Risk Summary'!$B:$B,0)+1)</f>
        <v>0</v>
      </c>
      <c r="Y20" s="171">
        <f>INDEX('NARM6 - Risk Summary'!$V:$V,MATCH($C20,'NARM6 - Risk Summary'!$B:$B,0)+2)</f>
        <v>0</v>
      </c>
      <c r="Z20" s="172">
        <f>INDEX('NARM6 - Risk Summary'!$V:$V,MATCH($C20,'NARM6 - Risk Summary'!$B:$B,0)+3)</f>
        <v>0</v>
      </c>
      <c r="AA20" s="172">
        <f>INDEX('NARM6 - Risk Summary'!$V:$V,MATCH($C20,'NARM6 - Risk Summary'!$B:$B,0)+4)</f>
        <v>0</v>
      </c>
      <c r="AB20" s="173">
        <f t="shared" si="10"/>
        <v>0</v>
      </c>
      <c r="AC20" s="174" t="str">
        <f t="shared" ca="1" si="11"/>
        <v/>
      </c>
      <c r="AD20" s="175">
        <f t="shared" ca="1" si="12"/>
        <v>0</v>
      </c>
      <c r="AE20" s="170">
        <f t="shared" si="0"/>
        <v>0</v>
      </c>
      <c r="AF20" s="171">
        <f t="shared" si="1"/>
        <v>0</v>
      </c>
      <c r="AG20" s="171">
        <f t="shared" si="2"/>
        <v>0</v>
      </c>
      <c r="AH20" s="171">
        <f t="shared" si="3"/>
        <v>0</v>
      </c>
      <c r="AI20" s="176">
        <f t="shared" si="4"/>
        <v>0</v>
      </c>
      <c r="AJ20" s="177">
        <f t="shared" si="5"/>
        <v>0</v>
      </c>
      <c r="AK20" s="174" t="str">
        <f t="shared" ca="1" si="13"/>
        <v/>
      </c>
      <c r="AM20" s="317" t="s">
        <v>217</v>
      </c>
      <c r="AN20" s="332">
        <f t="shared" ca="1" si="14"/>
        <v>0</v>
      </c>
      <c r="AO20" s="332">
        <f t="shared" ca="1" si="15"/>
        <v>0</v>
      </c>
      <c r="AP20" s="332">
        <f t="shared" ca="1" si="16"/>
        <v>0</v>
      </c>
      <c r="AQ20" s="463">
        <f ca="1">SUM(AN20:AP20)</f>
        <v>0</v>
      </c>
      <c r="AR20" s="333">
        <f t="shared" si="17"/>
        <v>0</v>
      </c>
      <c r="AS20" s="332">
        <f t="shared" si="18"/>
        <v>0</v>
      </c>
      <c r="AT20" s="332">
        <f t="shared" si="19"/>
        <v>0</v>
      </c>
      <c r="AU20" s="464">
        <f>SUM(AR20:AT20)</f>
        <v>0</v>
      </c>
    </row>
    <row r="21" spans="2:47">
      <c r="B21" s="539">
        <v>32</v>
      </c>
      <c r="C21" s="166" t="s">
        <v>93</v>
      </c>
      <c r="D21" s="167" t="s">
        <v>215</v>
      </c>
      <c r="E21" s="168" t="s">
        <v>209</v>
      </c>
      <c r="F21" s="169" t="str">
        <f ca="1">INDEX('NARM6 - Risk Summary'!$Q:$Q,MATCH($C21,'NARM6 - Risk Summary'!$B:$B,0)+5)</f>
        <v/>
      </c>
      <c r="G21" s="170">
        <f>INDEX('NARM6 - Risk Summary'!$T:$T,MATCH($C21,'NARM6 - Risk Summary'!$B:$B,0))</f>
        <v>0</v>
      </c>
      <c r="H21" s="171">
        <f>INDEX('NARM6 - Risk Summary'!$T:$T,MATCH($C21,'NARM6 - Risk Summary'!$B:$B,0)+1)</f>
        <v>0</v>
      </c>
      <c r="I21" s="171">
        <f>INDEX('NARM6 - Risk Summary'!$T:$T,MATCH($C21,'NARM6 - Risk Summary'!$B:$B,0)+2)</f>
        <v>0</v>
      </c>
      <c r="J21" s="172">
        <f>INDEX('NARM6 - Risk Summary'!$T:$T,MATCH($C21,'NARM6 - Risk Summary'!$B:$B,0)+3)</f>
        <v>0</v>
      </c>
      <c r="K21" s="172">
        <f>INDEX('NARM6 - Risk Summary'!$T:$T,MATCH($C21,'NARM6 - Risk Summary'!$B:$B,0)+4)</f>
        <v>0</v>
      </c>
      <c r="L21" s="173">
        <f t="shared" si="6"/>
        <v>0</v>
      </c>
      <c r="M21" s="174" t="str">
        <f t="shared" ca="1" si="7"/>
        <v/>
      </c>
      <c r="N21" s="169" t="str">
        <f ca="1">INDEX('NARM6 - Risk Summary'!$R:$R,MATCH($C21,'NARM6 - Risk Summary'!$B:$B,0)+5)</f>
        <v/>
      </c>
      <c r="O21" s="170">
        <f>INDEX('NARM6 - Risk Summary'!$U:$U,MATCH($C21,'NARM6 - Risk Summary'!$B:$B,0))</f>
        <v>0</v>
      </c>
      <c r="P21" s="171">
        <f>INDEX('NARM6 - Risk Summary'!$U:$U,MATCH($C21,'NARM6 - Risk Summary'!$B:$B,0)+1)</f>
        <v>0</v>
      </c>
      <c r="Q21" s="171">
        <f>INDEX('NARM6 - Risk Summary'!$U:$U,MATCH($C21,'NARM6 - Risk Summary'!$B:$B,0)+2)</f>
        <v>0</v>
      </c>
      <c r="R21" s="172">
        <f>INDEX('NARM6 - Risk Summary'!$U:$U,MATCH($C21,'NARM6 - Risk Summary'!$B:$B,0)+3)</f>
        <v>0</v>
      </c>
      <c r="S21" s="172">
        <f>INDEX('NARM6 - Risk Summary'!$U:$U,MATCH($C21,'NARM6 - Risk Summary'!$B:$B,0)+4)</f>
        <v>0</v>
      </c>
      <c r="T21" s="173">
        <f t="shared" si="8"/>
        <v>0</v>
      </c>
      <c r="U21" s="174" t="str">
        <f t="shared" ca="1" si="9"/>
        <v/>
      </c>
      <c r="V21" s="169" t="str">
        <f ca="1">INDEX('NARM6 - Risk Summary'!$S:$S,MATCH($C21,'NARM6 - Risk Summary'!$B:$B,0)+5)</f>
        <v/>
      </c>
      <c r="W21" s="170">
        <f>INDEX('NARM6 - Risk Summary'!$V:$V,MATCH($C21,'NARM6 - Risk Summary'!$B:$B,0))</f>
        <v>0</v>
      </c>
      <c r="X21" s="171">
        <f>INDEX('NARM6 - Risk Summary'!$V:$V,MATCH($C21,'NARM6 - Risk Summary'!$B:$B,0)+1)</f>
        <v>0</v>
      </c>
      <c r="Y21" s="171">
        <f>INDEX('NARM6 - Risk Summary'!$V:$V,MATCH($C21,'NARM6 - Risk Summary'!$B:$B,0)+2)</f>
        <v>0</v>
      </c>
      <c r="Z21" s="172">
        <f>INDEX('NARM6 - Risk Summary'!$V:$V,MATCH($C21,'NARM6 - Risk Summary'!$B:$B,0)+3)</f>
        <v>0</v>
      </c>
      <c r="AA21" s="172">
        <f>INDEX('NARM6 - Risk Summary'!$V:$V,MATCH($C21,'NARM6 - Risk Summary'!$B:$B,0)+4)</f>
        <v>0</v>
      </c>
      <c r="AB21" s="173">
        <f t="shared" si="10"/>
        <v>0</v>
      </c>
      <c r="AC21" s="174" t="str">
        <f t="shared" ca="1" si="11"/>
        <v/>
      </c>
      <c r="AD21" s="175">
        <f t="shared" ca="1" si="12"/>
        <v>0</v>
      </c>
      <c r="AE21" s="170">
        <f t="shared" si="0"/>
        <v>0</v>
      </c>
      <c r="AF21" s="171">
        <f t="shared" si="1"/>
        <v>0</v>
      </c>
      <c r="AG21" s="171">
        <f t="shared" si="2"/>
        <v>0</v>
      </c>
      <c r="AH21" s="171">
        <f t="shared" si="3"/>
        <v>0</v>
      </c>
      <c r="AI21" s="176">
        <f t="shared" si="4"/>
        <v>0</v>
      </c>
      <c r="AJ21" s="177">
        <f t="shared" si="5"/>
        <v>0</v>
      </c>
      <c r="AK21" s="174" t="str">
        <f t="shared" ca="1" si="13"/>
        <v/>
      </c>
    </row>
    <row r="22" spans="2:47">
      <c r="B22" s="539">
        <v>35</v>
      </c>
      <c r="C22" s="166" t="s">
        <v>96</v>
      </c>
      <c r="D22" s="167" t="s">
        <v>215</v>
      </c>
      <c r="E22" s="168" t="s">
        <v>209</v>
      </c>
      <c r="F22" s="169" t="str">
        <f ca="1">INDEX('NARM6 - Risk Summary'!$Q:$Q,MATCH($C22,'NARM6 - Risk Summary'!$B:$B,0)+5)</f>
        <v/>
      </c>
      <c r="G22" s="170">
        <f>INDEX('NARM6 - Risk Summary'!$T:$T,MATCH($C22,'NARM6 - Risk Summary'!$B:$B,0))</f>
        <v>0</v>
      </c>
      <c r="H22" s="171">
        <f>INDEX('NARM6 - Risk Summary'!$T:$T,MATCH($C22,'NARM6 - Risk Summary'!$B:$B,0)+1)</f>
        <v>0</v>
      </c>
      <c r="I22" s="171">
        <f>INDEX('NARM6 - Risk Summary'!$T:$T,MATCH($C22,'NARM6 - Risk Summary'!$B:$B,0)+2)</f>
        <v>0</v>
      </c>
      <c r="J22" s="172">
        <f>INDEX('NARM6 - Risk Summary'!$T:$T,MATCH($C22,'NARM6 - Risk Summary'!$B:$B,0)+3)</f>
        <v>0</v>
      </c>
      <c r="K22" s="172">
        <f>INDEX('NARM6 - Risk Summary'!$T:$T,MATCH($C22,'NARM6 - Risk Summary'!$B:$B,0)+4)</f>
        <v>0</v>
      </c>
      <c r="L22" s="173">
        <f t="shared" si="6"/>
        <v>0</v>
      </c>
      <c r="M22" s="174" t="str">
        <f t="shared" ca="1" si="7"/>
        <v/>
      </c>
      <c r="N22" s="169" t="str">
        <f ca="1">INDEX('NARM6 - Risk Summary'!$R:$R,MATCH($C22,'NARM6 - Risk Summary'!$B:$B,0)+5)</f>
        <v/>
      </c>
      <c r="O22" s="170">
        <f>INDEX('NARM6 - Risk Summary'!$U:$U,MATCH($C22,'NARM6 - Risk Summary'!$B:$B,0))</f>
        <v>0</v>
      </c>
      <c r="P22" s="171">
        <f>INDEX('NARM6 - Risk Summary'!$U:$U,MATCH($C22,'NARM6 - Risk Summary'!$B:$B,0)+1)</f>
        <v>0</v>
      </c>
      <c r="Q22" s="171">
        <f>INDEX('NARM6 - Risk Summary'!$U:$U,MATCH($C22,'NARM6 - Risk Summary'!$B:$B,0)+2)</f>
        <v>0</v>
      </c>
      <c r="R22" s="172">
        <f>INDEX('NARM6 - Risk Summary'!$U:$U,MATCH($C22,'NARM6 - Risk Summary'!$B:$B,0)+3)</f>
        <v>0</v>
      </c>
      <c r="S22" s="172">
        <f>INDEX('NARM6 - Risk Summary'!$U:$U,MATCH($C22,'NARM6 - Risk Summary'!$B:$B,0)+4)</f>
        <v>0</v>
      </c>
      <c r="T22" s="173">
        <f t="shared" si="8"/>
        <v>0</v>
      </c>
      <c r="U22" s="174" t="str">
        <f t="shared" ca="1" si="9"/>
        <v/>
      </c>
      <c r="V22" s="169" t="str">
        <f ca="1">INDEX('NARM6 - Risk Summary'!$S:$S,MATCH($C22,'NARM6 - Risk Summary'!$B:$B,0)+5)</f>
        <v/>
      </c>
      <c r="W22" s="170">
        <f>INDEX('NARM6 - Risk Summary'!$V:$V,MATCH($C22,'NARM6 - Risk Summary'!$B:$B,0))</f>
        <v>0</v>
      </c>
      <c r="X22" s="171">
        <f>INDEX('NARM6 - Risk Summary'!$V:$V,MATCH($C22,'NARM6 - Risk Summary'!$B:$B,0)+1)</f>
        <v>0</v>
      </c>
      <c r="Y22" s="171">
        <f>INDEX('NARM6 - Risk Summary'!$V:$V,MATCH($C22,'NARM6 - Risk Summary'!$B:$B,0)+2)</f>
        <v>0</v>
      </c>
      <c r="Z22" s="172">
        <f>INDEX('NARM6 - Risk Summary'!$V:$V,MATCH($C22,'NARM6 - Risk Summary'!$B:$B,0)+3)</f>
        <v>0</v>
      </c>
      <c r="AA22" s="172">
        <f>INDEX('NARM6 - Risk Summary'!$V:$V,MATCH($C22,'NARM6 - Risk Summary'!$B:$B,0)+4)</f>
        <v>0</v>
      </c>
      <c r="AB22" s="173">
        <f t="shared" si="10"/>
        <v>0</v>
      </c>
      <c r="AC22" s="174" t="str">
        <f t="shared" ca="1" si="11"/>
        <v/>
      </c>
      <c r="AD22" s="175">
        <f t="shared" ca="1" si="12"/>
        <v>0</v>
      </c>
      <c r="AE22" s="170">
        <f t="shared" si="0"/>
        <v>0</v>
      </c>
      <c r="AF22" s="171">
        <f t="shared" si="1"/>
        <v>0</v>
      </c>
      <c r="AG22" s="171">
        <f t="shared" si="2"/>
        <v>0</v>
      </c>
      <c r="AH22" s="171">
        <f t="shared" si="3"/>
        <v>0</v>
      </c>
      <c r="AI22" s="176">
        <f t="shared" si="4"/>
        <v>0</v>
      </c>
      <c r="AJ22" s="177">
        <f t="shared" si="5"/>
        <v>0</v>
      </c>
      <c r="AK22" s="174" t="str">
        <f t="shared" ca="1" si="13"/>
        <v/>
      </c>
    </row>
    <row r="23" spans="2:47">
      <c r="B23" s="539">
        <v>54</v>
      </c>
      <c r="C23" s="166" t="s">
        <v>115</v>
      </c>
      <c r="D23" s="167" t="s">
        <v>215</v>
      </c>
      <c r="E23" s="168" t="s">
        <v>210</v>
      </c>
      <c r="F23" s="169" t="str">
        <f ca="1">INDEX('NARM6 - Risk Summary'!$Q:$Q,MATCH($C23,'NARM6 - Risk Summary'!$B:$B,0)+5)</f>
        <v/>
      </c>
      <c r="G23" s="170">
        <f>INDEX('NARM6 - Risk Summary'!$T:$T,MATCH($C23,'NARM6 - Risk Summary'!$B:$B,0))</f>
        <v>0</v>
      </c>
      <c r="H23" s="171">
        <f>INDEX('NARM6 - Risk Summary'!$T:$T,MATCH($C23,'NARM6 - Risk Summary'!$B:$B,0)+1)</f>
        <v>0</v>
      </c>
      <c r="I23" s="171">
        <f>INDEX('NARM6 - Risk Summary'!$T:$T,MATCH($C23,'NARM6 - Risk Summary'!$B:$B,0)+2)</f>
        <v>0</v>
      </c>
      <c r="J23" s="172">
        <f>INDEX('NARM6 - Risk Summary'!$T:$T,MATCH($C23,'NARM6 - Risk Summary'!$B:$B,0)+3)</f>
        <v>0</v>
      </c>
      <c r="K23" s="172">
        <f>INDEX('NARM6 - Risk Summary'!$T:$T,MATCH($C23,'NARM6 - Risk Summary'!$B:$B,0)+4)</f>
        <v>0</v>
      </c>
      <c r="L23" s="173">
        <f t="shared" si="6"/>
        <v>0</v>
      </c>
      <c r="M23" s="174" t="str">
        <f t="shared" ca="1" si="7"/>
        <v/>
      </c>
      <c r="N23" s="169" t="str">
        <f ca="1">INDEX('NARM6 - Risk Summary'!$R:$R,MATCH($C23,'NARM6 - Risk Summary'!$B:$B,0)+5)</f>
        <v/>
      </c>
      <c r="O23" s="170">
        <f>INDEX('NARM6 - Risk Summary'!$U:$U,MATCH($C23,'NARM6 - Risk Summary'!$B:$B,0))</f>
        <v>0</v>
      </c>
      <c r="P23" s="171">
        <f>INDEX('NARM6 - Risk Summary'!$U:$U,MATCH($C23,'NARM6 - Risk Summary'!$B:$B,0)+1)</f>
        <v>0</v>
      </c>
      <c r="Q23" s="171">
        <f>INDEX('NARM6 - Risk Summary'!$U:$U,MATCH($C23,'NARM6 - Risk Summary'!$B:$B,0)+2)</f>
        <v>0</v>
      </c>
      <c r="R23" s="172">
        <f>INDEX('NARM6 - Risk Summary'!$U:$U,MATCH($C23,'NARM6 - Risk Summary'!$B:$B,0)+3)</f>
        <v>0</v>
      </c>
      <c r="S23" s="172">
        <f>INDEX('NARM6 - Risk Summary'!$U:$U,MATCH($C23,'NARM6 - Risk Summary'!$B:$B,0)+4)</f>
        <v>0</v>
      </c>
      <c r="T23" s="173">
        <f t="shared" si="8"/>
        <v>0</v>
      </c>
      <c r="U23" s="174" t="str">
        <f t="shared" ca="1" si="9"/>
        <v/>
      </c>
      <c r="V23" s="169" t="str">
        <f ca="1">INDEX('NARM6 - Risk Summary'!$S:$S,MATCH($C23,'NARM6 - Risk Summary'!$B:$B,0)+5)</f>
        <v/>
      </c>
      <c r="W23" s="170">
        <f>INDEX('NARM6 - Risk Summary'!$V:$V,MATCH($C23,'NARM6 - Risk Summary'!$B:$B,0))</f>
        <v>0</v>
      </c>
      <c r="X23" s="171">
        <f>INDEX('NARM6 - Risk Summary'!$V:$V,MATCH($C23,'NARM6 - Risk Summary'!$B:$B,0)+1)</f>
        <v>0</v>
      </c>
      <c r="Y23" s="171">
        <f>INDEX('NARM6 - Risk Summary'!$V:$V,MATCH($C23,'NARM6 - Risk Summary'!$B:$B,0)+2)</f>
        <v>0</v>
      </c>
      <c r="Z23" s="172">
        <f>INDEX('NARM6 - Risk Summary'!$V:$V,MATCH($C23,'NARM6 - Risk Summary'!$B:$B,0)+3)</f>
        <v>0</v>
      </c>
      <c r="AA23" s="172">
        <f>INDEX('NARM6 - Risk Summary'!$V:$V,MATCH($C23,'NARM6 - Risk Summary'!$B:$B,0)+4)</f>
        <v>0</v>
      </c>
      <c r="AB23" s="173">
        <f t="shared" si="10"/>
        <v>0</v>
      </c>
      <c r="AC23" s="174" t="str">
        <f t="shared" ca="1" si="11"/>
        <v/>
      </c>
      <c r="AD23" s="175">
        <f t="shared" ca="1" si="12"/>
        <v>0</v>
      </c>
      <c r="AE23" s="170">
        <f t="shared" si="0"/>
        <v>0</v>
      </c>
      <c r="AF23" s="171">
        <f t="shared" si="1"/>
        <v>0</v>
      </c>
      <c r="AG23" s="171">
        <f t="shared" si="2"/>
        <v>0</v>
      </c>
      <c r="AH23" s="171">
        <f t="shared" si="3"/>
        <v>0</v>
      </c>
      <c r="AI23" s="176">
        <f t="shared" si="4"/>
        <v>0</v>
      </c>
      <c r="AJ23" s="177">
        <f t="shared" si="5"/>
        <v>0</v>
      </c>
      <c r="AK23" s="174" t="str">
        <f t="shared" ca="1" si="13"/>
        <v/>
      </c>
    </row>
    <row r="24" spans="2:47">
      <c r="B24" s="539">
        <v>33</v>
      </c>
      <c r="C24" s="166" t="s">
        <v>94</v>
      </c>
      <c r="D24" s="167" t="s">
        <v>215</v>
      </c>
      <c r="E24" s="168" t="s">
        <v>209</v>
      </c>
      <c r="F24" s="169" t="str">
        <f ca="1">INDEX('NARM6 - Risk Summary'!$Q:$Q,MATCH($C24,'NARM6 - Risk Summary'!$B:$B,0)+5)</f>
        <v/>
      </c>
      <c r="G24" s="170">
        <f>INDEX('NARM6 - Risk Summary'!$T:$T,MATCH($C24,'NARM6 - Risk Summary'!$B:$B,0))</f>
        <v>0</v>
      </c>
      <c r="H24" s="171">
        <f>INDEX('NARM6 - Risk Summary'!$T:$T,MATCH($C24,'NARM6 - Risk Summary'!$B:$B,0)+1)</f>
        <v>0</v>
      </c>
      <c r="I24" s="171">
        <f>INDEX('NARM6 - Risk Summary'!$T:$T,MATCH($C24,'NARM6 - Risk Summary'!$B:$B,0)+2)</f>
        <v>0</v>
      </c>
      <c r="J24" s="172">
        <f>INDEX('NARM6 - Risk Summary'!$T:$T,MATCH($C24,'NARM6 - Risk Summary'!$B:$B,0)+3)</f>
        <v>0</v>
      </c>
      <c r="K24" s="172">
        <f>INDEX('NARM6 - Risk Summary'!$T:$T,MATCH($C24,'NARM6 - Risk Summary'!$B:$B,0)+4)</f>
        <v>0</v>
      </c>
      <c r="L24" s="173">
        <f t="shared" si="6"/>
        <v>0</v>
      </c>
      <c r="M24" s="174" t="str">
        <f t="shared" ca="1" si="7"/>
        <v/>
      </c>
      <c r="N24" s="169" t="str">
        <f ca="1">INDEX('NARM6 - Risk Summary'!$R:$R,MATCH($C24,'NARM6 - Risk Summary'!$B:$B,0)+5)</f>
        <v/>
      </c>
      <c r="O24" s="170">
        <f>INDEX('NARM6 - Risk Summary'!$U:$U,MATCH($C24,'NARM6 - Risk Summary'!$B:$B,0))</f>
        <v>0</v>
      </c>
      <c r="P24" s="171">
        <f>INDEX('NARM6 - Risk Summary'!$U:$U,MATCH($C24,'NARM6 - Risk Summary'!$B:$B,0)+1)</f>
        <v>0</v>
      </c>
      <c r="Q24" s="171">
        <f>INDEX('NARM6 - Risk Summary'!$U:$U,MATCH($C24,'NARM6 - Risk Summary'!$B:$B,0)+2)</f>
        <v>0</v>
      </c>
      <c r="R24" s="172">
        <f>INDEX('NARM6 - Risk Summary'!$U:$U,MATCH($C24,'NARM6 - Risk Summary'!$B:$B,0)+3)</f>
        <v>0</v>
      </c>
      <c r="S24" s="172">
        <f>INDEX('NARM6 - Risk Summary'!$U:$U,MATCH($C24,'NARM6 - Risk Summary'!$B:$B,0)+4)</f>
        <v>0</v>
      </c>
      <c r="T24" s="173">
        <f t="shared" si="8"/>
        <v>0</v>
      </c>
      <c r="U24" s="174" t="str">
        <f t="shared" ca="1" si="9"/>
        <v/>
      </c>
      <c r="V24" s="169" t="str">
        <f ca="1">INDEX('NARM6 - Risk Summary'!$S:$S,MATCH($C24,'NARM6 - Risk Summary'!$B:$B,0)+5)</f>
        <v/>
      </c>
      <c r="W24" s="170">
        <f>INDEX('NARM6 - Risk Summary'!$V:$V,MATCH($C24,'NARM6 - Risk Summary'!$B:$B,0))</f>
        <v>0</v>
      </c>
      <c r="X24" s="171">
        <f>INDEX('NARM6 - Risk Summary'!$V:$V,MATCH($C24,'NARM6 - Risk Summary'!$B:$B,0)+1)</f>
        <v>0</v>
      </c>
      <c r="Y24" s="171">
        <f>INDEX('NARM6 - Risk Summary'!$V:$V,MATCH($C24,'NARM6 - Risk Summary'!$B:$B,0)+2)</f>
        <v>0</v>
      </c>
      <c r="Z24" s="172">
        <f>INDEX('NARM6 - Risk Summary'!$V:$V,MATCH($C24,'NARM6 - Risk Summary'!$B:$B,0)+3)</f>
        <v>0</v>
      </c>
      <c r="AA24" s="172">
        <f>INDEX('NARM6 - Risk Summary'!$V:$V,MATCH($C24,'NARM6 - Risk Summary'!$B:$B,0)+4)</f>
        <v>0</v>
      </c>
      <c r="AB24" s="173">
        <f t="shared" si="10"/>
        <v>0</v>
      </c>
      <c r="AC24" s="174" t="str">
        <f t="shared" ca="1" si="11"/>
        <v/>
      </c>
      <c r="AD24" s="175">
        <f t="shared" ca="1" si="12"/>
        <v>0</v>
      </c>
      <c r="AE24" s="170">
        <f t="shared" si="0"/>
        <v>0</v>
      </c>
      <c r="AF24" s="171">
        <f t="shared" si="1"/>
        <v>0</v>
      </c>
      <c r="AG24" s="171">
        <f t="shared" si="2"/>
        <v>0</v>
      </c>
      <c r="AH24" s="171">
        <f t="shared" si="3"/>
        <v>0</v>
      </c>
      <c r="AI24" s="176">
        <f t="shared" si="4"/>
        <v>0</v>
      </c>
      <c r="AJ24" s="177">
        <f t="shared" si="5"/>
        <v>0</v>
      </c>
      <c r="AK24" s="174" t="str">
        <f t="shared" ca="1" si="13"/>
        <v/>
      </c>
    </row>
    <row r="25" spans="2:47">
      <c r="B25" s="539">
        <v>36</v>
      </c>
      <c r="C25" s="166" t="s">
        <v>97</v>
      </c>
      <c r="D25" s="167" t="s">
        <v>215</v>
      </c>
      <c r="E25" s="168" t="s">
        <v>209</v>
      </c>
      <c r="F25" s="169" t="str">
        <f ca="1">INDEX('NARM6 - Risk Summary'!$Q:$Q,MATCH($C25,'NARM6 - Risk Summary'!$B:$B,0)+5)</f>
        <v/>
      </c>
      <c r="G25" s="170">
        <f>INDEX('NARM6 - Risk Summary'!$T:$T,MATCH($C25,'NARM6 - Risk Summary'!$B:$B,0))</f>
        <v>0</v>
      </c>
      <c r="H25" s="171">
        <f>INDEX('NARM6 - Risk Summary'!$T:$T,MATCH($C25,'NARM6 - Risk Summary'!$B:$B,0)+1)</f>
        <v>0</v>
      </c>
      <c r="I25" s="171">
        <f>INDEX('NARM6 - Risk Summary'!$T:$T,MATCH($C25,'NARM6 - Risk Summary'!$B:$B,0)+2)</f>
        <v>0</v>
      </c>
      <c r="J25" s="172">
        <f>INDEX('NARM6 - Risk Summary'!$T:$T,MATCH($C25,'NARM6 - Risk Summary'!$B:$B,0)+3)</f>
        <v>0</v>
      </c>
      <c r="K25" s="172">
        <f>INDEX('NARM6 - Risk Summary'!$T:$T,MATCH($C25,'NARM6 - Risk Summary'!$B:$B,0)+4)</f>
        <v>0</v>
      </c>
      <c r="L25" s="173">
        <f t="shared" si="6"/>
        <v>0</v>
      </c>
      <c r="M25" s="174" t="str">
        <f t="shared" ca="1" si="7"/>
        <v/>
      </c>
      <c r="N25" s="169" t="str">
        <f ca="1">INDEX('NARM6 - Risk Summary'!$R:$R,MATCH($C25,'NARM6 - Risk Summary'!$B:$B,0)+5)</f>
        <v/>
      </c>
      <c r="O25" s="170">
        <f>INDEX('NARM6 - Risk Summary'!$U:$U,MATCH($C25,'NARM6 - Risk Summary'!$B:$B,0))</f>
        <v>0</v>
      </c>
      <c r="P25" s="171">
        <f>INDEX('NARM6 - Risk Summary'!$U:$U,MATCH($C25,'NARM6 - Risk Summary'!$B:$B,0)+1)</f>
        <v>0</v>
      </c>
      <c r="Q25" s="171">
        <f>INDEX('NARM6 - Risk Summary'!$U:$U,MATCH($C25,'NARM6 - Risk Summary'!$B:$B,0)+2)</f>
        <v>0</v>
      </c>
      <c r="R25" s="172">
        <f>INDEX('NARM6 - Risk Summary'!$U:$U,MATCH($C25,'NARM6 - Risk Summary'!$B:$B,0)+3)</f>
        <v>0</v>
      </c>
      <c r="S25" s="172">
        <f>INDEX('NARM6 - Risk Summary'!$U:$U,MATCH($C25,'NARM6 - Risk Summary'!$B:$B,0)+4)</f>
        <v>0</v>
      </c>
      <c r="T25" s="173">
        <f t="shared" si="8"/>
        <v>0</v>
      </c>
      <c r="U25" s="174" t="str">
        <f t="shared" ca="1" si="9"/>
        <v/>
      </c>
      <c r="V25" s="169" t="str">
        <f ca="1">INDEX('NARM6 - Risk Summary'!$S:$S,MATCH($C25,'NARM6 - Risk Summary'!$B:$B,0)+5)</f>
        <v/>
      </c>
      <c r="W25" s="170">
        <f>INDEX('NARM6 - Risk Summary'!$V:$V,MATCH($C25,'NARM6 - Risk Summary'!$B:$B,0))</f>
        <v>0</v>
      </c>
      <c r="X25" s="171">
        <f>INDEX('NARM6 - Risk Summary'!$V:$V,MATCH($C25,'NARM6 - Risk Summary'!$B:$B,0)+1)</f>
        <v>0</v>
      </c>
      <c r="Y25" s="171">
        <f>INDEX('NARM6 - Risk Summary'!$V:$V,MATCH($C25,'NARM6 - Risk Summary'!$B:$B,0)+2)</f>
        <v>0</v>
      </c>
      <c r="Z25" s="172">
        <f>INDEX('NARM6 - Risk Summary'!$V:$V,MATCH($C25,'NARM6 - Risk Summary'!$B:$B,0)+3)</f>
        <v>0</v>
      </c>
      <c r="AA25" s="172">
        <f>INDEX('NARM6 - Risk Summary'!$V:$V,MATCH($C25,'NARM6 - Risk Summary'!$B:$B,0)+4)</f>
        <v>0</v>
      </c>
      <c r="AB25" s="173">
        <f t="shared" si="10"/>
        <v>0</v>
      </c>
      <c r="AC25" s="174" t="str">
        <f t="shared" ca="1" si="11"/>
        <v/>
      </c>
      <c r="AD25" s="175">
        <f t="shared" ca="1" si="12"/>
        <v>0</v>
      </c>
      <c r="AE25" s="170">
        <f t="shared" si="0"/>
        <v>0</v>
      </c>
      <c r="AF25" s="171">
        <f t="shared" si="1"/>
        <v>0</v>
      </c>
      <c r="AG25" s="171">
        <f t="shared" si="2"/>
        <v>0</v>
      </c>
      <c r="AH25" s="171">
        <f t="shared" si="3"/>
        <v>0</v>
      </c>
      <c r="AI25" s="176">
        <f t="shared" si="4"/>
        <v>0</v>
      </c>
      <c r="AJ25" s="177">
        <f t="shared" si="5"/>
        <v>0</v>
      </c>
      <c r="AK25" s="174" t="str">
        <f ca="1">IF(IFERROR((AE25+AF25++AG25+AI25)/AD25,"")&lt;0,0,IFERROR((AE25+AF25+AG25+AI25)/AD25,""))</f>
        <v/>
      </c>
    </row>
    <row r="26" spans="2:47">
      <c r="B26" s="539">
        <v>55</v>
      </c>
      <c r="C26" s="166" t="s">
        <v>116</v>
      </c>
      <c r="D26" s="167" t="s">
        <v>215</v>
      </c>
      <c r="E26" s="168" t="s">
        <v>210</v>
      </c>
      <c r="F26" s="169" t="str">
        <f ca="1">INDEX('NARM6 - Risk Summary'!$Q:$Q,MATCH($C26,'NARM6 - Risk Summary'!$B:$B,0)+5)</f>
        <v/>
      </c>
      <c r="G26" s="170">
        <f>INDEX('NARM6 - Risk Summary'!$T:$T,MATCH($C26,'NARM6 - Risk Summary'!$B:$B,0))</f>
        <v>0</v>
      </c>
      <c r="H26" s="171">
        <f>INDEX('NARM6 - Risk Summary'!$T:$T,MATCH($C26,'NARM6 - Risk Summary'!$B:$B,0)+1)</f>
        <v>0</v>
      </c>
      <c r="I26" s="171">
        <f>INDEX('NARM6 - Risk Summary'!$T:$T,MATCH($C26,'NARM6 - Risk Summary'!$B:$B,0)+2)</f>
        <v>0</v>
      </c>
      <c r="J26" s="172">
        <f>INDEX('NARM6 - Risk Summary'!$T:$T,MATCH($C26,'NARM6 - Risk Summary'!$B:$B,0)+3)</f>
        <v>0</v>
      </c>
      <c r="K26" s="172">
        <f>INDEX('NARM6 - Risk Summary'!$T:$T,MATCH($C26,'NARM6 - Risk Summary'!$B:$B,0)+4)</f>
        <v>0</v>
      </c>
      <c r="L26" s="173">
        <f t="shared" si="6"/>
        <v>0</v>
      </c>
      <c r="M26" s="174" t="str">
        <f t="shared" ca="1" si="7"/>
        <v/>
      </c>
      <c r="N26" s="169" t="str">
        <f ca="1">INDEX('NARM6 - Risk Summary'!$R:$R,MATCH($C26,'NARM6 - Risk Summary'!$B:$B,0)+5)</f>
        <v/>
      </c>
      <c r="O26" s="170">
        <f>INDEX('NARM6 - Risk Summary'!$U:$U,MATCH($C26,'NARM6 - Risk Summary'!$B:$B,0))</f>
        <v>0</v>
      </c>
      <c r="P26" s="171">
        <f>INDEX('NARM6 - Risk Summary'!$U:$U,MATCH($C26,'NARM6 - Risk Summary'!$B:$B,0)+1)</f>
        <v>0</v>
      </c>
      <c r="Q26" s="171">
        <f>INDEX('NARM6 - Risk Summary'!$U:$U,MATCH($C26,'NARM6 - Risk Summary'!$B:$B,0)+2)</f>
        <v>0</v>
      </c>
      <c r="R26" s="172">
        <f>INDEX('NARM6 - Risk Summary'!$U:$U,MATCH($C26,'NARM6 - Risk Summary'!$B:$B,0)+3)</f>
        <v>0</v>
      </c>
      <c r="S26" s="172">
        <f>INDEX('NARM6 - Risk Summary'!$U:$U,MATCH($C26,'NARM6 - Risk Summary'!$B:$B,0)+4)</f>
        <v>0</v>
      </c>
      <c r="T26" s="173">
        <f t="shared" si="8"/>
        <v>0</v>
      </c>
      <c r="U26" s="174" t="str">
        <f t="shared" ca="1" si="9"/>
        <v/>
      </c>
      <c r="V26" s="169" t="str">
        <f ca="1">INDEX('NARM6 - Risk Summary'!$S:$S,MATCH($C26,'NARM6 - Risk Summary'!$B:$B,0)+5)</f>
        <v/>
      </c>
      <c r="W26" s="170">
        <f>INDEX('NARM6 - Risk Summary'!$V:$V,MATCH($C26,'NARM6 - Risk Summary'!$B:$B,0))</f>
        <v>0</v>
      </c>
      <c r="X26" s="171">
        <f>INDEX('NARM6 - Risk Summary'!$V:$V,MATCH($C26,'NARM6 - Risk Summary'!$B:$B,0)+1)</f>
        <v>0</v>
      </c>
      <c r="Y26" s="171">
        <f>INDEX('NARM6 - Risk Summary'!$V:$V,MATCH($C26,'NARM6 - Risk Summary'!$B:$B,0)+2)</f>
        <v>0</v>
      </c>
      <c r="Z26" s="172">
        <f>INDEX('NARM6 - Risk Summary'!$V:$V,MATCH($C26,'NARM6 - Risk Summary'!$B:$B,0)+3)</f>
        <v>0</v>
      </c>
      <c r="AA26" s="172">
        <f>INDEX('NARM6 - Risk Summary'!$V:$V,MATCH($C26,'NARM6 - Risk Summary'!$B:$B,0)+4)</f>
        <v>0</v>
      </c>
      <c r="AB26" s="173">
        <f t="shared" si="10"/>
        <v>0</v>
      </c>
      <c r="AC26" s="174" t="str">
        <f t="shared" ca="1" si="11"/>
        <v/>
      </c>
      <c r="AD26" s="175">
        <f t="shared" ca="1" si="12"/>
        <v>0</v>
      </c>
      <c r="AE26" s="170">
        <f t="shared" si="0"/>
        <v>0</v>
      </c>
      <c r="AF26" s="171">
        <f t="shared" si="1"/>
        <v>0</v>
      </c>
      <c r="AG26" s="171">
        <f t="shared" si="2"/>
        <v>0</v>
      </c>
      <c r="AH26" s="171">
        <f t="shared" si="3"/>
        <v>0</v>
      </c>
      <c r="AI26" s="176">
        <f t="shared" si="4"/>
        <v>0</v>
      </c>
      <c r="AJ26" s="177">
        <f t="shared" si="5"/>
        <v>0</v>
      </c>
      <c r="AK26" s="174" t="str">
        <f ca="1">IF(IFERROR((AE26+AF26++AG26+AI26)/AD26,"")&lt;0,0,IFERROR((AE26+AF26+AG26+AI26)/AD26,""))</f>
        <v/>
      </c>
    </row>
    <row r="27" spans="2:47">
      <c r="B27" s="539">
        <v>11</v>
      </c>
      <c r="C27" s="166" t="s">
        <v>72</v>
      </c>
      <c r="D27" s="167" t="s">
        <v>215</v>
      </c>
      <c r="E27" s="168" t="s">
        <v>208</v>
      </c>
      <c r="F27" s="169" t="str">
        <f ca="1">INDEX('NARM6 - Risk Summary'!$Q:$Q,MATCH($C27,'NARM6 - Risk Summary'!$B:$B,0)+5)</f>
        <v/>
      </c>
      <c r="G27" s="170">
        <f>INDEX('NARM6 - Risk Summary'!$T:$T,MATCH($C27,'NARM6 - Risk Summary'!$B:$B,0))</f>
        <v>0</v>
      </c>
      <c r="H27" s="171">
        <f>INDEX('NARM6 - Risk Summary'!$T:$T,MATCH($C27,'NARM6 - Risk Summary'!$B:$B,0)+1)</f>
        <v>0</v>
      </c>
      <c r="I27" s="171">
        <f>INDEX('NARM6 - Risk Summary'!$T:$T,MATCH($C27,'NARM6 - Risk Summary'!$B:$B,0)+2)</f>
        <v>0</v>
      </c>
      <c r="J27" s="172">
        <f>INDEX('NARM6 - Risk Summary'!$T:$T,MATCH($C27,'NARM6 - Risk Summary'!$B:$B,0)+3)</f>
        <v>0</v>
      </c>
      <c r="K27" s="172">
        <f>INDEX('NARM6 - Risk Summary'!$T:$T,MATCH($C27,'NARM6 - Risk Summary'!$B:$B,0)+4)</f>
        <v>0</v>
      </c>
      <c r="L27" s="173">
        <f t="shared" si="6"/>
        <v>0</v>
      </c>
      <c r="M27" s="174" t="str">
        <f t="shared" ca="1" si="7"/>
        <v/>
      </c>
      <c r="N27" s="169" t="str">
        <f ca="1">INDEX('NARM6 - Risk Summary'!$R:$R,MATCH($C27,'NARM6 - Risk Summary'!$B:$B,0)+5)</f>
        <v/>
      </c>
      <c r="O27" s="170">
        <f>INDEX('NARM6 - Risk Summary'!$U:$U,MATCH($C27,'NARM6 - Risk Summary'!$B:$B,0))</f>
        <v>0</v>
      </c>
      <c r="P27" s="171">
        <f>INDEX('NARM6 - Risk Summary'!$U:$U,MATCH($C27,'NARM6 - Risk Summary'!$B:$B,0)+1)</f>
        <v>0</v>
      </c>
      <c r="Q27" s="171">
        <f>INDEX('NARM6 - Risk Summary'!$U:$U,MATCH($C27,'NARM6 - Risk Summary'!$B:$B,0)+2)</f>
        <v>0</v>
      </c>
      <c r="R27" s="172">
        <f>INDEX('NARM6 - Risk Summary'!$U:$U,MATCH($C27,'NARM6 - Risk Summary'!$B:$B,0)+3)</f>
        <v>0</v>
      </c>
      <c r="S27" s="172">
        <f>INDEX('NARM6 - Risk Summary'!$U:$U,MATCH($C27,'NARM6 - Risk Summary'!$B:$B,0)+4)</f>
        <v>0</v>
      </c>
      <c r="T27" s="173">
        <f t="shared" si="8"/>
        <v>0</v>
      </c>
      <c r="U27" s="174" t="str">
        <f t="shared" ca="1" si="9"/>
        <v/>
      </c>
      <c r="V27" s="169" t="str">
        <f ca="1">INDEX('NARM6 - Risk Summary'!$S:$S,MATCH($C27,'NARM6 - Risk Summary'!$B:$B,0)+5)</f>
        <v/>
      </c>
      <c r="W27" s="170">
        <f>INDEX('NARM6 - Risk Summary'!$V:$V,MATCH($C27,'NARM6 - Risk Summary'!$B:$B,0))</f>
        <v>0</v>
      </c>
      <c r="X27" s="171">
        <f>INDEX('NARM6 - Risk Summary'!$V:$V,MATCH($C27,'NARM6 - Risk Summary'!$B:$B,0)+1)</f>
        <v>0</v>
      </c>
      <c r="Y27" s="171">
        <f>INDEX('NARM6 - Risk Summary'!$V:$V,MATCH($C27,'NARM6 - Risk Summary'!$B:$B,0)+2)</f>
        <v>0</v>
      </c>
      <c r="Z27" s="172">
        <f>INDEX('NARM6 - Risk Summary'!$V:$V,MATCH($C27,'NARM6 - Risk Summary'!$B:$B,0)+3)</f>
        <v>0</v>
      </c>
      <c r="AA27" s="172">
        <f>INDEX('NARM6 - Risk Summary'!$V:$V,MATCH($C27,'NARM6 - Risk Summary'!$B:$B,0)+4)</f>
        <v>0</v>
      </c>
      <c r="AB27" s="173">
        <f t="shared" si="10"/>
        <v>0</v>
      </c>
      <c r="AC27" s="174" t="str">
        <f t="shared" ca="1" si="11"/>
        <v/>
      </c>
      <c r="AD27" s="175">
        <f t="shared" ca="1" si="12"/>
        <v>0</v>
      </c>
      <c r="AE27" s="170">
        <f t="shared" si="0"/>
        <v>0</v>
      </c>
      <c r="AF27" s="171">
        <f t="shared" si="1"/>
        <v>0</v>
      </c>
      <c r="AG27" s="171">
        <f t="shared" si="2"/>
        <v>0</v>
      </c>
      <c r="AH27" s="171">
        <f t="shared" si="3"/>
        <v>0</v>
      </c>
      <c r="AI27" s="176">
        <f t="shared" si="4"/>
        <v>0</v>
      </c>
      <c r="AJ27" s="177">
        <f t="shared" si="5"/>
        <v>0</v>
      </c>
      <c r="AK27" s="174" t="str">
        <f ca="1">IF(IFERROR((AE27+AF27+AG27+AI27)/AD27,"")&lt;0,0,IFERROR((AE27+AF27+AG27+AI27)/AD27,""))</f>
        <v/>
      </c>
    </row>
    <row r="28" spans="2:47">
      <c r="B28" s="539">
        <v>37</v>
      </c>
      <c r="C28" s="166" t="s">
        <v>98</v>
      </c>
      <c r="D28" s="167" t="s">
        <v>215</v>
      </c>
      <c r="E28" s="168" t="s">
        <v>209</v>
      </c>
      <c r="F28" s="169" t="str">
        <f ca="1">INDEX('NARM6 - Risk Summary'!$Q:$Q,MATCH($C28,'NARM6 - Risk Summary'!$B:$B,0)+5)</f>
        <v/>
      </c>
      <c r="G28" s="170">
        <f>INDEX('NARM6 - Risk Summary'!$T:$T,MATCH($C28,'NARM6 - Risk Summary'!$B:$B,0))</f>
        <v>0</v>
      </c>
      <c r="H28" s="171">
        <f>INDEX('NARM6 - Risk Summary'!$T:$T,MATCH($C28,'NARM6 - Risk Summary'!$B:$B,0)+1)</f>
        <v>0</v>
      </c>
      <c r="I28" s="171">
        <f>INDEX('NARM6 - Risk Summary'!$T:$T,MATCH($C28,'NARM6 - Risk Summary'!$B:$B,0)+2)</f>
        <v>0</v>
      </c>
      <c r="J28" s="172">
        <f>INDEX('NARM6 - Risk Summary'!$T:$T,MATCH($C28,'NARM6 - Risk Summary'!$B:$B,0)+3)</f>
        <v>0</v>
      </c>
      <c r="K28" s="172">
        <f>INDEX('NARM6 - Risk Summary'!$T:$T,MATCH($C28,'NARM6 - Risk Summary'!$B:$B,0)+4)</f>
        <v>0</v>
      </c>
      <c r="L28" s="173">
        <f t="shared" si="6"/>
        <v>0</v>
      </c>
      <c r="M28" s="174" t="str">
        <f t="shared" ca="1" si="7"/>
        <v/>
      </c>
      <c r="N28" s="169" t="str">
        <f ca="1">INDEX('NARM6 - Risk Summary'!$R:$R,MATCH($C28,'NARM6 - Risk Summary'!$B:$B,0)+5)</f>
        <v/>
      </c>
      <c r="O28" s="170">
        <f>INDEX('NARM6 - Risk Summary'!$U:$U,MATCH($C28,'NARM6 - Risk Summary'!$B:$B,0))</f>
        <v>0</v>
      </c>
      <c r="P28" s="171">
        <f>INDEX('NARM6 - Risk Summary'!$U:$U,MATCH($C28,'NARM6 - Risk Summary'!$B:$B,0)+1)</f>
        <v>0</v>
      </c>
      <c r="Q28" s="171">
        <f>INDEX('NARM6 - Risk Summary'!$U:$U,MATCH($C28,'NARM6 - Risk Summary'!$B:$B,0)+2)</f>
        <v>0</v>
      </c>
      <c r="R28" s="172">
        <f>INDEX('NARM6 - Risk Summary'!$U:$U,MATCH($C28,'NARM6 - Risk Summary'!$B:$B,0)+3)</f>
        <v>0</v>
      </c>
      <c r="S28" s="172">
        <f>INDEX('NARM6 - Risk Summary'!$U:$U,MATCH($C28,'NARM6 - Risk Summary'!$B:$B,0)+4)</f>
        <v>0</v>
      </c>
      <c r="T28" s="173">
        <f t="shared" si="8"/>
        <v>0</v>
      </c>
      <c r="U28" s="174" t="str">
        <f t="shared" ca="1" si="9"/>
        <v/>
      </c>
      <c r="V28" s="169" t="str">
        <f ca="1">INDEX('NARM6 - Risk Summary'!$S:$S,MATCH($C28,'NARM6 - Risk Summary'!$B:$B,0)+5)</f>
        <v/>
      </c>
      <c r="W28" s="170">
        <f>INDEX('NARM6 - Risk Summary'!$V:$V,MATCH($C28,'NARM6 - Risk Summary'!$B:$B,0))</f>
        <v>0</v>
      </c>
      <c r="X28" s="171">
        <f>INDEX('NARM6 - Risk Summary'!$V:$V,MATCH($C28,'NARM6 - Risk Summary'!$B:$B,0)+1)</f>
        <v>0</v>
      </c>
      <c r="Y28" s="171">
        <f>INDEX('NARM6 - Risk Summary'!$V:$V,MATCH($C28,'NARM6 - Risk Summary'!$B:$B,0)+2)</f>
        <v>0</v>
      </c>
      <c r="Z28" s="172">
        <f>INDEX('NARM6 - Risk Summary'!$V:$V,MATCH($C28,'NARM6 - Risk Summary'!$B:$B,0)+3)</f>
        <v>0</v>
      </c>
      <c r="AA28" s="172">
        <f>INDEX('NARM6 - Risk Summary'!$V:$V,MATCH($C28,'NARM6 - Risk Summary'!$B:$B,0)+4)</f>
        <v>0</v>
      </c>
      <c r="AB28" s="173">
        <f t="shared" si="10"/>
        <v>0</v>
      </c>
      <c r="AC28" s="174" t="str">
        <f t="shared" ca="1" si="11"/>
        <v/>
      </c>
      <c r="AD28" s="175">
        <f t="shared" ca="1" si="12"/>
        <v>0</v>
      </c>
      <c r="AE28" s="170">
        <f t="shared" si="0"/>
        <v>0</v>
      </c>
      <c r="AF28" s="171">
        <f t="shared" si="1"/>
        <v>0</v>
      </c>
      <c r="AG28" s="171">
        <f t="shared" si="2"/>
        <v>0</v>
      </c>
      <c r="AH28" s="171">
        <f t="shared" si="3"/>
        <v>0</v>
      </c>
      <c r="AI28" s="176">
        <f t="shared" si="4"/>
        <v>0</v>
      </c>
      <c r="AJ28" s="177">
        <f t="shared" si="5"/>
        <v>0</v>
      </c>
      <c r="AK28" s="174" t="str">
        <f t="shared" ref="AK28:AK44" ca="1" si="20">IF(IFERROR((AE28+AF28+AG28+AI28)/AD28,"")&lt;0,0,IFERROR((AE28+AF28+AG28+AI28)/AD28,""))</f>
        <v/>
      </c>
    </row>
    <row r="29" spans="2:47" ht="13.5" thickBot="1">
      <c r="B29" s="539">
        <v>61</v>
      </c>
      <c r="C29" s="178" t="s">
        <v>122</v>
      </c>
      <c r="D29" s="179" t="s">
        <v>215</v>
      </c>
      <c r="E29" s="180" t="s">
        <v>210</v>
      </c>
      <c r="F29" s="181" t="str">
        <f ca="1">INDEX('NARM6 - Risk Summary'!$Q:$Q,MATCH($C29,'NARM6 - Risk Summary'!$B:$B,0)+5)</f>
        <v/>
      </c>
      <c r="G29" s="182">
        <f>INDEX('NARM6 - Risk Summary'!$T:$T,MATCH($C29,'NARM6 - Risk Summary'!$B:$B,0))</f>
        <v>0</v>
      </c>
      <c r="H29" s="183">
        <f>INDEX('NARM6 - Risk Summary'!$T:$T,MATCH($C29,'NARM6 - Risk Summary'!$B:$B,0)+1)</f>
        <v>0</v>
      </c>
      <c r="I29" s="183">
        <f>INDEX('NARM6 - Risk Summary'!$T:$T,MATCH($C29,'NARM6 - Risk Summary'!$B:$B,0)+2)</f>
        <v>0</v>
      </c>
      <c r="J29" s="184">
        <f>INDEX('NARM6 - Risk Summary'!$T:$T,MATCH($C29,'NARM6 - Risk Summary'!$B:$B,0)+3)</f>
        <v>0</v>
      </c>
      <c r="K29" s="184">
        <f>INDEX('NARM6 - Risk Summary'!$T:$T,MATCH($C29,'NARM6 - Risk Summary'!$B:$B,0)+4)</f>
        <v>0</v>
      </c>
      <c r="L29" s="185">
        <f t="shared" si="6"/>
        <v>0</v>
      </c>
      <c r="M29" s="186" t="str">
        <f t="shared" ca="1" si="7"/>
        <v/>
      </c>
      <c r="N29" s="181" t="str">
        <f ca="1">INDEX('NARM6 - Risk Summary'!$R:$R,MATCH($C29,'NARM6 - Risk Summary'!$B:$B,0)+5)</f>
        <v/>
      </c>
      <c r="O29" s="182">
        <f>INDEX('NARM6 - Risk Summary'!$U:$U,MATCH($C29,'NARM6 - Risk Summary'!$B:$B,0))</f>
        <v>0</v>
      </c>
      <c r="P29" s="183">
        <f>INDEX('NARM6 - Risk Summary'!$U:$U,MATCH($C29,'NARM6 - Risk Summary'!$B:$B,0)+1)</f>
        <v>0</v>
      </c>
      <c r="Q29" s="183">
        <f>INDEX('NARM6 - Risk Summary'!$U:$U,MATCH($C29,'NARM6 - Risk Summary'!$B:$B,0)+2)</f>
        <v>0</v>
      </c>
      <c r="R29" s="184">
        <f>INDEX('NARM6 - Risk Summary'!$U:$U,MATCH($C29,'NARM6 - Risk Summary'!$B:$B,0)+3)</f>
        <v>0</v>
      </c>
      <c r="S29" s="184">
        <f>INDEX('NARM6 - Risk Summary'!$U:$U,MATCH($C29,'NARM6 - Risk Summary'!$B:$B,0)+4)</f>
        <v>0</v>
      </c>
      <c r="T29" s="185">
        <f t="shared" si="8"/>
        <v>0</v>
      </c>
      <c r="U29" s="186" t="str">
        <f t="shared" ca="1" si="9"/>
        <v/>
      </c>
      <c r="V29" s="181" t="str">
        <f ca="1">INDEX('NARM6 - Risk Summary'!$S:$S,MATCH($C29,'NARM6 - Risk Summary'!$B:$B,0)+5)</f>
        <v/>
      </c>
      <c r="W29" s="182">
        <f>INDEX('NARM6 - Risk Summary'!$V:$V,MATCH($C29,'NARM6 - Risk Summary'!$B:$B,0))</f>
        <v>0</v>
      </c>
      <c r="X29" s="183">
        <f>INDEX('NARM6 - Risk Summary'!$V:$V,MATCH($C29,'NARM6 - Risk Summary'!$B:$B,0)+1)</f>
        <v>0</v>
      </c>
      <c r="Y29" s="183">
        <f>INDEX('NARM6 - Risk Summary'!$V:$V,MATCH($C29,'NARM6 - Risk Summary'!$B:$B,0)+2)</f>
        <v>0</v>
      </c>
      <c r="Z29" s="184">
        <f>INDEX('NARM6 - Risk Summary'!$V:$V,MATCH($C29,'NARM6 - Risk Summary'!$B:$B,0)+3)</f>
        <v>0</v>
      </c>
      <c r="AA29" s="184">
        <f>INDEX('NARM6 - Risk Summary'!$V:$V,MATCH($C29,'NARM6 - Risk Summary'!$B:$B,0)+4)</f>
        <v>0</v>
      </c>
      <c r="AB29" s="185">
        <f t="shared" si="10"/>
        <v>0</v>
      </c>
      <c r="AC29" s="186" t="str">
        <f t="shared" ca="1" si="11"/>
        <v/>
      </c>
      <c r="AD29" s="187">
        <f t="shared" ca="1" si="12"/>
        <v>0</v>
      </c>
      <c r="AE29" s="182">
        <f t="shared" si="0"/>
        <v>0</v>
      </c>
      <c r="AF29" s="183">
        <f t="shared" si="1"/>
        <v>0</v>
      </c>
      <c r="AG29" s="183">
        <f t="shared" si="2"/>
        <v>0</v>
      </c>
      <c r="AH29" s="183">
        <f t="shared" si="3"/>
        <v>0</v>
      </c>
      <c r="AI29" s="188">
        <f t="shared" si="4"/>
        <v>0</v>
      </c>
      <c r="AJ29" s="189">
        <f t="shared" si="5"/>
        <v>0</v>
      </c>
      <c r="AK29" s="186" t="str">
        <f t="shared" ca="1" si="20"/>
        <v/>
      </c>
    </row>
    <row r="30" spans="2:47" ht="13.5" thickTop="1">
      <c r="B30" s="539">
        <v>8</v>
      </c>
      <c r="C30" s="153" t="s">
        <v>69</v>
      </c>
      <c r="D30" s="154" t="s">
        <v>216</v>
      </c>
      <c r="E30" s="155" t="s">
        <v>207</v>
      </c>
      <c r="F30" s="156" t="str">
        <f ca="1">INDEX('NARM6 - Risk Summary'!$Q:$Q,MATCH($C30,'NARM6 - Risk Summary'!$B:$B,0)+5)</f>
        <v/>
      </c>
      <c r="G30" s="157">
        <f>INDEX('NARM6 - Risk Summary'!$T:$T,MATCH($C30,'NARM6 - Risk Summary'!$B:$B,0))</f>
        <v>0</v>
      </c>
      <c r="H30" s="158">
        <f>INDEX('NARM6 - Risk Summary'!$T:$T,MATCH($C30,'NARM6 - Risk Summary'!$B:$B,0)+1)</f>
        <v>0</v>
      </c>
      <c r="I30" s="158">
        <f>INDEX('NARM6 - Risk Summary'!$T:$T,MATCH($C30,'NARM6 - Risk Summary'!$B:$B,0)+2)</f>
        <v>0</v>
      </c>
      <c r="J30" s="159">
        <f>INDEX('NARM6 - Risk Summary'!$T:$T,MATCH($C30,'NARM6 - Risk Summary'!$B:$B,0)+3)</f>
        <v>0</v>
      </c>
      <c r="K30" s="159">
        <f>INDEX('NARM6 - Risk Summary'!$T:$T,MATCH($C30,'NARM6 - Risk Summary'!$B:$B,0)+4)</f>
        <v>0</v>
      </c>
      <c r="L30" s="160">
        <f t="shared" si="6"/>
        <v>0</v>
      </c>
      <c r="M30" s="161" t="str">
        <f t="shared" ca="1" si="7"/>
        <v/>
      </c>
      <c r="N30" s="156" t="str">
        <f ca="1">INDEX('NARM6 - Risk Summary'!$R:$R,MATCH($C30,'NARM6 - Risk Summary'!$B:$B,0)+5)</f>
        <v/>
      </c>
      <c r="O30" s="157">
        <f>INDEX('NARM6 - Risk Summary'!$U:$U,MATCH($C30,'NARM6 - Risk Summary'!$B:$B,0))</f>
        <v>0</v>
      </c>
      <c r="P30" s="158">
        <f>INDEX('NARM6 - Risk Summary'!$U:$U,MATCH($C30,'NARM6 - Risk Summary'!$B:$B,0)+1)</f>
        <v>0</v>
      </c>
      <c r="Q30" s="158">
        <f>INDEX('NARM6 - Risk Summary'!$U:$U,MATCH($C30,'NARM6 - Risk Summary'!$B:$B,0)+2)</f>
        <v>0</v>
      </c>
      <c r="R30" s="159">
        <f>INDEX('NARM6 - Risk Summary'!$U:$U,MATCH($C30,'NARM6 - Risk Summary'!$B:$B,0)+3)</f>
        <v>0</v>
      </c>
      <c r="S30" s="159">
        <f>INDEX('NARM6 - Risk Summary'!$U:$U,MATCH($C30,'NARM6 - Risk Summary'!$B:$B,0)+4)</f>
        <v>0</v>
      </c>
      <c r="T30" s="160">
        <f t="shared" si="8"/>
        <v>0</v>
      </c>
      <c r="U30" s="161" t="str">
        <f t="shared" ca="1" si="9"/>
        <v/>
      </c>
      <c r="V30" s="156" t="str">
        <f ca="1">INDEX('NARM6 - Risk Summary'!$S:$S,MATCH($C30,'NARM6 - Risk Summary'!$B:$B,0)+5)</f>
        <v/>
      </c>
      <c r="W30" s="157">
        <f>INDEX('NARM6 - Risk Summary'!$V:$V,MATCH($C30,'NARM6 - Risk Summary'!$B:$B,0))</f>
        <v>0</v>
      </c>
      <c r="X30" s="158">
        <f>INDEX('NARM6 - Risk Summary'!$V:$V,MATCH($C30,'NARM6 - Risk Summary'!$B:$B,0)+1)</f>
        <v>0</v>
      </c>
      <c r="Y30" s="158">
        <f>INDEX('NARM6 - Risk Summary'!$V:$V,MATCH($C30,'NARM6 - Risk Summary'!$B:$B,0)+2)</f>
        <v>0</v>
      </c>
      <c r="Z30" s="159">
        <f>INDEX('NARM6 - Risk Summary'!$V:$V,MATCH($C30,'NARM6 - Risk Summary'!$B:$B,0)+3)</f>
        <v>0</v>
      </c>
      <c r="AA30" s="159">
        <f>INDEX('NARM6 - Risk Summary'!$V:$V,MATCH($C30,'NARM6 - Risk Summary'!$B:$B,0)+4)</f>
        <v>0</v>
      </c>
      <c r="AB30" s="160">
        <f t="shared" si="10"/>
        <v>0</v>
      </c>
      <c r="AC30" s="161" t="str">
        <f t="shared" ca="1" si="11"/>
        <v/>
      </c>
      <c r="AD30" s="162">
        <f t="shared" ca="1" si="12"/>
        <v>0</v>
      </c>
      <c r="AE30" s="157">
        <f t="shared" si="0"/>
        <v>0</v>
      </c>
      <c r="AF30" s="158">
        <f t="shared" si="1"/>
        <v>0</v>
      </c>
      <c r="AG30" s="158">
        <f t="shared" si="2"/>
        <v>0</v>
      </c>
      <c r="AH30" s="158">
        <f t="shared" si="3"/>
        <v>0</v>
      </c>
      <c r="AI30" s="190">
        <f t="shared" si="4"/>
        <v>0</v>
      </c>
      <c r="AJ30" s="165">
        <f t="shared" si="5"/>
        <v>0</v>
      </c>
      <c r="AK30" s="161" t="str">
        <f t="shared" ca="1" si="20"/>
        <v/>
      </c>
    </row>
    <row r="31" spans="2:47">
      <c r="B31" s="539">
        <v>2</v>
      </c>
      <c r="C31" s="166" t="s">
        <v>63</v>
      </c>
      <c r="D31" s="167" t="s">
        <v>216</v>
      </c>
      <c r="E31" s="168" t="s">
        <v>207</v>
      </c>
      <c r="F31" s="169" t="str">
        <f ca="1">INDEX('NARM6 - Risk Summary'!$Q:$Q,MATCH($C31,'NARM6 - Risk Summary'!$B:$B,0)+5)</f>
        <v/>
      </c>
      <c r="G31" s="170">
        <f>INDEX('NARM6 - Risk Summary'!$T:$T,MATCH($C31,'NARM6 - Risk Summary'!$B:$B,0))</f>
        <v>0</v>
      </c>
      <c r="H31" s="171">
        <f>INDEX('NARM6 - Risk Summary'!$T:$T,MATCH($C31,'NARM6 - Risk Summary'!$B:$B,0)+1)</f>
        <v>0</v>
      </c>
      <c r="I31" s="171">
        <f>INDEX('NARM6 - Risk Summary'!$T:$T,MATCH($C31,'NARM6 - Risk Summary'!$B:$B,0)+2)</f>
        <v>0</v>
      </c>
      <c r="J31" s="172">
        <f>INDEX('NARM6 - Risk Summary'!$T:$T,MATCH($C31,'NARM6 - Risk Summary'!$B:$B,0)+3)</f>
        <v>0</v>
      </c>
      <c r="K31" s="172">
        <f>INDEX('NARM6 - Risk Summary'!$T:$T,MATCH($C31,'NARM6 - Risk Summary'!$B:$B,0)+4)</f>
        <v>0</v>
      </c>
      <c r="L31" s="173">
        <f t="shared" si="6"/>
        <v>0</v>
      </c>
      <c r="M31" s="174" t="str">
        <f t="shared" ca="1" si="7"/>
        <v/>
      </c>
      <c r="N31" s="169" t="str">
        <f ca="1">INDEX('NARM6 - Risk Summary'!$R:$R,MATCH($C31,'NARM6 - Risk Summary'!$B:$B,0)+5)</f>
        <v/>
      </c>
      <c r="O31" s="170">
        <f>INDEX('NARM6 - Risk Summary'!$U:$U,MATCH($C31,'NARM6 - Risk Summary'!$B:$B,0))</f>
        <v>0</v>
      </c>
      <c r="P31" s="171">
        <f>INDEX('NARM6 - Risk Summary'!$U:$U,MATCH($C31,'NARM6 - Risk Summary'!$B:$B,0)+1)</f>
        <v>0</v>
      </c>
      <c r="Q31" s="171">
        <f>INDEX('NARM6 - Risk Summary'!$U:$U,MATCH($C31,'NARM6 - Risk Summary'!$B:$B,0)+2)</f>
        <v>0</v>
      </c>
      <c r="R31" s="172">
        <f>INDEX('NARM6 - Risk Summary'!$U:$U,MATCH($C31,'NARM6 - Risk Summary'!$B:$B,0)+3)</f>
        <v>0</v>
      </c>
      <c r="S31" s="172">
        <f>INDEX('NARM6 - Risk Summary'!$U:$U,MATCH($C31,'NARM6 - Risk Summary'!$B:$B,0)+4)</f>
        <v>0</v>
      </c>
      <c r="T31" s="173">
        <f t="shared" si="8"/>
        <v>0</v>
      </c>
      <c r="U31" s="174" t="str">
        <f t="shared" ca="1" si="9"/>
        <v/>
      </c>
      <c r="V31" s="169" t="str">
        <f ca="1">INDEX('NARM6 - Risk Summary'!$S:$S,MATCH($C31,'NARM6 - Risk Summary'!$B:$B,0)+5)</f>
        <v/>
      </c>
      <c r="W31" s="170">
        <f>INDEX('NARM6 - Risk Summary'!$V:$V,MATCH($C31,'NARM6 - Risk Summary'!$B:$B,0))</f>
        <v>0</v>
      </c>
      <c r="X31" s="171">
        <f>INDEX('NARM6 - Risk Summary'!$V:$V,MATCH($C31,'NARM6 - Risk Summary'!$B:$B,0)+1)</f>
        <v>0</v>
      </c>
      <c r="Y31" s="171">
        <f>INDEX('NARM6 - Risk Summary'!$V:$V,MATCH($C31,'NARM6 - Risk Summary'!$B:$B,0)+2)</f>
        <v>0</v>
      </c>
      <c r="Z31" s="172">
        <f>INDEX('NARM6 - Risk Summary'!$V:$V,MATCH($C31,'NARM6 - Risk Summary'!$B:$B,0)+3)</f>
        <v>0</v>
      </c>
      <c r="AA31" s="172">
        <f>INDEX('NARM6 - Risk Summary'!$V:$V,MATCH($C31,'NARM6 - Risk Summary'!$B:$B,0)+4)</f>
        <v>0</v>
      </c>
      <c r="AB31" s="173">
        <f t="shared" si="10"/>
        <v>0</v>
      </c>
      <c r="AC31" s="174" t="str">
        <f t="shared" ca="1" si="11"/>
        <v/>
      </c>
      <c r="AD31" s="175">
        <f t="shared" ca="1" si="12"/>
        <v>0</v>
      </c>
      <c r="AE31" s="170">
        <f t="shared" si="0"/>
        <v>0</v>
      </c>
      <c r="AF31" s="171">
        <f t="shared" si="1"/>
        <v>0</v>
      </c>
      <c r="AG31" s="171">
        <f t="shared" si="2"/>
        <v>0</v>
      </c>
      <c r="AH31" s="171">
        <f t="shared" si="3"/>
        <v>0</v>
      </c>
      <c r="AI31" s="176">
        <f t="shared" si="4"/>
        <v>0</v>
      </c>
      <c r="AJ31" s="177">
        <f t="shared" si="5"/>
        <v>0</v>
      </c>
      <c r="AK31" s="174" t="str">
        <f t="shared" ca="1" si="20"/>
        <v/>
      </c>
    </row>
    <row r="32" spans="2:47">
      <c r="B32" s="539">
        <v>3</v>
      </c>
      <c r="C32" s="166" t="s">
        <v>64</v>
      </c>
      <c r="D32" s="167" t="s">
        <v>216</v>
      </c>
      <c r="E32" s="168" t="s">
        <v>207</v>
      </c>
      <c r="F32" s="169" t="str">
        <f ca="1">INDEX('NARM6 - Risk Summary'!$Q:$Q,MATCH($C32,'NARM6 - Risk Summary'!$B:$B,0)+5)</f>
        <v/>
      </c>
      <c r="G32" s="170">
        <f>INDEX('NARM6 - Risk Summary'!$T:$T,MATCH($C32,'NARM6 - Risk Summary'!$B:$B,0))</f>
        <v>0</v>
      </c>
      <c r="H32" s="171">
        <f>INDEX('NARM6 - Risk Summary'!$T:$T,MATCH($C32,'NARM6 - Risk Summary'!$B:$B,0)+1)</f>
        <v>0</v>
      </c>
      <c r="I32" s="171">
        <f>INDEX('NARM6 - Risk Summary'!$T:$T,MATCH($C32,'NARM6 - Risk Summary'!$B:$B,0)+2)</f>
        <v>0</v>
      </c>
      <c r="J32" s="172">
        <f>INDEX('NARM6 - Risk Summary'!$T:$T,MATCH($C32,'NARM6 - Risk Summary'!$B:$B,0)+3)</f>
        <v>0</v>
      </c>
      <c r="K32" s="172">
        <f>INDEX('NARM6 - Risk Summary'!$T:$T,MATCH($C32,'NARM6 - Risk Summary'!$B:$B,0)+4)</f>
        <v>0</v>
      </c>
      <c r="L32" s="173">
        <f t="shared" si="6"/>
        <v>0</v>
      </c>
      <c r="M32" s="174" t="str">
        <f t="shared" ca="1" si="7"/>
        <v/>
      </c>
      <c r="N32" s="169" t="str">
        <f ca="1">INDEX('NARM6 - Risk Summary'!$R:$R,MATCH($C32,'NARM6 - Risk Summary'!$B:$B,0)+5)</f>
        <v/>
      </c>
      <c r="O32" s="170">
        <f>INDEX('NARM6 - Risk Summary'!$U:$U,MATCH($C32,'NARM6 - Risk Summary'!$B:$B,0))</f>
        <v>0</v>
      </c>
      <c r="P32" s="171">
        <f>INDEX('NARM6 - Risk Summary'!$U:$U,MATCH($C32,'NARM6 - Risk Summary'!$B:$B,0)+1)</f>
        <v>0</v>
      </c>
      <c r="Q32" s="171">
        <f>INDEX('NARM6 - Risk Summary'!$U:$U,MATCH($C32,'NARM6 - Risk Summary'!$B:$B,0)+2)</f>
        <v>0</v>
      </c>
      <c r="R32" s="172">
        <f>INDEX('NARM6 - Risk Summary'!$U:$U,MATCH($C32,'NARM6 - Risk Summary'!$B:$B,0)+3)</f>
        <v>0</v>
      </c>
      <c r="S32" s="172">
        <f>INDEX('NARM6 - Risk Summary'!$U:$U,MATCH($C32,'NARM6 - Risk Summary'!$B:$B,0)+4)</f>
        <v>0</v>
      </c>
      <c r="T32" s="173">
        <f t="shared" si="8"/>
        <v>0</v>
      </c>
      <c r="U32" s="174" t="str">
        <f t="shared" ca="1" si="9"/>
        <v/>
      </c>
      <c r="V32" s="169" t="str">
        <f ca="1">INDEX('NARM6 - Risk Summary'!$S:$S,MATCH($C32,'NARM6 - Risk Summary'!$B:$B,0)+5)</f>
        <v/>
      </c>
      <c r="W32" s="170">
        <f>INDEX('NARM6 - Risk Summary'!$V:$V,MATCH($C32,'NARM6 - Risk Summary'!$B:$B,0))</f>
        <v>0</v>
      </c>
      <c r="X32" s="171">
        <f>INDEX('NARM6 - Risk Summary'!$V:$V,MATCH($C32,'NARM6 - Risk Summary'!$B:$B,0)+1)</f>
        <v>0</v>
      </c>
      <c r="Y32" s="171">
        <f>INDEX('NARM6 - Risk Summary'!$V:$V,MATCH($C32,'NARM6 - Risk Summary'!$B:$B,0)+2)</f>
        <v>0</v>
      </c>
      <c r="Z32" s="172">
        <f>INDEX('NARM6 - Risk Summary'!$V:$V,MATCH($C32,'NARM6 - Risk Summary'!$B:$B,0)+3)</f>
        <v>0</v>
      </c>
      <c r="AA32" s="172">
        <f>INDEX('NARM6 - Risk Summary'!$V:$V,MATCH($C32,'NARM6 - Risk Summary'!$B:$B,0)+4)</f>
        <v>0</v>
      </c>
      <c r="AB32" s="173">
        <f t="shared" si="10"/>
        <v>0</v>
      </c>
      <c r="AC32" s="174" t="str">
        <f t="shared" ca="1" si="11"/>
        <v/>
      </c>
      <c r="AD32" s="175">
        <f t="shared" ca="1" si="12"/>
        <v>0</v>
      </c>
      <c r="AE32" s="170">
        <f t="shared" si="0"/>
        <v>0</v>
      </c>
      <c r="AF32" s="171">
        <f t="shared" si="1"/>
        <v>0</v>
      </c>
      <c r="AG32" s="171">
        <f t="shared" si="2"/>
        <v>0</v>
      </c>
      <c r="AH32" s="171">
        <f t="shared" si="3"/>
        <v>0</v>
      </c>
      <c r="AI32" s="176">
        <f t="shared" si="4"/>
        <v>0</v>
      </c>
      <c r="AJ32" s="177">
        <f t="shared" si="5"/>
        <v>0</v>
      </c>
      <c r="AK32" s="174" t="str">
        <f t="shared" ca="1" si="20"/>
        <v/>
      </c>
    </row>
    <row r="33" spans="2:37">
      <c r="B33" s="539">
        <v>4</v>
      </c>
      <c r="C33" s="166" t="s">
        <v>65</v>
      </c>
      <c r="D33" s="167" t="s">
        <v>216</v>
      </c>
      <c r="E33" s="168" t="s">
        <v>207</v>
      </c>
      <c r="F33" s="169" t="str">
        <f ca="1">INDEX('NARM6 - Risk Summary'!$Q:$Q,MATCH($C33,'NARM6 - Risk Summary'!$B:$B,0)+5)</f>
        <v/>
      </c>
      <c r="G33" s="170">
        <f>INDEX('NARM6 - Risk Summary'!$T:$T,MATCH($C33,'NARM6 - Risk Summary'!$B:$B,0))</f>
        <v>0</v>
      </c>
      <c r="H33" s="171">
        <f>INDEX('NARM6 - Risk Summary'!$T:$T,MATCH($C33,'NARM6 - Risk Summary'!$B:$B,0)+1)</f>
        <v>0</v>
      </c>
      <c r="I33" s="171">
        <f>INDEX('NARM6 - Risk Summary'!$T:$T,MATCH($C33,'NARM6 - Risk Summary'!$B:$B,0)+2)</f>
        <v>0</v>
      </c>
      <c r="J33" s="172">
        <f>INDEX('NARM6 - Risk Summary'!$T:$T,MATCH($C33,'NARM6 - Risk Summary'!$B:$B,0)+3)</f>
        <v>0</v>
      </c>
      <c r="K33" s="172">
        <f>INDEX('NARM6 - Risk Summary'!$T:$T,MATCH($C33,'NARM6 - Risk Summary'!$B:$B,0)+4)</f>
        <v>0</v>
      </c>
      <c r="L33" s="173">
        <f t="shared" si="6"/>
        <v>0</v>
      </c>
      <c r="M33" s="174" t="str">
        <f t="shared" ca="1" si="7"/>
        <v/>
      </c>
      <c r="N33" s="169" t="str">
        <f ca="1">INDEX('NARM6 - Risk Summary'!$R:$R,MATCH($C33,'NARM6 - Risk Summary'!$B:$B,0)+5)</f>
        <v/>
      </c>
      <c r="O33" s="170">
        <f>INDEX('NARM6 - Risk Summary'!$U:$U,MATCH($C33,'NARM6 - Risk Summary'!$B:$B,0))</f>
        <v>0</v>
      </c>
      <c r="P33" s="171">
        <f>INDEX('NARM6 - Risk Summary'!$U:$U,MATCH($C33,'NARM6 - Risk Summary'!$B:$B,0)+1)</f>
        <v>0</v>
      </c>
      <c r="Q33" s="171">
        <f>INDEX('NARM6 - Risk Summary'!$U:$U,MATCH($C33,'NARM6 - Risk Summary'!$B:$B,0)+2)</f>
        <v>0</v>
      </c>
      <c r="R33" s="172">
        <f>INDEX('NARM6 - Risk Summary'!$U:$U,MATCH($C33,'NARM6 - Risk Summary'!$B:$B,0)+3)</f>
        <v>0</v>
      </c>
      <c r="S33" s="172">
        <f>INDEX('NARM6 - Risk Summary'!$U:$U,MATCH($C33,'NARM6 - Risk Summary'!$B:$B,0)+4)</f>
        <v>0</v>
      </c>
      <c r="T33" s="173">
        <f t="shared" si="8"/>
        <v>0</v>
      </c>
      <c r="U33" s="174" t="str">
        <f t="shared" ca="1" si="9"/>
        <v/>
      </c>
      <c r="V33" s="169" t="str">
        <f ca="1">INDEX('NARM6 - Risk Summary'!$S:$S,MATCH($C33,'NARM6 - Risk Summary'!$B:$B,0)+5)</f>
        <v/>
      </c>
      <c r="W33" s="170">
        <f>INDEX('NARM6 - Risk Summary'!$V:$V,MATCH($C33,'NARM6 - Risk Summary'!$B:$B,0))</f>
        <v>0</v>
      </c>
      <c r="X33" s="171">
        <f>INDEX('NARM6 - Risk Summary'!$V:$V,MATCH($C33,'NARM6 - Risk Summary'!$B:$B,0)+1)</f>
        <v>0</v>
      </c>
      <c r="Y33" s="171">
        <f>INDEX('NARM6 - Risk Summary'!$V:$V,MATCH($C33,'NARM6 - Risk Summary'!$B:$B,0)+2)</f>
        <v>0</v>
      </c>
      <c r="Z33" s="172">
        <f>INDEX('NARM6 - Risk Summary'!$V:$V,MATCH($C33,'NARM6 - Risk Summary'!$B:$B,0)+3)</f>
        <v>0</v>
      </c>
      <c r="AA33" s="172">
        <f>INDEX('NARM6 - Risk Summary'!$V:$V,MATCH($C33,'NARM6 - Risk Summary'!$B:$B,0)+4)</f>
        <v>0</v>
      </c>
      <c r="AB33" s="173">
        <f t="shared" si="10"/>
        <v>0</v>
      </c>
      <c r="AC33" s="174" t="str">
        <f t="shared" ca="1" si="11"/>
        <v/>
      </c>
      <c r="AD33" s="175">
        <f t="shared" ca="1" si="12"/>
        <v>0</v>
      </c>
      <c r="AE33" s="170">
        <f t="shared" si="0"/>
        <v>0</v>
      </c>
      <c r="AF33" s="171">
        <f t="shared" si="1"/>
        <v>0</v>
      </c>
      <c r="AG33" s="171">
        <f t="shared" si="2"/>
        <v>0</v>
      </c>
      <c r="AH33" s="171">
        <f t="shared" si="3"/>
        <v>0</v>
      </c>
      <c r="AI33" s="176">
        <f t="shared" si="4"/>
        <v>0</v>
      </c>
      <c r="AJ33" s="177">
        <f t="shared" si="5"/>
        <v>0</v>
      </c>
      <c r="AK33" s="174" t="str">
        <f t="shared" ca="1" si="20"/>
        <v/>
      </c>
    </row>
    <row r="34" spans="2:37">
      <c r="B34" s="539">
        <v>5</v>
      </c>
      <c r="C34" s="166" t="s">
        <v>173</v>
      </c>
      <c r="D34" s="167" t="s">
        <v>216</v>
      </c>
      <c r="E34" s="168" t="s">
        <v>207</v>
      </c>
      <c r="F34" s="169" t="str">
        <f ca="1">INDEX('NARM6 - Risk Summary'!$Q:$Q,MATCH($C34,'NARM6 - Risk Summary'!$B:$B,0)+5)</f>
        <v/>
      </c>
      <c r="G34" s="170">
        <f>INDEX('NARM6 - Risk Summary'!$T:$T,MATCH($C34,'NARM6 - Risk Summary'!$B:$B,0))</f>
        <v>0</v>
      </c>
      <c r="H34" s="171">
        <f>INDEX('NARM6 - Risk Summary'!$T:$T,MATCH($C34,'NARM6 - Risk Summary'!$B:$B,0)+1)</f>
        <v>0</v>
      </c>
      <c r="I34" s="171">
        <f>INDEX('NARM6 - Risk Summary'!$T:$T,MATCH($C34,'NARM6 - Risk Summary'!$B:$B,0)+2)</f>
        <v>0</v>
      </c>
      <c r="J34" s="172">
        <f>INDEX('NARM6 - Risk Summary'!$T:$T,MATCH($C34,'NARM6 - Risk Summary'!$B:$B,0)+3)</f>
        <v>0</v>
      </c>
      <c r="K34" s="172">
        <f>INDEX('NARM6 - Risk Summary'!$T:$T,MATCH($C34,'NARM6 - Risk Summary'!$B:$B,0)+4)</f>
        <v>0</v>
      </c>
      <c r="L34" s="173">
        <f t="shared" si="6"/>
        <v>0</v>
      </c>
      <c r="M34" s="174" t="str">
        <f t="shared" ca="1" si="7"/>
        <v/>
      </c>
      <c r="N34" s="169" t="str">
        <f ca="1">INDEX('NARM6 - Risk Summary'!$R:$R,MATCH($C34,'NARM6 - Risk Summary'!$B:$B,0)+5)</f>
        <v/>
      </c>
      <c r="O34" s="170">
        <f>INDEX('NARM6 - Risk Summary'!$U:$U,MATCH($C34,'NARM6 - Risk Summary'!$B:$B,0))</f>
        <v>0</v>
      </c>
      <c r="P34" s="171">
        <f>INDEX('NARM6 - Risk Summary'!$U:$U,MATCH($C34,'NARM6 - Risk Summary'!$B:$B,0)+1)</f>
        <v>0</v>
      </c>
      <c r="Q34" s="171">
        <f>INDEX('NARM6 - Risk Summary'!$U:$U,MATCH($C34,'NARM6 - Risk Summary'!$B:$B,0)+2)</f>
        <v>0</v>
      </c>
      <c r="R34" s="172">
        <f>INDEX('NARM6 - Risk Summary'!$U:$U,MATCH($C34,'NARM6 - Risk Summary'!$B:$B,0)+3)</f>
        <v>0</v>
      </c>
      <c r="S34" s="172">
        <f>INDEX('NARM6 - Risk Summary'!$U:$U,MATCH($C34,'NARM6 - Risk Summary'!$B:$B,0)+4)</f>
        <v>0</v>
      </c>
      <c r="T34" s="173">
        <f t="shared" si="8"/>
        <v>0</v>
      </c>
      <c r="U34" s="174" t="str">
        <f t="shared" ca="1" si="9"/>
        <v/>
      </c>
      <c r="V34" s="169" t="str">
        <f ca="1">INDEX('NARM6 - Risk Summary'!$S:$S,MATCH($C34,'NARM6 - Risk Summary'!$B:$B,0)+5)</f>
        <v/>
      </c>
      <c r="W34" s="170">
        <f>INDEX('NARM6 - Risk Summary'!$V:$V,MATCH($C34,'NARM6 - Risk Summary'!$B:$B,0))</f>
        <v>0</v>
      </c>
      <c r="X34" s="171">
        <f>INDEX('NARM6 - Risk Summary'!$V:$V,MATCH($C34,'NARM6 - Risk Summary'!$B:$B,0)+1)</f>
        <v>0</v>
      </c>
      <c r="Y34" s="171">
        <f>INDEX('NARM6 - Risk Summary'!$V:$V,MATCH($C34,'NARM6 - Risk Summary'!$B:$B,0)+2)</f>
        <v>0</v>
      </c>
      <c r="Z34" s="172">
        <f>INDEX('NARM6 - Risk Summary'!$V:$V,MATCH($C34,'NARM6 - Risk Summary'!$B:$B,0)+3)</f>
        <v>0</v>
      </c>
      <c r="AA34" s="172">
        <f>INDEX('NARM6 - Risk Summary'!$V:$V,MATCH($C34,'NARM6 - Risk Summary'!$B:$B,0)+4)</f>
        <v>0</v>
      </c>
      <c r="AB34" s="173">
        <f t="shared" si="10"/>
        <v>0</v>
      </c>
      <c r="AC34" s="174" t="str">
        <f t="shared" ca="1" si="11"/>
        <v/>
      </c>
      <c r="AD34" s="175">
        <f t="shared" ca="1" si="12"/>
        <v>0</v>
      </c>
      <c r="AE34" s="170">
        <f t="shared" si="0"/>
        <v>0</v>
      </c>
      <c r="AF34" s="171">
        <f t="shared" si="1"/>
        <v>0</v>
      </c>
      <c r="AG34" s="171">
        <f t="shared" si="2"/>
        <v>0</v>
      </c>
      <c r="AH34" s="171">
        <f t="shared" si="3"/>
        <v>0</v>
      </c>
      <c r="AI34" s="176">
        <f t="shared" si="4"/>
        <v>0</v>
      </c>
      <c r="AJ34" s="177">
        <f t="shared" si="5"/>
        <v>0</v>
      </c>
      <c r="AK34" s="174" t="str">
        <f t="shared" ca="1" si="20"/>
        <v/>
      </c>
    </row>
    <row r="35" spans="2:37">
      <c r="B35" s="539">
        <v>6</v>
      </c>
      <c r="C35" s="166" t="s">
        <v>67</v>
      </c>
      <c r="D35" s="167" t="s">
        <v>216</v>
      </c>
      <c r="E35" s="168" t="s">
        <v>207</v>
      </c>
      <c r="F35" s="169" t="str">
        <f ca="1">INDEX('NARM6 - Risk Summary'!$Q:$Q,MATCH($C35,'NARM6 - Risk Summary'!$B:$B,0)+5)</f>
        <v/>
      </c>
      <c r="G35" s="170">
        <f>INDEX('NARM6 - Risk Summary'!$T:$T,MATCH($C35,'NARM6 - Risk Summary'!$B:$B,0))</f>
        <v>0</v>
      </c>
      <c r="H35" s="171">
        <f>INDEX('NARM6 - Risk Summary'!$T:$T,MATCH($C35,'NARM6 - Risk Summary'!$B:$B,0)+1)</f>
        <v>0</v>
      </c>
      <c r="I35" s="171">
        <f>INDEX('NARM6 - Risk Summary'!$T:$T,MATCH($C35,'NARM6 - Risk Summary'!$B:$B,0)+2)</f>
        <v>0</v>
      </c>
      <c r="J35" s="172">
        <f>INDEX('NARM6 - Risk Summary'!$T:$T,MATCH($C35,'NARM6 - Risk Summary'!$B:$B,0)+3)</f>
        <v>0</v>
      </c>
      <c r="K35" s="172">
        <f>INDEX('NARM6 - Risk Summary'!$T:$T,MATCH($C35,'NARM6 - Risk Summary'!$B:$B,0)+4)</f>
        <v>0</v>
      </c>
      <c r="L35" s="173">
        <f t="shared" si="6"/>
        <v>0</v>
      </c>
      <c r="M35" s="174" t="str">
        <f t="shared" ca="1" si="7"/>
        <v/>
      </c>
      <c r="N35" s="169" t="str">
        <f ca="1">INDEX('NARM6 - Risk Summary'!$R:$R,MATCH($C35,'NARM6 - Risk Summary'!$B:$B,0)+5)</f>
        <v/>
      </c>
      <c r="O35" s="170">
        <f>INDEX('NARM6 - Risk Summary'!$U:$U,MATCH($C35,'NARM6 - Risk Summary'!$B:$B,0))</f>
        <v>0</v>
      </c>
      <c r="P35" s="171">
        <f>INDEX('NARM6 - Risk Summary'!$U:$U,MATCH($C35,'NARM6 - Risk Summary'!$B:$B,0)+1)</f>
        <v>0</v>
      </c>
      <c r="Q35" s="171">
        <f>INDEX('NARM6 - Risk Summary'!$U:$U,MATCH($C35,'NARM6 - Risk Summary'!$B:$B,0)+2)</f>
        <v>0</v>
      </c>
      <c r="R35" s="172">
        <f>INDEX('NARM6 - Risk Summary'!$U:$U,MATCH($C35,'NARM6 - Risk Summary'!$B:$B,0)+3)</f>
        <v>0</v>
      </c>
      <c r="S35" s="172">
        <f>INDEX('NARM6 - Risk Summary'!$U:$U,MATCH($C35,'NARM6 - Risk Summary'!$B:$B,0)+4)</f>
        <v>0</v>
      </c>
      <c r="T35" s="173">
        <f t="shared" si="8"/>
        <v>0</v>
      </c>
      <c r="U35" s="174" t="str">
        <f t="shared" ca="1" si="9"/>
        <v/>
      </c>
      <c r="V35" s="169" t="str">
        <f ca="1">INDEX('NARM6 - Risk Summary'!$S:$S,MATCH($C35,'NARM6 - Risk Summary'!$B:$B,0)+5)</f>
        <v/>
      </c>
      <c r="W35" s="170">
        <f>INDEX('NARM6 - Risk Summary'!$V:$V,MATCH($C35,'NARM6 - Risk Summary'!$B:$B,0))</f>
        <v>0</v>
      </c>
      <c r="X35" s="171">
        <f>INDEX('NARM6 - Risk Summary'!$V:$V,MATCH($C35,'NARM6 - Risk Summary'!$B:$B,0)+1)</f>
        <v>0</v>
      </c>
      <c r="Y35" s="171">
        <f>INDEX('NARM6 - Risk Summary'!$V:$V,MATCH($C35,'NARM6 - Risk Summary'!$B:$B,0)+2)</f>
        <v>0</v>
      </c>
      <c r="Z35" s="172">
        <f>INDEX('NARM6 - Risk Summary'!$V:$V,MATCH($C35,'NARM6 - Risk Summary'!$B:$B,0)+3)</f>
        <v>0</v>
      </c>
      <c r="AA35" s="172">
        <f>INDEX('NARM6 - Risk Summary'!$V:$V,MATCH($C35,'NARM6 - Risk Summary'!$B:$B,0)+4)</f>
        <v>0</v>
      </c>
      <c r="AB35" s="173">
        <f t="shared" si="10"/>
        <v>0</v>
      </c>
      <c r="AC35" s="174" t="str">
        <f t="shared" ca="1" si="11"/>
        <v/>
      </c>
      <c r="AD35" s="175">
        <f t="shared" ca="1" si="12"/>
        <v>0</v>
      </c>
      <c r="AE35" s="170">
        <f t="shared" si="0"/>
        <v>0</v>
      </c>
      <c r="AF35" s="171">
        <f t="shared" si="1"/>
        <v>0</v>
      </c>
      <c r="AG35" s="171">
        <f t="shared" si="2"/>
        <v>0</v>
      </c>
      <c r="AH35" s="171">
        <f t="shared" si="3"/>
        <v>0</v>
      </c>
      <c r="AI35" s="176">
        <f t="shared" si="4"/>
        <v>0</v>
      </c>
      <c r="AJ35" s="177">
        <f t="shared" si="5"/>
        <v>0</v>
      </c>
      <c r="AK35" s="174" t="str">
        <f t="shared" ca="1" si="20"/>
        <v/>
      </c>
    </row>
    <row r="36" spans="2:37">
      <c r="B36" s="539">
        <v>7</v>
      </c>
      <c r="C36" s="166" t="s">
        <v>68</v>
      </c>
      <c r="D36" s="167" t="s">
        <v>216</v>
      </c>
      <c r="E36" s="168" t="s">
        <v>207</v>
      </c>
      <c r="F36" s="169" t="str">
        <f ca="1">INDEX('NARM6 - Risk Summary'!$Q:$Q,MATCH($C36,'NARM6 - Risk Summary'!$B:$B,0)+5)</f>
        <v/>
      </c>
      <c r="G36" s="170">
        <f>INDEX('NARM6 - Risk Summary'!$T:$T,MATCH($C36,'NARM6 - Risk Summary'!$B:$B,0))</f>
        <v>0</v>
      </c>
      <c r="H36" s="171">
        <f>INDEX('NARM6 - Risk Summary'!$T:$T,MATCH($C36,'NARM6 - Risk Summary'!$B:$B,0)+1)</f>
        <v>0</v>
      </c>
      <c r="I36" s="171">
        <f>INDEX('NARM6 - Risk Summary'!$T:$T,MATCH($C36,'NARM6 - Risk Summary'!$B:$B,0)+2)</f>
        <v>0</v>
      </c>
      <c r="J36" s="172">
        <f>INDEX('NARM6 - Risk Summary'!$T:$T,MATCH($C36,'NARM6 - Risk Summary'!$B:$B,0)+3)</f>
        <v>0</v>
      </c>
      <c r="K36" s="172">
        <f>INDEX('NARM6 - Risk Summary'!$T:$T,MATCH($C36,'NARM6 - Risk Summary'!$B:$B,0)+4)</f>
        <v>0</v>
      </c>
      <c r="L36" s="173">
        <f t="shared" si="6"/>
        <v>0</v>
      </c>
      <c r="M36" s="174" t="str">
        <f t="shared" ca="1" si="7"/>
        <v/>
      </c>
      <c r="N36" s="169" t="str">
        <f ca="1">INDEX('NARM6 - Risk Summary'!$R:$R,MATCH($C36,'NARM6 - Risk Summary'!$B:$B,0)+5)</f>
        <v/>
      </c>
      <c r="O36" s="170">
        <f>INDEX('NARM6 - Risk Summary'!$U:$U,MATCH($C36,'NARM6 - Risk Summary'!$B:$B,0))</f>
        <v>0</v>
      </c>
      <c r="P36" s="171">
        <f>INDEX('NARM6 - Risk Summary'!$U:$U,MATCH($C36,'NARM6 - Risk Summary'!$B:$B,0)+1)</f>
        <v>0</v>
      </c>
      <c r="Q36" s="171">
        <f>INDEX('NARM6 - Risk Summary'!$U:$U,MATCH($C36,'NARM6 - Risk Summary'!$B:$B,0)+2)</f>
        <v>0</v>
      </c>
      <c r="R36" s="172">
        <f>INDEX('NARM6 - Risk Summary'!$U:$U,MATCH($C36,'NARM6 - Risk Summary'!$B:$B,0)+3)</f>
        <v>0</v>
      </c>
      <c r="S36" s="172">
        <f>INDEX('NARM6 - Risk Summary'!$U:$U,MATCH($C36,'NARM6 - Risk Summary'!$B:$B,0)+4)</f>
        <v>0</v>
      </c>
      <c r="T36" s="173">
        <f t="shared" si="8"/>
        <v>0</v>
      </c>
      <c r="U36" s="174" t="str">
        <f t="shared" ca="1" si="9"/>
        <v/>
      </c>
      <c r="V36" s="169" t="str">
        <f ca="1">INDEX('NARM6 - Risk Summary'!$S:$S,MATCH($C36,'NARM6 - Risk Summary'!$B:$B,0)+5)</f>
        <v/>
      </c>
      <c r="W36" s="170">
        <f>INDEX('NARM6 - Risk Summary'!$V:$V,MATCH($C36,'NARM6 - Risk Summary'!$B:$B,0))</f>
        <v>0</v>
      </c>
      <c r="X36" s="171">
        <f>INDEX('NARM6 - Risk Summary'!$V:$V,MATCH($C36,'NARM6 - Risk Summary'!$B:$B,0)+1)</f>
        <v>0</v>
      </c>
      <c r="Y36" s="171">
        <f>INDEX('NARM6 - Risk Summary'!$V:$V,MATCH($C36,'NARM6 - Risk Summary'!$B:$B,0)+2)</f>
        <v>0</v>
      </c>
      <c r="Z36" s="172">
        <f>INDEX('NARM6 - Risk Summary'!$V:$V,MATCH($C36,'NARM6 - Risk Summary'!$B:$B,0)+3)</f>
        <v>0</v>
      </c>
      <c r="AA36" s="172">
        <f>INDEX('NARM6 - Risk Summary'!$V:$V,MATCH($C36,'NARM6 - Risk Summary'!$B:$B,0)+4)</f>
        <v>0</v>
      </c>
      <c r="AB36" s="173">
        <f t="shared" si="10"/>
        <v>0</v>
      </c>
      <c r="AC36" s="174" t="str">
        <f t="shared" ca="1" si="11"/>
        <v/>
      </c>
      <c r="AD36" s="175">
        <f t="shared" ca="1" si="12"/>
        <v>0</v>
      </c>
      <c r="AE36" s="170">
        <f t="shared" si="0"/>
        <v>0</v>
      </c>
      <c r="AF36" s="171">
        <f t="shared" si="1"/>
        <v>0</v>
      </c>
      <c r="AG36" s="171">
        <f t="shared" si="2"/>
        <v>0</v>
      </c>
      <c r="AH36" s="171">
        <f t="shared" si="3"/>
        <v>0</v>
      </c>
      <c r="AI36" s="176">
        <f t="shared" si="4"/>
        <v>0</v>
      </c>
      <c r="AJ36" s="177">
        <f t="shared" si="5"/>
        <v>0</v>
      </c>
      <c r="AK36" s="174" t="str">
        <f t="shared" ca="1" si="20"/>
        <v/>
      </c>
    </row>
    <row r="37" spans="2:37">
      <c r="B37" s="539">
        <v>13</v>
      </c>
      <c r="C37" s="166" t="s">
        <v>74</v>
      </c>
      <c r="D37" s="167" t="s">
        <v>216</v>
      </c>
      <c r="E37" s="168" t="s">
        <v>208</v>
      </c>
      <c r="F37" s="169" t="str">
        <f ca="1">INDEX('NARM6 - Risk Summary'!$Q:$Q,MATCH($C37,'NARM6 - Risk Summary'!$B:$B,0)+5)</f>
        <v/>
      </c>
      <c r="G37" s="170">
        <f>INDEX('NARM6 - Risk Summary'!$T:$T,MATCH($C37,'NARM6 - Risk Summary'!$B:$B,0))</f>
        <v>0</v>
      </c>
      <c r="H37" s="171">
        <f>INDEX('NARM6 - Risk Summary'!$T:$T,MATCH($C37,'NARM6 - Risk Summary'!$B:$B,0)+1)</f>
        <v>0</v>
      </c>
      <c r="I37" s="171">
        <f>INDEX('NARM6 - Risk Summary'!$T:$T,MATCH($C37,'NARM6 - Risk Summary'!$B:$B,0)+2)</f>
        <v>0</v>
      </c>
      <c r="J37" s="172">
        <f>INDEX('NARM6 - Risk Summary'!$T:$T,MATCH($C37,'NARM6 - Risk Summary'!$B:$B,0)+3)</f>
        <v>0</v>
      </c>
      <c r="K37" s="172">
        <f>INDEX('NARM6 - Risk Summary'!$T:$T,MATCH($C37,'NARM6 - Risk Summary'!$B:$B,0)+4)</f>
        <v>0</v>
      </c>
      <c r="L37" s="173">
        <f t="shared" si="6"/>
        <v>0</v>
      </c>
      <c r="M37" s="174" t="str">
        <f t="shared" ca="1" si="7"/>
        <v/>
      </c>
      <c r="N37" s="169" t="str">
        <f ca="1">INDEX('NARM6 - Risk Summary'!$R:$R,MATCH($C37,'NARM6 - Risk Summary'!$B:$B,0)+5)</f>
        <v/>
      </c>
      <c r="O37" s="170">
        <f>INDEX('NARM6 - Risk Summary'!$U:$U,MATCH($C37,'NARM6 - Risk Summary'!$B:$B,0))</f>
        <v>0</v>
      </c>
      <c r="P37" s="171">
        <f>INDEX('NARM6 - Risk Summary'!$U:$U,MATCH($C37,'NARM6 - Risk Summary'!$B:$B,0)+1)</f>
        <v>0</v>
      </c>
      <c r="Q37" s="171">
        <f>INDEX('NARM6 - Risk Summary'!$U:$U,MATCH($C37,'NARM6 - Risk Summary'!$B:$B,0)+2)</f>
        <v>0</v>
      </c>
      <c r="R37" s="172">
        <f>INDEX('NARM6 - Risk Summary'!$U:$U,MATCH($C37,'NARM6 - Risk Summary'!$B:$B,0)+3)</f>
        <v>0</v>
      </c>
      <c r="S37" s="172">
        <f>INDEX('NARM6 - Risk Summary'!$U:$U,MATCH($C37,'NARM6 - Risk Summary'!$B:$B,0)+4)</f>
        <v>0</v>
      </c>
      <c r="T37" s="173">
        <f t="shared" si="8"/>
        <v>0</v>
      </c>
      <c r="U37" s="174" t="str">
        <f t="shared" ca="1" si="9"/>
        <v/>
      </c>
      <c r="V37" s="169" t="str">
        <f ca="1">INDEX('NARM6 - Risk Summary'!$S:$S,MATCH($C37,'NARM6 - Risk Summary'!$B:$B,0)+5)</f>
        <v/>
      </c>
      <c r="W37" s="170">
        <f>INDEX('NARM6 - Risk Summary'!$V:$V,MATCH($C37,'NARM6 - Risk Summary'!$B:$B,0))</f>
        <v>0</v>
      </c>
      <c r="X37" s="171">
        <f>INDEX('NARM6 - Risk Summary'!$V:$V,MATCH($C37,'NARM6 - Risk Summary'!$B:$B,0)+1)</f>
        <v>0</v>
      </c>
      <c r="Y37" s="171">
        <f>INDEX('NARM6 - Risk Summary'!$V:$V,MATCH($C37,'NARM6 - Risk Summary'!$B:$B,0)+2)</f>
        <v>0</v>
      </c>
      <c r="Z37" s="172">
        <f>INDEX('NARM6 - Risk Summary'!$V:$V,MATCH($C37,'NARM6 - Risk Summary'!$B:$B,0)+3)</f>
        <v>0</v>
      </c>
      <c r="AA37" s="172">
        <f>INDEX('NARM6 - Risk Summary'!$V:$V,MATCH($C37,'NARM6 - Risk Summary'!$B:$B,0)+4)</f>
        <v>0</v>
      </c>
      <c r="AB37" s="173">
        <f t="shared" si="10"/>
        <v>0</v>
      </c>
      <c r="AC37" s="174" t="str">
        <f t="shared" ca="1" si="11"/>
        <v/>
      </c>
      <c r="AD37" s="175">
        <f t="shared" ca="1" si="12"/>
        <v>0</v>
      </c>
      <c r="AE37" s="170">
        <f t="shared" si="0"/>
        <v>0</v>
      </c>
      <c r="AF37" s="171">
        <f t="shared" si="1"/>
        <v>0</v>
      </c>
      <c r="AG37" s="171">
        <f t="shared" si="2"/>
        <v>0</v>
      </c>
      <c r="AH37" s="171">
        <f t="shared" si="3"/>
        <v>0</v>
      </c>
      <c r="AI37" s="176">
        <f t="shared" si="4"/>
        <v>0</v>
      </c>
      <c r="AJ37" s="177">
        <f t="shared" si="5"/>
        <v>0</v>
      </c>
      <c r="AK37" s="174" t="str">
        <f t="shared" ca="1" si="20"/>
        <v/>
      </c>
    </row>
    <row r="38" spans="2:37">
      <c r="B38" s="539">
        <v>18</v>
      </c>
      <c r="C38" s="166" t="s">
        <v>79</v>
      </c>
      <c r="D38" s="167" t="s">
        <v>216</v>
      </c>
      <c r="E38" s="168" t="s">
        <v>208</v>
      </c>
      <c r="F38" s="169" t="str">
        <f ca="1">INDEX('NARM6 - Risk Summary'!$Q:$Q,MATCH($C38,'NARM6 - Risk Summary'!$B:$B,0)+5)</f>
        <v/>
      </c>
      <c r="G38" s="170">
        <f>INDEX('NARM6 - Risk Summary'!$T:$T,MATCH($C38,'NARM6 - Risk Summary'!$B:$B,0))</f>
        <v>0</v>
      </c>
      <c r="H38" s="171">
        <f>INDEX('NARM6 - Risk Summary'!$T:$T,MATCH($C38,'NARM6 - Risk Summary'!$B:$B,0)+1)</f>
        <v>0</v>
      </c>
      <c r="I38" s="171">
        <f>INDEX('NARM6 - Risk Summary'!$T:$T,MATCH($C38,'NARM6 - Risk Summary'!$B:$B,0)+2)</f>
        <v>0</v>
      </c>
      <c r="J38" s="172">
        <f>INDEX('NARM6 - Risk Summary'!$T:$T,MATCH($C38,'NARM6 - Risk Summary'!$B:$B,0)+3)</f>
        <v>0</v>
      </c>
      <c r="K38" s="172">
        <f>INDEX('NARM6 - Risk Summary'!$T:$T,MATCH($C38,'NARM6 - Risk Summary'!$B:$B,0)+4)</f>
        <v>0</v>
      </c>
      <c r="L38" s="173">
        <f t="shared" si="6"/>
        <v>0</v>
      </c>
      <c r="M38" s="174" t="str">
        <f t="shared" ca="1" si="7"/>
        <v/>
      </c>
      <c r="N38" s="169" t="str">
        <f ca="1">INDEX('NARM6 - Risk Summary'!$R:$R,MATCH($C38,'NARM6 - Risk Summary'!$B:$B,0)+5)</f>
        <v/>
      </c>
      <c r="O38" s="170">
        <f>INDEX('NARM6 - Risk Summary'!$U:$U,MATCH($C38,'NARM6 - Risk Summary'!$B:$B,0))</f>
        <v>0</v>
      </c>
      <c r="P38" s="171">
        <f>INDEX('NARM6 - Risk Summary'!$U:$U,MATCH($C38,'NARM6 - Risk Summary'!$B:$B,0)+1)</f>
        <v>0</v>
      </c>
      <c r="Q38" s="171">
        <f>INDEX('NARM6 - Risk Summary'!$U:$U,MATCH($C38,'NARM6 - Risk Summary'!$B:$B,0)+2)</f>
        <v>0</v>
      </c>
      <c r="R38" s="172">
        <f>INDEX('NARM6 - Risk Summary'!$U:$U,MATCH($C38,'NARM6 - Risk Summary'!$B:$B,0)+3)</f>
        <v>0</v>
      </c>
      <c r="S38" s="172">
        <f>INDEX('NARM6 - Risk Summary'!$U:$U,MATCH($C38,'NARM6 - Risk Summary'!$B:$B,0)+4)</f>
        <v>0</v>
      </c>
      <c r="T38" s="173">
        <f t="shared" si="8"/>
        <v>0</v>
      </c>
      <c r="U38" s="174" t="str">
        <f t="shared" ca="1" si="9"/>
        <v/>
      </c>
      <c r="V38" s="169" t="str">
        <f ca="1">INDEX('NARM6 - Risk Summary'!$S:$S,MATCH($C38,'NARM6 - Risk Summary'!$B:$B,0)+5)</f>
        <v/>
      </c>
      <c r="W38" s="170">
        <f>INDEX('NARM6 - Risk Summary'!$V:$V,MATCH($C38,'NARM6 - Risk Summary'!$B:$B,0))</f>
        <v>0</v>
      </c>
      <c r="X38" s="171">
        <f>INDEX('NARM6 - Risk Summary'!$V:$V,MATCH($C38,'NARM6 - Risk Summary'!$B:$B,0)+1)</f>
        <v>0</v>
      </c>
      <c r="Y38" s="171">
        <f>INDEX('NARM6 - Risk Summary'!$V:$V,MATCH($C38,'NARM6 - Risk Summary'!$B:$B,0)+2)</f>
        <v>0</v>
      </c>
      <c r="Z38" s="172">
        <f>INDEX('NARM6 - Risk Summary'!$V:$V,MATCH($C38,'NARM6 - Risk Summary'!$B:$B,0)+3)</f>
        <v>0</v>
      </c>
      <c r="AA38" s="172">
        <f>INDEX('NARM6 - Risk Summary'!$V:$V,MATCH($C38,'NARM6 - Risk Summary'!$B:$B,0)+4)</f>
        <v>0</v>
      </c>
      <c r="AB38" s="173">
        <f t="shared" si="10"/>
        <v>0</v>
      </c>
      <c r="AC38" s="174" t="str">
        <f t="shared" ca="1" si="11"/>
        <v/>
      </c>
      <c r="AD38" s="175">
        <f t="shared" ca="1" si="12"/>
        <v>0</v>
      </c>
      <c r="AE38" s="170">
        <f t="shared" si="0"/>
        <v>0</v>
      </c>
      <c r="AF38" s="171">
        <f t="shared" si="1"/>
        <v>0</v>
      </c>
      <c r="AG38" s="171">
        <f t="shared" si="2"/>
        <v>0</v>
      </c>
      <c r="AH38" s="171">
        <f t="shared" si="3"/>
        <v>0</v>
      </c>
      <c r="AI38" s="176">
        <f t="shared" si="4"/>
        <v>0</v>
      </c>
      <c r="AJ38" s="177">
        <f t="shared" si="5"/>
        <v>0</v>
      </c>
      <c r="AK38" s="174" t="str">
        <f t="shared" ca="1" si="20"/>
        <v/>
      </c>
    </row>
    <row r="39" spans="2:37">
      <c r="B39" s="539">
        <v>14</v>
      </c>
      <c r="C39" s="166" t="s">
        <v>75</v>
      </c>
      <c r="D39" s="167" t="s">
        <v>216</v>
      </c>
      <c r="E39" s="168" t="s">
        <v>208</v>
      </c>
      <c r="F39" s="169" t="str">
        <f ca="1">INDEX('NARM6 - Risk Summary'!$Q:$Q,MATCH($C39,'NARM6 - Risk Summary'!$B:$B,0)+5)</f>
        <v/>
      </c>
      <c r="G39" s="170">
        <f>INDEX('NARM6 - Risk Summary'!$T:$T,MATCH($C39,'NARM6 - Risk Summary'!$B:$B,0))</f>
        <v>0</v>
      </c>
      <c r="H39" s="171">
        <f>INDEX('NARM6 - Risk Summary'!$T:$T,MATCH($C39,'NARM6 - Risk Summary'!$B:$B,0)+1)</f>
        <v>0</v>
      </c>
      <c r="I39" s="171">
        <f>INDEX('NARM6 - Risk Summary'!$T:$T,MATCH($C39,'NARM6 - Risk Summary'!$B:$B,0)+2)</f>
        <v>0</v>
      </c>
      <c r="J39" s="172">
        <f>INDEX('NARM6 - Risk Summary'!$T:$T,MATCH($C39,'NARM6 - Risk Summary'!$B:$B,0)+3)</f>
        <v>0</v>
      </c>
      <c r="K39" s="172">
        <f>INDEX('NARM6 - Risk Summary'!$T:$T,MATCH($C39,'NARM6 - Risk Summary'!$B:$B,0)+4)</f>
        <v>0</v>
      </c>
      <c r="L39" s="173">
        <f t="shared" si="6"/>
        <v>0</v>
      </c>
      <c r="M39" s="174" t="str">
        <f t="shared" ca="1" si="7"/>
        <v/>
      </c>
      <c r="N39" s="169" t="str">
        <f ca="1">INDEX('NARM6 - Risk Summary'!$R:$R,MATCH($C39,'NARM6 - Risk Summary'!$B:$B,0)+5)</f>
        <v/>
      </c>
      <c r="O39" s="170">
        <f>INDEX('NARM6 - Risk Summary'!$U:$U,MATCH($C39,'NARM6 - Risk Summary'!$B:$B,0))</f>
        <v>0</v>
      </c>
      <c r="P39" s="171">
        <f>INDEX('NARM6 - Risk Summary'!$U:$U,MATCH($C39,'NARM6 - Risk Summary'!$B:$B,0)+1)</f>
        <v>0</v>
      </c>
      <c r="Q39" s="171">
        <f>INDEX('NARM6 - Risk Summary'!$U:$U,MATCH($C39,'NARM6 - Risk Summary'!$B:$B,0)+2)</f>
        <v>0</v>
      </c>
      <c r="R39" s="172">
        <f>INDEX('NARM6 - Risk Summary'!$U:$U,MATCH($C39,'NARM6 - Risk Summary'!$B:$B,0)+3)</f>
        <v>0</v>
      </c>
      <c r="S39" s="172">
        <f>INDEX('NARM6 - Risk Summary'!$U:$U,MATCH($C39,'NARM6 - Risk Summary'!$B:$B,0)+4)</f>
        <v>0</v>
      </c>
      <c r="T39" s="173">
        <f t="shared" si="8"/>
        <v>0</v>
      </c>
      <c r="U39" s="174" t="str">
        <f t="shared" ca="1" si="9"/>
        <v/>
      </c>
      <c r="V39" s="169" t="str">
        <f ca="1">INDEX('NARM6 - Risk Summary'!$S:$S,MATCH($C39,'NARM6 - Risk Summary'!$B:$B,0)+5)</f>
        <v/>
      </c>
      <c r="W39" s="170">
        <f>INDEX('NARM6 - Risk Summary'!$V:$V,MATCH($C39,'NARM6 - Risk Summary'!$B:$B,0))</f>
        <v>0</v>
      </c>
      <c r="X39" s="171">
        <f>INDEX('NARM6 - Risk Summary'!$V:$V,MATCH($C39,'NARM6 - Risk Summary'!$B:$B,0)+1)</f>
        <v>0</v>
      </c>
      <c r="Y39" s="171">
        <f>INDEX('NARM6 - Risk Summary'!$V:$V,MATCH($C39,'NARM6 - Risk Summary'!$B:$B,0)+2)</f>
        <v>0</v>
      </c>
      <c r="Z39" s="172">
        <f>INDEX('NARM6 - Risk Summary'!$V:$V,MATCH($C39,'NARM6 - Risk Summary'!$B:$B,0)+3)</f>
        <v>0</v>
      </c>
      <c r="AA39" s="172">
        <f>INDEX('NARM6 - Risk Summary'!$V:$V,MATCH($C39,'NARM6 - Risk Summary'!$B:$B,0)+4)</f>
        <v>0</v>
      </c>
      <c r="AB39" s="173">
        <f t="shared" si="10"/>
        <v>0</v>
      </c>
      <c r="AC39" s="174" t="str">
        <f t="shared" ca="1" si="11"/>
        <v/>
      </c>
      <c r="AD39" s="175">
        <f t="shared" ca="1" si="12"/>
        <v>0</v>
      </c>
      <c r="AE39" s="170">
        <f t="shared" si="0"/>
        <v>0</v>
      </c>
      <c r="AF39" s="171">
        <f t="shared" si="1"/>
        <v>0</v>
      </c>
      <c r="AG39" s="171">
        <f t="shared" si="2"/>
        <v>0</v>
      </c>
      <c r="AH39" s="171">
        <f t="shared" si="3"/>
        <v>0</v>
      </c>
      <c r="AI39" s="176">
        <f t="shared" si="4"/>
        <v>0</v>
      </c>
      <c r="AJ39" s="177">
        <f t="shared" si="5"/>
        <v>0</v>
      </c>
      <c r="AK39" s="174" t="str">
        <f t="shared" ca="1" si="20"/>
        <v/>
      </c>
    </row>
    <row r="40" spans="2:37">
      <c r="B40" s="539">
        <v>19</v>
      </c>
      <c r="C40" s="166" t="s">
        <v>80</v>
      </c>
      <c r="D40" s="167" t="s">
        <v>216</v>
      </c>
      <c r="E40" s="168" t="s">
        <v>208</v>
      </c>
      <c r="F40" s="169" t="str">
        <f ca="1">INDEX('NARM6 - Risk Summary'!$Q:$Q,MATCH($C40,'NARM6 - Risk Summary'!$B:$B,0)+5)</f>
        <v/>
      </c>
      <c r="G40" s="170">
        <f>INDEX('NARM6 - Risk Summary'!$T:$T,MATCH($C40,'NARM6 - Risk Summary'!$B:$B,0))</f>
        <v>0</v>
      </c>
      <c r="H40" s="171">
        <f>INDEX('NARM6 - Risk Summary'!$T:$T,MATCH($C40,'NARM6 - Risk Summary'!$B:$B,0)+1)</f>
        <v>0</v>
      </c>
      <c r="I40" s="171">
        <f>INDEX('NARM6 - Risk Summary'!$T:$T,MATCH($C40,'NARM6 - Risk Summary'!$B:$B,0)+2)</f>
        <v>0</v>
      </c>
      <c r="J40" s="172">
        <f>INDEX('NARM6 - Risk Summary'!$T:$T,MATCH($C40,'NARM6 - Risk Summary'!$B:$B,0)+3)</f>
        <v>0</v>
      </c>
      <c r="K40" s="172">
        <f>INDEX('NARM6 - Risk Summary'!$T:$T,MATCH($C40,'NARM6 - Risk Summary'!$B:$B,0)+4)</f>
        <v>0</v>
      </c>
      <c r="L40" s="173">
        <f t="shared" si="6"/>
        <v>0</v>
      </c>
      <c r="M40" s="174" t="str">
        <f t="shared" ca="1" si="7"/>
        <v/>
      </c>
      <c r="N40" s="169" t="str">
        <f ca="1">INDEX('NARM6 - Risk Summary'!$R:$R,MATCH($C40,'NARM6 - Risk Summary'!$B:$B,0)+5)</f>
        <v/>
      </c>
      <c r="O40" s="170">
        <f>INDEX('NARM6 - Risk Summary'!$U:$U,MATCH($C40,'NARM6 - Risk Summary'!$B:$B,0))</f>
        <v>0</v>
      </c>
      <c r="P40" s="171">
        <f>INDEX('NARM6 - Risk Summary'!$U:$U,MATCH($C40,'NARM6 - Risk Summary'!$B:$B,0)+1)</f>
        <v>0</v>
      </c>
      <c r="Q40" s="171">
        <f>INDEX('NARM6 - Risk Summary'!$U:$U,MATCH($C40,'NARM6 - Risk Summary'!$B:$B,0)+2)</f>
        <v>0</v>
      </c>
      <c r="R40" s="172">
        <f>INDEX('NARM6 - Risk Summary'!$U:$U,MATCH($C40,'NARM6 - Risk Summary'!$B:$B,0)+3)</f>
        <v>0</v>
      </c>
      <c r="S40" s="172">
        <f>INDEX('NARM6 - Risk Summary'!$U:$U,MATCH($C40,'NARM6 - Risk Summary'!$B:$B,0)+4)</f>
        <v>0</v>
      </c>
      <c r="T40" s="173">
        <f t="shared" si="8"/>
        <v>0</v>
      </c>
      <c r="U40" s="174" t="str">
        <f t="shared" ca="1" si="9"/>
        <v/>
      </c>
      <c r="V40" s="169" t="str">
        <f ca="1">INDEX('NARM6 - Risk Summary'!$S:$S,MATCH($C40,'NARM6 - Risk Summary'!$B:$B,0)+5)</f>
        <v/>
      </c>
      <c r="W40" s="170">
        <f>INDEX('NARM6 - Risk Summary'!$V:$V,MATCH($C40,'NARM6 - Risk Summary'!$B:$B,0))</f>
        <v>0</v>
      </c>
      <c r="X40" s="171">
        <f>INDEX('NARM6 - Risk Summary'!$V:$V,MATCH($C40,'NARM6 - Risk Summary'!$B:$B,0)+1)</f>
        <v>0</v>
      </c>
      <c r="Y40" s="171">
        <f>INDEX('NARM6 - Risk Summary'!$V:$V,MATCH($C40,'NARM6 - Risk Summary'!$B:$B,0)+2)</f>
        <v>0</v>
      </c>
      <c r="Z40" s="172">
        <f>INDEX('NARM6 - Risk Summary'!$V:$V,MATCH($C40,'NARM6 - Risk Summary'!$B:$B,0)+3)</f>
        <v>0</v>
      </c>
      <c r="AA40" s="172">
        <f>INDEX('NARM6 - Risk Summary'!$V:$V,MATCH($C40,'NARM6 - Risk Summary'!$B:$B,0)+4)</f>
        <v>0</v>
      </c>
      <c r="AB40" s="173">
        <f t="shared" si="10"/>
        <v>0</v>
      </c>
      <c r="AC40" s="174" t="str">
        <f t="shared" ca="1" si="11"/>
        <v/>
      </c>
      <c r="AD40" s="175">
        <f t="shared" ca="1" si="12"/>
        <v>0</v>
      </c>
      <c r="AE40" s="170">
        <f t="shared" si="0"/>
        <v>0</v>
      </c>
      <c r="AF40" s="171">
        <f t="shared" si="1"/>
        <v>0</v>
      </c>
      <c r="AG40" s="171">
        <f t="shared" si="2"/>
        <v>0</v>
      </c>
      <c r="AH40" s="171">
        <f t="shared" si="3"/>
        <v>0</v>
      </c>
      <c r="AI40" s="176">
        <f t="shared" si="4"/>
        <v>0</v>
      </c>
      <c r="AJ40" s="177">
        <f t="shared" si="5"/>
        <v>0</v>
      </c>
      <c r="AK40" s="174" t="str">
        <f t="shared" ca="1" si="20"/>
        <v/>
      </c>
    </row>
    <row r="41" spans="2:37">
      <c r="B41" s="539">
        <v>16</v>
      </c>
      <c r="C41" s="166" t="s">
        <v>174</v>
      </c>
      <c r="D41" s="167" t="s">
        <v>216</v>
      </c>
      <c r="E41" s="168" t="s">
        <v>208</v>
      </c>
      <c r="F41" s="169" t="str">
        <f ca="1">INDEX('NARM6 - Risk Summary'!$Q:$Q,MATCH($C41,'NARM6 - Risk Summary'!$B:$B,0)+5)</f>
        <v/>
      </c>
      <c r="G41" s="170">
        <f>INDEX('NARM6 - Risk Summary'!$T:$T,MATCH($C41,'NARM6 - Risk Summary'!$B:$B,0))</f>
        <v>0</v>
      </c>
      <c r="H41" s="171">
        <f>INDEX('NARM6 - Risk Summary'!$T:$T,MATCH($C41,'NARM6 - Risk Summary'!$B:$B,0)+1)</f>
        <v>0</v>
      </c>
      <c r="I41" s="171">
        <f>INDEX('NARM6 - Risk Summary'!$T:$T,MATCH($C41,'NARM6 - Risk Summary'!$B:$B,0)+2)</f>
        <v>0</v>
      </c>
      <c r="J41" s="172">
        <f>INDEX('NARM6 - Risk Summary'!$T:$T,MATCH($C41,'NARM6 - Risk Summary'!$B:$B,0)+3)</f>
        <v>0</v>
      </c>
      <c r="K41" s="172">
        <f>INDEX('NARM6 - Risk Summary'!$T:$T,MATCH($C41,'NARM6 - Risk Summary'!$B:$B,0)+4)</f>
        <v>0</v>
      </c>
      <c r="L41" s="173">
        <f t="shared" si="6"/>
        <v>0</v>
      </c>
      <c r="M41" s="174" t="str">
        <f t="shared" ca="1" si="7"/>
        <v/>
      </c>
      <c r="N41" s="169" t="str">
        <f ca="1">INDEX('NARM6 - Risk Summary'!$R:$R,MATCH($C41,'NARM6 - Risk Summary'!$B:$B,0)+5)</f>
        <v/>
      </c>
      <c r="O41" s="170">
        <f>INDEX('NARM6 - Risk Summary'!$U:$U,MATCH($C41,'NARM6 - Risk Summary'!$B:$B,0))</f>
        <v>0</v>
      </c>
      <c r="P41" s="171">
        <f>INDEX('NARM6 - Risk Summary'!$U:$U,MATCH($C41,'NARM6 - Risk Summary'!$B:$B,0)+1)</f>
        <v>0</v>
      </c>
      <c r="Q41" s="171">
        <f>INDEX('NARM6 - Risk Summary'!$U:$U,MATCH($C41,'NARM6 - Risk Summary'!$B:$B,0)+2)</f>
        <v>0</v>
      </c>
      <c r="R41" s="172">
        <f>INDEX('NARM6 - Risk Summary'!$U:$U,MATCH($C41,'NARM6 - Risk Summary'!$B:$B,0)+3)</f>
        <v>0</v>
      </c>
      <c r="S41" s="172">
        <f>INDEX('NARM6 - Risk Summary'!$U:$U,MATCH($C41,'NARM6 - Risk Summary'!$B:$B,0)+4)</f>
        <v>0</v>
      </c>
      <c r="T41" s="173">
        <f t="shared" si="8"/>
        <v>0</v>
      </c>
      <c r="U41" s="174" t="str">
        <f t="shared" ca="1" si="9"/>
        <v/>
      </c>
      <c r="V41" s="169" t="str">
        <f ca="1">INDEX('NARM6 - Risk Summary'!$S:$S,MATCH($C41,'NARM6 - Risk Summary'!$B:$B,0)+5)</f>
        <v/>
      </c>
      <c r="W41" s="170">
        <f>INDEX('NARM6 - Risk Summary'!$V:$V,MATCH($C41,'NARM6 - Risk Summary'!$B:$B,0))</f>
        <v>0</v>
      </c>
      <c r="X41" s="171">
        <f>INDEX('NARM6 - Risk Summary'!$V:$V,MATCH($C41,'NARM6 - Risk Summary'!$B:$B,0)+1)</f>
        <v>0</v>
      </c>
      <c r="Y41" s="171">
        <f>INDEX('NARM6 - Risk Summary'!$V:$V,MATCH($C41,'NARM6 - Risk Summary'!$B:$B,0)+2)</f>
        <v>0</v>
      </c>
      <c r="Z41" s="172">
        <f>INDEX('NARM6 - Risk Summary'!$V:$V,MATCH($C41,'NARM6 - Risk Summary'!$B:$B,0)+3)</f>
        <v>0</v>
      </c>
      <c r="AA41" s="172">
        <f>INDEX('NARM6 - Risk Summary'!$V:$V,MATCH($C41,'NARM6 - Risk Summary'!$B:$B,0)+4)</f>
        <v>0</v>
      </c>
      <c r="AB41" s="173">
        <f t="shared" si="10"/>
        <v>0</v>
      </c>
      <c r="AC41" s="174" t="str">
        <f t="shared" ca="1" si="11"/>
        <v/>
      </c>
      <c r="AD41" s="175">
        <f t="shared" ca="1" si="12"/>
        <v>0</v>
      </c>
      <c r="AE41" s="170">
        <f t="shared" si="0"/>
        <v>0</v>
      </c>
      <c r="AF41" s="171">
        <f t="shared" si="1"/>
        <v>0</v>
      </c>
      <c r="AG41" s="171">
        <f t="shared" si="2"/>
        <v>0</v>
      </c>
      <c r="AH41" s="171">
        <f t="shared" si="3"/>
        <v>0</v>
      </c>
      <c r="AI41" s="176">
        <f t="shared" si="4"/>
        <v>0</v>
      </c>
      <c r="AJ41" s="177">
        <f t="shared" si="5"/>
        <v>0</v>
      </c>
      <c r="AK41" s="174" t="str">
        <f t="shared" ca="1" si="20"/>
        <v/>
      </c>
    </row>
    <row r="42" spans="2:37">
      <c r="B42" s="539">
        <v>15</v>
      </c>
      <c r="C42" s="166" t="s">
        <v>76</v>
      </c>
      <c r="D42" s="167" t="s">
        <v>216</v>
      </c>
      <c r="E42" s="168" t="s">
        <v>208</v>
      </c>
      <c r="F42" s="169" t="str">
        <f ca="1">INDEX('NARM6 - Risk Summary'!$Q:$Q,MATCH($C42,'NARM6 - Risk Summary'!$B:$B,0)+5)</f>
        <v/>
      </c>
      <c r="G42" s="170">
        <f>INDEX('NARM6 - Risk Summary'!$T:$T,MATCH($C42,'NARM6 - Risk Summary'!$B:$B,0))</f>
        <v>0</v>
      </c>
      <c r="H42" s="171">
        <f>INDEX('NARM6 - Risk Summary'!$T:$T,MATCH($C42,'NARM6 - Risk Summary'!$B:$B,0)+1)</f>
        <v>0</v>
      </c>
      <c r="I42" s="171">
        <f>INDEX('NARM6 - Risk Summary'!$T:$T,MATCH($C42,'NARM6 - Risk Summary'!$B:$B,0)+2)</f>
        <v>0</v>
      </c>
      <c r="J42" s="172">
        <f>INDEX('NARM6 - Risk Summary'!$T:$T,MATCH($C42,'NARM6 - Risk Summary'!$B:$B,0)+3)</f>
        <v>0</v>
      </c>
      <c r="K42" s="172">
        <f>INDEX('NARM6 - Risk Summary'!$T:$T,MATCH($C42,'NARM6 - Risk Summary'!$B:$B,0)+4)</f>
        <v>0</v>
      </c>
      <c r="L42" s="173">
        <f t="shared" si="6"/>
        <v>0</v>
      </c>
      <c r="M42" s="174" t="str">
        <f t="shared" ca="1" si="7"/>
        <v/>
      </c>
      <c r="N42" s="169" t="str">
        <f ca="1">INDEX('NARM6 - Risk Summary'!$R:$R,MATCH($C42,'NARM6 - Risk Summary'!$B:$B,0)+5)</f>
        <v/>
      </c>
      <c r="O42" s="170">
        <f>INDEX('NARM6 - Risk Summary'!$U:$U,MATCH($C42,'NARM6 - Risk Summary'!$B:$B,0))</f>
        <v>0</v>
      </c>
      <c r="P42" s="171">
        <f>INDEX('NARM6 - Risk Summary'!$U:$U,MATCH($C42,'NARM6 - Risk Summary'!$B:$B,0)+1)</f>
        <v>0</v>
      </c>
      <c r="Q42" s="171">
        <f>INDEX('NARM6 - Risk Summary'!$U:$U,MATCH($C42,'NARM6 - Risk Summary'!$B:$B,0)+2)</f>
        <v>0</v>
      </c>
      <c r="R42" s="172">
        <f>INDEX('NARM6 - Risk Summary'!$U:$U,MATCH($C42,'NARM6 - Risk Summary'!$B:$B,0)+3)</f>
        <v>0</v>
      </c>
      <c r="S42" s="172">
        <f>INDEX('NARM6 - Risk Summary'!$U:$U,MATCH($C42,'NARM6 - Risk Summary'!$B:$B,0)+4)</f>
        <v>0</v>
      </c>
      <c r="T42" s="173">
        <f t="shared" si="8"/>
        <v>0</v>
      </c>
      <c r="U42" s="174" t="str">
        <f t="shared" ca="1" si="9"/>
        <v/>
      </c>
      <c r="V42" s="169" t="str">
        <f ca="1">INDEX('NARM6 - Risk Summary'!$S:$S,MATCH($C42,'NARM6 - Risk Summary'!$B:$B,0)+5)</f>
        <v/>
      </c>
      <c r="W42" s="170">
        <f>INDEX('NARM6 - Risk Summary'!$V:$V,MATCH($C42,'NARM6 - Risk Summary'!$B:$B,0))</f>
        <v>0</v>
      </c>
      <c r="X42" s="171">
        <f>INDEX('NARM6 - Risk Summary'!$V:$V,MATCH($C42,'NARM6 - Risk Summary'!$B:$B,0)+1)</f>
        <v>0</v>
      </c>
      <c r="Y42" s="171">
        <f>INDEX('NARM6 - Risk Summary'!$V:$V,MATCH($C42,'NARM6 - Risk Summary'!$B:$B,0)+2)</f>
        <v>0</v>
      </c>
      <c r="Z42" s="172">
        <f>INDEX('NARM6 - Risk Summary'!$V:$V,MATCH($C42,'NARM6 - Risk Summary'!$B:$B,0)+3)</f>
        <v>0</v>
      </c>
      <c r="AA42" s="172">
        <f>INDEX('NARM6 - Risk Summary'!$V:$V,MATCH($C42,'NARM6 - Risk Summary'!$B:$B,0)+4)</f>
        <v>0</v>
      </c>
      <c r="AB42" s="173">
        <f t="shared" si="10"/>
        <v>0</v>
      </c>
      <c r="AC42" s="174" t="str">
        <f t="shared" ca="1" si="11"/>
        <v/>
      </c>
      <c r="AD42" s="175">
        <f t="shared" ca="1" si="12"/>
        <v>0</v>
      </c>
      <c r="AE42" s="170">
        <f t="shared" si="0"/>
        <v>0</v>
      </c>
      <c r="AF42" s="171">
        <f t="shared" si="1"/>
        <v>0</v>
      </c>
      <c r="AG42" s="171">
        <f t="shared" si="2"/>
        <v>0</v>
      </c>
      <c r="AH42" s="171">
        <f t="shared" si="3"/>
        <v>0</v>
      </c>
      <c r="AI42" s="176">
        <f t="shared" si="4"/>
        <v>0</v>
      </c>
      <c r="AJ42" s="177">
        <f t="shared" si="5"/>
        <v>0</v>
      </c>
      <c r="AK42" s="174" t="str">
        <f t="shared" ca="1" si="20"/>
        <v/>
      </c>
    </row>
    <row r="43" spans="2:37">
      <c r="B43" s="539">
        <v>20</v>
      </c>
      <c r="C43" s="166" t="s">
        <v>81</v>
      </c>
      <c r="D43" s="167" t="s">
        <v>216</v>
      </c>
      <c r="E43" s="168" t="s">
        <v>208</v>
      </c>
      <c r="F43" s="169" t="str">
        <f ca="1">INDEX('NARM6 - Risk Summary'!$Q:$Q,MATCH($C43,'NARM6 - Risk Summary'!$B:$B,0)+5)</f>
        <v/>
      </c>
      <c r="G43" s="170">
        <f>INDEX('NARM6 - Risk Summary'!$T:$T,MATCH($C43,'NARM6 - Risk Summary'!$B:$B,0))</f>
        <v>0</v>
      </c>
      <c r="H43" s="171">
        <f>INDEX('NARM6 - Risk Summary'!$T:$T,MATCH($C43,'NARM6 - Risk Summary'!$B:$B,0)+1)</f>
        <v>0</v>
      </c>
      <c r="I43" s="171">
        <f>INDEX('NARM6 - Risk Summary'!$T:$T,MATCH($C43,'NARM6 - Risk Summary'!$B:$B,0)+2)</f>
        <v>0</v>
      </c>
      <c r="J43" s="172">
        <f>INDEX('NARM6 - Risk Summary'!$T:$T,MATCH($C43,'NARM6 - Risk Summary'!$B:$B,0)+3)</f>
        <v>0</v>
      </c>
      <c r="K43" s="172">
        <f>INDEX('NARM6 - Risk Summary'!$T:$T,MATCH($C43,'NARM6 - Risk Summary'!$B:$B,0)+4)</f>
        <v>0</v>
      </c>
      <c r="L43" s="173">
        <f t="shared" si="6"/>
        <v>0</v>
      </c>
      <c r="M43" s="174" t="str">
        <f t="shared" ca="1" si="7"/>
        <v/>
      </c>
      <c r="N43" s="169" t="str">
        <f ca="1">INDEX('NARM6 - Risk Summary'!$R:$R,MATCH($C43,'NARM6 - Risk Summary'!$B:$B,0)+5)</f>
        <v/>
      </c>
      <c r="O43" s="170">
        <f>INDEX('NARM6 - Risk Summary'!$U:$U,MATCH($C43,'NARM6 - Risk Summary'!$B:$B,0))</f>
        <v>0</v>
      </c>
      <c r="P43" s="171">
        <f>INDEX('NARM6 - Risk Summary'!$U:$U,MATCH($C43,'NARM6 - Risk Summary'!$B:$B,0)+1)</f>
        <v>0</v>
      </c>
      <c r="Q43" s="171">
        <f>INDEX('NARM6 - Risk Summary'!$U:$U,MATCH($C43,'NARM6 - Risk Summary'!$B:$B,0)+2)</f>
        <v>0</v>
      </c>
      <c r="R43" s="172">
        <f>INDEX('NARM6 - Risk Summary'!$U:$U,MATCH($C43,'NARM6 - Risk Summary'!$B:$B,0)+3)</f>
        <v>0</v>
      </c>
      <c r="S43" s="172">
        <f>INDEX('NARM6 - Risk Summary'!$U:$U,MATCH($C43,'NARM6 - Risk Summary'!$B:$B,0)+4)</f>
        <v>0</v>
      </c>
      <c r="T43" s="173">
        <f t="shared" si="8"/>
        <v>0</v>
      </c>
      <c r="U43" s="174" t="str">
        <f t="shared" ca="1" si="9"/>
        <v/>
      </c>
      <c r="V43" s="169" t="str">
        <f ca="1">INDEX('NARM6 - Risk Summary'!$S:$S,MATCH($C43,'NARM6 - Risk Summary'!$B:$B,0)+5)</f>
        <v/>
      </c>
      <c r="W43" s="170">
        <f>INDEX('NARM6 - Risk Summary'!$V:$V,MATCH($C43,'NARM6 - Risk Summary'!$B:$B,0))</f>
        <v>0</v>
      </c>
      <c r="X43" s="171">
        <f>INDEX('NARM6 - Risk Summary'!$V:$V,MATCH($C43,'NARM6 - Risk Summary'!$B:$B,0)+1)</f>
        <v>0</v>
      </c>
      <c r="Y43" s="171">
        <f>INDEX('NARM6 - Risk Summary'!$V:$V,MATCH($C43,'NARM6 - Risk Summary'!$B:$B,0)+2)</f>
        <v>0</v>
      </c>
      <c r="Z43" s="172">
        <f>INDEX('NARM6 - Risk Summary'!$V:$V,MATCH($C43,'NARM6 - Risk Summary'!$B:$B,0)+3)</f>
        <v>0</v>
      </c>
      <c r="AA43" s="172">
        <f>INDEX('NARM6 - Risk Summary'!$V:$V,MATCH($C43,'NARM6 - Risk Summary'!$B:$B,0)+4)</f>
        <v>0</v>
      </c>
      <c r="AB43" s="173">
        <f t="shared" si="10"/>
        <v>0</v>
      </c>
      <c r="AC43" s="174" t="str">
        <f t="shared" ca="1" si="11"/>
        <v/>
      </c>
      <c r="AD43" s="175">
        <f t="shared" ca="1" si="12"/>
        <v>0</v>
      </c>
      <c r="AE43" s="170">
        <f t="shared" si="0"/>
        <v>0</v>
      </c>
      <c r="AF43" s="171">
        <f t="shared" si="1"/>
        <v>0</v>
      </c>
      <c r="AG43" s="171">
        <f t="shared" si="2"/>
        <v>0</v>
      </c>
      <c r="AH43" s="171">
        <f t="shared" si="3"/>
        <v>0</v>
      </c>
      <c r="AI43" s="176">
        <f t="shared" si="4"/>
        <v>0</v>
      </c>
      <c r="AJ43" s="177">
        <f t="shared" si="5"/>
        <v>0</v>
      </c>
      <c r="AK43" s="174" t="str">
        <f t="shared" ca="1" si="20"/>
        <v/>
      </c>
    </row>
    <row r="44" spans="2:37">
      <c r="B44" s="539">
        <v>21</v>
      </c>
      <c r="C44" s="166" t="s">
        <v>82</v>
      </c>
      <c r="D44" s="167" t="s">
        <v>216</v>
      </c>
      <c r="E44" s="168" t="s">
        <v>208</v>
      </c>
      <c r="F44" s="169" t="str">
        <f ca="1">INDEX('NARM6 - Risk Summary'!$Q:$Q,MATCH($C44,'NARM6 - Risk Summary'!$B:$B,0)+5)</f>
        <v/>
      </c>
      <c r="G44" s="170">
        <f>INDEX('NARM6 - Risk Summary'!$T:$T,MATCH($C44,'NARM6 - Risk Summary'!$B:$B,0))</f>
        <v>0</v>
      </c>
      <c r="H44" s="171">
        <f>INDEX('NARM6 - Risk Summary'!$T:$T,MATCH($C44,'NARM6 - Risk Summary'!$B:$B,0)+1)</f>
        <v>0</v>
      </c>
      <c r="I44" s="171">
        <f>INDEX('NARM6 - Risk Summary'!$T:$T,MATCH($C44,'NARM6 - Risk Summary'!$B:$B,0)+2)</f>
        <v>0</v>
      </c>
      <c r="J44" s="172">
        <f>INDEX('NARM6 - Risk Summary'!$T:$T,MATCH($C44,'NARM6 - Risk Summary'!$B:$B,0)+3)</f>
        <v>0</v>
      </c>
      <c r="K44" s="172">
        <f>INDEX('NARM6 - Risk Summary'!$T:$T,MATCH($C44,'NARM6 - Risk Summary'!$B:$B,0)+4)</f>
        <v>0</v>
      </c>
      <c r="L44" s="173">
        <f t="shared" si="6"/>
        <v>0</v>
      </c>
      <c r="M44" s="174" t="str">
        <f t="shared" ca="1" si="7"/>
        <v/>
      </c>
      <c r="N44" s="169" t="str">
        <f ca="1">INDEX('NARM6 - Risk Summary'!$R:$R,MATCH($C44,'NARM6 - Risk Summary'!$B:$B,0)+5)</f>
        <v/>
      </c>
      <c r="O44" s="170">
        <f>INDEX('NARM6 - Risk Summary'!$U:$U,MATCH($C44,'NARM6 - Risk Summary'!$B:$B,0))</f>
        <v>0</v>
      </c>
      <c r="P44" s="171">
        <f>INDEX('NARM6 - Risk Summary'!$U:$U,MATCH($C44,'NARM6 - Risk Summary'!$B:$B,0)+1)</f>
        <v>0</v>
      </c>
      <c r="Q44" s="171">
        <f>INDEX('NARM6 - Risk Summary'!$U:$U,MATCH($C44,'NARM6 - Risk Summary'!$B:$B,0)+2)</f>
        <v>0</v>
      </c>
      <c r="R44" s="172">
        <f>INDEX('NARM6 - Risk Summary'!$U:$U,MATCH($C44,'NARM6 - Risk Summary'!$B:$B,0)+3)</f>
        <v>0</v>
      </c>
      <c r="S44" s="172">
        <f>INDEX('NARM6 - Risk Summary'!$U:$U,MATCH($C44,'NARM6 - Risk Summary'!$B:$B,0)+4)</f>
        <v>0</v>
      </c>
      <c r="T44" s="173">
        <f t="shared" si="8"/>
        <v>0</v>
      </c>
      <c r="U44" s="174" t="str">
        <f t="shared" ca="1" si="9"/>
        <v/>
      </c>
      <c r="V44" s="169" t="str">
        <f ca="1">INDEX('NARM6 - Risk Summary'!$S:$S,MATCH($C44,'NARM6 - Risk Summary'!$B:$B,0)+5)</f>
        <v/>
      </c>
      <c r="W44" s="170">
        <f>INDEX('NARM6 - Risk Summary'!$V:$V,MATCH($C44,'NARM6 - Risk Summary'!$B:$B,0))</f>
        <v>0</v>
      </c>
      <c r="X44" s="171">
        <f>INDEX('NARM6 - Risk Summary'!$V:$V,MATCH($C44,'NARM6 - Risk Summary'!$B:$B,0)+1)</f>
        <v>0</v>
      </c>
      <c r="Y44" s="171">
        <f>INDEX('NARM6 - Risk Summary'!$V:$V,MATCH($C44,'NARM6 - Risk Summary'!$B:$B,0)+2)</f>
        <v>0</v>
      </c>
      <c r="Z44" s="172">
        <f>INDEX('NARM6 - Risk Summary'!$V:$V,MATCH($C44,'NARM6 - Risk Summary'!$B:$B,0)+3)</f>
        <v>0</v>
      </c>
      <c r="AA44" s="172">
        <f>INDEX('NARM6 - Risk Summary'!$V:$V,MATCH($C44,'NARM6 - Risk Summary'!$B:$B,0)+4)</f>
        <v>0</v>
      </c>
      <c r="AB44" s="173">
        <f t="shared" si="10"/>
        <v>0</v>
      </c>
      <c r="AC44" s="174" t="str">
        <f t="shared" ca="1" si="11"/>
        <v/>
      </c>
      <c r="AD44" s="175">
        <f t="shared" ca="1" si="12"/>
        <v>0</v>
      </c>
      <c r="AE44" s="170">
        <f t="shared" si="0"/>
        <v>0</v>
      </c>
      <c r="AF44" s="171">
        <f t="shared" si="1"/>
        <v>0</v>
      </c>
      <c r="AG44" s="171">
        <f t="shared" si="2"/>
        <v>0</v>
      </c>
      <c r="AH44" s="171">
        <f t="shared" si="3"/>
        <v>0</v>
      </c>
      <c r="AI44" s="176">
        <f t="shared" si="4"/>
        <v>0</v>
      </c>
      <c r="AJ44" s="177">
        <f t="shared" si="5"/>
        <v>0</v>
      </c>
      <c r="AK44" s="174" t="str">
        <f t="shared" ca="1" si="20"/>
        <v/>
      </c>
    </row>
    <row r="45" spans="2:37" ht="13.5" thickBot="1">
      <c r="B45" s="539">
        <v>22</v>
      </c>
      <c r="C45" s="178" t="s">
        <v>83</v>
      </c>
      <c r="D45" s="179" t="s">
        <v>216</v>
      </c>
      <c r="E45" s="180" t="s">
        <v>208</v>
      </c>
      <c r="F45" s="181" t="str">
        <f ca="1">INDEX('NARM6 - Risk Summary'!$Q:$Q,MATCH($C45,'NARM6 - Risk Summary'!$B:$B,0)+5)</f>
        <v/>
      </c>
      <c r="G45" s="182">
        <f>INDEX('NARM6 - Risk Summary'!$T:$T,MATCH($C45,'NARM6 - Risk Summary'!$B:$B,0))</f>
        <v>0</v>
      </c>
      <c r="H45" s="183">
        <f>INDEX('NARM6 - Risk Summary'!$T:$T,MATCH($C45,'NARM6 - Risk Summary'!$B:$B,0)+1)</f>
        <v>0</v>
      </c>
      <c r="I45" s="183">
        <f>INDEX('NARM6 - Risk Summary'!$T:$T,MATCH($C45,'NARM6 - Risk Summary'!$B:$B,0)+2)</f>
        <v>0</v>
      </c>
      <c r="J45" s="184">
        <f>INDEX('NARM6 - Risk Summary'!$T:$T,MATCH($C45,'NARM6 - Risk Summary'!$B:$B,0)+3)</f>
        <v>0</v>
      </c>
      <c r="K45" s="184">
        <f>INDEX('NARM6 - Risk Summary'!$T:$T,MATCH($C45,'NARM6 - Risk Summary'!$B:$B,0)+4)</f>
        <v>0</v>
      </c>
      <c r="L45" s="185">
        <f t="shared" si="6"/>
        <v>0</v>
      </c>
      <c r="M45" s="186" t="str">
        <f t="shared" ca="1" si="7"/>
        <v/>
      </c>
      <c r="N45" s="181" t="str">
        <f ca="1">INDEX('NARM6 - Risk Summary'!$R:$R,MATCH($C45,'NARM6 - Risk Summary'!$B:$B,0)+5)</f>
        <v/>
      </c>
      <c r="O45" s="182">
        <f>INDEX('NARM6 - Risk Summary'!$U:$U,MATCH($C45,'NARM6 - Risk Summary'!$B:$B,0))</f>
        <v>0</v>
      </c>
      <c r="P45" s="183">
        <f>INDEX('NARM6 - Risk Summary'!$U:$U,MATCH($C45,'NARM6 - Risk Summary'!$B:$B,0)+1)</f>
        <v>0</v>
      </c>
      <c r="Q45" s="183">
        <f>INDEX('NARM6 - Risk Summary'!$U:$U,MATCH($C45,'NARM6 - Risk Summary'!$B:$B,0)+2)</f>
        <v>0</v>
      </c>
      <c r="R45" s="184">
        <f>INDEX('NARM6 - Risk Summary'!$U:$U,MATCH($C45,'NARM6 - Risk Summary'!$B:$B,0)+3)</f>
        <v>0</v>
      </c>
      <c r="S45" s="184">
        <f>INDEX('NARM6 - Risk Summary'!$U:$U,MATCH($C45,'NARM6 - Risk Summary'!$B:$B,0)+4)</f>
        <v>0</v>
      </c>
      <c r="T45" s="185">
        <f t="shared" si="8"/>
        <v>0</v>
      </c>
      <c r="U45" s="186" t="str">
        <f t="shared" ca="1" si="9"/>
        <v/>
      </c>
      <c r="V45" s="181" t="str">
        <f ca="1">INDEX('NARM6 - Risk Summary'!$S:$S,MATCH($C45,'NARM6 - Risk Summary'!$B:$B,0)+5)</f>
        <v/>
      </c>
      <c r="W45" s="182">
        <f>INDEX('NARM6 - Risk Summary'!$V:$V,MATCH($C45,'NARM6 - Risk Summary'!$B:$B,0))</f>
        <v>0</v>
      </c>
      <c r="X45" s="183">
        <f>INDEX('NARM6 - Risk Summary'!$V:$V,MATCH($C45,'NARM6 - Risk Summary'!$B:$B,0)+1)</f>
        <v>0</v>
      </c>
      <c r="Y45" s="183">
        <f>INDEX('NARM6 - Risk Summary'!$V:$V,MATCH($C45,'NARM6 - Risk Summary'!$B:$B,0)+2)</f>
        <v>0</v>
      </c>
      <c r="Z45" s="184">
        <f>INDEX('NARM6 - Risk Summary'!$V:$V,MATCH($C45,'NARM6 - Risk Summary'!$B:$B,0)+3)</f>
        <v>0</v>
      </c>
      <c r="AA45" s="184">
        <f>INDEX('NARM6 - Risk Summary'!$V:$V,MATCH($C45,'NARM6 - Risk Summary'!$B:$B,0)+4)</f>
        <v>0</v>
      </c>
      <c r="AB45" s="185">
        <f t="shared" si="10"/>
        <v>0</v>
      </c>
      <c r="AC45" s="186" t="str">
        <f t="shared" ca="1" si="11"/>
        <v/>
      </c>
      <c r="AD45" s="187">
        <f t="shared" ca="1" si="12"/>
        <v>0</v>
      </c>
      <c r="AE45" s="182">
        <f t="shared" si="0"/>
        <v>0</v>
      </c>
      <c r="AF45" s="183">
        <f t="shared" si="1"/>
        <v>0</v>
      </c>
      <c r="AG45" s="183">
        <f t="shared" si="2"/>
        <v>0</v>
      </c>
      <c r="AH45" s="183">
        <f t="shared" si="3"/>
        <v>0</v>
      </c>
      <c r="AI45" s="188">
        <f t="shared" si="4"/>
        <v>0</v>
      </c>
      <c r="AJ45" s="189">
        <f t="shared" si="5"/>
        <v>0</v>
      </c>
      <c r="AK45" s="186" t="str">
        <f ca="1">IF(IFERROR((AE45+AF45++AG45+AI45)/AD45,"")&lt;0,0,IFERROR((AE45+AF45+AG45+AI45)/AD45,""))</f>
        <v/>
      </c>
    </row>
    <row r="46" spans="2:37" ht="13.5" thickTop="1">
      <c r="B46" s="539">
        <v>12</v>
      </c>
      <c r="C46" s="153" t="s">
        <v>73</v>
      </c>
      <c r="D46" s="154" t="s">
        <v>217</v>
      </c>
      <c r="E46" s="155" t="s">
        <v>208</v>
      </c>
      <c r="F46" s="156" t="str">
        <f ca="1">INDEX('NARM6 - Risk Summary'!$Q:$Q,MATCH($C46,'NARM6 - Risk Summary'!$B:$B,0)+5)</f>
        <v/>
      </c>
      <c r="G46" s="157">
        <f>INDEX('NARM6 - Risk Summary'!$T:$T,MATCH($C46,'NARM6 - Risk Summary'!$B:$B,0))</f>
        <v>0</v>
      </c>
      <c r="H46" s="158">
        <f>INDEX('NARM6 - Risk Summary'!$T:$T,MATCH($C46,'NARM6 - Risk Summary'!$B:$B,0)+1)</f>
        <v>0</v>
      </c>
      <c r="I46" s="158">
        <f>INDEX('NARM6 - Risk Summary'!$T:$T,MATCH($C46,'NARM6 - Risk Summary'!$B:$B,0)+2)</f>
        <v>0</v>
      </c>
      <c r="J46" s="159">
        <f>INDEX('NARM6 - Risk Summary'!$T:$T,MATCH($C46,'NARM6 - Risk Summary'!$B:$B,0)+3)</f>
        <v>0</v>
      </c>
      <c r="K46" s="159">
        <f>INDEX('NARM6 - Risk Summary'!$T:$T,MATCH($C46,'NARM6 - Risk Summary'!$B:$B,0)+4)</f>
        <v>0</v>
      </c>
      <c r="L46" s="160">
        <f t="shared" si="6"/>
        <v>0</v>
      </c>
      <c r="M46" s="161" t="str">
        <f t="shared" ca="1" si="7"/>
        <v/>
      </c>
      <c r="N46" s="156" t="str">
        <f ca="1">INDEX('NARM6 - Risk Summary'!$R:$R,MATCH($C46,'NARM6 - Risk Summary'!$B:$B,0)+5)</f>
        <v/>
      </c>
      <c r="O46" s="157">
        <f>INDEX('NARM6 - Risk Summary'!$U:$U,MATCH($C46,'NARM6 - Risk Summary'!$B:$B,0))</f>
        <v>0</v>
      </c>
      <c r="P46" s="158">
        <f>INDEX('NARM6 - Risk Summary'!$U:$U,MATCH($C46,'NARM6 - Risk Summary'!$B:$B,0)+1)</f>
        <v>0</v>
      </c>
      <c r="Q46" s="158">
        <f>INDEX('NARM6 - Risk Summary'!$U:$U,MATCH($C46,'NARM6 - Risk Summary'!$B:$B,0)+2)</f>
        <v>0</v>
      </c>
      <c r="R46" s="159">
        <f>INDEX('NARM6 - Risk Summary'!$U:$U,MATCH($C46,'NARM6 - Risk Summary'!$B:$B,0)+3)</f>
        <v>0</v>
      </c>
      <c r="S46" s="159">
        <f>INDEX('NARM6 - Risk Summary'!$U:$U,MATCH($C46,'NARM6 - Risk Summary'!$B:$B,0)+4)</f>
        <v>0</v>
      </c>
      <c r="T46" s="160">
        <f t="shared" si="8"/>
        <v>0</v>
      </c>
      <c r="U46" s="161" t="str">
        <f t="shared" ca="1" si="9"/>
        <v/>
      </c>
      <c r="V46" s="156" t="str">
        <f ca="1">INDEX('NARM6 - Risk Summary'!$S:$S,MATCH($C46,'NARM6 - Risk Summary'!$B:$B,0)+5)</f>
        <v/>
      </c>
      <c r="W46" s="157">
        <f>INDEX('NARM6 - Risk Summary'!$V:$V,MATCH($C46,'NARM6 - Risk Summary'!$B:$B,0))</f>
        <v>0</v>
      </c>
      <c r="X46" s="158">
        <f>INDEX('NARM6 - Risk Summary'!$V:$V,MATCH($C46,'NARM6 - Risk Summary'!$B:$B,0)+1)</f>
        <v>0</v>
      </c>
      <c r="Y46" s="158">
        <f>INDEX('NARM6 - Risk Summary'!$V:$V,MATCH($C46,'NARM6 - Risk Summary'!$B:$B,0)+2)</f>
        <v>0</v>
      </c>
      <c r="Z46" s="159">
        <f>INDEX('NARM6 - Risk Summary'!$V:$V,MATCH($C46,'NARM6 - Risk Summary'!$B:$B,0)+3)</f>
        <v>0</v>
      </c>
      <c r="AA46" s="159">
        <f>INDEX('NARM6 - Risk Summary'!$V:$V,MATCH($C46,'NARM6 - Risk Summary'!$B:$B,0)+4)</f>
        <v>0</v>
      </c>
      <c r="AB46" s="160">
        <f t="shared" si="10"/>
        <v>0</v>
      </c>
      <c r="AC46" s="161" t="str">
        <f t="shared" ca="1" si="11"/>
        <v/>
      </c>
      <c r="AD46" s="162">
        <f t="shared" ca="1" si="12"/>
        <v>0</v>
      </c>
      <c r="AE46" s="157">
        <f t="shared" si="0"/>
        <v>0</v>
      </c>
      <c r="AF46" s="158">
        <f t="shared" si="1"/>
        <v>0</v>
      </c>
      <c r="AG46" s="158">
        <f t="shared" si="2"/>
        <v>0</v>
      </c>
      <c r="AH46" s="158">
        <f t="shared" si="3"/>
        <v>0</v>
      </c>
      <c r="AI46" s="190">
        <f t="shared" si="4"/>
        <v>0</v>
      </c>
      <c r="AJ46" s="165">
        <f t="shared" si="5"/>
        <v>0</v>
      </c>
      <c r="AK46" s="161" t="str">
        <f ca="1">IF(IFERROR((AE46+AF46++AG46+AI46)/AD46,"")&lt;0,0,IFERROR((AE46+AF46+AG46+AI46)/AD46,""))</f>
        <v/>
      </c>
    </row>
    <row r="47" spans="2:37">
      <c r="B47" s="539">
        <v>17</v>
      </c>
      <c r="C47" s="166" t="s">
        <v>78</v>
      </c>
      <c r="D47" s="167" t="s">
        <v>217</v>
      </c>
      <c r="E47" s="168" t="s">
        <v>208</v>
      </c>
      <c r="F47" s="169" t="str">
        <f ca="1">INDEX('NARM6 - Risk Summary'!$Q:$Q,MATCH($C47,'NARM6 - Risk Summary'!$B:$B,0)+5)</f>
        <v/>
      </c>
      <c r="G47" s="170">
        <f>INDEX('NARM6 - Risk Summary'!$T:$T,MATCH($C47,'NARM6 - Risk Summary'!$B:$B,0))</f>
        <v>0</v>
      </c>
      <c r="H47" s="171">
        <f>INDEX('NARM6 - Risk Summary'!$T:$T,MATCH($C47,'NARM6 - Risk Summary'!$B:$B,0)+1)</f>
        <v>0</v>
      </c>
      <c r="I47" s="171">
        <f>INDEX('NARM6 - Risk Summary'!$T:$T,MATCH($C47,'NARM6 - Risk Summary'!$B:$B,0)+2)</f>
        <v>0</v>
      </c>
      <c r="J47" s="172">
        <f>INDEX('NARM6 - Risk Summary'!$T:$T,MATCH($C47,'NARM6 - Risk Summary'!$B:$B,0)+3)</f>
        <v>0</v>
      </c>
      <c r="K47" s="172">
        <f>INDEX('NARM6 - Risk Summary'!$T:$T,MATCH($C47,'NARM6 - Risk Summary'!$B:$B,0)+4)</f>
        <v>0</v>
      </c>
      <c r="L47" s="173">
        <f t="shared" si="6"/>
        <v>0</v>
      </c>
      <c r="M47" s="174" t="str">
        <f t="shared" ca="1" si="7"/>
        <v/>
      </c>
      <c r="N47" s="169" t="str">
        <f ca="1">INDEX('NARM6 - Risk Summary'!$R:$R,MATCH($C47,'NARM6 - Risk Summary'!$B:$B,0)+5)</f>
        <v/>
      </c>
      <c r="O47" s="170">
        <f>INDEX('NARM6 - Risk Summary'!$U:$U,MATCH($C47,'NARM6 - Risk Summary'!$B:$B,0))</f>
        <v>0</v>
      </c>
      <c r="P47" s="171">
        <f>INDEX('NARM6 - Risk Summary'!$U:$U,MATCH($C47,'NARM6 - Risk Summary'!$B:$B,0)+1)</f>
        <v>0</v>
      </c>
      <c r="Q47" s="171">
        <f>INDEX('NARM6 - Risk Summary'!$U:$U,MATCH($C47,'NARM6 - Risk Summary'!$B:$B,0)+2)</f>
        <v>0</v>
      </c>
      <c r="R47" s="172">
        <f>INDEX('NARM6 - Risk Summary'!$U:$U,MATCH($C47,'NARM6 - Risk Summary'!$B:$B,0)+3)</f>
        <v>0</v>
      </c>
      <c r="S47" s="172">
        <f>INDEX('NARM6 - Risk Summary'!$U:$U,MATCH($C47,'NARM6 - Risk Summary'!$B:$B,0)+4)</f>
        <v>0</v>
      </c>
      <c r="T47" s="173">
        <f t="shared" si="8"/>
        <v>0</v>
      </c>
      <c r="U47" s="174" t="str">
        <f t="shared" ca="1" si="9"/>
        <v/>
      </c>
      <c r="V47" s="169" t="str">
        <f ca="1">INDEX('NARM6 - Risk Summary'!$S:$S,MATCH($C47,'NARM6 - Risk Summary'!$B:$B,0)+5)</f>
        <v/>
      </c>
      <c r="W47" s="170">
        <f>INDEX('NARM6 - Risk Summary'!$V:$V,MATCH($C47,'NARM6 - Risk Summary'!$B:$B,0))</f>
        <v>0</v>
      </c>
      <c r="X47" s="171">
        <f>INDEX('NARM6 - Risk Summary'!$V:$V,MATCH($C47,'NARM6 - Risk Summary'!$B:$B,0)+1)</f>
        <v>0</v>
      </c>
      <c r="Y47" s="171">
        <f>INDEX('NARM6 - Risk Summary'!$V:$V,MATCH($C47,'NARM6 - Risk Summary'!$B:$B,0)+2)</f>
        <v>0</v>
      </c>
      <c r="Z47" s="172">
        <f>INDEX('NARM6 - Risk Summary'!$V:$V,MATCH($C47,'NARM6 - Risk Summary'!$B:$B,0)+3)</f>
        <v>0</v>
      </c>
      <c r="AA47" s="172">
        <f>INDEX('NARM6 - Risk Summary'!$V:$V,MATCH($C47,'NARM6 - Risk Summary'!$B:$B,0)+4)</f>
        <v>0</v>
      </c>
      <c r="AB47" s="173">
        <f t="shared" si="10"/>
        <v>0</v>
      </c>
      <c r="AC47" s="174" t="str">
        <f t="shared" ca="1" si="11"/>
        <v/>
      </c>
      <c r="AD47" s="175">
        <f t="shared" ca="1" si="12"/>
        <v>0</v>
      </c>
      <c r="AE47" s="170">
        <f t="shared" si="0"/>
        <v>0</v>
      </c>
      <c r="AF47" s="171">
        <f t="shared" si="1"/>
        <v>0</v>
      </c>
      <c r="AG47" s="171">
        <f t="shared" si="2"/>
        <v>0</v>
      </c>
      <c r="AH47" s="171">
        <f t="shared" si="3"/>
        <v>0</v>
      </c>
      <c r="AI47" s="176">
        <f t="shared" si="4"/>
        <v>0</v>
      </c>
      <c r="AJ47" s="177">
        <f t="shared" si="5"/>
        <v>0</v>
      </c>
      <c r="AK47" s="174" t="str">
        <f t="shared" ref="AK47:AK64" ca="1" si="21">IF(IFERROR((AE47+AF47+AG47+AI47)/AD47,"")&lt;0,0,IFERROR((AE47+AF47+AG47+AI47)/AD47,""))</f>
        <v/>
      </c>
    </row>
    <row r="48" spans="2:37">
      <c r="B48" s="539">
        <v>38</v>
      </c>
      <c r="C48" s="166" t="s">
        <v>99</v>
      </c>
      <c r="D48" s="167" t="s">
        <v>217</v>
      </c>
      <c r="E48" s="168" t="s">
        <v>209</v>
      </c>
      <c r="F48" s="169" t="str">
        <f ca="1">INDEX('NARM6 - Risk Summary'!$Q:$Q,MATCH($C48,'NARM6 - Risk Summary'!$B:$B,0)+5)</f>
        <v/>
      </c>
      <c r="G48" s="170">
        <f>INDEX('NARM6 - Risk Summary'!$T:$T,MATCH($C48,'NARM6 - Risk Summary'!$B:$B,0))</f>
        <v>0</v>
      </c>
      <c r="H48" s="171">
        <f>INDEX('NARM6 - Risk Summary'!$T:$T,MATCH($C48,'NARM6 - Risk Summary'!$B:$B,0)+1)</f>
        <v>0</v>
      </c>
      <c r="I48" s="171">
        <f>INDEX('NARM6 - Risk Summary'!$T:$T,MATCH($C48,'NARM6 - Risk Summary'!$B:$B,0)+2)</f>
        <v>0</v>
      </c>
      <c r="J48" s="172">
        <f>INDEX('NARM6 - Risk Summary'!$T:$T,MATCH($C48,'NARM6 - Risk Summary'!$B:$B,0)+3)</f>
        <v>0</v>
      </c>
      <c r="K48" s="172">
        <f>INDEX('NARM6 - Risk Summary'!$T:$T,MATCH($C48,'NARM6 - Risk Summary'!$B:$B,0)+4)</f>
        <v>0</v>
      </c>
      <c r="L48" s="173">
        <f t="shared" si="6"/>
        <v>0</v>
      </c>
      <c r="M48" s="174" t="str">
        <f t="shared" ca="1" si="7"/>
        <v/>
      </c>
      <c r="N48" s="169" t="str">
        <f ca="1">INDEX('NARM6 - Risk Summary'!$R:$R,MATCH($C48,'NARM6 - Risk Summary'!$B:$B,0)+5)</f>
        <v/>
      </c>
      <c r="O48" s="170">
        <f>INDEX('NARM6 - Risk Summary'!$U:$U,MATCH($C48,'NARM6 - Risk Summary'!$B:$B,0))</f>
        <v>0</v>
      </c>
      <c r="P48" s="171">
        <f>INDEX('NARM6 - Risk Summary'!$U:$U,MATCH($C48,'NARM6 - Risk Summary'!$B:$B,0)+1)</f>
        <v>0</v>
      </c>
      <c r="Q48" s="171">
        <f>INDEX('NARM6 - Risk Summary'!$U:$U,MATCH($C48,'NARM6 - Risk Summary'!$B:$B,0)+2)</f>
        <v>0</v>
      </c>
      <c r="R48" s="172">
        <f>INDEX('NARM6 - Risk Summary'!$U:$U,MATCH($C48,'NARM6 - Risk Summary'!$B:$B,0)+3)</f>
        <v>0</v>
      </c>
      <c r="S48" s="172">
        <f>INDEX('NARM6 - Risk Summary'!$U:$U,MATCH($C48,'NARM6 - Risk Summary'!$B:$B,0)+4)</f>
        <v>0</v>
      </c>
      <c r="T48" s="173">
        <f t="shared" si="8"/>
        <v>0</v>
      </c>
      <c r="U48" s="174" t="str">
        <f t="shared" ca="1" si="9"/>
        <v/>
      </c>
      <c r="V48" s="169" t="str">
        <f ca="1">INDEX('NARM6 - Risk Summary'!$S:$S,MATCH($C48,'NARM6 - Risk Summary'!$B:$B,0)+5)</f>
        <v/>
      </c>
      <c r="W48" s="170">
        <f>INDEX('NARM6 - Risk Summary'!$V:$V,MATCH($C48,'NARM6 - Risk Summary'!$B:$B,0))</f>
        <v>0</v>
      </c>
      <c r="X48" s="171">
        <f>INDEX('NARM6 - Risk Summary'!$V:$V,MATCH($C48,'NARM6 - Risk Summary'!$B:$B,0)+1)</f>
        <v>0</v>
      </c>
      <c r="Y48" s="171">
        <f>INDEX('NARM6 - Risk Summary'!$V:$V,MATCH($C48,'NARM6 - Risk Summary'!$B:$B,0)+2)</f>
        <v>0</v>
      </c>
      <c r="Z48" s="172">
        <f>INDEX('NARM6 - Risk Summary'!$V:$V,MATCH($C48,'NARM6 - Risk Summary'!$B:$B,0)+3)</f>
        <v>0</v>
      </c>
      <c r="AA48" s="172">
        <f>INDEX('NARM6 - Risk Summary'!$V:$V,MATCH($C48,'NARM6 - Risk Summary'!$B:$B,0)+4)</f>
        <v>0</v>
      </c>
      <c r="AB48" s="173">
        <f t="shared" si="10"/>
        <v>0</v>
      </c>
      <c r="AC48" s="174" t="str">
        <f t="shared" ca="1" si="11"/>
        <v/>
      </c>
      <c r="AD48" s="175">
        <f t="shared" ca="1" si="12"/>
        <v>0</v>
      </c>
      <c r="AE48" s="170">
        <f t="shared" si="0"/>
        <v>0</v>
      </c>
      <c r="AF48" s="171">
        <f t="shared" si="1"/>
        <v>0</v>
      </c>
      <c r="AG48" s="171">
        <f t="shared" si="2"/>
        <v>0</v>
      </c>
      <c r="AH48" s="171">
        <f t="shared" si="3"/>
        <v>0</v>
      </c>
      <c r="AI48" s="176">
        <f t="shared" si="4"/>
        <v>0</v>
      </c>
      <c r="AJ48" s="177">
        <f t="shared" si="5"/>
        <v>0</v>
      </c>
      <c r="AK48" s="174" t="str">
        <f t="shared" ca="1" si="21"/>
        <v/>
      </c>
    </row>
    <row r="49" spans="2:46">
      <c r="B49" s="539">
        <v>39</v>
      </c>
      <c r="C49" s="166" t="s">
        <v>100</v>
      </c>
      <c r="D49" s="167" t="s">
        <v>217</v>
      </c>
      <c r="E49" s="168" t="s">
        <v>209</v>
      </c>
      <c r="F49" s="169" t="str">
        <f ca="1">INDEX('NARM6 - Risk Summary'!$Q:$Q,MATCH($C49,'NARM6 - Risk Summary'!$B:$B,0)+5)</f>
        <v/>
      </c>
      <c r="G49" s="170">
        <f>INDEX('NARM6 - Risk Summary'!$T:$T,MATCH($C49,'NARM6 - Risk Summary'!$B:$B,0))</f>
        <v>0</v>
      </c>
      <c r="H49" s="171">
        <f>INDEX('NARM6 - Risk Summary'!$T:$T,MATCH($C49,'NARM6 - Risk Summary'!$B:$B,0)+1)</f>
        <v>0</v>
      </c>
      <c r="I49" s="171">
        <f>INDEX('NARM6 - Risk Summary'!$T:$T,MATCH($C49,'NARM6 - Risk Summary'!$B:$B,0)+2)</f>
        <v>0</v>
      </c>
      <c r="J49" s="172">
        <f>INDEX('NARM6 - Risk Summary'!$T:$T,MATCH($C49,'NARM6 - Risk Summary'!$B:$B,0)+3)</f>
        <v>0</v>
      </c>
      <c r="K49" s="172">
        <f>INDEX('NARM6 - Risk Summary'!$T:$T,MATCH($C49,'NARM6 - Risk Summary'!$B:$B,0)+4)</f>
        <v>0</v>
      </c>
      <c r="L49" s="173">
        <f t="shared" si="6"/>
        <v>0</v>
      </c>
      <c r="M49" s="174" t="str">
        <f t="shared" ca="1" si="7"/>
        <v/>
      </c>
      <c r="N49" s="169" t="str">
        <f ca="1">INDEX('NARM6 - Risk Summary'!$R:$R,MATCH($C49,'NARM6 - Risk Summary'!$B:$B,0)+5)</f>
        <v/>
      </c>
      <c r="O49" s="170">
        <f>INDEX('NARM6 - Risk Summary'!$U:$U,MATCH($C49,'NARM6 - Risk Summary'!$B:$B,0))</f>
        <v>0</v>
      </c>
      <c r="P49" s="171">
        <f>INDEX('NARM6 - Risk Summary'!$U:$U,MATCH($C49,'NARM6 - Risk Summary'!$B:$B,0)+1)</f>
        <v>0</v>
      </c>
      <c r="Q49" s="171">
        <f>INDEX('NARM6 - Risk Summary'!$U:$U,MATCH($C49,'NARM6 - Risk Summary'!$B:$B,0)+2)</f>
        <v>0</v>
      </c>
      <c r="R49" s="172">
        <f>INDEX('NARM6 - Risk Summary'!$U:$U,MATCH($C49,'NARM6 - Risk Summary'!$B:$B,0)+3)</f>
        <v>0</v>
      </c>
      <c r="S49" s="172">
        <f>INDEX('NARM6 - Risk Summary'!$U:$U,MATCH($C49,'NARM6 - Risk Summary'!$B:$B,0)+4)</f>
        <v>0</v>
      </c>
      <c r="T49" s="173">
        <f t="shared" si="8"/>
        <v>0</v>
      </c>
      <c r="U49" s="174" t="str">
        <f t="shared" ca="1" si="9"/>
        <v/>
      </c>
      <c r="V49" s="169" t="str">
        <f ca="1">INDEX('NARM6 - Risk Summary'!$S:$S,MATCH($C49,'NARM6 - Risk Summary'!$B:$B,0)+5)</f>
        <v/>
      </c>
      <c r="W49" s="170">
        <f>INDEX('NARM6 - Risk Summary'!$V:$V,MATCH($C49,'NARM6 - Risk Summary'!$B:$B,0))</f>
        <v>0</v>
      </c>
      <c r="X49" s="171">
        <f>INDEX('NARM6 - Risk Summary'!$V:$V,MATCH($C49,'NARM6 - Risk Summary'!$B:$B,0)+1)</f>
        <v>0</v>
      </c>
      <c r="Y49" s="171">
        <f>INDEX('NARM6 - Risk Summary'!$V:$V,MATCH($C49,'NARM6 - Risk Summary'!$B:$B,0)+2)</f>
        <v>0</v>
      </c>
      <c r="Z49" s="172">
        <f>INDEX('NARM6 - Risk Summary'!$V:$V,MATCH($C49,'NARM6 - Risk Summary'!$B:$B,0)+3)</f>
        <v>0</v>
      </c>
      <c r="AA49" s="172">
        <f>INDEX('NARM6 - Risk Summary'!$V:$V,MATCH($C49,'NARM6 - Risk Summary'!$B:$B,0)+4)</f>
        <v>0</v>
      </c>
      <c r="AB49" s="173">
        <f t="shared" si="10"/>
        <v>0</v>
      </c>
      <c r="AC49" s="174" t="str">
        <f t="shared" ca="1" si="11"/>
        <v/>
      </c>
      <c r="AD49" s="175">
        <f t="shared" ca="1" si="12"/>
        <v>0</v>
      </c>
      <c r="AE49" s="170">
        <f t="shared" si="0"/>
        <v>0</v>
      </c>
      <c r="AF49" s="171">
        <f t="shared" si="1"/>
        <v>0</v>
      </c>
      <c r="AG49" s="171">
        <f t="shared" si="2"/>
        <v>0</v>
      </c>
      <c r="AH49" s="171">
        <f t="shared" si="3"/>
        <v>0</v>
      </c>
      <c r="AI49" s="176">
        <f t="shared" si="4"/>
        <v>0</v>
      </c>
      <c r="AJ49" s="177">
        <f t="shared" si="5"/>
        <v>0</v>
      </c>
      <c r="AK49" s="174" t="str">
        <f t="shared" ca="1" si="21"/>
        <v/>
      </c>
    </row>
    <row r="50" spans="2:46">
      <c r="B50" s="539">
        <v>40</v>
      </c>
      <c r="C50" s="166" t="s">
        <v>101</v>
      </c>
      <c r="D50" s="167" t="s">
        <v>217</v>
      </c>
      <c r="E50" s="168" t="s">
        <v>209</v>
      </c>
      <c r="F50" s="169" t="str">
        <f ca="1">INDEX('NARM6 - Risk Summary'!$Q:$Q,MATCH($C50,'NARM6 - Risk Summary'!$B:$B,0)+5)</f>
        <v/>
      </c>
      <c r="G50" s="170">
        <f>INDEX('NARM6 - Risk Summary'!$T:$T,MATCH($C50,'NARM6 - Risk Summary'!$B:$B,0))</f>
        <v>0</v>
      </c>
      <c r="H50" s="171">
        <f>INDEX('NARM6 - Risk Summary'!$T:$T,MATCH($C50,'NARM6 - Risk Summary'!$B:$B,0)+1)</f>
        <v>0</v>
      </c>
      <c r="I50" s="171">
        <f>INDEX('NARM6 - Risk Summary'!$T:$T,MATCH($C50,'NARM6 - Risk Summary'!$B:$B,0)+2)</f>
        <v>0</v>
      </c>
      <c r="J50" s="172">
        <f>INDEX('NARM6 - Risk Summary'!$T:$T,MATCH($C50,'NARM6 - Risk Summary'!$B:$B,0)+3)</f>
        <v>0</v>
      </c>
      <c r="K50" s="172">
        <f>INDEX('NARM6 - Risk Summary'!$T:$T,MATCH($C50,'NARM6 - Risk Summary'!$B:$B,0)+4)</f>
        <v>0</v>
      </c>
      <c r="L50" s="173">
        <f t="shared" si="6"/>
        <v>0</v>
      </c>
      <c r="M50" s="174" t="str">
        <f t="shared" ca="1" si="7"/>
        <v/>
      </c>
      <c r="N50" s="169" t="str">
        <f ca="1">INDEX('NARM6 - Risk Summary'!$R:$R,MATCH($C50,'NARM6 - Risk Summary'!$B:$B,0)+5)</f>
        <v/>
      </c>
      <c r="O50" s="170">
        <f>INDEX('NARM6 - Risk Summary'!$U:$U,MATCH($C50,'NARM6 - Risk Summary'!$B:$B,0))</f>
        <v>0</v>
      </c>
      <c r="P50" s="171">
        <f>INDEX('NARM6 - Risk Summary'!$U:$U,MATCH($C50,'NARM6 - Risk Summary'!$B:$B,0)+1)</f>
        <v>0</v>
      </c>
      <c r="Q50" s="171">
        <f>INDEX('NARM6 - Risk Summary'!$U:$U,MATCH($C50,'NARM6 - Risk Summary'!$B:$B,0)+2)</f>
        <v>0</v>
      </c>
      <c r="R50" s="172">
        <f>INDEX('NARM6 - Risk Summary'!$U:$U,MATCH($C50,'NARM6 - Risk Summary'!$B:$B,0)+3)</f>
        <v>0</v>
      </c>
      <c r="S50" s="172">
        <f>INDEX('NARM6 - Risk Summary'!$U:$U,MATCH($C50,'NARM6 - Risk Summary'!$B:$B,0)+4)</f>
        <v>0</v>
      </c>
      <c r="T50" s="173">
        <f t="shared" si="8"/>
        <v>0</v>
      </c>
      <c r="U50" s="174" t="str">
        <f t="shared" ca="1" si="9"/>
        <v/>
      </c>
      <c r="V50" s="169" t="str">
        <f ca="1">INDEX('NARM6 - Risk Summary'!$S:$S,MATCH($C50,'NARM6 - Risk Summary'!$B:$B,0)+5)</f>
        <v/>
      </c>
      <c r="W50" s="170">
        <f>INDEX('NARM6 - Risk Summary'!$V:$V,MATCH($C50,'NARM6 - Risk Summary'!$B:$B,0))</f>
        <v>0</v>
      </c>
      <c r="X50" s="171">
        <f>INDEX('NARM6 - Risk Summary'!$V:$V,MATCH($C50,'NARM6 - Risk Summary'!$B:$B,0)+1)</f>
        <v>0</v>
      </c>
      <c r="Y50" s="171">
        <f>INDEX('NARM6 - Risk Summary'!$V:$V,MATCH($C50,'NARM6 - Risk Summary'!$B:$B,0)+2)</f>
        <v>0</v>
      </c>
      <c r="Z50" s="172">
        <f>INDEX('NARM6 - Risk Summary'!$V:$V,MATCH($C50,'NARM6 - Risk Summary'!$B:$B,0)+3)</f>
        <v>0</v>
      </c>
      <c r="AA50" s="172">
        <f>INDEX('NARM6 - Risk Summary'!$V:$V,MATCH($C50,'NARM6 - Risk Summary'!$B:$B,0)+4)</f>
        <v>0</v>
      </c>
      <c r="AB50" s="173">
        <f t="shared" si="10"/>
        <v>0</v>
      </c>
      <c r="AC50" s="174" t="str">
        <f t="shared" ca="1" si="11"/>
        <v/>
      </c>
      <c r="AD50" s="175">
        <f t="shared" ca="1" si="12"/>
        <v>0</v>
      </c>
      <c r="AE50" s="170">
        <f t="shared" si="0"/>
        <v>0</v>
      </c>
      <c r="AF50" s="171">
        <f t="shared" si="1"/>
        <v>0</v>
      </c>
      <c r="AG50" s="171">
        <f t="shared" si="2"/>
        <v>0</v>
      </c>
      <c r="AH50" s="171">
        <f t="shared" si="3"/>
        <v>0</v>
      </c>
      <c r="AI50" s="176">
        <f t="shared" si="4"/>
        <v>0</v>
      </c>
      <c r="AJ50" s="177">
        <f t="shared" si="5"/>
        <v>0</v>
      </c>
      <c r="AK50" s="174" t="str">
        <f t="shared" ca="1" si="21"/>
        <v/>
      </c>
      <c r="AT50" s="204"/>
    </row>
    <row r="51" spans="2:46">
      <c r="B51" s="539">
        <v>41</v>
      </c>
      <c r="C51" s="166" t="s">
        <v>102</v>
      </c>
      <c r="D51" s="167" t="s">
        <v>217</v>
      </c>
      <c r="E51" s="168" t="s">
        <v>209</v>
      </c>
      <c r="F51" s="169" t="str">
        <f ca="1">INDEX('NARM6 - Risk Summary'!$Q:$Q,MATCH($C51,'NARM6 - Risk Summary'!$B:$B,0)+5)</f>
        <v/>
      </c>
      <c r="G51" s="170">
        <f>INDEX('NARM6 - Risk Summary'!$T:$T,MATCH($C51,'NARM6 - Risk Summary'!$B:$B,0))</f>
        <v>0</v>
      </c>
      <c r="H51" s="171">
        <f>INDEX('NARM6 - Risk Summary'!$T:$T,MATCH($C51,'NARM6 - Risk Summary'!$B:$B,0)+1)</f>
        <v>0</v>
      </c>
      <c r="I51" s="171">
        <f>INDEX('NARM6 - Risk Summary'!$T:$T,MATCH($C51,'NARM6 - Risk Summary'!$B:$B,0)+2)</f>
        <v>0</v>
      </c>
      <c r="J51" s="172">
        <f>INDEX('NARM6 - Risk Summary'!$T:$T,MATCH($C51,'NARM6 - Risk Summary'!$B:$B,0)+3)</f>
        <v>0</v>
      </c>
      <c r="K51" s="172">
        <f>INDEX('NARM6 - Risk Summary'!$T:$T,MATCH($C51,'NARM6 - Risk Summary'!$B:$B,0)+4)</f>
        <v>0</v>
      </c>
      <c r="L51" s="173">
        <f t="shared" si="6"/>
        <v>0</v>
      </c>
      <c r="M51" s="174" t="str">
        <f t="shared" ca="1" si="7"/>
        <v/>
      </c>
      <c r="N51" s="169" t="str">
        <f ca="1">INDEX('NARM6 - Risk Summary'!$R:$R,MATCH($C51,'NARM6 - Risk Summary'!$B:$B,0)+5)</f>
        <v/>
      </c>
      <c r="O51" s="170">
        <f>INDEX('NARM6 - Risk Summary'!$U:$U,MATCH($C51,'NARM6 - Risk Summary'!$B:$B,0))</f>
        <v>0</v>
      </c>
      <c r="P51" s="171">
        <f>INDEX('NARM6 - Risk Summary'!$U:$U,MATCH($C51,'NARM6 - Risk Summary'!$B:$B,0)+1)</f>
        <v>0</v>
      </c>
      <c r="Q51" s="171">
        <f>INDEX('NARM6 - Risk Summary'!$U:$U,MATCH($C51,'NARM6 - Risk Summary'!$B:$B,0)+2)</f>
        <v>0</v>
      </c>
      <c r="R51" s="172">
        <f>INDEX('NARM6 - Risk Summary'!$U:$U,MATCH($C51,'NARM6 - Risk Summary'!$B:$B,0)+3)</f>
        <v>0</v>
      </c>
      <c r="S51" s="172">
        <f>INDEX('NARM6 - Risk Summary'!$U:$U,MATCH($C51,'NARM6 - Risk Summary'!$B:$B,0)+4)</f>
        <v>0</v>
      </c>
      <c r="T51" s="173">
        <f t="shared" si="8"/>
        <v>0</v>
      </c>
      <c r="U51" s="174" t="str">
        <f t="shared" ca="1" si="9"/>
        <v/>
      </c>
      <c r="V51" s="169" t="str">
        <f ca="1">INDEX('NARM6 - Risk Summary'!$S:$S,MATCH($C51,'NARM6 - Risk Summary'!$B:$B,0)+5)</f>
        <v/>
      </c>
      <c r="W51" s="170">
        <f>INDEX('NARM6 - Risk Summary'!$V:$V,MATCH($C51,'NARM6 - Risk Summary'!$B:$B,0))</f>
        <v>0</v>
      </c>
      <c r="X51" s="171">
        <f>INDEX('NARM6 - Risk Summary'!$V:$V,MATCH($C51,'NARM6 - Risk Summary'!$B:$B,0)+1)</f>
        <v>0</v>
      </c>
      <c r="Y51" s="171">
        <f>INDEX('NARM6 - Risk Summary'!$V:$V,MATCH($C51,'NARM6 - Risk Summary'!$B:$B,0)+2)</f>
        <v>0</v>
      </c>
      <c r="Z51" s="172">
        <f>INDEX('NARM6 - Risk Summary'!$V:$V,MATCH($C51,'NARM6 - Risk Summary'!$B:$B,0)+3)</f>
        <v>0</v>
      </c>
      <c r="AA51" s="172">
        <f>INDEX('NARM6 - Risk Summary'!$V:$V,MATCH($C51,'NARM6 - Risk Summary'!$B:$B,0)+4)</f>
        <v>0</v>
      </c>
      <c r="AB51" s="173">
        <f t="shared" si="10"/>
        <v>0</v>
      </c>
      <c r="AC51" s="174" t="str">
        <f t="shared" ca="1" si="11"/>
        <v/>
      </c>
      <c r="AD51" s="175">
        <f t="shared" ca="1" si="12"/>
        <v>0</v>
      </c>
      <c r="AE51" s="170">
        <f t="shared" si="0"/>
        <v>0</v>
      </c>
      <c r="AF51" s="171">
        <f t="shared" si="1"/>
        <v>0</v>
      </c>
      <c r="AG51" s="171">
        <f t="shared" si="2"/>
        <v>0</v>
      </c>
      <c r="AH51" s="171">
        <f t="shared" si="3"/>
        <v>0</v>
      </c>
      <c r="AI51" s="176">
        <f t="shared" si="4"/>
        <v>0</v>
      </c>
      <c r="AJ51" s="177">
        <f t="shared" si="5"/>
        <v>0</v>
      </c>
      <c r="AK51" s="174" t="str">
        <f t="shared" ca="1" si="21"/>
        <v/>
      </c>
      <c r="AT51" s="205"/>
    </row>
    <row r="52" spans="2:46">
      <c r="B52" s="539">
        <v>42</v>
      </c>
      <c r="C52" s="166" t="s">
        <v>103</v>
      </c>
      <c r="D52" s="167" t="s">
        <v>217</v>
      </c>
      <c r="E52" s="168" t="s">
        <v>209</v>
      </c>
      <c r="F52" s="169" t="str">
        <f ca="1">INDEX('NARM6 - Risk Summary'!$Q:$Q,MATCH($C52,'NARM6 - Risk Summary'!$B:$B,0)+5)</f>
        <v/>
      </c>
      <c r="G52" s="170">
        <f>INDEX('NARM6 - Risk Summary'!$T:$T,MATCH($C52,'NARM6 - Risk Summary'!$B:$B,0))</f>
        <v>0</v>
      </c>
      <c r="H52" s="171">
        <f>INDEX('NARM6 - Risk Summary'!$T:$T,MATCH($C52,'NARM6 - Risk Summary'!$B:$B,0)+1)</f>
        <v>0</v>
      </c>
      <c r="I52" s="171">
        <f>INDEX('NARM6 - Risk Summary'!$T:$T,MATCH($C52,'NARM6 - Risk Summary'!$B:$B,0)+2)</f>
        <v>0</v>
      </c>
      <c r="J52" s="172">
        <f>INDEX('NARM6 - Risk Summary'!$T:$T,MATCH($C52,'NARM6 - Risk Summary'!$B:$B,0)+3)</f>
        <v>0</v>
      </c>
      <c r="K52" s="172">
        <f>INDEX('NARM6 - Risk Summary'!$T:$T,MATCH($C52,'NARM6 - Risk Summary'!$B:$B,0)+4)</f>
        <v>0</v>
      </c>
      <c r="L52" s="173">
        <f t="shared" si="6"/>
        <v>0</v>
      </c>
      <c r="M52" s="174" t="str">
        <f t="shared" ca="1" si="7"/>
        <v/>
      </c>
      <c r="N52" s="169" t="str">
        <f ca="1">INDEX('NARM6 - Risk Summary'!$R:$R,MATCH($C52,'NARM6 - Risk Summary'!$B:$B,0)+5)</f>
        <v/>
      </c>
      <c r="O52" s="170">
        <f>INDEX('NARM6 - Risk Summary'!$U:$U,MATCH($C52,'NARM6 - Risk Summary'!$B:$B,0))</f>
        <v>0</v>
      </c>
      <c r="P52" s="171">
        <f>INDEX('NARM6 - Risk Summary'!$U:$U,MATCH($C52,'NARM6 - Risk Summary'!$B:$B,0)+1)</f>
        <v>0</v>
      </c>
      <c r="Q52" s="171">
        <f>INDEX('NARM6 - Risk Summary'!$U:$U,MATCH($C52,'NARM6 - Risk Summary'!$B:$B,0)+2)</f>
        <v>0</v>
      </c>
      <c r="R52" s="172">
        <f>INDEX('NARM6 - Risk Summary'!$U:$U,MATCH($C52,'NARM6 - Risk Summary'!$B:$B,0)+3)</f>
        <v>0</v>
      </c>
      <c r="S52" s="172">
        <f>INDEX('NARM6 - Risk Summary'!$U:$U,MATCH($C52,'NARM6 - Risk Summary'!$B:$B,0)+4)</f>
        <v>0</v>
      </c>
      <c r="T52" s="173">
        <f t="shared" si="8"/>
        <v>0</v>
      </c>
      <c r="U52" s="174" t="str">
        <f t="shared" ca="1" si="9"/>
        <v/>
      </c>
      <c r="V52" s="169" t="str">
        <f ca="1">INDEX('NARM6 - Risk Summary'!$S:$S,MATCH($C52,'NARM6 - Risk Summary'!$B:$B,0)+5)</f>
        <v/>
      </c>
      <c r="W52" s="170">
        <f>INDEX('NARM6 - Risk Summary'!$V:$V,MATCH($C52,'NARM6 - Risk Summary'!$B:$B,0))</f>
        <v>0</v>
      </c>
      <c r="X52" s="171">
        <f>INDEX('NARM6 - Risk Summary'!$V:$V,MATCH($C52,'NARM6 - Risk Summary'!$B:$B,0)+1)</f>
        <v>0</v>
      </c>
      <c r="Y52" s="171">
        <f>INDEX('NARM6 - Risk Summary'!$V:$V,MATCH($C52,'NARM6 - Risk Summary'!$B:$B,0)+2)</f>
        <v>0</v>
      </c>
      <c r="Z52" s="172">
        <f>INDEX('NARM6 - Risk Summary'!$V:$V,MATCH($C52,'NARM6 - Risk Summary'!$B:$B,0)+3)</f>
        <v>0</v>
      </c>
      <c r="AA52" s="172">
        <f>INDEX('NARM6 - Risk Summary'!$V:$V,MATCH($C52,'NARM6 - Risk Summary'!$B:$B,0)+4)</f>
        <v>0</v>
      </c>
      <c r="AB52" s="173">
        <f t="shared" si="10"/>
        <v>0</v>
      </c>
      <c r="AC52" s="174" t="str">
        <f t="shared" ca="1" si="11"/>
        <v/>
      </c>
      <c r="AD52" s="175">
        <f t="shared" ca="1" si="12"/>
        <v>0</v>
      </c>
      <c r="AE52" s="170">
        <f t="shared" si="0"/>
        <v>0</v>
      </c>
      <c r="AF52" s="171">
        <f t="shared" si="1"/>
        <v>0</v>
      </c>
      <c r="AG52" s="171">
        <f t="shared" si="2"/>
        <v>0</v>
      </c>
      <c r="AH52" s="171">
        <f t="shared" si="3"/>
        <v>0</v>
      </c>
      <c r="AI52" s="176">
        <f t="shared" si="4"/>
        <v>0</v>
      </c>
      <c r="AJ52" s="177">
        <f t="shared" si="5"/>
        <v>0</v>
      </c>
      <c r="AK52" s="174" t="str">
        <f t="shared" ca="1" si="21"/>
        <v/>
      </c>
    </row>
    <row r="53" spans="2:46">
      <c r="B53" s="539">
        <v>43</v>
      </c>
      <c r="C53" s="166" t="s">
        <v>104</v>
      </c>
      <c r="D53" s="167" t="s">
        <v>217</v>
      </c>
      <c r="E53" s="168" t="s">
        <v>209</v>
      </c>
      <c r="F53" s="169" t="str">
        <f ca="1">INDEX('NARM6 - Risk Summary'!$Q:$Q,MATCH($C53,'NARM6 - Risk Summary'!$B:$B,0)+5)</f>
        <v/>
      </c>
      <c r="G53" s="170">
        <f>INDEX('NARM6 - Risk Summary'!$T:$T,MATCH($C53,'NARM6 - Risk Summary'!$B:$B,0))</f>
        <v>0</v>
      </c>
      <c r="H53" s="171">
        <f>INDEX('NARM6 - Risk Summary'!$T:$T,MATCH($C53,'NARM6 - Risk Summary'!$B:$B,0)+1)</f>
        <v>0</v>
      </c>
      <c r="I53" s="171">
        <f>INDEX('NARM6 - Risk Summary'!$T:$T,MATCH($C53,'NARM6 - Risk Summary'!$B:$B,0)+2)</f>
        <v>0</v>
      </c>
      <c r="J53" s="172">
        <f>INDEX('NARM6 - Risk Summary'!$T:$T,MATCH($C53,'NARM6 - Risk Summary'!$B:$B,0)+3)</f>
        <v>0</v>
      </c>
      <c r="K53" s="172">
        <f>INDEX('NARM6 - Risk Summary'!$T:$T,MATCH($C53,'NARM6 - Risk Summary'!$B:$B,0)+4)</f>
        <v>0</v>
      </c>
      <c r="L53" s="173">
        <f t="shared" si="6"/>
        <v>0</v>
      </c>
      <c r="M53" s="174" t="str">
        <f t="shared" ca="1" si="7"/>
        <v/>
      </c>
      <c r="N53" s="169" t="str">
        <f ca="1">INDEX('NARM6 - Risk Summary'!$R:$R,MATCH($C53,'NARM6 - Risk Summary'!$B:$B,0)+5)</f>
        <v/>
      </c>
      <c r="O53" s="170">
        <f>INDEX('NARM6 - Risk Summary'!$U:$U,MATCH($C53,'NARM6 - Risk Summary'!$B:$B,0))</f>
        <v>0</v>
      </c>
      <c r="P53" s="171">
        <f>INDEX('NARM6 - Risk Summary'!$U:$U,MATCH($C53,'NARM6 - Risk Summary'!$B:$B,0)+1)</f>
        <v>0</v>
      </c>
      <c r="Q53" s="171">
        <f>INDEX('NARM6 - Risk Summary'!$U:$U,MATCH($C53,'NARM6 - Risk Summary'!$B:$B,0)+2)</f>
        <v>0</v>
      </c>
      <c r="R53" s="172">
        <f>INDEX('NARM6 - Risk Summary'!$U:$U,MATCH($C53,'NARM6 - Risk Summary'!$B:$B,0)+3)</f>
        <v>0</v>
      </c>
      <c r="S53" s="172">
        <f>INDEX('NARM6 - Risk Summary'!$U:$U,MATCH($C53,'NARM6 - Risk Summary'!$B:$B,0)+4)</f>
        <v>0</v>
      </c>
      <c r="T53" s="173">
        <f t="shared" si="8"/>
        <v>0</v>
      </c>
      <c r="U53" s="174" t="str">
        <f t="shared" ca="1" si="9"/>
        <v/>
      </c>
      <c r="V53" s="169" t="str">
        <f ca="1">INDEX('NARM6 - Risk Summary'!$S:$S,MATCH($C53,'NARM6 - Risk Summary'!$B:$B,0)+5)</f>
        <v/>
      </c>
      <c r="W53" s="170">
        <f>INDEX('NARM6 - Risk Summary'!$V:$V,MATCH($C53,'NARM6 - Risk Summary'!$B:$B,0))</f>
        <v>0</v>
      </c>
      <c r="X53" s="171">
        <f>INDEX('NARM6 - Risk Summary'!$V:$V,MATCH($C53,'NARM6 - Risk Summary'!$B:$B,0)+1)</f>
        <v>0</v>
      </c>
      <c r="Y53" s="171">
        <f>INDEX('NARM6 - Risk Summary'!$V:$V,MATCH($C53,'NARM6 - Risk Summary'!$B:$B,0)+2)</f>
        <v>0</v>
      </c>
      <c r="Z53" s="172">
        <f>INDEX('NARM6 - Risk Summary'!$V:$V,MATCH($C53,'NARM6 - Risk Summary'!$B:$B,0)+3)</f>
        <v>0</v>
      </c>
      <c r="AA53" s="172">
        <f>INDEX('NARM6 - Risk Summary'!$V:$V,MATCH($C53,'NARM6 - Risk Summary'!$B:$B,0)+4)</f>
        <v>0</v>
      </c>
      <c r="AB53" s="173">
        <f t="shared" si="10"/>
        <v>0</v>
      </c>
      <c r="AC53" s="174" t="str">
        <f t="shared" ca="1" si="11"/>
        <v/>
      </c>
      <c r="AD53" s="175">
        <f t="shared" ca="1" si="12"/>
        <v>0</v>
      </c>
      <c r="AE53" s="170">
        <f t="shared" si="0"/>
        <v>0</v>
      </c>
      <c r="AF53" s="171">
        <f t="shared" si="1"/>
        <v>0</v>
      </c>
      <c r="AG53" s="171">
        <f t="shared" si="2"/>
        <v>0</v>
      </c>
      <c r="AH53" s="171">
        <f t="shared" si="3"/>
        <v>0</v>
      </c>
      <c r="AI53" s="176">
        <f t="shared" si="4"/>
        <v>0</v>
      </c>
      <c r="AJ53" s="177">
        <f t="shared" si="5"/>
        <v>0</v>
      </c>
      <c r="AK53" s="174" t="str">
        <f t="shared" ca="1" si="21"/>
        <v/>
      </c>
    </row>
    <row r="54" spans="2:46">
      <c r="B54" s="539">
        <v>44</v>
      </c>
      <c r="C54" s="166" t="s">
        <v>105</v>
      </c>
      <c r="D54" s="167" t="s">
        <v>217</v>
      </c>
      <c r="E54" s="168" t="s">
        <v>209</v>
      </c>
      <c r="F54" s="169" t="str">
        <f ca="1">INDEX('NARM6 - Risk Summary'!$Q:$Q,MATCH($C54,'NARM6 - Risk Summary'!$B:$B,0)+5)</f>
        <v/>
      </c>
      <c r="G54" s="170">
        <f>INDEX('NARM6 - Risk Summary'!$T:$T,MATCH($C54,'NARM6 - Risk Summary'!$B:$B,0))</f>
        <v>0</v>
      </c>
      <c r="H54" s="171">
        <f>INDEX('NARM6 - Risk Summary'!$T:$T,MATCH($C54,'NARM6 - Risk Summary'!$B:$B,0)+1)</f>
        <v>0</v>
      </c>
      <c r="I54" s="171">
        <f>INDEX('NARM6 - Risk Summary'!$T:$T,MATCH($C54,'NARM6 - Risk Summary'!$B:$B,0)+2)</f>
        <v>0</v>
      </c>
      <c r="J54" s="172">
        <f>INDEX('NARM6 - Risk Summary'!$T:$T,MATCH($C54,'NARM6 - Risk Summary'!$B:$B,0)+3)</f>
        <v>0</v>
      </c>
      <c r="K54" s="172">
        <f>INDEX('NARM6 - Risk Summary'!$T:$T,MATCH($C54,'NARM6 - Risk Summary'!$B:$B,0)+4)</f>
        <v>0</v>
      </c>
      <c r="L54" s="173">
        <f t="shared" si="6"/>
        <v>0</v>
      </c>
      <c r="M54" s="174" t="str">
        <f t="shared" ca="1" si="7"/>
        <v/>
      </c>
      <c r="N54" s="169" t="str">
        <f ca="1">INDEX('NARM6 - Risk Summary'!$R:$R,MATCH($C54,'NARM6 - Risk Summary'!$B:$B,0)+5)</f>
        <v/>
      </c>
      <c r="O54" s="170">
        <f>INDEX('NARM6 - Risk Summary'!$U:$U,MATCH($C54,'NARM6 - Risk Summary'!$B:$B,0))</f>
        <v>0</v>
      </c>
      <c r="P54" s="171">
        <f>INDEX('NARM6 - Risk Summary'!$U:$U,MATCH($C54,'NARM6 - Risk Summary'!$B:$B,0)+1)</f>
        <v>0</v>
      </c>
      <c r="Q54" s="171">
        <f>INDEX('NARM6 - Risk Summary'!$U:$U,MATCH($C54,'NARM6 - Risk Summary'!$B:$B,0)+2)</f>
        <v>0</v>
      </c>
      <c r="R54" s="172">
        <f>INDEX('NARM6 - Risk Summary'!$U:$U,MATCH($C54,'NARM6 - Risk Summary'!$B:$B,0)+3)</f>
        <v>0</v>
      </c>
      <c r="S54" s="172">
        <f>INDEX('NARM6 - Risk Summary'!$U:$U,MATCH($C54,'NARM6 - Risk Summary'!$B:$B,0)+4)</f>
        <v>0</v>
      </c>
      <c r="T54" s="173">
        <f t="shared" si="8"/>
        <v>0</v>
      </c>
      <c r="U54" s="174" t="str">
        <f t="shared" ca="1" si="9"/>
        <v/>
      </c>
      <c r="V54" s="169" t="str">
        <f ca="1">INDEX('NARM6 - Risk Summary'!$S:$S,MATCH($C54,'NARM6 - Risk Summary'!$B:$B,0)+5)</f>
        <v/>
      </c>
      <c r="W54" s="170">
        <f>INDEX('NARM6 - Risk Summary'!$V:$V,MATCH($C54,'NARM6 - Risk Summary'!$B:$B,0))</f>
        <v>0</v>
      </c>
      <c r="X54" s="171">
        <f>INDEX('NARM6 - Risk Summary'!$V:$V,MATCH($C54,'NARM6 - Risk Summary'!$B:$B,0)+1)</f>
        <v>0</v>
      </c>
      <c r="Y54" s="171">
        <f>INDEX('NARM6 - Risk Summary'!$V:$V,MATCH($C54,'NARM6 - Risk Summary'!$B:$B,0)+2)</f>
        <v>0</v>
      </c>
      <c r="Z54" s="172">
        <f>INDEX('NARM6 - Risk Summary'!$V:$V,MATCH($C54,'NARM6 - Risk Summary'!$B:$B,0)+3)</f>
        <v>0</v>
      </c>
      <c r="AA54" s="172">
        <f>INDEX('NARM6 - Risk Summary'!$V:$V,MATCH($C54,'NARM6 - Risk Summary'!$B:$B,0)+4)</f>
        <v>0</v>
      </c>
      <c r="AB54" s="173">
        <f t="shared" si="10"/>
        <v>0</v>
      </c>
      <c r="AC54" s="174" t="str">
        <f t="shared" ca="1" si="11"/>
        <v/>
      </c>
      <c r="AD54" s="175">
        <f t="shared" ca="1" si="12"/>
        <v>0</v>
      </c>
      <c r="AE54" s="170">
        <f t="shared" si="0"/>
        <v>0</v>
      </c>
      <c r="AF54" s="171">
        <f t="shared" si="1"/>
        <v>0</v>
      </c>
      <c r="AG54" s="171">
        <f t="shared" si="2"/>
        <v>0</v>
      </c>
      <c r="AH54" s="171">
        <f t="shared" si="3"/>
        <v>0</v>
      </c>
      <c r="AI54" s="176">
        <f t="shared" si="4"/>
        <v>0</v>
      </c>
      <c r="AJ54" s="177">
        <f t="shared" si="5"/>
        <v>0</v>
      </c>
      <c r="AK54" s="174" t="str">
        <f t="shared" ca="1" si="21"/>
        <v/>
      </c>
    </row>
    <row r="55" spans="2:46">
      <c r="B55" s="539">
        <v>45</v>
      </c>
      <c r="C55" s="166" t="s">
        <v>106</v>
      </c>
      <c r="D55" s="167" t="s">
        <v>217</v>
      </c>
      <c r="E55" s="168" t="s">
        <v>209</v>
      </c>
      <c r="F55" s="169" t="str">
        <f ca="1">INDEX('NARM6 - Risk Summary'!$Q:$Q,MATCH($C55,'NARM6 - Risk Summary'!$B:$B,0)+5)</f>
        <v/>
      </c>
      <c r="G55" s="170">
        <f>INDEX('NARM6 - Risk Summary'!$T:$T,MATCH($C55,'NARM6 - Risk Summary'!$B:$B,0))</f>
        <v>0</v>
      </c>
      <c r="H55" s="171">
        <f>INDEX('NARM6 - Risk Summary'!$T:$T,MATCH($C55,'NARM6 - Risk Summary'!$B:$B,0)+1)</f>
        <v>0</v>
      </c>
      <c r="I55" s="171">
        <f>INDEX('NARM6 - Risk Summary'!$T:$T,MATCH($C55,'NARM6 - Risk Summary'!$B:$B,0)+2)</f>
        <v>0</v>
      </c>
      <c r="J55" s="172">
        <f>INDEX('NARM6 - Risk Summary'!$T:$T,MATCH($C55,'NARM6 - Risk Summary'!$B:$B,0)+3)</f>
        <v>0</v>
      </c>
      <c r="K55" s="172">
        <f>INDEX('NARM6 - Risk Summary'!$T:$T,MATCH($C55,'NARM6 - Risk Summary'!$B:$B,0)+4)</f>
        <v>0</v>
      </c>
      <c r="L55" s="173">
        <f t="shared" si="6"/>
        <v>0</v>
      </c>
      <c r="M55" s="174" t="str">
        <f t="shared" ca="1" si="7"/>
        <v/>
      </c>
      <c r="N55" s="169" t="str">
        <f ca="1">INDEX('NARM6 - Risk Summary'!$R:$R,MATCH($C55,'NARM6 - Risk Summary'!$B:$B,0)+5)</f>
        <v/>
      </c>
      <c r="O55" s="170">
        <f>INDEX('NARM6 - Risk Summary'!$U:$U,MATCH($C55,'NARM6 - Risk Summary'!$B:$B,0))</f>
        <v>0</v>
      </c>
      <c r="P55" s="171">
        <f>INDEX('NARM6 - Risk Summary'!$U:$U,MATCH($C55,'NARM6 - Risk Summary'!$B:$B,0)+1)</f>
        <v>0</v>
      </c>
      <c r="Q55" s="171">
        <f>INDEX('NARM6 - Risk Summary'!$U:$U,MATCH($C55,'NARM6 - Risk Summary'!$B:$B,0)+2)</f>
        <v>0</v>
      </c>
      <c r="R55" s="172">
        <f>INDEX('NARM6 - Risk Summary'!$U:$U,MATCH($C55,'NARM6 - Risk Summary'!$B:$B,0)+3)</f>
        <v>0</v>
      </c>
      <c r="S55" s="172">
        <f>INDEX('NARM6 - Risk Summary'!$U:$U,MATCH($C55,'NARM6 - Risk Summary'!$B:$B,0)+4)</f>
        <v>0</v>
      </c>
      <c r="T55" s="173">
        <f t="shared" si="8"/>
        <v>0</v>
      </c>
      <c r="U55" s="174" t="str">
        <f t="shared" ca="1" si="9"/>
        <v/>
      </c>
      <c r="V55" s="169" t="str">
        <f ca="1">INDEX('NARM6 - Risk Summary'!$S:$S,MATCH($C55,'NARM6 - Risk Summary'!$B:$B,0)+5)</f>
        <v/>
      </c>
      <c r="W55" s="170">
        <f>INDEX('NARM6 - Risk Summary'!$V:$V,MATCH($C55,'NARM6 - Risk Summary'!$B:$B,0))</f>
        <v>0</v>
      </c>
      <c r="X55" s="171">
        <f>INDEX('NARM6 - Risk Summary'!$V:$V,MATCH($C55,'NARM6 - Risk Summary'!$B:$B,0)+1)</f>
        <v>0</v>
      </c>
      <c r="Y55" s="171">
        <f>INDEX('NARM6 - Risk Summary'!$V:$V,MATCH($C55,'NARM6 - Risk Summary'!$B:$B,0)+2)</f>
        <v>0</v>
      </c>
      <c r="Z55" s="172">
        <f>INDEX('NARM6 - Risk Summary'!$V:$V,MATCH($C55,'NARM6 - Risk Summary'!$B:$B,0)+3)</f>
        <v>0</v>
      </c>
      <c r="AA55" s="172">
        <f>INDEX('NARM6 - Risk Summary'!$V:$V,MATCH($C55,'NARM6 - Risk Summary'!$B:$B,0)+4)</f>
        <v>0</v>
      </c>
      <c r="AB55" s="173">
        <f t="shared" si="10"/>
        <v>0</v>
      </c>
      <c r="AC55" s="174" t="str">
        <f t="shared" ca="1" si="11"/>
        <v/>
      </c>
      <c r="AD55" s="175">
        <f t="shared" ca="1" si="12"/>
        <v>0</v>
      </c>
      <c r="AE55" s="170">
        <f t="shared" si="0"/>
        <v>0</v>
      </c>
      <c r="AF55" s="171">
        <f t="shared" si="1"/>
        <v>0</v>
      </c>
      <c r="AG55" s="171">
        <f t="shared" si="2"/>
        <v>0</v>
      </c>
      <c r="AH55" s="171">
        <f t="shared" si="3"/>
        <v>0</v>
      </c>
      <c r="AI55" s="176">
        <f t="shared" si="4"/>
        <v>0</v>
      </c>
      <c r="AJ55" s="177">
        <f t="shared" si="5"/>
        <v>0</v>
      </c>
      <c r="AK55" s="174" t="str">
        <f t="shared" ca="1" si="21"/>
        <v/>
      </c>
    </row>
    <row r="56" spans="2:46">
      <c r="B56" s="539">
        <v>46</v>
      </c>
      <c r="C56" s="166" t="s">
        <v>107</v>
      </c>
      <c r="D56" s="167" t="s">
        <v>217</v>
      </c>
      <c r="E56" s="168" t="s">
        <v>209</v>
      </c>
      <c r="F56" s="169" t="str">
        <f ca="1">INDEX('NARM6 - Risk Summary'!$Q:$Q,MATCH($C56,'NARM6 - Risk Summary'!$B:$B,0)+5)</f>
        <v/>
      </c>
      <c r="G56" s="170">
        <f>INDEX('NARM6 - Risk Summary'!$T:$T,MATCH($C56,'NARM6 - Risk Summary'!$B:$B,0))</f>
        <v>0</v>
      </c>
      <c r="H56" s="171">
        <f>INDEX('NARM6 - Risk Summary'!$T:$T,MATCH($C56,'NARM6 - Risk Summary'!$B:$B,0)+1)</f>
        <v>0</v>
      </c>
      <c r="I56" s="171">
        <f>INDEX('NARM6 - Risk Summary'!$T:$T,MATCH($C56,'NARM6 - Risk Summary'!$B:$B,0)+2)</f>
        <v>0</v>
      </c>
      <c r="J56" s="172">
        <f>INDEX('NARM6 - Risk Summary'!$T:$T,MATCH($C56,'NARM6 - Risk Summary'!$B:$B,0)+3)</f>
        <v>0</v>
      </c>
      <c r="K56" s="172">
        <f>INDEX('NARM6 - Risk Summary'!$T:$T,MATCH($C56,'NARM6 - Risk Summary'!$B:$B,0)+4)</f>
        <v>0</v>
      </c>
      <c r="L56" s="173">
        <f t="shared" si="6"/>
        <v>0</v>
      </c>
      <c r="M56" s="174" t="str">
        <f t="shared" ca="1" si="7"/>
        <v/>
      </c>
      <c r="N56" s="169" t="str">
        <f ca="1">INDEX('NARM6 - Risk Summary'!$R:$R,MATCH($C56,'NARM6 - Risk Summary'!$B:$B,0)+5)</f>
        <v/>
      </c>
      <c r="O56" s="170">
        <f>INDEX('NARM6 - Risk Summary'!$U:$U,MATCH($C56,'NARM6 - Risk Summary'!$B:$B,0))</f>
        <v>0</v>
      </c>
      <c r="P56" s="171">
        <f>INDEX('NARM6 - Risk Summary'!$U:$U,MATCH($C56,'NARM6 - Risk Summary'!$B:$B,0)+1)</f>
        <v>0</v>
      </c>
      <c r="Q56" s="171">
        <f>INDEX('NARM6 - Risk Summary'!$U:$U,MATCH($C56,'NARM6 - Risk Summary'!$B:$B,0)+2)</f>
        <v>0</v>
      </c>
      <c r="R56" s="172">
        <f>INDEX('NARM6 - Risk Summary'!$U:$U,MATCH($C56,'NARM6 - Risk Summary'!$B:$B,0)+3)</f>
        <v>0</v>
      </c>
      <c r="S56" s="172">
        <f>INDEX('NARM6 - Risk Summary'!$U:$U,MATCH($C56,'NARM6 - Risk Summary'!$B:$B,0)+4)</f>
        <v>0</v>
      </c>
      <c r="T56" s="173">
        <f t="shared" si="8"/>
        <v>0</v>
      </c>
      <c r="U56" s="174" t="str">
        <f t="shared" ca="1" si="9"/>
        <v/>
      </c>
      <c r="V56" s="169" t="str">
        <f ca="1">INDEX('NARM6 - Risk Summary'!$S:$S,MATCH($C56,'NARM6 - Risk Summary'!$B:$B,0)+5)</f>
        <v/>
      </c>
      <c r="W56" s="170">
        <f>INDEX('NARM6 - Risk Summary'!$V:$V,MATCH($C56,'NARM6 - Risk Summary'!$B:$B,0))</f>
        <v>0</v>
      </c>
      <c r="X56" s="171">
        <f>INDEX('NARM6 - Risk Summary'!$V:$V,MATCH($C56,'NARM6 - Risk Summary'!$B:$B,0)+1)</f>
        <v>0</v>
      </c>
      <c r="Y56" s="171">
        <f>INDEX('NARM6 - Risk Summary'!$V:$V,MATCH($C56,'NARM6 - Risk Summary'!$B:$B,0)+2)</f>
        <v>0</v>
      </c>
      <c r="Z56" s="172">
        <f>INDEX('NARM6 - Risk Summary'!$V:$V,MATCH($C56,'NARM6 - Risk Summary'!$B:$B,0)+3)</f>
        <v>0</v>
      </c>
      <c r="AA56" s="172">
        <f>INDEX('NARM6 - Risk Summary'!$V:$V,MATCH($C56,'NARM6 - Risk Summary'!$B:$B,0)+4)</f>
        <v>0</v>
      </c>
      <c r="AB56" s="173">
        <f t="shared" si="10"/>
        <v>0</v>
      </c>
      <c r="AC56" s="174" t="str">
        <f t="shared" ca="1" si="11"/>
        <v/>
      </c>
      <c r="AD56" s="175">
        <f t="shared" ca="1" si="12"/>
        <v>0</v>
      </c>
      <c r="AE56" s="170">
        <f t="shared" si="0"/>
        <v>0</v>
      </c>
      <c r="AF56" s="171">
        <f t="shared" si="1"/>
        <v>0</v>
      </c>
      <c r="AG56" s="171">
        <f t="shared" si="2"/>
        <v>0</v>
      </c>
      <c r="AH56" s="171">
        <f t="shared" si="3"/>
        <v>0</v>
      </c>
      <c r="AI56" s="176">
        <f t="shared" si="4"/>
        <v>0</v>
      </c>
      <c r="AJ56" s="177">
        <f t="shared" si="5"/>
        <v>0</v>
      </c>
      <c r="AK56" s="174" t="str">
        <f t="shared" ca="1" si="21"/>
        <v/>
      </c>
    </row>
    <row r="57" spans="2:46">
      <c r="B57" s="539">
        <v>47</v>
      </c>
      <c r="C57" s="166" t="s">
        <v>108</v>
      </c>
      <c r="D57" s="167" t="s">
        <v>217</v>
      </c>
      <c r="E57" s="168" t="s">
        <v>209</v>
      </c>
      <c r="F57" s="169" t="str">
        <f ca="1">INDEX('NARM6 - Risk Summary'!$Q:$Q,MATCH($C57,'NARM6 - Risk Summary'!$B:$B,0)+5)</f>
        <v/>
      </c>
      <c r="G57" s="170">
        <f>INDEX('NARM6 - Risk Summary'!$T:$T,MATCH($C57,'NARM6 - Risk Summary'!$B:$B,0))</f>
        <v>0</v>
      </c>
      <c r="H57" s="171">
        <f>INDEX('NARM6 - Risk Summary'!$T:$T,MATCH($C57,'NARM6 - Risk Summary'!$B:$B,0)+1)</f>
        <v>0</v>
      </c>
      <c r="I57" s="171">
        <f>INDEX('NARM6 - Risk Summary'!$T:$T,MATCH($C57,'NARM6 - Risk Summary'!$B:$B,0)+2)</f>
        <v>0</v>
      </c>
      <c r="J57" s="172">
        <f>INDEX('NARM6 - Risk Summary'!$T:$T,MATCH($C57,'NARM6 - Risk Summary'!$B:$B,0)+3)</f>
        <v>0</v>
      </c>
      <c r="K57" s="172">
        <f>INDEX('NARM6 - Risk Summary'!$T:$T,MATCH($C57,'NARM6 - Risk Summary'!$B:$B,0)+4)</f>
        <v>0</v>
      </c>
      <c r="L57" s="173">
        <f t="shared" si="6"/>
        <v>0</v>
      </c>
      <c r="M57" s="174" t="str">
        <f t="shared" ca="1" si="7"/>
        <v/>
      </c>
      <c r="N57" s="169" t="str">
        <f ca="1">INDEX('NARM6 - Risk Summary'!$R:$R,MATCH($C57,'NARM6 - Risk Summary'!$B:$B,0)+5)</f>
        <v/>
      </c>
      <c r="O57" s="170">
        <f>INDEX('NARM6 - Risk Summary'!$U:$U,MATCH($C57,'NARM6 - Risk Summary'!$B:$B,0))</f>
        <v>0</v>
      </c>
      <c r="P57" s="171">
        <f>INDEX('NARM6 - Risk Summary'!$U:$U,MATCH($C57,'NARM6 - Risk Summary'!$B:$B,0)+1)</f>
        <v>0</v>
      </c>
      <c r="Q57" s="171">
        <f>INDEX('NARM6 - Risk Summary'!$U:$U,MATCH($C57,'NARM6 - Risk Summary'!$B:$B,0)+2)</f>
        <v>0</v>
      </c>
      <c r="R57" s="172">
        <f>INDEX('NARM6 - Risk Summary'!$U:$U,MATCH($C57,'NARM6 - Risk Summary'!$B:$B,0)+3)</f>
        <v>0</v>
      </c>
      <c r="S57" s="172">
        <f>INDEX('NARM6 - Risk Summary'!$U:$U,MATCH($C57,'NARM6 - Risk Summary'!$B:$B,0)+4)</f>
        <v>0</v>
      </c>
      <c r="T57" s="173">
        <f t="shared" si="8"/>
        <v>0</v>
      </c>
      <c r="U57" s="174" t="str">
        <f t="shared" ca="1" si="9"/>
        <v/>
      </c>
      <c r="V57" s="169" t="str">
        <f ca="1">INDEX('NARM6 - Risk Summary'!$S:$S,MATCH($C57,'NARM6 - Risk Summary'!$B:$B,0)+5)</f>
        <v/>
      </c>
      <c r="W57" s="170">
        <f>INDEX('NARM6 - Risk Summary'!$V:$V,MATCH($C57,'NARM6 - Risk Summary'!$B:$B,0))</f>
        <v>0</v>
      </c>
      <c r="X57" s="171">
        <f>INDEX('NARM6 - Risk Summary'!$V:$V,MATCH($C57,'NARM6 - Risk Summary'!$B:$B,0)+1)</f>
        <v>0</v>
      </c>
      <c r="Y57" s="171">
        <f>INDEX('NARM6 - Risk Summary'!$V:$V,MATCH($C57,'NARM6 - Risk Summary'!$B:$B,0)+2)</f>
        <v>0</v>
      </c>
      <c r="Z57" s="172">
        <f>INDEX('NARM6 - Risk Summary'!$V:$V,MATCH($C57,'NARM6 - Risk Summary'!$B:$B,0)+3)</f>
        <v>0</v>
      </c>
      <c r="AA57" s="172">
        <f>INDEX('NARM6 - Risk Summary'!$V:$V,MATCH($C57,'NARM6 - Risk Summary'!$B:$B,0)+4)</f>
        <v>0</v>
      </c>
      <c r="AB57" s="173">
        <f t="shared" si="10"/>
        <v>0</v>
      </c>
      <c r="AC57" s="174" t="str">
        <f t="shared" ca="1" si="11"/>
        <v/>
      </c>
      <c r="AD57" s="175">
        <f t="shared" ca="1" si="12"/>
        <v>0</v>
      </c>
      <c r="AE57" s="170">
        <f t="shared" si="0"/>
        <v>0</v>
      </c>
      <c r="AF57" s="171">
        <f t="shared" si="1"/>
        <v>0</v>
      </c>
      <c r="AG57" s="171">
        <f t="shared" si="2"/>
        <v>0</v>
      </c>
      <c r="AH57" s="171">
        <f t="shared" si="3"/>
        <v>0</v>
      </c>
      <c r="AI57" s="176">
        <f t="shared" si="4"/>
        <v>0</v>
      </c>
      <c r="AJ57" s="177">
        <f t="shared" si="5"/>
        <v>0</v>
      </c>
      <c r="AK57" s="174" t="str">
        <f t="shared" ca="1" si="21"/>
        <v/>
      </c>
    </row>
    <row r="58" spans="2:46">
      <c r="B58" s="539">
        <v>56</v>
      </c>
      <c r="C58" s="166" t="s">
        <v>117</v>
      </c>
      <c r="D58" s="167" t="s">
        <v>217</v>
      </c>
      <c r="E58" s="168" t="s">
        <v>210</v>
      </c>
      <c r="F58" s="169" t="str">
        <f ca="1">INDEX('NARM6 - Risk Summary'!$Q:$Q,MATCH($C58,'NARM6 - Risk Summary'!$B:$B,0)+5)</f>
        <v/>
      </c>
      <c r="G58" s="170">
        <f>INDEX('NARM6 - Risk Summary'!$T:$T,MATCH($C58,'NARM6 - Risk Summary'!$B:$B,0))</f>
        <v>0</v>
      </c>
      <c r="H58" s="171">
        <f>INDEX('NARM6 - Risk Summary'!$T:$T,MATCH($C58,'NARM6 - Risk Summary'!$B:$B,0)+1)</f>
        <v>0</v>
      </c>
      <c r="I58" s="171">
        <f>INDEX('NARM6 - Risk Summary'!$T:$T,MATCH($C58,'NARM6 - Risk Summary'!$B:$B,0)+2)</f>
        <v>0</v>
      </c>
      <c r="J58" s="172">
        <f>INDEX('NARM6 - Risk Summary'!$T:$T,MATCH($C58,'NARM6 - Risk Summary'!$B:$B,0)+3)</f>
        <v>0</v>
      </c>
      <c r="K58" s="172">
        <f>INDEX('NARM6 - Risk Summary'!$T:$T,MATCH($C58,'NARM6 - Risk Summary'!$B:$B,0)+4)</f>
        <v>0</v>
      </c>
      <c r="L58" s="173">
        <f t="shared" si="6"/>
        <v>0</v>
      </c>
      <c r="M58" s="174" t="str">
        <f t="shared" ca="1" si="7"/>
        <v/>
      </c>
      <c r="N58" s="169" t="str">
        <f ca="1">INDEX('NARM6 - Risk Summary'!$R:$R,MATCH($C58,'NARM6 - Risk Summary'!$B:$B,0)+5)</f>
        <v/>
      </c>
      <c r="O58" s="170">
        <f>INDEX('NARM6 - Risk Summary'!$U:$U,MATCH($C58,'NARM6 - Risk Summary'!$B:$B,0))</f>
        <v>0</v>
      </c>
      <c r="P58" s="171">
        <f>INDEX('NARM6 - Risk Summary'!$U:$U,MATCH($C58,'NARM6 - Risk Summary'!$B:$B,0)+1)</f>
        <v>0</v>
      </c>
      <c r="Q58" s="171">
        <f>INDEX('NARM6 - Risk Summary'!$U:$U,MATCH($C58,'NARM6 - Risk Summary'!$B:$B,0)+2)</f>
        <v>0</v>
      </c>
      <c r="R58" s="172">
        <f>INDEX('NARM6 - Risk Summary'!$U:$U,MATCH($C58,'NARM6 - Risk Summary'!$B:$B,0)+3)</f>
        <v>0</v>
      </c>
      <c r="S58" s="172">
        <f>INDEX('NARM6 - Risk Summary'!$U:$U,MATCH($C58,'NARM6 - Risk Summary'!$B:$B,0)+4)</f>
        <v>0</v>
      </c>
      <c r="T58" s="173">
        <f t="shared" si="8"/>
        <v>0</v>
      </c>
      <c r="U58" s="174" t="str">
        <f t="shared" ca="1" si="9"/>
        <v/>
      </c>
      <c r="V58" s="169" t="str">
        <f ca="1">INDEX('NARM6 - Risk Summary'!$S:$S,MATCH($C58,'NARM6 - Risk Summary'!$B:$B,0)+5)</f>
        <v/>
      </c>
      <c r="W58" s="170">
        <f>INDEX('NARM6 - Risk Summary'!$V:$V,MATCH($C58,'NARM6 - Risk Summary'!$B:$B,0))</f>
        <v>0</v>
      </c>
      <c r="X58" s="171">
        <f>INDEX('NARM6 - Risk Summary'!$V:$V,MATCH($C58,'NARM6 - Risk Summary'!$B:$B,0)+1)</f>
        <v>0</v>
      </c>
      <c r="Y58" s="171">
        <f>INDEX('NARM6 - Risk Summary'!$V:$V,MATCH($C58,'NARM6 - Risk Summary'!$B:$B,0)+2)</f>
        <v>0</v>
      </c>
      <c r="Z58" s="172">
        <f>INDEX('NARM6 - Risk Summary'!$V:$V,MATCH($C58,'NARM6 - Risk Summary'!$B:$B,0)+3)</f>
        <v>0</v>
      </c>
      <c r="AA58" s="172">
        <f>INDEX('NARM6 - Risk Summary'!$V:$V,MATCH($C58,'NARM6 - Risk Summary'!$B:$B,0)+4)</f>
        <v>0</v>
      </c>
      <c r="AB58" s="173">
        <f t="shared" si="10"/>
        <v>0</v>
      </c>
      <c r="AC58" s="174" t="str">
        <f t="shared" ca="1" si="11"/>
        <v/>
      </c>
      <c r="AD58" s="175">
        <f t="shared" ca="1" si="12"/>
        <v>0</v>
      </c>
      <c r="AE58" s="170">
        <f t="shared" si="0"/>
        <v>0</v>
      </c>
      <c r="AF58" s="171">
        <f t="shared" si="1"/>
        <v>0</v>
      </c>
      <c r="AG58" s="171">
        <f t="shared" si="2"/>
        <v>0</v>
      </c>
      <c r="AH58" s="171">
        <f t="shared" si="3"/>
        <v>0</v>
      </c>
      <c r="AI58" s="176">
        <f t="shared" si="4"/>
        <v>0</v>
      </c>
      <c r="AJ58" s="177">
        <f t="shared" si="5"/>
        <v>0</v>
      </c>
      <c r="AK58" s="174" t="str">
        <f t="shared" ca="1" si="21"/>
        <v/>
      </c>
    </row>
    <row r="59" spans="2:46">
      <c r="B59" s="539">
        <v>57</v>
      </c>
      <c r="C59" s="166" t="s">
        <v>118</v>
      </c>
      <c r="D59" s="167" t="s">
        <v>217</v>
      </c>
      <c r="E59" s="168" t="s">
        <v>210</v>
      </c>
      <c r="F59" s="169" t="str">
        <f ca="1">INDEX('NARM6 - Risk Summary'!$Q:$Q,MATCH($C59,'NARM6 - Risk Summary'!$B:$B,0)+5)</f>
        <v/>
      </c>
      <c r="G59" s="170">
        <f>INDEX('NARM6 - Risk Summary'!$T:$T,MATCH($C59,'NARM6 - Risk Summary'!$B:$B,0))</f>
        <v>0</v>
      </c>
      <c r="H59" s="171">
        <f>INDEX('NARM6 - Risk Summary'!$T:$T,MATCH($C59,'NARM6 - Risk Summary'!$B:$B,0)+1)</f>
        <v>0</v>
      </c>
      <c r="I59" s="171">
        <f>INDEX('NARM6 - Risk Summary'!$T:$T,MATCH($C59,'NARM6 - Risk Summary'!$B:$B,0)+2)</f>
        <v>0</v>
      </c>
      <c r="J59" s="172">
        <f>INDEX('NARM6 - Risk Summary'!$T:$T,MATCH($C59,'NARM6 - Risk Summary'!$B:$B,0)+3)</f>
        <v>0</v>
      </c>
      <c r="K59" s="172">
        <f>INDEX('NARM6 - Risk Summary'!$T:$T,MATCH($C59,'NARM6 - Risk Summary'!$B:$B,0)+4)</f>
        <v>0</v>
      </c>
      <c r="L59" s="173">
        <f t="shared" si="6"/>
        <v>0</v>
      </c>
      <c r="M59" s="174" t="str">
        <f t="shared" ca="1" si="7"/>
        <v/>
      </c>
      <c r="N59" s="169" t="str">
        <f ca="1">INDEX('NARM6 - Risk Summary'!$R:$R,MATCH($C59,'NARM6 - Risk Summary'!$B:$B,0)+5)</f>
        <v/>
      </c>
      <c r="O59" s="170">
        <f>INDEX('NARM6 - Risk Summary'!$U:$U,MATCH($C59,'NARM6 - Risk Summary'!$B:$B,0))</f>
        <v>0</v>
      </c>
      <c r="P59" s="171">
        <f>INDEX('NARM6 - Risk Summary'!$U:$U,MATCH($C59,'NARM6 - Risk Summary'!$B:$B,0)+1)</f>
        <v>0</v>
      </c>
      <c r="Q59" s="171">
        <f>INDEX('NARM6 - Risk Summary'!$U:$U,MATCH($C59,'NARM6 - Risk Summary'!$B:$B,0)+2)</f>
        <v>0</v>
      </c>
      <c r="R59" s="172">
        <f>INDEX('NARM6 - Risk Summary'!$U:$U,MATCH($C59,'NARM6 - Risk Summary'!$B:$B,0)+3)</f>
        <v>0</v>
      </c>
      <c r="S59" s="172">
        <f>INDEX('NARM6 - Risk Summary'!$U:$U,MATCH($C59,'NARM6 - Risk Summary'!$B:$B,0)+4)</f>
        <v>0</v>
      </c>
      <c r="T59" s="173">
        <f t="shared" si="8"/>
        <v>0</v>
      </c>
      <c r="U59" s="174" t="str">
        <f t="shared" ca="1" si="9"/>
        <v/>
      </c>
      <c r="V59" s="169" t="str">
        <f ca="1">INDEX('NARM6 - Risk Summary'!$S:$S,MATCH($C59,'NARM6 - Risk Summary'!$B:$B,0)+5)</f>
        <v/>
      </c>
      <c r="W59" s="170">
        <f>INDEX('NARM6 - Risk Summary'!$V:$V,MATCH($C59,'NARM6 - Risk Summary'!$B:$B,0))</f>
        <v>0</v>
      </c>
      <c r="X59" s="171">
        <f>INDEX('NARM6 - Risk Summary'!$V:$V,MATCH($C59,'NARM6 - Risk Summary'!$B:$B,0)+1)</f>
        <v>0</v>
      </c>
      <c r="Y59" s="171">
        <f>INDEX('NARM6 - Risk Summary'!$V:$V,MATCH($C59,'NARM6 - Risk Summary'!$B:$B,0)+2)</f>
        <v>0</v>
      </c>
      <c r="Z59" s="172">
        <f>INDEX('NARM6 - Risk Summary'!$V:$V,MATCH($C59,'NARM6 - Risk Summary'!$B:$B,0)+3)</f>
        <v>0</v>
      </c>
      <c r="AA59" s="172">
        <f>INDEX('NARM6 - Risk Summary'!$V:$V,MATCH($C59,'NARM6 - Risk Summary'!$B:$B,0)+4)</f>
        <v>0</v>
      </c>
      <c r="AB59" s="173">
        <f t="shared" si="10"/>
        <v>0</v>
      </c>
      <c r="AC59" s="174" t="str">
        <f t="shared" ca="1" si="11"/>
        <v/>
      </c>
      <c r="AD59" s="175">
        <f t="shared" ca="1" si="12"/>
        <v>0</v>
      </c>
      <c r="AE59" s="170">
        <f t="shared" si="0"/>
        <v>0</v>
      </c>
      <c r="AF59" s="171">
        <f t="shared" si="1"/>
        <v>0</v>
      </c>
      <c r="AG59" s="171">
        <f t="shared" si="2"/>
        <v>0</v>
      </c>
      <c r="AH59" s="171">
        <f t="shared" si="3"/>
        <v>0</v>
      </c>
      <c r="AI59" s="176">
        <f t="shared" si="4"/>
        <v>0</v>
      </c>
      <c r="AJ59" s="177">
        <f t="shared" si="5"/>
        <v>0</v>
      </c>
      <c r="AK59" s="174" t="str">
        <f t="shared" ca="1" si="21"/>
        <v/>
      </c>
    </row>
    <row r="60" spans="2:46">
      <c r="B60" s="539">
        <v>58</v>
      </c>
      <c r="C60" s="166" t="s">
        <v>119</v>
      </c>
      <c r="D60" s="167" t="s">
        <v>217</v>
      </c>
      <c r="E60" s="168" t="s">
        <v>210</v>
      </c>
      <c r="F60" s="169" t="str">
        <f ca="1">INDEX('NARM6 - Risk Summary'!$Q:$Q,MATCH($C60,'NARM6 - Risk Summary'!$B:$B,0)+5)</f>
        <v/>
      </c>
      <c r="G60" s="170">
        <f>INDEX('NARM6 - Risk Summary'!$T:$T,MATCH($C60,'NARM6 - Risk Summary'!$B:$B,0))</f>
        <v>0</v>
      </c>
      <c r="H60" s="171">
        <f>INDEX('NARM6 - Risk Summary'!$T:$T,MATCH($C60,'NARM6 - Risk Summary'!$B:$B,0)+1)</f>
        <v>0</v>
      </c>
      <c r="I60" s="171">
        <f>INDEX('NARM6 - Risk Summary'!$T:$T,MATCH($C60,'NARM6 - Risk Summary'!$B:$B,0)+2)</f>
        <v>0</v>
      </c>
      <c r="J60" s="172">
        <f>INDEX('NARM6 - Risk Summary'!$T:$T,MATCH($C60,'NARM6 - Risk Summary'!$B:$B,0)+3)</f>
        <v>0</v>
      </c>
      <c r="K60" s="172">
        <f>INDEX('NARM6 - Risk Summary'!$T:$T,MATCH($C60,'NARM6 - Risk Summary'!$B:$B,0)+4)</f>
        <v>0</v>
      </c>
      <c r="L60" s="173">
        <f t="shared" si="6"/>
        <v>0</v>
      </c>
      <c r="M60" s="174" t="str">
        <f t="shared" ca="1" si="7"/>
        <v/>
      </c>
      <c r="N60" s="169" t="str">
        <f ca="1">INDEX('NARM6 - Risk Summary'!$R:$R,MATCH($C60,'NARM6 - Risk Summary'!$B:$B,0)+5)</f>
        <v/>
      </c>
      <c r="O60" s="170">
        <f>INDEX('NARM6 - Risk Summary'!$U:$U,MATCH($C60,'NARM6 - Risk Summary'!$B:$B,0))</f>
        <v>0</v>
      </c>
      <c r="P60" s="171">
        <f>INDEX('NARM6 - Risk Summary'!$U:$U,MATCH($C60,'NARM6 - Risk Summary'!$B:$B,0)+1)</f>
        <v>0</v>
      </c>
      <c r="Q60" s="171">
        <f>INDEX('NARM6 - Risk Summary'!$U:$U,MATCH($C60,'NARM6 - Risk Summary'!$B:$B,0)+2)</f>
        <v>0</v>
      </c>
      <c r="R60" s="172">
        <f>INDEX('NARM6 - Risk Summary'!$U:$U,MATCH($C60,'NARM6 - Risk Summary'!$B:$B,0)+3)</f>
        <v>0</v>
      </c>
      <c r="S60" s="172">
        <f>INDEX('NARM6 - Risk Summary'!$U:$U,MATCH($C60,'NARM6 - Risk Summary'!$B:$B,0)+4)</f>
        <v>0</v>
      </c>
      <c r="T60" s="173">
        <f t="shared" si="8"/>
        <v>0</v>
      </c>
      <c r="U60" s="174" t="str">
        <f t="shared" ca="1" si="9"/>
        <v/>
      </c>
      <c r="V60" s="169" t="str">
        <f ca="1">INDEX('NARM6 - Risk Summary'!$S:$S,MATCH($C60,'NARM6 - Risk Summary'!$B:$B,0)+5)</f>
        <v/>
      </c>
      <c r="W60" s="170">
        <f>INDEX('NARM6 - Risk Summary'!$V:$V,MATCH($C60,'NARM6 - Risk Summary'!$B:$B,0))</f>
        <v>0</v>
      </c>
      <c r="X60" s="171">
        <f>INDEX('NARM6 - Risk Summary'!$V:$V,MATCH($C60,'NARM6 - Risk Summary'!$B:$B,0)+1)</f>
        <v>0</v>
      </c>
      <c r="Y60" s="171">
        <f>INDEX('NARM6 - Risk Summary'!$V:$V,MATCH($C60,'NARM6 - Risk Summary'!$B:$B,0)+2)</f>
        <v>0</v>
      </c>
      <c r="Z60" s="172">
        <f>INDEX('NARM6 - Risk Summary'!$V:$V,MATCH($C60,'NARM6 - Risk Summary'!$B:$B,0)+3)</f>
        <v>0</v>
      </c>
      <c r="AA60" s="172">
        <f>INDEX('NARM6 - Risk Summary'!$V:$V,MATCH($C60,'NARM6 - Risk Summary'!$B:$B,0)+4)</f>
        <v>0</v>
      </c>
      <c r="AB60" s="173">
        <f t="shared" si="10"/>
        <v>0</v>
      </c>
      <c r="AC60" s="174" t="str">
        <f t="shared" ca="1" si="11"/>
        <v/>
      </c>
      <c r="AD60" s="175">
        <f t="shared" ca="1" si="12"/>
        <v>0</v>
      </c>
      <c r="AE60" s="170">
        <f t="shared" si="0"/>
        <v>0</v>
      </c>
      <c r="AF60" s="171">
        <f t="shared" si="1"/>
        <v>0</v>
      </c>
      <c r="AG60" s="171">
        <f t="shared" si="2"/>
        <v>0</v>
      </c>
      <c r="AH60" s="171">
        <f t="shared" si="3"/>
        <v>0</v>
      </c>
      <c r="AI60" s="176">
        <f t="shared" si="4"/>
        <v>0</v>
      </c>
      <c r="AJ60" s="177">
        <f t="shared" si="5"/>
        <v>0</v>
      </c>
      <c r="AK60" s="174" t="str">
        <f t="shared" ca="1" si="21"/>
        <v/>
      </c>
    </row>
    <row r="61" spans="2:46">
      <c r="B61" s="539">
        <v>59</v>
      </c>
      <c r="C61" s="166" t="s">
        <v>120</v>
      </c>
      <c r="D61" s="167" t="s">
        <v>217</v>
      </c>
      <c r="E61" s="168" t="s">
        <v>210</v>
      </c>
      <c r="F61" s="169" t="str">
        <f ca="1">INDEX('NARM6 - Risk Summary'!$Q:$Q,MATCH($C61,'NARM6 - Risk Summary'!$B:$B,0)+5)</f>
        <v/>
      </c>
      <c r="G61" s="170">
        <f>INDEX('NARM6 - Risk Summary'!$T:$T,MATCH($C61,'NARM6 - Risk Summary'!$B:$B,0))</f>
        <v>0</v>
      </c>
      <c r="H61" s="171">
        <f>INDEX('NARM6 - Risk Summary'!$T:$T,MATCH($C61,'NARM6 - Risk Summary'!$B:$B,0)+1)</f>
        <v>0</v>
      </c>
      <c r="I61" s="171">
        <f>INDEX('NARM6 - Risk Summary'!$T:$T,MATCH($C61,'NARM6 - Risk Summary'!$B:$B,0)+2)</f>
        <v>0</v>
      </c>
      <c r="J61" s="172">
        <f>INDEX('NARM6 - Risk Summary'!$T:$T,MATCH($C61,'NARM6 - Risk Summary'!$B:$B,0)+3)</f>
        <v>0</v>
      </c>
      <c r="K61" s="172">
        <f>INDEX('NARM6 - Risk Summary'!$T:$T,MATCH($C61,'NARM6 - Risk Summary'!$B:$B,0)+4)</f>
        <v>0</v>
      </c>
      <c r="L61" s="173">
        <f t="shared" si="6"/>
        <v>0</v>
      </c>
      <c r="M61" s="174" t="str">
        <f t="shared" ca="1" si="7"/>
        <v/>
      </c>
      <c r="N61" s="169" t="str">
        <f ca="1">INDEX('NARM6 - Risk Summary'!$R:$R,MATCH($C61,'NARM6 - Risk Summary'!$B:$B,0)+5)</f>
        <v/>
      </c>
      <c r="O61" s="170">
        <f>INDEX('NARM6 - Risk Summary'!$U:$U,MATCH($C61,'NARM6 - Risk Summary'!$B:$B,0))</f>
        <v>0</v>
      </c>
      <c r="P61" s="171">
        <f>INDEX('NARM6 - Risk Summary'!$U:$U,MATCH($C61,'NARM6 - Risk Summary'!$B:$B,0)+1)</f>
        <v>0</v>
      </c>
      <c r="Q61" s="171">
        <f>INDEX('NARM6 - Risk Summary'!$U:$U,MATCH($C61,'NARM6 - Risk Summary'!$B:$B,0)+2)</f>
        <v>0</v>
      </c>
      <c r="R61" s="172">
        <f>INDEX('NARM6 - Risk Summary'!$U:$U,MATCH($C61,'NARM6 - Risk Summary'!$B:$B,0)+3)</f>
        <v>0</v>
      </c>
      <c r="S61" s="172">
        <f>INDEX('NARM6 - Risk Summary'!$U:$U,MATCH($C61,'NARM6 - Risk Summary'!$B:$B,0)+4)</f>
        <v>0</v>
      </c>
      <c r="T61" s="173">
        <f t="shared" si="8"/>
        <v>0</v>
      </c>
      <c r="U61" s="174" t="str">
        <f t="shared" ca="1" si="9"/>
        <v/>
      </c>
      <c r="V61" s="169" t="str">
        <f ca="1">INDEX('NARM6 - Risk Summary'!$S:$S,MATCH($C61,'NARM6 - Risk Summary'!$B:$B,0)+5)</f>
        <v/>
      </c>
      <c r="W61" s="170">
        <f>INDEX('NARM6 - Risk Summary'!$V:$V,MATCH($C61,'NARM6 - Risk Summary'!$B:$B,0))</f>
        <v>0</v>
      </c>
      <c r="X61" s="171">
        <f>INDEX('NARM6 - Risk Summary'!$V:$V,MATCH($C61,'NARM6 - Risk Summary'!$B:$B,0)+1)</f>
        <v>0</v>
      </c>
      <c r="Y61" s="171">
        <f>INDEX('NARM6 - Risk Summary'!$V:$V,MATCH($C61,'NARM6 - Risk Summary'!$B:$B,0)+2)</f>
        <v>0</v>
      </c>
      <c r="Z61" s="172">
        <f>INDEX('NARM6 - Risk Summary'!$V:$V,MATCH($C61,'NARM6 - Risk Summary'!$B:$B,0)+3)</f>
        <v>0</v>
      </c>
      <c r="AA61" s="172">
        <f>INDEX('NARM6 - Risk Summary'!$V:$V,MATCH($C61,'NARM6 - Risk Summary'!$B:$B,0)+4)</f>
        <v>0</v>
      </c>
      <c r="AB61" s="173">
        <f t="shared" si="10"/>
        <v>0</v>
      </c>
      <c r="AC61" s="174" t="str">
        <f t="shared" ca="1" si="11"/>
        <v/>
      </c>
      <c r="AD61" s="175">
        <f t="shared" ca="1" si="12"/>
        <v>0</v>
      </c>
      <c r="AE61" s="170">
        <f t="shared" si="0"/>
        <v>0</v>
      </c>
      <c r="AF61" s="171">
        <f t="shared" si="1"/>
        <v>0</v>
      </c>
      <c r="AG61" s="171">
        <f t="shared" si="2"/>
        <v>0</v>
      </c>
      <c r="AH61" s="171">
        <f t="shared" si="3"/>
        <v>0</v>
      </c>
      <c r="AI61" s="176">
        <f t="shared" si="4"/>
        <v>0</v>
      </c>
      <c r="AJ61" s="177">
        <f t="shared" si="5"/>
        <v>0</v>
      </c>
      <c r="AK61" s="174" t="str">
        <f t="shared" ca="1" si="21"/>
        <v/>
      </c>
    </row>
    <row r="62" spans="2:46">
      <c r="B62" s="539">
        <v>48</v>
      </c>
      <c r="C62" s="166" t="s">
        <v>177</v>
      </c>
      <c r="D62" s="167" t="s">
        <v>217</v>
      </c>
      <c r="E62" s="168" t="s">
        <v>209</v>
      </c>
      <c r="F62" s="169" t="str">
        <f ca="1">INDEX('NARM6 - Risk Summary'!$Q:$Q,MATCH($C62,'NARM6 - Risk Summary'!$B:$B,0)+5)</f>
        <v/>
      </c>
      <c r="G62" s="170">
        <f>INDEX('NARM6 - Risk Summary'!$T:$T,MATCH($C62,'NARM6 - Risk Summary'!$B:$B,0))</f>
        <v>0</v>
      </c>
      <c r="H62" s="171">
        <f>INDEX('NARM6 - Risk Summary'!$T:$T,MATCH($C62,'NARM6 - Risk Summary'!$B:$B,0)+1)</f>
        <v>0</v>
      </c>
      <c r="I62" s="171">
        <f>INDEX('NARM6 - Risk Summary'!$T:$T,MATCH($C62,'NARM6 - Risk Summary'!$B:$B,0)+2)</f>
        <v>0</v>
      </c>
      <c r="J62" s="172">
        <f>INDEX('NARM6 - Risk Summary'!$T:$T,MATCH($C62,'NARM6 - Risk Summary'!$B:$B,0)+3)</f>
        <v>0</v>
      </c>
      <c r="K62" s="172">
        <f>INDEX('NARM6 - Risk Summary'!$T:$T,MATCH($C62,'NARM6 - Risk Summary'!$B:$B,0)+4)</f>
        <v>0</v>
      </c>
      <c r="L62" s="173">
        <f t="shared" si="6"/>
        <v>0</v>
      </c>
      <c r="M62" s="174" t="str">
        <f t="shared" ca="1" si="7"/>
        <v/>
      </c>
      <c r="N62" s="169" t="str">
        <f ca="1">INDEX('NARM6 - Risk Summary'!$R:$R,MATCH($C62,'NARM6 - Risk Summary'!$B:$B,0)+5)</f>
        <v/>
      </c>
      <c r="O62" s="170">
        <f>INDEX('NARM6 - Risk Summary'!$U:$U,MATCH($C62,'NARM6 - Risk Summary'!$B:$B,0))</f>
        <v>0</v>
      </c>
      <c r="P62" s="171">
        <f>INDEX('NARM6 - Risk Summary'!$U:$U,MATCH($C62,'NARM6 - Risk Summary'!$B:$B,0)+1)</f>
        <v>0</v>
      </c>
      <c r="Q62" s="171">
        <f>INDEX('NARM6 - Risk Summary'!$U:$U,MATCH($C62,'NARM6 - Risk Summary'!$B:$B,0)+2)</f>
        <v>0</v>
      </c>
      <c r="R62" s="172">
        <f>INDEX('NARM6 - Risk Summary'!$U:$U,MATCH($C62,'NARM6 - Risk Summary'!$B:$B,0)+3)</f>
        <v>0</v>
      </c>
      <c r="S62" s="172">
        <f>INDEX('NARM6 - Risk Summary'!$U:$U,MATCH($C62,'NARM6 - Risk Summary'!$B:$B,0)+4)</f>
        <v>0</v>
      </c>
      <c r="T62" s="173">
        <f t="shared" si="8"/>
        <v>0</v>
      </c>
      <c r="U62" s="174" t="str">
        <f t="shared" ca="1" si="9"/>
        <v/>
      </c>
      <c r="V62" s="169" t="str">
        <f ca="1">INDEX('NARM6 - Risk Summary'!$S:$S,MATCH($C62,'NARM6 - Risk Summary'!$B:$B,0)+5)</f>
        <v/>
      </c>
      <c r="W62" s="170">
        <f>INDEX('NARM6 - Risk Summary'!$V:$V,MATCH($C62,'NARM6 - Risk Summary'!$B:$B,0))</f>
        <v>0</v>
      </c>
      <c r="X62" s="171">
        <f>INDEX('NARM6 - Risk Summary'!$V:$V,MATCH($C62,'NARM6 - Risk Summary'!$B:$B,0)+1)</f>
        <v>0</v>
      </c>
      <c r="Y62" s="171">
        <f>INDEX('NARM6 - Risk Summary'!$V:$V,MATCH($C62,'NARM6 - Risk Summary'!$B:$B,0)+2)</f>
        <v>0</v>
      </c>
      <c r="Z62" s="172">
        <f>INDEX('NARM6 - Risk Summary'!$V:$V,MATCH($C62,'NARM6 - Risk Summary'!$B:$B,0)+3)</f>
        <v>0</v>
      </c>
      <c r="AA62" s="172">
        <f>INDEX('NARM6 - Risk Summary'!$V:$V,MATCH($C62,'NARM6 - Risk Summary'!$B:$B,0)+4)</f>
        <v>0</v>
      </c>
      <c r="AB62" s="173">
        <f t="shared" si="10"/>
        <v>0</v>
      </c>
      <c r="AC62" s="174" t="str">
        <f t="shared" ca="1" si="11"/>
        <v/>
      </c>
      <c r="AD62" s="175">
        <f t="shared" ca="1" si="12"/>
        <v>0</v>
      </c>
      <c r="AE62" s="170">
        <f t="shared" si="0"/>
        <v>0</v>
      </c>
      <c r="AF62" s="171">
        <f t="shared" si="1"/>
        <v>0</v>
      </c>
      <c r="AG62" s="171">
        <f t="shared" si="2"/>
        <v>0</v>
      </c>
      <c r="AH62" s="171">
        <f t="shared" si="3"/>
        <v>0</v>
      </c>
      <c r="AI62" s="176">
        <f t="shared" si="4"/>
        <v>0</v>
      </c>
      <c r="AJ62" s="177">
        <f t="shared" si="5"/>
        <v>0</v>
      </c>
      <c r="AK62" s="174" t="str">
        <f t="shared" ca="1" si="21"/>
        <v/>
      </c>
    </row>
    <row r="63" spans="2:46">
      <c r="B63" s="539">
        <v>49</v>
      </c>
      <c r="C63" s="166" t="s">
        <v>178</v>
      </c>
      <c r="D63" s="167" t="s">
        <v>217</v>
      </c>
      <c r="E63" s="168" t="s">
        <v>209</v>
      </c>
      <c r="F63" s="169" t="str">
        <f ca="1">INDEX('NARM6 - Risk Summary'!$Q:$Q,MATCH($C63,'NARM6 - Risk Summary'!$B:$B,0)+5)</f>
        <v/>
      </c>
      <c r="G63" s="170">
        <f>INDEX('NARM6 - Risk Summary'!$T:$T,MATCH($C63,'NARM6 - Risk Summary'!$B:$B,0))</f>
        <v>0</v>
      </c>
      <c r="H63" s="171">
        <f>INDEX('NARM6 - Risk Summary'!$T:$T,MATCH($C63,'NARM6 - Risk Summary'!$B:$B,0)+1)</f>
        <v>0</v>
      </c>
      <c r="I63" s="171">
        <f>INDEX('NARM6 - Risk Summary'!$T:$T,MATCH($C63,'NARM6 - Risk Summary'!$B:$B,0)+2)</f>
        <v>0</v>
      </c>
      <c r="J63" s="172">
        <f>INDEX('NARM6 - Risk Summary'!$T:$T,MATCH($C63,'NARM6 - Risk Summary'!$B:$B,0)+3)</f>
        <v>0</v>
      </c>
      <c r="K63" s="172">
        <f>INDEX('NARM6 - Risk Summary'!$T:$T,MATCH($C63,'NARM6 - Risk Summary'!$B:$B,0)+4)</f>
        <v>0</v>
      </c>
      <c r="L63" s="173">
        <f t="shared" si="6"/>
        <v>0</v>
      </c>
      <c r="M63" s="174" t="str">
        <f t="shared" ca="1" si="7"/>
        <v/>
      </c>
      <c r="N63" s="169" t="str">
        <f ca="1">INDEX('NARM6 - Risk Summary'!$R:$R,MATCH($C63,'NARM6 - Risk Summary'!$B:$B,0)+5)</f>
        <v/>
      </c>
      <c r="O63" s="170">
        <f>INDEX('NARM6 - Risk Summary'!$U:$U,MATCH($C63,'NARM6 - Risk Summary'!$B:$B,0))</f>
        <v>0</v>
      </c>
      <c r="P63" s="171">
        <f>INDEX('NARM6 - Risk Summary'!$U:$U,MATCH($C63,'NARM6 - Risk Summary'!$B:$B,0)+1)</f>
        <v>0</v>
      </c>
      <c r="Q63" s="171">
        <f>INDEX('NARM6 - Risk Summary'!$U:$U,MATCH($C63,'NARM6 - Risk Summary'!$B:$B,0)+2)</f>
        <v>0</v>
      </c>
      <c r="R63" s="172">
        <f>INDEX('NARM6 - Risk Summary'!$U:$U,MATCH($C63,'NARM6 - Risk Summary'!$B:$B,0)+3)</f>
        <v>0</v>
      </c>
      <c r="S63" s="172">
        <f>INDEX('NARM6 - Risk Summary'!$U:$U,MATCH($C63,'NARM6 - Risk Summary'!$B:$B,0)+4)</f>
        <v>0</v>
      </c>
      <c r="T63" s="173">
        <f t="shared" si="8"/>
        <v>0</v>
      </c>
      <c r="U63" s="174" t="str">
        <f t="shared" ca="1" si="9"/>
        <v/>
      </c>
      <c r="V63" s="169" t="str">
        <f ca="1">INDEX('NARM6 - Risk Summary'!$S:$S,MATCH($C63,'NARM6 - Risk Summary'!$B:$B,0)+5)</f>
        <v/>
      </c>
      <c r="W63" s="170">
        <f>INDEX('NARM6 - Risk Summary'!$V:$V,MATCH($C63,'NARM6 - Risk Summary'!$B:$B,0))</f>
        <v>0</v>
      </c>
      <c r="X63" s="171">
        <f>INDEX('NARM6 - Risk Summary'!$V:$V,MATCH($C63,'NARM6 - Risk Summary'!$B:$B,0)+1)</f>
        <v>0</v>
      </c>
      <c r="Y63" s="171">
        <f>INDEX('NARM6 - Risk Summary'!$V:$V,MATCH($C63,'NARM6 - Risk Summary'!$B:$B,0)+2)</f>
        <v>0</v>
      </c>
      <c r="Z63" s="172">
        <f>INDEX('NARM6 - Risk Summary'!$V:$V,MATCH($C63,'NARM6 - Risk Summary'!$B:$B,0)+3)</f>
        <v>0</v>
      </c>
      <c r="AA63" s="172">
        <f>INDEX('NARM6 - Risk Summary'!$V:$V,MATCH($C63,'NARM6 - Risk Summary'!$B:$B,0)+4)</f>
        <v>0</v>
      </c>
      <c r="AB63" s="173">
        <f t="shared" si="10"/>
        <v>0</v>
      </c>
      <c r="AC63" s="174" t="str">
        <f t="shared" ca="1" si="11"/>
        <v/>
      </c>
      <c r="AD63" s="175">
        <f t="shared" ca="1" si="12"/>
        <v>0</v>
      </c>
      <c r="AE63" s="170">
        <f t="shared" si="0"/>
        <v>0</v>
      </c>
      <c r="AF63" s="171">
        <f t="shared" si="1"/>
        <v>0</v>
      </c>
      <c r="AG63" s="171">
        <f t="shared" si="2"/>
        <v>0</v>
      </c>
      <c r="AH63" s="171">
        <f t="shared" si="3"/>
        <v>0</v>
      </c>
      <c r="AI63" s="176">
        <f t="shared" si="4"/>
        <v>0</v>
      </c>
      <c r="AJ63" s="177">
        <f t="shared" si="5"/>
        <v>0</v>
      </c>
      <c r="AK63" s="174" t="str">
        <f t="shared" ca="1" si="21"/>
        <v/>
      </c>
    </row>
    <row r="64" spans="2:46" ht="13.5" thickBot="1">
      <c r="B64" s="539">
        <v>60</v>
      </c>
      <c r="C64" s="191" t="s">
        <v>121</v>
      </c>
      <c r="D64" s="192" t="s">
        <v>217</v>
      </c>
      <c r="E64" s="193" t="s">
        <v>210</v>
      </c>
      <c r="F64" s="194" t="str">
        <f ca="1">INDEX('NARM6 - Risk Summary'!$Q:$Q,MATCH($C64,'NARM6 - Risk Summary'!$B:$B,0)+5)</f>
        <v/>
      </c>
      <c r="G64" s="195">
        <f>INDEX('NARM6 - Risk Summary'!$T:$T,MATCH($C64,'NARM6 - Risk Summary'!$B:$B,0))</f>
        <v>0</v>
      </c>
      <c r="H64" s="196">
        <f>INDEX('NARM6 - Risk Summary'!$T:$T,MATCH($C64,'NARM6 - Risk Summary'!$B:$B,0)+1)</f>
        <v>0</v>
      </c>
      <c r="I64" s="196">
        <f>INDEX('NARM6 - Risk Summary'!$T:$T,MATCH($C64,'NARM6 - Risk Summary'!$B:$B,0)+2)</f>
        <v>0</v>
      </c>
      <c r="J64" s="197">
        <f>INDEX('NARM6 - Risk Summary'!$T:$T,MATCH($C64,'NARM6 - Risk Summary'!$B:$B,0)+3)</f>
        <v>0</v>
      </c>
      <c r="K64" s="197">
        <f>INDEX('NARM6 - Risk Summary'!$T:$T,MATCH($C64,'NARM6 - Risk Summary'!$B:$B,0)+4)</f>
        <v>0</v>
      </c>
      <c r="L64" s="198">
        <f t="shared" si="6"/>
        <v>0</v>
      </c>
      <c r="M64" s="199" t="str">
        <f t="shared" ca="1" si="7"/>
        <v/>
      </c>
      <c r="N64" s="194" t="str">
        <f ca="1">INDEX('NARM6 - Risk Summary'!$R:$R,MATCH($C64,'NARM6 - Risk Summary'!$B:$B,0)+5)</f>
        <v/>
      </c>
      <c r="O64" s="195">
        <f>INDEX('NARM6 - Risk Summary'!$U:$U,MATCH($C64,'NARM6 - Risk Summary'!$B:$B,0))</f>
        <v>0</v>
      </c>
      <c r="P64" s="196">
        <f>INDEX('NARM6 - Risk Summary'!$U:$U,MATCH($C64,'NARM6 - Risk Summary'!$B:$B,0)+1)</f>
        <v>0</v>
      </c>
      <c r="Q64" s="196">
        <f>INDEX('NARM6 - Risk Summary'!$U:$U,MATCH($C64,'NARM6 - Risk Summary'!$B:$B,0)+2)</f>
        <v>0</v>
      </c>
      <c r="R64" s="197">
        <f>INDEX('NARM6 - Risk Summary'!$U:$U,MATCH($C64,'NARM6 - Risk Summary'!$B:$B,0)+3)</f>
        <v>0</v>
      </c>
      <c r="S64" s="197">
        <f>INDEX('NARM6 - Risk Summary'!$U:$U,MATCH($C64,'NARM6 - Risk Summary'!$B:$B,0)+4)</f>
        <v>0</v>
      </c>
      <c r="T64" s="198">
        <f t="shared" si="8"/>
        <v>0</v>
      </c>
      <c r="U64" s="199" t="str">
        <f t="shared" ca="1" si="9"/>
        <v/>
      </c>
      <c r="V64" s="194" t="str">
        <f ca="1">INDEX('NARM6 - Risk Summary'!$S:$S,MATCH($C64,'NARM6 - Risk Summary'!$B:$B,0)+5)</f>
        <v/>
      </c>
      <c r="W64" s="195">
        <f>INDEX('NARM6 - Risk Summary'!$V:$V,MATCH($C64,'NARM6 - Risk Summary'!$B:$B,0))</f>
        <v>0</v>
      </c>
      <c r="X64" s="196">
        <f>INDEX('NARM6 - Risk Summary'!$V:$V,MATCH($C64,'NARM6 - Risk Summary'!$B:$B,0)+1)</f>
        <v>0</v>
      </c>
      <c r="Y64" s="196">
        <f>INDEX('NARM6 - Risk Summary'!$V:$V,MATCH($C64,'NARM6 - Risk Summary'!$B:$B,0)+2)</f>
        <v>0</v>
      </c>
      <c r="Z64" s="197">
        <f>INDEX('NARM6 - Risk Summary'!$V:$V,MATCH($C64,'NARM6 - Risk Summary'!$B:$B,0)+3)</f>
        <v>0</v>
      </c>
      <c r="AA64" s="197">
        <f>INDEX('NARM6 - Risk Summary'!$V:$V,MATCH($C64,'NARM6 - Risk Summary'!$B:$B,0)+4)</f>
        <v>0</v>
      </c>
      <c r="AB64" s="198">
        <f t="shared" si="10"/>
        <v>0</v>
      </c>
      <c r="AC64" s="199" t="str">
        <f t="shared" ca="1" si="11"/>
        <v/>
      </c>
      <c r="AD64" s="200">
        <f t="shared" ca="1" si="12"/>
        <v>0</v>
      </c>
      <c r="AE64" s="195">
        <f t="shared" si="0"/>
        <v>0</v>
      </c>
      <c r="AF64" s="196">
        <f t="shared" si="1"/>
        <v>0</v>
      </c>
      <c r="AG64" s="196">
        <f t="shared" si="2"/>
        <v>0</v>
      </c>
      <c r="AH64" s="196">
        <f t="shared" si="3"/>
        <v>0</v>
      </c>
      <c r="AI64" s="201">
        <f t="shared" si="4"/>
        <v>0</v>
      </c>
      <c r="AJ64" s="498">
        <f t="shared" si="5"/>
        <v>0</v>
      </c>
      <c r="AK64" s="199" t="str">
        <f t="shared" ca="1" si="21"/>
        <v/>
      </c>
    </row>
    <row r="65" spans="1:37">
      <c r="A65" s="149" t="str">
        <f>TRIM(B65)</f>
        <v/>
      </c>
      <c r="B65" s="539" t="s">
        <v>218</v>
      </c>
      <c r="F65" s="202">
        <f ca="1">SUM(F4:F64)</f>
        <v>0</v>
      </c>
      <c r="G65" s="202">
        <f>SUM(G4:G64)</f>
        <v>0</v>
      </c>
      <c r="H65" s="202">
        <f t="shared" ref="H65:L65" si="22">SUM(H4:H64)</f>
        <v>0</v>
      </c>
      <c r="I65" s="202">
        <f t="shared" si="22"/>
        <v>0</v>
      </c>
      <c r="J65" s="202">
        <f t="shared" si="22"/>
        <v>0</v>
      </c>
      <c r="K65" s="202">
        <f t="shared" si="22"/>
        <v>0</v>
      </c>
      <c r="L65" s="202">
        <f t="shared" si="22"/>
        <v>0</v>
      </c>
      <c r="M65" s="203" t="str">
        <f ca="1">IF(IFERROR((G65+H65+I65+J65+K65)/F65,"")&lt;0,0,IFERROR((G65+H65+I65+J65+K65)/F65,""))</f>
        <v/>
      </c>
      <c r="N65" s="202">
        <f ca="1">SUM(N4:N64)</f>
        <v>0</v>
      </c>
      <c r="O65" s="202">
        <f>SUM(O4:O64)</f>
        <v>0</v>
      </c>
      <c r="P65" s="202">
        <f>SUM(P4:P64)</f>
        <v>0</v>
      </c>
      <c r="Q65" s="202">
        <f>SUM(Q4:Q64)</f>
        <v>0</v>
      </c>
      <c r="R65" s="202"/>
      <c r="S65" s="202">
        <f>SUM(S4:S64)</f>
        <v>0</v>
      </c>
      <c r="T65" s="202">
        <f>SUM(T4:T64)</f>
        <v>0</v>
      </c>
      <c r="U65" s="203" t="str">
        <f ca="1">IF(IFERROR((O65+P65+Q65+R65+S65)/N65,"")&lt;0,0,IFERROR((O65+P65+Q65+R65+S65)/N65,""))</f>
        <v/>
      </c>
      <c r="V65" s="202">
        <f ca="1">SUM(V4:V64)</f>
        <v>0</v>
      </c>
      <c r="W65" s="202">
        <f>SUM(W4:W64)</f>
        <v>0</v>
      </c>
      <c r="X65" s="202">
        <f>SUM(X4:X64)</f>
        <v>0</v>
      </c>
      <c r="Y65" s="202">
        <f>SUM(Y4:Y64)</f>
        <v>0</v>
      </c>
      <c r="Z65" s="202"/>
      <c r="AA65" s="202">
        <f>SUM(AA4:AA64)</f>
        <v>0</v>
      </c>
      <c r="AB65" s="202">
        <f>SUM(AB4:AB64)</f>
        <v>0</v>
      </c>
      <c r="AC65" s="203" t="str">
        <f ca="1">IF(IFERROR((W65+X65+Y65+Z65+AA65)/V65,"")&lt;0,0,IFERROR((W65+X65+Y65+Z65+AA65)/V65,""))</f>
        <v/>
      </c>
      <c r="AD65" s="202">
        <f ca="1">SUM(AD4:AD64)</f>
        <v>0</v>
      </c>
      <c r="AE65" s="202">
        <f>SUM(AE4:AE64)</f>
        <v>0</v>
      </c>
      <c r="AF65" s="202">
        <f>SUM(AF4:AF64)</f>
        <v>0</v>
      </c>
      <c r="AG65" s="202">
        <f>SUM(AG4:AG64)</f>
        <v>0</v>
      </c>
      <c r="AH65" s="202">
        <f t="shared" ref="AH65:AI65" si="23">SUM(AH4:AH64)</f>
        <v>0</v>
      </c>
      <c r="AI65" s="202">
        <f t="shared" si="23"/>
        <v>0</v>
      </c>
      <c r="AJ65" s="202">
        <f>SUM(AJ4:AJ64)</f>
        <v>0</v>
      </c>
      <c r="AK65" s="203" t="str">
        <f ca="1">IF(IFERROR((AE65+AF65+AG65+AH65+AI65)/AD65,"")&lt;0,0,IFERROR((AE65+AF65+AG65+AH65+AI65)/AD65,""))</f>
        <v/>
      </c>
    </row>
    <row r="66" spans="1:37">
      <c r="F66" s="202"/>
      <c r="G66" s="202"/>
      <c r="H66" s="202"/>
      <c r="I66" s="202"/>
      <c r="J66" s="202"/>
      <c r="K66" s="202"/>
      <c r="L66" s="202"/>
      <c r="M66" s="203"/>
      <c r="N66" s="202"/>
      <c r="O66" s="202"/>
      <c r="P66" s="202"/>
      <c r="Q66" s="202"/>
      <c r="R66" s="202"/>
      <c r="S66" s="202"/>
      <c r="T66" s="202"/>
      <c r="U66" s="203"/>
      <c r="V66" s="202"/>
      <c r="W66" s="202"/>
      <c r="X66" s="202"/>
      <c r="Y66" s="202"/>
      <c r="Z66" s="202"/>
      <c r="AA66" s="202"/>
      <c r="AB66" s="202"/>
      <c r="AC66" s="203"/>
      <c r="AD66" s="202"/>
      <c r="AE66" s="202">
        <f>AE65</f>
        <v>0</v>
      </c>
      <c r="AF66" s="202">
        <f>AE66+AF65</f>
        <v>0</v>
      </c>
      <c r="AG66" s="202">
        <f>AF66+AG65</f>
        <v>0</v>
      </c>
      <c r="AH66" s="202">
        <f t="shared" ref="AH66:AI66" si="24">AG66+AH65</f>
        <v>0</v>
      </c>
      <c r="AI66" s="202">
        <f t="shared" si="24"/>
        <v>0</v>
      </c>
      <c r="AJ66" s="202"/>
      <c r="AK66" s="203"/>
    </row>
    <row r="67" spans="1:37">
      <c r="A67" s="149" t="str">
        <f>TRIM(B67)</f>
        <v/>
      </c>
      <c r="B67" s="539" t="s">
        <v>218</v>
      </c>
    </row>
    <row r="71" spans="1:37" ht="13.5">
      <c r="Q71"/>
      <c r="R71"/>
      <c r="S71"/>
      <c r="T71"/>
      <c r="Y71"/>
      <c r="Z71"/>
      <c r="AA71"/>
      <c r="AB71"/>
    </row>
    <row r="72" spans="1:37" ht="13.5">
      <c r="Q72"/>
      <c r="R72"/>
      <c r="S72"/>
      <c r="T72"/>
      <c r="Y72"/>
      <c r="Z72"/>
      <c r="AA72"/>
      <c r="AB72"/>
    </row>
    <row r="73" spans="1:37" ht="12.75" customHeight="1">
      <c r="P73"/>
      <c r="Q73"/>
      <c r="R73"/>
      <c r="S73"/>
      <c r="T73"/>
      <c r="X73"/>
      <c r="Y73"/>
      <c r="Z73"/>
      <c r="AA73"/>
      <c r="AB73"/>
    </row>
    <row r="74" spans="1:37" ht="13.5">
      <c r="M74"/>
      <c r="N74"/>
      <c r="O74"/>
      <c r="P74"/>
      <c r="Q74"/>
      <c r="R74"/>
      <c r="S74"/>
      <c r="T74"/>
      <c r="V74"/>
      <c r="W74"/>
      <c r="X74"/>
      <c r="Y74"/>
      <c r="Z74"/>
      <c r="AA74"/>
      <c r="AB74"/>
    </row>
    <row r="75" spans="1:37" ht="13.5">
      <c r="M75"/>
      <c r="N75"/>
      <c r="O75"/>
      <c r="P75"/>
      <c r="Q75"/>
      <c r="R75"/>
      <c r="S75"/>
      <c r="T75"/>
      <c r="V75"/>
      <c r="W75"/>
      <c r="X75"/>
      <c r="Y75"/>
      <c r="Z75"/>
      <c r="AA75"/>
      <c r="AB75"/>
    </row>
    <row r="76" spans="1:37" ht="13.5">
      <c r="M76"/>
      <c r="N76"/>
      <c r="O76"/>
      <c r="P76"/>
      <c r="Q76"/>
      <c r="R76"/>
      <c r="S76"/>
      <c r="T76"/>
      <c r="V76"/>
      <c r="W76"/>
      <c r="X76"/>
      <c r="Y76"/>
      <c r="Z76"/>
      <c r="AA76"/>
      <c r="AB76"/>
    </row>
    <row r="77" spans="1:37" ht="13.5">
      <c r="C77"/>
      <c r="D77"/>
      <c r="E77"/>
      <c r="M77"/>
      <c r="N77"/>
      <c r="O77"/>
      <c r="P77"/>
      <c r="Q77"/>
      <c r="R77"/>
      <c r="S77"/>
      <c r="T77"/>
      <c r="V77"/>
      <c r="W77"/>
      <c r="X77"/>
      <c r="Y77"/>
      <c r="Z77"/>
      <c r="AA77"/>
      <c r="AB77"/>
    </row>
    <row r="78" spans="1:37" ht="13.5">
      <c r="C78"/>
      <c r="D78"/>
      <c r="E78"/>
      <c r="M78"/>
      <c r="N78"/>
      <c r="O78"/>
      <c r="P78"/>
      <c r="Q78"/>
      <c r="R78"/>
      <c r="S78"/>
      <c r="T78"/>
      <c r="U78"/>
      <c r="V78"/>
      <c r="W78"/>
      <c r="X78"/>
      <c r="Y78"/>
      <c r="Z78"/>
      <c r="AA78"/>
      <c r="AB78"/>
      <c r="AC78"/>
      <c r="AD78"/>
    </row>
    <row r="79" spans="1:37" ht="13.5">
      <c r="C79"/>
      <c r="D79"/>
      <c r="E79"/>
      <c r="M79"/>
      <c r="N79"/>
      <c r="O79"/>
      <c r="P79"/>
      <c r="Q79"/>
      <c r="R79"/>
      <c r="S79"/>
      <c r="T79"/>
      <c r="U79"/>
      <c r="V79"/>
      <c r="W79"/>
      <c r="X79"/>
      <c r="Y79"/>
      <c r="Z79"/>
      <c r="AA79"/>
      <c r="AB79"/>
      <c r="AC79"/>
      <c r="AD79"/>
      <c r="AE79"/>
      <c r="AF79"/>
      <c r="AG79"/>
      <c r="AH79"/>
      <c r="AI79"/>
      <c r="AJ79"/>
      <c r="AK79"/>
    </row>
    <row r="80" spans="1:37" ht="13.5">
      <c r="C80"/>
      <c r="D80"/>
      <c r="E80"/>
      <c r="M80"/>
      <c r="N80"/>
      <c r="O80"/>
      <c r="P80"/>
      <c r="Q80"/>
      <c r="R80"/>
      <c r="S80"/>
      <c r="T80"/>
      <c r="U80"/>
      <c r="V80"/>
      <c r="W80"/>
      <c r="X80"/>
      <c r="Y80"/>
      <c r="Z80"/>
      <c r="AA80"/>
      <c r="AB80"/>
      <c r="AC80"/>
      <c r="AD80"/>
      <c r="AE80"/>
      <c r="AF80"/>
      <c r="AG80"/>
      <c r="AH80"/>
      <c r="AI80"/>
    </row>
    <row r="81" spans="3:37" ht="13.5">
      <c r="C81"/>
      <c r="D81"/>
      <c r="E81"/>
      <c r="M81"/>
      <c r="N81"/>
      <c r="O81"/>
      <c r="P81"/>
      <c r="Q81"/>
      <c r="R81"/>
      <c r="S81"/>
      <c r="T81"/>
      <c r="V81"/>
      <c r="W81"/>
      <c r="X81"/>
      <c r="Y81"/>
      <c r="Z81"/>
      <c r="AA81"/>
      <c r="AB81"/>
    </row>
    <row r="82" spans="3:37" ht="13.5">
      <c r="C82"/>
      <c r="D82"/>
      <c r="E82"/>
      <c r="F82"/>
      <c r="G82"/>
      <c r="H82"/>
      <c r="I82"/>
      <c r="J82"/>
      <c r="K82"/>
      <c r="L82"/>
      <c r="M82"/>
      <c r="N82"/>
      <c r="O82"/>
      <c r="P82"/>
      <c r="Q82"/>
      <c r="R82"/>
      <c r="S82"/>
      <c r="T82"/>
      <c r="V82"/>
      <c r="W82"/>
      <c r="X82"/>
      <c r="Y82"/>
      <c r="Z82"/>
      <c r="AA82"/>
      <c r="AB82"/>
    </row>
    <row r="83" spans="3:37" ht="13.5">
      <c r="C83"/>
      <c r="D83"/>
      <c r="E83"/>
      <c r="F83"/>
      <c r="G83"/>
      <c r="H83"/>
      <c r="I83"/>
      <c r="J83"/>
      <c r="K83"/>
      <c r="L83"/>
      <c r="M83"/>
      <c r="N83"/>
      <c r="O83"/>
      <c r="P83"/>
      <c r="Q83"/>
      <c r="R83"/>
      <c r="S83"/>
      <c r="T83"/>
      <c r="V83"/>
      <c r="W83"/>
      <c r="X83"/>
      <c r="Y83"/>
      <c r="Z83"/>
      <c r="AA83"/>
      <c r="AB83"/>
    </row>
    <row r="84" spans="3:37" ht="13.5">
      <c r="C84"/>
      <c r="D84"/>
      <c r="E84"/>
      <c r="F84"/>
      <c r="G84"/>
      <c r="H84"/>
      <c r="I84"/>
      <c r="J84"/>
      <c r="K84"/>
      <c r="L84"/>
      <c r="M84"/>
      <c r="N84"/>
      <c r="O84" s="206"/>
      <c r="P84"/>
      <c r="Q84"/>
      <c r="R84"/>
      <c r="S84"/>
      <c r="T84"/>
      <c r="V84"/>
      <c r="W84" s="206"/>
      <c r="X84"/>
      <c r="Y84"/>
      <c r="Z84"/>
      <c r="AA84"/>
      <c r="AB84"/>
    </row>
    <row r="85" spans="3:37" ht="13.5">
      <c r="C85"/>
      <c r="D85"/>
      <c r="E85"/>
      <c r="F85"/>
      <c r="G85"/>
      <c r="H85"/>
      <c r="I85"/>
      <c r="J85"/>
      <c r="K85"/>
      <c r="L85"/>
      <c r="M85"/>
      <c r="N85"/>
      <c r="O85" s="206"/>
      <c r="P85"/>
      <c r="Q85"/>
      <c r="R85"/>
      <c r="S85"/>
      <c r="T85"/>
      <c r="V85"/>
      <c r="W85" s="206"/>
      <c r="X85"/>
      <c r="Y85"/>
      <c r="Z85"/>
      <c r="AA85"/>
      <c r="AB85"/>
    </row>
    <row r="86" spans="3:37" ht="13.5">
      <c r="C86"/>
      <c r="D86"/>
      <c r="E86"/>
      <c r="F86"/>
      <c r="G86"/>
      <c r="H86"/>
      <c r="I86"/>
      <c r="J86"/>
      <c r="K86"/>
      <c r="L86"/>
      <c r="M86"/>
      <c r="N86"/>
      <c r="O86" s="206"/>
      <c r="P86"/>
      <c r="Q86"/>
      <c r="R86"/>
      <c r="S86"/>
      <c r="T86"/>
      <c r="V86"/>
      <c r="W86" s="206"/>
      <c r="X86"/>
      <c r="Y86"/>
      <c r="Z86"/>
      <c r="AA86"/>
      <c r="AB86"/>
    </row>
    <row r="87" spans="3:37" ht="13.5">
      <c r="C87"/>
      <c r="D87"/>
      <c r="E87"/>
      <c r="F87"/>
      <c r="G87"/>
      <c r="H87"/>
      <c r="I87"/>
      <c r="J87"/>
      <c r="K87"/>
      <c r="L87"/>
      <c r="M87"/>
      <c r="N87"/>
      <c r="O87" s="206"/>
      <c r="P87"/>
      <c r="Q87"/>
      <c r="R87"/>
      <c r="S87"/>
      <c r="T87"/>
      <c r="V87"/>
      <c r="W87" s="206"/>
      <c r="X87"/>
      <c r="Y87"/>
      <c r="Z87"/>
      <c r="AA87"/>
      <c r="AB87"/>
    </row>
    <row r="88" spans="3:37" ht="13.5">
      <c r="C88"/>
      <c r="D88"/>
      <c r="E88"/>
      <c r="F88"/>
      <c r="G88"/>
      <c r="H88"/>
      <c r="I88"/>
      <c r="J88"/>
      <c r="K88"/>
      <c r="L88"/>
      <c r="M88"/>
      <c r="N88"/>
      <c r="O88" s="206"/>
      <c r="P88"/>
      <c r="Q88"/>
      <c r="R88"/>
      <c r="S88"/>
      <c r="T88"/>
      <c r="U88"/>
      <c r="V88"/>
      <c r="W88" s="206"/>
      <c r="X88"/>
      <c r="Y88"/>
      <c r="Z88"/>
      <c r="AA88"/>
      <c r="AB88"/>
      <c r="AC88"/>
      <c r="AD88"/>
      <c r="AE88"/>
      <c r="AF88"/>
      <c r="AG88"/>
      <c r="AH88"/>
      <c r="AI88"/>
      <c r="AJ88"/>
      <c r="AK88"/>
    </row>
    <row r="89" spans="3:37" ht="13.5">
      <c r="C89"/>
      <c r="D89"/>
      <c r="E89"/>
      <c r="F89"/>
      <c r="G89"/>
      <c r="H89"/>
      <c r="I89"/>
      <c r="J89"/>
      <c r="K89"/>
      <c r="L89"/>
      <c r="M89"/>
      <c r="N89"/>
      <c r="O89" s="206"/>
      <c r="P89"/>
      <c r="Q89"/>
      <c r="R89"/>
      <c r="S89"/>
      <c r="T89"/>
      <c r="U89"/>
      <c r="V89"/>
      <c r="W89" s="206"/>
      <c r="X89"/>
      <c r="Y89"/>
      <c r="Z89"/>
      <c r="AA89"/>
      <c r="AB89"/>
      <c r="AC89"/>
      <c r="AD89"/>
      <c r="AE89"/>
      <c r="AF89"/>
      <c r="AG89"/>
      <c r="AH89"/>
      <c r="AI89"/>
      <c r="AJ89"/>
      <c r="AK89"/>
    </row>
    <row r="90" spans="3:37" ht="13.5">
      <c r="C90"/>
      <c r="D90"/>
      <c r="E90"/>
      <c r="F90"/>
      <c r="G90"/>
      <c r="H90"/>
      <c r="I90"/>
      <c r="J90"/>
      <c r="K90"/>
      <c r="L90"/>
      <c r="M90"/>
      <c r="N90"/>
      <c r="O90" s="206"/>
      <c r="P90"/>
      <c r="Q90"/>
      <c r="R90"/>
      <c r="S90"/>
      <c r="T90"/>
      <c r="U90"/>
      <c r="V90"/>
      <c r="W90" s="206"/>
      <c r="X90"/>
      <c r="Y90"/>
      <c r="Z90"/>
      <c r="AA90"/>
      <c r="AB90"/>
      <c r="AC90"/>
      <c r="AD90"/>
      <c r="AE90"/>
      <c r="AF90"/>
      <c r="AG90"/>
      <c r="AH90"/>
      <c r="AI90"/>
      <c r="AJ90"/>
      <c r="AK90"/>
    </row>
    <row r="91" spans="3:37" ht="13.5">
      <c r="C91"/>
      <c r="D91"/>
      <c r="E91"/>
      <c r="F91"/>
      <c r="G91"/>
      <c r="H91"/>
      <c r="I91"/>
      <c r="J91"/>
      <c r="K91"/>
      <c r="L91"/>
      <c r="M91"/>
      <c r="N91"/>
      <c r="O91" s="206"/>
      <c r="P91"/>
      <c r="Q91"/>
      <c r="R91"/>
      <c r="S91"/>
      <c r="T91"/>
      <c r="U91"/>
      <c r="V91"/>
      <c r="W91" s="206"/>
      <c r="X91"/>
      <c r="Y91"/>
      <c r="Z91"/>
      <c r="AA91"/>
      <c r="AB91"/>
      <c r="AC91"/>
      <c r="AD91"/>
      <c r="AE91"/>
      <c r="AF91"/>
      <c r="AG91"/>
      <c r="AH91"/>
      <c r="AI91"/>
      <c r="AJ91"/>
      <c r="AK91"/>
    </row>
    <row r="92" spans="3:37" ht="13.5">
      <c r="C92"/>
      <c r="D92"/>
      <c r="E92"/>
      <c r="F92"/>
      <c r="G92"/>
      <c r="H92"/>
      <c r="I92"/>
      <c r="J92"/>
      <c r="K92"/>
      <c r="L92"/>
      <c r="M92"/>
      <c r="N92"/>
      <c r="O92" s="206"/>
      <c r="P92"/>
      <c r="Q92"/>
      <c r="R92"/>
      <c r="S92"/>
      <c r="T92"/>
      <c r="U92"/>
      <c r="V92"/>
      <c r="W92" s="206"/>
      <c r="X92"/>
      <c r="Y92"/>
      <c r="Z92"/>
      <c r="AA92"/>
      <c r="AB92"/>
      <c r="AC92"/>
      <c r="AD92"/>
      <c r="AE92"/>
      <c r="AF92"/>
      <c r="AG92"/>
      <c r="AH92"/>
      <c r="AI92"/>
      <c r="AJ92"/>
      <c r="AK92"/>
    </row>
    <row r="93" spans="3:37" ht="13.5">
      <c r="C93"/>
      <c r="D93"/>
      <c r="E93"/>
      <c r="F93"/>
      <c r="G93"/>
      <c r="H93"/>
      <c r="I93"/>
      <c r="J93"/>
      <c r="K93"/>
      <c r="L93"/>
      <c r="M93"/>
      <c r="N93"/>
      <c r="O93" s="206"/>
      <c r="P93"/>
      <c r="Q93"/>
      <c r="R93"/>
      <c r="S93"/>
      <c r="T93"/>
      <c r="U93"/>
      <c r="V93"/>
      <c r="W93" s="206"/>
      <c r="X93"/>
      <c r="Y93"/>
      <c r="Z93"/>
      <c r="AA93"/>
      <c r="AB93"/>
      <c r="AC93"/>
      <c r="AD93"/>
      <c r="AE93"/>
      <c r="AF93"/>
      <c r="AG93"/>
      <c r="AH93"/>
      <c r="AI93"/>
      <c r="AJ93"/>
      <c r="AK93"/>
    </row>
    <row r="94" spans="3:37" ht="13.5">
      <c r="C94"/>
      <c r="D94"/>
      <c r="E94"/>
      <c r="F94"/>
      <c r="G94"/>
      <c r="H94"/>
      <c r="I94"/>
      <c r="J94"/>
      <c r="K94"/>
      <c r="L94"/>
      <c r="M94"/>
      <c r="N94"/>
      <c r="O94" s="206"/>
      <c r="P94"/>
      <c r="Q94"/>
      <c r="R94"/>
      <c r="S94"/>
      <c r="T94"/>
      <c r="U94"/>
      <c r="V94"/>
      <c r="W94" s="206"/>
      <c r="X94"/>
      <c r="Y94"/>
      <c r="Z94"/>
      <c r="AA94"/>
      <c r="AB94"/>
      <c r="AC94"/>
      <c r="AD94"/>
      <c r="AE94"/>
      <c r="AF94"/>
      <c r="AG94"/>
      <c r="AH94"/>
      <c r="AI94"/>
      <c r="AJ94"/>
      <c r="AK94"/>
    </row>
    <row r="95" spans="3:37" ht="13.5">
      <c r="C95"/>
      <c r="D95"/>
      <c r="E95"/>
      <c r="F95"/>
      <c r="G95"/>
      <c r="H95"/>
      <c r="I95"/>
      <c r="J95"/>
      <c r="K95"/>
      <c r="L95"/>
      <c r="M95"/>
      <c r="N95"/>
      <c r="O95" s="206"/>
      <c r="P95"/>
      <c r="Q95"/>
      <c r="R95"/>
      <c r="S95"/>
      <c r="T95"/>
      <c r="U95"/>
      <c r="V95"/>
      <c r="W95" s="206"/>
      <c r="X95"/>
      <c r="Y95"/>
      <c r="Z95"/>
      <c r="AA95"/>
      <c r="AB95"/>
      <c r="AC95"/>
      <c r="AD95"/>
      <c r="AE95"/>
      <c r="AF95"/>
      <c r="AG95"/>
      <c r="AH95"/>
      <c r="AI95"/>
      <c r="AJ95"/>
      <c r="AK95"/>
    </row>
    <row r="96" spans="3:37" ht="13.5">
      <c r="C96"/>
      <c r="D96"/>
      <c r="E96"/>
      <c r="F96"/>
      <c r="G96"/>
      <c r="H96"/>
      <c r="I96"/>
      <c r="J96"/>
      <c r="K96"/>
      <c r="L96"/>
      <c r="M96"/>
      <c r="N96"/>
      <c r="O96" s="206"/>
      <c r="P96"/>
      <c r="Q96"/>
      <c r="R96"/>
      <c r="S96"/>
      <c r="T96"/>
      <c r="U96"/>
      <c r="V96"/>
      <c r="W96" s="206"/>
      <c r="X96"/>
      <c r="Y96"/>
      <c r="Z96"/>
      <c r="AA96"/>
      <c r="AB96"/>
      <c r="AC96"/>
      <c r="AD96"/>
      <c r="AE96"/>
      <c r="AF96"/>
      <c r="AG96"/>
      <c r="AH96"/>
      <c r="AI96"/>
      <c r="AJ96"/>
      <c r="AK96"/>
    </row>
    <row r="97" spans="3:37" ht="13.5">
      <c r="C97"/>
      <c r="D97"/>
      <c r="E97"/>
      <c r="F97"/>
      <c r="G97"/>
      <c r="H97"/>
      <c r="I97"/>
      <c r="J97"/>
      <c r="K97"/>
      <c r="L97"/>
      <c r="M97"/>
      <c r="N97"/>
      <c r="O97" s="206"/>
      <c r="P97"/>
      <c r="Q97"/>
      <c r="R97"/>
      <c r="S97"/>
      <c r="T97"/>
      <c r="U97"/>
      <c r="V97"/>
      <c r="W97" s="206"/>
      <c r="X97"/>
      <c r="Y97"/>
      <c r="Z97"/>
      <c r="AA97"/>
      <c r="AB97"/>
      <c r="AC97"/>
      <c r="AD97"/>
      <c r="AE97"/>
      <c r="AF97"/>
      <c r="AG97"/>
      <c r="AH97"/>
      <c r="AI97"/>
      <c r="AJ97"/>
      <c r="AK97"/>
    </row>
    <row r="98" spans="3:37" ht="13.5">
      <c r="C98"/>
      <c r="D98"/>
      <c r="E98"/>
      <c r="F98"/>
      <c r="G98"/>
      <c r="H98"/>
      <c r="I98"/>
      <c r="J98"/>
      <c r="K98"/>
      <c r="L98"/>
      <c r="M98"/>
      <c r="N98"/>
      <c r="O98" s="206"/>
      <c r="P98"/>
      <c r="Q98"/>
      <c r="R98"/>
      <c r="S98"/>
      <c r="T98"/>
      <c r="U98"/>
      <c r="V98"/>
      <c r="W98" s="206"/>
      <c r="X98"/>
      <c r="Y98"/>
      <c r="Z98"/>
      <c r="AA98"/>
      <c r="AB98"/>
      <c r="AC98"/>
      <c r="AD98"/>
      <c r="AE98"/>
      <c r="AF98"/>
      <c r="AG98"/>
      <c r="AH98"/>
      <c r="AI98"/>
      <c r="AJ98"/>
      <c r="AK98"/>
    </row>
    <row r="99" spans="3:37" ht="13.5">
      <c r="P99"/>
      <c r="Q99"/>
      <c r="R99"/>
      <c r="S99"/>
      <c r="T99"/>
      <c r="U99"/>
      <c r="X99"/>
      <c r="Y99"/>
      <c r="Z99"/>
      <c r="AA99"/>
      <c r="AB99"/>
      <c r="AC99"/>
      <c r="AD99"/>
      <c r="AE99"/>
      <c r="AF99"/>
      <c r="AG99"/>
      <c r="AH99"/>
      <c r="AI99"/>
      <c r="AJ99"/>
      <c r="AK99"/>
    </row>
    <row r="100" spans="3:37" ht="13.5">
      <c r="P100"/>
      <c r="Q100"/>
      <c r="R100"/>
      <c r="S100"/>
      <c r="T100"/>
      <c r="U100"/>
      <c r="X100"/>
      <c r="Y100"/>
      <c r="Z100"/>
      <c r="AA100"/>
      <c r="AB100"/>
      <c r="AC100"/>
      <c r="AD100"/>
      <c r="AE100"/>
      <c r="AF100"/>
      <c r="AG100"/>
      <c r="AH100"/>
      <c r="AI100"/>
      <c r="AJ100"/>
      <c r="AK100"/>
    </row>
    <row r="101" spans="3:37" ht="13.5">
      <c r="P101"/>
      <c r="Q101"/>
      <c r="R101"/>
      <c r="S101"/>
      <c r="T101"/>
      <c r="U101"/>
      <c r="X101"/>
      <c r="Y101"/>
      <c r="Z101"/>
      <c r="AA101"/>
      <c r="AB101"/>
      <c r="AC101"/>
      <c r="AD101"/>
      <c r="AE101"/>
      <c r="AF101"/>
      <c r="AG101"/>
      <c r="AH101"/>
      <c r="AI101"/>
      <c r="AJ101"/>
      <c r="AK101"/>
    </row>
    <row r="102" spans="3:37" ht="13.5">
      <c r="P102"/>
      <c r="Q102"/>
      <c r="R102"/>
      <c r="S102"/>
      <c r="T102"/>
      <c r="U102"/>
      <c r="X102"/>
      <c r="Y102"/>
      <c r="Z102"/>
      <c r="AA102"/>
      <c r="AB102"/>
      <c r="AC102"/>
      <c r="AD102"/>
      <c r="AE102"/>
      <c r="AF102"/>
      <c r="AG102"/>
      <c r="AH102"/>
      <c r="AI102"/>
      <c r="AJ102"/>
      <c r="AK102"/>
    </row>
    <row r="103" spans="3:37" ht="13.5">
      <c r="Q103"/>
      <c r="R103"/>
      <c r="S103"/>
      <c r="T103"/>
      <c r="U103"/>
      <c r="Y103"/>
      <c r="Z103"/>
      <c r="AA103"/>
      <c r="AB103"/>
      <c r="AC103"/>
      <c r="AD103"/>
      <c r="AE103"/>
      <c r="AF103"/>
      <c r="AG103"/>
      <c r="AH103"/>
      <c r="AI103"/>
      <c r="AJ103"/>
      <c r="AK103"/>
    </row>
    <row r="104" spans="3:37" ht="13.5">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row r="105" spans="3:37" ht="13.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row>
  </sheetData>
  <mergeCells count="18">
    <mergeCell ref="AM2:AM3"/>
    <mergeCell ref="AN2:AQ2"/>
    <mergeCell ref="AR2:AU2"/>
    <mergeCell ref="AM11:AM12"/>
    <mergeCell ref="AM14:AM15"/>
    <mergeCell ref="AN14:AQ14"/>
    <mergeCell ref="AR14:AU14"/>
    <mergeCell ref="C2:C3"/>
    <mergeCell ref="D2:D3"/>
    <mergeCell ref="E2:E3"/>
    <mergeCell ref="F2:M2"/>
    <mergeCell ref="N2:U2"/>
    <mergeCell ref="AD2:AK2"/>
    <mergeCell ref="L3:M3"/>
    <mergeCell ref="T3:U3"/>
    <mergeCell ref="AJ3:AK3"/>
    <mergeCell ref="V2:AC2"/>
    <mergeCell ref="AB3:AC3"/>
  </mergeCells>
  <conditionalFormatting sqref="AK4:AK63">
    <cfRule type="cellIs" dxfId="7" priority="1" operator="between">
      <formula>$AK$99</formula>
      <formula>$AK$101</formula>
    </cfRule>
    <cfRule type="cellIs" dxfId="6" priority="2" operator="lessThan">
      <formula>$AK$101</formula>
    </cfRule>
    <cfRule type="cellIs" dxfId="5" priority="3" operator="greaterThan">
      <formula>$AK$99</formula>
    </cfRule>
  </conditionalFormatting>
  <conditionalFormatting sqref="AK25:AK64">
    <cfRule type="cellIs" dxfId="4" priority="4" operator="between">
      <formula>$AK$99</formula>
      <formula>$AK$101</formula>
    </cfRule>
    <cfRule type="cellIs" dxfId="3" priority="5" operator="lessThan">
      <formula>$AK$101</formula>
    </cfRule>
    <cfRule type="cellIs" dxfId="2" priority="6" operator="greaterThan">
      <formula>$AK$99</formula>
    </cfRule>
  </conditionalFormatting>
  <pageMargins left="0.70866141732283472" right="0.70866141732283472" top="0.74803149606299213" bottom="0.74803149606299213" header="0.31496062992125984" footer="0.31496062992125984"/>
  <pageSetup paperSize="8" scale="25" orientation="landscape" r:id="rId1"/>
  <headerFooter>
    <oddHeader>&amp;CNPgN Annex D - Secondary Deliverables Submission for 2017/18 Regulatory Year</oddHeader>
    <oddFooter>&amp;C_x000D_&amp;1#&amp;"Calibri"&amp;10&amp;K000000 OFFICIAL-InternalOnly&amp;RPage &amp;P</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AY174"/>
  <sheetViews>
    <sheetView showGridLines="0" zoomScale="70" zoomScaleNormal="70" workbookViewId="0"/>
  </sheetViews>
  <sheetFormatPr defaultColWidth="9" defaultRowHeight="13.5"/>
  <cols>
    <col min="1" max="2" width="9" style="207"/>
    <col min="3" max="3" width="30.15234375" style="207" customWidth="1"/>
    <col min="4" max="27" width="10.765625" style="207" customWidth="1"/>
    <col min="28" max="28" width="9" style="207"/>
    <col min="29" max="29" width="9" style="207" customWidth="1"/>
    <col min="30" max="40" width="9" style="207"/>
    <col min="41" max="41" width="33.4609375" style="207" customWidth="1"/>
    <col min="42" max="51" width="13.23046875" style="207" customWidth="1"/>
    <col min="52" max="52" width="10.84375" style="207" bestFit="1" customWidth="1"/>
    <col min="53" max="53" width="9" style="207"/>
    <col min="54" max="54" width="10.84375" style="207" bestFit="1" customWidth="1"/>
    <col min="55" max="16384" width="9" style="207"/>
  </cols>
  <sheetData>
    <row r="1" spans="2:51" ht="14" thickBot="1"/>
    <row r="2" spans="2:51" ht="12.75" customHeight="1">
      <c r="B2" s="627" t="s">
        <v>219</v>
      </c>
      <c r="C2" s="628"/>
      <c r="D2" s="629"/>
      <c r="F2" s="642" t="s">
        <v>220</v>
      </c>
      <c r="G2" s="643"/>
      <c r="H2" s="643"/>
      <c r="I2" s="643"/>
      <c r="J2" s="644"/>
    </row>
    <row r="3" spans="2:51" ht="12.75" customHeight="1">
      <c r="B3" s="630"/>
      <c r="C3" s="631"/>
      <c r="D3" s="632"/>
      <c r="F3" s="645"/>
      <c r="G3" s="646"/>
      <c r="H3" s="646"/>
      <c r="I3" s="646"/>
      <c r="J3" s="647"/>
    </row>
    <row r="4" spans="2:51" ht="27.75" customHeight="1">
      <c r="B4" s="630"/>
      <c r="C4" s="631"/>
      <c r="D4" s="632"/>
      <c r="F4" s="645"/>
      <c r="G4" s="646"/>
      <c r="H4" s="646"/>
      <c r="I4" s="646"/>
      <c r="J4" s="647"/>
    </row>
    <row r="5" spans="2:51" ht="27.75" customHeight="1" thickBot="1">
      <c r="B5" s="633"/>
      <c r="C5" s="634"/>
      <c r="D5" s="635"/>
      <c r="F5" s="648"/>
      <c r="G5" s="649"/>
      <c r="H5" s="649"/>
      <c r="I5" s="649"/>
      <c r="J5" s="650"/>
    </row>
    <row r="6" spans="2:51" ht="14" thickBot="1"/>
    <row r="7" spans="2:51" ht="14" thickBot="1">
      <c r="AP7" s="209">
        <v>1</v>
      </c>
      <c r="AQ7" s="209">
        <v>2</v>
      </c>
      <c r="AR7" s="209">
        <v>3</v>
      </c>
      <c r="AS7" s="209">
        <v>4</v>
      </c>
      <c r="AT7" s="209">
        <v>5</v>
      </c>
      <c r="AW7" s="210" t="s">
        <v>221</v>
      </c>
    </row>
    <row r="8" spans="2:51" ht="14" thickBot="1">
      <c r="AP8" s="211">
        <v>2024</v>
      </c>
      <c r="AQ8" s="212">
        <v>2025</v>
      </c>
      <c r="AR8" s="212">
        <v>2026</v>
      </c>
      <c r="AS8" s="212">
        <v>2027</v>
      </c>
      <c r="AT8" s="212">
        <v>2028</v>
      </c>
      <c r="AU8" s="213" t="s">
        <v>201</v>
      </c>
      <c r="AW8" s="214">
        <f>HLOOKUP(AY8,$AP$7:$AT$8,2,FALSE)</f>
        <v>2025</v>
      </c>
      <c r="AY8" s="208">
        <v>2</v>
      </c>
    </row>
    <row r="9" spans="2:51">
      <c r="AN9" s="621" t="s">
        <v>222</v>
      </c>
      <c r="AO9" s="215" t="s">
        <v>158</v>
      </c>
      <c r="AP9" s="216">
        <f>INDEX('NARM6 - Risk Summary'!$D:$D,MATCH($AO$26,'NARM6 - Risk Summary'!$B:$B,0))</f>
        <v>0</v>
      </c>
      <c r="AQ9" s="216">
        <f>INDEX('NARM6 - Risk Summary'!$D:$D,MATCH($AO$26,'NARM6 - Risk Summary'!$B:$B,0)+1)</f>
        <v>0</v>
      </c>
      <c r="AR9" s="216">
        <f>INDEX('NARM6 - Risk Summary'!$D:$D,MATCH($AO$26,'NARM6 - Risk Summary'!$B:$B,0)+2)</f>
        <v>0</v>
      </c>
      <c r="AS9" s="216">
        <f>INDEX('NARM6 - Risk Summary'!$D:$D,MATCH($AO$26,'NARM6 - Risk Summary'!$B:$B,0)+3)</f>
        <v>0</v>
      </c>
      <c r="AT9" s="216">
        <f>INDEX('NARM6 - Risk Summary'!$D:$D,MATCH($AO$26,'NARM6 - Risk Summary'!$B:$B,0)+4)</f>
        <v>0</v>
      </c>
      <c r="AU9" s="217">
        <f>INDEX('NARM6 - Risk Summary'!$D:$D,MATCH($AO$26,'NARM6 - Risk Summary'!$B:$B,0))</f>
        <v>0</v>
      </c>
      <c r="AW9" s="218">
        <f t="shared" ref="AW9:AW20" si="0">INDEX(AP9:AT9,1,$AY$8)</f>
        <v>0</v>
      </c>
      <c r="AY9" s="208">
        <v>2024</v>
      </c>
    </row>
    <row r="10" spans="2:51">
      <c r="AN10" s="622"/>
      <c r="AO10" s="219" t="s">
        <v>223</v>
      </c>
      <c r="AP10" s="220">
        <f>INDEX('NARM6 - Risk Summary'!$E:$E,MATCH($AO$26,'NARM6 - Risk Summary'!$B:$B,0)+0)</f>
        <v>0</v>
      </c>
      <c r="AQ10" s="220">
        <f>INDEX('NARM6 - Risk Summary'!$E:$E,MATCH($AO$26,'NARM6 - Risk Summary'!$B:$B,0)+1)</f>
        <v>0</v>
      </c>
      <c r="AR10" s="220">
        <f>INDEX('NARM6 - Risk Summary'!$E:$E,MATCH($AO$26,'NARM6 - Risk Summary'!$B:$B,0)+2)</f>
        <v>0</v>
      </c>
      <c r="AS10" s="220">
        <f>INDEX('NARM6 - Risk Summary'!$E:$E,MATCH($AO$26,'NARM6 - Risk Summary'!$B:$B,0)+3)</f>
        <v>0</v>
      </c>
      <c r="AT10" s="220">
        <f>INDEX('NARM6 - Risk Summary'!$E:$E,MATCH($AO$26,'NARM6 - Risk Summary'!$B:$B,0)+1)</f>
        <v>0</v>
      </c>
      <c r="AU10" s="221">
        <f t="shared" ref="AU10:AU19" si="1">SUM(AP10:AT10)</f>
        <v>0</v>
      </c>
      <c r="AW10" s="218">
        <f t="shared" si="0"/>
        <v>0</v>
      </c>
      <c r="AY10" s="208">
        <v>2025</v>
      </c>
    </row>
    <row r="11" spans="2:51">
      <c r="AN11" s="622"/>
      <c r="AO11" s="222" t="s">
        <v>224</v>
      </c>
      <c r="AP11" s="223">
        <f>INDEX('NARM6 - Risk Summary'!$F:$F,MATCH($AO$26,'NARM6 - Risk Summary'!$B:$B,0)+0)</f>
        <v>0</v>
      </c>
      <c r="AQ11" s="223">
        <f>INDEX('NARM6 - Risk Summary'!$F:$F,MATCH($AO$26,'NARM6 - Risk Summary'!$B:$B,0)+1)</f>
        <v>0</v>
      </c>
      <c r="AR11" s="223">
        <f>INDEX('NARM6 - Risk Summary'!$F:$F,MATCH($AO$26,'NARM6 - Risk Summary'!$B:$B,0)+2)</f>
        <v>0</v>
      </c>
      <c r="AS11" s="223">
        <f>INDEX('NARM6 - Risk Summary'!$F:$F,MATCH($AO$26,'NARM6 - Risk Summary'!$B:$B,0)+3)</f>
        <v>0</v>
      </c>
      <c r="AT11" s="223">
        <f>INDEX('NARM6 - Risk Summary'!$F:$F,MATCH($AO$26,'NARM6 - Risk Summary'!$B:$B,0)+4)</f>
        <v>0</v>
      </c>
      <c r="AU11" s="224">
        <f t="shared" si="1"/>
        <v>0</v>
      </c>
      <c r="AW11" s="218">
        <f t="shared" si="0"/>
        <v>0</v>
      </c>
      <c r="AY11" s="208">
        <v>2026</v>
      </c>
    </row>
    <row r="12" spans="2:51">
      <c r="AN12" s="622"/>
      <c r="AO12" s="222" t="s">
        <v>225</v>
      </c>
      <c r="AP12" s="223">
        <f>INDEX('NARM6 - Risk Summary'!$G:$G,MATCH($AO$26,'NARM6 - Risk Summary'!$B:$B,0)+0)</f>
        <v>0</v>
      </c>
      <c r="AQ12" s="223">
        <f>INDEX('NARM6 - Risk Summary'!$G:$G,MATCH($AO$26,'NARM6 - Risk Summary'!$B:$B,0)+1)</f>
        <v>0</v>
      </c>
      <c r="AR12" s="223">
        <f>INDEX('NARM6 - Risk Summary'!$G:$G,MATCH($AO$26,'NARM6 - Risk Summary'!$B:$B,0)+2)</f>
        <v>0</v>
      </c>
      <c r="AS12" s="223">
        <f>INDEX('NARM6 - Risk Summary'!$G:$G,MATCH($AO$26,'NARM6 - Risk Summary'!$B:$B,0)+3)</f>
        <v>0</v>
      </c>
      <c r="AT12" s="223">
        <f>INDEX('NARM6 - Risk Summary'!$G:$G,MATCH($AO$26,'NARM6 - Risk Summary'!$B:$B,0)+4)</f>
        <v>0</v>
      </c>
      <c r="AU12" s="224">
        <f t="shared" si="1"/>
        <v>0</v>
      </c>
      <c r="AW12" s="218">
        <f t="shared" si="0"/>
        <v>0</v>
      </c>
      <c r="AY12" s="208">
        <v>2027</v>
      </c>
    </row>
    <row r="13" spans="2:51">
      <c r="AN13" s="622"/>
      <c r="AO13" s="222" t="s">
        <v>196</v>
      </c>
      <c r="AP13" s="223">
        <f>INDEX('NARM6 - Risk Summary'!$H:$H,MATCH($AO$26,'NARM6 - Risk Summary'!$B:$B,0)+0)</f>
        <v>0</v>
      </c>
      <c r="AQ13" s="223">
        <f>INDEX('NARM6 - Risk Summary'!$H:$H,MATCH($AO$26,'NARM6 - Risk Summary'!$B:$B,0)+1)</f>
        <v>0</v>
      </c>
      <c r="AR13" s="223">
        <f>INDEX('NARM6 - Risk Summary'!$H:$H,MATCH($AO$26,'NARM6 - Risk Summary'!$B:$B,0)+2)</f>
        <v>0</v>
      </c>
      <c r="AS13" s="223">
        <f>INDEX('NARM6 - Risk Summary'!$H:$H,MATCH($AO$26,'NARM6 - Risk Summary'!$B:$B,0)+3)</f>
        <v>0</v>
      </c>
      <c r="AT13" s="223">
        <f>INDEX('NARM6 - Risk Summary'!$H:$H,MATCH($AO$26,'NARM6 - Risk Summary'!$B:$B,0)+4)</f>
        <v>0</v>
      </c>
      <c r="AU13" s="224">
        <f t="shared" si="1"/>
        <v>0</v>
      </c>
      <c r="AW13" s="218">
        <f t="shared" si="0"/>
        <v>0</v>
      </c>
      <c r="AY13" s="208">
        <v>2028</v>
      </c>
    </row>
    <row r="14" spans="2:51">
      <c r="AN14" s="622"/>
      <c r="AO14" s="222" t="s">
        <v>226</v>
      </c>
      <c r="AP14" s="223">
        <f>INDEX('NARM6 - Risk Summary'!$I:$I,MATCH($AO$26,'NARM6 - Risk Summary'!$B:$B,0)+0)</f>
        <v>0</v>
      </c>
      <c r="AQ14" s="223">
        <f>INDEX('NARM6 - Risk Summary'!$I:$I,MATCH($AO$26,'NARM6 - Risk Summary'!$B:$B,0)+1)</f>
        <v>0</v>
      </c>
      <c r="AR14" s="223">
        <f>INDEX('NARM6 - Risk Summary'!$I:$I,MATCH($AO$26,'NARM6 - Risk Summary'!$B:$B,0)+2)</f>
        <v>0</v>
      </c>
      <c r="AS14" s="223">
        <f>INDEX('NARM6 - Risk Summary'!$I:$I,MATCH($AO$26,'NARM6 - Risk Summary'!$B:$B,0)+3)</f>
        <v>0</v>
      </c>
      <c r="AT14" s="223">
        <f>INDEX('NARM6 - Risk Summary'!$I:$I,MATCH($AO$26,'NARM6 - Risk Summary'!$B:$B,0)+4)</f>
        <v>0</v>
      </c>
      <c r="AU14" s="224">
        <f t="shared" si="1"/>
        <v>0</v>
      </c>
      <c r="AW14" s="218">
        <f t="shared" si="0"/>
        <v>0</v>
      </c>
      <c r="AY14" s="208"/>
    </row>
    <row r="15" spans="2:51">
      <c r="AN15" s="622"/>
      <c r="AO15" s="222" t="s">
        <v>227</v>
      </c>
      <c r="AP15" s="223">
        <f>INDEX('NARM6 - Risk Summary'!$J:$J,MATCH($AO$26,'NARM6 - Risk Summary'!$B:$B,0)+0)</f>
        <v>0</v>
      </c>
      <c r="AQ15" s="223">
        <f>INDEX('NARM6 - Risk Summary'!$J:$J,MATCH($AO$26,'NARM6 - Risk Summary'!$B:$B,0)+1)</f>
        <v>0</v>
      </c>
      <c r="AR15" s="223">
        <f>INDEX('NARM6 - Risk Summary'!$J:$J,MATCH($AO$26,'NARM6 - Risk Summary'!$B:$B,0)+2)</f>
        <v>0</v>
      </c>
      <c r="AS15" s="223">
        <f>INDEX('NARM6 - Risk Summary'!$J:$J,MATCH($AO$26,'NARM6 - Risk Summary'!$B:$B,0)+3)</f>
        <v>0</v>
      </c>
      <c r="AT15" s="223">
        <f>INDEX('NARM6 - Risk Summary'!$J:$J,MATCH($AO$26,'NARM6 - Risk Summary'!$B:$B,0)+4)</f>
        <v>0</v>
      </c>
      <c r="AU15" s="224">
        <f t="shared" si="1"/>
        <v>0</v>
      </c>
      <c r="AW15" s="218">
        <f t="shared" si="0"/>
        <v>0</v>
      </c>
      <c r="AY15" s="208"/>
    </row>
    <row r="16" spans="2:51">
      <c r="AN16" s="622"/>
      <c r="AO16" s="222" t="s">
        <v>228</v>
      </c>
      <c r="AP16" s="223">
        <f>INDEX('NARM6 - Risk Summary'!$K:$K,MATCH($AO$26,'NARM6 - Risk Summary'!$B:$B,0)+0)</f>
        <v>0</v>
      </c>
      <c r="AQ16" s="223">
        <f>INDEX('NARM6 - Risk Summary'!$K:$K,MATCH($AO$26,'NARM6 - Risk Summary'!$B:$B,0)+1)</f>
        <v>0</v>
      </c>
      <c r="AR16" s="223">
        <f>INDEX('NARM6 - Risk Summary'!$K:$K,MATCH($AO$26,'NARM6 - Risk Summary'!$B:$B,0)+2)</f>
        <v>0</v>
      </c>
      <c r="AS16" s="223">
        <f>INDEX('NARM6 - Risk Summary'!$K:$K,MATCH($AO$26,'NARM6 - Risk Summary'!$B:$B,0)+3)</f>
        <v>0</v>
      </c>
      <c r="AT16" s="223">
        <f>INDEX('NARM6 - Risk Summary'!$K:$K,MATCH($AO$26,'NARM6 - Risk Summary'!$B:$B,0)+4)</f>
        <v>0</v>
      </c>
      <c r="AU16" s="224">
        <f t="shared" si="1"/>
        <v>0</v>
      </c>
      <c r="AW16" s="218">
        <f t="shared" si="0"/>
        <v>0</v>
      </c>
      <c r="AY16" s="208"/>
    </row>
    <row r="17" spans="37:51">
      <c r="AN17" s="622"/>
      <c r="AO17" s="222" t="s">
        <v>229</v>
      </c>
      <c r="AP17" s="223">
        <f>INDEX('NARM6 - Risk Summary'!$L:$L,MATCH($AO$26,'NARM6 - Risk Summary'!$B:$B,0)+0)</f>
        <v>0</v>
      </c>
      <c r="AQ17" s="223">
        <f>INDEX('NARM6 - Risk Summary'!$L:$L,MATCH($AO$26,'NARM6 - Risk Summary'!$B:$B,0)+1)</f>
        <v>0</v>
      </c>
      <c r="AR17" s="223">
        <f>INDEX('NARM6 - Risk Summary'!$L:$L,MATCH($AO$26,'NARM6 - Risk Summary'!$B:$B,0)+2)</f>
        <v>0</v>
      </c>
      <c r="AS17" s="223">
        <f>INDEX('NARM6 - Risk Summary'!$L:$L,MATCH($AO$26,'NARM6 - Risk Summary'!$B:$B,0)+3)</f>
        <v>0</v>
      </c>
      <c r="AT17" s="223">
        <f>INDEX('NARM6 - Risk Summary'!$L:$L,MATCH($AO$26,'NARM6 - Risk Summary'!$B:$B,0)+4)</f>
        <v>0</v>
      </c>
      <c r="AU17" s="224">
        <f t="shared" si="1"/>
        <v>0</v>
      </c>
      <c r="AW17" s="218">
        <f t="shared" si="0"/>
        <v>0</v>
      </c>
    </row>
    <row r="18" spans="37:51">
      <c r="AN18" s="622"/>
      <c r="AO18" s="222" t="s">
        <v>230</v>
      </c>
      <c r="AP18" s="223">
        <f>INDEX('NARM6 - Risk Summary'!$M:$M,MATCH($AO$26,'NARM6 - Risk Summary'!$B:$B,0)+0)</f>
        <v>0</v>
      </c>
      <c r="AQ18" s="223">
        <f>INDEX('NARM6 - Risk Summary'!$M:$M,MATCH($AO$26,'NARM6 - Risk Summary'!$B:$B,0)+1)</f>
        <v>0</v>
      </c>
      <c r="AR18" s="223">
        <f>INDEX('NARM6 - Risk Summary'!$M:$M,MATCH($AO$26,'NARM6 - Risk Summary'!$B:$B,0)+2)</f>
        <v>0</v>
      </c>
      <c r="AS18" s="223">
        <f>INDEX('NARM6 - Risk Summary'!$M:$M,MATCH($AO$26,'NARM6 - Risk Summary'!$B:$B,0)+3)</f>
        <v>0</v>
      </c>
      <c r="AT18" s="223">
        <f>INDEX('NARM6 - Risk Summary'!$M:$M,MATCH($AO$26,'NARM6 - Risk Summary'!$B:$B,0)+4)</f>
        <v>0</v>
      </c>
      <c r="AU18" s="224">
        <f t="shared" si="1"/>
        <v>0</v>
      </c>
      <c r="AW18" s="218">
        <f t="shared" si="0"/>
        <v>0</v>
      </c>
    </row>
    <row r="19" spans="37:51">
      <c r="AN19" s="622"/>
      <c r="AO19" s="222" t="s">
        <v>231</v>
      </c>
      <c r="AP19" s="223">
        <f>INDEX('NARM6 - Risk Summary'!$N:$N,MATCH($AO$26,'NARM6 - Risk Summary'!$B:$B,0)+0)</f>
        <v>0</v>
      </c>
      <c r="AQ19" s="223">
        <f>INDEX('NARM6 - Risk Summary'!$N:$N,MATCH($AO$26,'NARM6 - Risk Summary'!$B:$B,0)+1)</f>
        <v>0</v>
      </c>
      <c r="AR19" s="223">
        <f>INDEX('NARM6 - Risk Summary'!$N:$N,MATCH($AO$26,'NARM6 - Risk Summary'!$B:$B,0)+2)</f>
        <v>0</v>
      </c>
      <c r="AS19" s="223">
        <f>INDEX('NARM6 - Risk Summary'!$N:$N,MATCH($AO$26,'NARM6 - Risk Summary'!$B:$B,0)+3)</f>
        <v>0</v>
      </c>
      <c r="AT19" s="223">
        <f>INDEX('NARM6 - Risk Summary'!$N:$N,MATCH($AO$26,'NARM6 - Risk Summary'!$B:$B,0)+4)</f>
        <v>0</v>
      </c>
      <c r="AU19" s="224">
        <f t="shared" si="1"/>
        <v>0</v>
      </c>
      <c r="AW19" s="218">
        <f t="shared" si="0"/>
        <v>0</v>
      </c>
    </row>
    <row r="20" spans="37:51" ht="14" thickBot="1">
      <c r="AN20" s="623"/>
      <c r="AO20" s="225" t="s">
        <v>169</v>
      </c>
      <c r="AP20" s="226">
        <f>INDEX('NARM6 - Risk Summary'!$O:$O,MATCH($AO$26,'NARM6 - Risk Summary'!$B:$B,0)+0)</f>
        <v>0</v>
      </c>
      <c r="AQ20" s="226">
        <f>INDEX('NARM6 - Risk Summary'!$O:$O,MATCH($AO$26,'NARM6 - Risk Summary'!$B:$B,0)+1)</f>
        <v>0</v>
      </c>
      <c r="AR20" s="226">
        <f>INDEX('NARM6 - Risk Summary'!$O:$O,MATCH($AO$26,'NARM6 - Risk Summary'!$B:$B,0)+2)</f>
        <v>0</v>
      </c>
      <c r="AS20" s="226">
        <f>INDEX('NARM6 - Risk Summary'!$O:$O,MATCH($AO$26,'NARM6 - Risk Summary'!$B:$B,0)+3)</f>
        <v>0</v>
      </c>
      <c r="AT20" s="226">
        <f>INDEX('NARM6 - Risk Summary'!$O:$O,MATCH($AO$26,'NARM6 - Risk Summary'!$B:$B,0)+4)</f>
        <v>0</v>
      </c>
      <c r="AU20" s="227">
        <f>AT20</f>
        <v>0</v>
      </c>
      <c r="AW20" s="228">
        <f t="shared" si="0"/>
        <v>0</v>
      </c>
    </row>
    <row r="21" spans="37:51" ht="14" thickBot="1">
      <c r="AO21" s="229"/>
    </row>
    <row r="22" spans="37:51" ht="12.75" customHeight="1">
      <c r="AN22" s="621" t="s">
        <v>232</v>
      </c>
      <c r="AO22" s="230" t="s">
        <v>233</v>
      </c>
      <c r="AP22" s="231">
        <f>INDEX('NARM6 - Risk Summary'!$T:$T,MATCH($AO$26,'NARM6 - Risk Summary'!$B:$B,0)+0)</f>
        <v>0</v>
      </c>
      <c r="AQ22" s="231">
        <f>INDEX('NARM6 - Risk Summary'!$T:$T,MATCH($AO$26,'NARM6 - Risk Summary'!$B:$B,0)+1)</f>
        <v>0</v>
      </c>
      <c r="AR22" s="231">
        <f>INDEX('NARM6 - Risk Summary'!$T:$T,MATCH($AO$26,'NARM6 - Risk Summary'!$B:$B,0)+2)</f>
        <v>0</v>
      </c>
      <c r="AS22" s="231">
        <f>INDEX('NARM6 - Risk Summary'!$T:$T,MATCH($AO$26,'NARM6 - Risk Summary'!$B:$B,0)+3)</f>
        <v>0</v>
      </c>
      <c r="AT22" s="231">
        <f>INDEX('NARM6 - Risk Summary'!$T:$T,MATCH($AO$26,'NARM6 - Risk Summary'!$B:$B,0)+4)</f>
        <v>0</v>
      </c>
      <c r="AU22" s="232">
        <v>0</v>
      </c>
    </row>
    <row r="23" spans="37:51">
      <c r="AN23" s="622"/>
      <c r="AO23" s="222" t="s">
        <v>234</v>
      </c>
      <c r="AP23" s="223">
        <f>INDEX('NARM6 - Risk Summary'!$U:$U,MATCH($AO$26,'NARM6 - Risk Summary'!$B:$B,0)+0)</f>
        <v>0</v>
      </c>
      <c r="AQ23" s="223">
        <f>INDEX('NARM6 - Risk Summary'!$U:$U,MATCH($AO$26,'NARM6 - Risk Summary'!$B:$B,0)+1)</f>
        <v>0</v>
      </c>
      <c r="AR23" s="223">
        <f>INDEX('NARM6 - Risk Summary'!$U:$U,MATCH($AO$26,'NARM6 - Risk Summary'!$B:$B,0)+2)</f>
        <v>0</v>
      </c>
      <c r="AS23" s="223">
        <f>INDEX('NARM6 - Risk Summary'!$U:$U,MATCH($AO$26,'NARM6 - Risk Summary'!$B:$B,0)+3)</f>
        <v>0</v>
      </c>
      <c r="AT23" s="223">
        <f>INDEX('NARM6 - Risk Summary'!$U:$U,MATCH($AO$26,'NARM6 - Risk Summary'!$B:$B,0)+4)</f>
        <v>0</v>
      </c>
      <c r="AU23" s="355">
        <v>0</v>
      </c>
    </row>
    <row r="24" spans="37:51" ht="14" thickBot="1">
      <c r="AN24" s="623"/>
      <c r="AO24" s="233" t="s">
        <v>235</v>
      </c>
      <c r="AP24" s="234">
        <f>INDEX('NARM6 - Risk Summary'!$V:$V,MATCH($AO$26,'NARM6 - Risk Summary'!$B:$B,0)+0)</f>
        <v>0</v>
      </c>
      <c r="AQ24" s="234">
        <f>INDEX('NARM6 - Risk Summary'!$V:$V,MATCH($AO$26,'NARM6 - Risk Summary'!$B:$B,0)+1)</f>
        <v>0</v>
      </c>
      <c r="AR24" s="234">
        <f>INDEX('NARM6 - Risk Summary'!$V:$V,MATCH($AO$26,'NARM6 - Risk Summary'!$B:$B,0)+2)</f>
        <v>0</v>
      </c>
      <c r="AS24" s="234">
        <f>INDEX('NARM6 - Risk Summary'!$V:$V,MATCH($AO$26,'NARM6 - Risk Summary'!$B:$B,0)+3)</f>
        <v>0</v>
      </c>
      <c r="AT24" s="234">
        <f>INDEX('NARM6 - Risk Summary'!$V:$V,MATCH($AO$26,'NARM6 - Risk Summary'!$B:$B,0)+4)</f>
        <v>0</v>
      </c>
      <c r="AU24" s="235">
        <v>1</v>
      </c>
    </row>
    <row r="25" spans="37:51" ht="14" thickBot="1"/>
    <row r="26" spans="37:51" ht="14" thickBot="1">
      <c r="AN26" s="636">
        <v>1</v>
      </c>
      <c r="AO26" s="638" t="str">
        <f>INDEX($C$64:$C$129,MATCH(AN26,$B$64:$B$129,0))</f>
        <v>LV poles</v>
      </c>
      <c r="AP26" s="624" t="str">
        <f>+AO26&amp;" - Long-term Monetised Risk (ED2)"</f>
        <v>LV poles - Long-term Monetised Risk (ED2)</v>
      </c>
      <c r="AQ26" s="625"/>
      <c r="AR26" s="625"/>
      <c r="AS26" s="625"/>
      <c r="AT26" s="626"/>
      <c r="AU26" s="624" t="str">
        <f>+AO26&amp;" - Long-term Monetised Risk ("&amp;AW8&amp;")"</f>
        <v>LV poles - Long-term Monetised Risk (2025)</v>
      </c>
      <c r="AV26" s="625"/>
      <c r="AW26" s="625"/>
      <c r="AX26" s="625"/>
      <c r="AY26" s="626"/>
    </row>
    <row r="27" spans="37:51" ht="27.5" thickBot="1">
      <c r="AN27" s="637"/>
      <c r="AO27" s="639"/>
      <c r="AP27" s="236" t="s">
        <v>236</v>
      </c>
      <c r="AQ27" s="237"/>
      <c r="AR27" s="238" t="s">
        <v>237</v>
      </c>
      <c r="AS27" s="239" t="s">
        <v>238</v>
      </c>
      <c r="AT27" s="240" t="s">
        <v>239</v>
      </c>
      <c r="AU27" s="237" t="s">
        <v>236</v>
      </c>
      <c r="AV27" s="237"/>
      <c r="AW27" s="238" t="s">
        <v>237</v>
      </c>
      <c r="AX27" s="239" t="s">
        <v>238</v>
      </c>
      <c r="AY27" s="240" t="s">
        <v>239</v>
      </c>
    </row>
    <row r="28" spans="37:51">
      <c r="AN28" s="621" t="s">
        <v>240</v>
      </c>
      <c r="AO28" s="241" t="s">
        <v>241</v>
      </c>
      <c r="AP28" s="242">
        <v>0</v>
      </c>
      <c r="AQ28" s="243">
        <f>+$AP$9</f>
        <v>0</v>
      </c>
      <c r="AR28" s="243"/>
      <c r="AS28" s="243"/>
      <c r="AT28" s="244">
        <f>+AP28+AQ28+AR28-AS28</f>
        <v>0</v>
      </c>
      <c r="AU28" s="243">
        <v>0</v>
      </c>
      <c r="AV28" s="243">
        <f>+$AW$9</f>
        <v>0</v>
      </c>
      <c r="AW28" s="243"/>
      <c r="AX28" s="243"/>
      <c r="AY28" s="244">
        <f>+AU28+AV28+AW28-AX28</f>
        <v>0</v>
      </c>
    </row>
    <row r="29" spans="37:51">
      <c r="AN29" s="622"/>
      <c r="AO29" s="245" t="s">
        <v>223</v>
      </c>
      <c r="AP29" s="246">
        <f t="shared" ref="AP29:AP38" si="2">IF(AU10&gt;0,AT28,AT28+AU10)</f>
        <v>0</v>
      </c>
      <c r="AQ29" s="247">
        <v>0</v>
      </c>
      <c r="AR29" s="247">
        <f t="shared" ref="AR29:AR38" si="3">IF(AU10&gt;0,AU10,0)</f>
        <v>0</v>
      </c>
      <c r="AS29" s="247">
        <f t="shared" ref="AS29:AS38" si="4">IF(AU10&lt;0,-AU10,0)</f>
        <v>0</v>
      </c>
      <c r="AT29" s="248">
        <f>+IF(AR29&gt;0,SUM(AP29:AR29),AP29)</f>
        <v>0</v>
      </c>
      <c r="AU29" s="247">
        <f t="shared" ref="AU29:AU38" si="5">IF(AW10&gt;0,AY28,AY28+AW10)</f>
        <v>0</v>
      </c>
      <c r="AV29" s="247">
        <v>0</v>
      </c>
      <c r="AW29" s="247">
        <f t="shared" ref="AW29:AW38" si="6">IF(AW10&gt;0,AW10,0)</f>
        <v>0</v>
      </c>
      <c r="AX29" s="247">
        <f t="shared" ref="AX29:AX38" si="7">IF(AW10&lt;0,-AW10,0)</f>
        <v>0</v>
      </c>
      <c r="AY29" s="248">
        <f>+IF(AW29&gt;0,SUM(AU29:AW29),AU29)</f>
        <v>0</v>
      </c>
    </row>
    <row r="30" spans="37:51">
      <c r="AK30" s="640" t="s">
        <v>242</v>
      </c>
      <c r="AL30" s="640"/>
      <c r="AN30" s="622"/>
      <c r="AO30" s="249" t="s">
        <v>224</v>
      </c>
      <c r="AP30" s="250">
        <f t="shared" si="2"/>
        <v>0</v>
      </c>
      <c r="AQ30" s="251">
        <v>0</v>
      </c>
      <c r="AR30" s="251">
        <f t="shared" si="3"/>
        <v>0</v>
      </c>
      <c r="AS30" s="251">
        <f t="shared" si="4"/>
        <v>0</v>
      </c>
      <c r="AT30" s="252">
        <f>+IF(AR30&gt;0,SUM(AP30:AR30),AP30)</f>
        <v>0</v>
      </c>
      <c r="AU30" s="251">
        <f t="shared" si="5"/>
        <v>0</v>
      </c>
      <c r="AV30" s="251">
        <v>0</v>
      </c>
      <c r="AW30" s="251">
        <f t="shared" si="6"/>
        <v>0</v>
      </c>
      <c r="AX30" s="251">
        <f t="shared" si="7"/>
        <v>0</v>
      </c>
      <c r="AY30" s="252">
        <f>+IF(AW30&gt;0,SUM(AU30:AW30),AU30)</f>
        <v>0</v>
      </c>
    </row>
    <row r="31" spans="37:51">
      <c r="AK31" s="641" t="s">
        <v>243</v>
      </c>
      <c r="AL31" s="641"/>
      <c r="AN31" s="622"/>
      <c r="AO31" s="249" t="s">
        <v>225</v>
      </c>
      <c r="AP31" s="250">
        <f t="shared" si="2"/>
        <v>0</v>
      </c>
      <c r="AQ31" s="251">
        <v>0</v>
      </c>
      <c r="AR31" s="251">
        <f t="shared" si="3"/>
        <v>0</v>
      </c>
      <c r="AS31" s="251">
        <f t="shared" si="4"/>
        <v>0</v>
      </c>
      <c r="AT31" s="252">
        <f>+IF(AR31&gt;0,SUM(AP31:AR31),AP31)</f>
        <v>0</v>
      </c>
      <c r="AU31" s="251">
        <f t="shared" si="5"/>
        <v>0</v>
      </c>
      <c r="AV31" s="251">
        <v>0</v>
      </c>
      <c r="AW31" s="251">
        <f t="shared" si="6"/>
        <v>0</v>
      </c>
      <c r="AX31" s="251">
        <f t="shared" si="7"/>
        <v>0</v>
      </c>
      <c r="AY31" s="252">
        <f>+IF(AW31&gt;0,SUM(AU31:AW31),AU31)</f>
        <v>0</v>
      </c>
    </row>
    <row r="32" spans="37:51">
      <c r="AN32" s="622"/>
      <c r="AO32" s="253" t="s">
        <v>196</v>
      </c>
      <c r="AP32" s="250">
        <f t="shared" si="2"/>
        <v>0</v>
      </c>
      <c r="AQ32" s="251">
        <v>0</v>
      </c>
      <c r="AR32" s="251">
        <f t="shared" si="3"/>
        <v>0</v>
      </c>
      <c r="AS32" s="251">
        <f t="shared" si="4"/>
        <v>0</v>
      </c>
      <c r="AT32" s="252">
        <f t="shared" ref="AT32:AT37" si="8">+IF(AR32&gt;0,SUM(AP32:AR32),AP32)</f>
        <v>0</v>
      </c>
      <c r="AU32" s="251">
        <f t="shared" si="5"/>
        <v>0</v>
      </c>
      <c r="AV32" s="251">
        <v>0</v>
      </c>
      <c r="AW32" s="251">
        <f t="shared" si="6"/>
        <v>0</v>
      </c>
      <c r="AX32" s="251">
        <f t="shared" si="7"/>
        <v>0</v>
      </c>
      <c r="AY32" s="252">
        <f t="shared" ref="AY32:AY37" si="9">+IF(AW32&gt;0,SUM(AU32:AW32),AU32)</f>
        <v>0</v>
      </c>
    </row>
    <row r="33" spans="40:51">
      <c r="AN33" s="622"/>
      <c r="AO33" s="253" t="s">
        <v>226</v>
      </c>
      <c r="AP33" s="250">
        <f t="shared" si="2"/>
        <v>0</v>
      </c>
      <c r="AQ33" s="251">
        <v>0</v>
      </c>
      <c r="AR33" s="251">
        <f t="shared" si="3"/>
        <v>0</v>
      </c>
      <c r="AS33" s="251">
        <f t="shared" si="4"/>
        <v>0</v>
      </c>
      <c r="AT33" s="252">
        <f t="shared" si="8"/>
        <v>0</v>
      </c>
      <c r="AU33" s="251">
        <f t="shared" si="5"/>
        <v>0</v>
      </c>
      <c r="AV33" s="251">
        <v>0</v>
      </c>
      <c r="AW33" s="251">
        <f t="shared" si="6"/>
        <v>0</v>
      </c>
      <c r="AX33" s="251">
        <f t="shared" si="7"/>
        <v>0</v>
      </c>
      <c r="AY33" s="252">
        <f t="shared" si="9"/>
        <v>0</v>
      </c>
    </row>
    <row r="34" spans="40:51">
      <c r="AN34" s="622"/>
      <c r="AO34" s="249" t="s">
        <v>227</v>
      </c>
      <c r="AP34" s="250">
        <f t="shared" si="2"/>
        <v>0</v>
      </c>
      <c r="AQ34" s="251">
        <v>0</v>
      </c>
      <c r="AR34" s="251">
        <f t="shared" si="3"/>
        <v>0</v>
      </c>
      <c r="AS34" s="251">
        <f t="shared" si="4"/>
        <v>0</v>
      </c>
      <c r="AT34" s="252">
        <f t="shared" si="8"/>
        <v>0</v>
      </c>
      <c r="AU34" s="251">
        <f t="shared" si="5"/>
        <v>0</v>
      </c>
      <c r="AV34" s="251">
        <v>0</v>
      </c>
      <c r="AW34" s="251">
        <f t="shared" si="6"/>
        <v>0</v>
      </c>
      <c r="AX34" s="251">
        <f t="shared" si="7"/>
        <v>0</v>
      </c>
      <c r="AY34" s="252">
        <f t="shared" si="9"/>
        <v>0</v>
      </c>
    </row>
    <row r="35" spans="40:51">
      <c r="AN35" s="622"/>
      <c r="AO35" s="249" t="s">
        <v>228</v>
      </c>
      <c r="AP35" s="250">
        <f t="shared" si="2"/>
        <v>0</v>
      </c>
      <c r="AQ35" s="251">
        <v>0</v>
      </c>
      <c r="AR35" s="251">
        <f t="shared" si="3"/>
        <v>0</v>
      </c>
      <c r="AS35" s="251">
        <f t="shared" si="4"/>
        <v>0</v>
      </c>
      <c r="AT35" s="252">
        <f t="shared" si="8"/>
        <v>0</v>
      </c>
      <c r="AU35" s="251">
        <f t="shared" si="5"/>
        <v>0</v>
      </c>
      <c r="AV35" s="251">
        <v>0</v>
      </c>
      <c r="AW35" s="251">
        <f t="shared" si="6"/>
        <v>0</v>
      </c>
      <c r="AX35" s="251">
        <f t="shared" si="7"/>
        <v>0</v>
      </c>
      <c r="AY35" s="252">
        <f t="shared" si="9"/>
        <v>0</v>
      </c>
    </row>
    <row r="36" spans="40:51">
      <c r="AN36" s="622"/>
      <c r="AO36" s="253" t="s">
        <v>229</v>
      </c>
      <c r="AP36" s="250">
        <f t="shared" si="2"/>
        <v>0</v>
      </c>
      <c r="AQ36" s="251">
        <v>0</v>
      </c>
      <c r="AR36" s="251">
        <f t="shared" si="3"/>
        <v>0</v>
      </c>
      <c r="AS36" s="251">
        <f t="shared" si="4"/>
        <v>0</v>
      </c>
      <c r="AT36" s="252">
        <f t="shared" si="8"/>
        <v>0</v>
      </c>
      <c r="AU36" s="251">
        <f t="shared" si="5"/>
        <v>0</v>
      </c>
      <c r="AV36" s="251">
        <v>0</v>
      </c>
      <c r="AW36" s="251">
        <f t="shared" si="6"/>
        <v>0</v>
      </c>
      <c r="AX36" s="251">
        <f t="shared" si="7"/>
        <v>0</v>
      </c>
      <c r="AY36" s="252">
        <f t="shared" si="9"/>
        <v>0</v>
      </c>
    </row>
    <row r="37" spans="40:51">
      <c r="AN37" s="622"/>
      <c r="AO37" s="249" t="s">
        <v>230</v>
      </c>
      <c r="AP37" s="250">
        <f t="shared" si="2"/>
        <v>0</v>
      </c>
      <c r="AQ37" s="251">
        <v>0</v>
      </c>
      <c r="AR37" s="251">
        <f t="shared" si="3"/>
        <v>0</v>
      </c>
      <c r="AS37" s="251">
        <f t="shared" si="4"/>
        <v>0</v>
      </c>
      <c r="AT37" s="252">
        <f t="shared" si="8"/>
        <v>0</v>
      </c>
      <c r="AU37" s="251">
        <f t="shared" si="5"/>
        <v>0</v>
      </c>
      <c r="AV37" s="251">
        <v>0</v>
      </c>
      <c r="AW37" s="251">
        <f t="shared" si="6"/>
        <v>0</v>
      </c>
      <c r="AX37" s="251">
        <f t="shared" si="7"/>
        <v>0</v>
      </c>
      <c r="AY37" s="252">
        <f t="shared" si="9"/>
        <v>0</v>
      </c>
    </row>
    <row r="38" spans="40:51">
      <c r="AN38" s="622"/>
      <c r="AO38" s="254" t="s">
        <v>231</v>
      </c>
      <c r="AP38" s="255">
        <f t="shared" si="2"/>
        <v>0</v>
      </c>
      <c r="AQ38" s="256">
        <v>0</v>
      </c>
      <c r="AR38" s="256">
        <f t="shared" si="3"/>
        <v>0</v>
      </c>
      <c r="AS38" s="256">
        <f t="shared" si="4"/>
        <v>0</v>
      </c>
      <c r="AT38" s="257">
        <f>+IF(AR38&gt;0,SUM(AP38:AR38),AP38)</f>
        <v>0</v>
      </c>
      <c r="AU38" s="256">
        <f t="shared" si="5"/>
        <v>0</v>
      </c>
      <c r="AV38" s="256">
        <v>0</v>
      </c>
      <c r="AW38" s="256">
        <f t="shared" si="6"/>
        <v>0</v>
      </c>
      <c r="AX38" s="256">
        <f t="shared" si="7"/>
        <v>0</v>
      </c>
      <c r="AY38" s="257">
        <f>+IF(AW38&gt;0,SUM(AU38:AW38),AU38)</f>
        <v>0</v>
      </c>
    </row>
    <row r="39" spans="40:51" ht="14" thickBot="1">
      <c r="AN39" s="623"/>
      <c r="AO39" s="258" t="s">
        <v>244</v>
      </c>
      <c r="AP39" s="259"/>
      <c r="AQ39" s="260">
        <f>+$AU$20</f>
        <v>0</v>
      </c>
      <c r="AR39" s="260"/>
      <c r="AS39" s="260"/>
      <c r="AT39" s="261"/>
      <c r="AU39" s="260"/>
      <c r="AV39" s="260">
        <f>+$AW$20</f>
        <v>0</v>
      </c>
      <c r="AW39" s="260"/>
      <c r="AX39" s="260"/>
      <c r="AY39" s="261"/>
    </row>
    <row r="41" spans="40:51" ht="14" thickBot="1"/>
    <row r="42" spans="40:51" ht="14" thickBot="1">
      <c r="AP42" s="624" t="str">
        <f>+AO26&amp;" - movement in risk (ED2)"</f>
        <v>LV poles - movement in risk (ED2)</v>
      </c>
      <c r="AQ42" s="625"/>
      <c r="AR42" s="625"/>
      <c r="AS42" s="626"/>
      <c r="AT42" s="624" t="str">
        <f>+AO26&amp;" - movement in risk ("&amp;AW8&amp;")"</f>
        <v>LV poles - movement in risk (2025)</v>
      </c>
      <c r="AU42" s="625"/>
      <c r="AV42" s="625"/>
      <c r="AW42" s="626"/>
    </row>
    <row r="43" spans="40:51" ht="14" thickBot="1">
      <c r="AP43" s="618" t="s">
        <v>245</v>
      </c>
      <c r="AQ43" s="619"/>
      <c r="AR43" s="618" t="s">
        <v>246</v>
      </c>
      <c r="AS43" s="619"/>
      <c r="AT43" s="618" t="s">
        <v>247</v>
      </c>
      <c r="AU43" s="620"/>
      <c r="AV43" s="618" t="s">
        <v>246</v>
      </c>
      <c r="AW43" s="619"/>
    </row>
    <row r="44" spans="40:51" ht="27.5" thickBot="1">
      <c r="AP44" s="262" t="s">
        <v>237</v>
      </c>
      <c r="AQ44" s="263" t="s">
        <v>238</v>
      </c>
      <c r="AR44" s="262" t="s">
        <v>237</v>
      </c>
      <c r="AS44" s="263" t="s">
        <v>238</v>
      </c>
      <c r="AT44" s="262" t="s">
        <v>237</v>
      </c>
      <c r="AU44" s="264" t="s">
        <v>238</v>
      </c>
      <c r="AV44" s="265" t="s">
        <v>237</v>
      </c>
      <c r="AW44" s="263" t="s">
        <v>238</v>
      </c>
    </row>
    <row r="45" spans="40:51">
      <c r="AN45" s="621" t="s">
        <v>240</v>
      </c>
      <c r="AO45" s="241" t="s">
        <v>158</v>
      </c>
      <c r="AP45" s="266"/>
      <c r="AQ45" s="267"/>
      <c r="AR45" s="268" t="e">
        <f>AP45/$AP$9</f>
        <v>#DIV/0!</v>
      </c>
      <c r="AS45" s="269" t="e">
        <f t="shared" ref="AR45:AS56" si="10">AQ45/$AP$9</f>
        <v>#DIV/0!</v>
      </c>
      <c r="AT45" s="270"/>
      <c r="AU45" s="267"/>
      <c r="AV45" s="268"/>
      <c r="AW45" s="269"/>
    </row>
    <row r="46" spans="40:51">
      <c r="AN46" s="622"/>
      <c r="AO46" s="245" t="s">
        <v>223</v>
      </c>
      <c r="AP46" s="271">
        <f t="shared" ref="AP46:AP55" si="11">IF(AU10&gt;0,AU10,0)</f>
        <v>0</v>
      </c>
      <c r="AQ46" s="272">
        <f t="shared" ref="AQ46:AQ55" si="12">IF(AU10&lt;0,AU10,0)</f>
        <v>0</v>
      </c>
      <c r="AR46" s="273" t="e">
        <f>AP46/$AP$9</f>
        <v>#DIV/0!</v>
      </c>
      <c r="AS46" s="274" t="e">
        <f t="shared" si="10"/>
        <v>#DIV/0!</v>
      </c>
      <c r="AT46" s="275">
        <f t="shared" ref="AT46:AT55" si="13">IF(AW10&gt;0,AW10,0)</f>
        <v>0</v>
      </c>
      <c r="AU46" s="272">
        <f t="shared" ref="AU46:AU55" si="14">IF(AW10&lt;0,AW10,0)</f>
        <v>0</v>
      </c>
      <c r="AV46" s="273" t="e">
        <f>AT46/$AS$9</f>
        <v>#DIV/0!</v>
      </c>
      <c r="AW46" s="274" t="e">
        <f>AU46/$AS$9</f>
        <v>#DIV/0!</v>
      </c>
    </row>
    <row r="47" spans="40:51">
      <c r="AN47" s="622"/>
      <c r="AO47" s="249" t="s">
        <v>224</v>
      </c>
      <c r="AP47" s="276">
        <f t="shared" si="11"/>
        <v>0</v>
      </c>
      <c r="AQ47" s="277">
        <f t="shared" si="12"/>
        <v>0</v>
      </c>
      <c r="AR47" s="278" t="e">
        <f t="shared" si="10"/>
        <v>#DIV/0!</v>
      </c>
      <c r="AS47" s="279" t="e">
        <f t="shared" si="10"/>
        <v>#DIV/0!</v>
      </c>
      <c r="AT47" s="280">
        <f t="shared" si="13"/>
        <v>0</v>
      </c>
      <c r="AU47" s="277">
        <f t="shared" si="14"/>
        <v>0</v>
      </c>
      <c r="AV47" s="278" t="e">
        <f t="shared" ref="AV47:AW55" si="15">AT47/$AS$9</f>
        <v>#DIV/0!</v>
      </c>
      <c r="AW47" s="279" t="e">
        <f t="shared" si="15"/>
        <v>#DIV/0!</v>
      </c>
    </row>
    <row r="48" spans="40:51">
      <c r="AN48" s="622"/>
      <c r="AO48" s="249" t="s">
        <v>225</v>
      </c>
      <c r="AP48" s="276">
        <f t="shared" si="11"/>
        <v>0</v>
      </c>
      <c r="AQ48" s="277">
        <f t="shared" si="12"/>
        <v>0</v>
      </c>
      <c r="AR48" s="278" t="e">
        <f t="shared" si="10"/>
        <v>#DIV/0!</v>
      </c>
      <c r="AS48" s="279" t="e">
        <f t="shared" si="10"/>
        <v>#DIV/0!</v>
      </c>
      <c r="AT48" s="280">
        <f t="shared" si="13"/>
        <v>0</v>
      </c>
      <c r="AU48" s="277">
        <f t="shared" si="14"/>
        <v>0</v>
      </c>
      <c r="AV48" s="278" t="e">
        <f t="shared" si="15"/>
        <v>#DIV/0!</v>
      </c>
      <c r="AW48" s="279" t="e">
        <f t="shared" si="15"/>
        <v>#DIV/0!</v>
      </c>
    </row>
    <row r="49" spans="2:49">
      <c r="AN49" s="622"/>
      <c r="AO49" s="253" t="s">
        <v>196</v>
      </c>
      <c r="AP49" s="276">
        <f t="shared" si="11"/>
        <v>0</v>
      </c>
      <c r="AQ49" s="277">
        <f t="shared" si="12"/>
        <v>0</v>
      </c>
      <c r="AR49" s="278" t="e">
        <f t="shared" si="10"/>
        <v>#DIV/0!</v>
      </c>
      <c r="AS49" s="279" t="e">
        <f t="shared" si="10"/>
        <v>#DIV/0!</v>
      </c>
      <c r="AT49" s="280">
        <f t="shared" si="13"/>
        <v>0</v>
      </c>
      <c r="AU49" s="277">
        <f t="shared" si="14"/>
        <v>0</v>
      </c>
      <c r="AV49" s="278" t="e">
        <f t="shared" si="15"/>
        <v>#DIV/0!</v>
      </c>
      <c r="AW49" s="279" t="e">
        <f t="shared" si="15"/>
        <v>#DIV/0!</v>
      </c>
    </row>
    <row r="50" spans="2:49">
      <c r="AN50" s="622"/>
      <c r="AO50" s="253" t="s">
        <v>226</v>
      </c>
      <c r="AP50" s="276">
        <f t="shared" si="11"/>
        <v>0</v>
      </c>
      <c r="AQ50" s="277">
        <f t="shared" si="12"/>
        <v>0</v>
      </c>
      <c r="AR50" s="278" t="e">
        <f t="shared" si="10"/>
        <v>#DIV/0!</v>
      </c>
      <c r="AS50" s="279" t="e">
        <f t="shared" si="10"/>
        <v>#DIV/0!</v>
      </c>
      <c r="AT50" s="280">
        <f t="shared" si="13"/>
        <v>0</v>
      </c>
      <c r="AU50" s="277">
        <f t="shared" si="14"/>
        <v>0</v>
      </c>
      <c r="AV50" s="278" t="e">
        <f t="shared" si="15"/>
        <v>#DIV/0!</v>
      </c>
      <c r="AW50" s="279" t="e">
        <f t="shared" si="15"/>
        <v>#DIV/0!</v>
      </c>
    </row>
    <row r="51" spans="2:49">
      <c r="AN51" s="622"/>
      <c r="AO51" s="249" t="s">
        <v>227</v>
      </c>
      <c r="AP51" s="276">
        <f t="shared" si="11"/>
        <v>0</v>
      </c>
      <c r="AQ51" s="277">
        <f t="shared" si="12"/>
        <v>0</v>
      </c>
      <c r="AR51" s="278" t="e">
        <f t="shared" si="10"/>
        <v>#DIV/0!</v>
      </c>
      <c r="AS51" s="279" t="e">
        <f t="shared" si="10"/>
        <v>#DIV/0!</v>
      </c>
      <c r="AT51" s="280">
        <f t="shared" si="13"/>
        <v>0</v>
      </c>
      <c r="AU51" s="277">
        <f t="shared" si="14"/>
        <v>0</v>
      </c>
      <c r="AV51" s="278" t="e">
        <f t="shared" si="15"/>
        <v>#DIV/0!</v>
      </c>
      <c r="AW51" s="279" t="e">
        <f t="shared" si="15"/>
        <v>#DIV/0!</v>
      </c>
    </row>
    <row r="52" spans="2:49">
      <c r="AN52" s="622"/>
      <c r="AO52" s="249" t="s">
        <v>228</v>
      </c>
      <c r="AP52" s="276">
        <f t="shared" si="11"/>
        <v>0</v>
      </c>
      <c r="AQ52" s="277">
        <f t="shared" si="12"/>
        <v>0</v>
      </c>
      <c r="AR52" s="278" t="e">
        <f t="shared" si="10"/>
        <v>#DIV/0!</v>
      </c>
      <c r="AS52" s="279" t="e">
        <f t="shared" si="10"/>
        <v>#DIV/0!</v>
      </c>
      <c r="AT52" s="280">
        <f t="shared" si="13"/>
        <v>0</v>
      </c>
      <c r="AU52" s="277">
        <f t="shared" si="14"/>
        <v>0</v>
      </c>
      <c r="AV52" s="278" t="e">
        <f t="shared" si="15"/>
        <v>#DIV/0!</v>
      </c>
      <c r="AW52" s="279" t="e">
        <f t="shared" si="15"/>
        <v>#DIV/0!</v>
      </c>
    </row>
    <row r="53" spans="2:49">
      <c r="AN53" s="622"/>
      <c r="AO53" s="253" t="s">
        <v>229</v>
      </c>
      <c r="AP53" s="276">
        <f t="shared" si="11"/>
        <v>0</v>
      </c>
      <c r="AQ53" s="277">
        <f t="shared" si="12"/>
        <v>0</v>
      </c>
      <c r="AR53" s="278" t="e">
        <f t="shared" si="10"/>
        <v>#DIV/0!</v>
      </c>
      <c r="AS53" s="279" t="e">
        <f t="shared" si="10"/>
        <v>#DIV/0!</v>
      </c>
      <c r="AT53" s="280">
        <f t="shared" si="13"/>
        <v>0</v>
      </c>
      <c r="AU53" s="277">
        <f t="shared" si="14"/>
        <v>0</v>
      </c>
      <c r="AV53" s="278" t="e">
        <f t="shared" si="15"/>
        <v>#DIV/0!</v>
      </c>
      <c r="AW53" s="279" t="e">
        <f t="shared" si="15"/>
        <v>#DIV/0!</v>
      </c>
    </row>
    <row r="54" spans="2:49">
      <c r="AN54" s="622"/>
      <c r="AO54" s="249" t="s">
        <v>230</v>
      </c>
      <c r="AP54" s="276">
        <f t="shared" si="11"/>
        <v>0</v>
      </c>
      <c r="AQ54" s="277">
        <f t="shared" si="12"/>
        <v>0</v>
      </c>
      <c r="AR54" s="278" t="e">
        <f t="shared" si="10"/>
        <v>#DIV/0!</v>
      </c>
      <c r="AS54" s="279" t="e">
        <f t="shared" si="10"/>
        <v>#DIV/0!</v>
      </c>
      <c r="AT54" s="280">
        <f t="shared" si="13"/>
        <v>0</v>
      </c>
      <c r="AU54" s="277">
        <f t="shared" si="14"/>
        <v>0</v>
      </c>
      <c r="AV54" s="278" t="e">
        <f t="shared" si="15"/>
        <v>#DIV/0!</v>
      </c>
      <c r="AW54" s="279" t="e">
        <f t="shared" si="15"/>
        <v>#DIV/0!</v>
      </c>
    </row>
    <row r="55" spans="2:49">
      <c r="AN55" s="622"/>
      <c r="AO55" s="254" t="s">
        <v>231</v>
      </c>
      <c r="AP55" s="281">
        <f t="shared" si="11"/>
        <v>0</v>
      </c>
      <c r="AQ55" s="282">
        <f t="shared" si="12"/>
        <v>0</v>
      </c>
      <c r="AR55" s="283" t="e">
        <f t="shared" si="10"/>
        <v>#DIV/0!</v>
      </c>
      <c r="AS55" s="284" t="e">
        <f t="shared" si="10"/>
        <v>#DIV/0!</v>
      </c>
      <c r="AT55" s="285">
        <f t="shared" si="13"/>
        <v>0</v>
      </c>
      <c r="AU55" s="282">
        <f t="shared" si="14"/>
        <v>0</v>
      </c>
      <c r="AV55" s="283" t="e">
        <f t="shared" si="15"/>
        <v>#DIV/0!</v>
      </c>
      <c r="AW55" s="284" t="e">
        <f t="shared" si="15"/>
        <v>#DIV/0!</v>
      </c>
    </row>
    <row r="56" spans="2:49" ht="14" thickBot="1">
      <c r="AN56" s="623"/>
      <c r="AO56" s="258" t="s">
        <v>169</v>
      </c>
      <c r="AP56" s="286"/>
      <c r="AQ56" s="287"/>
      <c r="AR56" s="288" t="e">
        <f t="shared" si="10"/>
        <v>#DIV/0!</v>
      </c>
      <c r="AS56" s="289" t="e">
        <f t="shared" si="10"/>
        <v>#DIV/0!</v>
      </c>
      <c r="AT56" s="290"/>
      <c r="AU56" s="287"/>
      <c r="AV56" s="288"/>
      <c r="AW56" s="289"/>
    </row>
    <row r="59" spans="2:49">
      <c r="C59"/>
      <c r="D59"/>
      <c r="E59"/>
      <c r="F59"/>
      <c r="G59"/>
      <c r="H59"/>
      <c r="I59"/>
      <c r="J59"/>
      <c r="K59"/>
      <c r="L59"/>
      <c r="M59"/>
      <c r="N59"/>
      <c r="O59"/>
      <c r="P59"/>
      <c r="Q59"/>
      <c r="R59"/>
      <c r="S59"/>
      <c r="T59"/>
      <c r="U59"/>
    </row>
    <row r="60" spans="2:49">
      <c r="C60"/>
      <c r="D60"/>
      <c r="E60"/>
      <c r="F60"/>
      <c r="G60"/>
      <c r="H60"/>
      <c r="I60"/>
      <c r="J60"/>
      <c r="K60"/>
      <c r="L60"/>
      <c r="M60"/>
      <c r="N60"/>
      <c r="O60"/>
      <c r="P60"/>
      <c r="Q60"/>
      <c r="R60"/>
      <c r="S60"/>
      <c r="T60"/>
      <c r="U60"/>
    </row>
    <row r="61" spans="2:49">
      <c r="D61"/>
      <c r="E61"/>
      <c r="F61"/>
      <c r="G61"/>
      <c r="H61"/>
      <c r="I61"/>
      <c r="J61"/>
      <c r="K61"/>
      <c r="L61"/>
      <c r="M61"/>
      <c r="N61"/>
      <c r="O61"/>
      <c r="P61"/>
      <c r="Q61"/>
      <c r="R61"/>
      <c r="S61"/>
      <c r="T61"/>
      <c r="U61"/>
    </row>
    <row r="62" spans="2:49" ht="14" thickBot="1">
      <c r="C62"/>
      <c r="D62"/>
      <c r="E62"/>
      <c r="F62"/>
      <c r="G62"/>
      <c r="H62"/>
      <c r="I62"/>
      <c r="J62"/>
      <c r="K62"/>
      <c r="L62"/>
      <c r="M62"/>
      <c r="N62"/>
      <c r="O62"/>
      <c r="P62"/>
      <c r="Q62"/>
      <c r="R62"/>
      <c r="S62"/>
      <c r="T62"/>
      <c r="U62"/>
      <c r="V62"/>
      <c r="W62"/>
      <c r="X62"/>
      <c r="Y62"/>
      <c r="Z62"/>
      <c r="AA62"/>
    </row>
    <row r="63" spans="2:49" ht="54.5" thickBot="1">
      <c r="B63" s="540" t="s">
        <v>248</v>
      </c>
      <c r="C63" s="291" t="s">
        <v>249</v>
      </c>
      <c r="D63" s="485" t="s">
        <v>158</v>
      </c>
      <c r="E63" s="486" t="s">
        <v>223</v>
      </c>
      <c r="F63" s="486" t="s">
        <v>224</v>
      </c>
      <c r="G63" s="486" t="s">
        <v>225</v>
      </c>
      <c r="H63" s="486" t="s">
        <v>196</v>
      </c>
      <c r="I63" s="486" t="s">
        <v>226</v>
      </c>
      <c r="J63" s="486" t="s">
        <v>227</v>
      </c>
      <c r="K63" s="486" t="s">
        <v>228</v>
      </c>
      <c r="L63" s="486" t="s">
        <v>229</v>
      </c>
      <c r="M63" s="486" t="s">
        <v>230</v>
      </c>
      <c r="N63" s="486" t="s">
        <v>231</v>
      </c>
      <c r="O63" s="487" t="s">
        <v>169</v>
      </c>
      <c r="P63" s="485" t="s">
        <v>158</v>
      </c>
      <c r="Q63" s="486" t="s">
        <v>223</v>
      </c>
      <c r="R63" s="486" t="s">
        <v>224</v>
      </c>
      <c r="S63" s="486" t="s">
        <v>225</v>
      </c>
      <c r="T63" s="486" t="s">
        <v>196</v>
      </c>
      <c r="U63" s="486" t="s">
        <v>226</v>
      </c>
      <c r="V63" s="486" t="s">
        <v>227</v>
      </c>
      <c r="W63" s="486" t="s">
        <v>228</v>
      </c>
      <c r="X63" s="486" t="s">
        <v>229</v>
      </c>
      <c r="Y63" s="486" t="s">
        <v>230</v>
      </c>
      <c r="Z63" s="486" t="s">
        <v>231</v>
      </c>
      <c r="AA63" s="487" t="s">
        <v>169</v>
      </c>
    </row>
    <row r="64" spans="2:49">
      <c r="B64" s="541">
        <v>1</v>
      </c>
      <c r="C64" s="153" t="s">
        <v>53</v>
      </c>
      <c r="D64" s="292" t="str">
        <f>IFERROR(P64/$P64,"")</f>
        <v/>
      </c>
      <c r="E64" s="293" t="str">
        <f t="shared" ref="E64:O87" si="16">IFERROR(Q64/$P64,"")</f>
        <v/>
      </c>
      <c r="F64" s="293" t="str">
        <f t="shared" si="16"/>
        <v/>
      </c>
      <c r="G64" s="293" t="str">
        <f t="shared" si="16"/>
        <v/>
      </c>
      <c r="H64" s="293" t="str">
        <f t="shared" si="16"/>
        <v/>
      </c>
      <c r="I64" s="293" t="str">
        <f t="shared" si="16"/>
        <v/>
      </c>
      <c r="J64" s="293" t="str">
        <f t="shared" si="16"/>
        <v/>
      </c>
      <c r="K64" s="293" t="str">
        <f t="shared" si="16"/>
        <v/>
      </c>
      <c r="L64" s="293" t="str">
        <f t="shared" si="16"/>
        <v/>
      </c>
      <c r="M64" s="293" t="str">
        <f t="shared" si="16"/>
        <v/>
      </c>
      <c r="N64" s="293" t="str">
        <f t="shared" si="16"/>
        <v/>
      </c>
      <c r="O64" s="294" t="str">
        <f t="shared" si="16"/>
        <v/>
      </c>
      <c r="P64" s="295">
        <f>INDEX('NARM6 - Risk Summary'!$D:$D,MATCH($C64,'NARM6 - Risk Summary'!$B:$B,0))</f>
        <v>0</v>
      </c>
      <c r="Q64" s="296">
        <f>INDEX('NARM6 - Risk Summary'!E:E,MATCH($C64,'NARM6 - Risk Summary'!$B:$B,0)+5)</f>
        <v>0</v>
      </c>
      <c r="R64" s="296">
        <f>INDEX('NARM6 - Risk Summary'!F:F,MATCH($C64,'NARM6 - Risk Summary'!$B:$B,0)+5)</f>
        <v>0</v>
      </c>
      <c r="S64" s="296">
        <f>INDEX('NARM6 - Risk Summary'!G:G,MATCH($C64,'NARM6 - Risk Summary'!$B:$B,0)+5)</f>
        <v>0</v>
      </c>
      <c r="T64" s="296">
        <f>INDEX('NARM6 - Risk Summary'!H:H,MATCH($C64,'NARM6 - Risk Summary'!$B:$B,0)+5)</f>
        <v>0</v>
      </c>
      <c r="U64" s="296">
        <f>INDEX('NARM6 - Risk Summary'!I:I,MATCH($C64,'NARM6 - Risk Summary'!$B:$B,0)+5)</f>
        <v>0</v>
      </c>
      <c r="V64" s="296">
        <f>INDEX('NARM6 - Risk Summary'!J:J,MATCH($C64,'NARM6 - Risk Summary'!$B:$B,0)+5)</f>
        <v>0</v>
      </c>
      <c r="W64" s="296">
        <f>INDEX('NARM6 - Risk Summary'!K:K,MATCH($C64,'NARM6 - Risk Summary'!$B:$B,0)+5)</f>
        <v>0</v>
      </c>
      <c r="X64" s="296">
        <f>INDEX('NARM6 - Risk Summary'!L:L,MATCH($C64,'NARM6 - Risk Summary'!$B:$B,0)+5)</f>
        <v>0</v>
      </c>
      <c r="Y64" s="296">
        <f>INDEX('NARM6 - Risk Summary'!M:M,MATCH($C64,'NARM6 - Risk Summary'!$B:$B,0)+5)</f>
        <v>0</v>
      </c>
      <c r="Z64" s="296">
        <f>INDEX('NARM6 - Risk Summary'!N:N,MATCH($C64,'NARM6 - Risk Summary'!$B:$B,0)+5)</f>
        <v>0</v>
      </c>
      <c r="AA64" s="297">
        <f>INDEX('NARM6 - Risk Summary'!O:O,MATCH($C64,'NARM6 - Risk Summary'!$B:$B,0)+4)</f>
        <v>0</v>
      </c>
    </row>
    <row r="65" spans="2:27">
      <c r="B65" s="541">
        <v>2</v>
      </c>
      <c r="C65" s="166" t="s">
        <v>70</v>
      </c>
      <c r="D65" s="298" t="str">
        <f t="shared" ref="D65:F106" si="17">IFERROR(P65/$P65,"")</f>
        <v/>
      </c>
      <c r="E65" s="299" t="str">
        <f t="shared" si="16"/>
        <v/>
      </c>
      <c r="F65" s="299" t="str">
        <f t="shared" si="16"/>
        <v/>
      </c>
      <c r="G65" s="299" t="str">
        <f t="shared" si="16"/>
        <v/>
      </c>
      <c r="H65" s="299" t="str">
        <f t="shared" si="16"/>
        <v/>
      </c>
      <c r="I65" s="299" t="str">
        <f t="shared" si="16"/>
        <v/>
      </c>
      <c r="J65" s="299" t="str">
        <f t="shared" si="16"/>
        <v/>
      </c>
      <c r="K65" s="299" t="str">
        <f t="shared" si="16"/>
        <v/>
      </c>
      <c r="L65" s="299" t="str">
        <f t="shared" si="16"/>
        <v/>
      </c>
      <c r="M65" s="299" t="str">
        <f t="shared" si="16"/>
        <v/>
      </c>
      <c r="N65" s="299" t="str">
        <f t="shared" si="16"/>
        <v/>
      </c>
      <c r="O65" s="300" t="str">
        <f t="shared" si="16"/>
        <v/>
      </c>
      <c r="P65" s="301">
        <f>INDEX('NARM6 - Risk Summary'!$D:$D,MATCH($C65,'NARM6 - Risk Summary'!$B:$B,0))</f>
        <v>0</v>
      </c>
      <c r="Q65" s="302">
        <f>INDEX('NARM6 - Risk Summary'!E:E,MATCH($C65,'NARM6 - Risk Summary'!$B:$B,0)+5)</f>
        <v>0</v>
      </c>
      <c r="R65" s="302">
        <f>INDEX('NARM6 - Risk Summary'!F:F,MATCH($C65,'NARM6 - Risk Summary'!$B:$B,0)+5)</f>
        <v>0</v>
      </c>
      <c r="S65" s="302">
        <f>INDEX('NARM6 - Risk Summary'!G:G,MATCH($C65,'NARM6 - Risk Summary'!$B:$B,0)+5)</f>
        <v>0</v>
      </c>
      <c r="T65" s="302">
        <f>INDEX('NARM6 - Risk Summary'!H:H,MATCH($C65,'NARM6 - Risk Summary'!$B:$B,0)+5)</f>
        <v>0</v>
      </c>
      <c r="U65" s="302">
        <f>INDEX('NARM6 - Risk Summary'!I:I,MATCH($C65,'NARM6 - Risk Summary'!$B:$B,0)+5)</f>
        <v>0</v>
      </c>
      <c r="V65" s="302">
        <f>INDEX('NARM6 - Risk Summary'!J:J,MATCH($C65,'NARM6 - Risk Summary'!$B:$B,0)+5)</f>
        <v>0</v>
      </c>
      <c r="W65" s="302">
        <f>INDEX('NARM6 - Risk Summary'!K:K,MATCH($C65,'NARM6 - Risk Summary'!$B:$B,0)+5)</f>
        <v>0</v>
      </c>
      <c r="X65" s="302">
        <f>INDEX('NARM6 - Risk Summary'!L:L,MATCH($C65,'NARM6 - Risk Summary'!$B:$B,0)+5)</f>
        <v>0</v>
      </c>
      <c r="Y65" s="302">
        <f>INDEX('NARM6 - Risk Summary'!M:M,MATCH($C65,'NARM6 - Risk Summary'!$B:$B,0)+5)</f>
        <v>0</v>
      </c>
      <c r="Z65" s="302">
        <f>INDEX('NARM6 - Risk Summary'!N:N,MATCH($C65,'NARM6 - Risk Summary'!$B:$B,0)+5)</f>
        <v>0</v>
      </c>
      <c r="AA65" s="303">
        <f>INDEX('NARM6 - Risk Summary'!O:O,MATCH($C65,'NARM6 - Risk Summary'!$B:$B,0)+4)</f>
        <v>0</v>
      </c>
    </row>
    <row r="66" spans="2:27">
      <c r="B66" s="541">
        <v>3</v>
      </c>
      <c r="C66" s="166" t="s">
        <v>71</v>
      </c>
      <c r="D66" s="298" t="str">
        <f t="shared" si="17"/>
        <v/>
      </c>
      <c r="E66" s="299" t="str">
        <f t="shared" si="16"/>
        <v/>
      </c>
      <c r="F66" s="299" t="str">
        <f t="shared" si="16"/>
        <v/>
      </c>
      <c r="G66" s="299" t="str">
        <f t="shared" si="16"/>
        <v/>
      </c>
      <c r="H66" s="299" t="str">
        <f t="shared" si="16"/>
        <v/>
      </c>
      <c r="I66" s="299" t="str">
        <f t="shared" si="16"/>
        <v/>
      </c>
      <c r="J66" s="299" t="str">
        <f t="shared" si="16"/>
        <v/>
      </c>
      <c r="K66" s="299" t="str">
        <f t="shared" si="16"/>
        <v/>
      </c>
      <c r="L66" s="299" t="str">
        <f t="shared" si="16"/>
        <v/>
      </c>
      <c r="M66" s="299" t="str">
        <f t="shared" si="16"/>
        <v/>
      </c>
      <c r="N66" s="299" t="str">
        <f t="shared" si="16"/>
        <v/>
      </c>
      <c r="O66" s="300" t="str">
        <f t="shared" si="16"/>
        <v/>
      </c>
      <c r="P66" s="301">
        <f>INDEX('NARM6 - Risk Summary'!$D:$D,MATCH($C66,'NARM6 - Risk Summary'!$B:$B,0))</f>
        <v>0</v>
      </c>
      <c r="Q66" s="302">
        <f>INDEX('NARM6 - Risk Summary'!E:E,MATCH($C66,'NARM6 - Risk Summary'!$B:$B,0)+5)</f>
        <v>0</v>
      </c>
      <c r="R66" s="302">
        <f>INDEX('NARM6 - Risk Summary'!F:F,MATCH($C66,'NARM6 - Risk Summary'!$B:$B,0)+5)</f>
        <v>0</v>
      </c>
      <c r="S66" s="302">
        <f>INDEX('NARM6 - Risk Summary'!G:G,MATCH($C66,'NARM6 - Risk Summary'!$B:$B,0)+5)</f>
        <v>0</v>
      </c>
      <c r="T66" s="302">
        <f>INDEX('NARM6 - Risk Summary'!H:H,MATCH($C66,'NARM6 - Risk Summary'!$B:$B,0)+5)</f>
        <v>0</v>
      </c>
      <c r="U66" s="302">
        <f>INDEX('NARM6 - Risk Summary'!I:I,MATCH($C66,'NARM6 - Risk Summary'!$B:$B,0)+5)</f>
        <v>0</v>
      </c>
      <c r="V66" s="302">
        <f>INDEX('NARM6 - Risk Summary'!J:J,MATCH($C66,'NARM6 - Risk Summary'!$B:$B,0)+5)</f>
        <v>0</v>
      </c>
      <c r="W66" s="302">
        <f>INDEX('NARM6 - Risk Summary'!K:K,MATCH($C66,'NARM6 - Risk Summary'!$B:$B,0)+5)</f>
        <v>0</v>
      </c>
      <c r="X66" s="302">
        <f>INDEX('NARM6 - Risk Summary'!L:L,MATCH($C66,'NARM6 - Risk Summary'!$B:$B,0)+5)</f>
        <v>0</v>
      </c>
      <c r="Y66" s="302">
        <f>INDEX('NARM6 - Risk Summary'!M:M,MATCH($C66,'NARM6 - Risk Summary'!$B:$B,0)+5)</f>
        <v>0</v>
      </c>
      <c r="Z66" s="302">
        <f>INDEX('NARM6 - Risk Summary'!N:N,MATCH($C66,'NARM6 - Risk Summary'!$B:$B,0)+5)</f>
        <v>0</v>
      </c>
      <c r="AA66" s="303">
        <f>INDEX('NARM6 - Risk Summary'!O:O,MATCH($C66,'NARM6 - Risk Summary'!$B:$B,0)+4)</f>
        <v>0</v>
      </c>
    </row>
    <row r="67" spans="2:27">
      <c r="B67" s="541">
        <v>4</v>
      </c>
      <c r="C67" s="166" t="s">
        <v>175</v>
      </c>
      <c r="D67" s="298" t="str">
        <f t="shared" si="17"/>
        <v/>
      </c>
      <c r="E67" s="299" t="str">
        <f t="shared" si="16"/>
        <v/>
      </c>
      <c r="F67" s="299" t="str">
        <f t="shared" si="16"/>
        <v/>
      </c>
      <c r="G67" s="299" t="str">
        <f t="shared" si="16"/>
        <v/>
      </c>
      <c r="H67" s="299" t="str">
        <f t="shared" si="16"/>
        <v/>
      </c>
      <c r="I67" s="299" t="str">
        <f t="shared" si="16"/>
        <v/>
      </c>
      <c r="J67" s="299" t="str">
        <f t="shared" si="16"/>
        <v/>
      </c>
      <c r="K67" s="299" t="str">
        <f t="shared" si="16"/>
        <v/>
      </c>
      <c r="L67" s="299" t="str">
        <f t="shared" si="16"/>
        <v/>
      </c>
      <c r="M67" s="299" t="str">
        <f t="shared" si="16"/>
        <v/>
      </c>
      <c r="N67" s="299" t="str">
        <f t="shared" si="16"/>
        <v/>
      </c>
      <c r="O67" s="300" t="str">
        <f t="shared" si="16"/>
        <v/>
      </c>
      <c r="P67" s="301">
        <f>INDEX('NARM6 - Risk Summary'!$D:$D,MATCH($C67,'NARM6 - Risk Summary'!$B:$B,0))</f>
        <v>0</v>
      </c>
      <c r="Q67" s="302">
        <f>INDEX('NARM6 - Risk Summary'!E:E,MATCH($C67,'NARM6 - Risk Summary'!$B:$B,0)+5)</f>
        <v>0</v>
      </c>
      <c r="R67" s="302">
        <f>INDEX('NARM6 - Risk Summary'!F:F,MATCH($C67,'NARM6 - Risk Summary'!$B:$B,0)+5)</f>
        <v>0</v>
      </c>
      <c r="S67" s="302">
        <f>INDEX('NARM6 - Risk Summary'!G:G,MATCH($C67,'NARM6 - Risk Summary'!$B:$B,0)+5)</f>
        <v>0</v>
      </c>
      <c r="T67" s="302">
        <f>INDEX('NARM6 - Risk Summary'!H:H,MATCH($C67,'NARM6 - Risk Summary'!$B:$B,0)+5)</f>
        <v>0</v>
      </c>
      <c r="U67" s="302">
        <f>INDEX('NARM6 - Risk Summary'!I:I,MATCH($C67,'NARM6 - Risk Summary'!$B:$B,0)+5)</f>
        <v>0</v>
      </c>
      <c r="V67" s="302">
        <f>INDEX('NARM6 - Risk Summary'!J:J,MATCH($C67,'NARM6 - Risk Summary'!$B:$B,0)+5)</f>
        <v>0</v>
      </c>
      <c r="W67" s="302">
        <f>INDEX('NARM6 - Risk Summary'!K:K,MATCH($C67,'NARM6 - Risk Summary'!$B:$B,0)+5)</f>
        <v>0</v>
      </c>
      <c r="X67" s="302">
        <f>INDEX('NARM6 - Risk Summary'!L:L,MATCH($C67,'NARM6 - Risk Summary'!$B:$B,0)+5)</f>
        <v>0</v>
      </c>
      <c r="Y67" s="302">
        <f>INDEX('NARM6 - Risk Summary'!M:M,MATCH($C67,'NARM6 - Risk Summary'!$B:$B,0)+5)</f>
        <v>0</v>
      </c>
      <c r="Z67" s="302">
        <f>INDEX('NARM6 - Risk Summary'!N:N,MATCH($C67,'NARM6 - Risk Summary'!$B:$B,0)+5)</f>
        <v>0</v>
      </c>
      <c r="AA67" s="303">
        <f>INDEX('NARM6 - Risk Summary'!O:O,MATCH($C67,'NARM6 - Risk Summary'!$B:$B,0)+4)</f>
        <v>0</v>
      </c>
    </row>
    <row r="68" spans="2:27">
      <c r="B68" s="541">
        <v>5</v>
      </c>
      <c r="C68" s="166" t="s">
        <v>176</v>
      </c>
      <c r="D68" s="298" t="str">
        <f t="shared" si="17"/>
        <v/>
      </c>
      <c r="E68" s="299" t="str">
        <f t="shared" si="16"/>
        <v/>
      </c>
      <c r="F68" s="299" t="str">
        <f t="shared" si="16"/>
        <v/>
      </c>
      <c r="G68" s="299" t="str">
        <f t="shared" si="16"/>
        <v/>
      </c>
      <c r="H68" s="299" t="str">
        <f t="shared" si="16"/>
        <v/>
      </c>
      <c r="I68" s="299" t="str">
        <f t="shared" si="16"/>
        <v/>
      </c>
      <c r="J68" s="299" t="str">
        <f t="shared" si="16"/>
        <v/>
      </c>
      <c r="K68" s="299" t="str">
        <f t="shared" si="16"/>
        <v/>
      </c>
      <c r="L68" s="299" t="str">
        <f t="shared" si="16"/>
        <v/>
      </c>
      <c r="M68" s="299" t="str">
        <f t="shared" si="16"/>
        <v/>
      </c>
      <c r="N68" s="299" t="str">
        <f t="shared" si="16"/>
        <v/>
      </c>
      <c r="O68" s="300" t="str">
        <f t="shared" si="16"/>
        <v/>
      </c>
      <c r="P68" s="301">
        <f>INDEX('NARM6 - Risk Summary'!$D:$D,MATCH($C68,'NARM6 - Risk Summary'!$B:$B,0))</f>
        <v>0</v>
      </c>
      <c r="Q68" s="302">
        <f>INDEX('NARM6 - Risk Summary'!E:E,MATCH($C68,'NARM6 - Risk Summary'!$B:$B,0)+5)</f>
        <v>0</v>
      </c>
      <c r="R68" s="302">
        <f>INDEX('NARM6 - Risk Summary'!F:F,MATCH($C68,'NARM6 - Risk Summary'!$B:$B,0)+5)</f>
        <v>0</v>
      </c>
      <c r="S68" s="302">
        <f>INDEX('NARM6 - Risk Summary'!G:G,MATCH($C68,'NARM6 - Risk Summary'!$B:$B,0)+5)</f>
        <v>0</v>
      </c>
      <c r="T68" s="302">
        <f>INDEX('NARM6 - Risk Summary'!H:H,MATCH($C68,'NARM6 - Risk Summary'!$B:$B,0)+5)</f>
        <v>0</v>
      </c>
      <c r="U68" s="302">
        <f>INDEX('NARM6 - Risk Summary'!I:I,MATCH($C68,'NARM6 - Risk Summary'!$B:$B,0)+5)</f>
        <v>0</v>
      </c>
      <c r="V68" s="302">
        <f>INDEX('NARM6 - Risk Summary'!J:J,MATCH($C68,'NARM6 - Risk Summary'!$B:$B,0)+5)</f>
        <v>0</v>
      </c>
      <c r="W68" s="302">
        <f>INDEX('NARM6 - Risk Summary'!K:K,MATCH($C68,'NARM6 - Risk Summary'!$B:$B,0)+5)</f>
        <v>0</v>
      </c>
      <c r="X68" s="302">
        <f>INDEX('NARM6 - Risk Summary'!L:L,MATCH($C68,'NARM6 - Risk Summary'!$B:$B,0)+5)</f>
        <v>0</v>
      </c>
      <c r="Y68" s="302">
        <f>INDEX('NARM6 - Risk Summary'!M:M,MATCH($C68,'NARM6 - Risk Summary'!$B:$B,0)+5)</f>
        <v>0</v>
      </c>
      <c r="Z68" s="302">
        <f>INDEX('NARM6 - Risk Summary'!N:N,MATCH($C68,'NARM6 - Risk Summary'!$B:$B,0)+5)</f>
        <v>0</v>
      </c>
      <c r="AA68" s="303">
        <f>INDEX('NARM6 - Risk Summary'!O:O,MATCH($C68,'NARM6 - Risk Summary'!$B:$B,0)+4)</f>
        <v>0</v>
      </c>
    </row>
    <row r="69" spans="2:27">
      <c r="B69" s="541">
        <v>6</v>
      </c>
      <c r="C69" s="166" t="s">
        <v>87</v>
      </c>
      <c r="D69" s="298" t="str">
        <f t="shared" si="17"/>
        <v/>
      </c>
      <c r="E69" s="299" t="str">
        <f t="shared" si="16"/>
        <v/>
      </c>
      <c r="F69" s="299" t="str">
        <f t="shared" si="16"/>
        <v/>
      </c>
      <c r="G69" s="299" t="str">
        <f t="shared" si="16"/>
        <v/>
      </c>
      <c r="H69" s="299" t="str">
        <f t="shared" si="16"/>
        <v/>
      </c>
      <c r="I69" s="299" t="str">
        <f t="shared" si="16"/>
        <v/>
      </c>
      <c r="J69" s="299" t="str">
        <f t="shared" si="16"/>
        <v/>
      </c>
      <c r="K69" s="299" t="str">
        <f t="shared" si="16"/>
        <v/>
      </c>
      <c r="L69" s="299" t="str">
        <f t="shared" si="16"/>
        <v/>
      </c>
      <c r="M69" s="299" t="str">
        <f t="shared" si="16"/>
        <v/>
      </c>
      <c r="N69" s="299" t="str">
        <f t="shared" si="16"/>
        <v/>
      </c>
      <c r="O69" s="300" t="str">
        <f t="shared" si="16"/>
        <v/>
      </c>
      <c r="P69" s="301">
        <f>INDEX('NARM6 - Risk Summary'!$D:$D,MATCH($C69,'NARM6 - Risk Summary'!$B:$B,0))</f>
        <v>0</v>
      </c>
      <c r="Q69" s="302">
        <f>INDEX('NARM6 - Risk Summary'!E:E,MATCH($C69,'NARM6 - Risk Summary'!$B:$B,0)+5)</f>
        <v>0</v>
      </c>
      <c r="R69" s="302">
        <f>INDEX('NARM6 - Risk Summary'!F:F,MATCH($C69,'NARM6 - Risk Summary'!$B:$B,0)+5)</f>
        <v>0</v>
      </c>
      <c r="S69" s="302">
        <f>INDEX('NARM6 - Risk Summary'!G:G,MATCH($C69,'NARM6 - Risk Summary'!$B:$B,0)+5)</f>
        <v>0</v>
      </c>
      <c r="T69" s="302">
        <f>INDEX('NARM6 - Risk Summary'!H:H,MATCH($C69,'NARM6 - Risk Summary'!$B:$B,0)+5)</f>
        <v>0</v>
      </c>
      <c r="U69" s="302">
        <f>INDEX('NARM6 - Risk Summary'!I:I,MATCH($C69,'NARM6 - Risk Summary'!$B:$B,0)+5)</f>
        <v>0</v>
      </c>
      <c r="V69" s="302">
        <f>INDEX('NARM6 - Risk Summary'!J:J,MATCH($C69,'NARM6 - Risk Summary'!$B:$B,0)+5)</f>
        <v>0</v>
      </c>
      <c r="W69" s="302">
        <f>INDEX('NARM6 - Risk Summary'!K:K,MATCH($C69,'NARM6 - Risk Summary'!$B:$B,0)+5)</f>
        <v>0</v>
      </c>
      <c r="X69" s="302">
        <f>INDEX('NARM6 - Risk Summary'!L:L,MATCH($C69,'NARM6 - Risk Summary'!$B:$B,0)+5)</f>
        <v>0</v>
      </c>
      <c r="Y69" s="302">
        <f>INDEX('NARM6 - Risk Summary'!M:M,MATCH($C69,'NARM6 - Risk Summary'!$B:$B,0)+5)</f>
        <v>0</v>
      </c>
      <c r="Z69" s="302">
        <f>INDEX('NARM6 - Risk Summary'!N:N,MATCH($C69,'NARM6 - Risk Summary'!$B:$B,0)+5)</f>
        <v>0</v>
      </c>
      <c r="AA69" s="303">
        <f>INDEX('NARM6 - Risk Summary'!O:O,MATCH($C69,'NARM6 - Risk Summary'!$B:$B,0)+4)</f>
        <v>0</v>
      </c>
    </row>
    <row r="70" spans="2:27">
      <c r="B70" s="541">
        <v>7</v>
      </c>
      <c r="C70" s="166" t="s">
        <v>90</v>
      </c>
      <c r="D70" s="298" t="str">
        <f t="shared" si="17"/>
        <v/>
      </c>
      <c r="E70" s="299" t="str">
        <f t="shared" si="16"/>
        <v/>
      </c>
      <c r="F70" s="299" t="str">
        <f t="shared" si="16"/>
        <v/>
      </c>
      <c r="G70" s="299" t="str">
        <f t="shared" si="16"/>
        <v/>
      </c>
      <c r="H70" s="299" t="str">
        <f t="shared" si="16"/>
        <v/>
      </c>
      <c r="I70" s="299" t="str">
        <f t="shared" si="16"/>
        <v/>
      </c>
      <c r="J70" s="299" t="str">
        <f t="shared" si="16"/>
        <v/>
      </c>
      <c r="K70" s="299" t="str">
        <f t="shared" si="16"/>
        <v/>
      </c>
      <c r="L70" s="299" t="str">
        <f t="shared" si="16"/>
        <v/>
      </c>
      <c r="M70" s="299" t="str">
        <f t="shared" si="16"/>
        <v/>
      </c>
      <c r="N70" s="299" t="str">
        <f t="shared" si="16"/>
        <v/>
      </c>
      <c r="O70" s="300" t="str">
        <f t="shared" si="16"/>
        <v/>
      </c>
      <c r="P70" s="301">
        <f>INDEX('NARM6 - Risk Summary'!$D:$D,MATCH($C70,'NARM6 - Risk Summary'!$B:$B,0))</f>
        <v>0</v>
      </c>
      <c r="Q70" s="302">
        <f>INDEX('NARM6 - Risk Summary'!E:E,MATCH($C70,'NARM6 - Risk Summary'!$B:$B,0)+5)</f>
        <v>0</v>
      </c>
      <c r="R70" s="302">
        <f>INDEX('NARM6 - Risk Summary'!F:F,MATCH($C70,'NARM6 - Risk Summary'!$B:$B,0)+5)</f>
        <v>0</v>
      </c>
      <c r="S70" s="302">
        <f>INDEX('NARM6 - Risk Summary'!G:G,MATCH($C70,'NARM6 - Risk Summary'!$B:$B,0)+5)</f>
        <v>0</v>
      </c>
      <c r="T70" s="302">
        <f>INDEX('NARM6 - Risk Summary'!H:H,MATCH($C70,'NARM6 - Risk Summary'!$B:$B,0)+5)</f>
        <v>0</v>
      </c>
      <c r="U70" s="302">
        <f>INDEX('NARM6 - Risk Summary'!I:I,MATCH($C70,'NARM6 - Risk Summary'!$B:$B,0)+5)</f>
        <v>0</v>
      </c>
      <c r="V70" s="302">
        <f>INDEX('NARM6 - Risk Summary'!J:J,MATCH($C70,'NARM6 - Risk Summary'!$B:$B,0)+5)</f>
        <v>0</v>
      </c>
      <c r="W70" s="302">
        <f>INDEX('NARM6 - Risk Summary'!K:K,MATCH($C70,'NARM6 - Risk Summary'!$B:$B,0)+5)</f>
        <v>0</v>
      </c>
      <c r="X70" s="302">
        <f>INDEX('NARM6 - Risk Summary'!L:L,MATCH($C70,'NARM6 - Risk Summary'!$B:$B,0)+5)</f>
        <v>0</v>
      </c>
      <c r="Y70" s="302">
        <f>INDEX('NARM6 - Risk Summary'!M:M,MATCH($C70,'NARM6 - Risk Summary'!$B:$B,0)+5)</f>
        <v>0</v>
      </c>
      <c r="Z70" s="302">
        <f>INDEX('NARM6 - Risk Summary'!N:N,MATCH($C70,'NARM6 - Risk Summary'!$B:$B,0)+5)</f>
        <v>0</v>
      </c>
      <c r="AA70" s="303">
        <f>INDEX('NARM6 - Risk Summary'!O:O,MATCH($C70,'NARM6 - Risk Summary'!$B:$B,0)+4)</f>
        <v>0</v>
      </c>
    </row>
    <row r="71" spans="2:27">
      <c r="B71" s="541">
        <v>8</v>
      </c>
      <c r="C71" s="166" t="s">
        <v>112</v>
      </c>
      <c r="D71" s="298" t="str">
        <f t="shared" si="17"/>
        <v/>
      </c>
      <c r="E71" s="299" t="str">
        <f t="shared" si="16"/>
        <v/>
      </c>
      <c r="F71" s="299" t="str">
        <f t="shared" si="16"/>
        <v/>
      </c>
      <c r="G71" s="299" t="str">
        <f t="shared" si="16"/>
        <v/>
      </c>
      <c r="H71" s="299" t="str">
        <f t="shared" si="16"/>
        <v/>
      </c>
      <c r="I71" s="299" t="str">
        <f t="shared" si="16"/>
        <v/>
      </c>
      <c r="J71" s="299" t="str">
        <f t="shared" si="16"/>
        <v/>
      </c>
      <c r="K71" s="299" t="str">
        <f t="shared" si="16"/>
        <v/>
      </c>
      <c r="L71" s="299" t="str">
        <f t="shared" si="16"/>
        <v/>
      </c>
      <c r="M71" s="299" t="str">
        <f t="shared" si="16"/>
        <v/>
      </c>
      <c r="N71" s="299" t="str">
        <f t="shared" si="16"/>
        <v/>
      </c>
      <c r="O71" s="300" t="str">
        <f t="shared" si="16"/>
        <v/>
      </c>
      <c r="P71" s="301">
        <f>INDEX('NARM6 - Risk Summary'!$D:$D,MATCH($C71,'NARM6 - Risk Summary'!$B:$B,0))</f>
        <v>0</v>
      </c>
      <c r="Q71" s="302">
        <f>INDEX('NARM6 - Risk Summary'!E:E,MATCH($C71,'NARM6 - Risk Summary'!$B:$B,0)+5)</f>
        <v>0</v>
      </c>
      <c r="R71" s="302">
        <f>INDEX('NARM6 - Risk Summary'!F:F,MATCH($C71,'NARM6 - Risk Summary'!$B:$B,0)+5)</f>
        <v>0</v>
      </c>
      <c r="S71" s="302">
        <f>INDEX('NARM6 - Risk Summary'!G:G,MATCH($C71,'NARM6 - Risk Summary'!$B:$B,0)+5)</f>
        <v>0</v>
      </c>
      <c r="T71" s="302">
        <f>INDEX('NARM6 - Risk Summary'!H:H,MATCH($C71,'NARM6 - Risk Summary'!$B:$B,0)+5)</f>
        <v>0</v>
      </c>
      <c r="U71" s="302">
        <f>INDEX('NARM6 - Risk Summary'!I:I,MATCH($C71,'NARM6 - Risk Summary'!$B:$B,0)+5)</f>
        <v>0</v>
      </c>
      <c r="V71" s="302">
        <f>INDEX('NARM6 - Risk Summary'!J:J,MATCH($C71,'NARM6 - Risk Summary'!$B:$B,0)+5)</f>
        <v>0</v>
      </c>
      <c r="W71" s="302">
        <f>INDEX('NARM6 - Risk Summary'!K:K,MATCH($C71,'NARM6 - Risk Summary'!$B:$B,0)+5)</f>
        <v>0</v>
      </c>
      <c r="X71" s="302">
        <f>INDEX('NARM6 - Risk Summary'!L:L,MATCH($C71,'NARM6 - Risk Summary'!$B:$B,0)+5)</f>
        <v>0</v>
      </c>
      <c r="Y71" s="302">
        <f>INDEX('NARM6 - Risk Summary'!M:M,MATCH($C71,'NARM6 - Risk Summary'!$B:$B,0)+5)</f>
        <v>0</v>
      </c>
      <c r="Z71" s="302">
        <f>INDEX('NARM6 - Risk Summary'!N:N,MATCH($C71,'NARM6 - Risk Summary'!$B:$B,0)+5)</f>
        <v>0</v>
      </c>
      <c r="AA71" s="303">
        <f>INDEX('NARM6 - Risk Summary'!O:O,MATCH($C71,'NARM6 - Risk Summary'!$B:$B,0)+4)</f>
        <v>0</v>
      </c>
    </row>
    <row r="72" spans="2:27">
      <c r="B72" s="541">
        <v>9</v>
      </c>
      <c r="C72" s="166" t="s">
        <v>88</v>
      </c>
      <c r="D72" s="298" t="str">
        <f t="shared" si="17"/>
        <v/>
      </c>
      <c r="E72" s="299" t="str">
        <f t="shared" si="16"/>
        <v/>
      </c>
      <c r="F72" s="299" t="str">
        <f t="shared" si="16"/>
        <v/>
      </c>
      <c r="G72" s="299" t="str">
        <f t="shared" si="16"/>
        <v/>
      </c>
      <c r="H72" s="299" t="str">
        <f t="shared" si="16"/>
        <v/>
      </c>
      <c r="I72" s="299" t="str">
        <f t="shared" si="16"/>
        <v/>
      </c>
      <c r="J72" s="299" t="str">
        <f t="shared" si="16"/>
        <v/>
      </c>
      <c r="K72" s="299" t="str">
        <f t="shared" si="16"/>
        <v/>
      </c>
      <c r="L72" s="299" t="str">
        <f t="shared" si="16"/>
        <v/>
      </c>
      <c r="M72" s="299" t="str">
        <f t="shared" si="16"/>
        <v/>
      </c>
      <c r="N72" s="299" t="str">
        <f t="shared" si="16"/>
        <v/>
      </c>
      <c r="O72" s="300" t="str">
        <f t="shared" si="16"/>
        <v/>
      </c>
      <c r="P72" s="301">
        <f>INDEX('NARM6 - Risk Summary'!$D:$D,MATCH($C72,'NARM6 - Risk Summary'!$B:$B,0))</f>
        <v>0</v>
      </c>
      <c r="Q72" s="302">
        <f>INDEX('NARM6 - Risk Summary'!E:E,MATCH($C72,'NARM6 - Risk Summary'!$B:$B,0)+5)</f>
        <v>0</v>
      </c>
      <c r="R72" s="302">
        <f>INDEX('NARM6 - Risk Summary'!F:F,MATCH($C72,'NARM6 - Risk Summary'!$B:$B,0)+5)</f>
        <v>0</v>
      </c>
      <c r="S72" s="302">
        <f>INDEX('NARM6 - Risk Summary'!G:G,MATCH($C72,'NARM6 - Risk Summary'!$B:$B,0)+5)</f>
        <v>0</v>
      </c>
      <c r="T72" s="302">
        <f>INDEX('NARM6 - Risk Summary'!H:H,MATCH($C72,'NARM6 - Risk Summary'!$B:$B,0)+5)</f>
        <v>0</v>
      </c>
      <c r="U72" s="302">
        <f>INDEX('NARM6 - Risk Summary'!I:I,MATCH($C72,'NARM6 - Risk Summary'!$B:$B,0)+5)</f>
        <v>0</v>
      </c>
      <c r="V72" s="302">
        <f>INDEX('NARM6 - Risk Summary'!J:J,MATCH($C72,'NARM6 - Risk Summary'!$B:$B,0)+5)</f>
        <v>0</v>
      </c>
      <c r="W72" s="302">
        <f>INDEX('NARM6 - Risk Summary'!K:K,MATCH($C72,'NARM6 - Risk Summary'!$B:$B,0)+5)</f>
        <v>0</v>
      </c>
      <c r="X72" s="302">
        <f>INDEX('NARM6 - Risk Summary'!L:L,MATCH($C72,'NARM6 - Risk Summary'!$B:$B,0)+5)</f>
        <v>0</v>
      </c>
      <c r="Y72" s="302">
        <f>INDEX('NARM6 - Risk Summary'!M:M,MATCH($C72,'NARM6 - Risk Summary'!$B:$B,0)+5)</f>
        <v>0</v>
      </c>
      <c r="Z72" s="302">
        <f>INDEX('NARM6 - Risk Summary'!N:N,MATCH($C72,'NARM6 - Risk Summary'!$B:$B,0)+5)</f>
        <v>0</v>
      </c>
      <c r="AA72" s="303">
        <f>INDEX('NARM6 - Risk Summary'!O:O,MATCH($C72,'NARM6 - Risk Summary'!$B:$B,0)+4)</f>
        <v>0</v>
      </c>
    </row>
    <row r="73" spans="2:27">
      <c r="B73" s="541">
        <v>10</v>
      </c>
      <c r="C73" s="166" t="s">
        <v>91</v>
      </c>
      <c r="D73" s="298" t="str">
        <f t="shared" si="17"/>
        <v/>
      </c>
      <c r="E73" s="299" t="str">
        <f t="shared" si="16"/>
        <v/>
      </c>
      <c r="F73" s="299" t="str">
        <f t="shared" si="16"/>
        <v/>
      </c>
      <c r="G73" s="299" t="str">
        <f t="shared" si="16"/>
        <v/>
      </c>
      <c r="H73" s="299" t="str">
        <f t="shared" si="16"/>
        <v/>
      </c>
      <c r="I73" s="299" t="str">
        <f t="shared" si="16"/>
        <v/>
      </c>
      <c r="J73" s="299" t="str">
        <f t="shared" si="16"/>
        <v/>
      </c>
      <c r="K73" s="299" t="str">
        <f t="shared" si="16"/>
        <v/>
      </c>
      <c r="L73" s="299" t="str">
        <f t="shared" si="16"/>
        <v/>
      </c>
      <c r="M73" s="299" t="str">
        <f t="shared" si="16"/>
        <v/>
      </c>
      <c r="N73" s="299" t="str">
        <f t="shared" si="16"/>
        <v/>
      </c>
      <c r="O73" s="300" t="str">
        <f t="shared" si="16"/>
        <v/>
      </c>
      <c r="P73" s="301">
        <f>INDEX('NARM6 - Risk Summary'!$D:$D,MATCH($C73,'NARM6 - Risk Summary'!$B:$B,0))</f>
        <v>0</v>
      </c>
      <c r="Q73" s="302">
        <f>INDEX('NARM6 - Risk Summary'!E:E,MATCH($C73,'NARM6 - Risk Summary'!$B:$B,0)+5)</f>
        <v>0</v>
      </c>
      <c r="R73" s="302">
        <f>INDEX('NARM6 - Risk Summary'!F:F,MATCH($C73,'NARM6 - Risk Summary'!$B:$B,0)+5)</f>
        <v>0</v>
      </c>
      <c r="S73" s="302">
        <f>INDEX('NARM6 - Risk Summary'!G:G,MATCH($C73,'NARM6 - Risk Summary'!$B:$B,0)+5)</f>
        <v>0</v>
      </c>
      <c r="T73" s="302">
        <f>INDEX('NARM6 - Risk Summary'!H:H,MATCH($C73,'NARM6 - Risk Summary'!$B:$B,0)+5)</f>
        <v>0</v>
      </c>
      <c r="U73" s="302">
        <f>INDEX('NARM6 - Risk Summary'!I:I,MATCH($C73,'NARM6 - Risk Summary'!$B:$B,0)+5)</f>
        <v>0</v>
      </c>
      <c r="V73" s="302">
        <f>INDEX('NARM6 - Risk Summary'!J:J,MATCH($C73,'NARM6 - Risk Summary'!$B:$B,0)+5)</f>
        <v>0</v>
      </c>
      <c r="W73" s="302">
        <f>INDEX('NARM6 - Risk Summary'!K:K,MATCH($C73,'NARM6 - Risk Summary'!$B:$B,0)+5)</f>
        <v>0</v>
      </c>
      <c r="X73" s="302">
        <f>INDEX('NARM6 - Risk Summary'!L:L,MATCH($C73,'NARM6 - Risk Summary'!$B:$B,0)+5)</f>
        <v>0</v>
      </c>
      <c r="Y73" s="302">
        <f>INDEX('NARM6 - Risk Summary'!M:M,MATCH($C73,'NARM6 - Risk Summary'!$B:$B,0)+5)</f>
        <v>0</v>
      </c>
      <c r="Z73" s="302">
        <f>INDEX('NARM6 - Risk Summary'!N:N,MATCH($C73,'NARM6 - Risk Summary'!$B:$B,0)+5)</f>
        <v>0</v>
      </c>
      <c r="AA73" s="303">
        <f>INDEX('NARM6 - Risk Summary'!O:O,MATCH($C73,'NARM6 - Risk Summary'!$B:$B,0)+4)</f>
        <v>0</v>
      </c>
    </row>
    <row r="74" spans="2:27">
      <c r="B74" s="541">
        <v>11</v>
      </c>
      <c r="C74" s="166" t="s">
        <v>113</v>
      </c>
      <c r="D74" s="298" t="str">
        <f t="shared" si="17"/>
        <v/>
      </c>
      <c r="E74" s="299" t="str">
        <f t="shared" si="16"/>
        <v/>
      </c>
      <c r="F74" s="299" t="str">
        <f t="shared" si="16"/>
        <v/>
      </c>
      <c r="G74" s="299" t="str">
        <f t="shared" si="16"/>
        <v/>
      </c>
      <c r="H74" s="299" t="str">
        <f t="shared" si="16"/>
        <v/>
      </c>
      <c r="I74" s="299" t="str">
        <f t="shared" si="16"/>
        <v/>
      </c>
      <c r="J74" s="299" t="str">
        <f t="shared" si="16"/>
        <v/>
      </c>
      <c r="K74" s="299" t="str">
        <f t="shared" si="16"/>
        <v/>
      </c>
      <c r="L74" s="299" t="str">
        <f t="shared" si="16"/>
        <v/>
      </c>
      <c r="M74" s="299" t="str">
        <f t="shared" si="16"/>
        <v/>
      </c>
      <c r="N74" s="299" t="str">
        <f t="shared" si="16"/>
        <v/>
      </c>
      <c r="O74" s="300" t="str">
        <f t="shared" si="16"/>
        <v/>
      </c>
      <c r="P74" s="301">
        <f>INDEX('NARM6 - Risk Summary'!$D:$D,MATCH($C74,'NARM6 - Risk Summary'!$B:$B,0))</f>
        <v>0</v>
      </c>
      <c r="Q74" s="302">
        <f>INDEX('NARM6 - Risk Summary'!E:E,MATCH($C74,'NARM6 - Risk Summary'!$B:$B,0)+5)</f>
        <v>0</v>
      </c>
      <c r="R74" s="302">
        <f>INDEX('NARM6 - Risk Summary'!F:F,MATCH($C74,'NARM6 - Risk Summary'!$B:$B,0)+5)</f>
        <v>0</v>
      </c>
      <c r="S74" s="302">
        <f>INDEX('NARM6 - Risk Summary'!G:G,MATCH($C74,'NARM6 - Risk Summary'!$B:$B,0)+5)</f>
        <v>0</v>
      </c>
      <c r="T74" s="302">
        <f>INDEX('NARM6 - Risk Summary'!H:H,MATCH($C74,'NARM6 - Risk Summary'!$B:$B,0)+5)</f>
        <v>0</v>
      </c>
      <c r="U74" s="302">
        <f>INDEX('NARM6 - Risk Summary'!I:I,MATCH($C74,'NARM6 - Risk Summary'!$B:$B,0)+5)</f>
        <v>0</v>
      </c>
      <c r="V74" s="302">
        <f>INDEX('NARM6 - Risk Summary'!J:J,MATCH($C74,'NARM6 - Risk Summary'!$B:$B,0)+5)</f>
        <v>0</v>
      </c>
      <c r="W74" s="302">
        <f>INDEX('NARM6 - Risk Summary'!K:K,MATCH($C74,'NARM6 - Risk Summary'!$B:$B,0)+5)</f>
        <v>0</v>
      </c>
      <c r="X74" s="302">
        <f>INDEX('NARM6 - Risk Summary'!L:L,MATCH($C74,'NARM6 - Risk Summary'!$B:$B,0)+5)</f>
        <v>0</v>
      </c>
      <c r="Y74" s="302">
        <f>INDEX('NARM6 - Risk Summary'!M:M,MATCH($C74,'NARM6 - Risk Summary'!$B:$B,0)+5)</f>
        <v>0</v>
      </c>
      <c r="Z74" s="302">
        <f>INDEX('NARM6 - Risk Summary'!N:N,MATCH($C74,'NARM6 - Risk Summary'!$B:$B,0)+5)</f>
        <v>0</v>
      </c>
      <c r="AA74" s="303">
        <f>INDEX('NARM6 - Risk Summary'!O:O,MATCH($C74,'NARM6 - Risk Summary'!$B:$B,0)+4)</f>
        <v>0</v>
      </c>
    </row>
    <row r="75" spans="2:27">
      <c r="B75" s="541">
        <v>12</v>
      </c>
      <c r="C75" s="166" t="s">
        <v>86</v>
      </c>
      <c r="D75" s="298" t="str">
        <f t="shared" si="17"/>
        <v/>
      </c>
      <c r="E75" s="299" t="str">
        <f t="shared" si="16"/>
        <v/>
      </c>
      <c r="F75" s="299" t="str">
        <f t="shared" si="16"/>
        <v/>
      </c>
      <c r="G75" s="299" t="str">
        <f t="shared" si="16"/>
        <v/>
      </c>
      <c r="H75" s="299" t="str">
        <f t="shared" si="16"/>
        <v/>
      </c>
      <c r="I75" s="299" t="str">
        <f t="shared" si="16"/>
        <v/>
      </c>
      <c r="J75" s="299" t="str">
        <f t="shared" si="16"/>
        <v/>
      </c>
      <c r="K75" s="299" t="str">
        <f t="shared" si="16"/>
        <v/>
      </c>
      <c r="L75" s="299" t="str">
        <f t="shared" si="16"/>
        <v/>
      </c>
      <c r="M75" s="299" t="str">
        <f t="shared" si="16"/>
        <v/>
      </c>
      <c r="N75" s="299" t="str">
        <f t="shared" si="16"/>
        <v/>
      </c>
      <c r="O75" s="300" t="str">
        <f t="shared" si="16"/>
        <v/>
      </c>
      <c r="P75" s="301">
        <f>INDEX('NARM6 - Risk Summary'!$D:$D,MATCH($C75,'NARM6 - Risk Summary'!$B:$B,0))</f>
        <v>0</v>
      </c>
      <c r="Q75" s="302">
        <f>INDEX('NARM6 - Risk Summary'!E:E,MATCH($C75,'NARM6 - Risk Summary'!$B:$B,0)+5)</f>
        <v>0</v>
      </c>
      <c r="R75" s="302">
        <f>INDEX('NARM6 - Risk Summary'!F:F,MATCH($C75,'NARM6 - Risk Summary'!$B:$B,0)+5)</f>
        <v>0</v>
      </c>
      <c r="S75" s="302">
        <f>INDEX('NARM6 - Risk Summary'!G:G,MATCH($C75,'NARM6 - Risk Summary'!$B:$B,0)+5)</f>
        <v>0</v>
      </c>
      <c r="T75" s="302">
        <f>INDEX('NARM6 - Risk Summary'!H:H,MATCH($C75,'NARM6 - Risk Summary'!$B:$B,0)+5)</f>
        <v>0</v>
      </c>
      <c r="U75" s="302">
        <f>INDEX('NARM6 - Risk Summary'!I:I,MATCH($C75,'NARM6 - Risk Summary'!$B:$B,0)+5)</f>
        <v>0</v>
      </c>
      <c r="V75" s="302">
        <f>INDEX('NARM6 - Risk Summary'!J:J,MATCH($C75,'NARM6 - Risk Summary'!$B:$B,0)+5)</f>
        <v>0</v>
      </c>
      <c r="W75" s="302">
        <f>INDEX('NARM6 - Risk Summary'!K:K,MATCH($C75,'NARM6 - Risk Summary'!$B:$B,0)+5)</f>
        <v>0</v>
      </c>
      <c r="X75" s="302">
        <f>INDEX('NARM6 - Risk Summary'!L:L,MATCH($C75,'NARM6 - Risk Summary'!$B:$B,0)+5)</f>
        <v>0</v>
      </c>
      <c r="Y75" s="302">
        <f>INDEX('NARM6 - Risk Summary'!M:M,MATCH($C75,'NARM6 - Risk Summary'!$B:$B,0)+5)</f>
        <v>0</v>
      </c>
      <c r="Z75" s="302">
        <f>INDEX('NARM6 - Risk Summary'!N:N,MATCH($C75,'NARM6 - Risk Summary'!$B:$B,0)+5)</f>
        <v>0</v>
      </c>
      <c r="AA75" s="303">
        <f>INDEX('NARM6 - Risk Summary'!O:O,MATCH($C75,'NARM6 - Risk Summary'!$B:$B,0)+4)</f>
        <v>0</v>
      </c>
    </row>
    <row r="76" spans="2:27">
      <c r="B76" s="541">
        <v>13</v>
      </c>
      <c r="C76" s="166" t="s">
        <v>89</v>
      </c>
      <c r="D76" s="298" t="str">
        <f t="shared" si="17"/>
        <v/>
      </c>
      <c r="E76" s="299" t="str">
        <f t="shared" si="16"/>
        <v/>
      </c>
      <c r="F76" s="299" t="str">
        <f t="shared" si="16"/>
        <v/>
      </c>
      <c r="G76" s="299" t="str">
        <f t="shared" si="16"/>
        <v/>
      </c>
      <c r="H76" s="299" t="str">
        <f t="shared" si="16"/>
        <v/>
      </c>
      <c r="I76" s="299" t="str">
        <f t="shared" si="16"/>
        <v/>
      </c>
      <c r="J76" s="299" t="str">
        <f t="shared" si="16"/>
        <v/>
      </c>
      <c r="K76" s="299" t="str">
        <f t="shared" si="16"/>
        <v/>
      </c>
      <c r="L76" s="299" t="str">
        <f t="shared" si="16"/>
        <v/>
      </c>
      <c r="M76" s="299" t="str">
        <f t="shared" si="16"/>
        <v/>
      </c>
      <c r="N76" s="299" t="str">
        <f t="shared" si="16"/>
        <v/>
      </c>
      <c r="O76" s="300" t="str">
        <f t="shared" si="16"/>
        <v/>
      </c>
      <c r="P76" s="301">
        <f>INDEX('NARM6 - Risk Summary'!$D:$D,MATCH($C76,'NARM6 - Risk Summary'!$B:$B,0))</f>
        <v>0</v>
      </c>
      <c r="Q76" s="302">
        <f>INDEX('NARM6 - Risk Summary'!E:E,MATCH($C76,'NARM6 - Risk Summary'!$B:$B,0)+5)</f>
        <v>0</v>
      </c>
      <c r="R76" s="302">
        <f>INDEX('NARM6 - Risk Summary'!F:F,MATCH($C76,'NARM6 - Risk Summary'!$B:$B,0)+5)</f>
        <v>0</v>
      </c>
      <c r="S76" s="302">
        <f>INDEX('NARM6 - Risk Summary'!G:G,MATCH($C76,'NARM6 - Risk Summary'!$B:$B,0)+5)</f>
        <v>0</v>
      </c>
      <c r="T76" s="302">
        <f>INDEX('NARM6 - Risk Summary'!H:H,MATCH($C76,'NARM6 - Risk Summary'!$B:$B,0)+5)</f>
        <v>0</v>
      </c>
      <c r="U76" s="302">
        <f>INDEX('NARM6 - Risk Summary'!I:I,MATCH($C76,'NARM6 - Risk Summary'!$B:$B,0)+5)</f>
        <v>0</v>
      </c>
      <c r="V76" s="302">
        <f>INDEX('NARM6 - Risk Summary'!J:J,MATCH($C76,'NARM6 - Risk Summary'!$B:$B,0)+5)</f>
        <v>0</v>
      </c>
      <c r="W76" s="302">
        <f>INDEX('NARM6 - Risk Summary'!K:K,MATCH($C76,'NARM6 - Risk Summary'!$B:$B,0)+5)</f>
        <v>0</v>
      </c>
      <c r="X76" s="302">
        <f>INDEX('NARM6 - Risk Summary'!L:L,MATCH($C76,'NARM6 - Risk Summary'!$B:$B,0)+5)</f>
        <v>0</v>
      </c>
      <c r="Y76" s="302">
        <f>INDEX('NARM6 - Risk Summary'!M:M,MATCH($C76,'NARM6 - Risk Summary'!$B:$B,0)+5)</f>
        <v>0</v>
      </c>
      <c r="Z76" s="302">
        <f>INDEX('NARM6 - Risk Summary'!N:N,MATCH($C76,'NARM6 - Risk Summary'!$B:$B,0)+5)</f>
        <v>0</v>
      </c>
      <c r="AA76" s="303">
        <f>INDEX('NARM6 - Risk Summary'!O:O,MATCH($C76,'NARM6 - Risk Summary'!$B:$B,0)+4)</f>
        <v>0</v>
      </c>
    </row>
    <row r="77" spans="2:27" ht="14" thickBot="1">
      <c r="B77" s="541">
        <v>14</v>
      </c>
      <c r="C77" s="178" t="s">
        <v>111</v>
      </c>
      <c r="D77" s="349" t="str">
        <f t="shared" si="17"/>
        <v/>
      </c>
      <c r="E77" s="350" t="str">
        <f t="shared" si="16"/>
        <v/>
      </c>
      <c r="F77" s="350" t="str">
        <f t="shared" si="16"/>
        <v/>
      </c>
      <c r="G77" s="350" t="str">
        <f t="shared" si="16"/>
        <v/>
      </c>
      <c r="H77" s="350" t="str">
        <f t="shared" si="16"/>
        <v/>
      </c>
      <c r="I77" s="350" t="str">
        <f t="shared" si="16"/>
        <v/>
      </c>
      <c r="J77" s="350" t="str">
        <f t="shared" si="16"/>
        <v/>
      </c>
      <c r="K77" s="350" t="str">
        <f t="shared" si="16"/>
        <v/>
      </c>
      <c r="L77" s="350" t="str">
        <f t="shared" si="16"/>
        <v/>
      </c>
      <c r="M77" s="350" t="str">
        <f t="shared" si="16"/>
        <v/>
      </c>
      <c r="N77" s="350" t="str">
        <f t="shared" si="16"/>
        <v/>
      </c>
      <c r="O77" s="351" t="str">
        <f t="shared" si="16"/>
        <v/>
      </c>
      <c r="P77" s="352">
        <f>INDEX('NARM6 - Risk Summary'!$D:$D,MATCH($C77,'NARM6 - Risk Summary'!$B:$B,0))</f>
        <v>0</v>
      </c>
      <c r="Q77" s="353">
        <f>INDEX('NARM6 - Risk Summary'!E:E,MATCH($C77,'NARM6 - Risk Summary'!$B:$B,0)+5)</f>
        <v>0</v>
      </c>
      <c r="R77" s="353">
        <f>INDEX('NARM6 - Risk Summary'!F:F,MATCH($C77,'NARM6 - Risk Summary'!$B:$B,0)+5)</f>
        <v>0</v>
      </c>
      <c r="S77" s="353">
        <f>INDEX('NARM6 - Risk Summary'!G:G,MATCH($C77,'NARM6 - Risk Summary'!$B:$B,0)+5)</f>
        <v>0</v>
      </c>
      <c r="T77" s="353">
        <f>INDEX('NARM6 - Risk Summary'!H:H,MATCH($C77,'NARM6 - Risk Summary'!$B:$B,0)+5)</f>
        <v>0</v>
      </c>
      <c r="U77" s="353">
        <f>INDEX('NARM6 - Risk Summary'!I:I,MATCH($C77,'NARM6 - Risk Summary'!$B:$B,0)+5)</f>
        <v>0</v>
      </c>
      <c r="V77" s="353">
        <f>INDEX('NARM6 - Risk Summary'!J:J,MATCH($C77,'NARM6 - Risk Summary'!$B:$B,0)+5)</f>
        <v>0</v>
      </c>
      <c r="W77" s="353">
        <f>INDEX('NARM6 - Risk Summary'!K:K,MATCH($C77,'NARM6 - Risk Summary'!$B:$B,0)+5)</f>
        <v>0</v>
      </c>
      <c r="X77" s="353">
        <f>INDEX('NARM6 - Risk Summary'!L:L,MATCH($C77,'NARM6 - Risk Summary'!$B:$B,0)+5)</f>
        <v>0</v>
      </c>
      <c r="Y77" s="353">
        <f>INDEX('NARM6 - Risk Summary'!M:M,MATCH($C77,'NARM6 - Risk Summary'!$B:$B,0)+5)</f>
        <v>0</v>
      </c>
      <c r="Z77" s="353">
        <f>INDEX('NARM6 - Risk Summary'!N:N,MATCH($C77,'NARM6 - Risk Summary'!$B:$B,0)+5)</f>
        <v>0</v>
      </c>
      <c r="AA77" s="354">
        <f>INDEX('NARM6 - Risk Summary'!O:O,MATCH($C77,'NARM6 - Risk Summary'!$B:$B,0)+4)</f>
        <v>0</v>
      </c>
    </row>
    <row r="78" spans="2:27" ht="14" thickTop="1">
      <c r="B78" s="541">
        <v>15</v>
      </c>
      <c r="C78" s="153" t="s">
        <v>92</v>
      </c>
      <c r="D78" s="304" t="str">
        <f t="shared" si="17"/>
        <v/>
      </c>
      <c r="E78" s="305" t="str">
        <f t="shared" si="16"/>
        <v/>
      </c>
      <c r="F78" s="305" t="str">
        <f t="shared" si="16"/>
        <v/>
      </c>
      <c r="G78" s="305" t="str">
        <f t="shared" si="16"/>
        <v/>
      </c>
      <c r="H78" s="305" t="str">
        <f t="shared" si="16"/>
        <v/>
      </c>
      <c r="I78" s="305" t="str">
        <f t="shared" si="16"/>
        <v/>
      </c>
      <c r="J78" s="305" t="str">
        <f t="shared" si="16"/>
        <v/>
      </c>
      <c r="K78" s="305" t="str">
        <f t="shared" si="16"/>
        <v/>
      </c>
      <c r="L78" s="305" t="str">
        <f t="shared" si="16"/>
        <v/>
      </c>
      <c r="M78" s="305" t="str">
        <f t="shared" si="16"/>
        <v/>
      </c>
      <c r="N78" s="305" t="str">
        <f t="shared" si="16"/>
        <v/>
      </c>
      <c r="O78" s="306" t="str">
        <f t="shared" si="16"/>
        <v/>
      </c>
      <c r="P78" s="307">
        <f>INDEX('NARM6 - Risk Summary'!$D:$D,MATCH($C78,'NARM6 - Risk Summary'!$B:$B,0))</f>
        <v>0</v>
      </c>
      <c r="Q78" s="308">
        <f>INDEX('NARM6 - Risk Summary'!E:E,MATCH($C78,'NARM6 - Risk Summary'!$B:$B,0)+5)</f>
        <v>0</v>
      </c>
      <c r="R78" s="308">
        <f>INDEX('NARM6 - Risk Summary'!F:F,MATCH($C78,'NARM6 - Risk Summary'!$B:$B,0)+5)</f>
        <v>0</v>
      </c>
      <c r="S78" s="308">
        <f>INDEX('NARM6 - Risk Summary'!G:G,MATCH($C78,'NARM6 - Risk Summary'!$B:$B,0)+5)</f>
        <v>0</v>
      </c>
      <c r="T78" s="308">
        <f>INDEX('NARM6 - Risk Summary'!H:H,MATCH($C78,'NARM6 - Risk Summary'!$B:$B,0)+5)</f>
        <v>0</v>
      </c>
      <c r="U78" s="308">
        <f>INDEX('NARM6 - Risk Summary'!I:I,MATCH($C78,'NARM6 - Risk Summary'!$B:$B,0)+5)</f>
        <v>0</v>
      </c>
      <c r="V78" s="308">
        <f>INDEX('NARM6 - Risk Summary'!J:J,MATCH($C78,'NARM6 - Risk Summary'!$B:$B,0)+5)</f>
        <v>0</v>
      </c>
      <c r="W78" s="308">
        <f>INDEX('NARM6 - Risk Summary'!K:K,MATCH($C78,'NARM6 - Risk Summary'!$B:$B,0)+5)</f>
        <v>0</v>
      </c>
      <c r="X78" s="308">
        <f>INDEX('NARM6 - Risk Summary'!L:L,MATCH($C78,'NARM6 - Risk Summary'!$B:$B,0)+5)</f>
        <v>0</v>
      </c>
      <c r="Y78" s="308">
        <f>INDEX('NARM6 - Risk Summary'!M:M,MATCH($C78,'NARM6 - Risk Summary'!$B:$B,0)+5)</f>
        <v>0</v>
      </c>
      <c r="Z78" s="308">
        <f>INDEX('NARM6 - Risk Summary'!N:N,MATCH($C78,'NARM6 - Risk Summary'!$B:$B,0)+5)</f>
        <v>0</v>
      </c>
      <c r="AA78" s="309">
        <f>INDEX('NARM6 - Risk Summary'!O:O,MATCH($C78,'NARM6 - Risk Summary'!$B:$B,0)+4)</f>
        <v>0</v>
      </c>
    </row>
    <row r="79" spans="2:27">
      <c r="B79" s="541">
        <v>16</v>
      </c>
      <c r="C79" s="166" t="s">
        <v>95</v>
      </c>
      <c r="D79" s="298" t="str">
        <f t="shared" si="17"/>
        <v/>
      </c>
      <c r="E79" s="299" t="str">
        <f t="shared" si="16"/>
        <v/>
      </c>
      <c r="F79" s="299" t="str">
        <f t="shared" si="16"/>
        <v/>
      </c>
      <c r="G79" s="299" t="str">
        <f t="shared" si="16"/>
        <v/>
      </c>
      <c r="H79" s="299" t="str">
        <f t="shared" si="16"/>
        <v/>
      </c>
      <c r="I79" s="299" t="str">
        <f t="shared" si="16"/>
        <v/>
      </c>
      <c r="J79" s="299" t="str">
        <f t="shared" si="16"/>
        <v/>
      </c>
      <c r="K79" s="299" t="str">
        <f t="shared" si="16"/>
        <v/>
      </c>
      <c r="L79" s="299" t="str">
        <f t="shared" si="16"/>
        <v/>
      </c>
      <c r="M79" s="299" t="str">
        <f t="shared" si="16"/>
        <v/>
      </c>
      <c r="N79" s="299" t="str">
        <f t="shared" si="16"/>
        <v/>
      </c>
      <c r="O79" s="300" t="str">
        <f t="shared" si="16"/>
        <v/>
      </c>
      <c r="P79" s="301">
        <f>INDEX('NARM6 - Risk Summary'!$D:$D,MATCH($C79,'NARM6 - Risk Summary'!$B:$B,0))</f>
        <v>0</v>
      </c>
      <c r="Q79" s="302">
        <f>INDEX('NARM6 - Risk Summary'!E:E,MATCH($C79,'NARM6 - Risk Summary'!$B:$B,0)+5)</f>
        <v>0</v>
      </c>
      <c r="R79" s="302">
        <f>INDEX('NARM6 - Risk Summary'!F:F,MATCH($C79,'NARM6 - Risk Summary'!$B:$B,0)+5)</f>
        <v>0</v>
      </c>
      <c r="S79" s="302">
        <f>INDEX('NARM6 - Risk Summary'!G:G,MATCH($C79,'NARM6 - Risk Summary'!$B:$B,0)+5)</f>
        <v>0</v>
      </c>
      <c r="T79" s="302">
        <f>INDEX('NARM6 - Risk Summary'!H:H,MATCH($C79,'NARM6 - Risk Summary'!$B:$B,0)+5)</f>
        <v>0</v>
      </c>
      <c r="U79" s="302">
        <f>INDEX('NARM6 - Risk Summary'!I:I,MATCH($C79,'NARM6 - Risk Summary'!$B:$B,0)+5)</f>
        <v>0</v>
      </c>
      <c r="V79" s="302">
        <f>INDEX('NARM6 - Risk Summary'!J:J,MATCH($C79,'NARM6 - Risk Summary'!$B:$B,0)+5)</f>
        <v>0</v>
      </c>
      <c r="W79" s="302">
        <f>INDEX('NARM6 - Risk Summary'!K:K,MATCH($C79,'NARM6 - Risk Summary'!$B:$B,0)+5)</f>
        <v>0</v>
      </c>
      <c r="X79" s="302">
        <f>INDEX('NARM6 - Risk Summary'!L:L,MATCH($C79,'NARM6 - Risk Summary'!$B:$B,0)+5)</f>
        <v>0</v>
      </c>
      <c r="Y79" s="302">
        <f>INDEX('NARM6 - Risk Summary'!M:M,MATCH($C79,'NARM6 - Risk Summary'!$B:$B,0)+5)</f>
        <v>0</v>
      </c>
      <c r="Z79" s="302">
        <f>INDEX('NARM6 - Risk Summary'!N:N,MATCH($C79,'NARM6 - Risk Summary'!$B:$B,0)+5)</f>
        <v>0</v>
      </c>
      <c r="AA79" s="303">
        <f>INDEX('NARM6 - Risk Summary'!O:O,MATCH($C79,'NARM6 - Risk Summary'!$B:$B,0)+4)</f>
        <v>0</v>
      </c>
    </row>
    <row r="80" spans="2:27">
      <c r="B80" s="541">
        <v>17</v>
      </c>
      <c r="C80" s="166" t="s">
        <v>114</v>
      </c>
      <c r="D80" s="298" t="str">
        <f t="shared" si="17"/>
        <v/>
      </c>
      <c r="E80" s="299" t="str">
        <f t="shared" si="16"/>
        <v/>
      </c>
      <c r="F80" s="299" t="str">
        <f t="shared" si="16"/>
        <v/>
      </c>
      <c r="G80" s="299" t="str">
        <f t="shared" si="16"/>
        <v/>
      </c>
      <c r="H80" s="299" t="str">
        <f t="shared" si="16"/>
        <v/>
      </c>
      <c r="I80" s="299" t="str">
        <f t="shared" si="16"/>
        <v/>
      </c>
      <c r="J80" s="299" t="str">
        <f t="shared" si="16"/>
        <v/>
      </c>
      <c r="K80" s="299" t="str">
        <f t="shared" si="16"/>
        <v/>
      </c>
      <c r="L80" s="299" t="str">
        <f t="shared" si="16"/>
        <v/>
      </c>
      <c r="M80" s="299" t="str">
        <f t="shared" si="16"/>
        <v/>
      </c>
      <c r="N80" s="299" t="str">
        <f t="shared" si="16"/>
        <v/>
      </c>
      <c r="O80" s="300" t="str">
        <f t="shared" si="16"/>
        <v/>
      </c>
      <c r="P80" s="301">
        <f>INDEX('NARM6 - Risk Summary'!$D:$D,MATCH($C80,'NARM6 - Risk Summary'!$B:$B,0))</f>
        <v>0</v>
      </c>
      <c r="Q80" s="302">
        <f>INDEX('NARM6 - Risk Summary'!E:E,MATCH($C80,'NARM6 - Risk Summary'!$B:$B,0)+5)</f>
        <v>0</v>
      </c>
      <c r="R80" s="302">
        <f>INDEX('NARM6 - Risk Summary'!F:F,MATCH($C80,'NARM6 - Risk Summary'!$B:$B,0)+5)</f>
        <v>0</v>
      </c>
      <c r="S80" s="302">
        <f>INDEX('NARM6 - Risk Summary'!G:G,MATCH($C80,'NARM6 - Risk Summary'!$B:$B,0)+5)</f>
        <v>0</v>
      </c>
      <c r="T80" s="302">
        <f>INDEX('NARM6 - Risk Summary'!H:H,MATCH($C80,'NARM6 - Risk Summary'!$B:$B,0)+5)</f>
        <v>0</v>
      </c>
      <c r="U80" s="302">
        <f>INDEX('NARM6 - Risk Summary'!I:I,MATCH($C80,'NARM6 - Risk Summary'!$B:$B,0)+5)</f>
        <v>0</v>
      </c>
      <c r="V80" s="302">
        <f>INDEX('NARM6 - Risk Summary'!J:J,MATCH($C80,'NARM6 - Risk Summary'!$B:$B,0)+5)</f>
        <v>0</v>
      </c>
      <c r="W80" s="302">
        <f>INDEX('NARM6 - Risk Summary'!K:K,MATCH($C80,'NARM6 - Risk Summary'!$B:$B,0)+5)</f>
        <v>0</v>
      </c>
      <c r="X80" s="302">
        <f>INDEX('NARM6 - Risk Summary'!L:L,MATCH($C80,'NARM6 - Risk Summary'!$B:$B,0)+5)</f>
        <v>0</v>
      </c>
      <c r="Y80" s="302">
        <f>INDEX('NARM6 - Risk Summary'!M:M,MATCH($C80,'NARM6 - Risk Summary'!$B:$B,0)+5)</f>
        <v>0</v>
      </c>
      <c r="Z80" s="302">
        <f>INDEX('NARM6 - Risk Summary'!N:N,MATCH($C80,'NARM6 - Risk Summary'!$B:$B,0)+5)</f>
        <v>0</v>
      </c>
      <c r="AA80" s="303">
        <f>INDEX('NARM6 - Risk Summary'!O:O,MATCH($C80,'NARM6 - Risk Summary'!$B:$B,0)+4)</f>
        <v>0</v>
      </c>
    </row>
    <row r="81" spans="2:27">
      <c r="B81" s="541">
        <v>18</v>
      </c>
      <c r="C81" s="166" t="s">
        <v>93</v>
      </c>
      <c r="D81" s="298" t="str">
        <f t="shared" si="17"/>
        <v/>
      </c>
      <c r="E81" s="299" t="str">
        <f t="shared" si="16"/>
        <v/>
      </c>
      <c r="F81" s="299" t="str">
        <f t="shared" si="16"/>
        <v/>
      </c>
      <c r="G81" s="299" t="str">
        <f t="shared" si="16"/>
        <v/>
      </c>
      <c r="H81" s="299" t="str">
        <f t="shared" si="16"/>
        <v/>
      </c>
      <c r="I81" s="299" t="str">
        <f t="shared" si="16"/>
        <v/>
      </c>
      <c r="J81" s="299" t="str">
        <f t="shared" si="16"/>
        <v/>
      </c>
      <c r="K81" s="299" t="str">
        <f t="shared" si="16"/>
        <v/>
      </c>
      <c r="L81" s="299" t="str">
        <f t="shared" si="16"/>
        <v/>
      </c>
      <c r="M81" s="299" t="str">
        <f t="shared" si="16"/>
        <v/>
      </c>
      <c r="N81" s="299" t="str">
        <f t="shared" si="16"/>
        <v/>
      </c>
      <c r="O81" s="300" t="str">
        <f t="shared" si="16"/>
        <v/>
      </c>
      <c r="P81" s="301">
        <f>INDEX('NARM6 - Risk Summary'!$D:$D,MATCH($C81,'NARM6 - Risk Summary'!$B:$B,0))</f>
        <v>0</v>
      </c>
      <c r="Q81" s="302">
        <f>INDEX('NARM6 - Risk Summary'!E:E,MATCH($C81,'NARM6 - Risk Summary'!$B:$B,0)+5)</f>
        <v>0</v>
      </c>
      <c r="R81" s="302">
        <f>INDEX('NARM6 - Risk Summary'!F:F,MATCH($C81,'NARM6 - Risk Summary'!$B:$B,0)+5)</f>
        <v>0</v>
      </c>
      <c r="S81" s="302">
        <f>INDEX('NARM6 - Risk Summary'!G:G,MATCH($C81,'NARM6 - Risk Summary'!$B:$B,0)+5)</f>
        <v>0</v>
      </c>
      <c r="T81" s="302">
        <f>INDEX('NARM6 - Risk Summary'!H:H,MATCH($C81,'NARM6 - Risk Summary'!$B:$B,0)+5)</f>
        <v>0</v>
      </c>
      <c r="U81" s="302">
        <f>INDEX('NARM6 - Risk Summary'!I:I,MATCH($C81,'NARM6 - Risk Summary'!$B:$B,0)+5)</f>
        <v>0</v>
      </c>
      <c r="V81" s="302">
        <f>INDEX('NARM6 - Risk Summary'!J:J,MATCH($C81,'NARM6 - Risk Summary'!$B:$B,0)+5)</f>
        <v>0</v>
      </c>
      <c r="W81" s="302">
        <f>INDEX('NARM6 - Risk Summary'!K:K,MATCH($C81,'NARM6 - Risk Summary'!$B:$B,0)+5)</f>
        <v>0</v>
      </c>
      <c r="X81" s="302">
        <f>INDEX('NARM6 - Risk Summary'!L:L,MATCH($C81,'NARM6 - Risk Summary'!$B:$B,0)+5)</f>
        <v>0</v>
      </c>
      <c r="Y81" s="302">
        <f>INDEX('NARM6 - Risk Summary'!M:M,MATCH($C81,'NARM6 - Risk Summary'!$B:$B,0)+5)</f>
        <v>0</v>
      </c>
      <c r="Z81" s="302">
        <f>INDEX('NARM6 - Risk Summary'!N:N,MATCH($C81,'NARM6 - Risk Summary'!$B:$B,0)+5)</f>
        <v>0</v>
      </c>
      <c r="AA81" s="303">
        <f>INDEX('NARM6 - Risk Summary'!O:O,MATCH($C81,'NARM6 - Risk Summary'!$B:$B,0)+4)</f>
        <v>0</v>
      </c>
    </row>
    <row r="82" spans="2:27">
      <c r="B82" s="541">
        <v>19</v>
      </c>
      <c r="C82" s="166" t="s">
        <v>96</v>
      </c>
      <c r="D82" s="298" t="str">
        <f t="shared" si="17"/>
        <v/>
      </c>
      <c r="E82" s="299" t="str">
        <f t="shared" si="16"/>
        <v/>
      </c>
      <c r="F82" s="299" t="str">
        <f t="shared" si="16"/>
        <v/>
      </c>
      <c r="G82" s="299" t="str">
        <f t="shared" si="16"/>
        <v/>
      </c>
      <c r="H82" s="299" t="str">
        <f t="shared" si="16"/>
        <v/>
      </c>
      <c r="I82" s="299" t="str">
        <f t="shared" si="16"/>
        <v/>
      </c>
      <c r="J82" s="299" t="str">
        <f t="shared" si="16"/>
        <v/>
      </c>
      <c r="K82" s="299" t="str">
        <f t="shared" si="16"/>
        <v/>
      </c>
      <c r="L82" s="299" t="str">
        <f t="shared" si="16"/>
        <v/>
      </c>
      <c r="M82" s="299" t="str">
        <f t="shared" si="16"/>
        <v/>
      </c>
      <c r="N82" s="299" t="str">
        <f t="shared" si="16"/>
        <v/>
      </c>
      <c r="O82" s="300" t="str">
        <f t="shared" si="16"/>
        <v/>
      </c>
      <c r="P82" s="301">
        <f>INDEX('NARM6 - Risk Summary'!$D:$D,MATCH($C82,'NARM6 - Risk Summary'!$B:$B,0))</f>
        <v>0</v>
      </c>
      <c r="Q82" s="302">
        <f>INDEX('NARM6 - Risk Summary'!E:E,MATCH($C82,'NARM6 - Risk Summary'!$B:$B,0)+5)</f>
        <v>0</v>
      </c>
      <c r="R82" s="302">
        <f>INDEX('NARM6 - Risk Summary'!F:F,MATCH($C82,'NARM6 - Risk Summary'!$B:$B,0)+5)</f>
        <v>0</v>
      </c>
      <c r="S82" s="302">
        <f>INDEX('NARM6 - Risk Summary'!G:G,MATCH($C82,'NARM6 - Risk Summary'!$B:$B,0)+5)</f>
        <v>0</v>
      </c>
      <c r="T82" s="302">
        <f>INDEX('NARM6 - Risk Summary'!H:H,MATCH($C82,'NARM6 - Risk Summary'!$B:$B,0)+5)</f>
        <v>0</v>
      </c>
      <c r="U82" s="302">
        <f>INDEX('NARM6 - Risk Summary'!I:I,MATCH($C82,'NARM6 - Risk Summary'!$B:$B,0)+5)</f>
        <v>0</v>
      </c>
      <c r="V82" s="302">
        <f>INDEX('NARM6 - Risk Summary'!J:J,MATCH($C82,'NARM6 - Risk Summary'!$B:$B,0)+5)</f>
        <v>0</v>
      </c>
      <c r="W82" s="302">
        <f>INDEX('NARM6 - Risk Summary'!K:K,MATCH($C82,'NARM6 - Risk Summary'!$B:$B,0)+5)</f>
        <v>0</v>
      </c>
      <c r="X82" s="302">
        <f>INDEX('NARM6 - Risk Summary'!L:L,MATCH($C82,'NARM6 - Risk Summary'!$B:$B,0)+5)</f>
        <v>0</v>
      </c>
      <c r="Y82" s="302">
        <f>INDEX('NARM6 - Risk Summary'!M:M,MATCH($C82,'NARM6 - Risk Summary'!$B:$B,0)+5)</f>
        <v>0</v>
      </c>
      <c r="Z82" s="302">
        <f>INDEX('NARM6 - Risk Summary'!N:N,MATCH($C82,'NARM6 - Risk Summary'!$B:$B,0)+5)</f>
        <v>0</v>
      </c>
      <c r="AA82" s="303">
        <f>INDEX('NARM6 - Risk Summary'!O:O,MATCH($C82,'NARM6 - Risk Summary'!$B:$B,0)+4)</f>
        <v>0</v>
      </c>
    </row>
    <row r="83" spans="2:27">
      <c r="B83" s="541">
        <v>20</v>
      </c>
      <c r="C83" s="166" t="s">
        <v>115</v>
      </c>
      <c r="D83" s="298" t="str">
        <f t="shared" si="17"/>
        <v/>
      </c>
      <c r="E83" s="299" t="str">
        <f t="shared" si="16"/>
        <v/>
      </c>
      <c r="F83" s="299" t="str">
        <f t="shared" si="16"/>
        <v/>
      </c>
      <c r="G83" s="299" t="str">
        <f t="shared" si="16"/>
        <v/>
      </c>
      <c r="H83" s="299" t="str">
        <f t="shared" si="16"/>
        <v/>
      </c>
      <c r="I83" s="299" t="str">
        <f t="shared" si="16"/>
        <v/>
      </c>
      <c r="J83" s="299" t="str">
        <f t="shared" si="16"/>
        <v/>
      </c>
      <c r="K83" s="299" t="str">
        <f t="shared" si="16"/>
        <v/>
      </c>
      <c r="L83" s="299" t="str">
        <f t="shared" si="16"/>
        <v/>
      </c>
      <c r="M83" s="299" t="str">
        <f t="shared" si="16"/>
        <v/>
      </c>
      <c r="N83" s="299" t="str">
        <f t="shared" si="16"/>
        <v/>
      </c>
      <c r="O83" s="300" t="str">
        <f t="shared" si="16"/>
        <v/>
      </c>
      <c r="P83" s="301">
        <f>INDEX('NARM6 - Risk Summary'!$D:$D,MATCH($C83,'NARM6 - Risk Summary'!$B:$B,0))</f>
        <v>0</v>
      </c>
      <c r="Q83" s="302">
        <f>INDEX('NARM6 - Risk Summary'!E:E,MATCH($C83,'NARM6 - Risk Summary'!$B:$B,0)+5)</f>
        <v>0</v>
      </c>
      <c r="R83" s="302">
        <f>INDEX('NARM6 - Risk Summary'!F:F,MATCH($C83,'NARM6 - Risk Summary'!$B:$B,0)+5)</f>
        <v>0</v>
      </c>
      <c r="S83" s="302">
        <f>INDEX('NARM6 - Risk Summary'!G:G,MATCH($C83,'NARM6 - Risk Summary'!$B:$B,0)+5)</f>
        <v>0</v>
      </c>
      <c r="T83" s="302">
        <f>INDEX('NARM6 - Risk Summary'!H:H,MATCH($C83,'NARM6 - Risk Summary'!$B:$B,0)+5)</f>
        <v>0</v>
      </c>
      <c r="U83" s="302">
        <f>INDEX('NARM6 - Risk Summary'!I:I,MATCH($C83,'NARM6 - Risk Summary'!$B:$B,0)+5)</f>
        <v>0</v>
      </c>
      <c r="V83" s="302">
        <f>INDEX('NARM6 - Risk Summary'!J:J,MATCH($C83,'NARM6 - Risk Summary'!$B:$B,0)+5)</f>
        <v>0</v>
      </c>
      <c r="W83" s="302">
        <f>INDEX('NARM6 - Risk Summary'!K:K,MATCH($C83,'NARM6 - Risk Summary'!$B:$B,0)+5)</f>
        <v>0</v>
      </c>
      <c r="X83" s="302">
        <f>INDEX('NARM6 - Risk Summary'!L:L,MATCH($C83,'NARM6 - Risk Summary'!$B:$B,0)+5)</f>
        <v>0</v>
      </c>
      <c r="Y83" s="302">
        <f>INDEX('NARM6 - Risk Summary'!M:M,MATCH($C83,'NARM6 - Risk Summary'!$B:$B,0)+5)</f>
        <v>0</v>
      </c>
      <c r="Z83" s="302">
        <f>INDEX('NARM6 - Risk Summary'!N:N,MATCH($C83,'NARM6 - Risk Summary'!$B:$B,0)+5)</f>
        <v>0</v>
      </c>
      <c r="AA83" s="303">
        <f>INDEX('NARM6 - Risk Summary'!O:O,MATCH($C83,'NARM6 - Risk Summary'!$B:$B,0)+4)</f>
        <v>0</v>
      </c>
    </row>
    <row r="84" spans="2:27">
      <c r="B84" s="541">
        <v>21</v>
      </c>
      <c r="C84" s="166" t="s">
        <v>94</v>
      </c>
      <c r="D84" s="298" t="str">
        <f t="shared" si="17"/>
        <v/>
      </c>
      <c r="E84" s="299" t="str">
        <f t="shared" si="16"/>
        <v/>
      </c>
      <c r="F84" s="299" t="str">
        <f t="shared" si="16"/>
        <v/>
      </c>
      <c r="G84" s="299" t="str">
        <f t="shared" si="16"/>
        <v/>
      </c>
      <c r="H84" s="299" t="str">
        <f t="shared" si="16"/>
        <v/>
      </c>
      <c r="I84" s="299" t="str">
        <f t="shared" si="16"/>
        <v/>
      </c>
      <c r="J84" s="299" t="str">
        <f t="shared" si="16"/>
        <v/>
      </c>
      <c r="K84" s="299" t="str">
        <f t="shared" si="16"/>
        <v/>
      </c>
      <c r="L84" s="299" t="str">
        <f t="shared" si="16"/>
        <v/>
      </c>
      <c r="M84" s="299" t="str">
        <f t="shared" si="16"/>
        <v/>
      </c>
      <c r="N84" s="299" t="str">
        <f t="shared" si="16"/>
        <v/>
      </c>
      <c r="O84" s="300" t="str">
        <f t="shared" si="16"/>
        <v/>
      </c>
      <c r="P84" s="301">
        <f>INDEX('NARM6 - Risk Summary'!$D:$D,MATCH($C84,'NARM6 - Risk Summary'!$B:$B,0))</f>
        <v>0</v>
      </c>
      <c r="Q84" s="302">
        <f>INDEX('NARM6 - Risk Summary'!E:E,MATCH($C84,'NARM6 - Risk Summary'!$B:$B,0)+5)</f>
        <v>0</v>
      </c>
      <c r="R84" s="302">
        <f>INDEX('NARM6 - Risk Summary'!F:F,MATCH($C84,'NARM6 - Risk Summary'!$B:$B,0)+5)</f>
        <v>0</v>
      </c>
      <c r="S84" s="302">
        <f>INDEX('NARM6 - Risk Summary'!G:G,MATCH($C84,'NARM6 - Risk Summary'!$B:$B,0)+5)</f>
        <v>0</v>
      </c>
      <c r="T84" s="302">
        <f>INDEX('NARM6 - Risk Summary'!H:H,MATCH($C84,'NARM6 - Risk Summary'!$B:$B,0)+5)</f>
        <v>0</v>
      </c>
      <c r="U84" s="302">
        <f>INDEX('NARM6 - Risk Summary'!I:I,MATCH($C84,'NARM6 - Risk Summary'!$B:$B,0)+5)</f>
        <v>0</v>
      </c>
      <c r="V84" s="302">
        <f>INDEX('NARM6 - Risk Summary'!J:J,MATCH($C84,'NARM6 - Risk Summary'!$B:$B,0)+5)</f>
        <v>0</v>
      </c>
      <c r="W84" s="302">
        <f>INDEX('NARM6 - Risk Summary'!K:K,MATCH($C84,'NARM6 - Risk Summary'!$B:$B,0)+5)</f>
        <v>0</v>
      </c>
      <c r="X84" s="302">
        <f>INDEX('NARM6 - Risk Summary'!L:L,MATCH($C84,'NARM6 - Risk Summary'!$B:$B,0)+5)</f>
        <v>0</v>
      </c>
      <c r="Y84" s="302">
        <f>INDEX('NARM6 - Risk Summary'!M:M,MATCH($C84,'NARM6 - Risk Summary'!$B:$B,0)+5)</f>
        <v>0</v>
      </c>
      <c r="Z84" s="302">
        <f>INDEX('NARM6 - Risk Summary'!N:N,MATCH($C84,'NARM6 - Risk Summary'!$B:$B,0)+5)</f>
        <v>0</v>
      </c>
      <c r="AA84" s="303">
        <f>INDEX('NARM6 - Risk Summary'!O:O,MATCH($C84,'NARM6 - Risk Summary'!$B:$B,0)+4)</f>
        <v>0</v>
      </c>
    </row>
    <row r="85" spans="2:27">
      <c r="B85" s="541">
        <v>22</v>
      </c>
      <c r="C85" s="166" t="s">
        <v>97</v>
      </c>
      <c r="D85" s="298" t="str">
        <f t="shared" si="17"/>
        <v/>
      </c>
      <c r="E85" s="299" t="str">
        <f t="shared" si="16"/>
        <v/>
      </c>
      <c r="F85" s="299" t="str">
        <f t="shared" si="16"/>
        <v/>
      </c>
      <c r="G85" s="299" t="str">
        <f t="shared" si="16"/>
        <v/>
      </c>
      <c r="H85" s="299" t="str">
        <f t="shared" si="16"/>
        <v/>
      </c>
      <c r="I85" s="299" t="str">
        <f t="shared" si="16"/>
        <v/>
      </c>
      <c r="J85" s="299" t="str">
        <f t="shared" si="16"/>
        <v/>
      </c>
      <c r="K85" s="299" t="str">
        <f t="shared" si="16"/>
        <v/>
      </c>
      <c r="L85" s="299" t="str">
        <f t="shared" si="16"/>
        <v/>
      </c>
      <c r="M85" s="299" t="str">
        <f t="shared" si="16"/>
        <v/>
      </c>
      <c r="N85" s="299" t="str">
        <f t="shared" si="16"/>
        <v/>
      </c>
      <c r="O85" s="300" t="str">
        <f t="shared" si="16"/>
        <v/>
      </c>
      <c r="P85" s="301">
        <f>INDEX('NARM6 - Risk Summary'!$D:$D,MATCH($C85,'NARM6 - Risk Summary'!$B:$B,0))</f>
        <v>0</v>
      </c>
      <c r="Q85" s="302">
        <f>INDEX('NARM6 - Risk Summary'!E:E,MATCH($C85,'NARM6 - Risk Summary'!$B:$B,0)+5)</f>
        <v>0</v>
      </c>
      <c r="R85" s="302">
        <f>INDEX('NARM6 - Risk Summary'!F:F,MATCH($C85,'NARM6 - Risk Summary'!$B:$B,0)+5)</f>
        <v>0</v>
      </c>
      <c r="S85" s="302">
        <f>INDEX('NARM6 - Risk Summary'!G:G,MATCH($C85,'NARM6 - Risk Summary'!$B:$B,0)+5)</f>
        <v>0</v>
      </c>
      <c r="T85" s="302">
        <f>INDEX('NARM6 - Risk Summary'!H:H,MATCH($C85,'NARM6 - Risk Summary'!$B:$B,0)+5)</f>
        <v>0</v>
      </c>
      <c r="U85" s="302">
        <f>INDEX('NARM6 - Risk Summary'!I:I,MATCH($C85,'NARM6 - Risk Summary'!$B:$B,0)+5)</f>
        <v>0</v>
      </c>
      <c r="V85" s="302">
        <f>INDEX('NARM6 - Risk Summary'!J:J,MATCH($C85,'NARM6 - Risk Summary'!$B:$B,0)+5)</f>
        <v>0</v>
      </c>
      <c r="W85" s="302">
        <f>INDEX('NARM6 - Risk Summary'!K:K,MATCH($C85,'NARM6 - Risk Summary'!$B:$B,0)+5)</f>
        <v>0</v>
      </c>
      <c r="X85" s="302">
        <f>INDEX('NARM6 - Risk Summary'!L:L,MATCH($C85,'NARM6 - Risk Summary'!$B:$B,0)+5)</f>
        <v>0</v>
      </c>
      <c r="Y85" s="302">
        <f>INDEX('NARM6 - Risk Summary'!M:M,MATCH($C85,'NARM6 - Risk Summary'!$B:$B,0)+5)</f>
        <v>0</v>
      </c>
      <c r="Z85" s="302">
        <f>INDEX('NARM6 - Risk Summary'!N:N,MATCH($C85,'NARM6 - Risk Summary'!$B:$B,0)+5)</f>
        <v>0</v>
      </c>
      <c r="AA85" s="303">
        <f>INDEX('NARM6 - Risk Summary'!O:O,MATCH($C85,'NARM6 - Risk Summary'!$B:$B,0)+4)</f>
        <v>0</v>
      </c>
    </row>
    <row r="86" spans="2:27">
      <c r="B86" s="541">
        <v>23</v>
      </c>
      <c r="C86" s="166" t="s">
        <v>116</v>
      </c>
      <c r="D86" s="298" t="str">
        <f t="shared" si="17"/>
        <v/>
      </c>
      <c r="E86" s="299" t="str">
        <f t="shared" si="16"/>
        <v/>
      </c>
      <c r="F86" s="299" t="str">
        <f t="shared" si="16"/>
        <v/>
      </c>
      <c r="G86" s="299" t="str">
        <f t="shared" si="16"/>
        <v/>
      </c>
      <c r="H86" s="299" t="str">
        <f t="shared" si="16"/>
        <v/>
      </c>
      <c r="I86" s="299" t="str">
        <f t="shared" si="16"/>
        <v/>
      </c>
      <c r="J86" s="299" t="str">
        <f t="shared" si="16"/>
        <v/>
      </c>
      <c r="K86" s="299" t="str">
        <f t="shared" si="16"/>
        <v/>
      </c>
      <c r="L86" s="299" t="str">
        <f t="shared" si="16"/>
        <v/>
      </c>
      <c r="M86" s="299" t="str">
        <f t="shared" si="16"/>
        <v/>
      </c>
      <c r="N86" s="299" t="str">
        <f t="shared" si="16"/>
        <v/>
      </c>
      <c r="O86" s="300" t="str">
        <f t="shared" si="16"/>
        <v/>
      </c>
      <c r="P86" s="301">
        <f>INDEX('NARM6 - Risk Summary'!$D:$D,MATCH($C86,'NARM6 - Risk Summary'!$B:$B,0))</f>
        <v>0</v>
      </c>
      <c r="Q86" s="302">
        <f>INDEX('NARM6 - Risk Summary'!E:E,MATCH($C86,'NARM6 - Risk Summary'!$B:$B,0)+5)</f>
        <v>0</v>
      </c>
      <c r="R86" s="302">
        <f>INDEX('NARM6 - Risk Summary'!F:F,MATCH($C86,'NARM6 - Risk Summary'!$B:$B,0)+5)</f>
        <v>0</v>
      </c>
      <c r="S86" s="302">
        <f>INDEX('NARM6 - Risk Summary'!G:G,MATCH($C86,'NARM6 - Risk Summary'!$B:$B,0)+5)</f>
        <v>0</v>
      </c>
      <c r="T86" s="302">
        <f>INDEX('NARM6 - Risk Summary'!H:H,MATCH($C86,'NARM6 - Risk Summary'!$B:$B,0)+5)</f>
        <v>0</v>
      </c>
      <c r="U86" s="302">
        <f>INDEX('NARM6 - Risk Summary'!I:I,MATCH($C86,'NARM6 - Risk Summary'!$B:$B,0)+5)</f>
        <v>0</v>
      </c>
      <c r="V86" s="302">
        <f>INDEX('NARM6 - Risk Summary'!J:J,MATCH($C86,'NARM6 - Risk Summary'!$B:$B,0)+5)</f>
        <v>0</v>
      </c>
      <c r="W86" s="302">
        <f>INDEX('NARM6 - Risk Summary'!K:K,MATCH($C86,'NARM6 - Risk Summary'!$B:$B,0)+5)</f>
        <v>0</v>
      </c>
      <c r="X86" s="302">
        <f>INDEX('NARM6 - Risk Summary'!L:L,MATCH($C86,'NARM6 - Risk Summary'!$B:$B,0)+5)</f>
        <v>0</v>
      </c>
      <c r="Y86" s="302">
        <f>INDEX('NARM6 - Risk Summary'!M:M,MATCH($C86,'NARM6 - Risk Summary'!$B:$B,0)+5)</f>
        <v>0</v>
      </c>
      <c r="Z86" s="302">
        <f>INDEX('NARM6 - Risk Summary'!N:N,MATCH($C86,'NARM6 - Risk Summary'!$B:$B,0)+5)</f>
        <v>0</v>
      </c>
      <c r="AA86" s="303">
        <f>INDEX('NARM6 - Risk Summary'!O:O,MATCH($C86,'NARM6 - Risk Summary'!$B:$B,0)+4)</f>
        <v>0</v>
      </c>
    </row>
    <row r="87" spans="2:27">
      <c r="B87" s="541">
        <v>24</v>
      </c>
      <c r="C87" s="166" t="s">
        <v>72</v>
      </c>
      <c r="D87" s="298" t="str">
        <f t="shared" si="17"/>
        <v/>
      </c>
      <c r="E87" s="299" t="str">
        <f t="shared" si="16"/>
        <v/>
      </c>
      <c r="F87" s="299" t="str">
        <f t="shared" si="16"/>
        <v/>
      </c>
      <c r="G87" s="299" t="str">
        <f t="shared" ref="G87:O106" si="18">IFERROR(S87/$P87,"")</f>
        <v/>
      </c>
      <c r="H87" s="299" t="str">
        <f t="shared" si="18"/>
        <v/>
      </c>
      <c r="I87" s="299" t="str">
        <f t="shared" si="18"/>
        <v/>
      </c>
      <c r="J87" s="299" t="str">
        <f t="shared" si="18"/>
        <v/>
      </c>
      <c r="K87" s="299" t="str">
        <f t="shared" si="18"/>
        <v/>
      </c>
      <c r="L87" s="299" t="str">
        <f t="shared" si="18"/>
        <v/>
      </c>
      <c r="M87" s="299" t="str">
        <f t="shared" si="18"/>
        <v/>
      </c>
      <c r="N87" s="299" t="str">
        <f t="shared" si="18"/>
        <v/>
      </c>
      <c r="O87" s="300" t="str">
        <f t="shared" si="18"/>
        <v/>
      </c>
      <c r="P87" s="301">
        <f>INDEX('NARM6 - Risk Summary'!$D:$D,MATCH($C87,'NARM6 - Risk Summary'!$B:$B,0))</f>
        <v>0</v>
      </c>
      <c r="Q87" s="302">
        <f>INDEX('NARM6 - Risk Summary'!E:E,MATCH($C87,'NARM6 - Risk Summary'!$B:$B,0)+5)</f>
        <v>0</v>
      </c>
      <c r="R87" s="302">
        <f>INDEX('NARM6 - Risk Summary'!F:F,MATCH($C87,'NARM6 - Risk Summary'!$B:$B,0)+5)</f>
        <v>0</v>
      </c>
      <c r="S87" s="302">
        <f>INDEX('NARM6 - Risk Summary'!G:G,MATCH($C87,'NARM6 - Risk Summary'!$B:$B,0)+5)</f>
        <v>0</v>
      </c>
      <c r="T87" s="302">
        <f>INDEX('NARM6 - Risk Summary'!H:H,MATCH($C87,'NARM6 - Risk Summary'!$B:$B,0)+5)</f>
        <v>0</v>
      </c>
      <c r="U87" s="302">
        <f>INDEX('NARM6 - Risk Summary'!I:I,MATCH($C87,'NARM6 - Risk Summary'!$B:$B,0)+5)</f>
        <v>0</v>
      </c>
      <c r="V87" s="302">
        <f>INDEX('NARM6 - Risk Summary'!J:J,MATCH($C87,'NARM6 - Risk Summary'!$B:$B,0)+5)</f>
        <v>0</v>
      </c>
      <c r="W87" s="302">
        <f>INDEX('NARM6 - Risk Summary'!K:K,MATCH($C87,'NARM6 - Risk Summary'!$B:$B,0)+5)</f>
        <v>0</v>
      </c>
      <c r="X87" s="302">
        <f>INDEX('NARM6 - Risk Summary'!L:L,MATCH($C87,'NARM6 - Risk Summary'!$B:$B,0)+5)</f>
        <v>0</v>
      </c>
      <c r="Y87" s="302">
        <f>INDEX('NARM6 - Risk Summary'!M:M,MATCH($C87,'NARM6 - Risk Summary'!$B:$B,0)+5)</f>
        <v>0</v>
      </c>
      <c r="Z87" s="302">
        <f>INDEX('NARM6 - Risk Summary'!N:N,MATCH($C87,'NARM6 - Risk Summary'!$B:$B,0)+5)</f>
        <v>0</v>
      </c>
      <c r="AA87" s="303">
        <f>INDEX('NARM6 - Risk Summary'!O:O,MATCH($C87,'NARM6 - Risk Summary'!$B:$B,0)+4)</f>
        <v>0</v>
      </c>
    </row>
    <row r="88" spans="2:27">
      <c r="B88" s="541">
        <v>25</v>
      </c>
      <c r="C88" s="166" t="s">
        <v>98</v>
      </c>
      <c r="D88" s="298" t="str">
        <f t="shared" si="17"/>
        <v/>
      </c>
      <c r="E88" s="299" t="str">
        <f t="shared" si="17"/>
        <v/>
      </c>
      <c r="F88" s="299" t="str">
        <f t="shared" si="17"/>
        <v/>
      </c>
      <c r="G88" s="299" t="str">
        <f t="shared" si="18"/>
        <v/>
      </c>
      <c r="H88" s="299" t="str">
        <f t="shared" si="18"/>
        <v/>
      </c>
      <c r="I88" s="299" t="str">
        <f t="shared" si="18"/>
        <v/>
      </c>
      <c r="J88" s="299" t="str">
        <f t="shared" si="18"/>
        <v/>
      </c>
      <c r="K88" s="299" t="str">
        <f t="shared" si="18"/>
        <v/>
      </c>
      <c r="L88" s="299" t="str">
        <f t="shared" si="18"/>
        <v/>
      </c>
      <c r="M88" s="299" t="str">
        <f t="shared" si="18"/>
        <v/>
      </c>
      <c r="N88" s="299" t="str">
        <f t="shared" si="18"/>
        <v/>
      </c>
      <c r="O88" s="300" t="str">
        <f t="shared" si="18"/>
        <v/>
      </c>
      <c r="P88" s="301">
        <f>INDEX('NARM6 - Risk Summary'!$D:$D,MATCH($C88,'NARM6 - Risk Summary'!$B:$B,0))</f>
        <v>0</v>
      </c>
      <c r="Q88" s="302">
        <f>INDEX('NARM6 - Risk Summary'!E:E,MATCH($C88,'NARM6 - Risk Summary'!$B:$B,0)+5)</f>
        <v>0</v>
      </c>
      <c r="R88" s="302">
        <f>INDEX('NARM6 - Risk Summary'!F:F,MATCH($C88,'NARM6 - Risk Summary'!$B:$B,0)+5)</f>
        <v>0</v>
      </c>
      <c r="S88" s="302">
        <f>INDEX('NARM6 - Risk Summary'!G:G,MATCH($C88,'NARM6 - Risk Summary'!$B:$B,0)+5)</f>
        <v>0</v>
      </c>
      <c r="T88" s="302">
        <f>INDEX('NARM6 - Risk Summary'!H:H,MATCH($C88,'NARM6 - Risk Summary'!$B:$B,0)+5)</f>
        <v>0</v>
      </c>
      <c r="U88" s="302">
        <f>INDEX('NARM6 - Risk Summary'!I:I,MATCH($C88,'NARM6 - Risk Summary'!$B:$B,0)+5)</f>
        <v>0</v>
      </c>
      <c r="V88" s="302">
        <f>INDEX('NARM6 - Risk Summary'!J:J,MATCH($C88,'NARM6 - Risk Summary'!$B:$B,0)+5)</f>
        <v>0</v>
      </c>
      <c r="W88" s="302">
        <f>INDEX('NARM6 - Risk Summary'!K:K,MATCH($C88,'NARM6 - Risk Summary'!$B:$B,0)+5)</f>
        <v>0</v>
      </c>
      <c r="X88" s="302">
        <f>INDEX('NARM6 - Risk Summary'!L:L,MATCH($C88,'NARM6 - Risk Summary'!$B:$B,0)+5)</f>
        <v>0</v>
      </c>
      <c r="Y88" s="302">
        <f>INDEX('NARM6 - Risk Summary'!M:M,MATCH($C88,'NARM6 - Risk Summary'!$B:$B,0)+5)</f>
        <v>0</v>
      </c>
      <c r="Z88" s="302">
        <f>INDEX('NARM6 - Risk Summary'!N:N,MATCH($C88,'NARM6 - Risk Summary'!$B:$B,0)+5)</f>
        <v>0</v>
      </c>
      <c r="AA88" s="303">
        <f>INDEX('NARM6 - Risk Summary'!O:O,MATCH($C88,'NARM6 - Risk Summary'!$B:$B,0)+4)</f>
        <v>0</v>
      </c>
    </row>
    <row r="89" spans="2:27" ht="14" thickBot="1">
      <c r="B89" s="541">
        <v>26</v>
      </c>
      <c r="C89" s="178" t="s">
        <v>122</v>
      </c>
      <c r="D89" s="349" t="str">
        <f t="shared" si="17"/>
        <v/>
      </c>
      <c r="E89" s="350" t="str">
        <f t="shared" si="17"/>
        <v/>
      </c>
      <c r="F89" s="350" t="str">
        <f t="shared" si="17"/>
        <v/>
      </c>
      <c r="G89" s="350" t="str">
        <f t="shared" si="18"/>
        <v/>
      </c>
      <c r="H89" s="350" t="str">
        <f t="shared" si="18"/>
        <v/>
      </c>
      <c r="I89" s="350" t="str">
        <f t="shared" si="18"/>
        <v/>
      </c>
      <c r="J89" s="350" t="str">
        <f t="shared" si="18"/>
        <v/>
      </c>
      <c r="K89" s="350" t="str">
        <f t="shared" si="18"/>
        <v/>
      </c>
      <c r="L89" s="350" t="str">
        <f t="shared" si="18"/>
        <v/>
      </c>
      <c r="M89" s="350" t="str">
        <f t="shared" si="18"/>
        <v/>
      </c>
      <c r="N89" s="350" t="str">
        <f t="shared" si="18"/>
        <v/>
      </c>
      <c r="O89" s="351" t="str">
        <f t="shared" si="18"/>
        <v/>
      </c>
      <c r="P89" s="352">
        <f>INDEX('NARM6 - Risk Summary'!$D:$D,MATCH($C89,'NARM6 - Risk Summary'!$B:$B,0))</f>
        <v>0</v>
      </c>
      <c r="Q89" s="353">
        <f>INDEX('NARM6 - Risk Summary'!E:E,MATCH($C89,'NARM6 - Risk Summary'!$B:$B,0)+5)</f>
        <v>0</v>
      </c>
      <c r="R89" s="353">
        <f>INDEX('NARM6 - Risk Summary'!F:F,MATCH($C89,'NARM6 - Risk Summary'!$B:$B,0)+5)</f>
        <v>0</v>
      </c>
      <c r="S89" s="353">
        <f>INDEX('NARM6 - Risk Summary'!G:G,MATCH($C89,'NARM6 - Risk Summary'!$B:$B,0)+5)</f>
        <v>0</v>
      </c>
      <c r="T89" s="353">
        <f>INDEX('NARM6 - Risk Summary'!H:H,MATCH($C89,'NARM6 - Risk Summary'!$B:$B,0)+5)</f>
        <v>0</v>
      </c>
      <c r="U89" s="353">
        <f>INDEX('NARM6 - Risk Summary'!I:I,MATCH($C89,'NARM6 - Risk Summary'!$B:$B,0)+5)</f>
        <v>0</v>
      </c>
      <c r="V89" s="353">
        <f>INDEX('NARM6 - Risk Summary'!J:J,MATCH($C89,'NARM6 - Risk Summary'!$B:$B,0)+5)</f>
        <v>0</v>
      </c>
      <c r="W89" s="353">
        <f>INDEX('NARM6 - Risk Summary'!K:K,MATCH($C89,'NARM6 - Risk Summary'!$B:$B,0)+5)</f>
        <v>0</v>
      </c>
      <c r="X89" s="353">
        <f>INDEX('NARM6 - Risk Summary'!L:L,MATCH($C89,'NARM6 - Risk Summary'!$B:$B,0)+5)</f>
        <v>0</v>
      </c>
      <c r="Y89" s="353">
        <f>INDEX('NARM6 - Risk Summary'!M:M,MATCH($C89,'NARM6 - Risk Summary'!$B:$B,0)+5)</f>
        <v>0</v>
      </c>
      <c r="Z89" s="353">
        <f>INDEX('NARM6 - Risk Summary'!N:N,MATCH($C89,'NARM6 - Risk Summary'!$B:$B,0)+5)</f>
        <v>0</v>
      </c>
      <c r="AA89" s="354">
        <f>INDEX('NARM6 - Risk Summary'!O:O,MATCH($C89,'NARM6 - Risk Summary'!$B:$B,0)+4)</f>
        <v>0</v>
      </c>
    </row>
    <row r="90" spans="2:27" ht="14" thickTop="1">
      <c r="B90" s="541">
        <v>27</v>
      </c>
      <c r="C90" s="153" t="s">
        <v>69</v>
      </c>
      <c r="D90" s="304" t="str">
        <f t="shared" si="17"/>
        <v/>
      </c>
      <c r="E90" s="305" t="str">
        <f t="shared" si="17"/>
        <v/>
      </c>
      <c r="F90" s="305" t="str">
        <f t="shared" si="17"/>
        <v/>
      </c>
      <c r="G90" s="305" t="str">
        <f t="shared" si="18"/>
        <v/>
      </c>
      <c r="H90" s="305" t="str">
        <f t="shared" si="18"/>
        <v/>
      </c>
      <c r="I90" s="305" t="str">
        <f t="shared" si="18"/>
        <v/>
      </c>
      <c r="J90" s="305" t="str">
        <f t="shared" si="18"/>
        <v/>
      </c>
      <c r="K90" s="305" t="str">
        <f t="shared" si="18"/>
        <v/>
      </c>
      <c r="L90" s="305" t="str">
        <f t="shared" si="18"/>
        <v/>
      </c>
      <c r="M90" s="305" t="str">
        <f t="shared" si="18"/>
        <v/>
      </c>
      <c r="N90" s="305" t="str">
        <f t="shared" si="18"/>
        <v/>
      </c>
      <c r="O90" s="306" t="str">
        <f t="shared" si="18"/>
        <v/>
      </c>
      <c r="P90" s="307">
        <f>INDEX('NARM6 - Risk Summary'!$D:$D,MATCH($C90,'NARM6 - Risk Summary'!$B:$B,0))</f>
        <v>0</v>
      </c>
      <c r="Q90" s="308">
        <f>INDEX('NARM6 - Risk Summary'!E:E,MATCH($C90,'NARM6 - Risk Summary'!$B:$B,0)+5)</f>
        <v>0</v>
      </c>
      <c r="R90" s="308">
        <f>INDEX('NARM6 - Risk Summary'!F:F,MATCH($C90,'NARM6 - Risk Summary'!$B:$B,0)+5)</f>
        <v>0</v>
      </c>
      <c r="S90" s="308">
        <f>INDEX('NARM6 - Risk Summary'!G:G,MATCH($C90,'NARM6 - Risk Summary'!$B:$B,0)+5)</f>
        <v>0</v>
      </c>
      <c r="T90" s="308">
        <f>INDEX('NARM6 - Risk Summary'!H:H,MATCH($C90,'NARM6 - Risk Summary'!$B:$B,0)+5)</f>
        <v>0</v>
      </c>
      <c r="U90" s="308">
        <f>INDEX('NARM6 - Risk Summary'!I:I,MATCH($C90,'NARM6 - Risk Summary'!$B:$B,0)+5)</f>
        <v>0</v>
      </c>
      <c r="V90" s="308">
        <f>INDEX('NARM6 - Risk Summary'!J:J,MATCH($C90,'NARM6 - Risk Summary'!$B:$B,0)+5)</f>
        <v>0</v>
      </c>
      <c r="W90" s="308">
        <f>INDEX('NARM6 - Risk Summary'!K:K,MATCH($C90,'NARM6 - Risk Summary'!$B:$B,0)+5)</f>
        <v>0</v>
      </c>
      <c r="X90" s="308">
        <f>INDEX('NARM6 - Risk Summary'!L:L,MATCH($C90,'NARM6 - Risk Summary'!$B:$B,0)+5)</f>
        <v>0</v>
      </c>
      <c r="Y90" s="308">
        <f>INDEX('NARM6 - Risk Summary'!M:M,MATCH($C90,'NARM6 - Risk Summary'!$B:$B,0)+5)</f>
        <v>0</v>
      </c>
      <c r="Z90" s="308">
        <f>INDEX('NARM6 - Risk Summary'!N:N,MATCH($C90,'NARM6 - Risk Summary'!$B:$B,0)+5)</f>
        <v>0</v>
      </c>
      <c r="AA90" s="309">
        <f>INDEX('NARM6 - Risk Summary'!O:O,MATCH($C90,'NARM6 - Risk Summary'!$B:$B,0)+4)</f>
        <v>0</v>
      </c>
    </row>
    <row r="91" spans="2:27">
      <c r="B91" s="541">
        <v>28</v>
      </c>
      <c r="C91" s="166" t="s">
        <v>63</v>
      </c>
      <c r="D91" s="298" t="str">
        <f t="shared" si="17"/>
        <v/>
      </c>
      <c r="E91" s="299" t="str">
        <f t="shared" si="17"/>
        <v/>
      </c>
      <c r="F91" s="299" t="str">
        <f t="shared" si="17"/>
        <v/>
      </c>
      <c r="G91" s="299" t="str">
        <f t="shared" si="18"/>
        <v/>
      </c>
      <c r="H91" s="299" t="str">
        <f t="shared" si="18"/>
        <v/>
      </c>
      <c r="I91" s="299" t="str">
        <f t="shared" si="18"/>
        <v/>
      </c>
      <c r="J91" s="299" t="str">
        <f t="shared" si="18"/>
        <v/>
      </c>
      <c r="K91" s="299" t="str">
        <f t="shared" si="18"/>
        <v/>
      </c>
      <c r="L91" s="299" t="str">
        <f t="shared" si="18"/>
        <v/>
      </c>
      <c r="M91" s="299" t="str">
        <f t="shared" si="18"/>
        <v/>
      </c>
      <c r="N91" s="299" t="str">
        <f t="shared" si="18"/>
        <v/>
      </c>
      <c r="O91" s="300" t="str">
        <f t="shared" si="18"/>
        <v/>
      </c>
      <c r="P91" s="301">
        <f>INDEX('NARM6 - Risk Summary'!$D:$D,MATCH($C91,'NARM6 - Risk Summary'!$B:$B,0))</f>
        <v>0</v>
      </c>
      <c r="Q91" s="302">
        <f>INDEX('NARM6 - Risk Summary'!E:E,MATCH($C91,'NARM6 - Risk Summary'!$B:$B,0)+5)</f>
        <v>0</v>
      </c>
      <c r="R91" s="302">
        <f>INDEX('NARM6 - Risk Summary'!F:F,MATCH($C91,'NARM6 - Risk Summary'!$B:$B,0)+5)</f>
        <v>0</v>
      </c>
      <c r="S91" s="302">
        <f>INDEX('NARM6 - Risk Summary'!G:G,MATCH($C91,'NARM6 - Risk Summary'!$B:$B,0)+5)</f>
        <v>0</v>
      </c>
      <c r="T91" s="302">
        <f>INDEX('NARM6 - Risk Summary'!H:H,MATCH($C91,'NARM6 - Risk Summary'!$B:$B,0)+5)</f>
        <v>0</v>
      </c>
      <c r="U91" s="302">
        <f>INDEX('NARM6 - Risk Summary'!I:I,MATCH($C91,'NARM6 - Risk Summary'!$B:$B,0)+5)</f>
        <v>0</v>
      </c>
      <c r="V91" s="302">
        <f>INDEX('NARM6 - Risk Summary'!J:J,MATCH($C91,'NARM6 - Risk Summary'!$B:$B,0)+5)</f>
        <v>0</v>
      </c>
      <c r="W91" s="302">
        <f>INDEX('NARM6 - Risk Summary'!K:K,MATCH($C91,'NARM6 - Risk Summary'!$B:$B,0)+5)</f>
        <v>0</v>
      </c>
      <c r="X91" s="302">
        <f>INDEX('NARM6 - Risk Summary'!L:L,MATCH($C91,'NARM6 - Risk Summary'!$B:$B,0)+5)</f>
        <v>0</v>
      </c>
      <c r="Y91" s="302">
        <f>INDEX('NARM6 - Risk Summary'!M:M,MATCH($C91,'NARM6 - Risk Summary'!$B:$B,0)+5)</f>
        <v>0</v>
      </c>
      <c r="Z91" s="302">
        <f>INDEX('NARM6 - Risk Summary'!N:N,MATCH($C91,'NARM6 - Risk Summary'!$B:$B,0)+5)</f>
        <v>0</v>
      </c>
      <c r="AA91" s="303">
        <f>INDEX('NARM6 - Risk Summary'!O:O,MATCH($C91,'NARM6 - Risk Summary'!$B:$B,0)+4)</f>
        <v>0</v>
      </c>
    </row>
    <row r="92" spans="2:27">
      <c r="B92" s="541">
        <v>29</v>
      </c>
      <c r="C92" s="166" t="s">
        <v>64</v>
      </c>
      <c r="D92" s="298" t="str">
        <f t="shared" si="17"/>
        <v/>
      </c>
      <c r="E92" s="299" t="str">
        <f t="shared" si="17"/>
        <v/>
      </c>
      <c r="F92" s="299" t="str">
        <f t="shared" si="17"/>
        <v/>
      </c>
      <c r="G92" s="299" t="str">
        <f t="shared" si="18"/>
        <v/>
      </c>
      <c r="H92" s="299" t="str">
        <f t="shared" si="18"/>
        <v/>
      </c>
      <c r="I92" s="299" t="str">
        <f t="shared" si="18"/>
        <v/>
      </c>
      <c r="J92" s="299" t="str">
        <f t="shared" si="18"/>
        <v/>
      </c>
      <c r="K92" s="299" t="str">
        <f t="shared" si="18"/>
        <v/>
      </c>
      <c r="L92" s="299" t="str">
        <f t="shared" si="18"/>
        <v/>
      </c>
      <c r="M92" s="299" t="str">
        <f t="shared" si="18"/>
        <v/>
      </c>
      <c r="N92" s="299" t="str">
        <f t="shared" si="18"/>
        <v/>
      </c>
      <c r="O92" s="300" t="str">
        <f t="shared" si="18"/>
        <v/>
      </c>
      <c r="P92" s="301">
        <f>INDEX('NARM6 - Risk Summary'!$D:$D,MATCH($C92,'NARM6 - Risk Summary'!$B:$B,0))</f>
        <v>0</v>
      </c>
      <c r="Q92" s="302">
        <f>INDEX('NARM6 - Risk Summary'!E:E,MATCH($C92,'NARM6 - Risk Summary'!$B:$B,0)+5)</f>
        <v>0</v>
      </c>
      <c r="R92" s="302">
        <f>INDEX('NARM6 - Risk Summary'!F:F,MATCH($C92,'NARM6 - Risk Summary'!$B:$B,0)+5)</f>
        <v>0</v>
      </c>
      <c r="S92" s="302">
        <f>INDEX('NARM6 - Risk Summary'!G:G,MATCH($C92,'NARM6 - Risk Summary'!$B:$B,0)+5)</f>
        <v>0</v>
      </c>
      <c r="T92" s="302">
        <f>INDEX('NARM6 - Risk Summary'!H:H,MATCH($C92,'NARM6 - Risk Summary'!$B:$B,0)+5)</f>
        <v>0</v>
      </c>
      <c r="U92" s="302">
        <f>INDEX('NARM6 - Risk Summary'!I:I,MATCH($C92,'NARM6 - Risk Summary'!$B:$B,0)+5)</f>
        <v>0</v>
      </c>
      <c r="V92" s="302">
        <f>INDEX('NARM6 - Risk Summary'!J:J,MATCH($C92,'NARM6 - Risk Summary'!$B:$B,0)+5)</f>
        <v>0</v>
      </c>
      <c r="W92" s="302">
        <f>INDEX('NARM6 - Risk Summary'!K:K,MATCH($C92,'NARM6 - Risk Summary'!$B:$B,0)+5)</f>
        <v>0</v>
      </c>
      <c r="X92" s="302">
        <f>INDEX('NARM6 - Risk Summary'!L:L,MATCH($C92,'NARM6 - Risk Summary'!$B:$B,0)+5)</f>
        <v>0</v>
      </c>
      <c r="Y92" s="302">
        <f>INDEX('NARM6 - Risk Summary'!M:M,MATCH($C92,'NARM6 - Risk Summary'!$B:$B,0)+5)</f>
        <v>0</v>
      </c>
      <c r="Z92" s="302">
        <f>INDEX('NARM6 - Risk Summary'!N:N,MATCH($C92,'NARM6 - Risk Summary'!$B:$B,0)+5)</f>
        <v>0</v>
      </c>
      <c r="AA92" s="303">
        <f>INDEX('NARM6 - Risk Summary'!O:O,MATCH($C92,'NARM6 - Risk Summary'!$B:$B,0)+4)</f>
        <v>0</v>
      </c>
    </row>
    <row r="93" spans="2:27">
      <c r="B93" s="541">
        <v>30</v>
      </c>
      <c r="C93" s="166" t="s">
        <v>65</v>
      </c>
      <c r="D93" s="298" t="str">
        <f t="shared" si="17"/>
        <v/>
      </c>
      <c r="E93" s="299" t="str">
        <f t="shared" si="17"/>
        <v/>
      </c>
      <c r="F93" s="299" t="str">
        <f t="shared" si="17"/>
        <v/>
      </c>
      <c r="G93" s="299" t="str">
        <f t="shared" si="18"/>
        <v/>
      </c>
      <c r="H93" s="299" t="str">
        <f t="shared" si="18"/>
        <v/>
      </c>
      <c r="I93" s="299" t="str">
        <f t="shared" si="18"/>
        <v/>
      </c>
      <c r="J93" s="299" t="str">
        <f t="shared" si="18"/>
        <v/>
      </c>
      <c r="K93" s="299" t="str">
        <f t="shared" si="18"/>
        <v/>
      </c>
      <c r="L93" s="299" t="str">
        <f t="shared" si="18"/>
        <v/>
      </c>
      <c r="M93" s="299" t="str">
        <f t="shared" si="18"/>
        <v/>
      </c>
      <c r="N93" s="299" t="str">
        <f t="shared" si="18"/>
        <v/>
      </c>
      <c r="O93" s="300" t="str">
        <f t="shared" si="18"/>
        <v/>
      </c>
      <c r="P93" s="301">
        <f>INDEX('NARM6 - Risk Summary'!$D:$D,MATCH($C93,'NARM6 - Risk Summary'!$B:$B,0))</f>
        <v>0</v>
      </c>
      <c r="Q93" s="302">
        <f>INDEX('NARM6 - Risk Summary'!E:E,MATCH($C93,'NARM6 - Risk Summary'!$B:$B,0)+5)</f>
        <v>0</v>
      </c>
      <c r="R93" s="302">
        <f>INDEX('NARM6 - Risk Summary'!F:F,MATCH($C93,'NARM6 - Risk Summary'!$B:$B,0)+5)</f>
        <v>0</v>
      </c>
      <c r="S93" s="302">
        <f>INDEX('NARM6 - Risk Summary'!G:G,MATCH($C93,'NARM6 - Risk Summary'!$B:$B,0)+5)</f>
        <v>0</v>
      </c>
      <c r="T93" s="302">
        <f>INDEX('NARM6 - Risk Summary'!H:H,MATCH($C93,'NARM6 - Risk Summary'!$B:$B,0)+5)</f>
        <v>0</v>
      </c>
      <c r="U93" s="302">
        <f>INDEX('NARM6 - Risk Summary'!I:I,MATCH($C93,'NARM6 - Risk Summary'!$B:$B,0)+5)</f>
        <v>0</v>
      </c>
      <c r="V93" s="302">
        <f>INDEX('NARM6 - Risk Summary'!J:J,MATCH($C93,'NARM6 - Risk Summary'!$B:$B,0)+5)</f>
        <v>0</v>
      </c>
      <c r="W93" s="302">
        <f>INDEX('NARM6 - Risk Summary'!K:K,MATCH($C93,'NARM6 - Risk Summary'!$B:$B,0)+5)</f>
        <v>0</v>
      </c>
      <c r="X93" s="302">
        <f>INDEX('NARM6 - Risk Summary'!L:L,MATCH($C93,'NARM6 - Risk Summary'!$B:$B,0)+5)</f>
        <v>0</v>
      </c>
      <c r="Y93" s="302">
        <f>INDEX('NARM6 - Risk Summary'!M:M,MATCH($C93,'NARM6 - Risk Summary'!$B:$B,0)+5)</f>
        <v>0</v>
      </c>
      <c r="Z93" s="302">
        <f>INDEX('NARM6 - Risk Summary'!N:N,MATCH($C93,'NARM6 - Risk Summary'!$B:$B,0)+5)</f>
        <v>0</v>
      </c>
      <c r="AA93" s="303">
        <f>INDEX('NARM6 - Risk Summary'!O:O,MATCH($C93,'NARM6 - Risk Summary'!$B:$B,0)+4)</f>
        <v>0</v>
      </c>
    </row>
    <row r="94" spans="2:27">
      <c r="B94" s="541">
        <v>31</v>
      </c>
      <c r="C94" s="166" t="s">
        <v>173</v>
      </c>
      <c r="D94" s="298" t="str">
        <f t="shared" si="17"/>
        <v/>
      </c>
      <c r="E94" s="299" t="str">
        <f t="shared" si="17"/>
        <v/>
      </c>
      <c r="F94" s="299" t="str">
        <f t="shared" si="17"/>
        <v/>
      </c>
      <c r="G94" s="299" t="str">
        <f t="shared" si="18"/>
        <v/>
      </c>
      <c r="H94" s="299" t="str">
        <f t="shared" si="18"/>
        <v/>
      </c>
      <c r="I94" s="299" t="str">
        <f t="shared" si="18"/>
        <v/>
      </c>
      <c r="J94" s="299" t="str">
        <f t="shared" si="18"/>
        <v/>
      </c>
      <c r="K94" s="299" t="str">
        <f t="shared" si="18"/>
        <v/>
      </c>
      <c r="L94" s="299" t="str">
        <f t="shared" si="18"/>
        <v/>
      </c>
      <c r="M94" s="299" t="str">
        <f t="shared" si="18"/>
        <v/>
      </c>
      <c r="N94" s="299" t="str">
        <f t="shared" si="18"/>
        <v/>
      </c>
      <c r="O94" s="300" t="str">
        <f t="shared" si="18"/>
        <v/>
      </c>
      <c r="P94" s="301">
        <f>INDEX('NARM6 - Risk Summary'!$D:$D,MATCH($C94,'NARM6 - Risk Summary'!$B:$B,0))</f>
        <v>0</v>
      </c>
      <c r="Q94" s="302">
        <f>INDEX('NARM6 - Risk Summary'!E:E,MATCH($C94,'NARM6 - Risk Summary'!$B:$B,0)+5)</f>
        <v>0</v>
      </c>
      <c r="R94" s="302">
        <f>INDEX('NARM6 - Risk Summary'!F:F,MATCH($C94,'NARM6 - Risk Summary'!$B:$B,0)+5)</f>
        <v>0</v>
      </c>
      <c r="S94" s="302">
        <f>INDEX('NARM6 - Risk Summary'!G:G,MATCH($C94,'NARM6 - Risk Summary'!$B:$B,0)+5)</f>
        <v>0</v>
      </c>
      <c r="T94" s="302">
        <f>INDEX('NARM6 - Risk Summary'!H:H,MATCH($C94,'NARM6 - Risk Summary'!$B:$B,0)+5)</f>
        <v>0</v>
      </c>
      <c r="U94" s="302">
        <f>INDEX('NARM6 - Risk Summary'!I:I,MATCH($C94,'NARM6 - Risk Summary'!$B:$B,0)+5)</f>
        <v>0</v>
      </c>
      <c r="V94" s="302">
        <f>INDEX('NARM6 - Risk Summary'!J:J,MATCH($C94,'NARM6 - Risk Summary'!$B:$B,0)+5)</f>
        <v>0</v>
      </c>
      <c r="W94" s="302">
        <f>INDEX('NARM6 - Risk Summary'!K:K,MATCH($C94,'NARM6 - Risk Summary'!$B:$B,0)+5)</f>
        <v>0</v>
      </c>
      <c r="X94" s="302">
        <f>INDEX('NARM6 - Risk Summary'!L:L,MATCH($C94,'NARM6 - Risk Summary'!$B:$B,0)+5)</f>
        <v>0</v>
      </c>
      <c r="Y94" s="302">
        <f>INDEX('NARM6 - Risk Summary'!M:M,MATCH($C94,'NARM6 - Risk Summary'!$B:$B,0)+5)</f>
        <v>0</v>
      </c>
      <c r="Z94" s="302">
        <f>INDEX('NARM6 - Risk Summary'!N:N,MATCH($C94,'NARM6 - Risk Summary'!$B:$B,0)+5)</f>
        <v>0</v>
      </c>
      <c r="AA94" s="303">
        <f>INDEX('NARM6 - Risk Summary'!O:O,MATCH($C94,'NARM6 - Risk Summary'!$B:$B,0)+4)</f>
        <v>0</v>
      </c>
    </row>
    <row r="95" spans="2:27">
      <c r="B95" s="541">
        <v>32</v>
      </c>
      <c r="C95" s="166" t="s">
        <v>67</v>
      </c>
      <c r="D95" s="298" t="str">
        <f t="shared" si="17"/>
        <v/>
      </c>
      <c r="E95" s="299" t="str">
        <f t="shared" si="17"/>
        <v/>
      </c>
      <c r="F95" s="299" t="str">
        <f t="shared" si="17"/>
        <v/>
      </c>
      <c r="G95" s="299" t="str">
        <f t="shared" si="18"/>
        <v/>
      </c>
      <c r="H95" s="299" t="str">
        <f t="shared" si="18"/>
        <v/>
      </c>
      <c r="I95" s="299" t="str">
        <f t="shared" si="18"/>
        <v/>
      </c>
      <c r="J95" s="299" t="str">
        <f t="shared" si="18"/>
        <v/>
      </c>
      <c r="K95" s="299" t="str">
        <f t="shared" si="18"/>
        <v/>
      </c>
      <c r="L95" s="299" t="str">
        <f t="shared" si="18"/>
        <v/>
      </c>
      <c r="M95" s="299" t="str">
        <f t="shared" si="18"/>
        <v/>
      </c>
      <c r="N95" s="299" t="str">
        <f t="shared" si="18"/>
        <v/>
      </c>
      <c r="O95" s="300" t="str">
        <f t="shared" si="18"/>
        <v/>
      </c>
      <c r="P95" s="301">
        <f>INDEX('NARM6 - Risk Summary'!$D:$D,MATCH($C95,'NARM6 - Risk Summary'!$B:$B,0))</f>
        <v>0</v>
      </c>
      <c r="Q95" s="302">
        <f>INDEX('NARM6 - Risk Summary'!E:E,MATCH($C95,'NARM6 - Risk Summary'!$B:$B,0)+5)</f>
        <v>0</v>
      </c>
      <c r="R95" s="302">
        <f>INDEX('NARM6 - Risk Summary'!F:F,MATCH($C95,'NARM6 - Risk Summary'!$B:$B,0)+5)</f>
        <v>0</v>
      </c>
      <c r="S95" s="302">
        <f>INDEX('NARM6 - Risk Summary'!G:G,MATCH($C95,'NARM6 - Risk Summary'!$B:$B,0)+5)</f>
        <v>0</v>
      </c>
      <c r="T95" s="302">
        <f>INDEX('NARM6 - Risk Summary'!H:H,MATCH($C95,'NARM6 - Risk Summary'!$B:$B,0)+5)</f>
        <v>0</v>
      </c>
      <c r="U95" s="302">
        <f>INDEX('NARM6 - Risk Summary'!I:I,MATCH($C95,'NARM6 - Risk Summary'!$B:$B,0)+5)</f>
        <v>0</v>
      </c>
      <c r="V95" s="302">
        <f>INDEX('NARM6 - Risk Summary'!J:J,MATCH($C95,'NARM6 - Risk Summary'!$B:$B,0)+5)</f>
        <v>0</v>
      </c>
      <c r="W95" s="302">
        <f>INDEX('NARM6 - Risk Summary'!K:K,MATCH($C95,'NARM6 - Risk Summary'!$B:$B,0)+5)</f>
        <v>0</v>
      </c>
      <c r="X95" s="302">
        <f>INDEX('NARM6 - Risk Summary'!L:L,MATCH($C95,'NARM6 - Risk Summary'!$B:$B,0)+5)</f>
        <v>0</v>
      </c>
      <c r="Y95" s="302">
        <f>INDEX('NARM6 - Risk Summary'!M:M,MATCH($C95,'NARM6 - Risk Summary'!$B:$B,0)+5)</f>
        <v>0</v>
      </c>
      <c r="Z95" s="302">
        <f>INDEX('NARM6 - Risk Summary'!N:N,MATCH($C95,'NARM6 - Risk Summary'!$B:$B,0)+5)</f>
        <v>0</v>
      </c>
      <c r="AA95" s="303">
        <f>INDEX('NARM6 - Risk Summary'!O:O,MATCH($C95,'NARM6 - Risk Summary'!$B:$B,0)+4)</f>
        <v>0</v>
      </c>
    </row>
    <row r="96" spans="2:27">
      <c r="B96" s="541">
        <v>33</v>
      </c>
      <c r="C96" s="166" t="s">
        <v>68</v>
      </c>
      <c r="D96" s="298" t="str">
        <f t="shared" si="17"/>
        <v/>
      </c>
      <c r="E96" s="299" t="str">
        <f t="shared" si="17"/>
        <v/>
      </c>
      <c r="F96" s="299" t="str">
        <f t="shared" si="17"/>
        <v/>
      </c>
      <c r="G96" s="299" t="str">
        <f t="shared" si="18"/>
        <v/>
      </c>
      <c r="H96" s="299" t="str">
        <f t="shared" si="18"/>
        <v/>
      </c>
      <c r="I96" s="299" t="str">
        <f t="shared" si="18"/>
        <v/>
      </c>
      <c r="J96" s="299" t="str">
        <f t="shared" si="18"/>
        <v/>
      </c>
      <c r="K96" s="299" t="str">
        <f t="shared" si="18"/>
        <v/>
      </c>
      <c r="L96" s="299" t="str">
        <f t="shared" si="18"/>
        <v/>
      </c>
      <c r="M96" s="299" t="str">
        <f t="shared" si="18"/>
        <v/>
      </c>
      <c r="N96" s="299" t="str">
        <f t="shared" si="18"/>
        <v/>
      </c>
      <c r="O96" s="300" t="str">
        <f t="shared" si="18"/>
        <v/>
      </c>
      <c r="P96" s="301">
        <f>INDEX('NARM6 - Risk Summary'!$D:$D,MATCH($C96,'NARM6 - Risk Summary'!$B:$B,0))</f>
        <v>0</v>
      </c>
      <c r="Q96" s="302">
        <f>INDEX('NARM6 - Risk Summary'!E:E,MATCH($C96,'NARM6 - Risk Summary'!$B:$B,0)+5)</f>
        <v>0</v>
      </c>
      <c r="R96" s="302">
        <f>INDEX('NARM6 - Risk Summary'!F:F,MATCH($C96,'NARM6 - Risk Summary'!$B:$B,0)+5)</f>
        <v>0</v>
      </c>
      <c r="S96" s="302">
        <f>INDEX('NARM6 - Risk Summary'!G:G,MATCH($C96,'NARM6 - Risk Summary'!$B:$B,0)+5)</f>
        <v>0</v>
      </c>
      <c r="T96" s="302">
        <f>INDEX('NARM6 - Risk Summary'!H:H,MATCH($C96,'NARM6 - Risk Summary'!$B:$B,0)+5)</f>
        <v>0</v>
      </c>
      <c r="U96" s="302">
        <f>INDEX('NARM6 - Risk Summary'!I:I,MATCH($C96,'NARM6 - Risk Summary'!$B:$B,0)+5)</f>
        <v>0</v>
      </c>
      <c r="V96" s="302">
        <f>INDEX('NARM6 - Risk Summary'!J:J,MATCH($C96,'NARM6 - Risk Summary'!$B:$B,0)+5)</f>
        <v>0</v>
      </c>
      <c r="W96" s="302">
        <f>INDEX('NARM6 - Risk Summary'!K:K,MATCH($C96,'NARM6 - Risk Summary'!$B:$B,0)+5)</f>
        <v>0</v>
      </c>
      <c r="X96" s="302">
        <f>INDEX('NARM6 - Risk Summary'!L:L,MATCH($C96,'NARM6 - Risk Summary'!$B:$B,0)+5)</f>
        <v>0</v>
      </c>
      <c r="Y96" s="302">
        <f>INDEX('NARM6 - Risk Summary'!M:M,MATCH($C96,'NARM6 - Risk Summary'!$B:$B,0)+5)</f>
        <v>0</v>
      </c>
      <c r="Z96" s="302">
        <f>INDEX('NARM6 - Risk Summary'!N:N,MATCH($C96,'NARM6 - Risk Summary'!$B:$B,0)+5)</f>
        <v>0</v>
      </c>
      <c r="AA96" s="303">
        <f>INDEX('NARM6 - Risk Summary'!O:O,MATCH($C96,'NARM6 - Risk Summary'!$B:$B,0)+4)</f>
        <v>0</v>
      </c>
    </row>
    <row r="97" spans="2:27">
      <c r="B97" s="541">
        <v>34</v>
      </c>
      <c r="C97" s="166" t="s">
        <v>74</v>
      </c>
      <c r="D97" s="298" t="str">
        <f t="shared" si="17"/>
        <v/>
      </c>
      <c r="E97" s="299" t="str">
        <f t="shared" si="17"/>
        <v/>
      </c>
      <c r="F97" s="299" t="str">
        <f t="shared" si="17"/>
        <v/>
      </c>
      <c r="G97" s="299" t="str">
        <f t="shared" si="18"/>
        <v/>
      </c>
      <c r="H97" s="299" t="str">
        <f t="shared" si="18"/>
        <v/>
      </c>
      <c r="I97" s="299" t="str">
        <f t="shared" si="18"/>
        <v/>
      </c>
      <c r="J97" s="299" t="str">
        <f t="shared" si="18"/>
        <v/>
      </c>
      <c r="K97" s="299" t="str">
        <f t="shared" si="18"/>
        <v/>
      </c>
      <c r="L97" s="299" t="str">
        <f t="shared" si="18"/>
        <v/>
      </c>
      <c r="M97" s="299" t="str">
        <f t="shared" si="18"/>
        <v/>
      </c>
      <c r="N97" s="299" t="str">
        <f t="shared" si="18"/>
        <v/>
      </c>
      <c r="O97" s="300" t="str">
        <f t="shared" si="18"/>
        <v/>
      </c>
      <c r="P97" s="301">
        <f>INDEX('NARM6 - Risk Summary'!$D:$D,MATCH($C97,'NARM6 - Risk Summary'!$B:$B,0))</f>
        <v>0</v>
      </c>
      <c r="Q97" s="302">
        <f>INDEX('NARM6 - Risk Summary'!E:E,MATCH($C97,'NARM6 - Risk Summary'!$B:$B,0)+5)</f>
        <v>0</v>
      </c>
      <c r="R97" s="302">
        <f>INDEX('NARM6 - Risk Summary'!F:F,MATCH($C97,'NARM6 - Risk Summary'!$B:$B,0)+5)</f>
        <v>0</v>
      </c>
      <c r="S97" s="302">
        <f>INDEX('NARM6 - Risk Summary'!G:G,MATCH($C97,'NARM6 - Risk Summary'!$B:$B,0)+5)</f>
        <v>0</v>
      </c>
      <c r="T97" s="302">
        <f>INDEX('NARM6 - Risk Summary'!H:H,MATCH($C97,'NARM6 - Risk Summary'!$B:$B,0)+5)</f>
        <v>0</v>
      </c>
      <c r="U97" s="302">
        <f>INDEX('NARM6 - Risk Summary'!I:I,MATCH($C97,'NARM6 - Risk Summary'!$B:$B,0)+5)</f>
        <v>0</v>
      </c>
      <c r="V97" s="302">
        <f>INDEX('NARM6 - Risk Summary'!J:J,MATCH($C97,'NARM6 - Risk Summary'!$B:$B,0)+5)</f>
        <v>0</v>
      </c>
      <c r="W97" s="302">
        <f>INDEX('NARM6 - Risk Summary'!K:K,MATCH($C97,'NARM6 - Risk Summary'!$B:$B,0)+5)</f>
        <v>0</v>
      </c>
      <c r="X97" s="302">
        <f>INDEX('NARM6 - Risk Summary'!L:L,MATCH($C97,'NARM6 - Risk Summary'!$B:$B,0)+5)</f>
        <v>0</v>
      </c>
      <c r="Y97" s="302">
        <f>INDEX('NARM6 - Risk Summary'!M:M,MATCH($C97,'NARM6 - Risk Summary'!$B:$B,0)+5)</f>
        <v>0</v>
      </c>
      <c r="Z97" s="302">
        <f>INDEX('NARM6 - Risk Summary'!N:N,MATCH($C97,'NARM6 - Risk Summary'!$B:$B,0)+5)</f>
        <v>0</v>
      </c>
      <c r="AA97" s="303">
        <f>INDEX('NARM6 - Risk Summary'!O:O,MATCH($C97,'NARM6 - Risk Summary'!$B:$B,0)+4)</f>
        <v>0</v>
      </c>
    </row>
    <row r="98" spans="2:27">
      <c r="B98" s="541">
        <v>35</v>
      </c>
      <c r="C98" s="166" t="s">
        <v>79</v>
      </c>
      <c r="D98" s="298" t="str">
        <f t="shared" si="17"/>
        <v/>
      </c>
      <c r="E98" s="299" t="str">
        <f t="shared" si="17"/>
        <v/>
      </c>
      <c r="F98" s="299" t="str">
        <f t="shared" si="17"/>
        <v/>
      </c>
      <c r="G98" s="299" t="str">
        <f t="shared" si="18"/>
        <v/>
      </c>
      <c r="H98" s="299" t="str">
        <f t="shared" si="18"/>
        <v/>
      </c>
      <c r="I98" s="299" t="str">
        <f t="shared" si="18"/>
        <v/>
      </c>
      <c r="J98" s="299" t="str">
        <f t="shared" si="18"/>
        <v/>
      </c>
      <c r="K98" s="299" t="str">
        <f t="shared" si="18"/>
        <v/>
      </c>
      <c r="L98" s="299" t="str">
        <f t="shared" si="18"/>
        <v/>
      </c>
      <c r="M98" s="299" t="str">
        <f t="shared" si="18"/>
        <v/>
      </c>
      <c r="N98" s="299" t="str">
        <f t="shared" si="18"/>
        <v/>
      </c>
      <c r="O98" s="300" t="str">
        <f t="shared" si="18"/>
        <v/>
      </c>
      <c r="P98" s="301">
        <f>INDEX('NARM6 - Risk Summary'!$D:$D,MATCH($C98,'NARM6 - Risk Summary'!$B:$B,0))</f>
        <v>0</v>
      </c>
      <c r="Q98" s="302">
        <f>INDEX('NARM6 - Risk Summary'!E:E,MATCH($C98,'NARM6 - Risk Summary'!$B:$B,0)+5)</f>
        <v>0</v>
      </c>
      <c r="R98" s="302">
        <f>INDEX('NARM6 - Risk Summary'!F:F,MATCH($C98,'NARM6 - Risk Summary'!$B:$B,0)+5)</f>
        <v>0</v>
      </c>
      <c r="S98" s="302">
        <f>INDEX('NARM6 - Risk Summary'!G:G,MATCH($C98,'NARM6 - Risk Summary'!$B:$B,0)+5)</f>
        <v>0</v>
      </c>
      <c r="T98" s="302">
        <f>INDEX('NARM6 - Risk Summary'!H:H,MATCH($C98,'NARM6 - Risk Summary'!$B:$B,0)+5)</f>
        <v>0</v>
      </c>
      <c r="U98" s="302">
        <f>INDEX('NARM6 - Risk Summary'!I:I,MATCH($C98,'NARM6 - Risk Summary'!$B:$B,0)+5)</f>
        <v>0</v>
      </c>
      <c r="V98" s="302">
        <f>INDEX('NARM6 - Risk Summary'!J:J,MATCH($C98,'NARM6 - Risk Summary'!$B:$B,0)+5)</f>
        <v>0</v>
      </c>
      <c r="W98" s="302">
        <f>INDEX('NARM6 - Risk Summary'!K:K,MATCH($C98,'NARM6 - Risk Summary'!$B:$B,0)+5)</f>
        <v>0</v>
      </c>
      <c r="X98" s="302">
        <f>INDEX('NARM6 - Risk Summary'!L:L,MATCH($C98,'NARM6 - Risk Summary'!$B:$B,0)+5)</f>
        <v>0</v>
      </c>
      <c r="Y98" s="302">
        <f>INDEX('NARM6 - Risk Summary'!M:M,MATCH($C98,'NARM6 - Risk Summary'!$B:$B,0)+5)</f>
        <v>0</v>
      </c>
      <c r="Z98" s="302">
        <f>INDEX('NARM6 - Risk Summary'!N:N,MATCH($C98,'NARM6 - Risk Summary'!$B:$B,0)+5)</f>
        <v>0</v>
      </c>
      <c r="AA98" s="303">
        <f>INDEX('NARM6 - Risk Summary'!O:O,MATCH($C98,'NARM6 - Risk Summary'!$B:$B,0)+4)</f>
        <v>0</v>
      </c>
    </row>
    <row r="99" spans="2:27">
      <c r="B99" s="541">
        <v>36</v>
      </c>
      <c r="C99" s="166" t="s">
        <v>75</v>
      </c>
      <c r="D99" s="298" t="str">
        <f t="shared" si="17"/>
        <v/>
      </c>
      <c r="E99" s="299" t="str">
        <f t="shared" si="17"/>
        <v/>
      </c>
      <c r="F99" s="299" t="str">
        <f t="shared" si="17"/>
        <v/>
      </c>
      <c r="G99" s="299" t="str">
        <f t="shared" si="18"/>
        <v/>
      </c>
      <c r="H99" s="299" t="str">
        <f t="shared" si="18"/>
        <v/>
      </c>
      <c r="I99" s="299" t="str">
        <f t="shared" si="18"/>
        <v/>
      </c>
      <c r="J99" s="299" t="str">
        <f t="shared" si="18"/>
        <v/>
      </c>
      <c r="K99" s="299" t="str">
        <f t="shared" si="18"/>
        <v/>
      </c>
      <c r="L99" s="299" t="str">
        <f t="shared" si="18"/>
        <v/>
      </c>
      <c r="M99" s="299" t="str">
        <f t="shared" si="18"/>
        <v/>
      </c>
      <c r="N99" s="299" t="str">
        <f t="shared" si="18"/>
        <v/>
      </c>
      <c r="O99" s="300" t="str">
        <f t="shared" si="18"/>
        <v/>
      </c>
      <c r="P99" s="301">
        <f>INDEX('NARM6 - Risk Summary'!$D:$D,MATCH($C99,'NARM6 - Risk Summary'!$B:$B,0))</f>
        <v>0</v>
      </c>
      <c r="Q99" s="302">
        <f>INDEX('NARM6 - Risk Summary'!E:E,MATCH($C99,'NARM6 - Risk Summary'!$B:$B,0)+5)</f>
        <v>0</v>
      </c>
      <c r="R99" s="302">
        <f>INDEX('NARM6 - Risk Summary'!F:F,MATCH($C99,'NARM6 - Risk Summary'!$B:$B,0)+5)</f>
        <v>0</v>
      </c>
      <c r="S99" s="302">
        <f>INDEX('NARM6 - Risk Summary'!G:G,MATCH($C99,'NARM6 - Risk Summary'!$B:$B,0)+5)</f>
        <v>0</v>
      </c>
      <c r="T99" s="302">
        <f>INDEX('NARM6 - Risk Summary'!H:H,MATCH($C99,'NARM6 - Risk Summary'!$B:$B,0)+5)</f>
        <v>0</v>
      </c>
      <c r="U99" s="302">
        <f>INDEX('NARM6 - Risk Summary'!I:I,MATCH($C99,'NARM6 - Risk Summary'!$B:$B,0)+5)</f>
        <v>0</v>
      </c>
      <c r="V99" s="302">
        <f>INDEX('NARM6 - Risk Summary'!J:J,MATCH($C99,'NARM6 - Risk Summary'!$B:$B,0)+5)</f>
        <v>0</v>
      </c>
      <c r="W99" s="302">
        <f>INDEX('NARM6 - Risk Summary'!K:K,MATCH($C99,'NARM6 - Risk Summary'!$B:$B,0)+5)</f>
        <v>0</v>
      </c>
      <c r="X99" s="302">
        <f>INDEX('NARM6 - Risk Summary'!L:L,MATCH($C99,'NARM6 - Risk Summary'!$B:$B,0)+5)</f>
        <v>0</v>
      </c>
      <c r="Y99" s="302">
        <f>INDEX('NARM6 - Risk Summary'!M:M,MATCH($C99,'NARM6 - Risk Summary'!$B:$B,0)+5)</f>
        <v>0</v>
      </c>
      <c r="Z99" s="302">
        <f>INDEX('NARM6 - Risk Summary'!N:N,MATCH($C99,'NARM6 - Risk Summary'!$B:$B,0)+5)</f>
        <v>0</v>
      </c>
      <c r="AA99" s="303">
        <f>INDEX('NARM6 - Risk Summary'!O:O,MATCH($C99,'NARM6 - Risk Summary'!$B:$B,0)+4)</f>
        <v>0</v>
      </c>
    </row>
    <row r="100" spans="2:27">
      <c r="B100" s="541">
        <v>37</v>
      </c>
      <c r="C100" s="166" t="s">
        <v>80</v>
      </c>
      <c r="D100" s="298" t="str">
        <f t="shared" si="17"/>
        <v/>
      </c>
      <c r="E100" s="299" t="str">
        <f t="shared" si="17"/>
        <v/>
      </c>
      <c r="F100" s="299" t="str">
        <f t="shared" si="17"/>
        <v/>
      </c>
      <c r="G100" s="299" t="str">
        <f t="shared" si="18"/>
        <v/>
      </c>
      <c r="H100" s="299" t="str">
        <f t="shared" si="18"/>
        <v/>
      </c>
      <c r="I100" s="299" t="str">
        <f t="shared" si="18"/>
        <v/>
      </c>
      <c r="J100" s="299" t="str">
        <f t="shared" si="18"/>
        <v/>
      </c>
      <c r="K100" s="299" t="str">
        <f t="shared" si="18"/>
        <v/>
      </c>
      <c r="L100" s="299" t="str">
        <f t="shared" si="18"/>
        <v/>
      </c>
      <c r="M100" s="299" t="str">
        <f t="shared" si="18"/>
        <v/>
      </c>
      <c r="N100" s="299" t="str">
        <f t="shared" si="18"/>
        <v/>
      </c>
      <c r="O100" s="300" t="str">
        <f t="shared" si="18"/>
        <v/>
      </c>
      <c r="P100" s="301">
        <f>INDEX('NARM6 - Risk Summary'!$D:$D,MATCH($C100,'NARM6 - Risk Summary'!$B:$B,0))</f>
        <v>0</v>
      </c>
      <c r="Q100" s="302">
        <f>INDEX('NARM6 - Risk Summary'!E:E,MATCH($C100,'NARM6 - Risk Summary'!$B:$B,0)+5)</f>
        <v>0</v>
      </c>
      <c r="R100" s="302">
        <f>INDEX('NARM6 - Risk Summary'!F:F,MATCH($C100,'NARM6 - Risk Summary'!$B:$B,0)+5)</f>
        <v>0</v>
      </c>
      <c r="S100" s="302">
        <f>INDEX('NARM6 - Risk Summary'!G:G,MATCH($C100,'NARM6 - Risk Summary'!$B:$B,0)+5)</f>
        <v>0</v>
      </c>
      <c r="T100" s="302">
        <f>INDEX('NARM6 - Risk Summary'!H:H,MATCH($C100,'NARM6 - Risk Summary'!$B:$B,0)+5)</f>
        <v>0</v>
      </c>
      <c r="U100" s="302">
        <f>INDEX('NARM6 - Risk Summary'!I:I,MATCH($C100,'NARM6 - Risk Summary'!$B:$B,0)+5)</f>
        <v>0</v>
      </c>
      <c r="V100" s="302">
        <f>INDEX('NARM6 - Risk Summary'!J:J,MATCH($C100,'NARM6 - Risk Summary'!$B:$B,0)+5)</f>
        <v>0</v>
      </c>
      <c r="W100" s="302">
        <f>INDEX('NARM6 - Risk Summary'!K:K,MATCH($C100,'NARM6 - Risk Summary'!$B:$B,0)+5)</f>
        <v>0</v>
      </c>
      <c r="X100" s="302">
        <f>INDEX('NARM6 - Risk Summary'!L:L,MATCH($C100,'NARM6 - Risk Summary'!$B:$B,0)+5)</f>
        <v>0</v>
      </c>
      <c r="Y100" s="302">
        <f>INDEX('NARM6 - Risk Summary'!M:M,MATCH($C100,'NARM6 - Risk Summary'!$B:$B,0)+5)</f>
        <v>0</v>
      </c>
      <c r="Z100" s="302">
        <f>INDEX('NARM6 - Risk Summary'!N:N,MATCH($C100,'NARM6 - Risk Summary'!$B:$B,0)+5)</f>
        <v>0</v>
      </c>
      <c r="AA100" s="303">
        <f>INDEX('NARM6 - Risk Summary'!O:O,MATCH($C100,'NARM6 - Risk Summary'!$B:$B,0)+4)</f>
        <v>0</v>
      </c>
    </row>
    <row r="101" spans="2:27">
      <c r="B101" s="541">
        <v>38</v>
      </c>
      <c r="C101" s="166" t="s">
        <v>174</v>
      </c>
      <c r="D101" s="298" t="str">
        <f t="shared" si="17"/>
        <v/>
      </c>
      <c r="E101" s="299" t="str">
        <f t="shared" si="17"/>
        <v/>
      </c>
      <c r="F101" s="299" t="str">
        <f t="shared" si="17"/>
        <v/>
      </c>
      <c r="G101" s="299" t="str">
        <f t="shared" si="18"/>
        <v/>
      </c>
      <c r="H101" s="299" t="str">
        <f t="shared" si="18"/>
        <v/>
      </c>
      <c r="I101" s="299" t="str">
        <f t="shared" si="18"/>
        <v/>
      </c>
      <c r="J101" s="299" t="str">
        <f t="shared" si="18"/>
        <v/>
      </c>
      <c r="K101" s="299" t="str">
        <f t="shared" si="18"/>
        <v/>
      </c>
      <c r="L101" s="299" t="str">
        <f t="shared" si="18"/>
        <v/>
      </c>
      <c r="M101" s="299" t="str">
        <f t="shared" si="18"/>
        <v/>
      </c>
      <c r="N101" s="299" t="str">
        <f t="shared" si="18"/>
        <v/>
      </c>
      <c r="O101" s="300" t="str">
        <f t="shared" si="18"/>
        <v/>
      </c>
      <c r="P101" s="301">
        <f>INDEX('NARM6 - Risk Summary'!$D:$D,MATCH($C101,'NARM6 - Risk Summary'!$B:$B,0))</f>
        <v>0</v>
      </c>
      <c r="Q101" s="302">
        <f>INDEX('NARM6 - Risk Summary'!E:E,MATCH($C101,'NARM6 - Risk Summary'!$B:$B,0)+5)</f>
        <v>0</v>
      </c>
      <c r="R101" s="302">
        <f>INDEX('NARM6 - Risk Summary'!F:F,MATCH($C101,'NARM6 - Risk Summary'!$B:$B,0)+5)</f>
        <v>0</v>
      </c>
      <c r="S101" s="302">
        <f>INDEX('NARM6 - Risk Summary'!G:G,MATCH($C101,'NARM6 - Risk Summary'!$B:$B,0)+5)</f>
        <v>0</v>
      </c>
      <c r="T101" s="302">
        <f>INDEX('NARM6 - Risk Summary'!H:H,MATCH($C101,'NARM6 - Risk Summary'!$B:$B,0)+5)</f>
        <v>0</v>
      </c>
      <c r="U101" s="302">
        <f>INDEX('NARM6 - Risk Summary'!I:I,MATCH($C101,'NARM6 - Risk Summary'!$B:$B,0)+5)</f>
        <v>0</v>
      </c>
      <c r="V101" s="302">
        <f>INDEX('NARM6 - Risk Summary'!J:J,MATCH($C101,'NARM6 - Risk Summary'!$B:$B,0)+5)</f>
        <v>0</v>
      </c>
      <c r="W101" s="302">
        <f>INDEX('NARM6 - Risk Summary'!K:K,MATCH($C101,'NARM6 - Risk Summary'!$B:$B,0)+5)</f>
        <v>0</v>
      </c>
      <c r="X101" s="302">
        <f>INDEX('NARM6 - Risk Summary'!L:L,MATCH($C101,'NARM6 - Risk Summary'!$B:$B,0)+5)</f>
        <v>0</v>
      </c>
      <c r="Y101" s="302">
        <f>INDEX('NARM6 - Risk Summary'!M:M,MATCH($C101,'NARM6 - Risk Summary'!$B:$B,0)+5)</f>
        <v>0</v>
      </c>
      <c r="Z101" s="302">
        <f>INDEX('NARM6 - Risk Summary'!N:N,MATCH($C101,'NARM6 - Risk Summary'!$B:$B,0)+5)</f>
        <v>0</v>
      </c>
      <c r="AA101" s="303">
        <f>INDEX('NARM6 - Risk Summary'!O:O,MATCH($C101,'NARM6 - Risk Summary'!$B:$B,0)+4)</f>
        <v>0</v>
      </c>
    </row>
    <row r="102" spans="2:27">
      <c r="B102" s="541">
        <v>39</v>
      </c>
      <c r="C102" s="166" t="s">
        <v>76</v>
      </c>
      <c r="D102" s="298" t="str">
        <f t="shared" si="17"/>
        <v/>
      </c>
      <c r="E102" s="299" t="str">
        <f t="shared" si="17"/>
        <v/>
      </c>
      <c r="F102" s="299" t="str">
        <f t="shared" si="17"/>
        <v/>
      </c>
      <c r="G102" s="299" t="str">
        <f t="shared" si="18"/>
        <v/>
      </c>
      <c r="H102" s="299" t="str">
        <f t="shared" si="18"/>
        <v/>
      </c>
      <c r="I102" s="299" t="str">
        <f t="shared" si="18"/>
        <v/>
      </c>
      <c r="J102" s="299" t="str">
        <f t="shared" si="18"/>
        <v/>
      </c>
      <c r="K102" s="299" t="str">
        <f t="shared" si="18"/>
        <v/>
      </c>
      <c r="L102" s="299" t="str">
        <f t="shared" si="18"/>
        <v/>
      </c>
      <c r="M102" s="299" t="str">
        <f t="shared" si="18"/>
        <v/>
      </c>
      <c r="N102" s="299" t="str">
        <f t="shared" si="18"/>
        <v/>
      </c>
      <c r="O102" s="300" t="str">
        <f t="shared" si="18"/>
        <v/>
      </c>
      <c r="P102" s="301">
        <f>INDEX('NARM6 - Risk Summary'!$D:$D,MATCH($C102,'NARM6 - Risk Summary'!$B:$B,0))</f>
        <v>0</v>
      </c>
      <c r="Q102" s="302">
        <f>INDEX('NARM6 - Risk Summary'!E:E,MATCH($C102,'NARM6 - Risk Summary'!$B:$B,0)+5)</f>
        <v>0</v>
      </c>
      <c r="R102" s="302">
        <f>INDEX('NARM6 - Risk Summary'!F:F,MATCH($C102,'NARM6 - Risk Summary'!$B:$B,0)+5)</f>
        <v>0</v>
      </c>
      <c r="S102" s="302">
        <f>INDEX('NARM6 - Risk Summary'!G:G,MATCH($C102,'NARM6 - Risk Summary'!$B:$B,0)+5)</f>
        <v>0</v>
      </c>
      <c r="T102" s="302">
        <f>INDEX('NARM6 - Risk Summary'!H:H,MATCH($C102,'NARM6 - Risk Summary'!$B:$B,0)+5)</f>
        <v>0</v>
      </c>
      <c r="U102" s="302">
        <f>INDEX('NARM6 - Risk Summary'!I:I,MATCH($C102,'NARM6 - Risk Summary'!$B:$B,0)+5)</f>
        <v>0</v>
      </c>
      <c r="V102" s="302">
        <f>INDEX('NARM6 - Risk Summary'!J:J,MATCH($C102,'NARM6 - Risk Summary'!$B:$B,0)+5)</f>
        <v>0</v>
      </c>
      <c r="W102" s="302">
        <f>INDEX('NARM6 - Risk Summary'!K:K,MATCH($C102,'NARM6 - Risk Summary'!$B:$B,0)+5)</f>
        <v>0</v>
      </c>
      <c r="X102" s="302">
        <f>INDEX('NARM6 - Risk Summary'!L:L,MATCH($C102,'NARM6 - Risk Summary'!$B:$B,0)+5)</f>
        <v>0</v>
      </c>
      <c r="Y102" s="302">
        <f>INDEX('NARM6 - Risk Summary'!M:M,MATCH($C102,'NARM6 - Risk Summary'!$B:$B,0)+5)</f>
        <v>0</v>
      </c>
      <c r="Z102" s="302">
        <f>INDEX('NARM6 - Risk Summary'!N:N,MATCH($C102,'NARM6 - Risk Summary'!$B:$B,0)+5)</f>
        <v>0</v>
      </c>
      <c r="AA102" s="303">
        <f>INDEX('NARM6 - Risk Summary'!O:O,MATCH($C102,'NARM6 - Risk Summary'!$B:$B,0)+4)</f>
        <v>0</v>
      </c>
    </row>
    <row r="103" spans="2:27">
      <c r="B103" s="541">
        <v>40</v>
      </c>
      <c r="C103" s="166" t="s">
        <v>81</v>
      </c>
      <c r="D103" s="298" t="str">
        <f t="shared" si="17"/>
        <v/>
      </c>
      <c r="E103" s="299" t="str">
        <f t="shared" si="17"/>
        <v/>
      </c>
      <c r="F103" s="299" t="str">
        <f t="shared" si="17"/>
        <v/>
      </c>
      <c r="G103" s="299" t="str">
        <f t="shared" si="18"/>
        <v/>
      </c>
      <c r="H103" s="299" t="str">
        <f t="shared" si="18"/>
        <v/>
      </c>
      <c r="I103" s="299" t="str">
        <f t="shared" si="18"/>
        <v/>
      </c>
      <c r="J103" s="299" t="str">
        <f t="shared" si="18"/>
        <v/>
      </c>
      <c r="K103" s="299" t="str">
        <f t="shared" si="18"/>
        <v/>
      </c>
      <c r="L103" s="299" t="str">
        <f t="shared" si="18"/>
        <v/>
      </c>
      <c r="M103" s="299" t="str">
        <f t="shared" si="18"/>
        <v/>
      </c>
      <c r="N103" s="299" t="str">
        <f t="shared" si="18"/>
        <v/>
      </c>
      <c r="O103" s="300" t="str">
        <f t="shared" si="18"/>
        <v/>
      </c>
      <c r="P103" s="301">
        <f>INDEX('NARM6 - Risk Summary'!$D:$D,MATCH($C103,'NARM6 - Risk Summary'!$B:$B,0))</f>
        <v>0</v>
      </c>
      <c r="Q103" s="302">
        <f>INDEX('NARM6 - Risk Summary'!E:E,MATCH($C103,'NARM6 - Risk Summary'!$B:$B,0)+5)</f>
        <v>0</v>
      </c>
      <c r="R103" s="302">
        <f>INDEX('NARM6 - Risk Summary'!F:F,MATCH($C103,'NARM6 - Risk Summary'!$B:$B,0)+5)</f>
        <v>0</v>
      </c>
      <c r="S103" s="302">
        <f>INDEX('NARM6 - Risk Summary'!G:G,MATCH($C103,'NARM6 - Risk Summary'!$B:$B,0)+5)</f>
        <v>0</v>
      </c>
      <c r="T103" s="302">
        <f>INDEX('NARM6 - Risk Summary'!H:H,MATCH($C103,'NARM6 - Risk Summary'!$B:$B,0)+5)</f>
        <v>0</v>
      </c>
      <c r="U103" s="302">
        <f>INDEX('NARM6 - Risk Summary'!I:I,MATCH($C103,'NARM6 - Risk Summary'!$B:$B,0)+5)</f>
        <v>0</v>
      </c>
      <c r="V103" s="302">
        <f>INDEX('NARM6 - Risk Summary'!J:J,MATCH($C103,'NARM6 - Risk Summary'!$B:$B,0)+5)</f>
        <v>0</v>
      </c>
      <c r="W103" s="302">
        <f>INDEX('NARM6 - Risk Summary'!K:K,MATCH($C103,'NARM6 - Risk Summary'!$B:$B,0)+5)</f>
        <v>0</v>
      </c>
      <c r="X103" s="302">
        <f>INDEX('NARM6 - Risk Summary'!L:L,MATCH($C103,'NARM6 - Risk Summary'!$B:$B,0)+5)</f>
        <v>0</v>
      </c>
      <c r="Y103" s="302">
        <f>INDEX('NARM6 - Risk Summary'!M:M,MATCH($C103,'NARM6 - Risk Summary'!$B:$B,0)+5)</f>
        <v>0</v>
      </c>
      <c r="Z103" s="302">
        <f>INDEX('NARM6 - Risk Summary'!N:N,MATCH($C103,'NARM6 - Risk Summary'!$B:$B,0)+5)</f>
        <v>0</v>
      </c>
      <c r="AA103" s="303">
        <f>INDEX('NARM6 - Risk Summary'!O:O,MATCH($C103,'NARM6 - Risk Summary'!$B:$B,0)+4)</f>
        <v>0</v>
      </c>
    </row>
    <row r="104" spans="2:27">
      <c r="B104" s="541">
        <v>41</v>
      </c>
      <c r="C104" s="166" t="s">
        <v>82</v>
      </c>
      <c r="D104" s="298" t="str">
        <f t="shared" si="17"/>
        <v/>
      </c>
      <c r="E104" s="299" t="str">
        <f t="shared" si="17"/>
        <v/>
      </c>
      <c r="F104" s="299" t="str">
        <f t="shared" si="17"/>
        <v/>
      </c>
      <c r="G104" s="299" t="str">
        <f t="shared" si="18"/>
        <v/>
      </c>
      <c r="H104" s="299" t="str">
        <f t="shared" si="18"/>
        <v/>
      </c>
      <c r="I104" s="299" t="str">
        <f t="shared" si="18"/>
        <v/>
      </c>
      <c r="J104" s="299" t="str">
        <f t="shared" si="18"/>
        <v/>
      </c>
      <c r="K104" s="299" t="str">
        <f t="shared" si="18"/>
        <v/>
      </c>
      <c r="L104" s="299" t="str">
        <f t="shared" si="18"/>
        <v/>
      </c>
      <c r="M104" s="299" t="str">
        <f t="shared" si="18"/>
        <v/>
      </c>
      <c r="N104" s="299" t="str">
        <f t="shared" si="18"/>
        <v/>
      </c>
      <c r="O104" s="300" t="str">
        <f t="shared" si="18"/>
        <v/>
      </c>
      <c r="P104" s="301">
        <f>INDEX('NARM6 - Risk Summary'!$D:$D,MATCH($C104,'NARM6 - Risk Summary'!$B:$B,0))</f>
        <v>0</v>
      </c>
      <c r="Q104" s="302">
        <f>INDEX('NARM6 - Risk Summary'!E:E,MATCH($C104,'NARM6 - Risk Summary'!$B:$B,0)+5)</f>
        <v>0</v>
      </c>
      <c r="R104" s="302">
        <f>INDEX('NARM6 - Risk Summary'!F:F,MATCH($C104,'NARM6 - Risk Summary'!$B:$B,0)+5)</f>
        <v>0</v>
      </c>
      <c r="S104" s="302">
        <f>INDEX('NARM6 - Risk Summary'!G:G,MATCH($C104,'NARM6 - Risk Summary'!$B:$B,0)+5)</f>
        <v>0</v>
      </c>
      <c r="T104" s="302">
        <f>INDEX('NARM6 - Risk Summary'!H:H,MATCH($C104,'NARM6 - Risk Summary'!$B:$B,0)+5)</f>
        <v>0</v>
      </c>
      <c r="U104" s="302">
        <f>INDEX('NARM6 - Risk Summary'!I:I,MATCH($C104,'NARM6 - Risk Summary'!$B:$B,0)+5)</f>
        <v>0</v>
      </c>
      <c r="V104" s="302">
        <f>INDEX('NARM6 - Risk Summary'!J:J,MATCH($C104,'NARM6 - Risk Summary'!$B:$B,0)+5)</f>
        <v>0</v>
      </c>
      <c r="W104" s="302">
        <f>INDEX('NARM6 - Risk Summary'!K:K,MATCH($C104,'NARM6 - Risk Summary'!$B:$B,0)+5)</f>
        <v>0</v>
      </c>
      <c r="X104" s="302">
        <f>INDEX('NARM6 - Risk Summary'!L:L,MATCH($C104,'NARM6 - Risk Summary'!$B:$B,0)+5)</f>
        <v>0</v>
      </c>
      <c r="Y104" s="302">
        <f>INDEX('NARM6 - Risk Summary'!M:M,MATCH($C104,'NARM6 - Risk Summary'!$B:$B,0)+5)</f>
        <v>0</v>
      </c>
      <c r="Z104" s="302">
        <f>INDEX('NARM6 - Risk Summary'!N:N,MATCH($C104,'NARM6 - Risk Summary'!$B:$B,0)+5)</f>
        <v>0</v>
      </c>
      <c r="AA104" s="303">
        <f>INDEX('NARM6 - Risk Summary'!O:O,MATCH($C104,'NARM6 - Risk Summary'!$B:$B,0)+4)</f>
        <v>0</v>
      </c>
    </row>
    <row r="105" spans="2:27" ht="14" thickBot="1">
      <c r="B105" s="541">
        <v>42</v>
      </c>
      <c r="C105" s="178" t="s">
        <v>83</v>
      </c>
      <c r="D105" s="349" t="str">
        <f t="shared" si="17"/>
        <v/>
      </c>
      <c r="E105" s="350" t="str">
        <f t="shared" si="17"/>
        <v/>
      </c>
      <c r="F105" s="350" t="str">
        <f t="shared" si="17"/>
        <v/>
      </c>
      <c r="G105" s="350" t="str">
        <f t="shared" si="18"/>
        <v/>
      </c>
      <c r="H105" s="350" t="str">
        <f t="shared" si="18"/>
        <v/>
      </c>
      <c r="I105" s="350" t="str">
        <f t="shared" si="18"/>
        <v/>
      </c>
      <c r="J105" s="350" t="str">
        <f t="shared" si="18"/>
        <v/>
      </c>
      <c r="K105" s="350" t="str">
        <f t="shared" si="18"/>
        <v/>
      </c>
      <c r="L105" s="350" t="str">
        <f t="shared" si="18"/>
        <v/>
      </c>
      <c r="M105" s="350" t="str">
        <f t="shared" si="18"/>
        <v/>
      </c>
      <c r="N105" s="350" t="str">
        <f t="shared" si="18"/>
        <v/>
      </c>
      <c r="O105" s="351" t="str">
        <f t="shared" si="18"/>
        <v/>
      </c>
      <c r="P105" s="352">
        <f>INDEX('NARM6 - Risk Summary'!$D:$D,MATCH($C105,'NARM6 - Risk Summary'!$B:$B,0))</f>
        <v>0</v>
      </c>
      <c r="Q105" s="353">
        <f>INDEX('NARM6 - Risk Summary'!E:E,MATCH($C105,'NARM6 - Risk Summary'!$B:$B,0)+5)</f>
        <v>0</v>
      </c>
      <c r="R105" s="353">
        <f>INDEX('NARM6 - Risk Summary'!F:F,MATCH($C105,'NARM6 - Risk Summary'!$B:$B,0)+5)</f>
        <v>0</v>
      </c>
      <c r="S105" s="353">
        <f>INDEX('NARM6 - Risk Summary'!G:G,MATCH($C105,'NARM6 - Risk Summary'!$B:$B,0)+5)</f>
        <v>0</v>
      </c>
      <c r="T105" s="353">
        <f>INDEX('NARM6 - Risk Summary'!H:H,MATCH($C105,'NARM6 - Risk Summary'!$B:$B,0)+5)</f>
        <v>0</v>
      </c>
      <c r="U105" s="353">
        <f>INDEX('NARM6 - Risk Summary'!I:I,MATCH($C105,'NARM6 - Risk Summary'!$B:$B,0)+5)</f>
        <v>0</v>
      </c>
      <c r="V105" s="353">
        <f>INDEX('NARM6 - Risk Summary'!J:J,MATCH($C105,'NARM6 - Risk Summary'!$B:$B,0)+5)</f>
        <v>0</v>
      </c>
      <c r="W105" s="353">
        <f>INDEX('NARM6 - Risk Summary'!K:K,MATCH($C105,'NARM6 - Risk Summary'!$B:$B,0)+5)</f>
        <v>0</v>
      </c>
      <c r="X105" s="353">
        <f>INDEX('NARM6 - Risk Summary'!L:L,MATCH($C105,'NARM6 - Risk Summary'!$B:$B,0)+5)</f>
        <v>0</v>
      </c>
      <c r="Y105" s="353">
        <f>INDEX('NARM6 - Risk Summary'!M:M,MATCH($C105,'NARM6 - Risk Summary'!$B:$B,0)+5)</f>
        <v>0</v>
      </c>
      <c r="Z105" s="353">
        <f>INDEX('NARM6 - Risk Summary'!N:N,MATCH($C105,'NARM6 - Risk Summary'!$B:$B,0)+5)</f>
        <v>0</v>
      </c>
      <c r="AA105" s="354">
        <f>INDEX('NARM6 - Risk Summary'!O:O,MATCH($C105,'NARM6 - Risk Summary'!$B:$B,0)+4)</f>
        <v>0</v>
      </c>
    </row>
    <row r="106" spans="2:27" ht="14" thickTop="1">
      <c r="B106" s="541">
        <v>43</v>
      </c>
      <c r="C106" s="153" t="s">
        <v>73</v>
      </c>
      <c r="D106" s="304" t="str">
        <f t="shared" si="17"/>
        <v/>
      </c>
      <c r="E106" s="305" t="str">
        <f t="shared" si="17"/>
        <v/>
      </c>
      <c r="F106" s="305" t="str">
        <f t="shared" si="17"/>
        <v/>
      </c>
      <c r="G106" s="305" t="str">
        <f t="shared" si="18"/>
        <v/>
      </c>
      <c r="H106" s="305" t="str">
        <f t="shared" si="18"/>
        <v/>
      </c>
      <c r="I106" s="305" t="str">
        <f t="shared" si="18"/>
        <v/>
      </c>
      <c r="J106" s="305" t="str">
        <f t="shared" si="18"/>
        <v/>
      </c>
      <c r="K106" s="305" t="str">
        <f t="shared" si="18"/>
        <v/>
      </c>
      <c r="L106" s="305" t="str">
        <f t="shared" si="18"/>
        <v/>
      </c>
      <c r="M106" s="305" t="str">
        <f t="shared" si="18"/>
        <v/>
      </c>
      <c r="N106" s="305" t="str">
        <f t="shared" si="18"/>
        <v/>
      </c>
      <c r="O106" s="306" t="str">
        <f t="shared" si="18"/>
        <v/>
      </c>
      <c r="P106" s="307">
        <f>INDEX('NARM6 - Risk Summary'!$D:$D,MATCH($C106,'NARM6 - Risk Summary'!$B:$B,0))</f>
        <v>0</v>
      </c>
      <c r="Q106" s="308">
        <f>INDEX('NARM6 - Risk Summary'!E:E,MATCH($C106,'NARM6 - Risk Summary'!$B:$B,0)+5)</f>
        <v>0</v>
      </c>
      <c r="R106" s="308">
        <f>INDEX('NARM6 - Risk Summary'!F:F,MATCH($C106,'NARM6 - Risk Summary'!$B:$B,0)+5)</f>
        <v>0</v>
      </c>
      <c r="S106" s="308">
        <f>INDEX('NARM6 - Risk Summary'!G:G,MATCH($C106,'NARM6 - Risk Summary'!$B:$B,0)+5)</f>
        <v>0</v>
      </c>
      <c r="T106" s="308">
        <f>INDEX('NARM6 - Risk Summary'!H:H,MATCH($C106,'NARM6 - Risk Summary'!$B:$B,0)+5)</f>
        <v>0</v>
      </c>
      <c r="U106" s="308">
        <f>INDEX('NARM6 - Risk Summary'!I:I,MATCH($C106,'NARM6 - Risk Summary'!$B:$B,0)+5)</f>
        <v>0</v>
      </c>
      <c r="V106" s="308">
        <f>INDEX('NARM6 - Risk Summary'!J:J,MATCH($C106,'NARM6 - Risk Summary'!$B:$B,0)+5)</f>
        <v>0</v>
      </c>
      <c r="W106" s="308">
        <f>INDEX('NARM6 - Risk Summary'!K:K,MATCH($C106,'NARM6 - Risk Summary'!$B:$B,0)+5)</f>
        <v>0</v>
      </c>
      <c r="X106" s="308">
        <f>INDEX('NARM6 - Risk Summary'!L:L,MATCH($C106,'NARM6 - Risk Summary'!$B:$B,0)+5)</f>
        <v>0</v>
      </c>
      <c r="Y106" s="308">
        <f>INDEX('NARM6 - Risk Summary'!M:M,MATCH($C106,'NARM6 - Risk Summary'!$B:$B,0)+5)</f>
        <v>0</v>
      </c>
      <c r="Z106" s="308">
        <f>INDEX('NARM6 - Risk Summary'!N:N,MATCH($C106,'NARM6 - Risk Summary'!$B:$B,0)+5)</f>
        <v>0</v>
      </c>
      <c r="AA106" s="309">
        <f>INDEX('NARM6 - Risk Summary'!O:O,MATCH($C106,'NARM6 - Risk Summary'!$B:$B,0)+4)</f>
        <v>0</v>
      </c>
    </row>
    <row r="107" spans="2:27">
      <c r="B107" s="541">
        <v>44</v>
      </c>
      <c r="C107" s="166" t="s">
        <v>78</v>
      </c>
      <c r="D107" s="298" t="str">
        <f t="shared" ref="D107:D124" si="19">IFERROR(P107/$P107,"")</f>
        <v/>
      </c>
      <c r="E107" s="299" t="str">
        <f t="shared" ref="E107:E124" si="20">IFERROR(Q107/$P107,"")</f>
        <v/>
      </c>
      <c r="F107" s="299" t="str">
        <f t="shared" ref="F107:F124" si="21">IFERROR(R107/$P107,"")</f>
        <v/>
      </c>
      <c r="G107" s="299" t="str">
        <f t="shared" ref="G107:G124" si="22">IFERROR(S107/$P107,"")</f>
        <v/>
      </c>
      <c r="H107" s="299" t="str">
        <f t="shared" ref="H107:H124" si="23">IFERROR(T107/$P107,"")</f>
        <v/>
      </c>
      <c r="I107" s="299" t="str">
        <f t="shared" ref="I107:I124" si="24">IFERROR(U107/$P107,"")</f>
        <v/>
      </c>
      <c r="J107" s="299" t="str">
        <f t="shared" ref="J107:J124" si="25">IFERROR(V107/$P107,"")</f>
        <v/>
      </c>
      <c r="K107" s="299" t="str">
        <f t="shared" ref="K107:K124" si="26">IFERROR(W107/$P107,"")</f>
        <v/>
      </c>
      <c r="L107" s="299" t="str">
        <f t="shared" ref="L107:L124" si="27">IFERROR(X107/$P107,"")</f>
        <v/>
      </c>
      <c r="M107" s="299" t="str">
        <f t="shared" ref="M107:M124" si="28">IFERROR(Y107/$P107,"")</f>
        <v/>
      </c>
      <c r="N107" s="299" t="str">
        <f t="shared" ref="N107:N124" si="29">IFERROR(Z107/$P107,"")</f>
        <v/>
      </c>
      <c r="O107" s="300" t="str">
        <f t="shared" ref="O107:O124" si="30">IFERROR(AA107/$P107,"")</f>
        <v/>
      </c>
      <c r="P107" s="301">
        <f>INDEX('NARM6 - Risk Summary'!$D:$D,MATCH($C107,'NARM6 - Risk Summary'!$B:$B,0))</f>
        <v>0</v>
      </c>
      <c r="Q107" s="302">
        <f>INDEX('NARM6 - Risk Summary'!E:E,MATCH($C107,'NARM6 - Risk Summary'!$B:$B,0)+5)</f>
        <v>0</v>
      </c>
      <c r="R107" s="302">
        <f>INDEX('NARM6 - Risk Summary'!F:F,MATCH($C107,'NARM6 - Risk Summary'!$B:$B,0)+5)</f>
        <v>0</v>
      </c>
      <c r="S107" s="302">
        <f>INDEX('NARM6 - Risk Summary'!G:G,MATCH($C107,'NARM6 - Risk Summary'!$B:$B,0)+5)</f>
        <v>0</v>
      </c>
      <c r="T107" s="302">
        <f>INDEX('NARM6 - Risk Summary'!H:H,MATCH($C107,'NARM6 - Risk Summary'!$B:$B,0)+5)</f>
        <v>0</v>
      </c>
      <c r="U107" s="302">
        <f>INDEX('NARM6 - Risk Summary'!I:I,MATCH($C107,'NARM6 - Risk Summary'!$B:$B,0)+5)</f>
        <v>0</v>
      </c>
      <c r="V107" s="302">
        <f>INDEX('NARM6 - Risk Summary'!J:J,MATCH($C107,'NARM6 - Risk Summary'!$B:$B,0)+5)</f>
        <v>0</v>
      </c>
      <c r="W107" s="302">
        <f>INDEX('NARM6 - Risk Summary'!K:K,MATCH($C107,'NARM6 - Risk Summary'!$B:$B,0)+5)</f>
        <v>0</v>
      </c>
      <c r="X107" s="302">
        <f>INDEX('NARM6 - Risk Summary'!L:L,MATCH($C107,'NARM6 - Risk Summary'!$B:$B,0)+5)</f>
        <v>0</v>
      </c>
      <c r="Y107" s="302">
        <f>INDEX('NARM6 - Risk Summary'!M:M,MATCH($C107,'NARM6 - Risk Summary'!$B:$B,0)+5)</f>
        <v>0</v>
      </c>
      <c r="Z107" s="302">
        <f>INDEX('NARM6 - Risk Summary'!N:N,MATCH($C107,'NARM6 - Risk Summary'!$B:$B,0)+5)</f>
        <v>0</v>
      </c>
      <c r="AA107" s="303">
        <f>INDEX('NARM6 - Risk Summary'!O:O,MATCH($C107,'NARM6 - Risk Summary'!$B:$B,0)+4)</f>
        <v>0</v>
      </c>
    </row>
    <row r="108" spans="2:27">
      <c r="B108" s="541">
        <v>45</v>
      </c>
      <c r="C108" s="166" t="s">
        <v>99</v>
      </c>
      <c r="D108" s="298" t="str">
        <f t="shared" si="19"/>
        <v/>
      </c>
      <c r="E108" s="299" t="str">
        <f t="shared" si="20"/>
        <v/>
      </c>
      <c r="F108" s="299" t="str">
        <f t="shared" si="21"/>
        <v/>
      </c>
      <c r="G108" s="299" t="str">
        <f t="shared" si="22"/>
        <v/>
      </c>
      <c r="H108" s="299" t="str">
        <f t="shared" si="23"/>
        <v/>
      </c>
      <c r="I108" s="299" t="str">
        <f t="shared" si="24"/>
        <v/>
      </c>
      <c r="J108" s="299" t="str">
        <f t="shared" si="25"/>
        <v/>
      </c>
      <c r="K108" s="299" t="str">
        <f t="shared" si="26"/>
        <v/>
      </c>
      <c r="L108" s="299" t="str">
        <f t="shared" si="27"/>
        <v/>
      </c>
      <c r="M108" s="299" t="str">
        <f t="shared" si="28"/>
        <v/>
      </c>
      <c r="N108" s="299" t="str">
        <f t="shared" si="29"/>
        <v/>
      </c>
      <c r="O108" s="300" t="str">
        <f t="shared" si="30"/>
        <v/>
      </c>
      <c r="P108" s="301">
        <f>INDEX('NARM6 - Risk Summary'!$D:$D,MATCH($C108,'NARM6 - Risk Summary'!$B:$B,0))</f>
        <v>0</v>
      </c>
      <c r="Q108" s="302">
        <f>INDEX('NARM6 - Risk Summary'!E:E,MATCH($C108,'NARM6 - Risk Summary'!$B:$B,0)+5)</f>
        <v>0</v>
      </c>
      <c r="R108" s="302">
        <f>INDEX('NARM6 - Risk Summary'!F:F,MATCH($C108,'NARM6 - Risk Summary'!$B:$B,0)+5)</f>
        <v>0</v>
      </c>
      <c r="S108" s="302">
        <f>INDEX('NARM6 - Risk Summary'!G:G,MATCH($C108,'NARM6 - Risk Summary'!$B:$B,0)+5)</f>
        <v>0</v>
      </c>
      <c r="T108" s="302">
        <f>INDEX('NARM6 - Risk Summary'!H:H,MATCH($C108,'NARM6 - Risk Summary'!$B:$B,0)+5)</f>
        <v>0</v>
      </c>
      <c r="U108" s="302">
        <f>INDEX('NARM6 - Risk Summary'!I:I,MATCH($C108,'NARM6 - Risk Summary'!$B:$B,0)+5)</f>
        <v>0</v>
      </c>
      <c r="V108" s="302">
        <f>INDEX('NARM6 - Risk Summary'!J:J,MATCH($C108,'NARM6 - Risk Summary'!$B:$B,0)+5)</f>
        <v>0</v>
      </c>
      <c r="W108" s="302">
        <f>INDEX('NARM6 - Risk Summary'!K:K,MATCH($C108,'NARM6 - Risk Summary'!$B:$B,0)+5)</f>
        <v>0</v>
      </c>
      <c r="X108" s="302">
        <f>INDEX('NARM6 - Risk Summary'!L:L,MATCH($C108,'NARM6 - Risk Summary'!$B:$B,0)+5)</f>
        <v>0</v>
      </c>
      <c r="Y108" s="302">
        <f>INDEX('NARM6 - Risk Summary'!M:M,MATCH($C108,'NARM6 - Risk Summary'!$B:$B,0)+5)</f>
        <v>0</v>
      </c>
      <c r="Z108" s="302">
        <f>INDEX('NARM6 - Risk Summary'!N:N,MATCH($C108,'NARM6 - Risk Summary'!$B:$B,0)+5)</f>
        <v>0</v>
      </c>
      <c r="AA108" s="303">
        <f>INDEX('NARM6 - Risk Summary'!O:O,MATCH($C108,'NARM6 - Risk Summary'!$B:$B,0)+4)</f>
        <v>0</v>
      </c>
    </row>
    <row r="109" spans="2:27">
      <c r="B109" s="541">
        <v>46</v>
      </c>
      <c r="C109" s="166" t="s">
        <v>100</v>
      </c>
      <c r="D109" s="298" t="str">
        <f t="shared" si="19"/>
        <v/>
      </c>
      <c r="E109" s="299" t="str">
        <f t="shared" si="20"/>
        <v/>
      </c>
      <c r="F109" s="299" t="str">
        <f t="shared" si="21"/>
        <v/>
      </c>
      <c r="G109" s="299" t="str">
        <f t="shared" si="22"/>
        <v/>
      </c>
      <c r="H109" s="299" t="str">
        <f t="shared" si="23"/>
        <v/>
      </c>
      <c r="I109" s="299" t="str">
        <f t="shared" si="24"/>
        <v/>
      </c>
      <c r="J109" s="299" t="str">
        <f t="shared" si="25"/>
        <v/>
      </c>
      <c r="K109" s="299" t="str">
        <f t="shared" si="26"/>
        <v/>
      </c>
      <c r="L109" s="299" t="str">
        <f t="shared" si="27"/>
        <v/>
      </c>
      <c r="M109" s="299" t="str">
        <f t="shared" si="28"/>
        <v/>
      </c>
      <c r="N109" s="299" t="str">
        <f t="shared" si="29"/>
        <v/>
      </c>
      <c r="O109" s="300" t="str">
        <f t="shared" si="30"/>
        <v/>
      </c>
      <c r="P109" s="301">
        <f>INDEX('NARM6 - Risk Summary'!$D:$D,MATCH($C109,'NARM6 - Risk Summary'!$B:$B,0))</f>
        <v>0</v>
      </c>
      <c r="Q109" s="302">
        <f>INDEX('NARM6 - Risk Summary'!E:E,MATCH($C109,'NARM6 - Risk Summary'!$B:$B,0)+5)</f>
        <v>0</v>
      </c>
      <c r="R109" s="302">
        <f>INDEX('NARM6 - Risk Summary'!F:F,MATCH($C109,'NARM6 - Risk Summary'!$B:$B,0)+5)</f>
        <v>0</v>
      </c>
      <c r="S109" s="302">
        <f>INDEX('NARM6 - Risk Summary'!G:G,MATCH($C109,'NARM6 - Risk Summary'!$B:$B,0)+5)</f>
        <v>0</v>
      </c>
      <c r="T109" s="302">
        <f>INDEX('NARM6 - Risk Summary'!H:H,MATCH($C109,'NARM6 - Risk Summary'!$B:$B,0)+5)</f>
        <v>0</v>
      </c>
      <c r="U109" s="302">
        <f>INDEX('NARM6 - Risk Summary'!I:I,MATCH($C109,'NARM6 - Risk Summary'!$B:$B,0)+5)</f>
        <v>0</v>
      </c>
      <c r="V109" s="302">
        <f>INDEX('NARM6 - Risk Summary'!J:J,MATCH($C109,'NARM6 - Risk Summary'!$B:$B,0)+5)</f>
        <v>0</v>
      </c>
      <c r="W109" s="302">
        <f>INDEX('NARM6 - Risk Summary'!K:K,MATCH($C109,'NARM6 - Risk Summary'!$B:$B,0)+5)</f>
        <v>0</v>
      </c>
      <c r="X109" s="302">
        <f>INDEX('NARM6 - Risk Summary'!L:L,MATCH($C109,'NARM6 - Risk Summary'!$B:$B,0)+5)</f>
        <v>0</v>
      </c>
      <c r="Y109" s="302">
        <f>INDEX('NARM6 - Risk Summary'!M:M,MATCH($C109,'NARM6 - Risk Summary'!$B:$B,0)+5)</f>
        <v>0</v>
      </c>
      <c r="Z109" s="302">
        <f>INDEX('NARM6 - Risk Summary'!N:N,MATCH($C109,'NARM6 - Risk Summary'!$B:$B,0)+5)</f>
        <v>0</v>
      </c>
      <c r="AA109" s="303">
        <f>INDEX('NARM6 - Risk Summary'!O:O,MATCH($C109,'NARM6 - Risk Summary'!$B:$B,0)+4)</f>
        <v>0</v>
      </c>
    </row>
    <row r="110" spans="2:27">
      <c r="B110" s="541">
        <v>47</v>
      </c>
      <c r="C110" s="166" t="s">
        <v>101</v>
      </c>
      <c r="D110" s="298" t="str">
        <f t="shared" si="19"/>
        <v/>
      </c>
      <c r="E110" s="299" t="str">
        <f t="shared" si="20"/>
        <v/>
      </c>
      <c r="F110" s="299" t="str">
        <f t="shared" si="21"/>
        <v/>
      </c>
      <c r="G110" s="299" t="str">
        <f t="shared" si="22"/>
        <v/>
      </c>
      <c r="H110" s="299" t="str">
        <f t="shared" si="23"/>
        <v/>
      </c>
      <c r="I110" s="299" t="str">
        <f t="shared" si="24"/>
        <v/>
      </c>
      <c r="J110" s="299" t="str">
        <f t="shared" si="25"/>
        <v/>
      </c>
      <c r="K110" s="299" t="str">
        <f t="shared" si="26"/>
        <v/>
      </c>
      <c r="L110" s="299" t="str">
        <f t="shared" si="27"/>
        <v/>
      </c>
      <c r="M110" s="299" t="str">
        <f t="shared" si="28"/>
        <v/>
      </c>
      <c r="N110" s="299" t="str">
        <f t="shared" si="29"/>
        <v/>
      </c>
      <c r="O110" s="300" t="str">
        <f t="shared" si="30"/>
        <v/>
      </c>
      <c r="P110" s="301">
        <f>INDEX('NARM6 - Risk Summary'!$D:$D,MATCH($C110,'NARM6 - Risk Summary'!$B:$B,0))</f>
        <v>0</v>
      </c>
      <c r="Q110" s="302">
        <f>INDEX('NARM6 - Risk Summary'!E:E,MATCH($C110,'NARM6 - Risk Summary'!$B:$B,0)+5)</f>
        <v>0</v>
      </c>
      <c r="R110" s="302">
        <f>INDEX('NARM6 - Risk Summary'!F:F,MATCH($C110,'NARM6 - Risk Summary'!$B:$B,0)+5)</f>
        <v>0</v>
      </c>
      <c r="S110" s="302">
        <f>INDEX('NARM6 - Risk Summary'!G:G,MATCH($C110,'NARM6 - Risk Summary'!$B:$B,0)+5)</f>
        <v>0</v>
      </c>
      <c r="T110" s="302">
        <f>INDEX('NARM6 - Risk Summary'!H:H,MATCH($C110,'NARM6 - Risk Summary'!$B:$B,0)+5)</f>
        <v>0</v>
      </c>
      <c r="U110" s="302">
        <f>INDEX('NARM6 - Risk Summary'!I:I,MATCH($C110,'NARM6 - Risk Summary'!$B:$B,0)+5)</f>
        <v>0</v>
      </c>
      <c r="V110" s="302">
        <f>INDEX('NARM6 - Risk Summary'!J:J,MATCH($C110,'NARM6 - Risk Summary'!$B:$B,0)+5)</f>
        <v>0</v>
      </c>
      <c r="W110" s="302">
        <f>INDEX('NARM6 - Risk Summary'!K:K,MATCH($C110,'NARM6 - Risk Summary'!$B:$B,0)+5)</f>
        <v>0</v>
      </c>
      <c r="X110" s="302">
        <f>INDEX('NARM6 - Risk Summary'!L:L,MATCH($C110,'NARM6 - Risk Summary'!$B:$B,0)+5)</f>
        <v>0</v>
      </c>
      <c r="Y110" s="302">
        <f>INDEX('NARM6 - Risk Summary'!M:M,MATCH($C110,'NARM6 - Risk Summary'!$B:$B,0)+5)</f>
        <v>0</v>
      </c>
      <c r="Z110" s="302">
        <f>INDEX('NARM6 - Risk Summary'!N:N,MATCH($C110,'NARM6 - Risk Summary'!$B:$B,0)+5)</f>
        <v>0</v>
      </c>
      <c r="AA110" s="303">
        <f>INDEX('NARM6 - Risk Summary'!O:O,MATCH($C110,'NARM6 - Risk Summary'!$B:$B,0)+4)</f>
        <v>0</v>
      </c>
    </row>
    <row r="111" spans="2:27">
      <c r="B111" s="541">
        <v>48</v>
      </c>
      <c r="C111" s="166" t="s">
        <v>102</v>
      </c>
      <c r="D111" s="298" t="str">
        <f t="shared" si="19"/>
        <v/>
      </c>
      <c r="E111" s="299" t="str">
        <f t="shared" si="20"/>
        <v/>
      </c>
      <c r="F111" s="299" t="str">
        <f t="shared" si="21"/>
        <v/>
      </c>
      <c r="G111" s="299" t="str">
        <f t="shared" si="22"/>
        <v/>
      </c>
      <c r="H111" s="299" t="str">
        <f t="shared" si="23"/>
        <v/>
      </c>
      <c r="I111" s="299" t="str">
        <f t="shared" si="24"/>
        <v/>
      </c>
      <c r="J111" s="299" t="str">
        <f t="shared" si="25"/>
        <v/>
      </c>
      <c r="K111" s="299" t="str">
        <f t="shared" si="26"/>
        <v/>
      </c>
      <c r="L111" s="299" t="str">
        <f t="shared" si="27"/>
        <v/>
      </c>
      <c r="M111" s="299" t="str">
        <f t="shared" si="28"/>
        <v/>
      </c>
      <c r="N111" s="299" t="str">
        <f t="shared" si="29"/>
        <v/>
      </c>
      <c r="O111" s="300" t="str">
        <f t="shared" si="30"/>
        <v/>
      </c>
      <c r="P111" s="301">
        <f>INDEX('NARM6 - Risk Summary'!$D:$D,MATCH($C111,'NARM6 - Risk Summary'!$B:$B,0))</f>
        <v>0</v>
      </c>
      <c r="Q111" s="302">
        <f>INDEX('NARM6 - Risk Summary'!E:E,MATCH($C111,'NARM6 - Risk Summary'!$B:$B,0)+5)</f>
        <v>0</v>
      </c>
      <c r="R111" s="302">
        <f>INDEX('NARM6 - Risk Summary'!F:F,MATCH($C111,'NARM6 - Risk Summary'!$B:$B,0)+5)</f>
        <v>0</v>
      </c>
      <c r="S111" s="302">
        <f>INDEX('NARM6 - Risk Summary'!G:G,MATCH($C111,'NARM6 - Risk Summary'!$B:$B,0)+5)</f>
        <v>0</v>
      </c>
      <c r="T111" s="302">
        <f>INDEX('NARM6 - Risk Summary'!H:H,MATCH($C111,'NARM6 - Risk Summary'!$B:$B,0)+5)</f>
        <v>0</v>
      </c>
      <c r="U111" s="302">
        <f>INDEX('NARM6 - Risk Summary'!I:I,MATCH($C111,'NARM6 - Risk Summary'!$B:$B,0)+5)</f>
        <v>0</v>
      </c>
      <c r="V111" s="302">
        <f>INDEX('NARM6 - Risk Summary'!J:J,MATCH($C111,'NARM6 - Risk Summary'!$B:$B,0)+5)</f>
        <v>0</v>
      </c>
      <c r="W111" s="302">
        <f>INDEX('NARM6 - Risk Summary'!K:K,MATCH($C111,'NARM6 - Risk Summary'!$B:$B,0)+5)</f>
        <v>0</v>
      </c>
      <c r="X111" s="302">
        <f>INDEX('NARM6 - Risk Summary'!L:L,MATCH($C111,'NARM6 - Risk Summary'!$B:$B,0)+5)</f>
        <v>0</v>
      </c>
      <c r="Y111" s="302">
        <f>INDEX('NARM6 - Risk Summary'!M:M,MATCH($C111,'NARM6 - Risk Summary'!$B:$B,0)+5)</f>
        <v>0</v>
      </c>
      <c r="Z111" s="302">
        <f>INDEX('NARM6 - Risk Summary'!N:N,MATCH($C111,'NARM6 - Risk Summary'!$B:$B,0)+5)</f>
        <v>0</v>
      </c>
      <c r="AA111" s="303">
        <f>INDEX('NARM6 - Risk Summary'!O:O,MATCH($C111,'NARM6 - Risk Summary'!$B:$B,0)+4)</f>
        <v>0</v>
      </c>
    </row>
    <row r="112" spans="2:27">
      <c r="B112" s="541">
        <v>49</v>
      </c>
      <c r="C112" s="166" t="s">
        <v>103</v>
      </c>
      <c r="D112" s="298" t="str">
        <f t="shared" si="19"/>
        <v/>
      </c>
      <c r="E112" s="299" t="str">
        <f t="shared" si="20"/>
        <v/>
      </c>
      <c r="F112" s="299" t="str">
        <f t="shared" si="21"/>
        <v/>
      </c>
      <c r="G112" s="299" t="str">
        <f t="shared" si="22"/>
        <v/>
      </c>
      <c r="H112" s="299" t="str">
        <f t="shared" si="23"/>
        <v/>
      </c>
      <c r="I112" s="299" t="str">
        <f t="shared" si="24"/>
        <v/>
      </c>
      <c r="J112" s="299" t="str">
        <f t="shared" si="25"/>
        <v/>
      </c>
      <c r="K112" s="299" t="str">
        <f t="shared" si="26"/>
        <v/>
      </c>
      <c r="L112" s="299" t="str">
        <f t="shared" si="27"/>
        <v/>
      </c>
      <c r="M112" s="299" t="str">
        <f t="shared" si="28"/>
        <v/>
      </c>
      <c r="N112" s="299" t="str">
        <f t="shared" si="29"/>
        <v/>
      </c>
      <c r="O112" s="300" t="str">
        <f t="shared" si="30"/>
        <v/>
      </c>
      <c r="P112" s="301">
        <f>INDEX('NARM6 - Risk Summary'!$D:$D,MATCH($C112,'NARM6 - Risk Summary'!$B:$B,0))</f>
        <v>0</v>
      </c>
      <c r="Q112" s="302">
        <f>INDEX('NARM6 - Risk Summary'!E:E,MATCH($C112,'NARM6 - Risk Summary'!$B:$B,0)+5)</f>
        <v>0</v>
      </c>
      <c r="R112" s="302">
        <f>INDEX('NARM6 - Risk Summary'!F:F,MATCH($C112,'NARM6 - Risk Summary'!$B:$B,0)+5)</f>
        <v>0</v>
      </c>
      <c r="S112" s="302">
        <f>INDEX('NARM6 - Risk Summary'!G:G,MATCH($C112,'NARM6 - Risk Summary'!$B:$B,0)+5)</f>
        <v>0</v>
      </c>
      <c r="T112" s="302">
        <f>INDEX('NARM6 - Risk Summary'!H:H,MATCH($C112,'NARM6 - Risk Summary'!$B:$B,0)+5)</f>
        <v>0</v>
      </c>
      <c r="U112" s="302">
        <f>INDEX('NARM6 - Risk Summary'!I:I,MATCH($C112,'NARM6 - Risk Summary'!$B:$B,0)+5)</f>
        <v>0</v>
      </c>
      <c r="V112" s="302">
        <f>INDEX('NARM6 - Risk Summary'!J:J,MATCH($C112,'NARM6 - Risk Summary'!$B:$B,0)+5)</f>
        <v>0</v>
      </c>
      <c r="W112" s="302">
        <f>INDEX('NARM6 - Risk Summary'!K:K,MATCH($C112,'NARM6 - Risk Summary'!$B:$B,0)+5)</f>
        <v>0</v>
      </c>
      <c r="X112" s="302">
        <f>INDEX('NARM6 - Risk Summary'!L:L,MATCH($C112,'NARM6 - Risk Summary'!$B:$B,0)+5)</f>
        <v>0</v>
      </c>
      <c r="Y112" s="302">
        <f>INDEX('NARM6 - Risk Summary'!M:M,MATCH($C112,'NARM6 - Risk Summary'!$B:$B,0)+5)</f>
        <v>0</v>
      </c>
      <c r="Z112" s="302">
        <f>INDEX('NARM6 - Risk Summary'!N:N,MATCH($C112,'NARM6 - Risk Summary'!$B:$B,0)+5)</f>
        <v>0</v>
      </c>
      <c r="AA112" s="303">
        <f>INDEX('NARM6 - Risk Summary'!O:O,MATCH($C112,'NARM6 - Risk Summary'!$B:$B,0)+4)</f>
        <v>0</v>
      </c>
    </row>
    <row r="113" spans="2:27">
      <c r="B113" s="541">
        <v>50</v>
      </c>
      <c r="C113" s="166" t="s">
        <v>104</v>
      </c>
      <c r="D113" s="298" t="str">
        <f t="shared" si="19"/>
        <v/>
      </c>
      <c r="E113" s="299" t="str">
        <f t="shared" si="20"/>
        <v/>
      </c>
      <c r="F113" s="299" t="str">
        <f t="shared" si="21"/>
        <v/>
      </c>
      <c r="G113" s="299" t="str">
        <f t="shared" si="22"/>
        <v/>
      </c>
      <c r="H113" s="299" t="str">
        <f t="shared" si="23"/>
        <v/>
      </c>
      <c r="I113" s="299" t="str">
        <f t="shared" si="24"/>
        <v/>
      </c>
      <c r="J113" s="299" t="str">
        <f t="shared" si="25"/>
        <v/>
      </c>
      <c r="K113" s="299" t="str">
        <f t="shared" si="26"/>
        <v/>
      </c>
      <c r="L113" s="299" t="str">
        <f t="shared" si="27"/>
        <v/>
      </c>
      <c r="M113" s="299" t="str">
        <f t="shared" si="28"/>
        <v/>
      </c>
      <c r="N113" s="299" t="str">
        <f t="shared" si="29"/>
        <v/>
      </c>
      <c r="O113" s="300" t="str">
        <f t="shared" si="30"/>
        <v/>
      </c>
      <c r="P113" s="301">
        <f>INDEX('NARM6 - Risk Summary'!$D:$D,MATCH($C113,'NARM6 - Risk Summary'!$B:$B,0))</f>
        <v>0</v>
      </c>
      <c r="Q113" s="302">
        <f>INDEX('NARM6 - Risk Summary'!E:E,MATCH($C113,'NARM6 - Risk Summary'!$B:$B,0)+5)</f>
        <v>0</v>
      </c>
      <c r="R113" s="302">
        <f>INDEX('NARM6 - Risk Summary'!F:F,MATCH($C113,'NARM6 - Risk Summary'!$B:$B,0)+5)</f>
        <v>0</v>
      </c>
      <c r="S113" s="302">
        <f>INDEX('NARM6 - Risk Summary'!G:G,MATCH($C113,'NARM6 - Risk Summary'!$B:$B,0)+5)</f>
        <v>0</v>
      </c>
      <c r="T113" s="302">
        <f>INDEX('NARM6 - Risk Summary'!H:H,MATCH($C113,'NARM6 - Risk Summary'!$B:$B,0)+5)</f>
        <v>0</v>
      </c>
      <c r="U113" s="302">
        <f>INDEX('NARM6 - Risk Summary'!I:I,MATCH($C113,'NARM6 - Risk Summary'!$B:$B,0)+5)</f>
        <v>0</v>
      </c>
      <c r="V113" s="302">
        <f>INDEX('NARM6 - Risk Summary'!J:J,MATCH($C113,'NARM6 - Risk Summary'!$B:$B,0)+5)</f>
        <v>0</v>
      </c>
      <c r="W113" s="302">
        <f>INDEX('NARM6 - Risk Summary'!K:K,MATCH($C113,'NARM6 - Risk Summary'!$B:$B,0)+5)</f>
        <v>0</v>
      </c>
      <c r="X113" s="302">
        <f>INDEX('NARM6 - Risk Summary'!L:L,MATCH($C113,'NARM6 - Risk Summary'!$B:$B,0)+5)</f>
        <v>0</v>
      </c>
      <c r="Y113" s="302">
        <f>INDEX('NARM6 - Risk Summary'!M:M,MATCH($C113,'NARM6 - Risk Summary'!$B:$B,0)+5)</f>
        <v>0</v>
      </c>
      <c r="Z113" s="302">
        <f>INDEX('NARM6 - Risk Summary'!N:N,MATCH($C113,'NARM6 - Risk Summary'!$B:$B,0)+5)</f>
        <v>0</v>
      </c>
      <c r="AA113" s="303">
        <f>INDEX('NARM6 - Risk Summary'!O:O,MATCH($C113,'NARM6 - Risk Summary'!$B:$B,0)+4)</f>
        <v>0</v>
      </c>
    </row>
    <row r="114" spans="2:27">
      <c r="B114" s="541">
        <v>51</v>
      </c>
      <c r="C114" s="166" t="s">
        <v>105</v>
      </c>
      <c r="D114" s="298" t="str">
        <f t="shared" si="19"/>
        <v/>
      </c>
      <c r="E114" s="299" t="str">
        <f t="shared" si="20"/>
        <v/>
      </c>
      <c r="F114" s="299" t="str">
        <f t="shared" si="21"/>
        <v/>
      </c>
      <c r="G114" s="299" t="str">
        <f t="shared" si="22"/>
        <v/>
      </c>
      <c r="H114" s="299" t="str">
        <f t="shared" si="23"/>
        <v/>
      </c>
      <c r="I114" s="299" t="str">
        <f t="shared" si="24"/>
        <v/>
      </c>
      <c r="J114" s="299" t="str">
        <f t="shared" si="25"/>
        <v/>
      </c>
      <c r="K114" s="299" t="str">
        <f t="shared" si="26"/>
        <v/>
      </c>
      <c r="L114" s="299" t="str">
        <f t="shared" si="27"/>
        <v/>
      </c>
      <c r="M114" s="299" t="str">
        <f t="shared" si="28"/>
        <v/>
      </c>
      <c r="N114" s="299" t="str">
        <f t="shared" si="29"/>
        <v/>
      </c>
      <c r="O114" s="300" t="str">
        <f t="shared" si="30"/>
        <v/>
      </c>
      <c r="P114" s="301">
        <f>INDEX('NARM6 - Risk Summary'!$D:$D,MATCH($C114,'NARM6 - Risk Summary'!$B:$B,0))</f>
        <v>0</v>
      </c>
      <c r="Q114" s="302">
        <f>INDEX('NARM6 - Risk Summary'!E:E,MATCH($C114,'NARM6 - Risk Summary'!$B:$B,0)+5)</f>
        <v>0</v>
      </c>
      <c r="R114" s="302">
        <f>INDEX('NARM6 - Risk Summary'!F:F,MATCH($C114,'NARM6 - Risk Summary'!$B:$B,0)+5)</f>
        <v>0</v>
      </c>
      <c r="S114" s="302">
        <f>INDEX('NARM6 - Risk Summary'!G:G,MATCH($C114,'NARM6 - Risk Summary'!$B:$B,0)+5)</f>
        <v>0</v>
      </c>
      <c r="T114" s="302">
        <f>INDEX('NARM6 - Risk Summary'!H:H,MATCH($C114,'NARM6 - Risk Summary'!$B:$B,0)+5)</f>
        <v>0</v>
      </c>
      <c r="U114" s="302">
        <f>INDEX('NARM6 - Risk Summary'!I:I,MATCH($C114,'NARM6 - Risk Summary'!$B:$B,0)+5)</f>
        <v>0</v>
      </c>
      <c r="V114" s="302">
        <f>INDEX('NARM6 - Risk Summary'!J:J,MATCH($C114,'NARM6 - Risk Summary'!$B:$B,0)+5)</f>
        <v>0</v>
      </c>
      <c r="W114" s="302">
        <f>INDEX('NARM6 - Risk Summary'!K:K,MATCH($C114,'NARM6 - Risk Summary'!$B:$B,0)+5)</f>
        <v>0</v>
      </c>
      <c r="X114" s="302">
        <f>INDEX('NARM6 - Risk Summary'!L:L,MATCH($C114,'NARM6 - Risk Summary'!$B:$B,0)+5)</f>
        <v>0</v>
      </c>
      <c r="Y114" s="302">
        <f>INDEX('NARM6 - Risk Summary'!M:M,MATCH($C114,'NARM6 - Risk Summary'!$B:$B,0)+5)</f>
        <v>0</v>
      </c>
      <c r="Z114" s="302">
        <f>INDEX('NARM6 - Risk Summary'!N:N,MATCH($C114,'NARM6 - Risk Summary'!$B:$B,0)+5)</f>
        <v>0</v>
      </c>
      <c r="AA114" s="303">
        <f>INDEX('NARM6 - Risk Summary'!O:O,MATCH($C114,'NARM6 - Risk Summary'!$B:$B,0)+4)</f>
        <v>0</v>
      </c>
    </row>
    <row r="115" spans="2:27">
      <c r="B115" s="541">
        <v>52</v>
      </c>
      <c r="C115" s="166" t="s">
        <v>106</v>
      </c>
      <c r="D115" s="298" t="str">
        <f t="shared" si="19"/>
        <v/>
      </c>
      <c r="E115" s="299" t="str">
        <f t="shared" si="20"/>
        <v/>
      </c>
      <c r="F115" s="299" t="str">
        <f t="shared" si="21"/>
        <v/>
      </c>
      <c r="G115" s="299" t="str">
        <f t="shared" si="22"/>
        <v/>
      </c>
      <c r="H115" s="299" t="str">
        <f t="shared" si="23"/>
        <v/>
      </c>
      <c r="I115" s="299" t="str">
        <f t="shared" si="24"/>
        <v/>
      </c>
      <c r="J115" s="299" t="str">
        <f t="shared" si="25"/>
        <v/>
      </c>
      <c r="K115" s="299" t="str">
        <f t="shared" si="26"/>
        <v/>
      </c>
      <c r="L115" s="299" t="str">
        <f t="shared" si="27"/>
        <v/>
      </c>
      <c r="M115" s="299" t="str">
        <f t="shared" si="28"/>
        <v/>
      </c>
      <c r="N115" s="299" t="str">
        <f t="shared" si="29"/>
        <v/>
      </c>
      <c r="O115" s="300" t="str">
        <f t="shared" si="30"/>
        <v/>
      </c>
      <c r="P115" s="301">
        <f>INDEX('NARM6 - Risk Summary'!$D:$D,MATCH($C115,'NARM6 - Risk Summary'!$B:$B,0))</f>
        <v>0</v>
      </c>
      <c r="Q115" s="302">
        <f>INDEX('NARM6 - Risk Summary'!E:E,MATCH($C115,'NARM6 - Risk Summary'!$B:$B,0)+5)</f>
        <v>0</v>
      </c>
      <c r="R115" s="302">
        <f>INDEX('NARM6 - Risk Summary'!F:F,MATCH($C115,'NARM6 - Risk Summary'!$B:$B,0)+5)</f>
        <v>0</v>
      </c>
      <c r="S115" s="302">
        <f>INDEX('NARM6 - Risk Summary'!G:G,MATCH($C115,'NARM6 - Risk Summary'!$B:$B,0)+5)</f>
        <v>0</v>
      </c>
      <c r="T115" s="302">
        <f>INDEX('NARM6 - Risk Summary'!H:H,MATCH($C115,'NARM6 - Risk Summary'!$B:$B,0)+5)</f>
        <v>0</v>
      </c>
      <c r="U115" s="302">
        <f>INDEX('NARM6 - Risk Summary'!I:I,MATCH($C115,'NARM6 - Risk Summary'!$B:$B,0)+5)</f>
        <v>0</v>
      </c>
      <c r="V115" s="302">
        <f>INDEX('NARM6 - Risk Summary'!J:J,MATCH($C115,'NARM6 - Risk Summary'!$B:$B,0)+5)</f>
        <v>0</v>
      </c>
      <c r="W115" s="302">
        <f>INDEX('NARM6 - Risk Summary'!K:K,MATCH($C115,'NARM6 - Risk Summary'!$B:$B,0)+5)</f>
        <v>0</v>
      </c>
      <c r="X115" s="302">
        <f>INDEX('NARM6 - Risk Summary'!L:L,MATCH($C115,'NARM6 - Risk Summary'!$B:$B,0)+5)</f>
        <v>0</v>
      </c>
      <c r="Y115" s="302">
        <f>INDEX('NARM6 - Risk Summary'!M:M,MATCH($C115,'NARM6 - Risk Summary'!$B:$B,0)+5)</f>
        <v>0</v>
      </c>
      <c r="Z115" s="302">
        <f>INDEX('NARM6 - Risk Summary'!N:N,MATCH($C115,'NARM6 - Risk Summary'!$B:$B,0)+5)</f>
        <v>0</v>
      </c>
      <c r="AA115" s="303">
        <f>INDEX('NARM6 - Risk Summary'!O:O,MATCH($C115,'NARM6 - Risk Summary'!$B:$B,0)+4)</f>
        <v>0</v>
      </c>
    </row>
    <row r="116" spans="2:27">
      <c r="B116" s="541">
        <v>53</v>
      </c>
      <c r="C116" s="166" t="s">
        <v>107</v>
      </c>
      <c r="D116" s="298" t="str">
        <f t="shared" si="19"/>
        <v/>
      </c>
      <c r="E116" s="299" t="str">
        <f t="shared" si="20"/>
        <v/>
      </c>
      <c r="F116" s="299" t="str">
        <f t="shared" si="21"/>
        <v/>
      </c>
      <c r="G116" s="299" t="str">
        <f t="shared" si="22"/>
        <v/>
      </c>
      <c r="H116" s="299" t="str">
        <f t="shared" si="23"/>
        <v/>
      </c>
      <c r="I116" s="299" t="str">
        <f t="shared" si="24"/>
        <v/>
      </c>
      <c r="J116" s="299" t="str">
        <f t="shared" si="25"/>
        <v/>
      </c>
      <c r="K116" s="299" t="str">
        <f t="shared" si="26"/>
        <v/>
      </c>
      <c r="L116" s="299" t="str">
        <f t="shared" si="27"/>
        <v/>
      </c>
      <c r="M116" s="299" t="str">
        <f t="shared" si="28"/>
        <v/>
      </c>
      <c r="N116" s="299" t="str">
        <f t="shared" si="29"/>
        <v/>
      </c>
      <c r="O116" s="300" t="str">
        <f t="shared" si="30"/>
        <v/>
      </c>
      <c r="P116" s="301">
        <f>INDEX('NARM6 - Risk Summary'!$D:$D,MATCH($C116,'NARM6 - Risk Summary'!$B:$B,0))</f>
        <v>0</v>
      </c>
      <c r="Q116" s="302">
        <f>INDEX('NARM6 - Risk Summary'!E:E,MATCH($C116,'NARM6 - Risk Summary'!$B:$B,0)+5)</f>
        <v>0</v>
      </c>
      <c r="R116" s="302">
        <f>INDEX('NARM6 - Risk Summary'!F:F,MATCH($C116,'NARM6 - Risk Summary'!$B:$B,0)+5)</f>
        <v>0</v>
      </c>
      <c r="S116" s="302">
        <f>INDEX('NARM6 - Risk Summary'!G:G,MATCH($C116,'NARM6 - Risk Summary'!$B:$B,0)+5)</f>
        <v>0</v>
      </c>
      <c r="T116" s="302">
        <f>INDEX('NARM6 - Risk Summary'!H:H,MATCH($C116,'NARM6 - Risk Summary'!$B:$B,0)+5)</f>
        <v>0</v>
      </c>
      <c r="U116" s="302">
        <f>INDEX('NARM6 - Risk Summary'!I:I,MATCH($C116,'NARM6 - Risk Summary'!$B:$B,0)+5)</f>
        <v>0</v>
      </c>
      <c r="V116" s="302">
        <f>INDEX('NARM6 - Risk Summary'!J:J,MATCH($C116,'NARM6 - Risk Summary'!$B:$B,0)+5)</f>
        <v>0</v>
      </c>
      <c r="W116" s="302">
        <f>INDEX('NARM6 - Risk Summary'!K:K,MATCH($C116,'NARM6 - Risk Summary'!$B:$B,0)+5)</f>
        <v>0</v>
      </c>
      <c r="X116" s="302">
        <f>INDEX('NARM6 - Risk Summary'!L:L,MATCH($C116,'NARM6 - Risk Summary'!$B:$B,0)+5)</f>
        <v>0</v>
      </c>
      <c r="Y116" s="302">
        <f>INDEX('NARM6 - Risk Summary'!M:M,MATCH($C116,'NARM6 - Risk Summary'!$B:$B,0)+5)</f>
        <v>0</v>
      </c>
      <c r="Z116" s="302">
        <f>INDEX('NARM6 - Risk Summary'!N:N,MATCH($C116,'NARM6 - Risk Summary'!$B:$B,0)+5)</f>
        <v>0</v>
      </c>
      <c r="AA116" s="303">
        <f>INDEX('NARM6 - Risk Summary'!O:O,MATCH($C116,'NARM6 - Risk Summary'!$B:$B,0)+4)</f>
        <v>0</v>
      </c>
    </row>
    <row r="117" spans="2:27">
      <c r="B117" s="541">
        <v>54</v>
      </c>
      <c r="C117" s="166" t="s">
        <v>108</v>
      </c>
      <c r="D117" s="298" t="str">
        <f t="shared" si="19"/>
        <v/>
      </c>
      <c r="E117" s="299" t="str">
        <f t="shared" si="20"/>
        <v/>
      </c>
      <c r="F117" s="299" t="str">
        <f t="shared" si="21"/>
        <v/>
      </c>
      <c r="G117" s="299" t="str">
        <f t="shared" si="22"/>
        <v/>
      </c>
      <c r="H117" s="299" t="str">
        <f t="shared" si="23"/>
        <v/>
      </c>
      <c r="I117" s="299" t="str">
        <f t="shared" si="24"/>
        <v/>
      </c>
      <c r="J117" s="299" t="str">
        <f t="shared" si="25"/>
        <v/>
      </c>
      <c r="K117" s="299" t="str">
        <f t="shared" si="26"/>
        <v/>
      </c>
      <c r="L117" s="299" t="str">
        <f t="shared" si="27"/>
        <v/>
      </c>
      <c r="M117" s="299" t="str">
        <f t="shared" si="28"/>
        <v/>
      </c>
      <c r="N117" s="299" t="str">
        <f t="shared" si="29"/>
        <v/>
      </c>
      <c r="O117" s="300" t="str">
        <f t="shared" si="30"/>
        <v/>
      </c>
      <c r="P117" s="301">
        <f>INDEX('NARM6 - Risk Summary'!$D:$D,MATCH($C117,'NARM6 - Risk Summary'!$B:$B,0))</f>
        <v>0</v>
      </c>
      <c r="Q117" s="302">
        <f>INDEX('NARM6 - Risk Summary'!E:E,MATCH($C117,'NARM6 - Risk Summary'!$B:$B,0)+5)</f>
        <v>0</v>
      </c>
      <c r="R117" s="302">
        <f>INDEX('NARM6 - Risk Summary'!F:F,MATCH($C117,'NARM6 - Risk Summary'!$B:$B,0)+5)</f>
        <v>0</v>
      </c>
      <c r="S117" s="302">
        <f>INDEX('NARM6 - Risk Summary'!G:G,MATCH($C117,'NARM6 - Risk Summary'!$B:$B,0)+5)</f>
        <v>0</v>
      </c>
      <c r="T117" s="302">
        <f>INDEX('NARM6 - Risk Summary'!H:H,MATCH($C117,'NARM6 - Risk Summary'!$B:$B,0)+5)</f>
        <v>0</v>
      </c>
      <c r="U117" s="302">
        <f>INDEX('NARM6 - Risk Summary'!I:I,MATCH($C117,'NARM6 - Risk Summary'!$B:$B,0)+5)</f>
        <v>0</v>
      </c>
      <c r="V117" s="302">
        <f>INDEX('NARM6 - Risk Summary'!J:J,MATCH($C117,'NARM6 - Risk Summary'!$B:$B,0)+5)</f>
        <v>0</v>
      </c>
      <c r="W117" s="302">
        <f>INDEX('NARM6 - Risk Summary'!K:K,MATCH($C117,'NARM6 - Risk Summary'!$B:$B,0)+5)</f>
        <v>0</v>
      </c>
      <c r="X117" s="302">
        <f>INDEX('NARM6 - Risk Summary'!L:L,MATCH($C117,'NARM6 - Risk Summary'!$B:$B,0)+5)</f>
        <v>0</v>
      </c>
      <c r="Y117" s="302">
        <f>INDEX('NARM6 - Risk Summary'!M:M,MATCH($C117,'NARM6 - Risk Summary'!$B:$B,0)+5)</f>
        <v>0</v>
      </c>
      <c r="Z117" s="302">
        <f>INDEX('NARM6 - Risk Summary'!N:N,MATCH($C117,'NARM6 - Risk Summary'!$B:$B,0)+5)</f>
        <v>0</v>
      </c>
      <c r="AA117" s="303">
        <f>INDEX('NARM6 - Risk Summary'!O:O,MATCH($C117,'NARM6 - Risk Summary'!$B:$B,0)+4)</f>
        <v>0</v>
      </c>
    </row>
    <row r="118" spans="2:27">
      <c r="B118" s="541">
        <v>55</v>
      </c>
      <c r="C118" s="166" t="s">
        <v>117</v>
      </c>
      <c r="D118" s="298" t="str">
        <f t="shared" si="19"/>
        <v/>
      </c>
      <c r="E118" s="299" t="str">
        <f t="shared" si="20"/>
        <v/>
      </c>
      <c r="F118" s="299" t="str">
        <f t="shared" si="21"/>
        <v/>
      </c>
      <c r="G118" s="299" t="str">
        <f t="shared" si="22"/>
        <v/>
      </c>
      <c r="H118" s="299" t="str">
        <f t="shared" si="23"/>
        <v/>
      </c>
      <c r="I118" s="299" t="str">
        <f t="shared" si="24"/>
        <v/>
      </c>
      <c r="J118" s="299" t="str">
        <f t="shared" si="25"/>
        <v/>
      </c>
      <c r="K118" s="299" t="str">
        <f t="shared" si="26"/>
        <v/>
      </c>
      <c r="L118" s="299" t="str">
        <f t="shared" si="27"/>
        <v/>
      </c>
      <c r="M118" s="299" t="str">
        <f t="shared" si="28"/>
        <v/>
      </c>
      <c r="N118" s="299" t="str">
        <f t="shared" si="29"/>
        <v/>
      </c>
      <c r="O118" s="300" t="str">
        <f t="shared" si="30"/>
        <v/>
      </c>
      <c r="P118" s="301">
        <f>INDEX('NARM6 - Risk Summary'!$D:$D,MATCH($C118,'NARM6 - Risk Summary'!$B:$B,0))</f>
        <v>0</v>
      </c>
      <c r="Q118" s="302">
        <f>INDEX('NARM6 - Risk Summary'!E:E,MATCH($C118,'NARM6 - Risk Summary'!$B:$B,0)+5)</f>
        <v>0</v>
      </c>
      <c r="R118" s="302">
        <f>INDEX('NARM6 - Risk Summary'!F:F,MATCH($C118,'NARM6 - Risk Summary'!$B:$B,0)+5)</f>
        <v>0</v>
      </c>
      <c r="S118" s="302">
        <f>INDEX('NARM6 - Risk Summary'!G:G,MATCH($C118,'NARM6 - Risk Summary'!$B:$B,0)+5)</f>
        <v>0</v>
      </c>
      <c r="T118" s="302">
        <f>INDEX('NARM6 - Risk Summary'!H:H,MATCH($C118,'NARM6 - Risk Summary'!$B:$B,0)+5)</f>
        <v>0</v>
      </c>
      <c r="U118" s="302">
        <f>INDEX('NARM6 - Risk Summary'!I:I,MATCH($C118,'NARM6 - Risk Summary'!$B:$B,0)+5)</f>
        <v>0</v>
      </c>
      <c r="V118" s="302">
        <f>INDEX('NARM6 - Risk Summary'!J:J,MATCH($C118,'NARM6 - Risk Summary'!$B:$B,0)+5)</f>
        <v>0</v>
      </c>
      <c r="W118" s="302">
        <f>INDEX('NARM6 - Risk Summary'!K:K,MATCH($C118,'NARM6 - Risk Summary'!$B:$B,0)+5)</f>
        <v>0</v>
      </c>
      <c r="X118" s="302">
        <f>INDEX('NARM6 - Risk Summary'!L:L,MATCH($C118,'NARM6 - Risk Summary'!$B:$B,0)+5)</f>
        <v>0</v>
      </c>
      <c r="Y118" s="302">
        <f>INDEX('NARM6 - Risk Summary'!M:M,MATCH($C118,'NARM6 - Risk Summary'!$B:$B,0)+5)</f>
        <v>0</v>
      </c>
      <c r="Z118" s="302">
        <f>INDEX('NARM6 - Risk Summary'!N:N,MATCH($C118,'NARM6 - Risk Summary'!$B:$B,0)+5)</f>
        <v>0</v>
      </c>
      <c r="AA118" s="303">
        <f>INDEX('NARM6 - Risk Summary'!O:O,MATCH($C118,'NARM6 - Risk Summary'!$B:$B,0)+4)</f>
        <v>0</v>
      </c>
    </row>
    <row r="119" spans="2:27">
      <c r="B119" s="541">
        <v>56</v>
      </c>
      <c r="C119" s="166" t="s">
        <v>118</v>
      </c>
      <c r="D119" s="298" t="str">
        <f t="shared" si="19"/>
        <v/>
      </c>
      <c r="E119" s="299" t="str">
        <f t="shared" si="20"/>
        <v/>
      </c>
      <c r="F119" s="299" t="str">
        <f t="shared" si="21"/>
        <v/>
      </c>
      <c r="G119" s="299" t="str">
        <f t="shared" si="22"/>
        <v/>
      </c>
      <c r="H119" s="299" t="str">
        <f t="shared" si="23"/>
        <v/>
      </c>
      <c r="I119" s="299" t="str">
        <f t="shared" si="24"/>
        <v/>
      </c>
      <c r="J119" s="299" t="str">
        <f t="shared" si="25"/>
        <v/>
      </c>
      <c r="K119" s="299" t="str">
        <f t="shared" si="26"/>
        <v/>
      </c>
      <c r="L119" s="299" t="str">
        <f t="shared" si="27"/>
        <v/>
      </c>
      <c r="M119" s="299" t="str">
        <f t="shared" si="28"/>
        <v/>
      </c>
      <c r="N119" s="299" t="str">
        <f t="shared" si="29"/>
        <v/>
      </c>
      <c r="O119" s="300" t="str">
        <f t="shared" si="30"/>
        <v/>
      </c>
      <c r="P119" s="301">
        <f>INDEX('NARM6 - Risk Summary'!$D:$D,MATCH($C119,'NARM6 - Risk Summary'!$B:$B,0))</f>
        <v>0</v>
      </c>
      <c r="Q119" s="302">
        <f>INDEX('NARM6 - Risk Summary'!E:E,MATCH($C119,'NARM6 - Risk Summary'!$B:$B,0)+5)</f>
        <v>0</v>
      </c>
      <c r="R119" s="302">
        <f>INDEX('NARM6 - Risk Summary'!F:F,MATCH($C119,'NARM6 - Risk Summary'!$B:$B,0)+5)</f>
        <v>0</v>
      </c>
      <c r="S119" s="302">
        <f>INDEX('NARM6 - Risk Summary'!G:G,MATCH($C119,'NARM6 - Risk Summary'!$B:$B,0)+5)</f>
        <v>0</v>
      </c>
      <c r="T119" s="302">
        <f>INDEX('NARM6 - Risk Summary'!H:H,MATCH($C119,'NARM6 - Risk Summary'!$B:$B,0)+5)</f>
        <v>0</v>
      </c>
      <c r="U119" s="302">
        <f>INDEX('NARM6 - Risk Summary'!I:I,MATCH($C119,'NARM6 - Risk Summary'!$B:$B,0)+5)</f>
        <v>0</v>
      </c>
      <c r="V119" s="302">
        <f>INDEX('NARM6 - Risk Summary'!J:J,MATCH($C119,'NARM6 - Risk Summary'!$B:$B,0)+5)</f>
        <v>0</v>
      </c>
      <c r="W119" s="302">
        <f>INDEX('NARM6 - Risk Summary'!K:K,MATCH($C119,'NARM6 - Risk Summary'!$B:$B,0)+5)</f>
        <v>0</v>
      </c>
      <c r="X119" s="302">
        <f>INDEX('NARM6 - Risk Summary'!L:L,MATCH($C119,'NARM6 - Risk Summary'!$B:$B,0)+5)</f>
        <v>0</v>
      </c>
      <c r="Y119" s="302">
        <f>INDEX('NARM6 - Risk Summary'!M:M,MATCH($C119,'NARM6 - Risk Summary'!$B:$B,0)+5)</f>
        <v>0</v>
      </c>
      <c r="Z119" s="302">
        <f>INDEX('NARM6 - Risk Summary'!N:N,MATCH($C119,'NARM6 - Risk Summary'!$B:$B,0)+5)</f>
        <v>0</v>
      </c>
      <c r="AA119" s="303">
        <f>INDEX('NARM6 - Risk Summary'!O:O,MATCH($C119,'NARM6 - Risk Summary'!$B:$B,0)+4)</f>
        <v>0</v>
      </c>
    </row>
    <row r="120" spans="2:27">
      <c r="B120" s="541">
        <v>57</v>
      </c>
      <c r="C120" s="166" t="s">
        <v>119</v>
      </c>
      <c r="D120" s="298" t="str">
        <f t="shared" si="19"/>
        <v/>
      </c>
      <c r="E120" s="299" t="str">
        <f t="shared" si="20"/>
        <v/>
      </c>
      <c r="F120" s="299" t="str">
        <f t="shared" si="21"/>
        <v/>
      </c>
      <c r="G120" s="299" t="str">
        <f t="shared" si="22"/>
        <v/>
      </c>
      <c r="H120" s="299" t="str">
        <f t="shared" si="23"/>
        <v/>
      </c>
      <c r="I120" s="299" t="str">
        <f t="shared" si="24"/>
        <v/>
      </c>
      <c r="J120" s="299" t="str">
        <f t="shared" si="25"/>
        <v/>
      </c>
      <c r="K120" s="299" t="str">
        <f t="shared" si="26"/>
        <v/>
      </c>
      <c r="L120" s="299" t="str">
        <f t="shared" si="27"/>
        <v/>
      </c>
      <c r="M120" s="299" t="str">
        <f t="shared" si="28"/>
        <v/>
      </c>
      <c r="N120" s="299" t="str">
        <f t="shared" si="29"/>
        <v/>
      </c>
      <c r="O120" s="300" t="str">
        <f t="shared" si="30"/>
        <v/>
      </c>
      <c r="P120" s="301">
        <f>INDEX('NARM6 - Risk Summary'!$D:$D,MATCH($C120,'NARM6 - Risk Summary'!$B:$B,0))</f>
        <v>0</v>
      </c>
      <c r="Q120" s="302">
        <f>INDEX('NARM6 - Risk Summary'!E:E,MATCH($C120,'NARM6 - Risk Summary'!$B:$B,0)+5)</f>
        <v>0</v>
      </c>
      <c r="R120" s="302">
        <f>INDEX('NARM6 - Risk Summary'!F:F,MATCH($C120,'NARM6 - Risk Summary'!$B:$B,0)+5)</f>
        <v>0</v>
      </c>
      <c r="S120" s="302">
        <f>INDEX('NARM6 - Risk Summary'!G:G,MATCH($C120,'NARM6 - Risk Summary'!$B:$B,0)+5)</f>
        <v>0</v>
      </c>
      <c r="T120" s="302">
        <f>INDEX('NARM6 - Risk Summary'!H:H,MATCH($C120,'NARM6 - Risk Summary'!$B:$B,0)+5)</f>
        <v>0</v>
      </c>
      <c r="U120" s="302">
        <f>INDEX('NARM6 - Risk Summary'!I:I,MATCH($C120,'NARM6 - Risk Summary'!$B:$B,0)+5)</f>
        <v>0</v>
      </c>
      <c r="V120" s="302">
        <f>INDEX('NARM6 - Risk Summary'!J:J,MATCH($C120,'NARM6 - Risk Summary'!$B:$B,0)+5)</f>
        <v>0</v>
      </c>
      <c r="W120" s="302">
        <f>INDEX('NARM6 - Risk Summary'!K:K,MATCH($C120,'NARM6 - Risk Summary'!$B:$B,0)+5)</f>
        <v>0</v>
      </c>
      <c r="X120" s="302">
        <f>INDEX('NARM6 - Risk Summary'!L:L,MATCH($C120,'NARM6 - Risk Summary'!$B:$B,0)+5)</f>
        <v>0</v>
      </c>
      <c r="Y120" s="302">
        <f>INDEX('NARM6 - Risk Summary'!M:M,MATCH($C120,'NARM6 - Risk Summary'!$B:$B,0)+5)</f>
        <v>0</v>
      </c>
      <c r="Z120" s="302">
        <f>INDEX('NARM6 - Risk Summary'!N:N,MATCH($C120,'NARM6 - Risk Summary'!$B:$B,0)+5)</f>
        <v>0</v>
      </c>
      <c r="AA120" s="303">
        <f>INDEX('NARM6 - Risk Summary'!O:O,MATCH($C120,'NARM6 - Risk Summary'!$B:$B,0)+4)</f>
        <v>0</v>
      </c>
    </row>
    <row r="121" spans="2:27">
      <c r="B121" s="541">
        <v>58</v>
      </c>
      <c r="C121" s="166" t="s">
        <v>120</v>
      </c>
      <c r="D121" s="298" t="str">
        <f t="shared" si="19"/>
        <v/>
      </c>
      <c r="E121" s="299" t="str">
        <f t="shared" si="20"/>
        <v/>
      </c>
      <c r="F121" s="299" t="str">
        <f t="shared" si="21"/>
        <v/>
      </c>
      <c r="G121" s="299" t="str">
        <f t="shared" si="22"/>
        <v/>
      </c>
      <c r="H121" s="299" t="str">
        <f t="shared" si="23"/>
        <v/>
      </c>
      <c r="I121" s="299" t="str">
        <f t="shared" si="24"/>
        <v/>
      </c>
      <c r="J121" s="299" t="str">
        <f t="shared" si="25"/>
        <v/>
      </c>
      <c r="K121" s="299" t="str">
        <f t="shared" si="26"/>
        <v/>
      </c>
      <c r="L121" s="299" t="str">
        <f t="shared" si="27"/>
        <v/>
      </c>
      <c r="M121" s="299" t="str">
        <f t="shared" si="28"/>
        <v/>
      </c>
      <c r="N121" s="299" t="str">
        <f t="shared" si="29"/>
        <v/>
      </c>
      <c r="O121" s="300" t="str">
        <f t="shared" si="30"/>
        <v/>
      </c>
      <c r="P121" s="301">
        <f>INDEX('NARM6 - Risk Summary'!$D:$D,MATCH($C121,'NARM6 - Risk Summary'!$B:$B,0))</f>
        <v>0</v>
      </c>
      <c r="Q121" s="302">
        <f>INDEX('NARM6 - Risk Summary'!E:E,MATCH($C121,'NARM6 - Risk Summary'!$B:$B,0)+5)</f>
        <v>0</v>
      </c>
      <c r="R121" s="302">
        <f>INDEX('NARM6 - Risk Summary'!F:F,MATCH($C121,'NARM6 - Risk Summary'!$B:$B,0)+5)</f>
        <v>0</v>
      </c>
      <c r="S121" s="302">
        <f>INDEX('NARM6 - Risk Summary'!G:G,MATCH($C121,'NARM6 - Risk Summary'!$B:$B,0)+5)</f>
        <v>0</v>
      </c>
      <c r="T121" s="302">
        <f>INDEX('NARM6 - Risk Summary'!H:H,MATCH($C121,'NARM6 - Risk Summary'!$B:$B,0)+5)</f>
        <v>0</v>
      </c>
      <c r="U121" s="302">
        <f>INDEX('NARM6 - Risk Summary'!I:I,MATCH($C121,'NARM6 - Risk Summary'!$B:$B,0)+5)</f>
        <v>0</v>
      </c>
      <c r="V121" s="302">
        <f>INDEX('NARM6 - Risk Summary'!J:J,MATCH($C121,'NARM6 - Risk Summary'!$B:$B,0)+5)</f>
        <v>0</v>
      </c>
      <c r="W121" s="302">
        <f>INDEX('NARM6 - Risk Summary'!K:K,MATCH($C121,'NARM6 - Risk Summary'!$B:$B,0)+5)</f>
        <v>0</v>
      </c>
      <c r="X121" s="302">
        <f>INDEX('NARM6 - Risk Summary'!L:L,MATCH($C121,'NARM6 - Risk Summary'!$B:$B,0)+5)</f>
        <v>0</v>
      </c>
      <c r="Y121" s="302">
        <f>INDEX('NARM6 - Risk Summary'!M:M,MATCH($C121,'NARM6 - Risk Summary'!$B:$B,0)+5)</f>
        <v>0</v>
      </c>
      <c r="Z121" s="302">
        <f>INDEX('NARM6 - Risk Summary'!N:N,MATCH($C121,'NARM6 - Risk Summary'!$B:$B,0)+5)</f>
        <v>0</v>
      </c>
      <c r="AA121" s="303">
        <f>INDEX('NARM6 - Risk Summary'!O:O,MATCH($C121,'NARM6 - Risk Summary'!$B:$B,0)+4)</f>
        <v>0</v>
      </c>
    </row>
    <row r="122" spans="2:27">
      <c r="B122" s="541">
        <v>59</v>
      </c>
      <c r="C122" s="166" t="s">
        <v>177</v>
      </c>
      <c r="D122" s="298" t="str">
        <f t="shared" si="19"/>
        <v/>
      </c>
      <c r="E122" s="299" t="str">
        <f t="shared" si="20"/>
        <v/>
      </c>
      <c r="F122" s="299" t="str">
        <f t="shared" si="21"/>
        <v/>
      </c>
      <c r="G122" s="299" t="str">
        <f t="shared" si="22"/>
        <v/>
      </c>
      <c r="H122" s="299" t="str">
        <f t="shared" si="23"/>
        <v/>
      </c>
      <c r="I122" s="299" t="str">
        <f t="shared" si="24"/>
        <v/>
      </c>
      <c r="J122" s="299" t="str">
        <f t="shared" si="25"/>
        <v/>
      </c>
      <c r="K122" s="299" t="str">
        <f t="shared" si="26"/>
        <v/>
      </c>
      <c r="L122" s="299" t="str">
        <f t="shared" si="27"/>
        <v/>
      </c>
      <c r="M122" s="299" t="str">
        <f t="shared" si="28"/>
        <v/>
      </c>
      <c r="N122" s="299" t="str">
        <f t="shared" si="29"/>
        <v/>
      </c>
      <c r="O122" s="300" t="str">
        <f t="shared" si="30"/>
        <v/>
      </c>
      <c r="P122" s="301">
        <f>INDEX('NARM6 - Risk Summary'!$D:$D,MATCH($C122,'NARM6 - Risk Summary'!$B:$B,0))</f>
        <v>0</v>
      </c>
      <c r="Q122" s="302">
        <f>INDEX('NARM6 - Risk Summary'!E:E,MATCH($C122,'NARM6 - Risk Summary'!$B:$B,0)+5)</f>
        <v>0</v>
      </c>
      <c r="R122" s="302">
        <f>INDEX('NARM6 - Risk Summary'!F:F,MATCH($C122,'NARM6 - Risk Summary'!$B:$B,0)+5)</f>
        <v>0</v>
      </c>
      <c r="S122" s="302">
        <f>INDEX('NARM6 - Risk Summary'!G:G,MATCH($C122,'NARM6 - Risk Summary'!$B:$B,0)+5)</f>
        <v>0</v>
      </c>
      <c r="T122" s="302">
        <f>INDEX('NARM6 - Risk Summary'!H:H,MATCH($C122,'NARM6 - Risk Summary'!$B:$B,0)+5)</f>
        <v>0</v>
      </c>
      <c r="U122" s="302">
        <f>INDEX('NARM6 - Risk Summary'!I:I,MATCH($C122,'NARM6 - Risk Summary'!$B:$B,0)+5)</f>
        <v>0</v>
      </c>
      <c r="V122" s="302">
        <f>INDEX('NARM6 - Risk Summary'!J:J,MATCH($C122,'NARM6 - Risk Summary'!$B:$B,0)+5)</f>
        <v>0</v>
      </c>
      <c r="W122" s="302">
        <f>INDEX('NARM6 - Risk Summary'!K:K,MATCH($C122,'NARM6 - Risk Summary'!$B:$B,0)+5)</f>
        <v>0</v>
      </c>
      <c r="X122" s="302">
        <f>INDEX('NARM6 - Risk Summary'!L:L,MATCH($C122,'NARM6 - Risk Summary'!$B:$B,0)+5)</f>
        <v>0</v>
      </c>
      <c r="Y122" s="302">
        <f>INDEX('NARM6 - Risk Summary'!M:M,MATCH($C122,'NARM6 - Risk Summary'!$B:$B,0)+5)</f>
        <v>0</v>
      </c>
      <c r="Z122" s="302">
        <f>INDEX('NARM6 - Risk Summary'!N:N,MATCH($C122,'NARM6 - Risk Summary'!$B:$B,0)+5)</f>
        <v>0</v>
      </c>
      <c r="AA122" s="303">
        <f>INDEX('NARM6 - Risk Summary'!O:O,MATCH($C122,'NARM6 - Risk Summary'!$B:$B,0)+4)</f>
        <v>0</v>
      </c>
    </row>
    <row r="123" spans="2:27">
      <c r="B123" s="541">
        <v>60</v>
      </c>
      <c r="C123" s="166" t="s">
        <v>178</v>
      </c>
      <c r="D123" s="298" t="str">
        <f t="shared" si="19"/>
        <v/>
      </c>
      <c r="E123" s="299" t="str">
        <f t="shared" si="20"/>
        <v/>
      </c>
      <c r="F123" s="299" t="str">
        <f t="shared" si="21"/>
        <v/>
      </c>
      <c r="G123" s="299" t="str">
        <f t="shared" si="22"/>
        <v/>
      </c>
      <c r="H123" s="299" t="str">
        <f t="shared" si="23"/>
        <v/>
      </c>
      <c r="I123" s="299" t="str">
        <f t="shared" si="24"/>
        <v/>
      </c>
      <c r="J123" s="299" t="str">
        <f t="shared" si="25"/>
        <v/>
      </c>
      <c r="K123" s="299" t="str">
        <f t="shared" si="26"/>
        <v/>
      </c>
      <c r="L123" s="299" t="str">
        <f t="shared" si="27"/>
        <v/>
      </c>
      <c r="M123" s="299" t="str">
        <f t="shared" si="28"/>
        <v/>
      </c>
      <c r="N123" s="299" t="str">
        <f t="shared" si="29"/>
        <v/>
      </c>
      <c r="O123" s="300" t="str">
        <f t="shared" si="30"/>
        <v/>
      </c>
      <c r="P123" s="301">
        <f>INDEX('NARM6 - Risk Summary'!$D:$D,MATCH($C123,'NARM6 - Risk Summary'!$B:$B,0))</f>
        <v>0</v>
      </c>
      <c r="Q123" s="302">
        <f>INDEX('NARM6 - Risk Summary'!E:E,MATCH($C123,'NARM6 - Risk Summary'!$B:$B,0)+5)</f>
        <v>0</v>
      </c>
      <c r="R123" s="302">
        <f>INDEX('NARM6 - Risk Summary'!F:F,MATCH($C123,'NARM6 - Risk Summary'!$B:$B,0)+5)</f>
        <v>0</v>
      </c>
      <c r="S123" s="302">
        <f>INDEX('NARM6 - Risk Summary'!G:G,MATCH($C123,'NARM6 - Risk Summary'!$B:$B,0)+5)</f>
        <v>0</v>
      </c>
      <c r="T123" s="302">
        <f>INDEX('NARM6 - Risk Summary'!H:H,MATCH($C123,'NARM6 - Risk Summary'!$B:$B,0)+5)</f>
        <v>0</v>
      </c>
      <c r="U123" s="302">
        <f>INDEX('NARM6 - Risk Summary'!I:I,MATCH($C123,'NARM6 - Risk Summary'!$B:$B,0)+5)</f>
        <v>0</v>
      </c>
      <c r="V123" s="302">
        <f>INDEX('NARM6 - Risk Summary'!J:J,MATCH($C123,'NARM6 - Risk Summary'!$B:$B,0)+5)</f>
        <v>0</v>
      </c>
      <c r="W123" s="302">
        <f>INDEX('NARM6 - Risk Summary'!K:K,MATCH($C123,'NARM6 - Risk Summary'!$B:$B,0)+5)</f>
        <v>0</v>
      </c>
      <c r="X123" s="302">
        <f>INDEX('NARM6 - Risk Summary'!L:L,MATCH($C123,'NARM6 - Risk Summary'!$B:$B,0)+5)</f>
        <v>0</v>
      </c>
      <c r="Y123" s="302">
        <f>INDEX('NARM6 - Risk Summary'!M:M,MATCH($C123,'NARM6 - Risk Summary'!$B:$B,0)+5)</f>
        <v>0</v>
      </c>
      <c r="Z123" s="302">
        <f>INDEX('NARM6 - Risk Summary'!N:N,MATCH($C123,'NARM6 - Risk Summary'!$B:$B,0)+5)</f>
        <v>0</v>
      </c>
      <c r="AA123" s="303">
        <f>INDEX('NARM6 - Risk Summary'!O:O,MATCH($C123,'NARM6 - Risk Summary'!$B:$B,0)+4)</f>
        <v>0</v>
      </c>
    </row>
    <row r="124" spans="2:27" ht="14" thickBot="1">
      <c r="B124" s="541">
        <v>61</v>
      </c>
      <c r="C124" s="357" t="s">
        <v>121</v>
      </c>
      <c r="D124" s="310" t="str">
        <f t="shared" si="19"/>
        <v/>
      </c>
      <c r="E124" s="311" t="str">
        <f t="shared" si="20"/>
        <v/>
      </c>
      <c r="F124" s="311" t="str">
        <f t="shared" si="21"/>
        <v/>
      </c>
      <c r="G124" s="311" t="str">
        <f t="shared" si="22"/>
        <v/>
      </c>
      <c r="H124" s="311" t="str">
        <f t="shared" si="23"/>
        <v/>
      </c>
      <c r="I124" s="311" t="str">
        <f t="shared" si="24"/>
        <v/>
      </c>
      <c r="J124" s="311" t="str">
        <f t="shared" si="25"/>
        <v/>
      </c>
      <c r="K124" s="311" t="str">
        <f t="shared" si="26"/>
        <v/>
      </c>
      <c r="L124" s="311" t="str">
        <f t="shared" si="27"/>
        <v/>
      </c>
      <c r="M124" s="311" t="str">
        <f t="shared" si="28"/>
        <v/>
      </c>
      <c r="N124" s="311" t="str">
        <f t="shared" si="29"/>
        <v/>
      </c>
      <c r="O124" s="312" t="str">
        <f t="shared" si="30"/>
        <v/>
      </c>
      <c r="P124" s="313">
        <f>INDEX('NARM6 - Risk Summary'!$D:$D,MATCH($C124,'NARM6 - Risk Summary'!$B:$B,0))</f>
        <v>0</v>
      </c>
      <c r="Q124" s="314">
        <f>INDEX('NARM6 - Risk Summary'!E:E,MATCH($C124,'NARM6 - Risk Summary'!$B:$B,0)+5)</f>
        <v>0</v>
      </c>
      <c r="R124" s="314">
        <f>INDEX('NARM6 - Risk Summary'!F:F,MATCH($C124,'NARM6 - Risk Summary'!$B:$B,0)+5)</f>
        <v>0</v>
      </c>
      <c r="S124" s="314">
        <f>INDEX('NARM6 - Risk Summary'!G:G,MATCH($C124,'NARM6 - Risk Summary'!$B:$B,0)+5)</f>
        <v>0</v>
      </c>
      <c r="T124" s="314">
        <f>INDEX('NARM6 - Risk Summary'!H:H,MATCH($C124,'NARM6 - Risk Summary'!$B:$B,0)+5)</f>
        <v>0</v>
      </c>
      <c r="U124" s="314">
        <f>INDEX('NARM6 - Risk Summary'!I:I,MATCH($C124,'NARM6 - Risk Summary'!$B:$B,0)+5)</f>
        <v>0</v>
      </c>
      <c r="V124" s="314">
        <f>INDEX('NARM6 - Risk Summary'!J:J,MATCH($C124,'NARM6 - Risk Summary'!$B:$B,0)+5)</f>
        <v>0</v>
      </c>
      <c r="W124" s="314">
        <f>INDEX('NARM6 - Risk Summary'!K:K,MATCH($C124,'NARM6 - Risk Summary'!$B:$B,0)+5)</f>
        <v>0</v>
      </c>
      <c r="X124" s="314">
        <f>INDEX('NARM6 - Risk Summary'!L:L,MATCH($C124,'NARM6 - Risk Summary'!$B:$B,0)+5)</f>
        <v>0</v>
      </c>
      <c r="Y124" s="314">
        <f>INDEX('NARM6 - Risk Summary'!M:M,MATCH($C124,'NARM6 - Risk Summary'!$B:$B,0)+5)</f>
        <v>0</v>
      </c>
      <c r="Z124" s="314">
        <f>INDEX('NARM6 - Risk Summary'!N:N,MATCH($C124,'NARM6 - Risk Summary'!$B:$B,0)+5)</f>
        <v>0</v>
      </c>
      <c r="AA124" s="315">
        <f>INDEX('NARM6 - Risk Summary'!O:O,MATCH($C124,'NARM6 - Risk Summary'!$B:$B,0)+4)</f>
        <v>0</v>
      </c>
    </row>
    <row r="125" spans="2:27">
      <c r="B125" s="541">
        <v>62</v>
      </c>
      <c r="C125" s="358" t="s">
        <v>131</v>
      </c>
      <c r="D125" s="359" t="str">
        <f t="shared" ref="D125:D129" si="31">IFERROR(P125/$P125,"")</f>
        <v/>
      </c>
      <c r="E125" s="360" t="str">
        <f t="shared" ref="E125:E129" si="32">IFERROR(Q125/$P125,"")</f>
        <v/>
      </c>
      <c r="F125" s="360" t="str">
        <f t="shared" ref="F125:F129" si="33">IFERROR(R125/$P125,"")</f>
        <v/>
      </c>
      <c r="G125" s="360" t="str">
        <f t="shared" ref="G125:G129" si="34">IFERROR(S125/$P125,"")</f>
        <v/>
      </c>
      <c r="H125" s="360" t="str">
        <f t="shared" ref="H125:H129" si="35">IFERROR(T125/$P125,"")</f>
        <v/>
      </c>
      <c r="I125" s="360" t="str">
        <f t="shared" ref="I125:I129" si="36">IFERROR(U125/$P125,"")</f>
        <v/>
      </c>
      <c r="J125" s="360" t="str">
        <f t="shared" ref="J125:J129" si="37">IFERROR(V125/$P125,"")</f>
        <v/>
      </c>
      <c r="K125" s="360" t="str">
        <f t="shared" ref="K125:K129" si="38">IFERROR(W125/$P125,"")</f>
        <v/>
      </c>
      <c r="L125" s="360" t="str">
        <f t="shared" ref="L125:L129" si="39">IFERROR(X125/$P125,"")</f>
        <v/>
      </c>
      <c r="M125" s="360" t="str">
        <f t="shared" ref="M125:M129" si="40">IFERROR(Y125/$P125,"")</f>
        <v/>
      </c>
      <c r="N125" s="360" t="str">
        <f t="shared" ref="N125:N129" si="41">IFERROR(Z125/$P125,"")</f>
        <v/>
      </c>
      <c r="O125" s="361" t="str">
        <f t="shared" ref="O125:O129" si="42">IFERROR(AA125/$P125,"")</f>
        <v/>
      </c>
      <c r="P125" s="362">
        <f>INDEX('NARM6 - Risk Summary'!$D:$D,MATCH($C125,'NARM6 - Risk Summary'!$B:$B,0))</f>
        <v>0</v>
      </c>
      <c r="Q125" s="363">
        <f>INDEX('NARM6 - Risk Summary'!E:E,MATCH($C125,'NARM6 - Risk Summary'!$B:$B,0)+5)</f>
        <v>0</v>
      </c>
      <c r="R125" s="363">
        <f>INDEX('NARM6 - Risk Summary'!F:F,MATCH($C125,'NARM6 - Risk Summary'!$B:$B,0)+5)</f>
        <v>0</v>
      </c>
      <c r="S125" s="363">
        <f>INDEX('NARM6 - Risk Summary'!G:G,MATCH($C125,'NARM6 - Risk Summary'!$B:$B,0)+5)</f>
        <v>0</v>
      </c>
      <c r="T125" s="363">
        <f>INDEX('NARM6 - Risk Summary'!H:H,MATCH($C125,'NARM6 - Risk Summary'!$B:$B,0)+5)</f>
        <v>0</v>
      </c>
      <c r="U125" s="363">
        <f>INDEX('NARM6 - Risk Summary'!I:I,MATCH($C125,'NARM6 - Risk Summary'!$B:$B,0)+5)</f>
        <v>0</v>
      </c>
      <c r="V125" s="363">
        <f>INDEX('NARM6 - Risk Summary'!J:J,MATCH($C125,'NARM6 - Risk Summary'!$B:$B,0)+5)</f>
        <v>0</v>
      </c>
      <c r="W125" s="363">
        <f>INDEX('NARM6 - Risk Summary'!K:K,MATCH($C125,'NARM6 - Risk Summary'!$B:$B,0)+5)</f>
        <v>0</v>
      </c>
      <c r="X125" s="363">
        <f>INDEX('NARM6 - Risk Summary'!L:L,MATCH($C125,'NARM6 - Risk Summary'!$B:$B,0)+5)</f>
        <v>0</v>
      </c>
      <c r="Y125" s="363">
        <f>INDEX('NARM6 - Risk Summary'!M:M,MATCH($C125,'NARM6 - Risk Summary'!$B:$B,0)+5)</f>
        <v>0</v>
      </c>
      <c r="Z125" s="363">
        <f>INDEX('NARM6 - Risk Summary'!N:N,MATCH($C125,'NARM6 - Risk Summary'!$B:$B,0)+5)</f>
        <v>0</v>
      </c>
      <c r="AA125" s="364">
        <f>INDEX('NARM6 - Risk Summary'!O:O,MATCH($C125,'NARM6 - Risk Summary'!$B:$B,0)+4)</f>
        <v>0</v>
      </c>
    </row>
    <row r="126" spans="2:27">
      <c r="B126" s="541">
        <v>63</v>
      </c>
      <c r="C126" s="365" t="s">
        <v>132</v>
      </c>
      <c r="D126" s="366" t="str">
        <f t="shared" si="31"/>
        <v/>
      </c>
      <c r="E126" s="367" t="str">
        <f t="shared" si="32"/>
        <v/>
      </c>
      <c r="F126" s="367" t="str">
        <f t="shared" si="33"/>
        <v/>
      </c>
      <c r="G126" s="367" t="str">
        <f t="shared" si="34"/>
        <v/>
      </c>
      <c r="H126" s="367" t="str">
        <f t="shared" si="35"/>
        <v/>
      </c>
      <c r="I126" s="367" t="str">
        <f t="shared" si="36"/>
        <v/>
      </c>
      <c r="J126" s="367" t="str">
        <f t="shared" si="37"/>
        <v/>
      </c>
      <c r="K126" s="367" t="str">
        <f t="shared" si="38"/>
        <v/>
      </c>
      <c r="L126" s="367" t="str">
        <f t="shared" si="39"/>
        <v/>
      </c>
      <c r="M126" s="367" t="str">
        <f t="shared" si="40"/>
        <v/>
      </c>
      <c r="N126" s="367" t="str">
        <f t="shared" si="41"/>
        <v/>
      </c>
      <c r="O126" s="368" t="str">
        <f t="shared" si="42"/>
        <v/>
      </c>
      <c r="P126" s="369">
        <f>INDEX('NARM6 - Risk Summary'!$D:$D,MATCH($C126,'NARM6 - Risk Summary'!$B:$B,0))</f>
        <v>0</v>
      </c>
      <c r="Q126" s="370">
        <f>INDEX('NARM6 - Risk Summary'!E:E,MATCH($C126,'NARM6 - Risk Summary'!$B:$B,0)+5)</f>
        <v>0</v>
      </c>
      <c r="R126" s="370">
        <f>INDEX('NARM6 - Risk Summary'!F:F,MATCH($C126,'NARM6 - Risk Summary'!$B:$B,0)+5)</f>
        <v>0</v>
      </c>
      <c r="S126" s="370">
        <f>INDEX('NARM6 - Risk Summary'!G:G,MATCH($C126,'NARM6 - Risk Summary'!$B:$B,0)+5)</f>
        <v>0</v>
      </c>
      <c r="T126" s="370">
        <f>INDEX('NARM6 - Risk Summary'!H:H,MATCH($C126,'NARM6 - Risk Summary'!$B:$B,0)+5)</f>
        <v>0</v>
      </c>
      <c r="U126" s="370">
        <f>INDEX('NARM6 - Risk Summary'!I:I,MATCH($C126,'NARM6 - Risk Summary'!$B:$B,0)+5)</f>
        <v>0</v>
      </c>
      <c r="V126" s="370">
        <f>INDEX('NARM6 - Risk Summary'!J:J,MATCH($C126,'NARM6 - Risk Summary'!$B:$B,0)+5)</f>
        <v>0</v>
      </c>
      <c r="W126" s="370">
        <f>INDEX('NARM6 - Risk Summary'!K:K,MATCH($C126,'NARM6 - Risk Summary'!$B:$B,0)+5)</f>
        <v>0</v>
      </c>
      <c r="X126" s="370">
        <f>INDEX('NARM6 - Risk Summary'!L:L,MATCH($C126,'NARM6 - Risk Summary'!$B:$B,0)+5)</f>
        <v>0</v>
      </c>
      <c r="Y126" s="370">
        <f>INDEX('NARM6 - Risk Summary'!M:M,MATCH($C126,'NARM6 - Risk Summary'!$B:$B,0)+5)</f>
        <v>0</v>
      </c>
      <c r="Z126" s="370">
        <f>INDEX('NARM6 - Risk Summary'!N:N,MATCH($C126,'NARM6 - Risk Summary'!$B:$B,0)+5)</f>
        <v>0</v>
      </c>
      <c r="AA126" s="371">
        <f>INDEX('NARM6 - Risk Summary'!O:O,MATCH($C126,'NARM6 - Risk Summary'!$B:$B,0)+4)</f>
        <v>0</v>
      </c>
    </row>
    <row r="127" spans="2:27">
      <c r="B127" s="541">
        <v>64</v>
      </c>
      <c r="C127" s="365" t="s">
        <v>133</v>
      </c>
      <c r="D127" s="366" t="str">
        <f t="shared" si="31"/>
        <v/>
      </c>
      <c r="E127" s="367" t="str">
        <f t="shared" si="32"/>
        <v/>
      </c>
      <c r="F127" s="367" t="str">
        <f t="shared" si="33"/>
        <v/>
      </c>
      <c r="G127" s="367" t="str">
        <f t="shared" si="34"/>
        <v/>
      </c>
      <c r="H127" s="367" t="str">
        <f t="shared" si="35"/>
        <v/>
      </c>
      <c r="I127" s="367" t="str">
        <f t="shared" si="36"/>
        <v/>
      </c>
      <c r="J127" s="367" t="str">
        <f t="shared" si="37"/>
        <v/>
      </c>
      <c r="K127" s="367" t="str">
        <f t="shared" si="38"/>
        <v/>
      </c>
      <c r="L127" s="367" t="str">
        <f t="shared" si="39"/>
        <v/>
      </c>
      <c r="M127" s="367" t="str">
        <f t="shared" si="40"/>
        <v/>
      </c>
      <c r="N127" s="367" t="str">
        <f t="shared" si="41"/>
        <v/>
      </c>
      <c r="O127" s="368" t="str">
        <f t="shared" si="42"/>
        <v/>
      </c>
      <c r="P127" s="369">
        <f>INDEX('NARM6 - Risk Summary'!$D:$D,MATCH($C127,'NARM6 - Risk Summary'!$B:$B,0))</f>
        <v>0</v>
      </c>
      <c r="Q127" s="370">
        <f>INDEX('NARM6 - Risk Summary'!E:E,MATCH($C127,'NARM6 - Risk Summary'!$B:$B,0)+5)</f>
        <v>0</v>
      </c>
      <c r="R127" s="370">
        <f>INDEX('NARM6 - Risk Summary'!F:F,MATCH($C127,'NARM6 - Risk Summary'!$B:$B,0)+5)</f>
        <v>0</v>
      </c>
      <c r="S127" s="370">
        <f>INDEX('NARM6 - Risk Summary'!G:G,MATCH($C127,'NARM6 - Risk Summary'!$B:$B,0)+5)</f>
        <v>0</v>
      </c>
      <c r="T127" s="370">
        <f>INDEX('NARM6 - Risk Summary'!H:H,MATCH($C127,'NARM6 - Risk Summary'!$B:$B,0)+5)</f>
        <v>0</v>
      </c>
      <c r="U127" s="370">
        <f>INDEX('NARM6 - Risk Summary'!I:I,MATCH($C127,'NARM6 - Risk Summary'!$B:$B,0)+5)</f>
        <v>0</v>
      </c>
      <c r="V127" s="370">
        <f>INDEX('NARM6 - Risk Summary'!J:J,MATCH($C127,'NARM6 - Risk Summary'!$B:$B,0)+5)</f>
        <v>0</v>
      </c>
      <c r="W127" s="370">
        <f>INDEX('NARM6 - Risk Summary'!K:K,MATCH($C127,'NARM6 - Risk Summary'!$B:$B,0)+5)</f>
        <v>0</v>
      </c>
      <c r="X127" s="370">
        <f>INDEX('NARM6 - Risk Summary'!L:L,MATCH($C127,'NARM6 - Risk Summary'!$B:$B,0)+5)</f>
        <v>0</v>
      </c>
      <c r="Y127" s="370">
        <f>INDEX('NARM6 - Risk Summary'!M:M,MATCH($C127,'NARM6 - Risk Summary'!$B:$B,0)+5)</f>
        <v>0</v>
      </c>
      <c r="Z127" s="370">
        <f>INDEX('NARM6 - Risk Summary'!N:N,MATCH($C127,'NARM6 - Risk Summary'!$B:$B,0)+5)</f>
        <v>0</v>
      </c>
      <c r="AA127" s="371">
        <f>INDEX('NARM6 - Risk Summary'!O:O,MATCH($C127,'NARM6 - Risk Summary'!$B:$B,0)+4)</f>
        <v>0</v>
      </c>
    </row>
    <row r="128" spans="2:27">
      <c r="B128" s="541">
        <v>65</v>
      </c>
      <c r="C128" s="365" t="s">
        <v>134</v>
      </c>
      <c r="D128" s="366" t="str">
        <f t="shared" si="31"/>
        <v/>
      </c>
      <c r="E128" s="367" t="str">
        <f t="shared" si="32"/>
        <v/>
      </c>
      <c r="F128" s="367" t="str">
        <f t="shared" si="33"/>
        <v/>
      </c>
      <c r="G128" s="367" t="str">
        <f t="shared" si="34"/>
        <v/>
      </c>
      <c r="H128" s="367" t="str">
        <f t="shared" si="35"/>
        <v/>
      </c>
      <c r="I128" s="367" t="str">
        <f t="shared" si="36"/>
        <v/>
      </c>
      <c r="J128" s="367" t="str">
        <f t="shared" si="37"/>
        <v/>
      </c>
      <c r="K128" s="367" t="str">
        <f t="shared" si="38"/>
        <v/>
      </c>
      <c r="L128" s="367" t="str">
        <f t="shared" si="39"/>
        <v/>
      </c>
      <c r="M128" s="367" t="str">
        <f t="shared" si="40"/>
        <v/>
      </c>
      <c r="N128" s="367" t="str">
        <f t="shared" si="41"/>
        <v/>
      </c>
      <c r="O128" s="368" t="str">
        <f t="shared" si="42"/>
        <v/>
      </c>
      <c r="P128" s="369">
        <f>INDEX('NARM6 - Risk Summary'!$D:$D,MATCH($C128,'NARM6 - Risk Summary'!$B:$B,0))</f>
        <v>0</v>
      </c>
      <c r="Q128" s="370">
        <f>INDEX('NARM6 - Risk Summary'!E:E,MATCH($C128,'NARM6 - Risk Summary'!$B:$B,0)+5)</f>
        <v>0</v>
      </c>
      <c r="R128" s="370">
        <f>INDEX('NARM6 - Risk Summary'!F:F,MATCH($C128,'NARM6 - Risk Summary'!$B:$B,0)+5)</f>
        <v>0</v>
      </c>
      <c r="S128" s="370">
        <f>INDEX('NARM6 - Risk Summary'!G:G,MATCH($C128,'NARM6 - Risk Summary'!$B:$B,0)+5)</f>
        <v>0</v>
      </c>
      <c r="T128" s="370">
        <f>INDEX('NARM6 - Risk Summary'!H:H,MATCH($C128,'NARM6 - Risk Summary'!$B:$B,0)+5)</f>
        <v>0</v>
      </c>
      <c r="U128" s="370">
        <f>INDEX('NARM6 - Risk Summary'!I:I,MATCH($C128,'NARM6 - Risk Summary'!$B:$B,0)+5)</f>
        <v>0</v>
      </c>
      <c r="V128" s="370">
        <f>INDEX('NARM6 - Risk Summary'!J:J,MATCH($C128,'NARM6 - Risk Summary'!$B:$B,0)+5)</f>
        <v>0</v>
      </c>
      <c r="W128" s="370">
        <f>INDEX('NARM6 - Risk Summary'!K:K,MATCH($C128,'NARM6 - Risk Summary'!$B:$B,0)+5)</f>
        <v>0</v>
      </c>
      <c r="X128" s="370">
        <f>INDEX('NARM6 - Risk Summary'!L:L,MATCH($C128,'NARM6 - Risk Summary'!$B:$B,0)+5)</f>
        <v>0</v>
      </c>
      <c r="Y128" s="370">
        <f>INDEX('NARM6 - Risk Summary'!M:M,MATCH($C128,'NARM6 - Risk Summary'!$B:$B,0)+5)</f>
        <v>0</v>
      </c>
      <c r="Z128" s="370">
        <f>INDEX('NARM6 - Risk Summary'!N:N,MATCH($C128,'NARM6 - Risk Summary'!$B:$B,0)+5)</f>
        <v>0</v>
      </c>
      <c r="AA128" s="371">
        <f>INDEX('NARM6 - Risk Summary'!O:O,MATCH($C128,'NARM6 - Risk Summary'!$B:$B,0)+4)</f>
        <v>0</v>
      </c>
    </row>
    <row r="129" spans="2:27" ht="14" thickBot="1">
      <c r="B129" s="541">
        <v>66</v>
      </c>
      <c r="C129" s="372" t="s">
        <v>135</v>
      </c>
      <c r="D129" s="373" t="str">
        <f t="shared" si="31"/>
        <v/>
      </c>
      <c r="E129" s="374" t="str">
        <f t="shared" si="32"/>
        <v/>
      </c>
      <c r="F129" s="374" t="str">
        <f t="shared" si="33"/>
        <v/>
      </c>
      <c r="G129" s="374" t="str">
        <f t="shared" si="34"/>
        <v/>
      </c>
      <c r="H129" s="374" t="str">
        <f t="shared" si="35"/>
        <v/>
      </c>
      <c r="I129" s="374" t="str">
        <f t="shared" si="36"/>
        <v/>
      </c>
      <c r="J129" s="374" t="str">
        <f t="shared" si="37"/>
        <v/>
      </c>
      <c r="K129" s="374" t="str">
        <f t="shared" si="38"/>
        <v/>
      </c>
      <c r="L129" s="374" t="str">
        <f t="shared" si="39"/>
        <v/>
      </c>
      <c r="M129" s="374" t="str">
        <f t="shared" si="40"/>
        <v/>
      </c>
      <c r="N129" s="374" t="str">
        <f t="shared" si="41"/>
        <v/>
      </c>
      <c r="O129" s="375" t="str">
        <f t="shared" si="42"/>
        <v/>
      </c>
      <c r="P129" s="376">
        <f>INDEX('NARM6 - Risk Summary'!$D:$D,MATCH($C129,'NARM6 - Risk Summary'!$B:$B,0))</f>
        <v>0</v>
      </c>
      <c r="Q129" s="377">
        <f>INDEX('NARM6 - Risk Summary'!E:E,MATCH($C129,'NARM6 - Risk Summary'!$B:$B,0)+5)</f>
        <v>0</v>
      </c>
      <c r="R129" s="377">
        <f>INDEX('NARM6 - Risk Summary'!F:F,MATCH($C129,'NARM6 - Risk Summary'!$B:$B,0)+5)</f>
        <v>0</v>
      </c>
      <c r="S129" s="377">
        <f>INDEX('NARM6 - Risk Summary'!G:G,MATCH($C129,'NARM6 - Risk Summary'!$B:$B,0)+5)</f>
        <v>0</v>
      </c>
      <c r="T129" s="377">
        <f>INDEX('NARM6 - Risk Summary'!H:H,MATCH($C129,'NARM6 - Risk Summary'!$B:$B,0)+5)</f>
        <v>0</v>
      </c>
      <c r="U129" s="377">
        <f>INDEX('NARM6 - Risk Summary'!I:I,MATCH($C129,'NARM6 - Risk Summary'!$B:$B,0)+5)</f>
        <v>0</v>
      </c>
      <c r="V129" s="377">
        <f>INDEX('NARM6 - Risk Summary'!J:J,MATCH($C129,'NARM6 - Risk Summary'!$B:$B,0)+5)</f>
        <v>0</v>
      </c>
      <c r="W129" s="377">
        <f>INDEX('NARM6 - Risk Summary'!K:K,MATCH($C129,'NARM6 - Risk Summary'!$B:$B,0)+5)</f>
        <v>0</v>
      </c>
      <c r="X129" s="377">
        <f>INDEX('NARM6 - Risk Summary'!L:L,MATCH($C129,'NARM6 - Risk Summary'!$B:$B,0)+5)</f>
        <v>0</v>
      </c>
      <c r="Y129" s="377">
        <f>INDEX('NARM6 - Risk Summary'!M:M,MATCH($C129,'NARM6 - Risk Summary'!$B:$B,0)+5)</f>
        <v>0</v>
      </c>
      <c r="Z129" s="377">
        <f>INDEX('NARM6 - Risk Summary'!N:N,MATCH($C129,'NARM6 - Risk Summary'!$B:$B,0)+5)</f>
        <v>0</v>
      </c>
      <c r="AA129" s="378">
        <f>INDEX('NARM6 - Risk Summary'!O:O,MATCH($C129,'NARM6 - Risk Summary'!$B:$B,0)+4)</f>
        <v>0</v>
      </c>
    </row>
    <row r="132" spans="2:27">
      <c r="B132"/>
      <c r="C132"/>
      <c r="D132"/>
      <c r="E132"/>
    </row>
    <row r="133" spans="2:27">
      <c r="B133"/>
      <c r="C133"/>
      <c r="D133"/>
      <c r="E133"/>
    </row>
    <row r="134" spans="2:27">
      <c r="B134"/>
      <c r="C134"/>
      <c r="D134"/>
      <c r="E134"/>
    </row>
    <row r="135" spans="2:27">
      <c r="B135"/>
      <c r="C135"/>
      <c r="D135"/>
      <c r="E135"/>
    </row>
    <row r="136" spans="2:27">
      <c r="B136"/>
      <c r="C136"/>
      <c r="D136"/>
      <c r="E136"/>
    </row>
    <row r="137" spans="2:27">
      <c r="B137"/>
      <c r="C137"/>
      <c r="D137"/>
      <c r="E137"/>
    </row>
    <row r="138" spans="2:27">
      <c r="B138"/>
      <c r="C138"/>
      <c r="D138"/>
      <c r="E138"/>
    </row>
    <row r="139" spans="2:27">
      <c r="B139"/>
      <c r="C139"/>
      <c r="D139"/>
      <c r="E139"/>
    </row>
    <row r="140" spans="2:27">
      <c r="B140"/>
      <c r="C140"/>
      <c r="D140"/>
      <c r="E140"/>
    </row>
    <row r="141" spans="2:27">
      <c r="B141"/>
      <c r="C141"/>
      <c r="D141"/>
      <c r="E141"/>
    </row>
    <row r="142" spans="2:27">
      <c r="B142"/>
      <c r="C142"/>
      <c r="D142"/>
      <c r="E142"/>
    </row>
    <row r="143" spans="2:27">
      <c r="B143"/>
      <c r="C143"/>
      <c r="D143"/>
      <c r="E143"/>
    </row>
    <row r="144" spans="2:27">
      <c r="B144"/>
      <c r="C144"/>
      <c r="D144"/>
      <c r="E144"/>
    </row>
    <row r="145" spans="2:5">
      <c r="B145"/>
      <c r="C145"/>
      <c r="D145"/>
      <c r="E145"/>
    </row>
    <row r="146" spans="2:5">
      <c r="B146"/>
      <c r="C146"/>
      <c r="D146"/>
      <c r="E146"/>
    </row>
    <row r="147" spans="2:5">
      <c r="B147"/>
      <c r="C147"/>
      <c r="D147"/>
      <c r="E147"/>
    </row>
    <row r="148" spans="2:5">
      <c r="B148"/>
      <c r="C148"/>
      <c r="D148"/>
      <c r="E148"/>
    </row>
    <row r="149" spans="2:5">
      <c r="B149"/>
      <c r="C149"/>
      <c r="D149"/>
      <c r="E149"/>
    </row>
    <row r="150" spans="2:5">
      <c r="B150"/>
      <c r="C150"/>
      <c r="D150"/>
      <c r="E150"/>
    </row>
    <row r="151" spans="2:5">
      <c r="B151"/>
      <c r="C151"/>
      <c r="D151"/>
      <c r="E151"/>
    </row>
    <row r="152" spans="2:5">
      <c r="B152"/>
      <c r="C152"/>
      <c r="D152"/>
      <c r="E152"/>
    </row>
    <row r="153" spans="2:5">
      <c r="B153"/>
      <c r="C153"/>
      <c r="D153"/>
      <c r="E153"/>
    </row>
    <row r="154" spans="2:5">
      <c r="B154"/>
      <c r="C154"/>
      <c r="D154"/>
      <c r="E154"/>
    </row>
    <row r="155" spans="2:5">
      <c r="B155"/>
      <c r="C155"/>
      <c r="D155"/>
      <c r="E155"/>
    </row>
    <row r="156" spans="2:5">
      <c r="B156"/>
      <c r="C156"/>
      <c r="D156"/>
      <c r="E156"/>
    </row>
    <row r="157" spans="2:5">
      <c r="B157"/>
      <c r="C157"/>
      <c r="D157"/>
      <c r="E157"/>
    </row>
    <row r="158" spans="2:5">
      <c r="B158"/>
      <c r="C158"/>
      <c r="D158"/>
      <c r="E158"/>
    </row>
    <row r="159" spans="2:5">
      <c r="B159"/>
      <c r="C159"/>
      <c r="D159"/>
      <c r="E159"/>
    </row>
    <row r="160" spans="2:5">
      <c r="B160"/>
      <c r="C160"/>
      <c r="D160"/>
      <c r="E160"/>
    </row>
    <row r="161" spans="2:5">
      <c r="B161"/>
      <c r="C161"/>
      <c r="D161"/>
      <c r="E161"/>
    </row>
    <row r="162" spans="2:5">
      <c r="B162"/>
      <c r="C162"/>
      <c r="D162"/>
      <c r="E162"/>
    </row>
    <row r="163" spans="2:5">
      <c r="B163"/>
      <c r="C163"/>
      <c r="D163"/>
      <c r="E163"/>
    </row>
    <row r="164" spans="2:5">
      <c r="B164"/>
      <c r="C164"/>
      <c r="D164"/>
      <c r="E164"/>
    </row>
    <row r="165" spans="2:5">
      <c r="B165"/>
      <c r="C165"/>
      <c r="D165"/>
      <c r="E165"/>
    </row>
    <row r="166" spans="2:5">
      <c r="B166"/>
      <c r="C166"/>
      <c r="D166"/>
      <c r="E166"/>
    </row>
    <row r="167" spans="2:5">
      <c r="B167"/>
      <c r="C167"/>
      <c r="D167"/>
      <c r="E167"/>
    </row>
    <row r="168" spans="2:5">
      <c r="B168"/>
      <c r="C168"/>
      <c r="D168"/>
      <c r="E168"/>
    </row>
    <row r="169" spans="2:5">
      <c r="B169"/>
      <c r="C169"/>
      <c r="D169"/>
      <c r="E169"/>
    </row>
    <row r="170" spans="2:5">
      <c r="B170"/>
      <c r="C170"/>
      <c r="D170"/>
      <c r="E170"/>
    </row>
    <row r="171" spans="2:5">
      <c r="B171"/>
      <c r="C171"/>
      <c r="D171"/>
      <c r="E171"/>
    </row>
    <row r="172" spans="2:5">
      <c r="B172"/>
      <c r="C172"/>
      <c r="D172"/>
      <c r="E172"/>
    </row>
    <row r="173" spans="2:5">
      <c r="B173"/>
      <c r="C173"/>
      <c r="D173"/>
      <c r="E173"/>
    </row>
    <row r="174" spans="2:5">
      <c r="B174"/>
      <c r="C174"/>
      <c r="D174"/>
      <c r="E174"/>
    </row>
  </sheetData>
  <autoFilter ref="B63:AB114" xr:uid="{00000000-0009-0000-0000-000006000000}"/>
  <mergeCells count="18">
    <mergeCell ref="AP42:AS42"/>
    <mergeCell ref="AT42:AW42"/>
    <mergeCell ref="B2:D5"/>
    <mergeCell ref="AN9:AN20"/>
    <mergeCell ref="AN26:AN27"/>
    <mergeCell ref="AO26:AO27"/>
    <mergeCell ref="AP26:AT26"/>
    <mergeCell ref="AU26:AY26"/>
    <mergeCell ref="AN28:AN39"/>
    <mergeCell ref="AK30:AL30"/>
    <mergeCell ref="AK31:AL31"/>
    <mergeCell ref="AN22:AN24"/>
    <mergeCell ref="F2:J5"/>
    <mergeCell ref="AP43:AQ43"/>
    <mergeCell ref="AR43:AS43"/>
    <mergeCell ref="AT43:AU43"/>
    <mergeCell ref="AV43:AW43"/>
    <mergeCell ref="AN45:AN56"/>
  </mergeCells>
  <dataValidations count="1">
    <dataValidation type="list" allowBlank="1" showInputMessage="1" showErrorMessage="1" sqref="C59" xr:uid="{00000000-0002-0000-0600-000000000000}">
      <formula1>$AP$8:$AU$8</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5121" r:id="rId5" name="Drop Down 1">
              <controlPr defaultSize="0" autoLine="0" autoPict="0" altText="Drop down for select asset category">
                <anchor moveWithCells="1">
                  <from>
                    <xdr:col>1</xdr:col>
                    <xdr:colOff>88900</xdr:colOff>
                    <xdr:row>2</xdr:row>
                    <xdr:rowOff>152400</xdr:rowOff>
                  </from>
                  <to>
                    <xdr:col>2</xdr:col>
                    <xdr:colOff>2203450</xdr:colOff>
                    <xdr:row>4</xdr:row>
                    <xdr:rowOff>266700</xdr:rowOff>
                  </to>
                </anchor>
              </controlPr>
            </control>
          </mc:Choice>
        </mc:AlternateContent>
        <mc:AlternateContent xmlns:mc="http://schemas.openxmlformats.org/markup-compatibility/2006">
          <mc:Choice Requires="x14">
            <control shapeId="5122" r:id="rId6" name="Spinner 2">
              <controlPr defaultSize="0" autoPict="0" altText="Control for dropdown, selecting asset category">
                <anchor moveWithCells="1" sizeWithCells="1">
                  <from>
                    <xdr:col>3</xdr:col>
                    <xdr:colOff>12700</xdr:colOff>
                    <xdr:row>2</xdr:row>
                    <xdr:rowOff>146050</xdr:rowOff>
                  </from>
                  <to>
                    <xdr:col>3</xdr:col>
                    <xdr:colOff>755650</xdr:colOff>
                    <xdr:row>4</xdr:row>
                    <xdr:rowOff>241300</xdr:rowOff>
                  </to>
                </anchor>
              </controlPr>
            </control>
          </mc:Choice>
        </mc:AlternateContent>
        <mc:AlternateContent xmlns:mc="http://schemas.openxmlformats.org/markup-compatibility/2006">
          <mc:Choice Requires="x14">
            <control shapeId="5123" r:id="rId7" name="Drop Down 3">
              <controlPr defaultSize="0" autoLine="0" autoPict="0" altText="Drop Down for select Comparison Year">
                <anchor moveWithCells="1">
                  <from>
                    <xdr:col>5</xdr:col>
                    <xdr:colOff>88900</xdr:colOff>
                    <xdr:row>2</xdr:row>
                    <xdr:rowOff>152400</xdr:rowOff>
                  </from>
                  <to>
                    <xdr:col>8</xdr:col>
                    <xdr:colOff>184150</xdr:colOff>
                    <xdr:row>4</xdr:row>
                    <xdr:rowOff>228600</xdr:rowOff>
                  </to>
                </anchor>
              </controlPr>
            </control>
          </mc:Choice>
        </mc:AlternateContent>
        <mc:AlternateContent xmlns:mc="http://schemas.openxmlformats.org/markup-compatibility/2006">
          <mc:Choice Requires="x14">
            <control shapeId="5124" r:id="rId8" name="Spinner 4">
              <controlPr defaultSize="0" autoPict="0" altText="Control for dropdown, selecting comparison year_x000a_">
                <anchor moveWithCells="1" sizeWithCells="1">
                  <from>
                    <xdr:col>8</xdr:col>
                    <xdr:colOff>641350</xdr:colOff>
                    <xdr:row>2</xdr:row>
                    <xdr:rowOff>107950</xdr:rowOff>
                  </from>
                  <to>
                    <xdr:col>9</xdr:col>
                    <xdr:colOff>546100</xdr:colOff>
                    <xdr:row>4</xdr:row>
                    <xdr:rowOff>203200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532</PublicationRequestID>
    <DocumentTitle xmlns="3ffacce4-957f-4f0a-910f-9efe2ecf512c">RIIO-ED2 RRP NARMs</DocumentTitle>
    <DocumentRank xmlns="3ffacce4-957f-4f0a-910f-9efe2ecf512c">Subsidiary</DocumentRank>
  </documentManagement>
</p:properties>
</file>

<file path=customXml/itemProps1.xml><?xml version="1.0" encoding="utf-8"?>
<ds:datastoreItem xmlns:ds="http://schemas.openxmlformats.org/officeDocument/2006/customXml" ds:itemID="{0F58EE88-0B0E-48B2-AB0B-F62D6FC62A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E0336-B57A-45E3-A4F9-4408E0656DB2}">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4DE5FDA-DE3D-4543-8258-22C3E1BB832B}">
  <ds:schemaRefs>
    <ds:schemaRef ds:uri="http://schemas.microsoft.com/sharepoint/v3/contenttype/forms"/>
  </ds:schemaRefs>
</ds:datastoreItem>
</file>

<file path=customXml/itemProps4.xml><?xml version="1.0" encoding="utf-8"?>
<ds:datastoreItem xmlns:ds="http://schemas.openxmlformats.org/officeDocument/2006/customXml" ds:itemID="{DBA26A74-1558-4757-AFB1-3E32028D38FE}">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5555</vt:i4>
      </vt:variant>
    </vt:vector>
  </HeadingPairs>
  <TitlesOfParts>
    <vt:vector size="5565" baseType="lpstr">
      <vt:lpstr>Cover Sheet</vt:lpstr>
      <vt:lpstr>Navigation</vt:lpstr>
      <vt:lpstr>Changes Log</vt:lpstr>
      <vt:lpstr>NARM1 - Risk Index Weightings</vt:lpstr>
      <vt:lpstr>NARM4 - ED2 NARW Risk Movements</vt:lpstr>
      <vt:lpstr>NARM5 – ED2 actuals</vt:lpstr>
      <vt:lpstr>NARM6 - Risk Summary</vt:lpstr>
      <vt:lpstr>NARM7 - Dashboard</vt:lpstr>
      <vt:lpstr>NARM8 - Variance Analysis</vt:lpstr>
      <vt:lpstr>Data assurance</vt:lpstr>
      <vt:lpstr>All_Other_Yr1_1</vt:lpstr>
      <vt:lpstr>All_Other_Yr1_10</vt:lpstr>
      <vt:lpstr>All_Other_Yr1_11</vt:lpstr>
      <vt:lpstr>All_Other_Yr1_12</vt:lpstr>
      <vt:lpstr>All_Other_Yr1_13</vt:lpstr>
      <vt:lpstr>All_Other_Yr1_14</vt:lpstr>
      <vt:lpstr>All_Other_Yr1_15</vt:lpstr>
      <vt:lpstr>All_Other_Yr1_16</vt:lpstr>
      <vt:lpstr>All_Other_Yr1_17</vt:lpstr>
      <vt:lpstr>All_Other_Yr1_18</vt:lpstr>
      <vt:lpstr>All_Other_Yr1_19</vt:lpstr>
      <vt:lpstr>All_Other_Yr1_2</vt:lpstr>
      <vt:lpstr>All_Other_Yr1_20</vt:lpstr>
      <vt:lpstr>All_Other_Yr1_21</vt:lpstr>
      <vt:lpstr>All_Other_Yr1_22</vt:lpstr>
      <vt:lpstr>All_Other_Yr1_23</vt:lpstr>
      <vt:lpstr>All_Other_Yr1_24</vt:lpstr>
      <vt:lpstr>All_Other_Yr1_25</vt:lpstr>
      <vt:lpstr>All_Other_Yr1_26</vt:lpstr>
      <vt:lpstr>All_Other_Yr1_27</vt:lpstr>
      <vt:lpstr>All_Other_Yr1_28</vt:lpstr>
      <vt:lpstr>All_Other_Yr1_29</vt:lpstr>
      <vt:lpstr>All_Other_Yr1_3</vt:lpstr>
      <vt:lpstr>All_Other_Yr1_30</vt:lpstr>
      <vt:lpstr>All_Other_Yr1_31</vt:lpstr>
      <vt:lpstr>All_Other_Yr1_32</vt:lpstr>
      <vt:lpstr>All_Other_Yr1_33</vt:lpstr>
      <vt:lpstr>All_Other_Yr1_34</vt:lpstr>
      <vt:lpstr>All_Other_Yr1_35</vt:lpstr>
      <vt:lpstr>All_Other_Yr1_36</vt:lpstr>
      <vt:lpstr>All_Other_Yr1_37</vt:lpstr>
      <vt:lpstr>All_Other_Yr1_38</vt:lpstr>
      <vt:lpstr>All_Other_Yr1_39</vt:lpstr>
      <vt:lpstr>All_Other_Yr1_4</vt:lpstr>
      <vt:lpstr>All_Other_Yr1_40</vt:lpstr>
      <vt:lpstr>All_Other_Yr1_41</vt:lpstr>
      <vt:lpstr>All_Other_Yr1_42</vt:lpstr>
      <vt:lpstr>All_Other_Yr1_43</vt:lpstr>
      <vt:lpstr>All_Other_Yr1_44</vt:lpstr>
      <vt:lpstr>All_Other_Yr1_45</vt:lpstr>
      <vt:lpstr>All_Other_Yr1_46</vt:lpstr>
      <vt:lpstr>All_Other_Yr1_47</vt:lpstr>
      <vt:lpstr>All_Other_Yr1_48</vt:lpstr>
      <vt:lpstr>All_Other_Yr1_49</vt:lpstr>
      <vt:lpstr>All_Other_Yr1_5</vt:lpstr>
      <vt:lpstr>All_Other_Yr1_50</vt:lpstr>
      <vt:lpstr>All_Other_Yr1_51</vt:lpstr>
      <vt:lpstr>All_Other_Yr1_52</vt:lpstr>
      <vt:lpstr>All_Other_Yr1_53</vt:lpstr>
      <vt:lpstr>All_Other_Yr1_54</vt:lpstr>
      <vt:lpstr>All_Other_Yr1_55</vt:lpstr>
      <vt:lpstr>All_Other_Yr1_56</vt:lpstr>
      <vt:lpstr>All_Other_Yr1_57</vt:lpstr>
      <vt:lpstr>All_Other_Yr1_58</vt:lpstr>
      <vt:lpstr>All_Other_Yr1_59</vt:lpstr>
      <vt:lpstr>All_Other_Yr1_6</vt:lpstr>
      <vt:lpstr>All_Other_Yr1_60</vt:lpstr>
      <vt:lpstr>All_Other_Yr1_61</vt:lpstr>
      <vt:lpstr>All_Other_Yr1_7</vt:lpstr>
      <vt:lpstr>All_Other_Yr1_8</vt:lpstr>
      <vt:lpstr>All_Other_Yr1_9</vt:lpstr>
      <vt:lpstr>All_Other_Yr2_1</vt:lpstr>
      <vt:lpstr>All_Other_Yr2_10</vt:lpstr>
      <vt:lpstr>All_Other_Yr2_11</vt:lpstr>
      <vt:lpstr>All_Other_Yr2_12</vt:lpstr>
      <vt:lpstr>All_Other_Yr2_13</vt:lpstr>
      <vt:lpstr>All_Other_Yr2_14</vt:lpstr>
      <vt:lpstr>All_Other_Yr2_15</vt:lpstr>
      <vt:lpstr>All_Other_Yr2_16</vt:lpstr>
      <vt:lpstr>All_Other_Yr2_17</vt:lpstr>
      <vt:lpstr>All_Other_Yr2_18</vt:lpstr>
      <vt:lpstr>All_Other_Yr2_19</vt:lpstr>
      <vt:lpstr>All_Other_Yr2_2</vt:lpstr>
      <vt:lpstr>All_Other_Yr2_20</vt:lpstr>
      <vt:lpstr>All_Other_Yr2_21</vt:lpstr>
      <vt:lpstr>All_Other_Yr2_22</vt:lpstr>
      <vt:lpstr>All_Other_Yr2_23</vt:lpstr>
      <vt:lpstr>All_Other_Yr2_24</vt:lpstr>
      <vt:lpstr>All_Other_Yr2_25</vt:lpstr>
      <vt:lpstr>All_Other_Yr2_26</vt:lpstr>
      <vt:lpstr>All_Other_Yr2_27</vt:lpstr>
      <vt:lpstr>All_Other_Yr2_28</vt:lpstr>
      <vt:lpstr>All_Other_Yr2_29</vt:lpstr>
      <vt:lpstr>All_Other_Yr2_3</vt:lpstr>
      <vt:lpstr>All_Other_Yr2_30</vt:lpstr>
      <vt:lpstr>All_Other_Yr2_31</vt:lpstr>
      <vt:lpstr>All_Other_Yr2_32</vt:lpstr>
      <vt:lpstr>All_Other_Yr2_33</vt:lpstr>
      <vt:lpstr>All_Other_Yr2_34</vt:lpstr>
      <vt:lpstr>All_Other_Yr2_35</vt:lpstr>
      <vt:lpstr>All_Other_Yr2_36</vt:lpstr>
      <vt:lpstr>All_Other_Yr2_37</vt:lpstr>
      <vt:lpstr>All_Other_Yr2_38</vt:lpstr>
      <vt:lpstr>All_Other_Yr2_39</vt:lpstr>
      <vt:lpstr>All_Other_Yr2_4</vt:lpstr>
      <vt:lpstr>All_Other_Yr2_40</vt:lpstr>
      <vt:lpstr>All_Other_Yr2_41</vt:lpstr>
      <vt:lpstr>All_Other_Yr2_42</vt:lpstr>
      <vt:lpstr>All_Other_Yr2_43</vt:lpstr>
      <vt:lpstr>All_Other_Yr2_44</vt:lpstr>
      <vt:lpstr>All_Other_Yr2_45</vt:lpstr>
      <vt:lpstr>All_Other_Yr2_46</vt:lpstr>
      <vt:lpstr>All_Other_Yr2_47</vt:lpstr>
      <vt:lpstr>All_Other_Yr2_48</vt:lpstr>
      <vt:lpstr>All_Other_Yr2_49</vt:lpstr>
      <vt:lpstr>All_Other_Yr2_5</vt:lpstr>
      <vt:lpstr>All_Other_Yr2_50</vt:lpstr>
      <vt:lpstr>All_Other_Yr2_51</vt:lpstr>
      <vt:lpstr>All_Other_Yr2_52</vt:lpstr>
      <vt:lpstr>All_Other_Yr2_53</vt:lpstr>
      <vt:lpstr>All_Other_Yr2_54</vt:lpstr>
      <vt:lpstr>All_Other_Yr2_55</vt:lpstr>
      <vt:lpstr>All_Other_Yr2_56</vt:lpstr>
      <vt:lpstr>All_Other_Yr2_57</vt:lpstr>
      <vt:lpstr>All_Other_Yr2_58</vt:lpstr>
      <vt:lpstr>All_Other_Yr2_59</vt:lpstr>
      <vt:lpstr>All_Other_Yr2_6</vt:lpstr>
      <vt:lpstr>All_Other_Yr2_60</vt:lpstr>
      <vt:lpstr>All_Other_Yr2_61</vt:lpstr>
      <vt:lpstr>All_Other_Yr2_7</vt:lpstr>
      <vt:lpstr>All_Other_Yr2_8</vt:lpstr>
      <vt:lpstr>All_Other_Yr2_9</vt:lpstr>
      <vt:lpstr>All_Other_Yr3_1</vt:lpstr>
      <vt:lpstr>All_Other_Yr3_10</vt:lpstr>
      <vt:lpstr>All_Other_Yr3_11</vt:lpstr>
      <vt:lpstr>All_Other_Yr3_12</vt:lpstr>
      <vt:lpstr>All_Other_Yr3_13</vt:lpstr>
      <vt:lpstr>All_Other_Yr3_14</vt:lpstr>
      <vt:lpstr>All_Other_Yr3_15</vt:lpstr>
      <vt:lpstr>All_Other_Yr3_16</vt:lpstr>
      <vt:lpstr>All_Other_Yr3_17</vt:lpstr>
      <vt:lpstr>All_Other_Yr3_18</vt:lpstr>
      <vt:lpstr>All_Other_Yr3_19</vt:lpstr>
      <vt:lpstr>All_Other_Yr3_2</vt:lpstr>
      <vt:lpstr>All_Other_Yr3_20</vt:lpstr>
      <vt:lpstr>All_Other_Yr3_21</vt:lpstr>
      <vt:lpstr>All_Other_Yr3_22</vt:lpstr>
      <vt:lpstr>All_Other_Yr3_23</vt:lpstr>
      <vt:lpstr>All_Other_Yr3_24</vt:lpstr>
      <vt:lpstr>All_Other_Yr3_25</vt:lpstr>
      <vt:lpstr>All_Other_Yr3_26</vt:lpstr>
      <vt:lpstr>All_Other_Yr3_27</vt:lpstr>
      <vt:lpstr>All_Other_Yr3_28</vt:lpstr>
      <vt:lpstr>All_Other_Yr3_29</vt:lpstr>
      <vt:lpstr>All_Other_Yr3_3</vt:lpstr>
      <vt:lpstr>All_Other_Yr3_30</vt:lpstr>
      <vt:lpstr>All_Other_Yr3_31</vt:lpstr>
      <vt:lpstr>All_Other_Yr3_32</vt:lpstr>
      <vt:lpstr>All_Other_Yr3_33</vt:lpstr>
      <vt:lpstr>All_Other_Yr3_34</vt:lpstr>
      <vt:lpstr>All_Other_Yr3_35</vt:lpstr>
      <vt:lpstr>All_Other_Yr3_36</vt:lpstr>
      <vt:lpstr>All_Other_Yr3_37</vt:lpstr>
      <vt:lpstr>All_Other_Yr3_38</vt:lpstr>
      <vt:lpstr>All_Other_Yr3_39</vt:lpstr>
      <vt:lpstr>All_Other_Yr3_4</vt:lpstr>
      <vt:lpstr>All_Other_Yr3_40</vt:lpstr>
      <vt:lpstr>All_Other_Yr3_41</vt:lpstr>
      <vt:lpstr>All_Other_Yr3_42</vt:lpstr>
      <vt:lpstr>All_Other_Yr3_43</vt:lpstr>
      <vt:lpstr>All_Other_Yr3_44</vt:lpstr>
      <vt:lpstr>All_Other_Yr3_45</vt:lpstr>
      <vt:lpstr>All_Other_Yr3_46</vt:lpstr>
      <vt:lpstr>All_Other_Yr3_47</vt:lpstr>
      <vt:lpstr>All_Other_Yr3_48</vt:lpstr>
      <vt:lpstr>All_Other_Yr3_49</vt:lpstr>
      <vt:lpstr>All_Other_Yr3_5</vt:lpstr>
      <vt:lpstr>All_Other_Yr3_50</vt:lpstr>
      <vt:lpstr>All_Other_Yr3_51</vt:lpstr>
      <vt:lpstr>All_Other_Yr3_52</vt:lpstr>
      <vt:lpstr>All_Other_Yr3_53</vt:lpstr>
      <vt:lpstr>All_Other_Yr3_54</vt:lpstr>
      <vt:lpstr>All_Other_Yr3_55</vt:lpstr>
      <vt:lpstr>All_Other_Yr3_56</vt:lpstr>
      <vt:lpstr>All_Other_Yr3_57</vt:lpstr>
      <vt:lpstr>All_Other_Yr3_58</vt:lpstr>
      <vt:lpstr>All_Other_Yr3_59</vt:lpstr>
      <vt:lpstr>All_Other_Yr3_6</vt:lpstr>
      <vt:lpstr>All_Other_Yr3_60</vt:lpstr>
      <vt:lpstr>All_Other_Yr3_61</vt:lpstr>
      <vt:lpstr>All_Other_Yr3_7</vt:lpstr>
      <vt:lpstr>All_Other_Yr3_8</vt:lpstr>
      <vt:lpstr>All_Other_Yr3_9</vt:lpstr>
      <vt:lpstr>All_Other_Yr4_1</vt:lpstr>
      <vt:lpstr>All_Other_Yr4_10</vt:lpstr>
      <vt:lpstr>All_Other_Yr4_11</vt:lpstr>
      <vt:lpstr>All_Other_Yr4_12</vt:lpstr>
      <vt:lpstr>All_Other_Yr4_13</vt:lpstr>
      <vt:lpstr>All_Other_Yr4_14</vt:lpstr>
      <vt:lpstr>All_Other_Yr4_15</vt:lpstr>
      <vt:lpstr>All_Other_Yr4_16</vt:lpstr>
      <vt:lpstr>All_Other_Yr4_17</vt:lpstr>
      <vt:lpstr>All_Other_Yr4_18</vt:lpstr>
      <vt:lpstr>All_Other_Yr4_19</vt:lpstr>
      <vt:lpstr>All_Other_Yr4_2</vt:lpstr>
      <vt:lpstr>All_Other_Yr4_20</vt:lpstr>
      <vt:lpstr>All_Other_Yr4_21</vt:lpstr>
      <vt:lpstr>All_Other_Yr4_22</vt:lpstr>
      <vt:lpstr>All_Other_Yr4_23</vt:lpstr>
      <vt:lpstr>All_Other_Yr4_24</vt:lpstr>
      <vt:lpstr>All_Other_Yr4_25</vt:lpstr>
      <vt:lpstr>All_Other_Yr4_26</vt:lpstr>
      <vt:lpstr>All_Other_Yr4_27</vt:lpstr>
      <vt:lpstr>All_Other_Yr4_28</vt:lpstr>
      <vt:lpstr>All_Other_Yr4_29</vt:lpstr>
      <vt:lpstr>All_Other_Yr4_3</vt:lpstr>
      <vt:lpstr>All_Other_Yr4_30</vt:lpstr>
      <vt:lpstr>All_Other_Yr4_31</vt:lpstr>
      <vt:lpstr>All_Other_Yr4_32</vt:lpstr>
      <vt:lpstr>All_Other_Yr4_33</vt:lpstr>
      <vt:lpstr>All_Other_Yr4_34</vt:lpstr>
      <vt:lpstr>All_Other_Yr4_35</vt:lpstr>
      <vt:lpstr>All_Other_Yr4_36</vt:lpstr>
      <vt:lpstr>All_Other_Yr4_37</vt:lpstr>
      <vt:lpstr>All_Other_Yr4_38</vt:lpstr>
      <vt:lpstr>All_Other_Yr4_39</vt:lpstr>
      <vt:lpstr>All_Other_Yr4_4</vt:lpstr>
      <vt:lpstr>All_Other_Yr4_40</vt:lpstr>
      <vt:lpstr>All_Other_Yr4_41</vt:lpstr>
      <vt:lpstr>All_Other_Yr4_42</vt:lpstr>
      <vt:lpstr>All_Other_Yr4_43</vt:lpstr>
      <vt:lpstr>All_Other_Yr4_44</vt:lpstr>
      <vt:lpstr>All_Other_Yr4_45</vt:lpstr>
      <vt:lpstr>All_Other_Yr4_46</vt:lpstr>
      <vt:lpstr>All_Other_Yr4_47</vt:lpstr>
      <vt:lpstr>All_Other_Yr4_48</vt:lpstr>
      <vt:lpstr>All_Other_Yr4_49</vt:lpstr>
      <vt:lpstr>All_Other_Yr4_5</vt:lpstr>
      <vt:lpstr>All_Other_Yr4_50</vt:lpstr>
      <vt:lpstr>All_Other_Yr4_51</vt:lpstr>
      <vt:lpstr>All_Other_Yr4_52</vt:lpstr>
      <vt:lpstr>All_Other_Yr4_53</vt:lpstr>
      <vt:lpstr>All_Other_Yr4_54</vt:lpstr>
      <vt:lpstr>All_Other_Yr4_55</vt:lpstr>
      <vt:lpstr>All_Other_Yr4_56</vt:lpstr>
      <vt:lpstr>All_Other_Yr4_57</vt:lpstr>
      <vt:lpstr>All_Other_Yr4_58</vt:lpstr>
      <vt:lpstr>All_Other_Yr4_59</vt:lpstr>
      <vt:lpstr>All_Other_Yr4_6</vt:lpstr>
      <vt:lpstr>All_Other_Yr4_60</vt:lpstr>
      <vt:lpstr>All_Other_Yr4_61</vt:lpstr>
      <vt:lpstr>All_Other_Yr4_7</vt:lpstr>
      <vt:lpstr>All_Other_Yr4_8</vt:lpstr>
      <vt:lpstr>All_Other_Yr4_9</vt:lpstr>
      <vt:lpstr>All_Other_Yr5_1</vt:lpstr>
      <vt:lpstr>All_Other_Yr5_10</vt:lpstr>
      <vt:lpstr>All_Other_Yr5_11</vt:lpstr>
      <vt:lpstr>All_Other_Yr5_12</vt:lpstr>
      <vt:lpstr>All_Other_Yr5_13</vt:lpstr>
      <vt:lpstr>All_Other_Yr5_14</vt:lpstr>
      <vt:lpstr>All_Other_Yr5_15</vt:lpstr>
      <vt:lpstr>All_Other_Yr5_16</vt:lpstr>
      <vt:lpstr>All_Other_Yr5_17</vt:lpstr>
      <vt:lpstr>All_Other_Yr5_18</vt:lpstr>
      <vt:lpstr>All_Other_Yr5_19</vt:lpstr>
      <vt:lpstr>All_Other_Yr5_2</vt:lpstr>
      <vt:lpstr>All_Other_Yr5_20</vt:lpstr>
      <vt:lpstr>All_Other_Yr5_21</vt:lpstr>
      <vt:lpstr>All_Other_Yr5_22</vt:lpstr>
      <vt:lpstr>All_Other_Yr5_23</vt:lpstr>
      <vt:lpstr>All_Other_Yr5_24</vt:lpstr>
      <vt:lpstr>All_Other_Yr5_25</vt:lpstr>
      <vt:lpstr>All_Other_Yr5_26</vt:lpstr>
      <vt:lpstr>All_Other_Yr5_27</vt:lpstr>
      <vt:lpstr>All_Other_Yr5_28</vt:lpstr>
      <vt:lpstr>All_Other_Yr5_29</vt:lpstr>
      <vt:lpstr>All_Other_Yr5_3</vt:lpstr>
      <vt:lpstr>All_Other_Yr5_30</vt:lpstr>
      <vt:lpstr>All_Other_Yr5_31</vt:lpstr>
      <vt:lpstr>All_Other_Yr5_32</vt:lpstr>
      <vt:lpstr>All_Other_Yr5_33</vt:lpstr>
      <vt:lpstr>All_Other_Yr5_34</vt:lpstr>
      <vt:lpstr>All_Other_Yr5_35</vt:lpstr>
      <vt:lpstr>All_Other_Yr5_36</vt:lpstr>
      <vt:lpstr>All_Other_Yr5_37</vt:lpstr>
      <vt:lpstr>All_Other_Yr5_38</vt:lpstr>
      <vt:lpstr>All_Other_Yr5_39</vt:lpstr>
      <vt:lpstr>All_Other_Yr5_4</vt:lpstr>
      <vt:lpstr>All_Other_Yr5_40</vt:lpstr>
      <vt:lpstr>All_Other_Yr5_41</vt:lpstr>
      <vt:lpstr>All_Other_Yr5_42</vt:lpstr>
      <vt:lpstr>All_Other_Yr5_43</vt:lpstr>
      <vt:lpstr>All_Other_Yr5_44</vt:lpstr>
      <vt:lpstr>All_Other_Yr5_45</vt:lpstr>
      <vt:lpstr>All_Other_Yr5_46</vt:lpstr>
      <vt:lpstr>All_Other_Yr5_47</vt:lpstr>
      <vt:lpstr>All_Other_Yr5_48</vt:lpstr>
      <vt:lpstr>All_Other_Yr5_49</vt:lpstr>
      <vt:lpstr>All_Other_Yr5_5</vt:lpstr>
      <vt:lpstr>All_Other_Yr5_50</vt:lpstr>
      <vt:lpstr>All_Other_Yr5_51</vt:lpstr>
      <vt:lpstr>All_Other_Yr5_52</vt:lpstr>
      <vt:lpstr>All_Other_Yr5_53</vt:lpstr>
      <vt:lpstr>All_Other_Yr5_54</vt:lpstr>
      <vt:lpstr>All_Other_Yr5_55</vt:lpstr>
      <vt:lpstr>All_Other_Yr5_56</vt:lpstr>
      <vt:lpstr>All_Other_Yr5_57</vt:lpstr>
      <vt:lpstr>All_Other_Yr5_58</vt:lpstr>
      <vt:lpstr>All_Other_Yr5_59</vt:lpstr>
      <vt:lpstr>All_Other_Yr5_6</vt:lpstr>
      <vt:lpstr>All_Other_Yr5_60</vt:lpstr>
      <vt:lpstr>All_Other_Yr5_61</vt:lpstr>
      <vt:lpstr>All_Other_Yr5_7</vt:lpstr>
      <vt:lpstr>All_Other_Yr5_8</vt:lpstr>
      <vt:lpstr>All_Other_Yr5_9</vt:lpstr>
      <vt:lpstr>Asset_Refurbishment_2028_Yr1_1</vt:lpstr>
      <vt:lpstr>Asset_Refurbishment_2028_Yr1_10</vt:lpstr>
      <vt:lpstr>Asset_Refurbishment_2028_Yr1_11</vt:lpstr>
      <vt:lpstr>Asset_Refurbishment_2028_Yr1_12</vt:lpstr>
      <vt:lpstr>Asset_Refurbishment_2028_Yr1_13</vt:lpstr>
      <vt:lpstr>Asset_Refurbishment_2028_Yr1_14</vt:lpstr>
      <vt:lpstr>Asset_Refurbishment_2028_Yr1_15</vt:lpstr>
      <vt:lpstr>Asset_Refurbishment_2028_Yr1_16</vt:lpstr>
      <vt:lpstr>Asset_Refurbishment_2028_Yr1_17</vt:lpstr>
      <vt:lpstr>Asset_Refurbishment_2028_Yr1_18</vt:lpstr>
      <vt:lpstr>Asset_Refurbishment_2028_Yr1_19</vt:lpstr>
      <vt:lpstr>Asset_Refurbishment_2028_Yr1_2</vt:lpstr>
      <vt:lpstr>Asset_Refurbishment_2028_Yr1_20</vt:lpstr>
      <vt:lpstr>Asset_Refurbishment_2028_Yr1_21</vt:lpstr>
      <vt:lpstr>Asset_Refurbishment_2028_Yr1_22</vt:lpstr>
      <vt:lpstr>Asset_Refurbishment_2028_Yr1_23</vt:lpstr>
      <vt:lpstr>Asset_Refurbishment_2028_Yr1_24</vt:lpstr>
      <vt:lpstr>Asset_Refurbishment_2028_Yr1_25</vt:lpstr>
      <vt:lpstr>Asset_Refurbishment_2028_Yr1_26</vt:lpstr>
      <vt:lpstr>Asset_Refurbishment_2028_Yr1_27</vt:lpstr>
      <vt:lpstr>Asset_Refurbishment_2028_Yr1_28</vt:lpstr>
      <vt:lpstr>Asset_Refurbishment_2028_Yr1_29</vt:lpstr>
      <vt:lpstr>Asset_Refurbishment_2028_Yr1_3</vt:lpstr>
      <vt:lpstr>Asset_Refurbishment_2028_Yr1_30</vt:lpstr>
      <vt:lpstr>Asset_Refurbishment_2028_Yr1_31</vt:lpstr>
      <vt:lpstr>Asset_Refurbishment_2028_Yr1_32</vt:lpstr>
      <vt:lpstr>Asset_Refurbishment_2028_Yr1_33</vt:lpstr>
      <vt:lpstr>Asset_Refurbishment_2028_Yr1_34</vt:lpstr>
      <vt:lpstr>Asset_Refurbishment_2028_Yr1_35</vt:lpstr>
      <vt:lpstr>Asset_Refurbishment_2028_Yr1_36</vt:lpstr>
      <vt:lpstr>Asset_Refurbishment_2028_Yr1_37</vt:lpstr>
      <vt:lpstr>Asset_Refurbishment_2028_Yr1_38</vt:lpstr>
      <vt:lpstr>Asset_Refurbishment_2028_Yr1_39</vt:lpstr>
      <vt:lpstr>Asset_Refurbishment_2028_Yr1_4</vt:lpstr>
      <vt:lpstr>Asset_Refurbishment_2028_Yr1_40</vt:lpstr>
      <vt:lpstr>Asset_Refurbishment_2028_Yr1_41</vt:lpstr>
      <vt:lpstr>Asset_Refurbishment_2028_Yr1_42</vt:lpstr>
      <vt:lpstr>Asset_Refurbishment_2028_Yr1_43</vt:lpstr>
      <vt:lpstr>Asset_Refurbishment_2028_Yr1_44</vt:lpstr>
      <vt:lpstr>Asset_Refurbishment_2028_Yr1_45</vt:lpstr>
      <vt:lpstr>Asset_Refurbishment_2028_Yr1_46</vt:lpstr>
      <vt:lpstr>Asset_Refurbishment_2028_Yr1_47</vt:lpstr>
      <vt:lpstr>Asset_Refurbishment_2028_Yr1_48</vt:lpstr>
      <vt:lpstr>Asset_Refurbishment_2028_Yr1_49</vt:lpstr>
      <vt:lpstr>Asset_Refurbishment_2028_Yr1_5</vt:lpstr>
      <vt:lpstr>Asset_Refurbishment_2028_Yr1_50</vt:lpstr>
      <vt:lpstr>Asset_Refurbishment_2028_Yr1_51</vt:lpstr>
      <vt:lpstr>Asset_Refurbishment_2028_Yr1_52</vt:lpstr>
      <vt:lpstr>Asset_Refurbishment_2028_Yr1_53</vt:lpstr>
      <vt:lpstr>Asset_Refurbishment_2028_Yr1_54</vt:lpstr>
      <vt:lpstr>Asset_Refurbishment_2028_Yr1_55</vt:lpstr>
      <vt:lpstr>Asset_Refurbishment_2028_Yr1_56</vt:lpstr>
      <vt:lpstr>Asset_Refurbishment_2028_Yr1_57</vt:lpstr>
      <vt:lpstr>Asset_Refurbishment_2028_Yr1_58</vt:lpstr>
      <vt:lpstr>Asset_Refurbishment_2028_Yr1_59</vt:lpstr>
      <vt:lpstr>Asset_Refurbishment_2028_Yr1_6</vt:lpstr>
      <vt:lpstr>Asset_Refurbishment_2028_Yr1_60</vt:lpstr>
      <vt:lpstr>Asset_Refurbishment_2028_Yr1_61</vt:lpstr>
      <vt:lpstr>Asset_Refurbishment_2028_Yr1_7</vt:lpstr>
      <vt:lpstr>Asset_Refurbishment_2028_Yr1_8</vt:lpstr>
      <vt:lpstr>Asset_Refurbishment_2028_Yr1_9</vt:lpstr>
      <vt:lpstr>Asset_Refurbishment_2028_Yr2_1</vt:lpstr>
      <vt:lpstr>Asset_Refurbishment_2028_Yr2_10</vt:lpstr>
      <vt:lpstr>Asset_Refurbishment_2028_Yr2_11</vt:lpstr>
      <vt:lpstr>Asset_Refurbishment_2028_Yr2_12</vt:lpstr>
      <vt:lpstr>Asset_Refurbishment_2028_Yr2_13</vt:lpstr>
      <vt:lpstr>Asset_Refurbishment_2028_Yr2_14</vt:lpstr>
      <vt:lpstr>Asset_Refurbishment_2028_Yr2_15</vt:lpstr>
      <vt:lpstr>Asset_Refurbishment_2028_Yr2_16</vt:lpstr>
      <vt:lpstr>Asset_Refurbishment_2028_Yr2_17</vt:lpstr>
      <vt:lpstr>Asset_Refurbishment_2028_Yr2_18</vt:lpstr>
      <vt:lpstr>Asset_Refurbishment_2028_Yr2_19</vt:lpstr>
      <vt:lpstr>Asset_Refurbishment_2028_Yr2_2</vt:lpstr>
      <vt:lpstr>Asset_Refurbishment_2028_Yr2_20</vt:lpstr>
      <vt:lpstr>Asset_Refurbishment_2028_Yr2_21</vt:lpstr>
      <vt:lpstr>Asset_Refurbishment_2028_Yr2_22</vt:lpstr>
      <vt:lpstr>Asset_Refurbishment_2028_Yr2_23</vt:lpstr>
      <vt:lpstr>Asset_Refurbishment_2028_Yr2_24</vt:lpstr>
      <vt:lpstr>Asset_Refurbishment_2028_Yr2_25</vt:lpstr>
      <vt:lpstr>Asset_Refurbishment_2028_Yr2_26</vt:lpstr>
      <vt:lpstr>Asset_Refurbishment_2028_Yr2_27</vt:lpstr>
      <vt:lpstr>Asset_Refurbishment_2028_Yr2_28</vt:lpstr>
      <vt:lpstr>Asset_Refurbishment_2028_Yr2_29</vt:lpstr>
      <vt:lpstr>Asset_Refurbishment_2028_Yr2_3</vt:lpstr>
      <vt:lpstr>Asset_Refurbishment_2028_Yr2_30</vt:lpstr>
      <vt:lpstr>Asset_Refurbishment_2028_Yr2_31</vt:lpstr>
      <vt:lpstr>Asset_Refurbishment_2028_Yr2_32</vt:lpstr>
      <vt:lpstr>Asset_Refurbishment_2028_Yr2_33</vt:lpstr>
      <vt:lpstr>Asset_Refurbishment_2028_Yr2_34</vt:lpstr>
      <vt:lpstr>Asset_Refurbishment_2028_Yr2_35</vt:lpstr>
      <vt:lpstr>Asset_Refurbishment_2028_Yr2_36</vt:lpstr>
      <vt:lpstr>Asset_Refurbishment_2028_Yr2_37</vt:lpstr>
      <vt:lpstr>Asset_Refurbishment_2028_Yr2_38</vt:lpstr>
      <vt:lpstr>Asset_Refurbishment_2028_Yr2_39</vt:lpstr>
      <vt:lpstr>Asset_Refurbishment_2028_Yr2_4</vt:lpstr>
      <vt:lpstr>Asset_Refurbishment_2028_Yr2_40</vt:lpstr>
      <vt:lpstr>Asset_Refurbishment_2028_Yr2_41</vt:lpstr>
      <vt:lpstr>Asset_Refurbishment_2028_Yr2_42</vt:lpstr>
      <vt:lpstr>Asset_Refurbishment_2028_Yr2_43</vt:lpstr>
      <vt:lpstr>Asset_Refurbishment_2028_Yr2_44</vt:lpstr>
      <vt:lpstr>Asset_Refurbishment_2028_Yr2_45</vt:lpstr>
      <vt:lpstr>Asset_Refurbishment_2028_Yr2_46</vt:lpstr>
      <vt:lpstr>Asset_Refurbishment_2028_Yr2_47</vt:lpstr>
      <vt:lpstr>Asset_Refurbishment_2028_Yr2_48</vt:lpstr>
      <vt:lpstr>Asset_Refurbishment_2028_Yr2_49</vt:lpstr>
      <vt:lpstr>Asset_Refurbishment_2028_Yr2_5</vt:lpstr>
      <vt:lpstr>Asset_Refurbishment_2028_Yr2_50</vt:lpstr>
      <vt:lpstr>Asset_Refurbishment_2028_Yr2_51</vt:lpstr>
      <vt:lpstr>Asset_Refurbishment_2028_Yr2_52</vt:lpstr>
      <vt:lpstr>Asset_Refurbishment_2028_Yr2_53</vt:lpstr>
      <vt:lpstr>Asset_Refurbishment_2028_Yr2_54</vt:lpstr>
      <vt:lpstr>Asset_Refurbishment_2028_Yr2_55</vt:lpstr>
      <vt:lpstr>Asset_Refurbishment_2028_Yr2_56</vt:lpstr>
      <vt:lpstr>Asset_Refurbishment_2028_Yr2_57</vt:lpstr>
      <vt:lpstr>Asset_Refurbishment_2028_Yr2_58</vt:lpstr>
      <vt:lpstr>Asset_Refurbishment_2028_Yr2_59</vt:lpstr>
      <vt:lpstr>Asset_Refurbishment_2028_Yr2_6</vt:lpstr>
      <vt:lpstr>Asset_Refurbishment_2028_Yr2_60</vt:lpstr>
      <vt:lpstr>Asset_Refurbishment_2028_Yr2_61</vt:lpstr>
      <vt:lpstr>Asset_Refurbishment_2028_Yr2_7</vt:lpstr>
      <vt:lpstr>Asset_Refurbishment_2028_Yr2_8</vt:lpstr>
      <vt:lpstr>Asset_Refurbishment_2028_Yr2_9</vt:lpstr>
      <vt:lpstr>Asset_Refurbishment_2028_Yr3_1</vt:lpstr>
      <vt:lpstr>Asset_Refurbishment_2028_Yr3_10</vt:lpstr>
      <vt:lpstr>Asset_Refurbishment_2028_Yr3_11</vt:lpstr>
      <vt:lpstr>Asset_Refurbishment_2028_Yr3_12</vt:lpstr>
      <vt:lpstr>Asset_Refurbishment_2028_Yr3_13</vt:lpstr>
      <vt:lpstr>Asset_Refurbishment_2028_Yr3_14</vt:lpstr>
      <vt:lpstr>Asset_Refurbishment_2028_Yr3_15</vt:lpstr>
      <vt:lpstr>Asset_Refurbishment_2028_Yr3_16</vt:lpstr>
      <vt:lpstr>Asset_Refurbishment_2028_Yr3_17</vt:lpstr>
      <vt:lpstr>Asset_Refurbishment_2028_Yr3_18</vt:lpstr>
      <vt:lpstr>Asset_Refurbishment_2028_Yr3_19</vt:lpstr>
      <vt:lpstr>Asset_Refurbishment_2028_Yr3_2</vt:lpstr>
      <vt:lpstr>Asset_Refurbishment_2028_Yr3_20</vt:lpstr>
      <vt:lpstr>Asset_Refurbishment_2028_Yr3_21</vt:lpstr>
      <vt:lpstr>Asset_Refurbishment_2028_Yr3_22</vt:lpstr>
      <vt:lpstr>Asset_Refurbishment_2028_Yr3_23</vt:lpstr>
      <vt:lpstr>Asset_Refurbishment_2028_Yr3_24</vt:lpstr>
      <vt:lpstr>Asset_Refurbishment_2028_Yr3_25</vt:lpstr>
      <vt:lpstr>Asset_Refurbishment_2028_Yr3_26</vt:lpstr>
      <vt:lpstr>Asset_Refurbishment_2028_Yr3_27</vt:lpstr>
      <vt:lpstr>Asset_Refurbishment_2028_Yr3_28</vt:lpstr>
      <vt:lpstr>Asset_Refurbishment_2028_Yr3_29</vt:lpstr>
      <vt:lpstr>Asset_Refurbishment_2028_Yr3_3</vt:lpstr>
      <vt:lpstr>Asset_Refurbishment_2028_Yr3_30</vt:lpstr>
      <vt:lpstr>Asset_Refurbishment_2028_Yr3_31</vt:lpstr>
      <vt:lpstr>Asset_Refurbishment_2028_Yr3_32</vt:lpstr>
      <vt:lpstr>Asset_Refurbishment_2028_Yr3_33</vt:lpstr>
      <vt:lpstr>Asset_Refurbishment_2028_Yr3_34</vt:lpstr>
      <vt:lpstr>Asset_Refurbishment_2028_Yr3_35</vt:lpstr>
      <vt:lpstr>Asset_Refurbishment_2028_Yr3_36</vt:lpstr>
      <vt:lpstr>Asset_Refurbishment_2028_Yr3_37</vt:lpstr>
      <vt:lpstr>Asset_Refurbishment_2028_Yr3_38</vt:lpstr>
      <vt:lpstr>Asset_Refurbishment_2028_Yr3_39</vt:lpstr>
      <vt:lpstr>Asset_Refurbishment_2028_Yr3_4</vt:lpstr>
      <vt:lpstr>Asset_Refurbishment_2028_Yr3_40</vt:lpstr>
      <vt:lpstr>Asset_Refurbishment_2028_Yr3_41</vt:lpstr>
      <vt:lpstr>Asset_Refurbishment_2028_Yr3_42</vt:lpstr>
      <vt:lpstr>Asset_Refurbishment_2028_Yr3_43</vt:lpstr>
      <vt:lpstr>Asset_Refurbishment_2028_Yr3_44</vt:lpstr>
      <vt:lpstr>Asset_Refurbishment_2028_Yr3_45</vt:lpstr>
      <vt:lpstr>Asset_Refurbishment_2028_Yr3_46</vt:lpstr>
      <vt:lpstr>Asset_Refurbishment_2028_Yr3_47</vt:lpstr>
      <vt:lpstr>Asset_Refurbishment_2028_Yr3_48</vt:lpstr>
      <vt:lpstr>Asset_Refurbishment_2028_Yr3_49</vt:lpstr>
      <vt:lpstr>Asset_Refurbishment_2028_Yr3_5</vt:lpstr>
      <vt:lpstr>Asset_Refurbishment_2028_Yr3_50</vt:lpstr>
      <vt:lpstr>Asset_Refurbishment_2028_Yr3_51</vt:lpstr>
      <vt:lpstr>Asset_Refurbishment_2028_Yr3_52</vt:lpstr>
      <vt:lpstr>Asset_Refurbishment_2028_Yr3_53</vt:lpstr>
      <vt:lpstr>Asset_Refurbishment_2028_Yr3_54</vt:lpstr>
      <vt:lpstr>Asset_Refurbishment_2028_Yr3_55</vt:lpstr>
      <vt:lpstr>Asset_Refurbishment_2028_Yr3_56</vt:lpstr>
      <vt:lpstr>Asset_Refurbishment_2028_Yr3_57</vt:lpstr>
      <vt:lpstr>Asset_Refurbishment_2028_Yr3_58</vt:lpstr>
      <vt:lpstr>Asset_Refurbishment_2028_Yr3_59</vt:lpstr>
      <vt:lpstr>Asset_Refurbishment_2028_Yr3_6</vt:lpstr>
      <vt:lpstr>Asset_Refurbishment_2028_Yr3_60</vt:lpstr>
      <vt:lpstr>Asset_Refurbishment_2028_Yr3_61</vt:lpstr>
      <vt:lpstr>Asset_Refurbishment_2028_Yr3_7</vt:lpstr>
      <vt:lpstr>Asset_Refurbishment_2028_Yr3_8</vt:lpstr>
      <vt:lpstr>Asset_Refurbishment_2028_Yr3_9</vt:lpstr>
      <vt:lpstr>Asset_Refurbishment_2028_Yr4_1</vt:lpstr>
      <vt:lpstr>Asset_Refurbishment_2028_Yr4_10</vt:lpstr>
      <vt:lpstr>Asset_Refurbishment_2028_Yr4_11</vt:lpstr>
      <vt:lpstr>Asset_Refurbishment_2028_Yr4_12</vt:lpstr>
      <vt:lpstr>Asset_Refurbishment_2028_Yr4_13</vt:lpstr>
      <vt:lpstr>Asset_Refurbishment_2028_Yr4_14</vt:lpstr>
      <vt:lpstr>Asset_Refurbishment_2028_Yr4_15</vt:lpstr>
      <vt:lpstr>Asset_Refurbishment_2028_Yr4_16</vt:lpstr>
      <vt:lpstr>Asset_Refurbishment_2028_Yr4_17</vt:lpstr>
      <vt:lpstr>Asset_Refurbishment_2028_Yr4_18</vt:lpstr>
      <vt:lpstr>Asset_Refurbishment_2028_Yr4_19</vt:lpstr>
      <vt:lpstr>Asset_Refurbishment_2028_Yr4_2</vt:lpstr>
      <vt:lpstr>Asset_Refurbishment_2028_Yr4_20</vt:lpstr>
      <vt:lpstr>Asset_Refurbishment_2028_Yr4_21</vt:lpstr>
      <vt:lpstr>Asset_Refurbishment_2028_Yr4_22</vt:lpstr>
      <vt:lpstr>Asset_Refurbishment_2028_Yr4_23</vt:lpstr>
      <vt:lpstr>Asset_Refurbishment_2028_Yr4_24</vt:lpstr>
      <vt:lpstr>Asset_Refurbishment_2028_Yr4_25</vt:lpstr>
      <vt:lpstr>Asset_Refurbishment_2028_Yr4_26</vt:lpstr>
      <vt:lpstr>Asset_Refurbishment_2028_Yr4_27</vt:lpstr>
      <vt:lpstr>Asset_Refurbishment_2028_Yr4_28</vt:lpstr>
      <vt:lpstr>Asset_Refurbishment_2028_Yr4_29</vt:lpstr>
      <vt:lpstr>Asset_Refurbishment_2028_Yr4_3</vt:lpstr>
      <vt:lpstr>Asset_Refurbishment_2028_Yr4_30</vt:lpstr>
      <vt:lpstr>Asset_Refurbishment_2028_Yr4_31</vt:lpstr>
      <vt:lpstr>Asset_Refurbishment_2028_Yr4_32</vt:lpstr>
      <vt:lpstr>Asset_Refurbishment_2028_Yr4_33</vt:lpstr>
      <vt:lpstr>Asset_Refurbishment_2028_Yr4_34</vt:lpstr>
      <vt:lpstr>Asset_Refurbishment_2028_Yr4_35</vt:lpstr>
      <vt:lpstr>Asset_Refurbishment_2028_Yr4_36</vt:lpstr>
      <vt:lpstr>Asset_Refurbishment_2028_Yr4_37</vt:lpstr>
      <vt:lpstr>Asset_Refurbishment_2028_Yr4_38</vt:lpstr>
      <vt:lpstr>Asset_Refurbishment_2028_Yr4_39</vt:lpstr>
      <vt:lpstr>Asset_Refurbishment_2028_Yr4_4</vt:lpstr>
      <vt:lpstr>Asset_Refurbishment_2028_Yr4_40</vt:lpstr>
      <vt:lpstr>Asset_Refurbishment_2028_Yr4_41</vt:lpstr>
      <vt:lpstr>Asset_Refurbishment_2028_Yr4_42</vt:lpstr>
      <vt:lpstr>Asset_Refurbishment_2028_Yr4_43</vt:lpstr>
      <vt:lpstr>Asset_Refurbishment_2028_Yr4_44</vt:lpstr>
      <vt:lpstr>Asset_Refurbishment_2028_Yr4_45</vt:lpstr>
      <vt:lpstr>Asset_Refurbishment_2028_Yr4_46</vt:lpstr>
      <vt:lpstr>Asset_Refurbishment_2028_Yr4_47</vt:lpstr>
      <vt:lpstr>Asset_Refurbishment_2028_Yr4_48</vt:lpstr>
      <vt:lpstr>Asset_Refurbishment_2028_Yr4_49</vt:lpstr>
      <vt:lpstr>Asset_Refurbishment_2028_Yr4_5</vt:lpstr>
      <vt:lpstr>Asset_Refurbishment_2028_Yr4_50</vt:lpstr>
      <vt:lpstr>Asset_Refurbishment_2028_Yr4_51</vt:lpstr>
      <vt:lpstr>Asset_Refurbishment_2028_Yr4_52</vt:lpstr>
      <vt:lpstr>Asset_Refurbishment_2028_Yr4_53</vt:lpstr>
      <vt:lpstr>Asset_Refurbishment_2028_Yr4_54</vt:lpstr>
      <vt:lpstr>Asset_Refurbishment_2028_Yr4_55</vt:lpstr>
      <vt:lpstr>Asset_Refurbishment_2028_Yr4_56</vt:lpstr>
      <vt:lpstr>Asset_Refurbishment_2028_Yr4_57</vt:lpstr>
      <vt:lpstr>Asset_Refurbishment_2028_Yr4_58</vt:lpstr>
      <vt:lpstr>Asset_Refurbishment_2028_Yr4_59</vt:lpstr>
      <vt:lpstr>Asset_Refurbishment_2028_Yr4_6</vt:lpstr>
      <vt:lpstr>Asset_Refurbishment_2028_Yr4_60</vt:lpstr>
      <vt:lpstr>Asset_Refurbishment_2028_Yr4_61</vt:lpstr>
      <vt:lpstr>Asset_Refurbishment_2028_Yr4_7</vt:lpstr>
      <vt:lpstr>Asset_Refurbishment_2028_Yr4_8</vt:lpstr>
      <vt:lpstr>Asset_Refurbishment_2028_Yr4_9</vt:lpstr>
      <vt:lpstr>Asset_Refurbishment_2028_Yr5_1</vt:lpstr>
      <vt:lpstr>Asset_Refurbishment_2028_Yr5_10</vt:lpstr>
      <vt:lpstr>Asset_Refurbishment_2028_Yr5_11</vt:lpstr>
      <vt:lpstr>Asset_Refurbishment_2028_Yr5_12</vt:lpstr>
      <vt:lpstr>Asset_Refurbishment_2028_Yr5_13</vt:lpstr>
      <vt:lpstr>Asset_Refurbishment_2028_Yr5_14</vt:lpstr>
      <vt:lpstr>Asset_Refurbishment_2028_Yr5_15</vt:lpstr>
      <vt:lpstr>Asset_Refurbishment_2028_Yr5_16</vt:lpstr>
      <vt:lpstr>Asset_Refurbishment_2028_Yr5_17</vt:lpstr>
      <vt:lpstr>Asset_Refurbishment_2028_Yr5_18</vt:lpstr>
      <vt:lpstr>Asset_Refurbishment_2028_Yr5_19</vt:lpstr>
      <vt:lpstr>Asset_Refurbishment_2028_Yr5_2</vt:lpstr>
      <vt:lpstr>Asset_Refurbishment_2028_Yr5_20</vt:lpstr>
      <vt:lpstr>Asset_Refurbishment_2028_Yr5_21</vt:lpstr>
      <vt:lpstr>Asset_Refurbishment_2028_Yr5_22</vt:lpstr>
      <vt:lpstr>Asset_Refurbishment_2028_Yr5_23</vt:lpstr>
      <vt:lpstr>Asset_Refurbishment_2028_Yr5_24</vt:lpstr>
      <vt:lpstr>Asset_Refurbishment_2028_Yr5_25</vt:lpstr>
      <vt:lpstr>Asset_Refurbishment_2028_Yr5_26</vt:lpstr>
      <vt:lpstr>Asset_Refurbishment_2028_Yr5_27</vt:lpstr>
      <vt:lpstr>Asset_Refurbishment_2028_Yr5_28</vt:lpstr>
      <vt:lpstr>Asset_Refurbishment_2028_Yr5_29</vt:lpstr>
      <vt:lpstr>Asset_Refurbishment_2028_Yr5_3</vt:lpstr>
      <vt:lpstr>Asset_Refurbishment_2028_Yr5_30</vt:lpstr>
      <vt:lpstr>Asset_Refurbishment_2028_Yr5_31</vt:lpstr>
      <vt:lpstr>Asset_Refurbishment_2028_Yr5_32</vt:lpstr>
      <vt:lpstr>Asset_Refurbishment_2028_Yr5_33</vt:lpstr>
      <vt:lpstr>Asset_Refurbishment_2028_Yr5_34</vt:lpstr>
      <vt:lpstr>Asset_Refurbishment_2028_Yr5_35</vt:lpstr>
      <vt:lpstr>Asset_Refurbishment_2028_Yr5_36</vt:lpstr>
      <vt:lpstr>Asset_Refurbishment_2028_Yr5_37</vt:lpstr>
      <vt:lpstr>Asset_Refurbishment_2028_Yr5_38</vt:lpstr>
      <vt:lpstr>Asset_Refurbishment_2028_Yr5_39</vt:lpstr>
      <vt:lpstr>Asset_Refurbishment_2028_Yr5_4</vt:lpstr>
      <vt:lpstr>Asset_Refurbishment_2028_Yr5_40</vt:lpstr>
      <vt:lpstr>Asset_Refurbishment_2028_Yr5_41</vt:lpstr>
      <vt:lpstr>Asset_Refurbishment_2028_Yr5_42</vt:lpstr>
      <vt:lpstr>Asset_Refurbishment_2028_Yr5_43</vt:lpstr>
      <vt:lpstr>Asset_Refurbishment_2028_Yr5_44</vt:lpstr>
      <vt:lpstr>Asset_Refurbishment_2028_Yr5_45</vt:lpstr>
      <vt:lpstr>Asset_Refurbishment_2028_Yr5_46</vt:lpstr>
      <vt:lpstr>Asset_Refurbishment_2028_Yr5_47</vt:lpstr>
      <vt:lpstr>Asset_Refurbishment_2028_Yr5_48</vt:lpstr>
      <vt:lpstr>Asset_Refurbishment_2028_Yr5_49</vt:lpstr>
      <vt:lpstr>Asset_Refurbishment_2028_Yr5_5</vt:lpstr>
      <vt:lpstr>Asset_Refurbishment_2028_Yr5_50</vt:lpstr>
      <vt:lpstr>Asset_Refurbishment_2028_Yr5_51</vt:lpstr>
      <vt:lpstr>Asset_Refurbishment_2028_Yr5_52</vt:lpstr>
      <vt:lpstr>Asset_Refurbishment_2028_Yr5_53</vt:lpstr>
      <vt:lpstr>Asset_Refurbishment_2028_Yr5_54</vt:lpstr>
      <vt:lpstr>Asset_Refurbishment_2028_Yr5_55</vt:lpstr>
      <vt:lpstr>Asset_Refurbishment_2028_Yr5_56</vt:lpstr>
      <vt:lpstr>Asset_Refurbishment_2028_Yr5_57</vt:lpstr>
      <vt:lpstr>Asset_Refurbishment_2028_Yr5_58</vt:lpstr>
      <vt:lpstr>Asset_Refurbishment_2028_Yr5_59</vt:lpstr>
      <vt:lpstr>Asset_Refurbishment_2028_Yr5_6</vt:lpstr>
      <vt:lpstr>Asset_Refurbishment_2028_Yr5_60</vt:lpstr>
      <vt:lpstr>Asset_Refurbishment_2028_Yr5_61</vt:lpstr>
      <vt:lpstr>Asset_Refurbishment_2028_Yr5_7</vt:lpstr>
      <vt:lpstr>Asset_Refurbishment_2028_Yr5_8</vt:lpstr>
      <vt:lpstr>Asset_Refurbishment_2028_Yr5_9</vt:lpstr>
      <vt:lpstr>Asset_Refurbishment_Yr1_1</vt:lpstr>
      <vt:lpstr>Asset_Refurbishment_Yr1_10</vt:lpstr>
      <vt:lpstr>Asset_Refurbishment_Yr1_11</vt:lpstr>
      <vt:lpstr>Asset_Refurbishment_Yr1_12</vt:lpstr>
      <vt:lpstr>Asset_Refurbishment_Yr1_13</vt:lpstr>
      <vt:lpstr>Asset_Refurbishment_Yr1_14</vt:lpstr>
      <vt:lpstr>Asset_Refurbishment_Yr1_15</vt:lpstr>
      <vt:lpstr>Asset_Refurbishment_Yr1_16</vt:lpstr>
      <vt:lpstr>Asset_Refurbishment_Yr1_17</vt:lpstr>
      <vt:lpstr>Asset_Refurbishment_Yr1_18</vt:lpstr>
      <vt:lpstr>Asset_Refurbishment_Yr1_19</vt:lpstr>
      <vt:lpstr>Asset_Refurbishment_Yr1_2</vt:lpstr>
      <vt:lpstr>Asset_Refurbishment_Yr1_20</vt:lpstr>
      <vt:lpstr>Asset_Refurbishment_Yr1_21</vt:lpstr>
      <vt:lpstr>Asset_Refurbishment_Yr1_22</vt:lpstr>
      <vt:lpstr>Asset_Refurbishment_Yr1_23</vt:lpstr>
      <vt:lpstr>Asset_Refurbishment_Yr1_24</vt:lpstr>
      <vt:lpstr>Asset_Refurbishment_Yr1_25</vt:lpstr>
      <vt:lpstr>Asset_Refurbishment_Yr1_26</vt:lpstr>
      <vt:lpstr>Asset_Refurbishment_Yr1_27</vt:lpstr>
      <vt:lpstr>Asset_Refurbishment_Yr1_28</vt:lpstr>
      <vt:lpstr>Asset_Refurbishment_Yr1_29</vt:lpstr>
      <vt:lpstr>Asset_Refurbishment_Yr1_3</vt:lpstr>
      <vt:lpstr>Asset_Refurbishment_Yr1_30</vt:lpstr>
      <vt:lpstr>Asset_Refurbishment_Yr1_31</vt:lpstr>
      <vt:lpstr>Asset_Refurbishment_Yr1_32</vt:lpstr>
      <vt:lpstr>Asset_Refurbishment_Yr1_33</vt:lpstr>
      <vt:lpstr>Asset_Refurbishment_Yr1_34</vt:lpstr>
      <vt:lpstr>Asset_Refurbishment_Yr1_35</vt:lpstr>
      <vt:lpstr>Asset_Refurbishment_Yr1_36</vt:lpstr>
      <vt:lpstr>Asset_Refurbishment_Yr1_37</vt:lpstr>
      <vt:lpstr>Asset_Refurbishment_Yr1_38</vt:lpstr>
      <vt:lpstr>Asset_Refurbishment_Yr1_39</vt:lpstr>
      <vt:lpstr>Asset_Refurbishment_Yr1_4</vt:lpstr>
      <vt:lpstr>Asset_Refurbishment_Yr1_40</vt:lpstr>
      <vt:lpstr>Asset_Refurbishment_Yr1_41</vt:lpstr>
      <vt:lpstr>Asset_Refurbishment_Yr1_42</vt:lpstr>
      <vt:lpstr>Asset_Refurbishment_Yr1_43</vt:lpstr>
      <vt:lpstr>Asset_Refurbishment_Yr1_44</vt:lpstr>
      <vt:lpstr>Asset_Refurbishment_Yr1_45</vt:lpstr>
      <vt:lpstr>Asset_Refurbishment_Yr1_46</vt:lpstr>
      <vt:lpstr>Asset_Refurbishment_Yr1_47</vt:lpstr>
      <vt:lpstr>Asset_Refurbishment_Yr1_48</vt:lpstr>
      <vt:lpstr>Asset_Refurbishment_Yr1_49</vt:lpstr>
      <vt:lpstr>Asset_Refurbishment_Yr1_5</vt:lpstr>
      <vt:lpstr>Asset_Refurbishment_Yr1_50</vt:lpstr>
      <vt:lpstr>Asset_Refurbishment_Yr1_51</vt:lpstr>
      <vt:lpstr>Asset_Refurbishment_Yr1_52</vt:lpstr>
      <vt:lpstr>Asset_Refurbishment_Yr1_53</vt:lpstr>
      <vt:lpstr>Asset_Refurbishment_Yr1_54</vt:lpstr>
      <vt:lpstr>Asset_Refurbishment_Yr1_55</vt:lpstr>
      <vt:lpstr>Asset_Refurbishment_Yr1_56</vt:lpstr>
      <vt:lpstr>Asset_Refurbishment_Yr1_57</vt:lpstr>
      <vt:lpstr>Asset_Refurbishment_Yr1_58</vt:lpstr>
      <vt:lpstr>Asset_Refurbishment_Yr1_59</vt:lpstr>
      <vt:lpstr>Asset_Refurbishment_Yr1_6</vt:lpstr>
      <vt:lpstr>Asset_Refurbishment_Yr1_60</vt:lpstr>
      <vt:lpstr>Asset_Refurbishment_Yr1_61</vt:lpstr>
      <vt:lpstr>Asset_Refurbishment_Yr1_7</vt:lpstr>
      <vt:lpstr>Asset_Refurbishment_Yr1_8</vt:lpstr>
      <vt:lpstr>Asset_Refurbishment_Yr1_9</vt:lpstr>
      <vt:lpstr>Asset_Refurbishment_Yr2_1</vt:lpstr>
      <vt:lpstr>Asset_Refurbishment_Yr2_10</vt:lpstr>
      <vt:lpstr>Asset_Refurbishment_Yr2_11</vt:lpstr>
      <vt:lpstr>Asset_Refurbishment_Yr2_12</vt:lpstr>
      <vt:lpstr>Asset_Refurbishment_Yr2_13</vt:lpstr>
      <vt:lpstr>Asset_Refurbishment_Yr2_14</vt:lpstr>
      <vt:lpstr>Asset_Refurbishment_Yr2_15</vt:lpstr>
      <vt:lpstr>Asset_Refurbishment_Yr2_16</vt:lpstr>
      <vt:lpstr>Asset_Refurbishment_Yr2_17</vt:lpstr>
      <vt:lpstr>Asset_Refurbishment_Yr2_18</vt:lpstr>
      <vt:lpstr>Asset_Refurbishment_Yr2_19</vt:lpstr>
      <vt:lpstr>Asset_Refurbishment_Yr2_2</vt:lpstr>
      <vt:lpstr>Asset_Refurbishment_Yr2_20</vt:lpstr>
      <vt:lpstr>Asset_Refurbishment_Yr2_21</vt:lpstr>
      <vt:lpstr>Asset_Refurbishment_Yr2_22</vt:lpstr>
      <vt:lpstr>Asset_Refurbishment_Yr2_23</vt:lpstr>
      <vt:lpstr>Asset_Refurbishment_Yr2_24</vt:lpstr>
      <vt:lpstr>Asset_Refurbishment_Yr2_25</vt:lpstr>
      <vt:lpstr>Asset_Refurbishment_Yr2_26</vt:lpstr>
      <vt:lpstr>Asset_Refurbishment_Yr2_27</vt:lpstr>
      <vt:lpstr>Asset_Refurbishment_Yr2_28</vt:lpstr>
      <vt:lpstr>Asset_Refurbishment_Yr2_29</vt:lpstr>
      <vt:lpstr>Asset_Refurbishment_Yr2_3</vt:lpstr>
      <vt:lpstr>Asset_Refurbishment_Yr2_30</vt:lpstr>
      <vt:lpstr>Asset_Refurbishment_Yr2_31</vt:lpstr>
      <vt:lpstr>Asset_Refurbishment_Yr2_32</vt:lpstr>
      <vt:lpstr>Asset_Refurbishment_Yr2_33</vt:lpstr>
      <vt:lpstr>Asset_Refurbishment_Yr2_34</vt:lpstr>
      <vt:lpstr>Asset_Refurbishment_Yr2_35</vt:lpstr>
      <vt:lpstr>Asset_Refurbishment_Yr2_36</vt:lpstr>
      <vt:lpstr>Asset_Refurbishment_Yr2_37</vt:lpstr>
      <vt:lpstr>Asset_Refurbishment_Yr2_38</vt:lpstr>
      <vt:lpstr>Asset_Refurbishment_Yr2_39</vt:lpstr>
      <vt:lpstr>Asset_Refurbishment_Yr2_4</vt:lpstr>
      <vt:lpstr>Asset_Refurbishment_Yr2_40</vt:lpstr>
      <vt:lpstr>Asset_Refurbishment_Yr2_41</vt:lpstr>
      <vt:lpstr>Asset_Refurbishment_Yr2_42</vt:lpstr>
      <vt:lpstr>Asset_Refurbishment_Yr2_43</vt:lpstr>
      <vt:lpstr>Asset_Refurbishment_Yr2_44</vt:lpstr>
      <vt:lpstr>Asset_Refurbishment_Yr2_45</vt:lpstr>
      <vt:lpstr>Asset_Refurbishment_Yr2_46</vt:lpstr>
      <vt:lpstr>Asset_Refurbishment_Yr2_47</vt:lpstr>
      <vt:lpstr>Asset_Refurbishment_Yr2_48</vt:lpstr>
      <vt:lpstr>Asset_Refurbishment_Yr2_49</vt:lpstr>
      <vt:lpstr>Asset_Refurbishment_Yr2_5</vt:lpstr>
      <vt:lpstr>Asset_Refurbishment_Yr2_50</vt:lpstr>
      <vt:lpstr>Asset_Refurbishment_Yr2_51</vt:lpstr>
      <vt:lpstr>Asset_Refurbishment_Yr2_52</vt:lpstr>
      <vt:lpstr>Asset_Refurbishment_Yr2_53</vt:lpstr>
      <vt:lpstr>Asset_Refurbishment_Yr2_54</vt:lpstr>
      <vt:lpstr>Asset_Refurbishment_Yr2_55</vt:lpstr>
      <vt:lpstr>Asset_Refurbishment_Yr2_56</vt:lpstr>
      <vt:lpstr>Asset_Refurbishment_Yr2_57</vt:lpstr>
      <vt:lpstr>Asset_Refurbishment_Yr2_58</vt:lpstr>
      <vt:lpstr>Asset_Refurbishment_Yr2_59</vt:lpstr>
      <vt:lpstr>Asset_Refurbishment_Yr2_6</vt:lpstr>
      <vt:lpstr>Asset_Refurbishment_Yr2_60</vt:lpstr>
      <vt:lpstr>Asset_Refurbishment_Yr2_61</vt:lpstr>
      <vt:lpstr>Asset_Refurbishment_Yr2_7</vt:lpstr>
      <vt:lpstr>Asset_Refurbishment_Yr2_8</vt:lpstr>
      <vt:lpstr>Asset_Refurbishment_Yr2_9</vt:lpstr>
      <vt:lpstr>Asset_Refurbishment_Yr3_1</vt:lpstr>
      <vt:lpstr>Asset_Refurbishment_Yr3_10</vt:lpstr>
      <vt:lpstr>Asset_Refurbishment_Yr3_11</vt:lpstr>
      <vt:lpstr>Asset_Refurbishment_Yr3_12</vt:lpstr>
      <vt:lpstr>Asset_Refurbishment_Yr3_13</vt:lpstr>
      <vt:lpstr>Asset_Refurbishment_Yr3_14</vt:lpstr>
      <vt:lpstr>Asset_Refurbishment_Yr3_15</vt:lpstr>
      <vt:lpstr>Asset_Refurbishment_Yr3_16</vt:lpstr>
      <vt:lpstr>Asset_Refurbishment_Yr3_17</vt:lpstr>
      <vt:lpstr>Asset_Refurbishment_Yr3_18</vt:lpstr>
      <vt:lpstr>Asset_Refurbishment_Yr3_19</vt:lpstr>
      <vt:lpstr>Asset_Refurbishment_Yr3_2</vt:lpstr>
      <vt:lpstr>Asset_Refurbishment_Yr3_20</vt:lpstr>
      <vt:lpstr>Asset_Refurbishment_Yr3_21</vt:lpstr>
      <vt:lpstr>Asset_Refurbishment_Yr3_22</vt:lpstr>
      <vt:lpstr>Asset_Refurbishment_Yr3_23</vt:lpstr>
      <vt:lpstr>Asset_Refurbishment_Yr3_24</vt:lpstr>
      <vt:lpstr>Asset_Refurbishment_Yr3_25</vt:lpstr>
      <vt:lpstr>Asset_Refurbishment_Yr3_26</vt:lpstr>
      <vt:lpstr>Asset_Refurbishment_Yr3_27</vt:lpstr>
      <vt:lpstr>Asset_Refurbishment_Yr3_28</vt:lpstr>
      <vt:lpstr>Asset_Refurbishment_Yr3_29</vt:lpstr>
      <vt:lpstr>Asset_Refurbishment_Yr3_3</vt:lpstr>
      <vt:lpstr>Asset_Refurbishment_Yr3_30</vt:lpstr>
      <vt:lpstr>Asset_Refurbishment_Yr3_31</vt:lpstr>
      <vt:lpstr>Asset_Refurbishment_Yr3_32</vt:lpstr>
      <vt:lpstr>Asset_Refurbishment_Yr3_33</vt:lpstr>
      <vt:lpstr>Asset_Refurbishment_Yr3_34</vt:lpstr>
      <vt:lpstr>Asset_Refurbishment_Yr3_35</vt:lpstr>
      <vt:lpstr>Asset_Refurbishment_Yr3_36</vt:lpstr>
      <vt:lpstr>Asset_Refurbishment_Yr3_37</vt:lpstr>
      <vt:lpstr>Asset_Refurbishment_Yr3_38</vt:lpstr>
      <vt:lpstr>Asset_Refurbishment_Yr3_39</vt:lpstr>
      <vt:lpstr>Asset_Refurbishment_Yr3_4</vt:lpstr>
      <vt:lpstr>Asset_Refurbishment_Yr3_40</vt:lpstr>
      <vt:lpstr>Asset_Refurbishment_Yr3_41</vt:lpstr>
      <vt:lpstr>Asset_Refurbishment_Yr3_42</vt:lpstr>
      <vt:lpstr>Asset_Refurbishment_Yr3_43</vt:lpstr>
      <vt:lpstr>Asset_Refurbishment_Yr3_44</vt:lpstr>
      <vt:lpstr>Asset_Refurbishment_Yr3_45</vt:lpstr>
      <vt:lpstr>Asset_Refurbishment_Yr3_46</vt:lpstr>
      <vt:lpstr>Asset_Refurbishment_Yr3_47</vt:lpstr>
      <vt:lpstr>Asset_Refurbishment_Yr3_48</vt:lpstr>
      <vt:lpstr>Asset_Refurbishment_Yr3_49</vt:lpstr>
      <vt:lpstr>Asset_Refurbishment_Yr3_5</vt:lpstr>
      <vt:lpstr>Asset_Refurbishment_Yr3_50</vt:lpstr>
      <vt:lpstr>Asset_Refurbishment_Yr3_51</vt:lpstr>
      <vt:lpstr>Asset_Refurbishment_Yr3_52</vt:lpstr>
      <vt:lpstr>Asset_Refurbishment_Yr3_53</vt:lpstr>
      <vt:lpstr>Asset_Refurbishment_Yr3_54</vt:lpstr>
      <vt:lpstr>Asset_Refurbishment_Yr3_55</vt:lpstr>
      <vt:lpstr>Asset_Refurbishment_Yr3_56</vt:lpstr>
      <vt:lpstr>Asset_Refurbishment_Yr3_57</vt:lpstr>
      <vt:lpstr>Asset_Refurbishment_Yr3_58</vt:lpstr>
      <vt:lpstr>Asset_Refurbishment_Yr3_59</vt:lpstr>
      <vt:lpstr>Asset_Refurbishment_Yr3_6</vt:lpstr>
      <vt:lpstr>Asset_Refurbishment_Yr3_60</vt:lpstr>
      <vt:lpstr>Asset_Refurbishment_Yr3_61</vt:lpstr>
      <vt:lpstr>Asset_Refurbishment_Yr3_7</vt:lpstr>
      <vt:lpstr>Asset_Refurbishment_Yr3_8</vt:lpstr>
      <vt:lpstr>Asset_Refurbishment_Yr3_9</vt:lpstr>
      <vt:lpstr>Asset_Refurbishment_Yr4_1</vt:lpstr>
      <vt:lpstr>Asset_Refurbishment_Yr4_10</vt:lpstr>
      <vt:lpstr>Asset_Refurbishment_Yr4_11</vt:lpstr>
      <vt:lpstr>Asset_Refurbishment_Yr4_12</vt:lpstr>
      <vt:lpstr>Asset_Refurbishment_Yr4_13</vt:lpstr>
      <vt:lpstr>Asset_Refurbishment_Yr4_14</vt:lpstr>
      <vt:lpstr>Asset_Refurbishment_Yr4_15</vt:lpstr>
      <vt:lpstr>Asset_Refurbishment_Yr4_16</vt:lpstr>
      <vt:lpstr>Asset_Refurbishment_Yr4_17</vt:lpstr>
      <vt:lpstr>Asset_Refurbishment_Yr4_18</vt:lpstr>
      <vt:lpstr>Asset_Refurbishment_Yr4_19</vt:lpstr>
      <vt:lpstr>Asset_Refurbishment_Yr4_2</vt:lpstr>
      <vt:lpstr>Asset_Refurbishment_Yr4_20</vt:lpstr>
      <vt:lpstr>Asset_Refurbishment_Yr4_21</vt:lpstr>
      <vt:lpstr>Asset_Refurbishment_Yr4_22</vt:lpstr>
      <vt:lpstr>Asset_Refurbishment_Yr4_23</vt:lpstr>
      <vt:lpstr>Asset_Refurbishment_Yr4_24</vt:lpstr>
      <vt:lpstr>Asset_Refurbishment_Yr4_25</vt:lpstr>
      <vt:lpstr>Asset_Refurbishment_Yr4_26</vt:lpstr>
      <vt:lpstr>Asset_Refurbishment_Yr4_27</vt:lpstr>
      <vt:lpstr>Asset_Refurbishment_Yr4_28</vt:lpstr>
      <vt:lpstr>Asset_Refurbishment_Yr4_29</vt:lpstr>
      <vt:lpstr>Asset_Refurbishment_Yr4_3</vt:lpstr>
      <vt:lpstr>Asset_Refurbishment_Yr4_30</vt:lpstr>
      <vt:lpstr>Asset_Refurbishment_Yr4_31</vt:lpstr>
      <vt:lpstr>Asset_Refurbishment_Yr4_32</vt:lpstr>
      <vt:lpstr>Asset_Refurbishment_Yr4_33</vt:lpstr>
      <vt:lpstr>Asset_Refurbishment_Yr4_34</vt:lpstr>
      <vt:lpstr>Asset_Refurbishment_Yr4_35</vt:lpstr>
      <vt:lpstr>Asset_Refurbishment_Yr4_36</vt:lpstr>
      <vt:lpstr>Asset_Refurbishment_Yr4_37</vt:lpstr>
      <vt:lpstr>Asset_Refurbishment_Yr4_38</vt:lpstr>
      <vt:lpstr>Asset_Refurbishment_Yr4_39</vt:lpstr>
      <vt:lpstr>Asset_Refurbishment_Yr4_4</vt:lpstr>
      <vt:lpstr>Asset_Refurbishment_Yr4_40</vt:lpstr>
      <vt:lpstr>Asset_Refurbishment_Yr4_41</vt:lpstr>
      <vt:lpstr>Asset_Refurbishment_Yr4_42</vt:lpstr>
      <vt:lpstr>Asset_Refurbishment_Yr4_43</vt:lpstr>
      <vt:lpstr>Asset_Refurbishment_Yr4_44</vt:lpstr>
      <vt:lpstr>Asset_Refurbishment_Yr4_45</vt:lpstr>
      <vt:lpstr>Asset_Refurbishment_Yr4_46</vt:lpstr>
      <vt:lpstr>Asset_Refurbishment_Yr4_47</vt:lpstr>
      <vt:lpstr>Asset_Refurbishment_Yr4_48</vt:lpstr>
      <vt:lpstr>Asset_Refurbishment_Yr4_49</vt:lpstr>
      <vt:lpstr>Asset_Refurbishment_Yr4_5</vt:lpstr>
      <vt:lpstr>Asset_Refurbishment_Yr4_50</vt:lpstr>
      <vt:lpstr>Asset_Refurbishment_Yr4_51</vt:lpstr>
      <vt:lpstr>Asset_Refurbishment_Yr4_52</vt:lpstr>
      <vt:lpstr>Asset_Refurbishment_Yr4_53</vt:lpstr>
      <vt:lpstr>Asset_Refurbishment_Yr4_54</vt:lpstr>
      <vt:lpstr>Asset_Refurbishment_Yr4_55</vt:lpstr>
      <vt:lpstr>Asset_Refurbishment_Yr4_56</vt:lpstr>
      <vt:lpstr>Asset_Refurbishment_Yr4_57</vt:lpstr>
      <vt:lpstr>Asset_Refurbishment_Yr4_58</vt:lpstr>
      <vt:lpstr>Asset_Refurbishment_Yr4_59</vt:lpstr>
      <vt:lpstr>Asset_Refurbishment_Yr4_6</vt:lpstr>
      <vt:lpstr>Asset_Refurbishment_Yr4_60</vt:lpstr>
      <vt:lpstr>Asset_Refurbishment_Yr4_61</vt:lpstr>
      <vt:lpstr>Asset_Refurbishment_Yr4_7</vt:lpstr>
      <vt:lpstr>Asset_Refurbishment_Yr4_8</vt:lpstr>
      <vt:lpstr>Asset_Refurbishment_Yr4_9</vt:lpstr>
      <vt:lpstr>Asset_Refurbishment_Yr5_1</vt:lpstr>
      <vt:lpstr>Asset_Refurbishment_Yr5_10</vt:lpstr>
      <vt:lpstr>Asset_Refurbishment_Yr5_11</vt:lpstr>
      <vt:lpstr>Asset_Refurbishment_Yr5_12</vt:lpstr>
      <vt:lpstr>Asset_Refurbishment_Yr5_13</vt:lpstr>
      <vt:lpstr>Asset_Refurbishment_Yr5_14</vt:lpstr>
      <vt:lpstr>Asset_Refurbishment_Yr5_15</vt:lpstr>
      <vt:lpstr>Asset_Refurbishment_Yr5_16</vt:lpstr>
      <vt:lpstr>Asset_Refurbishment_Yr5_17</vt:lpstr>
      <vt:lpstr>Asset_Refurbishment_Yr5_18</vt:lpstr>
      <vt:lpstr>Asset_Refurbishment_Yr5_19</vt:lpstr>
      <vt:lpstr>Asset_Refurbishment_Yr5_2</vt:lpstr>
      <vt:lpstr>Asset_Refurbishment_Yr5_20</vt:lpstr>
      <vt:lpstr>Asset_Refurbishment_Yr5_21</vt:lpstr>
      <vt:lpstr>Asset_Refurbishment_Yr5_22</vt:lpstr>
      <vt:lpstr>Asset_Refurbishment_Yr5_23</vt:lpstr>
      <vt:lpstr>Asset_Refurbishment_Yr5_24</vt:lpstr>
      <vt:lpstr>Asset_Refurbishment_Yr5_25</vt:lpstr>
      <vt:lpstr>Asset_Refurbishment_Yr5_26</vt:lpstr>
      <vt:lpstr>Asset_Refurbishment_Yr5_27</vt:lpstr>
      <vt:lpstr>Asset_Refurbishment_Yr5_28</vt:lpstr>
      <vt:lpstr>Asset_Refurbishment_Yr5_29</vt:lpstr>
      <vt:lpstr>Asset_Refurbishment_Yr5_3</vt:lpstr>
      <vt:lpstr>Asset_Refurbishment_Yr5_30</vt:lpstr>
      <vt:lpstr>Asset_Refurbishment_Yr5_31</vt:lpstr>
      <vt:lpstr>Asset_Refurbishment_Yr5_32</vt:lpstr>
      <vt:lpstr>Asset_Refurbishment_Yr5_33</vt:lpstr>
      <vt:lpstr>Asset_Refurbishment_Yr5_34</vt:lpstr>
      <vt:lpstr>Asset_Refurbishment_Yr5_35</vt:lpstr>
      <vt:lpstr>Asset_Refurbishment_Yr5_36</vt:lpstr>
      <vt:lpstr>Asset_Refurbishment_Yr5_37</vt:lpstr>
      <vt:lpstr>Asset_Refurbishment_Yr5_38</vt:lpstr>
      <vt:lpstr>Asset_Refurbishment_Yr5_39</vt:lpstr>
      <vt:lpstr>Asset_Refurbishment_Yr5_4</vt:lpstr>
      <vt:lpstr>Asset_Refurbishment_Yr5_40</vt:lpstr>
      <vt:lpstr>Asset_Refurbishment_Yr5_41</vt:lpstr>
      <vt:lpstr>Asset_Refurbishment_Yr5_42</vt:lpstr>
      <vt:lpstr>Asset_Refurbishment_Yr5_43</vt:lpstr>
      <vt:lpstr>Asset_Refurbishment_Yr5_44</vt:lpstr>
      <vt:lpstr>Asset_Refurbishment_Yr5_45</vt:lpstr>
      <vt:lpstr>Asset_Refurbishment_Yr5_46</vt:lpstr>
      <vt:lpstr>Asset_Refurbishment_Yr5_47</vt:lpstr>
      <vt:lpstr>Asset_Refurbishment_Yr5_48</vt:lpstr>
      <vt:lpstr>Asset_Refurbishment_Yr5_49</vt:lpstr>
      <vt:lpstr>Asset_Refurbishment_Yr5_5</vt:lpstr>
      <vt:lpstr>Asset_Refurbishment_Yr5_50</vt:lpstr>
      <vt:lpstr>Asset_Refurbishment_Yr5_51</vt:lpstr>
      <vt:lpstr>Asset_Refurbishment_Yr5_52</vt:lpstr>
      <vt:lpstr>Asset_Refurbishment_Yr5_53</vt:lpstr>
      <vt:lpstr>Asset_Refurbishment_Yr5_54</vt:lpstr>
      <vt:lpstr>Asset_Refurbishment_Yr5_55</vt:lpstr>
      <vt:lpstr>Asset_Refurbishment_Yr5_56</vt:lpstr>
      <vt:lpstr>Asset_Refurbishment_Yr5_57</vt:lpstr>
      <vt:lpstr>Asset_Refurbishment_Yr5_58</vt:lpstr>
      <vt:lpstr>Asset_Refurbishment_Yr5_59</vt:lpstr>
      <vt:lpstr>Asset_Refurbishment_Yr5_6</vt:lpstr>
      <vt:lpstr>Asset_Refurbishment_Yr5_60</vt:lpstr>
      <vt:lpstr>Asset_Refurbishment_Yr5_61</vt:lpstr>
      <vt:lpstr>Asset_Refurbishment_Yr5_7</vt:lpstr>
      <vt:lpstr>Asset_Refurbishment_Yr5_8</vt:lpstr>
      <vt:lpstr>Asset_Refurbishment_Yr5_9</vt:lpstr>
      <vt:lpstr>Asset_Replacement_2028_Yr1_1</vt:lpstr>
      <vt:lpstr>Asset_Replacement_2028_Yr1_10</vt:lpstr>
      <vt:lpstr>Asset_Replacement_2028_Yr1_11</vt:lpstr>
      <vt:lpstr>Asset_Replacement_2028_Yr1_12</vt:lpstr>
      <vt:lpstr>Asset_Replacement_2028_Yr1_13</vt:lpstr>
      <vt:lpstr>Asset_Replacement_2028_Yr1_14</vt:lpstr>
      <vt:lpstr>Asset_Replacement_2028_Yr1_15</vt:lpstr>
      <vt:lpstr>Asset_Replacement_2028_Yr1_16</vt:lpstr>
      <vt:lpstr>Asset_Replacement_2028_Yr1_17</vt:lpstr>
      <vt:lpstr>Asset_Replacement_2028_Yr1_18</vt:lpstr>
      <vt:lpstr>Asset_Replacement_2028_Yr1_19</vt:lpstr>
      <vt:lpstr>Asset_Replacement_2028_Yr1_2</vt:lpstr>
      <vt:lpstr>Asset_Replacement_2028_Yr1_20</vt:lpstr>
      <vt:lpstr>Asset_Replacement_2028_Yr1_21</vt:lpstr>
      <vt:lpstr>Asset_Replacement_2028_Yr1_22</vt:lpstr>
      <vt:lpstr>Asset_Replacement_2028_Yr1_23</vt:lpstr>
      <vt:lpstr>Asset_Replacement_2028_Yr1_24</vt:lpstr>
      <vt:lpstr>Asset_Replacement_2028_Yr1_25</vt:lpstr>
      <vt:lpstr>Asset_Replacement_2028_Yr1_26</vt:lpstr>
      <vt:lpstr>Asset_Replacement_2028_Yr1_27</vt:lpstr>
      <vt:lpstr>Asset_Replacement_2028_Yr1_28</vt:lpstr>
      <vt:lpstr>Asset_Replacement_2028_Yr1_29</vt:lpstr>
      <vt:lpstr>Asset_Replacement_2028_Yr1_3</vt:lpstr>
      <vt:lpstr>Asset_Replacement_2028_Yr1_30</vt:lpstr>
      <vt:lpstr>Asset_Replacement_2028_Yr1_31</vt:lpstr>
      <vt:lpstr>Asset_Replacement_2028_Yr1_32</vt:lpstr>
      <vt:lpstr>Asset_Replacement_2028_Yr1_33</vt:lpstr>
      <vt:lpstr>Asset_Replacement_2028_Yr1_34</vt:lpstr>
      <vt:lpstr>Asset_Replacement_2028_Yr1_35</vt:lpstr>
      <vt:lpstr>Asset_Replacement_2028_Yr1_36</vt:lpstr>
      <vt:lpstr>Asset_Replacement_2028_Yr1_37</vt:lpstr>
      <vt:lpstr>Asset_Replacement_2028_Yr1_38</vt:lpstr>
      <vt:lpstr>Asset_Replacement_2028_Yr1_39</vt:lpstr>
      <vt:lpstr>Asset_Replacement_2028_Yr1_4</vt:lpstr>
      <vt:lpstr>Asset_Replacement_2028_Yr1_40</vt:lpstr>
      <vt:lpstr>Asset_Replacement_2028_Yr1_41</vt:lpstr>
      <vt:lpstr>Asset_Replacement_2028_Yr1_42</vt:lpstr>
      <vt:lpstr>Asset_Replacement_2028_Yr1_43</vt:lpstr>
      <vt:lpstr>Asset_Replacement_2028_Yr1_44</vt:lpstr>
      <vt:lpstr>Asset_Replacement_2028_Yr1_45</vt:lpstr>
      <vt:lpstr>Asset_Replacement_2028_Yr1_46</vt:lpstr>
      <vt:lpstr>Asset_Replacement_2028_Yr1_47</vt:lpstr>
      <vt:lpstr>Asset_Replacement_2028_Yr1_48</vt:lpstr>
      <vt:lpstr>Asset_Replacement_2028_Yr1_49</vt:lpstr>
      <vt:lpstr>Asset_Replacement_2028_Yr1_5</vt:lpstr>
      <vt:lpstr>Asset_Replacement_2028_Yr1_50</vt:lpstr>
      <vt:lpstr>Asset_Replacement_2028_Yr1_51</vt:lpstr>
      <vt:lpstr>Asset_Replacement_2028_Yr1_52</vt:lpstr>
      <vt:lpstr>Asset_Replacement_2028_Yr1_53</vt:lpstr>
      <vt:lpstr>Asset_Replacement_2028_Yr1_54</vt:lpstr>
      <vt:lpstr>Asset_Replacement_2028_Yr1_55</vt:lpstr>
      <vt:lpstr>Asset_Replacement_2028_Yr1_56</vt:lpstr>
      <vt:lpstr>Asset_Replacement_2028_Yr1_57</vt:lpstr>
      <vt:lpstr>Asset_Replacement_2028_Yr1_58</vt:lpstr>
      <vt:lpstr>Asset_Replacement_2028_Yr1_59</vt:lpstr>
      <vt:lpstr>Asset_Replacement_2028_Yr1_6</vt:lpstr>
      <vt:lpstr>Asset_Replacement_2028_Yr1_60</vt:lpstr>
      <vt:lpstr>Asset_Replacement_2028_Yr1_61</vt:lpstr>
      <vt:lpstr>Asset_Replacement_2028_Yr1_7</vt:lpstr>
      <vt:lpstr>Asset_Replacement_2028_Yr1_8</vt:lpstr>
      <vt:lpstr>Asset_Replacement_2028_Yr1_9</vt:lpstr>
      <vt:lpstr>Asset_Replacement_2028_Yr2_1</vt:lpstr>
      <vt:lpstr>Asset_Replacement_2028_Yr2_10</vt:lpstr>
      <vt:lpstr>Asset_Replacement_2028_Yr2_11</vt:lpstr>
      <vt:lpstr>Asset_Replacement_2028_Yr2_12</vt:lpstr>
      <vt:lpstr>Asset_Replacement_2028_Yr2_13</vt:lpstr>
      <vt:lpstr>Asset_Replacement_2028_Yr2_14</vt:lpstr>
      <vt:lpstr>Asset_Replacement_2028_Yr2_15</vt:lpstr>
      <vt:lpstr>Asset_Replacement_2028_Yr2_16</vt:lpstr>
      <vt:lpstr>Asset_Replacement_2028_Yr2_17</vt:lpstr>
      <vt:lpstr>Asset_Replacement_2028_Yr2_18</vt:lpstr>
      <vt:lpstr>Asset_Replacement_2028_Yr2_19</vt:lpstr>
      <vt:lpstr>Asset_Replacement_2028_Yr2_2</vt:lpstr>
      <vt:lpstr>Asset_Replacement_2028_Yr2_20</vt:lpstr>
      <vt:lpstr>Asset_Replacement_2028_Yr2_21</vt:lpstr>
      <vt:lpstr>Asset_Replacement_2028_Yr2_22</vt:lpstr>
      <vt:lpstr>Asset_Replacement_2028_Yr2_23</vt:lpstr>
      <vt:lpstr>Asset_Replacement_2028_Yr2_24</vt:lpstr>
      <vt:lpstr>Asset_Replacement_2028_Yr2_25</vt:lpstr>
      <vt:lpstr>Asset_Replacement_2028_Yr2_26</vt:lpstr>
      <vt:lpstr>Asset_Replacement_2028_Yr2_27</vt:lpstr>
      <vt:lpstr>Asset_Replacement_2028_Yr2_28</vt:lpstr>
      <vt:lpstr>Asset_Replacement_2028_Yr2_29</vt:lpstr>
      <vt:lpstr>Asset_Replacement_2028_Yr2_3</vt:lpstr>
      <vt:lpstr>Asset_Replacement_2028_Yr2_30</vt:lpstr>
      <vt:lpstr>Asset_Replacement_2028_Yr2_31</vt:lpstr>
      <vt:lpstr>Asset_Replacement_2028_Yr2_32</vt:lpstr>
      <vt:lpstr>Asset_Replacement_2028_Yr2_33</vt:lpstr>
      <vt:lpstr>Asset_Replacement_2028_Yr2_34</vt:lpstr>
      <vt:lpstr>Asset_Replacement_2028_Yr2_35</vt:lpstr>
      <vt:lpstr>Asset_Replacement_2028_Yr2_36</vt:lpstr>
      <vt:lpstr>Asset_Replacement_2028_Yr2_37</vt:lpstr>
      <vt:lpstr>Asset_Replacement_2028_Yr2_38</vt:lpstr>
      <vt:lpstr>Asset_Replacement_2028_Yr2_39</vt:lpstr>
      <vt:lpstr>Asset_Replacement_2028_Yr2_4</vt:lpstr>
      <vt:lpstr>Asset_Replacement_2028_Yr2_40</vt:lpstr>
      <vt:lpstr>Asset_Replacement_2028_Yr2_41</vt:lpstr>
      <vt:lpstr>Asset_Replacement_2028_Yr2_42</vt:lpstr>
      <vt:lpstr>Asset_Replacement_2028_Yr2_43</vt:lpstr>
      <vt:lpstr>Asset_Replacement_2028_Yr2_44</vt:lpstr>
      <vt:lpstr>Asset_Replacement_2028_Yr2_45</vt:lpstr>
      <vt:lpstr>Asset_Replacement_2028_Yr2_46</vt:lpstr>
      <vt:lpstr>Asset_Replacement_2028_Yr2_47</vt:lpstr>
      <vt:lpstr>Asset_Replacement_2028_Yr2_48</vt:lpstr>
      <vt:lpstr>Asset_Replacement_2028_Yr2_49</vt:lpstr>
      <vt:lpstr>Asset_Replacement_2028_Yr2_5</vt:lpstr>
      <vt:lpstr>Asset_Replacement_2028_Yr2_50</vt:lpstr>
      <vt:lpstr>Asset_Replacement_2028_Yr2_51</vt:lpstr>
      <vt:lpstr>Asset_Replacement_2028_Yr2_52</vt:lpstr>
      <vt:lpstr>Asset_Replacement_2028_Yr2_53</vt:lpstr>
      <vt:lpstr>Asset_Replacement_2028_Yr2_54</vt:lpstr>
      <vt:lpstr>Asset_Replacement_2028_Yr2_55</vt:lpstr>
      <vt:lpstr>Asset_Replacement_2028_Yr2_56</vt:lpstr>
      <vt:lpstr>Asset_Replacement_2028_Yr2_57</vt:lpstr>
      <vt:lpstr>Asset_Replacement_2028_Yr2_58</vt:lpstr>
      <vt:lpstr>Asset_Replacement_2028_Yr2_59</vt:lpstr>
      <vt:lpstr>Asset_Replacement_2028_Yr2_6</vt:lpstr>
      <vt:lpstr>Asset_Replacement_2028_Yr2_60</vt:lpstr>
      <vt:lpstr>Asset_Replacement_2028_Yr2_61</vt:lpstr>
      <vt:lpstr>Asset_Replacement_2028_Yr2_7</vt:lpstr>
      <vt:lpstr>Asset_Replacement_2028_Yr2_8</vt:lpstr>
      <vt:lpstr>Asset_Replacement_2028_Yr2_9</vt:lpstr>
      <vt:lpstr>Asset_Replacement_2028_Yr3_1</vt:lpstr>
      <vt:lpstr>Asset_Replacement_2028_Yr3_10</vt:lpstr>
      <vt:lpstr>Asset_Replacement_2028_Yr3_11</vt:lpstr>
      <vt:lpstr>Asset_Replacement_2028_Yr3_12</vt:lpstr>
      <vt:lpstr>Asset_Replacement_2028_Yr3_13</vt:lpstr>
      <vt:lpstr>Asset_Replacement_2028_Yr3_14</vt:lpstr>
      <vt:lpstr>Asset_Replacement_2028_Yr3_15</vt:lpstr>
      <vt:lpstr>Asset_Replacement_2028_Yr3_16</vt:lpstr>
      <vt:lpstr>Asset_Replacement_2028_Yr3_17</vt:lpstr>
      <vt:lpstr>Asset_Replacement_2028_Yr3_18</vt:lpstr>
      <vt:lpstr>Asset_Replacement_2028_Yr3_19</vt:lpstr>
      <vt:lpstr>Asset_Replacement_2028_Yr3_2</vt:lpstr>
      <vt:lpstr>Asset_Replacement_2028_Yr3_20</vt:lpstr>
      <vt:lpstr>Asset_Replacement_2028_Yr3_21</vt:lpstr>
      <vt:lpstr>Asset_Replacement_2028_Yr3_22</vt:lpstr>
      <vt:lpstr>Asset_Replacement_2028_Yr3_23</vt:lpstr>
      <vt:lpstr>Asset_Replacement_2028_Yr3_24</vt:lpstr>
      <vt:lpstr>Asset_Replacement_2028_Yr3_25</vt:lpstr>
      <vt:lpstr>Asset_Replacement_2028_Yr3_26</vt:lpstr>
      <vt:lpstr>Asset_Replacement_2028_Yr3_27</vt:lpstr>
      <vt:lpstr>Asset_Replacement_2028_Yr3_28</vt:lpstr>
      <vt:lpstr>Asset_Replacement_2028_Yr3_29</vt:lpstr>
      <vt:lpstr>Asset_Replacement_2028_Yr3_3</vt:lpstr>
      <vt:lpstr>Asset_Replacement_2028_Yr3_30</vt:lpstr>
      <vt:lpstr>Asset_Replacement_2028_Yr3_31</vt:lpstr>
      <vt:lpstr>Asset_Replacement_2028_Yr3_32</vt:lpstr>
      <vt:lpstr>Asset_Replacement_2028_Yr3_33</vt:lpstr>
      <vt:lpstr>Asset_Replacement_2028_Yr3_34</vt:lpstr>
      <vt:lpstr>Asset_Replacement_2028_Yr3_35</vt:lpstr>
      <vt:lpstr>Asset_Replacement_2028_Yr3_36</vt:lpstr>
      <vt:lpstr>Asset_Replacement_2028_Yr3_37</vt:lpstr>
      <vt:lpstr>Asset_Replacement_2028_Yr3_38</vt:lpstr>
      <vt:lpstr>Asset_Replacement_2028_Yr3_39</vt:lpstr>
      <vt:lpstr>Asset_Replacement_2028_Yr3_4</vt:lpstr>
      <vt:lpstr>Asset_Replacement_2028_Yr3_40</vt:lpstr>
      <vt:lpstr>Asset_Replacement_2028_Yr3_41</vt:lpstr>
      <vt:lpstr>Asset_Replacement_2028_Yr3_42</vt:lpstr>
      <vt:lpstr>Asset_Replacement_2028_Yr3_43</vt:lpstr>
      <vt:lpstr>Asset_Replacement_2028_Yr3_44</vt:lpstr>
      <vt:lpstr>Asset_Replacement_2028_Yr3_45</vt:lpstr>
      <vt:lpstr>Asset_Replacement_2028_Yr3_46</vt:lpstr>
      <vt:lpstr>Asset_Replacement_2028_Yr3_47</vt:lpstr>
      <vt:lpstr>Asset_Replacement_2028_Yr3_48</vt:lpstr>
      <vt:lpstr>Asset_Replacement_2028_Yr3_49</vt:lpstr>
      <vt:lpstr>Asset_Replacement_2028_Yr3_5</vt:lpstr>
      <vt:lpstr>Asset_Replacement_2028_Yr3_50</vt:lpstr>
      <vt:lpstr>Asset_Replacement_2028_Yr3_51</vt:lpstr>
      <vt:lpstr>Asset_Replacement_2028_Yr3_52</vt:lpstr>
      <vt:lpstr>Asset_Replacement_2028_Yr3_53</vt:lpstr>
      <vt:lpstr>Asset_Replacement_2028_Yr3_54</vt:lpstr>
      <vt:lpstr>Asset_Replacement_2028_Yr3_55</vt:lpstr>
      <vt:lpstr>Asset_Replacement_2028_Yr3_56</vt:lpstr>
      <vt:lpstr>Asset_Replacement_2028_Yr3_57</vt:lpstr>
      <vt:lpstr>Asset_Replacement_2028_Yr3_58</vt:lpstr>
      <vt:lpstr>Asset_Replacement_2028_Yr3_59</vt:lpstr>
      <vt:lpstr>Asset_Replacement_2028_Yr3_6</vt:lpstr>
      <vt:lpstr>Asset_Replacement_2028_Yr3_60</vt:lpstr>
      <vt:lpstr>Asset_Replacement_2028_Yr3_61</vt:lpstr>
      <vt:lpstr>Asset_Replacement_2028_Yr3_7</vt:lpstr>
      <vt:lpstr>Asset_Replacement_2028_Yr3_8</vt:lpstr>
      <vt:lpstr>Asset_Replacement_2028_Yr3_9</vt:lpstr>
      <vt:lpstr>Asset_Replacement_2028_Yr4_1</vt:lpstr>
      <vt:lpstr>Asset_Replacement_2028_Yr4_10</vt:lpstr>
      <vt:lpstr>Asset_Replacement_2028_Yr4_11</vt:lpstr>
      <vt:lpstr>Asset_Replacement_2028_Yr4_12</vt:lpstr>
      <vt:lpstr>Asset_Replacement_2028_Yr4_13</vt:lpstr>
      <vt:lpstr>Asset_Replacement_2028_Yr4_14</vt:lpstr>
      <vt:lpstr>Asset_Replacement_2028_Yr4_15</vt:lpstr>
      <vt:lpstr>Asset_Replacement_2028_Yr4_16</vt:lpstr>
      <vt:lpstr>Asset_Replacement_2028_Yr4_17</vt:lpstr>
      <vt:lpstr>Asset_Replacement_2028_Yr4_18</vt:lpstr>
      <vt:lpstr>Asset_Replacement_2028_Yr4_19</vt:lpstr>
      <vt:lpstr>Asset_Replacement_2028_Yr4_2</vt:lpstr>
      <vt:lpstr>Asset_Replacement_2028_Yr4_20</vt:lpstr>
      <vt:lpstr>Asset_Replacement_2028_Yr4_21</vt:lpstr>
      <vt:lpstr>Asset_Replacement_2028_Yr4_22</vt:lpstr>
      <vt:lpstr>Asset_Replacement_2028_Yr4_23</vt:lpstr>
      <vt:lpstr>Asset_Replacement_2028_Yr4_24</vt:lpstr>
      <vt:lpstr>Asset_Replacement_2028_Yr4_25</vt:lpstr>
      <vt:lpstr>Asset_Replacement_2028_Yr4_26</vt:lpstr>
      <vt:lpstr>Asset_Replacement_2028_Yr4_27</vt:lpstr>
      <vt:lpstr>Asset_Replacement_2028_Yr4_28</vt:lpstr>
      <vt:lpstr>Asset_Replacement_2028_Yr4_29</vt:lpstr>
      <vt:lpstr>Asset_Replacement_2028_Yr4_3</vt:lpstr>
      <vt:lpstr>Asset_Replacement_2028_Yr4_30</vt:lpstr>
      <vt:lpstr>Asset_Replacement_2028_Yr4_31</vt:lpstr>
      <vt:lpstr>Asset_Replacement_2028_Yr4_32</vt:lpstr>
      <vt:lpstr>Asset_Replacement_2028_Yr4_33</vt:lpstr>
      <vt:lpstr>Asset_Replacement_2028_Yr4_34</vt:lpstr>
      <vt:lpstr>Asset_Replacement_2028_Yr4_35</vt:lpstr>
      <vt:lpstr>Asset_Replacement_2028_Yr4_36</vt:lpstr>
      <vt:lpstr>Asset_Replacement_2028_Yr4_37</vt:lpstr>
      <vt:lpstr>Asset_Replacement_2028_Yr4_38</vt:lpstr>
      <vt:lpstr>Asset_Replacement_2028_Yr4_39</vt:lpstr>
      <vt:lpstr>Asset_Replacement_2028_Yr4_4</vt:lpstr>
      <vt:lpstr>Asset_Replacement_2028_Yr4_40</vt:lpstr>
      <vt:lpstr>Asset_Replacement_2028_Yr4_41</vt:lpstr>
      <vt:lpstr>Asset_Replacement_2028_Yr4_42</vt:lpstr>
      <vt:lpstr>Asset_Replacement_2028_Yr4_43</vt:lpstr>
      <vt:lpstr>Asset_Replacement_2028_Yr4_44</vt:lpstr>
      <vt:lpstr>Asset_Replacement_2028_Yr4_45</vt:lpstr>
      <vt:lpstr>Asset_Replacement_2028_Yr4_46</vt:lpstr>
      <vt:lpstr>Asset_Replacement_2028_Yr4_47</vt:lpstr>
      <vt:lpstr>Asset_Replacement_2028_Yr4_48</vt:lpstr>
      <vt:lpstr>Asset_Replacement_2028_Yr4_49</vt:lpstr>
      <vt:lpstr>Asset_Replacement_2028_Yr4_5</vt:lpstr>
      <vt:lpstr>Asset_Replacement_2028_Yr4_50</vt:lpstr>
      <vt:lpstr>Asset_Replacement_2028_Yr4_51</vt:lpstr>
      <vt:lpstr>Asset_Replacement_2028_Yr4_52</vt:lpstr>
      <vt:lpstr>Asset_Replacement_2028_Yr4_53</vt:lpstr>
      <vt:lpstr>Asset_Replacement_2028_Yr4_54</vt:lpstr>
      <vt:lpstr>Asset_Replacement_2028_Yr4_55</vt:lpstr>
      <vt:lpstr>Asset_Replacement_2028_Yr4_56</vt:lpstr>
      <vt:lpstr>Asset_Replacement_2028_Yr4_57</vt:lpstr>
      <vt:lpstr>Asset_Replacement_2028_Yr4_58</vt:lpstr>
      <vt:lpstr>Asset_Replacement_2028_Yr4_59</vt:lpstr>
      <vt:lpstr>Asset_Replacement_2028_Yr4_6</vt:lpstr>
      <vt:lpstr>Asset_Replacement_2028_Yr4_60</vt:lpstr>
      <vt:lpstr>Asset_Replacement_2028_Yr4_61</vt:lpstr>
      <vt:lpstr>Asset_Replacement_2028_Yr4_7</vt:lpstr>
      <vt:lpstr>Asset_Replacement_2028_Yr4_8</vt:lpstr>
      <vt:lpstr>Asset_Replacement_2028_Yr4_9</vt:lpstr>
      <vt:lpstr>Asset_Replacement_2028_Yr5_1</vt:lpstr>
      <vt:lpstr>Asset_Replacement_2028_Yr5_10</vt:lpstr>
      <vt:lpstr>Asset_Replacement_2028_Yr5_11</vt:lpstr>
      <vt:lpstr>Asset_Replacement_2028_Yr5_12</vt:lpstr>
      <vt:lpstr>Asset_Replacement_2028_Yr5_13</vt:lpstr>
      <vt:lpstr>Asset_Replacement_2028_Yr5_14</vt:lpstr>
      <vt:lpstr>Asset_Replacement_2028_Yr5_15</vt:lpstr>
      <vt:lpstr>Asset_Replacement_2028_Yr5_16</vt:lpstr>
      <vt:lpstr>Asset_Replacement_2028_Yr5_17</vt:lpstr>
      <vt:lpstr>Asset_Replacement_2028_Yr5_18</vt:lpstr>
      <vt:lpstr>Asset_Replacement_2028_Yr5_19</vt:lpstr>
      <vt:lpstr>Asset_Replacement_2028_Yr5_2</vt:lpstr>
      <vt:lpstr>Asset_Replacement_2028_Yr5_20</vt:lpstr>
      <vt:lpstr>Asset_Replacement_2028_Yr5_21</vt:lpstr>
      <vt:lpstr>Asset_Replacement_2028_Yr5_22</vt:lpstr>
      <vt:lpstr>Asset_Replacement_2028_Yr5_23</vt:lpstr>
      <vt:lpstr>Asset_Replacement_2028_Yr5_24</vt:lpstr>
      <vt:lpstr>Asset_Replacement_2028_Yr5_25</vt:lpstr>
      <vt:lpstr>Asset_Replacement_2028_Yr5_26</vt:lpstr>
      <vt:lpstr>Asset_Replacement_2028_Yr5_27</vt:lpstr>
      <vt:lpstr>Asset_Replacement_2028_Yr5_28</vt:lpstr>
      <vt:lpstr>Asset_Replacement_2028_Yr5_29</vt:lpstr>
      <vt:lpstr>Asset_Replacement_2028_Yr5_3</vt:lpstr>
      <vt:lpstr>Asset_Replacement_2028_Yr5_30</vt:lpstr>
      <vt:lpstr>Asset_Replacement_2028_Yr5_31</vt:lpstr>
      <vt:lpstr>Asset_Replacement_2028_Yr5_32</vt:lpstr>
      <vt:lpstr>Asset_Replacement_2028_Yr5_33</vt:lpstr>
      <vt:lpstr>Asset_Replacement_2028_Yr5_34</vt:lpstr>
      <vt:lpstr>Asset_Replacement_2028_Yr5_35</vt:lpstr>
      <vt:lpstr>Asset_Replacement_2028_Yr5_36</vt:lpstr>
      <vt:lpstr>Asset_Replacement_2028_Yr5_37</vt:lpstr>
      <vt:lpstr>Asset_Replacement_2028_Yr5_38</vt:lpstr>
      <vt:lpstr>Asset_Replacement_2028_Yr5_39</vt:lpstr>
      <vt:lpstr>Asset_Replacement_2028_Yr5_4</vt:lpstr>
      <vt:lpstr>Asset_Replacement_2028_Yr5_40</vt:lpstr>
      <vt:lpstr>Asset_Replacement_2028_Yr5_41</vt:lpstr>
      <vt:lpstr>Asset_Replacement_2028_Yr5_42</vt:lpstr>
      <vt:lpstr>Asset_Replacement_2028_Yr5_43</vt:lpstr>
      <vt:lpstr>Asset_Replacement_2028_Yr5_44</vt:lpstr>
      <vt:lpstr>Asset_Replacement_2028_Yr5_45</vt:lpstr>
      <vt:lpstr>Asset_Replacement_2028_Yr5_46</vt:lpstr>
      <vt:lpstr>Asset_Replacement_2028_Yr5_47</vt:lpstr>
      <vt:lpstr>Asset_Replacement_2028_Yr5_48</vt:lpstr>
      <vt:lpstr>Asset_Replacement_2028_Yr5_49</vt:lpstr>
      <vt:lpstr>Asset_Replacement_2028_Yr5_5</vt:lpstr>
      <vt:lpstr>Asset_Replacement_2028_Yr5_50</vt:lpstr>
      <vt:lpstr>Asset_Replacement_2028_Yr5_51</vt:lpstr>
      <vt:lpstr>Asset_Replacement_2028_Yr5_52</vt:lpstr>
      <vt:lpstr>Asset_Replacement_2028_Yr5_53</vt:lpstr>
      <vt:lpstr>Asset_Replacement_2028_Yr5_54</vt:lpstr>
      <vt:lpstr>Asset_Replacement_2028_Yr5_55</vt:lpstr>
      <vt:lpstr>Asset_Replacement_2028_Yr5_56</vt:lpstr>
      <vt:lpstr>Asset_Replacement_2028_Yr5_57</vt:lpstr>
      <vt:lpstr>Asset_Replacement_2028_Yr5_58</vt:lpstr>
      <vt:lpstr>Asset_Replacement_2028_Yr5_59</vt:lpstr>
      <vt:lpstr>Asset_Replacement_2028_Yr5_6</vt:lpstr>
      <vt:lpstr>Asset_Replacement_2028_Yr5_60</vt:lpstr>
      <vt:lpstr>Asset_Replacement_2028_Yr5_61</vt:lpstr>
      <vt:lpstr>Asset_Replacement_2028_Yr5_7</vt:lpstr>
      <vt:lpstr>Asset_Replacement_2028_Yr5_8</vt:lpstr>
      <vt:lpstr>Asset_Replacement_2028_Yr5_9</vt:lpstr>
      <vt:lpstr>Asset_Replacement_Yr1_1</vt:lpstr>
      <vt:lpstr>Asset_Replacement_Yr1_10</vt:lpstr>
      <vt:lpstr>Asset_Replacement_Yr1_11</vt:lpstr>
      <vt:lpstr>Asset_Replacement_Yr1_12</vt:lpstr>
      <vt:lpstr>Asset_Replacement_Yr1_13</vt:lpstr>
      <vt:lpstr>Asset_Replacement_Yr1_14</vt:lpstr>
      <vt:lpstr>Asset_Replacement_Yr1_15</vt:lpstr>
      <vt:lpstr>Asset_Replacement_Yr1_16</vt:lpstr>
      <vt:lpstr>Asset_Replacement_Yr1_17</vt:lpstr>
      <vt:lpstr>Asset_Replacement_Yr1_18</vt:lpstr>
      <vt:lpstr>Asset_Replacement_Yr1_19</vt:lpstr>
      <vt:lpstr>Asset_Replacement_Yr1_2</vt:lpstr>
      <vt:lpstr>Asset_Replacement_Yr1_20</vt:lpstr>
      <vt:lpstr>Asset_Replacement_Yr1_21</vt:lpstr>
      <vt:lpstr>Asset_Replacement_Yr1_22</vt:lpstr>
      <vt:lpstr>Asset_Replacement_Yr1_23</vt:lpstr>
      <vt:lpstr>Asset_Replacement_Yr1_24</vt:lpstr>
      <vt:lpstr>Asset_Replacement_Yr1_25</vt:lpstr>
      <vt:lpstr>Asset_Replacement_Yr1_26</vt:lpstr>
      <vt:lpstr>Asset_Replacement_Yr1_27</vt:lpstr>
      <vt:lpstr>Asset_Replacement_Yr1_28</vt:lpstr>
      <vt:lpstr>Asset_Replacement_Yr1_29</vt:lpstr>
      <vt:lpstr>Asset_Replacement_Yr1_3</vt:lpstr>
      <vt:lpstr>Asset_Replacement_Yr1_30</vt:lpstr>
      <vt:lpstr>Asset_Replacement_Yr1_31</vt:lpstr>
      <vt:lpstr>Asset_Replacement_Yr1_32</vt:lpstr>
      <vt:lpstr>Asset_Replacement_Yr1_33</vt:lpstr>
      <vt:lpstr>Asset_Replacement_Yr1_34</vt:lpstr>
      <vt:lpstr>Asset_Replacement_Yr1_35</vt:lpstr>
      <vt:lpstr>Asset_Replacement_Yr1_36</vt:lpstr>
      <vt:lpstr>Asset_Replacement_Yr1_37</vt:lpstr>
      <vt:lpstr>Asset_Replacement_Yr1_38</vt:lpstr>
      <vt:lpstr>Asset_Replacement_Yr1_39</vt:lpstr>
      <vt:lpstr>Asset_Replacement_Yr1_4</vt:lpstr>
      <vt:lpstr>Asset_Replacement_Yr1_40</vt:lpstr>
      <vt:lpstr>Asset_Replacement_Yr1_41</vt:lpstr>
      <vt:lpstr>Asset_Replacement_Yr1_42</vt:lpstr>
      <vt:lpstr>Asset_Replacement_Yr1_43</vt:lpstr>
      <vt:lpstr>Asset_Replacement_Yr1_44</vt:lpstr>
      <vt:lpstr>Asset_Replacement_Yr1_45</vt:lpstr>
      <vt:lpstr>Asset_Replacement_Yr1_46</vt:lpstr>
      <vt:lpstr>Asset_Replacement_Yr1_47</vt:lpstr>
      <vt:lpstr>Asset_Replacement_Yr1_48</vt:lpstr>
      <vt:lpstr>Asset_Replacement_Yr1_49</vt:lpstr>
      <vt:lpstr>Asset_Replacement_Yr1_5</vt:lpstr>
      <vt:lpstr>Asset_Replacement_Yr1_50</vt:lpstr>
      <vt:lpstr>Asset_Replacement_Yr1_51</vt:lpstr>
      <vt:lpstr>Asset_Replacement_Yr1_52</vt:lpstr>
      <vt:lpstr>Asset_Replacement_Yr1_53</vt:lpstr>
      <vt:lpstr>Asset_Replacement_Yr1_54</vt:lpstr>
      <vt:lpstr>Asset_Replacement_Yr1_55</vt:lpstr>
      <vt:lpstr>Asset_Replacement_Yr1_56</vt:lpstr>
      <vt:lpstr>Asset_Replacement_Yr1_57</vt:lpstr>
      <vt:lpstr>Asset_Replacement_Yr1_58</vt:lpstr>
      <vt:lpstr>Asset_Replacement_Yr1_59</vt:lpstr>
      <vt:lpstr>Asset_Replacement_Yr1_6</vt:lpstr>
      <vt:lpstr>Asset_Replacement_Yr1_60</vt:lpstr>
      <vt:lpstr>Asset_Replacement_Yr1_61</vt:lpstr>
      <vt:lpstr>Asset_Replacement_Yr1_7</vt:lpstr>
      <vt:lpstr>Asset_Replacement_Yr1_8</vt:lpstr>
      <vt:lpstr>Asset_Replacement_Yr1_9</vt:lpstr>
      <vt:lpstr>Asset_Replacement_Yr2_1</vt:lpstr>
      <vt:lpstr>Asset_Replacement_Yr2_10</vt:lpstr>
      <vt:lpstr>Asset_Replacement_Yr2_11</vt:lpstr>
      <vt:lpstr>Asset_Replacement_Yr2_12</vt:lpstr>
      <vt:lpstr>Asset_Replacement_Yr2_13</vt:lpstr>
      <vt:lpstr>Asset_Replacement_Yr2_14</vt:lpstr>
      <vt:lpstr>Asset_Replacement_Yr2_15</vt:lpstr>
      <vt:lpstr>Asset_Replacement_Yr2_16</vt:lpstr>
      <vt:lpstr>Asset_Replacement_Yr2_17</vt:lpstr>
      <vt:lpstr>Asset_Replacement_Yr2_18</vt:lpstr>
      <vt:lpstr>Asset_Replacement_Yr2_19</vt:lpstr>
      <vt:lpstr>Asset_Replacement_Yr2_2</vt:lpstr>
      <vt:lpstr>Asset_Replacement_Yr2_20</vt:lpstr>
      <vt:lpstr>Asset_Replacement_Yr2_21</vt:lpstr>
      <vt:lpstr>Asset_Replacement_Yr2_22</vt:lpstr>
      <vt:lpstr>Asset_Replacement_Yr2_23</vt:lpstr>
      <vt:lpstr>Asset_Replacement_Yr2_24</vt:lpstr>
      <vt:lpstr>Asset_Replacement_Yr2_25</vt:lpstr>
      <vt:lpstr>Asset_Replacement_Yr2_26</vt:lpstr>
      <vt:lpstr>Asset_Replacement_Yr2_27</vt:lpstr>
      <vt:lpstr>Asset_Replacement_Yr2_28</vt:lpstr>
      <vt:lpstr>Asset_Replacement_Yr2_29</vt:lpstr>
      <vt:lpstr>Asset_Replacement_Yr2_3</vt:lpstr>
      <vt:lpstr>Asset_Replacement_Yr2_30</vt:lpstr>
      <vt:lpstr>Asset_Replacement_Yr2_31</vt:lpstr>
      <vt:lpstr>Asset_Replacement_Yr2_32</vt:lpstr>
      <vt:lpstr>Asset_Replacement_Yr2_33</vt:lpstr>
      <vt:lpstr>Asset_Replacement_Yr2_34</vt:lpstr>
      <vt:lpstr>Asset_Replacement_Yr2_35</vt:lpstr>
      <vt:lpstr>Asset_Replacement_Yr2_36</vt:lpstr>
      <vt:lpstr>Asset_Replacement_Yr2_37</vt:lpstr>
      <vt:lpstr>Asset_Replacement_Yr2_38</vt:lpstr>
      <vt:lpstr>Asset_Replacement_Yr2_39</vt:lpstr>
      <vt:lpstr>Asset_Replacement_Yr2_4</vt:lpstr>
      <vt:lpstr>Asset_Replacement_Yr2_40</vt:lpstr>
      <vt:lpstr>Asset_Replacement_Yr2_41</vt:lpstr>
      <vt:lpstr>Asset_Replacement_Yr2_42</vt:lpstr>
      <vt:lpstr>Asset_Replacement_Yr2_43</vt:lpstr>
      <vt:lpstr>Asset_Replacement_Yr2_44</vt:lpstr>
      <vt:lpstr>Asset_Replacement_Yr2_45</vt:lpstr>
      <vt:lpstr>Asset_Replacement_Yr2_46</vt:lpstr>
      <vt:lpstr>Asset_Replacement_Yr2_47</vt:lpstr>
      <vt:lpstr>Asset_Replacement_Yr2_48</vt:lpstr>
      <vt:lpstr>Asset_Replacement_Yr2_49</vt:lpstr>
      <vt:lpstr>Asset_Replacement_Yr2_5</vt:lpstr>
      <vt:lpstr>Asset_Replacement_Yr2_50</vt:lpstr>
      <vt:lpstr>Asset_Replacement_Yr2_51</vt:lpstr>
      <vt:lpstr>Asset_Replacement_Yr2_52</vt:lpstr>
      <vt:lpstr>Asset_Replacement_Yr2_53</vt:lpstr>
      <vt:lpstr>Asset_Replacement_Yr2_54</vt:lpstr>
      <vt:lpstr>Asset_Replacement_Yr2_55</vt:lpstr>
      <vt:lpstr>Asset_Replacement_Yr2_56</vt:lpstr>
      <vt:lpstr>Asset_Replacement_Yr2_57</vt:lpstr>
      <vt:lpstr>Asset_Replacement_Yr2_58</vt:lpstr>
      <vt:lpstr>Asset_Replacement_Yr2_59</vt:lpstr>
      <vt:lpstr>Asset_Replacement_Yr2_6</vt:lpstr>
      <vt:lpstr>Asset_Replacement_Yr2_60</vt:lpstr>
      <vt:lpstr>Asset_Replacement_Yr2_61</vt:lpstr>
      <vt:lpstr>Asset_Replacement_Yr2_7</vt:lpstr>
      <vt:lpstr>Asset_Replacement_Yr2_8</vt:lpstr>
      <vt:lpstr>Asset_Replacement_Yr2_9</vt:lpstr>
      <vt:lpstr>Asset_Replacement_Yr3_1</vt:lpstr>
      <vt:lpstr>Asset_Replacement_Yr3_10</vt:lpstr>
      <vt:lpstr>Asset_Replacement_Yr3_11</vt:lpstr>
      <vt:lpstr>Asset_Replacement_Yr3_12</vt:lpstr>
      <vt:lpstr>Asset_Replacement_Yr3_13</vt:lpstr>
      <vt:lpstr>Asset_Replacement_Yr3_14</vt:lpstr>
      <vt:lpstr>Asset_Replacement_Yr3_15</vt:lpstr>
      <vt:lpstr>Asset_Replacement_Yr3_16</vt:lpstr>
      <vt:lpstr>Asset_Replacement_Yr3_17</vt:lpstr>
      <vt:lpstr>Asset_Replacement_Yr3_18</vt:lpstr>
      <vt:lpstr>Asset_Replacement_Yr3_19</vt:lpstr>
      <vt:lpstr>Asset_Replacement_Yr3_2</vt:lpstr>
      <vt:lpstr>Asset_Replacement_Yr3_20</vt:lpstr>
      <vt:lpstr>Asset_Replacement_Yr3_21</vt:lpstr>
      <vt:lpstr>Asset_Replacement_Yr3_22</vt:lpstr>
      <vt:lpstr>Asset_Replacement_Yr3_23</vt:lpstr>
      <vt:lpstr>Asset_Replacement_Yr3_24</vt:lpstr>
      <vt:lpstr>Asset_Replacement_Yr3_25</vt:lpstr>
      <vt:lpstr>Asset_Replacement_Yr3_26</vt:lpstr>
      <vt:lpstr>Asset_Replacement_Yr3_27</vt:lpstr>
      <vt:lpstr>Asset_Replacement_Yr3_28</vt:lpstr>
      <vt:lpstr>Asset_Replacement_Yr3_29</vt:lpstr>
      <vt:lpstr>Asset_Replacement_Yr3_3</vt:lpstr>
      <vt:lpstr>Asset_Replacement_Yr3_30</vt:lpstr>
      <vt:lpstr>Asset_Replacement_Yr3_31</vt:lpstr>
      <vt:lpstr>Asset_Replacement_Yr3_32</vt:lpstr>
      <vt:lpstr>Asset_Replacement_Yr3_33</vt:lpstr>
      <vt:lpstr>Asset_Replacement_Yr3_34</vt:lpstr>
      <vt:lpstr>Asset_Replacement_Yr3_35</vt:lpstr>
      <vt:lpstr>Asset_Replacement_Yr3_36</vt:lpstr>
      <vt:lpstr>Asset_Replacement_Yr3_37</vt:lpstr>
      <vt:lpstr>Asset_Replacement_Yr3_38</vt:lpstr>
      <vt:lpstr>Asset_Replacement_Yr3_39</vt:lpstr>
      <vt:lpstr>Asset_Replacement_Yr3_4</vt:lpstr>
      <vt:lpstr>Asset_Replacement_Yr3_40</vt:lpstr>
      <vt:lpstr>Asset_Replacement_Yr3_41</vt:lpstr>
      <vt:lpstr>Asset_Replacement_Yr3_42</vt:lpstr>
      <vt:lpstr>Asset_Replacement_Yr3_43</vt:lpstr>
      <vt:lpstr>Asset_Replacement_Yr3_44</vt:lpstr>
      <vt:lpstr>Asset_Replacement_Yr3_45</vt:lpstr>
      <vt:lpstr>Asset_Replacement_Yr3_46</vt:lpstr>
      <vt:lpstr>Asset_Replacement_Yr3_47</vt:lpstr>
      <vt:lpstr>Asset_Replacement_Yr3_48</vt:lpstr>
      <vt:lpstr>Asset_Replacement_Yr3_49</vt:lpstr>
      <vt:lpstr>Asset_Replacement_Yr3_5</vt:lpstr>
      <vt:lpstr>Asset_Replacement_Yr3_50</vt:lpstr>
      <vt:lpstr>Asset_Replacement_Yr3_51</vt:lpstr>
      <vt:lpstr>Asset_Replacement_Yr3_52</vt:lpstr>
      <vt:lpstr>Asset_Replacement_Yr3_53</vt:lpstr>
      <vt:lpstr>Asset_Replacement_Yr3_54</vt:lpstr>
      <vt:lpstr>Asset_Replacement_Yr3_55</vt:lpstr>
      <vt:lpstr>Asset_Replacement_Yr3_56</vt:lpstr>
      <vt:lpstr>Asset_Replacement_Yr3_57</vt:lpstr>
      <vt:lpstr>Asset_Replacement_Yr3_58</vt:lpstr>
      <vt:lpstr>Asset_Replacement_Yr3_59</vt:lpstr>
      <vt:lpstr>Asset_Replacement_Yr3_6</vt:lpstr>
      <vt:lpstr>Asset_Replacement_Yr3_60</vt:lpstr>
      <vt:lpstr>Asset_Replacement_Yr3_61</vt:lpstr>
      <vt:lpstr>Asset_Replacement_Yr3_7</vt:lpstr>
      <vt:lpstr>Asset_Replacement_Yr3_8</vt:lpstr>
      <vt:lpstr>Asset_Replacement_Yr3_9</vt:lpstr>
      <vt:lpstr>Asset_Replacement_Yr4_1</vt:lpstr>
      <vt:lpstr>Asset_Replacement_Yr4_10</vt:lpstr>
      <vt:lpstr>Asset_Replacement_Yr4_11</vt:lpstr>
      <vt:lpstr>Asset_Replacement_Yr4_12</vt:lpstr>
      <vt:lpstr>Asset_Replacement_Yr4_13</vt:lpstr>
      <vt:lpstr>Asset_Replacement_Yr4_14</vt:lpstr>
      <vt:lpstr>Asset_Replacement_Yr4_15</vt:lpstr>
      <vt:lpstr>Asset_Replacement_Yr4_16</vt:lpstr>
      <vt:lpstr>Asset_Replacement_Yr4_17</vt:lpstr>
      <vt:lpstr>Asset_Replacement_Yr4_18</vt:lpstr>
      <vt:lpstr>Asset_Replacement_Yr4_19</vt:lpstr>
      <vt:lpstr>Asset_Replacement_Yr4_2</vt:lpstr>
      <vt:lpstr>Asset_Replacement_Yr4_20</vt:lpstr>
      <vt:lpstr>Asset_Replacement_Yr4_21</vt:lpstr>
      <vt:lpstr>Asset_Replacement_Yr4_22</vt:lpstr>
      <vt:lpstr>Asset_Replacement_Yr4_23</vt:lpstr>
      <vt:lpstr>Asset_Replacement_Yr4_24</vt:lpstr>
      <vt:lpstr>Asset_Replacement_Yr4_25</vt:lpstr>
      <vt:lpstr>Asset_Replacement_Yr4_26</vt:lpstr>
      <vt:lpstr>Asset_Replacement_Yr4_27</vt:lpstr>
      <vt:lpstr>Asset_Replacement_Yr4_28</vt:lpstr>
      <vt:lpstr>Asset_Replacement_Yr4_29</vt:lpstr>
      <vt:lpstr>Asset_Replacement_Yr4_3</vt:lpstr>
      <vt:lpstr>Asset_Replacement_Yr4_30</vt:lpstr>
      <vt:lpstr>Asset_Replacement_Yr4_31</vt:lpstr>
      <vt:lpstr>Asset_Replacement_Yr4_32</vt:lpstr>
      <vt:lpstr>Asset_Replacement_Yr4_33</vt:lpstr>
      <vt:lpstr>Asset_Replacement_Yr4_34</vt:lpstr>
      <vt:lpstr>Asset_Replacement_Yr4_35</vt:lpstr>
      <vt:lpstr>Asset_Replacement_Yr4_36</vt:lpstr>
      <vt:lpstr>Asset_Replacement_Yr4_37</vt:lpstr>
      <vt:lpstr>Asset_Replacement_Yr4_38</vt:lpstr>
      <vt:lpstr>Asset_Replacement_Yr4_39</vt:lpstr>
      <vt:lpstr>Asset_Replacement_Yr4_4</vt:lpstr>
      <vt:lpstr>Asset_Replacement_Yr4_40</vt:lpstr>
      <vt:lpstr>Asset_Replacement_Yr4_41</vt:lpstr>
      <vt:lpstr>Asset_Replacement_Yr4_42</vt:lpstr>
      <vt:lpstr>Asset_Replacement_Yr4_43</vt:lpstr>
      <vt:lpstr>Asset_Replacement_Yr4_44</vt:lpstr>
      <vt:lpstr>Asset_Replacement_Yr4_45</vt:lpstr>
      <vt:lpstr>Asset_Replacement_Yr4_46</vt:lpstr>
      <vt:lpstr>Asset_Replacement_Yr4_47</vt:lpstr>
      <vt:lpstr>Asset_Replacement_Yr4_48</vt:lpstr>
      <vt:lpstr>Asset_Replacement_Yr4_49</vt:lpstr>
      <vt:lpstr>Asset_Replacement_Yr4_5</vt:lpstr>
      <vt:lpstr>Asset_Replacement_Yr4_50</vt:lpstr>
      <vt:lpstr>Asset_Replacement_Yr4_51</vt:lpstr>
      <vt:lpstr>Asset_Replacement_Yr4_52</vt:lpstr>
      <vt:lpstr>Asset_Replacement_Yr4_53</vt:lpstr>
      <vt:lpstr>Asset_Replacement_Yr4_54</vt:lpstr>
      <vt:lpstr>Asset_Replacement_Yr4_55</vt:lpstr>
      <vt:lpstr>Asset_Replacement_Yr4_56</vt:lpstr>
      <vt:lpstr>Asset_Replacement_Yr4_57</vt:lpstr>
      <vt:lpstr>Asset_Replacement_Yr4_58</vt:lpstr>
      <vt:lpstr>Asset_Replacement_Yr4_59</vt:lpstr>
      <vt:lpstr>Asset_Replacement_Yr4_6</vt:lpstr>
      <vt:lpstr>Asset_Replacement_Yr4_60</vt:lpstr>
      <vt:lpstr>Asset_Replacement_Yr4_61</vt:lpstr>
      <vt:lpstr>Asset_Replacement_Yr4_7</vt:lpstr>
      <vt:lpstr>Asset_Replacement_Yr4_8</vt:lpstr>
      <vt:lpstr>Asset_Replacement_Yr4_9</vt:lpstr>
      <vt:lpstr>Asset_Replacement_Yr5_1</vt:lpstr>
      <vt:lpstr>Asset_Replacement_Yr5_10</vt:lpstr>
      <vt:lpstr>Asset_Replacement_Yr5_11</vt:lpstr>
      <vt:lpstr>Asset_Replacement_Yr5_12</vt:lpstr>
      <vt:lpstr>Asset_Replacement_Yr5_13</vt:lpstr>
      <vt:lpstr>Asset_Replacement_Yr5_14</vt:lpstr>
      <vt:lpstr>Asset_Replacement_Yr5_15</vt:lpstr>
      <vt:lpstr>Asset_Replacement_Yr5_16</vt:lpstr>
      <vt:lpstr>Asset_Replacement_Yr5_17</vt:lpstr>
      <vt:lpstr>Asset_Replacement_Yr5_18</vt:lpstr>
      <vt:lpstr>Asset_Replacement_Yr5_19</vt:lpstr>
      <vt:lpstr>Asset_Replacement_Yr5_2</vt:lpstr>
      <vt:lpstr>Asset_Replacement_Yr5_20</vt:lpstr>
      <vt:lpstr>Asset_Replacement_Yr5_21</vt:lpstr>
      <vt:lpstr>Asset_Replacement_Yr5_22</vt:lpstr>
      <vt:lpstr>Asset_Replacement_Yr5_23</vt:lpstr>
      <vt:lpstr>Asset_Replacement_Yr5_24</vt:lpstr>
      <vt:lpstr>Asset_Replacement_Yr5_25</vt:lpstr>
      <vt:lpstr>Asset_Replacement_Yr5_26</vt:lpstr>
      <vt:lpstr>Asset_Replacement_Yr5_27</vt:lpstr>
      <vt:lpstr>Asset_Replacement_Yr5_28</vt:lpstr>
      <vt:lpstr>Asset_Replacement_Yr5_29</vt:lpstr>
      <vt:lpstr>Asset_Replacement_Yr5_3</vt:lpstr>
      <vt:lpstr>Asset_Replacement_Yr5_30</vt:lpstr>
      <vt:lpstr>Asset_Replacement_Yr5_31</vt:lpstr>
      <vt:lpstr>Asset_Replacement_Yr5_32</vt:lpstr>
      <vt:lpstr>Asset_Replacement_Yr5_33</vt:lpstr>
      <vt:lpstr>Asset_Replacement_Yr5_34</vt:lpstr>
      <vt:lpstr>Asset_Replacement_Yr5_35</vt:lpstr>
      <vt:lpstr>Asset_Replacement_Yr5_36</vt:lpstr>
      <vt:lpstr>Asset_Replacement_Yr5_37</vt:lpstr>
      <vt:lpstr>Asset_Replacement_Yr5_38</vt:lpstr>
      <vt:lpstr>Asset_Replacement_Yr5_39</vt:lpstr>
      <vt:lpstr>Asset_Replacement_Yr5_4</vt:lpstr>
      <vt:lpstr>Asset_Replacement_Yr5_40</vt:lpstr>
      <vt:lpstr>Asset_Replacement_Yr5_41</vt:lpstr>
      <vt:lpstr>Asset_Replacement_Yr5_42</vt:lpstr>
      <vt:lpstr>Asset_Replacement_Yr5_43</vt:lpstr>
      <vt:lpstr>Asset_Replacement_Yr5_44</vt:lpstr>
      <vt:lpstr>Asset_Replacement_Yr5_45</vt:lpstr>
      <vt:lpstr>Asset_Replacement_Yr5_46</vt:lpstr>
      <vt:lpstr>Asset_Replacement_Yr5_47</vt:lpstr>
      <vt:lpstr>Asset_Replacement_Yr5_48</vt:lpstr>
      <vt:lpstr>Asset_Replacement_Yr5_49</vt:lpstr>
      <vt:lpstr>Asset_Replacement_Yr5_5</vt:lpstr>
      <vt:lpstr>Asset_Replacement_Yr5_50</vt:lpstr>
      <vt:lpstr>Asset_Replacement_Yr5_51</vt:lpstr>
      <vt:lpstr>Asset_Replacement_Yr5_52</vt:lpstr>
      <vt:lpstr>Asset_Replacement_Yr5_53</vt:lpstr>
      <vt:lpstr>Asset_Replacement_Yr5_54</vt:lpstr>
      <vt:lpstr>Asset_Replacement_Yr5_55</vt:lpstr>
      <vt:lpstr>Asset_Replacement_Yr5_56</vt:lpstr>
      <vt:lpstr>Asset_Replacement_Yr5_57</vt:lpstr>
      <vt:lpstr>Asset_Replacement_Yr5_58</vt:lpstr>
      <vt:lpstr>Asset_Replacement_Yr5_59</vt:lpstr>
      <vt:lpstr>Asset_Replacement_Yr5_6</vt:lpstr>
      <vt:lpstr>Asset_Replacement_Yr5_60</vt:lpstr>
      <vt:lpstr>Asset_Replacement_Yr5_61</vt:lpstr>
      <vt:lpstr>Asset_Replacement_Yr5_7</vt:lpstr>
      <vt:lpstr>Asset_Replacement_Yr5_8</vt:lpstr>
      <vt:lpstr>Asset_Replacement_Yr5_9</vt:lpstr>
      <vt:lpstr>AssetReplacement_CurrentYear_yr1_1</vt:lpstr>
      <vt:lpstr>AssetReplacement_CurrentYear_yr1_10</vt:lpstr>
      <vt:lpstr>AssetReplacement_CurrentYear_yr1_11</vt:lpstr>
      <vt:lpstr>AssetReplacement_CurrentYear_yr1_12</vt:lpstr>
      <vt:lpstr>AssetReplacement_CurrentYear_yr1_13</vt:lpstr>
      <vt:lpstr>AssetReplacement_CurrentYear_yr1_14</vt:lpstr>
      <vt:lpstr>AssetReplacement_CurrentYear_yr1_15</vt:lpstr>
      <vt:lpstr>AssetReplacement_CurrentYear_yr1_16</vt:lpstr>
      <vt:lpstr>AssetReplacement_CurrentYear_yr1_17</vt:lpstr>
      <vt:lpstr>AssetReplacement_CurrentYear_yr1_18</vt:lpstr>
      <vt:lpstr>AssetReplacement_CurrentYear_yr1_19</vt:lpstr>
      <vt:lpstr>AssetReplacement_CurrentYear_yr1_2</vt:lpstr>
      <vt:lpstr>AssetReplacement_CurrentYear_yr1_20</vt:lpstr>
      <vt:lpstr>AssetReplacement_CurrentYear_yr1_21</vt:lpstr>
      <vt:lpstr>AssetReplacement_CurrentYear_yr1_22</vt:lpstr>
      <vt:lpstr>AssetReplacement_CurrentYear_yr1_23</vt:lpstr>
      <vt:lpstr>AssetReplacement_CurrentYear_yr1_24</vt:lpstr>
      <vt:lpstr>AssetReplacement_CurrentYear_yr1_25</vt:lpstr>
      <vt:lpstr>AssetReplacement_CurrentYear_yr1_26</vt:lpstr>
      <vt:lpstr>AssetReplacement_CurrentYear_yr1_27</vt:lpstr>
      <vt:lpstr>AssetReplacement_CurrentYear_yr1_28</vt:lpstr>
      <vt:lpstr>AssetReplacement_CurrentYear_yr1_29</vt:lpstr>
      <vt:lpstr>AssetReplacement_CurrentYear_yr1_3</vt:lpstr>
      <vt:lpstr>AssetReplacement_CurrentYear_yr1_30</vt:lpstr>
      <vt:lpstr>AssetReplacement_CurrentYear_yr1_31</vt:lpstr>
      <vt:lpstr>AssetReplacement_CurrentYear_yr1_32</vt:lpstr>
      <vt:lpstr>AssetReplacement_CurrentYear_yr1_33</vt:lpstr>
      <vt:lpstr>AssetReplacement_CurrentYear_yr1_34</vt:lpstr>
      <vt:lpstr>AssetReplacement_CurrentYear_yr1_35</vt:lpstr>
      <vt:lpstr>AssetReplacement_CurrentYear_yr1_36</vt:lpstr>
      <vt:lpstr>AssetReplacement_CurrentYear_yr1_37</vt:lpstr>
      <vt:lpstr>AssetReplacement_CurrentYear_yr1_38</vt:lpstr>
      <vt:lpstr>AssetReplacement_CurrentYear_yr1_39</vt:lpstr>
      <vt:lpstr>AssetReplacement_CurrentYear_yr1_4</vt:lpstr>
      <vt:lpstr>AssetReplacement_CurrentYear_yr1_40</vt:lpstr>
      <vt:lpstr>AssetReplacement_CurrentYear_yr1_41</vt:lpstr>
      <vt:lpstr>AssetReplacement_CurrentYear_yr1_42</vt:lpstr>
      <vt:lpstr>AssetReplacement_CurrentYear_yr1_43</vt:lpstr>
      <vt:lpstr>AssetReplacement_CurrentYear_yr1_44</vt:lpstr>
      <vt:lpstr>AssetReplacement_CurrentYear_yr1_45</vt:lpstr>
      <vt:lpstr>AssetReplacement_CurrentYear_yr1_46</vt:lpstr>
      <vt:lpstr>AssetReplacement_CurrentYear_yr1_47</vt:lpstr>
      <vt:lpstr>AssetReplacement_CurrentYear_yr1_48</vt:lpstr>
      <vt:lpstr>AssetReplacement_CurrentYear_yr1_49</vt:lpstr>
      <vt:lpstr>AssetReplacement_CurrentYear_yr1_5</vt:lpstr>
      <vt:lpstr>AssetReplacement_CurrentYear_yr1_50</vt:lpstr>
      <vt:lpstr>AssetReplacement_CurrentYear_yr1_51</vt:lpstr>
      <vt:lpstr>AssetReplacement_CurrentYear_yr1_52</vt:lpstr>
      <vt:lpstr>AssetReplacement_CurrentYear_yr1_53</vt:lpstr>
      <vt:lpstr>AssetReplacement_CurrentYear_yr1_54</vt:lpstr>
      <vt:lpstr>AssetReplacement_CurrentYear_yr1_55</vt:lpstr>
      <vt:lpstr>AssetReplacement_CurrentYear_yr1_56</vt:lpstr>
      <vt:lpstr>AssetReplacement_CurrentYear_yr1_57</vt:lpstr>
      <vt:lpstr>AssetReplacement_CurrentYear_yr1_58</vt:lpstr>
      <vt:lpstr>AssetReplacement_CurrentYear_yr1_59</vt:lpstr>
      <vt:lpstr>AssetReplacement_CurrentYear_yr1_6</vt:lpstr>
      <vt:lpstr>AssetReplacement_CurrentYear_yr1_60</vt:lpstr>
      <vt:lpstr>AssetReplacement_CurrentYear_yr1_61</vt:lpstr>
      <vt:lpstr>AssetReplacement_CurrentYear_yr1_7</vt:lpstr>
      <vt:lpstr>AssetReplacement_CurrentYear_yr1_8</vt:lpstr>
      <vt:lpstr>AssetReplacement_CurrentYear_yr1_9</vt:lpstr>
      <vt:lpstr>AssetReplacement_CurrentYear_yr2_1</vt:lpstr>
      <vt:lpstr>AssetReplacement_CurrentYear_yr2_10</vt:lpstr>
      <vt:lpstr>AssetReplacement_CurrentYear_yr2_11</vt:lpstr>
      <vt:lpstr>AssetReplacement_CurrentYear_yr2_12</vt:lpstr>
      <vt:lpstr>AssetReplacement_CurrentYear_yr2_13</vt:lpstr>
      <vt:lpstr>AssetReplacement_CurrentYear_yr2_14</vt:lpstr>
      <vt:lpstr>AssetReplacement_CurrentYear_yr2_15</vt:lpstr>
      <vt:lpstr>AssetReplacement_CurrentYear_yr2_16</vt:lpstr>
      <vt:lpstr>AssetReplacement_CurrentYear_yr2_17</vt:lpstr>
      <vt:lpstr>AssetReplacement_CurrentYear_yr2_18</vt:lpstr>
      <vt:lpstr>AssetReplacement_CurrentYear_yr2_19</vt:lpstr>
      <vt:lpstr>AssetReplacement_CurrentYear_yr2_2</vt:lpstr>
      <vt:lpstr>AssetReplacement_CurrentYear_yr2_20</vt:lpstr>
      <vt:lpstr>AssetReplacement_CurrentYear_yr2_21</vt:lpstr>
      <vt:lpstr>AssetReplacement_CurrentYear_yr2_22</vt:lpstr>
      <vt:lpstr>AssetReplacement_CurrentYear_yr2_23</vt:lpstr>
      <vt:lpstr>AssetReplacement_CurrentYear_yr2_24</vt:lpstr>
      <vt:lpstr>AssetReplacement_CurrentYear_yr2_25</vt:lpstr>
      <vt:lpstr>AssetReplacement_CurrentYear_yr2_26</vt:lpstr>
      <vt:lpstr>AssetReplacement_CurrentYear_yr2_27</vt:lpstr>
      <vt:lpstr>AssetReplacement_CurrentYear_yr2_28</vt:lpstr>
      <vt:lpstr>AssetReplacement_CurrentYear_yr2_29</vt:lpstr>
      <vt:lpstr>AssetReplacement_CurrentYear_yr2_3</vt:lpstr>
      <vt:lpstr>AssetReplacement_CurrentYear_yr2_30</vt:lpstr>
      <vt:lpstr>AssetReplacement_CurrentYear_yr2_31</vt:lpstr>
      <vt:lpstr>AssetReplacement_CurrentYear_yr2_32</vt:lpstr>
      <vt:lpstr>AssetReplacement_CurrentYear_yr2_33</vt:lpstr>
      <vt:lpstr>AssetReplacement_CurrentYear_yr2_34</vt:lpstr>
      <vt:lpstr>AssetReplacement_CurrentYear_yr2_35</vt:lpstr>
      <vt:lpstr>AssetReplacement_CurrentYear_yr2_36</vt:lpstr>
      <vt:lpstr>AssetReplacement_CurrentYear_yr2_37</vt:lpstr>
      <vt:lpstr>AssetReplacement_CurrentYear_yr2_38</vt:lpstr>
      <vt:lpstr>AssetReplacement_CurrentYear_yr2_39</vt:lpstr>
      <vt:lpstr>AssetReplacement_CurrentYear_yr2_4</vt:lpstr>
      <vt:lpstr>AssetReplacement_CurrentYear_yr2_40</vt:lpstr>
      <vt:lpstr>AssetReplacement_CurrentYear_yr2_41</vt:lpstr>
      <vt:lpstr>AssetReplacement_CurrentYear_yr2_42</vt:lpstr>
      <vt:lpstr>AssetReplacement_CurrentYear_yr2_43</vt:lpstr>
      <vt:lpstr>AssetReplacement_CurrentYear_yr2_44</vt:lpstr>
      <vt:lpstr>AssetReplacement_CurrentYear_yr2_45</vt:lpstr>
      <vt:lpstr>AssetReplacement_CurrentYear_yr2_46</vt:lpstr>
      <vt:lpstr>AssetReplacement_CurrentYear_yr2_47</vt:lpstr>
      <vt:lpstr>AssetReplacement_CurrentYear_yr2_48</vt:lpstr>
      <vt:lpstr>AssetReplacement_CurrentYear_yr2_49</vt:lpstr>
      <vt:lpstr>AssetReplacement_CurrentYear_yr2_5</vt:lpstr>
      <vt:lpstr>AssetReplacement_CurrentYear_yr2_50</vt:lpstr>
      <vt:lpstr>AssetReplacement_CurrentYear_yr2_51</vt:lpstr>
      <vt:lpstr>AssetReplacement_CurrentYear_yr2_52</vt:lpstr>
      <vt:lpstr>AssetReplacement_CurrentYear_yr2_53</vt:lpstr>
      <vt:lpstr>AssetReplacement_CurrentYear_yr2_54</vt:lpstr>
      <vt:lpstr>AssetReplacement_CurrentYear_yr2_55</vt:lpstr>
      <vt:lpstr>AssetReplacement_CurrentYear_yr2_56</vt:lpstr>
      <vt:lpstr>AssetReplacement_CurrentYear_yr2_57</vt:lpstr>
      <vt:lpstr>AssetReplacement_CurrentYear_yr2_58</vt:lpstr>
      <vt:lpstr>AssetReplacement_CurrentYear_yr2_59</vt:lpstr>
      <vt:lpstr>AssetReplacement_CurrentYear_yr2_6</vt:lpstr>
      <vt:lpstr>AssetReplacement_CurrentYear_yr2_60</vt:lpstr>
      <vt:lpstr>AssetReplacement_CurrentYear_yr2_61</vt:lpstr>
      <vt:lpstr>AssetReplacement_CurrentYear_yr2_7</vt:lpstr>
      <vt:lpstr>AssetReplacement_CurrentYear_yr2_8</vt:lpstr>
      <vt:lpstr>AssetReplacement_CurrentYear_yr2_9</vt:lpstr>
      <vt:lpstr>AssetReplacement_CurrentYear_yr3_1</vt:lpstr>
      <vt:lpstr>AssetReplacement_CurrentYear_yr3_10</vt:lpstr>
      <vt:lpstr>AssetReplacement_CurrentYear_yr3_11</vt:lpstr>
      <vt:lpstr>AssetReplacement_CurrentYear_yr3_12</vt:lpstr>
      <vt:lpstr>AssetReplacement_CurrentYear_yr3_13</vt:lpstr>
      <vt:lpstr>AssetReplacement_CurrentYear_yr3_14</vt:lpstr>
      <vt:lpstr>AssetReplacement_CurrentYear_yr3_15</vt:lpstr>
      <vt:lpstr>AssetReplacement_CurrentYear_yr3_16</vt:lpstr>
      <vt:lpstr>AssetReplacement_CurrentYear_yr3_17</vt:lpstr>
      <vt:lpstr>AssetReplacement_CurrentYear_yr3_18</vt:lpstr>
      <vt:lpstr>AssetReplacement_CurrentYear_yr3_19</vt:lpstr>
      <vt:lpstr>AssetReplacement_CurrentYear_yr3_2</vt:lpstr>
      <vt:lpstr>AssetReplacement_CurrentYear_yr3_20</vt:lpstr>
      <vt:lpstr>AssetReplacement_CurrentYear_yr3_21</vt:lpstr>
      <vt:lpstr>AssetReplacement_CurrentYear_yr3_22</vt:lpstr>
      <vt:lpstr>AssetReplacement_CurrentYear_yr3_23</vt:lpstr>
      <vt:lpstr>AssetReplacement_CurrentYear_yr3_24</vt:lpstr>
      <vt:lpstr>AssetReplacement_CurrentYear_yr3_25</vt:lpstr>
      <vt:lpstr>AssetReplacement_CurrentYear_yr3_26</vt:lpstr>
      <vt:lpstr>AssetReplacement_CurrentYear_yr3_27</vt:lpstr>
      <vt:lpstr>AssetReplacement_CurrentYear_yr3_28</vt:lpstr>
      <vt:lpstr>AssetReplacement_CurrentYear_yr3_29</vt:lpstr>
      <vt:lpstr>AssetReplacement_CurrentYear_yr3_3</vt:lpstr>
      <vt:lpstr>AssetReplacement_CurrentYear_yr3_30</vt:lpstr>
      <vt:lpstr>AssetReplacement_CurrentYear_yr3_31</vt:lpstr>
      <vt:lpstr>AssetReplacement_CurrentYear_yr3_32</vt:lpstr>
      <vt:lpstr>AssetReplacement_CurrentYear_yr3_33</vt:lpstr>
      <vt:lpstr>AssetReplacement_CurrentYear_yr3_34</vt:lpstr>
      <vt:lpstr>AssetReplacement_CurrentYear_yr3_35</vt:lpstr>
      <vt:lpstr>AssetReplacement_CurrentYear_yr3_36</vt:lpstr>
      <vt:lpstr>AssetReplacement_CurrentYear_yr3_37</vt:lpstr>
      <vt:lpstr>AssetReplacement_CurrentYear_yr3_38</vt:lpstr>
      <vt:lpstr>AssetReplacement_CurrentYear_yr3_39</vt:lpstr>
      <vt:lpstr>AssetReplacement_CurrentYear_yr3_4</vt:lpstr>
      <vt:lpstr>AssetReplacement_CurrentYear_yr3_40</vt:lpstr>
      <vt:lpstr>AssetReplacement_CurrentYear_yr3_41</vt:lpstr>
      <vt:lpstr>AssetReplacement_CurrentYear_yr3_42</vt:lpstr>
      <vt:lpstr>AssetReplacement_CurrentYear_yr3_43</vt:lpstr>
      <vt:lpstr>AssetReplacement_CurrentYear_yr3_44</vt:lpstr>
      <vt:lpstr>AssetReplacement_CurrentYear_yr3_45</vt:lpstr>
      <vt:lpstr>AssetReplacement_CurrentYear_yr3_46</vt:lpstr>
      <vt:lpstr>AssetReplacement_CurrentYear_yr3_47</vt:lpstr>
      <vt:lpstr>AssetReplacement_CurrentYear_yr3_48</vt:lpstr>
      <vt:lpstr>AssetReplacement_CurrentYear_yr3_49</vt:lpstr>
      <vt:lpstr>AssetReplacement_CurrentYear_yr3_5</vt:lpstr>
      <vt:lpstr>AssetReplacement_CurrentYear_yr3_50</vt:lpstr>
      <vt:lpstr>AssetReplacement_CurrentYear_yr3_51</vt:lpstr>
      <vt:lpstr>AssetReplacement_CurrentYear_yr3_52</vt:lpstr>
      <vt:lpstr>AssetReplacement_CurrentYear_yr3_53</vt:lpstr>
      <vt:lpstr>AssetReplacement_CurrentYear_yr3_54</vt:lpstr>
      <vt:lpstr>AssetReplacement_CurrentYear_yr3_55</vt:lpstr>
      <vt:lpstr>AssetReplacement_CurrentYear_yr3_56</vt:lpstr>
      <vt:lpstr>AssetReplacement_CurrentYear_yr3_57</vt:lpstr>
      <vt:lpstr>AssetReplacement_CurrentYear_yr3_58</vt:lpstr>
      <vt:lpstr>AssetReplacement_CurrentYear_yr3_59</vt:lpstr>
      <vt:lpstr>AssetReplacement_CurrentYear_yr3_6</vt:lpstr>
      <vt:lpstr>AssetReplacement_CurrentYear_yr3_60</vt:lpstr>
      <vt:lpstr>AssetReplacement_CurrentYear_yr3_61</vt:lpstr>
      <vt:lpstr>AssetReplacement_CurrentYear_yr3_7</vt:lpstr>
      <vt:lpstr>AssetReplacement_CurrentYear_yr3_8</vt:lpstr>
      <vt:lpstr>AssetReplacement_CurrentYear_yr3_9</vt:lpstr>
      <vt:lpstr>AssetReplacement_CurrentYear_yr4_1</vt:lpstr>
      <vt:lpstr>AssetReplacement_CurrentYear_yr4_10</vt:lpstr>
      <vt:lpstr>AssetReplacement_CurrentYear_yr4_11</vt:lpstr>
      <vt:lpstr>AssetReplacement_CurrentYear_yr4_12</vt:lpstr>
      <vt:lpstr>AssetReplacement_CurrentYear_yr4_13</vt:lpstr>
      <vt:lpstr>AssetReplacement_CurrentYear_yr4_14</vt:lpstr>
      <vt:lpstr>AssetReplacement_CurrentYear_yr4_15</vt:lpstr>
      <vt:lpstr>AssetReplacement_CurrentYear_yr4_16</vt:lpstr>
      <vt:lpstr>AssetReplacement_CurrentYear_yr4_17</vt:lpstr>
      <vt:lpstr>AssetReplacement_CurrentYear_yr4_18</vt:lpstr>
      <vt:lpstr>AssetReplacement_CurrentYear_yr4_19</vt:lpstr>
      <vt:lpstr>AssetReplacement_CurrentYear_yr4_2</vt:lpstr>
      <vt:lpstr>AssetReplacement_CurrentYear_yr4_20</vt:lpstr>
      <vt:lpstr>AssetReplacement_CurrentYear_yr4_21</vt:lpstr>
      <vt:lpstr>AssetReplacement_CurrentYear_yr4_22</vt:lpstr>
      <vt:lpstr>AssetReplacement_CurrentYear_yr4_23</vt:lpstr>
      <vt:lpstr>AssetReplacement_CurrentYear_yr4_24</vt:lpstr>
      <vt:lpstr>AssetReplacement_CurrentYear_yr4_25</vt:lpstr>
      <vt:lpstr>AssetReplacement_CurrentYear_yr4_26</vt:lpstr>
      <vt:lpstr>AssetReplacement_CurrentYear_yr4_27</vt:lpstr>
      <vt:lpstr>AssetReplacement_CurrentYear_yr4_28</vt:lpstr>
      <vt:lpstr>AssetReplacement_CurrentYear_yr4_29</vt:lpstr>
      <vt:lpstr>AssetReplacement_CurrentYear_yr4_3</vt:lpstr>
      <vt:lpstr>AssetReplacement_CurrentYear_yr4_30</vt:lpstr>
      <vt:lpstr>AssetReplacement_CurrentYear_yr4_31</vt:lpstr>
      <vt:lpstr>AssetReplacement_CurrentYear_yr4_32</vt:lpstr>
      <vt:lpstr>AssetReplacement_CurrentYear_yr4_33</vt:lpstr>
      <vt:lpstr>AssetReplacement_CurrentYear_yr4_34</vt:lpstr>
      <vt:lpstr>AssetReplacement_CurrentYear_yr4_35</vt:lpstr>
      <vt:lpstr>AssetReplacement_CurrentYear_yr4_36</vt:lpstr>
      <vt:lpstr>AssetReplacement_CurrentYear_yr4_37</vt:lpstr>
      <vt:lpstr>AssetReplacement_CurrentYear_yr4_38</vt:lpstr>
      <vt:lpstr>AssetReplacement_CurrentYear_yr4_39</vt:lpstr>
      <vt:lpstr>AssetReplacement_CurrentYear_yr4_4</vt:lpstr>
      <vt:lpstr>AssetReplacement_CurrentYear_yr4_40</vt:lpstr>
      <vt:lpstr>AssetReplacement_CurrentYear_yr4_41</vt:lpstr>
      <vt:lpstr>AssetReplacement_CurrentYear_yr4_42</vt:lpstr>
      <vt:lpstr>AssetReplacement_CurrentYear_yr4_43</vt:lpstr>
      <vt:lpstr>AssetReplacement_CurrentYear_yr4_44</vt:lpstr>
      <vt:lpstr>AssetReplacement_CurrentYear_yr4_45</vt:lpstr>
      <vt:lpstr>AssetReplacement_CurrentYear_yr4_46</vt:lpstr>
      <vt:lpstr>AssetReplacement_CurrentYear_yr4_47</vt:lpstr>
      <vt:lpstr>AssetReplacement_CurrentYear_yr4_48</vt:lpstr>
      <vt:lpstr>AssetReplacement_CurrentYear_yr4_49</vt:lpstr>
      <vt:lpstr>AssetReplacement_CurrentYear_yr4_5</vt:lpstr>
      <vt:lpstr>AssetReplacement_CurrentYear_yr4_50</vt:lpstr>
      <vt:lpstr>AssetReplacement_CurrentYear_yr4_51</vt:lpstr>
      <vt:lpstr>AssetReplacement_CurrentYear_yr4_52</vt:lpstr>
      <vt:lpstr>AssetReplacement_CurrentYear_yr4_53</vt:lpstr>
      <vt:lpstr>AssetReplacement_CurrentYear_yr4_54</vt:lpstr>
      <vt:lpstr>AssetReplacement_CurrentYear_yr4_55</vt:lpstr>
      <vt:lpstr>AssetReplacement_CurrentYear_yr4_56</vt:lpstr>
      <vt:lpstr>AssetReplacement_CurrentYear_yr4_57</vt:lpstr>
      <vt:lpstr>AssetReplacement_CurrentYear_yr4_58</vt:lpstr>
      <vt:lpstr>AssetReplacement_CurrentYear_yr4_59</vt:lpstr>
      <vt:lpstr>AssetReplacement_CurrentYear_yr4_6</vt:lpstr>
      <vt:lpstr>AssetReplacement_CurrentYear_yr4_60</vt:lpstr>
      <vt:lpstr>AssetReplacement_CurrentYear_yr4_61</vt:lpstr>
      <vt:lpstr>AssetReplacement_CurrentYear_yr4_7</vt:lpstr>
      <vt:lpstr>AssetReplacement_CurrentYear_yr4_8</vt:lpstr>
      <vt:lpstr>AssetReplacement_CurrentYear_yr4_9</vt:lpstr>
      <vt:lpstr>AssetReplacement_CurrentYear_yr5_1</vt:lpstr>
      <vt:lpstr>AssetReplacement_CurrentYear_yr5_10</vt:lpstr>
      <vt:lpstr>AssetReplacement_CurrentYear_yr5_11</vt:lpstr>
      <vt:lpstr>AssetReplacement_CurrentYear_yr5_12</vt:lpstr>
      <vt:lpstr>AssetReplacement_CurrentYear_yr5_13</vt:lpstr>
      <vt:lpstr>AssetReplacement_CurrentYear_yr5_14</vt:lpstr>
      <vt:lpstr>AssetReplacement_CurrentYear_yr5_15</vt:lpstr>
      <vt:lpstr>AssetReplacement_CurrentYear_yr5_16</vt:lpstr>
      <vt:lpstr>AssetReplacement_CurrentYear_yr5_17</vt:lpstr>
      <vt:lpstr>AssetReplacement_CurrentYear_yr5_18</vt:lpstr>
      <vt:lpstr>AssetReplacement_CurrentYear_yr5_19</vt:lpstr>
      <vt:lpstr>AssetReplacement_CurrentYear_yr5_2</vt:lpstr>
      <vt:lpstr>AssetReplacement_CurrentYear_yr5_20</vt:lpstr>
      <vt:lpstr>AssetReplacement_CurrentYear_yr5_21</vt:lpstr>
      <vt:lpstr>AssetReplacement_CurrentYear_yr5_22</vt:lpstr>
      <vt:lpstr>AssetReplacement_CurrentYear_yr5_23</vt:lpstr>
      <vt:lpstr>AssetReplacement_CurrentYear_yr5_24</vt:lpstr>
      <vt:lpstr>AssetReplacement_CurrentYear_yr5_25</vt:lpstr>
      <vt:lpstr>AssetReplacement_CurrentYear_yr5_26</vt:lpstr>
      <vt:lpstr>AssetReplacement_CurrentYear_yr5_27</vt:lpstr>
      <vt:lpstr>AssetReplacement_CurrentYear_yr5_28</vt:lpstr>
      <vt:lpstr>AssetReplacement_CurrentYear_yr5_29</vt:lpstr>
      <vt:lpstr>AssetReplacement_CurrentYear_yr5_3</vt:lpstr>
      <vt:lpstr>AssetReplacement_CurrentYear_yr5_30</vt:lpstr>
      <vt:lpstr>AssetReplacement_CurrentYear_yr5_31</vt:lpstr>
      <vt:lpstr>AssetReplacement_CurrentYear_yr5_32</vt:lpstr>
      <vt:lpstr>AssetReplacement_CurrentYear_yr5_33</vt:lpstr>
      <vt:lpstr>AssetReplacement_CurrentYear_yr5_34</vt:lpstr>
      <vt:lpstr>AssetReplacement_CurrentYear_yr5_35</vt:lpstr>
      <vt:lpstr>AssetReplacement_CurrentYear_yr5_36</vt:lpstr>
      <vt:lpstr>AssetReplacement_CurrentYear_yr5_37</vt:lpstr>
      <vt:lpstr>AssetReplacement_CurrentYear_yr5_38</vt:lpstr>
      <vt:lpstr>AssetReplacement_CurrentYear_yr5_39</vt:lpstr>
      <vt:lpstr>AssetReplacement_CurrentYear_yr5_4</vt:lpstr>
      <vt:lpstr>AssetReplacement_CurrentYear_yr5_40</vt:lpstr>
      <vt:lpstr>AssetReplacement_CurrentYear_yr5_41</vt:lpstr>
      <vt:lpstr>AssetReplacement_CurrentYear_yr5_42</vt:lpstr>
      <vt:lpstr>AssetReplacement_CurrentYear_yr5_43</vt:lpstr>
      <vt:lpstr>AssetReplacement_CurrentYear_yr5_44</vt:lpstr>
      <vt:lpstr>AssetReplacement_CurrentYear_yr5_45</vt:lpstr>
      <vt:lpstr>AssetReplacement_CurrentYear_yr5_46</vt:lpstr>
      <vt:lpstr>AssetReplacement_CurrentYear_yr5_47</vt:lpstr>
      <vt:lpstr>AssetReplacement_CurrentYear_yr5_48</vt:lpstr>
      <vt:lpstr>AssetReplacement_CurrentYear_yr5_49</vt:lpstr>
      <vt:lpstr>AssetReplacement_CurrentYear_yr5_5</vt:lpstr>
      <vt:lpstr>AssetReplacement_CurrentYear_yr5_50</vt:lpstr>
      <vt:lpstr>AssetReplacement_CurrentYear_yr5_51</vt:lpstr>
      <vt:lpstr>AssetReplacement_CurrentYear_yr5_52</vt:lpstr>
      <vt:lpstr>AssetReplacement_CurrentYear_yr5_53</vt:lpstr>
      <vt:lpstr>AssetReplacement_CurrentYear_yr5_54</vt:lpstr>
      <vt:lpstr>AssetReplacement_CurrentYear_yr5_55</vt:lpstr>
      <vt:lpstr>AssetReplacement_CurrentYear_yr5_56</vt:lpstr>
      <vt:lpstr>AssetReplacement_CurrentYear_yr5_57</vt:lpstr>
      <vt:lpstr>AssetReplacement_CurrentYear_yr5_58</vt:lpstr>
      <vt:lpstr>AssetReplacement_CurrentYear_yr5_59</vt:lpstr>
      <vt:lpstr>AssetReplacement_CurrentYear_yr5_6</vt:lpstr>
      <vt:lpstr>AssetReplacement_CurrentYear_yr5_60</vt:lpstr>
      <vt:lpstr>AssetReplacement_CurrentYear_yr5_61</vt:lpstr>
      <vt:lpstr>AssetReplacement_CurrentYear_yr5_7</vt:lpstr>
      <vt:lpstr>AssetReplacement_CurrentYear_yr5_8</vt:lpstr>
      <vt:lpstr>AssetReplacement_CurrentYear_yr5_9</vt:lpstr>
      <vt:lpstr>AssetReplacement_FutureYear_yr1_1</vt:lpstr>
      <vt:lpstr>AssetReplacement_FutureYear_yr1_10</vt:lpstr>
      <vt:lpstr>AssetReplacement_FutureYear_yr1_11</vt:lpstr>
      <vt:lpstr>AssetReplacement_FutureYear_yr1_12</vt:lpstr>
      <vt:lpstr>AssetReplacement_FutureYear_yr1_13</vt:lpstr>
      <vt:lpstr>AssetReplacement_FutureYear_yr1_14</vt:lpstr>
      <vt:lpstr>AssetReplacement_FutureYear_yr1_15</vt:lpstr>
      <vt:lpstr>AssetReplacement_FutureYear_yr1_16</vt:lpstr>
      <vt:lpstr>AssetReplacement_FutureYear_yr1_17</vt:lpstr>
      <vt:lpstr>AssetReplacement_FutureYear_yr1_18</vt:lpstr>
      <vt:lpstr>AssetReplacement_FutureYear_yr1_19</vt:lpstr>
      <vt:lpstr>AssetReplacement_FutureYear_yr1_2</vt:lpstr>
      <vt:lpstr>AssetReplacement_FutureYear_yr1_20</vt:lpstr>
      <vt:lpstr>AssetReplacement_FutureYear_yr1_21</vt:lpstr>
      <vt:lpstr>AssetReplacement_FutureYear_yr1_22</vt:lpstr>
      <vt:lpstr>AssetReplacement_FutureYear_yr1_23</vt:lpstr>
      <vt:lpstr>AssetReplacement_FutureYear_yr1_24</vt:lpstr>
      <vt:lpstr>AssetReplacement_FutureYear_yr1_25</vt:lpstr>
      <vt:lpstr>AssetReplacement_FutureYear_yr1_26</vt:lpstr>
      <vt:lpstr>AssetReplacement_FutureYear_yr1_27</vt:lpstr>
      <vt:lpstr>AssetReplacement_FutureYear_yr1_28</vt:lpstr>
      <vt:lpstr>AssetReplacement_FutureYear_yr1_29</vt:lpstr>
      <vt:lpstr>AssetReplacement_FutureYear_yr1_3</vt:lpstr>
      <vt:lpstr>AssetReplacement_FutureYear_yr1_30</vt:lpstr>
      <vt:lpstr>AssetReplacement_FutureYear_yr1_31</vt:lpstr>
      <vt:lpstr>AssetReplacement_FutureYear_yr1_32</vt:lpstr>
      <vt:lpstr>AssetReplacement_FutureYear_yr1_33</vt:lpstr>
      <vt:lpstr>AssetReplacement_FutureYear_yr1_34</vt:lpstr>
      <vt:lpstr>AssetReplacement_FutureYear_yr1_35</vt:lpstr>
      <vt:lpstr>AssetReplacement_FutureYear_yr1_36</vt:lpstr>
      <vt:lpstr>AssetReplacement_FutureYear_yr1_37</vt:lpstr>
      <vt:lpstr>AssetReplacement_FutureYear_yr1_38</vt:lpstr>
      <vt:lpstr>AssetReplacement_FutureYear_yr1_39</vt:lpstr>
      <vt:lpstr>AssetReplacement_FutureYear_yr1_4</vt:lpstr>
      <vt:lpstr>AssetReplacement_FutureYear_yr1_40</vt:lpstr>
      <vt:lpstr>AssetReplacement_FutureYear_yr1_41</vt:lpstr>
      <vt:lpstr>AssetReplacement_FutureYear_yr1_42</vt:lpstr>
      <vt:lpstr>AssetReplacement_FutureYear_yr1_43</vt:lpstr>
      <vt:lpstr>AssetReplacement_FutureYear_yr1_44</vt:lpstr>
      <vt:lpstr>AssetReplacement_FutureYear_yr1_45</vt:lpstr>
      <vt:lpstr>AssetReplacement_FutureYear_yr1_46</vt:lpstr>
      <vt:lpstr>AssetReplacement_FutureYear_yr1_47</vt:lpstr>
      <vt:lpstr>AssetReplacement_FutureYear_yr1_48</vt:lpstr>
      <vt:lpstr>AssetReplacement_FutureYear_yr1_49</vt:lpstr>
      <vt:lpstr>AssetReplacement_FutureYear_yr1_5</vt:lpstr>
      <vt:lpstr>AssetReplacement_FutureYear_yr1_50</vt:lpstr>
      <vt:lpstr>AssetReplacement_FutureYear_yr1_51</vt:lpstr>
      <vt:lpstr>AssetReplacement_FutureYear_yr1_52</vt:lpstr>
      <vt:lpstr>AssetReplacement_FutureYear_yr1_53</vt:lpstr>
      <vt:lpstr>AssetReplacement_FutureYear_yr1_54</vt:lpstr>
      <vt:lpstr>AssetReplacement_FutureYear_yr1_55</vt:lpstr>
      <vt:lpstr>AssetReplacement_FutureYear_yr1_56</vt:lpstr>
      <vt:lpstr>AssetReplacement_FutureYear_yr1_57</vt:lpstr>
      <vt:lpstr>AssetReplacement_FutureYear_yr1_58</vt:lpstr>
      <vt:lpstr>AssetReplacement_FutureYear_yr1_59</vt:lpstr>
      <vt:lpstr>AssetReplacement_FutureYear_yr1_6</vt:lpstr>
      <vt:lpstr>AssetReplacement_FutureYear_yr1_60</vt:lpstr>
      <vt:lpstr>AssetReplacement_FutureYear_yr1_61</vt:lpstr>
      <vt:lpstr>AssetReplacement_FutureYear_yr1_7</vt:lpstr>
      <vt:lpstr>AssetReplacement_FutureYear_yr1_8</vt:lpstr>
      <vt:lpstr>AssetReplacement_FutureYear_yr1_9</vt:lpstr>
      <vt:lpstr>AssetReplacement_FutureYear_yr2_1</vt:lpstr>
      <vt:lpstr>AssetReplacement_FutureYear_yr2_10</vt:lpstr>
      <vt:lpstr>AssetReplacement_FutureYear_yr2_11</vt:lpstr>
      <vt:lpstr>AssetReplacement_FutureYear_yr2_12</vt:lpstr>
      <vt:lpstr>AssetReplacement_FutureYear_yr2_13</vt:lpstr>
      <vt:lpstr>AssetReplacement_FutureYear_yr2_14</vt:lpstr>
      <vt:lpstr>AssetReplacement_FutureYear_yr2_15</vt:lpstr>
      <vt:lpstr>AssetReplacement_FutureYear_yr2_16</vt:lpstr>
      <vt:lpstr>AssetReplacement_FutureYear_yr2_17</vt:lpstr>
      <vt:lpstr>AssetReplacement_FutureYear_yr2_18</vt:lpstr>
      <vt:lpstr>AssetReplacement_FutureYear_yr2_19</vt:lpstr>
      <vt:lpstr>AssetReplacement_FutureYear_yr2_2</vt:lpstr>
      <vt:lpstr>AssetReplacement_FutureYear_yr2_20</vt:lpstr>
      <vt:lpstr>AssetReplacement_FutureYear_yr2_21</vt:lpstr>
      <vt:lpstr>AssetReplacement_FutureYear_yr2_22</vt:lpstr>
      <vt:lpstr>AssetReplacement_FutureYear_yr2_23</vt:lpstr>
      <vt:lpstr>AssetReplacement_FutureYear_yr2_24</vt:lpstr>
      <vt:lpstr>AssetReplacement_FutureYear_yr2_25</vt:lpstr>
      <vt:lpstr>AssetReplacement_FutureYear_yr2_26</vt:lpstr>
      <vt:lpstr>AssetReplacement_FutureYear_yr2_27</vt:lpstr>
      <vt:lpstr>AssetReplacement_FutureYear_yr2_28</vt:lpstr>
      <vt:lpstr>AssetReplacement_FutureYear_yr2_29</vt:lpstr>
      <vt:lpstr>AssetReplacement_FutureYear_yr2_3</vt:lpstr>
      <vt:lpstr>AssetReplacement_FutureYear_yr2_30</vt:lpstr>
      <vt:lpstr>AssetReplacement_FutureYear_yr2_31</vt:lpstr>
      <vt:lpstr>AssetReplacement_FutureYear_yr2_32</vt:lpstr>
      <vt:lpstr>AssetReplacement_FutureYear_yr2_33</vt:lpstr>
      <vt:lpstr>AssetReplacement_FutureYear_yr2_34</vt:lpstr>
      <vt:lpstr>AssetReplacement_FutureYear_yr2_35</vt:lpstr>
      <vt:lpstr>AssetReplacement_FutureYear_yr2_36</vt:lpstr>
      <vt:lpstr>AssetReplacement_FutureYear_yr2_37</vt:lpstr>
      <vt:lpstr>AssetReplacement_FutureYear_yr2_38</vt:lpstr>
      <vt:lpstr>AssetReplacement_FutureYear_yr2_39</vt:lpstr>
      <vt:lpstr>AssetReplacement_FutureYear_yr2_4</vt:lpstr>
      <vt:lpstr>AssetReplacement_FutureYear_yr2_40</vt:lpstr>
      <vt:lpstr>AssetReplacement_FutureYear_yr2_41</vt:lpstr>
      <vt:lpstr>AssetReplacement_FutureYear_yr2_42</vt:lpstr>
      <vt:lpstr>AssetReplacement_FutureYear_yr2_43</vt:lpstr>
      <vt:lpstr>AssetReplacement_FutureYear_yr2_44</vt:lpstr>
      <vt:lpstr>AssetReplacement_FutureYear_yr2_45</vt:lpstr>
      <vt:lpstr>AssetReplacement_FutureYear_yr2_46</vt:lpstr>
      <vt:lpstr>AssetReplacement_FutureYear_yr2_47</vt:lpstr>
      <vt:lpstr>AssetReplacement_FutureYear_yr2_48</vt:lpstr>
      <vt:lpstr>AssetReplacement_FutureYear_yr2_49</vt:lpstr>
      <vt:lpstr>AssetReplacement_FutureYear_yr2_5</vt:lpstr>
      <vt:lpstr>AssetReplacement_FutureYear_yr2_50</vt:lpstr>
      <vt:lpstr>AssetReplacement_FutureYear_yr2_51</vt:lpstr>
      <vt:lpstr>AssetReplacement_FutureYear_yr2_52</vt:lpstr>
      <vt:lpstr>AssetReplacement_FutureYear_yr2_53</vt:lpstr>
      <vt:lpstr>AssetReplacement_FutureYear_yr2_54</vt:lpstr>
      <vt:lpstr>AssetReplacement_FutureYear_yr2_55</vt:lpstr>
      <vt:lpstr>AssetReplacement_FutureYear_yr2_56</vt:lpstr>
      <vt:lpstr>AssetReplacement_FutureYear_yr2_57</vt:lpstr>
      <vt:lpstr>AssetReplacement_FutureYear_yr2_58</vt:lpstr>
      <vt:lpstr>AssetReplacement_FutureYear_yr2_59</vt:lpstr>
      <vt:lpstr>AssetReplacement_FutureYear_yr2_6</vt:lpstr>
      <vt:lpstr>AssetReplacement_FutureYear_yr2_60</vt:lpstr>
      <vt:lpstr>AssetReplacement_FutureYear_yr2_61</vt:lpstr>
      <vt:lpstr>AssetReplacement_FutureYear_yr2_7</vt:lpstr>
      <vt:lpstr>AssetReplacement_FutureYear_yr2_8</vt:lpstr>
      <vt:lpstr>AssetReplacement_FutureYear_yr2_9</vt:lpstr>
      <vt:lpstr>AssetReplacement_FutureYear_yr3_1</vt:lpstr>
      <vt:lpstr>AssetReplacement_FutureYear_yr3_10</vt:lpstr>
      <vt:lpstr>AssetReplacement_FutureYear_yr3_11</vt:lpstr>
      <vt:lpstr>AssetReplacement_FutureYear_yr3_12</vt:lpstr>
      <vt:lpstr>AssetReplacement_FutureYear_yr3_13</vt:lpstr>
      <vt:lpstr>AssetReplacement_FutureYear_yr3_14</vt:lpstr>
      <vt:lpstr>AssetReplacement_FutureYear_yr3_15</vt:lpstr>
      <vt:lpstr>AssetReplacement_FutureYear_yr3_16</vt:lpstr>
      <vt:lpstr>AssetReplacement_FutureYear_yr3_17</vt:lpstr>
      <vt:lpstr>AssetReplacement_FutureYear_yr3_18</vt:lpstr>
      <vt:lpstr>AssetReplacement_FutureYear_yr3_19</vt:lpstr>
      <vt:lpstr>AssetReplacement_FutureYear_yr3_2</vt:lpstr>
      <vt:lpstr>AssetReplacement_FutureYear_yr3_20</vt:lpstr>
      <vt:lpstr>AssetReplacement_FutureYear_yr3_21</vt:lpstr>
      <vt:lpstr>AssetReplacement_FutureYear_yr3_22</vt:lpstr>
      <vt:lpstr>AssetReplacement_FutureYear_yr3_23</vt:lpstr>
      <vt:lpstr>AssetReplacement_FutureYear_yr3_24</vt:lpstr>
      <vt:lpstr>AssetReplacement_FutureYear_yr3_25</vt:lpstr>
      <vt:lpstr>AssetReplacement_FutureYear_yr3_26</vt:lpstr>
      <vt:lpstr>AssetReplacement_FutureYear_yr3_27</vt:lpstr>
      <vt:lpstr>AssetReplacement_FutureYear_yr3_28</vt:lpstr>
      <vt:lpstr>AssetReplacement_FutureYear_yr3_29</vt:lpstr>
      <vt:lpstr>AssetReplacement_FutureYear_yr3_3</vt:lpstr>
      <vt:lpstr>AssetReplacement_FutureYear_yr3_30</vt:lpstr>
      <vt:lpstr>AssetReplacement_FutureYear_yr3_31</vt:lpstr>
      <vt:lpstr>AssetReplacement_FutureYear_yr3_32</vt:lpstr>
      <vt:lpstr>AssetReplacement_FutureYear_yr3_33</vt:lpstr>
      <vt:lpstr>AssetReplacement_FutureYear_yr3_34</vt:lpstr>
      <vt:lpstr>AssetReplacement_FutureYear_yr3_35</vt:lpstr>
      <vt:lpstr>AssetReplacement_FutureYear_yr3_36</vt:lpstr>
      <vt:lpstr>AssetReplacement_FutureYear_yr3_37</vt:lpstr>
      <vt:lpstr>AssetReplacement_FutureYear_yr3_38</vt:lpstr>
      <vt:lpstr>AssetReplacement_FutureYear_yr3_39</vt:lpstr>
      <vt:lpstr>AssetReplacement_FutureYear_yr3_4</vt:lpstr>
      <vt:lpstr>AssetReplacement_FutureYear_yr3_40</vt:lpstr>
      <vt:lpstr>AssetReplacement_FutureYear_yr3_41</vt:lpstr>
      <vt:lpstr>AssetReplacement_FutureYear_yr3_42</vt:lpstr>
      <vt:lpstr>AssetReplacement_FutureYear_yr3_43</vt:lpstr>
      <vt:lpstr>AssetReplacement_FutureYear_yr3_44</vt:lpstr>
      <vt:lpstr>AssetReplacement_FutureYear_yr3_45</vt:lpstr>
      <vt:lpstr>AssetReplacement_FutureYear_yr3_46</vt:lpstr>
      <vt:lpstr>AssetReplacement_FutureYear_yr3_47</vt:lpstr>
      <vt:lpstr>AssetReplacement_FutureYear_yr3_48</vt:lpstr>
      <vt:lpstr>AssetReplacement_FutureYear_yr3_49</vt:lpstr>
      <vt:lpstr>AssetReplacement_FutureYear_yr3_5</vt:lpstr>
      <vt:lpstr>AssetReplacement_FutureYear_yr3_50</vt:lpstr>
      <vt:lpstr>AssetReplacement_FutureYear_yr3_51</vt:lpstr>
      <vt:lpstr>AssetReplacement_FutureYear_yr3_52</vt:lpstr>
      <vt:lpstr>AssetReplacement_FutureYear_yr3_53</vt:lpstr>
      <vt:lpstr>AssetReplacement_FutureYear_yr3_54</vt:lpstr>
      <vt:lpstr>AssetReplacement_FutureYear_yr3_55</vt:lpstr>
      <vt:lpstr>AssetReplacement_FutureYear_yr3_56</vt:lpstr>
      <vt:lpstr>AssetReplacement_FutureYear_yr3_57</vt:lpstr>
      <vt:lpstr>AssetReplacement_FutureYear_yr3_58</vt:lpstr>
      <vt:lpstr>AssetReplacement_FutureYear_yr3_59</vt:lpstr>
      <vt:lpstr>AssetReplacement_FutureYear_yr3_6</vt:lpstr>
      <vt:lpstr>AssetReplacement_FutureYear_yr3_60</vt:lpstr>
      <vt:lpstr>AssetReplacement_FutureYear_yr3_61</vt:lpstr>
      <vt:lpstr>AssetReplacement_FutureYear_yr3_7</vt:lpstr>
      <vt:lpstr>AssetReplacement_FutureYear_yr3_8</vt:lpstr>
      <vt:lpstr>AssetReplacement_FutureYear_yr3_9</vt:lpstr>
      <vt:lpstr>AssetReplacement_FutureYear_yr4_1</vt:lpstr>
      <vt:lpstr>AssetReplacement_FutureYear_yr4_10</vt:lpstr>
      <vt:lpstr>AssetReplacement_FutureYear_yr4_11</vt:lpstr>
      <vt:lpstr>AssetReplacement_FutureYear_yr4_12</vt:lpstr>
      <vt:lpstr>AssetReplacement_FutureYear_yr4_13</vt:lpstr>
      <vt:lpstr>AssetReplacement_FutureYear_yr4_14</vt:lpstr>
      <vt:lpstr>AssetReplacement_FutureYear_yr4_15</vt:lpstr>
      <vt:lpstr>AssetReplacement_FutureYear_yr4_16</vt:lpstr>
      <vt:lpstr>AssetReplacement_FutureYear_yr4_17</vt:lpstr>
      <vt:lpstr>AssetReplacement_FutureYear_yr4_18</vt:lpstr>
      <vt:lpstr>AssetReplacement_FutureYear_yr4_19</vt:lpstr>
      <vt:lpstr>AssetReplacement_FutureYear_yr4_2</vt:lpstr>
      <vt:lpstr>AssetReplacement_FutureYear_yr4_20</vt:lpstr>
      <vt:lpstr>AssetReplacement_FutureYear_yr4_21</vt:lpstr>
      <vt:lpstr>AssetReplacement_FutureYear_yr4_22</vt:lpstr>
      <vt:lpstr>AssetReplacement_FutureYear_yr4_23</vt:lpstr>
      <vt:lpstr>AssetReplacement_FutureYear_yr4_24</vt:lpstr>
      <vt:lpstr>AssetReplacement_FutureYear_yr4_25</vt:lpstr>
      <vt:lpstr>AssetReplacement_FutureYear_yr4_26</vt:lpstr>
      <vt:lpstr>AssetReplacement_FutureYear_yr4_27</vt:lpstr>
      <vt:lpstr>AssetReplacement_FutureYear_yr4_28</vt:lpstr>
      <vt:lpstr>AssetReplacement_FutureYear_yr4_29</vt:lpstr>
      <vt:lpstr>AssetReplacement_FutureYear_yr4_3</vt:lpstr>
      <vt:lpstr>AssetReplacement_FutureYear_yr4_30</vt:lpstr>
      <vt:lpstr>AssetReplacement_FutureYear_yr4_31</vt:lpstr>
      <vt:lpstr>AssetReplacement_FutureYear_yr4_32</vt:lpstr>
      <vt:lpstr>AssetReplacement_FutureYear_yr4_33</vt:lpstr>
      <vt:lpstr>AssetReplacement_FutureYear_yr4_34</vt:lpstr>
      <vt:lpstr>AssetReplacement_FutureYear_yr4_35</vt:lpstr>
      <vt:lpstr>AssetReplacement_FutureYear_yr4_36</vt:lpstr>
      <vt:lpstr>AssetReplacement_FutureYear_yr4_37</vt:lpstr>
      <vt:lpstr>AssetReplacement_FutureYear_yr4_38</vt:lpstr>
      <vt:lpstr>AssetReplacement_FutureYear_yr4_39</vt:lpstr>
      <vt:lpstr>AssetReplacement_FutureYear_yr4_4</vt:lpstr>
      <vt:lpstr>AssetReplacement_FutureYear_yr4_40</vt:lpstr>
      <vt:lpstr>AssetReplacement_FutureYear_yr4_41</vt:lpstr>
      <vt:lpstr>AssetReplacement_FutureYear_yr4_42</vt:lpstr>
      <vt:lpstr>AssetReplacement_FutureYear_yr4_43</vt:lpstr>
      <vt:lpstr>AssetReplacement_FutureYear_yr4_44</vt:lpstr>
      <vt:lpstr>AssetReplacement_FutureYear_yr4_45</vt:lpstr>
      <vt:lpstr>AssetReplacement_FutureYear_yr4_46</vt:lpstr>
      <vt:lpstr>AssetReplacement_FutureYear_yr4_47</vt:lpstr>
      <vt:lpstr>AssetReplacement_FutureYear_yr4_48</vt:lpstr>
      <vt:lpstr>AssetReplacement_FutureYear_yr4_49</vt:lpstr>
      <vt:lpstr>AssetReplacement_FutureYear_yr4_5</vt:lpstr>
      <vt:lpstr>AssetReplacement_FutureYear_yr4_50</vt:lpstr>
      <vt:lpstr>AssetReplacement_FutureYear_yr4_51</vt:lpstr>
      <vt:lpstr>AssetReplacement_FutureYear_yr4_52</vt:lpstr>
      <vt:lpstr>AssetReplacement_FutureYear_yr4_53</vt:lpstr>
      <vt:lpstr>AssetReplacement_FutureYear_yr4_54</vt:lpstr>
      <vt:lpstr>AssetReplacement_FutureYear_yr4_55</vt:lpstr>
      <vt:lpstr>AssetReplacement_FutureYear_yr4_56</vt:lpstr>
      <vt:lpstr>AssetReplacement_FutureYear_yr4_57</vt:lpstr>
      <vt:lpstr>AssetReplacement_FutureYear_yr4_58</vt:lpstr>
      <vt:lpstr>AssetReplacement_FutureYear_yr4_59</vt:lpstr>
      <vt:lpstr>AssetReplacement_FutureYear_yr4_6</vt:lpstr>
      <vt:lpstr>AssetReplacement_FutureYear_yr4_60</vt:lpstr>
      <vt:lpstr>AssetReplacement_FutureYear_yr4_61</vt:lpstr>
      <vt:lpstr>AssetReplacement_FutureYear_yr4_7</vt:lpstr>
      <vt:lpstr>AssetReplacement_FutureYear_yr4_8</vt:lpstr>
      <vt:lpstr>AssetReplacement_FutureYear_yr4_9</vt:lpstr>
      <vt:lpstr>AssetReplacement_FutureYear_yr5_1</vt:lpstr>
      <vt:lpstr>AssetReplacement_FutureYear_yr5_10</vt:lpstr>
      <vt:lpstr>AssetReplacement_FutureYear_yr5_11</vt:lpstr>
      <vt:lpstr>AssetReplacement_FutureYear_yr5_12</vt:lpstr>
      <vt:lpstr>AssetReplacement_FutureYear_yr5_13</vt:lpstr>
      <vt:lpstr>AssetReplacement_FutureYear_yr5_14</vt:lpstr>
      <vt:lpstr>AssetReplacement_FutureYear_yr5_15</vt:lpstr>
      <vt:lpstr>AssetReplacement_FutureYear_yr5_16</vt:lpstr>
      <vt:lpstr>AssetReplacement_FutureYear_yr5_17</vt:lpstr>
      <vt:lpstr>AssetReplacement_FutureYear_yr5_18</vt:lpstr>
      <vt:lpstr>AssetReplacement_FutureYear_yr5_19</vt:lpstr>
      <vt:lpstr>AssetReplacement_FutureYear_yr5_2</vt:lpstr>
      <vt:lpstr>AssetReplacement_FutureYear_yr5_20</vt:lpstr>
      <vt:lpstr>AssetReplacement_FutureYear_yr5_21</vt:lpstr>
      <vt:lpstr>AssetReplacement_FutureYear_yr5_22</vt:lpstr>
      <vt:lpstr>AssetReplacement_FutureYear_yr5_23</vt:lpstr>
      <vt:lpstr>AssetReplacement_FutureYear_yr5_24</vt:lpstr>
      <vt:lpstr>AssetReplacement_FutureYear_yr5_25</vt:lpstr>
      <vt:lpstr>AssetReplacement_FutureYear_yr5_26</vt:lpstr>
      <vt:lpstr>AssetReplacement_FutureYear_yr5_27</vt:lpstr>
      <vt:lpstr>AssetReplacement_FutureYear_yr5_28</vt:lpstr>
      <vt:lpstr>AssetReplacement_FutureYear_yr5_29</vt:lpstr>
      <vt:lpstr>AssetReplacement_FutureYear_yr5_3</vt:lpstr>
      <vt:lpstr>AssetReplacement_FutureYear_yr5_30</vt:lpstr>
      <vt:lpstr>AssetReplacement_FutureYear_yr5_31</vt:lpstr>
      <vt:lpstr>AssetReplacement_FutureYear_yr5_32</vt:lpstr>
      <vt:lpstr>AssetReplacement_FutureYear_yr5_33</vt:lpstr>
      <vt:lpstr>AssetReplacement_FutureYear_yr5_34</vt:lpstr>
      <vt:lpstr>AssetReplacement_FutureYear_yr5_35</vt:lpstr>
      <vt:lpstr>AssetReplacement_FutureYear_yr5_36</vt:lpstr>
      <vt:lpstr>AssetReplacement_FutureYear_yr5_37</vt:lpstr>
      <vt:lpstr>AssetReplacement_FutureYear_yr5_38</vt:lpstr>
      <vt:lpstr>AssetReplacement_FutureYear_yr5_39</vt:lpstr>
      <vt:lpstr>AssetReplacement_FutureYear_yr5_4</vt:lpstr>
      <vt:lpstr>AssetReplacement_FutureYear_yr5_40</vt:lpstr>
      <vt:lpstr>AssetReplacement_FutureYear_yr5_41</vt:lpstr>
      <vt:lpstr>AssetReplacement_FutureYear_yr5_42</vt:lpstr>
      <vt:lpstr>AssetReplacement_FutureYear_yr5_43</vt:lpstr>
      <vt:lpstr>AssetReplacement_FutureYear_yr5_44</vt:lpstr>
      <vt:lpstr>AssetReplacement_FutureYear_yr5_45</vt:lpstr>
      <vt:lpstr>AssetReplacement_FutureYear_yr5_46</vt:lpstr>
      <vt:lpstr>AssetReplacement_FutureYear_yr5_47</vt:lpstr>
      <vt:lpstr>AssetReplacement_FutureYear_yr5_48</vt:lpstr>
      <vt:lpstr>AssetReplacement_FutureYear_yr5_49</vt:lpstr>
      <vt:lpstr>AssetReplacement_FutureYear_yr5_5</vt:lpstr>
      <vt:lpstr>AssetReplacement_FutureYear_yr5_50</vt:lpstr>
      <vt:lpstr>AssetReplacement_FutureYear_yr5_51</vt:lpstr>
      <vt:lpstr>AssetReplacement_FutureYear_yr5_52</vt:lpstr>
      <vt:lpstr>AssetReplacement_FutureYear_yr5_53</vt:lpstr>
      <vt:lpstr>AssetReplacement_FutureYear_yr5_54</vt:lpstr>
      <vt:lpstr>AssetReplacement_FutureYear_yr5_55</vt:lpstr>
      <vt:lpstr>AssetReplacement_FutureYear_yr5_56</vt:lpstr>
      <vt:lpstr>AssetReplacement_FutureYear_yr5_57</vt:lpstr>
      <vt:lpstr>AssetReplacement_FutureYear_yr5_58</vt:lpstr>
      <vt:lpstr>AssetReplacement_FutureYear_yr5_59</vt:lpstr>
      <vt:lpstr>AssetReplacement_FutureYear_yr5_6</vt:lpstr>
      <vt:lpstr>AssetReplacement_FutureYear_yr5_60</vt:lpstr>
      <vt:lpstr>AssetReplacement_FutureYear_yr5_61</vt:lpstr>
      <vt:lpstr>AssetReplacement_FutureYear_yr5_7</vt:lpstr>
      <vt:lpstr>AssetReplacement_FutureYear_yr5_8</vt:lpstr>
      <vt:lpstr>AssetReplacement_FutureYear_yr5_9</vt:lpstr>
      <vt:lpstr>Data_Cleansing_Yr1_1</vt:lpstr>
      <vt:lpstr>Data_Cleansing_Yr1_10</vt:lpstr>
      <vt:lpstr>Data_Cleansing_Yr1_11</vt:lpstr>
      <vt:lpstr>Data_Cleansing_Yr1_12</vt:lpstr>
      <vt:lpstr>Data_Cleansing_Yr1_13</vt:lpstr>
      <vt:lpstr>Data_Cleansing_Yr1_14</vt:lpstr>
      <vt:lpstr>Data_Cleansing_Yr1_15</vt:lpstr>
      <vt:lpstr>Data_Cleansing_Yr1_16</vt:lpstr>
      <vt:lpstr>Data_Cleansing_Yr1_17</vt:lpstr>
      <vt:lpstr>Data_Cleansing_Yr1_18</vt:lpstr>
      <vt:lpstr>Data_Cleansing_Yr1_19</vt:lpstr>
      <vt:lpstr>Data_Cleansing_Yr1_2</vt:lpstr>
      <vt:lpstr>Data_Cleansing_Yr1_20</vt:lpstr>
      <vt:lpstr>Data_Cleansing_Yr1_21</vt:lpstr>
      <vt:lpstr>Data_Cleansing_Yr1_22</vt:lpstr>
      <vt:lpstr>Data_Cleansing_Yr1_23</vt:lpstr>
      <vt:lpstr>Data_Cleansing_Yr1_24</vt:lpstr>
      <vt:lpstr>Data_Cleansing_Yr1_25</vt:lpstr>
      <vt:lpstr>Data_Cleansing_Yr1_26</vt:lpstr>
      <vt:lpstr>Data_Cleansing_Yr1_27</vt:lpstr>
      <vt:lpstr>Data_Cleansing_Yr1_28</vt:lpstr>
      <vt:lpstr>Data_Cleansing_Yr1_29</vt:lpstr>
      <vt:lpstr>Data_Cleansing_Yr1_3</vt:lpstr>
      <vt:lpstr>Data_Cleansing_Yr1_30</vt:lpstr>
      <vt:lpstr>Data_Cleansing_Yr1_31</vt:lpstr>
      <vt:lpstr>Data_Cleansing_Yr1_32</vt:lpstr>
      <vt:lpstr>Data_Cleansing_Yr1_33</vt:lpstr>
      <vt:lpstr>Data_Cleansing_Yr1_34</vt:lpstr>
      <vt:lpstr>Data_Cleansing_Yr1_35</vt:lpstr>
      <vt:lpstr>Data_Cleansing_Yr1_36</vt:lpstr>
      <vt:lpstr>Data_Cleansing_Yr1_37</vt:lpstr>
      <vt:lpstr>Data_Cleansing_Yr1_38</vt:lpstr>
      <vt:lpstr>Data_Cleansing_Yr1_39</vt:lpstr>
      <vt:lpstr>Data_Cleansing_Yr1_4</vt:lpstr>
      <vt:lpstr>Data_Cleansing_Yr1_40</vt:lpstr>
      <vt:lpstr>Data_Cleansing_Yr1_41</vt:lpstr>
      <vt:lpstr>Data_Cleansing_Yr1_42</vt:lpstr>
      <vt:lpstr>Data_Cleansing_Yr1_43</vt:lpstr>
      <vt:lpstr>Data_Cleansing_Yr1_44</vt:lpstr>
      <vt:lpstr>Data_Cleansing_Yr1_45</vt:lpstr>
      <vt:lpstr>Data_Cleansing_Yr1_46</vt:lpstr>
      <vt:lpstr>Data_Cleansing_Yr1_47</vt:lpstr>
      <vt:lpstr>Data_Cleansing_Yr1_48</vt:lpstr>
      <vt:lpstr>Data_Cleansing_Yr1_49</vt:lpstr>
      <vt:lpstr>Data_Cleansing_Yr1_5</vt:lpstr>
      <vt:lpstr>Data_Cleansing_Yr1_50</vt:lpstr>
      <vt:lpstr>Data_Cleansing_Yr1_51</vt:lpstr>
      <vt:lpstr>Data_Cleansing_Yr1_52</vt:lpstr>
      <vt:lpstr>Data_Cleansing_Yr1_53</vt:lpstr>
      <vt:lpstr>Data_Cleansing_Yr1_54</vt:lpstr>
      <vt:lpstr>Data_Cleansing_Yr1_55</vt:lpstr>
      <vt:lpstr>Data_Cleansing_Yr1_56</vt:lpstr>
      <vt:lpstr>Data_Cleansing_Yr1_57</vt:lpstr>
      <vt:lpstr>Data_Cleansing_Yr1_58</vt:lpstr>
      <vt:lpstr>Data_Cleansing_Yr1_59</vt:lpstr>
      <vt:lpstr>Data_Cleansing_Yr1_6</vt:lpstr>
      <vt:lpstr>Data_Cleansing_Yr1_60</vt:lpstr>
      <vt:lpstr>Data_Cleansing_Yr1_61</vt:lpstr>
      <vt:lpstr>Data_Cleansing_Yr1_7</vt:lpstr>
      <vt:lpstr>Data_Cleansing_Yr1_8</vt:lpstr>
      <vt:lpstr>Data_Cleansing_Yr1_9</vt:lpstr>
      <vt:lpstr>Data_Cleansing_Yr2_1</vt:lpstr>
      <vt:lpstr>Data_Cleansing_Yr2_10</vt:lpstr>
      <vt:lpstr>Data_Cleansing_Yr2_11</vt:lpstr>
      <vt:lpstr>Data_Cleansing_Yr2_12</vt:lpstr>
      <vt:lpstr>Data_Cleansing_Yr2_13</vt:lpstr>
      <vt:lpstr>Data_Cleansing_Yr2_14</vt:lpstr>
      <vt:lpstr>Data_Cleansing_Yr2_15</vt:lpstr>
      <vt:lpstr>Data_Cleansing_Yr2_16</vt:lpstr>
      <vt:lpstr>Data_Cleansing_Yr2_17</vt:lpstr>
      <vt:lpstr>Data_Cleansing_Yr2_18</vt:lpstr>
      <vt:lpstr>Data_Cleansing_Yr2_19</vt:lpstr>
      <vt:lpstr>Data_Cleansing_Yr2_2</vt:lpstr>
      <vt:lpstr>Data_Cleansing_Yr2_20</vt:lpstr>
      <vt:lpstr>Data_Cleansing_Yr2_21</vt:lpstr>
      <vt:lpstr>Data_Cleansing_Yr2_22</vt:lpstr>
      <vt:lpstr>Data_Cleansing_Yr2_23</vt:lpstr>
      <vt:lpstr>Data_Cleansing_Yr2_24</vt:lpstr>
      <vt:lpstr>Data_Cleansing_Yr2_25</vt:lpstr>
      <vt:lpstr>Data_Cleansing_Yr2_26</vt:lpstr>
      <vt:lpstr>Data_Cleansing_Yr2_27</vt:lpstr>
      <vt:lpstr>Data_Cleansing_Yr2_28</vt:lpstr>
      <vt:lpstr>Data_Cleansing_Yr2_29</vt:lpstr>
      <vt:lpstr>Data_Cleansing_Yr2_3</vt:lpstr>
      <vt:lpstr>Data_Cleansing_Yr2_30</vt:lpstr>
      <vt:lpstr>Data_Cleansing_Yr2_31</vt:lpstr>
      <vt:lpstr>Data_Cleansing_Yr2_32</vt:lpstr>
      <vt:lpstr>Data_Cleansing_Yr2_33</vt:lpstr>
      <vt:lpstr>Data_Cleansing_Yr2_34</vt:lpstr>
      <vt:lpstr>Data_Cleansing_Yr2_35</vt:lpstr>
      <vt:lpstr>Data_Cleansing_Yr2_36</vt:lpstr>
      <vt:lpstr>Data_Cleansing_Yr2_37</vt:lpstr>
      <vt:lpstr>Data_Cleansing_Yr2_38</vt:lpstr>
      <vt:lpstr>Data_Cleansing_Yr2_39</vt:lpstr>
      <vt:lpstr>Data_Cleansing_Yr2_4</vt:lpstr>
      <vt:lpstr>Data_Cleansing_Yr2_40</vt:lpstr>
      <vt:lpstr>Data_Cleansing_Yr2_41</vt:lpstr>
      <vt:lpstr>Data_Cleansing_Yr2_42</vt:lpstr>
      <vt:lpstr>Data_Cleansing_Yr2_43</vt:lpstr>
      <vt:lpstr>Data_Cleansing_Yr2_44</vt:lpstr>
      <vt:lpstr>Data_Cleansing_Yr2_45</vt:lpstr>
      <vt:lpstr>Data_Cleansing_Yr2_46</vt:lpstr>
      <vt:lpstr>Data_Cleansing_Yr2_47</vt:lpstr>
      <vt:lpstr>Data_Cleansing_Yr2_48</vt:lpstr>
      <vt:lpstr>Data_Cleansing_Yr2_49</vt:lpstr>
      <vt:lpstr>Data_Cleansing_Yr2_5</vt:lpstr>
      <vt:lpstr>Data_Cleansing_Yr2_50</vt:lpstr>
      <vt:lpstr>Data_Cleansing_Yr2_51</vt:lpstr>
      <vt:lpstr>Data_Cleansing_Yr2_52</vt:lpstr>
      <vt:lpstr>Data_Cleansing_Yr2_53</vt:lpstr>
      <vt:lpstr>Data_Cleansing_Yr2_54</vt:lpstr>
      <vt:lpstr>Data_Cleansing_Yr2_55</vt:lpstr>
      <vt:lpstr>Data_Cleansing_Yr2_56</vt:lpstr>
      <vt:lpstr>Data_Cleansing_Yr2_57</vt:lpstr>
      <vt:lpstr>Data_Cleansing_Yr2_58</vt:lpstr>
      <vt:lpstr>Data_Cleansing_Yr2_59</vt:lpstr>
      <vt:lpstr>Data_Cleansing_Yr2_6</vt:lpstr>
      <vt:lpstr>Data_Cleansing_Yr2_60</vt:lpstr>
      <vt:lpstr>Data_Cleansing_Yr2_61</vt:lpstr>
      <vt:lpstr>Data_Cleansing_Yr2_7</vt:lpstr>
      <vt:lpstr>Data_Cleansing_Yr2_8</vt:lpstr>
      <vt:lpstr>Data_Cleansing_Yr2_9</vt:lpstr>
      <vt:lpstr>Data_Cleansing_Yr3_1</vt:lpstr>
      <vt:lpstr>Data_Cleansing_Yr3_10</vt:lpstr>
      <vt:lpstr>Data_Cleansing_Yr3_11</vt:lpstr>
      <vt:lpstr>Data_Cleansing_Yr3_12</vt:lpstr>
      <vt:lpstr>Data_Cleansing_Yr3_13</vt:lpstr>
      <vt:lpstr>Data_Cleansing_Yr3_14</vt:lpstr>
      <vt:lpstr>Data_Cleansing_Yr3_15</vt:lpstr>
      <vt:lpstr>Data_Cleansing_Yr3_16</vt:lpstr>
      <vt:lpstr>Data_Cleansing_Yr3_17</vt:lpstr>
      <vt:lpstr>Data_Cleansing_Yr3_18</vt:lpstr>
      <vt:lpstr>Data_Cleansing_Yr3_19</vt:lpstr>
      <vt:lpstr>Data_Cleansing_Yr3_2</vt:lpstr>
      <vt:lpstr>Data_Cleansing_Yr3_20</vt:lpstr>
      <vt:lpstr>Data_Cleansing_Yr3_21</vt:lpstr>
      <vt:lpstr>Data_Cleansing_Yr3_22</vt:lpstr>
      <vt:lpstr>Data_Cleansing_Yr3_23</vt:lpstr>
      <vt:lpstr>Data_Cleansing_Yr3_24</vt:lpstr>
      <vt:lpstr>Data_Cleansing_Yr3_25</vt:lpstr>
      <vt:lpstr>Data_Cleansing_Yr3_26</vt:lpstr>
      <vt:lpstr>Data_Cleansing_Yr3_27</vt:lpstr>
      <vt:lpstr>Data_Cleansing_Yr3_28</vt:lpstr>
      <vt:lpstr>Data_Cleansing_Yr3_29</vt:lpstr>
      <vt:lpstr>Data_Cleansing_Yr3_3</vt:lpstr>
      <vt:lpstr>Data_Cleansing_Yr3_30</vt:lpstr>
      <vt:lpstr>Data_Cleansing_Yr3_31</vt:lpstr>
      <vt:lpstr>Data_Cleansing_Yr3_32</vt:lpstr>
      <vt:lpstr>Data_Cleansing_Yr3_33</vt:lpstr>
      <vt:lpstr>Data_Cleansing_Yr3_34</vt:lpstr>
      <vt:lpstr>Data_Cleansing_Yr3_35</vt:lpstr>
      <vt:lpstr>Data_Cleansing_Yr3_36</vt:lpstr>
      <vt:lpstr>Data_Cleansing_Yr3_37</vt:lpstr>
      <vt:lpstr>Data_Cleansing_Yr3_38</vt:lpstr>
      <vt:lpstr>Data_Cleansing_Yr3_39</vt:lpstr>
      <vt:lpstr>Data_Cleansing_Yr3_4</vt:lpstr>
      <vt:lpstr>Data_Cleansing_Yr3_40</vt:lpstr>
      <vt:lpstr>Data_Cleansing_Yr3_41</vt:lpstr>
      <vt:lpstr>Data_Cleansing_Yr3_42</vt:lpstr>
      <vt:lpstr>Data_Cleansing_Yr3_43</vt:lpstr>
      <vt:lpstr>Data_Cleansing_Yr3_44</vt:lpstr>
      <vt:lpstr>Data_Cleansing_Yr3_45</vt:lpstr>
      <vt:lpstr>Data_Cleansing_Yr3_46</vt:lpstr>
      <vt:lpstr>Data_Cleansing_Yr3_47</vt:lpstr>
      <vt:lpstr>Data_Cleansing_Yr3_48</vt:lpstr>
      <vt:lpstr>Data_Cleansing_Yr3_49</vt:lpstr>
      <vt:lpstr>Data_Cleansing_Yr3_5</vt:lpstr>
      <vt:lpstr>Data_Cleansing_Yr3_50</vt:lpstr>
      <vt:lpstr>Data_Cleansing_Yr3_51</vt:lpstr>
      <vt:lpstr>Data_Cleansing_Yr3_52</vt:lpstr>
      <vt:lpstr>Data_Cleansing_Yr3_53</vt:lpstr>
      <vt:lpstr>Data_Cleansing_Yr3_54</vt:lpstr>
      <vt:lpstr>Data_Cleansing_Yr3_55</vt:lpstr>
      <vt:lpstr>Data_Cleansing_Yr3_56</vt:lpstr>
      <vt:lpstr>Data_Cleansing_Yr3_57</vt:lpstr>
      <vt:lpstr>Data_Cleansing_Yr3_58</vt:lpstr>
      <vt:lpstr>Data_Cleansing_Yr3_59</vt:lpstr>
      <vt:lpstr>Data_Cleansing_Yr3_6</vt:lpstr>
      <vt:lpstr>Data_Cleansing_Yr3_60</vt:lpstr>
      <vt:lpstr>Data_Cleansing_Yr3_61</vt:lpstr>
      <vt:lpstr>Data_Cleansing_Yr3_7</vt:lpstr>
      <vt:lpstr>Data_Cleansing_Yr3_8</vt:lpstr>
      <vt:lpstr>Data_Cleansing_Yr3_9</vt:lpstr>
      <vt:lpstr>Data_Cleansing_Yr4_1</vt:lpstr>
      <vt:lpstr>Data_Cleansing_Yr4_10</vt:lpstr>
      <vt:lpstr>Data_Cleansing_Yr4_11</vt:lpstr>
      <vt:lpstr>Data_Cleansing_Yr4_12</vt:lpstr>
      <vt:lpstr>Data_Cleansing_Yr4_13</vt:lpstr>
      <vt:lpstr>Data_Cleansing_Yr4_14</vt:lpstr>
      <vt:lpstr>Data_Cleansing_Yr4_15</vt:lpstr>
      <vt:lpstr>Data_Cleansing_Yr4_16</vt:lpstr>
      <vt:lpstr>Data_Cleansing_Yr4_17</vt:lpstr>
      <vt:lpstr>Data_Cleansing_Yr4_18</vt:lpstr>
      <vt:lpstr>Data_Cleansing_Yr4_19</vt:lpstr>
      <vt:lpstr>Data_Cleansing_Yr4_2</vt:lpstr>
      <vt:lpstr>Data_Cleansing_Yr4_20</vt:lpstr>
      <vt:lpstr>Data_Cleansing_Yr4_21</vt:lpstr>
      <vt:lpstr>Data_Cleansing_Yr4_22</vt:lpstr>
      <vt:lpstr>Data_Cleansing_Yr4_23</vt:lpstr>
      <vt:lpstr>Data_Cleansing_Yr4_24</vt:lpstr>
      <vt:lpstr>Data_Cleansing_Yr4_25</vt:lpstr>
      <vt:lpstr>Data_Cleansing_Yr4_26</vt:lpstr>
      <vt:lpstr>Data_Cleansing_Yr4_27</vt:lpstr>
      <vt:lpstr>Data_Cleansing_Yr4_28</vt:lpstr>
      <vt:lpstr>Data_Cleansing_Yr4_29</vt:lpstr>
      <vt:lpstr>Data_Cleansing_Yr4_3</vt:lpstr>
      <vt:lpstr>Data_Cleansing_Yr4_30</vt:lpstr>
      <vt:lpstr>Data_Cleansing_Yr4_31</vt:lpstr>
      <vt:lpstr>Data_Cleansing_Yr4_32</vt:lpstr>
      <vt:lpstr>Data_Cleansing_Yr4_33</vt:lpstr>
      <vt:lpstr>Data_Cleansing_Yr4_34</vt:lpstr>
      <vt:lpstr>Data_Cleansing_Yr4_35</vt:lpstr>
      <vt:lpstr>Data_Cleansing_Yr4_36</vt:lpstr>
      <vt:lpstr>Data_Cleansing_Yr4_37</vt:lpstr>
      <vt:lpstr>Data_Cleansing_Yr4_38</vt:lpstr>
      <vt:lpstr>Data_Cleansing_Yr4_39</vt:lpstr>
      <vt:lpstr>Data_Cleansing_Yr4_4</vt:lpstr>
      <vt:lpstr>Data_Cleansing_Yr4_40</vt:lpstr>
      <vt:lpstr>Data_Cleansing_Yr4_41</vt:lpstr>
      <vt:lpstr>Data_Cleansing_Yr4_42</vt:lpstr>
      <vt:lpstr>Data_Cleansing_Yr4_43</vt:lpstr>
      <vt:lpstr>Data_Cleansing_Yr4_44</vt:lpstr>
      <vt:lpstr>Data_Cleansing_Yr4_45</vt:lpstr>
      <vt:lpstr>Data_Cleansing_Yr4_46</vt:lpstr>
      <vt:lpstr>Data_Cleansing_Yr4_47</vt:lpstr>
      <vt:lpstr>Data_Cleansing_Yr4_48</vt:lpstr>
      <vt:lpstr>Data_Cleansing_Yr4_49</vt:lpstr>
      <vt:lpstr>Data_Cleansing_Yr4_5</vt:lpstr>
      <vt:lpstr>Data_Cleansing_Yr4_50</vt:lpstr>
      <vt:lpstr>Data_Cleansing_Yr4_51</vt:lpstr>
      <vt:lpstr>Data_Cleansing_Yr4_52</vt:lpstr>
      <vt:lpstr>Data_Cleansing_Yr4_53</vt:lpstr>
      <vt:lpstr>Data_Cleansing_Yr4_54</vt:lpstr>
      <vt:lpstr>Data_Cleansing_Yr4_55</vt:lpstr>
      <vt:lpstr>Data_Cleansing_Yr4_56</vt:lpstr>
      <vt:lpstr>Data_Cleansing_Yr4_57</vt:lpstr>
      <vt:lpstr>Data_Cleansing_Yr4_58</vt:lpstr>
      <vt:lpstr>Data_Cleansing_Yr4_59</vt:lpstr>
      <vt:lpstr>Data_Cleansing_Yr4_6</vt:lpstr>
      <vt:lpstr>Data_Cleansing_Yr4_60</vt:lpstr>
      <vt:lpstr>Data_Cleansing_Yr4_61</vt:lpstr>
      <vt:lpstr>Data_Cleansing_Yr4_7</vt:lpstr>
      <vt:lpstr>Data_Cleansing_Yr4_8</vt:lpstr>
      <vt:lpstr>Data_Cleansing_Yr4_9</vt:lpstr>
      <vt:lpstr>Data_Cleansing_Yr5_1</vt:lpstr>
      <vt:lpstr>Data_Cleansing_Yr5_10</vt:lpstr>
      <vt:lpstr>Data_Cleansing_Yr5_11</vt:lpstr>
      <vt:lpstr>Data_Cleansing_Yr5_12</vt:lpstr>
      <vt:lpstr>Data_Cleansing_Yr5_13</vt:lpstr>
      <vt:lpstr>Data_Cleansing_Yr5_14</vt:lpstr>
      <vt:lpstr>Data_Cleansing_Yr5_15</vt:lpstr>
      <vt:lpstr>Data_Cleansing_Yr5_16</vt:lpstr>
      <vt:lpstr>Data_Cleansing_Yr5_17</vt:lpstr>
      <vt:lpstr>Data_Cleansing_Yr5_18</vt:lpstr>
      <vt:lpstr>Data_Cleansing_Yr5_19</vt:lpstr>
      <vt:lpstr>Data_Cleansing_Yr5_2</vt:lpstr>
      <vt:lpstr>Data_Cleansing_Yr5_20</vt:lpstr>
      <vt:lpstr>Data_Cleansing_Yr5_21</vt:lpstr>
      <vt:lpstr>Data_Cleansing_Yr5_22</vt:lpstr>
      <vt:lpstr>Data_Cleansing_Yr5_23</vt:lpstr>
      <vt:lpstr>Data_Cleansing_Yr5_24</vt:lpstr>
      <vt:lpstr>Data_Cleansing_Yr5_25</vt:lpstr>
      <vt:lpstr>Data_Cleansing_Yr5_26</vt:lpstr>
      <vt:lpstr>Data_Cleansing_Yr5_27</vt:lpstr>
      <vt:lpstr>Data_Cleansing_Yr5_28</vt:lpstr>
      <vt:lpstr>Data_Cleansing_Yr5_29</vt:lpstr>
      <vt:lpstr>Data_Cleansing_Yr5_3</vt:lpstr>
      <vt:lpstr>Data_Cleansing_Yr5_30</vt:lpstr>
      <vt:lpstr>Data_Cleansing_Yr5_31</vt:lpstr>
      <vt:lpstr>Data_Cleansing_Yr5_32</vt:lpstr>
      <vt:lpstr>Data_Cleansing_Yr5_33</vt:lpstr>
      <vt:lpstr>Data_Cleansing_Yr5_34</vt:lpstr>
      <vt:lpstr>Data_Cleansing_Yr5_35</vt:lpstr>
      <vt:lpstr>Data_Cleansing_Yr5_36</vt:lpstr>
      <vt:lpstr>Data_Cleansing_Yr5_37</vt:lpstr>
      <vt:lpstr>Data_Cleansing_Yr5_38</vt:lpstr>
      <vt:lpstr>Data_Cleansing_Yr5_39</vt:lpstr>
      <vt:lpstr>Data_Cleansing_Yr5_4</vt:lpstr>
      <vt:lpstr>Data_Cleansing_Yr5_40</vt:lpstr>
      <vt:lpstr>Data_Cleansing_Yr5_41</vt:lpstr>
      <vt:lpstr>Data_Cleansing_Yr5_42</vt:lpstr>
      <vt:lpstr>Data_Cleansing_Yr5_43</vt:lpstr>
      <vt:lpstr>Data_Cleansing_Yr5_44</vt:lpstr>
      <vt:lpstr>Data_Cleansing_Yr5_45</vt:lpstr>
      <vt:lpstr>Data_Cleansing_Yr5_46</vt:lpstr>
      <vt:lpstr>Data_Cleansing_Yr5_47</vt:lpstr>
      <vt:lpstr>Data_Cleansing_Yr5_48</vt:lpstr>
      <vt:lpstr>Data_Cleansing_Yr5_49</vt:lpstr>
      <vt:lpstr>Data_Cleansing_Yr5_5</vt:lpstr>
      <vt:lpstr>Data_Cleansing_Yr5_50</vt:lpstr>
      <vt:lpstr>Data_Cleansing_Yr5_51</vt:lpstr>
      <vt:lpstr>Data_Cleansing_Yr5_52</vt:lpstr>
      <vt:lpstr>Data_Cleansing_Yr5_53</vt:lpstr>
      <vt:lpstr>Data_Cleansing_Yr5_54</vt:lpstr>
      <vt:lpstr>Data_Cleansing_Yr5_55</vt:lpstr>
      <vt:lpstr>Data_Cleansing_Yr5_56</vt:lpstr>
      <vt:lpstr>Data_Cleansing_Yr5_57</vt:lpstr>
      <vt:lpstr>Data_Cleansing_Yr5_58</vt:lpstr>
      <vt:lpstr>Data_Cleansing_Yr5_59</vt:lpstr>
      <vt:lpstr>Data_Cleansing_Yr5_6</vt:lpstr>
      <vt:lpstr>Data_Cleansing_Yr5_60</vt:lpstr>
      <vt:lpstr>Data_Cleansing_Yr5_61</vt:lpstr>
      <vt:lpstr>Data_Cleansing_Yr5_7</vt:lpstr>
      <vt:lpstr>Data_Cleansing_Yr5_8</vt:lpstr>
      <vt:lpstr>Data_Cleansing_Yr5_9</vt:lpstr>
      <vt:lpstr>DataCleansingYr1</vt:lpstr>
      <vt:lpstr>Deterioration_total_Yr1_1</vt:lpstr>
      <vt:lpstr>Deterioration_total_Yr1_10</vt:lpstr>
      <vt:lpstr>Deterioration_total_Yr1_11</vt:lpstr>
      <vt:lpstr>Deterioration_total_Yr1_12</vt:lpstr>
      <vt:lpstr>Deterioration_total_Yr1_13</vt:lpstr>
      <vt:lpstr>Deterioration_total_Yr1_14</vt:lpstr>
      <vt:lpstr>Deterioration_total_Yr1_15</vt:lpstr>
      <vt:lpstr>Deterioration_total_Yr1_16</vt:lpstr>
      <vt:lpstr>Deterioration_total_Yr1_17</vt:lpstr>
      <vt:lpstr>Deterioration_total_Yr1_18</vt:lpstr>
      <vt:lpstr>Deterioration_total_Yr1_19</vt:lpstr>
      <vt:lpstr>Deterioration_total_Yr1_2</vt:lpstr>
      <vt:lpstr>Deterioration_total_Yr1_20</vt:lpstr>
      <vt:lpstr>Deterioration_total_Yr1_21</vt:lpstr>
      <vt:lpstr>Deterioration_total_Yr1_22</vt:lpstr>
      <vt:lpstr>Deterioration_total_Yr1_23</vt:lpstr>
      <vt:lpstr>Deterioration_total_Yr1_24</vt:lpstr>
      <vt:lpstr>Deterioration_total_Yr1_25</vt:lpstr>
      <vt:lpstr>Deterioration_total_Yr1_26</vt:lpstr>
      <vt:lpstr>Deterioration_total_Yr1_27</vt:lpstr>
      <vt:lpstr>Deterioration_total_Yr1_28</vt:lpstr>
      <vt:lpstr>Deterioration_total_Yr1_29</vt:lpstr>
      <vt:lpstr>Deterioration_total_Yr1_3</vt:lpstr>
      <vt:lpstr>Deterioration_total_Yr1_30</vt:lpstr>
      <vt:lpstr>Deterioration_total_Yr1_31</vt:lpstr>
      <vt:lpstr>Deterioration_total_Yr1_32</vt:lpstr>
      <vt:lpstr>Deterioration_total_Yr1_33</vt:lpstr>
      <vt:lpstr>Deterioration_total_Yr1_34</vt:lpstr>
      <vt:lpstr>Deterioration_total_Yr1_35</vt:lpstr>
      <vt:lpstr>Deterioration_total_Yr1_36</vt:lpstr>
      <vt:lpstr>Deterioration_total_Yr1_37</vt:lpstr>
      <vt:lpstr>Deterioration_total_Yr1_38</vt:lpstr>
      <vt:lpstr>Deterioration_total_Yr1_39</vt:lpstr>
      <vt:lpstr>Deterioration_total_Yr1_4</vt:lpstr>
      <vt:lpstr>Deterioration_total_Yr1_40</vt:lpstr>
      <vt:lpstr>Deterioration_total_Yr1_41</vt:lpstr>
      <vt:lpstr>Deterioration_total_Yr1_42</vt:lpstr>
      <vt:lpstr>Deterioration_total_Yr1_43</vt:lpstr>
      <vt:lpstr>Deterioration_total_Yr1_44</vt:lpstr>
      <vt:lpstr>Deterioration_total_Yr1_45</vt:lpstr>
      <vt:lpstr>Deterioration_total_Yr1_46</vt:lpstr>
      <vt:lpstr>Deterioration_total_Yr1_47</vt:lpstr>
      <vt:lpstr>Deterioration_total_Yr1_48</vt:lpstr>
      <vt:lpstr>Deterioration_total_Yr1_49</vt:lpstr>
      <vt:lpstr>Deterioration_total_Yr1_5</vt:lpstr>
      <vt:lpstr>Deterioration_total_Yr1_50</vt:lpstr>
      <vt:lpstr>Deterioration_total_Yr1_51</vt:lpstr>
      <vt:lpstr>Deterioration_total_Yr1_52</vt:lpstr>
      <vt:lpstr>Deterioration_total_Yr1_53</vt:lpstr>
      <vt:lpstr>Deterioration_total_Yr1_54</vt:lpstr>
      <vt:lpstr>Deterioration_total_Yr1_55</vt:lpstr>
      <vt:lpstr>Deterioration_total_Yr1_56</vt:lpstr>
      <vt:lpstr>Deterioration_total_Yr1_57</vt:lpstr>
      <vt:lpstr>Deterioration_total_Yr1_58</vt:lpstr>
      <vt:lpstr>Deterioration_total_Yr1_59</vt:lpstr>
      <vt:lpstr>Deterioration_total_Yr1_6</vt:lpstr>
      <vt:lpstr>Deterioration_total_Yr1_60</vt:lpstr>
      <vt:lpstr>Deterioration_total_Yr1_61</vt:lpstr>
      <vt:lpstr>Deterioration_total_Yr1_7</vt:lpstr>
      <vt:lpstr>Deterioration_total_Yr1_8</vt:lpstr>
      <vt:lpstr>Deterioration_total_Yr1_9</vt:lpstr>
      <vt:lpstr>Deterioration_total_Yr2_1</vt:lpstr>
      <vt:lpstr>Deterioration_total_Yr2_10</vt:lpstr>
      <vt:lpstr>Deterioration_total_Yr2_11</vt:lpstr>
      <vt:lpstr>Deterioration_total_Yr2_12</vt:lpstr>
      <vt:lpstr>Deterioration_total_Yr2_13</vt:lpstr>
      <vt:lpstr>Deterioration_total_Yr2_14</vt:lpstr>
      <vt:lpstr>Deterioration_total_Yr2_15</vt:lpstr>
      <vt:lpstr>Deterioration_total_Yr2_16</vt:lpstr>
      <vt:lpstr>Deterioration_total_Yr2_17</vt:lpstr>
      <vt:lpstr>Deterioration_total_Yr2_18</vt:lpstr>
      <vt:lpstr>Deterioration_total_Yr2_19</vt:lpstr>
      <vt:lpstr>Deterioration_total_Yr2_2</vt:lpstr>
      <vt:lpstr>Deterioration_total_Yr2_20</vt:lpstr>
      <vt:lpstr>Deterioration_total_Yr2_21</vt:lpstr>
      <vt:lpstr>Deterioration_total_Yr2_22</vt:lpstr>
      <vt:lpstr>Deterioration_total_Yr2_23</vt:lpstr>
      <vt:lpstr>Deterioration_total_Yr2_24</vt:lpstr>
      <vt:lpstr>Deterioration_total_Yr2_25</vt:lpstr>
      <vt:lpstr>Deterioration_total_Yr2_26</vt:lpstr>
      <vt:lpstr>Deterioration_total_Yr2_27</vt:lpstr>
      <vt:lpstr>Deterioration_total_Yr2_28</vt:lpstr>
      <vt:lpstr>Deterioration_total_Yr2_29</vt:lpstr>
      <vt:lpstr>Deterioration_total_Yr2_3</vt:lpstr>
      <vt:lpstr>Deterioration_total_Yr2_30</vt:lpstr>
      <vt:lpstr>Deterioration_total_Yr2_31</vt:lpstr>
      <vt:lpstr>Deterioration_total_Yr2_32</vt:lpstr>
      <vt:lpstr>Deterioration_total_Yr2_33</vt:lpstr>
      <vt:lpstr>Deterioration_total_Yr2_34</vt:lpstr>
      <vt:lpstr>Deterioration_total_Yr2_35</vt:lpstr>
      <vt:lpstr>Deterioration_total_Yr2_36</vt:lpstr>
      <vt:lpstr>Deterioration_total_Yr2_37</vt:lpstr>
      <vt:lpstr>Deterioration_total_Yr2_38</vt:lpstr>
      <vt:lpstr>Deterioration_total_Yr2_39</vt:lpstr>
      <vt:lpstr>Deterioration_total_Yr2_4</vt:lpstr>
      <vt:lpstr>Deterioration_total_Yr2_40</vt:lpstr>
      <vt:lpstr>Deterioration_total_Yr2_41</vt:lpstr>
      <vt:lpstr>Deterioration_total_Yr2_42</vt:lpstr>
      <vt:lpstr>Deterioration_total_Yr2_43</vt:lpstr>
      <vt:lpstr>Deterioration_total_Yr2_44</vt:lpstr>
      <vt:lpstr>Deterioration_total_Yr2_45</vt:lpstr>
      <vt:lpstr>Deterioration_total_Yr2_46</vt:lpstr>
      <vt:lpstr>Deterioration_total_Yr2_47</vt:lpstr>
      <vt:lpstr>Deterioration_total_Yr2_48</vt:lpstr>
      <vt:lpstr>Deterioration_total_Yr2_49</vt:lpstr>
      <vt:lpstr>Deterioration_total_Yr2_5</vt:lpstr>
      <vt:lpstr>Deterioration_total_Yr2_50</vt:lpstr>
      <vt:lpstr>Deterioration_total_Yr2_51</vt:lpstr>
      <vt:lpstr>Deterioration_total_Yr2_52</vt:lpstr>
      <vt:lpstr>Deterioration_total_Yr2_53</vt:lpstr>
      <vt:lpstr>Deterioration_total_Yr2_54</vt:lpstr>
      <vt:lpstr>Deterioration_total_Yr2_55</vt:lpstr>
      <vt:lpstr>Deterioration_total_Yr2_56</vt:lpstr>
      <vt:lpstr>Deterioration_total_Yr2_57</vt:lpstr>
      <vt:lpstr>Deterioration_total_Yr2_58</vt:lpstr>
      <vt:lpstr>Deterioration_total_Yr2_59</vt:lpstr>
      <vt:lpstr>Deterioration_total_Yr2_6</vt:lpstr>
      <vt:lpstr>Deterioration_total_Yr2_60</vt:lpstr>
      <vt:lpstr>Deterioration_total_Yr2_61</vt:lpstr>
      <vt:lpstr>Deterioration_total_Yr2_7</vt:lpstr>
      <vt:lpstr>Deterioration_total_Yr2_8</vt:lpstr>
      <vt:lpstr>Deterioration_total_Yr2_9</vt:lpstr>
      <vt:lpstr>Deterioration_total_Yr3_1</vt:lpstr>
      <vt:lpstr>Deterioration_total_Yr3_10</vt:lpstr>
      <vt:lpstr>Deterioration_total_Yr3_11</vt:lpstr>
      <vt:lpstr>Deterioration_total_Yr3_12</vt:lpstr>
      <vt:lpstr>Deterioration_total_Yr3_13</vt:lpstr>
      <vt:lpstr>Deterioration_total_Yr3_14</vt:lpstr>
      <vt:lpstr>Deterioration_total_Yr3_15</vt:lpstr>
      <vt:lpstr>Deterioration_total_Yr3_16</vt:lpstr>
      <vt:lpstr>Deterioration_total_Yr3_17</vt:lpstr>
      <vt:lpstr>Deterioration_total_Yr3_18</vt:lpstr>
      <vt:lpstr>Deterioration_total_Yr3_19</vt:lpstr>
      <vt:lpstr>Deterioration_total_Yr3_2</vt:lpstr>
      <vt:lpstr>Deterioration_total_Yr3_20</vt:lpstr>
      <vt:lpstr>Deterioration_total_Yr3_21</vt:lpstr>
      <vt:lpstr>Deterioration_total_Yr3_22</vt:lpstr>
      <vt:lpstr>Deterioration_total_Yr3_23</vt:lpstr>
      <vt:lpstr>Deterioration_total_Yr3_24</vt:lpstr>
      <vt:lpstr>Deterioration_total_Yr3_25</vt:lpstr>
      <vt:lpstr>Deterioration_total_Yr3_26</vt:lpstr>
      <vt:lpstr>Deterioration_total_Yr3_27</vt:lpstr>
      <vt:lpstr>Deterioration_total_Yr3_28</vt:lpstr>
      <vt:lpstr>Deterioration_total_Yr3_29</vt:lpstr>
      <vt:lpstr>Deterioration_total_Yr3_3</vt:lpstr>
      <vt:lpstr>Deterioration_total_Yr3_30</vt:lpstr>
      <vt:lpstr>Deterioration_total_Yr3_31</vt:lpstr>
      <vt:lpstr>Deterioration_total_Yr3_32</vt:lpstr>
      <vt:lpstr>Deterioration_total_Yr3_33</vt:lpstr>
      <vt:lpstr>Deterioration_total_Yr3_34</vt:lpstr>
      <vt:lpstr>Deterioration_total_Yr3_35</vt:lpstr>
      <vt:lpstr>Deterioration_total_Yr3_36</vt:lpstr>
      <vt:lpstr>Deterioration_total_Yr3_37</vt:lpstr>
      <vt:lpstr>Deterioration_total_Yr3_38</vt:lpstr>
      <vt:lpstr>Deterioration_total_Yr3_39</vt:lpstr>
      <vt:lpstr>Deterioration_total_Yr3_4</vt:lpstr>
      <vt:lpstr>Deterioration_total_Yr3_40</vt:lpstr>
      <vt:lpstr>Deterioration_total_Yr3_41</vt:lpstr>
      <vt:lpstr>Deterioration_total_Yr3_42</vt:lpstr>
      <vt:lpstr>Deterioration_total_Yr3_43</vt:lpstr>
      <vt:lpstr>Deterioration_total_Yr3_44</vt:lpstr>
      <vt:lpstr>Deterioration_total_Yr3_45</vt:lpstr>
      <vt:lpstr>Deterioration_total_Yr3_46</vt:lpstr>
      <vt:lpstr>Deterioration_total_Yr3_47</vt:lpstr>
      <vt:lpstr>Deterioration_total_Yr3_48</vt:lpstr>
      <vt:lpstr>Deterioration_total_Yr3_49</vt:lpstr>
      <vt:lpstr>Deterioration_total_Yr3_5</vt:lpstr>
      <vt:lpstr>Deterioration_total_Yr3_50</vt:lpstr>
      <vt:lpstr>Deterioration_total_Yr3_51</vt:lpstr>
      <vt:lpstr>Deterioration_total_Yr3_52</vt:lpstr>
      <vt:lpstr>Deterioration_total_Yr3_53</vt:lpstr>
      <vt:lpstr>Deterioration_total_Yr3_54</vt:lpstr>
      <vt:lpstr>Deterioration_total_Yr3_55</vt:lpstr>
      <vt:lpstr>Deterioration_total_Yr3_56</vt:lpstr>
      <vt:lpstr>Deterioration_total_Yr3_57</vt:lpstr>
      <vt:lpstr>Deterioration_total_Yr3_58</vt:lpstr>
      <vt:lpstr>Deterioration_total_Yr3_59</vt:lpstr>
      <vt:lpstr>Deterioration_total_Yr3_6</vt:lpstr>
      <vt:lpstr>Deterioration_total_Yr3_60</vt:lpstr>
      <vt:lpstr>Deterioration_total_Yr3_61</vt:lpstr>
      <vt:lpstr>Deterioration_total_Yr3_7</vt:lpstr>
      <vt:lpstr>Deterioration_total_Yr3_8</vt:lpstr>
      <vt:lpstr>Deterioration_total_Yr3_9</vt:lpstr>
      <vt:lpstr>Deterioration_total_Yr4_1</vt:lpstr>
      <vt:lpstr>Deterioration_total_Yr4_10</vt:lpstr>
      <vt:lpstr>Deterioration_total_Yr4_11</vt:lpstr>
      <vt:lpstr>Deterioration_total_Yr4_12</vt:lpstr>
      <vt:lpstr>Deterioration_total_Yr4_13</vt:lpstr>
      <vt:lpstr>Deterioration_total_Yr4_14</vt:lpstr>
      <vt:lpstr>Deterioration_total_Yr4_15</vt:lpstr>
      <vt:lpstr>Deterioration_total_Yr4_16</vt:lpstr>
      <vt:lpstr>Deterioration_total_Yr4_17</vt:lpstr>
      <vt:lpstr>Deterioration_total_Yr4_18</vt:lpstr>
      <vt:lpstr>Deterioration_total_Yr4_19</vt:lpstr>
      <vt:lpstr>Deterioration_total_Yr4_2</vt:lpstr>
      <vt:lpstr>Deterioration_total_Yr4_20</vt:lpstr>
      <vt:lpstr>Deterioration_total_Yr4_21</vt:lpstr>
      <vt:lpstr>Deterioration_total_Yr4_22</vt:lpstr>
      <vt:lpstr>Deterioration_total_Yr4_23</vt:lpstr>
      <vt:lpstr>Deterioration_total_Yr4_24</vt:lpstr>
      <vt:lpstr>Deterioration_total_Yr4_25</vt:lpstr>
      <vt:lpstr>Deterioration_total_Yr4_26</vt:lpstr>
      <vt:lpstr>Deterioration_total_Yr4_27</vt:lpstr>
      <vt:lpstr>Deterioration_total_Yr4_28</vt:lpstr>
      <vt:lpstr>Deterioration_total_Yr4_29</vt:lpstr>
      <vt:lpstr>Deterioration_total_Yr4_3</vt:lpstr>
      <vt:lpstr>Deterioration_total_Yr4_30</vt:lpstr>
      <vt:lpstr>Deterioration_total_Yr4_31</vt:lpstr>
      <vt:lpstr>Deterioration_total_Yr4_32</vt:lpstr>
      <vt:lpstr>Deterioration_total_Yr4_33</vt:lpstr>
      <vt:lpstr>Deterioration_total_Yr4_34</vt:lpstr>
      <vt:lpstr>Deterioration_total_Yr4_35</vt:lpstr>
      <vt:lpstr>Deterioration_total_Yr4_36</vt:lpstr>
      <vt:lpstr>Deterioration_total_Yr4_37</vt:lpstr>
      <vt:lpstr>Deterioration_total_Yr4_38</vt:lpstr>
      <vt:lpstr>Deterioration_total_Yr4_39</vt:lpstr>
      <vt:lpstr>Deterioration_total_Yr4_4</vt:lpstr>
      <vt:lpstr>Deterioration_total_Yr4_40</vt:lpstr>
      <vt:lpstr>Deterioration_total_Yr4_41</vt:lpstr>
      <vt:lpstr>Deterioration_total_Yr4_42</vt:lpstr>
      <vt:lpstr>Deterioration_total_Yr4_43</vt:lpstr>
      <vt:lpstr>Deterioration_total_Yr4_44</vt:lpstr>
      <vt:lpstr>Deterioration_total_Yr4_45</vt:lpstr>
      <vt:lpstr>Deterioration_total_Yr4_46</vt:lpstr>
      <vt:lpstr>Deterioration_total_Yr4_47</vt:lpstr>
      <vt:lpstr>Deterioration_total_Yr4_48</vt:lpstr>
      <vt:lpstr>Deterioration_total_Yr4_49</vt:lpstr>
      <vt:lpstr>Deterioration_total_Yr4_5</vt:lpstr>
      <vt:lpstr>Deterioration_total_Yr4_50</vt:lpstr>
      <vt:lpstr>Deterioration_total_Yr4_51</vt:lpstr>
      <vt:lpstr>Deterioration_total_Yr4_52</vt:lpstr>
      <vt:lpstr>Deterioration_total_Yr4_53</vt:lpstr>
      <vt:lpstr>Deterioration_total_Yr4_54</vt:lpstr>
      <vt:lpstr>Deterioration_total_Yr4_55</vt:lpstr>
      <vt:lpstr>Deterioration_total_Yr4_56</vt:lpstr>
      <vt:lpstr>Deterioration_total_Yr4_57</vt:lpstr>
      <vt:lpstr>Deterioration_total_Yr4_58</vt:lpstr>
      <vt:lpstr>Deterioration_total_Yr4_59</vt:lpstr>
      <vt:lpstr>Deterioration_total_Yr4_6</vt:lpstr>
      <vt:lpstr>Deterioration_total_Yr4_60</vt:lpstr>
      <vt:lpstr>Deterioration_total_Yr4_61</vt:lpstr>
      <vt:lpstr>Deterioration_total_Yr4_7</vt:lpstr>
      <vt:lpstr>Deterioration_total_Yr4_8</vt:lpstr>
      <vt:lpstr>Deterioration_total_Yr4_9</vt:lpstr>
      <vt:lpstr>Deterioration_total_Yr5_1</vt:lpstr>
      <vt:lpstr>Deterioration_total_Yr5_10</vt:lpstr>
      <vt:lpstr>Deterioration_total_Yr5_11</vt:lpstr>
      <vt:lpstr>Deterioration_total_Yr5_12</vt:lpstr>
      <vt:lpstr>Deterioration_total_Yr5_13</vt:lpstr>
      <vt:lpstr>Deterioration_total_Yr5_14</vt:lpstr>
      <vt:lpstr>Deterioration_total_Yr5_15</vt:lpstr>
      <vt:lpstr>Deterioration_total_Yr5_16</vt:lpstr>
      <vt:lpstr>Deterioration_total_Yr5_17</vt:lpstr>
      <vt:lpstr>Deterioration_total_Yr5_18</vt:lpstr>
      <vt:lpstr>Deterioration_total_Yr5_19</vt:lpstr>
      <vt:lpstr>Deterioration_total_Yr5_2</vt:lpstr>
      <vt:lpstr>Deterioration_total_Yr5_20</vt:lpstr>
      <vt:lpstr>Deterioration_total_Yr5_21</vt:lpstr>
      <vt:lpstr>Deterioration_total_Yr5_22</vt:lpstr>
      <vt:lpstr>Deterioration_total_Yr5_23</vt:lpstr>
      <vt:lpstr>Deterioration_total_Yr5_24</vt:lpstr>
      <vt:lpstr>Deterioration_total_Yr5_25</vt:lpstr>
      <vt:lpstr>Deterioration_total_Yr5_26</vt:lpstr>
      <vt:lpstr>Deterioration_total_Yr5_27</vt:lpstr>
      <vt:lpstr>Deterioration_total_Yr5_28</vt:lpstr>
      <vt:lpstr>Deterioration_total_Yr5_29</vt:lpstr>
      <vt:lpstr>Deterioration_total_Yr5_3</vt:lpstr>
      <vt:lpstr>Deterioration_total_Yr5_30</vt:lpstr>
      <vt:lpstr>Deterioration_total_Yr5_31</vt:lpstr>
      <vt:lpstr>Deterioration_total_Yr5_32</vt:lpstr>
      <vt:lpstr>Deterioration_total_Yr5_33</vt:lpstr>
      <vt:lpstr>Deterioration_total_Yr5_34</vt:lpstr>
      <vt:lpstr>Deterioration_total_Yr5_35</vt:lpstr>
      <vt:lpstr>Deterioration_total_Yr5_36</vt:lpstr>
      <vt:lpstr>Deterioration_total_Yr5_37</vt:lpstr>
      <vt:lpstr>Deterioration_total_Yr5_38</vt:lpstr>
      <vt:lpstr>Deterioration_total_Yr5_39</vt:lpstr>
      <vt:lpstr>Deterioration_total_Yr5_4</vt:lpstr>
      <vt:lpstr>Deterioration_total_Yr5_40</vt:lpstr>
      <vt:lpstr>Deterioration_total_Yr5_41</vt:lpstr>
      <vt:lpstr>Deterioration_total_Yr5_42</vt:lpstr>
      <vt:lpstr>Deterioration_total_Yr5_43</vt:lpstr>
      <vt:lpstr>Deterioration_total_Yr5_44</vt:lpstr>
      <vt:lpstr>Deterioration_total_Yr5_45</vt:lpstr>
      <vt:lpstr>Deterioration_total_Yr5_46</vt:lpstr>
      <vt:lpstr>Deterioration_total_Yr5_47</vt:lpstr>
      <vt:lpstr>Deterioration_total_Yr5_48</vt:lpstr>
      <vt:lpstr>Deterioration_total_Yr5_49</vt:lpstr>
      <vt:lpstr>Deterioration_total_Yr5_5</vt:lpstr>
      <vt:lpstr>Deterioration_total_Yr5_50</vt:lpstr>
      <vt:lpstr>Deterioration_total_Yr5_51</vt:lpstr>
      <vt:lpstr>Deterioration_total_Yr5_52</vt:lpstr>
      <vt:lpstr>Deterioration_total_Yr5_53</vt:lpstr>
      <vt:lpstr>Deterioration_total_Yr5_54</vt:lpstr>
      <vt:lpstr>Deterioration_total_Yr5_55</vt:lpstr>
      <vt:lpstr>Deterioration_total_Yr5_56</vt:lpstr>
      <vt:lpstr>Deterioration_total_Yr5_57</vt:lpstr>
      <vt:lpstr>Deterioration_total_Yr5_58</vt:lpstr>
      <vt:lpstr>Deterioration_total_Yr5_59</vt:lpstr>
      <vt:lpstr>Deterioration_total_Yr5_6</vt:lpstr>
      <vt:lpstr>Deterioration_total_Yr5_60</vt:lpstr>
      <vt:lpstr>Deterioration_total_Yr5_61</vt:lpstr>
      <vt:lpstr>Deterioration_total_Yr5_7</vt:lpstr>
      <vt:lpstr>Deterioration_total_Yr5_8</vt:lpstr>
      <vt:lpstr>Deterioration_total_Yr5_9</vt:lpstr>
      <vt:lpstr>Deterioration_yr1_1</vt:lpstr>
      <vt:lpstr>Deterioration_yr1_10</vt:lpstr>
      <vt:lpstr>Deterioration_yr1_11</vt:lpstr>
      <vt:lpstr>Deterioration_yr1_12</vt:lpstr>
      <vt:lpstr>Deterioration_yr1_13</vt:lpstr>
      <vt:lpstr>Deterioration_yr1_14</vt:lpstr>
      <vt:lpstr>Deterioration_yr1_15</vt:lpstr>
      <vt:lpstr>Deterioration_yr1_16</vt:lpstr>
      <vt:lpstr>Deterioration_yr1_17</vt:lpstr>
      <vt:lpstr>Deterioration_yr1_18</vt:lpstr>
      <vt:lpstr>Deterioration_yr1_19</vt:lpstr>
      <vt:lpstr>Deterioration_yr1_2</vt:lpstr>
      <vt:lpstr>Deterioration_yr1_20</vt:lpstr>
      <vt:lpstr>Deterioration_yr1_21</vt:lpstr>
      <vt:lpstr>Deterioration_yr1_22</vt:lpstr>
      <vt:lpstr>Deterioration_yr1_23</vt:lpstr>
      <vt:lpstr>Deterioration_yr1_24</vt:lpstr>
      <vt:lpstr>Deterioration_yr1_25</vt:lpstr>
      <vt:lpstr>Deterioration_yr1_26</vt:lpstr>
      <vt:lpstr>Deterioration_yr1_27</vt:lpstr>
      <vt:lpstr>Deterioration_yr1_28</vt:lpstr>
      <vt:lpstr>Deterioration_yr1_29</vt:lpstr>
      <vt:lpstr>Deterioration_yr1_3</vt:lpstr>
      <vt:lpstr>Deterioration_yr1_30</vt:lpstr>
      <vt:lpstr>Deterioration_yr1_31</vt:lpstr>
      <vt:lpstr>Deterioration_yr1_32</vt:lpstr>
      <vt:lpstr>Deterioration_yr1_33</vt:lpstr>
      <vt:lpstr>Deterioration_yr1_34</vt:lpstr>
      <vt:lpstr>Deterioration_yr1_35</vt:lpstr>
      <vt:lpstr>Deterioration_yr1_36</vt:lpstr>
      <vt:lpstr>Deterioration_yr1_37</vt:lpstr>
      <vt:lpstr>Deterioration_yr1_38</vt:lpstr>
      <vt:lpstr>Deterioration_yr1_39</vt:lpstr>
      <vt:lpstr>Deterioration_yr1_4</vt:lpstr>
      <vt:lpstr>Deterioration_yr1_40</vt:lpstr>
      <vt:lpstr>Deterioration_yr1_41</vt:lpstr>
      <vt:lpstr>Deterioration_yr1_42</vt:lpstr>
      <vt:lpstr>Deterioration_yr1_43</vt:lpstr>
      <vt:lpstr>Deterioration_yr1_44</vt:lpstr>
      <vt:lpstr>Deterioration_yr1_45</vt:lpstr>
      <vt:lpstr>Deterioration_yr1_46</vt:lpstr>
      <vt:lpstr>Deterioration_yr1_47</vt:lpstr>
      <vt:lpstr>Deterioration_yr1_48</vt:lpstr>
      <vt:lpstr>Deterioration_yr1_49</vt:lpstr>
      <vt:lpstr>Deterioration_yr1_5</vt:lpstr>
      <vt:lpstr>Deterioration_yr1_50</vt:lpstr>
      <vt:lpstr>Deterioration_yr1_51</vt:lpstr>
      <vt:lpstr>Deterioration_yr1_52</vt:lpstr>
      <vt:lpstr>Deterioration_yr1_53</vt:lpstr>
      <vt:lpstr>Deterioration_yr1_54</vt:lpstr>
      <vt:lpstr>Deterioration_yr1_55</vt:lpstr>
      <vt:lpstr>Deterioration_yr1_56</vt:lpstr>
      <vt:lpstr>Deterioration_yr1_57</vt:lpstr>
      <vt:lpstr>Deterioration_yr1_58</vt:lpstr>
      <vt:lpstr>Deterioration_yr1_59</vt:lpstr>
      <vt:lpstr>Deterioration_yr1_6</vt:lpstr>
      <vt:lpstr>Deterioration_yr1_60</vt:lpstr>
      <vt:lpstr>Deterioration_yr1_61</vt:lpstr>
      <vt:lpstr>Deterioration_yr1_7</vt:lpstr>
      <vt:lpstr>Deterioration_yr1_8</vt:lpstr>
      <vt:lpstr>Deterioration_yr1_9</vt:lpstr>
      <vt:lpstr>Deterioration_yr2_1</vt:lpstr>
      <vt:lpstr>Deterioration_yr2_10</vt:lpstr>
      <vt:lpstr>Deterioration_yr2_11</vt:lpstr>
      <vt:lpstr>Deterioration_yr2_12</vt:lpstr>
      <vt:lpstr>Deterioration_yr2_13</vt:lpstr>
      <vt:lpstr>Deterioration_yr2_14</vt:lpstr>
      <vt:lpstr>Deterioration_yr2_15</vt:lpstr>
      <vt:lpstr>Deterioration_yr2_16</vt:lpstr>
      <vt:lpstr>Deterioration_yr2_17</vt:lpstr>
      <vt:lpstr>Deterioration_yr2_18</vt:lpstr>
      <vt:lpstr>Deterioration_yr2_19</vt:lpstr>
      <vt:lpstr>Deterioration_yr2_2</vt:lpstr>
      <vt:lpstr>Deterioration_yr2_20</vt:lpstr>
      <vt:lpstr>Deterioration_yr2_21</vt:lpstr>
      <vt:lpstr>Deterioration_yr2_22</vt:lpstr>
      <vt:lpstr>Deterioration_yr2_23</vt:lpstr>
      <vt:lpstr>Deterioration_yr2_24</vt:lpstr>
      <vt:lpstr>Deterioration_yr2_25</vt:lpstr>
      <vt:lpstr>Deterioration_yr2_26</vt:lpstr>
      <vt:lpstr>Deterioration_yr2_27</vt:lpstr>
      <vt:lpstr>Deterioration_yr2_28</vt:lpstr>
      <vt:lpstr>Deterioration_yr2_29</vt:lpstr>
      <vt:lpstr>Deterioration_yr2_3</vt:lpstr>
      <vt:lpstr>Deterioration_yr2_30</vt:lpstr>
      <vt:lpstr>Deterioration_yr2_31</vt:lpstr>
      <vt:lpstr>Deterioration_yr2_32</vt:lpstr>
      <vt:lpstr>Deterioration_yr2_33</vt:lpstr>
      <vt:lpstr>Deterioration_yr2_34</vt:lpstr>
      <vt:lpstr>Deterioration_yr2_35</vt:lpstr>
      <vt:lpstr>Deterioration_yr2_36</vt:lpstr>
      <vt:lpstr>Deterioration_yr2_37</vt:lpstr>
      <vt:lpstr>Deterioration_yr2_38</vt:lpstr>
      <vt:lpstr>Deterioration_yr2_39</vt:lpstr>
      <vt:lpstr>Deterioration_yr2_4</vt:lpstr>
      <vt:lpstr>Deterioration_yr2_40</vt:lpstr>
      <vt:lpstr>Deterioration_yr2_41</vt:lpstr>
      <vt:lpstr>Deterioration_yr2_42</vt:lpstr>
      <vt:lpstr>Deterioration_yr2_43</vt:lpstr>
      <vt:lpstr>Deterioration_yr2_44</vt:lpstr>
      <vt:lpstr>Deterioration_yr2_45</vt:lpstr>
      <vt:lpstr>Deterioration_yr2_46</vt:lpstr>
      <vt:lpstr>Deterioration_yr2_47</vt:lpstr>
      <vt:lpstr>Deterioration_yr2_48</vt:lpstr>
      <vt:lpstr>Deterioration_yr2_49</vt:lpstr>
      <vt:lpstr>Deterioration_yr2_5</vt:lpstr>
      <vt:lpstr>Deterioration_yr2_50</vt:lpstr>
      <vt:lpstr>Deterioration_yr2_51</vt:lpstr>
      <vt:lpstr>Deterioration_yr2_52</vt:lpstr>
      <vt:lpstr>Deterioration_yr2_53</vt:lpstr>
      <vt:lpstr>Deterioration_yr2_54</vt:lpstr>
      <vt:lpstr>Deterioration_yr2_55</vt:lpstr>
      <vt:lpstr>Deterioration_yr2_56</vt:lpstr>
      <vt:lpstr>Deterioration_yr2_57</vt:lpstr>
      <vt:lpstr>Deterioration_yr2_58</vt:lpstr>
      <vt:lpstr>Deterioration_yr2_59</vt:lpstr>
      <vt:lpstr>Deterioration_yr2_6</vt:lpstr>
      <vt:lpstr>Deterioration_yr2_60</vt:lpstr>
      <vt:lpstr>Deterioration_yr2_61</vt:lpstr>
      <vt:lpstr>Deterioration_yr2_7</vt:lpstr>
      <vt:lpstr>Deterioration_yr2_8</vt:lpstr>
      <vt:lpstr>Deterioration_yr2_9</vt:lpstr>
      <vt:lpstr>Deterioration_yr3_1</vt:lpstr>
      <vt:lpstr>Deterioration_yr3_10</vt:lpstr>
      <vt:lpstr>Deterioration_yr3_11</vt:lpstr>
      <vt:lpstr>Deterioration_yr3_12</vt:lpstr>
      <vt:lpstr>Deterioration_yr3_13</vt:lpstr>
      <vt:lpstr>Deterioration_yr3_14</vt:lpstr>
      <vt:lpstr>Deterioration_yr3_15</vt:lpstr>
      <vt:lpstr>Deterioration_yr3_16</vt:lpstr>
      <vt:lpstr>Deterioration_yr3_17</vt:lpstr>
      <vt:lpstr>Deterioration_yr3_18</vt:lpstr>
      <vt:lpstr>Deterioration_yr3_19</vt:lpstr>
      <vt:lpstr>Deterioration_yr3_2</vt:lpstr>
      <vt:lpstr>Deterioration_yr3_20</vt:lpstr>
      <vt:lpstr>Deterioration_yr3_21</vt:lpstr>
      <vt:lpstr>Deterioration_yr3_22</vt:lpstr>
      <vt:lpstr>Deterioration_yr3_23</vt:lpstr>
      <vt:lpstr>Deterioration_yr3_24</vt:lpstr>
      <vt:lpstr>Deterioration_yr3_25</vt:lpstr>
      <vt:lpstr>Deterioration_yr3_26</vt:lpstr>
      <vt:lpstr>Deterioration_yr3_27</vt:lpstr>
      <vt:lpstr>Deterioration_yr3_28</vt:lpstr>
      <vt:lpstr>Deterioration_yr3_29</vt:lpstr>
      <vt:lpstr>Deterioration_yr3_3</vt:lpstr>
      <vt:lpstr>Deterioration_yr3_30</vt:lpstr>
      <vt:lpstr>Deterioration_yr3_31</vt:lpstr>
      <vt:lpstr>Deterioration_yr3_32</vt:lpstr>
      <vt:lpstr>Deterioration_yr3_33</vt:lpstr>
      <vt:lpstr>Deterioration_yr3_34</vt:lpstr>
      <vt:lpstr>Deterioration_yr3_35</vt:lpstr>
      <vt:lpstr>Deterioration_yr3_36</vt:lpstr>
      <vt:lpstr>Deterioration_yr3_37</vt:lpstr>
      <vt:lpstr>Deterioration_yr3_38</vt:lpstr>
      <vt:lpstr>Deterioration_yr3_39</vt:lpstr>
      <vt:lpstr>Deterioration_yr3_4</vt:lpstr>
      <vt:lpstr>Deterioration_yr3_40</vt:lpstr>
      <vt:lpstr>Deterioration_yr3_41</vt:lpstr>
      <vt:lpstr>Deterioration_yr3_42</vt:lpstr>
      <vt:lpstr>Deterioration_yr3_43</vt:lpstr>
      <vt:lpstr>Deterioration_yr3_44</vt:lpstr>
      <vt:lpstr>Deterioration_yr3_45</vt:lpstr>
      <vt:lpstr>Deterioration_yr3_46</vt:lpstr>
      <vt:lpstr>Deterioration_yr3_47</vt:lpstr>
      <vt:lpstr>Deterioration_yr3_48</vt:lpstr>
      <vt:lpstr>Deterioration_yr3_49</vt:lpstr>
      <vt:lpstr>Deterioration_yr3_5</vt:lpstr>
      <vt:lpstr>Deterioration_yr3_50</vt:lpstr>
      <vt:lpstr>Deterioration_yr3_51</vt:lpstr>
      <vt:lpstr>Deterioration_yr3_52</vt:lpstr>
      <vt:lpstr>Deterioration_yr3_53</vt:lpstr>
      <vt:lpstr>Deterioration_yr3_54</vt:lpstr>
      <vt:lpstr>Deterioration_yr3_55</vt:lpstr>
      <vt:lpstr>Deterioration_yr3_56</vt:lpstr>
      <vt:lpstr>Deterioration_yr3_57</vt:lpstr>
      <vt:lpstr>Deterioration_yr3_58</vt:lpstr>
      <vt:lpstr>Deterioration_yr3_59</vt:lpstr>
      <vt:lpstr>Deterioration_yr3_6</vt:lpstr>
      <vt:lpstr>Deterioration_yr3_60</vt:lpstr>
      <vt:lpstr>Deterioration_yr3_61</vt:lpstr>
      <vt:lpstr>Deterioration_yr3_7</vt:lpstr>
      <vt:lpstr>Deterioration_yr3_8</vt:lpstr>
      <vt:lpstr>Deterioration_yr3_9</vt:lpstr>
      <vt:lpstr>Deterioration_yr4_1</vt:lpstr>
      <vt:lpstr>Deterioration_yr4_10</vt:lpstr>
      <vt:lpstr>Deterioration_yr4_11</vt:lpstr>
      <vt:lpstr>Deterioration_yr4_12</vt:lpstr>
      <vt:lpstr>Deterioration_yr4_13</vt:lpstr>
      <vt:lpstr>Deterioration_yr4_14</vt:lpstr>
      <vt:lpstr>Deterioration_yr4_15</vt:lpstr>
      <vt:lpstr>Deterioration_yr4_16</vt:lpstr>
      <vt:lpstr>Deterioration_yr4_17</vt:lpstr>
      <vt:lpstr>Deterioration_yr4_18</vt:lpstr>
      <vt:lpstr>Deterioration_yr4_19</vt:lpstr>
      <vt:lpstr>Deterioration_yr4_2</vt:lpstr>
      <vt:lpstr>Deterioration_yr4_20</vt:lpstr>
      <vt:lpstr>Deterioration_yr4_21</vt:lpstr>
      <vt:lpstr>Deterioration_yr4_22</vt:lpstr>
      <vt:lpstr>Deterioration_yr4_23</vt:lpstr>
      <vt:lpstr>Deterioration_yr4_24</vt:lpstr>
      <vt:lpstr>Deterioration_yr4_25</vt:lpstr>
      <vt:lpstr>Deterioration_yr4_26</vt:lpstr>
      <vt:lpstr>Deterioration_yr4_27</vt:lpstr>
      <vt:lpstr>Deterioration_yr4_28</vt:lpstr>
      <vt:lpstr>Deterioration_yr4_29</vt:lpstr>
      <vt:lpstr>Deterioration_yr4_3</vt:lpstr>
      <vt:lpstr>Deterioration_yr4_30</vt:lpstr>
      <vt:lpstr>Deterioration_yr4_31</vt:lpstr>
      <vt:lpstr>Deterioration_yr4_32</vt:lpstr>
      <vt:lpstr>Deterioration_yr4_33</vt:lpstr>
      <vt:lpstr>Deterioration_yr4_34</vt:lpstr>
      <vt:lpstr>Deterioration_yr4_35</vt:lpstr>
      <vt:lpstr>Deterioration_yr4_36</vt:lpstr>
      <vt:lpstr>Deterioration_yr4_37</vt:lpstr>
      <vt:lpstr>Deterioration_yr4_38</vt:lpstr>
      <vt:lpstr>Deterioration_yr4_39</vt:lpstr>
      <vt:lpstr>Deterioration_yr4_4</vt:lpstr>
      <vt:lpstr>Deterioration_yr4_40</vt:lpstr>
      <vt:lpstr>Deterioration_yr4_41</vt:lpstr>
      <vt:lpstr>Deterioration_yr4_42</vt:lpstr>
      <vt:lpstr>Deterioration_yr4_43</vt:lpstr>
      <vt:lpstr>Deterioration_yr4_44</vt:lpstr>
      <vt:lpstr>Deterioration_yr4_45</vt:lpstr>
      <vt:lpstr>Deterioration_yr4_46</vt:lpstr>
      <vt:lpstr>Deterioration_yr4_47</vt:lpstr>
      <vt:lpstr>Deterioration_yr4_48</vt:lpstr>
      <vt:lpstr>Deterioration_yr4_49</vt:lpstr>
      <vt:lpstr>Deterioration_yr4_5</vt:lpstr>
      <vt:lpstr>Deterioration_yr4_50</vt:lpstr>
      <vt:lpstr>Deterioration_yr4_51</vt:lpstr>
      <vt:lpstr>Deterioration_yr4_52</vt:lpstr>
      <vt:lpstr>Deterioration_yr4_53</vt:lpstr>
      <vt:lpstr>Deterioration_yr4_54</vt:lpstr>
      <vt:lpstr>Deterioration_yr4_55</vt:lpstr>
      <vt:lpstr>Deterioration_yr4_56</vt:lpstr>
      <vt:lpstr>Deterioration_yr4_57</vt:lpstr>
      <vt:lpstr>Deterioration_yr4_58</vt:lpstr>
      <vt:lpstr>Deterioration_yr4_59</vt:lpstr>
      <vt:lpstr>Deterioration_yr4_6</vt:lpstr>
      <vt:lpstr>Deterioration_yr4_60</vt:lpstr>
      <vt:lpstr>Deterioration_yr4_61</vt:lpstr>
      <vt:lpstr>Deterioration_yr4_7</vt:lpstr>
      <vt:lpstr>Deterioration_yr4_8</vt:lpstr>
      <vt:lpstr>Deterioration_yr4_9</vt:lpstr>
      <vt:lpstr>Deterioration_yr5_1</vt:lpstr>
      <vt:lpstr>Deterioration_yr5_10</vt:lpstr>
      <vt:lpstr>Deterioration_yr5_11</vt:lpstr>
      <vt:lpstr>Deterioration_yr5_12</vt:lpstr>
      <vt:lpstr>Deterioration_yr5_13</vt:lpstr>
      <vt:lpstr>Deterioration_yr5_14</vt:lpstr>
      <vt:lpstr>Deterioration_yr5_15</vt:lpstr>
      <vt:lpstr>Deterioration_yr5_16</vt:lpstr>
      <vt:lpstr>Deterioration_yr5_17</vt:lpstr>
      <vt:lpstr>Deterioration_yr5_18</vt:lpstr>
      <vt:lpstr>Deterioration_yr5_19</vt:lpstr>
      <vt:lpstr>Deterioration_yr5_2</vt:lpstr>
      <vt:lpstr>Deterioration_yr5_20</vt:lpstr>
      <vt:lpstr>Deterioration_yr5_21</vt:lpstr>
      <vt:lpstr>Deterioration_yr5_22</vt:lpstr>
      <vt:lpstr>Deterioration_yr5_23</vt:lpstr>
      <vt:lpstr>Deterioration_yr5_24</vt:lpstr>
      <vt:lpstr>Deterioration_yr5_25</vt:lpstr>
      <vt:lpstr>Deterioration_yr5_26</vt:lpstr>
      <vt:lpstr>Deterioration_yr5_27</vt:lpstr>
      <vt:lpstr>Deterioration_yr5_28</vt:lpstr>
      <vt:lpstr>Deterioration_yr5_29</vt:lpstr>
      <vt:lpstr>Deterioration_yr5_3</vt:lpstr>
      <vt:lpstr>Deterioration_yr5_30</vt:lpstr>
      <vt:lpstr>Deterioration_yr5_31</vt:lpstr>
      <vt:lpstr>Deterioration_yr5_32</vt:lpstr>
      <vt:lpstr>Deterioration_yr5_33</vt:lpstr>
      <vt:lpstr>Deterioration_yr5_34</vt:lpstr>
      <vt:lpstr>Deterioration_yr5_35</vt:lpstr>
      <vt:lpstr>Deterioration_yr5_36</vt:lpstr>
      <vt:lpstr>Deterioration_yr5_37</vt:lpstr>
      <vt:lpstr>Deterioration_yr5_38</vt:lpstr>
      <vt:lpstr>Deterioration_yr5_39</vt:lpstr>
      <vt:lpstr>Deterioration_yr5_4</vt:lpstr>
      <vt:lpstr>Deterioration_yr5_40</vt:lpstr>
      <vt:lpstr>Deterioration_yr5_41</vt:lpstr>
      <vt:lpstr>Deterioration_yr5_42</vt:lpstr>
      <vt:lpstr>Deterioration_yr5_43</vt:lpstr>
      <vt:lpstr>Deterioration_yr5_44</vt:lpstr>
      <vt:lpstr>Deterioration_yr5_45</vt:lpstr>
      <vt:lpstr>Deterioration_yr5_46</vt:lpstr>
      <vt:lpstr>Deterioration_yr5_47</vt:lpstr>
      <vt:lpstr>Deterioration_yr5_48</vt:lpstr>
      <vt:lpstr>Deterioration_yr5_49</vt:lpstr>
      <vt:lpstr>Deterioration_yr5_5</vt:lpstr>
      <vt:lpstr>Deterioration_yr5_50</vt:lpstr>
      <vt:lpstr>Deterioration_yr5_51</vt:lpstr>
      <vt:lpstr>Deterioration_yr5_52</vt:lpstr>
      <vt:lpstr>Deterioration_yr5_53</vt:lpstr>
      <vt:lpstr>Deterioration_yr5_54</vt:lpstr>
      <vt:lpstr>Deterioration_yr5_55</vt:lpstr>
      <vt:lpstr>Deterioration_yr5_56</vt:lpstr>
      <vt:lpstr>Deterioration_yr5_57</vt:lpstr>
      <vt:lpstr>Deterioration_yr5_58</vt:lpstr>
      <vt:lpstr>Deterioration_yr5_59</vt:lpstr>
      <vt:lpstr>Deterioration_yr5_6</vt:lpstr>
      <vt:lpstr>Deterioration_yr5_60</vt:lpstr>
      <vt:lpstr>Deterioration_yr5_61</vt:lpstr>
      <vt:lpstr>Deterioration_yr5_7</vt:lpstr>
      <vt:lpstr>Deterioration_yr5_8</vt:lpstr>
      <vt:lpstr>Deterioration_yr5_9</vt:lpstr>
      <vt:lpstr>DeteriorationYr1</vt:lpstr>
      <vt:lpstr>End_Of_Year_Yr1_1</vt:lpstr>
      <vt:lpstr>End_Of_Year_Yr1_10</vt:lpstr>
      <vt:lpstr>End_Of_Year_Yr1_11</vt:lpstr>
      <vt:lpstr>End_Of_Year_Yr1_12</vt:lpstr>
      <vt:lpstr>End_Of_Year_Yr1_13</vt:lpstr>
      <vt:lpstr>End_Of_Year_Yr1_14</vt:lpstr>
      <vt:lpstr>End_Of_Year_Yr1_15</vt:lpstr>
      <vt:lpstr>End_Of_Year_Yr1_16</vt:lpstr>
      <vt:lpstr>End_Of_Year_Yr1_17</vt:lpstr>
      <vt:lpstr>End_Of_Year_Yr1_18</vt:lpstr>
      <vt:lpstr>End_Of_Year_Yr1_19</vt:lpstr>
      <vt:lpstr>End_Of_Year_Yr1_2</vt:lpstr>
      <vt:lpstr>End_Of_Year_Yr1_20</vt:lpstr>
      <vt:lpstr>End_Of_Year_Yr1_21</vt:lpstr>
      <vt:lpstr>End_Of_Year_Yr1_22</vt:lpstr>
      <vt:lpstr>End_Of_Year_Yr1_23</vt:lpstr>
      <vt:lpstr>End_Of_Year_Yr1_24</vt:lpstr>
      <vt:lpstr>End_Of_Year_Yr1_25</vt:lpstr>
      <vt:lpstr>End_Of_Year_Yr1_26</vt:lpstr>
      <vt:lpstr>End_Of_Year_Yr1_27</vt:lpstr>
      <vt:lpstr>End_Of_Year_Yr1_28</vt:lpstr>
      <vt:lpstr>End_Of_Year_Yr1_29</vt:lpstr>
      <vt:lpstr>End_Of_Year_Yr1_3</vt:lpstr>
      <vt:lpstr>End_Of_Year_Yr1_30</vt:lpstr>
      <vt:lpstr>End_Of_Year_Yr1_31</vt:lpstr>
      <vt:lpstr>End_Of_Year_Yr1_32</vt:lpstr>
      <vt:lpstr>End_Of_Year_Yr1_33</vt:lpstr>
      <vt:lpstr>End_Of_Year_Yr1_34</vt:lpstr>
      <vt:lpstr>End_Of_Year_Yr1_35</vt:lpstr>
      <vt:lpstr>End_Of_Year_Yr1_36</vt:lpstr>
      <vt:lpstr>End_Of_Year_Yr1_37</vt:lpstr>
      <vt:lpstr>End_Of_Year_Yr1_38</vt:lpstr>
      <vt:lpstr>End_Of_Year_Yr1_39</vt:lpstr>
      <vt:lpstr>End_Of_Year_Yr1_4</vt:lpstr>
      <vt:lpstr>End_Of_Year_Yr1_40</vt:lpstr>
      <vt:lpstr>End_Of_Year_Yr1_41</vt:lpstr>
      <vt:lpstr>End_Of_Year_Yr1_42</vt:lpstr>
      <vt:lpstr>End_Of_Year_Yr1_43</vt:lpstr>
      <vt:lpstr>End_Of_Year_Yr1_44</vt:lpstr>
      <vt:lpstr>End_Of_Year_Yr1_45</vt:lpstr>
      <vt:lpstr>End_Of_Year_Yr1_46</vt:lpstr>
      <vt:lpstr>End_Of_Year_Yr1_47</vt:lpstr>
      <vt:lpstr>End_Of_Year_Yr1_48</vt:lpstr>
      <vt:lpstr>End_Of_Year_Yr1_49</vt:lpstr>
      <vt:lpstr>End_Of_Year_Yr1_5</vt:lpstr>
      <vt:lpstr>End_Of_Year_Yr1_50</vt:lpstr>
      <vt:lpstr>End_Of_Year_Yr1_51</vt:lpstr>
      <vt:lpstr>End_Of_Year_Yr1_52</vt:lpstr>
      <vt:lpstr>End_Of_Year_Yr1_53</vt:lpstr>
      <vt:lpstr>End_Of_Year_Yr1_54</vt:lpstr>
      <vt:lpstr>End_Of_Year_Yr1_55</vt:lpstr>
      <vt:lpstr>End_Of_Year_Yr1_56</vt:lpstr>
      <vt:lpstr>End_Of_Year_Yr1_57</vt:lpstr>
      <vt:lpstr>End_Of_Year_Yr1_58</vt:lpstr>
      <vt:lpstr>End_Of_Year_Yr1_59</vt:lpstr>
      <vt:lpstr>End_Of_Year_Yr1_6</vt:lpstr>
      <vt:lpstr>End_Of_Year_Yr1_60</vt:lpstr>
      <vt:lpstr>End_Of_Year_Yr1_61</vt:lpstr>
      <vt:lpstr>End_Of_Year_Yr1_7</vt:lpstr>
      <vt:lpstr>End_Of_Year_Yr1_8</vt:lpstr>
      <vt:lpstr>End_Of_Year_Yr1_9</vt:lpstr>
      <vt:lpstr>End_Of_Year_Yr2_1</vt:lpstr>
      <vt:lpstr>End_Of_Year_Yr2_10</vt:lpstr>
      <vt:lpstr>End_Of_Year_Yr2_11</vt:lpstr>
      <vt:lpstr>End_Of_Year_Yr2_12</vt:lpstr>
      <vt:lpstr>End_Of_Year_Yr2_13</vt:lpstr>
      <vt:lpstr>End_Of_Year_Yr2_14</vt:lpstr>
      <vt:lpstr>End_Of_Year_Yr2_15</vt:lpstr>
      <vt:lpstr>End_Of_Year_Yr2_16</vt:lpstr>
      <vt:lpstr>End_Of_Year_Yr2_17</vt:lpstr>
      <vt:lpstr>End_Of_Year_Yr2_18</vt:lpstr>
      <vt:lpstr>End_Of_Year_Yr2_19</vt:lpstr>
      <vt:lpstr>End_Of_Year_Yr2_2</vt:lpstr>
      <vt:lpstr>End_Of_Year_Yr2_20</vt:lpstr>
      <vt:lpstr>End_Of_Year_Yr2_21</vt:lpstr>
      <vt:lpstr>End_Of_Year_Yr2_22</vt:lpstr>
      <vt:lpstr>End_Of_Year_Yr2_23</vt:lpstr>
      <vt:lpstr>End_Of_Year_Yr2_24</vt:lpstr>
      <vt:lpstr>End_Of_Year_Yr2_25</vt:lpstr>
      <vt:lpstr>End_Of_Year_Yr2_26</vt:lpstr>
      <vt:lpstr>End_Of_Year_Yr2_27</vt:lpstr>
      <vt:lpstr>End_Of_Year_Yr2_28</vt:lpstr>
      <vt:lpstr>End_Of_Year_Yr2_29</vt:lpstr>
      <vt:lpstr>End_Of_Year_Yr2_3</vt:lpstr>
      <vt:lpstr>End_Of_Year_Yr2_30</vt:lpstr>
      <vt:lpstr>End_Of_Year_Yr2_31</vt:lpstr>
      <vt:lpstr>End_Of_Year_Yr2_32</vt:lpstr>
      <vt:lpstr>End_Of_Year_Yr2_33</vt:lpstr>
      <vt:lpstr>End_Of_Year_Yr2_34</vt:lpstr>
      <vt:lpstr>End_Of_Year_Yr2_35</vt:lpstr>
      <vt:lpstr>End_Of_Year_Yr2_36</vt:lpstr>
      <vt:lpstr>End_Of_Year_Yr2_37</vt:lpstr>
      <vt:lpstr>End_Of_Year_Yr2_38</vt:lpstr>
      <vt:lpstr>End_Of_Year_Yr2_39</vt:lpstr>
      <vt:lpstr>End_Of_Year_Yr2_4</vt:lpstr>
      <vt:lpstr>End_Of_Year_Yr2_40</vt:lpstr>
      <vt:lpstr>End_Of_Year_Yr2_41</vt:lpstr>
      <vt:lpstr>End_Of_Year_Yr2_42</vt:lpstr>
      <vt:lpstr>End_Of_Year_Yr2_43</vt:lpstr>
      <vt:lpstr>End_Of_Year_Yr2_44</vt:lpstr>
      <vt:lpstr>End_Of_Year_Yr2_45</vt:lpstr>
      <vt:lpstr>End_Of_Year_Yr2_46</vt:lpstr>
      <vt:lpstr>End_Of_Year_Yr2_47</vt:lpstr>
      <vt:lpstr>End_Of_Year_Yr2_48</vt:lpstr>
      <vt:lpstr>End_Of_Year_Yr2_49</vt:lpstr>
      <vt:lpstr>End_Of_Year_Yr2_5</vt:lpstr>
      <vt:lpstr>End_Of_Year_Yr2_50</vt:lpstr>
      <vt:lpstr>End_Of_Year_Yr2_51</vt:lpstr>
      <vt:lpstr>End_Of_Year_Yr2_52</vt:lpstr>
      <vt:lpstr>End_Of_Year_Yr2_53</vt:lpstr>
      <vt:lpstr>End_Of_Year_Yr2_54</vt:lpstr>
      <vt:lpstr>End_Of_Year_Yr2_55</vt:lpstr>
      <vt:lpstr>End_Of_Year_Yr2_56</vt:lpstr>
      <vt:lpstr>End_Of_Year_Yr2_57</vt:lpstr>
      <vt:lpstr>End_Of_Year_Yr2_58</vt:lpstr>
      <vt:lpstr>End_Of_Year_Yr2_59</vt:lpstr>
      <vt:lpstr>End_Of_Year_Yr2_6</vt:lpstr>
      <vt:lpstr>End_Of_Year_Yr2_60</vt:lpstr>
      <vt:lpstr>End_Of_Year_Yr2_61</vt:lpstr>
      <vt:lpstr>End_Of_Year_Yr2_7</vt:lpstr>
      <vt:lpstr>End_Of_Year_Yr2_8</vt:lpstr>
      <vt:lpstr>End_Of_Year_Yr2_9</vt:lpstr>
      <vt:lpstr>End_Of_Year_Yr3_1</vt:lpstr>
      <vt:lpstr>End_Of_Year_Yr3_10</vt:lpstr>
      <vt:lpstr>End_Of_Year_Yr3_11</vt:lpstr>
      <vt:lpstr>End_Of_Year_Yr3_12</vt:lpstr>
      <vt:lpstr>End_Of_Year_Yr3_13</vt:lpstr>
      <vt:lpstr>End_Of_Year_Yr3_14</vt:lpstr>
      <vt:lpstr>End_Of_Year_Yr3_15</vt:lpstr>
      <vt:lpstr>End_Of_Year_Yr3_16</vt:lpstr>
      <vt:lpstr>End_Of_Year_Yr3_17</vt:lpstr>
      <vt:lpstr>End_Of_Year_Yr3_18</vt:lpstr>
      <vt:lpstr>End_Of_Year_Yr3_19</vt:lpstr>
      <vt:lpstr>End_Of_Year_Yr3_2</vt:lpstr>
      <vt:lpstr>End_Of_Year_Yr3_20</vt:lpstr>
      <vt:lpstr>End_Of_Year_Yr3_21</vt:lpstr>
      <vt:lpstr>End_Of_Year_Yr3_22</vt:lpstr>
      <vt:lpstr>End_Of_Year_Yr3_23</vt:lpstr>
      <vt:lpstr>End_Of_Year_Yr3_24</vt:lpstr>
      <vt:lpstr>End_Of_Year_Yr3_25</vt:lpstr>
      <vt:lpstr>End_Of_Year_Yr3_26</vt:lpstr>
      <vt:lpstr>End_Of_Year_Yr3_27</vt:lpstr>
      <vt:lpstr>End_Of_Year_Yr3_28</vt:lpstr>
      <vt:lpstr>End_Of_Year_Yr3_29</vt:lpstr>
      <vt:lpstr>End_Of_Year_Yr3_3</vt:lpstr>
      <vt:lpstr>End_Of_Year_Yr3_30</vt:lpstr>
      <vt:lpstr>End_Of_Year_Yr3_31</vt:lpstr>
      <vt:lpstr>End_Of_Year_Yr3_32</vt:lpstr>
      <vt:lpstr>End_Of_Year_Yr3_33</vt:lpstr>
      <vt:lpstr>End_Of_Year_Yr3_34</vt:lpstr>
      <vt:lpstr>End_Of_Year_Yr3_35</vt:lpstr>
      <vt:lpstr>End_Of_Year_Yr3_36</vt:lpstr>
      <vt:lpstr>End_Of_Year_Yr3_37</vt:lpstr>
      <vt:lpstr>End_Of_Year_Yr3_38</vt:lpstr>
      <vt:lpstr>End_Of_Year_Yr3_39</vt:lpstr>
      <vt:lpstr>End_Of_Year_Yr3_4</vt:lpstr>
      <vt:lpstr>End_Of_Year_Yr3_40</vt:lpstr>
      <vt:lpstr>End_Of_Year_Yr3_41</vt:lpstr>
      <vt:lpstr>End_Of_Year_Yr3_42</vt:lpstr>
      <vt:lpstr>End_Of_Year_Yr3_43</vt:lpstr>
      <vt:lpstr>End_Of_Year_Yr3_44</vt:lpstr>
      <vt:lpstr>End_Of_Year_Yr3_45</vt:lpstr>
      <vt:lpstr>End_Of_Year_Yr3_46</vt:lpstr>
      <vt:lpstr>End_Of_Year_Yr3_47</vt:lpstr>
      <vt:lpstr>End_Of_Year_Yr3_48</vt:lpstr>
      <vt:lpstr>End_Of_Year_Yr3_49</vt:lpstr>
      <vt:lpstr>End_Of_Year_Yr3_5</vt:lpstr>
      <vt:lpstr>End_Of_Year_Yr3_50</vt:lpstr>
      <vt:lpstr>End_Of_Year_Yr3_51</vt:lpstr>
      <vt:lpstr>End_Of_Year_Yr3_52</vt:lpstr>
      <vt:lpstr>End_Of_Year_Yr3_53</vt:lpstr>
      <vt:lpstr>End_Of_Year_Yr3_54</vt:lpstr>
      <vt:lpstr>End_Of_Year_Yr3_55</vt:lpstr>
      <vt:lpstr>End_Of_Year_Yr3_56</vt:lpstr>
      <vt:lpstr>End_Of_Year_Yr3_57</vt:lpstr>
      <vt:lpstr>End_Of_Year_Yr3_58</vt:lpstr>
      <vt:lpstr>End_Of_Year_Yr3_59</vt:lpstr>
      <vt:lpstr>End_Of_Year_Yr3_6</vt:lpstr>
      <vt:lpstr>End_Of_Year_Yr3_60</vt:lpstr>
      <vt:lpstr>End_Of_Year_Yr3_61</vt:lpstr>
      <vt:lpstr>End_Of_Year_Yr3_7</vt:lpstr>
      <vt:lpstr>End_Of_Year_Yr3_8</vt:lpstr>
      <vt:lpstr>End_Of_Year_Yr3_9</vt:lpstr>
      <vt:lpstr>End_Of_Year_Yr4_1</vt:lpstr>
      <vt:lpstr>End_Of_Year_Yr4_10</vt:lpstr>
      <vt:lpstr>End_Of_Year_Yr4_11</vt:lpstr>
      <vt:lpstr>End_Of_Year_Yr4_12</vt:lpstr>
      <vt:lpstr>End_Of_Year_Yr4_13</vt:lpstr>
      <vt:lpstr>End_Of_Year_Yr4_14</vt:lpstr>
      <vt:lpstr>End_Of_Year_Yr4_15</vt:lpstr>
      <vt:lpstr>End_Of_Year_Yr4_16</vt:lpstr>
      <vt:lpstr>End_Of_Year_Yr4_17</vt:lpstr>
      <vt:lpstr>End_Of_Year_Yr4_18</vt:lpstr>
      <vt:lpstr>End_Of_Year_Yr4_19</vt:lpstr>
      <vt:lpstr>End_Of_Year_Yr4_2</vt:lpstr>
      <vt:lpstr>End_Of_Year_Yr4_20</vt:lpstr>
      <vt:lpstr>End_Of_Year_Yr4_21</vt:lpstr>
      <vt:lpstr>End_Of_Year_Yr4_22</vt:lpstr>
      <vt:lpstr>End_Of_Year_Yr4_23</vt:lpstr>
      <vt:lpstr>End_Of_Year_Yr4_24</vt:lpstr>
      <vt:lpstr>End_Of_Year_Yr4_25</vt:lpstr>
      <vt:lpstr>End_Of_Year_Yr4_26</vt:lpstr>
      <vt:lpstr>End_Of_Year_Yr4_27</vt:lpstr>
      <vt:lpstr>End_Of_Year_Yr4_28</vt:lpstr>
      <vt:lpstr>End_Of_Year_Yr4_29</vt:lpstr>
      <vt:lpstr>End_Of_Year_Yr4_3</vt:lpstr>
      <vt:lpstr>End_Of_Year_Yr4_30</vt:lpstr>
      <vt:lpstr>End_Of_Year_Yr4_31</vt:lpstr>
      <vt:lpstr>End_Of_Year_Yr4_32</vt:lpstr>
      <vt:lpstr>End_Of_Year_Yr4_33</vt:lpstr>
      <vt:lpstr>End_Of_Year_Yr4_34</vt:lpstr>
      <vt:lpstr>End_Of_Year_Yr4_35</vt:lpstr>
      <vt:lpstr>End_Of_Year_Yr4_36</vt:lpstr>
      <vt:lpstr>End_Of_Year_Yr4_37</vt:lpstr>
      <vt:lpstr>End_Of_Year_Yr4_38</vt:lpstr>
      <vt:lpstr>End_Of_Year_Yr4_39</vt:lpstr>
      <vt:lpstr>End_Of_Year_Yr4_4</vt:lpstr>
      <vt:lpstr>End_Of_Year_Yr4_40</vt:lpstr>
      <vt:lpstr>End_Of_Year_Yr4_41</vt:lpstr>
      <vt:lpstr>End_Of_Year_Yr4_42</vt:lpstr>
      <vt:lpstr>End_Of_Year_Yr4_43</vt:lpstr>
      <vt:lpstr>End_Of_Year_Yr4_44</vt:lpstr>
      <vt:lpstr>End_Of_Year_Yr4_45</vt:lpstr>
      <vt:lpstr>End_Of_Year_Yr4_46</vt:lpstr>
      <vt:lpstr>End_Of_Year_Yr4_47</vt:lpstr>
      <vt:lpstr>End_Of_Year_Yr4_48</vt:lpstr>
      <vt:lpstr>End_Of_Year_Yr4_49</vt:lpstr>
      <vt:lpstr>End_Of_Year_Yr4_5</vt:lpstr>
      <vt:lpstr>End_Of_Year_Yr4_50</vt:lpstr>
      <vt:lpstr>End_Of_Year_Yr4_51</vt:lpstr>
      <vt:lpstr>End_Of_Year_Yr4_52</vt:lpstr>
      <vt:lpstr>End_Of_Year_Yr4_53</vt:lpstr>
      <vt:lpstr>End_Of_Year_Yr4_54</vt:lpstr>
      <vt:lpstr>End_Of_Year_Yr4_55</vt:lpstr>
      <vt:lpstr>End_Of_Year_Yr4_56</vt:lpstr>
      <vt:lpstr>End_Of_Year_Yr4_57</vt:lpstr>
      <vt:lpstr>End_Of_Year_Yr4_58</vt:lpstr>
      <vt:lpstr>End_Of_Year_Yr4_59</vt:lpstr>
      <vt:lpstr>End_Of_Year_Yr4_6</vt:lpstr>
      <vt:lpstr>End_Of_Year_Yr4_60</vt:lpstr>
      <vt:lpstr>End_Of_Year_Yr4_61</vt:lpstr>
      <vt:lpstr>End_Of_Year_Yr4_7</vt:lpstr>
      <vt:lpstr>End_Of_Year_Yr4_8</vt:lpstr>
      <vt:lpstr>End_Of_Year_Yr4_9</vt:lpstr>
      <vt:lpstr>End_Of_Year_Yr5_1</vt:lpstr>
      <vt:lpstr>End_Of_Year_Yr5_10</vt:lpstr>
      <vt:lpstr>End_Of_Year_Yr5_11</vt:lpstr>
      <vt:lpstr>End_Of_Year_Yr5_12</vt:lpstr>
      <vt:lpstr>End_Of_Year_Yr5_13</vt:lpstr>
      <vt:lpstr>End_Of_Year_Yr5_14</vt:lpstr>
      <vt:lpstr>End_Of_Year_Yr5_15</vt:lpstr>
      <vt:lpstr>End_Of_Year_Yr5_16</vt:lpstr>
      <vt:lpstr>End_Of_Year_Yr5_17</vt:lpstr>
      <vt:lpstr>End_Of_Year_Yr5_18</vt:lpstr>
      <vt:lpstr>End_Of_Year_Yr5_19</vt:lpstr>
      <vt:lpstr>End_Of_Year_Yr5_2</vt:lpstr>
      <vt:lpstr>End_Of_Year_Yr5_20</vt:lpstr>
      <vt:lpstr>End_Of_Year_Yr5_21</vt:lpstr>
      <vt:lpstr>End_Of_Year_Yr5_22</vt:lpstr>
      <vt:lpstr>End_Of_Year_Yr5_23</vt:lpstr>
      <vt:lpstr>End_Of_Year_Yr5_24</vt:lpstr>
      <vt:lpstr>End_Of_Year_Yr5_25</vt:lpstr>
      <vt:lpstr>End_Of_Year_Yr5_26</vt:lpstr>
      <vt:lpstr>End_Of_Year_Yr5_27</vt:lpstr>
      <vt:lpstr>End_Of_Year_Yr5_28</vt:lpstr>
      <vt:lpstr>End_Of_Year_Yr5_29</vt:lpstr>
      <vt:lpstr>End_Of_Year_Yr5_3</vt:lpstr>
      <vt:lpstr>End_Of_Year_Yr5_30</vt:lpstr>
      <vt:lpstr>End_Of_Year_Yr5_31</vt:lpstr>
      <vt:lpstr>End_Of_Year_Yr5_32</vt:lpstr>
      <vt:lpstr>End_Of_Year_Yr5_33</vt:lpstr>
      <vt:lpstr>End_Of_Year_Yr5_34</vt:lpstr>
      <vt:lpstr>End_Of_Year_Yr5_35</vt:lpstr>
      <vt:lpstr>End_Of_Year_Yr5_36</vt:lpstr>
      <vt:lpstr>End_Of_Year_Yr5_37</vt:lpstr>
      <vt:lpstr>End_Of_Year_Yr5_38</vt:lpstr>
      <vt:lpstr>End_Of_Year_Yr5_39</vt:lpstr>
      <vt:lpstr>End_Of_Year_Yr5_4</vt:lpstr>
      <vt:lpstr>End_Of_Year_Yr5_40</vt:lpstr>
      <vt:lpstr>End_Of_Year_Yr5_41</vt:lpstr>
      <vt:lpstr>End_Of_Year_Yr5_42</vt:lpstr>
      <vt:lpstr>End_Of_Year_Yr5_43</vt:lpstr>
      <vt:lpstr>End_Of_Year_Yr5_44</vt:lpstr>
      <vt:lpstr>End_Of_Year_Yr5_45</vt:lpstr>
      <vt:lpstr>End_Of_Year_Yr5_46</vt:lpstr>
      <vt:lpstr>End_Of_Year_Yr5_47</vt:lpstr>
      <vt:lpstr>End_Of_Year_Yr5_48</vt:lpstr>
      <vt:lpstr>End_Of_Year_Yr5_49</vt:lpstr>
      <vt:lpstr>End_Of_Year_Yr5_5</vt:lpstr>
      <vt:lpstr>End_Of_Year_Yr5_50</vt:lpstr>
      <vt:lpstr>End_Of_Year_Yr5_51</vt:lpstr>
      <vt:lpstr>End_Of_Year_Yr5_52</vt:lpstr>
      <vt:lpstr>End_Of_Year_Yr5_53</vt:lpstr>
      <vt:lpstr>End_Of_Year_Yr5_54</vt:lpstr>
      <vt:lpstr>End_Of_Year_Yr5_55</vt:lpstr>
      <vt:lpstr>End_Of_Year_Yr5_56</vt:lpstr>
      <vt:lpstr>End_Of_Year_Yr5_57</vt:lpstr>
      <vt:lpstr>End_Of_Year_Yr5_58</vt:lpstr>
      <vt:lpstr>End_Of_Year_Yr5_59</vt:lpstr>
      <vt:lpstr>End_Of_Year_Yr5_6</vt:lpstr>
      <vt:lpstr>End_Of_Year_Yr5_60</vt:lpstr>
      <vt:lpstr>End_Of_Year_Yr5_61</vt:lpstr>
      <vt:lpstr>End_Of_Year_Yr5_7</vt:lpstr>
      <vt:lpstr>End_Of_Year_Yr5_8</vt:lpstr>
      <vt:lpstr>End_Of_Year_Yr5_9</vt:lpstr>
      <vt:lpstr>Faults_Yr1_1</vt:lpstr>
      <vt:lpstr>Faults_Yr1_10</vt:lpstr>
      <vt:lpstr>Faults_Yr1_11</vt:lpstr>
      <vt:lpstr>Faults_Yr1_12</vt:lpstr>
      <vt:lpstr>Faults_Yr1_13</vt:lpstr>
      <vt:lpstr>Faults_Yr1_14</vt:lpstr>
      <vt:lpstr>Faults_Yr1_15</vt:lpstr>
      <vt:lpstr>Faults_Yr1_16</vt:lpstr>
      <vt:lpstr>Faults_Yr1_17</vt:lpstr>
      <vt:lpstr>Faults_Yr1_18</vt:lpstr>
      <vt:lpstr>Faults_Yr1_19</vt:lpstr>
      <vt:lpstr>Faults_Yr1_2</vt:lpstr>
      <vt:lpstr>Faults_Yr1_20</vt:lpstr>
      <vt:lpstr>Faults_Yr1_21</vt:lpstr>
      <vt:lpstr>Faults_Yr1_22</vt:lpstr>
      <vt:lpstr>Faults_Yr1_23</vt:lpstr>
      <vt:lpstr>Faults_Yr1_24</vt:lpstr>
      <vt:lpstr>Faults_Yr1_25</vt:lpstr>
      <vt:lpstr>Faults_Yr1_26</vt:lpstr>
      <vt:lpstr>Faults_Yr1_27</vt:lpstr>
      <vt:lpstr>Faults_Yr1_28</vt:lpstr>
      <vt:lpstr>Faults_Yr1_29</vt:lpstr>
      <vt:lpstr>Faults_Yr1_3</vt:lpstr>
      <vt:lpstr>Faults_Yr1_30</vt:lpstr>
      <vt:lpstr>Faults_Yr1_31</vt:lpstr>
      <vt:lpstr>Faults_Yr1_32</vt:lpstr>
      <vt:lpstr>Faults_Yr1_33</vt:lpstr>
      <vt:lpstr>Faults_Yr1_34</vt:lpstr>
      <vt:lpstr>Faults_Yr1_35</vt:lpstr>
      <vt:lpstr>Faults_Yr1_36</vt:lpstr>
      <vt:lpstr>Faults_Yr1_37</vt:lpstr>
      <vt:lpstr>Faults_Yr1_38</vt:lpstr>
      <vt:lpstr>Faults_Yr1_39</vt:lpstr>
      <vt:lpstr>Faults_Yr1_4</vt:lpstr>
      <vt:lpstr>Faults_Yr1_40</vt:lpstr>
      <vt:lpstr>Faults_Yr1_41</vt:lpstr>
      <vt:lpstr>Faults_Yr1_42</vt:lpstr>
      <vt:lpstr>Faults_Yr1_43</vt:lpstr>
      <vt:lpstr>Faults_Yr1_44</vt:lpstr>
      <vt:lpstr>Faults_Yr1_45</vt:lpstr>
      <vt:lpstr>Faults_Yr1_46</vt:lpstr>
      <vt:lpstr>Faults_Yr1_47</vt:lpstr>
      <vt:lpstr>Faults_Yr1_48</vt:lpstr>
      <vt:lpstr>Faults_Yr1_49</vt:lpstr>
      <vt:lpstr>Faults_Yr1_5</vt:lpstr>
      <vt:lpstr>Faults_Yr1_50</vt:lpstr>
      <vt:lpstr>Faults_Yr1_51</vt:lpstr>
      <vt:lpstr>Faults_Yr1_52</vt:lpstr>
      <vt:lpstr>Faults_Yr1_53</vt:lpstr>
      <vt:lpstr>Faults_Yr1_54</vt:lpstr>
      <vt:lpstr>Faults_Yr1_55</vt:lpstr>
      <vt:lpstr>Faults_Yr1_56</vt:lpstr>
      <vt:lpstr>Faults_Yr1_57</vt:lpstr>
      <vt:lpstr>Faults_Yr1_58</vt:lpstr>
      <vt:lpstr>Faults_Yr1_59</vt:lpstr>
      <vt:lpstr>Faults_Yr1_6</vt:lpstr>
      <vt:lpstr>Faults_Yr1_60</vt:lpstr>
      <vt:lpstr>Faults_Yr1_61</vt:lpstr>
      <vt:lpstr>Faults_Yr1_7</vt:lpstr>
      <vt:lpstr>Faults_Yr1_8</vt:lpstr>
      <vt:lpstr>Faults_Yr1_9</vt:lpstr>
      <vt:lpstr>Faults_Yr2_1</vt:lpstr>
      <vt:lpstr>Faults_Yr2_10</vt:lpstr>
      <vt:lpstr>Faults_Yr2_11</vt:lpstr>
      <vt:lpstr>Faults_Yr2_12</vt:lpstr>
      <vt:lpstr>Faults_Yr2_13</vt:lpstr>
      <vt:lpstr>Faults_Yr2_14</vt:lpstr>
      <vt:lpstr>Faults_Yr2_15</vt:lpstr>
      <vt:lpstr>Faults_Yr2_16</vt:lpstr>
      <vt:lpstr>Faults_Yr2_17</vt:lpstr>
      <vt:lpstr>Faults_Yr2_18</vt:lpstr>
      <vt:lpstr>Faults_Yr2_19</vt:lpstr>
      <vt:lpstr>Faults_Yr2_2</vt:lpstr>
      <vt:lpstr>Faults_Yr2_20</vt:lpstr>
      <vt:lpstr>Faults_Yr2_21</vt:lpstr>
      <vt:lpstr>Faults_Yr2_22</vt:lpstr>
      <vt:lpstr>Faults_Yr2_23</vt:lpstr>
      <vt:lpstr>Faults_Yr2_24</vt:lpstr>
      <vt:lpstr>Faults_Yr2_25</vt:lpstr>
      <vt:lpstr>Faults_Yr2_26</vt:lpstr>
      <vt:lpstr>Faults_Yr2_27</vt:lpstr>
      <vt:lpstr>Faults_Yr2_28</vt:lpstr>
      <vt:lpstr>Faults_Yr2_29</vt:lpstr>
      <vt:lpstr>Faults_Yr2_3</vt:lpstr>
      <vt:lpstr>Faults_Yr2_30</vt:lpstr>
      <vt:lpstr>Faults_Yr2_31</vt:lpstr>
      <vt:lpstr>Faults_Yr2_32</vt:lpstr>
      <vt:lpstr>Faults_Yr2_33</vt:lpstr>
      <vt:lpstr>Faults_Yr2_34</vt:lpstr>
      <vt:lpstr>Faults_Yr2_35</vt:lpstr>
      <vt:lpstr>Faults_Yr2_36</vt:lpstr>
      <vt:lpstr>Faults_Yr2_37</vt:lpstr>
      <vt:lpstr>Faults_Yr2_38</vt:lpstr>
      <vt:lpstr>Faults_Yr2_39</vt:lpstr>
      <vt:lpstr>Faults_Yr2_4</vt:lpstr>
      <vt:lpstr>Faults_Yr2_40</vt:lpstr>
      <vt:lpstr>Faults_Yr2_41</vt:lpstr>
      <vt:lpstr>Faults_Yr2_42</vt:lpstr>
      <vt:lpstr>Faults_Yr2_43</vt:lpstr>
      <vt:lpstr>Faults_Yr2_44</vt:lpstr>
      <vt:lpstr>Faults_Yr2_45</vt:lpstr>
      <vt:lpstr>Faults_Yr2_46</vt:lpstr>
      <vt:lpstr>Faults_Yr2_47</vt:lpstr>
      <vt:lpstr>Faults_Yr2_48</vt:lpstr>
      <vt:lpstr>Faults_Yr2_49</vt:lpstr>
      <vt:lpstr>Faults_Yr2_5</vt:lpstr>
      <vt:lpstr>Faults_Yr2_50</vt:lpstr>
      <vt:lpstr>Faults_Yr2_51</vt:lpstr>
      <vt:lpstr>Faults_Yr2_52</vt:lpstr>
      <vt:lpstr>Faults_Yr2_53</vt:lpstr>
      <vt:lpstr>Faults_Yr2_54</vt:lpstr>
      <vt:lpstr>Faults_Yr2_55</vt:lpstr>
      <vt:lpstr>Faults_Yr2_56</vt:lpstr>
      <vt:lpstr>Faults_Yr2_57</vt:lpstr>
      <vt:lpstr>Faults_Yr2_58</vt:lpstr>
      <vt:lpstr>Faults_Yr2_59</vt:lpstr>
      <vt:lpstr>Faults_Yr2_6</vt:lpstr>
      <vt:lpstr>Faults_Yr2_60</vt:lpstr>
      <vt:lpstr>Faults_Yr2_61</vt:lpstr>
      <vt:lpstr>Faults_Yr2_7</vt:lpstr>
      <vt:lpstr>Faults_Yr2_8</vt:lpstr>
      <vt:lpstr>Faults_Yr2_9</vt:lpstr>
      <vt:lpstr>Faults_Yr3_1</vt:lpstr>
      <vt:lpstr>Faults_Yr3_10</vt:lpstr>
      <vt:lpstr>Faults_Yr3_11</vt:lpstr>
      <vt:lpstr>Faults_Yr3_12</vt:lpstr>
      <vt:lpstr>Faults_Yr3_13</vt:lpstr>
      <vt:lpstr>Faults_Yr3_14</vt:lpstr>
      <vt:lpstr>Faults_Yr3_15</vt:lpstr>
      <vt:lpstr>Faults_Yr3_16</vt:lpstr>
      <vt:lpstr>Faults_Yr3_17</vt:lpstr>
      <vt:lpstr>Faults_Yr3_18</vt:lpstr>
      <vt:lpstr>Faults_Yr3_19</vt:lpstr>
      <vt:lpstr>Faults_Yr3_2</vt:lpstr>
      <vt:lpstr>Faults_Yr3_20</vt:lpstr>
      <vt:lpstr>Faults_Yr3_21</vt:lpstr>
      <vt:lpstr>Faults_Yr3_22</vt:lpstr>
      <vt:lpstr>Faults_Yr3_23</vt:lpstr>
      <vt:lpstr>Faults_Yr3_24</vt:lpstr>
      <vt:lpstr>Faults_Yr3_25</vt:lpstr>
      <vt:lpstr>Faults_Yr3_26</vt:lpstr>
      <vt:lpstr>Faults_Yr3_27</vt:lpstr>
      <vt:lpstr>Faults_Yr3_28</vt:lpstr>
      <vt:lpstr>Faults_Yr3_29</vt:lpstr>
      <vt:lpstr>Faults_Yr3_3</vt:lpstr>
      <vt:lpstr>Faults_Yr3_30</vt:lpstr>
      <vt:lpstr>Faults_Yr3_31</vt:lpstr>
      <vt:lpstr>Faults_Yr3_32</vt:lpstr>
      <vt:lpstr>Faults_Yr3_33</vt:lpstr>
      <vt:lpstr>Faults_Yr3_34</vt:lpstr>
      <vt:lpstr>Faults_Yr3_35</vt:lpstr>
      <vt:lpstr>Faults_Yr3_36</vt:lpstr>
      <vt:lpstr>Faults_Yr3_37</vt:lpstr>
      <vt:lpstr>Faults_Yr3_38</vt:lpstr>
      <vt:lpstr>Faults_Yr3_39</vt:lpstr>
      <vt:lpstr>Faults_Yr3_4</vt:lpstr>
      <vt:lpstr>Faults_Yr3_40</vt:lpstr>
      <vt:lpstr>Faults_Yr3_41</vt:lpstr>
      <vt:lpstr>Faults_Yr3_42</vt:lpstr>
      <vt:lpstr>Faults_Yr3_43</vt:lpstr>
      <vt:lpstr>Faults_Yr3_44</vt:lpstr>
      <vt:lpstr>Faults_Yr3_45</vt:lpstr>
      <vt:lpstr>Faults_Yr3_46</vt:lpstr>
      <vt:lpstr>Faults_Yr3_47</vt:lpstr>
      <vt:lpstr>Faults_Yr3_48</vt:lpstr>
      <vt:lpstr>Faults_Yr3_49</vt:lpstr>
      <vt:lpstr>Faults_Yr3_5</vt:lpstr>
      <vt:lpstr>Faults_Yr3_50</vt:lpstr>
      <vt:lpstr>Faults_Yr3_51</vt:lpstr>
      <vt:lpstr>Faults_Yr3_52</vt:lpstr>
      <vt:lpstr>Faults_Yr3_53</vt:lpstr>
      <vt:lpstr>Faults_Yr3_54</vt:lpstr>
      <vt:lpstr>Faults_Yr3_55</vt:lpstr>
      <vt:lpstr>Faults_Yr3_56</vt:lpstr>
      <vt:lpstr>Faults_Yr3_57</vt:lpstr>
      <vt:lpstr>Faults_Yr3_58</vt:lpstr>
      <vt:lpstr>Faults_Yr3_59</vt:lpstr>
      <vt:lpstr>Faults_Yr3_6</vt:lpstr>
      <vt:lpstr>Faults_Yr3_60</vt:lpstr>
      <vt:lpstr>Faults_Yr3_61</vt:lpstr>
      <vt:lpstr>Faults_Yr3_7</vt:lpstr>
      <vt:lpstr>Faults_Yr3_8</vt:lpstr>
      <vt:lpstr>Faults_Yr3_9</vt:lpstr>
      <vt:lpstr>Faults_Yr4_1</vt:lpstr>
      <vt:lpstr>Faults_Yr4_10</vt:lpstr>
      <vt:lpstr>Faults_Yr4_11</vt:lpstr>
      <vt:lpstr>Faults_Yr4_12</vt:lpstr>
      <vt:lpstr>Faults_Yr4_13</vt:lpstr>
      <vt:lpstr>Faults_Yr4_14</vt:lpstr>
      <vt:lpstr>Faults_Yr4_15</vt:lpstr>
      <vt:lpstr>Faults_Yr4_16</vt:lpstr>
      <vt:lpstr>Faults_Yr4_17</vt:lpstr>
      <vt:lpstr>Faults_Yr4_18</vt:lpstr>
      <vt:lpstr>Faults_Yr4_19</vt:lpstr>
      <vt:lpstr>Faults_Yr4_2</vt:lpstr>
      <vt:lpstr>Faults_Yr4_20</vt:lpstr>
      <vt:lpstr>Faults_Yr4_21</vt:lpstr>
      <vt:lpstr>Faults_Yr4_22</vt:lpstr>
      <vt:lpstr>Faults_Yr4_23</vt:lpstr>
      <vt:lpstr>Faults_Yr4_24</vt:lpstr>
      <vt:lpstr>Faults_Yr4_25</vt:lpstr>
      <vt:lpstr>Faults_Yr4_26</vt:lpstr>
      <vt:lpstr>Faults_Yr4_27</vt:lpstr>
      <vt:lpstr>Faults_Yr4_28</vt:lpstr>
      <vt:lpstr>Faults_Yr4_29</vt:lpstr>
      <vt:lpstr>Faults_Yr4_3</vt:lpstr>
      <vt:lpstr>Faults_Yr4_30</vt:lpstr>
      <vt:lpstr>Faults_Yr4_31</vt:lpstr>
      <vt:lpstr>Faults_Yr4_32</vt:lpstr>
      <vt:lpstr>Faults_Yr4_33</vt:lpstr>
      <vt:lpstr>Faults_Yr4_34</vt:lpstr>
      <vt:lpstr>Faults_Yr4_35</vt:lpstr>
      <vt:lpstr>Faults_Yr4_36</vt:lpstr>
      <vt:lpstr>Faults_Yr4_37</vt:lpstr>
      <vt:lpstr>Faults_Yr4_38</vt:lpstr>
      <vt:lpstr>Faults_Yr4_39</vt:lpstr>
      <vt:lpstr>Faults_Yr4_4</vt:lpstr>
      <vt:lpstr>Faults_Yr4_40</vt:lpstr>
      <vt:lpstr>Faults_Yr4_41</vt:lpstr>
      <vt:lpstr>Faults_Yr4_42</vt:lpstr>
      <vt:lpstr>Faults_Yr4_43</vt:lpstr>
      <vt:lpstr>Faults_Yr4_44</vt:lpstr>
      <vt:lpstr>Faults_Yr4_45</vt:lpstr>
      <vt:lpstr>Faults_Yr4_46</vt:lpstr>
      <vt:lpstr>Faults_Yr4_47</vt:lpstr>
      <vt:lpstr>Faults_Yr4_48</vt:lpstr>
      <vt:lpstr>Faults_Yr4_49</vt:lpstr>
      <vt:lpstr>Faults_Yr4_5</vt:lpstr>
      <vt:lpstr>Faults_Yr4_50</vt:lpstr>
      <vt:lpstr>Faults_Yr4_51</vt:lpstr>
      <vt:lpstr>Faults_Yr4_52</vt:lpstr>
      <vt:lpstr>Faults_Yr4_53</vt:lpstr>
      <vt:lpstr>Faults_Yr4_54</vt:lpstr>
      <vt:lpstr>Faults_Yr4_55</vt:lpstr>
      <vt:lpstr>Faults_Yr4_56</vt:lpstr>
      <vt:lpstr>Faults_Yr4_57</vt:lpstr>
      <vt:lpstr>Faults_Yr4_58</vt:lpstr>
      <vt:lpstr>Faults_Yr4_59</vt:lpstr>
      <vt:lpstr>Faults_Yr4_6</vt:lpstr>
      <vt:lpstr>Faults_Yr4_60</vt:lpstr>
      <vt:lpstr>Faults_Yr4_61</vt:lpstr>
      <vt:lpstr>Faults_Yr4_7</vt:lpstr>
      <vt:lpstr>Faults_Yr4_8</vt:lpstr>
      <vt:lpstr>Faults_Yr4_9</vt:lpstr>
      <vt:lpstr>Faults_Yr5_1</vt:lpstr>
      <vt:lpstr>Faults_Yr5_10</vt:lpstr>
      <vt:lpstr>Faults_Yr5_11</vt:lpstr>
      <vt:lpstr>Faults_Yr5_12</vt:lpstr>
      <vt:lpstr>Faults_Yr5_13</vt:lpstr>
      <vt:lpstr>Faults_Yr5_14</vt:lpstr>
      <vt:lpstr>Faults_Yr5_15</vt:lpstr>
      <vt:lpstr>Faults_Yr5_16</vt:lpstr>
      <vt:lpstr>Faults_Yr5_17</vt:lpstr>
      <vt:lpstr>Faults_Yr5_18</vt:lpstr>
      <vt:lpstr>Faults_Yr5_19</vt:lpstr>
      <vt:lpstr>Faults_Yr5_2</vt:lpstr>
      <vt:lpstr>Faults_Yr5_20</vt:lpstr>
      <vt:lpstr>Faults_Yr5_21</vt:lpstr>
      <vt:lpstr>Faults_Yr5_22</vt:lpstr>
      <vt:lpstr>Faults_Yr5_23</vt:lpstr>
      <vt:lpstr>Faults_Yr5_24</vt:lpstr>
      <vt:lpstr>Faults_Yr5_25</vt:lpstr>
      <vt:lpstr>Faults_Yr5_26</vt:lpstr>
      <vt:lpstr>Faults_Yr5_27</vt:lpstr>
      <vt:lpstr>Faults_Yr5_28</vt:lpstr>
      <vt:lpstr>Faults_Yr5_29</vt:lpstr>
      <vt:lpstr>Faults_Yr5_3</vt:lpstr>
      <vt:lpstr>Faults_Yr5_30</vt:lpstr>
      <vt:lpstr>Faults_Yr5_31</vt:lpstr>
      <vt:lpstr>Faults_Yr5_32</vt:lpstr>
      <vt:lpstr>Faults_Yr5_33</vt:lpstr>
      <vt:lpstr>Faults_Yr5_34</vt:lpstr>
      <vt:lpstr>Faults_Yr5_35</vt:lpstr>
      <vt:lpstr>Faults_Yr5_36</vt:lpstr>
      <vt:lpstr>Faults_Yr5_37</vt:lpstr>
      <vt:lpstr>Faults_Yr5_38</vt:lpstr>
      <vt:lpstr>Faults_Yr5_39</vt:lpstr>
      <vt:lpstr>Faults_Yr5_4</vt:lpstr>
      <vt:lpstr>Faults_Yr5_40</vt:lpstr>
      <vt:lpstr>Faults_Yr5_41</vt:lpstr>
      <vt:lpstr>Faults_Yr5_42</vt:lpstr>
      <vt:lpstr>Faults_Yr5_43</vt:lpstr>
      <vt:lpstr>Faults_Yr5_44</vt:lpstr>
      <vt:lpstr>Faults_Yr5_45</vt:lpstr>
      <vt:lpstr>Faults_Yr5_46</vt:lpstr>
      <vt:lpstr>Faults_Yr5_47</vt:lpstr>
      <vt:lpstr>Faults_Yr5_48</vt:lpstr>
      <vt:lpstr>Faults_Yr5_49</vt:lpstr>
      <vt:lpstr>Faults_Yr5_5</vt:lpstr>
      <vt:lpstr>Faults_Yr5_50</vt:lpstr>
      <vt:lpstr>Faults_Yr5_51</vt:lpstr>
      <vt:lpstr>Faults_Yr5_52</vt:lpstr>
      <vt:lpstr>Faults_Yr5_53</vt:lpstr>
      <vt:lpstr>Faults_Yr5_54</vt:lpstr>
      <vt:lpstr>Faults_Yr5_55</vt:lpstr>
      <vt:lpstr>Faults_Yr5_56</vt:lpstr>
      <vt:lpstr>Faults_Yr5_57</vt:lpstr>
      <vt:lpstr>Faults_Yr5_58</vt:lpstr>
      <vt:lpstr>Faults_Yr5_59</vt:lpstr>
      <vt:lpstr>Faults_Yr5_6</vt:lpstr>
      <vt:lpstr>Faults_Yr5_60</vt:lpstr>
      <vt:lpstr>Faults_Yr5_61</vt:lpstr>
      <vt:lpstr>Faults_Yr5_7</vt:lpstr>
      <vt:lpstr>Faults_Yr5_8</vt:lpstr>
      <vt:lpstr>Faults_Yr5_9</vt:lpstr>
      <vt:lpstr>HVP_2028_Yr1_1</vt:lpstr>
      <vt:lpstr>HVP_2028_Yr1_10</vt:lpstr>
      <vt:lpstr>HVP_2028_Yr1_11</vt:lpstr>
      <vt:lpstr>HVP_2028_Yr1_12</vt:lpstr>
      <vt:lpstr>HVP_2028_Yr1_13</vt:lpstr>
      <vt:lpstr>HVP_2028_Yr1_14</vt:lpstr>
      <vt:lpstr>HVP_2028_Yr1_15</vt:lpstr>
      <vt:lpstr>HVP_2028_Yr1_16</vt:lpstr>
      <vt:lpstr>HVP_2028_Yr1_17</vt:lpstr>
      <vt:lpstr>HVP_2028_Yr1_18</vt:lpstr>
      <vt:lpstr>HVP_2028_Yr1_19</vt:lpstr>
      <vt:lpstr>HVP_2028_Yr1_2</vt:lpstr>
      <vt:lpstr>HVP_2028_Yr1_20</vt:lpstr>
      <vt:lpstr>HVP_2028_Yr1_21</vt:lpstr>
      <vt:lpstr>HVP_2028_Yr1_22</vt:lpstr>
      <vt:lpstr>HVP_2028_Yr1_23</vt:lpstr>
      <vt:lpstr>HVP_2028_Yr1_24</vt:lpstr>
      <vt:lpstr>HVP_2028_Yr1_25</vt:lpstr>
      <vt:lpstr>HVP_2028_Yr1_26</vt:lpstr>
      <vt:lpstr>HVP_2028_Yr1_27</vt:lpstr>
      <vt:lpstr>HVP_2028_Yr1_28</vt:lpstr>
      <vt:lpstr>HVP_2028_Yr1_29</vt:lpstr>
      <vt:lpstr>HVP_2028_Yr1_3</vt:lpstr>
      <vt:lpstr>HVP_2028_Yr1_30</vt:lpstr>
      <vt:lpstr>HVP_2028_Yr1_31</vt:lpstr>
      <vt:lpstr>HVP_2028_Yr1_32</vt:lpstr>
      <vt:lpstr>HVP_2028_Yr1_33</vt:lpstr>
      <vt:lpstr>HVP_2028_Yr1_34</vt:lpstr>
      <vt:lpstr>HVP_2028_Yr1_35</vt:lpstr>
      <vt:lpstr>HVP_2028_Yr1_36</vt:lpstr>
      <vt:lpstr>HVP_2028_Yr1_37</vt:lpstr>
      <vt:lpstr>HVP_2028_Yr1_38</vt:lpstr>
      <vt:lpstr>HVP_2028_Yr1_39</vt:lpstr>
      <vt:lpstr>HVP_2028_Yr1_4</vt:lpstr>
      <vt:lpstr>HVP_2028_Yr1_40</vt:lpstr>
      <vt:lpstr>HVP_2028_Yr1_41</vt:lpstr>
      <vt:lpstr>HVP_2028_Yr1_42</vt:lpstr>
      <vt:lpstr>HVP_2028_Yr1_43</vt:lpstr>
      <vt:lpstr>HVP_2028_Yr1_44</vt:lpstr>
      <vt:lpstr>HVP_2028_Yr1_45</vt:lpstr>
      <vt:lpstr>HVP_2028_Yr1_46</vt:lpstr>
      <vt:lpstr>HVP_2028_Yr1_47</vt:lpstr>
      <vt:lpstr>HVP_2028_Yr1_48</vt:lpstr>
      <vt:lpstr>HVP_2028_Yr1_49</vt:lpstr>
      <vt:lpstr>HVP_2028_Yr1_5</vt:lpstr>
      <vt:lpstr>HVP_2028_Yr1_50</vt:lpstr>
      <vt:lpstr>HVP_2028_Yr1_51</vt:lpstr>
      <vt:lpstr>HVP_2028_Yr1_52</vt:lpstr>
      <vt:lpstr>HVP_2028_Yr1_53</vt:lpstr>
      <vt:lpstr>HVP_2028_Yr1_54</vt:lpstr>
      <vt:lpstr>HVP_2028_Yr1_55</vt:lpstr>
      <vt:lpstr>HVP_2028_Yr1_56</vt:lpstr>
      <vt:lpstr>HVP_2028_Yr1_57</vt:lpstr>
      <vt:lpstr>HVP_2028_Yr1_58</vt:lpstr>
      <vt:lpstr>HVP_2028_Yr1_59</vt:lpstr>
      <vt:lpstr>HVP_2028_Yr1_6</vt:lpstr>
      <vt:lpstr>HVP_2028_Yr1_60</vt:lpstr>
      <vt:lpstr>HVP_2028_Yr1_61</vt:lpstr>
      <vt:lpstr>HVP_2028_Yr1_7</vt:lpstr>
      <vt:lpstr>HVP_2028_Yr1_8</vt:lpstr>
      <vt:lpstr>HVP_2028_Yr1_9</vt:lpstr>
      <vt:lpstr>HVP_2028_Yr2_1</vt:lpstr>
      <vt:lpstr>HVP_2028_Yr2_10</vt:lpstr>
      <vt:lpstr>HVP_2028_Yr2_11</vt:lpstr>
      <vt:lpstr>HVP_2028_Yr2_12</vt:lpstr>
      <vt:lpstr>HVP_2028_Yr2_13</vt:lpstr>
      <vt:lpstr>HVP_2028_Yr2_14</vt:lpstr>
      <vt:lpstr>HVP_2028_Yr2_15</vt:lpstr>
      <vt:lpstr>HVP_2028_Yr2_16</vt:lpstr>
      <vt:lpstr>HVP_2028_Yr2_17</vt:lpstr>
      <vt:lpstr>HVP_2028_Yr2_18</vt:lpstr>
      <vt:lpstr>HVP_2028_Yr2_19</vt:lpstr>
      <vt:lpstr>HVP_2028_Yr2_2</vt:lpstr>
      <vt:lpstr>HVP_2028_Yr2_20</vt:lpstr>
      <vt:lpstr>HVP_2028_Yr2_21</vt:lpstr>
      <vt:lpstr>HVP_2028_Yr2_22</vt:lpstr>
      <vt:lpstr>HVP_2028_Yr2_23</vt:lpstr>
      <vt:lpstr>HVP_2028_Yr2_24</vt:lpstr>
      <vt:lpstr>HVP_2028_Yr2_25</vt:lpstr>
      <vt:lpstr>HVP_2028_Yr2_26</vt:lpstr>
      <vt:lpstr>HVP_2028_Yr2_27</vt:lpstr>
      <vt:lpstr>HVP_2028_Yr2_28</vt:lpstr>
      <vt:lpstr>HVP_2028_Yr2_29</vt:lpstr>
      <vt:lpstr>HVP_2028_Yr2_3</vt:lpstr>
      <vt:lpstr>HVP_2028_Yr2_30</vt:lpstr>
      <vt:lpstr>HVP_2028_Yr2_31</vt:lpstr>
      <vt:lpstr>HVP_2028_Yr2_32</vt:lpstr>
      <vt:lpstr>HVP_2028_Yr2_33</vt:lpstr>
      <vt:lpstr>HVP_2028_Yr2_34</vt:lpstr>
      <vt:lpstr>HVP_2028_Yr2_35</vt:lpstr>
      <vt:lpstr>HVP_2028_Yr2_36</vt:lpstr>
      <vt:lpstr>HVP_2028_Yr2_37</vt:lpstr>
      <vt:lpstr>HVP_2028_Yr2_38</vt:lpstr>
      <vt:lpstr>HVP_2028_Yr2_39</vt:lpstr>
      <vt:lpstr>HVP_2028_Yr2_4</vt:lpstr>
      <vt:lpstr>HVP_2028_Yr2_40</vt:lpstr>
      <vt:lpstr>HVP_2028_Yr2_41</vt:lpstr>
      <vt:lpstr>HVP_2028_Yr2_42</vt:lpstr>
      <vt:lpstr>HVP_2028_Yr2_43</vt:lpstr>
      <vt:lpstr>HVP_2028_Yr2_44</vt:lpstr>
      <vt:lpstr>HVP_2028_Yr2_45</vt:lpstr>
      <vt:lpstr>HVP_2028_Yr2_46</vt:lpstr>
      <vt:lpstr>HVP_2028_Yr2_47</vt:lpstr>
      <vt:lpstr>HVP_2028_Yr2_48</vt:lpstr>
      <vt:lpstr>HVP_2028_Yr2_49</vt:lpstr>
      <vt:lpstr>HVP_2028_Yr2_5</vt:lpstr>
      <vt:lpstr>HVP_2028_Yr2_50</vt:lpstr>
      <vt:lpstr>HVP_2028_Yr2_51</vt:lpstr>
      <vt:lpstr>HVP_2028_Yr2_52</vt:lpstr>
      <vt:lpstr>HVP_2028_Yr2_53</vt:lpstr>
      <vt:lpstr>HVP_2028_Yr2_54</vt:lpstr>
      <vt:lpstr>HVP_2028_Yr2_55</vt:lpstr>
      <vt:lpstr>HVP_2028_Yr2_56</vt:lpstr>
      <vt:lpstr>HVP_2028_Yr2_57</vt:lpstr>
      <vt:lpstr>HVP_2028_Yr2_58</vt:lpstr>
      <vt:lpstr>HVP_2028_Yr2_59</vt:lpstr>
      <vt:lpstr>HVP_2028_Yr2_6</vt:lpstr>
      <vt:lpstr>HVP_2028_Yr2_60</vt:lpstr>
      <vt:lpstr>HVP_2028_Yr2_61</vt:lpstr>
      <vt:lpstr>HVP_2028_Yr2_7</vt:lpstr>
      <vt:lpstr>HVP_2028_Yr2_8</vt:lpstr>
      <vt:lpstr>HVP_2028_Yr2_9</vt:lpstr>
      <vt:lpstr>HVP_2028_Yr3_1</vt:lpstr>
      <vt:lpstr>HVP_2028_Yr3_10</vt:lpstr>
      <vt:lpstr>HVP_2028_Yr3_11</vt:lpstr>
      <vt:lpstr>HVP_2028_Yr3_12</vt:lpstr>
      <vt:lpstr>HVP_2028_Yr3_13</vt:lpstr>
      <vt:lpstr>HVP_2028_Yr3_14</vt:lpstr>
      <vt:lpstr>HVP_2028_Yr3_15</vt:lpstr>
      <vt:lpstr>HVP_2028_Yr3_16</vt:lpstr>
      <vt:lpstr>HVP_2028_Yr3_17</vt:lpstr>
      <vt:lpstr>HVP_2028_Yr3_18</vt:lpstr>
      <vt:lpstr>HVP_2028_Yr3_19</vt:lpstr>
      <vt:lpstr>HVP_2028_Yr3_2</vt:lpstr>
      <vt:lpstr>HVP_2028_Yr3_20</vt:lpstr>
      <vt:lpstr>HVP_2028_Yr3_21</vt:lpstr>
      <vt:lpstr>HVP_2028_Yr3_22</vt:lpstr>
      <vt:lpstr>HVP_2028_Yr3_23</vt:lpstr>
      <vt:lpstr>HVP_2028_Yr3_24</vt:lpstr>
      <vt:lpstr>HVP_2028_Yr3_25</vt:lpstr>
      <vt:lpstr>HVP_2028_Yr3_26</vt:lpstr>
      <vt:lpstr>HVP_2028_Yr3_27</vt:lpstr>
      <vt:lpstr>HVP_2028_Yr3_28</vt:lpstr>
      <vt:lpstr>HVP_2028_Yr3_29</vt:lpstr>
      <vt:lpstr>HVP_2028_Yr3_3</vt:lpstr>
      <vt:lpstr>HVP_2028_Yr3_30</vt:lpstr>
      <vt:lpstr>HVP_2028_Yr3_31</vt:lpstr>
      <vt:lpstr>HVP_2028_Yr3_32</vt:lpstr>
      <vt:lpstr>HVP_2028_Yr3_33</vt:lpstr>
      <vt:lpstr>HVP_2028_Yr3_34</vt:lpstr>
      <vt:lpstr>HVP_2028_Yr3_35</vt:lpstr>
      <vt:lpstr>HVP_2028_Yr3_36</vt:lpstr>
      <vt:lpstr>HVP_2028_Yr3_37</vt:lpstr>
      <vt:lpstr>HVP_2028_Yr3_38</vt:lpstr>
      <vt:lpstr>HVP_2028_Yr3_39</vt:lpstr>
      <vt:lpstr>HVP_2028_Yr3_4</vt:lpstr>
      <vt:lpstr>HVP_2028_Yr3_40</vt:lpstr>
      <vt:lpstr>HVP_2028_Yr3_41</vt:lpstr>
      <vt:lpstr>HVP_2028_Yr3_42</vt:lpstr>
      <vt:lpstr>HVP_2028_Yr3_43</vt:lpstr>
      <vt:lpstr>HVP_2028_Yr3_44</vt:lpstr>
      <vt:lpstr>HVP_2028_Yr3_45</vt:lpstr>
      <vt:lpstr>HVP_2028_Yr3_46</vt:lpstr>
      <vt:lpstr>HVP_2028_Yr3_47</vt:lpstr>
      <vt:lpstr>HVP_2028_Yr3_48</vt:lpstr>
      <vt:lpstr>HVP_2028_Yr3_49</vt:lpstr>
      <vt:lpstr>HVP_2028_Yr3_5</vt:lpstr>
      <vt:lpstr>HVP_2028_Yr3_50</vt:lpstr>
      <vt:lpstr>HVP_2028_Yr3_51</vt:lpstr>
      <vt:lpstr>HVP_2028_Yr3_52</vt:lpstr>
      <vt:lpstr>HVP_2028_Yr3_53</vt:lpstr>
      <vt:lpstr>HVP_2028_Yr3_54</vt:lpstr>
      <vt:lpstr>HVP_2028_Yr3_55</vt:lpstr>
      <vt:lpstr>HVP_2028_Yr3_56</vt:lpstr>
      <vt:lpstr>HVP_2028_Yr3_57</vt:lpstr>
      <vt:lpstr>HVP_2028_Yr3_58</vt:lpstr>
      <vt:lpstr>HVP_2028_Yr3_59</vt:lpstr>
      <vt:lpstr>HVP_2028_Yr3_6</vt:lpstr>
      <vt:lpstr>HVP_2028_Yr3_60</vt:lpstr>
      <vt:lpstr>HVP_2028_Yr3_61</vt:lpstr>
      <vt:lpstr>HVP_2028_Yr3_7</vt:lpstr>
      <vt:lpstr>HVP_2028_Yr3_8</vt:lpstr>
      <vt:lpstr>HVP_2028_Yr3_9</vt:lpstr>
      <vt:lpstr>HVP_2028_Yr4_1</vt:lpstr>
      <vt:lpstr>HVP_2028_Yr4_10</vt:lpstr>
      <vt:lpstr>HVP_2028_Yr4_11</vt:lpstr>
      <vt:lpstr>HVP_2028_Yr4_12</vt:lpstr>
      <vt:lpstr>HVP_2028_Yr4_13</vt:lpstr>
      <vt:lpstr>HVP_2028_Yr4_14</vt:lpstr>
      <vt:lpstr>HVP_2028_Yr4_15</vt:lpstr>
      <vt:lpstr>HVP_2028_Yr4_16</vt:lpstr>
      <vt:lpstr>HVP_2028_Yr4_17</vt:lpstr>
      <vt:lpstr>HVP_2028_Yr4_18</vt:lpstr>
      <vt:lpstr>HVP_2028_Yr4_19</vt:lpstr>
      <vt:lpstr>HVP_2028_Yr4_2</vt:lpstr>
      <vt:lpstr>HVP_2028_Yr4_20</vt:lpstr>
      <vt:lpstr>HVP_2028_Yr4_21</vt:lpstr>
      <vt:lpstr>HVP_2028_Yr4_22</vt:lpstr>
      <vt:lpstr>HVP_2028_Yr4_23</vt:lpstr>
      <vt:lpstr>HVP_2028_Yr4_24</vt:lpstr>
      <vt:lpstr>HVP_2028_Yr4_25</vt:lpstr>
      <vt:lpstr>HVP_2028_Yr4_26</vt:lpstr>
      <vt:lpstr>HVP_2028_Yr4_27</vt:lpstr>
      <vt:lpstr>HVP_2028_Yr4_28</vt:lpstr>
      <vt:lpstr>HVP_2028_Yr4_29</vt:lpstr>
      <vt:lpstr>HVP_2028_Yr4_3</vt:lpstr>
      <vt:lpstr>HVP_2028_Yr4_30</vt:lpstr>
      <vt:lpstr>HVP_2028_Yr4_31</vt:lpstr>
      <vt:lpstr>HVP_2028_Yr4_32</vt:lpstr>
      <vt:lpstr>HVP_2028_Yr4_33</vt:lpstr>
      <vt:lpstr>HVP_2028_Yr4_34</vt:lpstr>
      <vt:lpstr>HVP_2028_Yr4_35</vt:lpstr>
      <vt:lpstr>HVP_2028_Yr4_36</vt:lpstr>
      <vt:lpstr>HVP_2028_Yr4_37</vt:lpstr>
      <vt:lpstr>HVP_2028_Yr4_38</vt:lpstr>
      <vt:lpstr>HVP_2028_Yr4_39</vt:lpstr>
      <vt:lpstr>HVP_2028_Yr4_4</vt:lpstr>
      <vt:lpstr>HVP_2028_Yr4_40</vt:lpstr>
      <vt:lpstr>HVP_2028_Yr4_41</vt:lpstr>
      <vt:lpstr>HVP_2028_Yr4_42</vt:lpstr>
      <vt:lpstr>HVP_2028_Yr4_43</vt:lpstr>
      <vt:lpstr>HVP_2028_Yr4_44</vt:lpstr>
      <vt:lpstr>HVP_2028_Yr4_45</vt:lpstr>
      <vt:lpstr>HVP_2028_Yr4_46</vt:lpstr>
      <vt:lpstr>HVP_2028_Yr4_47</vt:lpstr>
      <vt:lpstr>HVP_2028_Yr4_48</vt:lpstr>
      <vt:lpstr>HVP_2028_Yr4_49</vt:lpstr>
      <vt:lpstr>HVP_2028_Yr4_5</vt:lpstr>
      <vt:lpstr>HVP_2028_Yr4_50</vt:lpstr>
      <vt:lpstr>HVP_2028_Yr4_51</vt:lpstr>
      <vt:lpstr>HVP_2028_Yr4_52</vt:lpstr>
      <vt:lpstr>HVP_2028_Yr4_53</vt:lpstr>
      <vt:lpstr>HVP_2028_Yr4_54</vt:lpstr>
      <vt:lpstr>HVP_2028_Yr4_55</vt:lpstr>
      <vt:lpstr>HVP_2028_Yr4_56</vt:lpstr>
      <vt:lpstr>HVP_2028_Yr4_57</vt:lpstr>
      <vt:lpstr>HVP_2028_Yr4_58</vt:lpstr>
      <vt:lpstr>HVP_2028_Yr4_59</vt:lpstr>
      <vt:lpstr>HVP_2028_Yr4_6</vt:lpstr>
      <vt:lpstr>HVP_2028_Yr4_60</vt:lpstr>
      <vt:lpstr>HVP_2028_Yr4_61</vt:lpstr>
      <vt:lpstr>HVP_2028_Yr4_7</vt:lpstr>
      <vt:lpstr>HVP_2028_Yr4_8</vt:lpstr>
      <vt:lpstr>HVP_2028_Yr4_9</vt:lpstr>
      <vt:lpstr>HVP_2028_Yr5_1</vt:lpstr>
      <vt:lpstr>HVP_2028_Yr5_10</vt:lpstr>
      <vt:lpstr>HVP_2028_Yr5_11</vt:lpstr>
      <vt:lpstr>HVP_2028_Yr5_12</vt:lpstr>
      <vt:lpstr>HVP_2028_Yr5_13</vt:lpstr>
      <vt:lpstr>HVP_2028_Yr5_14</vt:lpstr>
      <vt:lpstr>HVP_2028_Yr5_15</vt:lpstr>
      <vt:lpstr>HVP_2028_Yr5_16</vt:lpstr>
      <vt:lpstr>HVP_2028_Yr5_17</vt:lpstr>
      <vt:lpstr>HVP_2028_Yr5_18</vt:lpstr>
      <vt:lpstr>HVP_2028_Yr5_19</vt:lpstr>
      <vt:lpstr>HVP_2028_Yr5_2</vt:lpstr>
      <vt:lpstr>HVP_2028_Yr5_20</vt:lpstr>
      <vt:lpstr>HVP_2028_Yr5_21</vt:lpstr>
      <vt:lpstr>HVP_2028_Yr5_22</vt:lpstr>
      <vt:lpstr>HVP_2028_Yr5_23</vt:lpstr>
      <vt:lpstr>HVP_2028_Yr5_24</vt:lpstr>
      <vt:lpstr>HVP_2028_Yr5_25</vt:lpstr>
      <vt:lpstr>HVP_2028_Yr5_26</vt:lpstr>
      <vt:lpstr>HVP_2028_Yr5_27</vt:lpstr>
      <vt:lpstr>HVP_2028_Yr5_28</vt:lpstr>
      <vt:lpstr>HVP_2028_Yr5_29</vt:lpstr>
      <vt:lpstr>HVP_2028_Yr5_3</vt:lpstr>
      <vt:lpstr>HVP_2028_Yr5_30</vt:lpstr>
      <vt:lpstr>HVP_2028_Yr5_31</vt:lpstr>
      <vt:lpstr>HVP_2028_Yr5_32</vt:lpstr>
      <vt:lpstr>HVP_2028_Yr5_33</vt:lpstr>
      <vt:lpstr>HVP_2028_Yr5_34</vt:lpstr>
      <vt:lpstr>HVP_2028_Yr5_35</vt:lpstr>
      <vt:lpstr>HVP_2028_Yr5_36</vt:lpstr>
      <vt:lpstr>HVP_2028_Yr5_37</vt:lpstr>
      <vt:lpstr>HVP_2028_Yr5_38</vt:lpstr>
      <vt:lpstr>HVP_2028_Yr5_39</vt:lpstr>
      <vt:lpstr>HVP_2028_Yr5_4</vt:lpstr>
      <vt:lpstr>HVP_2028_Yr5_40</vt:lpstr>
      <vt:lpstr>HVP_2028_Yr5_41</vt:lpstr>
      <vt:lpstr>HVP_2028_Yr5_42</vt:lpstr>
      <vt:lpstr>HVP_2028_Yr5_43</vt:lpstr>
      <vt:lpstr>HVP_2028_Yr5_44</vt:lpstr>
      <vt:lpstr>HVP_2028_Yr5_45</vt:lpstr>
      <vt:lpstr>HVP_2028_Yr5_46</vt:lpstr>
      <vt:lpstr>HVP_2028_Yr5_47</vt:lpstr>
      <vt:lpstr>HVP_2028_Yr5_48</vt:lpstr>
      <vt:lpstr>HVP_2028_Yr5_49</vt:lpstr>
      <vt:lpstr>HVP_2028_Yr5_5</vt:lpstr>
      <vt:lpstr>HVP_2028_Yr5_50</vt:lpstr>
      <vt:lpstr>HVP_2028_Yr5_51</vt:lpstr>
      <vt:lpstr>HVP_2028_Yr5_52</vt:lpstr>
      <vt:lpstr>HVP_2028_Yr5_53</vt:lpstr>
      <vt:lpstr>HVP_2028_Yr5_54</vt:lpstr>
      <vt:lpstr>HVP_2028_Yr5_55</vt:lpstr>
      <vt:lpstr>HVP_2028_Yr5_56</vt:lpstr>
      <vt:lpstr>HVP_2028_Yr5_57</vt:lpstr>
      <vt:lpstr>HVP_2028_Yr5_58</vt:lpstr>
      <vt:lpstr>HVP_2028_Yr5_59</vt:lpstr>
      <vt:lpstr>HVP_2028_Yr5_6</vt:lpstr>
      <vt:lpstr>HVP_2028_Yr5_60</vt:lpstr>
      <vt:lpstr>HVP_2028_Yr5_61</vt:lpstr>
      <vt:lpstr>HVP_2028_Yr5_7</vt:lpstr>
      <vt:lpstr>HVP_2028_Yr5_8</vt:lpstr>
      <vt:lpstr>HVP_2028_Yr5_9</vt:lpstr>
      <vt:lpstr>HVP_Asset_Replacement_Refurbishment_Yr1_1</vt:lpstr>
      <vt:lpstr>HVP_Asset_Replacement_Refurbishment_Yr1_10</vt:lpstr>
      <vt:lpstr>HVP_Asset_Replacement_Refurbishment_Yr1_11</vt:lpstr>
      <vt:lpstr>HVP_Asset_Replacement_Refurbishment_Yr1_12</vt:lpstr>
      <vt:lpstr>HVP_Asset_Replacement_Refurbishment_Yr1_13</vt:lpstr>
      <vt:lpstr>HVP_Asset_Replacement_Refurbishment_Yr1_14</vt:lpstr>
      <vt:lpstr>HVP_Asset_Replacement_Refurbishment_Yr1_15</vt:lpstr>
      <vt:lpstr>HVP_Asset_Replacement_Refurbishment_Yr1_16</vt:lpstr>
      <vt:lpstr>HVP_Asset_Replacement_Refurbishment_Yr1_17</vt:lpstr>
      <vt:lpstr>HVP_Asset_Replacement_Refurbishment_Yr1_18</vt:lpstr>
      <vt:lpstr>HVP_Asset_Replacement_Refurbishment_Yr1_19</vt:lpstr>
      <vt:lpstr>HVP_Asset_Replacement_Refurbishment_Yr1_2</vt:lpstr>
      <vt:lpstr>HVP_Asset_Replacement_Refurbishment_Yr1_20</vt:lpstr>
      <vt:lpstr>HVP_Asset_Replacement_Refurbishment_Yr1_21</vt:lpstr>
      <vt:lpstr>HVP_Asset_Replacement_Refurbishment_Yr1_22</vt:lpstr>
      <vt:lpstr>HVP_Asset_Replacement_Refurbishment_Yr1_23</vt:lpstr>
      <vt:lpstr>HVP_Asset_Replacement_Refurbishment_Yr1_24</vt:lpstr>
      <vt:lpstr>HVP_Asset_Replacement_Refurbishment_Yr1_25</vt:lpstr>
      <vt:lpstr>HVP_Asset_Replacement_Refurbishment_Yr1_26</vt:lpstr>
      <vt:lpstr>HVP_Asset_Replacement_Refurbishment_Yr1_27</vt:lpstr>
      <vt:lpstr>HVP_Asset_Replacement_Refurbishment_Yr1_28</vt:lpstr>
      <vt:lpstr>HVP_Asset_Replacement_Refurbishment_Yr1_29</vt:lpstr>
      <vt:lpstr>HVP_Asset_Replacement_Refurbishment_Yr1_3</vt:lpstr>
      <vt:lpstr>HVP_Asset_Replacement_Refurbishment_Yr1_30</vt:lpstr>
      <vt:lpstr>HVP_Asset_Replacement_Refurbishment_Yr1_31</vt:lpstr>
      <vt:lpstr>HVP_Asset_Replacement_Refurbishment_Yr1_32</vt:lpstr>
      <vt:lpstr>HVP_Asset_Replacement_Refurbishment_Yr1_33</vt:lpstr>
      <vt:lpstr>HVP_Asset_Replacement_Refurbishment_Yr1_34</vt:lpstr>
      <vt:lpstr>HVP_Asset_Replacement_Refurbishment_Yr1_35</vt:lpstr>
      <vt:lpstr>HVP_Asset_Replacement_Refurbishment_Yr1_36</vt:lpstr>
      <vt:lpstr>HVP_Asset_Replacement_Refurbishment_Yr1_37</vt:lpstr>
      <vt:lpstr>HVP_Asset_Replacement_Refurbishment_Yr1_38</vt:lpstr>
      <vt:lpstr>HVP_Asset_Replacement_Refurbishment_Yr1_39</vt:lpstr>
      <vt:lpstr>HVP_Asset_Replacement_Refurbishment_Yr1_4</vt:lpstr>
      <vt:lpstr>HVP_Asset_Replacement_Refurbishment_Yr1_40</vt:lpstr>
      <vt:lpstr>HVP_Asset_Replacement_Refurbishment_Yr1_41</vt:lpstr>
      <vt:lpstr>HVP_Asset_Replacement_Refurbishment_Yr1_42</vt:lpstr>
      <vt:lpstr>HVP_Asset_Replacement_Refurbishment_Yr1_43</vt:lpstr>
      <vt:lpstr>HVP_Asset_Replacement_Refurbishment_Yr1_44</vt:lpstr>
      <vt:lpstr>HVP_Asset_Replacement_Refurbishment_Yr1_45</vt:lpstr>
      <vt:lpstr>HVP_Asset_Replacement_Refurbishment_Yr1_46</vt:lpstr>
      <vt:lpstr>HVP_Asset_Replacement_Refurbishment_Yr1_47</vt:lpstr>
      <vt:lpstr>HVP_Asset_Replacement_Refurbishment_Yr1_48</vt:lpstr>
      <vt:lpstr>HVP_Asset_Replacement_Refurbishment_Yr1_49</vt:lpstr>
      <vt:lpstr>HVP_Asset_Replacement_Refurbishment_Yr1_5</vt:lpstr>
      <vt:lpstr>HVP_Asset_Replacement_Refurbishment_Yr1_50</vt:lpstr>
      <vt:lpstr>HVP_Asset_Replacement_Refurbishment_Yr1_51</vt:lpstr>
      <vt:lpstr>HVP_Asset_Replacement_Refurbishment_Yr1_52</vt:lpstr>
      <vt:lpstr>HVP_Asset_Replacement_Refurbishment_Yr1_53</vt:lpstr>
      <vt:lpstr>HVP_Asset_Replacement_Refurbishment_Yr1_54</vt:lpstr>
      <vt:lpstr>HVP_Asset_Replacement_Refurbishment_Yr1_55</vt:lpstr>
      <vt:lpstr>HVP_Asset_Replacement_Refurbishment_Yr1_56</vt:lpstr>
      <vt:lpstr>HVP_Asset_Replacement_Refurbishment_Yr1_57</vt:lpstr>
      <vt:lpstr>HVP_Asset_Replacement_Refurbishment_Yr1_58</vt:lpstr>
      <vt:lpstr>HVP_Asset_Replacement_Refurbishment_Yr1_59</vt:lpstr>
      <vt:lpstr>HVP_Asset_Replacement_Refurbishment_Yr1_6</vt:lpstr>
      <vt:lpstr>HVP_Asset_Replacement_Refurbishment_Yr1_60</vt:lpstr>
      <vt:lpstr>HVP_Asset_Replacement_Refurbishment_Yr1_61</vt:lpstr>
      <vt:lpstr>HVP_Asset_Replacement_Refurbishment_Yr1_7</vt:lpstr>
      <vt:lpstr>HVP_Asset_Replacement_Refurbishment_Yr1_8</vt:lpstr>
      <vt:lpstr>HVP_Asset_Replacement_Refurbishment_Yr1_9</vt:lpstr>
      <vt:lpstr>HVP_Asset_Replacement_Refurbishment_Yr2_1</vt:lpstr>
      <vt:lpstr>HVP_Asset_Replacement_Refurbishment_Yr2_10</vt:lpstr>
      <vt:lpstr>HVP_Asset_Replacement_Refurbishment_Yr2_11</vt:lpstr>
      <vt:lpstr>HVP_Asset_Replacement_Refurbishment_Yr2_12</vt:lpstr>
      <vt:lpstr>HVP_Asset_Replacement_Refurbishment_Yr2_13</vt:lpstr>
      <vt:lpstr>HVP_Asset_Replacement_Refurbishment_Yr2_14</vt:lpstr>
      <vt:lpstr>HVP_Asset_Replacement_Refurbishment_Yr2_15</vt:lpstr>
      <vt:lpstr>HVP_Asset_Replacement_Refurbishment_Yr2_16</vt:lpstr>
      <vt:lpstr>HVP_Asset_Replacement_Refurbishment_Yr2_17</vt:lpstr>
      <vt:lpstr>HVP_Asset_Replacement_Refurbishment_Yr2_18</vt:lpstr>
      <vt:lpstr>HVP_Asset_Replacement_Refurbishment_Yr2_19</vt:lpstr>
      <vt:lpstr>HVP_Asset_Replacement_Refurbishment_Yr2_2</vt:lpstr>
      <vt:lpstr>HVP_Asset_Replacement_Refurbishment_Yr2_20</vt:lpstr>
      <vt:lpstr>HVP_Asset_Replacement_Refurbishment_Yr2_21</vt:lpstr>
      <vt:lpstr>HVP_Asset_Replacement_Refurbishment_Yr2_22</vt:lpstr>
      <vt:lpstr>HVP_Asset_Replacement_Refurbishment_Yr2_23</vt:lpstr>
      <vt:lpstr>HVP_Asset_Replacement_Refurbishment_Yr2_24</vt:lpstr>
      <vt:lpstr>HVP_Asset_Replacement_Refurbishment_Yr2_25</vt:lpstr>
      <vt:lpstr>HVP_Asset_Replacement_Refurbishment_Yr2_26</vt:lpstr>
      <vt:lpstr>HVP_Asset_Replacement_Refurbishment_Yr2_27</vt:lpstr>
      <vt:lpstr>HVP_Asset_Replacement_Refurbishment_Yr2_28</vt:lpstr>
      <vt:lpstr>HVP_Asset_Replacement_Refurbishment_Yr2_29</vt:lpstr>
      <vt:lpstr>HVP_Asset_Replacement_Refurbishment_Yr2_3</vt:lpstr>
      <vt:lpstr>HVP_Asset_Replacement_Refurbishment_Yr2_30</vt:lpstr>
      <vt:lpstr>HVP_Asset_Replacement_Refurbishment_Yr2_31</vt:lpstr>
      <vt:lpstr>HVP_Asset_Replacement_Refurbishment_Yr2_32</vt:lpstr>
      <vt:lpstr>HVP_Asset_Replacement_Refurbishment_Yr2_33</vt:lpstr>
      <vt:lpstr>HVP_Asset_Replacement_Refurbishment_Yr2_34</vt:lpstr>
      <vt:lpstr>HVP_Asset_Replacement_Refurbishment_Yr2_35</vt:lpstr>
      <vt:lpstr>HVP_Asset_Replacement_Refurbishment_Yr2_36</vt:lpstr>
      <vt:lpstr>HVP_Asset_Replacement_Refurbishment_Yr2_37</vt:lpstr>
      <vt:lpstr>HVP_Asset_Replacement_Refurbishment_Yr2_38</vt:lpstr>
      <vt:lpstr>HVP_Asset_Replacement_Refurbishment_Yr2_39</vt:lpstr>
      <vt:lpstr>HVP_Asset_Replacement_Refurbishment_Yr2_4</vt:lpstr>
      <vt:lpstr>HVP_Asset_Replacement_Refurbishment_Yr2_40</vt:lpstr>
      <vt:lpstr>HVP_Asset_Replacement_Refurbishment_Yr2_41</vt:lpstr>
      <vt:lpstr>HVP_Asset_Replacement_Refurbishment_Yr2_42</vt:lpstr>
      <vt:lpstr>HVP_Asset_Replacement_Refurbishment_Yr2_43</vt:lpstr>
      <vt:lpstr>HVP_Asset_Replacement_Refurbishment_Yr2_44</vt:lpstr>
      <vt:lpstr>HVP_Asset_Replacement_Refurbishment_Yr2_45</vt:lpstr>
      <vt:lpstr>HVP_Asset_Replacement_Refurbishment_Yr2_46</vt:lpstr>
      <vt:lpstr>HVP_Asset_Replacement_Refurbishment_Yr2_47</vt:lpstr>
      <vt:lpstr>HVP_Asset_Replacement_Refurbishment_Yr2_48</vt:lpstr>
      <vt:lpstr>HVP_Asset_Replacement_Refurbishment_Yr2_49</vt:lpstr>
      <vt:lpstr>HVP_Asset_Replacement_Refurbishment_Yr2_5</vt:lpstr>
      <vt:lpstr>HVP_Asset_Replacement_Refurbishment_Yr2_50</vt:lpstr>
      <vt:lpstr>HVP_Asset_Replacement_Refurbishment_Yr2_51</vt:lpstr>
      <vt:lpstr>HVP_Asset_Replacement_Refurbishment_Yr2_52</vt:lpstr>
      <vt:lpstr>HVP_Asset_Replacement_Refurbishment_Yr2_53</vt:lpstr>
      <vt:lpstr>HVP_Asset_Replacement_Refurbishment_Yr2_54</vt:lpstr>
      <vt:lpstr>HVP_Asset_Replacement_Refurbishment_Yr2_55</vt:lpstr>
      <vt:lpstr>HVP_Asset_Replacement_Refurbishment_Yr2_56</vt:lpstr>
      <vt:lpstr>HVP_Asset_Replacement_Refurbishment_Yr2_57</vt:lpstr>
      <vt:lpstr>HVP_Asset_Replacement_Refurbishment_Yr2_58</vt:lpstr>
      <vt:lpstr>HVP_Asset_Replacement_Refurbishment_Yr2_59</vt:lpstr>
      <vt:lpstr>HVP_Asset_Replacement_Refurbishment_Yr2_6</vt:lpstr>
      <vt:lpstr>HVP_Asset_Replacement_Refurbishment_Yr2_60</vt:lpstr>
      <vt:lpstr>HVP_Asset_Replacement_Refurbishment_Yr2_61</vt:lpstr>
      <vt:lpstr>HVP_Asset_Replacement_Refurbishment_Yr2_7</vt:lpstr>
      <vt:lpstr>HVP_Asset_Replacement_Refurbishment_Yr2_8</vt:lpstr>
      <vt:lpstr>HVP_Asset_Replacement_Refurbishment_Yr2_9</vt:lpstr>
      <vt:lpstr>HVP_Asset_Replacement_Refurbishment_Yr3_1</vt:lpstr>
      <vt:lpstr>HVP_Asset_Replacement_Refurbishment_Yr3_10</vt:lpstr>
      <vt:lpstr>HVP_Asset_Replacement_Refurbishment_Yr3_11</vt:lpstr>
      <vt:lpstr>HVP_Asset_Replacement_Refurbishment_Yr3_12</vt:lpstr>
      <vt:lpstr>HVP_Asset_Replacement_Refurbishment_Yr3_13</vt:lpstr>
      <vt:lpstr>HVP_Asset_Replacement_Refurbishment_Yr3_14</vt:lpstr>
      <vt:lpstr>HVP_Asset_Replacement_Refurbishment_Yr3_15</vt:lpstr>
      <vt:lpstr>HVP_Asset_Replacement_Refurbishment_Yr3_16</vt:lpstr>
      <vt:lpstr>HVP_Asset_Replacement_Refurbishment_Yr3_17</vt:lpstr>
      <vt:lpstr>HVP_Asset_Replacement_Refurbishment_Yr3_18</vt:lpstr>
      <vt:lpstr>HVP_Asset_Replacement_Refurbishment_Yr3_19</vt:lpstr>
      <vt:lpstr>HVP_Asset_Replacement_Refurbishment_Yr3_2</vt:lpstr>
      <vt:lpstr>HVP_Asset_Replacement_Refurbishment_Yr3_20</vt:lpstr>
      <vt:lpstr>HVP_Asset_Replacement_Refurbishment_Yr3_21</vt:lpstr>
      <vt:lpstr>HVP_Asset_Replacement_Refurbishment_Yr3_22</vt:lpstr>
      <vt:lpstr>HVP_Asset_Replacement_Refurbishment_Yr3_23</vt:lpstr>
      <vt:lpstr>HVP_Asset_Replacement_Refurbishment_Yr3_24</vt:lpstr>
      <vt:lpstr>HVP_Asset_Replacement_Refurbishment_Yr3_25</vt:lpstr>
      <vt:lpstr>HVP_Asset_Replacement_Refurbishment_Yr3_26</vt:lpstr>
      <vt:lpstr>HVP_Asset_Replacement_Refurbishment_Yr3_27</vt:lpstr>
      <vt:lpstr>HVP_Asset_Replacement_Refurbishment_Yr3_28</vt:lpstr>
      <vt:lpstr>HVP_Asset_Replacement_Refurbishment_Yr3_29</vt:lpstr>
      <vt:lpstr>HVP_Asset_Replacement_Refurbishment_Yr3_3</vt:lpstr>
      <vt:lpstr>HVP_Asset_Replacement_Refurbishment_Yr3_30</vt:lpstr>
      <vt:lpstr>HVP_Asset_Replacement_Refurbishment_Yr3_31</vt:lpstr>
      <vt:lpstr>HVP_Asset_Replacement_Refurbishment_Yr3_32</vt:lpstr>
      <vt:lpstr>HVP_Asset_Replacement_Refurbishment_Yr3_33</vt:lpstr>
      <vt:lpstr>HVP_Asset_Replacement_Refurbishment_Yr3_34</vt:lpstr>
      <vt:lpstr>HVP_Asset_Replacement_Refurbishment_Yr3_35</vt:lpstr>
      <vt:lpstr>HVP_Asset_Replacement_Refurbishment_Yr3_36</vt:lpstr>
      <vt:lpstr>HVP_Asset_Replacement_Refurbishment_Yr3_37</vt:lpstr>
      <vt:lpstr>HVP_Asset_Replacement_Refurbishment_Yr3_38</vt:lpstr>
      <vt:lpstr>HVP_Asset_Replacement_Refurbishment_Yr3_39</vt:lpstr>
      <vt:lpstr>HVP_Asset_Replacement_Refurbishment_Yr3_4</vt:lpstr>
      <vt:lpstr>HVP_Asset_Replacement_Refurbishment_Yr3_40</vt:lpstr>
      <vt:lpstr>HVP_Asset_Replacement_Refurbishment_Yr3_41</vt:lpstr>
      <vt:lpstr>HVP_Asset_Replacement_Refurbishment_Yr3_42</vt:lpstr>
      <vt:lpstr>HVP_Asset_Replacement_Refurbishment_Yr3_43</vt:lpstr>
      <vt:lpstr>HVP_Asset_Replacement_Refurbishment_Yr3_44</vt:lpstr>
      <vt:lpstr>HVP_Asset_Replacement_Refurbishment_Yr3_45</vt:lpstr>
      <vt:lpstr>HVP_Asset_Replacement_Refurbishment_Yr3_46</vt:lpstr>
      <vt:lpstr>HVP_Asset_Replacement_Refurbishment_Yr3_47</vt:lpstr>
      <vt:lpstr>HVP_Asset_Replacement_Refurbishment_Yr3_48</vt:lpstr>
      <vt:lpstr>HVP_Asset_Replacement_Refurbishment_Yr3_49</vt:lpstr>
      <vt:lpstr>HVP_Asset_Replacement_Refurbishment_Yr3_5</vt:lpstr>
      <vt:lpstr>HVP_Asset_Replacement_Refurbishment_Yr3_50</vt:lpstr>
      <vt:lpstr>HVP_Asset_Replacement_Refurbishment_Yr3_51</vt:lpstr>
      <vt:lpstr>HVP_Asset_Replacement_Refurbishment_Yr3_52</vt:lpstr>
      <vt:lpstr>HVP_Asset_Replacement_Refurbishment_Yr3_53</vt:lpstr>
      <vt:lpstr>HVP_Asset_Replacement_Refurbishment_Yr3_54</vt:lpstr>
      <vt:lpstr>HVP_Asset_Replacement_Refurbishment_Yr3_55</vt:lpstr>
      <vt:lpstr>HVP_Asset_Replacement_Refurbishment_Yr3_56</vt:lpstr>
      <vt:lpstr>HVP_Asset_Replacement_Refurbishment_Yr3_57</vt:lpstr>
      <vt:lpstr>HVP_Asset_Replacement_Refurbishment_Yr3_58</vt:lpstr>
      <vt:lpstr>HVP_Asset_Replacement_Refurbishment_Yr3_59</vt:lpstr>
      <vt:lpstr>HVP_Asset_Replacement_Refurbishment_Yr3_6</vt:lpstr>
      <vt:lpstr>HVP_Asset_Replacement_Refurbishment_Yr3_60</vt:lpstr>
      <vt:lpstr>HVP_Asset_Replacement_Refurbishment_Yr3_61</vt:lpstr>
      <vt:lpstr>HVP_Asset_Replacement_Refurbishment_Yr3_7</vt:lpstr>
      <vt:lpstr>HVP_Asset_Replacement_Refurbishment_Yr3_8</vt:lpstr>
      <vt:lpstr>HVP_Asset_Replacement_Refurbishment_Yr3_9</vt:lpstr>
      <vt:lpstr>HVP_Asset_Replacement_Refurbishment_Yr4_1</vt:lpstr>
      <vt:lpstr>HVP_Asset_Replacement_Refurbishment_Yr4_10</vt:lpstr>
      <vt:lpstr>HVP_Asset_Replacement_Refurbishment_Yr4_11</vt:lpstr>
      <vt:lpstr>HVP_Asset_Replacement_Refurbishment_Yr4_12</vt:lpstr>
      <vt:lpstr>HVP_Asset_Replacement_Refurbishment_Yr4_13</vt:lpstr>
      <vt:lpstr>HVP_Asset_Replacement_Refurbishment_Yr4_14</vt:lpstr>
      <vt:lpstr>HVP_Asset_Replacement_Refurbishment_Yr4_15</vt:lpstr>
      <vt:lpstr>HVP_Asset_Replacement_Refurbishment_Yr4_16</vt:lpstr>
      <vt:lpstr>HVP_Asset_Replacement_Refurbishment_Yr4_17</vt:lpstr>
      <vt:lpstr>HVP_Asset_Replacement_Refurbishment_Yr4_18</vt:lpstr>
      <vt:lpstr>HVP_Asset_Replacement_Refurbishment_Yr4_19</vt:lpstr>
      <vt:lpstr>HVP_Asset_Replacement_Refurbishment_Yr4_2</vt:lpstr>
      <vt:lpstr>HVP_Asset_Replacement_Refurbishment_Yr4_20</vt:lpstr>
      <vt:lpstr>HVP_Asset_Replacement_Refurbishment_Yr4_21</vt:lpstr>
      <vt:lpstr>HVP_Asset_Replacement_Refurbishment_Yr4_22</vt:lpstr>
      <vt:lpstr>HVP_Asset_Replacement_Refurbishment_Yr4_23</vt:lpstr>
      <vt:lpstr>HVP_Asset_Replacement_Refurbishment_Yr4_24</vt:lpstr>
      <vt:lpstr>HVP_Asset_Replacement_Refurbishment_Yr4_25</vt:lpstr>
      <vt:lpstr>HVP_Asset_Replacement_Refurbishment_Yr4_26</vt:lpstr>
      <vt:lpstr>HVP_Asset_Replacement_Refurbishment_Yr4_27</vt:lpstr>
      <vt:lpstr>HVP_Asset_Replacement_Refurbishment_Yr4_28</vt:lpstr>
      <vt:lpstr>HVP_Asset_Replacement_Refurbishment_Yr4_29</vt:lpstr>
      <vt:lpstr>HVP_Asset_Replacement_Refurbishment_Yr4_3</vt:lpstr>
      <vt:lpstr>HVP_Asset_Replacement_Refurbishment_Yr4_30</vt:lpstr>
      <vt:lpstr>HVP_Asset_Replacement_Refurbishment_Yr4_31</vt:lpstr>
      <vt:lpstr>HVP_Asset_Replacement_Refurbishment_Yr4_32</vt:lpstr>
      <vt:lpstr>HVP_Asset_Replacement_Refurbishment_Yr4_33</vt:lpstr>
      <vt:lpstr>HVP_Asset_Replacement_Refurbishment_Yr4_34</vt:lpstr>
      <vt:lpstr>HVP_Asset_Replacement_Refurbishment_Yr4_35</vt:lpstr>
      <vt:lpstr>HVP_Asset_Replacement_Refurbishment_Yr4_36</vt:lpstr>
      <vt:lpstr>HVP_Asset_Replacement_Refurbishment_Yr4_37</vt:lpstr>
      <vt:lpstr>HVP_Asset_Replacement_Refurbishment_Yr4_38</vt:lpstr>
      <vt:lpstr>HVP_Asset_Replacement_Refurbishment_Yr4_39</vt:lpstr>
      <vt:lpstr>HVP_Asset_Replacement_Refurbishment_Yr4_4</vt:lpstr>
      <vt:lpstr>HVP_Asset_Replacement_Refurbishment_Yr4_40</vt:lpstr>
      <vt:lpstr>HVP_Asset_Replacement_Refurbishment_Yr4_41</vt:lpstr>
      <vt:lpstr>HVP_Asset_Replacement_Refurbishment_Yr4_42</vt:lpstr>
      <vt:lpstr>HVP_Asset_Replacement_Refurbishment_Yr4_43</vt:lpstr>
      <vt:lpstr>HVP_Asset_Replacement_Refurbishment_Yr4_44</vt:lpstr>
      <vt:lpstr>HVP_Asset_Replacement_Refurbishment_Yr4_45</vt:lpstr>
      <vt:lpstr>HVP_Asset_Replacement_Refurbishment_Yr4_46</vt:lpstr>
      <vt:lpstr>HVP_Asset_Replacement_Refurbishment_Yr4_47</vt:lpstr>
      <vt:lpstr>HVP_Asset_Replacement_Refurbishment_Yr4_48</vt:lpstr>
      <vt:lpstr>HVP_Asset_Replacement_Refurbishment_Yr4_49</vt:lpstr>
      <vt:lpstr>HVP_Asset_Replacement_Refurbishment_Yr4_5</vt:lpstr>
      <vt:lpstr>HVP_Asset_Replacement_Refurbishment_Yr4_50</vt:lpstr>
      <vt:lpstr>HVP_Asset_Replacement_Refurbishment_Yr4_51</vt:lpstr>
      <vt:lpstr>HVP_Asset_Replacement_Refurbishment_Yr4_52</vt:lpstr>
      <vt:lpstr>HVP_Asset_Replacement_Refurbishment_Yr4_53</vt:lpstr>
      <vt:lpstr>HVP_Asset_Replacement_Refurbishment_Yr4_54</vt:lpstr>
      <vt:lpstr>HVP_Asset_Replacement_Refurbishment_Yr4_55</vt:lpstr>
      <vt:lpstr>HVP_Asset_Replacement_Refurbishment_Yr4_56</vt:lpstr>
      <vt:lpstr>HVP_Asset_Replacement_Refurbishment_Yr4_57</vt:lpstr>
      <vt:lpstr>HVP_Asset_Replacement_Refurbishment_Yr4_58</vt:lpstr>
      <vt:lpstr>HVP_Asset_Replacement_Refurbishment_Yr4_59</vt:lpstr>
      <vt:lpstr>HVP_Asset_Replacement_Refurbishment_Yr4_6</vt:lpstr>
      <vt:lpstr>HVP_Asset_Replacement_Refurbishment_Yr4_60</vt:lpstr>
      <vt:lpstr>HVP_Asset_Replacement_Refurbishment_Yr4_61</vt:lpstr>
      <vt:lpstr>HVP_Asset_Replacement_Refurbishment_Yr4_7</vt:lpstr>
      <vt:lpstr>HVP_Asset_Replacement_Refurbishment_Yr4_8</vt:lpstr>
      <vt:lpstr>HVP_Asset_Replacement_Refurbishment_Yr4_9</vt:lpstr>
      <vt:lpstr>HVP_Asset_Replacement_Refurbishment_Yr5_1</vt:lpstr>
      <vt:lpstr>HVP_Asset_Replacement_Refurbishment_Yr5_10</vt:lpstr>
      <vt:lpstr>HVP_Asset_Replacement_Refurbishment_Yr5_11</vt:lpstr>
      <vt:lpstr>HVP_Asset_Replacement_Refurbishment_Yr5_12</vt:lpstr>
      <vt:lpstr>HVP_Asset_Replacement_Refurbishment_Yr5_13</vt:lpstr>
      <vt:lpstr>HVP_Asset_Replacement_Refurbishment_Yr5_14</vt:lpstr>
      <vt:lpstr>HVP_Asset_Replacement_Refurbishment_Yr5_15</vt:lpstr>
      <vt:lpstr>HVP_Asset_Replacement_Refurbishment_Yr5_16</vt:lpstr>
      <vt:lpstr>HVP_Asset_Replacement_Refurbishment_Yr5_17</vt:lpstr>
      <vt:lpstr>HVP_Asset_Replacement_Refurbishment_Yr5_18</vt:lpstr>
      <vt:lpstr>HVP_Asset_Replacement_Refurbishment_Yr5_19</vt:lpstr>
      <vt:lpstr>HVP_Asset_Replacement_Refurbishment_Yr5_2</vt:lpstr>
      <vt:lpstr>HVP_Asset_Replacement_Refurbishment_Yr5_20</vt:lpstr>
      <vt:lpstr>HVP_Asset_Replacement_Refurbishment_Yr5_21</vt:lpstr>
      <vt:lpstr>HVP_Asset_Replacement_Refurbishment_Yr5_22</vt:lpstr>
      <vt:lpstr>HVP_Asset_Replacement_Refurbishment_Yr5_23</vt:lpstr>
      <vt:lpstr>HVP_Asset_Replacement_Refurbishment_Yr5_24</vt:lpstr>
      <vt:lpstr>HVP_Asset_Replacement_Refurbishment_Yr5_25</vt:lpstr>
      <vt:lpstr>HVP_Asset_Replacement_Refurbishment_Yr5_26</vt:lpstr>
      <vt:lpstr>HVP_Asset_Replacement_Refurbishment_Yr5_27</vt:lpstr>
      <vt:lpstr>HVP_Asset_Replacement_Refurbishment_Yr5_28</vt:lpstr>
      <vt:lpstr>HVP_Asset_Replacement_Refurbishment_Yr5_29</vt:lpstr>
      <vt:lpstr>HVP_Asset_Replacement_Refurbishment_Yr5_3</vt:lpstr>
      <vt:lpstr>HVP_Asset_Replacement_Refurbishment_Yr5_30</vt:lpstr>
      <vt:lpstr>HVP_Asset_Replacement_Refurbishment_Yr5_31</vt:lpstr>
      <vt:lpstr>HVP_Asset_Replacement_Refurbishment_Yr5_32</vt:lpstr>
      <vt:lpstr>HVP_Asset_Replacement_Refurbishment_Yr5_33</vt:lpstr>
      <vt:lpstr>HVP_Asset_Replacement_Refurbishment_Yr5_34</vt:lpstr>
      <vt:lpstr>HVP_Asset_Replacement_Refurbishment_Yr5_35</vt:lpstr>
      <vt:lpstr>HVP_Asset_Replacement_Refurbishment_Yr5_36</vt:lpstr>
      <vt:lpstr>HVP_Asset_Replacement_Refurbishment_Yr5_37</vt:lpstr>
      <vt:lpstr>HVP_Asset_Replacement_Refurbishment_Yr5_38</vt:lpstr>
      <vt:lpstr>HVP_Asset_Replacement_Refurbishment_Yr5_39</vt:lpstr>
      <vt:lpstr>HVP_Asset_Replacement_Refurbishment_Yr5_4</vt:lpstr>
      <vt:lpstr>HVP_Asset_Replacement_Refurbishment_Yr5_40</vt:lpstr>
      <vt:lpstr>HVP_Asset_Replacement_Refurbishment_Yr5_41</vt:lpstr>
      <vt:lpstr>HVP_Asset_Replacement_Refurbishment_Yr5_42</vt:lpstr>
      <vt:lpstr>HVP_Asset_Replacement_Refurbishment_Yr5_43</vt:lpstr>
      <vt:lpstr>HVP_Asset_Replacement_Refurbishment_Yr5_44</vt:lpstr>
      <vt:lpstr>HVP_Asset_Replacement_Refurbishment_Yr5_45</vt:lpstr>
      <vt:lpstr>HVP_Asset_Replacement_Refurbishment_Yr5_46</vt:lpstr>
      <vt:lpstr>HVP_Asset_Replacement_Refurbishment_Yr5_47</vt:lpstr>
      <vt:lpstr>HVP_Asset_Replacement_Refurbishment_Yr5_48</vt:lpstr>
      <vt:lpstr>HVP_Asset_Replacement_Refurbishment_Yr5_49</vt:lpstr>
      <vt:lpstr>HVP_Asset_Replacement_Refurbishment_Yr5_5</vt:lpstr>
      <vt:lpstr>HVP_Asset_Replacement_Refurbishment_Yr5_50</vt:lpstr>
      <vt:lpstr>HVP_Asset_Replacement_Refurbishment_Yr5_51</vt:lpstr>
      <vt:lpstr>HVP_Asset_Replacement_Refurbishment_Yr5_52</vt:lpstr>
      <vt:lpstr>HVP_Asset_Replacement_Refurbishment_Yr5_53</vt:lpstr>
      <vt:lpstr>HVP_Asset_Replacement_Refurbishment_Yr5_54</vt:lpstr>
      <vt:lpstr>HVP_Asset_Replacement_Refurbishment_Yr5_55</vt:lpstr>
      <vt:lpstr>HVP_Asset_Replacement_Refurbishment_Yr5_56</vt:lpstr>
      <vt:lpstr>HVP_Asset_Replacement_Refurbishment_Yr5_57</vt:lpstr>
      <vt:lpstr>HVP_Asset_Replacement_Refurbishment_Yr5_58</vt:lpstr>
      <vt:lpstr>HVP_Asset_Replacement_Refurbishment_Yr5_59</vt:lpstr>
      <vt:lpstr>HVP_Asset_Replacement_Refurbishment_Yr5_6</vt:lpstr>
      <vt:lpstr>HVP_Asset_Replacement_Refurbishment_Yr5_60</vt:lpstr>
      <vt:lpstr>HVP_Asset_Replacement_Refurbishment_Yr5_61</vt:lpstr>
      <vt:lpstr>HVP_Asset_Replacement_Refurbishment_Yr5_7</vt:lpstr>
      <vt:lpstr>HVP_Asset_Replacement_Refurbishment_Yr5_8</vt:lpstr>
      <vt:lpstr>HVP_Asset_Replacement_Refurbishment_Yr5_9</vt:lpstr>
      <vt:lpstr>HVP_Other_Yr1_1</vt:lpstr>
      <vt:lpstr>HVP_Other_Yr1_10</vt:lpstr>
      <vt:lpstr>HVP_Other_Yr1_11</vt:lpstr>
      <vt:lpstr>HVP_Other_Yr1_12</vt:lpstr>
      <vt:lpstr>HVP_Other_Yr1_13</vt:lpstr>
      <vt:lpstr>HVP_Other_Yr1_14</vt:lpstr>
      <vt:lpstr>HVP_Other_Yr1_15</vt:lpstr>
      <vt:lpstr>HVP_Other_Yr1_16</vt:lpstr>
      <vt:lpstr>HVP_Other_Yr1_17</vt:lpstr>
      <vt:lpstr>HVP_Other_Yr1_18</vt:lpstr>
      <vt:lpstr>HVP_Other_Yr1_19</vt:lpstr>
      <vt:lpstr>HVP_Other_Yr1_2</vt:lpstr>
      <vt:lpstr>HVP_Other_Yr1_20</vt:lpstr>
      <vt:lpstr>HVP_Other_Yr1_21</vt:lpstr>
      <vt:lpstr>HVP_Other_Yr1_22</vt:lpstr>
      <vt:lpstr>HVP_Other_Yr1_23</vt:lpstr>
      <vt:lpstr>HVP_Other_Yr1_24</vt:lpstr>
      <vt:lpstr>HVP_Other_Yr1_25</vt:lpstr>
      <vt:lpstr>HVP_Other_Yr1_26</vt:lpstr>
      <vt:lpstr>HVP_Other_Yr1_27</vt:lpstr>
      <vt:lpstr>HVP_Other_Yr1_28</vt:lpstr>
      <vt:lpstr>HVP_Other_Yr1_29</vt:lpstr>
      <vt:lpstr>HVP_Other_Yr1_3</vt:lpstr>
      <vt:lpstr>HVP_Other_Yr1_30</vt:lpstr>
      <vt:lpstr>HVP_Other_Yr1_31</vt:lpstr>
      <vt:lpstr>HVP_Other_Yr1_32</vt:lpstr>
      <vt:lpstr>HVP_Other_Yr1_33</vt:lpstr>
      <vt:lpstr>HVP_Other_Yr1_34</vt:lpstr>
      <vt:lpstr>HVP_Other_Yr1_35</vt:lpstr>
      <vt:lpstr>HVP_Other_Yr1_36</vt:lpstr>
      <vt:lpstr>HVP_Other_Yr1_37</vt:lpstr>
      <vt:lpstr>HVP_Other_Yr1_38</vt:lpstr>
      <vt:lpstr>HVP_Other_Yr1_39</vt:lpstr>
      <vt:lpstr>HVP_Other_Yr1_4</vt:lpstr>
      <vt:lpstr>HVP_Other_Yr1_40</vt:lpstr>
      <vt:lpstr>HVP_Other_Yr1_41</vt:lpstr>
      <vt:lpstr>HVP_Other_Yr1_42</vt:lpstr>
      <vt:lpstr>HVP_Other_Yr1_43</vt:lpstr>
      <vt:lpstr>HVP_Other_Yr1_44</vt:lpstr>
      <vt:lpstr>HVP_Other_Yr1_45</vt:lpstr>
      <vt:lpstr>HVP_Other_Yr1_46</vt:lpstr>
      <vt:lpstr>HVP_Other_Yr1_47</vt:lpstr>
      <vt:lpstr>HVP_Other_Yr1_48</vt:lpstr>
      <vt:lpstr>HVP_Other_Yr1_49</vt:lpstr>
      <vt:lpstr>HVP_Other_Yr1_5</vt:lpstr>
      <vt:lpstr>HVP_Other_Yr1_50</vt:lpstr>
      <vt:lpstr>HVP_Other_Yr1_51</vt:lpstr>
      <vt:lpstr>HVP_Other_Yr1_52</vt:lpstr>
      <vt:lpstr>HVP_Other_Yr1_53</vt:lpstr>
      <vt:lpstr>HVP_Other_Yr1_54</vt:lpstr>
      <vt:lpstr>HVP_Other_Yr1_55</vt:lpstr>
      <vt:lpstr>HVP_Other_Yr1_56</vt:lpstr>
      <vt:lpstr>HVP_Other_Yr1_57</vt:lpstr>
      <vt:lpstr>HVP_Other_Yr1_58</vt:lpstr>
      <vt:lpstr>HVP_Other_Yr1_59</vt:lpstr>
      <vt:lpstr>HVP_Other_Yr1_6</vt:lpstr>
      <vt:lpstr>HVP_Other_Yr1_60</vt:lpstr>
      <vt:lpstr>HVP_Other_Yr1_61</vt:lpstr>
      <vt:lpstr>HVP_Other_Yr1_7</vt:lpstr>
      <vt:lpstr>HVP_Other_Yr1_8</vt:lpstr>
      <vt:lpstr>HVP_Other_Yr1_9</vt:lpstr>
      <vt:lpstr>HVP_Other_Yr2_1</vt:lpstr>
      <vt:lpstr>HVP_Other_Yr2_10</vt:lpstr>
      <vt:lpstr>HVP_Other_Yr2_11</vt:lpstr>
      <vt:lpstr>HVP_Other_Yr2_12</vt:lpstr>
      <vt:lpstr>HVP_Other_Yr2_13</vt:lpstr>
      <vt:lpstr>HVP_Other_Yr2_14</vt:lpstr>
      <vt:lpstr>HVP_Other_Yr2_15</vt:lpstr>
      <vt:lpstr>HVP_Other_Yr2_16</vt:lpstr>
      <vt:lpstr>HVP_Other_Yr2_17</vt:lpstr>
      <vt:lpstr>HVP_Other_Yr2_18</vt:lpstr>
      <vt:lpstr>HVP_Other_Yr2_19</vt:lpstr>
      <vt:lpstr>HVP_Other_Yr2_2</vt:lpstr>
      <vt:lpstr>HVP_Other_Yr2_20</vt:lpstr>
      <vt:lpstr>HVP_Other_Yr2_21</vt:lpstr>
      <vt:lpstr>HVP_Other_Yr2_22</vt:lpstr>
      <vt:lpstr>HVP_Other_Yr2_23</vt:lpstr>
      <vt:lpstr>HVP_Other_Yr2_24</vt:lpstr>
      <vt:lpstr>HVP_Other_Yr2_25</vt:lpstr>
      <vt:lpstr>HVP_Other_Yr2_26</vt:lpstr>
      <vt:lpstr>HVP_Other_Yr2_27</vt:lpstr>
      <vt:lpstr>HVP_Other_Yr2_28</vt:lpstr>
      <vt:lpstr>HVP_Other_Yr2_29</vt:lpstr>
      <vt:lpstr>HVP_Other_Yr2_3</vt:lpstr>
      <vt:lpstr>HVP_Other_Yr2_30</vt:lpstr>
      <vt:lpstr>HVP_Other_Yr2_31</vt:lpstr>
      <vt:lpstr>HVP_Other_Yr2_32</vt:lpstr>
      <vt:lpstr>HVP_Other_Yr2_33</vt:lpstr>
      <vt:lpstr>HVP_Other_Yr2_34</vt:lpstr>
      <vt:lpstr>HVP_Other_Yr2_35</vt:lpstr>
      <vt:lpstr>HVP_Other_Yr2_36</vt:lpstr>
      <vt:lpstr>HVP_Other_Yr2_37</vt:lpstr>
      <vt:lpstr>HVP_Other_Yr2_38</vt:lpstr>
      <vt:lpstr>HVP_Other_Yr2_39</vt:lpstr>
      <vt:lpstr>HVP_Other_Yr2_4</vt:lpstr>
      <vt:lpstr>HVP_Other_Yr2_40</vt:lpstr>
      <vt:lpstr>HVP_Other_Yr2_41</vt:lpstr>
      <vt:lpstr>HVP_Other_Yr2_42</vt:lpstr>
      <vt:lpstr>HVP_Other_Yr2_43</vt:lpstr>
      <vt:lpstr>HVP_Other_Yr2_44</vt:lpstr>
      <vt:lpstr>HVP_Other_Yr2_45</vt:lpstr>
      <vt:lpstr>HVP_Other_Yr2_46</vt:lpstr>
      <vt:lpstr>HVP_Other_Yr2_47</vt:lpstr>
      <vt:lpstr>HVP_Other_Yr2_48</vt:lpstr>
      <vt:lpstr>HVP_Other_Yr2_49</vt:lpstr>
      <vt:lpstr>HVP_Other_Yr2_5</vt:lpstr>
      <vt:lpstr>HVP_Other_Yr2_50</vt:lpstr>
      <vt:lpstr>HVP_Other_Yr2_51</vt:lpstr>
      <vt:lpstr>HVP_Other_Yr2_52</vt:lpstr>
      <vt:lpstr>HVP_Other_Yr2_53</vt:lpstr>
      <vt:lpstr>HVP_Other_Yr2_54</vt:lpstr>
      <vt:lpstr>HVP_Other_Yr2_55</vt:lpstr>
      <vt:lpstr>HVP_Other_Yr2_56</vt:lpstr>
      <vt:lpstr>HVP_Other_Yr2_57</vt:lpstr>
      <vt:lpstr>HVP_Other_Yr2_58</vt:lpstr>
      <vt:lpstr>HVP_Other_Yr2_59</vt:lpstr>
      <vt:lpstr>HVP_Other_Yr2_6</vt:lpstr>
      <vt:lpstr>HVP_Other_Yr2_60</vt:lpstr>
      <vt:lpstr>HVP_Other_Yr2_61</vt:lpstr>
      <vt:lpstr>HVP_Other_Yr2_7</vt:lpstr>
      <vt:lpstr>HVP_Other_Yr2_8</vt:lpstr>
      <vt:lpstr>HVP_Other_Yr2_9</vt:lpstr>
      <vt:lpstr>HVP_Other_Yr3_1</vt:lpstr>
      <vt:lpstr>HVP_Other_Yr3_10</vt:lpstr>
      <vt:lpstr>HVP_Other_Yr3_11</vt:lpstr>
      <vt:lpstr>HVP_Other_Yr3_12</vt:lpstr>
      <vt:lpstr>HVP_Other_Yr3_13</vt:lpstr>
      <vt:lpstr>HVP_Other_Yr3_14</vt:lpstr>
      <vt:lpstr>HVP_Other_Yr3_15</vt:lpstr>
      <vt:lpstr>HVP_Other_Yr3_16</vt:lpstr>
      <vt:lpstr>HVP_Other_Yr3_17</vt:lpstr>
      <vt:lpstr>HVP_Other_Yr3_18</vt:lpstr>
      <vt:lpstr>HVP_Other_Yr3_19</vt:lpstr>
      <vt:lpstr>HVP_Other_Yr3_2</vt:lpstr>
      <vt:lpstr>HVP_Other_Yr3_20</vt:lpstr>
      <vt:lpstr>HVP_Other_Yr3_21</vt:lpstr>
      <vt:lpstr>HVP_Other_Yr3_22</vt:lpstr>
      <vt:lpstr>HVP_Other_Yr3_23</vt:lpstr>
      <vt:lpstr>HVP_Other_Yr3_24</vt:lpstr>
      <vt:lpstr>HVP_Other_Yr3_25</vt:lpstr>
      <vt:lpstr>HVP_Other_Yr3_26</vt:lpstr>
      <vt:lpstr>HVP_Other_Yr3_27</vt:lpstr>
      <vt:lpstr>HVP_Other_Yr3_28</vt:lpstr>
      <vt:lpstr>HVP_Other_Yr3_29</vt:lpstr>
      <vt:lpstr>HVP_Other_Yr3_3</vt:lpstr>
      <vt:lpstr>HVP_Other_Yr3_30</vt:lpstr>
      <vt:lpstr>HVP_Other_Yr3_31</vt:lpstr>
      <vt:lpstr>HVP_Other_Yr3_32</vt:lpstr>
      <vt:lpstr>HVP_Other_Yr3_33</vt:lpstr>
      <vt:lpstr>HVP_Other_Yr3_34</vt:lpstr>
      <vt:lpstr>HVP_Other_Yr3_35</vt:lpstr>
      <vt:lpstr>HVP_Other_Yr3_36</vt:lpstr>
      <vt:lpstr>HVP_Other_Yr3_37</vt:lpstr>
      <vt:lpstr>HVP_Other_Yr3_38</vt:lpstr>
      <vt:lpstr>HVP_Other_Yr3_39</vt:lpstr>
      <vt:lpstr>HVP_Other_Yr3_4</vt:lpstr>
      <vt:lpstr>HVP_Other_Yr3_40</vt:lpstr>
      <vt:lpstr>HVP_Other_Yr3_41</vt:lpstr>
      <vt:lpstr>HVP_Other_Yr3_42</vt:lpstr>
      <vt:lpstr>HVP_Other_Yr3_43</vt:lpstr>
      <vt:lpstr>HVP_Other_Yr3_44</vt:lpstr>
      <vt:lpstr>HVP_Other_Yr3_45</vt:lpstr>
      <vt:lpstr>HVP_Other_Yr3_46</vt:lpstr>
      <vt:lpstr>HVP_Other_Yr3_47</vt:lpstr>
      <vt:lpstr>HVP_Other_Yr3_48</vt:lpstr>
      <vt:lpstr>HVP_Other_Yr3_49</vt:lpstr>
      <vt:lpstr>HVP_Other_Yr3_5</vt:lpstr>
      <vt:lpstr>HVP_Other_Yr3_50</vt:lpstr>
      <vt:lpstr>HVP_Other_Yr3_51</vt:lpstr>
      <vt:lpstr>HVP_Other_Yr3_52</vt:lpstr>
      <vt:lpstr>HVP_Other_Yr3_53</vt:lpstr>
      <vt:lpstr>HVP_Other_Yr3_54</vt:lpstr>
      <vt:lpstr>HVP_Other_Yr3_55</vt:lpstr>
      <vt:lpstr>HVP_Other_Yr3_56</vt:lpstr>
      <vt:lpstr>HVP_Other_Yr3_57</vt:lpstr>
      <vt:lpstr>HVP_Other_Yr3_58</vt:lpstr>
      <vt:lpstr>HVP_Other_Yr3_59</vt:lpstr>
      <vt:lpstr>HVP_Other_Yr3_6</vt:lpstr>
      <vt:lpstr>HVP_Other_Yr3_60</vt:lpstr>
      <vt:lpstr>HVP_Other_Yr3_61</vt:lpstr>
      <vt:lpstr>HVP_Other_Yr3_7</vt:lpstr>
      <vt:lpstr>HVP_Other_Yr3_8</vt:lpstr>
      <vt:lpstr>HVP_Other_Yr3_9</vt:lpstr>
      <vt:lpstr>HVP_Other_Yr4_1</vt:lpstr>
      <vt:lpstr>HVP_Other_Yr4_10</vt:lpstr>
      <vt:lpstr>HVP_Other_Yr4_11</vt:lpstr>
      <vt:lpstr>HVP_Other_Yr4_12</vt:lpstr>
      <vt:lpstr>HVP_Other_Yr4_13</vt:lpstr>
      <vt:lpstr>HVP_Other_Yr4_14</vt:lpstr>
      <vt:lpstr>HVP_Other_Yr4_15</vt:lpstr>
      <vt:lpstr>HVP_Other_Yr4_16</vt:lpstr>
      <vt:lpstr>HVP_Other_Yr4_17</vt:lpstr>
      <vt:lpstr>HVP_Other_Yr4_18</vt:lpstr>
      <vt:lpstr>HVP_Other_Yr4_19</vt:lpstr>
      <vt:lpstr>HVP_Other_Yr4_2</vt:lpstr>
      <vt:lpstr>HVP_Other_Yr4_20</vt:lpstr>
      <vt:lpstr>HVP_Other_Yr4_21</vt:lpstr>
      <vt:lpstr>HVP_Other_Yr4_22</vt:lpstr>
      <vt:lpstr>HVP_Other_Yr4_23</vt:lpstr>
      <vt:lpstr>HVP_Other_Yr4_24</vt:lpstr>
      <vt:lpstr>HVP_Other_Yr4_25</vt:lpstr>
      <vt:lpstr>HVP_Other_Yr4_26</vt:lpstr>
      <vt:lpstr>HVP_Other_Yr4_27</vt:lpstr>
      <vt:lpstr>HVP_Other_Yr4_28</vt:lpstr>
      <vt:lpstr>HVP_Other_Yr4_29</vt:lpstr>
      <vt:lpstr>HVP_Other_Yr4_3</vt:lpstr>
      <vt:lpstr>HVP_Other_Yr4_30</vt:lpstr>
      <vt:lpstr>HVP_Other_Yr4_31</vt:lpstr>
      <vt:lpstr>HVP_Other_Yr4_32</vt:lpstr>
      <vt:lpstr>HVP_Other_Yr4_33</vt:lpstr>
      <vt:lpstr>HVP_Other_Yr4_34</vt:lpstr>
      <vt:lpstr>HVP_Other_Yr4_35</vt:lpstr>
      <vt:lpstr>HVP_Other_Yr4_36</vt:lpstr>
      <vt:lpstr>HVP_Other_Yr4_37</vt:lpstr>
      <vt:lpstr>HVP_Other_Yr4_38</vt:lpstr>
      <vt:lpstr>HVP_Other_Yr4_39</vt:lpstr>
      <vt:lpstr>HVP_Other_Yr4_4</vt:lpstr>
      <vt:lpstr>HVP_Other_Yr4_40</vt:lpstr>
      <vt:lpstr>HVP_Other_Yr4_41</vt:lpstr>
      <vt:lpstr>HVP_Other_Yr4_42</vt:lpstr>
      <vt:lpstr>HVP_Other_Yr4_43</vt:lpstr>
      <vt:lpstr>HVP_Other_Yr4_44</vt:lpstr>
      <vt:lpstr>HVP_Other_Yr4_45</vt:lpstr>
      <vt:lpstr>HVP_Other_Yr4_46</vt:lpstr>
      <vt:lpstr>HVP_Other_Yr4_47</vt:lpstr>
      <vt:lpstr>HVP_Other_Yr4_48</vt:lpstr>
      <vt:lpstr>HVP_Other_Yr4_49</vt:lpstr>
      <vt:lpstr>HVP_Other_Yr4_5</vt:lpstr>
      <vt:lpstr>HVP_Other_Yr4_50</vt:lpstr>
      <vt:lpstr>HVP_Other_Yr4_51</vt:lpstr>
      <vt:lpstr>HVP_Other_Yr4_52</vt:lpstr>
      <vt:lpstr>HVP_Other_Yr4_53</vt:lpstr>
      <vt:lpstr>HVP_Other_Yr4_54</vt:lpstr>
      <vt:lpstr>HVP_Other_Yr4_55</vt:lpstr>
      <vt:lpstr>HVP_Other_Yr4_56</vt:lpstr>
      <vt:lpstr>HVP_Other_Yr4_57</vt:lpstr>
      <vt:lpstr>HVP_Other_Yr4_58</vt:lpstr>
      <vt:lpstr>HVP_Other_Yr4_59</vt:lpstr>
      <vt:lpstr>HVP_Other_Yr4_6</vt:lpstr>
      <vt:lpstr>HVP_Other_Yr4_60</vt:lpstr>
      <vt:lpstr>HVP_Other_Yr4_61</vt:lpstr>
      <vt:lpstr>HVP_Other_Yr4_7</vt:lpstr>
      <vt:lpstr>HVP_Other_Yr4_8</vt:lpstr>
      <vt:lpstr>HVP_Other_Yr4_9</vt:lpstr>
      <vt:lpstr>HVP_Other_Yr5_1</vt:lpstr>
      <vt:lpstr>HVP_Other_Yr5_10</vt:lpstr>
      <vt:lpstr>HVP_Other_Yr5_11</vt:lpstr>
      <vt:lpstr>HVP_Other_Yr5_12</vt:lpstr>
      <vt:lpstr>HVP_Other_Yr5_13</vt:lpstr>
      <vt:lpstr>HVP_Other_Yr5_14</vt:lpstr>
      <vt:lpstr>HVP_Other_Yr5_15</vt:lpstr>
      <vt:lpstr>HVP_Other_Yr5_16</vt:lpstr>
      <vt:lpstr>HVP_Other_Yr5_17</vt:lpstr>
      <vt:lpstr>HVP_Other_Yr5_18</vt:lpstr>
      <vt:lpstr>HVP_Other_Yr5_19</vt:lpstr>
      <vt:lpstr>HVP_Other_Yr5_2</vt:lpstr>
      <vt:lpstr>HVP_Other_Yr5_20</vt:lpstr>
      <vt:lpstr>HVP_Other_Yr5_21</vt:lpstr>
      <vt:lpstr>HVP_Other_Yr5_22</vt:lpstr>
      <vt:lpstr>HVP_Other_Yr5_23</vt:lpstr>
      <vt:lpstr>HVP_Other_Yr5_24</vt:lpstr>
      <vt:lpstr>HVP_Other_Yr5_25</vt:lpstr>
      <vt:lpstr>HVP_Other_Yr5_26</vt:lpstr>
      <vt:lpstr>HVP_Other_Yr5_27</vt:lpstr>
      <vt:lpstr>HVP_Other_Yr5_28</vt:lpstr>
      <vt:lpstr>HVP_Other_Yr5_29</vt:lpstr>
      <vt:lpstr>HVP_Other_Yr5_3</vt:lpstr>
      <vt:lpstr>HVP_Other_Yr5_30</vt:lpstr>
      <vt:lpstr>HVP_Other_Yr5_31</vt:lpstr>
      <vt:lpstr>HVP_Other_Yr5_32</vt:lpstr>
      <vt:lpstr>HVP_Other_Yr5_33</vt:lpstr>
      <vt:lpstr>HVP_Other_Yr5_34</vt:lpstr>
      <vt:lpstr>HVP_Other_Yr5_35</vt:lpstr>
      <vt:lpstr>HVP_Other_Yr5_36</vt:lpstr>
      <vt:lpstr>HVP_Other_Yr5_37</vt:lpstr>
      <vt:lpstr>HVP_Other_Yr5_38</vt:lpstr>
      <vt:lpstr>HVP_Other_Yr5_39</vt:lpstr>
      <vt:lpstr>HVP_Other_Yr5_4</vt:lpstr>
      <vt:lpstr>HVP_Other_Yr5_40</vt:lpstr>
      <vt:lpstr>HVP_Other_Yr5_41</vt:lpstr>
      <vt:lpstr>HVP_Other_Yr5_42</vt:lpstr>
      <vt:lpstr>HVP_Other_Yr5_43</vt:lpstr>
      <vt:lpstr>HVP_Other_Yr5_44</vt:lpstr>
      <vt:lpstr>HVP_Other_Yr5_45</vt:lpstr>
      <vt:lpstr>HVP_Other_Yr5_46</vt:lpstr>
      <vt:lpstr>HVP_Other_Yr5_47</vt:lpstr>
      <vt:lpstr>HVP_Other_Yr5_48</vt:lpstr>
      <vt:lpstr>HVP_Other_Yr5_49</vt:lpstr>
      <vt:lpstr>HVP_Other_Yr5_5</vt:lpstr>
      <vt:lpstr>HVP_Other_Yr5_50</vt:lpstr>
      <vt:lpstr>HVP_Other_Yr5_51</vt:lpstr>
      <vt:lpstr>HVP_Other_Yr5_52</vt:lpstr>
      <vt:lpstr>HVP_Other_Yr5_53</vt:lpstr>
      <vt:lpstr>HVP_Other_Yr5_54</vt:lpstr>
      <vt:lpstr>HVP_Other_Yr5_55</vt:lpstr>
      <vt:lpstr>HVP_Other_Yr5_56</vt:lpstr>
      <vt:lpstr>HVP_Other_Yr5_57</vt:lpstr>
      <vt:lpstr>HVP_Other_Yr5_58</vt:lpstr>
      <vt:lpstr>HVP_Other_Yr5_59</vt:lpstr>
      <vt:lpstr>HVP_Other_Yr5_6</vt:lpstr>
      <vt:lpstr>HVP_Other_Yr5_60</vt:lpstr>
      <vt:lpstr>HVP_Other_Yr5_61</vt:lpstr>
      <vt:lpstr>HVP_Other_Yr5_7</vt:lpstr>
      <vt:lpstr>HVP_Other_Yr5_8</vt:lpstr>
      <vt:lpstr>HVP_Other_Yr5_9</vt:lpstr>
      <vt:lpstr>Long_Term_Monetised_Risk_1</vt:lpstr>
      <vt:lpstr>Long_Term_Monetised_Risk_10</vt:lpstr>
      <vt:lpstr>Long_Term_Monetised_Risk_11</vt:lpstr>
      <vt:lpstr>Long_Term_Monetised_Risk_12</vt:lpstr>
      <vt:lpstr>Long_Term_Monetised_Risk_13</vt:lpstr>
      <vt:lpstr>Long_Term_Monetised_Risk_14</vt:lpstr>
      <vt:lpstr>Long_Term_Monetised_Risk_15</vt:lpstr>
      <vt:lpstr>Long_Term_Monetised_Risk_16</vt:lpstr>
      <vt:lpstr>Long_Term_Monetised_Risk_17</vt:lpstr>
      <vt:lpstr>Long_Term_Monetised_Risk_18</vt:lpstr>
      <vt:lpstr>Long_Term_Monetised_Risk_19</vt:lpstr>
      <vt:lpstr>Long_Term_Monetised_Risk_2</vt:lpstr>
      <vt:lpstr>Long_Term_Monetised_Risk_20</vt:lpstr>
      <vt:lpstr>Long_Term_Monetised_Risk_21</vt:lpstr>
      <vt:lpstr>Long_Term_Monetised_Risk_22</vt:lpstr>
      <vt:lpstr>Long_Term_Monetised_Risk_23</vt:lpstr>
      <vt:lpstr>Long_Term_Monetised_Risk_24</vt:lpstr>
      <vt:lpstr>Long_Term_Monetised_Risk_25</vt:lpstr>
      <vt:lpstr>Long_Term_Monetised_Risk_26</vt:lpstr>
      <vt:lpstr>Long_Term_Monetised_Risk_27</vt:lpstr>
      <vt:lpstr>Long_Term_Monetised_Risk_28</vt:lpstr>
      <vt:lpstr>Long_Term_Monetised_Risk_29</vt:lpstr>
      <vt:lpstr>Long_Term_Monetised_Risk_3</vt:lpstr>
      <vt:lpstr>Long_Term_Monetised_Risk_30</vt:lpstr>
      <vt:lpstr>Long_Term_Monetised_Risk_31</vt:lpstr>
      <vt:lpstr>Long_Term_Monetised_Risk_32</vt:lpstr>
      <vt:lpstr>Long_Term_Monetised_Risk_33</vt:lpstr>
      <vt:lpstr>Long_Term_Monetised_Risk_34</vt:lpstr>
      <vt:lpstr>Long_Term_Monetised_Risk_35</vt:lpstr>
      <vt:lpstr>Long_Term_Monetised_Risk_36</vt:lpstr>
      <vt:lpstr>Long_Term_Monetised_Risk_37</vt:lpstr>
      <vt:lpstr>Long_Term_Monetised_Risk_38</vt:lpstr>
      <vt:lpstr>Long_Term_Monetised_Risk_39</vt:lpstr>
      <vt:lpstr>Long_Term_Monetised_Risk_4</vt:lpstr>
      <vt:lpstr>Long_Term_Monetised_Risk_40</vt:lpstr>
      <vt:lpstr>Long_Term_Monetised_Risk_41</vt:lpstr>
      <vt:lpstr>Long_Term_Monetised_Risk_42</vt:lpstr>
      <vt:lpstr>Long_Term_Monetised_Risk_43</vt:lpstr>
      <vt:lpstr>Long_Term_Monetised_Risk_44</vt:lpstr>
      <vt:lpstr>Long_Term_Monetised_Risk_45</vt:lpstr>
      <vt:lpstr>Long_Term_Monetised_Risk_46</vt:lpstr>
      <vt:lpstr>Long_Term_Monetised_Risk_47</vt:lpstr>
      <vt:lpstr>Long_Term_Monetised_Risk_48</vt:lpstr>
      <vt:lpstr>Long_Term_Monetised_Risk_49</vt:lpstr>
      <vt:lpstr>Long_Term_Monetised_Risk_5</vt:lpstr>
      <vt:lpstr>Long_Term_Monetised_Risk_50</vt:lpstr>
      <vt:lpstr>Long_Term_Monetised_Risk_51</vt:lpstr>
      <vt:lpstr>Long_Term_Monetised_Risk_52</vt:lpstr>
      <vt:lpstr>Long_Term_Monetised_Risk_53</vt:lpstr>
      <vt:lpstr>Long_Term_Monetised_Risk_54</vt:lpstr>
      <vt:lpstr>Long_Term_Monetised_Risk_55</vt:lpstr>
      <vt:lpstr>Long_Term_Monetised_Risk_56</vt:lpstr>
      <vt:lpstr>Long_Term_Monetised_Risk_57</vt:lpstr>
      <vt:lpstr>Long_Term_Monetised_Risk_58</vt:lpstr>
      <vt:lpstr>Long_Term_Monetised_Risk_59</vt:lpstr>
      <vt:lpstr>Long_Term_Monetised_Risk_6</vt:lpstr>
      <vt:lpstr>Long_Term_Monetised_Risk_60</vt:lpstr>
      <vt:lpstr>Long_Term_Monetised_Risk_61</vt:lpstr>
      <vt:lpstr>Long_Term_Monetised_Risk_7</vt:lpstr>
      <vt:lpstr>Long_Term_Monetised_Risk_8</vt:lpstr>
      <vt:lpstr>Long_Term_Monetised_Risk_9</vt:lpstr>
      <vt:lpstr>Other_Risk_Movements_Yr1_1</vt:lpstr>
      <vt:lpstr>Other_Risk_Movements_Yr1_10</vt:lpstr>
      <vt:lpstr>Other_Risk_Movements_Yr1_11</vt:lpstr>
      <vt:lpstr>Other_Risk_Movements_Yr1_12</vt:lpstr>
      <vt:lpstr>Other_Risk_Movements_Yr1_13</vt:lpstr>
      <vt:lpstr>Other_Risk_Movements_Yr1_14</vt:lpstr>
      <vt:lpstr>Other_Risk_Movements_Yr1_15</vt:lpstr>
      <vt:lpstr>Other_Risk_Movements_Yr1_16</vt:lpstr>
      <vt:lpstr>Other_Risk_Movements_Yr1_17</vt:lpstr>
      <vt:lpstr>Other_Risk_Movements_Yr1_18</vt:lpstr>
      <vt:lpstr>Other_Risk_Movements_Yr1_19</vt:lpstr>
      <vt:lpstr>Other_Risk_Movements_Yr1_2</vt:lpstr>
      <vt:lpstr>Other_Risk_Movements_Yr1_20</vt:lpstr>
      <vt:lpstr>Other_Risk_Movements_Yr1_21</vt:lpstr>
      <vt:lpstr>Other_Risk_Movements_Yr1_22</vt:lpstr>
      <vt:lpstr>Other_Risk_Movements_Yr1_23</vt:lpstr>
      <vt:lpstr>Other_Risk_Movements_Yr1_24</vt:lpstr>
      <vt:lpstr>Other_Risk_Movements_Yr1_25</vt:lpstr>
      <vt:lpstr>Other_Risk_Movements_Yr1_26</vt:lpstr>
      <vt:lpstr>Other_Risk_Movements_Yr1_27</vt:lpstr>
      <vt:lpstr>Other_Risk_Movements_Yr1_28</vt:lpstr>
      <vt:lpstr>Other_Risk_Movements_Yr1_29</vt:lpstr>
      <vt:lpstr>Other_Risk_Movements_Yr1_3</vt:lpstr>
      <vt:lpstr>Other_Risk_Movements_Yr1_30</vt:lpstr>
      <vt:lpstr>Other_Risk_Movements_Yr1_31</vt:lpstr>
      <vt:lpstr>Other_Risk_Movements_Yr1_32</vt:lpstr>
      <vt:lpstr>Other_Risk_Movements_Yr1_33</vt:lpstr>
      <vt:lpstr>Other_Risk_Movements_Yr1_34</vt:lpstr>
      <vt:lpstr>Other_Risk_Movements_Yr1_35</vt:lpstr>
      <vt:lpstr>Other_Risk_Movements_Yr1_36</vt:lpstr>
      <vt:lpstr>Other_Risk_Movements_Yr1_37</vt:lpstr>
      <vt:lpstr>Other_Risk_Movements_Yr1_38</vt:lpstr>
      <vt:lpstr>Other_Risk_Movements_Yr1_39</vt:lpstr>
      <vt:lpstr>Other_Risk_Movements_Yr1_4</vt:lpstr>
      <vt:lpstr>Other_Risk_Movements_Yr1_40</vt:lpstr>
      <vt:lpstr>Other_Risk_Movements_Yr1_41</vt:lpstr>
      <vt:lpstr>Other_Risk_Movements_Yr1_42</vt:lpstr>
      <vt:lpstr>Other_Risk_Movements_Yr1_43</vt:lpstr>
      <vt:lpstr>Other_Risk_Movements_Yr1_44</vt:lpstr>
      <vt:lpstr>Other_Risk_Movements_Yr1_45</vt:lpstr>
      <vt:lpstr>Other_Risk_Movements_Yr1_46</vt:lpstr>
      <vt:lpstr>Other_Risk_Movements_Yr1_47</vt:lpstr>
      <vt:lpstr>Other_Risk_Movements_Yr1_48</vt:lpstr>
      <vt:lpstr>Other_Risk_Movements_Yr1_49</vt:lpstr>
      <vt:lpstr>Other_Risk_Movements_Yr1_5</vt:lpstr>
      <vt:lpstr>Other_Risk_Movements_Yr1_50</vt:lpstr>
      <vt:lpstr>Other_Risk_Movements_Yr1_51</vt:lpstr>
      <vt:lpstr>Other_Risk_Movements_Yr1_52</vt:lpstr>
      <vt:lpstr>Other_Risk_Movements_Yr1_53</vt:lpstr>
      <vt:lpstr>Other_Risk_Movements_Yr1_54</vt:lpstr>
      <vt:lpstr>Other_Risk_Movements_Yr1_55</vt:lpstr>
      <vt:lpstr>Other_Risk_Movements_Yr1_56</vt:lpstr>
      <vt:lpstr>Other_Risk_Movements_Yr1_57</vt:lpstr>
      <vt:lpstr>Other_Risk_Movements_Yr1_58</vt:lpstr>
      <vt:lpstr>Other_Risk_Movements_Yr1_59</vt:lpstr>
      <vt:lpstr>Other_Risk_Movements_Yr1_6</vt:lpstr>
      <vt:lpstr>Other_Risk_Movements_Yr1_60</vt:lpstr>
      <vt:lpstr>Other_Risk_Movements_Yr1_61</vt:lpstr>
      <vt:lpstr>Other_Risk_Movements_Yr1_7</vt:lpstr>
      <vt:lpstr>Other_Risk_Movements_Yr1_8</vt:lpstr>
      <vt:lpstr>Other_Risk_Movements_Yr1_9</vt:lpstr>
      <vt:lpstr>Other_Risk_Movements_Yr2_1</vt:lpstr>
      <vt:lpstr>Other_Risk_Movements_Yr2_10</vt:lpstr>
      <vt:lpstr>Other_Risk_Movements_Yr2_11</vt:lpstr>
      <vt:lpstr>Other_Risk_Movements_Yr2_12</vt:lpstr>
      <vt:lpstr>Other_Risk_Movements_Yr2_13</vt:lpstr>
      <vt:lpstr>Other_Risk_Movements_Yr2_14</vt:lpstr>
      <vt:lpstr>Other_Risk_Movements_Yr2_15</vt:lpstr>
      <vt:lpstr>Other_Risk_Movements_Yr2_16</vt:lpstr>
      <vt:lpstr>Other_Risk_Movements_Yr2_17</vt:lpstr>
      <vt:lpstr>Other_Risk_Movements_Yr2_18</vt:lpstr>
      <vt:lpstr>Other_Risk_Movements_Yr2_19</vt:lpstr>
      <vt:lpstr>Other_Risk_Movements_Yr2_2</vt:lpstr>
      <vt:lpstr>Other_Risk_Movements_Yr2_20</vt:lpstr>
      <vt:lpstr>Other_Risk_Movements_Yr2_21</vt:lpstr>
      <vt:lpstr>Other_Risk_Movements_Yr2_22</vt:lpstr>
      <vt:lpstr>Other_Risk_Movements_Yr2_23</vt:lpstr>
      <vt:lpstr>Other_Risk_Movements_Yr2_24</vt:lpstr>
      <vt:lpstr>Other_Risk_Movements_Yr2_25</vt:lpstr>
      <vt:lpstr>Other_Risk_Movements_Yr2_26</vt:lpstr>
      <vt:lpstr>Other_Risk_Movements_Yr2_27</vt:lpstr>
      <vt:lpstr>Other_Risk_Movements_Yr2_28</vt:lpstr>
      <vt:lpstr>Other_Risk_Movements_Yr2_29</vt:lpstr>
      <vt:lpstr>Other_Risk_Movements_Yr2_3</vt:lpstr>
      <vt:lpstr>Other_Risk_Movements_Yr2_30</vt:lpstr>
      <vt:lpstr>Other_Risk_Movements_Yr2_31</vt:lpstr>
      <vt:lpstr>Other_Risk_Movements_Yr2_32</vt:lpstr>
      <vt:lpstr>Other_Risk_Movements_Yr2_33</vt:lpstr>
      <vt:lpstr>Other_Risk_Movements_Yr2_34</vt:lpstr>
      <vt:lpstr>Other_Risk_Movements_Yr2_35</vt:lpstr>
      <vt:lpstr>Other_Risk_Movements_Yr2_36</vt:lpstr>
      <vt:lpstr>Other_Risk_Movements_Yr2_37</vt:lpstr>
      <vt:lpstr>Other_Risk_Movements_Yr2_38</vt:lpstr>
      <vt:lpstr>Other_Risk_Movements_Yr2_39</vt:lpstr>
      <vt:lpstr>Other_Risk_Movements_Yr2_4</vt:lpstr>
      <vt:lpstr>Other_Risk_Movements_Yr2_40</vt:lpstr>
      <vt:lpstr>Other_Risk_Movements_Yr2_41</vt:lpstr>
      <vt:lpstr>Other_Risk_Movements_Yr2_42</vt:lpstr>
      <vt:lpstr>Other_Risk_Movements_Yr2_43</vt:lpstr>
      <vt:lpstr>Other_Risk_Movements_Yr2_44</vt:lpstr>
      <vt:lpstr>Other_Risk_Movements_Yr2_45</vt:lpstr>
      <vt:lpstr>Other_Risk_Movements_Yr2_46</vt:lpstr>
      <vt:lpstr>Other_Risk_Movements_Yr2_47</vt:lpstr>
      <vt:lpstr>Other_Risk_Movements_Yr2_48</vt:lpstr>
      <vt:lpstr>Other_Risk_Movements_Yr2_49</vt:lpstr>
      <vt:lpstr>Other_Risk_Movements_Yr2_5</vt:lpstr>
      <vt:lpstr>Other_Risk_Movements_Yr2_50</vt:lpstr>
      <vt:lpstr>Other_Risk_Movements_Yr2_51</vt:lpstr>
      <vt:lpstr>Other_Risk_Movements_Yr2_52</vt:lpstr>
      <vt:lpstr>Other_Risk_Movements_Yr2_53</vt:lpstr>
      <vt:lpstr>Other_Risk_Movements_Yr2_54</vt:lpstr>
      <vt:lpstr>Other_Risk_Movements_Yr2_55</vt:lpstr>
      <vt:lpstr>Other_Risk_Movements_Yr2_56</vt:lpstr>
      <vt:lpstr>Other_Risk_Movements_Yr2_57</vt:lpstr>
      <vt:lpstr>Other_Risk_Movements_Yr2_58</vt:lpstr>
      <vt:lpstr>Other_Risk_Movements_Yr2_59</vt:lpstr>
      <vt:lpstr>Other_Risk_Movements_Yr2_6</vt:lpstr>
      <vt:lpstr>Other_Risk_Movements_Yr2_60</vt:lpstr>
      <vt:lpstr>Other_Risk_Movements_Yr2_61</vt:lpstr>
      <vt:lpstr>Other_Risk_Movements_Yr2_7</vt:lpstr>
      <vt:lpstr>Other_Risk_Movements_Yr2_8</vt:lpstr>
      <vt:lpstr>Other_Risk_Movements_Yr2_9</vt:lpstr>
      <vt:lpstr>Other_Risk_Movements_Yr3_1</vt:lpstr>
      <vt:lpstr>Other_Risk_Movements_Yr3_10</vt:lpstr>
      <vt:lpstr>Other_Risk_Movements_Yr3_11</vt:lpstr>
      <vt:lpstr>Other_Risk_Movements_Yr3_12</vt:lpstr>
      <vt:lpstr>Other_Risk_Movements_Yr3_13</vt:lpstr>
      <vt:lpstr>Other_Risk_Movements_Yr3_14</vt:lpstr>
      <vt:lpstr>Other_Risk_Movements_Yr3_15</vt:lpstr>
      <vt:lpstr>Other_Risk_Movements_Yr3_16</vt:lpstr>
      <vt:lpstr>Other_Risk_Movements_Yr3_17</vt:lpstr>
      <vt:lpstr>Other_Risk_Movements_Yr3_18</vt:lpstr>
      <vt:lpstr>Other_Risk_Movements_Yr3_19</vt:lpstr>
      <vt:lpstr>Other_Risk_Movements_Yr3_2</vt:lpstr>
      <vt:lpstr>Other_Risk_Movements_Yr3_20</vt:lpstr>
      <vt:lpstr>Other_Risk_Movements_Yr3_21</vt:lpstr>
      <vt:lpstr>Other_Risk_Movements_Yr3_22</vt:lpstr>
      <vt:lpstr>Other_Risk_Movements_Yr3_23</vt:lpstr>
      <vt:lpstr>Other_Risk_Movements_Yr3_24</vt:lpstr>
      <vt:lpstr>Other_Risk_Movements_Yr3_25</vt:lpstr>
      <vt:lpstr>Other_Risk_Movements_Yr3_26</vt:lpstr>
      <vt:lpstr>Other_Risk_Movements_Yr3_27</vt:lpstr>
      <vt:lpstr>Other_Risk_Movements_Yr3_28</vt:lpstr>
      <vt:lpstr>Other_Risk_Movements_Yr3_29</vt:lpstr>
      <vt:lpstr>Other_Risk_Movements_Yr3_3</vt:lpstr>
      <vt:lpstr>Other_Risk_Movements_Yr3_30</vt:lpstr>
      <vt:lpstr>Other_Risk_Movements_Yr3_31</vt:lpstr>
      <vt:lpstr>Other_Risk_Movements_Yr3_32</vt:lpstr>
      <vt:lpstr>Other_Risk_Movements_Yr3_33</vt:lpstr>
      <vt:lpstr>Other_Risk_Movements_Yr3_34</vt:lpstr>
      <vt:lpstr>Other_Risk_Movements_Yr3_35</vt:lpstr>
      <vt:lpstr>Other_Risk_Movements_Yr3_36</vt:lpstr>
      <vt:lpstr>Other_Risk_Movements_Yr3_37</vt:lpstr>
      <vt:lpstr>Other_Risk_Movements_Yr3_38</vt:lpstr>
      <vt:lpstr>Other_Risk_Movements_Yr3_39</vt:lpstr>
      <vt:lpstr>Other_Risk_Movements_Yr3_4</vt:lpstr>
      <vt:lpstr>Other_Risk_Movements_Yr3_40</vt:lpstr>
      <vt:lpstr>Other_Risk_Movements_Yr3_41</vt:lpstr>
      <vt:lpstr>Other_Risk_Movements_Yr3_42</vt:lpstr>
      <vt:lpstr>Other_Risk_Movements_Yr3_43</vt:lpstr>
      <vt:lpstr>Other_Risk_Movements_Yr3_44</vt:lpstr>
      <vt:lpstr>Other_Risk_Movements_Yr3_45</vt:lpstr>
      <vt:lpstr>Other_Risk_Movements_Yr3_46</vt:lpstr>
      <vt:lpstr>Other_Risk_Movements_Yr3_47</vt:lpstr>
      <vt:lpstr>Other_Risk_Movements_Yr3_48</vt:lpstr>
      <vt:lpstr>Other_Risk_Movements_Yr3_49</vt:lpstr>
      <vt:lpstr>Other_Risk_Movements_Yr3_5</vt:lpstr>
      <vt:lpstr>Other_Risk_Movements_Yr3_50</vt:lpstr>
      <vt:lpstr>Other_Risk_Movements_Yr3_51</vt:lpstr>
      <vt:lpstr>Other_Risk_Movements_Yr3_52</vt:lpstr>
      <vt:lpstr>Other_Risk_Movements_Yr3_53</vt:lpstr>
      <vt:lpstr>Other_Risk_Movements_Yr3_54</vt:lpstr>
      <vt:lpstr>Other_Risk_Movements_Yr3_55</vt:lpstr>
      <vt:lpstr>Other_Risk_Movements_Yr3_56</vt:lpstr>
      <vt:lpstr>Other_Risk_Movements_Yr3_57</vt:lpstr>
      <vt:lpstr>Other_Risk_Movements_Yr3_58</vt:lpstr>
      <vt:lpstr>Other_Risk_Movements_Yr3_59</vt:lpstr>
      <vt:lpstr>Other_Risk_Movements_Yr3_6</vt:lpstr>
      <vt:lpstr>Other_Risk_Movements_Yr3_60</vt:lpstr>
      <vt:lpstr>Other_Risk_Movements_Yr3_61</vt:lpstr>
      <vt:lpstr>Other_Risk_Movements_Yr3_7</vt:lpstr>
      <vt:lpstr>Other_Risk_Movements_Yr3_8</vt:lpstr>
      <vt:lpstr>Other_Risk_Movements_Yr3_9</vt:lpstr>
      <vt:lpstr>Other_Risk_Movements_Yr4_1</vt:lpstr>
      <vt:lpstr>Other_Risk_Movements_Yr4_10</vt:lpstr>
      <vt:lpstr>Other_Risk_Movements_Yr4_11</vt:lpstr>
      <vt:lpstr>Other_Risk_Movements_Yr4_12</vt:lpstr>
      <vt:lpstr>Other_Risk_Movements_Yr4_13</vt:lpstr>
      <vt:lpstr>Other_Risk_Movements_Yr4_14</vt:lpstr>
      <vt:lpstr>Other_Risk_Movements_Yr4_15</vt:lpstr>
      <vt:lpstr>Other_Risk_Movements_Yr4_16</vt:lpstr>
      <vt:lpstr>Other_Risk_Movements_Yr4_17</vt:lpstr>
      <vt:lpstr>Other_Risk_Movements_Yr4_18</vt:lpstr>
      <vt:lpstr>Other_Risk_Movements_Yr4_19</vt:lpstr>
      <vt:lpstr>Other_Risk_Movements_Yr4_2</vt:lpstr>
      <vt:lpstr>Other_Risk_Movements_Yr4_20</vt:lpstr>
      <vt:lpstr>Other_Risk_Movements_Yr4_21</vt:lpstr>
      <vt:lpstr>Other_Risk_Movements_Yr4_22</vt:lpstr>
      <vt:lpstr>Other_Risk_Movements_Yr4_23</vt:lpstr>
      <vt:lpstr>Other_Risk_Movements_Yr4_24</vt:lpstr>
      <vt:lpstr>Other_Risk_Movements_Yr4_25</vt:lpstr>
      <vt:lpstr>Other_Risk_Movements_Yr4_26</vt:lpstr>
      <vt:lpstr>Other_Risk_Movements_Yr4_27</vt:lpstr>
      <vt:lpstr>Other_Risk_Movements_Yr4_28</vt:lpstr>
      <vt:lpstr>Other_Risk_Movements_Yr4_29</vt:lpstr>
      <vt:lpstr>Other_Risk_Movements_Yr4_3</vt:lpstr>
      <vt:lpstr>Other_Risk_Movements_Yr4_30</vt:lpstr>
      <vt:lpstr>Other_Risk_Movements_Yr4_31</vt:lpstr>
      <vt:lpstr>Other_Risk_Movements_Yr4_32</vt:lpstr>
      <vt:lpstr>Other_Risk_Movements_Yr4_33</vt:lpstr>
      <vt:lpstr>Other_Risk_Movements_Yr4_34</vt:lpstr>
      <vt:lpstr>Other_Risk_Movements_Yr4_35</vt:lpstr>
      <vt:lpstr>Other_Risk_Movements_Yr4_36</vt:lpstr>
      <vt:lpstr>Other_Risk_Movements_Yr4_37</vt:lpstr>
      <vt:lpstr>Other_Risk_Movements_Yr4_38</vt:lpstr>
      <vt:lpstr>Other_Risk_Movements_Yr4_39</vt:lpstr>
      <vt:lpstr>Other_Risk_Movements_Yr4_4</vt:lpstr>
      <vt:lpstr>Other_Risk_Movements_Yr4_40</vt:lpstr>
      <vt:lpstr>Other_Risk_Movements_Yr4_41</vt:lpstr>
      <vt:lpstr>Other_Risk_Movements_Yr4_42</vt:lpstr>
      <vt:lpstr>Other_Risk_Movements_Yr4_43</vt:lpstr>
      <vt:lpstr>Other_Risk_Movements_Yr4_44</vt:lpstr>
      <vt:lpstr>Other_Risk_Movements_Yr4_45</vt:lpstr>
      <vt:lpstr>Other_Risk_Movements_Yr4_46</vt:lpstr>
      <vt:lpstr>Other_Risk_Movements_Yr4_47</vt:lpstr>
      <vt:lpstr>Other_Risk_Movements_Yr4_48</vt:lpstr>
      <vt:lpstr>Other_Risk_Movements_Yr4_49</vt:lpstr>
      <vt:lpstr>Other_Risk_Movements_Yr4_5</vt:lpstr>
      <vt:lpstr>Other_Risk_Movements_Yr4_50</vt:lpstr>
      <vt:lpstr>Other_Risk_Movements_Yr4_51</vt:lpstr>
      <vt:lpstr>Other_Risk_Movements_Yr4_52</vt:lpstr>
      <vt:lpstr>Other_Risk_Movements_Yr4_53</vt:lpstr>
      <vt:lpstr>Other_Risk_Movements_Yr4_54</vt:lpstr>
      <vt:lpstr>Other_Risk_Movements_Yr4_55</vt:lpstr>
      <vt:lpstr>Other_Risk_Movements_Yr4_56</vt:lpstr>
      <vt:lpstr>Other_Risk_Movements_Yr4_57</vt:lpstr>
      <vt:lpstr>Other_Risk_Movements_Yr4_58</vt:lpstr>
      <vt:lpstr>Other_Risk_Movements_Yr4_59</vt:lpstr>
      <vt:lpstr>Other_Risk_Movements_Yr4_6</vt:lpstr>
      <vt:lpstr>Other_Risk_Movements_Yr4_60</vt:lpstr>
      <vt:lpstr>Other_Risk_Movements_Yr4_61</vt:lpstr>
      <vt:lpstr>Other_Risk_Movements_Yr4_7</vt:lpstr>
      <vt:lpstr>Other_Risk_Movements_Yr4_8</vt:lpstr>
      <vt:lpstr>Other_Risk_Movements_Yr4_9</vt:lpstr>
      <vt:lpstr>Other_Risk_Movements_Yr5_1</vt:lpstr>
      <vt:lpstr>Other_Risk_Movements_Yr5_10</vt:lpstr>
      <vt:lpstr>Other_Risk_Movements_Yr5_11</vt:lpstr>
      <vt:lpstr>Other_Risk_Movements_Yr5_12</vt:lpstr>
      <vt:lpstr>Other_Risk_Movements_Yr5_13</vt:lpstr>
      <vt:lpstr>Other_Risk_Movements_Yr5_14</vt:lpstr>
      <vt:lpstr>Other_Risk_Movements_Yr5_15</vt:lpstr>
      <vt:lpstr>Other_Risk_Movements_Yr5_16</vt:lpstr>
      <vt:lpstr>Other_Risk_Movements_Yr5_17</vt:lpstr>
      <vt:lpstr>Other_Risk_Movements_Yr5_18</vt:lpstr>
      <vt:lpstr>Other_Risk_Movements_Yr5_19</vt:lpstr>
      <vt:lpstr>Other_Risk_Movements_Yr5_2</vt:lpstr>
      <vt:lpstr>Other_Risk_Movements_Yr5_20</vt:lpstr>
      <vt:lpstr>Other_Risk_Movements_Yr5_21</vt:lpstr>
      <vt:lpstr>Other_Risk_Movements_Yr5_22</vt:lpstr>
      <vt:lpstr>Other_Risk_Movements_Yr5_23</vt:lpstr>
      <vt:lpstr>Other_Risk_Movements_Yr5_24</vt:lpstr>
      <vt:lpstr>Other_Risk_Movements_Yr5_25</vt:lpstr>
      <vt:lpstr>Other_Risk_Movements_Yr5_26</vt:lpstr>
      <vt:lpstr>Other_Risk_Movements_Yr5_27</vt:lpstr>
      <vt:lpstr>Other_Risk_Movements_Yr5_28</vt:lpstr>
      <vt:lpstr>Other_Risk_Movements_Yr5_29</vt:lpstr>
      <vt:lpstr>Other_Risk_Movements_Yr5_3</vt:lpstr>
      <vt:lpstr>Other_Risk_Movements_Yr5_30</vt:lpstr>
      <vt:lpstr>Other_Risk_Movements_Yr5_31</vt:lpstr>
      <vt:lpstr>Other_Risk_Movements_Yr5_32</vt:lpstr>
      <vt:lpstr>Other_Risk_Movements_Yr5_33</vt:lpstr>
      <vt:lpstr>Other_Risk_Movements_Yr5_34</vt:lpstr>
      <vt:lpstr>Other_Risk_Movements_Yr5_35</vt:lpstr>
      <vt:lpstr>Other_Risk_Movements_Yr5_36</vt:lpstr>
      <vt:lpstr>Other_Risk_Movements_Yr5_37</vt:lpstr>
      <vt:lpstr>Other_Risk_Movements_Yr5_38</vt:lpstr>
      <vt:lpstr>Other_Risk_Movements_Yr5_39</vt:lpstr>
      <vt:lpstr>Other_Risk_Movements_Yr5_4</vt:lpstr>
      <vt:lpstr>Other_Risk_Movements_Yr5_40</vt:lpstr>
      <vt:lpstr>Other_Risk_Movements_Yr5_41</vt:lpstr>
      <vt:lpstr>Other_Risk_Movements_Yr5_42</vt:lpstr>
      <vt:lpstr>Other_Risk_Movements_Yr5_43</vt:lpstr>
      <vt:lpstr>Other_Risk_Movements_Yr5_44</vt:lpstr>
      <vt:lpstr>Other_Risk_Movements_Yr5_45</vt:lpstr>
      <vt:lpstr>Other_Risk_Movements_Yr5_46</vt:lpstr>
      <vt:lpstr>Other_Risk_Movements_Yr5_47</vt:lpstr>
      <vt:lpstr>Other_Risk_Movements_Yr5_48</vt:lpstr>
      <vt:lpstr>Other_Risk_Movements_Yr5_49</vt:lpstr>
      <vt:lpstr>Other_Risk_Movements_Yr5_5</vt:lpstr>
      <vt:lpstr>Other_Risk_Movements_Yr5_50</vt:lpstr>
      <vt:lpstr>Other_Risk_Movements_Yr5_51</vt:lpstr>
      <vt:lpstr>Other_Risk_Movements_Yr5_52</vt:lpstr>
      <vt:lpstr>Other_Risk_Movements_Yr5_53</vt:lpstr>
      <vt:lpstr>Other_Risk_Movements_Yr5_54</vt:lpstr>
      <vt:lpstr>Other_Risk_Movements_Yr5_55</vt:lpstr>
      <vt:lpstr>Other_Risk_Movements_Yr5_56</vt:lpstr>
      <vt:lpstr>Other_Risk_Movements_Yr5_57</vt:lpstr>
      <vt:lpstr>Other_Risk_Movements_Yr5_58</vt:lpstr>
      <vt:lpstr>Other_Risk_Movements_Yr5_59</vt:lpstr>
      <vt:lpstr>Other_Risk_Movements_Yr5_6</vt:lpstr>
      <vt:lpstr>Other_Risk_Movements_Yr5_60</vt:lpstr>
      <vt:lpstr>Other_Risk_Movements_Yr5_61</vt:lpstr>
      <vt:lpstr>Other_Risk_Movements_Yr5_7</vt:lpstr>
      <vt:lpstr>Other_Risk_Movements_Yr5_8</vt:lpstr>
      <vt:lpstr>Other_Risk_Movements_Yr5_9</vt:lpstr>
      <vt:lpstr>OtherRiskMovementsYr1</vt:lpstr>
      <vt:lpstr>Reinforcement_Yr1_1</vt:lpstr>
      <vt:lpstr>Reinforcement_Yr1_10</vt:lpstr>
      <vt:lpstr>Reinforcement_Yr1_11</vt:lpstr>
      <vt:lpstr>Reinforcement_Yr1_12</vt:lpstr>
      <vt:lpstr>Reinforcement_Yr1_13</vt:lpstr>
      <vt:lpstr>Reinforcement_Yr1_14</vt:lpstr>
      <vt:lpstr>Reinforcement_Yr1_15</vt:lpstr>
      <vt:lpstr>Reinforcement_Yr1_16</vt:lpstr>
      <vt:lpstr>Reinforcement_Yr1_17</vt:lpstr>
      <vt:lpstr>Reinforcement_Yr1_18</vt:lpstr>
      <vt:lpstr>Reinforcement_Yr1_19</vt:lpstr>
      <vt:lpstr>Reinforcement_Yr1_2</vt:lpstr>
      <vt:lpstr>Reinforcement_Yr1_20</vt:lpstr>
      <vt:lpstr>Reinforcement_Yr1_21</vt:lpstr>
      <vt:lpstr>Reinforcement_Yr1_22</vt:lpstr>
      <vt:lpstr>Reinforcement_Yr1_23</vt:lpstr>
      <vt:lpstr>Reinforcement_Yr1_24</vt:lpstr>
      <vt:lpstr>Reinforcement_Yr1_25</vt:lpstr>
      <vt:lpstr>Reinforcement_Yr1_26</vt:lpstr>
      <vt:lpstr>Reinforcement_Yr1_27</vt:lpstr>
      <vt:lpstr>Reinforcement_Yr1_28</vt:lpstr>
      <vt:lpstr>Reinforcement_Yr1_29</vt:lpstr>
      <vt:lpstr>Reinforcement_Yr1_3</vt:lpstr>
      <vt:lpstr>Reinforcement_Yr1_30</vt:lpstr>
      <vt:lpstr>Reinforcement_Yr1_31</vt:lpstr>
      <vt:lpstr>Reinforcement_Yr1_32</vt:lpstr>
      <vt:lpstr>Reinforcement_Yr1_33</vt:lpstr>
      <vt:lpstr>Reinforcement_Yr1_34</vt:lpstr>
      <vt:lpstr>Reinforcement_Yr1_35</vt:lpstr>
      <vt:lpstr>Reinforcement_Yr1_36</vt:lpstr>
      <vt:lpstr>Reinforcement_Yr1_37</vt:lpstr>
      <vt:lpstr>Reinforcement_Yr1_38</vt:lpstr>
      <vt:lpstr>Reinforcement_Yr1_39</vt:lpstr>
      <vt:lpstr>Reinforcement_Yr1_4</vt:lpstr>
      <vt:lpstr>Reinforcement_Yr1_40</vt:lpstr>
      <vt:lpstr>Reinforcement_Yr1_41</vt:lpstr>
      <vt:lpstr>Reinforcement_Yr1_42</vt:lpstr>
      <vt:lpstr>Reinforcement_Yr1_43</vt:lpstr>
      <vt:lpstr>Reinforcement_Yr1_44</vt:lpstr>
      <vt:lpstr>Reinforcement_Yr1_45</vt:lpstr>
      <vt:lpstr>Reinforcement_Yr1_46</vt:lpstr>
      <vt:lpstr>Reinforcement_Yr1_47</vt:lpstr>
      <vt:lpstr>Reinforcement_Yr1_48</vt:lpstr>
      <vt:lpstr>Reinforcement_Yr1_49</vt:lpstr>
      <vt:lpstr>Reinforcement_Yr1_5</vt:lpstr>
      <vt:lpstr>Reinforcement_Yr1_50</vt:lpstr>
      <vt:lpstr>Reinforcement_Yr1_51</vt:lpstr>
      <vt:lpstr>Reinforcement_Yr1_52</vt:lpstr>
      <vt:lpstr>Reinforcement_Yr1_53</vt:lpstr>
      <vt:lpstr>Reinforcement_Yr1_54</vt:lpstr>
      <vt:lpstr>Reinforcement_Yr1_55</vt:lpstr>
      <vt:lpstr>Reinforcement_Yr1_56</vt:lpstr>
      <vt:lpstr>Reinforcement_Yr1_57</vt:lpstr>
      <vt:lpstr>Reinforcement_Yr1_58</vt:lpstr>
      <vt:lpstr>Reinforcement_Yr1_59</vt:lpstr>
      <vt:lpstr>Reinforcement_Yr1_6</vt:lpstr>
      <vt:lpstr>Reinforcement_Yr1_60</vt:lpstr>
      <vt:lpstr>Reinforcement_Yr1_61</vt:lpstr>
      <vt:lpstr>Reinforcement_Yr1_7</vt:lpstr>
      <vt:lpstr>Reinforcement_Yr1_8</vt:lpstr>
      <vt:lpstr>Reinforcement_Yr1_9</vt:lpstr>
      <vt:lpstr>Reinforcement_Yr2_1</vt:lpstr>
      <vt:lpstr>Reinforcement_Yr2_10</vt:lpstr>
      <vt:lpstr>Reinforcement_Yr2_11</vt:lpstr>
      <vt:lpstr>Reinforcement_Yr2_12</vt:lpstr>
      <vt:lpstr>Reinforcement_Yr2_13</vt:lpstr>
      <vt:lpstr>Reinforcement_Yr2_14</vt:lpstr>
      <vt:lpstr>Reinforcement_Yr2_15</vt:lpstr>
      <vt:lpstr>Reinforcement_Yr2_16</vt:lpstr>
      <vt:lpstr>Reinforcement_Yr2_17</vt:lpstr>
      <vt:lpstr>Reinforcement_Yr2_18</vt:lpstr>
      <vt:lpstr>Reinforcement_Yr2_19</vt:lpstr>
      <vt:lpstr>Reinforcement_Yr2_2</vt:lpstr>
      <vt:lpstr>Reinforcement_Yr2_20</vt:lpstr>
      <vt:lpstr>Reinforcement_Yr2_21</vt:lpstr>
      <vt:lpstr>Reinforcement_Yr2_22</vt:lpstr>
      <vt:lpstr>Reinforcement_Yr2_23</vt:lpstr>
      <vt:lpstr>Reinforcement_Yr2_24</vt:lpstr>
      <vt:lpstr>Reinforcement_Yr2_25</vt:lpstr>
      <vt:lpstr>Reinforcement_Yr2_26</vt:lpstr>
      <vt:lpstr>Reinforcement_Yr2_27</vt:lpstr>
      <vt:lpstr>Reinforcement_Yr2_28</vt:lpstr>
      <vt:lpstr>Reinforcement_Yr2_29</vt:lpstr>
      <vt:lpstr>Reinforcement_Yr2_3</vt:lpstr>
      <vt:lpstr>Reinforcement_Yr2_30</vt:lpstr>
      <vt:lpstr>Reinforcement_Yr2_31</vt:lpstr>
      <vt:lpstr>Reinforcement_Yr2_32</vt:lpstr>
      <vt:lpstr>Reinforcement_Yr2_33</vt:lpstr>
      <vt:lpstr>Reinforcement_Yr2_34</vt:lpstr>
      <vt:lpstr>Reinforcement_Yr2_35</vt:lpstr>
      <vt:lpstr>Reinforcement_Yr2_36</vt:lpstr>
      <vt:lpstr>Reinforcement_Yr2_37</vt:lpstr>
      <vt:lpstr>Reinforcement_Yr2_38</vt:lpstr>
      <vt:lpstr>Reinforcement_Yr2_39</vt:lpstr>
      <vt:lpstr>Reinforcement_Yr2_4</vt:lpstr>
      <vt:lpstr>Reinforcement_Yr2_40</vt:lpstr>
      <vt:lpstr>Reinforcement_Yr2_41</vt:lpstr>
      <vt:lpstr>Reinforcement_Yr2_42</vt:lpstr>
      <vt:lpstr>Reinforcement_Yr2_43</vt:lpstr>
      <vt:lpstr>Reinforcement_Yr2_44</vt:lpstr>
      <vt:lpstr>Reinforcement_Yr2_45</vt:lpstr>
      <vt:lpstr>Reinforcement_Yr2_46</vt:lpstr>
      <vt:lpstr>Reinforcement_Yr2_47</vt:lpstr>
      <vt:lpstr>Reinforcement_Yr2_48</vt:lpstr>
      <vt:lpstr>Reinforcement_Yr2_49</vt:lpstr>
      <vt:lpstr>Reinforcement_Yr2_5</vt:lpstr>
      <vt:lpstr>Reinforcement_Yr2_50</vt:lpstr>
      <vt:lpstr>Reinforcement_Yr2_51</vt:lpstr>
      <vt:lpstr>Reinforcement_Yr2_52</vt:lpstr>
      <vt:lpstr>Reinforcement_Yr2_53</vt:lpstr>
      <vt:lpstr>Reinforcement_Yr2_54</vt:lpstr>
      <vt:lpstr>Reinforcement_Yr2_55</vt:lpstr>
      <vt:lpstr>Reinforcement_Yr2_56</vt:lpstr>
      <vt:lpstr>Reinforcement_Yr2_57</vt:lpstr>
      <vt:lpstr>Reinforcement_Yr2_58</vt:lpstr>
      <vt:lpstr>Reinforcement_Yr2_59</vt:lpstr>
      <vt:lpstr>Reinforcement_Yr2_6</vt:lpstr>
      <vt:lpstr>Reinforcement_Yr2_60</vt:lpstr>
      <vt:lpstr>Reinforcement_Yr2_61</vt:lpstr>
      <vt:lpstr>Reinforcement_Yr2_7</vt:lpstr>
      <vt:lpstr>Reinforcement_Yr2_8</vt:lpstr>
      <vt:lpstr>Reinforcement_Yr2_9</vt:lpstr>
      <vt:lpstr>Reinforcement_Yr3_1</vt:lpstr>
      <vt:lpstr>Reinforcement_Yr3_10</vt:lpstr>
      <vt:lpstr>Reinforcement_Yr3_11</vt:lpstr>
      <vt:lpstr>Reinforcement_Yr3_12</vt:lpstr>
      <vt:lpstr>Reinforcement_Yr3_13</vt:lpstr>
      <vt:lpstr>Reinforcement_Yr3_14</vt:lpstr>
      <vt:lpstr>Reinforcement_Yr3_15</vt:lpstr>
      <vt:lpstr>Reinforcement_Yr3_16</vt:lpstr>
      <vt:lpstr>Reinforcement_Yr3_17</vt:lpstr>
      <vt:lpstr>Reinforcement_Yr3_18</vt:lpstr>
      <vt:lpstr>Reinforcement_Yr3_19</vt:lpstr>
      <vt:lpstr>Reinforcement_Yr3_2</vt:lpstr>
      <vt:lpstr>Reinforcement_Yr3_20</vt:lpstr>
      <vt:lpstr>Reinforcement_Yr3_21</vt:lpstr>
      <vt:lpstr>Reinforcement_Yr3_22</vt:lpstr>
      <vt:lpstr>Reinforcement_Yr3_23</vt:lpstr>
      <vt:lpstr>Reinforcement_Yr3_24</vt:lpstr>
      <vt:lpstr>Reinforcement_Yr3_25</vt:lpstr>
      <vt:lpstr>Reinforcement_Yr3_26</vt:lpstr>
      <vt:lpstr>Reinforcement_Yr3_27</vt:lpstr>
      <vt:lpstr>Reinforcement_Yr3_28</vt:lpstr>
      <vt:lpstr>Reinforcement_Yr3_29</vt:lpstr>
      <vt:lpstr>Reinforcement_Yr3_3</vt:lpstr>
      <vt:lpstr>Reinforcement_Yr3_30</vt:lpstr>
      <vt:lpstr>Reinforcement_Yr3_31</vt:lpstr>
      <vt:lpstr>Reinforcement_Yr3_32</vt:lpstr>
      <vt:lpstr>Reinforcement_Yr3_33</vt:lpstr>
      <vt:lpstr>Reinforcement_Yr3_34</vt:lpstr>
      <vt:lpstr>Reinforcement_Yr3_35</vt:lpstr>
      <vt:lpstr>Reinforcement_Yr3_36</vt:lpstr>
      <vt:lpstr>Reinforcement_Yr3_37</vt:lpstr>
      <vt:lpstr>Reinforcement_Yr3_38</vt:lpstr>
      <vt:lpstr>Reinforcement_Yr3_39</vt:lpstr>
      <vt:lpstr>Reinforcement_Yr3_4</vt:lpstr>
      <vt:lpstr>Reinforcement_Yr3_40</vt:lpstr>
      <vt:lpstr>Reinforcement_Yr3_41</vt:lpstr>
      <vt:lpstr>Reinforcement_Yr3_42</vt:lpstr>
      <vt:lpstr>Reinforcement_Yr3_43</vt:lpstr>
      <vt:lpstr>Reinforcement_Yr3_44</vt:lpstr>
      <vt:lpstr>Reinforcement_Yr3_45</vt:lpstr>
      <vt:lpstr>Reinforcement_Yr3_46</vt:lpstr>
      <vt:lpstr>Reinforcement_Yr3_47</vt:lpstr>
      <vt:lpstr>Reinforcement_Yr3_48</vt:lpstr>
      <vt:lpstr>Reinforcement_Yr3_49</vt:lpstr>
      <vt:lpstr>Reinforcement_Yr3_5</vt:lpstr>
      <vt:lpstr>Reinforcement_Yr3_50</vt:lpstr>
      <vt:lpstr>Reinforcement_Yr3_51</vt:lpstr>
      <vt:lpstr>Reinforcement_Yr3_52</vt:lpstr>
      <vt:lpstr>Reinforcement_Yr3_53</vt:lpstr>
      <vt:lpstr>Reinforcement_Yr3_54</vt:lpstr>
      <vt:lpstr>Reinforcement_Yr3_55</vt:lpstr>
      <vt:lpstr>Reinforcement_Yr3_56</vt:lpstr>
      <vt:lpstr>Reinforcement_Yr3_57</vt:lpstr>
      <vt:lpstr>Reinforcement_Yr3_58</vt:lpstr>
      <vt:lpstr>Reinforcement_Yr3_59</vt:lpstr>
      <vt:lpstr>Reinforcement_Yr3_6</vt:lpstr>
      <vt:lpstr>Reinforcement_Yr3_60</vt:lpstr>
      <vt:lpstr>Reinforcement_Yr3_61</vt:lpstr>
      <vt:lpstr>Reinforcement_Yr3_7</vt:lpstr>
      <vt:lpstr>Reinforcement_Yr3_8</vt:lpstr>
      <vt:lpstr>Reinforcement_Yr3_9</vt:lpstr>
      <vt:lpstr>Reinforcement_Yr4_1</vt:lpstr>
      <vt:lpstr>Reinforcement_Yr4_10</vt:lpstr>
      <vt:lpstr>Reinforcement_Yr4_11</vt:lpstr>
      <vt:lpstr>Reinforcement_Yr4_12</vt:lpstr>
      <vt:lpstr>Reinforcement_Yr4_13</vt:lpstr>
      <vt:lpstr>Reinforcement_Yr4_14</vt:lpstr>
      <vt:lpstr>Reinforcement_Yr4_15</vt:lpstr>
      <vt:lpstr>Reinforcement_Yr4_16</vt:lpstr>
      <vt:lpstr>Reinforcement_Yr4_17</vt:lpstr>
      <vt:lpstr>Reinforcement_Yr4_18</vt:lpstr>
      <vt:lpstr>Reinforcement_Yr4_19</vt:lpstr>
      <vt:lpstr>Reinforcement_Yr4_2</vt:lpstr>
      <vt:lpstr>Reinforcement_Yr4_20</vt:lpstr>
      <vt:lpstr>Reinforcement_Yr4_21</vt:lpstr>
      <vt:lpstr>Reinforcement_Yr4_22</vt:lpstr>
      <vt:lpstr>Reinforcement_Yr4_23</vt:lpstr>
      <vt:lpstr>Reinforcement_Yr4_24</vt:lpstr>
      <vt:lpstr>Reinforcement_Yr4_25</vt:lpstr>
      <vt:lpstr>Reinforcement_Yr4_26</vt:lpstr>
      <vt:lpstr>Reinforcement_Yr4_27</vt:lpstr>
      <vt:lpstr>Reinforcement_Yr4_28</vt:lpstr>
      <vt:lpstr>Reinforcement_Yr4_29</vt:lpstr>
      <vt:lpstr>Reinforcement_Yr4_3</vt:lpstr>
      <vt:lpstr>Reinforcement_Yr4_30</vt:lpstr>
      <vt:lpstr>Reinforcement_Yr4_31</vt:lpstr>
      <vt:lpstr>Reinforcement_Yr4_32</vt:lpstr>
      <vt:lpstr>Reinforcement_Yr4_33</vt:lpstr>
      <vt:lpstr>Reinforcement_Yr4_34</vt:lpstr>
      <vt:lpstr>Reinforcement_Yr4_35</vt:lpstr>
      <vt:lpstr>Reinforcement_Yr4_36</vt:lpstr>
      <vt:lpstr>Reinforcement_Yr4_37</vt:lpstr>
      <vt:lpstr>Reinforcement_Yr4_38</vt:lpstr>
      <vt:lpstr>Reinforcement_Yr4_39</vt:lpstr>
      <vt:lpstr>Reinforcement_Yr4_4</vt:lpstr>
      <vt:lpstr>Reinforcement_Yr4_40</vt:lpstr>
      <vt:lpstr>Reinforcement_Yr4_41</vt:lpstr>
      <vt:lpstr>Reinforcement_Yr4_42</vt:lpstr>
      <vt:lpstr>Reinforcement_Yr4_43</vt:lpstr>
      <vt:lpstr>Reinforcement_Yr4_44</vt:lpstr>
      <vt:lpstr>Reinforcement_Yr4_45</vt:lpstr>
      <vt:lpstr>Reinforcement_Yr4_46</vt:lpstr>
      <vt:lpstr>Reinforcement_Yr4_47</vt:lpstr>
      <vt:lpstr>Reinforcement_Yr4_48</vt:lpstr>
      <vt:lpstr>Reinforcement_Yr4_49</vt:lpstr>
      <vt:lpstr>Reinforcement_Yr4_5</vt:lpstr>
      <vt:lpstr>Reinforcement_Yr4_50</vt:lpstr>
      <vt:lpstr>Reinforcement_Yr4_51</vt:lpstr>
      <vt:lpstr>Reinforcement_Yr4_52</vt:lpstr>
      <vt:lpstr>Reinforcement_Yr4_53</vt:lpstr>
      <vt:lpstr>Reinforcement_Yr4_54</vt:lpstr>
      <vt:lpstr>Reinforcement_Yr4_55</vt:lpstr>
      <vt:lpstr>Reinforcement_Yr4_56</vt:lpstr>
      <vt:lpstr>Reinforcement_Yr4_57</vt:lpstr>
      <vt:lpstr>Reinforcement_Yr4_58</vt:lpstr>
      <vt:lpstr>Reinforcement_Yr4_59</vt:lpstr>
      <vt:lpstr>Reinforcement_Yr4_6</vt:lpstr>
      <vt:lpstr>Reinforcement_Yr4_60</vt:lpstr>
      <vt:lpstr>Reinforcement_Yr4_61</vt:lpstr>
      <vt:lpstr>Reinforcement_Yr4_7</vt:lpstr>
      <vt:lpstr>Reinforcement_Yr4_8</vt:lpstr>
      <vt:lpstr>Reinforcement_Yr4_9</vt:lpstr>
      <vt:lpstr>Reinforcement_Yr5_1</vt:lpstr>
      <vt:lpstr>Reinforcement_Yr5_10</vt:lpstr>
      <vt:lpstr>Reinforcement_Yr5_11</vt:lpstr>
      <vt:lpstr>Reinforcement_Yr5_12</vt:lpstr>
      <vt:lpstr>Reinforcement_Yr5_13</vt:lpstr>
      <vt:lpstr>Reinforcement_Yr5_14</vt:lpstr>
      <vt:lpstr>Reinforcement_Yr5_15</vt:lpstr>
      <vt:lpstr>Reinforcement_Yr5_16</vt:lpstr>
      <vt:lpstr>Reinforcement_Yr5_17</vt:lpstr>
      <vt:lpstr>Reinforcement_Yr5_18</vt:lpstr>
      <vt:lpstr>Reinforcement_Yr5_19</vt:lpstr>
      <vt:lpstr>Reinforcement_Yr5_2</vt:lpstr>
      <vt:lpstr>Reinforcement_Yr5_20</vt:lpstr>
      <vt:lpstr>Reinforcement_Yr5_21</vt:lpstr>
      <vt:lpstr>Reinforcement_Yr5_22</vt:lpstr>
      <vt:lpstr>Reinforcement_Yr5_23</vt:lpstr>
      <vt:lpstr>Reinforcement_Yr5_24</vt:lpstr>
      <vt:lpstr>Reinforcement_Yr5_25</vt:lpstr>
      <vt:lpstr>Reinforcement_Yr5_26</vt:lpstr>
      <vt:lpstr>Reinforcement_Yr5_27</vt:lpstr>
      <vt:lpstr>Reinforcement_Yr5_28</vt:lpstr>
      <vt:lpstr>Reinforcement_Yr5_29</vt:lpstr>
      <vt:lpstr>Reinforcement_Yr5_3</vt:lpstr>
      <vt:lpstr>Reinforcement_Yr5_30</vt:lpstr>
      <vt:lpstr>Reinforcement_Yr5_31</vt:lpstr>
      <vt:lpstr>Reinforcement_Yr5_32</vt:lpstr>
      <vt:lpstr>Reinforcement_Yr5_33</vt:lpstr>
      <vt:lpstr>Reinforcement_Yr5_34</vt:lpstr>
      <vt:lpstr>Reinforcement_Yr5_35</vt:lpstr>
      <vt:lpstr>Reinforcement_Yr5_36</vt:lpstr>
      <vt:lpstr>Reinforcement_Yr5_37</vt:lpstr>
      <vt:lpstr>Reinforcement_Yr5_38</vt:lpstr>
      <vt:lpstr>Reinforcement_Yr5_39</vt:lpstr>
      <vt:lpstr>Reinforcement_Yr5_4</vt:lpstr>
      <vt:lpstr>Reinforcement_Yr5_40</vt:lpstr>
      <vt:lpstr>Reinforcement_Yr5_41</vt:lpstr>
      <vt:lpstr>Reinforcement_Yr5_42</vt:lpstr>
      <vt:lpstr>Reinforcement_Yr5_43</vt:lpstr>
      <vt:lpstr>Reinforcement_Yr5_44</vt:lpstr>
      <vt:lpstr>Reinforcement_Yr5_45</vt:lpstr>
      <vt:lpstr>Reinforcement_Yr5_46</vt:lpstr>
      <vt:lpstr>Reinforcement_Yr5_47</vt:lpstr>
      <vt:lpstr>Reinforcement_Yr5_48</vt:lpstr>
      <vt:lpstr>Reinforcement_Yr5_49</vt:lpstr>
      <vt:lpstr>Reinforcement_Yr5_5</vt:lpstr>
      <vt:lpstr>Reinforcement_Yr5_50</vt:lpstr>
      <vt:lpstr>Reinforcement_Yr5_51</vt:lpstr>
      <vt:lpstr>Reinforcement_Yr5_52</vt:lpstr>
      <vt:lpstr>Reinforcement_Yr5_53</vt:lpstr>
      <vt:lpstr>Reinforcement_Yr5_54</vt:lpstr>
      <vt:lpstr>Reinforcement_Yr5_55</vt:lpstr>
      <vt:lpstr>Reinforcement_Yr5_56</vt:lpstr>
      <vt:lpstr>Reinforcement_Yr5_57</vt:lpstr>
      <vt:lpstr>Reinforcement_Yr5_58</vt:lpstr>
      <vt:lpstr>Reinforcement_Yr5_59</vt:lpstr>
      <vt:lpstr>Reinforcement_Yr5_6</vt:lpstr>
      <vt:lpstr>Reinforcement_Yr5_60</vt:lpstr>
      <vt:lpstr>Reinforcement_Yr5_61</vt:lpstr>
      <vt:lpstr>Reinforcement_Yr5_7</vt:lpstr>
      <vt:lpstr>Reinforcement_Yr5_8</vt:lpstr>
      <vt:lpstr>Reinforcement_Yr5_9</vt:lpstr>
      <vt:lpstr>Start_of_Year_Yr1_1</vt:lpstr>
      <vt:lpstr>Start_of_Year_Yr1_10</vt:lpstr>
      <vt:lpstr>Start_of_Year_Yr1_11</vt:lpstr>
      <vt:lpstr>Start_of_Year_Yr1_12</vt:lpstr>
      <vt:lpstr>Start_of_Year_Yr1_13</vt:lpstr>
      <vt:lpstr>Start_of_Year_Yr1_14</vt:lpstr>
      <vt:lpstr>Start_of_Year_Yr1_15</vt:lpstr>
      <vt:lpstr>Start_of_Year_Yr1_16</vt:lpstr>
      <vt:lpstr>Start_of_Year_Yr1_17</vt:lpstr>
      <vt:lpstr>Start_of_Year_Yr1_18</vt:lpstr>
      <vt:lpstr>Start_of_Year_Yr1_19</vt:lpstr>
      <vt:lpstr>Start_of_Year_Yr1_2</vt:lpstr>
      <vt:lpstr>Start_of_Year_Yr1_20</vt:lpstr>
      <vt:lpstr>Start_of_Year_Yr1_21</vt:lpstr>
      <vt:lpstr>Start_of_Year_Yr1_22</vt:lpstr>
      <vt:lpstr>Start_of_Year_Yr1_23</vt:lpstr>
      <vt:lpstr>Start_of_Year_Yr1_24</vt:lpstr>
      <vt:lpstr>Start_of_Year_Yr1_25</vt:lpstr>
      <vt:lpstr>Start_of_Year_Yr1_26</vt:lpstr>
      <vt:lpstr>Start_of_Year_Yr1_27</vt:lpstr>
      <vt:lpstr>Start_of_Year_Yr1_28</vt:lpstr>
      <vt:lpstr>Start_of_Year_Yr1_29</vt:lpstr>
      <vt:lpstr>Start_of_Year_Yr1_3</vt:lpstr>
      <vt:lpstr>Start_of_Year_Yr1_30</vt:lpstr>
      <vt:lpstr>Start_of_Year_Yr1_31</vt:lpstr>
      <vt:lpstr>Start_of_Year_Yr1_32</vt:lpstr>
      <vt:lpstr>Start_of_Year_Yr1_33</vt:lpstr>
      <vt:lpstr>Start_of_Year_Yr1_34</vt:lpstr>
      <vt:lpstr>Start_of_Year_Yr1_35</vt:lpstr>
      <vt:lpstr>Start_of_Year_Yr1_36</vt:lpstr>
      <vt:lpstr>Start_of_Year_Yr1_37</vt:lpstr>
      <vt:lpstr>Start_of_Year_Yr1_38</vt:lpstr>
      <vt:lpstr>Start_of_Year_Yr1_39</vt:lpstr>
      <vt:lpstr>Start_of_Year_Yr1_4</vt:lpstr>
      <vt:lpstr>Start_of_Year_Yr1_40</vt:lpstr>
      <vt:lpstr>Start_of_Year_Yr1_41</vt:lpstr>
      <vt:lpstr>Start_of_Year_Yr1_42</vt:lpstr>
      <vt:lpstr>Start_of_Year_Yr1_43</vt:lpstr>
      <vt:lpstr>Start_of_Year_Yr1_44</vt:lpstr>
      <vt:lpstr>Start_of_Year_Yr1_45</vt:lpstr>
      <vt:lpstr>Start_of_Year_Yr1_46</vt:lpstr>
      <vt:lpstr>Start_of_Year_Yr1_47</vt:lpstr>
      <vt:lpstr>Start_of_Year_Yr1_48</vt:lpstr>
      <vt:lpstr>Start_of_Year_Yr1_49</vt:lpstr>
      <vt:lpstr>Start_of_Year_Yr1_5</vt:lpstr>
      <vt:lpstr>Start_of_Year_Yr1_50</vt:lpstr>
      <vt:lpstr>Start_of_Year_Yr1_51</vt:lpstr>
      <vt:lpstr>Start_of_Year_Yr1_52</vt:lpstr>
      <vt:lpstr>Start_of_Year_Yr1_53</vt:lpstr>
      <vt:lpstr>Start_of_Year_Yr1_54</vt:lpstr>
      <vt:lpstr>Start_of_Year_Yr1_55</vt:lpstr>
      <vt:lpstr>Start_of_Year_Yr1_56</vt:lpstr>
      <vt:lpstr>Start_of_Year_Yr1_57</vt:lpstr>
      <vt:lpstr>Start_of_Year_Yr1_58</vt:lpstr>
      <vt:lpstr>Start_of_Year_Yr1_59</vt:lpstr>
      <vt:lpstr>Start_of_Year_Yr1_6</vt:lpstr>
      <vt:lpstr>Start_of_Year_Yr1_60</vt:lpstr>
      <vt:lpstr>Start_of_Year_Yr1_61</vt:lpstr>
      <vt:lpstr>Start_of_Year_Yr1_7</vt:lpstr>
      <vt:lpstr>Start_of_Year_Yr1_8</vt:lpstr>
      <vt:lpstr>Start_of_Year_Yr1_9</vt:lpstr>
      <vt:lpstr>Start_of_Year_Yr2_1</vt:lpstr>
      <vt:lpstr>Start_of_Year_Yr2_10</vt:lpstr>
      <vt:lpstr>Start_of_Year_Yr2_11</vt:lpstr>
      <vt:lpstr>Start_of_Year_Yr2_12</vt:lpstr>
      <vt:lpstr>Start_of_Year_Yr2_13</vt:lpstr>
      <vt:lpstr>Start_of_Year_Yr2_14</vt:lpstr>
      <vt:lpstr>Start_of_Year_Yr2_15</vt:lpstr>
      <vt:lpstr>Start_of_Year_Yr2_16</vt:lpstr>
      <vt:lpstr>Start_of_Year_Yr2_17</vt:lpstr>
      <vt:lpstr>Start_of_Year_Yr2_18</vt:lpstr>
      <vt:lpstr>Start_of_Year_Yr2_19</vt:lpstr>
      <vt:lpstr>Start_of_Year_Yr2_2</vt:lpstr>
      <vt:lpstr>Start_of_Year_Yr2_20</vt:lpstr>
      <vt:lpstr>Start_of_Year_Yr2_21</vt:lpstr>
      <vt:lpstr>Start_of_Year_Yr2_22</vt:lpstr>
      <vt:lpstr>Start_of_Year_Yr2_23</vt:lpstr>
      <vt:lpstr>Start_of_Year_Yr2_24</vt:lpstr>
      <vt:lpstr>Start_of_Year_Yr2_25</vt:lpstr>
      <vt:lpstr>Start_of_Year_Yr2_26</vt:lpstr>
      <vt:lpstr>Start_of_Year_Yr2_27</vt:lpstr>
      <vt:lpstr>Start_of_Year_Yr2_28</vt:lpstr>
      <vt:lpstr>Start_of_Year_Yr2_29</vt:lpstr>
      <vt:lpstr>Start_of_Year_Yr2_3</vt:lpstr>
      <vt:lpstr>Start_of_Year_Yr2_30</vt:lpstr>
      <vt:lpstr>Start_of_Year_Yr2_31</vt:lpstr>
      <vt:lpstr>Start_of_Year_Yr2_32</vt:lpstr>
      <vt:lpstr>Start_of_Year_Yr2_33</vt:lpstr>
      <vt:lpstr>Start_of_Year_Yr2_34</vt:lpstr>
      <vt:lpstr>Start_of_Year_Yr2_35</vt:lpstr>
      <vt:lpstr>Start_of_Year_Yr2_36</vt:lpstr>
      <vt:lpstr>Start_of_Year_Yr2_37</vt:lpstr>
      <vt:lpstr>Start_of_Year_Yr2_38</vt:lpstr>
      <vt:lpstr>Start_of_Year_Yr2_39</vt:lpstr>
      <vt:lpstr>Start_of_Year_Yr2_4</vt:lpstr>
      <vt:lpstr>Start_of_Year_Yr2_40</vt:lpstr>
      <vt:lpstr>Start_of_Year_Yr2_41</vt:lpstr>
      <vt:lpstr>Start_of_Year_Yr2_42</vt:lpstr>
      <vt:lpstr>Start_of_Year_Yr2_43</vt:lpstr>
      <vt:lpstr>Start_of_Year_Yr2_44</vt:lpstr>
      <vt:lpstr>Start_of_Year_Yr2_45</vt:lpstr>
      <vt:lpstr>Start_of_Year_Yr2_46</vt:lpstr>
      <vt:lpstr>Start_of_Year_Yr2_47</vt:lpstr>
      <vt:lpstr>Start_of_Year_Yr2_48</vt:lpstr>
      <vt:lpstr>Start_of_Year_Yr2_49</vt:lpstr>
      <vt:lpstr>Start_of_Year_Yr2_5</vt:lpstr>
      <vt:lpstr>Start_of_Year_Yr2_50</vt:lpstr>
      <vt:lpstr>Start_of_Year_Yr2_51</vt:lpstr>
      <vt:lpstr>Start_of_Year_Yr2_52</vt:lpstr>
      <vt:lpstr>Start_of_Year_Yr2_53</vt:lpstr>
      <vt:lpstr>Start_of_Year_Yr2_54</vt:lpstr>
      <vt:lpstr>Start_of_Year_Yr2_55</vt:lpstr>
      <vt:lpstr>Start_of_Year_Yr2_56</vt:lpstr>
      <vt:lpstr>Start_of_Year_Yr2_57</vt:lpstr>
      <vt:lpstr>Start_of_Year_Yr2_58</vt:lpstr>
      <vt:lpstr>Start_of_Year_Yr2_59</vt:lpstr>
      <vt:lpstr>Start_of_Year_Yr2_6</vt:lpstr>
      <vt:lpstr>Start_of_Year_Yr2_60</vt:lpstr>
      <vt:lpstr>Start_of_Year_Yr2_61</vt:lpstr>
      <vt:lpstr>Start_of_Year_Yr2_7</vt:lpstr>
      <vt:lpstr>Start_of_Year_Yr2_8</vt:lpstr>
      <vt:lpstr>Start_of_Year_Yr2_9</vt:lpstr>
      <vt:lpstr>Start_of_Year_Yr3_1</vt:lpstr>
      <vt:lpstr>Start_of_Year_Yr3_10</vt:lpstr>
      <vt:lpstr>Start_of_Year_Yr3_11</vt:lpstr>
      <vt:lpstr>Start_of_Year_Yr3_12</vt:lpstr>
      <vt:lpstr>Start_of_Year_Yr3_13</vt:lpstr>
      <vt:lpstr>Start_of_Year_Yr3_14</vt:lpstr>
      <vt:lpstr>Start_of_Year_Yr3_15</vt:lpstr>
      <vt:lpstr>Start_of_Year_Yr3_16</vt:lpstr>
      <vt:lpstr>Start_of_Year_Yr3_17</vt:lpstr>
      <vt:lpstr>Start_of_Year_Yr3_18</vt:lpstr>
      <vt:lpstr>Start_of_Year_Yr3_19</vt:lpstr>
      <vt:lpstr>Start_of_Year_Yr3_2</vt:lpstr>
      <vt:lpstr>Start_of_Year_Yr3_20</vt:lpstr>
      <vt:lpstr>Start_of_Year_Yr3_21</vt:lpstr>
      <vt:lpstr>Start_of_Year_Yr3_22</vt:lpstr>
      <vt:lpstr>Start_of_Year_Yr3_23</vt:lpstr>
      <vt:lpstr>Start_of_Year_Yr3_24</vt:lpstr>
      <vt:lpstr>Start_of_Year_Yr3_25</vt:lpstr>
      <vt:lpstr>Start_of_Year_Yr3_26</vt:lpstr>
      <vt:lpstr>Start_of_Year_Yr3_27</vt:lpstr>
      <vt:lpstr>Start_of_Year_Yr3_28</vt:lpstr>
      <vt:lpstr>Start_of_Year_Yr3_29</vt:lpstr>
      <vt:lpstr>Start_of_Year_Yr3_3</vt:lpstr>
      <vt:lpstr>Start_of_Year_Yr3_30</vt:lpstr>
      <vt:lpstr>Start_of_Year_Yr3_31</vt:lpstr>
      <vt:lpstr>Start_of_Year_Yr3_32</vt:lpstr>
      <vt:lpstr>Start_of_Year_Yr3_33</vt:lpstr>
      <vt:lpstr>Start_of_Year_Yr3_34</vt:lpstr>
      <vt:lpstr>Start_of_Year_Yr3_35</vt:lpstr>
      <vt:lpstr>Start_of_Year_Yr3_36</vt:lpstr>
      <vt:lpstr>Start_of_Year_Yr3_37</vt:lpstr>
      <vt:lpstr>Start_of_Year_Yr3_38</vt:lpstr>
      <vt:lpstr>Start_of_Year_Yr3_39</vt:lpstr>
      <vt:lpstr>Start_of_Year_Yr3_4</vt:lpstr>
      <vt:lpstr>Start_of_Year_Yr3_40</vt:lpstr>
      <vt:lpstr>Start_of_Year_Yr3_41</vt:lpstr>
      <vt:lpstr>Start_of_Year_Yr3_42</vt:lpstr>
      <vt:lpstr>Start_of_Year_Yr3_43</vt:lpstr>
      <vt:lpstr>Start_of_Year_Yr3_44</vt:lpstr>
      <vt:lpstr>Start_of_Year_Yr3_45</vt:lpstr>
      <vt:lpstr>Start_of_Year_Yr3_46</vt:lpstr>
      <vt:lpstr>Start_of_Year_Yr3_47</vt:lpstr>
      <vt:lpstr>Start_of_Year_Yr3_48</vt:lpstr>
      <vt:lpstr>Start_of_Year_Yr3_49</vt:lpstr>
      <vt:lpstr>Start_of_Year_Yr3_5</vt:lpstr>
      <vt:lpstr>Start_of_Year_Yr3_50</vt:lpstr>
      <vt:lpstr>Start_of_Year_Yr3_51</vt:lpstr>
      <vt:lpstr>Start_of_Year_Yr3_52</vt:lpstr>
      <vt:lpstr>Start_of_Year_Yr3_53</vt:lpstr>
      <vt:lpstr>Start_of_Year_Yr3_54</vt:lpstr>
      <vt:lpstr>Start_of_Year_Yr3_55</vt:lpstr>
      <vt:lpstr>Start_of_Year_Yr3_56</vt:lpstr>
      <vt:lpstr>Start_of_Year_Yr3_57</vt:lpstr>
      <vt:lpstr>Start_of_Year_Yr3_58</vt:lpstr>
      <vt:lpstr>Start_of_Year_Yr3_59</vt:lpstr>
      <vt:lpstr>Start_of_Year_Yr3_6</vt:lpstr>
      <vt:lpstr>Start_of_Year_Yr3_60</vt:lpstr>
      <vt:lpstr>Start_of_Year_Yr3_61</vt:lpstr>
      <vt:lpstr>Start_of_Year_Yr3_7</vt:lpstr>
      <vt:lpstr>Start_of_Year_Yr3_8</vt:lpstr>
      <vt:lpstr>Start_of_Year_Yr3_9</vt:lpstr>
      <vt:lpstr>Start_of_Year_Yr4_1</vt:lpstr>
      <vt:lpstr>Start_of_Year_Yr4_10</vt:lpstr>
      <vt:lpstr>Start_of_Year_Yr4_11</vt:lpstr>
      <vt:lpstr>Start_of_Year_Yr4_12</vt:lpstr>
      <vt:lpstr>Start_of_Year_Yr4_13</vt:lpstr>
      <vt:lpstr>Start_of_Year_Yr4_14</vt:lpstr>
      <vt:lpstr>Start_of_Year_Yr4_15</vt:lpstr>
      <vt:lpstr>Start_of_Year_Yr4_16</vt:lpstr>
      <vt:lpstr>Start_of_Year_Yr4_17</vt:lpstr>
      <vt:lpstr>Start_of_Year_Yr4_18</vt:lpstr>
      <vt:lpstr>Start_of_Year_Yr4_19</vt:lpstr>
      <vt:lpstr>Start_of_Year_Yr4_2</vt:lpstr>
      <vt:lpstr>Start_of_Year_Yr4_20</vt:lpstr>
      <vt:lpstr>Start_of_Year_Yr4_21</vt:lpstr>
      <vt:lpstr>Start_of_Year_Yr4_22</vt:lpstr>
      <vt:lpstr>Start_of_Year_Yr4_23</vt:lpstr>
      <vt:lpstr>Start_of_Year_Yr4_24</vt:lpstr>
      <vt:lpstr>Start_of_Year_Yr4_25</vt:lpstr>
      <vt:lpstr>Start_of_Year_Yr4_26</vt:lpstr>
      <vt:lpstr>Start_of_Year_Yr4_27</vt:lpstr>
      <vt:lpstr>Start_of_Year_Yr4_28</vt:lpstr>
      <vt:lpstr>Start_of_Year_Yr4_29</vt:lpstr>
      <vt:lpstr>Start_of_Year_Yr4_3</vt:lpstr>
      <vt:lpstr>Start_of_Year_Yr4_30</vt:lpstr>
      <vt:lpstr>Start_of_Year_Yr4_31</vt:lpstr>
      <vt:lpstr>Start_of_Year_Yr4_32</vt:lpstr>
      <vt:lpstr>Start_of_Year_Yr4_33</vt:lpstr>
      <vt:lpstr>Start_of_Year_Yr4_34</vt:lpstr>
      <vt:lpstr>Start_of_Year_Yr4_35</vt:lpstr>
      <vt:lpstr>Start_of_Year_Yr4_36</vt:lpstr>
      <vt:lpstr>Start_of_Year_Yr4_37</vt:lpstr>
      <vt:lpstr>Start_of_Year_Yr4_38</vt:lpstr>
      <vt:lpstr>Start_of_Year_Yr4_39</vt:lpstr>
      <vt:lpstr>Start_of_Year_Yr4_4</vt:lpstr>
      <vt:lpstr>Start_of_Year_Yr4_40</vt:lpstr>
      <vt:lpstr>Start_of_Year_Yr4_41</vt:lpstr>
      <vt:lpstr>Start_of_Year_Yr4_42</vt:lpstr>
      <vt:lpstr>Start_of_Year_Yr4_43</vt:lpstr>
      <vt:lpstr>Start_of_Year_Yr4_44</vt:lpstr>
      <vt:lpstr>Start_of_Year_Yr4_45</vt:lpstr>
      <vt:lpstr>Start_of_Year_Yr4_46</vt:lpstr>
      <vt:lpstr>Start_of_Year_Yr4_47</vt:lpstr>
      <vt:lpstr>Start_of_Year_Yr4_48</vt:lpstr>
      <vt:lpstr>Start_of_Year_Yr4_49</vt:lpstr>
      <vt:lpstr>Start_of_Year_Yr4_5</vt:lpstr>
      <vt:lpstr>Start_of_Year_Yr4_50</vt:lpstr>
      <vt:lpstr>Start_of_Year_Yr4_51</vt:lpstr>
      <vt:lpstr>Start_of_Year_Yr4_52</vt:lpstr>
      <vt:lpstr>Start_of_Year_Yr4_53</vt:lpstr>
      <vt:lpstr>Start_of_Year_Yr4_54</vt:lpstr>
      <vt:lpstr>Start_of_Year_Yr4_55</vt:lpstr>
      <vt:lpstr>Start_of_Year_Yr4_56</vt:lpstr>
      <vt:lpstr>Start_of_Year_Yr4_57</vt:lpstr>
      <vt:lpstr>Start_of_Year_Yr4_58</vt:lpstr>
      <vt:lpstr>Start_of_Year_Yr4_59</vt:lpstr>
      <vt:lpstr>Start_of_Year_Yr4_6</vt:lpstr>
      <vt:lpstr>Start_of_Year_Yr4_60</vt:lpstr>
      <vt:lpstr>Start_of_Year_Yr4_61</vt:lpstr>
      <vt:lpstr>Start_of_Year_Yr4_7</vt:lpstr>
      <vt:lpstr>Start_of_Year_Yr4_8</vt:lpstr>
      <vt:lpstr>Start_of_Year_Yr4_9</vt:lpstr>
      <vt:lpstr>Start_of_Year_Yr5_1</vt:lpstr>
      <vt:lpstr>Start_of_Year_Yr5_10</vt:lpstr>
      <vt:lpstr>Start_of_Year_Yr5_11</vt:lpstr>
      <vt:lpstr>Start_of_Year_Yr5_12</vt:lpstr>
      <vt:lpstr>Start_of_Year_Yr5_13</vt:lpstr>
      <vt:lpstr>Start_of_Year_Yr5_14</vt:lpstr>
      <vt:lpstr>Start_of_Year_Yr5_15</vt:lpstr>
      <vt:lpstr>Start_of_Year_Yr5_16</vt:lpstr>
      <vt:lpstr>Start_of_Year_Yr5_17</vt:lpstr>
      <vt:lpstr>Start_of_Year_Yr5_18</vt:lpstr>
      <vt:lpstr>Start_of_Year_Yr5_19</vt:lpstr>
      <vt:lpstr>Start_of_Year_Yr5_2</vt:lpstr>
      <vt:lpstr>Start_of_Year_Yr5_20</vt:lpstr>
      <vt:lpstr>Start_of_Year_Yr5_21</vt:lpstr>
      <vt:lpstr>Start_of_Year_Yr5_22</vt:lpstr>
      <vt:lpstr>Start_of_Year_Yr5_23</vt:lpstr>
      <vt:lpstr>Start_of_Year_Yr5_24</vt:lpstr>
      <vt:lpstr>Start_of_Year_Yr5_25</vt:lpstr>
      <vt:lpstr>Start_of_Year_Yr5_26</vt:lpstr>
      <vt:lpstr>Start_of_Year_Yr5_27</vt:lpstr>
      <vt:lpstr>Start_of_Year_Yr5_28</vt:lpstr>
      <vt:lpstr>Start_of_Year_Yr5_29</vt:lpstr>
      <vt:lpstr>Start_of_Year_Yr5_3</vt:lpstr>
      <vt:lpstr>Start_of_Year_Yr5_30</vt:lpstr>
      <vt:lpstr>Start_of_Year_Yr5_31</vt:lpstr>
      <vt:lpstr>Start_of_Year_Yr5_32</vt:lpstr>
      <vt:lpstr>Start_of_Year_Yr5_33</vt:lpstr>
      <vt:lpstr>Start_of_Year_Yr5_34</vt:lpstr>
      <vt:lpstr>Start_of_Year_Yr5_35</vt:lpstr>
      <vt:lpstr>Start_of_Year_Yr5_36</vt:lpstr>
      <vt:lpstr>Start_of_Year_Yr5_37</vt:lpstr>
      <vt:lpstr>Start_of_Year_Yr5_38</vt:lpstr>
      <vt:lpstr>Start_of_Year_Yr5_39</vt:lpstr>
      <vt:lpstr>Start_of_Year_Yr5_4</vt:lpstr>
      <vt:lpstr>Start_of_Year_Yr5_40</vt:lpstr>
      <vt:lpstr>Start_of_Year_Yr5_41</vt:lpstr>
      <vt:lpstr>Start_of_Year_Yr5_42</vt:lpstr>
      <vt:lpstr>Start_of_Year_Yr5_43</vt:lpstr>
      <vt:lpstr>Start_of_Year_Yr5_44</vt:lpstr>
      <vt:lpstr>Start_of_Year_Yr5_45</vt:lpstr>
      <vt:lpstr>Start_of_Year_Yr5_46</vt:lpstr>
      <vt:lpstr>Start_of_Year_Yr5_47</vt:lpstr>
      <vt:lpstr>Start_of_Year_Yr5_48</vt:lpstr>
      <vt:lpstr>Start_of_Year_Yr5_49</vt:lpstr>
      <vt:lpstr>Start_of_Year_Yr5_5</vt:lpstr>
      <vt:lpstr>Start_of_Year_Yr5_50</vt:lpstr>
      <vt:lpstr>Start_of_Year_Yr5_51</vt:lpstr>
      <vt:lpstr>Start_of_Year_Yr5_52</vt:lpstr>
      <vt:lpstr>Start_of_Year_Yr5_53</vt:lpstr>
      <vt:lpstr>Start_of_Year_Yr5_54</vt:lpstr>
      <vt:lpstr>Start_of_Year_Yr5_55</vt:lpstr>
      <vt:lpstr>Start_of_Year_Yr5_56</vt:lpstr>
      <vt:lpstr>Start_of_Year_Yr5_57</vt:lpstr>
      <vt:lpstr>Start_of_Year_Yr5_58</vt:lpstr>
      <vt:lpstr>Start_of_Year_Yr5_59</vt:lpstr>
      <vt:lpstr>Start_of_Year_Yr5_6</vt:lpstr>
      <vt:lpstr>Start_of_Year_Yr5_60</vt:lpstr>
      <vt:lpstr>Start_of_Year_Yr5_61</vt:lpstr>
      <vt:lpstr>Start_of_Year_Yr5_7</vt:lpstr>
      <vt:lpstr>Start_of_Year_Yr5_8</vt:lpstr>
      <vt:lpstr>Start_of_Year_Yr5_9</vt:lpstr>
      <vt:lpstr>VHP_Yr1_1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John.Spurgeon@energynetworks.org</dc:creator>
  <cp:keywords/>
  <dc:description/>
  <cp:lastModifiedBy>Sash Steele</cp:lastModifiedBy>
  <cp:revision/>
  <dcterms:created xsi:type="dcterms:W3CDTF">2014-08-13T15:43:34Z</dcterms:created>
  <dcterms:modified xsi:type="dcterms:W3CDTF">2025-02-20T12:40:43Z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7" name="docIndexRef">
    <vt:lpwstr>e5e68a89-83f1-4310-8720-8ec1360f6b6a</vt:lpwstr>
  </property>
  <property fmtid="{D5CDD505-2E9C-101B-9397-08002B2CF9AE}" pid="8" name="bjSaver">
    <vt:lpwstr>jtORc6dgmz6XNPKWXRusz1JxKKYPRBvd</vt:lpwstr>
  </property>
  <property fmtid="{D5CDD505-2E9C-101B-9397-08002B2CF9AE}" pid="9" name="bjDocumentSecurityLabel">
    <vt:lpwstr>This item has no classification</vt:lpwstr>
  </property>
  <property fmtid="{D5CDD505-2E9C-101B-9397-08002B2CF9AE}" pid="10" name="DLPManualFileClassification">
    <vt:lpwstr>{1898340F-CC49-4888-9943-6DA0C70AB42B}</vt:lpwstr>
  </property>
  <property fmtid="{D5CDD505-2E9C-101B-9397-08002B2CF9AE}" pid="11" name="DLPManualFileClassificationLastModifiedBy">
    <vt:lpwstr>AD03\Gavin.Howarth</vt:lpwstr>
  </property>
  <property fmtid="{D5CDD505-2E9C-101B-9397-08002B2CF9AE}" pid="12" name="DLPManualFileClassificationLastModificationDate">
    <vt:lpwstr>1582714543</vt:lpwstr>
  </property>
  <property fmtid="{D5CDD505-2E9C-101B-9397-08002B2CF9AE}" pid="13" name="DLPManualFileClassificationVersion">
    <vt:lpwstr>11.3.2.8</vt:lpwstr>
  </property>
  <property fmtid="{D5CDD505-2E9C-101B-9397-08002B2CF9AE}" pid="14" name="bjClsUserRVM">
    <vt:lpwstr>[]</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2023-03-20T17:56:42Z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86fa27b9-11fa-4d56-a717-583345888fe3</vt:lpwstr>
  </property>
  <property fmtid="{D5CDD505-2E9C-101B-9397-08002B2CF9AE}" pid="22" name="MSIP_Label_38144ccb-b10a-4c0f-b070-7a3b00ac7463_ContentBits">
    <vt:lpwstr>2</vt:lpwstr>
  </property>
  <property fmtid="{D5CDD505-2E9C-101B-9397-08002B2CF9AE}" pid="23" name="MSIP_Label_24fe2fa2-8093-4776-8a20-2d25f8c7acf2_Enabled">
    <vt:lpwstr>true</vt:lpwstr>
  </property>
  <property fmtid="{D5CDD505-2E9C-101B-9397-08002B2CF9AE}" pid="24" name="MSIP_Label_24fe2fa2-8093-4776-8a20-2d25f8c7acf2_SetDate">
    <vt:lpwstr>2024-03-28T16:40:29Z</vt:lpwstr>
  </property>
  <property fmtid="{D5CDD505-2E9C-101B-9397-08002B2CF9AE}" pid="25" name="MSIP_Label_24fe2fa2-8093-4776-8a20-2d25f8c7acf2_Method">
    <vt:lpwstr>Standard</vt:lpwstr>
  </property>
  <property fmtid="{D5CDD505-2E9C-101B-9397-08002B2CF9AE}" pid="26" name="MSIP_Label_24fe2fa2-8093-4776-8a20-2d25f8c7acf2_Name">
    <vt:lpwstr>Internal</vt:lpwstr>
  </property>
  <property fmtid="{D5CDD505-2E9C-101B-9397-08002B2CF9AE}" pid="27" name="MSIP_Label_24fe2fa2-8093-4776-8a20-2d25f8c7acf2_SiteId">
    <vt:lpwstr>887a239c-e092-45fe-92c8-d902c3681567</vt:lpwstr>
  </property>
  <property fmtid="{D5CDD505-2E9C-101B-9397-08002B2CF9AE}" pid="28" name="MSIP_Label_24fe2fa2-8093-4776-8a20-2d25f8c7acf2_ActionId">
    <vt:lpwstr>44877da4-bca2-4a1f-b342-a793594c9c98</vt:lpwstr>
  </property>
  <property fmtid="{D5CDD505-2E9C-101B-9397-08002B2CF9AE}" pid="29" name="MSIP_Label_24fe2fa2-8093-4776-8a20-2d25f8c7acf2_ContentBits">
    <vt:lpwstr>0</vt:lpwstr>
  </property>
</Properties>
</file>